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drawings/drawing8.xml" ContentType="application/vnd.openxmlformats-officedocument.drawing+xml"/>
  <Override PartName="/xl/charts/chart14.xml" ContentType="application/vnd.openxmlformats-officedocument.drawingml.chart+xml"/>
  <Override PartName="/xl/drawings/drawing9.xml" ContentType="application/vnd.openxmlformats-officedocument.drawing+xml"/>
  <Override PartName="/xl/charts/chart15.xml" ContentType="application/vnd.openxmlformats-officedocument.drawingml.chart+xml"/>
  <Override PartName="/xl/drawings/drawing10.xml" ContentType="application/vnd.openxmlformats-officedocument.drawing+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ohns\PyProjects\Planning\output\"/>
    </mc:Choice>
  </mc:AlternateContent>
  <xr:revisionPtr revIDLastSave="0" documentId="13_ncr:1_{943F29EC-B8D4-43FB-A5F2-61D7284C2472}" xr6:coauthVersionLast="47" xr6:coauthVersionMax="47" xr10:uidLastSave="{00000000-0000-0000-0000-000000000000}"/>
  <bookViews>
    <workbookView xWindow="-108" yWindow="-108" windowWidth="61656" windowHeight="25416" xr2:uid="{00000000-000D-0000-FFFF-FFFF00000000}"/>
  </bookViews>
  <sheets>
    <sheet name="Read Me" sheetId="1" r:id="rId1"/>
    <sheet name="Control" sheetId="2" r:id="rId2"/>
    <sheet name="Inputs" sheetId="3" r:id="rId3"/>
    <sheet name="Rate Log" sheetId="4" r:id="rId4"/>
    <sheet name="Portfolio" sheetId="5" r:id="rId5"/>
    <sheet name="State Summary" sheetId="6" r:id="rId6"/>
    <sheet name="Program Flow" sheetId="7" r:id="rId7"/>
    <sheet name="Net Delivery" sheetId="8" r:id="rId8"/>
    <sheet name="Bridge" sheetId="9" r:id="rId9"/>
    <sheet name="Walkthrough" sheetId="10" r:id="rId10"/>
    <sheet name="One-Pager" sheetId="11" r:id="rId11"/>
    <sheet name="Flow Dashboard" sheetId="12" r:id="rId12"/>
    <sheet name="Scenarios" sheetId="13" r:id="rId13"/>
    <sheet name="Compare" sheetId="14" r:id="rId14"/>
    <sheet name="Solver" sheetId="15" r:id="rId15"/>
    <sheet name="Attribution" sheetId="16" r:id="rId16"/>
    <sheet name="Rate Engine" sheetId="17" r:id="rId17"/>
    <sheet name="Mod Engine" sheetId="18" r:id="rId18"/>
    <sheet name="Checks" sheetId="19" r:id="rId19"/>
    <sheet name="Methodology" sheetId="20" r:id="rId20"/>
    <sheet name="_lists" sheetId="21" state="hidden" r:id="rId21"/>
    <sheet name="_calc" sheetId="22" state="hidden" r:id="rId22"/>
    <sheet name="_netcalc" sheetId="23" state="hidden" r:id="rId23"/>
    <sheet name="_oracle" sheetId="24" state="hidden" r:id="rId24"/>
  </sheets>
  <definedNames>
    <definedName name="_xlnm._FilterDatabase" localSheetId="4" hidden="1">Portfolio!$A$5:$Q$74</definedName>
    <definedName name="att_actdate">Attribution!$F$14:$F$21</definedName>
    <definedName name="att_actlr">Attribution!$C$10</definedName>
    <definedName name="att_actpct">Attribution!$E$14:$E$21</definedName>
    <definedName name="att_asof">Attribution!$C$7</definedName>
    <definedName name="att_m0">Attribution!$C$6</definedName>
    <definedName name="att_m1">Attribution!$C$8</definedName>
    <definedName name="att_m2">Attribution!$C$9</definedName>
    <definedName name="att_reconciles">Attribution!$B$32</definedName>
    <definedName name="br_selrow">Bridge!$F$36</definedName>
    <definedName name="calc_amod_p">_calc!$K$4:$K$72</definedName>
    <definedName name="calc_amod_p1">_calc!$L$4:$L$72</definedName>
    <definedName name="calc_aother">_calc!$R$4:$R$72</definedName>
    <definedName name="calc_arate_p">_calc!$I$4:$I$72</definedName>
    <definedName name="calc_arate_p1">_calc!$J$4:$J$72</definedName>
    <definedName name="calc_bu">_calc!$U$4:$U$72</definedName>
    <definedName name="calc_carry">_calc!$Q$4:$Q$72</definedName>
    <definedName name="calc_crl">_calc!$C$4:$C$72</definedName>
    <definedName name="calc_cylr_p">_calc!$N$4:$N$72</definedName>
    <definedName name="calc_cylr_p1">_calc!$O$4:$O$72</definedName>
    <definedName name="calc_cylr_prog">_calc!$CO$4:$CO$72</definedName>
    <definedName name="calc_cylr1_prog">_calc!$CP$4:$CP$72</definedName>
    <definedName name="calc_echg">_calc!$P$4:$P$72</definedName>
    <definedName name="calc_ecy_p">_calc!$E$4:$E$72</definedName>
    <definedName name="calc_ecy_p1">_calc!$F$4:$F$72</definedName>
    <definedName name="calc_ecy_pm1">_calc!$D$4:$D$72</definedName>
    <definedName name="calc_ep">_calc!$V$4:$V$72</definedName>
    <definedName name="calc_key">_calc!$A$4:$A$72</definedName>
    <definedName name="calc_lrcur">_calc!$M$4:$M$72</definedName>
    <definedName name="calc_mbar_p">_calc!$G$4:$G$72</definedName>
    <definedName name="calc_mbar_p1">_calc!$H$4:$H$72</definedName>
    <definedName name="calc_netmode">_calc!$AK$4:$AK$72</definedName>
    <definedName name="calc_netx">_calc!$AL$4:$AL$72</definedName>
    <definedName name="calc_nplanned">_calc!$CV$4:$CV$72</definedName>
    <definedName name="calc_ntaken">_calc!$CU$4:$CU$72</definedName>
    <definedName name="calc_proggap">_calc!$CT$4:$CT$72</definedName>
    <definedName name="calc_progident">_calc!$CS$4:$CS$72</definedName>
    <definedName name="calc_state">_calc!$T$4:$T$72</definedName>
    <definedName name="calc_term">_calc!$B$4:$B$72</definedName>
    <definedName name="calc_trend">_calc!$S$4:$S$72</definedName>
    <definedName name="calc_w_amod">_calc!$AD$4:$AD$72</definedName>
    <definedName name="calc_w_amod1">_calc!$AI$4:$AI$72</definedName>
    <definedName name="calc_w_aother">_calc!$CN$4:$CN$72</definedName>
    <definedName name="calc_w_arate">_calc!$AB$4:$AB$72</definedName>
    <definedName name="calc_w_arate1">_calc!$AH$4:$AH$72</definedName>
    <definedName name="calc_w_crl">_calc!$Z$4:$Z$72</definedName>
    <definedName name="calc_w_cylr">_calc!$AF$4:$AF$72</definedName>
    <definedName name="calc_w_cylr_prog">_calc!$CQ$4:$CQ$72</definedName>
    <definedName name="calc_w_cylr1">_calc!$AJ$4:$AJ$72</definedName>
    <definedName name="calc_w_cylr1_prog">_calc!$CR$4:$CR$72</definedName>
    <definedName name="calc_w_ecy">_calc!$AA$4:$AA$72</definedName>
    <definedName name="calc_w_lrcur">_calc!$AE$4:$AE$72</definedName>
    <definedName name="calc_w_m0">_calc!$X$4:$X$72</definedName>
    <definedName name="calc_w_m1">_calc!$Y$4:$Y$72</definedName>
    <definedName name="calc_w_mbar">_calc!$AC$4:$AC$72</definedName>
    <definedName name="calc_w_mind">_calc!$W$4:$W$72</definedName>
    <definedName name="calc_w_trend">_calc!$AG$4:$AG$72</definedName>
    <definedName name="ck_overall">Checks!$C$3</definedName>
    <definedName name="fd_avgdel">'Flow Dashboard'!$U$79</definedName>
    <definedName name="fd_tkw">_calc!$N$4729:$N$4776</definedName>
    <definedName name="lr_aother">Inputs!$N$12:$N$80</definedName>
    <definedName name="lr_aotherlbl">Inputs!$O$12:$O$80</definedName>
    <definedName name="lr_basis">Inputs!$D$12:$D$80</definedName>
    <definedName name="lr_bu">Inputs!$A$12:$A$80</definedName>
    <definedName name="lr_ep">Inputs!$L$12:$L$80</definedName>
    <definedName name="lr_key">Inputs!$T$12:$T$80</definedName>
    <definedName name="lr_lrproj">Inputs!$C$12:$C$80</definedName>
    <definedName name="lr_m0">Inputs!$G$12:$G$80</definedName>
    <definedName name="lr_m0asof">Inputs!$H$12:$H$80</definedName>
    <definedName name="lr_m1">Inputs!$I$12:$I$80</definedName>
    <definedName name="lr_m2">Inputs!$K$12:$K$80</definedName>
    <definedName name="lr_mind">Inputs!$F$12:$F$80</definedName>
    <definedName name="lr_modadj">Inputs!$P$12:$P$80</definedName>
    <definedName name="lr_mprior">Inputs!$J$12:$J$80</definedName>
    <definedName name="lr_netp">Inputs!$Q$12:$Q$80</definedName>
    <definedName name="lr_netp1">Inputs!$R$12:$R$80</definedName>
    <definedName name="lr_s">Inputs!$E$12:$E$80</definedName>
    <definedName name="lr_state">Inputs!$B$12:$B$80</definedName>
    <definedName name="lr_trend">Inputs!$M$12:$M$80</definedName>
    <definedName name="lst_basis">_lists!$E$3:$E$4</definedName>
    <definedName name="lst_basisdisp">_lists!$H$3:$H$4</definedName>
    <definedName name="lst_bu">_lists!$A$3:INDEX(_lists!$A$3:$A$71,MAX(1,_lists!$N$1))</definedName>
    <definedName name="lst_bu_all">_lists!$I$3:INDEX(_lists!$I$3:$I$72,MAX(1,_lists!$N$1+1))</definedName>
    <definedName name="lst_onoff">_lists!$F$3:$F$4</definedName>
    <definedName name="lst_scenario">_lists!$G$3:$G$7</definedName>
    <definedName name="lst_state">_lists!$B$3:INDEX(_lists!$B$3:$B$71,MAX(1,_lists!$P$1))</definedName>
    <definedName name="lst_state_cnt">_lists!$P$1</definedName>
    <definedName name="lst_status">_lists!$C$3:$C$4</definedName>
    <definedName name="lst_yn">_lists!$D$3:$D$4</definedName>
    <definedName name="me_identity">'Mod Engine'!$L$11</definedName>
    <definedName name="me_identity_ok">'Mod Engine'!$L$12</definedName>
    <definedName name="me_mw_col">'Mod Engine'!$E$17:$E$64</definedName>
    <definedName name="nd_Ach">'Net Delivery'!$I$5</definedName>
    <definedName name="nd_band_top">_netcalc!$A$1591</definedName>
    <definedName name="nd_BandBU">'Net Delivery'!$B$99</definedName>
    <definedName name="nd_BandState">'Net Delivery'!$D$99</definedName>
    <definedName name="nd_BU">'Net Delivery'!$B$5</definedName>
    <definedName name="nd_DefaultDate">'Net Delivery'!$F$5</definedName>
    <definedName name="nd_DefaultDateRaw">'Net Delivery'!$E$5</definedName>
    <definedName name="nd_MaxResid">_netcalc!$J$1</definedName>
    <definedName name="nd_NetSelfChk">_netcalc!$R$1642</definedName>
    <definedName name="nd_YagoDiff">_netcalc!$Q$1642</definedName>
    <definedName name="ndd_dates">'Net Delivery'!$D$9:$D$32</definedName>
    <definedName name="ndd_filed">'Net Delivery'!$E$9:$E$32</definedName>
    <definedName name="ndd_flags">'Net Delivery'!$P$9:$P$32</definedName>
    <definedName name="ndd_states">'Net Delivery'!$A$9:$A$32</definedName>
    <definedName name="ndl_days">_netcalc!$E$4:$E$243</definedName>
    <definedName name="ndl_eff">_netcalc!$B$4:$B$243</definedName>
    <definedName name="ndl_effmonth">_netcalc!$C$4:$C$243</definedName>
    <definedName name="ndl_first">_netcalc!$H$4:$H$243</definedName>
    <definedName name="ndl_live">_netcalc!$A$4:$A$243</definedName>
    <definedName name="ndl_ln">_netcalc!$D$4:$D$243</definedName>
    <definedName name="nr_Amod_P">'Mod Engine'!$L$8</definedName>
    <definedName name="nr_Amod_P1">'Mod Engine'!$L$9</definedName>
    <definedName name="nr_AOther">Bridge!$C$51</definedName>
    <definedName name="nr_AOtherLbl">Bridge!$C$52</definedName>
    <definedName name="nr_Arate_P">'Rate Engine'!$C$9</definedName>
    <definedName name="nr_Arate_P1">'Rate Engine'!$C$10</definedName>
    <definedName name="nr_Basis">Bridge!$C$41</definedName>
    <definedName name="nr_BasisDisp">Control!$C$14</definedName>
    <definedName name="nr_CRLind">'Rate Engine'!$C$5</definedName>
    <definedName name="nr_CYLR_P">Bridge!$D$15</definedName>
    <definedName name="nr_CYLR_P1">Bridge!$G$15</definedName>
    <definedName name="nr_EChgVsInd">'Rate Engine'!$C$11</definedName>
    <definedName name="nr_ECY_P">'Rate Engine'!$C$7</definedName>
    <definedName name="nr_ECY_P1">'Rate Engine'!$C$8</definedName>
    <definedName name="nr_ECY_Pm1">'Rate Engine'!$C$6</definedName>
    <definedName name="nr_LRcur">Bridge!$C$43</definedName>
    <definedName name="nr_LRproj">Bridge!$C$40</definedName>
    <definedName name="nr_M0">Bridge!$C$45</definedName>
    <definedName name="nr_M0Asof">Bridge!$C$46</definedName>
    <definedName name="nr_M1">Bridge!$C$47</definedName>
    <definedName name="nr_M2">Bridge!$C$49</definedName>
    <definedName name="nr_MEarned_P">'Mod Engine'!$L$6</definedName>
    <definedName name="nr_MEarned_P1">'Mod Engine'!$L$7</definedName>
    <definedName name="nr_MEarned_Pm1">'Mod Engine'!$L$5</definedName>
    <definedName name="nr_MEndP">'Rate Engine'!$G$10</definedName>
    <definedName name="nr_MEndP1">'Rate Engine'!$G$11</definedName>
    <definedName name="nr_MEndPm1">'Rate Engine'!$G$9</definedName>
    <definedName name="nr_MInd">Bridge!$C$44</definedName>
    <definedName name="nr_ModAdjEff">Bridge!$C$54</definedName>
    <definedName name="nr_ModAdjMaster">Control!$C$13</definedName>
    <definedName name="nr_ModAdjRow">Bridge!$C$53</definedName>
    <definedName name="nr_MPrior">Bridge!$C$48</definedName>
    <definedName name="nr_MStartP">'Rate Engine'!$F$10</definedName>
    <definedName name="nr_MStartP1">'Rate Engine'!$F$11</definedName>
    <definedName name="nr_MStartPm1">'Rate Engine'!$F$9</definedName>
    <definedName name="nr_NetMode">Bridge!$C$55</definedName>
    <definedName name="nr_NetSelP">Bridge!$C$56</definedName>
    <definedName name="nr_NetSelP1">Bridge!$C$57</definedName>
    <definedName name="nr_PlanYear">Control!$C$6</definedName>
    <definedName name="nr_SeasonOn">Control!$C$12</definedName>
    <definedName name="nr_SelBU">Control!$C$7</definedName>
    <definedName name="nr_SelKey">Control!$F$6</definedName>
    <definedName name="nr_SelOK">Control!$G$7</definedName>
    <definedName name="nr_SelS">Bridge!$C$42</definedName>
    <definedName name="nr_SelScenario">Control!$C$9</definedName>
    <definedName name="nr_SelState">Control!$C$8</definedName>
    <definedName name="nr_SolverR">Solver!$C$17</definedName>
    <definedName name="nr_SolvMaxRate">Solver!$C$21</definedName>
    <definedName name="nr_SolvMinShare">Solver!$C$22</definedName>
    <definedName name="nr_SumBU">'State Summary'!$B$4</definedName>
    <definedName name="nr_TermMonths">Inputs!$B$8</definedName>
    <definedName name="nr_Trend">Bridge!$C$50</definedName>
    <definedName name="nr_TrendDefault">Control!$C$15</definedName>
    <definedName name="nr_WalkLR">Walkthrough!$D$70</definedName>
    <definedName name="nr_YoY_P">'Rate Engine'!$C$12</definedName>
    <definedName name="nr_YoY_P1">'Rate Engine'!$C$13</definedName>
    <definedName name="orc_amod_p">_oracle!$B$11</definedName>
    <definedName name="orc_arate_p">_oracle!$B$9</definedName>
    <definedName name="orc_arate_p1">_oracle!$B$10</definedName>
    <definedName name="orc_crl">_oracle!$B$4</definedName>
    <definedName name="orc_cylr_p">_oracle!$B$12</definedName>
    <definedName name="orc_cylr_p_cont">_oracle!$B$15</definedName>
    <definedName name="orc_cylr_p1">_oracle!$B$13</definedName>
    <definedName name="orc_echg">_oracle!$B$14</definedName>
    <definedName name="orc_ecy_p">_oracle!$B$6</definedName>
    <definedName name="orc_ecy_p_cont">_oracle!$B$16</definedName>
    <definedName name="orc_ecy_p1">_oracle!$B$7</definedName>
    <definedName name="orc_ecy_pm1">_oracle!$B$5</definedName>
    <definedName name="orc_fp">_oracle!$B$46</definedName>
    <definedName name="orc_mbar_p">_oracle!$B$8</definedName>
    <definedName name="orc_solver_r">_oracle!$B$17</definedName>
    <definedName name="pf_BU">'Program Flow'!$B$5</definedName>
    <definedName name="pfd_bookgap">_calc!$CM$4:$CM$72</definedName>
    <definedName name="pfd_gap">'Program Flow'!$Q$9:$Q$32</definedName>
    <definedName name="pfd_states">'Program Flow'!$A$9:$A$32</definedName>
    <definedName name="_xlnm.Print_Area" localSheetId="10">'One-Pager'!$A$1:$G$66</definedName>
    <definedName name="_xlnm.Print_Area" localSheetId="9">Walkthrough!$A$1:$J$82</definedName>
    <definedName name="re_den_row">'Rate Engine'!$V$67:$BE$67</definedName>
    <definedName name="re_ecy_matrix">'Rate Engine'!$F$12</definedName>
    <definedName name="re_em_row">'Rate Engine'!$V$68:$BE$68</definedName>
    <definedName name="re_rowsum_chk">'Rate Engine'!$BF$17:$BF$64</definedName>
    <definedName name="re_season_active">'Rate Engine'!$F$8</definedName>
    <definedName name="re_srow">'Rate Engine'!$F$6</definedName>
    <definedName name="re_ssum">'Rate Engine'!$F$7</definedName>
    <definedName name="re_viol_row">'Rate Engine'!$V$71:$BE$71</definedName>
    <definedName name="rl_ach">'Rate Log'!$G$7:$G$246</definedName>
    <definedName name="rl_bu">'Rate Log'!$A$7:$A$246</definedName>
    <definedName name="rl_cons">'Rate Log'!$F$7:$F$246</definedName>
    <definedName name="rl_daysafter">'Rate Log'!$N$7:$N$246</definedName>
    <definedName name="rl_dup">'Rate Log'!$R$7:$R$246</definedName>
    <definedName name="rl_eff">'Rate Log'!$C$7:$C$246</definedName>
    <definedName name="rl_effmonth">'Rate Log'!$M$7:$M$246</definedName>
    <definedName name="rl_filed">'Rate Log'!$D$7:$D$246</definedName>
    <definedName name="rl_first">'Rate Log'!$Q$7:$Q$246</definedName>
    <definedName name="rl_firstplanned">'Rate Log'!$T$7:$T$246</definedName>
    <definedName name="rl_firsttaken">'Rate Log'!$U$7:$U$246</definedName>
    <definedName name="rl_key">'Rate Log'!$J$7:$J$246</definedName>
    <definedName name="rl_ln1p">'Rate Log'!$L$7:$L$246</definedName>
    <definedName name="rl_reff">'Rate Log'!$K$7:$K$246</definedName>
    <definedName name="rl_seq">'Rate Log'!$S$7:$S$246</definedName>
    <definedName name="rl_state">'Rate Log'!$B$7:$B$246</definedName>
    <definedName name="rl_status">'Rate Log'!$E$7:$E$246</definedName>
    <definedName name="sc_ach">Scenarios!$C$8:$F$8</definedName>
    <definedName name="sc_dm1">Scenarios!$C$9:$F$9</definedName>
    <definedName name="sc_dnet">Scenarios!$C$10:$F$10</definedName>
    <definedName name="sc_dpts">Scenarios!$C$6:$F$6</definedName>
    <definedName name="sc_res_cylr">Scenarios!$C$14:$G$14</definedName>
    <definedName name="sc_res_names">Scenarios!$C$13:$G$13</definedName>
    <definedName name="sc_shift">Scenarios!$C$7:$F$7</definedName>
    <definedName name="se_block">Inputs!$B$85:$M$108</definedName>
    <definedName name="se_state">Inputs!$A$85:$A$108</definedName>
    <definedName name="se_sum">Inputs!$N$85:$N$108</definedName>
    <definedName name="slv_absmi">_calc!$G$4675:$G$4722</definedName>
    <definedName name="slv_amod">Solver!$G$22</definedName>
    <definedName name="slv_aother">Solver!$G$23</definedName>
    <definedName name="slv_crl">Solver!$G$20</definedName>
    <definedName name="slv_cum">_calc!$T$4675:$T$4722</definedName>
    <definedName name="slv_den">_calc!$B$4723</definedName>
    <definedName name="slv_dfirst">_calc!$L$4675:$L$4722</definedName>
    <definedName name="slv_ecp">_calc!$Q$4675:$Q$4722</definedName>
    <definedName name="slv_key">Solver!$G$4</definedName>
    <definedName name="slv_lrcur">Solver!$G$21</definedName>
    <definedName name="slv_row">Solver!$G$19</definedName>
    <definedName name="slv_state">Solver!$G$5</definedName>
    <definedName name="slv_total">_calc!$C$4723</definedName>
    <definedName name="slv_w">_calc!$H$4675:$H$4722</definedName>
    <definedName name="slv_weom">_calc!$J$4675:$J$4722</definedName>
    <definedName name="slv_weom_c">_calc!$U$4675:$U$4722</definedName>
    <definedName name="slv_widx">_calc!$N$4675:$N$4722</definedName>
    <definedName name="slv_wpre">_calc!$I$4675:$I$4722</definedName>
    <definedName name="ss_mathchk">'State Summary'!$AO$8:$AO$31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24" l="1"/>
  <c r="D38" i="24" s="1"/>
  <c r="C36" i="24"/>
  <c r="D36" i="24" s="1"/>
  <c r="C32" i="24"/>
  <c r="D32" i="24" s="1"/>
  <c r="C21" i="24"/>
  <c r="D21" i="24" s="1"/>
  <c r="B1594" i="23"/>
  <c r="D1592" i="23"/>
  <c r="C1592" i="23"/>
  <c r="B1591" i="23"/>
  <c r="A1591" i="23"/>
  <c r="M1591" i="23" s="1"/>
  <c r="B1538" i="23"/>
  <c r="D1536" i="23"/>
  <c r="C1536" i="23"/>
  <c r="B1482" i="23"/>
  <c r="D1480" i="23"/>
  <c r="C1480" i="23"/>
  <c r="B1426" i="23"/>
  <c r="D1424" i="23"/>
  <c r="C1424" i="23"/>
  <c r="B1370" i="23"/>
  <c r="D1368" i="23"/>
  <c r="C1368" i="23"/>
  <c r="B1314" i="23"/>
  <c r="D1312" i="23"/>
  <c r="C1312" i="23"/>
  <c r="B1258" i="23"/>
  <c r="D1256" i="23"/>
  <c r="C1256" i="23"/>
  <c r="B1202" i="23"/>
  <c r="D1200" i="23"/>
  <c r="C1200" i="23"/>
  <c r="B1146" i="23"/>
  <c r="D1144" i="23"/>
  <c r="C1144" i="23"/>
  <c r="B1090" i="23"/>
  <c r="D1088" i="23"/>
  <c r="C1088" i="23"/>
  <c r="B1034" i="23"/>
  <c r="D1032" i="23"/>
  <c r="C1032" i="23"/>
  <c r="B978" i="23"/>
  <c r="D976" i="23"/>
  <c r="C976" i="23"/>
  <c r="B922" i="23"/>
  <c r="D920" i="23"/>
  <c r="C920" i="23"/>
  <c r="B866" i="23"/>
  <c r="D864" i="23"/>
  <c r="C864" i="23"/>
  <c r="B810" i="23"/>
  <c r="D808" i="23"/>
  <c r="C808" i="23"/>
  <c r="B754" i="23"/>
  <c r="D752" i="23"/>
  <c r="C752" i="23"/>
  <c r="B698" i="23"/>
  <c r="D696" i="23"/>
  <c r="C696" i="23"/>
  <c r="B642" i="23"/>
  <c r="D640" i="23"/>
  <c r="C640" i="23"/>
  <c r="B586" i="23"/>
  <c r="D584" i="23"/>
  <c r="C584" i="23"/>
  <c r="B530" i="23"/>
  <c r="D528" i="23"/>
  <c r="C528" i="23"/>
  <c r="B474" i="23"/>
  <c r="D472" i="23"/>
  <c r="C472" i="23"/>
  <c r="B418" i="23"/>
  <c r="D416" i="23"/>
  <c r="C416" i="23"/>
  <c r="B362" i="23"/>
  <c r="D360" i="23"/>
  <c r="C360" i="23"/>
  <c r="B306" i="23"/>
  <c r="D304" i="23"/>
  <c r="C304" i="23"/>
  <c r="B250" i="23"/>
  <c r="D248" i="23"/>
  <c r="C248" i="23"/>
  <c r="A243" i="23"/>
  <c r="A242" i="23"/>
  <c r="A241" i="23"/>
  <c r="A240" i="23"/>
  <c r="A239" i="23"/>
  <c r="A238" i="23"/>
  <c r="A237" i="23"/>
  <c r="A236" i="23"/>
  <c r="A235" i="23"/>
  <c r="A234" i="23"/>
  <c r="A233" i="23"/>
  <c r="A232" i="23"/>
  <c r="A231" i="23"/>
  <c r="A230" i="23"/>
  <c r="A229" i="23"/>
  <c r="A228" i="23"/>
  <c r="A227" i="23"/>
  <c r="A226" i="23"/>
  <c r="A225" i="23"/>
  <c r="A224" i="23"/>
  <c r="A223" i="23"/>
  <c r="A222" i="23"/>
  <c r="A221" i="23"/>
  <c r="A220" i="23"/>
  <c r="A219" i="23"/>
  <c r="A218" i="23"/>
  <c r="A217" i="23"/>
  <c r="A216" i="23"/>
  <c r="A215" i="23"/>
  <c r="A214" i="23"/>
  <c r="A213" i="23"/>
  <c r="A212" i="23"/>
  <c r="A211" i="23"/>
  <c r="A210" i="23"/>
  <c r="A209" i="23"/>
  <c r="A208" i="23"/>
  <c r="A207" i="23"/>
  <c r="A206" i="23"/>
  <c r="A205" i="23"/>
  <c r="A204" i="23"/>
  <c r="A203" i="23"/>
  <c r="A202" i="23"/>
  <c r="A201" i="23"/>
  <c r="A200" i="23"/>
  <c r="A199" i="23"/>
  <c r="A198" i="23"/>
  <c r="A197" i="23"/>
  <c r="A196" i="23"/>
  <c r="A195" i="23"/>
  <c r="A194" i="23"/>
  <c r="A193" i="23"/>
  <c r="A192" i="23"/>
  <c r="A191" i="23"/>
  <c r="A190" i="23"/>
  <c r="A189" i="23"/>
  <c r="A188" i="23"/>
  <c r="A187" i="23"/>
  <c r="A186" i="23"/>
  <c r="A185" i="23"/>
  <c r="A184" i="23"/>
  <c r="A183" i="23"/>
  <c r="A182" i="23"/>
  <c r="A181" i="23"/>
  <c r="A180" i="23"/>
  <c r="A179" i="23"/>
  <c r="A178" i="23"/>
  <c r="A177" i="23"/>
  <c r="A176" i="23"/>
  <c r="A175" i="23"/>
  <c r="A174" i="23"/>
  <c r="A173" i="23"/>
  <c r="A172" i="23"/>
  <c r="A171" i="23"/>
  <c r="A170" i="23"/>
  <c r="A169" i="23"/>
  <c r="A168" i="23"/>
  <c r="A167" i="23"/>
  <c r="A166" i="23"/>
  <c r="A165" i="23"/>
  <c r="A164" i="23"/>
  <c r="A163" i="23"/>
  <c r="A162" i="23"/>
  <c r="A161" i="23"/>
  <c r="A160" i="23"/>
  <c r="A159" i="23"/>
  <c r="A158" i="23"/>
  <c r="A157" i="23"/>
  <c r="A156" i="23"/>
  <c r="A155" i="23"/>
  <c r="A154" i="23"/>
  <c r="A153" i="23"/>
  <c r="A152" i="23"/>
  <c r="A151" i="23"/>
  <c r="A150" i="23"/>
  <c r="A149" i="23"/>
  <c r="A148" i="23"/>
  <c r="A147" i="23"/>
  <c r="A146" i="23"/>
  <c r="A145" i="23"/>
  <c r="A144" i="23"/>
  <c r="A143" i="23"/>
  <c r="A142" i="23"/>
  <c r="A141" i="23"/>
  <c r="A140" i="23"/>
  <c r="A139" i="23"/>
  <c r="A138" i="23"/>
  <c r="A137" i="23"/>
  <c r="A136" i="23"/>
  <c r="A135" i="23"/>
  <c r="A134" i="23"/>
  <c r="A133" i="23"/>
  <c r="A132" i="23"/>
  <c r="A131" i="23"/>
  <c r="A130" i="23"/>
  <c r="A129" i="23"/>
  <c r="A128" i="23"/>
  <c r="A127" i="23"/>
  <c r="A126" i="23"/>
  <c r="A125" i="23"/>
  <c r="A124" i="23"/>
  <c r="A123" i="23"/>
  <c r="A122" i="23"/>
  <c r="A121" i="23"/>
  <c r="A120" i="23"/>
  <c r="A119" i="23"/>
  <c r="A118" i="23"/>
  <c r="A117" i="23"/>
  <c r="A116" i="23"/>
  <c r="A115" i="23"/>
  <c r="A114" i="23"/>
  <c r="A113" i="23"/>
  <c r="A112" i="23"/>
  <c r="A111" i="23"/>
  <c r="A110" i="23"/>
  <c r="A109" i="23"/>
  <c r="A108" i="23"/>
  <c r="A107" i="23"/>
  <c r="A106" i="23"/>
  <c r="A105" i="23"/>
  <c r="A104" i="23"/>
  <c r="A103" i="23"/>
  <c r="A102" i="23"/>
  <c r="A101" i="23"/>
  <c r="A100" i="23"/>
  <c r="A99" i="23"/>
  <c r="A98" i="23"/>
  <c r="A97" i="23"/>
  <c r="A96" i="23"/>
  <c r="A95" i="23"/>
  <c r="A94" i="23"/>
  <c r="A93" i="23"/>
  <c r="A92" i="23"/>
  <c r="A91" i="23"/>
  <c r="A90" i="23"/>
  <c r="A89" i="23"/>
  <c r="A88" i="23"/>
  <c r="A87" i="23"/>
  <c r="A86" i="23"/>
  <c r="A85" i="23"/>
  <c r="A84" i="23"/>
  <c r="A83" i="23"/>
  <c r="A82"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B4729" i="22"/>
  <c r="B4675" i="22"/>
  <c r="B4621" i="22"/>
  <c r="D4619" i="22"/>
  <c r="C4619" i="22"/>
  <c r="B4567" i="22"/>
  <c r="B4513" i="22"/>
  <c r="D4507" i="22"/>
  <c r="C4507" i="22"/>
  <c r="D4506" i="22"/>
  <c r="C4506" i="22"/>
  <c r="D4505" i="22"/>
  <c r="C4505" i="22"/>
  <c r="D4504" i="22"/>
  <c r="C4504" i="22"/>
  <c r="D4503" i="22"/>
  <c r="C4503" i="22"/>
  <c r="D4502" i="22"/>
  <c r="C4502" i="22"/>
  <c r="D4501" i="22"/>
  <c r="C4501" i="22"/>
  <c r="D4500" i="22"/>
  <c r="C4500" i="22"/>
  <c r="D4499" i="22"/>
  <c r="C4499" i="22"/>
  <c r="D4498" i="22"/>
  <c r="C4498" i="22"/>
  <c r="D4497" i="22"/>
  <c r="C4497" i="22"/>
  <c r="D4496" i="22"/>
  <c r="C4496" i="22"/>
  <c r="D4495" i="22"/>
  <c r="C4495" i="22"/>
  <c r="D4494" i="22"/>
  <c r="C4494" i="22"/>
  <c r="D4493" i="22"/>
  <c r="C4493" i="22"/>
  <c r="D4492" i="22"/>
  <c r="C4492" i="22"/>
  <c r="D4491" i="22"/>
  <c r="C4491" i="22"/>
  <c r="D4490" i="22"/>
  <c r="C4490" i="22"/>
  <c r="D4489" i="22"/>
  <c r="C4489" i="22"/>
  <c r="D4488" i="22"/>
  <c r="C4488" i="22"/>
  <c r="D4487" i="22"/>
  <c r="C4487" i="22"/>
  <c r="D4486" i="22"/>
  <c r="C4486" i="22"/>
  <c r="D4485" i="22"/>
  <c r="C4485" i="22"/>
  <c r="D4484" i="22"/>
  <c r="C4484" i="22"/>
  <c r="D4483" i="22"/>
  <c r="C4483" i="22"/>
  <c r="D4482" i="22"/>
  <c r="C4482" i="22"/>
  <c r="D4481" i="22"/>
  <c r="C4481" i="22"/>
  <c r="D4480" i="22"/>
  <c r="C4480" i="22"/>
  <c r="D4479" i="22"/>
  <c r="C4479" i="22"/>
  <c r="D4478" i="22"/>
  <c r="C4478" i="22"/>
  <c r="D4477" i="22"/>
  <c r="C4477" i="22"/>
  <c r="D4476" i="22"/>
  <c r="C4476" i="22"/>
  <c r="D4475" i="22"/>
  <c r="C4475" i="22"/>
  <c r="D4474" i="22"/>
  <c r="C4474" i="22"/>
  <c r="D4473" i="22"/>
  <c r="C4473" i="22"/>
  <c r="D4472" i="22"/>
  <c r="C4472" i="22"/>
  <c r="D4471" i="22"/>
  <c r="C4471" i="22"/>
  <c r="D4470" i="22"/>
  <c r="C4470" i="22"/>
  <c r="D4469" i="22"/>
  <c r="C4469" i="22"/>
  <c r="D4468" i="22"/>
  <c r="C4468" i="22"/>
  <c r="D4467" i="22"/>
  <c r="C4467" i="22"/>
  <c r="D4466" i="22"/>
  <c r="C4466" i="22"/>
  <c r="D4465" i="22"/>
  <c r="C4465" i="22"/>
  <c r="D4464" i="22"/>
  <c r="C4464" i="22"/>
  <c r="D4463" i="22"/>
  <c r="C4463" i="22"/>
  <c r="D4462" i="22"/>
  <c r="C4462" i="22"/>
  <c r="D4461" i="22"/>
  <c r="C4461" i="22"/>
  <c r="D4460" i="22"/>
  <c r="C4460" i="22"/>
  <c r="D4459" i="22"/>
  <c r="C4459" i="22"/>
  <c r="D4458" i="22"/>
  <c r="C4458" i="22"/>
  <c r="D4457" i="22"/>
  <c r="C4457" i="22"/>
  <c r="D4456" i="22"/>
  <c r="C4456" i="22"/>
  <c r="D4455" i="22"/>
  <c r="C4455" i="22"/>
  <c r="D4454" i="22"/>
  <c r="C4454" i="22"/>
  <c r="D4453" i="22"/>
  <c r="C4453" i="22"/>
  <c r="D4452" i="22"/>
  <c r="C4452" i="22"/>
  <c r="D4451" i="22"/>
  <c r="C4451" i="22"/>
  <c r="D4450" i="22"/>
  <c r="C4450" i="22"/>
  <c r="D4449" i="22"/>
  <c r="C4449" i="22"/>
  <c r="D4448" i="22"/>
  <c r="C4448" i="22"/>
  <c r="D4447" i="22"/>
  <c r="C4447" i="22"/>
  <c r="D4446" i="22"/>
  <c r="C4446" i="22"/>
  <c r="D4445" i="22"/>
  <c r="C4445" i="22"/>
  <c r="D4444" i="22"/>
  <c r="C4444" i="22"/>
  <c r="D4443" i="22"/>
  <c r="C4443" i="22"/>
  <c r="D4442" i="22"/>
  <c r="C4442" i="22"/>
  <c r="D4441" i="22"/>
  <c r="C4441" i="22"/>
  <c r="D4440" i="22"/>
  <c r="C4440" i="22"/>
  <c r="D4439" i="22"/>
  <c r="C4439" i="22"/>
  <c r="D4438" i="22"/>
  <c r="C4438" i="22"/>
  <c r="D4437" i="22"/>
  <c r="C4437" i="22"/>
  <c r="D4436" i="22"/>
  <c r="C4436" i="22"/>
  <c r="D4435" i="22"/>
  <c r="C4435" i="22"/>
  <c r="D4434" i="22"/>
  <c r="C4434" i="22"/>
  <c r="D4433" i="22"/>
  <c r="C4433" i="22"/>
  <c r="D4432" i="22"/>
  <c r="C4432" i="22"/>
  <c r="D4431" i="22"/>
  <c r="C4431" i="22"/>
  <c r="D4430" i="22"/>
  <c r="C4430" i="22"/>
  <c r="D4429" i="22"/>
  <c r="C4429" i="22"/>
  <c r="D4428" i="22"/>
  <c r="C4428" i="22"/>
  <c r="D4427" i="22"/>
  <c r="C4427" i="22"/>
  <c r="D4426" i="22"/>
  <c r="C4426" i="22"/>
  <c r="D4425" i="22"/>
  <c r="C4425" i="22"/>
  <c r="D4424" i="22"/>
  <c r="C4424" i="22"/>
  <c r="D4423" i="22"/>
  <c r="C4423" i="22"/>
  <c r="D4422" i="22"/>
  <c r="C4422" i="22"/>
  <c r="D4421" i="22"/>
  <c r="C4421" i="22"/>
  <c r="D4420" i="22"/>
  <c r="C4420" i="22"/>
  <c r="D4419" i="22"/>
  <c r="C4419" i="22"/>
  <c r="D4418" i="22"/>
  <c r="C4418" i="22"/>
  <c r="D4417" i="22"/>
  <c r="C4417" i="22"/>
  <c r="D4416" i="22"/>
  <c r="C4416" i="22"/>
  <c r="D4415" i="22"/>
  <c r="C4415" i="22"/>
  <c r="D4414" i="22"/>
  <c r="C4414" i="22"/>
  <c r="D4413" i="22"/>
  <c r="C4413" i="22"/>
  <c r="D4412" i="22"/>
  <c r="C4412" i="22"/>
  <c r="D4411" i="22"/>
  <c r="C4411" i="22"/>
  <c r="D4410" i="22"/>
  <c r="C4410" i="22"/>
  <c r="D4409" i="22"/>
  <c r="C4409" i="22"/>
  <c r="D4408" i="22"/>
  <c r="C4408" i="22"/>
  <c r="D4407" i="22"/>
  <c r="C4407" i="22"/>
  <c r="D4406" i="22"/>
  <c r="C4406" i="22"/>
  <c r="D4405" i="22"/>
  <c r="C4405" i="22"/>
  <c r="D4404" i="22"/>
  <c r="C4404" i="22"/>
  <c r="D4403" i="22"/>
  <c r="C4403" i="22"/>
  <c r="D4402" i="22"/>
  <c r="C4402" i="22"/>
  <c r="D4401" i="22"/>
  <c r="C4401" i="22"/>
  <c r="D4400" i="22"/>
  <c r="C4400" i="22"/>
  <c r="D4399" i="22"/>
  <c r="C4399" i="22"/>
  <c r="D4398" i="22"/>
  <c r="C4398" i="22"/>
  <c r="D4397" i="22"/>
  <c r="C4397" i="22"/>
  <c r="D4396" i="22"/>
  <c r="C4396" i="22"/>
  <c r="D4395" i="22"/>
  <c r="C4395" i="22"/>
  <c r="D4394" i="22"/>
  <c r="C4394" i="22"/>
  <c r="D4393" i="22"/>
  <c r="C4393" i="22"/>
  <c r="D4392" i="22"/>
  <c r="C4392" i="22"/>
  <c r="D4391" i="22"/>
  <c r="C4391" i="22"/>
  <c r="D4390" i="22"/>
  <c r="C4390" i="22"/>
  <c r="D4389" i="22"/>
  <c r="C4389" i="22"/>
  <c r="D4388" i="22"/>
  <c r="C4388" i="22"/>
  <c r="D4387" i="22"/>
  <c r="C4387" i="22"/>
  <c r="D4386" i="22"/>
  <c r="C4386" i="22"/>
  <c r="D4385" i="22"/>
  <c r="C4385" i="22"/>
  <c r="D4384" i="22"/>
  <c r="C4384" i="22"/>
  <c r="D4383" i="22"/>
  <c r="C4383" i="22"/>
  <c r="D4382" i="22"/>
  <c r="C4382" i="22"/>
  <c r="D4381" i="22"/>
  <c r="C4381" i="22"/>
  <c r="D4380" i="22"/>
  <c r="C4380" i="22"/>
  <c r="D4379" i="22"/>
  <c r="C4379" i="22"/>
  <c r="D4378" i="22"/>
  <c r="C4378" i="22"/>
  <c r="D4377" i="22"/>
  <c r="C4377" i="22"/>
  <c r="D4376" i="22"/>
  <c r="C4376" i="22"/>
  <c r="D4375" i="22"/>
  <c r="C4375" i="22"/>
  <c r="D4374" i="22"/>
  <c r="C4374" i="22"/>
  <c r="D4373" i="22"/>
  <c r="C4373" i="22"/>
  <c r="D4372" i="22"/>
  <c r="C4372" i="22"/>
  <c r="D4371" i="22"/>
  <c r="C4371" i="22"/>
  <c r="D4370" i="22"/>
  <c r="C4370" i="22"/>
  <c r="D4369" i="22"/>
  <c r="C4369" i="22"/>
  <c r="D4368" i="22"/>
  <c r="C4368" i="22"/>
  <c r="D4367" i="22"/>
  <c r="C4367" i="22"/>
  <c r="D4366" i="22"/>
  <c r="C4366" i="22"/>
  <c r="D4365" i="22"/>
  <c r="C4365" i="22"/>
  <c r="D4364" i="22"/>
  <c r="C4364" i="22"/>
  <c r="D4363" i="22"/>
  <c r="C4363" i="22"/>
  <c r="D4362" i="22"/>
  <c r="C4362" i="22"/>
  <c r="D4361" i="22"/>
  <c r="C4361" i="22"/>
  <c r="D4360" i="22"/>
  <c r="C4360" i="22"/>
  <c r="D4359" i="22"/>
  <c r="C4359" i="22"/>
  <c r="D4358" i="22"/>
  <c r="C4358" i="22"/>
  <c r="D4357" i="22"/>
  <c r="C4357" i="22"/>
  <c r="D4356" i="22"/>
  <c r="C4356" i="22"/>
  <c r="D4355" i="22"/>
  <c r="C4355" i="22"/>
  <c r="D4354" i="22"/>
  <c r="C4354" i="22"/>
  <c r="D4353" i="22"/>
  <c r="C4353" i="22"/>
  <c r="D4352" i="22"/>
  <c r="C4352" i="22"/>
  <c r="D4351" i="22"/>
  <c r="C4351" i="22"/>
  <c r="D4350" i="22"/>
  <c r="C4350" i="22"/>
  <c r="D4349" i="22"/>
  <c r="C4349" i="22"/>
  <c r="D4348" i="22"/>
  <c r="C4348" i="22"/>
  <c r="D4347" i="22"/>
  <c r="C4347" i="22"/>
  <c r="D4346" i="22"/>
  <c r="C4346" i="22"/>
  <c r="D4345" i="22"/>
  <c r="C4345" i="22"/>
  <c r="D4344" i="22"/>
  <c r="C4344" i="22"/>
  <c r="D4343" i="22"/>
  <c r="C4343" i="22"/>
  <c r="D4342" i="22"/>
  <c r="C4342" i="22"/>
  <c r="D4341" i="22"/>
  <c r="C4341" i="22"/>
  <c r="D4340" i="22"/>
  <c r="C4340" i="22"/>
  <c r="D4339" i="22"/>
  <c r="C4339" i="22"/>
  <c r="D4338" i="22"/>
  <c r="C4338" i="22"/>
  <c r="D4337" i="22"/>
  <c r="C4337" i="22"/>
  <c r="D4336" i="22"/>
  <c r="C4336" i="22"/>
  <c r="D4335" i="22"/>
  <c r="C4335" i="22"/>
  <c r="D4334" i="22"/>
  <c r="C4334" i="22"/>
  <c r="D4333" i="22"/>
  <c r="C4333" i="22"/>
  <c r="B4213" i="22"/>
  <c r="D4211" i="22"/>
  <c r="C4211" i="22"/>
  <c r="B4159" i="22"/>
  <c r="D4157" i="22"/>
  <c r="C4157" i="22"/>
  <c r="B4105" i="22"/>
  <c r="D4103" i="22"/>
  <c r="C4103" i="22"/>
  <c r="B4051" i="22"/>
  <c r="D4049" i="22"/>
  <c r="C4049" i="22"/>
  <c r="AI4045" i="22"/>
  <c r="AH4045" i="22"/>
  <c r="AG4045" i="22"/>
  <c r="AE4045" i="22"/>
  <c r="Y4045" i="22"/>
  <c r="X4045" i="22"/>
  <c r="W4045" i="22"/>
  <c r="U4045" i="22"/>
  <c r="O4045" i="22"/>
  <c r="N4045" i="22"/>
  <c r="M4045" i="22"/>
  <c r="K4045" i="22"/>
  <c r="E4045" i="22"/>
  <c r="D4045" i="22"/>
  <c r="C4045" i="22"/>
  <c r="A4045" i="22"/>
  <c r="AI4044" i="22"/>
  <c r="AH4044" i="22"/>
  <c r="AG4044" i="22"/>
  <c r="AE4044" i="22"/>
  <c r="Y4044" i="22"/>
  <c r="X4044" i="22"/>
  <c r="W4044" i="22"/>
  <c r="U4044" i="22"/>
  <c r="O4044" i="22"/>
  <c r="N4044" i="22"/>
  <c r="M4044" i="22"/>
  <c r="K4044" i="22"/>
  <c r="E4044" i="22"/>
  <c r="D4044" i="22"/>
  <c r="C4044" i="22"/>
  <c r="A4044" i="22"/>
  <c r="AI4043" i="22"/>
  <c r="AH4043" i="22"/>
  <c r="AG4043" i="22"/>
  <c r="AE4043" i="22"/>
  <c r="Y4043" i="22"/>
  <c r="X4043" i="22"/>
  <c r="W4043" i="22"/>
  <c r="U4043" i="22"/>
  <c r="O4043" i="22"/>
  <c r="N4043" i="22"/>
  <c r="M4043" i="22"/>
  <c r="K4043" i="22"/>
  <c r="E4043" i="22"/>
  <c r="D4043" i="22"/>
  <c r="C4043" i="22"/>
  <c r="A4043" i="22"/>
  <c r="AI4042" i="22"/>
  <c r="AH4042" i="22"/>
  <c r="AG4042" i="22"/>
  <c r="AE4042" i="22"/>
  <c r="Y4042" i="22"/>
  <c r="X4042" i="22"/>
  <c r="W4042" i="22"/>
  <c r="U4042" i="22"/>
  <c r="O4042" i="22"/>
  <c r="N4042" i="22"/>
  <c r="M4042" i="22"/>
  <c r="K4042" i="22"/>
  <c r="E4042" i="22"/>
  <c r="D4042" i="22"/>
  <c r="C4042" i="22"/>
  <c r="A4042" i="22"/>
  <c r="AI4041" i="22"/>
  <c r="AH4041" i="22"/>
  <c r="AG4041" i="22"/>
  <c r="AE4041" i="22"/>
  <c r="Y4041" i="22"/>
  <c r="X4041" i="22"/>
  <c r="W4041" i="22"/>
  <c r="U4041" i="22"/>
  <c r="O4041" i="22"/>
  <c r="N4041" i="22"/>
  <c r="M4041" i="22"/>
  <c r="K4041" i="22"/>
  <c r="E4041" i="22"/>
  <c r="D4041" i="22"/>
  <c r="C4041" i="22"/>
  <c r="A4041" i="22"/>
  <c r="AI4040" i="22"/>
  <c r="AH4040" i="22"/>
  <c r="AG4040" i="22"/>
  <c r="AE4040" i="22"/>
  <c r="Y4040" i="22"/>
  <c r="X4040" i="22"/>
  <c r="W4040" i="22"/>
  <c r="U4040" i="22"/>
  <c r="O4040" i="22"/>
  <c r="N4040" i="22"/>
  <c r="M4040" i="22"/>
  <c r="K4040" i="22"/>
  <c r="E4040" i="22"/>
  <c r="D4040" i="22"/>
  <c r="C4040" i="22"/>
  <c r="A4040" i="22"/>
  <c r="AI4039" i="22"/>
  <c r="AH4039" i="22"/>
  <c r="AG4039" i="22"/>
  <c r="AE4039" i="22"/>
  <c r="Y4039" i="22"/>
  <c r="X4039" i="22"/>
  <c r="W4039" i="22"/>
  <c r="U4039" i="22"/>
  <c r="O4039" i="22"/>
  <c r="N4039" i="22"/>
  <c r="M4039" i="22"/>
  <c r="K4039" i="22"/>
  <c r="E4039" i="22"/>
  <c r="D4039" i="22"/>
  <c r="C4039" i="22"/>
  <c r="A4039" i="22"/>
  <c r="AI4038" i="22"/>
  <c r="AH4038" i="22"/>
  <c r="AG4038" i="22"/>
  <c r="AE4038" i="22"/>
  <c r="Y4038" i="22"/>
  <c r="X4038" i="22"/>
  <c r="W4038" i="22"/>
  <c r="U4038" i="22"/>
  <c r="O4038" i="22"/>
  <c r="N4038" i="22"/>
  <c r="M4038" i="22"/>
  <c r="K4038" i="22"/>
  <c r="E4038" i="22"/>
  <c r="D4038" i="22"/>
  <c r="C4038" i="22"/>
  <c r="A4038" i="22"/>
  <c r="AI4037" i="22"/>
  <c r="AH4037" i="22"/>
  <c r="AG4037" i="22"/>
  <c r="AE4037" i="22"/>
  <c r="Y4037" i="22"/>
  <c r="X4037" i="22"/>
  <c r="W4037" i="22"/>
  <c r="U4037" i="22"/>
  <c r="O4037" i="22"/>
  <c r="N4037" i="22"/>
  <c r="M4037" i="22"/>
  <c r="K4037" i="22"/>
  <c r="E4037" i="22"/>
  <c r="D4037" i="22"/>
  <c r="C4037" i="22"/>
  <c r="A4037" i="22"/>
  <c r="AI4036" i="22"/>
  <c r="AH4036" i="22"/>
  <c r="AG4036" i="22"/>
  <c r="AE4036" i="22"/>
  <c r="Y4036" i="22"/>
  <c r="X4036" i="22"/>
  <c r="W4036" i="22"/>
  <c r="U4036" i="22"/>
  <c r="O4036" i="22"/>
  <c r="N4036" i="22"/>
  <c r="M4036" i="22"/>
  <c r="K4036" i="22"/>
  <c r="E4036" i="22"/>
  <c r="D4036" i="22"/>
  <c r="C4036" i="22"/>
  <c r="A4036" i="22"/>
  <c r="AI4035" i="22"/>
  <c r="AH4035" i="22"/>
  <c r="AG4035" i="22"/>
  <c r="AE4035" i="22"/>
  <c r="Y4035" i="22"/>
  <c r="X4035" i="22"/>
  <c r="W4035" i="22"/>
  <c r="U4035" i="22"/>
  <c r="O4035" i="22"/>
  <c r="N4035" i="22"/>
  <c r="M4035" i="22"/>
  <c r="K4035" i="22"/>
  <c r="E4035" i="22"/>
  <c r="D4035" i="22"/>
  <c r="C4035" i="22"/>
  <c r="A4035" i="22"/>
  <c r="AI4034" i="22"/>
  <c r="AH4034" i="22"/>
  <c r="AG4034" i="22"/>
  <c r="AE4034" i="22"/>
  <c r="Y4034" i="22"/>
  <c r="X4034" i="22"/>
  <c r="W4034" i="22"/>
  <c r="U4034" i="22"/>
  <c r="O4034" i="22"/>
  <c r="N4034" i="22"/>
  <c r="M4034" i="22"/>
  <c r="K4034" i="22"/>
  <c r="E4034" i="22"/>
  <c r="D4034" i="22"/>
  <c r="C4034" i="22"/>
  <c r="A4034" i="22"/>
  <c r="AI4033" i="22"/>
  <c r="AH4033" i="22"/>
  <c r="AG4033" i="22"/>
  <c r="AE4033" i="22"/>
  <c r="Y4033" i="22"/>
  <c r="X4033" i="22"/>
  <c r="W4033" i="22"/>
  <c r="U4033" i="22"/>
  <c r="O4033" i="22"/>
  <c r="N4033" i="22"/>
  <c r="M4033" i="22"/>
  <c r="K4033" i="22"/>
  <c r="E4033" i="22"/>
  <c r="D4033" i="22"/>
  <c r="C4033" i="22"/>
  <c r="A4033" i="22"/>
  <c r="AI4032" i="22"/>
  <c r="AH4032" i="22"/>
  <c r="AG4032" i="22"/>
  <c r="AE4032" i="22"/>
  <c r="Y4032" i="22"/>
  <c r="X4032" i="22"/>
  <c r="W4032" i="22"/>
  <c r="U4032" i="22"/>
  <c r="O4032" i="22"/>
  <c r="N4032" i="22"/>
  <c r="M4032" i="22"/>
  <c r="K4032" i="22"/>
  <c r="E4032" i="22"/>
  <c r="D4032" i="22"/>
  <c r="C4032" i="22"/>
  <c r="A4032" i="22"/>
  <c r="AI4031" i="22"/>
  <c r="AH4031" i="22"/>
  <c r="AG4031" i="22"/>
  <c r="AE4031" i="22"/>
  <c r="Y4031" i="22"/>
  <c r="X4031" i="22"/>
  <c r="W4031" i="22"/>
  <c r="U4031" i="22"/>
  <c r="O4031" i="22"/>
  <c r="N4031" i="22"/>
  <c r="M4031" i="22"/>
  <c r="K4031" i="22"/>
  <c r="E4031" i="22"/>
  <c r="D4031" i="22"/>
  <c r="C4031" i="22"/>
  <c r="A4031" i="22"/>
  <c r="AI4030" i="22"/>
  <c r="AH4030" i="22"/>
  <c r="AG4030" i="22"/>
  <c r="AE4030" i="22"/>
  <c r="Y4030" i="22"/>
  <c r="X4030" i="22"/>
  <c r="W4030" i="22"/>
  <c r="U4030" i="22"/>
  <c r="O4030" i="22"/>
  <c r="N4030" i="22"/>
  <c r="M4030" i="22"/>
  <c r="K4030" i="22"/>
  <c r="E4030" i="22"/>
  <c r="D4030" i="22"/>
  <c r="C4030" i="22"/>
  <c r="A4030" i="22"/>
  <c r="AI4029" i="22"/>
  <c r="AH4029" i="22"/>
  <c r="AG4029" i="22"/>
  <c r="AE4029" i="22"/>
  <c r="Y4029" i="22"/>
  <c r="X4029" i="22"/>
  <c r="W4029" i="22"/>
  <c r="U4029" i="22"/>
  <c r="O4029" i="22"/>
  <c r="N4029" i="22"/>
  <c r="M4029" i="22"/>
  <c r="K4029" i="22"/>
  <c r="E4029" i="22"/>
  <c r="D4029" i="22"/>
  <c r="C4029" i="22"/>
  <c r="A4029" i="22"/>
  <c r="AI4028" i="22"/>
  <c r="AH4028" i="22"/>
  <c r="AG4028" i="22"/>
  <c r="AE4028" i="22"/>
  <c r="Y4028" i="22"/>
  <c r="X4028" i="22"/>
  <c r="W4028" i="22"/>
  <c r="U4028" i="22"/>
  <c r="O4028" i="22"/>
  <c r="N4028" i="22"/>
  <c r="M4028" i="22"/>
  <c r="K4028" i="22"/>
  <c r="E4028" i="22"/>
  <c r="D4028" i="22"/>
  <c r="C4028" i="22"/>
  <c r="A4028" i="22"/>
  <c r="AI4027" i="22"/>
  <c r="AH4027" i="22"/>
  <c r="AG4027" i="22"/>
  <c r="AE4027" i="22"/>
  <c r="Y4027" i="22"/>
  <c r="X4027" i="22"/>
  <c r="W4027" i="22"/>
  <c r="U4027" i="22"/>
  <c r="O4027" i="22"/>
  <c r="N4027" i="22"/>
  <c r="M4027" i="22"/>
  <c r="K4027" i="22"/>
  <c r="E4027" i="22"/>
  <c r="D4027" i="22"/>
  <c r="C4027" i="22"/>
  <c r="A4027" i="22"/>
  <c r="AI4026" i="22"/>
  <c r="AH4026" i="22"/>
  <c r="AG4026" i="22"/>
  <c r="AE4026" i="22"/>
  <c r="Y4026" i="22"/>
  <c r="X4026" i="22"/>
  <c r="W4026" i="22"/>
  <c r="U4026" i="22"/>
  <c r="O4026" i="22"/>
  <c r="N4026" i="22"/>
  <c r="M4026" i="22"/>
  <c r="K4026" i="22"/>
  <c r="E4026" i="22"/>
  <c r="D4026" i="22"/>
  <c r="C4026" i="22"/>
  <c r="A4026" i="22"/>
  <c r="AI4025" i="22"/>
  <c r="AH4025" i="22"/>
  <c r="AG4025" i="22"/>
  <c r="AE4025" i="22"/>
  <c r="Y4025" i="22"/>
  <c r="X4025" i="22"/>
  <c r="W4025" i="22"/>
  <c r="U4025" i="22"/>
  <c r="O4025" i="22"/>
  <c r="N4025" i="22"/>
  <c r="M4025" i="22"/>
  <c r="K4025" i="22"/>
  <c r="E4025" i="22"/>
  <c r="D4025" i="22"/>
  <c r="C4025" i="22"/>
  <c r="A4025" i="22"/>
  <c r="AI4024" i="22"/>
  <c r="AH4024" i="22"/>
  <c r="AG4024" i="22"/>
  <c r="AE4024" i="22"/>
  <c r="Y4024" i="22"/>
  <c r="X4024" i="22"/>
  <c r="W4024" i="22"/>
  <c r="U4024" i="22"/>
  <c r="O4024" i="22"/>
  <c r="N4024" i="22"/>
  <c r="M4024" i="22"/>
  <c r="K4024" i="22"/>
  <c r="E4024" i="22"/>
  <c r="D4024" i="22"/>
  <c r="C4024" i="22"/>
  <c r="A4024" i="22"/>
  <c r="AI4023" i="22"/>
  <c r="AH4023" i="22"/>
  <c r="AG4023" i="22"/>
  <c r="AE4023" i="22"/>
  <c r="Y4023" i="22"/>
  <c r="X4023" i="22"/>
  <c r="W4023" i="22"/>
  <c r="U4023" i="22"/>
  <c r="O4023" i="22"/>
  <c r="N4023" i="22"/>
  <c r="M4023" i="22"/>
  <c r="K4023" i="22"/>
  <c r="E4023" i="22"/>
  <c r="D4023" i="22"/>
  <c r="C4023" i="22"/>
  <c r="A4023" i="22"/>
  <c r="AI4022" i="22"/>
  <c r="AH4022" i="22"/>
  <c r="AG4022" i="22"/>
  <c r="AE4022" i="22"/>
  <c r="Y4022" i="22"/>
  <c r="X4022" i="22"/>
  <c r="W4022" i="22"/>
  <c r="U4022" i="22"/>
  <c r="O4022" i="22"/>
  <c r="N4022" i="22"/>
  <c r="M4022" i="22"/>
  <c r="K4022" i="22"/>
  <c r="E4022" i="22"/>
  <c r="D4022" i="22"/>
  <c r="C4022" i="22"/>
  <c r="A4022" i="22"/>
  <c r="AI4021" i="22"/>
  <c r="AH4021" i="22"/>
  <c r="AG4021" i="22"/>
  <c r="AE4021" i="22"/>
  <c r="Y4021" i="22"/>
  <c r="X4021" i="22"/>
  <c r="W4021" i="22"/>
  <c r="U4021" i="22"/>
  <c r="O4021" i="22"/>
  <c r="N4021" i="22"/>
  <c r="M4021" i="22"/>
  <c r="K4021" i="22"/>
  <c r="E4021" i="22"/>
  <c r="D4021" i="22"/>
  <c r="C4021" i="22"/>
  <c r="A4021" i="22"/>
  <c r="AI4020" i="22"/>
  <c r="AH4020" i="22"/>
  <c r="AG4020" i="22"/>
  <c r="AE4020" i="22"/>
  <c r="Y4020" i="22"/>
  <c r="X4020" i="22"/>
  <c r="W4020" i="22"/>
  <c r="U4020" i="22"/>
  <c r="O4020" i="22"/>
  <c r="N4020" i="22"/>
  <c r="M4020" i="22"/>
  <c r="K4020" i="22"/>
  <c r="E4020" i="22"/>
  <c r="D4020" i="22"/>
  <c r="C4020" i="22"/>
  <c r="A4020" i="22"/>
  <c r="AI4019" i="22"/>
  <c r="AH4019" i="22"/>
  <c r="AG4019" i="22"/>
  <c r="AE4019" i="22"/>
  <c r="Y4019" i="22"/>
  <c r="X4019" i="22"/>
  <c r="W4019" i="22"/>
  <c r="U4019" i="22"/>
  <c r="O4019" i="22"/>
  <c r="N4019" i="22"/>
  <c r="M4019" i="22"/>
  <c r="K4019" i="22"/>
  <c r="E4019" i="22"/>
  <c r="D4019" i="22"/>
  <c r="C4019" i="22"/>
  <c r="A4019" i="22"/>
  <c r="AI4018" i="22"/>
  <c r="AH4018" i="22"/>
  <c r="AG4018" i="22"/>
  <c r="AE4018" i="22"/>
  <c r="Y4018" i="22"/>
  <c r="X4018" i="22"/>
  <c r="W4018" i="22"/>
  <c r="U4018" i="22"/>
  <c r="O4018" i="22"/>
  <c r="N4018" i="22"/>
  <c r="M4018" i="22"/>
  <c r="K4018" i="22"/>
  <c r="E4018" i="22"/>
  <c r="D4018" i="22"/>
  <c r="C4018" i="22"/>
  <c r="A4018" i="22"/>
  <c r="AI4017" i="22"/>
  <c r="AH4017" i="22"/>
  <c r="AG4017" i="22"/>
  <c r="AE4017" i="22"/>
  <c r="Y4017" i="22"/>
  <c r="X4017" i="22"/>
  <c r="W4017" i="22"/>
  <c r="U4017" i="22"/>
  <c r="O4017" i="22"/>
  <c r="N4017" i="22"/>
  <c r="M4017" i="22"/>
  <c r="K4017" i="22"/>
  <c r="E4017" i="22"/>
  <c r="D4017" i="22"/>
  <c r="C4017" i="22"/>
  <c r="A4017" i="22"/>
  <c r="AI4016" i="22"/>
  <c r="AH4016" i="22"/>
  <c r="AG4016" i="22"/>
  <c r="AE4016" i="22"/>
  <c r="Y4016" i="22"/>
  <c r="X4016" i="22"/>
  <c r="W4016" i="22"/>
  <c r="U4016" i="22"/>
  <c r="O4016" i="22"/>
  <c r="N4016" i="22"/>
  <c r="M4016" i="22"/>
  <c r="K4016" i="22"/>
  <c r="E4016" i="22"/>
  <c r="D4016" i="22"/>
  <c r="C4016" i="22"/>
  <c r="A4016" i="22"/>
  <c r="AI4015" i="22"/>
  <c r="AH4015" i="22"/>
  <c r="AG4015" i="22"/>
  <c r="AE4015" i="22"/>
  <c r="Y4015" i="22"/>
  <c r="X4015" i="22"/>
  <c r="W4015" i="22"/>
  <c r="U4015" i="22"/>
  <c r="O4015" i="22"/>
  <c r="N4015" i="22"/>
  <c r="M4015" i="22"/>
  <c r="K4015" i="22"/>
  <c r="E4015" i="22"/>
  <c r="D4015" i="22"/>
  <c r="C4015" i="22"/>
  <c r="A4015" i="22"/>
  <c r="AI4014" i="22"/>
  <c r="AH4014" i="22"/>
  <c r="AG4014" i="22"/>
  <c r="AE4014" i="22"/>
  <c r="Y4014" i="22"/>
  <c r="X4014" i="22"/>
  <c r="W4014" i="22"/>
  <c r="U4014" i="22"/>
  <c r="O4014" i="22"/>
  <c r="N4014" i="22"/>
  <c r="M4014" i="22"/>
  <c r="K4014" i="22"/>
  <c r="E4014" i="22"/>
  <c r="D4014" i="22"/>
  <c r="C4014" i="22"/>
  <c r="A4014" i="22"/>
  <c r="AI4013" i="22"/>
  <c r="AH4013" i="22"/>
  <c r="AG4013" i="22"/>
  <c r="AE4013" i="22"/>
  <c r="Y4013" i="22"/>
  <c r="X4013" i="22"/>
  <c r="W4013" i="22"/>
  <c r="U4013" i="22"/>
  <c r="O4013" i="22"/>
  <c r="N4013" i="22"/>
  <c r="M4013" i="22"/>
  <c r="K4013" i="22"/>
  <c r="E4013" i="22"/>
  <c r="D4013" i="22"/>
  <c r="C4013" i="22"/>
  <c r="A4013" i="22"/>
  <c r="AI4012" i="22"/>
  <c r="AH4012" i="22"/>
  <c r="AG4012" i="22"/>
  <c r="AE4012" i="22"/>
  <c r="Y4012" i="22"/>
  <c r="X4012" i="22"/>
  <c r="W4012" i="22"/>
  <c r="U4012" i="22"/>
  <c r="O4012" i="22"/>
  <c r="N4012" i="22"/>
  <c r="M4012" i="22"/>
  <c r="K4012" i="22"/>
  <c r="E4012" i="22"/>
  <c r="D4012" i="22"/>
  <c r="C4012" i="22"/>
  <c r="A4012" i="22"/>
  <c r="AI4011" i="22"/>
  <c r="AH4011" i="22"/>
  <c r="AG4011" i="22"/>
  <c r="AE4011" i="22"/>
  <c r="Y4011" i="22"/>
  <c r="X4011" i="22"/>
  <c r="W4011" i="22"/>
  <c r="U4011" i="22"/>
  <c r="O4011" i="22"/>
  <c r="N4011" i="22"/>
  <c r="M4011" i="22"/>
  <c r="K4011" i="22"/>
  <c r="E4011" i="22"/>
  <c r="D4011" i="22"/>
  <c r="C4011" i="22"/>
  <c r="A4011" i="22"/>
  <c r="AI4010" i="22"/>
  <c r="AH4010" i="22"/>
  <c r="AG4010" i="22"/>
  <c r="AE4010" i="22"/>
  <c r="Y4010" i="22"/>
  <c r="X4010" i="22"/>
  <c r="W4010" i="22"/>
  <c r="U4010" i="22"/>
  <c r="O4010" i="22"/>
  <c r="N4010" i="22"/>
  <c r="M4010" i="22"/>
  <c r="K4010" i="22"/>
  <c r="E4010" i="22"/>
  <c r="D4010" i="22"/>
  <c r="C4010" i="22"/>
  <c r="A4010" i="22"/>
  <c r="AI4009" i="22"/>
  <c r="AH4009" i="22"/>
  <c r="AG4009" i="22"/>
  <c r="AE4009" i="22"/>
  <c r="Y4009" i="22"/>
  <c r="X4009" i="22"/>
  <c r="W4009" i="22"/>
  <c r="U4009" i="22"/>
  <c r="O4009" i="22"/>
  <c r="N4009" i="22"/>
  <c r="M4009" i="22"/>
  <c r="K4009" i="22"/>
  <c r="E4009" i="22"/>
  <c r="D4009" i="22"/>
  <c r="C4009" i="22"/>
  <c r="A4009" i="22"/>
  <c r="AI4008" i="22"/>
  <c r="AH4008" i="22"/>
  <c r="AG4008" i="22"/>
  <c r="AE4008" i="22"/>
  <c r="Y4008" i="22"/>
  <c r="X4008" i="22"/>
  <c r="W4008" i="22"/>
  <c r="U4008" i="22"/>
  <c r="O4008" i="22"/>
  <c r="N4008" i="22"/>
  <c r="M4008" i="22"/>
  <c r="K4008" i="22"/>
  <c r="P4008" i="22" s="1"/>
  <c r="E4008" i="22"/>
  <c r="D4008" i="22"/>
  <c r="C4008" i="22"/>
  <c r="A4008" i="22"/>
  <c r="AI4007" i="22"/>
  <c r="AH4007" i="22"/>
  <c r="AG4007" i="22"/>
  <c r="AE4007" i="22"/>
  <c r="Y4007" i="22"/>
  <c r="X4007" i="22"/>
  <c r="W4007" i="22"/>
  <c r="U4007" i="22"/>
  <c r="O4007" i="22"/>
  <c r="N4007" i="22"/>
  <c r="M4007" i="22"/>
  <c r="K4007" i="22"/>
  <c r="E4007" i="22"/>
  <c r="D4007" i="22"/>
  <c r="C4007" i="22"/>
  <c r="A4007" i="22"/>
  <c r="AI4006" i="22"/>
  <c r="AH4006" i="22"/>
  <c r="AG4006" i="22"/>
  <c r="AE4006" i="22"/>
  <c r="Y4006" i="22"/>
  <c r="X4006" i="22"/>
  <c r="W4006" i="22"/>
  <c r="U4006" i="22"/>
  <c r="O4006" i="22"/>
  <c r="N4006" i="22"/>
  <c r="M4006" i="22"/>
  <c r="K4006" i="22"/>
  <c r="E4006" i="22"/>
  <c r="D4006" i="22"/>
  <c r="C4006" i="22"/>
  <c r="A4006" i="22"/>
  <c r="AI4005" i="22"/>
  <c r="AH4005" i="22"/>
  <c r="AG4005" i="22"/>
  <c r="AE4005" i="22"/>
  <c r="Y4005" i="22"/>
  <c r="X4005" i="22"/>
  <c r="W4005" i="22"/>
  <c r="U4005" i="22"/>
  <c r="O4005" i="22"/>
  <c r="N4005" i="22"/>
  <c r="M4005" i="22"/>
  <c r="K4005" i="22"/>
  <c r="E4005" i="22"/>
  <c r="D4005" i="22"/>
  <c r="C4005" i="22"/>
  <c r="A4005" i="22"/>
  <c r="AI4004" i="22"/>
  <c r="AH4004" i="22"/>
  <c r="AG4004" i="22"/>
  <c r="AE4004" i="22"/>
  <c r="Y4004" i="22"/>
  <c r="X4004" i="22"/>
  <c r="W4004" i="22"/>
  <c r="U4004" i="22"/>
  <c r="O4004" i="22"/>
  <c r="N4004" i="22"/>
  <c r="M4004" i="22"/>
  <c r="K4004" i="22"/>
  <c r="E4004" i="22"/>
  <c r="D4004" i="22"/>
  <c r="C4004" i="22"/>
  <c r="A4004" i="22"/>
  <c r="AI4003" i="22"/>
  <c r="AH4003" i="22"/>
  <c r="AG4003" i="22"/>
  <c r="AE4003" i="22"/>
  <c r="Y4003" i="22"/>
  <c r="X4003" i="22"/>
  <c r="W4003" i="22"/>
  <c r="U4003" i="22"/>
  <c r="O4003" i="22"/>
  <c r="N4003" i="22"/>
  <c r="M4003" i="22"/>
  <c r="K4003" i="22"/>
  <c r="E4003" i="22"/>
  <c r="D4003" i="22"/>
  <c r="C4003" i="22"/>
  <c r="A4003" i="22"/>
  <c r="AI4002" i="22"/>
  <c r="AH4002" i="22"/>
  <c r="AG4002" i="22"/>
  <c r="AE4002" i="22"/>
  <c r="Y4002" i="22"/>
  <c r="X4002" i="22"/>
  <c r="W4002" i="22"/>
  <c r="U4002" i="22"/>
  <c r="O4002" i="22"/>
  <c r="N4002" i="22"/>
  <c r="M4002" i="22"/>
  <c r="K4002" i="22"/>
  <c r="E4002" i="22"/>
  <c r="D4002" i="22"/>
  <c r="C4002" i="22"/>
  <c r="A4002" i="22"/>
  <c r="AI4001" i="22"/>
  <c r="AH4001" i="22"/>
  <c r="AG4001" i="22"/>
  <c r="AE4001" i="22"/>
  <c r="Y4001" i="22"/>
  <c r="X4001" i="22"/>
  <c r="W4001" i="22"/>
  <c r="U4001" i="22"/>
  <c r="O4001" i="22"/>
  <c r="N4001" i="22"/>
  <c r="M4001" i="22"/>
  <c r="K4001" i="22"/>
  <c r="E4001" i="22"/>
  <c r="D4001" i="22"/>
  <c r="C4001" i="22"/>
  <c r="A4001" i="22"/>
  <c r="AI4000" i="22"/>
  <c r="AH4000" i="22"/>
  <c r="AG4000" i="22"/>
  <c r="AE4000" i="22"/>
  <c r="Y4000" i="22"/>
  <c r="X4000" i="22"/>
  <c r="W4000" i="22"/>
  <c r="U4000" i="22"/>
  <c r="O4000" i="22"/>
  <c r="N4000" i="22"/>
  <c r="M4000" i="22"/>
  <c r="K4000" i="22"/>
  <c r="E4000" i="22"/>
  <c r="D4000" i="22"/>
  <c r="C4000" i="22"/>
  <c r="A4000" i="22"/>
  <c r="AI3999" i="22"/>
  <c r="AH3999" i="22"/>
  <c r="AG3999" i="22"/>
  <c r="AE3999" i="22"/>
  <c r="Y3999" i="22"/>
  <c r="X3999" i="22"/>
  <c r="W3999" i="22"/>
  <c r="U3999" i="22"/>
  <c r="O3999" i="22"/>
  <c r="N3999" i="22"/>
  <c r="M3999" i="22"/>
  <c r="K3999" i="22"/>
  <c r="E3999" i="22"/>
  <c r="D3999" i="22"/>
  <c r="C3999" i="22"/>
  <c r="A3999" i="22"/>
  <c r="AI3998" i="22"/>
  <c r="AH3998" i="22"/>
  <c r="AG3998" i="22"/>
  <c r="AE3998" i="22"/>
  <c r="Y3998" i="22"/>
  <c r="X3998" i="22"/>
  <c r="W3998" i="22"/>
  <c r="U3998" i="22"/>
  <c r="O3998" i="22"/>
  <c r="N3998" i="22"/>
  <c r="M3998" i="22"/>
  <c r="K3998" i="22"/>
  <c r="E3998" i="22"/>
  <c r="D3998" i="22"/>
  <c r="C3998" i="22"/>
  <c r="A3998" i="22"/>
  <c r="AI3997" i="22"/>
  <c r="AH3997" i="22"/>
  <c r="AG3997" i="22"/>
  <c r="AE3997" i="22"/>
  <c r="Y3997" i="22"/>
  <c r="X3997" i="22"/>
  <c r="W3997" i="22"/>
  <c r="U3997" i="22"/>
  <c r="O3997" i="22"/>
  <c r="N3997" i="22"/>
  <c r="M3997" i="22"/>
  <c r="K3997" i="22"/>
  <c r="E3997" i="22"/>
  <c r="D3997" i="22"/>
  <c r="C3997" i="22"/>
  <c r="A3997" i="22"/>
  <c r="AI3996" i="22"/>
  <c r="AH3996" i="22"/>
  <c r="AG3996" i="22"/>
  <c r="AE3996" i="22"/>
  <c r="Y3996" i="22"/>
  <c r="X3996" i="22"/>
  <c r="W3996" i="22"/>
  <c r="U3996" i="22"/>
  <c r="O3996" i="22"/>
  <c r="N3996" i="22"/>
  <c r="M3996" i="22"/>
  <c r="K3996" i="22"/>
  <c r="E3996" i="22"/>
  <c r="D3996" i="22"/>
  <c r="C3996" i="22"/>
  <c r="A3996" i="22"/>
  <c r="AI3995" i="22"/>
  <c r="AH3995" i="22"/>
  <c r="AG3995" i="22"/>
  <c r="AE3995" i="22"/>
  <c r="Y3995" i="22"/>
  <c r="X3995" i="22"/>
  <c r="W3995" i="22"/>
  <c r="U3995" i="22"/>
  <c r="O3995" i="22"/>
  <c r="N3995" i="22"/>
  <c r="M3995" i="22"/>
  <c r="K3995" i="22"/>
  <c r="E3995" i="22"/>
  <c r="D3995" i="22"/>
  <c r="C3995" i="22"/>
  <c r="A3995" i="22"/>
  <c r="AI3994" i="22"/>
  <c r="AH3994" i="22"/>
  <c r="AG3994" i="22"/>
  <c r="AE3994" i="22"/>
  <c r="Y3994" i="22"/>
  <c r="X3994" i="22"/>
  <c r="W3994" i="22"/>
  <c r="U3994" i="22"/>
  <c r="O3994" i="22"/>
  <c r="N3994" i="22"/>
  <c r="M3994" i="22"/>
  <c r="K3994" i="22"/>
  <c r="E3994" i="22"/>
  <c r="D3994" i="22"/>
  <c r="C3994" i="22"/>
  <c r="A3994" i="22"/>
  <c r="AI3993" i="22"/>
  <c r="AH3993" i="22"/>
  <c r="AG3993" i="22"/>
  <c r="AE3993" i="22"/>
  <c r="Y3993" i="22"/>
  <c r="X3993" i="22"/>
  <c r="W3993" i="22"/>
  <c r="U3993" i="22"/>
  <c r="O3993" i="22"/>
  <c r="N3993" i="22"/>
  <c r="M3993" i="22"/>
  <c r="K3993" i="22"/>
  <c r="E3993" i="22"/>
  <c r="D3993" i="22"/>
  <c r="C3993" i="22"/>
  <c r="A3993" i="22"/>
  <c r="AI3992" i="22"/>
  <c r="AH3992" i="22"/>
  <c r="AG3992" i="22"/>
  <c r="AE3992" i="22"/>
  <c r="Y3992" i="22"/>
  <c r="X3992" i="22"/>
  <c r="W3992" i="22"/>
  <c r="U3992" i="22"/>
  <c r="O3992" i="22"/>
  <c r="N3992" i="22"/>
  <c r="M3992" i="22"/>
  <c r="K3992" i="22"/>
  <c r="E3992" i="22"/>
  <c r="D3992" i="22"/>
  <c r="C3992" i="22"/>
  <c r="A3992" i="22"/>
  <c r="AI3991" i="22"/>
  <c r="AH3991" i="22"/>
  <c r="AG3991" i="22"/>
  <c r="AE3991" i="22"/>
  <c r="Y3991" i="22"/>
  <c r="X3991" i="22"/>
  <c r="W3991" i="22"/>
  <c r="U3991" i="22"/>
  <c r="O3991" i="22"/>
  <c r="N3991" i="22"/>
  <c r="M3991" i="22"/>
  <c r="K3991" i="22"/>
  <c r="E3991" i="22"/>
  <c r="D3991" i="22"/>
  <c r="C3991" i="22"/>
  <c r="A3991" i="22"/>
  <c r="AI3990" i="22"/>
  <c r="AH3990" i="22"/>
  <c r="AG3990" i="22"/>
  <c r="AE3990" i="22"/>
  <c r="Y3990" i="22"/>
  <c r="X3990" i="22"/>
  <c r="W3990" i="22"/>
  <c r="U3990" i="22"/>
  <c r="O3990" i="22"/>
  <c r="N3990" i="22"/>
  <c r="M3990" i="22"/>
  <c r="K3990" i="22"/>
  <c r="E3990" i="22"/>
  <c r="D3990" i="22"/>
  <c r="C3990" i="22"/>
  <c r="A3990" i="22"/>
  <c r="AI3989" i="22"/>
  <c r="AH3989" i="22"/>
  <c r="AG3989" i="22"/>
  <c r="AE3989" i="22"/>
  <c r="Y3989" i="22"/>
  <c r="X3989" i="22"/>
  <c r="W3989" i="22"/>
  <c r="U3989" i="22"/>
  <c r="O3989" i="22"/>
  <c r="N3989" i="22"/>
  <c r="M3989" i="22"/>
  <c r="K3989" i="22"/>
  <c r="E3989" i="22"/>
  <c r="D3989" i="22"/>
  <c r="C3989" i="22"/>
  <c r="A3989" i="22"/>
  <c r="AI3988" i="22"/>
  <c r="AH3988" i="22"/>
  <c r="AG3988" i="22"/>
  <c r="AE3988" i="22"/>
  <c r="Y3988" i="22"/>
  <c r="X3988" i="22"/>
  <c r="W3988" i="22"/>
  <c r="U3988" i="22"/>
  <c r="O3988" i="22"/>
  <c r="N3988" i="22"/>
  <c r="M3988" i="22"/>
  <c r="K3988" i="22"/>
  <c r="E3988" i="22"/>
  <c r="D3988" i="22"/>
  <c r="C3988" i="22"/>
  <c r="A3988" i="22"/>
  <c r="AI3987" i="22"/>
  <c r="AH3987" i="22"/>
  <c r="AG3987" i="22"/>
  <c r="AE3987" i="22"/>
  <c r="Y3987" i="22"/>
  <c r="X3987" i="22"/>
  <c r="W3987" i="22"/>
  <c r="U3987" i="22"/>
  <c r="O3987" i="22"/>
  <c r="N3987" i="22"/>
  <c r="M3987" i="22"/>
  <c r="K3987" i="22"/>
  <c r="E3987" i="22"/>
  <c r="D3987" i="22"/>
  <c r="C3987" i="22"/>
  <c r="A3987" i="22"/>
  <c r="AI3986" i="22"/>
  <c r="AH3986" i="22"/>
  <c r="AG3986" i="22"/>
  <c r="AE3986" i="22"/>
  <c r="Y3986" i="22"/>
  <c r="X3986" i="22"/>
  <c r="W3986" i="22"/>
  <c r="U3986" i="22"/>
  <c r="O3986" i="22"/>
  <c r="N3986" i="22"/>
  <c r="M3986" i="22"/>
  <c r="K3986" i="22"/>
  <c r="E3986" i="22"/>
  <c r="D3986" i="22"/>
  <c r="C3986" i="22"/>
  <c r="A3986" i="22"/>
  <c r="AI3985" i="22"/>
  <c r="AH3985" i="22"/>
  <c r="AG3985" i="22"/>
  <c r="AE3985" i="22"/>
  <c r="Y3985" i="22"/>
  <c r="X3985" i="22"/>
  <c r="W3985" i="22"/>
  <c r="U3985" i="22"/>
  <c r="O3985" i="22"/>
  <c r="N3985" i="22"/>
  <c r="M3985" i="22"/>
  <c r="K3985" i="22"/>
  <c r="E3985" i="22"/>
  <c r="D3985" i="22"/>
  <c r="C3985" i="22"/>
  <c r="A3985" i="22"/>
  <c r="AI3984" i="22"/>
  <c r="AH3984" i="22"/>
  <c r="AG3984" i="22"/>
  <c r="AE3984" i="22"/>
  <c r="Y3984" i="22"/>
  <c r="X3984" i="22"/>
  <c r="W3984" i="22"/>
  <c r="U3984" i="22"/>
  <c r="O3984" i="22"/>
  <c r="N3984" i="22"/>
  <c r="M3984" i="22"/>
  <c r="K3984" i="22"/>
  <c r="E3984" i="22"/>
  <c r="D3984" i="22"/>
  <c r="C3984" i="22"/>
  <c r="A3984" i="22"/>
  <c r="AI3983" i="22"/>
  <c r="AH3983" i="22"/>
  <c r="AG3983" i="22"/>
  <c r="AE3983" i="22"/>
  <c r="Y3983" i="22"/>
  <c r="X3983" i="22"/>
  <c r="W3983" i="22"/>
  <c r="U3983" i="22"/>
  <c r="O3983" i="22"/>
  <c r="N3983" i="22"/>
  <c r="M3983" i="22"/>
  <c r="K3983" i="22"/>
  <c r="E3983" i="22"/>
  <c r="D3983" i="22"/>
  <c r="C3983" i="22"/>
  <c r="A3983" i="22"/>
  <c r="AI3982" i="22"/>
  <c r="AH3982" i="22"/>
  <c r="AG3982" i="22"/>
  <c r="AE3982" i="22"/>
  <c r="Y3982" i="22"/>
  <c r="X3982" i="22"/>
  <c r="W3982" i="22"/>
  <c r="U3982" i="22"/>
  <c r="O3982" i="22"/>
  <c r="N3982" i="22"/>
  <c r="M3982" i="22"/>
  <c r="K3982" i="22"/>
  <c r="E3982" i="22"/>
  <c r="D3982" i="22"/>
  <c r="C3982" i="22"/>
  <c r="A3982" i="22"/>
  <c r="AI3981" i="22"/>
  <c r="AH3981" i="22"/>
  <c r="AG3981" i="22"/>
  <c r="AE3981" i="22"/>
  <c r="Y3981" i="22"/>
  <c r="X3981" i="22"/>
  <c r="W3981" i="22"/>
  <c r="U3981" i="22"/>
  <c r="O3981" i="22"/>
  <c r="N3981" i="22"/>
  <c r="M3981" i="22"/>
  <c r="K3981" i="22"/>
  <c r="E3981" i="22"/>
  <c r="D3981" i="22"/>
  <c r="C3981" i="22"/>
  <c r="A3981" i="22"/>
  <c r="AI3980" i="22"/>
  <c r="AH3980" i="22"/>
  <c r="AG3980" i="22"/>
  <c r="AE3980" i="22"/>
  <c r="Y3980" i="22"/>
  <c r="X3980" i="22"/>
  <c r="W3980" i="22"/>
  <c r="U3980" i="22"/>
  <c r="O3980" i="22"/>
  <c r="N3980" i="22"/>
  <c r="M3980" i="22"/>
  <c r="K3980" i="22"/>
  <c r="E3980" i="22"/>
  <c r="D3980" i="22"/>
  <c r="C3980" i="22"/>
  <c r="A3980" i="22"/>
  <c r="AI3979" i="22"/>
  <c r="AH3979" i="22"/>
  <c r="AG3979" i="22"/>
  <c r="AE3979" i="22"/>
  <c r="Y3979" i="22"/>
  <c r="X3979" i="22"/>
  <c r="W3979" i="22"/>
  <c r="U3979" i="22"/>
  <c r="O3979" i="22"/>
  <c r="N3979" i="22"/>
  <c r="M3979" i="22"/>
  <c r="K3979" i="22"/>
  <c r="E3979" i="22"/>
  <c r="D3979" i="22"/>
  <c r="C3979" i="22"/>
  <c r="A3979" i="22"/>
  <c r="AI3978" i="22"/>
  <c r="AH3978" i="22"/>
  <c r="AG3978" i="22"/>
  <c r="AE3978" i="22"/>
  <c r="Y3978" i="22"/>
  <c r="X3978" i="22"/>
  <c r="W3978" i="22"/>
  <c r="U3978" i="22"/>
  <c r="O3978" i="22"/>
  <c r="N3978" i="22"/>
  <c r="M3978" i="22"/>
  <c r="K3978" i="22"/>
  <c r="E3978" i="22"/>
  <c r="D3978" i="22"/>
  <c r="C3978" i="22"/>
  <c r="A3978" i="22"/>
  <c r="AI3977" i="22"/>
  <c r="AH3977" i="22"/>
  <c r="AG3977" i="22"/>
  <c r="AE3977" i="22"/>
  <c r="Y3977" i="22"/>
  <c r="X3977" i="22"/>
  <c r="W3977" i="22"/>
  <c r="U3977" i="22"/>
  <c r="O3977" i="22"/>
  <c r="N3977" i="22"/>
  <c r="M3977" i="22"/>
  <c r="K3977" i="22"/>
  <c r="E3977" i="22"/>
  <c r="D3977" i="22"/>
  <c r="C3977" i="22"/>
  <c r="A3977" i="22"/>
  <c r="AI3976" i="22"/>
  <c r="AH3976" i="22"/>
  <c r="AG3976" i="22"/>
  <c r="AE3976" i="22"/>
  <c r="Y3976" i="22"/>
  <c r="X3976" i="22"/>
  <c r="W3976" i="22"/>
  <c r="U3976" i="22"/>
  <c r="O3976" i="22"/>
  <c r="N3976" i="22"/>
  <c r="M3976" i="22"/>
  <c r="K3976" i="22"/>
  <c r="E3976" i="22"/>
  <c r="D3976" i="22"/>
  <c r="C3976" i="22"/>
  <c r="A3976" i="22"/>
  <c r="AI3975" i="22"/>
  <c r="AH3975" i="22"/>
  <c r="AG3975" i="22"/>
  <c r="AE3975" i="22"/>
  <c r="Y3975" i="22"/>
  <c r="X3975" i="22"/>
  <c r="W3975" i="22"/>
  <c r="U3975" i="22"/>
  <c r="O3975" i="22"/>
  <c r="N3975" i="22"/>
  <c r="M3975" i="22"/>
  <c r="K3975" i="22"/>
  <c r="E3975" i="22"/>
  <c r="D3975" i="22"/>
  <c r="C3975" i="22"/>
  <c r="A3975" i="22"/>
  <c r="AI3974" i="22"/>
  <c r="AH3974" i="22"/>
  <c r="AG3974" i="22"/>
  <c r="AE3974" i="22"/>
  <c r="Y3974" i="22"/>
  <c r="X3974" i="22"/>
  <c r="W3974" i="22"/>
  <c r="U3974" i="22"/>
  <c r="O3974" i="22"/>
  <c r="N3974" i="22"/>
  <c r="M3974" i="22"/>
  <c r="K3974" i="22"/>
  <c r="E3974" i="22"/>
  <c r="D3974" i="22"/>
  <c r="C3974" i="22"/>
  <c r="A3974" i="22"/>
  <c r="AI3973" i="22"/>
  <c r="AH3973" i="22"/>
  <c r="AG3973" i="22"/>
  <c r="AE3973" i="22"/>
  <c r="Y3973" i="22"/>
  <c r="X3973" i="22"/>
  <c r="W3973" i="22"/>
  <c r="U3973" i="22"/>
  <c r="O3973" i="22"/>
  <c r="N3973" i="22"/>
  <c r="M3973" i="22"/>
  <c r="K3973" i="22"/>
  <c r="E3973" i="22"/>
  <c r="D3973" i="22"/>
  <c r="C3973" i="22"/>
  <c r="A3973" i="22"/>
  <c r="AI3972" i="22"/>
  <c r="AH3972" i="22"/>
  <c r="AG3972" i="22"/>
  <c r="AE3972" i="22"/>
  <c r="Y3972" i="22"/>
  <c r="X3972" i="22"/>
  <c r="W3972" i="22"/>
  <c r="U3972" i="22"/>
  <c r="O3972" i="22"/>
  <c r="N3972" i="22"/>
  <c r="M3972" i="22"/>
  <c r="K3972" i="22"/>
  <c r="E3972" i="22"/>
  <c r="D3972" i="22"/>
  <c r="C3972" i="22"/>
  <c r="A3972" i="22"/>
  <c r="AI3971" i="22"/>
  <c r="AH3971" i="22"/>
  <c r="AG3971" i="22"/>
  <c r="AE3971" i="22"/>
  <c r="Y3971" i="22"/>
  <c r="X3971" i="22"/>
  <c r="W3971" i="22"/>
  <c r="U3971" i="22"/>
  <c r="O3971" i="22"/>
  <c r="N3971" i="22"/>
  <c r="M3971" i="22"/>
  <c r="K3971" i="22"/>
  <c r="E3971" i="22"/>
  <c r="D3971" i="22"/>
  <c r="C3971" i="22"/>
  <c r="A3971" i="22"/>
  <c r="AI3970" i="22"/>
  <c r="AH3970" i="22"/>
  <c r="AG3970" i="22"/>
  <c r="AE3970" i="22"/>
  <c r="Y3970" i="22"/>
  <c r="X3970" i="22"/>
  <c r="W3970" i="22"/>
  <c r="U3970" i="22"/>
  <c r="O3970" i="22"/>
  <c r="N3970" i="22"/>
  <c r="M3970" i="22"/>
  <c r="K3970" i="22"/>
  <c r="E3970" i="22"/>
  <c r="D3970" i="22"/>
  <c r="C3970" i="22"/>
  <c r="A3970" i="22"/>
  <c r="AI3969" i="22"/>
  <c r="AH3969" i="22"/>
  <c r="AG3969" i="22"/>
  <c r="AE3969" i="22"/>
  <c r="Y3969" i="22"/>
  <c r="X3969" i="22"/>
  <c r="W3969" i="22"/>
  <c r="U3969" i="22"/>
  <c r="O3969" i="22"/>
  <c r="N3969" i="22"/>
  <c r="M3969" i="22"/>
  <c r="K3969" i="22"/>
  <c r="E3969" i="22"/>
  <c r="D3969" i="22"/>
  <c r="C3969" i="22"/>
  <c r="A3969" i="22"/>
  <c r="AI3968" i="22"/>
  <c r="AH3968" i="22"/>
  <c r="AG3968" i="22"/>
  <c r="AE3968" i="22"/>
  <c r="Y3968" i="22"/>
  <c r="X3968" i="22"/>
  <c r="W3968" i="22"/>
  <c r="U3968" i="22"/>
  <c r="O3968" i="22"/>
  <c r="N3968" i="22"/>
  <c r="M3968" i="22"/>
  <c r="K3968" i="22"/>
  <c r="E3968" i="22"/>
  <c r="D3968" i="22"/>
  <c r="C3968" i="22"/>
  <c r="A3968" i="22"/>
  <c r="AI3967" i="22"/>
  <c r="AH3967" i="22"/>
  <c r="AG3967" i="22"/>
  <c r="AE3967" i="22"/>
  <c r="Y3967" i="22"/>
  <c r="X3967" i="22"/>
  <c r="W3967" i="22"/>
  <c r="U3967" i="22"/>
  <c r="O3967" i="22"/>
  <c r="N3967" i="22"/>
  <c r="M3967" i="22"/>
  <c r="K3967" i="22"/>
  <c r="E3967" i="22"/>
  <c r="D3967" i="22"/>
  <c r="C3967" i="22"/>
  <c r="A3967" i="22"/>
  <c r="AI3966" i="22"/>
  <c r="AH3966" i="22"/>
  <c r="AG3966" i="22"/>
  <c r="AE3966" i="22"/>
  <c r="Y3966" i="22"/>
  <c r="X3966" i="22"/>
  <c r="W3966" i="22"/>
  <c r="U3966" i="22"/>
  <c r="O3966" i="22"/>
  <c r="N3966" i="22"/>
  <c r="M3966" i="22"/>
  <c r="K3966" i="22"/>
  <c r="E3966" i="22"/>
  <c r="D3966" i="22"/>
  <c r="C3966" i="22"/>
  <c r="A3966" i="22"/>
  <c r="AI3965" i="22"/>
  <c r="AH3965" i="22"/>
  <c r="AG3965" i="22"/>
  <c r="AE3965" i="22"/>
  <c r="Y3965" i="22"/>
  <c r="X3965" i="22"/>
  <c r="W3965" i="22"/>
  <c r="U3965" i="22"/>
  <c r="O3965" i="22"/>
  <c r="N3965" i="22"/>
  <c r="M3965" i="22"/>
  <c r="K3965" i="22"/>
  <c r="E3965" i="22"/>
  <c r="D3965" i="22"/>
  <c r="C3965" i="22"/>
  <c r="A3965" i="22"/>
  <c r="AI3964" i="22"/>
  <c r="AH3964" i="22"/>
  <c r="AG3964" i="22"/>
  <c r="AE3964" i="22"/>
  <c r="Y3964" i="22"/>
  <c r="X3964" i="22"/>
  <c r="W3964" i="22"/>
  <c r="U3964" i="22"/>
  <c r="O3964" i="22"/>
  <c r="N3964" i="22"/>
  <c r="M3964" i="22"/>
  <c r="K3964" i="22"/>
  <c r="E3964" i="22"/>
  <c r="D3964" i="22"/>
  <c r="C3964" i="22"/>
  <c r="A3964" i="22"/>
  <c r="AI3963" i="22"/>
  <c r="AH3963" i="22"/>
  <c r="AG3963" i="22"/>
  <c r="AE3963" i="22"/>
  <c r="Y3963" i="22"/>
  <c r="X3963" i="22"/>
  <c r="W3963" i="22"/>
  <c r="U3963" i="22"/>
  <c r="O3963" i="22"/>
  <c r="N3963" i="22"/>
  <c r="M3963" i="22"/>
  <c r="K3963" i="22"/>
  <c r="E3963" i="22"/>
  <c r="D3963" i="22"/>
  <c r="C3963" i="22"/>
  <c r="A3963" i="22"/>
  <c r="AI3962" i="22"/>
  <c r="AH3962" i="22"/>
  <c r="AG3962" i="22"/>
  <c r="AE3962" i="22"/>
  <c r="Y3962" i="22"/>
  <c r="X3962" i="22"/>
  <c r="W3962" i="22"/>
  <c r="U3962" i="22"/>
  <c r="O3962" i="22"/>
  <c r="N3962" i="22"/>
  <c r="M3962" i="22"/>
  <c r="K3962" i="22"/>
  <c r="E3962" i="22"/>
  <c r="D3962" i="22"/>
  <c r="C3962" i="22"/>
  <c r="A3962" i="22"/>
  <c r="AI3961" i="22"/>
  <c r="AH3961" i="22"/>
  <c r="AG3961" i="22"/>
  <c r="AE3961" i="22"/>
  <c r="Y3961" i="22"/>
  <c r="X3961" i="22"/>
  <c r="W3961" i="22"/>
  <c r="U3961" i="22"/>
  <c r="O3961" i="22"/>
  <c r="N3961" i="22"/>
  <c r="M3961" i="22"/>
  <c r="K3961" i="22"/>
  <c r="E3961" i="22"/>
  <c r="D3961" i="22"/>
  <c r="C3961" i="22"/>
  <c r="A3961" i="22"/>
  <c r="AI3960" i="22"/>
  <c r="AH3960" i="22"/>
  <c r="AG3960" i="22"/>
  <c r="AE3960" i="22"/>
  <c r="Y3960" i="22"/>
  <c r="X3960" i="22"/>
  <c r="W3960" i="22"/>
  <c r="U3960" i="22"/>
  <c r="O3960" i="22"/>
  <c r="N3960" i="22"/>
  <c r="M3960" i="22"/>
  <c r="K3960" i="22"/>
  <c r="E3960" i="22"/>
  <c r="D3960" i="22"/>
  <c r="C3960" i="22"/>
  <c r="A3960" i="22"/>
  <c r="AI3959" i="22"/>
  <c r="AH3959" i="22"/>
  <c r="AG3959" i="22"/>
  <c r="AE3959" i="22"/>
  <c r="Y3959" i="22"/>
  <c r="X3959" i="22"/>
  <c r="W3959" i="22"/>
  <c r="U3959" i="22"/>
  <c r="O3959" i="22"/>
  <c r="N3959" i="22"/>
  <c r="M3959" i="22"/>
  <c r="K3959" i="22"/>
  <c r="E3959" i="22"/>
  <c r="D3959" i="22"/>
  <c r="C3959" i="22"/>
  <c r="A3959" i="22"/>
  <c r="AI3958" i="22"/>
  <c r="AH3958" i="22"/>
  <c r="AG3958" i="22"/>
  <c r="AE3958" i="22"/>
  <c r="Y3958" i="22"/>
  <c r="X3958" i="22"/>
  <c r="W3958" i="22"/>
  <c r="U3958" i="22"/>
  <c r="O3958" i="22"/>
  <c r="N3958" i="22"/>
  <c r="M3958" i="22"/>
  <c r="K3958" i="22"/>
  <c r="E3958" i="22"/>
  <c r="D3958" i="22"/>
  <c r="C3958" i="22"/>
  <c r="A3958" i="22"/>
  <c r="AI3957" i="22"/>
  <c r="AH3957" i="22"/>
  <c r="AG3957" i="22"/>
  <c r="AE3957" i="22"/>
  <c r="Y3957" i="22"/>
  <c r="X3957" i="22"/>
  <c r="W3957" i="22"/>
  <c r="U3957" i="22"/>
  <c r="O3957" i="22"/>
  <c r="N3957" i="22"/>
  <c r="M3957" i="22"/>
  <c r="K3957" i="22"/>
  <c r="E3957" i="22"/>
  <c r="D3957" i="22"/>
  <c r="C3957" i="22"/>
  <c r="A3957" i="22"/>
  <c r="AI3956" i="22"/>
  <c r="AH3956" i="22"/>
  <c r="AG3956" i="22"/>
  <c r="AE3956" i="22"/>
  <c r="Y3956" i="22"/>
  <c r="X3956" i="22"/>
  <c r="W3956" i="22"/>
  <c r="U3956" i="22"/>
  <c r="O3956" i="22"/>
  <c r="N3956" i="22"/>
  <c r="M3956" i="22"/>
  <c r="K3956" i="22"/>
  <c r="E3956" i="22"/>
  <c r="D3956" i="22"/>
  <c r="C3956" i="22"/>
  <c r="A3956" i="22"/>
  <c r="AI3955" i="22"/>
  <c r="AH3955" i="22"/>
  <c r="AG3955" i="22"/>
  <c r="AE3955" i="22"/>
  <c r="Y3955" i="22"/>
  <c r="X3955" i="22"/>
  <c r="W3955" i="22"/>
  <c r="U3955" i="22"/>
  <c r="O3955" i="22"/>
  <c r="N3955" i="22"/>
  <c r="M3955" i="22"/>
  <c r="K3955" i="22"/>
  <c r="E3955" i="22"/>
  <c r="D3955" i="22"/>
  <c r="C3955" i="22"/>
  <c r="A3955" i="22"/>
  <c r="AI3954" i="22"/>
  <c r="AH3954" i="22"/>
  <c r="AG3954" i="22"/>
  <c r="AE3954" i="22"/>
  <c r="Y3954" i="22"/>
  <c r="X3954" i="22"/>
  <c r="W3954" i="22"/>
  <c r="U3954" i="22"/>
  <c r="O3954" i="22"/>
  <c r="N3954" i="22"/>
  <c r="M3954" i="22"/>
  <c r="K3954" i="22"/>
  <c r="E3954" i="22"/>
  <c r="D3954" i="22"/>
  <c r="C3954" i="22"/>
  <c r="A3954" i="22"/>
  <c r="AI3953" i="22"/>
  <c r="AH3953" i="22"/>
  <c r="AG3953" i="22"/>
  <c r="AE3953" i="22"/>
  <c r="Y3953" i="22"/>
  <c r="X3953" i="22"/>
  <c r="W3953" i="22"/>
  <c r="U3953" i="22"/>
  <c r="O3953" i="22"/>
  <c r="N3953" i="22"/>
  <c r="M3953" i="22"/>
  <c r="K3953" i="22"/>
  <c r="E3953" i="22"/>
  <c r="D3953" i="22"/>
  <c r="C3953" i="22"/>
  <c r="A3953" i="22"/>
  <c r="AI3952" i="22"/>
  <c r="AH3952" i="22"/>
  <c r="AG3952" i="22"/>
  <c r="AE3952" i="22"/>
  <c r="Y3952" i="22"/>
  <c r="X3952" i="22"/>
  <c r="W3952" i="22"/>
  <c r="U3952" i="22"/>
  <c r="O3952" i="22"/>
  <c r="N3952" i="22"/>
  <c r="M3952" i="22"/>
  <c r="K3952" i="22"/>
  <c r="E3952" i="22"/>
  <c r="D3952" i="22"/>
  <c r="C3952" i="22"/>
  <c r="A3952" i="22"/>
  <c r="AI3951" i="22"/>
  <c r="AH3951" i="22"/>
  <c r="AG3951" i="22"/>
  <c r="AE3951" i="22"/>
  <c r="Y3951" i="22"/>
  <c r="X3951" i="22"/>
  <c r="W3951" i="22"/>
  <c r="U3951" i="22"/>
  <c r="O3951" i="22"/>
  <c r="N3951" i="22"/>
  <c r="M3951" i="22"/>
  <c r="K3951" i="22"/>
  <c r="E3951" i="22"/>
  <c r="D3951" i="22"/>
  <c r="C3951" i="22"/>
  <c r="A3951" i="22"/>
  <c r="AI3950" i="22"/>
  <c r="AH3950" i="22"/>
  <c r="AG3950" i="22"/>
  <c r="AE3950" i="22"/>
  <c r="Y3950" i="22"/>
  <c r="X3950" i="22"/>
  <c r="W3950" i="22"/>
  <c r="U3950" i="22"/>
  <c r="O3950" i="22"/>
  <c r="N3950" i="22"/>
  <c r="M3950" i="22"/>
  <c r="K3950" i="22"/>
  <c r="E3950" i="22"/>
  <c r="D3950" i="22"/>
  <c r="C3950" i="22"/>
  <c r="A3950" i="22"/>
  <c r="AI3949" i="22"/>
  <c r="AH3949" i="22"/>
  <c r="AG3949" i="22"/>
  <c r="AE3949" i="22"/>
  <c r="Y3949" i="22"/>
  <c r="X3949" i="22"/>
  <c r="W3949" i="22"/>
  <c r="U3949" i="22"/>
  <c r="O3949" i="22"/>
  <c r="N3949" i="22"/>
  <c r="M3949" i="22"/>
  <c r="K3949" i="22"/>
  <c r="E3949" i="22"/>
  <c r="D3949" i="22"/>
  <c r="C3949" i="22"/>
  <c r="A3949" i="22"/>
  <c r="AI3948" i="22"/>
  <c r="AH3948" i="22"/>
  <c r="AG3948" i="22"/>
  <c r="AE3948" i="22"/>
  <c r="Y3948" i="22"/>
  <c r="X3948" i="22"/>
  <c r="W3948" i="22"/>
  <c r="U3948" i="22"/>
  <c r="O3948" i="22"/>
  <c r="N3948" i="22"/>
  <c r="M3948" i="22"/>
  <c r="K3948" i="22"/>
  <c r="E3948" i="22"/>
  <c r="D3948" i="22"/>
  <c r="C3948" i="22"/>
  <c r="A3948" i="22"/>
  <c r="AI3947" i="22"/>
  <c r="AH3947" i="22"/>
  <c r="AG3947" i="22"/>
  <c r="AE3947" i="22"/>
  <c r="Y3947" i="22"/>
  <c r="X3947" i="22"/>
  <c r="W3947" i="22"/>
  <c r="U3947" i="22"/>
  <c r="O3947" i="22"/>
  <c r="N3947" i="22"/>
  <c r="M3947" i="22"/>
  <c r="K3947" i="22"/>
  <c r="E3947" i="22"/>
  <c r="D3947" i="22"/>
  <c r="C3947" i="22"/>
  <c r="A3947" i="22"/>
  <c r="AI3946" i="22"/>
  <c r="AH3946" i="22"/>
  <c r="AG3946" i="22"/>
  <c r="AE3946" i="22"/>
  <c r="Y3946" i="22"/>
  <c r="X3946" i="22"/>
  <c r="W3946" i="22"/>
  <c r="U3946" i="22"/>
  <c r="O3946" i="22"/>
  <c r="N3946" i="22"/>
  <c r="M3946" i="22"/>
  <c r="K3946" i="22"/>
  <c r="E3946" i="22"/>
  <c r="D3946" i="22"/>
  <c r="C3946" i="22"/>
  <c r="A3946" i="22"/>
  <c r="AI3945" i="22"/>
  <c r="AH3945" i="22"/>
  <c r="AG3945" i="22"/>
  <c r="AE3945" i="22"/>
  <c r="Y3945" i="22"/>
  <c r="X3945" i="22"/>
  <c r="W3945" i="22"/>
  <c r="U3945" i="22"/>
  <c r="O3945" i="22"/>
  <c r="N3945" i="22"/>
  <c r="M3945" i="22"/>
  <c r="K3945" i="22"/>
  <c r="E3945" i="22"/>
  <c r="D3945" i="22"/>
  <c r="C3945" i="22"/>
  <c r="A3945" i="22"/>
  <c r="AI3944" i="22"/>
  <c r="AH3944" i="22"/>
  <c r="AG3944" i="22"/>
  <c r="AE3944" i="22"/>
  <c r="Y3944" i="22"/>
  <c r="X3944" i="22"/>
  <c r="W3944" i="22"/>
  <c r="U3944" i="22"/>
  <c r="O3944" i="22"/>
  <c r="N3944" i="22"/>
  <c r="M3944" i="22"/>
  <c r="K3944" i="22"/>
  <c r="E3944" i="22"/>
  <c r="D3944" i="22"/>
  <c r="C3944" i="22"/>
  <c r="A3944" i="22"/>
  <c r="AI3943" i="22"/>
  <c r="AH3943" i="22"/>
  <c r="AG3943" i="22"/>
  <c r="AE3943" i="22"/>
  <c r="Y3943" i="22"/>
  <c r="X3943" i="22"/>
  <c r="W3943" i="22"/>
  <c r="U3943" i="22"/>
  <c r="O3943" i="22"/>
  <c r="N3943" i="22"/>
  <c r="M3943" i="22"/>
  <c r="K3943" i="22"/>
  <c r="E3943" i="22"/>
  <c r="D3943" i="22"/>
  <c r="C3943" i="22"/>
  <c r="A3943" i="22"/>
  <c r="AI3942" i="22"/>
  <c r="AH3942" i="22"/>
  <c r="AG3942" i="22"/>
  <c r="AE3942" i="22"/>
  <c r="Y3942" i="22"/>
  <c r="X3942" i="22"/>
  <c r="W3942" i="22"/>
  <c r="U3942" i="22"/>
  <c r="O3942" i="22"/>
  <c r="N3942" i="22"/>
  <c r="M3942" i="22"/>
  <c r="K3942" i="22"/>
  <c r="E3942" i="22"/>
  <c r="D3942" i="22"/>
  <c r="C3942" i="22"/>
  <c r="A3942" i="22"/>
  <c r="AI3941" i="22"/>
  <c r="AH3941" i="22"/>
  <c r="AG3941" i="22"/>
  <c r="AE3941" i="22"/>
  <c r="Y3941" i="22"/>
  <c r="X3941" i="22"/>
  <c r="W3941" i="22"/>
  <c r="U3941" i="22"/>
  <c r="O3941" i="22"/>
  <c r="N3941" i="22"/>
  <c r="M3941" i="22"/>
  <c r="K3941" i="22"/>
  <c r="E3941" i="22"/>
  <c r="D3941" i="22"/>
  <c r="C3941" i="22"/>
  <c r="A3941" i="22"/>
  <c r="AI3940" i="22"/>
  <c r="AH3940" i="22"/>
  <c r="AG3940" i="22"/>
  <c r="AE3940" i="22"/>
  <c r="Y3940" i="22"/>
  <c r="X3940" i="22"/>
  <c r="W3940" i="22"/>
  <c r="U3940" i="22"/>
  <c r="O3940" i="22"/>
  <c r="N3940" i="22"/>
  <c r="M3940" i="22"/>
  <c r="K3940" i="22"/>
  <c r="E3940" i="22"/>
  <c r="D3940" i="22"/>
  <c r="C3940" i="22"/>
  <c r="A3940" i="22"/>
  <c r="AI3939" i="22"/>
  <c r="AH3939" i="22"/>
  <c r="AG3939" i="22"/>
  <c r="AE3939" i="22"/>
  <c r="Y3939" i="22"/>
  <c r="X3939" i="22"/>
  <c r="W3939" i="22"/>
  <c r="U3939" i="22"/>
  <c r="O3939" i="22"/>
  <c r="N3939" i="22"/>
  <c r="M3939" i="22"/>
  <c r="K3939" i="22"/>
  <c r="E3939" i="22"/>
  <c r="D3939" i="22"/>
  <c r="C3939" i="22"/>
  <c r="A3939" i="22"/>
  <c r="AI3938" i="22"/>
  <c r="AH3938" i="22"/>
  <c r="AG3938" i="22"/>
  <c r="AE3938" i="22"/>
  <c r="Y3938" i="22"/>
  <c r="X3938" i="22"/>
  <c r="W3938" i="22"/>
  <c r="U3938" i="22"/>
  <c r="O3938" i="22"/>
  <c r="N3938" i="22"/>
  <c r="M3938" i="22"/>
  <c r="K3938" i="22"/>
  <c r="E3938" i="22"/>
  <c r="D3938" i="22"/>
  <c r="C3938" i="22"/>
  <c r="A3938" i="22"/>
  <c r="AI3937" i="22"/>
  <c r="AH3937" i="22"/>
  <c r="AG3937" i="22"/>
  <c r="AE3937" i="22"/>
  <c r="Y3937" i="22"/>
  <c r="X3937" i="22"/>
  <c r="W3937" i="22"/>
  <c r="U3937" i="22"/>
  <c r="O3937" i="22"/>
  <c r="N3937" i="22"/>
  <c r="M3937" i="22"/>
  <c r="K3937" i="22"/>
  <c r="E3937" i="22"/>
  <c r="D3937" i="22"/>
  <c r="C3937" i="22"/>
  <c r="A3937" i="22"/>
  <c r="AI3936" i="22"/>
  <c r="AH3936" i="22"/>
  <c r="AG3936" i="22"/>
  <c r="AE3936" i="22"/>
  <c r="Y3936" i="22"/>
  <c r="X3936" i="22"/>
  <c r="W3936" i="22"/>
  <c r="U3936" i="22"/>
  <c r="O3936" i="22"/>
  <c r="N3936" i="22"/>
  <c r="M3936" i="22"/>
  <c r="K3936" i="22"/>
  <c r="E3936" i="22"/>
  <c r="D3936" i="22"/>
  <c r="C3936" i="22"/>
  <c r="A3936" i="22"/>
  <c r="AI3935" i="22"/>
  <c r="AH3935" i="22"/>
  <c r="AG3935" i="22"/>
  <c r="AE3935" i="22"/>
  <c r="Y3935" i="22"/>
  <c r="X3935" i="22"/>
  <c r="W3935" i="22"/>
  <c r="U3935" i="22"/>
  <c r="O3935" i="22"/>
  <c r="N3935" i="22"/>
  <c r="M3935" i="22"/>
  <c r="K3935" i="22"/>
  <c r="E3935" i="22"/>
  <c r="D3935" i="22"/>
  <c r="C3935" i="22"/>
  <c r="A3935" i="22"/>
  <c r="AI3934" i="22"/>
  <c r="AH3934" i="22"/>
  <c r="AG3934" i="22"/>
  <c r="AE3934" i="22"/>
  <c r="Y3934" i="22"/>
  <c r="X3934" i="22"/>
  <c r="W3934" i="22"/>
  <c r="U3934" i="22"/>
  <c r="O3934" i="22"/>
  <c r="N3934" i="22"/>
  <c r="M3934" i="22"/>
  <c r="K3934" i="22"/>
  <c r="E3934" i="22"/>
  <c r="D3934" i="22"/>
  <c r="C3934" i="22"/>
  <c r="A3934" i="22"/>
  <c r="AI3933" i="22"/>
  <c r="AH3933" i="22"/>
  <c r="AG3933" i="22"/>
  <c r="AE3933" i="22"/>
  <c r="Y3933" i="22"/>
  <c r="X3933" i="22"/>
  <c r="W3933" i="22"/>
  <c r="U3933" i="22"/>
  <c r="O3933" i="22"/>
  <c r="N3933" i="22"/>
  <c r="M3933" i="22"/>
  <c r="K3933" i="22"/>
  <c r="E3933" i="22"/>
  <c r="D3933" i="22"/>
  <c r="C3933" i="22"/>
  <c r="A3933" i="22"/>
  <c r="AI3932" i="22"/>
  <c r="AH3932" i="22"/>
  <c r="AG3932" i="22"/>
  <c r="AE3932" i="22"/>
  <c r="Y3932" i="22"/>
  <c r="X3932" i="22"/>
  <c r="W3932" i="22"/>
  <c r="U3932" i="22"/>
  <c r="O3932" i="22"/>
  <c r="N3932" i="22"/>
  <c r="M3932" i="22"/>
  <c r="K3932" i="22"/>
  <c r="E3932" i="22"/>
  <c r="D3932" i="22"/>
  <c r="C3932" i="22"/>
  <c r="A3932" i="22"/>
  <c r="AI3931" i="22"/>
  <c r="AH3931" i="22"/>
  <c r="AG3931" i="22"/>
  <c r="AE3931" i="22"/>
  <c r="Y3931" i="22"/>
  <c r="X3931" i="22"/>
  <c r="W3931" i="22"/>
  <c r="U3931" i="22"/>
  <c r="O3931" i="22"/>
  <c r="N3931" i="22"/>
  <c r="M3931" i="22"/>
  <c r="K3931" i="22"/>
  <c r="E3931" i="22"/>
  <c r="D3931" i="22"/>
  <c r="C3931" i="22"/>
  <c r="A3931" i="22"/>
  <c r="AI3930" i="22"/>
  <c r="AH3930" i="22"/>
  <c r="AG3930" i="22"/>
  <c r="AE3930" i="22"/>
  <c r="Y3930" i="22"/>
  <c r="X3930" i="22"/>
  <c r="W3930" i="22"/>
  <c r="U3930" i="22"/>
  <c r="O3930" i="22"/>
  <c r="N3930" i="22"/>
  <c r="M3930" i="22"/>
  <c r="K3930" i="22"/>
  <c r="E3930" i="22"/>
  <c r="D3930" i="22"/>
  <c r="C3930" i="22"/>
  <c r="A3930" i="22"/>
  <c r="AI3929" i="22"/>
  <c r="AH3929" i="22"/>
  <c r="AG3929" i="22"/>
  <c r="AE3929" i="22"/>
  <c r="Y3929" i="22"/>
  <c r="X3929" i="22"/>
  <c r="W3929" i="22"/>
  <c r="U3929" i="22"/>
  <c r="O3929" i="22"/>
  <c r="N3929" i="22"/>
  <c r="M3929" i="22"/>
  <c r="K3929" i="22"/>
  <c r="E3929" i="22"/>
  <c r="D3929" i="22"/>
  <c r="C3929" i="22"/>
  <c r="A3929" i="22"/>
  <c r="AI3928" i="22"/>
  <c r="AH3928" i="22"/>
  <c r="AG3928" i="22"/>
  <c r="AE3928" i="22"/>
  <c r="Y3928" i="22"/>
  <c r="X3928" i="22"/>
  <c r="W3928" i="22"/>
  <c r="U3928" i="22"/>
  <c r="O3928" i="22"/>
  <c r="N3928" i="22"/>
  <c r="M3928" i="22"/>
  <c r="K3928" i="22"/>
  <c r="E3928" i="22"/>
  <c r="D3928" i="22"/>
  <c r="C3928" i="22"/>
  <c r="A3928" i="22"/>
  <c r="AI3927" i="22"/>
  <c r="AH3927" i="22"/>
  <c r="AG3927" i="22"/>
  <c r="AE3927" i="22"/>
  <c r="Y3927" i="22"/>
  <c r="X3927" i="22"/>
  <c r="W3927" i="22"/>
  <c r="U3927" i="22"/>
  <c r="O3927" i="22"/>
  <c r="N3927" i="22"/>
  <c r="M3927" i="22"/>
  <c r="K3927" i="22"/>
  <c r="E3927" i="22"/>
  <c r="D3927" i="22"/>
  <c r="C3927" i="22"/>
  <c r="A3927" i="22"/>
  <c r="AI3926" i="22"/>
  <c r="AH3926" i="22"/>
  <c r="AG3926" i="22"/>
  <c r="AE3926" i="22"/>
  <c r="Y3926" i="22"/>
  <c r="X3926" i="22"/>
  <c r="W3926" i="22"/>
  <c r="U3926" i="22"/>
  <c r="O3926" i="22"/>
  <c r="N3926" i="22"/>
  <c r="M3926" i="22"/>
  <c r="K3926" i="22"/>
  <c r="E3926" i="22"/>
  <c r="D3926" i="22"/>
  <c r="C3926" i="22"/>
  <c r="A3926" i="22"/>
  <c r="AI3925" i="22"/>
  <c r="AH3925" i="22"/>
  <c r="AG3925" i="22"/>
  <c r="AE3925" i="22"/>
  <c r="Y3925" i="22"/>
  <c r="X3925" i="22"/>
  <c r="W3925" i="22"/>
  <c r="U3925" i="22"/>
  <c r="O3925" i="22"/>
  <c r="N3925" i="22"/>
  <c r="M3925" i="22"/>
  <c r="K3925" i="22"/>
  <c r="E3925" i="22"/>
  <c r="D3925" i="22"/>
  <c r="C3925" i="22"/>
  <c r="A3925" i="22"/>
  <c r="AI3924" i="22"/>
  <c r="AH3924" i="22"/>
  <c r="AG3924" i="22"/>
  <c r="AE3924" i="22"/>
  <c r="Y3924" i="22"/>
  <c r="X3924" i="22"/>
  <c r="W3924" i="22"/>
  <c r="U3924" i="22"/>
  <c r="O3924" i="22"/>
  <c r="N3924" i="22"/>
  <c r="M3924" i="22"/>
  <c r="K3924" i="22"/>
  <c r="E3924" i="22"/>
  <c r="D3924" i="22"/>
  <c r="C3924" i="22"/>
  <c r="A3924" i="22"/>
  <c r="AI3923" i="22"/>
  <c r="AH3923" i="22"/>
  <c r="AG3923" i="22"/>
  <c r="AE3923" i="22"/>
  <c r="Y3923" i="22"/>
  <c r="X3923" i="22"/>
  <c r="W3923" i="22"/>
  <c r="U3923" i="22"/>
  <c r="O3923" i="22"/>
  <c r="N3923" i="22"/>
  <c r="M3923" i="22"/>
  <c r="K3923" i="22"/>
  <c r="E3923" i="22"/>
  <c r="D3923" i="22"/>
  <c r="C3923" i="22"/>
  <c r="A3923" i="22"/>
  <c r="AI3922" i="22"/>
  <c r="AH3922" i="22"/>
  <c r="AG3922" i="22"/>
  <c r="AE3922" i="22"/>
  <c r="Y3922" i="22"/>
  <c r="X3922" i="22"/>
  <c r="W3922" i="22"/>
  <c r="U3922" i="22"/>
  <c r="O3922" i="22"/>
  <c r="N3922" i="22"/>
  <c r="M3922" i="22"/>
  <c r="K3922" i="22"/>
  <c r="E3922" i="22"/>
  <c r="D3922" i="22"/>
  <c r="C3922" i="22"/>
  <c r="A3922" i="22"/>
  <c r="AI3921" i="22"/>
  <c r="AH3921" i="22"/>
  <c r="AG3921" i="22"/>
  <c r="AE3921" i="22"/>
  <c r="Y3921" i="22"/>
  <c r="X3921" i="22"/>
  <c r="W3921" i="22"/>
  <c r="U3921" i="22"/>
  <c r="O3921" i="22"/>
  <c r="N3921" i="22"/>
  <c r="M3921" i="22"/>
  <c r="K3921" i="22"/>
  <c r="E3921" i="22"/>
  <c r="D3921" i="22"/>
  <c r="C3921" i="22"/>
  <c r="A3921" i="22"/>
  <c r="AI3920" i="22"/>
  <c r="AH3920" i="22"/>
  <c r="AG3920" i="22"/>
  <c r="AE3920" i="22"/>
  <c r="Y3920" i="22"/>
  <c r="X3920" i="22"/>
  <c r="W3920" i="22"/>
  <c r="U3920" i="22"/>
  <c r="O3920" i="22"/>
  <c r="N3920" i="22"/>
  <c r="M3920" i="22"/>
  <c r="K3920" i="22"/>
  <c r="E3920" i="22"/>
  <c r="D3920" i="22"/>
  <c r="C3920" i="22"/>
  <c r="A3920" i="22"/>
  <c r="AI3919" i="22"/>
  <c r="AH3919" i="22"/>
  <c r="AG3919" i="22"/>
  <c r="AE3919" i="22"/>
  <c r="Y3919" i="22"/>
  <c r="X3919" i="22"/>
  <c r="W3919" i="22"/>
  <c r="U3919" i="22"/>
  <c r="O3919" i="22"/>
  <c r="N3919" i="22"/>
  <c r="M3919" i="22"/>
  <c r="K3919" i="22"/>
  <c r="E3919" i="22"/>
  <c r="D3919" i="22"/>
  <c r="C3919" i="22"/>
  <c r="A3919" i="22"/>
  <c r="AI3918" i="22"/>
  <c r="AH3918" i="22"/>
  <c r="AG3918" i="22"/>
  <c r="AE3918" i="22"/>
  <c r="Y3918" i="22"/>
  <c r="X3918" i="22"/>
  <c r="W3918" i="22"/>
  <c r="U3918" i="22"/>
  <c r="O3918" i="22"/>
  <c r="N3918" i="22"/>
  <c r="M3918" i="22"/>
  <c r="K3918" i="22"/>
  <c r="E3918" i="22"/>
  <c r="D3918" i="22"/>
  <c r="C3918" i="22"/>
  <c r="A3918" i="22"/>
  <c r="AI3917" i="22"/>
  <c r="AH3917" i="22"/>
  <c r="AG3917" i="22"/>
  <c r="AE3917" i="22"/>
  <c r="Y3917" i="22"/>
  <c r="X3917" i="22"/>
  <c r="W3917" i="22"/>
  <c r="U3917" i="22"/>
  <c r="O3917" i="22"/>
  <c r="N3917" i="22"/>
  <c r="M3917" i="22"/>
  <c r="K3917" i="22"/>
  <c r="E3917" i="22"/>
  <c r="D3917" i="22"/>
  <c r="C3917" i="22"/>
  <c r="A3917" i="22"/>
  <c r="AI3916" i="22"/>
  <c r="AH3916" i="22"/>
  <c r="AG3916" i="22"/>
  <c r="AE3916" i="22"/>
  <c r="Y3916" i="22"/>
  <c r="X3916" i="22"/>
  <c r="W3916" i="22"/>
  <c r="U3916" i="22"/>
  <c r="O3916" i="22"/>
  <c r="N3916" i="22"/>
  <c r="M3916" i="22"/>
  <c r="K3916" i="22"/>
  <c r="E3916" i="22"/>
  <c r="D3916" i="22"/>
  <c r="C3916" i="22"/>
  <c r="A3916" i="22"/>
  <c r="AI3915" i="22"/>
  <c r="AH3915" i="22"/>
  <c r="AG3915" i="22"/>
  <c r="AE3915" i="22"/>
  <c r="Y3915" i="22"/>
  <c r="X3915" i="22"/>
  <c r="W3915" i="22"/>
  <c r="U3915" i="22"/>
  <c r="O3915" i="22"/>
  <c r="N3915" i="22"/>
  <c r="M3915" i="22"/>
  <c r="K3915" i="22"/>
  <c r="E3915" i="22"/>
  <c r="D3915" i="22"/>
  <c r="C3915" i="22"/>
  <c r="A3915" i="22"/>
  <c r="AI3914" i="22"/>
  <c r="AH3914" i="22"/>
  <c r="AG3914" i="22"/>
  <c r="AE3914" i="22"/>
  <c r="Y3914" i="22"/>
  <c r="X3914" i="22"/>
  <c r="W3914" i="22"/>
  <c r="U3914" i="22"/>
  <c r="O3914" i="22"/>
  <c r="N3914" i="22"/>
  <c r="M3914" i="22"/>
  <c r="K3914" i="22"/>
  <c r="E3914" i="22"/>
  <c r="D3914" i="22"/>
  <c r="C3914" i="22"/>
  <c r="A3914" i="22"/>
  <c r="AI3913" i="22"/>
  <c r="AH3913" i="22"/>
  <c r="AG3913" i="22"/>
  <c r="AE3913" i="22"/>
  <c r="Y3913" i="22"/>
  <c r="X3913" i="22"/>
  <c r="W3913" i="22"/>
  <c r="U3913" i="22"/>
  <c r="O3913" i="22"/>
  <c r="N3913" i="22"/>
  <c r="M3913" i="22"/>
  <c r="K3913" i="22"/>
  <c r="E3913" i="22"/>
  <c r="D3913" i="22"/>
  <c r="C3913" i="22"/>
  <c r="A3913" i="22"/>
  <c r="AI3912" i="22"/>
  <c r="AH3912" i="22"/>
  <c r="AG3912" i="22"/>
  <c r="AE3912" i="22"/>
  <c r="Y3912" i="22"/>
  <c r="X3912" i="22"/>
  <c r="W3912" i="22"/>
  <c r="U3912" i="22"/>
  <c r="O3912" i="22"/>
  <c r="N3912" i="22"/>
  <c r="M3912" i="22"/>
  <c r="K3912" i="22"/>
  <c r="E3912" i="22"/>
  <c r="D3912" i="22"/>
  <c r="C3912" i="22"/>
  <c r="A3912" i="22"/>
  <c r="AI3911" i="22"/>
  <c r="AH3911" i="22"/>
  <c r="AG3911" i="22"/>
  <c r="AE3911" i="22"/>
  <c r="Y3911" i="22"/>
  <c r="X3911" i="22"/>
  <c r="W3911" i="22"/>
  <c r="U3911" i="22"/>
  <c r="O3911" i="22"/>
  <c r="N3911" i="22"/>
  <c r="M3911" i="22"/>
  <c r="K3911" i="22"/>
  <c r="E3911" i="22"/>
  <c r="D3911" i="22"/>
  <c r="C3911" i="22"/>
  <c r="A3911" i="22"/>
  <c r="AI3910" i="22"/>
  <c r="AH3910" i="22"/>
  <c r="AG3910" i="22"/>
  <c r="AE3910" i="22"/>
  <c r="Y3910" i="22"/>
  <c r="X3910" i="22"/>
  <c r="W3910" i="22"/>
  <c r="U3910" i="22"/>
  <c r="O3910" i="22"/>
  <c r="N3910" i="22"/>
  <c r="M3910" i="22"/>
  <c r="K3910" i="22"/>
  <c r="E3910" i="22"/>
  <c r="D3910" i="22"/>
  <c r="C3910" i="22"/>
  <c r="A3910" i="22"/>
  <c r="AI3909" i="22"/>
  <c r="AH3909" i="22"/>
  <c r="AG3909" i="22"/>
  <c r="AE3909" i="22"/>
  <c r="Y3909" i="22"/>
  <c r="X3909" i="22"/>
  <c r="W3909" i="22"/>
  <c r="U3909" i="22"/>
  <c r="O3909" i="22"/>
  <c r="N3909" i="22"/>
  <c r="M3909" i="22"/>
  <c r="K3909" i="22"/>
  <c r="E3909" i="22"/>
  <c r="D3909" i="22"/>
  <c r="C3909" i="22"/>
  <c r="A3909" i="22"/>
  <c r="AI3908" i="22"/>
  <c r="AH3908" i="22"/>
  <c r="AG3908" i="22"/>
  <c r="AE3908" i="22"/>
  <c r="Y3908" i="22"/>
  <c r="X3908" i="22"/>
  <c r="W3908" i="22"/>
  <c r="U3908" i="22"/>
  <c r="O3908" i="22"/>
  <c r="N3908" i="22"/>
  <c r="M3908" i="22"/>
  <c r="K3908" i="22"/>
  <c r="E3908" i="22"/>
  <c r="D3908" i="22"/>
  <c r="C3908" i="22"/>
  <c r="A3908" i="22"/>
  <c r="AI3907" i="22"/>
  <c r="AH3907" i="22"/>
  <c r="AG3907" i="22"/>
  <c r="AE3907" i="22"/>
  <c r="Y3907" i="22"/>
  <c r="X3907" i="22"/>
  <c r="W3907" i="22"/>
  <c r="U3907" i="22"/>
  <c r="O3907" i="22"/>
  <c r="N3907" i="22"/>
  <c r="M3907" i="22"/>
  <c r="K3907" i="22"/>
  <c r="E3907" i="22"/>
  <c r="D3907" i="22"/>
  <c r="C3907" i="22"/>
  <c r="A3907" i="22"/>
  <c r="AI3906" i="22"/>
  <c r="AH3906" i="22"/>
  <c r="AG3906" i="22"/>
  <c r="AE3906" i="22"/>
  <c r="Y3906" i="22"/>
  <c r="X3906" i="22"/>
  <c r="W3906" i="22"/>
  <c r="U3906" i="22"/>
  <c r="O3906" i="22"/>
  <c r="N3906" i="22"/>
  <c r="M3906" i="22"/>
  <c r="K3906" i="22"/>
  <c r="E3906" i="22"/>
  <c r="D3906" i="22"/>
  <c r="C3906" i="22"/>
  <c r="A3906" i="22"/>
  <c r="AI3905" i="22"/>
  <c r="AH3905" i="22"/>
  <c r="AG3905" i="22"/>
  <c r="AE3905" i="22"/>
  <c r="Y3905" i="22"/>
  <c r="X3905" i="22"/>
  <c r="W3905" i="22"/>
  <c r="U3905" i="22"/>
  <c r="O3905" i="22"/>
  <c r="N3905" i="22"/>
  <c r="M3905" i="22"/>
  <c r="K3905" i="22"/>
  <c r="E3905" i="22"/>
  <c r="D3905" i="22"/>
  <c r="C3905" i="22"/>
  <c r="A3905" i="22"/>
  <c r="AI3904" i="22"/>
  <c r="AH3904" i="22"/>
  <c r="AG3904" i="22"/>
  <c r="AE3904" i="22"/>
  <c r="Y3904" i="22"/>
  <c r="X3904" i="22"/>
  <c r="W3904" i="22"/>
  <c r="U3904" i="22"/>
  <c r="O3904" i="22"/>
  <c r="N3904" i="22"/>
  <c r="M3904" i="22"/>
  <c r="K3904" i="22"/>
  <c r="E3904" i="22"/>
  <c r="D3904" i="22"/>
  <c r="C3904" i="22"/>
  <c r="A3904" i="22"/>
  <c r="AI3903" i="22"/>
  <c r="AH3903" i="22"/>
  <c r="AG3903" i="22"/>
  <c r="AE3903" i="22"/>
  <c r="Y3903" i="22"/>
  <c r="X3903" i="22"/>
  <c r="W3903" i="22"/>
  <c r="U3903" i="22"/>
  <c r="O3903" i="22"/>
  <c r="N3903" i="22"/>
  <c r="M3903" i="22"/>
  <c r="K3903" i="22"/>
  <c r="E3903" i="22"/>
  <c r="D3903" i="22"/>
  <c r="C3903" i="22"/>
  <c r="A3903" i="22"/>
  <c r="AI3902" i="22"/>
  <c r="AH3902" i="22"/>
  <c r="AG3902" i="22"/>
  <c r="AE3902" i="22"/>
  <c r="Y3902" i="22"/>
  <c r="X3902" i="22"/>
  <c r="W3902" i="22"/>
  <c r="U3902" i="22"/>
  <c r="O3902" i="22"/>
  <c r="N3902" i="22"/>
  <c r="M3902" i="22"/>
  <c r="K3902" i="22"/>
  <c r="E3902" i="22"/>
  <c r="D3902" i="22"/>
  <c r="C3902" i="22"/>
  <c r="A3902" i="22"/>
  <c r="AI3901" i="22"/>
  <c r="AH3901" i="22"/>
  <c r="AG3901" i="22"/>
  <c r="AE3901" i="22"/>
  <c r="Y3901" i="22"/>
  <c r="X3901" i="22"/>
  <c r="W3901" i="22"/>
  <c r="U3901" i="22"/>
  <c r="O3901" i="22"/>
  <c r="N3901" i="22"/>
  <c r="M3901" i="22"/>
  <c r="K3901" i="22"/>
  <c r="E3901" i="22"/>
  <c r="D3901" i="22"/>
  <c r="C3901" i="22"/>
  <c r="A3901" i="22"/>
  <c r="AI3900" i="22"/>
  <c r="AH3900" i="22"/>
  <c r="AG3900" i="22"/>
  <c r="AE3900" i="22"/>
  <c r="Y3900" i="22"/>
  <c r="X3900" i="22"/>
  <c r="W3900" i="22"/>
  <c r="U3900" i="22"/>
  <c r="O3900" i="22"/>
  <c r="N3900" i="22"/>
  <c r="M3900" i="22"/>
  <c r="K3900" i="22"/>
  <c r="E3900" i="22"/>
  <c r="D3900" i="22"/>
  <c r="C3900" i="22"/>
  <c r="A3900" i="22"/>
  <c r="AI3899" i="22"/>
  <c r="AH3899" i="22"/>
  <c r="AG3899" i="22"/>
  <c r="AE3899" i="22"/>
  <c r="Y3899" i="22"/>
  <c r="X3899" i="22"/>
  <c r="W3899" i="22"/>
  <c r="U3899" i="22"/>
  <c r="O3899" i="22"/>
  <c r="N3899" i="22"/>
  <c r="M3899" i="22"/>
  <c r="K3899" i="22"/>
  <c r="E3899" i="22"/>
  <c r="D3899" i="22"/>
  <c r="C3899" i="22"/>
  <c r="A3899" i="22"/>
  <c r="AI3898" i="22"/>
  <c r="AH3898" i="22"/>
  <c r="AG3898" i="22"/>
  <c r="AE3898" i="22"/>
  <c r="Y3898" i="22"/>
  <c r="X3898" i="22"/>
  <c r="W3898" i="22"/>
  <c r="U3898" i="22"/>
  <c r="O3898" i="22"/>
  <c r="N3898" i="22"/>
  <c r="M3898" i="22"/>
  <c r="K3898" i="22"/>
  <c r="E3898" i="22"/>
  <c r="D3898" i="22"/>
  <c r="C3898" i="22"/>
  <c r="A3898" i="22"/>
  <c r="AI3897" i="22"/>
  <c r="AH3897" i="22"/>
  <c r="AG3897" i="22"/>
  <c r="AE3897" i="22"/>
  <c r="Y3897" i="22"/>
  <c r="X3897" i="22"/>
  <c r="W3897" i="22"/>
  <c r="U3897" i="22"/>
  <c r="O3897" i="22"/>
  <c r="N3897" i="22"/>
  <c r="M3897" i="22"/>
  <c r="K3897" i="22"/>
  <c r="E3897" i="22"/>
  <c r="D3897" i="22"/>
  <c r="C3897" i="22"/>
  <c r="A3897" i="22"/>
  <c r="AI3896" i="22"/>
  <c r="AH3896" i="22"/>
  <c r="AG3896" i="22"/>
  <c r="AE3896" i="22"/>
  <c r="Y3896" i="22"/>
  <c r="X3896" i="22"/>
  <c r="W3896" i="22"/>
  <c r="U3896" i="22"/>
  <c r="O3896" i="22"/>
  <c r="N3896" i="22"/>
  <c r="M3896" i="22"/>
  <c r="K3896" i="22"/>
  <c r="E3896" i="22"/>
  <c r="D3896" i="22"/>
  <c r="C3896" i="22"/>
  <c r="A3896" i="22"/>
  <c r="AI3895" i="22"/>
  <c r="AH3895" i="22"/>
  <c r="AG3895" i="22"/>
  <c r="AE3895" i="22"/>
  <c r="Y3895" i="22"/>
  <c r="X3895" i="22"/>
  <c r="W3895" i="22"/>
  <c r="U3895" i="22"/>
  <c r="O3895" i="22"/>
  <c r="N3895" i="22"/>
  <c r="M3895" i="22"/>
  <c r="K3895" i="22"/>
  <c r="E3895" i="22"/>
  <c r="D3895" i="22"/>
  <c r="C3895" i="22"/>
  <c r="A3895" i="22"/>
  <c r="AI3894" i="22"/>
  <c r="AH3894" i="22"/>
  <c r="AG3894" i="22"/>
  <c r="AE3894" i="22"/>
  <c r="Y3894" i="22"/>
  <c r="X3894" i="22"/>
  <c r="W3894" i="22"/>
  <c r="U3894" i="22"/>
  <c r="O3894" i="22"/>
  <c r="N3894" i="22"/>
  <c r="M3894" i="22"/>
  <c r="K3894" i="22"/>
  <c r="E3894" i="22"/>
  <c r="D3894" i="22"/>
  <c r="C3894" i="22"/>
  <c r="A3894" i="22"/>
  <c r="AI3893" i="22"/>
  <c r="AH3893" i="22"/>
  <c r="AG3893" i="22"/>
  <c r="AE3893" i="22"/>
  <c r="Y3893" i="22"/>
  <c r="X3893" i="22"/>
  <c r="W3893" i="22"/>
  <c r="U3893" i="22"/>
  <c r="O3893" i="22"/>
  <c r="N3893" i="22"/>
  <c r="M3893" i="22"/>
  <c r="K3893" i="22"/>
  <c r="E3893" i="22"/>
  <c r="D3893" i="22"/>
  <c r="C3893" i="22"/>
  <c r="A3893" i="22"/>
  <c r="AI3892" i="22"/>
  <c r="AH3892" i="22"/>
  <c r="AG3892" i="22"/>
  <c r="AE3892" i="22"/>
  <c r="Y3892" i="22"/>
  <c r="X3892" i="22"/>
  <c r="W3892" i="22"/>
  <c r="U3892" i="22"/>
  <c r="O3892" i="22"/>
  <c r="N3892" i="22"/>
  <c r="M3892" i="22"/>
  <c r="K3892" i="22"/>
  <c r="E3892" i="22"/>
  <c r="D3892" i="22"/>
  <c r="C3892" i="22"/>
  <c r="A3892" i="22"/>
  <c r="AI3891" i="22"/>
  <c r="AH3891" i="22"/>
  <c r="AG3891" i="22"/>
  <c r="AE3891" i="22"/>
  <c r="Y3891" i="22"/>
  <c r="X3891" i="22"/>
  <c r="W3891" i="22"/>
  <c r="U3891" i="22"/>
  <c r="O3891" i="22"/>
  <c r="N3891" i="22"/>
  <c r="M3891" i="22"/>
  <c r="K3891" i="22"/>
  <c r="E3891" i="22"/>
  <c r="D3891" i="22"/>
  <c r="C3891" i="22"/>
  <c r="A3891" i="22"/>
  <c r="AI3890" i="22"/>
  <c r="AH3890" i="22"/>
  <c r="AG3890" i="22"/>
  <c r="AE3890" i="22"/>
  <c r="Y3890" i="22"/>
  <c r="X3890" i="22"/>
  <c r="W3890" i="22"/>
  <c r="U3890" i="22"/>
  <c r="O3890" i="22"/>
  <c r="N3890" i="22"/>
  <c r="M3890" i="22"/>
  <c r="K3890" i="22"/>
  <c r="E3890" i="22"/>
  <c r="D3890" i="22"/>
  <c r="C3890" i="22"/>
  <c r="A3890" i="22"/>
  <c r="AI3889" i="22"/>
  <c r="AH3889" i="22"/>
  <c r="AG3889" i="22"/>
  <c r="AE3889" i="22"/>
  <c r="Y3889" i="22"/>
  <c r="X3889" i="22"/>
  <c r="W3889" i="22"/>
  <c r="U3889" i="22"/>
  <c r="O3889" i="22"/>
  <c r="N3889" i="22"/>
  <c r="M3889" i="22"/>
  <c r="K3889" i="22"/>
  <c r="E3889" i="22"/>
  <c r="D3889" i="22"/>
  <c r="C3889" i="22"/>
  <c r="A3889" i="22"/>
  <c r="AI3888" i="22"/>
  <c r="AH3888" i="22"/>
  <c r="AG3888" i="22"/>
  <c r="AE3888" i="22"/>
  <c r="Y3888" i="22"/>
  <c r="X3888" i="22"/>
  <c r="W3888" i="22"/>
  <c r="U3888" i="22"/>
  <c r="O3888" i="22"/>
  <c r="N3888" i="22"/>
  <c r="M3888" i="22"/>
  <c r="K3888" i="22"/>
  <c r="E3888" i="22"/>
  <c r="D3888" i="22"/>
  <c r="C3888" i="22"/>
  <c r="A3888" i="22"/>
  <c r="AI3887" i="22"/>
  <c r="AH3887" i="22"/>
  <c r="AG3887" i="22"/>
  <c r="AE3887" i="22"/>
  <c r="Y3887" i="22"/>
  <c r="X3887" i="22"/>
  <c r="W3887" i="22"/>
  <c r="U3887" i="22"/>
  <c r="O3887" i="22"/>
  <c r="N3887" i="22"/>
  <c r="M3887" i="22"/>
  <c r="K3887" i="22"/>
  <c r="E3887" i="22"/>
  <c r="D3887" i="22"/>
  <c r="C3887" i="22"/>
  <c r="A3887" i="22"/>
  <c r="AI3886" i="22"/>
  <c r="AH3886" i="22"/>
  <c r="AG3886" i="22"/>
  <c r="AE3886" i="22"/>
  <c r="Y3886" i="22"/>
  <c r="X3886" i="22"/>
  <c r="W3886" i="22"/>
  <c r="U3886" i="22"/>
  <c r="O3886" i="22"/>
  <c r="N3886" i="22"/>
  <c r="M3886" i="22"/>
  <c r="K3886" i="22"/>
  <c r="E3886" i="22"/>
  <c r="D3886" i="22"/>
  <c r="C3886" i="22"/>
  <c r="A3886" i="22"/>
  <c r="AI3885" i="22"/>
  <c r="AH3885" i="22"/>
  <c r="AG3885" i="22"/>
  <c r="AE3885" i="22"/>
  <c r="Y3885" i="22"/>
  <c r="X3885" i="22"/>
  <c r="W3885" i="22"/>
  <c r="U3885" i="22"/>
  <c r="O3885" i="22"/>
  <c r="N3885" i="22"/>
  <c r="M3885" i="22"/>
  <c r="K3885" i="22"/>
  <c r="E3885" i="22"/>
  <c r="D3885" i="22"/>
  <c r="C3885" i="22"/>
  <c r="A3885" i="22"/>
  <c r="AI3884" i="22"/>
  <c r="AH3884" i="22"/>
  <c r="AG3884" i="22"/>
  <c r="AE3884" i="22"/>
  <c r="Y3884" i="22"/>
  <c r="X3884" i="22"/>
  <c r="W3884" i="22"/>
  <c r="U3884" i="22"/>
  <c r="O3884" i="22"/>
  <c r="N3884" i="22"/>
  <c r="M3884" i="22"/>
  <c r="K3884" i="22"/>
  <c r="E3884" i="22"/>
  <c r="D3884" i="22"/>
  <c r="C3884" i="22"/>
  <c r="A3884" i="22"/>
  <c r="AI3883" i="22"/>
  <c r="AH3883" i="22"/>
  <c r="AG3883" i="22"/>
  <c r="AE3883" i="22"/>
  <c r="Y3883" i="22"/>
  <c r="X3883" i="22"/>
  <c r="W3883" i="22"/>
  <c r="U3883" i="22"/>
  <c r="O3883" i="22"/>
  <c r="N3883" i="22"/>
  <c r="M3883" i="22"/>
  <c r="K3883" i="22"/>
  <c r="E3883" i="22"/>
  <c r="D3883" i="22"/>
  <c r="C3883" i="22"/>
  <c r="A3883" i="22"/>
  <c r="AI3882" i="22"/>
  <c r="AH3882" i="22"/>
  <c r="AG3882" i="22"/>
  <c r="AE3882" i="22"/>
  <c r="Y3882" i="22"/>
  <c r="X3882" i="22"/>
  <c r="W3882" i="22"/>
  <c r="U3882" i="22"/>
  <c r="O3882" i="22"/>
  <c r="N3882" i="22"/>
  <c r="M3882" i="22"/>
  <c r="K3882" i="22"/>
  <c r="E3882" i="22"/>
  <c r="D3882" i="22"/>
  <c r="C3882" i="22"/>
  <c r="A3882" i="22"/>
  <c r="AI3881" i="22"/>
  <c r="AH3881" i="22"/>
  <c r="AG3881" i="22"/>
  <c r="AE3881" i="22"/>
  <c r="Y3881" i="22"/>
  <c r="X3881" i="22"/>
  <c r="W3881" i="22"/>
  <c r="U3881" i="22"/>
  <c r="O3881" i="22"/>
  <c r="N3881" i="22"/>
  <c r="M3881" i="22"/>
  <c r="K3881" i="22"/>
  <c r="E3881" i="22"/>
  <c r="D3881" i="22"/>
  <c r="C3881" i="22"/>
  <c r="A3881" i="22"/>
  <c r="AI3880" i="22"/>
  <c r="AH3880" i="22"/>
  <c r="AG3880" i="22"/>
  <c r="AE3880" i="22"/>
  <c r="Y3880" i="22"/>
  <c r="X3880" i="22"/>
  <c r="W3880" i="22"/>
  <c r="U3880" i="22"/>
  <c r="O3880" i="22"/>
  <c r="N3880" i="22"/>
  <c r="M3880" i="22"/>
  <c r="K3880" i="22"/>
  <c r="E3880" i="22"/>
  <c r="D3880" i="22"/>
  <c r="C3880" i="22"/>
  <c r="A3880" i="22"/>
  <c r="AI3879" i="22"/>
  <c r="AH3879" i="22"/>
  <c r="AG3879" i="22"/>
  <c r="AE3879" i="22"/>
  <c r="Y3879" i="22"/>
  <c r="X3879" i="22"/>
  <c r="W3879" i="22"/>
  <c r="U3879" i="22"/>
  <c r="O3879" i="22"/>
  <c r="N3879" i="22"/>
  <c r="M3879" i="22"/>
  <c r="K3879" i="22"/>
  <c r="E3879" i="22"/>
  <c r="D3879" i="22"/>
  <c r="C3879" i="22"/>
  <c r="A3879" i="22"/>
  <c r="AI3878" i="22"/>
  <c r="AH3878" i="22"/>
  <c r="AG3878" i="22"/>
  <c r="AE3878" i="22"/>
  <c r="Y3878" i="22"/>
  <c r="X3878" i="22"/>
  <c r="W3878" i="22"/>
  <c r="U3878" i="22"/>
  <c r="O3878" i="22"/>
  <c r="N3878" i="22"/>
  <c r="M3878" i="22"/>
  <c r="K3878" i="22"/>
  <c r="E3878" i="22"/>
  <c r="D3878" i="22"/>
  <c r="C3878" i="22"/>
  <c r="A3878" i="22"/>
  <c r="AI3877" i="22"/>
  <c r="AH3877" i="22"/>
  <c r="AG3877" i="22"/>
  <c r="AE3877" i="22"/>
  <c r="Y3877" i="22"/>
  <c r="X3877" i="22"/>
  <c r="W3877" i="22"/>
  <c r="U3877" i="22"/>
  <c r="O3877" i="22"/>
  <c r="N3877" i="22"/>
  <c r="M3877" i="22"/>
  <c r="K3877" i="22"/>
  <c r="E3877" i="22"/>
  <c r="D3877" i="22"/>
  <c r="C3877" i="22"/>
  <c r="A3877" i="22"/>
  <c r="AI3876" i="22"/>
  <c r="AH3876" i="22"/>
  <c r="AG3876" i="22"/>
  <c r="AE3876" i="22"/>
  <c r="Y3876" i="22"/>
  <c r="X3876" i="22"/>
  <c r="W3876" i="22"/>
  <c r="U3876" i="22"/>
  <c r="O3876" i="22"/>
  <c r="N3876" i="22"/>
  <c r="M3876" i="22"/>
  <c r="K3876" i="22"/>
  <c r="E3876" i="22"/>
  <c r="D3876" i="22"/>
  <c r="C3876" i="22"/>
  <c r="A3876" i="22"/>
  <c r="AI3875" i="22"/>
  <c r="AH3875" i="22"/>
  <c r="AG3875" i="22"/>
  <c r="AE3875" i="22"/>
  <c r="Y3875" i="22"/>
  <c r="X3875" i="22"/>
  <c r="W3875" i="22"/>
  <c r="U3875" i="22"/>
  <c r="O3875" i="22"/>
  <c r="N3875" i="22"/>
  <c r="M3875" i="22"/>
  <c r="K3875" i="22"/>
  <c r="E3875" i="22"/>
  <c r="D3875" i="22"/>
  <c r="C3875" i="22"/>
  <c r="A3875" i="22"/>
  <c r="AI3874" i="22"/>
  <c r="AH3874" i="22"/>
  <c r="AG3874" i="22"/>
  <c r="AE3874" i="22"/>
  <c r="Y3874" i="22"/>
  <c r="X3874" i="22"/>
  <c r="W3874" i="22"/>
  <c r="U3874" i="22"/>
  <c r="O3874" i="22"/>
  <c r="N3874" i="22"/>
  <c r="M3874" i="22"/>
  <c r="K3874" i="22"/>
  <c r="E3874" i="22"/>
  <c r="D3874" i="22"/>
  <c r="C3874" i="22"/>
  <c r="A3874" i="22"/>
  <c r="AI3873" i="22"/>
  <c r="AH3873" i="22"/>
  <c r="AG3873" i="22"/>
  <c r="AE3873" i="22"/>
  <c r="Y3873" i="22"/>
  <c r="X3873" i="22"/>
  <c r="W3873" i="22"/>
  <c r="U3873" i="22"/>
  <c r="O3873" i="22"/>
  <c r="N3873" i="22"/>
  <c r="M3873" i="22"/>
  <c r="K3873" i="22"/>
  <c r="E3873" i="22"/>
  <c r="D3873" i="22"/>
  <c r="C3873" i="22"/>
  <c r="A3873" i="22"/>
  <c r="AI3872" i="22"/>
  <c r="AH3872" i="22"/>
  <c r="AG3872" i="22"/>
  <c r="AE3872" i="22"/>
  <c r="Y3872" i="22"/>
  <c r="X3872" i="22"/>
  <c r="W3872" i="22"/>
  <c r="U3872" i="22"/>
  <c r="O3872" i="22"/>
  <c r="N3872" i="22"/>
  <c r="M3872" i="22"/>
  <c r="K3872" i="22"/>
  <c r="E3872" i="22"/>
  <c r="D3872" i="22"/>
  <c r="C3872" i="22"/>
  <c r="A3872" i="22"/>
  <c r="AI3871" i="22"/>
  <c r="AH3871" i="22"/>
  <c r="AG3871" i="22"/>
  <c r="AE3871" i="22"/>
  <c r="Y3871" i="22"/>
  <c r="X3871" i="22"/>
  <c r="W3871" i="22"/>
  <c r="U3871" i="22"/>
  <c r="O3871" i="22"/>
  <c r="N3871" i="22"/>
  <c r="M3871" i="22"/>
  <c r="K3871" i="22"/>
  <c r="E3871" i="22"/>
  <c r="D3871" i="22"/>
  <c r="C3871" i="22"/>
  <c r="A3871" i="22"/>
  <c r="AG3870" i="22"/>
  <c r="AH3870" i="22" s="1"/>
  <c r="AI3870" i="22" s="1"/>
  <c r="AE3870" i="22"/>
  <c r="W3870" i="22"/>
  <c r="X3870" i="22" s="1"/>
  <c r="Y3870" i="22" s="1"/>
  <c r="U3870" i="22"/>
  <c r="M3870" i="22"/>
  <c r="N3870" i="22" s="1"/>
  <c r="O3870" i="22" s="1"/>
  <c r="K3870" i="22"/>
  <c r="C3870" i="22"/>
  <c r="D3870" i="22" s="1"/>
  <c r="E3870" i="22" s="1"/>
  <c r="A3870" i="22"/>
  <c r="AH3869" i="22"/>
  <c r="AI3869" i="22" s="1"/>
  <c r="AG3869" i="22"/>
  <c r="AE3869" i="22"/>
  <c r="X3869" i="22"/>
  <c r="Y3869" i="22" s="1"/>
  <c r="W3869" i="22"/>
  <c r="U3869" i="22"/>
  <c r="N3869" i="22"/>
  <c r="O3869" i="22" s="1"/>
  <c r="M3869" i="22"/>
  <c r="K3869" i="22"/>
  <c r="D3869" i="22"/>
  <c r="E3869" i="22" s="1"/>
  <c r="C3869" i="22"/>
  <c r="A3869" i="22"/>
  <c r="AH3868" i="22"/>
  <c r="AI3868" i="22" s="1"/>
  <c r="AG3868" i="22"/>
  <c r="AE3868" i="22"/>
  <c r="X3868" i="22"/>
  <c r="Y3868" i="22" s="1"/>
  <c r="W3868" i="22"/>
  <c r="U3868" i="22"/>
  <c r="N3868" i="22"/>
  <c r="O3868" i="22" s="1"/>
  <c r="M3868" i="22"/>
  <c r="K3868" i="22"/>
  <c r="D3868" i="22"/>
  <c r="E3868" i="22" s="1"/>
  <c r="C3868" i="22"/>
  <c r="A3868" i="22"/>
  <c r="AH3867" i="22"/>
  <c r="AI3867" i="22" s="1"/>
  <c r="AG3867" i="22"/>
  <c r="AE3867" i="22"/>
  <c r="X3867" i="22"/>
  <c r="Y3867" i="22" s="1"/>
  <c r="W3867" i="22"/>
  <c r="U3867" i="22"/>
  <c r="N3867" i="22"/>
  <c r="O3867" i="22" s="1"/>
  <c r="M3867" i="22"/>
  <c r="K3867" i="22"/>
  <c r="D3867" i="22"/>
  <c r="E3867" i="22" s="1"/>
  <c r="C3867" i="22"/>
  <c r="A3867" i="22"/>
  <c r="AG3866" i="22"/>
  <c r="AH3866" i="22" s="1"/>
  <c r="AI3866" i="22" s="1"/>
  <c r="AE3866" i="22"/>
  <c r="W3866" i="22"/>
  <c r="X3866" i="22" s="1"/>
  <c r="Y3866" i="22" s="1"/>
  <c r="U3866" i="22"/>
  <c r="M3866" i="22"/>
  <c r="N3866" i="22" s="1"/>
  <c r="O3866" i="22" s="1"/>
  <c r="K3866" i="22"/>
  <c r="C3866" i="22"/>
  <c r="D3866" i="22" s="1"/>
  <c r="E3866" i="22" s="1"/>
  <c r="A3866" i="22"/>
  <c r="AH3865" i="22"/>
  <c r="AI3865" i="22" s="1"/>
  <c r="AG3865" i="22"/>
  <c r="AE3865" i="22"/>
  <c r="X3865" i="22"/>
  <c r="Y3865" i="22" s="1"/>
  <c r="W3865" i="22"/>
  <c r="U3865" i="22"/>
  <c r="N3865" i="22"/>
  <c r="O3865" i="22" s="1"/>
  <c r="M3865" i="22"/>
  <c r="K3865" i="22"/>
  <c r="D3865" i="22"/>
  <c r="E3865" i="22" s="1"/>
  <c r="C3865" i="22"/>
  <c r="A3865" i="22"/>
  <c r="AH3864" i="22"/>
  <c r="AI3864" i="22" s="1"/>
  <c r="AG3864" i="22"/>
  <c r="AE3864" i="22"/>
  <c r="X3864" i="22"/>
  <c r="Y3864" i="22" s="1"/>
  <c r="W3864" i="22"/>
  <c r="U3864" i="22"/>
  <c r="N3864" i="22"/>
  <c r="O3864" i="22" s="1"/>
  <c r="M3864" i="22"/>
  <c r="K3864" i="22"/>
  <c r="D3864" i="22"/>
  <c r="E3864" i="22" s="1"/>
  <c r="C3864" i="22"/>
  <c r="A3864" i="22"/>
  <c r="AH3863" i="22"/>
  <c r="AI3863" i="22" s="1"/>
  <c r="AG3863" i="22"/>
  <c r="AE3863" i="22"/>
  <c r="X3863" i="22"/>
  <c r="Y3863" i="22" s="1"/>
  <c r="W3863" i="22"/>
  <c r="U3863" i="22"/>
  <c r="N3863" i="22"/>
  <c r="O3863" i="22" s="1"/>
  <c r="M3863" i="22"/>
  <c r="K3863" i="22"/>
  <c r="D3863" i="22"/>
  <c r="E3863" i="22" s="1"/>
  <c r="C3863" i="22"/>
  <c r="A3863" i="22"/>
  <c r="AG3862" i="22"/>
  <c r="AH3862" i="22" s="1"/>
  <c r="AI3862" i="22" s="1"/>
  <c r="AE3862" i="22"/>
  <c r="W3862" i="22"/>
  <c r="X3862" i="22" s="1"/>
  <c r="Y3862" i="22" s="1"/>
  <c r="U3862" i="22"/>
  <c r="M3862" i="22"/>
  <c r="N3862" i="22" s="1"/>
  <c r="O3862" i="22" s="1"/>
  <c r="K3862" i="22"/>
  <c r="C3862" i="22"/>
  <c r="D3862" i="22" s="1"/>
  <c r="E3862" i="22" s="1"/>
  <c r="A3862" i="22"/>
  <c r="AH3861" i="22"/>
  <c r="AI3861" i="22" s="1"/>
  <c r="AG3861" i="22"/>
  <c r="AE3861" i="22"/>
  <c r="X3861" i="22"/>
  <c r="Y3861" i="22" s="1"/>
  <c r="W3861" i="22"/>
  <c r="U3861" i="22"/>
  <c r="N3861" i="22"/>
  <c r="O3861" i="22" s="1"/>
  <c r="M3861" i="22"/>
  <c r="K3861" i="22"/>
  <c r="D3861" i="22"/>
  <c r="E3861" i="22" s="1"/>
  <c r="C3861" i="22"/>
  <c r="A3861" i="22"/>
  <c r="AH3860" i="22"/>
  <c r="AI3860" i="22" s="1"/>
  <c r="AG3860" i="22"/>
  <c r="AE3860" i="22"/>
  <c r="X3860" i="22"/>
  <c r="Y3860" i="22" s="1"/>
  <c r="W3860" i="22"/>
  <c r="U3860" i="22"/>
  <c r="N3860" i="22"/>
  <c r="O3860" i="22" s="1"/>
  <c r="M3860" i="22"/>
  <c r="K3860" i="22"/>
  <c r="D3860" i="22"/>
  <c r="E3860" i="22" s="1"/>
  <c r="C3860" i="22"/>
  <c r="A3860" i="22"/>
  <c r="AG3859" i="22"/>
  <c r="AH3859" i="22" s="1"/>
  <c r="AI3859" i="22" s="1"/>
  <c r="AE3859" i="22"/>
  <c r="W3859" i="22"/>
  <c r="X3859" i="22" s="1"/>
  <c r="Y3859" i="22" s="1"/>
  <c r="U3859" i="22"/>
  <c r="M3859" i="22"/>
  <c r="N3859" i="22" s="1"/>
  <c r="O3859" i="22" s="1"/>
  <c r="K3859" i="22"/>
  <c r="C3859" i="22"/>
  <c r="D3859" i="22" s="1"/>
  <c r="E3859" i="22" s="1"/>
  <c r="A3859" i="22"/>
  <c r="AH3858" i="22"/>
  <c r="AI3858" i="22" s="1"/>
  <c r="AG3858" i="22"/>
  <c r="AE3858" i="22"/>
  <c r="X3858" i="22"/>
  <c r="Y3858" i="22" s="1"/>
  <c r="W3858" i="22"/>
  <c r="U3858" i="22"/>
  <c r="N3858" i="22"/>
  <c r="O3858" i="22" s="1"/>
  <c r="M3858" i="22"/>
  <c r="K3858" i="22"/>
  <c r="D3858" i="22"/>
  <c r="E3858" i="22" s="1"/>
  <c r="C3858" i="22"/>
  <c r="A3858" i="22"/>
  <c r="AG3857" i="22"/>
  <c r="AH3857" i="22" s="1"/>
  <c r="AI3857" i="22" s="1"/>
  <c r="AE3857" i="22"/>
  <c r="W3857" i="22"/>
  <c r="X3857" i="22" s="1"/>
  <c r="Y3857" i="22" s="1"/>
  <c r="U3857" i="22"/>
  <c r="M3857" i="22"/>
  <c r="N3857" i="22" s="1"/>
  <c r="O3857" i="22" s="1"/>
  <c r="K3857" i="22"/>
  <c r="C3857" i="22"/>
  <c r="D3857" i="22" s="1"/>
  <c r="E3857" i="22" s="1"/>
  <c r="A3857" i="22"/>
  <c r="AH3856" i="22"/>
  <c r="AI3856" i="22" s="1"/>
  <c r="AG3856" i="22"/>
  <c r="AE3856" i="22"/>
  <c r="X3856" i="22"/>
  <c r="Y3856" i="22" s="1"/>
  <c r="W3856" i="22"/>
  <c r="U3856" i="22"/>
  <c r="N3856" i="22"/>
  <c r="O3856" i="22" s="1"/>
  <c r="M3856" i="22"/>
  <c r="K3856" i="22"/>
  <c r="D3856" i="22"/>
  <c r="E3856" i="22" s="1"/>
  <c r="C3856" i="22"/>
  <c r="A3856" i="22"/>
  <c r="AH3855" i="22"/>
  <c r="AI3855" i="22" s="1"/>
  <c r="AG3855" i="22"/>
  <c r="AE3855" i="22"/>
  <c r="X3855" i="22"/>
  <c r="Y3855" i="22" s="1"/>
  <c r="W3855" i="22"/>
  <c r="U3855" i="22"/>
  <c r="N3855" i="22"/>
  <c r="O3855" i="22" s="1"/>
  <c r="M3855" i="22"/>
  <c r="K3855" i="22"/>
  <c r="D3855" i="22"/>
  <c r="E3855" i="22" s="1"/>
  <c r="C3855" i="22"/>
  <c r="A3855" i="22"/>
  <c r="AH3854" i="22"/>
  <c r="AI3854" i="22" s="1"/>
  <c r="AG3854" i="22"/>
  <c r="AE3854" i="22"/>
  <c r="X3854" i="22"/>
  <c r="Y3854" i="22" s="1"/>
  <c r="W3854" i="22"/>
  <c r="U3854" i="22"/>
  <c r="N3854" i="22"/>
  <c r="O3854" i="22" s="1"/>
  <c r="M3854" i="22"/>
  <c r="K3854" i="22"/>
  <c r="D3854" i="22"/>
  <c r="E3854" i="22" s="1"/>
  <c r="C3854" i="22"/>
  <c r="A3854" i="22"/>
  <c r="AG3853" i="22"/>
  <c r="AH3853" i="22" s="1"/>
  <c r="AI3853" i="22" s="1"/>
  <c r="AE3853" i="22"/>
  <c r="W3853" i="22"/>
  <c r="X3853" i="22" s="1"/>
  <c r="Y3853" i="22" s="1"/>
  <c r="U3853" i="22"/>
  <c r="M3853" i="22"/>
  <c r="N3853" i="22" s="1"/>
  <c r="O3853" i="22" s="1"/>
  <c r="K3853" i="22"/>
  <c r="C3853" i="22"/>
  <c r="D3853" i="22" s="1"/>
  <c r="E3853" i="22" s="1"/>
  <c r="A3853" i="22"/>
  <c r="AH3852" i="22"/>
  <c r="AI3852" i="22" s="1"/>
  <c r="AG3852" i="22"/>
  <c r="AE3852" i="22"/>
  <c r="X3852" i="22"/>
  <c r="Y3852" i="22" s="1"/>
  <c r="W3852" i="22"/>
  <c r="U3852" i="22"/>
  <c r="N3852" i="22"/>
  <c r="O3852" i="22" s="1"/>
  <c r="M3852" i="22"/>
  <c r="K3852" i="22"/>
  <c r="D3852" i="22"/>
  <c r="E3852" i="22" s="1"/>
  <c r="C3852" i="22"/>
  <c r="A3852" i="22"/>
  <c r="AH3851" i="22"/>
  <c r="AI3851" i="22" s="1"/>
  <c r="AG3851" i="22"/>
  <c r="AE3851" i="22"/>
  <c r="X3851" i="22"/>
  <c r="Y3851" i="22" s="1"/>
  <c r="W3851" i="22"/>
  <c r="U3851" i="22"/>
  <c r="N3851" i="22"/>
  <c r="O3851" i="22" s="1"/>
  <c r="M3851" i="22"/>
  <c r="K3851" i="22"/>
  <c r="D3851" i="22"/>
  <c r="E3851" i="22" s="1"/>
  <c r="C3851" i="22"/>
  <c r="A3851" i="22"/>
  <c r="AG3850" i="22"/>
  <c r="AH3850" i="22" s="1"/>
  <c r="AI3850" i="22" s="1"/>
  <c r="AE3850" i="22"/>
  <c r="W3850" i="22"/>
  <c r="X3850" i="22" s="1"/>
  <c r="Y3850" i="22" s="1"/>
  <c r="U3850" i="22"/>
  <c r="M3850" i="22"/>
  <c r="N3850" i="22" s="1"/>
  <c r="O3850" i="22" s="1"/>
  <c r="K3850" i="22"/>
  <c r="C3850" i="22"/>
  <c r="D3850" i="22" s="1"/>
  <c r="E3850" i="22" s="1"/>
  <c r="A3850" i="22"/>
  <c r="AH3849" i="22"/>
  <c r="AI3849" i="22" s="1"/>
  <c r="AG3849" i="22"/>
  <c r="AE3849" i="22"/>
  <c r="X3849" i="22"/>
  <c r="Y3849" i="22" s="1"/>
  <c r="W3849" i="22"/>
  <c r="U3849" i="22"/>
  <c r="N3849" i="22"/>
  <c r="O3849" i="22" s="1"/>
  <c r="M3849" i="22"/>
  <c r="K3849" i="22"/>
  <c r="D3849" i="22"/>
  <c r="E3849" i="22" s="1"/>
  <c r="C3849" i="22"/>
  <c r="A3849" i="22"/>
  <c r="AH3848" i="22"/>
  <c r="AI3848" i="22" s="1"/>
  <c r="AG3848" i="22"/>
  <c r="AE3848" i="22"/>
  <c r="X3848" i="22"/>
  <c r="Y3848" i="22" s="1"/>
  <c r="W3848" i="22"/>
  <c r="U3848" i="22"/>
  <c r="N3848" i="22"/>
  <c r="O3848" i="22" s="1"/>
  <c r="M3848" i="22"/>
  <c r="K3848" i="22"/>
  <c r="D3848" i="22"/>
  <c r="E3848" i="22" s="1"/>
  <c r="C3848" i="22"/>
  <c r="A3848" i="22"/>
  <c r="AH3847" i="22"/>
  <c r="AI3847" i="22" s="1"/>
  <c r="AG3847" i="22"/>
  <c r="AE3847" i="22"/>
  <c r="X3847" i="22"/>
  <c r="Y3847" i="22" s="1"/>
  <c r="W3847" i="22"/>
  <c r="U3847" i="22"/>
  <c r="N3847" i="22"/>
  <c r="O3847" i="22" s="1"/>
  <c r="M3847" i="22"/>
  <c r="K3847" i="22"/>
  <c r="D3847" i="22"/>
  <c r="E3847" i="22" s="1"/>
  <c r="C3847" i="22"/>
  <c r="A3847" i="22"/>
  <c r="AG3846" i="22"/>
  <c r="AH3846" i="22" s="1"/>
  <c r="AI3846" i="22" s="1"/>
  <c r="AE3846" i="22"/>
  <c r="W3846" i="22"/>
  <c r="X3846" i="22" s="1"/>
  <c r="Y3846" i="22" s="1"/>
  <c r="U3846" i="22"/>
  <c r="M3846" i="22"/>
  <c r="N3846" i="22" s="1"/>
  <c r="O3846" i="22" s="1"/>
  <c r="K3846" i="22"/>
  <c r="C3846" i="22"/>
  <c r="D3846" i="22" s="1"/>
  <c r="E3846" i="22" s="1"/>
  <c r="A3846" i="22"/>
  <c r="AH3845" i="22"/>
  <c r="AI3845" i="22" s="1"/>
  <c r="AG3845" i="22"/>
  <c r="AE3845" i="22"/>
  <c r="X3845" i="22"/>
  <c r="Y3845" i="22" s="1"/>
  <c r="W3845" i="22"/>
  <c r="U3845" i="22"/>
  <c r="N3845" i="22"/>
  <c r="O3845" i="22" s="1"/>
  <c r="M3845" i="22"/>
  <c r="K3845" i="22"/>
  <c r="D3845" i="22"/>
  <c r="E3845" i="22" s="1"/>
  <c r="C3845" i="22"/>
  <c r="A3845" i="22"/>
  <c r="AH3844" i="22"/>
  <c r="AI3844" i="22" s="1"/>
  <c r="AG3844" i="22"/>
  <c r="AE3844" i="22"/>
  <c r="X3844" i="22"/>
  <c r="Y3844" i="22" s="1"/>
  <c r="W3844" i="22"/>
  <c r="U3844" i="22"/>
  <c r="N3844" i="22"/>
  <c r="O3844" i="22" s="1"/>
  <c r="M3844" i="22"/>
  <c r="K3844" i="22"/>
  <c r="D3844" i="22"/>
  <c r="E3844" i="22" s="1"/>
  <c r="C3844" i="22"/>
  <c r="A3844" i="22"/>
  <c r="AH3843" i="22"/>
  <c r="AI3843" i="22" s="1"/>
  <c r="AG3843" i="22"/>
  <c r="AE3843" i="22"/>
  <c r="X3843" i="22"/>
  <c r="Y3843" i="22" s="1"/>
  <c r="W3843" i="22"/>
  <c r="U3843" i="22"/>
  <c r="N3843" i="22"/>
  <c r="O3843" i="22" s="1"/>
  <c r="M3843" i="22"/>
  <c r="K3843" i="22"/>
  <c r="D3843" i="22"/>
  <c r="E3843" i="22" s="1"/>
  <c r="C3843" i="22"/>
  <c r="A3843" i="22"/>
  <c r="AG3842" i="22"/>
  <c r="AH3842" i="22" s="1"/>
  <c r="AI3842" i="22" s="1"/>
  <c r="AE3842" i="22"/>
  <c r="W3842" i="22"/>
  <c r="X3842" i="22" s="1"/>
  <c r="Y3842" i="22" s="1"/>
  <c r="U3842" i="22"/>
  <c r="M3842" i="22"/>
  <c r="N3842" i="22" s="1"/>
  <c r="O3842" i="22" s="1"/>
  <c r="K3842" i="22"/>
  <c r="C3842" i="22"/>
  <c r="D3842" i="22" s="1"/>
  <c r="E3842" i="22" s="1"/>
  <c r="A3842" i="22"/>
  <c r="AH3841" i="22"/>
  <c r="AI3841" i="22" s="1"/>
  <c r="AG3841" i="22"/>
  <c r="AE3841" i="22"/>
  <c r="X3841" i="22"/>
  <c r="Y3841" i="22" s="1"/>
  <c r="W3841" i="22"/>
  <c r="U3841" i="22"/>
  <c r="N3841" i="22"/>
  <c r="O3841" i="22" s="1"/>
  <c r="M3841" i="22"/>
  <c r="K3841" i="22"/>
  <c r="D3841" i="22"/>
  <c r="E3841" i="22" s="1"/>
  <c r="C3841" i="22"/>
  <c r="A3841" i="22"/>
  <c r="AH3840" i="22"/>
  <c r="AI3840" i="22" s="1"/>
  <c r="AG3840" i="22"/>
  <c r="AE3840" i="22"/>
  <c r="X3840" i="22"/>
  <c r="Y3840" i="22" s="1"/>
  <c r="W3840" i="22"/>
  <c r="U3840" i="22"/>
  <c r="N3840" i="22"/>
  <c r="O3840" i="22" s="1"/>
  <c r="M3840" i="22"/>
  <c r="K3840" i="22"/>
  <c r="D3840" i="22"/>
  <c r="E3840" i="22" s="1"/>
  <c r="C3840" i="22"/>
  <c r="A3840" i="22"/>
  <c r="AG3839" i="22"/>
  <c r="AH3839" i="22" s="1"/>
  <c r="AI3839" i="22" s="1"/>
  <c r="AE3839" i="22"/>
  <c r="W3839" i="22"/>
  <c r="X3839" i="22" s="1"/>
  <c r="Y3839" i="22" s="1"/>
  <c r="U3839" i="22"/>
  <c r="M3839" i="22"/>
  <c r="N3839" i="22" s="1"/>
  <c r="O3839" i="22" s="1"/>
  <c r="K3839" i="22"/>
  <c r="C3839" i="22"/>
  <c r="D3839" i="22" s="1"/>
  <c r="E3839" i="22" s="1"/>
  <c r="A3839" i="22"/>
  <c r="AH3838" i="22"/>
  <c r="AI3838" i="22" s="1"/>
  <c r="AG3838" i="22"/>
  <c r="AE3838" i="22"/>
  <c r="X3838" i="22"/>
  <c r="Y3838" i="22" s="1"/>
  <c r="W3838" i="22"/>
  <c r="U3838" i="22"/>
  <c r="N3838" i="22"/>
  <c r="O3838" i="22" s="1"/>
  <c r="M3838" i="22"/>
  <c r="K3838" i="22"/>
  <c r="D3838" i="22"/>
  <c r="E3838" i="22" s="1"/>
  <c r="C3838" i="22"/>
  <c r="A3838" i="22"/>
  <c r="AH3837" i="22"/>
  <c r="AI3837" i="22" s="1"/>
  <c r="AG3837" i="22"/>
  <c r="AE3837" i="22"/>
  <c r="X3837" i="22"/>
  <c r="Y3837" i="22" s="1"/>
  <c r="W3837" i="22"/>
  <c r="U3837" i="22"/>
  <c r="N3837" i="22"/>
  <c r="O3837" i="22" s="1"/>
  <c r="M3837" i="22"/>
  <c r="K3837" i="22"/>
  <c r="D3837" i="22"/>
  <c r="E3837" i="22" s="1"/>
  <c r="C3837" i="22"/>
  <c r="A3837" i="22"/>
  <c r="AG3836" i="22"/>
  <c r="AH3836" i="22" s="1"/>
  <c r="AI3836" i="22" s="1"/>
  <c r="AE3836" i="22"/>
  <c r="W3836" i="22"/>
  <c r="X3836" i="22" s="1"/>
  <c r="Y3836" i="22" s="1"/>
  <c r="U3836" i="22"/>
  <c r="M3836" i="22"/>
  <c r="N3836" i="22" s="1"/>
  <c r="O3836" i="22" s="1"/>
  <c r="K3836" i="22"/>
  <c r="C3836" i="22"/>
  <c r="D3836" i="22" s="1"/>
  <c r="E3836" i="22" s="1"/>
  <c r="A3836" i="22"/>
  <c r="AH3835" i="22"/>
  <c r="AI3835" i="22" s="1"/>
  <c r="AG3835" i="22"/>
  <c r="AE3835" i="22"/>
  <c r="X3835" i="22"/>
  <c r="Y3835" i="22" s="1"/>
  <c r="W3835" i="22"/>
  <c r="U3835" i="22"/>
  <c r="N3835" i="22"/>
  <c r="O3835" i="22" s="1"/>
  <c r="M3835" i="22"/>
  <c r="K3835" i="22"/>
  <c r="D3835" i="22"/>
  <c r="E3835" i="22" s="1"/>
  <c r="C3835" i="22"/>
  <c r="A3835" i="22"/>
  <c r="AH3834" i="22"/>
  <c r="AI3834" i="22" s="1"/>
  <c r="AG3834" i="22"/>
  <c r="AE3834" i="22"/>
  <c r="X3834" i="22"/>
  <c r="Y3834" i="22" s="1"/>
  <c r="W3834" i="22"/>
  <c r="U3834" i="22"/>
  <c r="N3834" i="22"/>
  <c r="O3834" i="22" s="1"/>
  <c r="M3834" i="22"/>
  <c r="K3834" i="22"/>
  <c r="D3834" i="22"/>
  <c r="E3834" i="22" s="1"/>
  <c r="C3834" i="22"/>
  <c r="A3834" i="22"/>
  <c r="AH3833" i="22"/>
  <c r="AI3833" i="22" s="1"/>
  <c r="AG3833" i="22"/>
  <c r="AE3833" i="22"/>
  <c r="X3833" i="22"/>
  <c r="Y3833" i="22" s="1"/>
  <c r="W3833" i="22"/>
  <c r="U3833" i="22"/>
  <c r="N3833" i="22"/>
  <c r="O3833" i="22" s="1"/>
  <c r="M3833" i="22"/>
  <c r="K3833" i="22"/>
  <c r="D3833" i="22"/>
  <c r="E3833" i="22" s="1"/>
  <c r="C3833" i="22"/>
  <c r="A3833" i="22"/>
  <c r="AG3832" i="22"/>
  <c r="AH3832" i="22" s="1"/>
  <c r="AI3832" i="22" s="1"/>
  <c r="AE3832" i="22"/>
  <c r="W3832" i="22"/>
  <c r="X3832" i="22" s="1"/>
  <c r="Y3832" i="22" s="1"/>
  <c r="U3832" i="22"/>
  <c r="M3832" i="22"/>
  <c r="N3832" i="22" s="1"/>
  <c r="O3832" i="22" s="1"/>
  <c r="K3832" i="22"/>
  <c r="C3832" i="22"/>
  <c r="D3832" i="22" s="1"/>
  <c r="E3832" i="22" s="1"/>
  <c r="A3832" i="22"/>
  <c r="AH3831" i="22"/>
  <c r="AI3831" i="22" s="1"/>
  <c r="AG3831" i="22"/>
  <c r="AE3831" i="22"/>
  <c r="X3831" i="22"/>
  <c r="Y3831" i="22" s="1"/>
  <c r="W3831" i="22"/>
  <c r="U3831" i="22"/>
  <c r="N3831" i="22"/>
  <c r="O3831" i="22" s="1"/>
  <c r="M3831" i="22"/>
  <c r="K3831" i="22"/>
  <c r="D3831" i="22"/>
  <c r="E3831" i="22" s="1"/>
  <c r="C3831" i="22"/>
  <c r="A3831" i="22"/>
  <c r="AH3830" i="22"/>
  <c r="AI3830" i="22" s="1"/>
  <c r="AG3830" i="22"/>
  <c r="AE3830" i="22"/>
  <c r="X3830" i="22"/>
  <c r="Y3830" i="22" s="1"/>
  <c r="W3830" i="22"/>
  <c r="U3830" i="22"/>
  <c r="N3830" i="22"/>
  <c r="O3830" i="22" s="1"/>
  <c r="M3830" i="22"/>
  <c r="K3830" i="22"/>
  <c r="D3830" i="22"/>
  <c r="E3830" i="22" s="1"/>
  <c r="C3830" i="22"/>
  <c r="A3830" i="22"/>
  <c r="AG3829" i="22"/>
  <c r="AH3829" i="22" s="1"/>
  <c r="AI3829" i="22" s="1"/>
  <c r="AE3829" i="22"/>
  <c r="W3829" i="22"/>
  <c r="X3829" i="22" s="1"/>
  <c r="Y3829" i="22" s="1"/>
  <c r="U3829" i="22"/>
  <c r="M3829" i="22"/>
  <c r="N3829" i="22" s="1"/>
  <c r="O3829" i="22" s="1"/>
  <c r="K3829" i="22"/>
  <c r="C3829" i="22"/>
  <c r="D3829" i="22" s="1"/>
  <c r="E3829" i="22" s="1"/>
  <c r="A3829" i="22"/>
  <c r="AH3828" i="22"/>
  <c r="AI3828" i="22" s="1"/>
  <c r="AG3828" i="22"/>
  <c r="AE3828" i="22"/>
  <c r="X3828" i="22"/>
  <c r="Y3828" i="22" s="1"/>
  <c r="W3828" i="22"/>
  <c r="U3828" i="22"/>
  <c r="N3828" i="22"/>
  <c r="O3828" i="22" s="1"/>
  <c r="M3828" i="22"/>
  <c r="K3828" i="22"/>
  <c r="D3828" i="22"/>
  <c r="E3828" i="22" s="1"/>
  <c r="C3828" i="22"/>
  <c r="A3828" i="22"/>
  <c r="AH3827" i="22"/>
  <c r="AI3827" i="22" s="1"/>
  <c r="AG3827" i="22"/>
  <c r="AE3827" i="22"/>
  <c r="X3827" i="22"/>
  <c r="Y3827" i="22" s="1"/>
  <c r="W3827" i="22"/>
  <c r="U3827" i="22"/>
  <c r="N3827" i="22"/>
  <c r="O3827" i="22" s="1"/>
  <c r="M3827" i="22"/>
  <c r="K3827" i="22"/>
  <c r="D3827" i="22"/>
  <c r="E3827" i="22" s="1"/>
  <c r="C3827" i="22"/>
  <c r="A3827" i="22"/>
  <c r="AH3826" i="22"/>
  <c r="AI3826" i="22" s="1"/>
  <c r="AG3826" i="22"/>
  <c r="AE3826" i="22"/>
  <c r="X3826" i="22"/>
  <c r="Y3826" i="22" s="1"/>
  <c r="W3826" i="22"/>
  <c r="U3826" i="22"/>
  <c r="N3826" i="22"/>
  <c r="O3826" i="22" s="1"/>
  <c r="M3826" i="22"/>
  <c r="K3826" i="22"/>
  <c r="D3826" i="22"/>
  <c r="E3826" i="22" s="1"/>
  <c r="C3826" i="22"/>
  <c r="A3826" i="22"/>
  <c r="AG3825" i="22"/>
  <c r="AH3825" i="22" s="1"/>
  <c r="AI3825" i="22" s="1"/>
  <c r="AE3825" i="22"/>
  <c r="W3825" i="22"/>
  <c r="X3825" i="22" s="1"/>
  <c r="Y3825" i="22" s="1"/>
  <c r="U3825" i="22"/>
  <c r="M3825" i="22"/>
  <c r="N3825" i="22" s="1"/>
  <c r="O3825" i="22" s="1"/>
  <c r="K3825" i="22"/>
  <c r="C3825" i="22"/>
  <c r="D3825" i="22" s="1"/>
  <c r="E3825" i="22" s="1"/>
  <c r="A3825" i="22"/>
  <c r="AH3824" i="22"/>
  <c r="AI3824" i="22" s="1"/>
  <c r="AG3824" i="22"/>
  <c r="AE3824" i="22"/>
  <c r="X3824" i="22"/>
  <c r="Y3824" i="22" s="1"/>
  <c r="W3824" i="22"/>
  <c r="U3824" i="22"/>
  <c r="N3824" i="22"/>
  <c r="O3824" i="22" s="1"/>
  <c r="M3824" i="22"/>
  <c r="K3824" i="22"/>
  <c r="D3824" i="22"/>
  <c r="E3824" i="22" s="1"/>
  <c r="C3824" i="22"/>
  <c r="A3824" i="22"/>
  <c r="AH3823" i="22"/>
  <c r="AI3823" i="22" s="1"/>
  <c r="AG3823" i="22"/>
  <c r="AE3823" i="22"/>
  <c r="X3823" i="22"/>
  <c r="Y3823" i="22" s="1"/>
  <c r="W3823" i="22"/>
  <c r="U3823" i="22"/>
  <c r="N3823" i="22"/>
  <c r="O3823" i="22" s="1"/>
  <c r="M3823" i="22"/>
  <c r="K3823" i="22"/>
  <c r="D3823" i="22"/>
  <c r="E3823" i="22" s="1"/>
  <c r="C3823" i="22"/>
  <c r="A3823" i="22"/>
  <c r="AH3822" i="22"/>
  <c r="AI3822" i="22" s="1"/>
  <c r="AG3822" i="22"/>
  <c r="AE3822" i="22"/>
  <c r="X3822" i="22"/>
  <c r="Y3822" i="22" s="1"/>
  <c r="W3822" i="22"/>
  <c r="U3822" i="22"/>
  <c r="N3822" i="22"/>
  <c r="O3822" i="22" s="1"/>
  <c r="M3822" i="22"/>
  <c r="K3822" i="22"/>
  <c r="D3822" i="22"/>
  <c r="E3822" i="22" s="1"/>
  <c r="C3822" i="22"/>
  <c r="A3822" i="22"/>
  <c r="AG3821" i="22"/>
  <c r="AH3821" i="22" s="1"/>
  <c r="AI3821" i="22" s="1"/>
  <c r="AE3821" i="22"/>
  <c r="W3821" i="22"/>
  <c r="X3821" i="22" s="1"/>
  <c r="Y3821" i="22" s="1"/>
  <c r="U3821" i="22"/>
  <c r="M3821" i="22"/>
  <c r="N3821" i="22" s="1"/>
  <c r="O3821" i="22" s="1"/>
  <c r="K3821" i="22"/>
  <c r="C3821" i="22"/>
  <c r="D3821" i="22" s="1"/>
  <c r="E3821" i="22" s="1"/>
  <c r="A3821" i="22"/>
  <c r="AH3820" i="22"/>
  <c r="AI3820" i="22" s="1"/>
  <c r="AG3820" i="22"/>
  <c r="AE3820" i="22"/>
  <c r="X3820" i="22"/>
  <c r="Y3820" i="22" s="1"/>
  <c r="W3820" i="22"/>
  <c r="U3820" i="22"/>
  <c r="N3820" i="22"/>
  <c r="O3820" i="22" s="1"/>
  <c r="M3820" i="22"/>
  <c r="K3820" i="22"/>
  <c r="D3820" i="22"/>
  <c r="E3820" i="22" s="1"/>
  <c r="C3820" i="22"/>
  <c r="A3820" i="22"/>
  <c r="AH3819" i="22"/>
  <c r="AI3819" i="22" s="1"/>
  <c r="AG3819" i="22"/>
  <c r="AE3819" i="22"/>
  <c r="X3819" i="22"/>
  <c r="Y3819" i="22" s="1"/>
  <c r="W3819" i="22"/>
  <c r="U3819" i="22"/>
  <c r="N3819" i="22"/>
  <c r="O3819" i="22" s="1"/>
  <c r="M3819" i="22"/>
  <c r="K3819" i="22"/>
  <c r="D3819" i="22"/>
  <c r="E3819" i="22" s="1"/>
  <c r="C3819" i="22"/>
  <c r="A3819" i="22"/>
  <c r="AG3818" i="22"/>
  <c r="AH3818" i="22" s="1"/>
  <c r="AI3818" i="22" s="1"/>
  <c r="AE3818" i="22"/>
  <c r="W3818" i="22"/>
  <c r="X3818" i="22" s="1"/>
  <c r="Y3818" i="22" s="1"/>
  <c r="U3818" i="22"/>
  <c r="M3818" i="22"/>
  <c r="N3818" i="22" s="1"/>
  <c r="O3818" i="22" s="1"/>
  <c r="K3818" i="22"/>
  <c r="C3818" i="22"/>
  <c r="D3818" i="22" s="1"/>
  <c r="E3818" i="22" s="1"/>
  <c r="A3818" i="22"/>
  <c r="AH3817" i="22"/>
  <c r="AI3817" i="22" s="1"/>
  <c r="AG3817" i="22"/>
  <c r="AE3817" i="22"/>
  <c r="X3817" i="22"/>
  <c r="Y3817" i="22" s="1"/>
  <c r="W3817" i="22"/>
  <c r="U3817" i="22"/>
  <c r="N3817" i="22"/>
  <c r="O3817" i="22" s="1"/>
  <c r="M3817" i="22"/>
  <c r="K3817" i="22"/>
  <c r="D3817" i="22"/>
  <c r="E3817" i="22" s="1"/>
  <c r="C3817" i="22"/>
  <c r="A3817" i="22"/>
  <c r="AG3816" i="22"/>
  <c r="AH3816" i="22" s="1"/>
  <c r="AI3816" i="22" s="1"/>
  <c r="AE3816" i="22"/>
  <c r="W3816" i="22"/>
  <c r="X3816" i="22" s="1"/>
  <c r="Y3816" i="22" s="1"/>
  <c r="U3816" i="22"/>
  <c r="M3816" i="22"/>
  <c r="N3816" i="22" s="1"/>
  <c r="O3816" i="22" s="1"/>
  <c r="K3816" i="22"/>
  <c r="C3816" i="22"/>
  <c r="D3816" i="22" s="1"/>
  <c r="E3816" i="22" s="1"/>
  <c r="A3816" i="22"/>
  <c r="AH3815" i="22"/>
  <c r="AI3815" i="22" s="1"/>
  <c r="AG3815" i="22"/>
  <c r="AE3815" i="22"/>
  <c r="X3815" i="22"/>
  <c r="Y3815" i="22" s="1"/>
  <c r="W3815" i="22"/>
  <c r="U3815" i="22"/>
  <c r="N3815" i="22"/>
  <c r="O3815" i="22" s="1"/>
  <c r="M3815" i="22"/>
  <c r="K3815" i="22"/>
  <c r="D3815" i="22"/>
  <c r="E3815" i="22" s="1"/>
  <c r="C3815" i="22"/>
  <c r="A3815" i="22"/>
  <c r="AH3814" i="22"/>
  <c r="AI3814" i="22" s="1"/>
  <c r="AG3814" i="22"/>
  <c r="AE3814" i="22"/>
  <c r="X3814" i="22"/>
  <c r="Y3814" i="22" s="1"/>
  <c r="W3814" i="22"/>
  <c r="U3814" i="22"/>
  <c r="N3814" i="22"/>
  <c r="O3814" i="22" s="1"/>
  <c r="M3814" i="22"/>
  <c r="K3814" i="22"/>
  <c r="D3814" i="22"/>
  <c r="E3814" i="22" s="1"/>
  <c r="C3814" i="22"/>
  <c r="A3814" i="22"/>
  <c r="AG3813" i="22"/>
  <c r="AH3813" i="22" s="1"/>
  <c r="AI3813" i="22" s="1"/>
  <c r="AE3813" i="22"/>
  <c r="W3813" i="22"/>
  <c r="X3813" i="22" s="1"/>
  <c r="Y3813" i="22" s="1"/>
  <c r="U3813" i="22"/>
  <c r="M3813" i="22"/>
  <c r="N3813" i="22" s="1"/>
  <c r="O3813" i="22" s="1"/>
  <c r="K3813" i="22"/>
  <c r="C3813" i="22"/>
  <c r="D3813" i="22" s="1"/>
  <c r="E3813" i="22" s="1"/>
  <c r="A3813" i="22"/>
  <c r="AH3812" i="22"/>
  <c r="AI3812" i="22" s="1"/>
  <c r="AG3812" i="22"/>
  <c r="AE3812" i="22"/>
  <c r="X3812" i="22"/>
  <c r="Y3812" i="22" s="1"/>
  <c r="W3812" i="22"/>
  <c r="U3812" i="22"/>
  <c r="N3812" i="22"/>
  <c r="O3812" i="22" s="1"/>
  <c r="M3812" i="22"/>
  <c r="K3812" i="22"/>
  <c r="D3812" i="22"/>
  <c r="E3812" i="22" s="1"/>
  <c r="C3812" i="22"/>
  <c r="A3812" i="22"/>
  <c r="AG3811" i="22"/>
  <c r="AH3811" i="22" s="1"/>
  <c r="AI3811" i="22" s="1"/>
  <c r="AE3811" i="22"/>
  <c r="W3811" i="22"/>
  <c r="X3811" i="22" s="1"/>
  <c r="Y3811" i="22" s="1"/>
  <c r="U3811" i="22"/>
  <c r="M3811" i="22"/>
  <c r="N3811" i="22" s="1"/>
  <c r="O3811" i="22" s="1"/>
  <c r="K3811" i="22"/>
  <c r="C3811" i="22"/>
  <c r="D3811" i="22" s="1"/>
  <c r="E3811" i="22" s="1"/>
  <c r="A3811" i="22"/>
  <c r="AH3810" i="22"/>
  <c r="AI3810" i="22" s="1"/>
  <c r="AG3810" i="22"/>
  <c r="AE3810" i="22"/>
  <c r="X3810" i="22"/>
  <c r="Y3810" i="22" s="1"/>
  <c r="W3810" i="22"/>
  <c r="U3810" i="22"/>
  <c r="N3810" i="22"/>
  <c r="O3810" i="22" s="1"/>
  <c r="M3810" i="22"/>
  <c r="K3810" i="22"/>
  <c r="D3810" i="22"/>
  <c r="E3810" i="22" s="1"/>
  <c r="C3810" i="22"/>
  <c r="A3810" i="22"/>
  <c r="AG3809" i="22"/>
  <c r="AH3809" i="22" s="1"/>
  <c r="AI3809" i="22" s="1"/>
  <c r="AE3809" i="22"/>
  <c r="W3809" i="22"/>
  <c r="X3809" i="22" s="1"/>
  <c r="Y3809" i="22" s="1"/>
  <c r="U3809" i="22"/>
  <c r="M3809" i="22"/>
  <c r="N3809" i="22" s="1"/>
  <c r="O3809" i="22" s="1"/>
  <c r="K3809" i="22"/>
  <c r="C3809" i="22"/>
  <c r="D3809" i="22" s="1"/>
  <c r="E3809" i="22" s="1"/>
  <c r="A3809" i="22"/>
  <c r="AG3808" i="22"/>
  <c r="AH3808" i="22" s="1"/>
  <c r="AI3808" i="22" s="1"/>
  <c r="AE3808" i="22"/>
  <c r="W3808" i="22"/>
  <c r="X3808" i="22" s="1"/>
  <c r="Y3808" i="22" s="1"/>
  <c r="U3808" i="22"/>
  <c r="M3808" i="22"/>
  <c r="N3808" i="22" s="1"/>
  <c r="O3808" i="22" s="1"/>
  <c r="K3808" i="22"/>
  <c r="C3808" i="22"/>
  <c r="D3808" i="22" s="1"/>
  <c r="E3808" i="22" s="1"/>
  <c r="A3808" i="22"/>
  <c r="AH3807" i="22"/>
  <c r="AI3807" i="22" s="1"/>
  <c r="AG3807" i="22"/>
  <c r="AE3807" i="22"/>
  <c r="X3807" i="22"/>
  <c r="Y3807" i="22" s="1"/>
  <c r="W3807" i="22"/>
  <c r="U3807" i="22"/>
  <c r="N3807" i="22"/>
  <c r="O3807" i="22" s="1"/>
  <c r="M3807" i="22"/>
  <c r="K3807" i="22"/>
  <c r="D3807" i="22"/>
  <c r="E3807" i="22" s="1"/>
  <c r="C3807" i="22"/>
  <c r="A3807" i="22"/>
  <c r="AH3806" i="22"/>
  <c r="AI3806" i="22" s="1"/>
  <c r="AG3806" i="22"/>
  <c r="AE3806" i="22"/>
  <c r="X3806" i="22"/>
  <c r="Y3806" i="22" s="1"/>
  <c r="W3806" i="22"/>
  <c r="U3806" i="22"/>
  <c r="N3806" i="22"/>
  <c r="O3806" i="22" s="1"/>
  <c r="M3806" i="22"/>
  <c r="K3806" i="22"/>
  <c r="D3806" i="22"/>
  <c r="E3806" i="22" s="1"/>
  <c r="C3806" i="22"/>
  <c r="A3806" i="22"/>
  <c r="B3751" i="22"/>
  <c r="D3749" i="22"/>
  <c r="C3749" i="22"/>
  <c r="O3748" i="22"/>
  <c r="M3748" i="22"/>
  <c r="N3748" i="22" s="1"/>
  <c r="L3748" i="22"/>
  <c r="K3748" i="22"/>
  <c r="J3748" i="22"/>
  <c r="I3748" i="22"/>
  <c r="G3749" i="22" s="1"/>
  <c r="H3748" i="22"/>
  <c r="G3748" i="22"/>
  <c r="F3749" i="22" s="1"/>
  <c r="F3748" i="22"/>
  <c r="C3748" i="22"/>
  <c r="B72" i="22" s="1"/>
  <c r="B3748" i="22"/>
  <c r="D3748" i="22" s="1"/>
  <c r="B3697" i="22"/>
  <c r="D3695" i="22"/>
  <c r="C3695" i="22"/>
  <c r="O3694" i="22"/>
  <c r="M3694" i="22"/>
  <c r="N3694" i="22" s="1"/>
  <c r="L3694" i="22"/>
  <c r="K3694" i="22"/>
  <c r="J3694" i="22"/>
  <c r="I3694" i="22"/>
  <c r="G3695" i="22" s="1"/>
  <c r="H3694" i="22"/>
  <c r="G3694" i="22"/>
  <c r="F3695" i="22" s="1"/>
  <c r="F3694" i="22"/>
  <c r="C3694" i="22"/>
  <c r="B71" i="22" s="1"/>
  <c r="B3694" i="22"/>
  <c r="D3694" i="22" s="1"/>
  <c r="B3643" i="22"/>
  <c r="D3641" i="22"/>
  <c r="C3641" i="22"/>
  <c r="O3640" i="22"/>
  <c r="M3640" i="22"/>
  <c r="N3640" i="22" s="1"/>
  <c r="L3640" i="22"/>
  <c r="K3640" i="22"/>
  <c r="J3640" i="22"/>
  <c r="I3640" i="22"/>
  <c r="G3641" i="22" s="1"/>
  <c r="H3640" i="22"/>
  <c r="G3640" i="22"/>
  <c r="F3641" i="22" s="1"/>
  <c r="F3640" i="22"/>
  <c r="C3640" i="22"/>
  <c r="B70" i="22" s="1"/>
  <c r="B3640" i="22"/>
  <c r="D3640" i="22" s="1"/>
  <c r="B3589" i="22"/>
  <c r="D3587" i="22"/>
  <c r="C3587" i="22"/>
  <c r="O3586" i="22"/>
  <c r="M3586" i="22"/>
  <c r="N3586" i="22" s="1"/>
  <c r="L3586" i="22"/>
  <c r="K3586" i="22"/>
  <c r="J3586" i="22"/>
  <c r="I3586" i="22"/>
  <c r="G3587" i="22" s="1"/>
  <c r="H3586" i="22"/>
  <c r="G3586" i="22"/>
  <c r="F3587" i="22" s="1"/>
  <c r="F3586" i="22"/>
  <c r="C3586" i="22"/>
  <c r="B69" i="22" s="1"/>
  <c r="B3586" i="22"/>
  <c r="D3586" i="22" s="1"/>
  <c r="B3535" i="22"/>
  <c r="D3533" i="22"/>
  <c r="C3533" i="22"/>
  <c r="O3532" i="22"/>
  <c r="M3532" i="22"/>
  <c r="N3532" i="22" s="1"/>
  <c r="L3532" i="22"/>
  <c r="K3532" i="22"/>
  <c r="J3532" i="22"/>
  <c r="I3532" i="22"/>
  <c r="G3533" i="22" s="1"/>
  <c r="H3532" i="22"/>
  <c r="G3532" i="22"/>
  <c r="F3533" i="22" s="1"/>
  <c r="F3532" i="22"/>
  <c r="C3532" i="22"/>
  <c r="B68" i="22" s="1"/>
  <c r="B3532" i="22"/>
  <c r="D3532" i="22" s="1"/>
  <c r="B3481" i="22"/>
  <c r="D3479" i="22"/>
  <c r="C3479" i="22"/>
  <c r="O3478" i="22"/>
  <c r="CI67" i="22" s="1"/>
  <c r="M3478" i="22"/>
  <c r="N3478" i="22" s="1"/>
  <c r="L3478" i="22"/>
  <c r="K3478" i="22"/>
  <c r="J3478" i="22"/>
  <c r="I3478" i="22"/>
  <c r="G3479" i="22" s="1"/>
  <c r="H3478" i="22"/>
  <c r="G3478" i="22"/>
  <c r="F3479" i="22" s="1"/>
  <c r="F3478" i="22"/>
  <c r="C3478" i="22"/>
  <c r="B67" i="22" s="1"/>
  <c r="B3478" i="22"/>
  <c r="D3478" i="22" s="1"/>
  <c r="B3427" i="22"/>
  <c r="D3425" i="22"/>
  <c r="C3425" i="22"/>
  <c r="O3424" i="22"/>
  <c r="M3424" i="22"/>
  <c r="N3424" i="22" s="1"/>
  <c r="L3424" i="22"/>
  <c r="K3424" i="22"/>
  <c r="J3424" i="22"/>
  <c r="I3424" i="22"/>
  <c r="G3425" i="22" s="1"/>
  <c r="H3424" i="22"/>
  <c r="G3424" i="22"/>
  <c r="F3425" i="22" s="1"/>
  <c r="F3424" i="22"/>
  <c r="C3424" i="22"/>
  <c r="B66" i="22" s="1"/>
  <c r="B3424" i="22"/>
  <c r="D3424" i="22" s="1"/>
  <c r="B3373" i="22"/>
  <c r="D3371" i="22"/>
  <c r="C3371" i="22"/>
  <c r="O3370" i="22"/>
  <c r="M3370" i="22"/>
  <c r="N3370" i="22" s="1"/>
  <c r="L3370" i="22"/>
  <c r="K3370" i="22"/>
  <c r="J3370" i="22"/>
  <c r="I3370" i="22"/>
  <c r="G3371" i="22" s="1"/>
  <c r="H3370" i="22"/>
  <c r="G3370" i="22"/>
  <c r="F3371" i="22" s="1"/>
  <c r="F3370" i="22"/>
  <c r="C3370" i="22"/>
  <c r="B65" i="22" s="1"/>
  <c r="B3370" i="22"/>
  <c r="D3370" i="22" s="1"/>
  <c r="B3319" i="22"/>
  <c r="D3317" i="22"/>
  <c r="C3317" i="22"/>
  <c r="O3316" i="22"/>
  <c r="M3316" i="22"/>
  <c r="N3316" i="22" s="1"/>
  <c r="L3316" i="22"/>
  <c r="K3316" i="22"/>
  <c r="J3316" i="22"/>
  <c r="I3316" i="22"/>
  <c r="G3317" i="22" s="1"/>
  <c r="H3316" i="22"/>
  <c r="G3316" i="22"/>
  <c r="F3317" i="22" s="1"/>
  <c r="F3316" i="22"/>
  <c r="C3316" i="22"/>
  <c r="B64" i="22" s="1"/>
  <c r="B3316" i="22"/>
  <c r="D3316" i="22" s="1"/>
  <c r="B3265" i="22"/>
  <c r="D3263" i="22"/>
  <c r="C3263" i="22"/>
  <c r="O3262" i="22"/>
  <c r="M3262" i="22"/>
  <c r="N3262" i="22" s="1"/>
  <c r="L3262" i="22"/>
  <c r="K3262" i="22"/>
  <c r="J3262" i="22"/>
  <c r="I3262" i="22"/>
  <c r="G3263" i="22" s="1"/>
  <c r="H3262" i="22"/>
  <c r="G3262" i="22"/>
  <c r="F3263" i="22" s="1"/>
  <c r="F3262" i="22"/>
  <c r="C3262" i="22"/>
  <c r="B63" i="22" s="1"/>
  <c r="B3262" i="22"/>
  <c r="D3262" i="22" s="1"/>
  <c r="B3211" i="22"/>
  <c r="D3209" i="22"/>
  <c r="C3209" i="22"/>
  <c r="O3208" i="22"/>
  <c r="M3208" i="22"/>
  <c r="N3208" i="22" s="1"/>
  <c r="L3208" i="22"/>
  <c r="K3208" i="22"/>
  <c r="J3208" i="22"/>
  <c r="I3208" i="22"/>
  <c r="G3209" i="22" s="1"/>
  <c r="H3208" i="22"/>
  <c r="G3208" i="22"/>
  <c r="F3209" i="22" s="1"/>
  <c r="F3208" i="22"/>
  <c r="C3208" i="22"/>
  <c r="B62" i="22" s="1"/>
  <c r="B3208" i="22"/>
  <c r="D3208" i="22" s="1"/>
  <c r="B3157" i="22"/>
  <c r="D3155" i="22"/>
  <c r="C3155" i="22"/>
  <c r="O3154" i="22"/>
  <c r="M3154" i="22"/>
  <c r="N3154" i="22" s="1"/>
  <c r="L3154" i="22"/>
  <c r="K3154" i="22"/>
  <c r="J3154" i="22"/>
  <c r="I3154" i="22"/>
  <c r="G3155" i="22" s="1"/>
  <c r="H3154" i="22"/>
  <c r="G3154" i="22"/>
  <c r="F3155" i="22" s="1"/>
  <c r="F3154" i="22"/>
  <c r="C3154" i="22"/>
  <c r="B61" i="22" s="1"/>
  <c r="B3154" i="22"/>
  <c r="D3154" i="22" s="1"/>
  <c r="B3103" i="22"/>
  <c r="D3101" i="22"/>
  <c r="C3101" i="22"/>
  <c r="O3100" i="22"/>
  <c r="M3100" i="22"/>
  <c r="N3100" i="22" s="1"/>
  <c r="L3100" i="22"/>
  <c r="K3100" i="22"/>
  <c r="J3100" i="22"/>
  <c r="I3100" i="22"/>
  <c r="G3101" i="22" s="1"/>
  <c r="H3100" i="22"/>
  <c r="G3100" i="22"/>
  <c r="F3101" i="22" s="1"/>
  <c r="F3100" i="22"/>
  <c r="C3100" i="22"/>
  <c r="B60" i="22" s="1"/>
  <c r="B3100" i="22"/>
  <c r="D3100" i="22" s="1"/>
  <c r="B3049" i="22"/>
  <c r="D3047" i="22"/>
  <c r="C3047" i="22"/>
  <c r="O3046" i="22"/>
  <c r="M3046" i="22"/>
  <c r="N3046" i="22" s="1"/>
  <c r="L3046" i="22"/>
  <c r="K3046" i="22"/>
  <c r="J3046" i="22"/>
  <c r="I3046" i="22"/>
  <c r="G3047" i="22" s="1"/>
  <c r="H3046" i="22"/>
  <c r="G3046" i="22"/>
  <c r="F3047" i="22" s="1"/>
  <c r="F3046" i="22"/>
  <c r="C3046" i="22"/>
  <c r="B59" i="22" s="1"/>
  <c r="B3046" i="22"/>
  <c r="D3046" i="22" s="1"/>
  <c r="B2995" i="22"/>
  <c r="D2993" i="22"/>
  <c r="C2993" i="22"/>
  <c r="O2992" i="22"/>
  <c r="M2992" i="22"/>
  <c r="N2992" i="22" s="1"/>
  <c r="L2992" i="22"/>
  <c r="K2992" i="22"/>
  <c r="J2992" i="22"/>
  <c r="I2992" i="22"/>
  <c r="G2993" i="22" s="1"/>
  <c r="H2992" i="22"/>
  <c r="G2992" i="22"/>
  <c r="F2993" i="22" s="1"/>
  <c r="F2992" i="22"/>
  <c r="C2992" i="22"/>
  <c r="B58" i="22" s="1"/>
  <c r="B2992" i="22"/>
  <c r="D2992" i="22" s="1"/>
  <c r="B2941" i="22"/>
  <c r="D2939" i="22"/>
  <c r="C2939" i="22"/>
  <c r="O2938" i="22"/>
  <c r="M2938" i="22"/>
  <c r="N2938" i="22" s="1"/>
  <c r="L2938" i="22"/>
  <c r="K2938" i="22"/>
  <c r="J2938" i="22"/>
  <c r="I2938" i="22"/>
  <c r="G2939" i="22" s="1"/>
  <c r="H2938" i="22"/>
  <c r="G2938" i="22"/>
  <c r="F2939" i="22" s="1"/>
  <c r="F2938" i="22"/>
  <c r="C2938" i="22"/>
  <c r="B57" i="22" s="1"/>
  <c r="B2938" i="22"/>
  <c r="D2938" i="22" s="1"/>
  <c r="B2887" i="22"/>
  <c r="D2885" i="22"/>
  <c r="C2885" i="22"/>
  <c r="O2884" i="22"/>
  <c r="CI56" i="22" s="1"/>
  <c r="M2884" i="22"/>
  <c r="N2884" i="22" s="1"/>
  <c r="L2884" i="22"/>
  <c r="K2884" i="22"/>
  <c r="J2884" i="22"/>
  <c r="I2884" i="22"/>
  <c r="G2885" i="22" s="1"/>
  <c r="H2884" i="22"/>
  <c r="G2884" i="22"/>
  <c r="F2885" i="22" s="1"/>
  <c r="F2884" i="22"/>
  <c r="C2884" i="22"/>
  <c r="B56" i="22" s="1"/>
  <c r="B2884" i="22"/>
  <c r="D2884" i="22" s="1"/>
  <c r="B2833" i="22"/>
  <c r="D2831" i="22"/>
  <c r="C2831" i="22"/>
  <c r="O2830" i="22"/>
  <c r="M2830" i="22"/>
  <c r="N2830" i="22" s="1"/>
  <c r="L2830" i="22"/>
  <c r="K2830" i="22"/>
  <c r="J2830" i="22"/>
  <c r="I2830" i="22"/>
  <c r="G2831" i="22" s="1"/>
  <c r="H2830" i="22"/>
  <c r="G2830" i="22"/>
  <c r="F2831" i="22" s="1"/>
  <c r="F2830" i="22"/>
  <c r="C2830" i="22"/>
  <c r="B55" i="22" s="1"/>
  <c r="B2830" i="22"/>
  <c r="D2830" i="22" s="1"/>
  <c r="B2779" i="22"/>
  <c r="D2777" i="22"/>
  <c r="C2777" i="22"/>
  <c r="O2776" i="22"/>
  <c r="M2776" i="22"/>
  <c r="N2776" i="22" s="1"/>
  <c r="L2776" i="22"/>
  <c r="K2776" i="22"/>
  <c r="J2776" i="22"/>
  <c r="I2776" i="22"/>
  <c r="G2777" i="22" s="1"/>
  <c r="H2776" i="22"/>
  <c r="G2776" i="22"/>
  <c r="F2777" i="22" s="1"/>
  <c r="F2776" i="22"/>
  <c r="C2776" i="22"/>
  <c r="B54" i="22" s="1"/>
  <c r="B2776" i="22"/>
  <c r="D2776" i="22" s="1"/>
  <c r="B2725" i="22"/>
  <c r="D2723" i="22"/>
  <c r="C2723" i="22"/>
  <c r="O2722" i="22"/>
  <c r="M2722" i="22"/>
  <c r="N2722" i="22" s="1"/>
  <c r="L2722" i="22"/>
  <c r="K2722" i="22"/>
  <c r="J2722" i="22"/>
  <c r="I2722" i="22"/>
  <c r="G2723" i="22" s="1"/>
  <c r="H2722" i="22"/>
  <c r="G2722" i="22"/>
  <c r="F2723" i="22" s="1"/>
  <c r="F2722" i="22"/>
  <c r="C2722" i="22"/>
  <c r="B53" i="22" s="1"/>
  <c r="B2722" i="22"/>
  <c r="D2722" i="22" s="1"/>
  <c r="B2671" i="22"/>
  <c r="D2669" i="22"/>
  <c r="C2669" i="22"/>
  <c r="O2668" i="22"/>
  <c r="M2668" i="22"/>
  <c r="N2668" i="22" s="1"/>
  <c r="L2668" i="22"/>
  <c r="K2668" i="22"/>
  <c r="J2668" i="22"/>
  <c r="I2668" i="22"/>
  <c r="G2669" i="22" s="1"/>
  <c r="H2668" i="22"/>
  <c r="G2668" i="22"/>
  <c r="F2669" i="22" s="1"/>
  <c r="F2668" i="22"/>
  <c r="C2668" i="22"/>
  <c r="B52" i="22" s="1"/>
  <c r="B2668" i="22"/>
  <c r="D2668" i="22" s="1"/>
  <c r="B2617" i="22"/>
  <c r="D2615" i="22"/>
  <c r="C2615" i="22"/>
  <c r="O2614" i="22"/>
  <c r="M2614" i="22"/>
  <c r="N2614" i="22" s="1"/>
  <c r="L2614" i="22"/>
  <c r="K2614" i="22"/>
  <c r="J2614" i="22"/>
  <c r="I2614" i="22"/>
  <c r="G2615" i="22" s="1"/>
  <c r="H2614" i="22"/>
  <c r="G2614" i="22"/>
  <c r="F2615" i="22" s="1"/>
  <c r="F2614" i="22"/>
  <c r="C2614" i="22"/>
  <c r="B51" i="22" s="1"/>
  <c r="B2614" i="22"/>
  <c r="D2614" i="22" s="1"/>
  <c r="B2563" i="22"/>
  <c r="D2561" i="22"/>
  <c r="C2561" i="22"/>
  <c r="O2560" i="22"/>
  <c r="M2560" i="22"/>
  <c r="N2560" i="22" s="1"/>
  <c r="L2560" i="22"/>
  <c r="K2560" i="22"/>
  <c r="J2560" i="22"/>
  <c r="I2560" i="22"/>
  <c r="G2561" i="22" s="1"/>
  <c r="H2560" i="22"/>
  <c r="G2560" i="22"/>
  <c r="F2561" i="22" s="1"/>
  <c r="F2560" i="22"/>
  <c r="C2560" i="22"/>
  <c r="B2560" i="22"/>
  <c r="D2560" i="22" s="1"/>
  <c r="B2509" i="22"/>
  <c r="D2507" i="22"/>
  <c r="C2507" i="22"/>
  <c r="O2506" i="22"/>
  <c r="M2506" i="22"/>
  <c r="N2506" i="22" s="1"/>
  <c r="L2506" i="22"/>
  <c r="K2506" i="22"/>
  <c r="J2506" i="22"/>
  <c r="I2506" i="22"/>
  <c r="G2507" i="22" s="1"/>
  <c r="H2506" i="22"/>
  <c r="G2506" i="22"/>
  <c r="F2507" i="22" s="1"/>
  <c r="F2506" i="22"/>
  <c r="C2506" i="22"/>
  <c r="B49" i="22" s="1"/>
  <c r="B2506" i="22"/>
  <c r="D2506" i="22" s="1"/>
  <c r="B2455" i="22"/>
  <c r="D2453" i="22"/>
  <c r="C2453" i="22"/>
  <c r="O2452" i="22"/>
  <c r="M2452" i="22"/>
  <c r="N2452" i="22" s="1"/>
  <c r="L2452" i="22"/>
  <c r="K2452" i="22"/>
  <c r="J2452" i="22"/>
  <c r="I2452" i="22"/>
  <c r="G2453" i="22" s="1"/>
  <c r="H2452" i="22"/>
  <c r="G2452" i="22"/>
  <c r="F2453" i="22" s="1"/>
  <c r="F2452" i="22"/>
  <c r="C2452" i="22"/>
  <c r="B48" i="22" s="1"/>
  <c r="B2452" i="22"/>
  <c r="D2452" i="22" s="1"/>
  <c r="B2401" i="22"/>
  <c r="D2399" i="22"/>
  <c r="C2399" i="22"/>
  <c r="O2398" i="22"/>
  <c r="M2398" i="22"/>
  <c r="N2398" i="22" s="1"/>
  <c r="L2398" i="22"/>
  <c r="K2398" i="22"/>
  <c r="J2398" i="22"/>
  <c r="I2398" i="22"/>
  <c r="G2399" i="22" s="1"/>
  <c r="H2398" i="22"/>
  <c r="G2398" i="22"/>
  <c r="F2399" i="22" s="1"/>
  <c r="F2398" i="22"/>
  <c r="C2398" i="22"/>
  <c r="B47" i="22" s="1"/>
  <c r="B2398" i="22"/>
  <c r="D2398" i="22" s="1"/>
  <c r="B2347" i="22"/>
  <c r="D2345" i="22"/>
  <c r="C2345" i="22"/>
  <c r="O2344" i="22"/>
  <c r="M2344" i="22"/>
  <c r="N2344" i="22" s="1"/>
  <c r="L2344" i="22"/>
  <c r="K2344" i="22"/>
  <c r="J2344" i="22"/>
  <c r="I2344" i="22"/>
  <c r="G2345" i="22" s="1"/>
  <c r="H2344" i="22"/>
  <c r="G2344" i="22"/>
  <c r="F2345" i="22" s="1"/>
  <c r="F2344" i="22"/>
  <c r="C2344" i="22"/>
  <c r="B46" i="22" s="1"/>
  <c r="B2344" i="22"/>
  <c r="D2344" i="22" s="1"/>
  <c r="B2293" i="22"/>
  <c r="D2291" i="22"/>
  <c r="C2291" i="22"/>
  <c r="O2290" i="22"/>
  <c r="M2290" i="22"/>
  <c r="N2290" i="22" s="1"/>
  <c r="L2290" i="22"/>
  <c r="K2290" i="22"/>
  <c r="J2290" i="22"/>
  <c r="I2290" i="22"/>
  <c r="G2291" i="22" s="1"/>
  <c r="H2290" i="22"/>
  <c r="G2290" i="22"/>
  <c r="F2291" i="22" s="1"/>
  <c r="F2290" i="22"/>
  <c r="C2290" i="22"/>
  <c r="B45" i="22" s="1"/>
  <c r="B2290" i="22"/>
  <c r="D2290" i="22" s="1"/>
  <c r="B2239" i="22"/>
  <c r="D2237" i="22"/>
  <c r="C2237" i="22"/>
  <c r="O2236" i="22"/>
  <c r="M2236" i="22"/>
  <c r="N2236" i="22" s="1"/>
  <c r="L2236" i="22"/>
  <c r="K2236" i="22"/>
  <c r="J2236" i="22"/>
  <c r="I2236" i="22"/>
  <c r="G2237" i="22" s="1"/>
  <c r="H2236" i="22"/>
  <c r="G2236" i="22"/>
  <c r="F2237" i="22" s="1"/>
  <c r="F2236" i="22"/>
  <c r="C2236" i="22"/>
  <c r="B2236" i="22"/>
  <c r="D2236" i="22" s="1"/>
  <c r="B2185" i="22"/>
  <c r="D2183" i="22"/>
  <c r="C2183" i="22"/>
  <c r="O2182" i="22"/>
  <c r="M2182" i="22"/>
  <c r="N2182" i="22" s="1"/>
  <c r="L2182" i="22"/>
  <c r="K2182" i="22"/>
  <c r="J2182" i="22"/>
  <c r="I2182" i="22"/>
  <c r="G2183" i="22" s="1"/>
  <c r="H2182" i="22"/>
  <c r="G2182" i="22"/>
  <c r="F2183" i="22" s="1"/>
  <c r="F2182" i="22"/>
  <c r="C2182" i="22"/>
  <c r="B2182" i="22"/>
  <c r="D2182" i="22" s="1"/>
  <c r="B2131" i="22"/>
  <c r="D2129" i="22"/>
  <c r="C2129" i="22"/>
  <c r="O2128" i="22"/>
  <c r="M2128" i="22"/>
  <c r="N2128" i="22" s="1"/>
  <c r="L2128" i="22"/>
  <c r="K2128" i="22"/>
  <c r="J2128" i="22"/>
  <c r="I2128" i="22"/>
  <c r="G2129" i="22" s="1"/>
  <c r="H2128" i="22"/>
  <c r="G2128" i="22"/>
  <c r="F2129" i="22" s="1"/>
  <c r="F2128" i="22"/>
  <c r="C2128" i="22"/>
  <c r="B42" i="22" s="1"/>
  <c r="B2128" i="22"/>
  <c r="D2128" i="22" s="1"/>
  <c r="B2077" i="22"/>
  <c r="D2075" i="22"/>
  <c r="C2075" i="22"/>
  <c r="O2074" i="22"/>
  <c r="M2074" i="22"/>
  <c r="N2074" i="22" s="1"/>
  <c r="L2074" i="22"/>
  <c r="K2074" i="22"/>
  <c r="J2074" i="22"/>
  <c r="I2074" i="22"/>
  <c r="G2075" i="22" s="1"/>
  <c r="H2074" i="22"/>
  <c r="G2074" i="22"/>
  <c r="F2075" i="22" s="1"/>
  <c r="F2074" i="22"/>
  <c r="C2074" i="22"/>
  <c r="B41" i="22" s="1"/>
  <c r="B2074" i="22"/>
  <c r="D2074" i="22" s="1"/>
  <c r="B2023" i="22"/>
  <c r="D2021" i="22"/>
  <c r="C2021" i="22"/>
  <c r="O2020" i="22"/>
  <c r="M2020" i="22"/>
  <c r="N2020" i="22" s="1"/>
  <c r="L2020" i="22"/>
  <c r="K2020" i="22"/>
  <c r="J2020" i="22"/>
  <c r="I2020" i="22"/>
  <c r="G2021" i="22" s="1"/>
  <c r="H2020" i="22"/>
  <c r="G2020" i="22"/>
  <c r="F2021" i="22" s="1"/>
  <c r="F2020" i="22"/>
  <c r="C2020" i="22"/>
  <c r="B40" i="22" s="1"/>
  <c r="B2020" i="22"/>
  <c r="D2020" i="22" s="1"/>
  <c r="B1969" i="22"/>
  <c r="D1967" i="22"/>
  <c r="C1967" i="22"/>
  <c r="O1966" i="22"/>
  <c r="M1966" i="22"/>
  <c r="N1966" i="22" s="1"/>
  <c r="L1966" i="22"/>
  <c r="K1966" i="22"/>
  <c r="J1966" i="22"/>
  <c r="I1966" i="22"/>
  <c r="G1967" i="22" s="1"/>
  <c r="H1966" i="22"/>
  <c r="G1966" i="22"/>
  <c r="F1967" i="22" s="1"/>
  <c r="F1966" i="22"/>
  <c r="C1966" i="22"/>
  <c r="B39" i="22" s="1"/>
  <c r="B1966" i="22"/>
  <c r="D1966" i="22" s="1"/>
  <c r="B1915" i="22"/>
  <c r="D1913" i="22"/>
  <c r="C1913" i="22"/>
  <c r="O1912" i="22"/>
  <c r="M1912" i="22"/>
  <c r="N1912" i="22" s="1"/>
  <c r="L1912" i="22"/>
  <c r="K1912" i="22"/>
  <c r="J1912" i="22"/>
  <c r="I1912" i="22"/>
  <c r="G1913" i="22" s="1"/>
  <c r="H1912" i="22"/>
  <c r="G1912" i="22"/>
  <c r="F1913" i="22" s="1"/>
  <c r="F1912" i="22"/>
  <c r="C1912" i="22"/>
  <c r="B1912" i="22"/>
  <c r="D1912" i="22" s="1"/>
  <c r="B1861" i="22"/>
  <c r="D1859" i="22"/>
  <c r="C1859" i="22"/>
  <c r="O1858" i="22"/>
  <c r="CI37" i="22" s="1"/>
  <c r="M1858" i="22"/>
  <c r="N1858" i="22" s="1"/>
  <c r="L1858" i="22"/>
  <c r="K1858" i="22"/>
  <c r="H1859" i="22" s="1"/>
  <c r="J1858" i="22"/>
  <c r="I1858" i="22"/>
  <c r="G1859" i="22" s="1"/>
  <c r="H1858" i="22"/>
  <c r="G1858" i="22"/>
  <c r="F1859" i="22" s="1"/>
  <c r="F1858" i="22"/>
  <c r="C1858" i="22"/>
  <c r="B1858" i="22"/>
  <c r="D1858" i="22" s="1"/>
  <c r="B1807" i="22"/>
  <c r="D1805" i="22"/>
  <c r="C1805" i="22"/>
  <c r="O1804" i="22"/>
  <c r="M1804" i="22"/>
  <c r="N1804" i="22" s="1"/>
  <c r="L1804" i="22"/>
  <c r="K1804" i="22"/>
  <c r="J1804" i="22"/>
  <c r="I1804" i="22"/>
  <c r="G1805" i="22" s="1"/>
  <c r="H1804" i="22"/>
  <c r="G1804" i="22"/>
  <c r="F1805" i="22" s="1"/>
  <c r="F1804" i="22"/>
  <c r="C1804" i="22"/>
  <c r="B36" i="22" s="1"/>
  <c r="B1804" i="22"/>
  <c r="D1804" i="22" s="1"/>
  <c r="B1753" i="22"/>
  <c r="D1751" i="22"/>
  <c r="C1751" i="22"/>
  <c r="O1750" i="22"/>
  <c r="M1750" i="22"/>
  <c r="N1750" i="22" s="1"/>
  <c r="L1750" i="22"/>
  <c r="K1750" i="22"/>
  <c r="J1750" i="22"/>
  <c r="I1750" i="22"/>
  <c r="G1751" i="22" s="1"/>
  <c r="H1750" i="22"/>
  <c r="G1750" i="22"/>
  <c r="F1751" i="22" s="1"/>
  <c r="F1750" i="22"/>
  <c r="C1750" i="22"/>
  <c r="B35" i="22" s="1"/>
  <c r="B1750" i="22"/>
  <c r="D1750" i="22" s="1"/>
  <c r="B1699" i="22"/>
  <c r="D1697" i="22"/>
  <c r="C1697" i="22"/>
  <c r="O1696" i="22"/>
  <c r="M1696" i="22"/>
  <c r="N1696" i="22" s="1"/>
  <c r="L1696" i="22"/>
  <c r="K1696" i="22"/>
  <c r="J1696" i="22"/>
  <c r="I1696" i="22"/>
  <c r="G1697" i="22" s="1"/>
  <c r="H1696" i="22"/>
  <c r="G1696" i="22"/>
  <c r="F1697" i="22" s="1"/>
  <c r="F1696" i="22"/>
  <c r="C1696" i="22"/>
  <c r="B34" i="22" s="1"/>
  <c r="B1696" i="22"/>
  <c r="D1696" i="22" s="1"/>
  <c r="B1645" i="22"/>
  <c r="D1643" i="22"/>
  <c r="C1643" i="22"/>
  <c r="O1642" i="22"/>
  <c r="M1642" i="22"/>
  <c r="N1642" i="22" s="1"/>
  <c r="L1642" i="22"/>
  <c r="K1642" i="22"/>
  <c r="J1642" i="22"/>
  <c r="I1642" i="22"/>
  <c r="G1643" i="22" s="1"/>
  <c r="H1642" i="22"/>
  <c r="G1642" i="22"/>
  <c r="F1643" i="22" s="1"/>
  <c r="F1642" i="22"/>
  <c r="C1642" i="22"/>
  <c r="B1642" i="22"/>
  <c r="D1642" i="22" s="1"/>
  <c r="B1591" i="22"/>
  <c r="D1589" i="22"/>
  <c r="C1589" i="22"/>
  <c r="O1588" i="22"/>
  <c r="M1588" i="22"/>
  <c r="N1588" i="22" s="1"/>
  <c r="L1588" i="22"/>
  <c r="K1588" i="22"/>
  <c r="J1588" i="22"/>
  <c r="I1588" i="22"/>
  <c r="G1589" i="22" s="1"/>
  <c r="H1588" i="22"/>
  <c r="G1588" i="22"/>
  <c r="F1589" i="22" s="1"/>
  <c r="F1588" i="22"/>
  <c r="C1588" i="22"/>
  <c r="B1588" i="22"/>
  <c r="D1588" i="22" s="1"/>
  <c r="B1537" i="22"/>
  <c r="D1535" i="22"/>
  <c r="C1535" i="22"/>
  <c r="O1534" i="22"/>
  <c r="M1534" i="22"/>
  <c r="N1534" i="22" s="1"/>
  <c r="L1534" i="22"/>
  <c r="K1534" i="22"/>
  <c r="J1534" i="22"/>
  <c r="I1534" i="22"/>
  <c r="G1535" i="22" s="1"/>
  <c r="H1534" i="22"/>
  <c r="G1534" i="22"/>
  <c r="F1535" i="22" s="1"/>
  <c r="F1534" i="22"/>
  <c r="C1534" i="22"/>
  <c r="B1534" i="22"/>
  <c r="D1534" i="22" s="1"/>
  <c r="B1483" i="22"/>
  <c r="D1481" i="22"/>
  <c r="C1481" i="22"/>
  <c r="O1480" i="22"/>
  <c r="M1480" i="22"/>
  <c r="N1480" i="22" s="1"/>
  <c r="L1480" i="22"/>
  <c r="K1480" i="22"/>
  <c r="J1480" i="22"/>
  <c r="I1480" i="22"/>
  <c r="G1481" i="22" s="1"/>
  <c r="H1480" i="22"/>
  <c r="G1480" i="22"/>
  <c r="F1481" i="22" s="1"/>
  <c r="F1480" i="22"/>
  <c r="C1480" i="22"/>
  <c r="B30" i="22" s="1"/>
  <c r="B1480" i="22"/>
  <c r="D1480" i="22" s="1"/>
  <c r="B1429" i="22"/>
  <c r="D1427" i="22"/>
  <c r="C1427" i="22"/>
  <c r="O1426" i="22"/>
  <c r="M1426" i="22"/>
  <c r="N1426" i="22" s="1"/>
  <c r="L1426" i="22"/>
  <c r="K1426" i="22"/>
  <c r="J1426" i="22"/>
  <c r="I1426" i="22"/>
  <c r="G1427" i="22" s="1"/>
  <c r="H1426" i="22"/>
  <c r="G1426" i="22"/>
  <c r="F1427" i="22" s="1"/>
  <c r="F1426" i="22"/>
  <c r="C1426" i="22"/>
  <c r="B29" i="22" s="1"/>
  <c r="B1426" i="22"/>
  <c r="D1426" i="22" s="1"/>
  <c r="B1375" i="22"/>
  <c r="D1373" i="22"/>
  <c r="C1373" i="22"/>
  <c r="O1372" i="22"/>
  <c r="M1372" i="22"/>
  <c r="N1372" i="22" s="1"/>
  <c r="L1372" i="22"/>
  <c r="K1372" i="22"/>
  <c r="J1372" i="22"/>
  <c r="I1372" i="22"/>
  <c r="G1373" i="22" s="1"/>
  <c r="H1372" i="22"/>
  <c r="G1372" i="22"/>
  <c r="F1373" i="22" s="1"/>
  <c r="F1372" i="22"/>
  <c r="C1372" i="22"/>
  <c r="B28" i="22" s="1"/>
  <c r="B1372" i="22"/>
  <c r="D1372" i="22" s="1"/>
  <c r="B1321" i="22"/>
  <c r="D1319" i="22"/>
  <c r="C1319" i="22"/>
  <c r="O1318" i="22"/>
  <c r="M1318" i="22"/>
  <c r="N1318" i="22" s="1"/>
  <c r="L1318" i="22"/>
  <c r="K1318" i="22"/>
  <c r="J1318" i="22"/>
  <c r="I1318" i="22"/>
  <c r="G1319" i="22" s="1"/>
  <c r="H1318" i="22"/>
  <c r="G1318" i="22"/>
  <c r="F1319" i="22" s="1"/>
  <c r="F1318" i="22"/>
  <c r="C1318" i="22"/>
  <c r="B27" i="22" s="1"/>
  <c r="B1318" i="22"/>
  <c r="D1318" i="22" s="1"/>
  <c r="B1267" i="22"/>
  <c r="D1265" i="22"/>
  <c r="C1265" i="22"/>
  <c r="O1264" i="22"/>
  <c r="CI26" i="22" s="1"/>
  <c r="M1264" i="22"/>
  <c r="N1264" i="22" s="1"/>
  <c r="L1264" i="22"/>
  <c r="K1264" i="22"/>
  <c r="J1264" i="22"/>
  <c r="I1264" i="22"/>
  <c r="G1265" i="22" s="1"/>
  <c r="H1264" i="22"/>
  <c r="G1264" i="22"/>
  <c r="F1265" i="22" s="1"/>
  <c r="F1264" i="22"/>
  <c r="C1264" i="22"/>
  <c r="B26" i="22" s="1"/>
  <c r="B1264" i="22"/>
  <c r="D1264" i="22" s="1"/>
  <c r="B1213" i="22"/>
  <c r="D1211" i="22"/>
  <c r="C1211" i="22"/>
  <c r="O1210" i="22"/>
  <c r="CI25" i="22" s="1"/>
  <c r="M1210" i="22"/>
  <c r="N1210" i="22" s="1"/>
  <c r="L1210" i="22"/>
  <c r="K1210" i="22"/>
  <c r="J1210" i="22"/>
  <c r="I1210" i="22"/>
  <c r="G1211" i="22" s="1"/>
  <c r="H1210" i="22"/>
  <c r="G1210" i="22"/>
  <c r="F1211" i="22" s="1"/>
  <c r="F1210" i="22"/>
  <c r="C1210" i="22"/>
  <c r="B25" i="22" s="1"/>
  <c r="B1210" i="22"/>
  <c r="D1210" i="22" s="1"/>
  <c r="B1159" i="22"/>
  <c r="D1157" i="22"/>
  <c r="C1157" i="22"/>
  <c r="O1156" i="22"/>
  <c r="M1156" i="22"/>
  <c r="N1156" i="22" s="1"/>
  <c r="L1156" i="22"/>
  <c r="K1156" i="22"/>
  <c r="J1156" i="22"/>
  <c r="I1156" i="22"/>
  <c r="G1157" i="22" s="1"/>
  <c r="H1156" i="22"/>
  <c r="G1156" i="22"/>
  <c r="F1157" i="22" s="1"/>
  <c r="F1156" i="22"/>
  <c r="C1156" i="22"/>
  <c r="B24" i="22" s="1"/>
  <c r="B1156" i="22"/>
  <c r="D1156" i="22" s="1"/>
  <c r="B1105" i="22"/>
  <c r="D1103" i="22"/>
  <c r="C1103" i="22"/>
  <c r="O1102" i="22"/>
  <c r="M1102" i="22"/>
  <c r="N1102" i="22" s="1"/>
  <c r="L1102" i="22"/>
  <c r="K1102" i="22"/>
  <c r="J1102" i="22"/>
  <c r="I1102" i="22"/>
  <c r="G1103" i="22" s="1"/>
  <c r="H1102" i="22"/>
  <c r="G1102" i="22"/>
  <c r="F1103" i="22" s="1"/>
  <c r="F1102" i="22"/>
  <c r="C1102" i="22"/>
  <c r="B23" i="22" s="1"/>
  <c r="B1102" i="22"/>
  <c r="D1102" i="22" s="1"/>
  <c r="B1051" i="22"/>
  <c r="D1049" i="22"/>
  <c r="C1049" i="22"/>
  <c r="O1048" i="22"/>
  <c r="M1048" i="22"/>
  <c r="N1048" i="22" s="1"/>
  <c r="L1048" i="22"/>
  <c r="K1048" i="22"/>
  <c r="J1048" i="22"/>
  <c r="I1048" i="22"/>
  <c r="G1049" i="22" s="1"/>
  <c r="H1048" i="22"/>
  <c r="G1048" i="22"/>
  <c r="F1049" i="22" s="1"/>
  <c r="F1048" i="22"/>
  <c r="C1048" i="22"/>
  <c r="B22" i="22" s="1"/>
  <c r="B1048" i="22"/>
  <c r="D1048" i="22" s="1"/>
  <c r="T1044" i="22"/>
  <c r="S1044" i="22"/>
  <c r="T1043" i="22"/>
  <c r="S1043" i="22"/>
  <c r="T1042" i="22"/>
  <c r="S1042" i="22"/>
  <c r="T1041" i="22"/>
  <c r="S1041" i="22"/>
  <c r="T1040" i="22"/>
  <c r="S1040" i="22"/>
  <c r="T1039" i="22"/>
  <c r="S1039" i="22"/>
  <c r="T1038" i="22"/>
  <c r="S1038" i="22"/>
  <c r="T1037" i="22"/>
  <c r="S1037" i="22"/>
  <c r="T1036" i="22"/>
  <c r="S1036" i="22"/>
  <c r="T1035" i="22"/>
  <c r="S1035" i="22"/>
  <c r="B997" i="22"/>
  <c r="D995" i="22"/>
  <c r="C995" i="22"/>
  <c r="O994" i="22"/>
  <c r="M994" i="22"/>
  <c r="N994" i="22" s="1"/>
  <c r="L994" i="22"/>
  <c r="K994" i="22"/>
  <c r="J994" i="22"/>
  <c r="I994" i="22"/>
  <c r="G995" i="22" s="1"/>
  <c r="H994" i="22"/>
  <c r="G994" i="22"/>
  <c r="F995" i="22" s="1"/>
  <c r="F994" i="22"/>
  <c r="C994" i="22"/>
  <c r="B994" i="22"/>
  <c r="D994" i="22" s="1"/>
  <c r="B943" i="22"/>
  <c r="D941" i="22"/>
  <c r="C941" i="22"/>
  <c r="O940" i="22"/>
  <c r="M940" i="22"/>
  <c r="N940" i="22" s="1"/>
  <c r="L940" i="22"/>
  <c r="K940" i="22"/>
  <c r="J940" i="22"/>
  <c r="I940" i="22"/>
  <c r="G941" i="22" s="1"/>
  <c r="H940" i="22"/>
  <c r="G940" i="22"/>
  <c r="F941" i="22" s="1"/>
  <c r="F940" i="22"/>
  <c r="C940" i="22"/>
  <c r="B20" i="22" s="1"/>
  <c r="B940" i="22"/>
  <c r="D940" i="22" s="1"/>
  <c r="B889" i="22"/>
  <c r="D887" i="22"/>
  <c r="C887" i="22"/>
  <c r="O886" i="22"/>
  <c r="M886" i="22"/>
  <c r="N886" i="22" s="1"/>
  <c r="L886" i="22"/>
  <c r="K886" i="22"/>
  <c r="J886" i="22"/>
  <c r="I886" i="22"/>
  <c r="G887" i="22" s="1"/>
  <c r="H886" i="22"/>
  <c r="G886" i="22"/>
  <c r="F887" i="22" s="1"/>
  <c r="F886" i="22"/>
  <c r="C886" i="22"/>
  <c r="B19" i="22" s="1"/>
  <c r="B886" i="22"/>
  <c r="D886" i="22" s="1"/>
  <c r="B835" i="22"/>
  <c r="D833" i="22"/>
  <c r="C833" i="22"/>
  <c r="O832" i="22"/>
  <c r="M832" i="22"/>
  <c r="N832" i="22" s="1"/>
  <c r="L832" i="22"/>
  <c r="K832" i="22"/>
  <c r="J832" i="22"/>
  <c r="I832" i="22"/>
  <c r="G833" i="22" s="1"/>
  <c r="H832" i="22"/>
  <c r="G832" i="22"/>
  <c r="F833" i="22" s="1"/>
  <c r="F832" i="22"/>
  <c r="C832" i="22"/>
  <c r="B18" i="22" s="1"/>
  <c r="B832" i="22"/>
  <c r="D832" i="22" s="1"/>
  <c r="B781" i="22"/>
  <c r="D779" i="22"/>
  <c r="C779" i="22"/>
  <c r="O778" i="22"/>
  <c r="M778" i="22"/>
  <c r="N778" i="22" s="1"/>
  <c r="L778" i="22"/>
  <c r="K778" i="22"/>
  <c r="J778" i="22"/>
  <c r="I778" i="22"/>
  <c r="G779" i="22" s="1"/>
  <c r="H778" i="22"/>
  <c r="G778" i="22"/>
  <c r="F779" i="22" s="1"/>
  <c r="F778" i="22"/>
  <c r="C778" i="22"/>
  <c r="B17" i="22" s="1"/>
  <c r="B778" i="22"/>
  <c r="D778" i="22" s="1"/>
  <c r="B727" i="22"/>
  <c r="D725" i="22"/>
  <c r="C725" i="22"/>
  <c r="O724" i="22"/>
  <c r="M724" i="22"/>
  <c r="N724" i="22" s="1"/>
  <c r="L724" i="22"/>
  <c r="K724" i="22"/>
  <c r="J724" i="22"/>
  <c r="I724" i="22"/>
  <c r="G725" i="22" s="1"/>
  <c r="H724" i="22"/>
  <c r="G724" i="22"/>
  <c r="F725" i="22" s="1"/>
  <c r="F724" i="22"/>
  <c r="C724" i="22"/>
  <c r="B16" i="22" s="1"/>
  <c r="B724" i="22"/>
  <c r="D724" i="22" s="1"/>
  <c r="B673" i="22"/>
  <c r="D671" i="22"/>
  <c r="C671" i="22"/>
  <c r="O670" i="22"/>
  <c r="CI15" i="22" s="1"/>
  <c r="M670" i="22"/>
  <c r="N670" i="22" s="1"/>
  <c r="L670" i="22"/>
  <c r="K670" i="22"/>
  <c r="J670" i="22"/>
  <c r="I670" i="22"/>
  <c r="G671" i="22" s="1"/>
  <c r="H670" i="22"/>
  <c r="G670" i="22"/>
  <c r="F671" i="22" s="1"/>
  <c r="F670" i="22"/>
  <c r="C670" i="22"/>
  <c r="B15" i="22" s="1"/>
  <c r="B670" i="22"/>
  <c r="D670" i="22" s="1"/>
  <c r="B619" i="22"/>
  <c r="D617" i="22"/>
  <c r="C617" i="22"/>
  <c r="O616" i="22"/>
  <c r="M616" i="22"/>
  <c r="N616" i="22" s="1"/>
  <c r="L616" i="22"/>
  <c r="K616" i="22"/>
  <c r="J616" i="22"/>
  <c r="I616" i="22"/>
  <c r="G617" i="22" s="1"/>
  <c r="H616" i="22"/>
  <c r="G616" i="22"/>
  <c r="F617" i="22" s="1"/>
  <c r="F616" i="22"/>
  <c r="C616" i="22"/>
  <c r="B14" i="22" s="1"/>
  <c r="B616" i="22"/>
  <c r="D616" i="22" s="1"/>
  <c r="B565" i="22"/>
  <c r="D563" i="22"/>
  <c r="C563" i="22"/>
  <c r="O562" i="22"/>
  <c r="M562" i="22"/>
  <c r="N562" i="22" s="1"/>
  <c r="L562" i="22"/>
  <c r="K562" i="22"/>
  <c r="J562" i="22"/>
  <c r="I562" i="22"/>
  <c r="G563" i="22" s="1"/>
  <c r="H562" i="22"/>
  <c r="G562" i="22"/>
  <c r="F563" i="22" s="1"/>
  <c r="F562" i="22"/>
  <c r="C562" i="22"/>
  <c r="B13" i="22" s="1"/>
  <c r="B562" i="22"/>
  <c r="D562" i="22" s="1"/>
  <c r="B511" i="22"/>
  <c r="D509" i="22"/>
  <c r="C509" i="22"/>
  <c r="O508" i="22"/>
  <c r="M508" i="22"/>
  <c r="N508" i="22" s="1"/>
  <c r="L508" i="22"/>
  <c r="K508" i="22"/>
  <c r="J508" i="22"/>
  <c r="I508" i="22"/>
  <c r="G509" i="22" s="1"/>
  <c r="H508" i="22"/>
  <c r="G508" i="22"/>
  <c r="F509" i="22" s="1"/>
  <c r="F508" i="22"/>
  <c r="C508" i="22"/>
  <c r="B12" i="22" s="1"/>
  <c r="B508" i="22"/>
  <c r="D508" i="22" s="1"/>
  <c r="B457" i="22"/>
  <c r="D455" i="22"/>
  <c r="C455" i="22"/>
  <c r="O454" i="22"/>
  <c r="M454" i="22"/>
  <c r="N454" i="22" s="1"/>
  <c r="L454" i="22"/>
  <c r="K454" i="22"/>
  <c r="J454" i="22"/>
  <c r="I454" i="22"/>
  <c r="G455" i="22" s="1"/>
  <c r="H454" i="22"/>
  <c r="G454" i="22"/>
  <c r="F455" i="22" s="1"/>
  <c r="F454" i="22"/>
  <c r="C454" i="22"/>
  <c r="B11" i="22" s="1"/>
  <c r="B454" i="22"/>
  <c r="D454" i="22" s="1"/>
  <c r="B403" i="22"/>
  <c r="D401" i="22"/>
  <c r="C401" i="22"/>
  <c r="O400" i="22"/>
  <c r="CI10" i="22" s="1"/>
  <c r="M400" i="22"/>
  <c r="N400" i="22" s="1"/>
  <c r="L400" i="22"/>
  <c r="K400" i="22"/>
  <c r="J400" i="22"/>
  <c r="I400" i="22"/>
  <c r="G401" i="22" s="1"/>
  <c r="H400" i="22"/>
  <c r="G400" i="22"/>
  <c r="F401" i="22" s="1"/>
  <c r="F400" i="22"/>
  <c r="C400" i="22"/>
  <c r="B10" i="22" s="1"/>
  <c r="B400" i="22"/>
  <c r="D400" i="22" s="1"/>
  <c r="B349" i="22"/>
  <c r="D347" i="22"/>
  <c r="C347" i="22"/>
  <c r="O346" i="22"/>
  <c r="M346" i="22"/>
  <c r="N346" i="22" s="1"/>
  <c r="L346" i="22"/>
  <c r="K346" i="22"/>
  <c r="H347" i="22" s="1"/>
  <c r="J346" i="22"/>
  <c r="E347" i="22" s="1"/>
  <c r="I346" i="22"/>
  <c r="G347" i="22" s="1"/>
  <c r="H346" i="22"/>
  <c r="G346" i="22"/>
  <c r="F347" i="22" s="1"/>
  <c r="F346" i="22"/>
  <c r="C346" i="22"/>
  <c r="B9" i="22" s="1"/>
  <c r="B346" i="22"/>
  <c r="D346" i="22" s="1"/>
  <c r="B295" i="22"/>
  <c r="D293" i="22"/>
  <c r="C293" i="22"/>
  <c r="O292" i="22"/>
  <c r="M292" i="22"/>
  <c r="N292" i="22" s="1"/>
  <c r="L292" i="22"/>
  <c r="K292" i="22"/>
  <c r="J292" i="22"/>
  <c r="I292" i="22"/>
  <c r="G293" i="22" s="1"/>
  <c r="H292" i="22"/>
  <c r="G292" i="22"/>
  <c r="F293" i="22" s="1"/>
  <c r="F292" i="22"/>
  <c r="C292" i="22"/>
  <c r="B8" i="22" s="1"/>
  <c r="B292" i="22"/>
  <c r="D292" i="22" s="1"/>
  <c r="B241" i="22"/>
  <c r="D239" i="22"/>
  <c r="C239" i="22"/>
  <c r="O238" i="22"/>
  <c r="M238" i="22"/>
  <c r="N238" i="22" s="1"/>
  <c r="L238" i="22"/>
  <c r="K238" i="22"/>
  <c r="J238" i="22"/>
  <c r="I238" i="22"/>
  <c r="G239" i="22" s="1"/>
  <c r="H238" i="22"/>
  <c r="G238" i="22"/>
  <c r="F239" i="22" s="1"/>
  <c r="F238" i="22"/>
  <c r="C238" i="22"/>
  <c r="B7" i="22" s="1"/>
  <c r="B238" i="22"/>
  <c r="D238" i="22" s="1"/>
  <c r="B187" i="22"/>
  <c r="D185" i="22"/>
  <c r="C185" i="22"/>
  <c r="O184" i="22"/>
  <c r="M184" i="22"/>
  <c r="N184" i="22" s="1"/>
  <c r="L184" i="22"/>
  <c r="K184" i="22"/>
  <c r="J184" i="22"/>
  <c r="I184" i="22"/>
  <c r="G185" i="22" s="1"/>
  <c r="H184" i="22"/>
  <c r="G184" i="22"/>
  <c r="F185" i="22" s="1"/>
  <c r="F184" i="22"/>
  <c r="C184" i="22"/>
  <c r="B6" i="22" s="1"/>
  <c r="B184" i="22"/>
  <c r="D184" i="22" s="1"/>
  <c r="B133" i="22"/>
  <c r="D131" i="22"/>
  <c r="C131" i="22"/>
  <c r="O130" i="22"/>
  <c r="M130" i="22"/>
  <c r="N130" i="22" s="1"/>
  <c r="L130" i="22"/>
  <c r="K130" i="22"/>
  <c r="J130" i="22"/>
  <c r="I130" i="22"/>
  <c r="G131" i="22" s="1"/>
  <c r="H130" i="22"/>
  <c r="G130" i="22"/>
  <c r="F131" i="22" s="1"/>
  <c r="F130" i="22"/>
  <c r="C130" i="22"/>
  <c r="B5" i="22" s="1"/>
  <c r="B130" i="22"/>
  <c r="D130" i="22" s="1"/>
  <c r="T126" i="22"/>
  <c r="S126" i="22"/>
  <c r="T125" i="22"/>
  <c r="S125" i="22"/>
  <c r="T124" i="22"/>
  <c r="S124" i="22"/>
  <c r="T123" i="22"/>
  <c r="S123" i="22"/>
  <c r="T122" i="22"/>
  <c r="S122" i="22"/>
  <c r="T121" i="22"/>
  <c r="S121" i="22"/>
  <c r="T120" i="22"/>
  <c r="S120" i="22"/>
  <c r="T119" i="22"/>
  <c r="S119" i="22"/>
  <c r="T118" i="22"/>
  <c r="S118" i="22"/>
  <c r="T117" i="22"/>
  <c r="S117" i="22"/>
  <c r="T116" i="22"/>
  <c r="B79" i="22"/>
  <c r="D77" i="22"/>
  <c r="C77" i="22"/>
  <c r="O76" i="22"/>
  <c r="M76" i="22"/>
  <c r="N76" i="22" s="1"/>
  <c r="L76" i="22"/>
  <c r="K76" i="22"/>
  <c r="J76" i="22"/>
  <c r="I76" i="22"/>
  <c r="G77" i="22" s="1"/>
  <c r="H76" i="22"/>
  <c r="G76" i="22"/>
  <c r="F77" i="22" s="1"/>
  <c r="F76" i="22"/>
  <c r="C76" i="22"/>
  <c r="B76" i="22"/>
  <c r="D76" i="22" s="1"/>
  <c r="V72" i="22"/>
  <c r="U72" i="22"/>
  <c r="T72" i="22"/>
  <c r="S72" i="22"/>
  <c r="AG72" i="22" s="1"/>
  <c r="R72" i="22"/>
  <c r="CN72" i="22" s="1"/>
  <c r="M72" i="22"/>
  <c r="V71" i="22"/>
  <c r="U71" i="22"/>
  <c r="T71" i="22"/>
  <c r="S71" i="22"/>
  <c r="AG71" i="22" s="1"/>
  <c r="R71" i="22"/>
  <c r="CN71" i="22" s="1"/>
  <c r="M71" i="22"/>
  <c r="V70" i="22"/>
  <c r="U70" i="22"/>
  <c r="T70" i="22"/>
  <c r="S70" i="22"/>
  <c r="AG70" i="22" s="1"/>
  <c r="R70" i="22"/>
  <c r="CN70" i="22" s="1"/>
  <c r="M70" i="22"/>
  <c r="V69" i="22"/>
  <c r="U69" i="22"/>
  <c r="T69" i="22"/>
  <c r="S69" i="22"/>
  <c r="AG69" i="22" s="1"/>
  <c r="R69" i="22"/>
  <c r="CN69" i="22" s="1"/>
  <c r="M69" i="22"/>
  <c r="V68" i="22"/>
  <c r="U68" i="22"/>
  <c r="T68" i="22"/>
  <c r="S68" i="22"/>
  <c r="AG68" i="22" s="1"/>
  <c r="R68" i="22"/>
  <c r="CN68" i="22" s="1"/>
  <c r="M68" i="22"/>
  <c r="V67" i="22"/>
  <c r="U67" i="22"/>
  <c r="T67" i="22"/>
  <c r="S67" i="22"/>
  <c r="AG67" i="22" s="1"/>
  <c r="R67" i="22"/>
  <c r="CN67" i="22" s="1"/>
  <c r="M67" i="22"/>
  <c r="V66" i="22"/>
  <c r="U66" i="22"/>
  <c r="T66" i="22"/>
  <c r="S66" i="22"/>
  <c r="AG66" i="22" s="1"/>
  <c r="R66" i="22"/>
  <c r="CN66" i="22" s="1"/>
  <c r="M66" i="22"/>
  <c r="V65" i="22"/>
  <c r="U65" i="22"/>
  <c r="T65" i="22"/>
  <c r="S65" i="22"/>
  <c r="AG65" i="22" s="1"/>
  <c r="R65" i="22"/>
  <c r="CN65" i="22" s="1"/>
  <c r="M65" i="22"/>
  <c r="V64" i="22"/>
  <c r="U64" i="22"/>
  <c r="T64" i="22"/>
  <c r="S64" i="22"/>
  <c r="AG64" i="22" s="1"/>
  <c r="R64" i="22"/>
  <c r="CN64" i="22" s="1"/>
  <c r="M64" i="22"/>
  <c r="V63" i="22"/>
  <c r="U63" i="22"/>
  <c r="T63" i="22"/>
  <c r="S63" i="22"/>
  <c r="AG63" i="22" s="1"/>
  <c r="R63" i="22"/>
  <c r="CN63" i="22" s="1"/>
  <c r="M63" i="22"/>
  <c r="V62" i="22"/>
  <c r="U62" i="22"/>
  <c r="T62" i="22"/>
  <c r="S62" i="22"/>
  <c r="AG62" i="22" s="1"/>
  <c r="R62" i="22"/>
  <c r="CN62" i="22" s="1"/>
  <c r="M62" i="22"/>
  <c r="V61" i="22"/>
  <c r="U61" i="22"/>
  <c r="T61" i="22"/>
  <c r="S61" i="22"/>
  <c r="AG61" i="22" s="1"/>
  <c r="R61" i="22"/>
  <c r="CN61" i="22" s="1"/>
  <c r="M61" i="22"/>
  <c r="V60" i="22"/>
  <c r="U60" i="22"/>
  <c r="T60" i="22"/>
  <c r="S60" i="22"/>
  <c r="AG60" i="22" s="1"/>
  <c r="R60" i="22"/>
  <c r="CN60" i="22" s="1"/>
  <c r="M60" i="22"/>
  <c r="V59" i="22"/>
  <c r="U59" i="22"/>
  <c r="T59" i="22"/>
  <c r="S59" i="22"/>
  <c r="AG59" i="22" s="1"/>
  <c r="R59" i="22"/>
  <c r="CN59" i="22" s="1"/>
  <c r="M59" i="22"/>
  <c r="V58" i="22"/>
  <c r="U58" i="22"/>
  <c r="T58" i="22"/>
  <c r="S58" i="22"/>
  <c r="AG58" i="22" s="1"/>
  <c r="R58" i="22"/>
  <c r="CN58" i="22" s="1"/>
  <c r="M58" i="22"/>
  <c r="V57" i="22"/>
  <c r="U57" i="22"/>
  <c r="T57" i="22"/>
  <c r="S57" i="22"/>
  <c r="AG57" i="22" s="1"/>
  <c r="R57" i="22"/>
  <c r="CN57" i="22" s="1"/>
  <c r="M57" i="22"/>
  <c r="V56" i="22"/>
  <c r="U56" i="22"/>
  <c r="T56" i="22"/>
  <c r="S56" i="22"/>
  <c r="AG56" i="22" s="1"/>
  <c r="R56" i="22"/>
  <c r="CN56" i="22" s="1"/>
  <c r="M56" i="22"/>
  <c r="V55" i="22"/>
  <c r="U55" i="22"/>
  <c r="T55" i="22"/>
  <c r="S55" i="22"/>
  <c r="AG55" i="22" s="1"/>
  <c r="R55" i="22"/>
  <c r="CN55" i="22" s="1"/>
  <c r="M55" i="22"/>
  <c r="V54" i="22"/>
  <c r="U54" i="22"/>
  <c r="T54" i="22"/>
  <c r="S54" i="22"/>
  <c r="AG54" i="22" s="1"/>
  <c r="R54" i="22"/>
  <c r="CN54" i="22" s="1"/>
  <c r="M54" i="22"/>
  <c r="V53" i="22"/>
  <c r="U53" i="22"/>
  <c r="T53" i="22"/>
  <c r="S53" i="22"/>
  <c r="AG53" i="22" s="1"/>
  <c r="R53" i="22"/>
  <c r="CN53" i="22" s="1"/>
  <c r="M53" i="22"/>
  <c r="V52" i="22"/>
  <c r="U52" i="22"/>
  <c r="T52" i="22"/>
  <c r="S52" i="22"/>
  <c r="AG52" i="22" s="1"/>
  <c r="R52" i="22"/>
  <c r="CN52" i="22" s="1"/>
  <c r="M52" i="22"/>
  <c r="V51" i="22"/>
  <c r="U51" i="22"/>
  <c r="T51" i="22"/>
  <c r="S51" i="22"/>
  <c r="AG51" i="22" s="1"/>
  <c r="R51" i="22"/>
  <c r="CN51" i="22" s="1"/>
  <c r="M51" i="22"/>
  <c r="CI50" i="22"/>
  <c r="AL50" i="22"/>
  <c r="AK50" i="22"/>
  <c r="V50" i="22"/>
  <c r="U50" i="22"/>
  <c r="T50" i="22"/>
  <c r="S50" i="22"/>
  <c r="AG50" i="22" s="1"/>
  <c r="R50" i="22"/>
  <c r="CN50" i="22" s="1"/>
  <c r="M50" i="22"/>
  <c r="B50" i="22"/>
  <c r="V49" i="22"/>
  <c r="U49" i="22"/>
  <c r="T49" i="22"/>
  <c r="S49" i="22"/>
  <c r="AG49" i="22" s="1"/>
  <c r="R49" i="22"/>
  <c r="CN49" i="22" s="1"/>
  <c r="M49" i="22"/>
  <c r="V48" i="22"/>
  <c r="U48" i="22"/>
  <c r="T48" i="22"/>
  <c r="S48" i="22"/>
  <c r="AG48" i="22" s="1"/>
  <c r="R48" i="22"/>
  <c r="CN48" i="22" s="1"/>
  <c r="M48" i="22"/>
  <c r="V47" i="22"/>
  <c r="U47" i="22"/>
  <c r="T47" i="22"/>
  <c r="S47" i="22"/>
  <c r="AG47" i="22" s="1"/>
  <c r="R47" i="22"/>
  <c r="CN47" i="22" s="1"/>
  <c r="M47" i="22"/>
  <c r="V46" i="22"/>
  <c r="U46" i="22"/>
  <c r="T46" i="22"/>
  <c r="S46" i="22"/>
  <c r="AG46" i="22" s="1"/>
  <c r="R46" i="22"/>
  <c r="CN46" i="22" s="1"/>
  <c r="M46" i="22"/>
  <c r="V45" i="22"/>
  <c r="U45" i="22"/>
  <c r="T45" i="22"/>
  <c r="S45" i="22"/>
  <c r="AG45" i="22" s="1"/>
  <c r="R45" i="22"/>
  <c r="CN45" i="22" s="1"/>
  <c r="M45" i="22"/>
  <c r="CI44" i="22"/>
  <c r="AL44" i="22"/>
  <c r="AK44" i="22"/>
  <c r="V44" i="22"/>
  <c r="U44" i="22"/>
  <c r="T44" i="22"/>
  <c r="S44" i="22"/>
  <c r="AG44" i="22" s="1"/>
  <c r="R44" i="22"/>
  <c r="CN44" i="22" s="1"/>
  <c r="M44" i="22"/>
  <c r="B44" i="22"/>
  <c r="CI43" i="22"/>
  <c r="AL43" i="22"/>
  <c r="AK43" i="22"/>
  <c r="V43" i="22"/>
  <c r="U43" i="22"/>
  <c r="T43" i="22"/>
  <c r="S43" i="22"/>
  <c r="AG43" i="22" s="1"/>
  <c r="R43" i="22"/>
  <c r="CN43" i="22" s="1"/>
  <c r="M43" i="22"/>
  <c r="B43" i="22"/>
  <c r="V42" i="22"/>
  <c r="U42" i="22"/>
  <c r="T42" i="22"/>
  <c r="S42" i="22"/>
  <c r="AG42" i="22" s="1"/>
  <c r="R42" i="22"/>
  <c r="CN42" i="22" s="1"/>
  <c r="M42" i="22"/>
  <c r="V41" i="22"/>
  <c r="U41" i="22"/>
  <c r="T41" i="22"/>
  <c r="S41" i="22"/>
  <c r="AG41" i="22" s="1"/>
  <c r="R41" i="22"/>
  <c r="CN41" i="22" s="1"/>
  <c r="M41" i="22"/>
  <c r="V40" i="22"/>
  <c r="U40" i="22"/>
  <c r="T40" i="22"/>
  <c r="S40" i="22"/>
  <c r="AG40" i="22" s="1"/>
  <c r="R40" i="22"/>
  <c r="CN40" i="22" s="1"/>
  <c r="M40" i="22"/>
  <c r="V39" i="22"/>
  <c r="U39" i="22"/>
  <c r="T39" i="22"/>
  <c r="S39" i="22"/>
  <c r="AG39" i="22" s="1"/>
  <c r="R39" i="22"/>
  <c r="CN39" i="22" s="1"/>
  <c r="M39" i="22"/>
  <c r="CI38" i="22"/>
  <c r="AL38" i="22"/>
  <c r="AK38" i="22"/>
  <c r="V38" i="22"/>
  <c r="U38" i="22"/>
  <c r="T38" i="22"/>
  <c r="S38" i="22"/>
  <c r="AG38" i="22" s="1"/>
  <c r="R38" i="22"/>
  <c r="CN38" i="22" s="1"/>
  <c r="M38" i="22"/>
  <c r="B38" i="22"/>
  <c r="V37" i="22"/>
  <c r="U37" i="22"/>
  <c r="T37" i="22"/>
  <c r="S37" i="22"/>
  <c r="AG37" i="22" s="1"/>
  <c r="R37" i="22"/>
  <c r="CN37" i="22" s="1"/>
  <c r="M37" i="22"/>
  <c r="B37" i="22"/>
  <c r="V36" i="22"/>
  <c r="U36" i="22"/>
  <c r="T36" i="22"/>
  <c r="S36" i="22"/>
  <c r="AG36" i="22" s="1"/>
  <c r="R36" i="22"/>
  <c r="CN36" i="22" s="1"/>
  <c r="M36" i="22"/>
  <c r="V35" i="22"/>
  <c r="U35" i="22"/>
  <c r="T35" i="22"/>
  <c r="S35" i="22"/>
  <c r="AG35" i="22" s="1"/>
  <c r="R35" i="22"/>
  <c r="CN35" i="22" s="1"/>
  <c r="M35" i="22"/>
  <c r="V34" i="22"/>
  <c r="U34" i="22"/>
  <c r="T34" i="22"/>
  <c r="S34" i="22"/>
  <c r="AG34" i="22" s="1"/>
  <c r="R34" i="22"/>
  <c r="CN34" i="22" s="1"/>
  <c r="M34" i="22"/>
  <c r="CI33" i="22"/>
  <c r="AL33" i="22"/>
  <c r="AK33" i="22"/>
  <c r="V33" i="22"/>
  <c r="U33" i="22"/>
  <c r="T33" i="22"/>
  <c r="S33" i="22"/>
  <c r="AG33" i="22" s="1"/>
  <c r="R33" i="22"/>
  <c r="CN33" i="22" s="1"/>
  <c r="M33" i="22"/>
  <c r="B33" i="22"/>
  <c r="CI32" i="22"/>
  <c r="AL32" i="22"/>
  <c r="AK32" i="22"/>
  <c r="V32" i="22"/>
  <c r="U32" i="22"/>
  <c r="T32" i="22"/>
  <c r="S32" i="22"/>
  <c r="AG32" i="22" s="1"/>
  <c r="R32" i="22"/>
  <c r="CN32" i="22" s="1"/>
  <c r="M32" i="22"/>
  <c r="B32" i="22"/>
  <c r="CI31" i="22"/>
  <c r="AL31" i="22"/>
  <c r="AK31" i="22"/>
  <c r="V31" i="22"/>
  <c r="U31" i="22"/>
  <c r="T31" i="22"/>
  <c r="S31" i="22"/>
  <c r="AG31" i="22" s="1"/>
  <c r="R31" i="22"/>
  <c r="CN31" i="22" s="1"/>
  <c r="M31" i="22"/>
  <c r="B31" i="22"/>
  <c r="V30" i="22"/>
  <c r="U30" i="22"/>
  <c r="T30" i="22"/>
  <c r="S30" i="22"/>
  <c r="AG30" i="22" s="1"/>
  <c r="R30" i="22"/>
  <c r="CN30" i="22" s="1"/>
  <c r="M30" i="22"/>
  <c r="V29" i="22"/>
  <c r="U29" i="22"/>
  <c r="T29" i="22"/>
  <c r="S29" i="22"/>
  <c r="AG29" i="22" s="1"/>
  <c r="R29" i="22"/>
  <c r="CN29" i="22" s="1"/>
  <c r="M29" i="22"/>
  <c r="V28" i="22"/>
  <c r="U28" i="22"/>
  <c r="T28" i="22"/>
  <c r="S28" i="22"/>
  <c r="AG28" i="22" s="1"/>
  <c r="R28" i="22"/>
  <c r="CN28" i="22" s="1"/>
  <c r="M28" i="22"/>
  <c r="CI27" i="22"/>
  <c r="AL27" i="22"/>
  <c r="AK27" i="22"/>
  <c r="V27" i="22"/>
  <c r="U27" i="22"/>
  <c r="T27" i="22"/>
  <c r="S27" i="22"/>
  <c r="R27" i="22"/>
  <c r="M27" i="22"/>
  <c r="V26" i="22"/>
  <c r="U26" i="22"/>
  <c r="T26" i="22"/>
  <c r="S26" i="22"/>
  <c r="AG26" i="22" s="1"/>
  <c r="R26" i="22"/>
  <c r="CN26" i="22" s="1"/>
  <c r="M26" i="22"/>
  <c r="V25" i="22"/>
  <c r="U25" i="22"/>
  <c r="T25" i="22"/>
  <c r="S25" i="22"/>
  <c r="AG25" i="22" s="1"/>
  <c r="R25" i="22"/>
  <c r="CN25" i="22" s="1"/>
  <c r="M25" i="22"/>
  <c r="V24" i="22"/>
  <c r="U24" i="22"/>
  <c r="T24" i="22"/>
  <c r="S24" i="22"/>
  <c r="AG24" i="22" s="1"/>
  <c r="R24" i="22"/>
  <c r="CN24" i="22" s="1"/>
  <c r="M24" i="22"/>
  <c r="V23" i="22"/>
  <c r="U23" i="22"/>
  <c r="T23" i="22"/>
  <c r="S23" i="22"/>
  <c r="AG23" i="22" s="1"/>
  <c r="R23" i="22"/>
  <c r="CN23" i="22" s="1"/>
  <c r="M23" i="22"/>
  <c r="V22" i="22"/>
  <c r="U22" i="22"/>
  <c r="T22" i="22"/>
  <c r="S22" i="22"/>
  <c r="AG22" i="22" s="1"/>
  <c r="R22" i="22"/>
  <c r="CN22" i="22" s="1"/>
  <c r="M22" i="22"/>
  <c r="CI21" i="22"/>
  <c r="AL21" i="22"/>
  <c r="AK21" i="22"/>
  <c r="V21" i="22"/>
  <c r="U21" i="22"/>
  <c r="T21" i="22"/>
  <c r="S21" i="22"/>
  <c r="AG21" i="22" s="1"/>
  <c r="R21" i="22"/>
  <c r="CN21" i="22" s="1"/>
  <c r="M21" i="22"/>
  <c r="B21" i="22"/>
  <c r="V20" i="22"/>
  <c r="U20" i="22"/>
  <c r="T20" i="22"/>
  <c r="S20" i="22"/>
  <c r="AG20" i="22" s="1"/>
  <c r="R20" i="22"/>
  <c r="CN20" i="22" s="1"/>
  <c r="M20" i="22"/>
  <c r="V19" i="22"/>
  <c r="U19" i="22"/>
  <c r="T19" i="22"/>
  <c r="S19" i="22"/>
  <c r="AG19" i="22" s="1"/>
  <c r="R19" i="22"/>
  <c r="CN19" i="22" s="1"/>
  <c r="M19" i="22"/>
  <c r="V18" i="22"/>
  <c r="U18" i="22"/>
  <c r="T18" i="22"/>
  <c r="S18" i="22"/>
  <c r="AG18" i="22" s="1"/>
  <c r="R18" i="22"/>
  <c r="CN18" i="22" s="1"/>
  <c r="M18" i="22"/>
  <c r="V17" i="22"/>
  <c r="U17" i="22"/>
  <c r="T17" i="22"/>
  <c r="S17" i="22"/>
  <c r="AG17" i="22" s="1"/>
  <c r="R17" i="22"/>
  <c r="CN17" i="22" s="1"/>
  <c r="M17" i="22"/>
  <c r="V16" i="22"/>
  <c r="U16" i="22"/>
  <c r="T16" i="22"/>
  <c r="S16" i="22"/>
  <c r="AG16" i="22" s="1"/>
  <c r="R16" i="22"/>
  <c r="CN16" i="22" s="1"/>
  <c r="M16" i="22"/>
  <c r="V15" i="22"/>
  <c r="U15" i="22"/>
  <c r="T15" i="22"/>
  <c r="S15" i="22"/>
  <c r="AG15" i="22" s="1"/>
  <c r="R15" i="22"/>
  <c r="CN15" i="22" s="1"/>
  <c r="M15" i="22"/>
  <c r="V14" i="22"/>
  <c r="U14" i="22"/>
  <c r="T14" i="22"/>
  <c r="S14" i="22"/>
  <c r="AG14" i="22" s="1"/>
  <c r="R14" i="22"/>
  <c r="CN14" i="22" s="1"/>
  <c r="M14" i="22"/>
  <c r="V13" i="22"/>
  <c r="U13" i="22"/>
  <c r="T13" i="22"/>
  <c r="S13" i="22"/>
  <c r="AG13" i="22" s="1"/>
  <c r="R13" i="22"/>
  <c r="CN13" i="22" s="1"/>
  <c r="M13" i="22"/>
  <c r="V12" i="22"/>
  <c r="U12" i="22"/>
  <c r="T12" i="22"/>
  <c r="S12" i="22"/>
  <c r="AG12" i="22" s="1"/>
  <c r="R12" i="22"/>
  <c r="CN12" i="22" s="1"/>
  <c r="M12" i="22"/>
  <c r="V11" i="22"/>
  <c r="U11" i="22"/>
  <c r="T11" i="22"/>
  <c r="S11" i="22"/>
  <c r="AG11" i="22" s="1"/>
  <c r="R11" i="22"/>
  <c r="CN11" i="22" s="1"/>
  <c r="M11" i="22"/>
  <c r="V10" i="22"/>
  <c r="U10" i="22"/>
  <c r="T10" i="22"/>
  <c r="S10" i="22"/>
  <c r="AG10" i="22" s="1"/>
  <c r="R10" i="22"/>
  <c r="CN10" i="22" s="1"/>
  <c r="M10" i="22"/>
  <c r="V9" i="22"/>
  <c r="U9" i="22"/>
  <c r="T9" i="22"/>
  <c r="S9" i="22"/>
  <c r="AG9" i="22" s="1"/>
  <c r="R9" i="22"/>
  <c r="CN9" i="22" s="1"/>
  <c r="M9" i="22"/>
  <c r="V8" i="22"/>
  <c r="U8" i="22"/>
  <c r="T8" i="22"/>
  <c r="S8" i="22"/>
  <c r="AG8" i="22" s="1"/>
  <c r="R8" i="22"/>
  <c r="CN8" i="22" s="1"/>
  <c r="M8" i="22"/>
  <c r="V7" i="22"/>
  <c r="U7" i="22"/>
  <c r="T7" i="22"/>
  <c r="S7" i="22"/>
  <c r="AG7" i="22" s="1"/>
  <c r="R7" i="22"/>
  <c r="CN7" i="22" s="1"/>
  <c r="M7" i="22"/>
  <c r="V6" i="22"/>
  <c r="U6" i="22"/>
  <c r="T6" i="22"/>
  <c r="S6" i="22"/>
  <c r="AG6" i="22" s="1"/>
  <c r="R6" i="22"/>
  <c r="CN6" i="22" s="1"/>
  <c r="M6" i="22"/>
  <c r="V5" i="22"/>
  <c r="U5" i="22"/>
  <c r="T5" i="22"/>
  <c r="S5" i="22"/>
  <c r="AG5" i="22" s="1"/>
  <c r="R5" i="22"/>
  <c r="CN5" i="22" s="1"/>
  <c r="M5" i="22"/>
  <c r="CI4" i="22"/>
  <c r="AL4" i="22"/>
  <c r="AK4" i="22"/>
  <c r="V4" i="22"/>
  <c r="U4" i="22"/>
  <c r="B34" i="7" s="1"/>
  <c r="T4" i="22"/>
  <c r="S4" i="22"/>
  <c r="AG4" i="22" s="1"/>
  <c r="R4" i="22"/>
  <c r="CN4" i="22" s="1"/>
  <c r="M4" i="22"/>
  <c r="B4" i="22"/>
  <c r="O71" i="21"/>
  <c r="P71" i="21" s="1"/>
  <c r="M71" i="21"/>
  <c r="N71" i="21" s="1"/>
  <c r="O70" i="21"/>
  <c r="P70" i="21" s="1"/>
  <c r="M70" i="21"/>
  <c r="N70" i="21" s="1"/>
  <c r="O69" i="21"/>
  <c r="P69" i="21" s="1"/>
  <c r="M69" i="21"/>
  <c r="N69" i="21" s="1"/>
  <c r="O68" i="21"/>
  <c r="P68" i="21" s="1"/>
  <c r="M68" i="21"/>
  <c r="N68" i="21" s="1"/>
  <c r="O67" i="21"/>
  <c r="P67" i="21" s="1"/>
  <c r="M67" i="21"/>
  <c r="N67" i="21" s="1"/>
  <c r="O66" i="21"/>
  <c r="P66" i="21" s="1"/>
  <c r="M66" i="21"/>
  <c r="N66" i="21" s="1"/>
  <c r="O65" i="21"/>
  <c r="P65" i="21" s="1"/>
  <c r="M65" i="21"/>
  <c r="N65" i="21" s="1"/>
  <c r="O64" i="21"/>
  <c r="P64" i="21" s="1"/>
  <c r="M64" i="21"/>
  <c r="N64" i="21" s="1"/>
  <c r="O63" i="21"/>
  <c r="P63" i="21" s="1"/>
  <c r="M63" i="21"/>
  <c r="N63" i="21" s="1"/>
  <c r="O62" i="21"/>
  <c r="P62" i="21" s="1"/>
  <c r="M62" i="21"/>
  <c r="N62" i="21" s="1"/>
  <c r="O61" i="21"/>
  <c r="P61" i="21" s="1"/>
  <c r="M61" i="21"/>
  <c r="N61" i="21" s="1"/>
  <c r="O60" i="21"/>
  <c r="P60" i="21" s="1"/>
  <c r="M60" i="21"/>
  <c r="N60" i="21" s="1"/>
  <c r="O59" i="21"/>
  <c r="P59" i="21" s="1"/>
  <c r="M59" i="21"/>
  <c r="N59" i="21" s="1"/>
  <c r="O58" i="21"/>
  <c r="P58" i="21" s="1"/>
  <c r="M58" i="21"/>
  <c r="N58" i="21" s="1"/>
  <c r="O57" i="21"/>
  <c r="P57" i="21" s="1"/>
  <c r="M57" i="21"/>
  <c r="N57" i="21" s="1"/>
  <c r="O56" i="21"/>
  <c r="P56" i="21" s="1"/>
  <c r="M56" i="21"/>
  <c r="N56" i="21" s="1"/>
  <c r="O55" i="21"/>
  <c r="P55" i="21" s="1"/>
  <c r="M55" i="21"/>
  <c r="N55" i="21" s="1"/>
  <c r="O54" i="21"/>
  <c r="P54" i="21" s="1"/>
  <c r="M54" i="21"/>
  <c r="N54" i="21" s="1"/>
  <c r="O53" i="21"/>
  <c r="P53" i="21" s="1"/>
  <c r="M53" i="21"/>
  <c r="N53" i="21" s="1"/>
  <c r="O52" i="21"/>
  <c r="P52" i="21" s="1"/>
  <c r="M52" i="21"/>
  <c r="N52" i="21" s="1"/>
  <c r="O51" i="21"/>
  <c r="P51" i="21" s="1"/>
  <c r="M51" i="21"/>
  <c r="N51" i="21" s="1"/>
  <c r="O50" i="21"/>
  <c r="P50" i="21" s="1"/>
  <c r="M50" i="21"/>
  <c r="N50" i="21" s="1"/>
  <c r="O49" i="21"/>
  <c r="P49" i="21" s="1"/>
  <c r="M49" i="21"/>
  <c r="N49" i="21" s="1"/>
  <c r="O48" i="21"/>
  <c r="P48" i="21" s="1"/>
  <c r="M48" i="21"/>
  <c r="N48" i="21" s="1"/>
  <c r="O47" i="21"/>
  <c r="P47" i="21" s="1"/>
  <c r="M47" i="21"/>
  <c r="N47" i="21" s="1"/>
  <c r="O46" i="21"/>
  <c r="P46" i="21" s="1"/>
  <c r="M46" i="21"/>
  <c r="N46" i="21" s="1"/>
  <c r="O45" i="21"/>
  <c r="P45" i="21" s="1"/>
  <c r="M45" i="21"/>
  <c r="O44" i="21"/>
  <c r="P44" i="21" s="1"/>
  <c r="M44" i="21"/>
  <c r="N44" i="21" s="1"/>
  <c r="O43" i="21"/>
  <c r="P43" i="21" s="1"/>
  <c r="M43" i="21"/>
  <c r="N43" i="21" s="1"/>
  <c r="O42" i="21"/>
  <c r="P42" i="21" s="1"/>
  <c r="M42" i="21"/>
  <c r="N42" i="21" s="1"/>
  <c r="O41" i="21"/>
  <c r="P41" i="21" s="1"/>
  <c r="M41" i="21"/>
  <c r="N41" i="21" s="1"/>
  <c r="O40" i="21"/>
  <c r="P40" i="21" s="1"/>
  <c r="M40" i="21"/>
  <c r="N40" i="21" s="1"/>
  <c r="O39" i="21"/>
  <c r="P39" i="21" s="1"/>
  <c r="M39" i="21"/>
  <c r="N39" i="21" s="1"/>
  <c r="O38" i="21"/>
  <c r="P38" i="21" s="1"/>
  <c r="M38" i="21"/>
  <c r="N38" i="21" s="1"/>
  <c r="O37" i="21"/>
  <c r="P37" i="21" s="1"/>
  <c r="M37" i="21"/>
  <c r="N37" i="21" s="1"/>
  <c r="O36" i="21"/>
  <c r="P36" i="21" s="1"/>
  <c r="M36" i="21"/>
  <c r="N36" i="21" s="1"/>
  <c r="O35" i="21"/>
  <c r="P35" i="21" s="1"/>
  <c r="M35" i="21"/>
  <c r="N35" i="21" s="1"/>
  <c r="O34" i="21"/>
  <c r="P34" i="21" s="1"/>
  <c r="M34" i="21"/>
  <c r="N34" i="21" s="1"/>
  <c r="O33" i="21"/>
  <c r="P33" i="21" s="1"/>
  <c r="M33" i="21"/>
  <c r="N33" i="21" s="1"/>
  <c r="O32" i="21"/>
  <c r="P32" i="21" s="1"/>
  <c r="M32" i="21"/>
  <c r="N32" i="21" s="1"/>
  <c r="O31" i="21"/>
  <c r="P31" i="21" s="1"/>
  <c r="M31" i="21"/>
  <c r="N31" i="21" s="1"/>
  <c r="O30" i="21"/>
  <c r="P30" i="21" s="1"/>
  <c r="M30" i="21"/>
  <c r="N30" i="21" s="1"/>
  <c r="O29" i="21"/>
  <c r="P29" i="21" s="1"/>
  <c r="M29" i="21"/>
  <c r="N29" i="21" s="1"/>
  <c r="O28" i="21"/>
  <c r="P28" i="21" s="1"/>
  <c r="M28" i="21"/>
  <c r="N28" i="21" s="1"/>
  <c r="O27" i="21"/>
  <c r="P27" i="21" s="1"/>
  <c r="M27" i="21"/>
  <c r="N27" i="21" s="1"/>
  <c r="O26" i="21"/>
  <c r="P26" i="21" s="1"/>
  <c r="M26" i="21"/>
  <c r="N26" i="21" s="1"/>
  <c r="O25" i="21"/>
  <c r="P25" i="21" s="1"/>
  <c r="M25" i="21"/>
  <c r="N25" i="21" s="1"/>
  <c r="O24" i="21"/>
  <c r="P24" i="21" s="1"/>
  <c r="M24" i="21"/>
  <c r="O23" i="21"/>
  <c r="M23" i="21"/>
  <c r="N23" i="21" s="1"/>
  <c r="O22" i="21"/>
  <c r="M22" i="21"/>
  <c r="N22" i="21" s="1"/>
  <c r="O21" i="21"/>
  <c r="M21" i="21"/>
  <c r="N21" i="21" s="1"/>
  <c r="O20" i="21"/>
  <c r="M20" i="21"/>
  <c r="N20" i="21" s="1"/>
  <c r="O19" i="21"/>
  <c r="M19" i="21"/>
  <c r="N19" i="21" s="1"/>
  <c r="O18" i="21"/>
  <c r="M18" i="21"/>
  <c r="N18" i="21" s="1"/>
  <c r="O17" i="21"/>
  <c r="M17" i="21"/>
  <c r="N17" i="21" s="1"/>
  <c r="O16" i="21"/>
  <c r="M16" i="21"/>
  <c r="N16" i="21" s="1"/>
  <c r="O15" i="21"/>
  <c r="M15" i="21"/>
  <c r="N15" i="21" s="1"/>
  <c r="O14" i="21"/>
  <c r="M14" i="21"/>
  <c r="N14" i="21" s="1"/>
  <c r="O13" i="21"/>
  <c r="M13" i="21"/>
  <c r="N13" i="21" s="1"/>
  <c r="O12" i="21"/>
  <c r="M12" i="21"/>
  <c r="N12" i="21" s="1"/>
  <c r="O11" i="21"/>
  <c r="M11" i="21"/>
  <c r="N11" i="21" s="1"/>
  <c r="O10" i="21"/>
  <c r="M10" i="21"/>
  <c r="N10" i="21" s="1"/>
  <c r="O9" i="21"/>
  <c r="P9" i="21" s="1"/>
  <c r="M9" i="21"/>
  <c r="O8" i="21"/>
  <c r="M8" i="21"/>
  <c r="N8" i="21" s="1"/>
  <c r="O7" i="21"/>
  <c r="M7" i="21"/>
  <c r="N7" i="21" s="1"/>
  <c r="O6" i="21"/>
  <c r="M6" i="21"/>
  <c r="N6" i="21" s="1"/>
  <c r="O5" i="21"/>
  <c r="M5" i="21"/>
  <c r="N5" i="21" s="1"/>
  <c r="O4" i="21"/>
  <c r="M4" i="21"/>
  <c r="N4" i="21" s="1"/>
  <c r="O3" i="21"/>
  <c r="P3" i="21" s="1"/>
  <c r="M3" i="21"/>
  <c r="N3" i="21" s="1"/>
  <c r="B18" i="20"/>
  <c r="B17" i="20"/>
  <c r="B16" i="20"/>
  <c r="B15" i="20"/>
  <c r="B14" i="20"/>
  <c r="B13" i="20"/>
  <c r="B12" i="20"/>
  <c r="B11" i="20"/>
  <c r="B10" i="20"/>
  <c r="B9" i="20"/>
  <c r="B8" i="20"/>
  <c r="B7" i="20"/>
  <c r="B6" i="20"/>
  <c r="B5" i="20"/>
  <c r="H62" i="19"/>
  <c r="D62" i="19"/>
  <c r="H61" i="19"/>
  <c r="D61" i="19"/>
  <c r="H60" i="19"/>
  <c r="D60" i="19"/>
  <c r="H59" i="19"/>
  <c r="D59" i="19"/>
  <c r="H58" i="19"/>
  <c r="D58" i="19"/>
  <c r="H57" i="19"/>
  <c r="D57" i="19"/>
  <c r="H56" i="19"/>
  <c r="D56" i="19"/>
  <c r="H55" i="19"/>
  <c r="D55" i="19"/>
  <c r="H54" i="19"/>
  <c r="D54" i="19"/>
  <c r="H53" i="19"/>
  <c r="D53" i="19"/>
  <c r="H52" i="19"/>
  <c r="D52" i="19"/>
  <c r="H51" i="19"/>
  <c r="D51" i="19"/>
  <c r="H50" i="19"/>
  <c r="E50" i="19"/>
  <c r="D50" i="19"/>
  <c r="H49" i="19"/>
  <c r="D49" i="19"/>
  <c r="H48" i="19"/>
  <c r="D48" i="19"/>
  <c r="H47" i="19"/>
  <c r="D47" i="19"/>
  <c r="H46" i="19"/>
  <c r="D46" i="19"/>
  <c r="H45" i="19"/>
  <c r="D45" i="19"/>
  <c r="H44" i="19"/>
  <c r="D44" i="19"/>
  <c r="H43" i="19"/>
  <c r="D43" i="19"/>
  <c r="H42" i="19"/>
  <c r="D42" i="19"/>
  <c r="H41" i="19"/>
  <c r="E41" i="19"/>
  <c r="D41" i="19"/>
  <c r="H40" i="19"/>
  <c r="D40" i="19"/>
  <c r="H39" i="19"/>
  <c r="E39" i="19"/>
  <c r="D39" i="19"/>
  <c r="H38" i="19"/>
  <c r="E38" i="19"/>
  <c r="D38" i="19"/>
  <c r="H37" i="19"/>
  <c r="E37" i="19"/>
  <c r="D37" i="19"/>
  <c r="H36" i="19"/>
  <c r="E36" i="19"/>
  <c r="D36" i="19"/>
  <c r="H35" i="19"/>
  <c r="D35" i="19"/>
  <c r="H34" i="19"/>
  <c r="D34" i="19"/>
  <c r="H33" i="19"/>
  <c r="D33" i="19"/>
  <c r="H32" i="19"/>
  <c r="E32" i="19"/>
  <c r="D32" i="19"/>
  <c r="H31" i="19"/>
  <c r="E31" i="19"/>
  <c r="G31" i="19" s="1"/>
  <c r="D31" i="19"/>
  <c r="H30" i="19"/>
  <c r="E30" i="19"/>
  <c r="G30" i="19" s="1"/>
  <c r="D30" i="19"/>
  <c r="H29" i="19"/>
  <c r="D29" i="19"/>
  <c r="H28" i="19"/>
  <c r="D28" i="19"/>
  <c r="H27" i="19"/>
  <c r="D27" i="19"/>
  <c r="H26" i="19"/>
  <c r="D26" i="19"/>
  <c r="H25" i="19"/>
  <c r="D25" i="19"/>
  <c r="H24" i="19"/>
  <c r="D24" i="19"/>
  <c r="H23" i="19"/>
  <c r="D23" i="19"/>
  <c r="H22" i="19"/>
  <c r="D22" i="19"/>
  <c r="H21" i="19"/>
  <c r="D21" i="19"/>
  <c r="H20" i="19"/>
  <c r="D20" i="19"/>
  <c r="H19" i="19"/>
  <c r="D19" i="19"/>
  <c r="H18" i="19"/>
  <c r="D18" i="19"/>
  <c r="H17" i="19"/>
  <c r="D17" i="19"/>
  <c r="H16" i="19"/>
  <c r="G16" i="19"/>
  <c r="E16" i="19"/>
  <c r="D16" i="19"/>
  <c r="H15" i="19"/>
  <c r="H14" i="19"/>
  <c r="E14" i="19"/>
  <c r="G14" i="19" s="1"/>
  <c r="D14" i="19"/>
  <c r="H13" i="19"/>
  <c r="D13" i="19"/>
  <c r="H12" i="19"/>
  <c r="D12" i="19"/>
  <c r="H11" i="19"/>
  <c r="D11" i="19"/>
  <c r="H10" i="19"/>
  <c r="D10" i="19"/>
  <c r="H9" i="19"/>
  <c r="D9" i="19"/>
  <c r="H8" i="19"/>
  <c r="H7" i="19"/>
  <c r="D7" i="19"/>
  <c r="H6" i="19"/>
  <c r="D6" i="19"/>
  <c r="O3" i="19"/>
  <c r="M3" i="19"/>
  <c r="K3" i="19"/>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K11" i="18"/>
  <c r="F9" i="18"/>
  <c r="C60" i="10" s="1"/>
  <c r="F8" i="18"/>
  <c r="C59" i="10" s="1"/>
  <c r="J7" i="18"/>
  <c r="J6" i="18"/>
  <c r="J5" i="18"/>
  <c r="D3" i="18"/>
  <c r="B17" i="17"/>
  <c r="B17" i="18" s="1"/>
  <c r="V16" i="17"/>
  <c r="W16" i="17" s="1"/>
  <c r="V15" i="17"/>
  <c r="A13" i="17"/>
  <c r="A12" i="17"/>
  <c r="F11" i="17"/>
  <c r="G11" i="17" s="1"/>
  <c r="F10" i="17"/>
  <c r="G10" i="17" s="1"/>
  <c r="A10" i="17"/>
  <c r="F9" i="17"/>
  <c r="G9" i="17" s="1"/>
  <c r="A9" i="17"/>
  <c r="A8" i="17"/>
  <c r="A7" i="17"/>
  <c r="F6" i="17"/>
  <c r="A6" i="17"/>
  <c r="F5" i="17"/>
  <c r="D3" i="17"/>
  <c r="E43" i="16"/>
  <c r="D43" i="16"/>
  <c r="C43" i="16"/>
  <c r="F42" i="16"/>
  <c r="F41" i="16"/>
  <c r="F40" i="16"/>
  <c r="F39" i="16"/>
  <c r="E38" i="16"/>
  <c r="D38" i="16"/>
  <c r="C38" i="16"/>
  <c r="B32" i="16"/>
  <c r="C29" i="16"/>
  <c r="B4" i="16"/>
  <c r="D3" i="16"/>
  <c r="J40" i="15"/>
  <c r="C40" i="15"/>
  <c r="B40" i="15"/>
  <c r="J39" i="15"/>
  <c r="C39" i="15"/>
  <c r="B39" i="15"/>
  <c r="J38" i="15"/>
  <c r="C38" i="15"/>
  <c r="B38" i="15"/>
  <c r="J37" i="15"/>
  <c r="C37" i="15"/>
  <c r="B37" i="15"/>
  <c r="J36" i="15"/>
  <c r="C36" i="15"/>
  <c r="B36" i="15"/>
  <c r="J35" i="15"/>
  <c r="C35" i="15"/>
  <c r="B35" i="15"/>
  <c r="J34" i="15"/>
  <c r="C34" i="15"/>
  <c r="B34" i="15"/>
  <c r="J33" i="15"/>
  <c r="C33" i="15"/>
  <c r="B33" i="15"/>
  <c r="J32" i="15"/>
  <c r="C32" i="15"/>
  <c r="B32" i="15"/>
  <c r="J31" i="15"/>
  <c r="C31" i="15"/>
  <c r="B31" i="15"/>
  <c r="J30" i="15"/>
  <c r="C30" i="15"/>
  <c r="B30" i="15"/>
  <c r="J29" i="15"/>
  <c r="C29" i="15"/>
  <c r="B29" i="15"/>
  <c r="G9" i="15"/>
  <c r="G8" i="15"/>
  <c r="G7" i="15"/>
  <c r="B7" i="15"/>
  <c r="G5" i="15"/>
  <c r="M4672" i="22" s="1"/>
  <c r="E3" i="15"/>
  <c r="B25" i="14"/>
  <c r="B20" i="14"/>
  <c r="G6" i="14"/>
  <c r="G5" i="14"/>
  <c r="L3" i="14"/>
  <c r="J3" i="14"/>
  <c r="H3" i="14"/>
  <c r="F3" i="14"/>
  <c r="D3" i="14"/>
  <c r="B19" i="13"/>
  <c r="B14" i="13"/>
  <c r="D3" i="13"/>
  <c r="B81" i="12"/>
  <c r="I81" i="12" s="1"/>
  <c r="B56" i="12"/>
  <c r="B55" i="12"/>
  <c r="B54" i="12"/>
  <c r="B53" i="12"/>
  <c r="B52" i="12"/>
  <c r="B51" i="12"/>
  <c r="B50" i="12"/>
  <c r="B49" i="12"/>
  <c r="L2" i="12"/>
  <c r="B18" i="11"/>
  <c r="B13" i="11"/>
  <c r="B12" i="11"/>
  <c r="E4" i="11"/>
  <c r="B81" i="10"/>
  <c r="I63" i="10"/>
  <c r="J53" i="10"/>
  <c r="I48" i="10"/>
  <c r="I39" i="10"/>
  <c r="I37" i="10"/>
  <c r="I33" i="10"/>
  <c r="E4" i="10"/>
  <c r="E66" i="9"/>
  <c r="D66" i="9"/>
  <c r="C66" i="9"/>
  <c r="B66" i="9"/>
  <c r="F65" i="9"/>
  <c r="F64" i="9"/>
  <c r="F63" i="9"/>
  <c r="F62" i="9"/>
  <c r="E61" i="9"/>
  <c r="D61" i="9"/>
  <c r="C61" i="9"/>
  <c r="C39" i="9"/>
  <c r="C38" i="9"/>
  <c r="F24" i="9"/>
  <c r="B22" i="9"/>
  <c r="B21" i="9"/>
  <c r="B20" i="9"/>
  <c r="C11" i="9"/>
  <c r="B11" i="9"/>
  <c r="H8" i="9"/>
  <c r="G8" i="9"/>
  <c r="F8" i="9"/>
  <c r="E8" i="9"/>
  <c r="D8" i="9"/>
  <c r="C8" i="9"/>
  <c r="H4" i="9"/>
  <c r="A141" i="8"/>
  <c r="A140" i="8"/>
  <c r="A139" i="8"/>
  <c r="A138" i="8"/>
  <c r="A137" i="8"/>
  <c r="A136" i="8"/>
  <c r="A135" i="8"/>
  <c r="A134" i="8"/>
  <c r="A133" i="8"/>
  <c r="A132" i="8"/>
  <c r="A131" i="8"/>
  <c r="A130" i="8"/>
  <c r="M101" i="8"/>
  <c r="L101" i="8"/>
  <c r="K101" i="8"/>
  <c r="J101" i="8"/>
  <c r="I101" i="8"/>
  <c r="H101" i="8"/>
  <c r="G101" i="8"/>
  <c r="F101" i="8"/>
  <c r="E101" i="8"/>
  <c r="D101" i="8"/>
  <c r="C101" i="8"/>
  <c r="B101" i="8"/>
  <c r="M70" i="8"/>
  <c r="L70" i="8"/>
  <c r="K70" i="8"/>
  <c r="J70" i="8"/>
  <c r="I70" i="8"/>
  <c r="H70" i="8"/>
  <c r="G70" i="8"/>
  <c r="F70" i="8"/>
  <c r="E70" i="8"/>
  <c r="D70" i="8"/>
  <c r="C70" i="8"/>
  <c r="B70" i="8"/>
  <c r="M40" i="8"/>
  <c r="L40" i="8"/>
  <c r="K40" i="8"/>
  <c r="J40" i="8"/>
  <c r="I40" i="8"/>
  <c r="H40" i="8"/>
  <c r="G40" i="8"/>
  <c r="F40" i="8"/>
  <c r="E40" i="8"/>
  <c r="D40" i="8"/>
  <c r="C40" i="8"/>
  <c r="B40" i="8"/>
  <c r="A6" i="8"/>
  <c r="F5" i="8"/>
  <c r="K3" i="8"/>
  <c r="I3" i="8"/>
  <c r="G3" i="8"/>
  <c r="E3" i="8"/>
  <c r="C3" i="8"/>
  <c r="A130" i="7"/>
  <c r="A127" i="7"/>
  <c r="M102" i="7"/>
  <c r="L102" i="7"/>
  <c r="K102" i="7"/>
  <c r="J102" i="7"/>
  <c r="I102" i="7"/>
  <c r="H102" i="7"/>
  <c r="G102" i="7"/>
  <c r="F102" i="7"/>
  <c r="E102" i="7"/>
  <c r="D102" i="7"/>
  <c r="C102" i="7"/>
  <c r="B102" i="7"/>
  <c r="A96" i="7"/>
  <c r="M71" i="7"/>
  <c r="L71" i="7"/>
  <c r="K71" i="7"/>
  <c r="J71" i="7"/>
  <c r="I71" i="7"/>
  <c r="H71" i="7"/>
  <c r="G71" i="7"/>
  <c r="F71" i="7"/>
  <c r="E71" i="7"/>
  <c r="D71" i="7"/>
  <c r="C71" i="7"/>
  <c r="B71" i="7"/>
  <c r="A65" i="7"/>
  <c r="M40" i="7"/>
  <c r="L40" i="7"/>
  <c r="K40" i="7"/>
  <c r="J40" i="7"/>
  <c r="I40" i="7"/>
  <c r="H40" i="7"/>
  <c r="G40" i="7"/>
  <c r="F40" i="7"/>
  <c r="E40" i="7"/>
  <c r="D40" i="7"/>
  <c r="C40" i="7"/>
  <c r="B40" i="7"/>
  <c r="M3" i="7"/>
  <c r="K3" i="7"/>
  <c r="I3" i="7"/>
  <c r="G3" i="7"/>
  <c r="E3" i="7"/>
  <c r="C3" i="7"/>
  <c r="A49" i="6"/>
  <c r="A48" i="6"/>
  <c r="A47" i="6"/>
  <c r="S33" i="6"/>
  <c r="R33" i="6"/>
  <c r="AM31" i="6"/>
  <c r="Q31" i="6"/>
  <c r="P31" i="6"/>
  <c r="O31" i="6"/>
  <c r="N31" i="6"/>
  <c r="M31" i="6"/>
  <c r="L31" i="6"/>
  <c r="K31" i="6"/>
  <c r="J31" i="6"/>
  <c r="I31" i="6"/>
  <c r="H31" i="6"/>
  <c r="G31" i="6"/>
  <c r="F31" i="6"/>
  <c r="AM30" i="6"/>
  <c r="Q30" i="6"/>
  <c r="P30" i="6"/>
  <c r="O30" i="6"/>
  <c r="N30" i="6"/>
  <c r="M30" i="6"/>
  <c r="L30" i="6"/>
  <c r="K30" i="6"/>
  <c r="J30" i="6"/>
  <c r="I30" i="6"/>
  <c r="H30" i="6"/>
  <c r="G30" i="6"/>
  <c r="F30" i="6"/>
  <c r="AM29" i="6"/>
  <c r="Q29" i="6"/>
  <c r="P29" i="6"/>
  <c r="O29" i="6"/>
  <c r="N29" i="6"/>
  <c r="M29" i="6"/>
  <c r="L29" i="6"/>
  <c r="K29" i="6"/>
  <c r="J29" i="6"/>
  <c r="I29" i="6"/>
  <c r="H29" i="6"/>
  <c r="G29" i="6"/>
  <c r="F29" i="6"/>
  <c r="AM28" i="6"/>
  <c r="Q28" i="6"/>
  <c r="P28" i="6"/>
  <c r="O28" i="6"/>
  <c r="N28" i="6"/>
  <c r="M28" i="6"/>
  <c r="L28" i="6"/>
  <c r="K28" i="6"/>
  <c r="J28" i="6"/>
  <c r="I28" i="6"/>
  <c r="H28" i="6"/>
  <c r="G28" i="6"/>
  <c r="F28" i="6"/>
  <c r="AM27" i="6"/>
  <c r="Q27" i="6"/>
  <c r="P27" i="6"/>
  <c r="O27" i="6"/>
  <c r="N27" i="6"/>
  <c r="M27" i="6"/>
  <c r="L27" i="6"/>
  <c r="K27" i="6"/>
  <c r="J27" i="6"/>
  <c r="I27" i="6"/>
  <c r="H27" i="6"/>
  <c r="G27" i="6"/>
  <c r="F27" i="6"/>
  <c r="AM26" i="6"/>
  <c r="Q26" i="6"/>
  <c r="P26" i="6"/>
  <c r="O26" i="6"/>
  <c r="N26" i="6"/>
  <c r="M26" i="6"/>
  <c r="L26" i="6"/>
  <c r="K26" i="6"/>
  <c r="J26" i="6"/>
  <c r="I26" i="6"/>
  <c r="H26" i="6"/>
  <c r="G26" i="6"/>
  <c r="F26" i="6"/>
  <c r="AM25" i="6"/>
  <c r="Q25" i="6"/>
  <c r="P25" i="6"/>
  <c r="O25" i="6"/>
  <c r="N25" i="6"/>
  <c r="M25" i="6"/>
  <c r="L25" i="6"/>
  <c r="K25" i="6"/>
  <c r="J25" i="6"/>
  <c r="I25" i="6"/>
  <c r="H25" i="6"/>
  <c r="G25" i="6"/>
  <c r="F25" i="6"/>
  <c r="AM24" i="6"/>
  <c r="Q24" i="6"/>
  <c r="P24" i="6"/>
  <c r="O24" i="6"/>
  <c r="N24" i="6"/>
  <c r="M24" i="6"/>
  <c r="L24" i="6"/>
  <c r="K24" i="6"/>
  <c r="J24" i="6"/>
  <c r="I24" i="6"/>
  <c r="H24" i="6"/>
  <c r="G24" i="6"/>
  <c r="F24" i="6"/>
  <c r="AM23" i="6"/>
  <c r="Q23" i="6"/>
  <c r="P23" i="6"/>
  <c r="O23" i="6"/>
  <c r="N23" i="6"/>
  <c r="M23" i="6"/>
  <c r="L23" i="6"/>
  <c r="K23" i="6"/>
  <c r="J23" i="6"/>
  <c r="I23" i="6"/>
  <c r="H23" i="6"/>
  <c r="G23" i="6"/>
  <c r="F23" i="6"/>
  <c r="AM22" i="6"/>
  <c r="Q22" i="6"/>
  <c r="P22" i="6"/>
  <c r="O22" i="6"/>
  <c r="N22" i="6"/>
  <c r="M22" i="6"/>
  <c r="L22" i="6"/>
  <c r="K22" i="6"/>
  <c r="J22" i="6"/>
  <c r="I22" i="6"/>
  <c r="H22" i="6"/>
  <c r="G22" i="6"/>
  <c r="F22" i="6"/>
  <c r="AM21" i="6"/>
  <c r="Q21" i="6"/>
  <c r="P21" i="6"/>
  <c r="O21" i="6"/>
  <c r="N21" i="6"/>
  <c r="M21" i="6"/>
  <c r="L21" i="6"/>
  <c r="K21" i="6"/>
  <c r="J21" i="6"/>
  <c r="I21" i="6"/>
  <c r="H21" i="6"/>
  <c r="G21" i="6"/>
  <c r="F21" i="6"/>
  <c r="AM20" i="6"/>
  <c r="Q20" i="6"/>
  <c r="P20" i="6"/>
  <c r="O20" i="6"/>
  <c r="N20" i="6"/>
  <c r="M20" i="6"/>
  <c r="L20" i="6"/>
  <c r="K20" i="6"/>
  <c r="J20" i="6"/>
  <c r="I20" i="6"/>
  <c r="H20" i="6"/>
  <c r="G20" i="6"/>
  <c r="F20" i="6"/>
  <c r="AM19" i="6"/>
  <c r="Q19" i="6"/>
  <c r="P19" i="6"/>
  <c r="O19" i="6"/>
  <c r="N19" i="6"/>
  <c r="M19" i="6"/>
  <c r="L19" i="6"/>
  <c r="K19" i="6"/>
  <c r="J19" i="6"/>
  <c r="I19" i="6"/>
  <c r="H19" i="6"/>
  <c r="G19" i="6"/>
  <c r="F19" i="6"/>
  <c r="AM18" i="6"/>
  <c r="Q18" i="6"/>
  <c r="P18" i="6"/>
  <c r="O18" i="6"/>
  <c r="N18" i="6"/>
  <c r="M18" i="6"/>
  <c r="L18" i="6"/>
  <c r="K18" i="6"/>
  <c r="J18" i="6"/>
  <c r="I18" i="6"/>
  <c r="H18" i="6"/>
  <c r="G18" i="6"/>
  <c r="F18" i="6"/>
  <c r="AM17" i="6"/>
  <c r="Q17" i="6"/>
  <c r="P17" i="6"/>
  <c r="O17" i="6"/>
  <c r="N17" i="6"/>
  <c r="M17" i="6"/>
  <c r="L17" i="6"/>
  <c r="K17" i="6"/>
  <c r="J17" i="6"/>
  <c r="I17" i="6"/>
  <c r="H17" i="6"/>
  <c r="G17" i="6"/>
  <c r="F17" i="6"/>
  <c r="AM16" i="6"/>
  <c r="Q16" i="6"/>
  <c r="P16" i="6"/>
  <c r="O16" i="6"/>
  <c r="N16" i="6"/>
  <c r="M16" i="6"/>
  <c r="L16" i="6"/>
  <c r="K16" i="6"/>
  <c r="J16" i="6"/>
  <c r="I16" i="6"/>
  <c r="H16" i="6"/>
  <c r="G16" i="6"/>
  <c r="F16" i="6"/>
  <c r="AM15" i="6"/>
  <c r="Q15" i="6"/>
  <c r="P15" i="6"/>
  <c r="O15" i="6"/>
  <c r="N15" i="6"/>
  <c r="M15" i="6"/>
  <c r="L15" i="6"/>
  <c r="K15" i="6"/>
  <c r="J15" i="6"/>
  <c r="I15" i="6"/>
  <c r="H15" i="6"/>
  <c r="G15" i="6"/>
  <c r="F15" i="6"/>
  <c r="AM14" i="6"/>
  <c r="Q14" i="6"/>
  <c r="P14" i="6"/>
  <c r="O14" i="6"/>
  <c r="N14" i="6"/>
  <c r="M14" i="6"/>
  <c r="L14" i="6"/>
  <c r="K14" i="6"/>
  <c r="J14" i="6"/>
  <c r="I14" i="6"/>
  <c r="H14" i="6"/>
  <c r="G14" i="6"/>
  <c r="F14" i="6"/>
  <c r="AM13" i="6"/>
  <c r="Q13" i="6"/>
  <c r="P13" i="6"/>
  <c r="O13" i="6"/>
  <c r="N13" i="6"/>
  <c r="M13" i="6"/>
  <c r="L13" i="6"/>
  <c r="K13" i="6"/>
  <c r="J13" i="6"/>
  <c r="I13" i="6"/>
  <c r="H13" i="6"/>
  <c r="G13" i="6"/>
  <c r="F13" i="6"/>
  <c r="AM12" i="6"/>
  <c r="Q12" i="6"/>
  <c r="P12" i="6"/>
  <c r="O12" i="6"/>
  <c r="N12" i="6"/>
  <c r="M12" i="6"/>
  <c r="L12" i="6"/>
  <c r="K12" i="6"/>
  <c r="J12" i="6"/>
  <c r="I12" i="6"/>
  <c r="H12" i="6"/>
  <c r="G12" i="6"/>
  <c r="F12" i="6"/>
  <c r="AM11" i="6"/>
  <c r="Q11" i="6"/>
  <c r="P11" i="6"/>
  <c r="O11" i="6"/>
  <c r="N11" i="6"/>
  <c r="M11" i="6"/>
  <c r="L11" i="6"/>
  <c r="K11" i="6"/>
  <c r="J11" i="6"/>
  <c r="I11" i="6"/>
  <c r="H11" i="6"/>
  <c r="G11" i="6"/>
  <c r="F11" i="6"/>
  <c r="AM10" i="6"/>
  <c r="Q10" i="6"/>
  <c r="P10" i="6"/>
  <c r="O10" i="6"/>
  <c r="N10" i="6"/>
  <c r="M10" i="6"/>
  <c r="L10" i="6"/>
  <c r="K10" i="6"/>
  <c r="J10" i="6"/>
  <c r="I10" i="6"/>
  <c r="H10" i="6"/>
  <c r="G10" i="6"/>
  <c r="F10" i="6"/>
  <c r="AM9" i="6"/>
  <c r="Q9" i="6"/>
  <c r="P9" i="6"/>
  <c r="O9" i="6"/>
  <c r="N9" i="6"/>
  <c r="M9" i="6"/>
  <c r="L9" i="6"/>
  <c r="K9" i="6"/>
  <c r="J9" i="6"/>
  <c r="I9" i="6"/>
  <c r="H9" i="6"/>
  <c r="G9" i="6"/>
  <c r="F9" i="6"/>
  <c r="AM8" i="6"/>
  <c r="Q8" i="6"/>
  <c r="P8" i="6"/>
  <c r="O8" i="6"/>
  <c r="N8" i="6"/>
  <c r="M8" i="6"/>
  <c r="L8" i="6"/>
  <c r="K8" i="6"/>
  <c r="J8" i="6"/>
  <c r="I8" i="6"/>
  <c r="H8" i="6"/>
  <c r="G8" i="6"/>
  <c r="F8" i="6"/>
  <c r="AF7" i="6"/>
  <c r="AE7" i="6"/>
  <c r="AD7" i="6"/>
  <c r="AC7" i="6"/>
  <c r="AA7" i="6"/>
  <c r="V7" i="6"/>
  <c r="U7" i="6"/>
  <c r="AC6" i="6"/>
  <c r="W6" i="6"/>
  <c r="AK4" i="6"/>
  <c r="C4" i="6"/>
  <c r="K3" i="6"/>
  <c r="I3" i="6"/>
  <c r="G3" i="6"/>
  <c r="E3" i="6"/>
  <c r="C3" i="6"/>
  <c r="T28" i="5"/>
  <c r="M5" i="5"/>
  <c r="L5" i="5"/>
  <c r="G5" i="5"/>
  <c r="K3" i="5"/>
  <c r="I3" i="5"/>
  <c r="G3" i="5"/>
  <c r="E3" i="5"/>
  <c r="C3" i="5"/>
  <c r="Y246" i="4"/>
  <c r="U246" i="4"/>
  <c r="T246" i="4"/>
  <c r="S246" i="4"/>
  <c r="R246" i="4"/>
  <c r="Q246" i="4"/>
  <c r="P246" i="4"/>
  <c r="O246" i="4"/>
  <c r="N246" i="4"/>
  <c r="M246" i="4"/>
  <c r="L246" i="4"/>
  <c r="K246" i="4"/>
  <c r="J246" i="4"/>
  <c r="Y245" i="4"/>
  <c r="U245" i="4"/>
  <c r="T245" i="4"/>
  <c r="S245" i="4"/>
  <c r="R245" i="4"/>
  <c r="Q245" i="4"/>
  <c r="P245" i="4"/>
  <c r="O245" i="4"/>
  <c r="N245" i="4"/>
  <c r="M245" i="4"/>
  <c r="L245" i="4"/>
  <c r="K245" i="4"/>
  <c r="J245" i="4"/>
  <c r="Y244" i="4"/>
  <c r="U244" i="4"/>
  <c r="T244" i="4"/>
  <c r="S244" i="4"/>
  <c r="R244" i="4"/>
  <c r="Q244" i="4"/>
  <c r="P244" i="4"/>
  <c r="O244" i="4"/>
  <c r="N244" i="4"/>
  <c r="M244" i="4"/>
  <c r="L244" i="4"/>
  <c r="K244" i="4"/>
  <c r="J244" i="4"/>
  <c r="Y243" i="4"/>
  <c r="U243" i="4"/>
  <c r="T243" i="4"/>
  <c r="S243" i="4"/>
  <c r="R243" i="4"/>
  <c r="Q243" i="4"/>
  <c r="P243" i="4"/>
  <c r="O243" i="4"/>
  <c r="N243" i="4"/>
  <c r="M243" i="4"/>
  <c r="L243" i="4"/>
  <c r="K243" i="4"/>
  <c r="J243" i="4"/>
  <c r="Y242" i="4"/>
  <c r="U242" i="4"/>
  <c r="T242" i="4"/>
  <c r="S242" i="4"/>
  <c r="R242" i="4"/>
  <c r="Q242" i="4"/>
  <c r="P242" i="4"/>
  <c r="O242" i="4"/>
  <c r="N242" i="4"/>
  <c r="M242" i="4"/>
  <c r="L242" i="4"/>
  <c r="K242" i="4"/>
  <c r="J242" i="4"/>
  <c r="Y241" i="4"/>
  <c r="U241" i="4"/>
  <c r="T241" i="4"/>
  <c r="S241" i="4"/>
  <c r="R241" i="4"/>
  <c r="Q241" i="4"/>
  <c r="P241" i="4"/>
  <c r="O241" i="4"/>
  <c r="N241" i="4"/>
  <c r="M241" i="4"/>
  <c r="L241" i="4"/>
  <c r="K241" i="4"/>
  <c r="J241" i="4"/>
  <c r="Y240" i="4"/>
  <c r="U240" i="4"/>
  <c r="T240" i="4"/>
  <c r="S240" i="4"/>
  <c r="R240" i="4"/>
  <c r="Q240" i="4"/>
  <c r="P240" i="4"/>
  <c r="O240" i="4"/>
  <c r="N240" i="4"/>
  <c r="M240" i="4"/>
  <c r="L240" i="4"/>
  <c r="K240" i="4"/>
  <c r="J240" i="4"/>
  <c r="Y239" i="4"/>
  <c r="U239" i="4"/>
  <c r="T239" i="4"/>
  <c r="S239" i="4"/>
  <c r="R239" i="4"/>
  <c r="Q239" i="4"/>
  <c r="P239" i="4"/>
  <c r="O239" i="4"/>
  <c r="N239" i="4"/>
  <c r="M239" i="4"/>
  <c r="L239" i="4"/>
  <c r="K239" i="4"/>
  <c r="J239" i="4"/>
  <c r="Y238" i="4"/>
  <c r="U238" i="4"/>
  <c r="T238" i="4"/>
  <c r="S238" i="4"/>
  <c r="R238" i="4"/>
  <c r="Q238" i="4"/>
  <c r="P238" i="4"/>
  <c r="O238" i="4"/>
  <c r="N238" i="4"/>
  <c r="M238" i="4"/>
  <c r="L238" i="4"/>
  <c r="K238" i="4"/>
  <c r="J238" i="4"/>
  <c r="Y237" i="4"/>
  <c r="U237" i="4"/>
  <c r="T237" i="4"/>
  <c r="S237" i="4"/>
  <c r="R237" i="4"/>
  <c r="Q237" i="4"/>
  <c r="P237" i="4"/>
  <c r="O237" i="4"/>
  <c r="N237" i="4"/>
  <c r="M237" i="4"/>
  <c r="L237" i="4"/>
  <c r="K237" i="4"/>
  <c r="J237" i="4"/>
  <c r="Y236" i="4"/>
  <c r="U236" i="4"/>
  <c r="T236" i="4"/>
  <c r="S236" i="4"/>
  <c r="R236" i="4"/>
  <c r="Q236" i="4"/>
  <c r="P236" i="4"/>
  <c r="O236" i="4"/>
  <c r="N236" i="4"/>
  <c r="M236" i="4"/>
  <c r="L236" i="4"/>
  <c r="K236" i="4"/>
  <c r="J236" i="4"/>
  <c r="Y235" i="4"/>
  <c r="U235" i="4"/>
  <c r="T235" i="4"/>
  <c r="S235" i="4"/>
  <c r="R235" i="4"/>
  <c r="Q235" i="4"/>
  <c r="P235" i="4"/>
  <c r="O235" i="4"/>
  <c r="N235" i="4"/>
  <c r="M235" i="4"/>
  <c r="L235" i="4"/>
  <c r="K235" i="4"/>
  <c r="J235" i="4"/>
  <c r="Y234" i="4"/>
  <c r="U234" i="4"/>
  <c r="T234" i="4"/>
  <c r="S234" i="4"/>
  <c r="R234" i="4"/>
  <c r="Q234" i="4"/>
  <c r="P234" i="4"/>
  <c r="O234" i="4"/>
  <c r="N234" i="4"/>
  <c r="M234" i="4"/>
  <c r="L234" i="4"/>
  <c r="K234" i="4"/>
  <c r="J234" i="4"/>
  <c r="Y233" i="4"/>
  <c r="U233" i="4"/>
  <c r="T233" i="4"/>
  <c r="S233" i="4"/>
  <c r="R233" i="4"/>
  <c r="Q233" i="4"/>
  <c r="P233" i="4"/>
  <c r="O233" i="4"/>
  <c r="N233" i="4"/>
  <c r="M233" i="4"/>
  <c r="L233" i="4"/>
  <c r="K233" i="4"/>
  <c r="J233" i="4"/>
  <c r="Y232" i="4"/>
  <c r="U232" i="4"/>
  <c r="T232" i="4"/>
  <c r="S232" i="4"/>
  <c r="R232" i="4"/>
  <c r="Q232" i="4"/>
  <c r="P232" i="4"/>
  <c r="O232" i="4"/>
  <c r="N232" i="4"/>
  <c r="M232" i="4"/>
  <c r="L232" i="4"/>
  <c r="K232" i="4"/>
  <c r="J232" i="4"/>
  <c r="Y231" i="4"/>
  <c r="U231" i="4"/>
  <c r="T231" i="4"/>
  <c r="S231" i="4"/>
  <c r="R231" i="4"/>
  <c r="Q231" i="4"/>
  <c r="P231" i="4"/>
  <c r="O231" i="4"/>
  <c r="N231" i="4"/>
  <c r="M231" i="4"/>
  <c r="L231" i="4"/>
  <c r="K231" i="4"/>
  <c r="J231" i="4"/>
  <c r="Y230" i="4"/>
  <c r="U230" i="4"/>
  <c r="T230" i="4"/>
  <c r="S230" i="4"/>
  <c r="R230" i="4"/>
  <c r="Q230" i="4"/>
  <c r="P230" i="4"/>
  <c r="O230" i="4"/>
  <c r="N230" i="4"/>
  <c r="M230" i="4"/>
  <c r="L230" i="4"/>
  <c r="K230" i="4"/>
  <c r="J230" i="4"/>
  <c r="Y229" i="4"/>
  <c r="U229" i="4"/>
  <c r="T229" i="4"/>
  <c r="S229" i="4"/>
  <c r="R229" i="4"/>
  <c r="Q229" i="4"/>
  <c r="P229" i="4"/>
  <c r="O229" i="4"/>
  <c r="N229" i="4"/>
  <c r="M229" i="4"/>
  <c r="L229" i="4"/>
  <c r="K229" i="4"/>
  <c r="J229" i="4"/>
  <c r="Y228" i="4"/>
  <c r="U228" i="4"/>
  <c r="T228" i="4"/>
  <c r="S228" i="4"/>
  <c r="R228" i="4"/>
  <c r="Q228" i="4"/>
  <c r="P228" i="4"/>
  <c r="O228" i="4"/>
  <c r="N228" i="4"/>
  <c r="M228" i="4"/>
  <c r="L228" i="4"/>
  <c r="K228" i="4"/>
  <c r="J228" i="4"/>
  <c r="Y227" i="4"/>
  <c r="U227" i="4"/>
  <c r="T227" i="4"/>
  <c r="S227" i="4"/>
  <c r="R227" i="4"/>
  <c r="Q227" i="4"/>
  <c r="P227" i="4"/>
  <c r="O227" i="4"/>
  <c r="N227" i="4"/>
  <c r="M227" i="4"/>
  <c r="L227" i="4"/>
  <c r="K227" i="4"/>
  <c r="J227" i="4"/>
  <c r="Y226" i="4"/>
  <c r="U226" i="4"/>
  <c r="T226" i="4"/>
  <c r="S226" i="4"/>
  <c r="R226" i="4"/>
  <c r="Q226" i="4"/>
  <c r="P226" i="4"/>
  <c r="O226" i="4"/>
  <c r="N226" i="4"/>
  <c r="M226" i="4"/>
  <c r="L226" i="4"/>
  <c r="K226" i="4"/>
  <c r="J226" i="4"/>
  <c r="Y225" i="4"/>
  <c r="U225" i="4"/>
  <c r="T225" i="4"/>
  <c r="S225" i="4"/>
  <c r="R225" i="4"/>
  <c r="Q225" i="4"/>
  <c r="P225" i="4"/>
  <c r="O225" i="4"/>
  <c r="N225" i="4"/>
  <c r="M225" i="4"/>
  <c r="L225" i="4"/>
  <c r="K225" i="4"/>
  <c r="J225" i="4"/>
  <c r="Y224" i="4"/>
  <c r="U224" i="4"/>
  <c r="T224" i="4"/>
  <c r="S224" i="4"/>
  <c r="R224" i="4"/>
  <c r="Q224" i="4"/>
  <c r="P224" i="4"/>
  <c r="O224" i="4"/>
  <c r="N224" i="4"/>
  <c r="M224" i="4"/>
  <c r="L224" i="4"/>
  <c r="K224" i="4"/>
  <c r="J224" i="4"/>
  <c r="Y223" i="4"/>
  <c r="U223" i="4"/>
  <c r="T223" i="4"/>
  <c r="S223" i="4"/>
  <c r="R223" i="4"/>
  <c r="Q223" i="4"/>
  <c r="P223" i="4"/>
  <c r="O223" i="4"/>
  <c r="N223" i="4"/>
  <c r="M223" i="4"/>
  <c r="L223" i="4"/>
  <c r="K223" i="4"/>
  <c r="J223" i="4"/>
  <c r="Y222" i="4"/>
  <c r="U222" i="4"/>
  <c r="T222" i="4"/>
  <c r="S222" i="4"/>
  <c r="R222" i="4"/>
  <c r="Q222" i="4"/>
  <c r="P222" i="4"/>
  <c r="O222" i="4"/>
  <c r="N222" i="4"/>
  <c r="M222" i="4"/>
  <c r="L222" i="4"/>
  <c r="K222" i="4"/>
  <c r="J222" i="4"/>
  <c r="Y221" i="4"/>
  <c r="U221" i="4"/>
  <c r="T221" i="4"/>
  <c r="S221" i="4"/>
  <c r="R221" i="4"/>
  <c r="Q221" i="4"/>
  <c r="P221" i="4"/>
  <c r="O221" i="4"/>
  <c r="N221" i="4"/>
  <c r="M221" i="4"/>
  <c r="L221" i="4"/>
  <c r="K221" i="4"/>
  <c r="J221" i="4"/>
  <c r="Y220" i="4"/>
  <c r="U220" i="4"/>
  <c r="T220" i="4"/>
  <c r="S220" i="4"/>
  <c r="R220" i="4"/>
  <c r="Q220" i="4"/>
  <c r="P220" i="4"/>
  <c r="O220" i="4"/>
  <c r="N220" i="4"/>
  <c r="M220" i="4"/>
  <c r="L220" i="4"/>
  <c r="K220" i="4"/>
  <c r="J220" i="4"/>
  <c r="Y219" i="4"/>
  <c r="U219" i="4"/>
  <c r="T219" i="4"/>
  <c r="S219" i="4"/>
  <c r="R219" i="4"/>
  <c r="Q219" i="4"/>
  <c r="P219" i="4"/>
  <c r="O219" i="4"/>
  <c r="N219" i="4"/>
  <c r="M219" i="4"/>
  <c r="L219" i="4"/>
  <c r="K219" i="4"/>
  <c r="J219" i="4"/>
  <c r="Y218" i="4"/>
  <c r="U218" i="4"/>
  <c r="T218" i="4"/>
  <c r="S218" i="4"/>
  <c r="R218" i="4"/>
  <c r="Q218" i="4"/>
  <c r="P218" i="4"/>
  <c r="O218" i="4"/>
  <c r="N218" i="4"/>
  <c r="M218" i="4"/>
  <c r="L218" i="4"/>
  <c r="K218" i="4"/>
  <c r="J218" i="4"/>
  <c r="Y217" i="4"/>
  <c r="U217" i="4"/>
  <c r="T217" i="4"/>
  <c r="S217" i="4"/>
  <c r="R217" i="4"/>
  <c r="Q217" i="4"/>
  <c r="P217" i="4"/>
  <c r="O217" i="4"/>
  <c r="N217" i="4"/>
  <c r="M217" i="4"/>
  <c r="L217" i="4"/>
  <c r="K217" i="4"/>
  <c r="J217" i="4"/>
  <c r="Y216" i="4"/>
  <c r="U216" i="4"/>
  <c r="T216" i="4"/>
  <c r="S216" i="4"/>
  <c r="R216" i="4"/>
  <c r="Q216" i="4"/>
  <c r="P216" i="4"/>
  <c r="O216" i="4"/>
  <c r="N216" i="4"/>
  <c r="M216" i="4"/>
  <c r="L216" i="4"/>
  <c r="K216" i="4"/>
  <c r="J216" i="4"/>
  <c r="Y215" i="4"/>
  <c r="U215" i="4"/>
  <c r="T215" i="4"/>
  <c r="S215" i="4"/>
  <c r="R215" i="4"/>
  <c r="Q215" i="4"/>
  <c r="P215" i="4"/>
  <c r="O215" i="4"/>
  <c r="N215" i="4"/>
  <c r="M215" i="4"/>
  <c r="L215" i="4"/>
  <c r="K215" i="4"/>
  <c r="J215" i="4"/>
  <c r="Y214" i="4"/>
  <c r="U214" i="4"/>
  <c r="T214" i="4"/>
  <c r="S214" i="4"/>
  <c r="R214" i="4"/>
  <c r="Q214" i="4"/>
  <c r="P214" i="4"/>
  <c r="O214" i="4"/>
  <c r="N214" i="4"/>
  <c r="M214" i="4"/>
  <c r="L214" i="4"/>
  <c r="K214" i="4"/>
  <c r="J214" i="4"/>
  <c r="Y213" i="4"/>
  <c r="U213" i="4"/>
  <c r="T213" i="4"/>
  <c r="S213" i="4"/>
  <c r="R213" i="4"/>
  <c r="Q213" i="4"/>
  <c r="P213" i="4"/>
  <c r="O213" i="4"/>
  <c r="N213" i="4"/>
  <c r="M213" i="4"/>
  <c r="L213" i="4"/>
  <c r="K213" i="4"/>
  <c r="J213" i="4"/>
  <c r="Y212" i="4"/>
  <c r="U212" i="4"/>
  <c r="T212" i="4"/>
  <c r="S212" i="4"/>
  <c r="R212" i="4"/>
  <c r="Q212" i="4"/>
  <c r="P212" i="4"/>
  <c r="O212" i="4"/>
  <c r="N212" i="4"/>
  <c r="M212" i="4"/>
  <c r="L212" i="4"/>
  <c r="K212" i="4"/>
  <c r="J212" i="4"/>
  <c r="Y211" i="4"/>
  <c r="U211" i="4"/>
  <c r="T211" i="4"/>
  <c r="S211" i="4"/>
  <c r="R211" i="4"/>
  <c r="Q211" i="4"/>
  <c r="P211" i="4"/>
  <c r="O211" i="4"/>
  <c r="N211" i="4"/>
  <c r="M211" i="4"/>
  <c r="L211" i="4"/>
  <c r="K211" i="4"/>
  <c r="J211" i="4"/>
  <c r="Y210" i="4"/>
  <c r="U210" i="4"/>
  <c r="T210" i="4"/>
  <c r="S210" i="4"/>
  <c r="R210" i="4"/>
  <c r="Q210" i="4"/>
  <c r="P210" i="4"/>
  <c r="O210" i="4"/>
  <c r="N210" i="4"/>
  <c r="M210" i="4"/>
  <c r="L210" i="4"/>
  <c r="K210" i="4"/>
  <c r="J210" i="4"/>
  <c r="Y209" i="4"/>
  <c r="U209" i="4"/>
  <c r="T209" i="4"/>
  <c r="S209" i="4"/>
  <c r="R209" i="4"/>
  <c r="Q209" i="4"/>
  <c r="P209" i="4"/>
  <c r="O209" i="4"/>
  <c r="N209" i="4"/>
  <c r="M209" i="4"/>
  <c r="L209" i="4"/>
  <c r="K209" i="4"/>
  <c r="J209" i="4"/>
  <c r="Y208" i="4"/>
  <c r="U208" i="4"/>
  <c r="T208" i="4"/>
  <c r="S208" i="4"/>
  <c r="R208" i="4"/>
  <c r="Q208" i="4"/>
  <c r="P208" i="4"/>
  <c r="O208" i="4"/>
  <c r="N208" i="4"/>
  <c r="M208" i="4"/>
  <c r="L208" i="4"/>
  <c r="K208" i="4"/>
  <c r="J208" i="4"/>
  <c r="Y207" i="4"/>
  <c r="U207" i="4"/>
  <c r="T207" i="4"/>
  <c r="S207" i="4"/>
  <c r="R207" i="4"/>
  <c r="Q207" i="4"/>
  <c r="P207" i="4"/>
  <c r="O207" i="4"/>
  <c r="N207" i="4"/>
  <c r="M207" i="4"/>
  <c r="L207" i="4"/>
  <c r="K207" i="4"/>
  <c r="J207" i="4"/>
  <c r="Y206" i="4"/>
  <c r="U206" i="4"/>
  <c r="T206" i="4"/>
  <c r="S206" i="4"/>
  <c r="R206" i="4"/>
  <c r="Q206" i="4"/>
  <c r="P206" i="4"/>
  <c r="O206" i="4"/>
  <c r="N206" i="4"/>
  <c r="M206" i="4"/>
  <c r="L206" i="4"/>
  <c r="K206" i="4"/>
  <c r="J206" i="4"/>
  <c r="Y205" i="4"/>
  <c r="U205" i="4"/>
  <c r="T205" i="4"/>
  <c r="S205" i="4"/>
  <c r="R205" i="4"/>
  <c r="Q205" i="4"/>
  <c r="P205" i="4"/>
  <c r="O205" i="4"/>
  <c r="N205" i="4"/>
  <c r="M205" i="4"/>
  <c r="L205" i="4"/>
  <c r="K205" i="4"/>
  <c r="J205" i="4"/>
  <c r="Y204" i="4"/>
  <c r="U204" i="4"/>
  <c r="T204" i="4"/>
  <c r="S204" i="4"/>
  <c r="R204" i="4"/>
  <c r="Q204" i="4"/>
  <c r="P204" i="4"/>
  <c r="O204" i="4"/>
  <c r="N204" i="4"/>
  <c r="M204" i="4"/>
  <c r="L204" i="4"/>
  <c r="K204" i="4"/>
  <c r="J204" i="4"/>
  <c r="Y203" i="4"/>
  <c r="U203" i="4"/>
  <c r="T203" i="4"/>
  <c r="S203" i="4"/>
  <c r="R203" i="4"/>
  <c r="Q203" i="4"/>
  <c r="P203" i="4"/>
  <c r="O203" i="4"/>
  <c r="N203" i="4"/>
  <c r="M203" i="4"/>
  <c r="L203" i="4"/>
  <c r="K203" i="4"/>
  <c r="J203" i="4"/>
  <c r="Y202" i="4"/>
  <c r="U202" i="4"/>
  <c r="T202" i="4"/>
  <c r="S202" i="4"/>
  <c r="R202" i="4"/>
  <c r="Q202" i="4"/>
  <c r="P202" i="4"/>
  <c r="O202" i="4"/>
  <c r="N202" i="4"/>
  <c r="M202" i="4"/>
  <c r="L202" i="4"/>
  <c r="K202" i="4"/>
  <c r="J202" i="4"/>
  <c r="Y201" i="4"/>
  <c r="U201" i="4"/>
  <c r="T201" i="4"/>
  <c r="S201" i="4"/>
  <c r="R201" i="4"/>
  <c r="Q201" i="4"/>
  <c r="P201" i="4"/>
  <c r="O201" i="4"/>
  <c r="N201" i="4"/>
  <c r="M201" i="4"/>
  <c r="L201" i="4"/>
  <c r="K201" i="4"/>
  <c r="J201" i="4"/>
  <c r="Y200" i="4"/>
  <c r="U200" i="4"/>
  <c r="T200" i="4"/>
  <c r="S200" i="4"/>
  <c r="R200" i="4"/>
  <c r="Q200" i="4"/>
  <c r="P200" i="4"/>
  <c r="O200" i="4"/>
  <c r="N200" i="4"/>
  <c r="M200" i="4"/>
  <c r="L200" i="4"/>
  <c r="K200" i="4"/>
  <c r="J200" i="4"/>
  <c r="Y199" i="4"/>
  <c r="U199" i="4"/>
  <c r="T199" i="4"/>
  <c r="S199" i="4"/>
  <c r="R199" i="4"/>
  <c r="Q199" i="4"/>
  <c r="P199" i="4"/>
  <c r="O199" i="4"/>
  <c r="N199" i="4"/>
  <c r="M199" i="4"/>
  <c r="L199" i="4"/>
  <c r="K199" i="4"/>
  <c r="J199" i="4"/>
  <c r="Y198" i="4"/>
  <c r="U198" i="4"/>
  <c r="T198" i="4"/>
  <c r="S198" i="4"/>
  <c r="R198" i="4"/>
  <c r="Q198" i="4"/>
  <c r="P198" i="4"/>
  <c r="O198" i="4"/>
  <c r="N198" i="4"/>
  <c r="M198" i="4"/>
  <c r="L198" i="4"/>
  <c r="K198" i="4"/>
  <c r="J198" i="4"/>
  <c r="Y197" i="4"/>
  <c r="U197" i="4"/>
  <c r="T197" i="4"/>
  <c r="S197" i="4"/>
  <c r="R197" i="4"/>
  <c r="Q197" i="4"/>
  <c r="P197" i="4"/>
  <c r="O197" i="4"/>
  <c r="N197" i="4"/>
  <c r="M197" i="4"/>
  <c r="L197" i="4"/>
  <c r="K197" i="4"/>
  <c r="J197" i="4"/>
  <c r="Y196" i="4"/>
  <c r="U196" i="4"/>
  <c r="T196" i="4"/>
  <c r="S196" i="4"/>
  <c r="R196" i="4"/>
  <c r="Q196" i="4"/>
  <c r="P196" i="4"/>
  <c r="O196" i="4"/>
  <c r="N196" i="4"/>
  <c r="M196" i="4"/>
  <c r="L196" i="4"/>
  <c r="K196" i="4"/>
  <c r="J196" i="4"/>
  <c r="Y195" i="4"/>
  <c r="U195" i="4"/>
  <c r="T195" i="4"/>
  <c r="S195" i="4"/>
  <c r="R195" i="4"/>
  <c r="Q195" i="4"/>
  <c r="P195" i="4"/>
  <c r="O195" i="4"/>
  <c r="N195" i="4"/>
  <c r="M195" i="4"/>
  <c r="L195" i="4"/>
  <c r="K195" i="4"/>
  <c r="J195" i="4"/>
  <c r="Y194" i="4"/>
  <c r="U194" i="4"/>
  <c r="T194" i="4"/>
  <c r="S194" i="4"/>
  <c r="R194" i="4"/>
  <c r="Q194" i="4"/>
  <c r="P194" i="4"/>
  <c r="O194" i="4"/>
  <c r="N194" i="4"/>
  <c r="M194" i="4"/>
  <c r="L194" i="4"/>
  <c r="K194" i="4"/>
  <c r="J194" i="4"/>
  <c r="Y193" i="4"/>
  <c r="U193" i="4"/>
  <c r="T193" i="4"/>
  <c r="S193" i="4"/>
  <c r="R193" i="4"/>
  <c r="Q193" i="4"/>
  <c r="P193" i="4"/>
  <c r="O193" i="4"/>
  <c r="N193" i="4"/>
  <c r="M193" i="4"/>
  <c r="L193" i="4"/>
  <c r="K193" i="4"/>
  <c r="J193" i="4"/>
  <c r="Y192" i="4"/>
  <c r="U192" i="4"/>
  <c r="T192" i="4"/>
  <c r="S192" i="4"/>
  <c r="R192" i="4"/>
  <c r="Q192" i="4"/>
  <c r="P192" i="4"/>
  <c r="O192" i="4"/>
  <c r="N192" i="4"/>
  <c r="M192" i="4"/>
  <c r="L192" i="4"/>
  <c r="K192" i="4"/>
  <c r="J192" i="4"/>
  <c r="Y191" i="4"/>
  <c r="U191" i="4"/>
  <c r="T191" i="4"/>
  <c r="S191" i="4"/>
  <c r="R191" i="4"/>
  <c r="Q191" i="4"/>
  <c r="P191" i="4"/>
  <c r="O191" i="4"/>
  <c r="N191" i="4"/>
  <c r="M191" i="4"/>
  <c r="L191" i="4"/>
  <c r="K191" i="4"/>
  <c r="J191" i="4"/>
  <c r="Y190" i="4"/>
  <c r="U190" i="4"/>
  <c r="T190" i="4"/>
  <c r="S190" i="4"/>
  <c r="R190" i="4"/>
  <c r="Q190" i="4"/>
  <c r="P190" i="4"/>
  <c r="O190" i="4"/>
  <c r="N190" i="4"/>
  <c r="M190" i="4"/>
  <c r="L190" i="4"/>
  <c r="K190" i="4"/>
  <c r="J190" i="4"/>
  <c r="Y189" i="4"/>
  <c r="U189" i="4"/>
  <c r="T189" i="4"/>
  <c r="S189" i="4"/>
  <c r="R189" i="4"/>
  <c r="Q189" i="4"/>
  <c r="P189" i="4"/>
  <c r="O189" i="4"/>
  <c r="N189" i="4"/>
  <c r="M189" i="4"/>
  <c r="L189" i="4"/>
  <c r="K189" i="4"/>
  <c r="J189" i="4"/>
  <c r="Y188" i="4"/>
  <c r="U188" i="4"/>
  <c r="T188" i="4"/>
  <c r="S188" i="4"/>
  <c r="R188" i="4"/>
  <c r="Q188" i="4"/>
  <c r="P188" i="4"/>
  <c r="O188" i="4"/>
  <c r="N188" i="4"/>
  <c r="M188" i="4"/>
  <c r="L188" i="4"/>
  <c r="K188" i="4"/>
  <c r="J188" i="4"/>
  <c r="Y187" i="4"/>
  <c r="U187" i="4"/>
  <c r="T187" i="4"/>
  <c r="S187" i="4"/>
  <c r="R187" i="4"/>
  <c r="Q187" i="4"/>
  <c r="P187" i="4"/>
  <c r="O187" i="4"/>
  <c r="N187" i="4"/>
  <c r="M187" i="4"/>
  <c r="L187" i="4"/>
  <c r="K187" i="4"/>
  <c r="J187" i="4"/>
  <c r="Y186" i="4"/>
  <c r="U186" i="4"/>
  <c r="T186" i="4"/>
  <c r="S186" i="4"/>
  <c r="R186" i="4"/>
  <c r="Q186" i="4"/>
  <c r="P186" i="4"/>
  <c r="O186" i="4"/>
  <c r="N186" i="4"/>
  <c r="M186" i="4"/>
  <c r="L186" i="4"/>
  <c r="K186" i="4"/>
  <c r="J186" i="4"/>
  <c r="Y185" i="4"/>
  <c r="U185" i="4"/>
  <c r="T185" i="4"/>
  <c r="S185" i="4"/>
  <c r="R185" i="4"/>
  <c r="Q185" i="4"/>
  <c r="P185" i="4"/>
  <c r="O185" i="4"/>
  <c r="N185" i="4"/>
  <c r="M185" i="4"/>
  <c r="L185" i="4"/>
  <c r="K185" i="4"/>
  <c r="J185" i="4"/>
  <c r="Y184" i="4"/>
  <c r="U184" i="4"/>
  <c r="T184" i="4"/>
  <c r="S184" i="4"/>
  <c r="R184" i="4"/>
  <c r="Q184" i="4"/>
  <c r="P184" i="4"/>
  <c r="O184" i="4"/>
  <c r="N184" i="4"/>
  <c r="M184" i="4"/>
  <c r="L184" i="4"/>
  <c r="K184" i="4"/>
  <c r="J184" i="4"/>
  <c r="Y183" i="4"/>
  <c r="U183" i="4"/>
  <c r="T183" i="4"/>
  <c r="S183" i="4"/>
  <c r="R183" i="4"/>
  <c r="Q183" i="4"/>
  <c r="P183" i="4"/>
  <c r="O183" i="4"/>
  <c r="N183" i="4"/>
  <c r="M183" i="4"/>
  <c r="L183" i="4"/>
  <c r="K183" i="4"/>
  <c r="J183" i="4"/>
  <c r="Y182" i="4"/>
  <c r="U182" i="4"/>
  <c r="T182" i="4"/>
  <c r="S182" i="4"/>
  <c r="R182" i="4"/>
  <c r="Q182" i="4"/>
  <c r="P182" i="4"/>
  <c r="O182" i="4"/>
  <c r="N182" i="4"/>
  <c r="M182" i="4"/>
  <c r="L182" i="4"/>
  <c r="K182" i="4"/>
  <c r="J182" i="4"/>
  <c r="Y181" i="4"/>
  <c r="U181" i="4"/>
  <c r="T181" i="4"/>
  <c r="S181" i="4"/>
  <c r="R181" i="4"/>
  <c r="Q181" i="4"/>
  <c r="P181" i="4"/>
  <c r="O181" i="4"/>
  <c r="N181" i="4"/>
  <c r="M181" i="4"/>
  <c r="L181" i="4"/>
  <c r="K181" i="4"/>
  <c r="J181" i="4"/>
  <c r="Y180" i="4"/>
  <c r="U180" i="4"/>
  <c r="T180" i="4"/>
  <c r="S180" i="4"/>
  <c r="R180" i="4"/>
  <c r="Q180" i="4"/>
  <c r="P180" i="4"/>
  <c r="O180" i="4"/>
  <c r="N180" i="4"/>
  <c r="M180" i="4"/>
  <c r="L180" i="4"/>
  <c r="K180" i="4"/>
  <c r="J180" i="4"/>
  <c r="Y179" i="4"/>
  <c r="U179" i="4"/>
  <c r="T179" i="4"/>
  <c r="S179" i="4"/>
  <c r="R179" i="4"/>
  <c r="Q179" i="4"/>
  <c r="P179" i="4"/>
  <c r="O179" i="4"/>
  <c r="N179" i="4"/>
  <c r="M179" i="4"/>
  <c r="L179" i="4"/>
  <c r="K179" i="4"/>
  <c r="J179" i="4"/>
  <c r="Y178" i="4"/>
  <c r="U178" i="4"/>
  <c r="T178" i="4"/>
  <c r="S178" i="4"/>
  <c r="R178" i="4"/>
  <c r="Q178" i="4"/>
  <c r="P178" i="4"/>
  <c r="O178" i="4"/>
  <c r="N178" i="4"/>
  <c r="M178" i="4"/>
  <c r="L178" i="4"/>
  <c r="K178" i="4"/>
  <c r="J178" i="4"/>
  <c r="Y177" i="4"/>
  <c r="U177" i="4"/>
  <c r="T177" i="4"/>
  <c r="S177" i="4"/>
  <c r="R177" i="4"/>
  <c r="Q177" i="4"/>
  <c r="P177" i="4"/>
  <c r="O177" i="4"/>
  <c r="N177" i="4"/>
  <c r="M177" i="4"/>
  <c r="L177" i="4"/>
  <c r="K177" i="4"/>
  <c r="J177" i="4"/>
  <c r="Y176" i="4"/>
  <c r="U176" i="4"/>
  <c r="T176" i="4"/>
  <c r="S176" i="4"/>
  <c r="R176" i="4"/>
  <c r="Q176" i="4"/>
  <c r="P176" i="4"/>
  <c r="O176" i="4"/>
  <c r="N176" i="4"/>
  <c r="M176" i="4"/>
  <c r="L176" i="4"/>
  <c r="K176" i="4"/>
  <c r="J176" i="4"/>
  <c r="Y175" i="4"/>
  <c r="U175" i="4"/>
  <c r="T175" i="4"/>
  <c r="S175" i="4"/>
  <c r="R175" i="4"/>
  <c r="Q175" i="4"/>
  <c r="P175" i="4"/>
  <c r="O175" i="4"/>
  <c r="N175" i="4"/>
  <c r="M175" i="4"/>
  <c r="L175" i="4"/>
  <c r="K175" i="4"/>
  <c r="J175" i="4"/>
  <c r="Y174" i="4"/>
  <c r="U174" i="4"/>
  <c r="T174" i="4"/>
  <c r="S174" i="4"/>
  <c r="R174" i="4"/>
  <c r="Q174" i="4"/>
  <c r="P174" i="4"/>
  <c r="O174" i="4"/>
  <c r="N174" i="4"/>
  <c r="M174" i="4"/>
  <c r="L174" i="4"/>
  <c r="K174" i="4"/>
  <c r="J174" i="4"/>
  <c r="Y173" i="4"/>
  <c r="U173" i="4"/>
  <c r="T173" i="4"/>
  <c r="S173" i="4"/>
  <c r="R173" i="4"/>
  <c r="Q173" i="4"/>
  <c r="P173" i="4"/>
  <c r="O173" i="4"/>
  <c r="N173" i="4"/>
  <c r="M173" i="4"/>
  <c r="L173" i="4"/>
  <c r="K173" i="4"/>
  <c r="J173" i="4"/>
  <c r="Y172" i="4"/>
  <c r="U172" i="4"/>
  <c r="T172" i="4"/>
  <c r="S172" i="4"/>
  <c r="R172" i="4"/>
  <c r="Q172" i="4"/>
  <c r="P172" i="4"/>
  <c r="O172" i="4"/>
  <c r="N172" i="4"/>
  <c r="M172" i="4"/>
  <c r="L172" i="4"/>
  <c r="K172" i="4"/>
  <c r="J172" i="4"/>
  <c r="Y171" i="4"/>
  <c r="U171" i="4"/>
  <c r="T171" i="4"/>
  <c r="S171" i="4"/>
  <c r="R171" i="4"/>
  <c r="Q171" i="4"/>
  <c r="P171" i="4"/>
  <c r="O171" i="4"/>
  <c r="N171" i="4"/>
  <c r="M171" i="4"/>
  <c r="L171" i="4"/>
  <c r="K171" i="4"/>
  <c r="J171" i="4"/>
  <c r="Y170" i="4"/>
  <c r="U170" i="4"/>
  <c r="T170" i="4"/>
  <c r="S170" i="4"/>
  <c r="R170" i="4"/>
  <c r="Q170" i="4"/>
  <c r="P170" i="4"/>
  <c r="O170" i="4"/>
  <c r="N170" i="4"/>
  <c r="M170" i="4"/>
  <c r="L170" i="4"/>
  <c r="K170" i="4"/>
  <c r="J170" i="4"/>
  <c r="Y169" i="4"/>
  <c r="U169" i="4"/>
  <c r="T169" i="4"/>
  <c r="S169" i="4"/>
  <c r="R169" i="4"/>
  <c r="Q169" i="4"/>
  <c r="P169" i="4"/>
  <c r="O169" i="4"/>
  <c r="N169" i="4"/>
  <c r="M169" i="4"/>
  <c r="L169" i="4"/>
  <c r="K169" i="4"/>
  <c r="J169" i="4"/>
  <c r="Y168" i="4"/>
  <c r="U168" i="4"/>
  <c r="T168" i="4"/>
  <c r="S168" i="4"/>
  <c r="R168" i="4"/>
  <c r="Q168" i="4"/>
  <c r="P168" i="4"/>
  <c r="O168" i="4"/>
  <c r="N168" i="4"/>
  <c r="M168" i="4"/>
  <c r="L168" i="4"/>
  <c r="K168" i="4"/>
  <c r="J168" i="4"/>
  <c r="Y167" i="4"/>
  <c r="U167" i="4"/>
  <c r="T167" i="4"/>
  <c r="S167" i="4"/>
  <c r="R167" i="4"/>
  <c r="Q167" i="4"/>
  <c r="P167" i="4"/>
  <c r="O167" i="4"/>
  <c r="N167" i="4"/>
  <c r="M167" i="4"/>
  <c r="L167" i="4"/>
  <c r="K167" i="4"/>
  <c r="J167" i="4"/>
  <c r="Y166" i="4"/>
  <c r="U166" i="4"/>
  <c r="T166" i="4"/>
  <c r="S166" i="4"/>
  <c r="R166" i="4"/>
  <c r="Q166" i="4"/>
  <c r="P166" i="4"/>
  <c r="O166" i="4"/>
  <c r="N166" i="4"/>
  <c r="M166" i="4"/>
  <c r="L166" i="4"/>
  <c r="K166" i="4"/>
  <c r="J166" i="4"/>
  <c r="Y165" i="4"/>
  <c r="U165" i="4"/>
  <c r="T165" i="4"/>
  <c r="S165" i="4"/>
  <c r="R165" i="4"/>
  <c r="Q165" i="4"/>
  <c r="P165" i="4"/>
  <c r="O165" i="4"/>
  <c r="N165" i="4"/>
  <c r="M165" i="4"/>
  <c r="L165" i="4"/>
  <c r="K165" i="4"/>
  <c r="J165" i="4"/>
  <c r="Y164" i="4"/>
  <c r="U164" i="4"/>
  <c r="T164" i="4"/>
  <c r="S164" i="4"/>
  <c r="R164" i="4"/>
  <c r="Q164" i="4"/>
  <c r="P164" i="4"/>
  <c r="O164" i="4"/>
  <c r="N164" i="4"/>
  <c r="M164" i="4"/>
  <c r="L164" i="4"/>
  <c r="K164" i="4"/>
  <c r="J164" i="4"/>
  <c r="Y163" i="4"/>
  <c r="U163" i="4"/>
  <c r="T163" i="4"/>
  <c r="S163" i="4"/>
  <c r="R163" i="4"/>
  <c r="Q163" i="4"/>
  <c r="P163" i="4"/>
  <c r="O163" i="4"/>
  <c r="N163" i="4"/>
  <c r="M163" i="4"/>
  <c r="L163" i="4"/>
  <c r="K163" i="4"/>
  <c r="J163" i="4"/>
  <c r="Y162" i="4"/>
  <c r="U162" i="4"/>
  <c r="T162" i="4"/>
  <c r="S162" i="4"/>
  <c r="R162" i="4"/>
  <c r="Q162" i="4"/>
  <c r="P162" i="4"/>
  <c r="O162" i="4"/>
  <c r="N162" i="4"/>
  <c r="M162" i="4"/>
  <c r="L162" i="4"/>
  <c r="K162" i="4"/>
  <c r="J162" i="4"/>
  <c r="Y161" i="4"/>
  <c r="U161" i="4"/>
  <c r="T161" i="4"/>
  <c r="S161" i="4"/>
  <c r="R161" i="4"/>
  <c r="Q161" i="4"/>
  <c r="P161" i="4"/>
  <c r="O161" i="4"/>
  <c r="N161" i="4"/>
  <c r="M161" i="4"/>
  <c r="L161" i="4"/>
  <c r="K161" i="4"/>
  <c r="J161" i="4"/>
  <c r="Y160" i="4"/>
  <c r="U160" i="4"/>
  <c r="T160" i="4"/>
  <c r="S160" i="4"/>
  <c r="R160" i="4"/>
  <c r="Q160" i="4"/>
  <c r="P160" i="4"/>
  <c r="O160" i="4"/>
  <c r="N160" i="4"/>
  <c r="M160" i="4"/>
  <c r="L160" i="4"/>
  <c r="K160" i="4"/>
  <c r="J160" i="4"/>
  <c r="Y159" i="4"/>
  <c r="U159" i="4"/>
  <c r="T159" i="4"/>
  <c r="S159" i="4"/>
  <c r="R159" i="4"/>
  <c r="Q159" i="4"/>
  <c r="P159" i="4"/>
  <c r="O159" i="4"/>
  <c r="N159" i="4"/>
  <c r="M159" i="4"/>
  <c r="L159" i="4"/>
  <c r="K159" i="4"/>
  <c r="J159" i="4"/>
  <c r="Y158" i="4"/>
  <c r="U158" i="4"/>
  <c r="T158" i="4"/>
  <c r="S158" i="4"/>
  <c r="R158" i="4"/>
  <c r="Q158" i="4"/>
  <c r="P158" i="4"/>
  <c r="O158" i="4"/>
  <c r="N158" i="4"/>
  <c r="M158" i="4"/>
  <c r="L158" i="4"/>
  <c r="K158" i="4"/>
  <c r="J158" i="4"/>
  <c r="Y157" i="4"/>
  <c r="U157" i="4"/>
  <c r="T157" i="4"/>
  <c r="S157" i="4"/>
  <c r="R157" i="4"/>
  <c r="Q157" i="4"/>
  <c r="P157" i="4"/>
  <c r="O157" i="4"/>
  <c r="N157" i="4"/>
  <c r="M157" i="4"/>
  <c r="L157" i="4"/>
  <c r="K157" i="4"/>
  <c r="J157" i="4"/>
  <c r="Y156" i="4"/>
  <c r="U156" i="4"/>
  <c r="T156" i="4"/>
  <c r="S156" i="4"/>
  <c r="R156" i="4"/>
  <c r="Q156" i="4"/>
  <c r="P156" i="4"/>
  <c r="O156" i="4"/>
  <c r="N156" i="4"/>
  <c r="M156" i="4"/>
  <c r="L156" i="4"/>
  <c r="K156" i="4"/>
  <c r="J156" i="4"/>
  <c r="Y155" i="4"/>
  <c r="U155" i="4"/>
  <c r="T155" i="4"/>
  <c r="S155" i="4"/>
  <c r="R155" i="4"/>
  <c r="Q155" i="4"/>
  <c r="P155" i="4"/>
  <c r="O155" i="4"/>
  <c r="N155" i="4"/>
  <c r="M155" i="4"/>
  <c r="L155" i="4"/>
  <c r="K155" i="4"/>
  <c r="J155" i="4"/>
  <c r="Y154" i="4"/>
  <c r="U154" i="4"/>
  <c r="T154" i="4"/>
  <c r="S154" i="4"/>
  <c r="R154" i="4"/>
  <c r="Q154" i="4"/>
  <c r="P154" i="4"/>
  <c r="O154" i="4"/>
  <c r="N154" i="4"/>
  <c r="M154" i="4"/>
  <c r="L154" i="4"/>
  <c r="K154" i="4"/>
  <c r="J154" i="4"/>
  <c r="Y153" i="4"/>
  <c r="U153" i="4"/>
  <c r="T153" i="4"/>
  <c r="S153" i="4"/>
  <c r="R153" i="4"/>
  <c r="Q153" i="4"/>
  <c r="P153" i="4"/>
  <c r="O153" i="4"/>
  <c r="N153" i="4"/>
  <c r="M153" i="4"/>
  <c r="L153" i="4"/>
  <c r="K153" i="4"/>
  <c r="J153" i="4"/>
  <c r="Y152" i="4"/>
  <c r="U152" i="4"/>
  <c r="T152" i="4"/>
  <c r="S152" i="4"/>
  <c r="R152" i="4"/>
  <c r="Q152" i="4"/>
  <c r="P152" i="4"/>
  <c r="O152" i="4"/>
  <c r="N152" i="4"/>
  <c r="M152" i="4"/>
  <c r="L152" i="4"/>
  <c r="K152" i="4"/>
  <c r="J152" i="4"/>
  <c r="Y151" i="4"/>
  <c r="U151" i="4"/>
  <c r="T151" i="4"/>
  <c r="S151" i="4"/>
  <c r="R151" i="4"/>
  <c r="Q151" i="4"/>
  <c r="P151" i="4"/>
  <c r="O151" i="4"/>
  <c r="N151" i="4"/>
  <c r="M151" i="4"/>
  <c r="L151" i="4"/>
  <c r="K151" i="4"/>
  <c r="J151" i="4"/>
  <c r="Y150" i="4"/>
  <c r="U150" i="4"/>
  <c r="T150" i="4"/>
  <c r="S150" i="4"/>
  <c r="R150" i="4"/>
  <c r="Q150" i="4"/>
  <c r="P150" i="4"/>
  <c r="O150" i="4"/>
  <c r="N150" i="4"/>
  <c r="M150" i="4"/>
  <c r="L150" i="4"/>
  <c r="K150" i="4"/>
  <c r="J150" i="4"/>
  <c r="Y149" i="4"/>
  <c r="U149" i="4"/>
  <c r="T149" i="4"/>
  <c r="S149" i="4"/>
  <c r="R149" i="4"/>
  <c r="Q149" i="4"/>
  <c r="P149" i="4"/>
  <c r="O149" i="4"/>
  <c r="N149" i="4"/>
  <c r="M149" i="4"/>
  <c r="L149" i="4"/>
  <c r="K149" i="4"/>
  <c r="J149" i="4"/>
  <c r="Y148" i="4"/>
  <c r="U148" i="4"/>
  <c r="T148" i="4"/>
  <c r="S148" i="4"/>
  <c r="R148" i="4"/>
  <c r="Q148" i="4"/>
  <c r="P148" i="4"/>
  <c r="O148" i="4"/>
  <c r="N148" i="4"/>
  <c r="M148" i="4"/>
  <c r="L148" i="4"/>
  <c r="K148" i="4"/>
  <c r="J148" i="4"/>
  <c r="Y147" i="4"/>
  <c r="U147" i="4"/>
  <c r="T147" i="4"/>
  <c r="S147" i="4"/>
  <c r="R147" i="4"/>
  <c r="Q147" i="4"/>
  <c r="P147" i="4"/>
  <c r="O147" i="4"/>
  <c r="N147" i="4"/>
  <c r="M147" i="4"/>
  <c r="L147" i="4"/>
  <c r="K147" i="4"/>
  <c r="J147" i="4"/>
  <c r="Y146" i="4"/>
  <c r="U146" i="4"/>
  <c r="T146" i="4"/>
  <c r="S146" i="4"/>
  <c r="R146" i="4"/>
  <c r="Q146" i="4"/>
  <c r="P146" i="4"/>
  <c r="O146" i="4"/>
  <c r="N146" i="4"/>
  <c r="M146" i="4"/>
  <c r="L146" i="4"/>
  <c r="K146" i="4"/>
  <c r="J146" i="4"/>
  <c r="Y145" i="4"/>
  <c r="U145" i="4"/>
  <c r="T145" i="4"/>
  <c r="S145" i="4"/>
  <c r="R145" i="4"/>
  <c r="Q145" i="4"/>
  <c r="P145" i="4"/>
  <c r="O145" i="4"/>
  <c r="N145" i="4"/>
  <c r="M145" i="4"/>
  <c r="L145" i="4"/>
  <c r="K145" i="4"/>
  <c r="J145" i="4"/>
  <c r="Y144" i="4"/>
  <c r="U144" i="4"/>
  <c r="T144" i="4"/>
  <c r="S144" i="4"/>
  <c r="R144" i="4"/>
  <c r="Q144" i="4"/>
  <c r="P144" i="4"/>
  <c r="O144" i="4"/>
  <c r="N144" i="4"/>
  <c r="M144" i="4"/>
  <c r="L144" i="4"/>
  <c r="K144" i="4"/>
  <c r="J144" i="4"/>
  <c r="Y143" i="4"/>
  <c r="U143" i="4"/>
  <c r="T143" i="4"/>
  <c r="S143" i="4"/>
  <c r="R143" i="4"/>
  <c r="Q143" i="4"/>
  <c r="P143" i="4"/>
  <c r="O143" i="4"/>
  <c r="N143" i="4"/>
  <c r="M143" i="4"/>
  <c r="L143" i="4"/>
  <c r="K143" i="4"/>
  <c r="J143" i="4"/>
  <c r="Y142" i="4"/>
  <c r="U142" i="4"/>
  <c r="T142" i="4"/>
  <c r="S142" i="4"/>
  <c r="R142" i="4"/>
  <c r="Q142" i="4"/>
  <c r="P142" i="4"/>
  <c r="O142" i="4"/>
  <c r="N142" i="4"/>
  <c r="M142" i="4"/>
  <c r="L142" i="4"/>
  <c r="K142" i="4"/>
  <c r="J142" i="4"/>
  <c r="Y141" i="4"/>
  <c r="U141" i="4"/>
  <c r="T141" i="4"/>
  <c r="S141" i="4"/>
  <c r="R141" i="4"/>
  <c r="Q141" i="4"/>
  <c r="P141" i="4"/>
  <c r="O141" i="4"/>
  <c r="N141" i="4"/>
  <c r="M141" i="4"/>
  <c r="L141" i="4"/>
  <c r="K141" i="4"/>
  <c r="J141" i="4"/>
  <c r="Y140" i="4"/>
  <c r="U140" i="4"/>
  <c r="T140" i="4"/>
  <c r="S140" i="4"/>
  <c r="R140" i="4"/>
  <c r="Q140" i="4"/>
  <c r="P140" i="4"/>
  <c r="O140" i="4"/>
  <c r="N140" i="4"/>
  <c r="M140" i="4"/>
  <c r="L140" i="4"/>
  <c r="K140" i="4"/>
  <c r="J140" i="4"/>
  <c r="Y139" i="4"/>
  <c r="U139" i="4"/>
  <c r="T139" i="4"/>
  <c r="S139" i="4"/>
  <c r="R139" i="4"/>
  <c r="Q139" i="4"/>
  <c r="P139" i="4"/>
  <c r="O139" i="4"/>
  <c r="N139" i="4"/>
  <c r="M139" i="4"/>
  <c r="L139" i="4"/>
  <c r="K139" i="4"/>
  <c r="J139" i="4"/>
  <c r="Y138" i="4"/>
  <c r="U138" i="4"/>
  <c r="T138" i="4"/>
  <c r="S138" i="4"/>
  <c r="R138" i="4"/>
  <c r="Q138" i="4"/>
  <c r="P138" i="4"/>
  <c r="O138" i="4"/>
  <c r="N138" i="4"/>
  <c r="M138" i="4"/>
  <c r="L138" i="4"/>
  <c r="K138" i="4"/>
  <c r="J138" i="4"/>
  <c r="Y137" i="4"/>
  <c r="U137" i="4"/>
  <c r="T137" i="4"/>
  <c r="S137" i="4"/>
  <c r="R137" i="4"/>
  <c r="Q137" i="4"/>
  <c r="P137" i="4"/>
  <c r="O137" i="4"/>
  <c r="N137" i="4"/>
  <c r="M137" i="4"/>
  <c r="L137" i="4"/>
  <c r="K137" i="4"/>
  <c r="J137" i="4"/>
  <c r="Y136" i="4"/>
  <c r="U136" i="4"/>
  <c r="T136" i="4"/>
  <c r="S136" i="4"/>
  <c r="R136" i="4"/>
  <c r="Q136" i="4"/>
  <c r="P136" i="4"/>
  <c r="O136" i="4"/>
  <c r="N136" i="4"/>
  <c r="M136" i="4"/>
  <c r="L136" i="4"/>
  <c r="K136" i="4"/>
  <c r="J136" i="4"/>
  <c r="Y135" i="4"/>
  <c r="U135" i="4"/>
  <c r="T135" i="4"/>
  <c r="S135" i="4"/>
  <c r="R135" i="4"/>
  <c r="Q135" i="4"/>
  <c r="P135" i="4"/>
  <c r="O135" i="4"/>
  <c r="N135" i="4"/>
  <c r="M135" i="4"/>
  <c r="L135" i="4"/>
  <c r="K135" i="4"/>
  <c r="J135" i="4"/>
  <c r="Y134" i="4"/>
  <c r="U134" i="4"/>
  <c r="T134" i="4"/>
  <c r="S134" i="4"/>
  <c r="R134" i="4"/>
  <c r="Q134" i="4"/>
  <c r="P134" i="4"/>
  <c r="O134" i="4"/>
  <c r="N134" i="4"/>
  <c r="M134" i="4"/>
  <c r="L134" i="4"/>
  <c r="K134" i="4"/>
  <c r="J134" i="4"/>
  <c r="Y133" i="4"/>
  <c r="U133" i="4"/>
  <c r="T133" i="4"/>
  <c r="S133" i="4"/>
  <c r="R133" i="4"/>
  <c r="Q133" i="4"/>
  <c r="P133" i="4"/>
  <c r="O133" i="4"/>
  <c r="N133" i="4"/>
  <c r="M133" i="4"/>
  <c r="L133" i="4"/>
  <c r="K133" i="4"/>
  <c r="J133" i="4"/>
  <c r="Y132" i="4"/>
  <c r="U132" i="4"/>
  <c r="T132" i="4"/>
  <c r="S132" i="4"/>
  <c r="R132" i="4"/>
  <c r="Q132" i="4"/>
  <c r="P132" i="4"/>
  <c r="O132" i="4"/>
  <c r="N132" i="4"/>
  <c r="M132" i="4"/>
  <c r="L132" i="4"/>
  <c r="K132" i="4"/>
  <c r="J132" i="4"/>
  <c r="Y131" i="4"/>
  <c r="U131" i="4"/>
  <c r="T131" i="4"/>
  <c r="S131" i="4"/>
  <c r="R131" i="4"/>
  <c r="Q131" i="4"/>
  <c r="P131" i="4"/>
  <c r="O131" i="4"/>
  <c r="N131" i="4"/>
  <c r="M131" i="4"/>
  <c r="L131" i="4"/>
  <c r="K131" i="4"/>
  <c r="J131" i="4"/>
  <c r="Y130" i="4"/>
  <c r="U130" i="4"/>
  <c r="T130" i="4"/>
  <c r="S130" i="4"/>
  <c r="R130" i="4"/>
  <c r="Q130" i="4"/>
  <c r="P130" i="4"/>
  <c r="O130" i="4"/>
  <c r="N130" i="4"/>
  <c r="M130" i="4"/>
  <c r="L130" i="4"/>
  <c r="K130" i="4"/>
  <c r="J130" i="4"/>
  <c r="Y129" i="4"/>
  <c r="U129" i="4"/>
  <c r="T129" i="4"/>
  <c r="S129" i="4"/>
  <c r="R129" i="4"/>
  <c r="Q129" i="4"/>
  <c r="P129" i="4"/>
  <c r="O129" i="4"/>
  <c r="N129" i="4"/>
  <c r="M129" i="4"/>
  <c r="L129" i="4"/>
  <c r="K129" i="4"/>
  <c r="J129" i="4"/>
  <c r="Y128" i="4"/>
  <c r="U128" i="4"/>
  <c r="T128" i="4"/>
  <c r="S128" i="4"/>
  <c r="R128" i="4"/>
  <c r="Q128" i="4"/>
  <c r="P128" i="4"/>
  <c r="O128" i="4"/>
  <c r="N128" i="4"/>
  <c r="M128" i="4"/>
  <c r="L128" i="4"/>
  <c r="K128" i="4"/>
  <c r="J128" i="4"/>
  <c r="Y127" i="4"/>
  <c r="U127" i="4"/>
  <c r="T127" i="4"/>
  <c r="S127" i="4"/>
  <c r="R127" i="4"/>
  <c r="Q127" i="4"/>
  <c r="P127" i="4"/>
  <c r="O127" i="4"/>
  <c r="N127" i="4"/>
  <c r="M127" i="4"/>
  <c r="L127" i="4"/>
  <c r="K127" i="4"/>
  <c r="J127" i="4"/>
  <c r="Y126" i="4"/>
  <c r="U126" i="4"/>
  <c r="T126" i="4"/>
  <c r="S126" i="4"/>
  <c r="R126" i="4"/>
  <c r="Q126" i="4"/>
  <c r="P126" i="4"/>
  <c r="O126" i="4"/>
  <c r="N126" i="4"/>
  <c r="M126" i="4"/>
  <c r="L126" i="4"/>
  <c r="K126" i="4"/>
  <c r="J126" i="4"/>
  <c r="Y125" i="4"/>
  <c r="U125" i="4"/>
  <c r="T125" i="4"/>
  <c r="S125" i="4"/>
  <c r="R125" i="4"/>
  <c r="Q125" i="4"/>
  <c r="P125" i="4"/>
  <c r="O125" i="4"/>
  <c r="N125" i="4"/>
  <c r="M125" i="4"/>
  <c r="L125" i="4"/>
  <c r="K125" i="4"/>
  <c r="J125" i="4"/>
  <c r="Y124" i="4"/>
  <c r="U124" i="4"/>
  <c r="T124" i="4"/>
  <c r="S124" i="4"/>
  <c r="R124" i="4"/>
  <c r="Q124" i="4"/>
  <c r="P124" i="4"/>
  <c r="O124" i="4"/>
  <c r="N124" i="4"/>
  <c r="M124" i="4"/>
  <c r="L124" i="4"/>
  <c r="K124" i="4"/>
  <c r="J124" i="4"/>
  <c r="Y123" i="4"/>
  <c r="U123" i="4"/>
  <c r="T123" i="4"/>
  <c r="S123" i="4"/>
  <c r="R123" i="4"/>
  <c r="Q123" i="4"/>
  <c r="P123" i="4"/>
  <c r="O123" i="4"/>
  <c r="N123" i="4"/>
  <c r="M123" i="4"/>
  <c r="L123" i="4"/>
  <c r="K123" i="4"/>
  <c r="J123" i="4"/>
  <c r="Y122" i="4"/>
  <c r="U122" i="4"/>
  <c r="T122" i="4"/>
  <c r="S122" i="4"/>
  <c r="R122" i="4"/>
  <c r="Q122" i="4"/>
  <c r="P122" i="4"/>
  <c r="O122" i="4"/>
  <c r="N122" i="4"/>
  <c r="M122" i="4"/>
  <c r="L122" i="4"/>
  <c r="K122" i="4"/>
  <c r="J122" i="4"/>
  <c r="Y121" i="4"/>
  <c r="U121" i="4"/>
  <c r="T121" i="4"/>
  <c r="S121" i="4"/>
  <c r="R121" i="4"/>
  <c r="Q121" i="4"/>
  <c r="P121" i="4"/>
  <c r="O121" i="4"/>
  <c r="N121" i="4"/>
  <c r="M121" i="4"/>
  <c r="L121" i="4"/>
  <c r="K121" i="4"/>
  <c r="J121" i="4"/>
  <c r="Y120" i="4"/>
  <c r="U120" i="4"/>
  <c r="T120" i="4"/>
  <c r="S120" i="4"/>
  <c r="R120" i="4"/>
  <c r="Q120" i="4"/>
  <c r="P120" i="4"/>
  <c r="O120" i="4"/>
  <c r="N120" i="4"/>
  <c r="M120" i="4"/>
  <c r="L120" i="4"/>
  <c r="K120" i="4"/>
  <c r="J120" i="4"/>
  <c r="Y119" i="4"/>
  <c r="U119" i="4"/>
  <c r="T119" i="4"/>
  <c r="S119" i="4"/>
  <c r="R119" i="4"/>
  <c r="Q119" i="4"/>
  <c r="P119" i="4"/>
  <c r="O119" i="4"/>
  <c r="N119" i="4"/>
  <c r="M119" i="4"/>
  <c r="L119" i="4"/>
  <c r="K119" i="4"/>
  <c r="J119" i="4"/>
  <c r="Y118" i="4"/>
  <c r="U118" i="4"/>
  <c r="T118" i="4"/>
  <c r="S118" i="4"/>
  <c r="R118" i="4"/>
  <c r="Q118" i="4"/>
  <c r="P118" i="4"/>
  <c r="O118" i="4"/>
  <c r="N118" i="4"/>
  <c r="M118" i="4"/>
  <c r="L118" i="4"/>
  <c r="K118" i="4"/>
  <c r="J118" i="4"/>
  <c r="Y117" i="4"/>
  <c r="U117" i="4"/>
  <c r="T117" i="4"/>
  <c r="S117" i="4"/>
  <c r="R117" i="4"/>
  <c r="Q117" i="4"/>
  <c r="P117" i="4"/>
  <c r="O117" i="4"/>
  <c r="N117" i="4"/>
  <c r="M117" i="4"/>
  <c r="L117" i="4"/>
  <c r="K117" i="4"/>
  <c r="J117" i="4"/>
  <c r="Y116" i="4"/>
  <c r="U116" i="4"/>
  <c r="T116" i="4"/>
  <c r="S116" i="4"/>
  <c r="R116" i="4"/>
  <c r="Q116" i="4"/>
  <c r="P116" i="4"/>
  <c r="O116" i="4"/>
  <c r="N116" i="4"/>
  <c r="M116" i="4"/>
  <c r="L116" i="4"/>
  <c r="K116" i="4"/>
  <c r="J116" i="4"/>
  <c r="Y115" i="4"/>
  <c r="U115" i="4"/>
  <c r="T115" i="4"/>
  <c r="S115" i="4"/>
  <c r="R115" i="4"/>
  <c r="Q115" i="4"/>
  <c r="P115" i="4"/>
  <c r="O115" i="4"/>
  <c r="N115" i="4"/>
  <c r="M115" i="4"/>
  <c r="L115" i="4"/>
  <c r="K115" i="4"/>
  <c r="J115" i="4"/>
  <c r="Y114" i="4"/>
  <c r="U114" i="4"/>
  <c r="T114" i="4"/>
  <c r="S114" i="4"/>
  <c r="R114" i="4"/>
  <c r="Q114" i="4"/>
  <c r="P114" i="4"/>
  <c r="O114" i="4"/>
  <c r="N114" i="4"/>
  <c r="M114" i="4"/>
  <c r="L114" i="4"/>
  <c r="K114" i="4"/>
  <c r="J114" i="4"/>
  <c r="Y113" i="4"/>
  <c r="U113" i="4"/>
  <c r="T113" i="4"/>
  <c r="S113" i="4"/>
  <c r="R113" i="4"/>
  <c r="Q113" i="4"/>
  <c r="P113" i="4"/>
  <c r="O113" i="4"/>
  <c r="N113" i="4"/>
  <c r="M113" i="4"/>
  <c r="L113" i="4"/>
  <c r="K113" i="4"/>
  <c r="J113" i="4"/>
  <c r="Y112" i="4"/>
  <c r="U112" i="4"/>
  <c r="T112" i="4"/>
  <c r="S112" i="4"/>
  <c r="R112" i="4"/>
  <c r="Q112" i="4"/>
  <c r="P112" i="4"/>
  <c r="O112" i="4"/>
  <c r="N112" i="4"/>
  <c r="M112" i="4"/>
  <c r="L112" i="4"/>
  <c r="K112" i="4"/>
  <c r="J112" i="4"/>
  <c r="Y111" i="4"/>
  <c r="U111" i="4"/>
  <c r="T111" i="4"/>
  <c r="S111" i="4"/>
  <c r="R111" i="4"/>
  <c r="Q111" i="4"/>
  <c r="P111" i="4"/>
  <c r="O111" i="4"/>
  <c r="N111" i="4"/>
  <c r="M111" i="4"/>
  <c r="L111" i="4"/>
  <c r="K111" i="4"/>
  <c r="J111" i="4"/>
  <c r="Y110" i="4"/>
  <c r="U110" i="4"/>
  <c r="T110" i="4"/>
  <c r="S110" i="4"/>
  <c r="R110" i="4"/>
  <c r="Q110" i="4"/>
  <c r="P110" i="4"/>
  <c r="O110" i="4"/>
  <c r="N110" i="4"/>
  <c r="M110" i="4"/>
  <c r="L110" i="4"/>
  <c r="K110" i="4"/>
  <c r="J110" i="4"/>
  <c r="Y109" i="4"/>
  <c r="U109" i="4"/>
  <c r="T109" i="4"/>
  <c r="S109" i="4"/>
  <c r="R109" i="4"/>
  <c r="Q109" i="4"/>
  <c r="P109" i="4"/>
  <c r="O109" i="4"/>
  <c r="N109" i="4"/>
  <c r="M109" i="4"/>
  <c r="L109" i="4"/>
  <c r="K109" i="4"/>
  <c r="J109" i="4"/>
  <c r="Y108" i="4"/>
  <c r="U108" i="4"/>
  <c r="T108" i="4"/>
  <c r="S108" i="4"/>
  <c r="R108" i="4"/>
  <c r="Q108" i="4"/>
  <c r="P108" i="4"/>
  <c r="O108" i="4"/>
  <c r="N108" i="4"/>
  <c r="M108" i="4"/>
  <c r="L108" i="4"/>
  <c r="K108" i="4"/>
  <c r="J108" i="4"/>
  <c r="Y107" i="4"/>
  <c r="U107" i="4"/>
  <c r="T107" i="4"/>
  <c r="S107" i="4"/>
  <c r="R107" i="4"/>
  <c r="Q107" i="4"/>
  <c r="P107" i="4"/>
  <c r="O107" i="4"/>
  <c r="N107" i="4"/>
  <c r="M107" i="4"/>
  <c r="L107" i="4"/>
  <c r="K107" i="4"/>
  <c r="J107" i="4"/>
  <c r="Y106" i="4"/>
  <c r="U106" i="4"/>
  <c r="T106" i="4"/>
  <c r="S106" i="4"/>
  <c r="R106" i="4"/>
  <c r="Q106" i="4"/>
  <c r="P106" i="4"/>
  <c r="O106" i="4"/>
  <c r="N106" i="4"/>
  <c r="M106" i="4"/>
  <c r="L106" i="4"/>
  <c r="K106" i="4"/>
  <c r="J106" i="4"/>
  <c r="Y105" i="4"/>
  <c r="U105" i="4"/>
  <c r="T105" i="4"/>
  <c r="S105" i="4"/>
  <c r="R105" i="4"/>
  <c r="Q105" i="4"/>
  <c r="P105" i="4"/>
  <c r="O105" i="4"/>
  <c r="N105" i="4"/>
  <c r="M105" i="4"/>
  <c r="L105" i="4"/>
  <c r="K105" i="4"/>
  <c r="J105" i="4"/>
  <c r="Y104" i="4"/>
  <c r="U104" i="4"/>
  <c r="T104" i="4"/>
  <c r="S104" i="4"/>
  <c r="R104" i="4"/>
  <c r="Q104" i="4"/>
  <c r="P104" i="4"/>
  <c r="O104" i="4"/>
  <c r="N104" i="4"/>
  <c r="M104" i="4"/>
  <c r="L104" i="4"/>
  <c r="K104" i="4"/>
  <c r="J104" i="4"/>
  <c r="Y103" i="4"/>
  <c r="U103" i="4"/>
  <c r="T103" i="4"/>
  <c r="S103" i="4"/>
  <c r="R103" i="4"/>
  <c r="Q103" i="4"/>
  <c r="P103" i="4"/>
  <c r="O103" i="4"/>
  <c r="N103" i="4"/>
  <c r="M103" i="4"/>
  <c r="L103" i="4"/>
  <c r="K103" i="4"/>
  <c r="J103" i="4"/>
  <c r="Y102" i="4"/>
  <c r="U102" i="4"/>
  <c r="T102" i="4"/>
  <c r="S102" i="4"/>
  <c r="R102" i="4"/>
  <c r="Q102" i="4"/>
  <c r="P102" i="4"/>
  <c r="O102" i="4"/>
  <c r="N102" i="4"/>
  <c r="M102" i="4"/>
  <c r="L102" i="4"/>
  <c r="K102" i="4"/>
  <c r="J102" i="4"/>
  <c r="Y101" i="4"/>
  <c r="U101" i="4"/>
  <c r="T101" i="4"/>
  <c r="S101" i="4"/>
  <c r="R101" i="4"/>
  <c r="Q101" i="4"/>
  <c r="P101" i="4"/>
  <c r="O101" i="4"/>
  <c r="N101" i="4"/>
  <c r="M101" i="4"/>
  <c r="L101" i="4"/>
  <c r="K101" i="4"/>
  <c r="J101" i="4"/>
  <c r="Y100" i="4"/>
  <c r="U100" i="4"/>
  <c r="T100" i="4"/>
  <c r="S100" i="4"/>
  <c r="R100" i="4"/>
  <c r="Q100" i="4"/>
  <c r="P100" i="4"/>
  <c r="O100" i="4"/>
  <c r="N100" i="4"/>
  <c r="M100" i="4"/>
  <c r="L100" i="4"/>
  <c r="K100" i="4"/>
  <c r="J100" i="4"/>
  <c r="Y99" i="4"/>
  <c r="U99" i="4"/>
  <c r="T99" i="4"/>
  <c r="S99" i="4"/>
  <c r="R99" i="4"/>
  <c r="Q99" i="4"/>
  <c r="P99" i="4"/>
  <c r="O99" i="4"/>
  <c r="N99" i="4"/>
  <c r="M99" i="4"/>
  <c r="L99" i="4"/>
  <c r="K99" i="4"/>
  <c r="J99" i="4"/>
  <c r="Y98" i="4"/>
  <c r="U98" i="4"/>
  <c r="T98" i="4"/>
  <c r="S98" i="4"/>
  <c r="R98" i="4"/>
  <c r="Q98" i="4"/>
  <c r="P98" i="4"/>
  <c r="O98" i="4"/>
  <c r="N98" i="4"/>
  <c r="M98" i="4"/>
  <c r="L98" i="4"/>
  <c r="K98" i="4"/>
  <c r="J98" i="4"/>
  <c r="Y97" i="4"/>
  <c r="U97" i="4"/>
  <c r="T97" i="4"/>
  <c r="S97" i="4"/>
  <c r="R97" i="4"/>
  <c r="Q97" i="4"/>
  <c r="P97" i="4"/>
  <c r="O97" i="4"/>
  <c r="N97" i="4"/>
  <c r="M97" i="4"/>
  <c r="L97" i="4"/>
  <c r="K97" i="4"/>
  <c r="J97" i="4"/>
  <c r="Y96" i="4"/>
  <c r="U96" i="4"/>
  <c r="T96" i="4"/>
  <c r="S96" i="4"/>
  <c r="R96" i="4"/>
  <c r="Q96" i="4"/>
  <c r="P96" i="4"/>
  <c r="O96" i="4"/>
  <c r="N96" i="4"/>
  <c r="M96" i="4"/>
  <c r="L96" i="4"/>
  <c r="K96" i="4"/>
  <c r="J96" i="4"/>
  <c r="Y95" i="4"/>
  <c r="U95" i="4"/>
  <c r="T95" i="4"/>
  <c r="S95" i="4"/>
  <c r="R95" i="4"/>
  <c r="Q95" i="4"/>
  <c r="P95" i="4"/>
  <c r="O95" i="4"/>
  <c r="N95" i="4"/>
  <c r="M95" i="4"/>
  <c r="L95" i="4"/>
  <c r="K95" i="4"/>
  <c r="J95" i="4"/>
  <c r="Y94" i="4"/>
  <c r="U94" i="4"/>
  <c r="T94" i="4"/>
  <c r="S94" i="4"/>
  <c r="R94" i="4"/>
  <c r="Q94" i="4"/>
  <c r="P94" i="4"/>
  <c r="O94" i="4"/>
  <c r="N94" i="4"/>
  <c r="M94" i="4"/>
  <c r="L94" i="4"/>
  <c r="K94" i="4"/>
  <c r="J94" i="4"/>
  <c r="Y93" i="4"/>
  <c r="U93" i="4"/>
  <c r="T93" i="4"/>
  <c r="S93" i="4"/>
  <c r="R93" i="4"/>
  <c r="Q93" i="4"/>
  <c r="P93" i="4"/>
  <c r="O93" i="4"/>
  <c r="N93" i="4"/>
  <c r="M93" i="4"/>
  <c r="L93" i="4"/>
  <c r="K93" i="4"/>
  <c r="J93" i="4"/>
  <c r="Y92" i="4"/>
  <c r="U92" i="4"/>
  <c r="T92" i="4"/>
  <c r="S92" i="4"/>
  <c r="R92" i="4"/>
  <c r="Q92" i="4"/>
  <c r="P92" i="4"/>
  <c r="O92" i="4"/>
  <c r="N92" i="4"/>
  <c r="M92" i="4"/>
  <c r="L92" i="4"/>
  <c r="K92" i="4"/>
  <c r="J92" i="4"/>
  <c r="Y91" i="4"/>
  <c r="U91" i="4"/>
  <c r="T91" i="4"/>
  <c r="S91" i="4"/>
  <c r="R91" i="4"/>
  <c r="Q91" i="4"/>
  <c r="P91" i="4"/>
  <c r="O91" i="4"/>
  <c r="N91" i="4"/>
  <c r="M91" i="4"/>
  <c r="L91" i="4"/>
  <c r="K91" i="4"/>
  <c r="J91" i="4"/>
  <c r="Y90" i="4"/>
  <c r="U90" i="4"/>
  <c r="T90" i="4"/>
  <c r="S90" i="4"/>
  <c r="R90" i="4"/>
  <c r="Q90" i="4"/>
  <c r="P90" i="4"/>
  <c r="O90" i="4"/>
  <c r="N90" i="4"/>
  <c r="M90" i="4"/>
  <c r="L90" i="4"/>
  <c r="K90" i="4"/>
  <c r="J90" i="4"/>
  <c r="Y89" i="4"/>
  <c r="U89" i="4"/>
  <c r="T89" i="4"/>
  <c r="S89" i="4"/>
  <c r="R89" i="4"/>
  <c r="Q89" i="4"/>
  <c r="P89" i="4"/>
  <c r="O89" i="4"/>
  <c r="N89" i="4"/>
  <c r="M89" i="4"/>
  <c r="L89" i="4"/>
  <c r="K89" i="4"/>
  <c r="J89" i="4"/>
  <c r="Y88" i="4"/>
  <c r="U88" i="4"/>
  <c r="T88" i="4"/>
  <c r="S88" i="4"/>
  <c r="R88" i="4"/>
  <c r="Q88" i="4"/>
  <c r="P88" i="4"/>
  <c r="O88" i="4"/>
  <c r="N88" i="4"/>
  <c r="M88" i="4"/>
  <c r="L88" i="4"/>
  <c r="K88" i="4"/>
  <c r="J88" i="4"/>
  <c r="Y87" i="4"/>
  <c r="U87" i="4"/>
  <c r="T87" i="4"/>
  <c r="S87" i="4"/>
  <c r="R87" i="4"/>
  <c r="Q87" i="4"/>
  <c r="P87" i="4"/>
  <c r="O87" i="4"/>
  <c r="N87" i="4"/>
  <c r="M87" i="4"/>
  <c r="L87" i="4"/>
  <c r="K87" i="4"/>
  <c r="J87" i="4"/>
  <c r="A4348" i="22" s="1"/>
  <c r="B4348" i="22" s="1"/>
  <c r="Y86" i="4"/>
  <c r="U86" i="4"/>
  <c r="T86" i="4"/>
  <c r="S86" i="4"/>
  <c r="R86" i="4"/>
  <c r="Q86" i="4"/>
  <c r="P86" i="4"/>
  <c r="O86" i="4"/>
  <c r="N86" i="4"/>
  <c r="M86" i="4"/>
  <c r="L86" i="4"/>
  <c r="K86" i="4"/>
  <c r="J86" i="4"/>
  <c r="A4347" i="22" s="1"/>
  <c r="B4347" i="22" s="1"/>
  <c r="Y85" i="4"/>
  <c r="U85" i="4"/>
  <c r="T85" i="4"/>
  <c r="S85" i="4"/>
  <c r="R85" i="4"/>
  <c r="Q85" i="4"/>
  <c r="P85" i="4"/>
  <c r="O85" i="4"/>
  <c r="N85" i="4"/>
  <c r="M85" i="4"/>
  <c r="L85" i="4"/>
  <c r="K85" i="4"/>
  <c r="J85" i="4"/>
  <c r="A4346" i="22" s="1"/>
  <c r="B4346" i="22" s="1"/>
  <c r="Y84" i="4"/>
  <c r="U84" i="4"/>
  <c r="T84" i="4"/>
  <c r="S84" i="4"/>
  <c r="R84" i="4"/>
  <c r="Q84" i="4"/>
  <c r="P84" i="4"/>
  <c r="O84" i="4"/>
  <c r="N84" i="4"/>
  <c r="M84" i="4"/>
  <c r="L84" i="4"/>
  <c r="K84" i="4"/>
  <c r="J84" i="4"/>
  <c r="A4345" i="22" s="1"/>
  <c r="B4345" i="22" s="1"/>
  <c r="Y83" i="4"/>
  <c r="U83" i="4"/>
  <c r="T83" i="4"/>
  <c r="S83" i="4"/>
  <c r="R83" i="4"/>
  <c r="Q83" i="4"/>
  <c r="P83" i="4"/>
  <c r="O83" i="4"/>
  <c r="N83" i="4"/>
  <c r="M83" i="4"/>
  <c r="L83" i="4"/>
  <c r="K83" i="4"/>
  <c r="J83" i="4"/>
  <c r="A4344" i="22" s="1"/>
  <c r="B4344" i="22" s="1"/>
  <c r="Y82" i="4"/>
  <c r="U82" i="4"/>
  <c r="T82" i="4"/>
  <c r="S82" i="4"/>
  <c r="R82" i="4"/>
  <c r="Q82" i="4"/>
  <c r="P82" i="4"/>
  <c r="O82" i="4"/>
  <c r="N82" i="4"/>
  <c r="M82" i="4"/>
  <c r="L82" i="4"/>
  <c r="K82" i="4"/>
  <c r="J82" i="4"/>
  <c r="A4343" i="22" s="1"/>
  <c r="B4343" i="22" s="1"/>
  <c r="Y81" i="4"/>
  <c r="U81" i="4"/>
  <c r="T81" i="4"/>
  <c r="S81" i="4"/>
  <c r="R81" i="4"/>
  <c r="Q81" i="4"/>
  <c r="P81" i="4"/>
  <c r="O81" i="4"/>
  <c r="N81" i="4"/>
  <c r="M81" i="4"/>
  <c r="L81" i="4"/>
  <c r="K81" i="4"/>
  <c r="J81" i="4"/>
  <c r="A4342" i="22" s="1"/>
  <c r="B4342" i="22" s="1"/>
  <c r="Y80" i="4"/>
  <c r="U80" i="4"/>
  <c r="T80" i="4"/>
  <c r="S80" i="4"/>
  <c r="R80" i="4"/>
  <c r="Q80" i="4"/>
  <c r="P80" i="4"/>
  <c r="O80" i="4"/>
  <c r="N80" i="4"/>
  <c r="M80" i="4"/>
  <c r="L80" i="4"/>
  <c r="K80" i="4"/>
  <c r="J80" i="4"/>
  <c r="A4341" i="22" s="1"/>
  <c r="B4341" i="22" s="1"/>
  <c r="Y79" i="4"/>
  <c r="U79" i="4"/>
  <c r="T79" i="4"/>
  <c r="S79" i="4"/>
  <c r="R79" i="4"/>
  <c r="Q79" i="4"/>
  <c r="P79" i="4"/>
  <c r="O79" i="4"/>
  <c r="N79" i="4"/>
  <c r="M79" i="4"/>
  <c r="L79" i="4"/>
  <c r="K79" i="4"/>
  <c r="J79" i="4"/>
  <c r="A4340" i="22" s="1"/>
  <c r="B4340" i="22" s="1"/>
  <c r="Y78" i="4"/>
  <c r="U78" i="4"/>
  <c r="T78" i="4"/>
  <c r="S78" i="4"/>
  <c r="R78" i="4"/>
  <c r="Q78" i="4"/>
  <c r="P78" i="4"/>
  <c r="O78" i="4"/>
  <c r="N78" i="4"/>
  <c r="M78" i="4"/>
  <c r="L78" i="4"/>
  <c r="K78" i="4"/>
  <c r="J78" i="4"/>
  <c r="A4339" i="22" s="1"/>
  <c r="B4339" i="22" s="1"/>
  <c r="Y77" i="4"/>
  <c r="U77" i="4"/>
  <c r="T77" i="4"/>
  <c r="S77" i="4"/>
  <c r="R77" i="4"/>
  <c r="Q77" i="4"/>
  <c r="P77" i="4"/>
  <c r="O77" i="4"/>
  <c r="N77" i="4"/>
  <c r="M77" i="4"/>
  <c r="L77" i="4"/>
  <c r="K77" i="4"/>
  <c r="J77" i="4"/>
  <c r="A4338" i="22" s="1"/>
  <c r="B4338" i="22" s="1"/>
  <c r="Y76" i="4"/>
  <c r="U76" i="4"/>
  <c r="T76" i="4"/>
  <c r="S76" i="4"/>
  <c r="R76" i="4"/>
  <c r="Q76" i="4"/>
  <c r="P76" i="4"/>
  <c r="O76" i="4"/>
  <c r="N76" i="4"/>
  <c r="M76" i="4"/>
  <c r="L76" i="4"/>
  <c r="K76" i="4"/>
  <c r="J76" i="4"/>
  <c r="A4337" i="22" s="1"/>
  <c r="B4337" i="22" s="1"/>
  <c r="Y75" i="4"/>
  <c r="U75" i="4"/>
  <c r="T75" i="4"/>
  <c r="S75" i="4"/>
  <c r="R75" i="4"/>
  <c r="Q75" i="4"/>
  <c r="P75" i="4"/>
  <c r="O75" i="4"/>
  <c r="N75" i="4"/>
  <c r="M75" i="4"/>
  <c r="L75" i="4"/>
  <c r="K75" i="4"/>
  <c r="J75" i="4"/>
  <c r="A4336" i="22" s="1"/>
  <c r="B4336" i="22" s="1"/>
  <c r="Y74" i="4"/>
  <c r="U74" i="4"/>
  <c r="T74" i="4"/>
  <c r="S74" i="4"/>
  <c r="R74" i="4"/>
  <c r="Q74" i="4"/>
  <c r="P74" i="4"/>
  <c r="O74" i="4"/>
  <c r="N74" i="4"/>
  <c r="M74" i="4"/>
  <c r="L74" i="4"/>
  <c r="K74" i="4"/>
  <c r="J74" i="4"/>
  <c r="A4335" i="22" s="1"/>
  <c r="B4335" i="22" s="1"/>
  <c r="Y73" i="4"/>
  <c r="U73" i="4"/>
  <c r="T73" i="4"/>
  <c r="S73" i="4"/>
  <c r="R73" i="4"/>
  <c r="Q73" i="4"/>
  <c r="P73" i="4"/>
  <c r="O73" i="4"/>
  <c r="N73" i="4"/>
  <c r="M73" i="4"/>
  <c r="L73" i="4"/>
  <c r="K73" i="4"/>
  <c r="J73" i="4"/>
  <c r="A4334" i="22" s="1"/>
  <c r="B4334" i="22" s="1"/>
  <c r="Y72" i="4"/>
  <c r="U72" i="4"/>
  <c r="T72" i="4"/>
  <c r="S72" i="4"/>
  <c r="R72" i="4"/>
  <c r="Q72" i="4"/>
  <c r="P72" i="4"/>
  <c r="O72" i="4"/>
  <c r="N72" i="4"/>
  <c r="M72" i="4"/>
  <c r="L72" i="4"/>
  <c r="K72" i="4"/>
  <c r="J72" i="4"/>
  <c r="A4333" i="22" s="1"/>
  <c r="B4333" i="22" s="1"/>
  <c r="Y71" i="4"/>
  <c r="U71" i="4"/>
  <c r="N71" i="4"/>
  <c r="M71" i="4"/>
  <c r="K71" i="4"/>
  <c r="L71" i="4" s="1"/>
  <c r="J71" i="4"/>
  <c r="A4332" i="22" s="1"/>
  <c r="Y70" i="4"/>
  <c r="T70" i="4"/>
  <c r="N70" i="4"/>
  <c r="M70" i="4"/>
  <c r="K70" i="4"/>
  <c r="L70" i="4" s="1"/>
  <c r="J70" i="4"/>
  <c r="A4331" i="22" s="1"/>
  <c r="Y69" i="4"/>
  <c r="T69" i="4"/>
  <c r="N69" i="4"/>
  <c r="M69" i="4"/>
  <c r="K69" i="4"/>
  <c r="L69" i="4" s="1"/>
  <c r="J69" i="4"/>
  <c r="A4330" i="22" s="1"/>
  <c r="Y68" i="4"/>
  <c r="T68" i="4"/>
  <c r="N68" i="4"/>
  <c r="M68" i="4"/>
  <c r="K68" i="4"/>
  <c r="L68" i="4" s="1"/>
  <c r="J68" i="4"/>
  <c r="A4329" i="22" s="1"/>
  <c r="Y67" i="4"/>
  <c r="U67" i="4"/>
  <c r="N67" i="4"/>
  <c r="M67" i="4"/>
  <c r="K67" i="4"/>
  <c r="L67" i="4" s="1"/>
  <c r="J67" i="4"/>
  <c r="A4328" i="22" s="1"/>
  <c r="Y66" i="4"/>
  <c r="T66" i="4"/>
  <c r="N66" i="4"/>
  <c r="M66" i="4"/>
  <c r="K66" i="4"/>
  <c r="L66" i="4" s="1"/>
  <c r="J66" i="4"/>
  <c r="A4327" i="22" s="1"/>
  <c r="Y65" i="4"/>
  <c r="T65" i="4"/>
  <c r="N65" i="4"/>
  <c r="M65" i="4"/>
  <c r="K65" i="4"/>
  <c r="L65" i="4" s="1"/>
  <c r="J65" i="4"/>
  <c r="A4326" i="22" s="1"/>
  <c r="Y64" i="4"/>
  <c r="T64" i="4"/>
  <c r="N64" i="4"/>
  <c r="M64" i="4"/>
  <c r="K64" i="4"/>
  <c r="L64" i="4" s="1"/>
  <c r="J64" i="4"/>
  <c r="A4325" i="22" s="1"/>
  <c r="Y63" i="4"/>
  <c r="U63" i="4"/>
  <c r="N63" i="4"/>
  <c r="M63" i="4"/>
  <c r="K63" i="4"/>
  <c r="L63" i="4" s="1"/>
  <c r="J63" i="4"/>
  <c r="A4324" i="22" s="1"/>
  <c r="Y62" i="4"/>
  <c r="T62" i="4"/>
  <c r="N62" i="4"/>
  <c r="M62" i="4"/>
  <c r="K62" i="4"/>
  <c r="L62" i="4" s="1"/>
  <c r="J62" i="4"/>
  <c r="A4323" i="22" s="1"/>
  <c r="Y61" i="4"/>
  <c r="T61" i="4"/>
  <c r="N61" i="4"/>
  <c r="M61" i="4"/>
  <c r="K61" i="4"/>
  <c r="L61" i="4" s="1"/>
  <c r="J61" i="4"/>
  <c r="A4322" i="22" s="1"/>
  <c r="Y60" i="4"/>
  <c r="U60" i="4"/>
  <c r="N60" i="4"/>
  <c r="M60" i="4"/>
  <c r="K60" i="4"/>
  <c r="L60" i="4" s="1"/>
  <c r="J60" i="4"/>
  <c r="A4321" i="22" s="1"/>
  <c r="Y59" i="4"/>
  <c r="T59" i="4"/>
  <c r="N59" i="4"/>
  <c r="M59" i="4"/>
  <c r="K59" i="4"/>
  <c r="L59" i="4" s="1"/>
  <c r="J59" i="4"/>
  <c r="A4320" i="22" s="1"/>
  <c r="Y58" i="4"/>
  <c r="U58" i="4"/>
  <c r="N58" i="4"/>
  <c r="M58" i="4"/>
  <c r="K58" i="4"/>
  <c r="L58" i="4" s="1"/>
  <c r="J58" i="4"/>
  <c r="A4319" i="22" s="1"/>
  <c r="Y57" i="4"/>
  <c r="T57" i="4"/>
  <c r="N57" i="4"/>
  <c r="M57" i="4"/>
  <c r="K57" i="4"/>
  <c r="L57" i="4" s="1"/>
  <c r="J57" i="4"/>
  <c r="A4318" i="22" s="1"/>
  <c r="Y56" i="4"/>
  <c r="T56" i="4"/>
  <c r="N56" i="4"/>
  <c r="M56" i="4"/>
  <c r="K56" i="4"/>
  <c r="L56" i="4" s="1"/>
  <c r="J56" i="4"/>
  <c r="A4317" i="22" s="1"/>
  <c r="Y55" i="4"/>
  <c r="T55" i="4"/>
  <c r="N55" i="4"/>
  <c r="M55" i="4"/>
  <c r="K55" i="4"/>
  <c r="L55" i="4" s="1"/>
  <c r="J55" i="4"/>
  <c r="A4316" i="22" s="1"/>
  <c r="Y54" i="4"/>
  <c r="U54" i="4"/>
  <c r="N54" i="4"/>
  <c r="M54" i="4"/>
  <c r="K54" i="4"/>
  <c r="L54" i="4" s="1"/>
  <c r="J54" i="4"/>
  <c r="A4315" i="22" s="1"/>
  <c r="Y53" i="4"/>
  <c r="T53" i="4"/>
  <c r="N53" i="4"/>
  <c r="M53" i="4"/>
  <c r="K53" i="4"/>
  <c r="L53" i="4" s="1"/>
  <c r="J53" i="4"/>
  <c r="A4314" i="22" s="1"/>
  <c r="Y52" i="4"/>
  <c r="T52" i="4"/>
  <c r="N52" i="4"/>
  <c r="M52" i="4"/>
  <c r="K52" i="4"/>
  <c r="L52" i="4" s="1"/>
  <c r="J52" i="4"/>
  <c r="A4313" i="22" s="1"/>
  <c r="Y51" i="4"/>
  <c r="U51" i="4"/>
  <c r="N51" i="4"/>
  <c r="M51" i="4"/>
  <c r="K51" i="4"/>
  <c r="L51" i="4" s="1"/>
  <c r="J51" i="4"/>
  <c r="A4312" i="22" s="1"/>
  <c r="Y50" i="4"/>
  <c r="T50" i="4"/>
  <c r="N50" i="4"/>
  <c r="M50" i="4"/>
  <c r="K50" i="4"/>
  <c r="L50" i="4" s="1"/>
  <c r="J50" i="4"/>
  <c r="Y49" i="4"/>
  <c r="T49" i="4"/>
  <c r="N49" i="4"/>
  <c r="M49" i="4"/>
  <c r="K49" i="4"/>
  <c r="L49" i="4" s="1"/>
  <c r="J49" i="4"/>
  <c r="Y48" i="4"/>
  <c r="T48" i="4"/>
  <c r="N48" i="4"/>
  <c r="M48" i="4"/>
  <c r="K48" i="4"/>
  <c r="L48" i="4" s="1"/>
  <c r="J48" i="4"/>
  <c r="Y47" i="4"/>
  <c r="U47" i="4"/>
  <c r="N47" i="4"/>
  <c r="M47" i="4"/>
  <c r="K47" i="4"/>
  <c r="L47" i="4" s="1"/>
  <c r="J47" i="4"/>
  <c r="Y46" i="4"/>
  <c r="T46" i="4"/>
  <c r="N46" i="4"/>
  <c r="M46" i="4"/>
  <c r="K46" i="4"/>
  <c r="L46" i="4" s="1"/>
  <c r="J46" i="4"/>
  <c r="Y45" i="4"/>
  <c r="T45" i="4"/>
  <c r="N45" i="4"/>
  <c r="M45" i="4"/>
  <c r="K45" i="4"/>
  <c r="L45" i="4" s="1"/>
  <c r="J45" i="4"/>
  <c r="Y44" i="4"/>
  <c r="T44" i="4"/>
  <c r="N44" i="4"/>
  <c r="M44" i="4"/>
  <c r="K44" i="4"/>
  <c r="L44" i="4" s="1"/>
  <c r="J44" i="4"/>
  <c r="Y43" i="4"/>
  <c r="U43" i="4"/>
  <c r="N43" i="4"/>
  <c r="M43" i="4"/>
  <c r="K43" i="4"/>
  <c r="L43" i="4" s="1"/>
  <c r="J43" i="4"/>
  <c r="Y42" i="4"/>
  <c r="T42" i="4"/>
  <c r="N42" i="4"/>
  <c r="M42" i="4"/>
  <c r="K42" i="4"/>
  <c r="L42" i="4" s="1"/>
  <c r="J42" i="4"/>
  <c r="A4303" i="22" s="1"/>
  <c r="Y41" i="4"/>
  <c r="T41" i="4"/>
  <c r="N41" i="4"/>
  <c r="M41" i="4"/>
  <c r="K41" i="4"/>
  <c r="L41" i="4" s="1"/>
  <c r="J41" i="4"/>
  <c r="A4302" i="22" s="1"/>
  <c r="Y40" i="4"/>
  <c r="U40" i="4"/>
  <c r="N40" i="4"/>
  <c r="M40" i="4"/>
  <c r="K40" i="4"/>
  <c r="L40" i="4" s="1"/>
  <c r="J40" i="4"/>
  <c r="A4301" i="22" s="1"/>
  <c r="Y39" i="4"/>
  <c r="T39" i="4"/>
  <c r="N39" i="4"/>
  <c r="M39" i="4"/>
  <c r="K39" i="4"/>
  <c r="L39" i="4" s="1"/>
  <c r="J39" i="4"/>
  <c r="A4300" i="22" s="1"/>
  <c r="Y38" i="4"/>
  <c r="T38" i="4"/>
  <c r="N38" i="4"/>
  <c r="M38" i="4"/>
  <c r="K38" i="4"/>
  <c r="L38" i="4" s="1"/>
  <c r="J38" i="4"/>
  <c r="A4299" i="22" s="1"/>
  <c r="Y37" i="4"/>
  <c r="U37" i="4"/>
  <c r="N37" i="4"/>
  <c r="M37" i="4"/>
  <c r="K37" i="4"/>
  <c r="L37" i="4" s="1"/>
  <c r="J37" i="4"/>
  <c r="A4298" i="22" s="1"/>
  <c r="Y36" i="4"/>
  <c r="T36" i="4"/>
  <c r="N36" i="4"/>
  <c r="M36" i="4"/>
  <c r="K36" i="4"/>
  <c r="L36" i="4" s="1"/>
  <c r="J36" i="4"/>
  <c r="A4297" i="22" s="1"/>
  <c r="Y35" i="4"/>
  <c r="T35" i="4"/>
  <c r="N35" i="4"/>
  <c r="M35" i="4"/>
  <c r="K35" i="4"/>
  <c r="L35" i="4" s="1"/>
  <c r="J35" i="4"/>
  <c r="A4296" i="22" s="1"/>
  <c r="Y34" i="4"/>
  <c r="T34" i="4"/>
  <c r="N34" i="4"/>
  <c r="M34" i="4"/>
  <c r="K34" i="4"/>
  <c r="L34" i="4" s="1"/>
  <c r="J34" i="4"/>
  <c r="A4295" i="22" s="1"/>
  <c r="Y33" i="4"/>
  <c r="U33" i="4"/>
  <c r="N33" i="4"/>
  <c r="M33" i="4"/>
  <c r="K33" i="4"/>
  <c r="L33" i="4" s="1"/>
  <c r="J33" i="4"/>
  <c r="A4294" i="22" s="1"/>
  <c r="Y32" i="4"/>
  <c r="T32" i="4"/>
  <c r="N32" i="4"/>
  <c r="M32" i="4"/>
  <c r="K32" i="4"/>
  <c r="L32" i="4" s="1"/>
  <c r="J32" i="4"/>
  <c r="A4293" i="22" s="1"/>
  <c r="Y31" i="4"/>
  <c r="T31" i="4"/>
  <c r="N31" i="4"/>
  <c r="M31" i="4"/>
  <c r="K31" i="4"/>
  <c r="L31" i="4" s="1"/>
  <c r="J31" i="4"/>
  <c r="A4292" i="22" s="1"/>
  <c r="Y30" i="4"/>
  <c r="U30" i="4"/>
  <c r="N30" i="4"/>
  <c r="M30" i="4"/>
  <c r="K30" i="4"/>
  <c r="L30" i="4" s="1"/>
  <c r="J30" i="4"/>
  <c r="A4291" i="22" s="1"/>
  <c r="Y29" i="4"/>
  <c r="T29" i="4"/>
  <c r="N29" i="4"/>
  <c r="M29" i="4"/>
  <c r="K29" i="4"/>
  <c r="L29" i="4" s="1"/>
  <c r="J29" i="4"/>
  <c r="A4290" i="22" s="1"/>
  <c r="Y28" i="4"/>
  <c r="T28" i="4"/>
  <c r="N28" i="4"/>
  <c r="M28" i="4"/>
  <c r="K28" i="4"/>
  <c r="L28" i="4" s="1"/>
  <c r="J28" i="4"/>
  <c r="A4289" i="22" s="1"/>
  <c r="Y27" i="4"/>
  <c r="T27" i="4"/>
  <c r="N27" i="4"/>
  <c r="M27" i="4"/>
  <c r="K27" i="4"/>
  <c r="L27" i="4" s="1"/>
  <c r="J27" i="4"/>
  <c r="A4288" i="22" s="1"/>
  <c r="Y26" i="4"/>
  <c r="U26" i="4"/>
  <c r="N26" i="4"/>
  <c r="M26" i="4"/>
  <c r="K26" i="4"/>
  <c r="L26" i="4" s="1"/>
  <c r="J26" i="4"/>
  <c r="A4287" i="22" s="1"/>
  <c r="Y25" i="4"/>
  <c r="T25" i="4"/>
  <c r="N25" i="4"/>
  <c r="M25" i="4"/>
  <c r="K25" i="4"/>
  <c r="L25" i="4" s="1"/>
  <c r="J25" i="4"/>
  <c r="A4286" i="22" s="1"/>
  <c r="Y24" i="4"/>
  <c r="T24" i="4"/>
  <c r="N24" i="4"/>
  <c r="M24" i="4"/>
  <c r="K24" i="4"/>
  <c r="L24" i="4" s="1"/>
  <c r="J24" i="4"/>
  <c r="A4285" i="22" s="1"/>
  <c r="Y23" i="4"/>
  <c r="T23" i="4"/>
  <c r="N23" i="4"/>
  <c r="M23" i="4"/>
  <c r="K23" i="4"/>
  <c r="L23" i="4" s="1"/>
  <c r="J23" i="4"/>
  <c r="A4284" i="22" s="1"/>
  <c r="Y22" i="4"/>
  <c r="U22" i="4"/>
  <c r="N22" i="4"/>
  <c r="M22" i="4"/>
  <c r="K22" i="4"/>
  <c r="L22" i="4" s="1"/>
  <c r="J22" i="4"/>
  <c r="A4283" i="22" s="1"/>
  <c r="Y21" i="4"/>
  <c r="T21" i="4"/>
  <c r="N21" i="4"/>
  <c r="M21" i="4"/>
  <c r="K21" i="4"/>
  <c r="L21" i="4" s="1"/>
  <c r="J21" i="4"/>
  <c r="A4282" i="22" s="1"/>
  <c r="Y20" i="4"/>
  <c r="T20" i="4"/>
  <c r="N20" i="4"/>
  <c r="M20" i="4"/>
  <c r="K20" i="4"/>
  <c r="L20" i="4" s="1"/>
  <c r="J20" i="4"/>
  <c r="A4281" i="22" s="1"/>
  <c r="Y19" i="4"/>
  <c r="U19" i="4"/>
  <c r="N19" i="4"/>
  <c r="M19" i="4"/>
  <c r="K19" i="4"/>
  <c r="L19" i="4" s="1"/>
  <c r="J19" i="4"/>
  <c r="A4280" i="22" s="1"/>
  <c r="Y18" i="4"/>
  <c r="T18" i="4"/>
  <c r="N18" i="4"/>
  <c r="M18" i="4"/>
  <c r="K18" i="4"/>
  <c r="L18" i="4" s="1"/>
  <c r="J18" i="4"/>
  <c r="A4279" i="22" s="1"/>
  <c r="Y17" i="4"/>
  <c r="U17" i="4"/>
  <c r="N17" i="4"/>
  <c r="M17" i="4"/>
  <c r="K17" i="4"/>
  <c r="L17" i="4" s="1"/>
  <c r="J17" i="4"/>
  <c r="A4278" i="22" s="1"/>
  <c r="Y16" i="4"/>
  <c r="T16" i="4"/>
  <c r="N16" i="4"/>
  <c r="M16" i="4"/>
  <c r="K16" i="4"/>
  <c r="L16" i="4" s="1"/>
  <c r="J16" i="4"/>
  <c r="A4277" i="22" s="1"/>
  <c r="Y15" i="4"/>
  <c r="T15" i="4"/>
  <c r="N15" i="4"/>
  <c r="M15" i="4"/>
  <c r="K15" i="4"/>
  <c r="L15" i="4" s="1"/>
  <c r="J15" i="4"/>
  <c r="A4276" i="22" s="1"/>
  <c r="Y14" i="4"/>
  <c r="U14" i="4"/>
  <c r="N14" i="4"/>
  <c r="M14" i="4"/>
  <c r="K14" i="4"/>
  <c r="L14" i="4" s="1"/>
  <c r="J14" i="4"/>
  <c r="A4275" i="22" s="1"/>
  <c r="Y13" i="4"/>
  <c r="T13" i="4"/>
  <c r="N13" i="4"/>
  <c r="M13" i="4"/>
  <c r="K13" i="4"/>
  <c r="L13" i="4" s="1"/>
  <c r="J13" i="4"/>
  <c r="A4274" i="22" s="1"/>
  <c r="Y12" i="4"/>
  <c r="U12" i="4"/>
  <c r="N12" i="4"/>
  <c r="M12" i="4"/>
  <c r="K12" i="4"/>
  <c r="L12" i="4" s="1"/>
  <c r="J12" i="4"/>
  <c r="A4273" i="22" s="1"/>
  <c r="Y11" i="4"/>
  <c r="T11" i="4"/>
  <c r="N11" i="4"/>
  <c r="M11" i="4"/>
  <c r="K11" i="4"/>
  <c r="L11" i="4" s="1"/>
  <c r="J11" i="4"/>
  <c r="A4272" i="22" s="1"/>
  <c r="Y10" i="4"/>
  <c r="U10" i="4"/>
  <c r="T10" i="4"/>
  <c r="N10" i="4"/>
  <c r="M10" i="4"/>
  <c r="K10" i="4"/>
  <c r="L10" i="4" s="1"/>
  <c r="J10" i="4"/>
  <c r="A4271" i="22" s="1"/>
  <c r="Y9" i="4"/>
  <c r="U9" i="4"/>
  <c r="N9" i="4"/>
  <c r="M9" i="4"/>
  <c r="K9" i="4"/>
  <c r="L9" i="4" s="1"/>
  <c r="J9" i="4"/>
  <c r="A4270" i="22" s="1"/>
  <c r="Y8" i="4"/>
  <c r="T8" i="4"/>
  <c r="N8" i="4"/>
  <c r="M8" i="4"/>
  <c r="K8" i="4"/>
  <c r="L8" i="4" s="1"/>
  <c r="J8" i="4"/>
  <c r="A4269" i="22" s="1"/>
  <c r="Y7" i="4"/>
  <c r="T7" i="4"/>
  <c r="N7" i="4"/>
  <c r="M7" i="4"/>
  <c r="K7" i="4"/>
  <c r="J7" i="4"/>
  <c r="A4268" i="22" s="1"/>
  <c r="K3" i="4"/>
  <c r="I3" i="4"/>
  <c r="G3" i="4"/>
  <c r="E3" i="4"/>
  <c r="C3" i="4"/>
  <c r="N108" i="3"/>
  <c r="N107" i="3"/>
  <c r="N106" i="3"/>
  <c r="N105" i="3"/>
  <c r="N104" i="3"/>
  <c r="N103" i="3"/>
  <c r="N102" i="3"/>
  <c r="N101" i="3"/>
  <c r="N100" i="3"/>
  <c r="N99" i="3"/>
  <c r="N98" i="3"/>
  <c r="N97" i="3"/>
  <c r="N96" i="3"/>
  <c r="N95" i="3"/>
  <c r="N94" i="3"/>
  <c r="N93" i="3"/>
  <c r="N92" i="3"/>
  <c r="N91" i="3"/>
  <c r="N90" i="3"/>
  <c r="N89" i="3"/>
  <c r="N88" i="3"/>
  <c r="N87" i="3"/>
  <c r="N86" i="3"/>
  <c r="N85" i="3"/>
  <c r="E43" i="19" s="1"/>
  <c r="G43" i="19" s="1"/>
  <c r="T80" i="3"/>
  <c r="T79" i="3"/>
  <c r="T78" i="3"/>
  <c r="T77" i="3"/>
  <c r="T76" i="3"/>
  <c r="A3532" i="22" s="1"/>
  <c r="T75" i="3"/>
  <c r="T74" i="3"/>
  <c r="T73" i="3"/>
  <c r="T72" i="3"/>
  <c r="T71" i="3"/>
  <c r="T70" i="3"/>
  <c r="A3208" i="22" s="1"/>
  <c r="T69" i="3"/>
  <c r="A3154" i="22" s="1"/>
  <c r="T68" i="3"/>
  <c r="A3100" i="22" s="1"/>
  <c r="T67" i="3"/>
  <c r="A3046" i="22" s="1"/>
  <c r="T66" i="3"/>
  <c r="A2992" i="22" s="1"/>
  <c r="T65" i="3"/>
  <c r="A2938" i="22" s="1"/>
  <c r="T64" i="3"/>
  <c r="T63" i="3"/>
  <c r="T62" i="3"/>
  <c r="T61" i="3"/>
  <c r="T60" i="3"/>
  <c r="A2668" i="22" s="1"/>
  <c r="T59" i="3"/>
  <c r="A2614" i="22" s="1"/>
  <c r="T58" i="3"/>
  <c r="T57" i="3"/>
  <c r="T56" i="3"/>
  <c r="T55" i="3"/>
  <c r="A2398" i="22" s="1"/>
  <c r="T54" i="3"/>
  <c r="A2344" i="22" s="1"/>
  <c r="T53" i="3"/>
  <c r="A2290" i="22" s="1"/>
  <c r="T52" i="3"/>
  <c r="T51" i="3"/>
  <c r="T50" i="3"/>
  <c r="T49" i="3"/>
  <c r="A2074" i="22" s="1"/>
  <c r="T48" i="3"/>
  <c r="A2020" i="22" s="1"/>
  <c r="T47" i="3"/>
  <c r="A1966" i="22" s="1"/>
  <c r="T46" i="3"/>
  <c r="T45" i="3"/>
  <c r="T44" i="3"/>
  <c r="T43" i="3"/>
  <c r="A1750" i="22" s="1"/>
  <c r="T42" i="3"/>
  <c r="A1696" i="22" s="1"/>
  <c r="T41" i="3"/>
  <c r="T40" i="3"/>
  <c r="T39" i="3"/>
  <c r="T38" i="3"/>
  <c r="T37" i="3"/>
  <c r="A1426" i="22" s="1"/>
  <c r="T36" i="3"/>
  <c r="A1372" i="22" s="1"/>
  <c r="T35" i="3"/>
  <c r="T34" i="3"/>
  <c r="T33" i="3"/>
  <c r="T32" i="3"/>
  <c r="A1156" i="22" s="1"/>
  <c r="T31" i="3"/>
  <c r="A1102" i="22" s="1"/>
  <c r="T30" i="3"/>
  <c r="A1048" i="22" s="1"/>
  <c r="T29" i="3"/>
  <c r="T28" i="3"/>
  <c r="T27" i="3"/>
  <c r="T26" i="3"/>
  <c r="T25" i="3"/>
  <c r="T24" i="3"/>
  <c r="A724" i="22" s="1"/>
  <c r="T23" i="3"/>
  <c r="T22" i="3"/>
  <c r="T21" i="3"/>
  <c r="T20" i="3"/>
  <c r="T19" i="3"/>
  <c r="A454" i="22" s="1"/>
  <c r="T18" i="3"/>
  <c r="T17" i="3"/>
  <c r="T16" i="3"/>
  <c r="T15" i="3"/>
  <c r="A238" i="22" s="1"/>
  <c r="T14" i="3"/>
  <c r="A184" i="22" s="1"/>
  <c r="T13" i="3"/>
  <c r="A130" i="22" s="1"/>
  <c r="T12" i="3"/>
  <c r="M3" i="3"/>
  <c r="K3" i="3"/>
  <c r="I3" i="3"/>
  <c r="G3" i="3"/>
  <c r="E3" i="3"/>
  <c r="C3" i="3"/>
  <c r="F34" i="2"/>
  <c r="F33" i="2"/>
  <c r="C33" i="2"/>
  <c r="F28" i="2"/>
  <c r="I24" i="2"/>
  <c r="I25" i="2" s="1"/>
  <c r="D23" i="2"/>
  <c r="C23" i="2"/>
  <c r="N18" i="2"/>
  <c r="L18" i="2"/>
  <c r="J18" i="2"/>
  <c r="H18" i="2"/>
  <c r="F18" i="2"/>
  <c r="D18" i="2"/>
  <c r="B18" i="2"/>
  <c r="B10" i="2"/>
  <c r="F8" i="2"/>
  <c r="F6" i="2"/>
  <c r="U4" i="2"/>
  <c r="T4" i="2"/>
  <c r="S4" i="2"/>
  <c r="R4" i="2"/>
  <c r="Q4" i="2"/>
  <c r="P4" i="2"/>
  <c r="O4" i="2"/>
  <c r="N4" i="2"/>
  <c r="M4" i="2"/>
  <c r="L4" i="2"/>
  <c r="K4" i="2"/>
  <c r="J4" i="2"/>
  <c r="I4" i="2"/>
  <c r="H4" i="2"/>
  <c r="G4" i="2"/>
  <c r="F4" i="2"/>
  <c r="E4" i="2"/>
  <c r="D4" i="2"/>
  <c r="C4" i="2"/>
  <c r="B24" i="1"/>
  <c r="B23" i="1"/>
  <c r="B22" i="1"/>
  <c r="B21" i="1"/>
  <c r="B20" i="1"/>
  <c r="B19" i="1"/>
  <c r="B18" i="1"/>
  <c r="B17" i="1"/>
  <c r="B16" i="1"/>
  <c r="B15" i="1"/>
  <c r="B14" i="1"/>
  <c r="B13" i="1"/>
  <c r="B12" i="1"/>
  <c r="B11" i="1"/>
  <c r="B10" i="1"/>
  <c r="B9" i="1"/>
  <c r="B8" i="1"/>
  <c r="B7" i="1"/>
  <c r="B6" i="1"/>
  <c r="P10" i="21" l="1"/>
  <c r="H3749" i="22"/>
  <c r="K3749" i="22" s="1"/>
  <c r="H3695" i="22"/>
  <c r="K3695" i="22" s="1"/>
  <c r="H3641" i="22"/>
  <c r="K3641" i="22" s="1"/>
  <c r="H3587" i="22"/>
  <c r="K3587" i="22" s="1"/>
  <c r="H3533" i="22"/>
  <c r="K3533" i="22" s="1"/>
  <c r="H3479" i="22"/>
  <c r="H3425" i="22"/>
  <c r="H3371" i="22"/>
  <c r="H3317" i="22"/>
  <c r="H3263" i="22"/>
  <c r="K3263" i="22" s="1"/>
  <c r="H3209" i="22"/>
  <c r="K3209" i="22" s="1"/>
  <c r="H3155" i="22"/>
  <c r="K3155" i="22" s="1"/>
  <c r="H3101" i="22"/>
  <c r="K3101" i="22" s="1"/>
  <c r="H3047" i="22"/>
  <c r="K3047" i="22" s="1"/>
  <c r="H2993" i="22"/>
  <c r="K2993" i="22" s="1"/>
  <c r="H2939" i="22"/>
  <c r="K2939" i="22" s="1"/>
  <c r="H2885" i="22"/>
  <c r="P19" i="21"/>
  <c r="P12" i="21"/>
  <c r="H2831" i="22"/>
  <c r="K2831" i="22" s="1"/>
  <c r="H2777" i="22"/>
  <c r="H2723" i="22"/>
  <c r="K2723" i="22" s="1"/>
  <c r="H2669" i="22"/>
  <c r="H2615" i="22"/>
  <c r="H2561" i="22"/>
  <c r="H2507" i="22"/>
  <c r="H2453" i="22"/>
  <c r="H2399" i="22"/>
  <c r="H2345" i="22"/>
  <c r="H2291" i="22"/>
  <c r="K2291" i="22" s="1"/>
  <c r="H2237" i="22"/>
  <c r="K2237" i="22" s="1"/>
  <c r="H2183" i="22"/>
  <c r="K2183" i="22" s="1"/>
  <c r="H2129" i="22"/>
  <c r="K2129" i="22" s="1"/>
  <c r="H2075" i="22"/>
  <c r="K2075" i="22" s="1"/>
  <c r="H2021" i="22"/>
  <c r="K2021" i="22" s="1"/>
  <c r="H1967" i="22"/>
  <c r="K1967" i="22" s="1"/>
  <c r="H1913" i="22"/>
  <c r="K1913" i="22" s="1"/>
  <c r="H1157" i="22"/>
  <c r="H1103" i="22"/>
  <c r="H1049" i="22"/>
  <c r="N24" i="21"/>
  <c r="P20" i="21"/>
  <c r="P17" i="21"/>
  <c r="H1805" i="22"/>
  <c r="H1751" i="22"/>
  <c r="H1697" i="22"/>
  <c r="H1643" i="22"/>
  <c r="H1589" i="22"/>
  <c r="H1535" i="22"/>
  <c r="H1481" i="22"/>
  <c r="H1427" i="22"/>
  <c r="H1373" i="22"/>
  <c r="H1319" i="22"/>
  <c r="H1265" i="22"/>
  <c r="H1211" i="22"/>
  <c r="P21" i="21"/>
  <c r="P18" i="21"/>
  <c r="P15" i="21"/>
  <c r="P13" i="21"/>
  <c r="H995" i="22"/>
  <c r="H941" i="22"/>
  <c r="H887" i="22"/>
  <c r="H833" i="22"/>
  <c r="H779" i="22"/>
  <c r="K779" i="22" s="1"/>
  <c r="H725" i="22"/>
  <c r="H671" i="22"/>
  <c r="H617" i="22"/>
  <c r="K617" i="22" s="1"/>
  <c r="H563" i="22"/>
  <c r="K563" i="22" s="1"/>
  <c r="H509" i="22"/>
  <c r="K509" i="22" s="1"/>
  <c r="H455" i="22"/>
  <c r="H401" i="22"/>
  <c r="K401" i="22" s="1"/>
  <c r="H293" i="22"/>
  <c r="H239" i="22"/>
  <c r="H185" i="22"/>
  <c r="H131" i="22"/>
  <c r="P23" i="21"/>
  <c r="P14" i="21"/>
  <c r="H77" i="22"/>
  <c r="P16" i="21"/>
  <c r="AG27" i="22"/>
  <c r="CN27" i="22"/>
  <c r="B34" i="8"/>
  <c r="N45" i="21"/>
  <c r="P22" i="21"/>
  <c r="P11" i="21"/>
  <c r="P7" i="21"/>
  <c r="P6" i="21"/>
  <c r="P5" i="21"/>
  <c r="P4" i="21"/>
  <c r="G50" i="19"/>
  <c r="G41" i="19"/>
  <c r="G39" i="19"/>
  <c r="G38" i="19"/>
  <c r="G37" i="19"/>
  <c r="G36" i="19"/>
  <c r="G32" i="19"/>
  <c r="T3516" i="22"/>
  <c r="S3516" i="22"/>
  <c r="T3515" i="22"/>
  <c r="S3515" i="22"/>
  <c r="S3518" i="22"/>
  <c r="T3517" i="22"/>
  <c r="S3517" i="22"/>
  <c r="K67" i="22"/>
  <c r="AD67" i="22" s="1"/>
  <c r="L67" i="22"/>
  <c r="AI67" i="22" s="1"/>
  <c r="AK67" i="22"/>
  <c r="AL67" i="22"/>
  <c r="T3528" i="22"/>
  <c r="S3528" i="22"/>
  <c r="T3527" i="22"/>
  <c r="S3527" i="22"/>
  <c r="T3526" i="22"/>
  <c r="S3526" i="22"/>
  <c r="T3525" i="22"/>
  <c r="S3525" i="22"/>
  <c r="T3524" i="22"/>
  <c r="S3524" i="22"/>
  <c r="T3523" i="22"/>
  <c r="S3523" i="22"/>
  <c r="T3522" i="22"/>
  <c r="S3522" i="22"/>
  <c r="T3521" i="22"/>
  <c r="S3521" i="22"/>
  <c r="T3520" i="22"/>
  <c r="S3520" i="22"/>
  <c r="T3519" i="22"/>
  <c r="S3519" i="22"/>
  <c r="T3518" i="22"/>
  <c r="T2896" i="22"/>
  <c r="S2896" i="22"/>
  <c r="AL56" i="22"/>
  <c r="AK56" i="22"/>
  <c r="T2934" i="22"/>
  <c r="S2934" i="22"/>
  <c r="T2933" i="22"/>
  <c r="S2933" i="22"/>
  <c r="T2932" i="22"/>
  <c r="S2932" i="22"/>
  <c r="T2931" i="22"/>
  <c r="S2931" i="22"/>
  <c r="T2930" i="22"/>
  <c r="S2930" i="22"/>
  <c r="T2929" i="22"/>
  <c r="S2929" i="22"/>
  <c r="T2928" i="22"/>
  <c r="S2928" i="22"/>
  <c r="T2927" i="22"/>
  <c r="S2927" i="22"/>
  <c r="T2926" i="22"/>
  <c r="S2926" i="22"/>
  <c r="T2925" i="22"/>
  <c r="S2925" i="22"/>
  <c r="T2924" i="22"/>
  <c r="S2924" i="22"/>
  <c r="T2923" i="22"/>
  <c r="S2923" i="22"/>
  <c r="T2922" i="22"/>
  <c r="S2922" i="22"/>
  <c r="T2921" i="22"/>
  <c r="S2921" i="22"/>
  <c r="S2920" i="22"/>
  <c r="T2919" i="22"/>
  <c r="S2919" i="22"/>
  <c r="T2918" i="22"/>
  <c r="S2918" i="22"/>
  <c r="T2917" i="22"/>
  <c r="S2917" i="22"/>
  <c r="T2916" i="22"/>
  <c r="S2916" i="22"/>
  <c r="T2915" i="22"/>
  <c r="S2915" i="22"/>
  <c r="T2914" i="22"/>
  <c r="T2920" i="22"/>
  <c r="S2914" i="22"/>
  <c r="T2913" i="22"/>
  <c r="S2913" i="22"/>
  <c r="T2912" i="22"/>
  <c r="S2912" i="22"/>
  <c r="T2911" i="22"/>
  <c r="S2911" i="22"/>
  <c r="T2910" i="22"/>
  <c r="S2910" i="22"/>
  <c r="T2909" i="22"/>
  <c r="S2909" i="22"/>
  <c r="T2908" i="22"/>
  <c r="S2908" i="22"/>
  <c r="T2907" i="22"/>
  <c r="S2907" i="22"/>
  <c r="T2906" i="22"/>
  <c r="S2906" i="22"/>
  <c r="T2905" i="22"/>
  <c r="S2905" i="22"/>
  <c r="T2904" i="22"/>
  <c r="S2904" i="22"/>
  <c r="T2903" i="22"/>
  <c r="S2903" i="22"/>
  <c r="T2902" i="22"/>
  <c r="S2902" i="22"/>
  <c r="T2901" i="22"/>
  <c r="S2901" i="22"/>
  <c r="T2900" i="22"/>
  <c r="S2900" i="22"/>
  <c r="T2899" i="22"/>
  <c r="S2899" i="22"/>
  <c r="T2898" i="22"/>
  <c r="S2898" i="22"/>
  <c r="T2897" i="22"/>
  <c r="S2897" i="22"/>
  <c r="T2597" i="22"/>
  <c r="T2603" i="22"/>
  <c r="S2603" i="22"/>
  <c r="T2602" i="22"/>
  <c r="S2602" i="22"/>
  <c r="T2601" i="22"/>
  <c r="S2601" i="22"/>
  <c r="T2600" i="22"/>
  <c r="T2589" i="22"/>
  <c r="S2600" i="22"/>
  <c r="T2599" i="22"/>
  <c r="T2587" i="22"/>
  <c r="S2599" i="22"/>
  <c r="T2598" i="22"/>
  <c r="S2598" i="22"/>
  <c r="S2584" i="22"/>
  <c r="T2584" i="22"/>
  <c r="S2585" i="22"/>
  <c r="T2585" i="22"/>
  <c r="S2586" i="22"/>
  <c r="T2586" i="22"/>
  <c r="S2587" i="22"/>
  <c r="S2588" i="22"/>
  <c r="T2588" i="22"/>
  <c r="S2589" i="22"/>
  <c r="S2597" i="22"/>
  <c r="T2596" i="22"/>
  <c r="S2596" i="22"/>
  <c r="T2595" i="22"/>
  <c r="S2595" i="22"/>
  <c r="S2590" i="22"/>
  <c r="T2594" i="22"/>
  <c r="S2594" i="22"/>
  <c r="T2593" i="22"/>
  <c r="S2593" i="22"/>
  <c r="T2592" i="22"/>
  <c r="S2592" i="22"/>
  <c r="T2591" i="22"/>
  <c r="S2591" i="22"/>
  <c r="T2590" i="22"/>
  <c r="T2610" i="22"/>
  <c r="S2610" i="22"/>
  <c r="T2609" i="22"/>
  <c r="S2609" i="22"/>
  <c r="T2608" i="22"/>
  <c r="S2608" i="22"/>
  <c r="T2607" i="22"/>
  <c r="S2607" i="22"/>
  <c r="T2606" i="22"/>
  <c r="S2606" i="22"/>
  <c r="T2605" i="22"/>
  <c r="S2605" i="22"/>
  <c r="T2604" i="22"/>
  <c r="S2604" i="22"/>
  <c r="T2280" i="22"/>
  <c r="S2281" i="22"/>
  <c r="T2281" i="22"/>
  <c r="S2282" i="22"/>
  <c r="T2282" i="22"/>
  <c r="S2283" i="22"/>
  <c r="T2283" i="22"/>
  <c r="S2284" i="22"/>
  <c r="T2284" i="22"/>
  <c r="S2285" i="22"/>
  <c r="S2286" i="22"/>
  <c r="T2286" i="22"/>
  <c r="S2280" i="22"/>
  <c r="T2279" i="22"/>
  <c r="S2279" i="22"/>
  <c r="T2278" i="22"/>
  <c r="S2278" i="22"/>
  <c r="T2277" i="22"/>
  <c r="S2277" i="22"/>
  <c r="T2276" i="22"/>
  <c r="S2276" i="22"/>
  <c r="T2275" i="22"/>
  <c r="S2275" i="22"/>
  <c r="T2274" i="22"/>
  <c r="S2274" i="22"/>
  <c r="T2273" i="22"/>
  <c r="S2273" i="22"/>
  <c r="T2285" i="22"/>
  <c r="S1962" i="22"/>
  <c r="T1961" i="22"/>
  <c r="S1961" i="22"/>
  <c r="T1962" i="22"/>
  <c r="AL37" i="22"/>
  <c r="AK37" i="22"/>
  <c r="S1666" i="22"/>
  <c r="T1666" i="22"/>
  <c r="S1667" i="22"/>
  <c r="T1667" i="22"/>
  <c r="S1668" i="22"/>
  <c r="T1668" i="22"/>
  <c r="S1669" i="22"/>
  <c r="T1669" i="22"/>
  <c r="S1670" i="22"/>
  <c r="T1670" i="22"/>
  <c r="S1671" i="22"/>
  <c r="T1671" i="22"/>
  <c r="S1672" i="22"/>
  <c r="S1673" i="22"/>
  <c r="T1673" i="22"/>
  <c r="S1674" i="22"/>
  <c r="T1674" i="22"/>
  <c r="S1675" i="22"/>
  <c r="T1675" i="22"/>
  <c r="S1676" i="22"/>
  <c r="T1676" i="22"/>
  <c r="S1677" i="22"/>
  <c r="S1691" i="22"/>
  <c r="T1677" i="22"/>
  <c r="S1678" i="22"/>
  <c r="T1678" i="22"/>
  <c r="S1679" i="22"/>
  <c r="T1679" i="22"/>
  <c r="S1680" i="22"/>
  <c r="T1680" i="22"/>
  <c r="S1681" i="22"/>
  <c r="T1681" i="22"/>
  <c r="S1663" i="22"/>
  <c r="T1672" i="22"/>
  <c r="T1686" i="22"/>
  <c r="S1687" i="22"/>
  <c r="T1687" i="22"/>
  <c r="T1656" i="22"/>
  <c r="S1654" i="22"/>
  <c r="T1654" i="22"/>
  <c r="S1655" i="22"/>
  <c r="T1655" i="22"/>
  <c r="S1656" i="22"/>
  <c r="S1657" i="22"/>
  <c r="T1657" i="22"/>
  <c r="S1658" i="22"/>
  <c r="T1658" i="22"/>
  <c r="S1659" i="22"/>
  <c r="T1659" i="22"/>
  <c r="S1660" i="22"/>
  <c r="T1660" i="22"/>
  <c r="S1661" i="22"/>
  <c r="S1688" i="22"/>
  <c r="T1688" i="22"/>
  <c r="S1689" i="22"/>
  <c r="T1661" i="22"/>
  <c r="S1662" i="22"/>
  <c r="T1662" i="22"/>
  <c r="T1663" i="22"/>
  <c r="T1689" i="22"/>
  <c r="S1690" i="22"/>
  <c r="T1690" i="22"/>
  <c r="T1692" i="22"/>
  <c r="S1692" i="22"/>
  <c r="T1691" i="22"/>
  <c r="S1685" i="22"/>
  <c r="T1684" i="22"/>
  <c r="S1684" i="22"/>
  <c r="T1683" i="22"/>
  <c r="S1683" i="22"/>
  <c r="T1682" i="22"/>
  <c r="S1682" i="22"/>
  <c r="T1685" i="22"/>
  <c r="S1686" i="22"/>
  <c r="S1664" i="22"/>
  <c r="T1664" i="22"/>
  <c r="S1665" i="22"/>
  <c r="T1665" i="22"/>
  <c r="T1361" i="22"/>
  <c r="S1361" i="22"/>
  <c r="T1360" i="22"/>
  <c r="S1360" i="22"/>
  <c r="T1359" i="22"/>
  <c r="S1359" i="22"/>
  <c r="T1358" i="22"/>
  <c r="S1358" i="22"/>
  <c r="T1357" i="22"/>
  <c r="S1357" i="22"/>
  <c r="T1356" i="22"/>
  <c r="T1367" i="22"/>
  <c r="S1367" i="22"/>
  <c r="T1355" i="22"/>
  <c r="S1355" i="22"/>
  <c r="T1354" i="22"/>
  <c r="S1354" i="22"/>
  <c r="T1353" i="22"/>
  <c r="S1353" i="22"/>
  <c r="T1352" i="22"/>
  <c r="S1352" i="22"/>
  <c r="T1351" i="22"/>
  <c r="S1351" i="22"/>
  <c r="T1350" i="22"/>
  <c r="S1350" i="22"/>
  <c r="T1349" i="22"/>
  <c r="S1349" i="22"/>
  <c r="T1348" i="22"/>
  <c r="S1348" i="22"/>
  <c r="T1347" i="22"/>
  <c r="S1347" i="22"/>
  <c r="T1346" i="22"/>
  <c r="S1346" i="22"/>
  <c r="T1345" i="22"/>
  <c r="S1345" i="22"/>
  <c r="T1344" i="22"/>
  <c r="S1344" i="22"/>
  <c r="T1343" i="22"/>
  <c r="S1343" i="22"/>
  <c r="T1342" i="22"/>
  <c r="S1342" i="22"/>
  <c r="T1366" i="22"/>
  <c r="S1366" i="22"/>
  <c r="T1365" i="22"/>
  <c r="S1365" i="22"/>
  <c r="T1364" i="22"/>
  <c r="S1364" i="22"/>
  <c r="T1363" i="22"/>
  <c r="S1356" i="22"/>
  <c r="T1368" i="22"/>
  <c r="S1363" i="22"/>
  <c r="S1368" i="22"/>
  <c r="T1362" i="22"/>
  <c r="S1362" i="22"/>
  <c r="AL26" i="22"/>
  <c r="AK26" i="22"/>
  <c r="T1034" i="22"/>
  <c r="S1034" i="22"/>
  <c r="T1033" i="22"/>
  <c r="S1033" i="22"/>
  <c r="T1032" i="22"/>
  <c r="S1032" i="22"/>
  <c r="T1031" i="22"/>
  <c r="S1031" i="22"/>
  <c r="T1030" i="22"/>
  <c r="S1030" i="22"/>
  <c r="S719" i="22"/>
  <c r="T720" i="22"/>
  <c r="S720" i="22"/>
  <c r="T719" i="22"/>
  <c r="AL15" i="22"/>
  <c r="AK15" i="22"/>
  <c r="S439" i="22"/>
  <c r="T438" i="22"/>
  <c r="S438" i="22"/>
  <c r="T437" i="22"/>
  <c r="S437" i="22"/>
  <c r="T436" i="22"/>
  <c r="S436" i="22"/>
  <c r="T435" i="22"/>
  <c r="S435" i="22"/>
  <c r="T434" i="22"/>
  <c r="S434" i="22"/>
  <c r="T433" i="22"/>
  <c r="S433" i="22"/>
  <c r="T432" i="22"/>
  <c r="S432" i="22"/>
  <c r="T431" i="22"/>
  <c r="S431" i="22"/>
  <c r="T430" i="22"/>
  <c r="S430" i="22"/>
  <c r="T429" i="22"/>
  <c r="S429" i="22"/>
  <c r="T428" i="22"/>
  <c r="S428" i="22"/>
  <c r="T427" i="22"/>
  <c r="S427" i="22"/>
  <c r="T426" i="22"/>
  <c r="S426" i="22"/>
  <c r="T425" i="22"/>
  <c r="S425" i="22"/>
  <c r="T424" i="22"/>
  <c r="S424" i="22"/>
  <c r="T423" i="22"/>
  <c r="S423" i="22"/>
  <c r="T422" i="22"/>
  <c r="S422" i="22"/>
  <c r="T421" i="22"/>
  <c r="S421" i="22"/>
  <c r="T420" i="22"/>
  <c r="S420" i="22"/>
  <c r="T419" i="22"/>
  <c r="S419" i="22"/>
  <c r="T418" i="22"/>
  <c r="S418" i="22"/>
  <c r="T417" i="22"/>
  <c r="S417" i="22"/>
  <c r="T416" i="22"/>
  <c r="S416" i="22"/>
  <c r="T415" i="22"/>
  <c r="S415" i="22"/>
  <c r="T414" i="22"/>
  <c r="S414" i="22"/>
  <c r="T413" i="22"/>
  <c r="S413" i="22"/>
  <c r="S412" i="22"/>
  <c r="T411" i="22"/>
  <c r="S411" i="22"/>
  <c r="T412" i="22"/>
  <c r="T450" i="22"/>
  <c r="S450" i="22"/>
  <c r="T449" i="22"/>
  <c r="S449" i="22"/>
  <c r="T448" i="22"/>
  <c r="S448" i="22"/>
  <c r="T447" i="22"/>
  <c r="S447" i="22"/>
  <c r="T446" i="22"/>
  <c r="S446" i="22"/>
  <c r="T445" i="22"/>
  <c r="S445" i="22"/>
  <c r="T444" i="22"/>
  <c r="S444" i="22"/>
  <c r="T443" i="22"/>
  <c r="S443" i="22"/>
  <c r="T442" i="22"/>
  <c r="S442" i="22"/>
  <c r="T441" i="22"/>
  <c r="S441" i="22"/>
  <c r="T440" i="22"/>
  <c r="S440" i="22"/>
  <c r="T439" i="22"/>
  <c r="AL10" i="22"/>
  <c r="AK10" i="22"/>
  <c r="T99" i="22"/>
  <c r="T113" i="22"/>
  <c r="S114" i="22"/>
  <c r="T110" i="22"/>
  <c r="T114" i="22"/>
  <c r="S99" i="22"/>
  <c r="S113" i="22"/>
  <c r="S100" i="22"/>
  <c r="T100" i="22"/>
  <c r="S101" i="22"/>
  <c r="T101" i="22"/>
  <c r="S102" i="22"/>
  <c r="S115" i="22"/>
  <c r="T102" i="22"/>
  <c r="S104" i="22"/>
  <c r="T104" i="22"/>
  <c r="S105" i="22"/>
  <c r="T105" i="22"/>
  <c r="S106" i="22"/>
  <c r="S116" i="22"/>
  <c r="T106" i="22"/>
  <c r="S107" i="22"/>
  <c r="S103" i="22"/>
  <c r="T103" i="22"/>
  <c r="T115" i="22"/>
  <c r="T112" i="22"/>
  <c r="T107" i="22"/>
  <c r="S108" i="22"/>
  <c r="S112" i="22"/>
  <c r="T111" i="22"/>
  <c r="S111" i="22"/>
  <c r="T108" i="22"/>
  <c r="S110" i="22"/>
  <c r="T109" i="22"/>
  <c r="S109" i="22"/>
  <c r="N9" i="21"/>
  <c r="N1" i="21"/>
  <c r="P8" i="21"/>
  <c r="P1" i="21"/>
  <c r="A74" i="5"/>
  <c r="C74" i="5"/>
  <c r="B74" i="5"/>
  <c r="A4304" i="22"/>
  <c r="A4305" i="22"/>
  <c r="A4306" i="22"/>
  <c r="A4307" i="22"/>
  <c r="A4308" i="22"/>
  <c r="A4311" i="22"/>
  <c r="A4310" i="22"/>
  <c r="A4309" i="22"/>
  <c r="G1594" i="23"/>
  <c r="B1595" i="23"/>
  <c r="E1594" i="23"/>
  <c r="C1594" i="23"/>
  <c r="D1594" i="23" s="1"/>
  <c r="F1594" i="23"/>
  <c r="C1591" i="23"/>
  <c r="W1591" i="23"/>
  <c r="N1591" i="23"/>
  <c r="H1594" i="23"/>
  <c r="H1595" i="23"/>
  <c r="H1596" i="23"/>
  <c r="H1597" i="23"/>
  <c r="H1598" i="23"/>
  <c r="H1599" i="23"/>
  <c r="H1600" i="23"/>
  <c r="H1601" i="23"/>
  <c r="H1602" i="23"/>
  <c r="H1603" i="23"/>
  <c r="H1604" i="23"/>
  <c r="H1605" i="23"/>
  <c r="H1606" i="23"/>
  <c r="H1607" i="23"/>
  <c r="H1608" i="23"/>
  <c r="H1609" i="23"/>
  <c r="H1610" i="23"/>
  <c r="H1611" i="23"/>
  <c r="H1612" i="23"/>
  <c r="H1613" i="23"/>
  <c r="H1614" i="23"/>
  <c r="H1615" i="23"/>
  <c r="H1616" i="23"/>
  <c r="H1617" i="23"/>
  <c r="H1618" i="23"/>
  <c r="H1619" i="23"/>
  <c r="H1620" i="23"/>
  <c r="H1621" i="23"/>
  <c r="H1622" i="23"/>
  <c r="H1623" i="23"/>
  <c r="H1624" i="23"/>
  <c r="H1625" i="23"/>
  <c r="H1626" i="23"/>
  <c r="H1627" i="23"/>
  <c r="H1628" i="23"/>
  <c r="H1629" i="23"/>
  <c r="H1630" i="23"/>
  <c r="H1631" i="23"/>
  <c r="H1632" i="23"/>
  <c r="H1633" i="23"/>
  <c r="H1634" i="23"/>
  <c r="H1635" i="23"/>
  <c r="H1636" i="23"/>
  <c r="H1637" i="23"/>
  <c r="H1638" i="23"/>
  <c r="H1639" i="23"/>
  <c r="H1640" i="23"/>
  <c r="H1641" i="23"/>
  <c r="B1539" i="23"/>
  <c r="G1538" i="23"/>
  <c r="E1538" i="23"/>
  <c r="C1538" i="23"/>
  <c r="C1482" i="23"/>
  <c r="D1482" i="23" s="1"/>
  <c r="E1482" i="23"/>
  <c r="B1483" i="23"/>
  <c r="G1482" i="23"/>
  <c r="F1482" i="23"/>
  <c r="C1426" i="23"/>
  <c r="D1426" i="23" s="1"/>
  <c r="B1427" i="23"/>
  <c r="E1426" i="23"/>
  <c r="G1426" i="23"/>
  <c r="F1426" i="23"/>
  <c r="E1370" i="23"/>
  <c r="G1370" i="23"/>
  <c r="B1371" i="23"/>
  <c r="C1370" i="23"/>
  <c r="G1314" i="23"/>
  <c r="P1314" i="23" s="1"/>
  <c r="C1314" i="23"/>
  <c r="D1314" i="23" s="1"/>
  <c r="E1314" i="23"/>
  <c r="F1314" i="23"/>
  <c r="B1315" i="23"/>
  <c r="E1258" i="23"/>
  <c r="C1258" i="23"/>
  <c r="G1258" i="23"/>
  <c r="P1258" i="23" s="1"/>
  <c r="B1259" i="23"/>
  <c r="G1202" i="23"/>
  <c r="P1202" i="23" s="1"/>
  <c r="B1203" i="23"/>
  <c r="E1202" i="23"/>
  <c r="C1202" i="23"/>
  <c r="B1147" i="23"/>
  <c r="G1146" i="23"/>
  <c r="E1146" i="23"/>
  <c r="C1146" i="23"/>
  <c r="B1091" i="23"/>
  <c r="G1090" i="23"/>
  <c r="E1090" i="23"/>
  <c r="C1090" i="23"/>
  <c r="C1034" i="23"/>
  <c r="D1034" i="23" s="1"/>
  <c r="E1034" i="23"/>
  <c r="G1034" i="23"/>
  <c r="F1034" i="23"/>
  <c r="B1035" i="23"/>
  <c r="E978" i="23"/>
  <c r="B979" i="23"/>
  <c r="C978" i="23"/>
  <c r="D978" i="23" s="1"/>
  <c r="F978" i="23"/>
  <c r="G978" i="23"/>
  <c r="E922" i="23"/>
  <c r="G922" i="23"/>
  <c r="R922" i="23" s="1"/>
  <c r="B923" i="23"/>
  <c r="C922" i="23"/>
  <c r="G866" i="23"/>
  <c r="E866" i="23"/>
  <c r="C866" i="23"/>
  <c r="B867" i="23"/>
  <c r="E810" i="23"/>
  <c r="B811" i="23"/>
  <c r="G810" i="23"/>
  <c r="C810" i="23"/>
  <c r="B755" i="23"/>
  <c r="G754" i="23"/>
  <c r="C754" i="23"/>
  <c r="E754" i="23"/>
  <c r="G698" i="23"/>
  <c r="E698" i="23"/>
  <c r="C698" i="23"/>
  <c r="D698" i="23" s="1"/>
  <c r="F698" i="23"/>
  <c r="B699" i="23"/>
  <c r="C642" i="23"/>
  <c r="D642" i="23" s="1"/>
  <c r="F642" i="23"/>
  <c r="E642" i="23"/>
  <c r="B643" i="23"/>
  <c r="G642" i="23"/>
  <c r="G586" i="23"/>
  <c r="B587" i="23"/>
  <c r="E586" i="23"/>
  <c r="C586" i="23"/>
  <c r="C530" i="23"/>
  <c r="D530" i="23" s="1"/>
  <c r="E530" i="23"/>
  <c r="F530" i="23"/>
  <c r="B531" i="23"/>
  <c r="G530" i="23"/>
  <c r="G474" i="23"/>
  <c r="E474" i="23"/>
  <c r="B475" i="23"/>
  <c r="C474" i="23"/>
  <c r="G418" i="23"/>
  <c r="E418" i="23"/>
  <c r="C418" i="23"/>
  <c r="D418" i="23" s="1"/>
  <c r="F418" i="23"/>
  <c r="B419" i="23"/>
  <c r="B363" i="23"/>
  <c r="G362" i="23"/>
  <c r="C362" i="23"/>
  <c r="D362" i="23" s="1"/>
  <c r="E362" i="23"/>
  <c r="F362" i="23"/>
  <c r="E306" i="23"/>
  <c r="C306" i="23"/>
  <c r="D306" i="23" s="1"/>
  <c r="G306" i="23"/>
  <c r="P306" i="23" s="1"/>
  <c r="B307" i="23"/>
  <c r="F306" i="23"/>
  <c r="C250" i="23"/>
  <c r="D250" i="23" s="1"/>
  <c r="E250" i="23"/>
  <c r="F250" i="23"/>
  <c r="G250" i="23"/>
  <c r="B251" i="23"/>
  <c r="G243" i="23"/>
  <c r="F243" i="23"/>
  <c r="E243" i="23"/>
  <c r="B243" i="23"/>
  <c r="C243" i="23"/>
  <c r="H243" i="23"/>
  <c r="D243" i="23"/>
  <c r="H242" i="23"/>
  <c r="B242" i="23"/>
  <c r="C242" i="23"/>
  <c r="E242" i="23"/>
  <c r="F242" i="23"/>
  <c r="G242" i="23"/>
  <c r="D242" i="23"/>
  <c r="D241" i="23"/>
  <c r="C241" i="23"/>
  <c r="G241" i="23"/>
  <c r="F241" i="23"/>
  <c r="B241" i="23"/>
  <c r="H241" i="23"/>
  <c r="E241" i="23"/>
  <c r="C240" i="23"/>
  <c r="B240" i="23"/>
  <c r="H240" i="23"/>
  <c r="G240" i="23"/>
  <c r="E240" i="23"/>
  <c r="D240" i="23"/>
  <c r="F240" i="23"/>
  <c r="D239" i="23"/>
  <c r="E239" i="23"/>
  <c r="F239" i="23"/>
  <c r="G239" i="23"/>
  <c r="H239" i="23"/>
  <c r="C239" i="23"/>
  <c r="B239" i="23"/>
  <c r="H238" i="23"/>
  <c r="G238" i="23"/>
  <c r="F238" i="23"/>
  <c r="E238" i="23"/>
  <c r="D238" i="23"/>
  <c r="C238" i="23"/>
  <c r="B238" i="23"/>
  <c r="H237" i="23"/>
  <c r="G237" i="23"/>
  <c r="F237" i="23"/>
  <c r="B237" i="23"/>
  <c r="E237" i="23"/>
  <c r="D237" i="23"/>
  <c r="C237" i="23"/>
  <c r="H236" i="23"/>
  <c r="B236" i="23"/>
  <c r="G236" i="23"/>
  <c r="C236" i="23"/>
  <c r="D236" i="23"/>
  <c r="E236" i="23"/>
  <c r="F236" i="23"/>
  <c r="C235" i="23"/>
  <c r="D235" i="23"/>
  <c r="E235" i="23"/>
  <c r="F235" i="23"/>
  <c r="H235" i="23"/>
  <c r="G235" i="23"/>
  <c r="B235" i="23"/>
  <c r="B234" i="23"/>
  <c r="G234" i="23"/>
  <c r="F234" i="23"/>
  <c r="E234" i="23"/>
  <c r="D234" i="23"/>
  <c r="H234" i="23"/>
  <c r="C234" i="23"/>
  <c r="C233" i="23"/>
  <c r="F233" i="23"/>
  <c r="G233" i="23"/>
  <c r="H233" i="23"/>
  <c r="D233" i="23"/>
  <c r="E233" i="23"/>
  <c r="B233" i="23"/>
  <c r="F232" i="23"/>
  <c r="B232" i="23"/>
  <c r="C232" i="23"/>
  <c r="D232" i="23"/>
  <c r="E232" i="23"/>
  <c r="G232" i="23"/>
  <c r="H232" i="23"/>
  <c r="B231" i="23"/>
  <c r="C231" i="23"/>
  <c r="D231" i="23"/>
  <c r="E231" i="23"/>
  <c r="F231" i="23"/>
  <c r="G231" i="23"/>
  <c r="H231" i="23"/>
  <c r="B230" i="23"/>
  <c r="C230" i="23"/>
  <c r="F230" i="23"/>
  <c r="D230" i="23"/>
  <c r="E230" i="23"/>
  <c r="G230" i="23"/>
  <c r="H230" i="23"/>
  <c r="H229" i="23"/>
  <c r="G229" i="23"/>
  <c r="F229" i="23"/>
  <c r="E229" i="23"/>
  <c r="D229" i="23"/>
  <c r="C229" i="23"/>
  <c r="B229" i="23"/>
  <c r="D228" i="23"/>
  <c r="H228" i="23"/>
  <c r="F228" i="23"/>
  <c r="G228" i="23"/>
  <c r="E228" i="23"/>
  <c r="C228" i="23"/>
  <c r="B228" i="23"/>
  <c r="F227" i="23"/>
  <c r="G227" i="23"/>
  <c r="H227" i="23"/>
  <c r="B227" i="23"/>
  <c r="C227" i="23"/>
  <c r="D227" i="23"/>
  <c r="E227" i="23"/>
  <c r="E226" i="23"/>
  <c r="B226" i="23"/>
  <c r="G226" i="23"/>
  <c r="H226" i="23"/>
  <c r="F226" i="23"/>
  <c r="C226" i="23"/>
  <c r="D226" i="23"/>
  <c r="D225" i="23"/>
  <c r="H225" i="23"/>
  <c r="F225" i="23"/>
  <c r="B225" i="23"/>
  <c r="C225" i="23"/>
  <c r="G225" i="23"/>
  <c r="E225" i="23"/>
  <c r="G224" i="23"/>
  <c r="H224" i="23"/>
  <c r="C224" i="23"/>
  <c r="F224" i="23"/>
  <c r="E224" i="23"/>
  <c r="D224" i="23"/>
  <c r="B224" i="23"/>
  <c r="H223" i="23"/>
  <c r="C223" i="23"/>
  <c r="D223" i="23"/>
  <c r="E223" i="23"/>
  <c r="F223" i="23"/>
  <c r="B223" i="23"/>
  <c r="G223" i="23"/>
  <c r="B222" i="23"/>
  <c r="H222" i="23"/>
  <c r="G222" i="23"/>
  <c r="C222" i="23"/>
  <c r="D222" i="23"/>
  <c r="E222" i="23"/>
  <c r="F222" i="23"/>
  <c r="H221" i="23"/>
  <c r="G221" i="23"/>
  <c r="B221" i="23"/>
  <c r="D221" i="23"/>
  <c r="E221" i="23"/>
  <c r="C221" i="23"/>
  <c r="F221" i="23"/>
  <c r="F220" i="23"/>
  <c r="G220" i="23"/>
  <c r="H220" i="23"/>
  <c r="B220" i="23"/>
  <c r="C220" i="23"/>
  <c r="D220" i="23"/>
  <c r="E220" i="23"/>
  <c r="E219" i="23"/>
  <c r="B219" i="23"/>
  <c r="D219" i="23"/>
  <c r="F219" i="23"/>
  <c r="H219" i="23"/>
  <c r="G219" i="23"/>
  <c r="C219" i="23"/>
  <c r="B218" i="23"/>
  <c r="H218" i="23"/>
  <c r="C218" i="23"/>
  <c r="G218" i="23"/>
  <c r="F218" i="23"/>
  <c r="E218" i="23"/>
  <c r="D218" i="23"/>
  <c r="H217" i="23"/>
  <c r="B217" i="23"/>
  <c r="D217" i="23"/>
  <c r="E217" i="23"/>
  <c r="F217" i="23"/>
  <c r="G217" i="23"/>
  <c r="C217" i="23"/>
  <c r="H216" i="23"/>
  <c r="F216" i="23"/>
  <c r="B216" i="23"/>
  <c r="C216" i="23"/>
  <c r="D216" i="23"/>
  <c r="E216" i="23"/>
  <c r="G216" i="23"/>
  <c r="H215" i="23"/>
  <c r="B215" i="23"/>
  <c r="D215" i="23"/>
  <c r="C215" i="23"/>
  <c r="E215" i="23"/>
  <c r="G215" i="23"/>
  <c r="F215" i="23"/>
  <c r="G214" i="23"/>
  <c r="H214" i="23"/>
  <c r="F214" i="23"/>
  <c r="B214" i="23"/>
  <c r="C214" i="23"/>
  <c r="D214" i="23"/>
  <c r="E214" i="23"/>
  <c r="D213" i="23"/>
  <c r="E213" i="23"/>
  <c r="F213" i="23"/>
  <c r="B213" i="23"/>
  <c r="H213" i="23"/>
  <c r="C213" i="23"/>
  <c r="G213" i="23"/>
  <c r="F212" i="23"/>
  <c r="G212" i="23"/>
  <c r="H212" i="23"/>
  <c r="B212" i="23"/>
  <c r="C212" i="23"/>
  <c r="D212" i="23"/>
  <c r="E212" i="23"/>
  <c r="C211" i="23"/>
  <c r="E211" i="23"/>
  <c r="F211" i="23"/>
  <c r="G211" i="23"/>
  <c r="H211" i="23"/>
  <c r="D211" i="23"/>
  <c r="B211" i="23"/>
  <c r="G210" i="23"/>
  <c r="F210" i="23"/>
  <c r="E210" i="23"/>
  <c r="D210" i="23"/>
  <c r="C210" i="23"/>
  <c r="B210" i="23"/>
  <c r="H210" i="23"/>
  <c r="B209" i="23"/>
  <c r="C209" i="23"/>
  <c r="D209" i="23"/>
  <c r="H209" i="23"/>
  <c r="E209" i="23"/>
  <c r="F209" i="23"/>
  <c r="G209" i="23"/>
  <c r="H208" i="23"/>
  <c r="B208" i="23"/>
  <c r="G208" i="23"/>
  <c r="F208" i="23"/>
  <c r="E208" i="23"/>
  <c r="D208" i="23"/>
  <c r="C208" i="23"/>
  <c r="G207" i="23"/>
  <c r="H207" i="23"/>
  <c r="C207" i="23"/>
  <c r="F207" i="23"/>
  <c r="E207" i="23"/>
  <c r="D207" i="23"/>
  <c r="B207" i="23"/>
  <c r="F206" i="23"/>
  <c r="D206" i="23"/>
  <c r="E206" i="23"/>
  <c r="G206" i="23"/>
  <c r="H206" i="23"/>
  <c r="C206" i="23"/>
  <c r="B206" i="23"/>
  <c r="F205" i="23"/>
  <c r="H205" i="23"/>
  <c r="G205" i="23"/>
  <c r="E205" i="23"/>
  <c r="D205" i="23"/>
  <c r="C205" i="23"/>
  <c r="B205" i="23"/>
  <c r="E204" i="23"/>
  <c r="G204" i="23"/>
  <c r="F204" i="23"/>
  <c r="B204" i="23"/>
  <c r="C204" i="23"/>
  <c r="D204" i="23"/>
  <c r="H204" i="23"/>
  <c r="D203" i="23"/>
  <c r="C203" i="23"/>
  <c r="B203" i="23"/>
  <c r="F203" i="23"/>
  <c r="H203" i="23"/>
  <c r="G203" i="23"/>
  <c r="E203" i="23"/>
  <c r="F202" i="23"/>
  <c r="G202" i="23"/>
  <c r="H202" i="23"/>
  <c r="C202" i="23"/>
  <c r="D202" i="23"/>
  <c r="E202" i="23"/>
  <c r="B202" i="23"/>
  <c r="H201" i="23"/>
  <c r="G201" i="23"/>
  <c r="F201" i="23"/>
  <c r="E201" i="23"/>
  <c r="D201" i="23"/>
  <c r="C201" i="23"/>
  <c r="B201" i="23"/>
  <c r="H200" i="23"/>
  <c r="G200" i="23"/>
  <c r="F200" i="23"/>
  <c r="E200" i="23"/>
  <c r="D200" i="23"/>
  <c r="C200" i="23"/>
  <c r="B200" i="23"/>
  <c r="H199" i="23"/>
  <c r="G199" i="23"/>
  <c r="F199" i="23"/>
  <c r="E199" i="23"/>
  <c r="D199" i="23"/>
  <c r="C199" i="23"/>
  <c r="B199" i="23"/>
  <c r="D198" i="23"/>
  <c r="H198" i="23"/>
  <c r="G198" i="23"/>
  <c r="F198" i="23"/>
  <c r="E198" i="23"/>
  <c r="C198" i="23"/>
  <c r="B198" i="23"/>
  <c r="B197" i="23"/>
  <c r="C197" i="23"/>
  <c r="D197" i="23"/>
  <c r="E197" i="23"/>
  <c r="F197" i="23"/>
  <c r="H197" i="23"/>
  <c r="G197" i="23"/>
  <c r="D196" i="23"/>
  <c r="G196" i="23"/>
  <c r="C196" i="23"/>
  <c r="F196" i="23"/>
  <c r="E196" i="23"/>
  <c r="H196" i="23"/>
  <c r="B196" i="23"/>
  <c r="H195" i="23"/>
  <c r="G195" i="23"/>
  <c r="F195" i="23"/>
  <c r="E195" i="23"/>
  <c r="D195" i="23"/>
  <c r="C195" i="23"/>
  <c r="B195" i="23"/>
  <c r="G194" i="23"/>
  <c r="F194" i="23"/>
  <c r="E194" i="23"/>
  <c r="D194" i="23"/>
  <c r="C194" i="23"/>
  <c r="H194" i="23"/>
  <c r="B194" i="23"/>
  <c r="B193" i="23"/>
  <c r="C193" i="23"/>
  <c r="E193" i="23"/>
  <c r="F193" i="23"/>
  <c r="G193" i="23"/>
  <c r="H193" i="23"/>
  <c r="D193" i="23"/>
  <c r="B192" i="23"/>
  <c r="H192" i="23"/>
  <c r="G192" i="23"/>
  <c r="F192" i="23"/>
  <c r="E192" i="23"/>
  <c r="D192" i="23"/>
  <c r="C192" i="23"/>
  <c r="B191" i="23"/>
  <c r="H191" i="23"/>
  <c r="G191" i="23"/>
  <c r="F191" i="23"/>
  <c r="E191" i="23"/>
  <c r="D191" i="23"/>
  <c r="C191" i="23"/>
  <c r="B190" i="23"/>
  <c r="H190" i="23"/>
  <c r="G190" i="23"/>
  <c r="F190" i="23"/>
  <c r="C190" i="23"/>
  <c r="D190" i="23"/>
  <c r="E190" i="23"/>
  <c r="G189" i="23"/>
  <c r="E189" i="23"/>
  <c r="D189" i="23"/>
  <c r="C189" i="23"/>
  <c r="B189" i="23"/>
  <c r="F189" i="23"/>
  <c r="H189" i="23"/>
  <c r="G188" i="23"/>
  <c r="H188" i="23"/>
  <c r="F188" i="23"/>
  <c r="E188" i="23"/>
  <c r="D188" i="23"/>
  <c r="C188" i="23"/>
  <c r="B188" i="23"/>
  <c r="B187" i="23"/>
  <c r="F187" i="23"/>
  <c r="H187" i="23"/>
  <c r="D187" i="23"/>
  <c r="C187" i="23"/>
  <c r="E187" i="23"/>
  <c r="G187" i="23"/>
  <c r="G186" i="23"/>
  <c r="F186" i="23"/>
  <c r="E186" i="23"/>
  <c r="D186" i="23"/>
  <c r="C186" i="23"/>
  <c r="B186" i="23"/>
  <c r="H186" i="23"/>
  <c r="G185" i="23"/>
  <c r="F185" i="23"/>
  <c r="E185" i="23"/>
  <c r="D185" i="23"/>
  <c r="C185" i="23"/>
  <c r="B185" i="23"/>
  <c r="H185" i="23"/>
  <c r="E184" i="23"/>
  <c r="H184" i="23"/>
  <c r="G184" i="23"/>
  <c r="F184" i="23"/>
  <c r="D184" i="23"/>
  <c r="B184" i="23"/>
  <c r="C184" i="23"/>
  <c r="F183" i="23"/>
  <c r="G183" i="23"/>
  <c r="H183" i="23"/>
  <c r="D183" i="23"/>
  <c r="B183" i="23"/>
  <c r="C183" i="23"/>
  <c r="E183" i="23"/>
  <c r="H182" i="23"/>
  <c r="G182" i="23"/>
  <c r="F182" i="23"/>
  <c r="E182" i="23"/>
  <c r="D182" i="23"/>
  <c r="C182" i="23"/>
  <c r="B182" i="23"/>
  <c r="H181" i="23"/>
  <c r="G181" i="23"/>
  <c r="F181" i="23"/>
  <c r="E181" i="23"/>
  <c r="D181" i="23"/>
  <c r="C181" i="23"/>
  <c r="B181" i="23"/>
  <c r="H180" i="23"/>
  <c r="G180" i="23"/>
  <c r="F180" i="23"/>
  <c r="E180" i="23"/>
  <c r="D180" i="23"/>
  <c r="C180" i="23"/>
  <c r="B180" i="23"/>
  <c r="H179" i="23"/>
  <c r="G179" i="23"/>
  <c r="F179" i="23"/>
  <c r="E179" i="23"/>
  <c r="D179" i="23"/>
  <c r="C179" i="23"/>
  <c r="B179" i="23"/>
  <c r="H178" i="23"/>
  <c r="G178" i="23"/>
  <c r="F178" i="23"/>
  <c r="E178" i="23"/>
  <c r="D178" i="23"/>
  <c r="C178" i="23"/>
  <c r="B178" i="23"/>
  <c r="H177" i="23"/>
  <c r="G177" i="23"/>
  <c r="F177" i="23"/>
  <c r="E177" i="23"/>
  <c r="D177" i="23"/>
  <c r="C177" i="23"/>
  <c r="B177" i="23"/>
  <c r="H176" i="23"/>
  <c r="G176" i="23"/>
  <c r="F176" i="23"/>
  <c r="E176" i="23"/>
  <c r="D176" i="23"/>
  <c r="C176" i="23"/>
  <c r="B176" i="23"/>
  <c r="H175" i="23"/>
  <c r="G175" i="23"/>
  <c r="F175" i="23"/>
  <c r="E175" i="23"/>
  <c r="D175" i="23"/>
  <c r="C175" i="23"/>
  <c r="B175" i="23"/>
  <c r="H174" i="23"/>
  <c r="G174" i="23"/>
  <c r="F174" i="23"/>
  <c r="E174" i="23"/>
  <c r="D174" i="23"/>
  <c r="C174" i="23"/>
  <c r="B174" i="23"/>
  <c r="B173" i="23"/>
  <c r="C173" i="23"/>
  <c r="D173" i="23"/>
  <c r="E173" i="23"/>
  <c r="G173" i="23"/>
  <c r="F173" i="23"/>
  <c r="H173" i="23"/>
  <c r="B172" i="23"/>
  <c r="C172" i="23"/>
  <c r="D172" i="23"/>
  <c r="E172" i="23"/>
  <c r="F172" i="23"/>
  <c r="G172" i="23"/>
  <c r="H172" i="23"/>
  <c r="E171" i="23"/>
  <c r="F171" i="23"/>
  <c r="G171" i="23"/>
  <c r="H171" i="23"/>
  <c r="D171" i="23"/>
  <c r="C171" i="23"/>
  <c r="B171" i="23"/>
  <c r="F170" i="23"/>
  <c r="H170" i="23"/>
  <c r="G170" i="23"/>
  <c r="D170" i="23"/>
  <c r="B170" i="23"/>
  <c r="C170" i="23"/>
  <c r="E170" i="23"/>
  <c r="H169" i="23"/>
  <c r="G169" i="23"/>
  <c r="F169" i="23"/>
  <c r="D169" i="23"/>
  <c r="C169" i="23"/>
  <c r="B169" i="23"/>
  <c r="E169" i="23"/>
  <c r="H168" i="23"/>
  <c r="G168" i="23"/>
  <c r="E168" i="23"/>
  <c r="D168" i="23"/>
  <c r="C168" i="23"/>
  <c r="F168" i="23"/>
  <c r="B168" i="23"/>
  <c r="B167" i="23"/>
  <c r="C167" i="23"/>
  <c r="G167" i="23"/>
  <c r="H167" i="23"/>
  <c r="D167" i="23"/>
  <c r="E167" i="23"/>
  <c r="F167" i="23"/>
  <c r="B166" i="23"/>
  <c r="C166" i="23"/>
  <c r="D166" i="23"/>
  <c r="E166" i="23"/>
  <c r="F166" i="23"/>
  <c r="G166" i="23"/>
  <c r="H166" i="23"/>
  <c r="B165" i="23"/>
  <c r="G165" i="23"/>
  <c r="F165" i="23"/>
  <c r="E165" i="23"/>
  <c r="D165" i="23"/>
  <c r="C165" i="23"/>
  <c r="H165" i="23"/>
  <c r="H164" i="23"/>
  <c r="G164" i="23"/>
  <c r="F164" i="23"/>
  <c r="E164" i="23"/>
  <c r="D164" i="23"/>
  <c r="C164" i="23"/>
  <c r="B164" i="23"/>
  <c r="H163" i="23"/>
  <c r="G163" i="23"/>
  <c r="F163" i="23"/>
  <c r="E163" i="23"/>
  <c r="D163" i="23"/>
  <c r="C163" i="23"/>
  <c r="B163" i="23"/>
  <c r="C162" i="23"/>
  <c r="B162" i="23"/>
  <c r="H162" i="23"/>
  <c r="G162" i="23"/>
  <c r="F162" i="23"/>
  <c r="E162" i="23"/>
  <c r="D162" i="23"/>
  <c r="H161" i="23"/>
  <c r="G161" i="23"/>
  <c r="F161" i="23"/>
  <c r="E161" i="23"/>
  <c r="D161" i="23"/>
  <c r="C161" i="23"/>
  <c r="B161" i="23"/>
  <c r="B160" i="23"/>
  <c r="F160" i="23"/>
  <c r="G160" i="23"/>
  <c r="H160" i="23"/>
  <c r="C160" i="23"/>
  <c r="D160" i="23"/>
  <c r="E160" i="23"/>
  <c r="G159" i="23"/>
  <c r="F159" i="23"/>
  <c r="C159" i="23"/>
  <c r="E159" i="23"/>
  <c r="D159" i="23"/>
  <c r="H159" i="23"/>
  <c r="B159" i="23"/>
  <c r="E158" i="23"/>
  <c r="F158" i="23"/>
  <c r="G158" i="23"/>
  <c r="H158" i="23"/>
  <c r="B158" i="23"/>
  <c r="C158" i="23"/>
  <c r="D158" i="23"/>
  <c r="G157" i="23"/>
  <c r="F157" i="23"/>
  <c r="E157" i="23"/>
  <c r="D157" i="23"/>
  <c r="C157" i="23"/>
  <c r="B157" i="23"/>
  <c r="H157" i="23"/>
  <c r="B156" i="23"/>
  <c r="C156" i="23"/>
  <c r="D156" i="23"/>
  <c r="E156" i="23"/>
  <c r="F156" i="23"/>
  <c r="G156" i="23"/>
  <c r="H156" i="23"/>
  <c r="D155" i="23"/>
  <c r="C155" i="23"/>
  <c r="B155" i="23"/>
  <c r="E155" i="23"/>
  <c r="H155" i="23"/>
  <c r="G155" i="23"/>
  <c r="F155" i="23"/>
  <c r="B154" i="23"/>
  <c r="G154" i="23"/>
  <c r="F154" i="23"/>
  <c r="E154" i="23"/>
  <c r="D154" i="23"/>
  <c r="C154" i="23"/>
  <c r="H154" i="23"/>
  <c r="H153" i="23"/>
  <c r="G153" i="23"/>
  <c r="F153" i="23"/>
  <c r="E153" i="23"/>
  <c r="D153" i="23"/>
  <c r="B153" i="23"/>
  <c r="C153" i="23"/>
  <c r="H152" i="23"/>
  <c r="G152" i="23"/>
  <c r="F152" i="23"/>
  <c r="E152" i="23"/>
  <c r="C152" i="23"/>
  <c r="B152" i="23"/>
  <c r="D152" i="23"/>
  <c r="G151" i="23"/>
  <c r="H151" i="23"/>
  <c r="F151" i="23"/>
  <c r="E151" i="23"/>
  <c r="C151" i="23"/>
  <c r="B151" i="23"/>
  <c r="D151" i="23"/>
  <c r="D150" i="23"/>
  <c r="C150" i="23"/>
  <c r="B150" i="23"/>
  <c r="H150" i="23"/>
  <c r="G150" i="23"/>
  <c r="F150" i="23"/>
  <c r="E150" i="23"/>
  <c r="D149" i="23"/>
  <c r="C149" i="23"/>
  <c r="B149" i="23"/>
  <c r="G149" i="23"/>
  <c r="H149" i="23"/>
  <c r="F149" i="23"/>
  <c r="E149" i="23"/>
  <c r="F148" i="23"/>
  <c r="G148" i="23"/>
  <c r="B148" i="23"/>
  <c r="C148" i="23"/>
  <c r="E148" i="23"/>
  <c r="H148" i="23"/>
  <c r="D148" i="23"/>
  <c r="F147" i="23"/>
  <c r="G147" i="23"/>
  <c r="H147" i="23"/>
  <c r="B147" i="23"/>
  <c r="C147" i="23"/>
  <c r="D147" i="23"/>
  <c r="E147" i="23"/>
  <c r="H146" i="23"/>
  <c r="G146" i="23"/>
  <c r="F146" i="23"/>
  <c r="E146" i="23"/>
  <c r="B146" i="23"/>
  <c r="C146" i="23"/>
  <c r="D146" i="23"/>
  <c r="D145" i="23"/>
  <c r="H145" i="23"/>
  <c r="G145" i="23"/>
  <c r="F145" i="23"/>
  <c r="E145" i="23"/>
  <c r="C145" i="23"/>
  <c r="B145" i="23"/>
  <c r="C144" i="23"/>
  <c r="H144" i="23"/>
  <c r="G144" i="23"/>
  <c r="F144" i="23"/>
  <c r="E144" i="23"/>
  <c r="D144" i="23"/>
  <c r="B144" i="23"/>
  <c r="B143" i="23"/>
  <c r="C143" i="23"/>
  <c r="D143" i="23"/>
  <c r="E143" i="23"/>
  <c r="F143" i="23"/>
  <c r="G143" i="23"/>
  <c r="H143" i="23"/>
  <c r="H142" i="23"/>
  <c r="G142" i="23"/>
  <c r="F142" i="23"/>
  <c r="E142" i="23"/>
  <c r="D142" i="23"/>
  <c r="C142" i="23"/>
  <c r="B142" i="23"/>
  <c r="H141" i="23"/>
  <c r="G141" i="23"/>
  <c r="F141" i="23"/>
  <c r="E141" i="23"/>
  <c r="D141" i="23"/>
  <c r="C141" i="23"/>
  <c r="B141" i="23"/>
  <c r="C140" i="23"/>
  <c r="H140" i="23"/>
  <c r="G140" i="23"/>
  <c r="F140" i="23"/>
  <c r="E140" i="23"/>
  <c r="D140" i="23"/>
  <c r="B140" i="23"/>
  <c r="C139" i="23"/>
  <c r="H139" i="23"/>
  <c r="G139" i="23"/>
  <c r="F139" i="23"/>
  <c r="E139" i="23"/>
  <c r="D139" i="23"/>
  <c r="B139" i="23"/>
  <c r="B138" i="23"/>
  <c r="H138" i="23"/>
  <c r="G138" i="23"/>
  <c r="F138" i="23"/>
  <c r="E138" i="23"/>
  <c r="D138" i="23"/>
  <c r="C138" i="23"/>
  <c r="E137" i="23"/>
  <c r="F137" i="23"/>
  <c r="G137" i="23"/>
  <c r="H137" i="23"/>
  <c r="B137" i="23"/>
  <c r="C137" i="23"/>
  <c r="D137" i="23"/>
  <c r="D136" i="23"/>
  <c r="E136" i="23"/>
  <c r="G136" i="23"/>
  <c r="F136" i="23"/>
  <c r="H136" i="23"/>
  <c r="B136" i="23"/>
  <c r="C136" i="23"/>
  <c r="B135" i="23"/>
  <c r="F135" i="23"/>
  <c r="G135" i="23"/>
  <c r="H135" i="23"/>
  <c r="E135" i="23"/>
  <c r="D135" i="23"/>
  <c r="C135" i="23"/>
  <c r="D134" i="23"/>
  <c r="C134" i="23"/>
  <c r="B134" i="23"/>
  <c r="G134" i="23"/>
  <c r="H134" i="23"/>
  <c r="F134" i="23"/>
  <c r="E134" i="23"/>
  <c r="B133" i="23"/>
  <c r="C133" i="23"/>
  <c r="D133" i="23"/>
  <c r="E133" i="23"/>
  <c r="F133" i="23"/>
  <c r="G133" i="23"/>
  <c r="H133" i="23"/>
  <c r="D132" i="23"/>
  <c r="F132" i="23"/>
  <c r="C132" i="23"/>
  <c r="B132" i="23"/>
  <c r="G132" i="23"/>
  <c r="H132" i="23"/>
  <c r="E132" i="23"/>
  <c r="C131" i="23"/>
  <c r="B131" i="23"/>
  <c r="D131" i="23"/>
  <c r="G131" i="23"/>
  <c r="E131" i="23"/>
  <c r="F131" i="23"/>
  <c r="H131" i="23"/>
  <c r="H130" i="23"/>
  <c r="G130" i="23"/>
  <c r="F130" i="23"/>
  <c r="C130" i="23"/>
  <c r="D130" i="23"/>
  <c r="E130" i="23"/>
  <c r="B130" i="23"/>
  <c r="E129" i="23"/>
  <c r="F129" i="23"/>
  <c r="G129" i="23"/>
  <c r="H129" i="23"/>
  <c r="B129" i="23"/>
  <c r="C129" i="23"/>
  <c r="D129" i="23"/>
  <c r="H128" i="23"/>
  <c r="D128" i="23"/>
  <c r="C128" i="23"/>
  <c r="B128" i="23"/>
  <c r="E128" i="23"/>
  <c r="G128" i="23"/>
  <c r="F128" i="23"/>
  <c r="G127" i="23"/>
  <c r="H127" i="23"/>
  <c r="C127" i="23"/>
  <c r="B127" i="23"/>
  <c r="D127" i="23"/>
  <c r="E127" i="23"/>
  <c r="F127" i="23"/>
  <c r="E126" i="23"/>
  <c r="D126" i="23"/>
  <c r="C126" i="23"/>
  <c r="B126" i="23"/>
  <c r="H126" i="23"/>
  <c r="G126" i="23"/>
  <c r="F126" i="23"/>
  <c r="B125" i="23"/>
  <c r="C125" i="23"/>
  <c r="E125" i="23"/>
  <c r="F125" i="23"/>
  <c r="G125" i="23"/>
  <c r="H125" i="23"/>
  <c r="D125" i="23"/>
  <c r="G124" i="23"/>
  <c r="D124" i="23"/>
  <c r="E124" i="23"/>
  <c r="F124" i="23"/>
  <c r="H124" i="23"/>
  <c r="B124" i="23"/>
  <c r="C124" i="23"/>
  <c r="B123" i="23"/>
  <c r="D123" i="23"/>
  <c r="C123" i="23"/>
  <c r="E123" i="23"/>
  <c r="F123" i="23"/>
  <c r="G123" i="23"/>
  <c r="H123" i="23"/>
  <c r="B122" i="23"/>
  <c r="C122" i="23"/>
  <c r="D122" i="23"/>
  <c r="E122" i="23"/>
  <c r="F122" i="23"/>
  <c r="G122" i="23"/>
  <c r="H122" i="23"/>
  <c r="B121" i="23"/>
  <c r="E121" i="23"/>
  <c r="H121" i="23"/>
  <c r="F121" i="23"/>
  <c r="D121" i="23"/>
  <c r="G121" i="23"/>
  <c r="C121" i="23"/>
  <c r="H120" i="23"/>
  <c r="B120" i="23"/>
  <c r="C120" i="23"/>
  <c r="D120" i="23"/>
  <c r="E120" i="23"/>
  <c r="F120" i="23"/>
  <c r="G120" i="23"/>
  <c r="F119" i="23"/>
  <c r="G119" i="23"/>
  <c r="H119" i="23"/>
  <c r="E119" i="23"/>
  <c r="B119" i="23"/>
  <c r="C119" i="23"/>
  <c r="D119" i="23"/>
  <c r="B118" i="23"/>
  <c r="H118" i="23"/>
  <c r="G118" i="23"/>
  <c r="F118" i="23"/>
  <c r="E118" i="23"/>
  <c r="D118" i="23"/>
  <c r="C118" i="23"/>
  <c r="B117" i="23"/>
  <c r="D117" i="23"/>
  <c r="E117" i="23"/>
  <c r="F117" i="23"/>
  <c r="G117" i="23"/>
  <c r="H117" i="23"/>
  <c r="C117" i="23"/>
  <c r="G116" i="23"/>
  <c r="H116" i="23"/>
  <c r="F116" i="23"/>
  <c r="E116" i="23"/>
  <c r="D116" i="23"/>
  <c r="C116" i="23"/>
  <c r="B116" i="23"/>
  <c r="D115" i="23"/>
  <c r="C115" i="23"/>
  <c r="B115" i="23"/>
  <c r="G115" i="23"/>
  <c r="E115" i="23"/>
  <c r="F115" i="23"/>
  <c r="H115" i="23"/>
  <c r="E114" i="23"/>
  <c r="H114" i="23"/>
  <c r="F114" i="23"/>
  <c r="D114" i="23"/>
  <c r="C114" i="23"/>
  <c r="G114" i="23"/>
  <c r="B114" i="23"/>
  <c r="D113" i="23"/>
  <c r="B113" i="23"/>
  <c r="C113" i="23"/>
  <c r="E113" i="23"/>
  <c r="F113" i="23"/>
  <c r="G113" i="23"/>
  <c r="H113" i="23"/>
  <c r="D112" i="23"/>
  <c r="G112" i="23"/>
  <c r="H112" i="23"/>
  <c r="E112" i="23"/>
  <c r="C112" i="23"/>
  <c r="F112" i="23"/>
  <c r="B112" i="23"/>
  <c r="D111" i="23"/>
  <c r="C111" i="23"/>
  <c r="B111" i="23"/>
  <c r="H111" i="23"/>
  <c r="G111" i="23"/>
  <c r="F111" i="23"/>
  <c r="E111" i="23"/>
  <c r="D110" i="23"/>
  <c r="C110" i="23"/>
  <c r="B110" i="23"/>
  <c r="H110" i="23"/>
  <c r="G110" i="23"/>
  <c r="F110" i="23"/>
  <c r="E110" i="23"/>
  <c r="F109" i="23"/>
  <c r="H109" i="23"/>
  <c r="E109" i="23"/>
  <c r="D109" i="23"/>
  <c r="G109" i="23"/>
  <c r="B109" i="23"/>
  <c r="C109" i="23"/>
  <c r="H108" i="23"/>
  <c r="G108" i="23"/>
  <c r="F108" i="23"/>
  <c r="E108" i="23"/>
  <c r="D108" i="23"/>
  <c r="C108" i="23"/>
  <c r="B108" i="23"/>
  <c r="D107" i="23"/>
  <c r="C107" i="23"/>
  <c r="B107" i="23"/>
  <c r="H107" i="23"/>
  <c r="G107" i="23"/>
  <c r="F107" i="23"/>
  <c r="E107" i="23"/>
  <c r="F106" i="23"/>
  <c r="E106" i="23"/>
  <c r="D106" i="23"/>
  <c r="C106" i="23"/>
  <c r="B106" i="23"/>
  <c r="H106" i="23"/>
  <c r="G106" i="23"/>
  <c r="B105" i="23"/>
  <c r="D105" i="23"/>
  <c r="E105" i="23"/>
  <c r="F105" i="23"/>
  <c r="G105" i="23"/>
  <c r="H105" i="23"/>
  <c r="C105" i="23"/>
  <c r="E104" i="23"/>
  <c r="G104" i="23"/>
  <c r="H104" i="23"/>
  <c r="F104" i="23"/>
  <c r="B104" i="23"/>
  <c r="C104" i="23"/>
  <c r="D104" i="23"/>
  <c r="E103" i="23"/>
  <c r="D103" i="23"/>
  <c r="C103" i="23"/>
  <c r="B103" i="23"/>
  <c r="F103" i="23"/>
  <c r="G103" i="23"/>
  <c r="H103" i="23"/>
  <c r="H102" i="23"/>
  <c r="G102" i="23"/>
  <c r="F102" i="23"/>
  <c r="D102" i="23"/>
  <c r="C102" i="23"/>
  <c r="B102" i="23"/>
  <c r="E102" i="23"/>
  <c r="H101" i="23"/>
  <c r="G101" i="23"/>
  <c r="F101" i="23"/>
  <c r="E101" i="23"/>
  <c r="C101" i="23"/>
  <c r="D101" i="23"/>
  <c r="B101" i="23"/>
  <c r="B100" i="23"/>
  <c r="C100" i="23"/>
  <c r="D100" i="23"/>
  <c r="E100" i="23"/>
  <c r="F100" i="23"/>
  <c r="G100" i="23"/>
  <c r="H100" i="23"/>
  <c r="F99" i="23"/>
  <c r="G99" i="23"/>
  <c r="H99" i="23"/>
  <c r="B99" i="23"/>
  <c r="C99" i="23"/>
  <c r="D99" i="23"/>
  <c r="E99" i="23"/>
  <c r="H98" i="23"/>
  <c r="G98" i="23"/>
  <c r="F98" i="23"/>
  <c r="E98" i="23"/>
  <c r="D98" i="23"/>
  <c r="C98" i="23"/>
  <c r="B98" i="23"/>
  <c r="H97" i="23"/>
  <c r="G97" i="23"/>
  <c r="F97" i="23"/>
  <c r="E97" i="23"/>
  <c r="D97" i="23"/>
  <c r="C97" i="23"/>
  <c r="B97" i="23"/>
  <c r="E96" i="23"/>
  <c r="D96" i="23"/>
  <c r="C96" i="23"/>
  <c r="B96" i="23"/>
  <c r="H96" i="23"/>
  <c r="G96" i="23"/>
  <c r="F96" i="23"/>
  <c r="G95" i="23"/>
  <c r="F95" i="23"/>
  <c r="E95" i="23"/>
  <c r="D95" i="23"/>
  <c r="C95" i="23"/>
  <c r="B95" i="23"/>
  <c r="H95" i="23"/>
  <c r="H94" i="23"/>
  <c r="G94" i="23"/>
  <c r="F94" i="23"/>
  <c r="E94" i="23"/>
  <c r="D94" i="23"/>
  <c r="C94" i="23"/>
  <c r="B94" i="23"/>
  <c r="D93" i="23"/>
  <c r="C93" i="23"/>
  <c r="B93" i="23"/>
  <c r="F93" i="23"/>
  <c r="H93" i="23"/>
  <c r="G93" i="23"/>
  <c r="E93" i="23"/>
  <c r="G92" i="23"/>
  <c r="F92" i="23"/>
  <c r="E92" i="23"/>
  <c r="D92" i="23"/>
  <c r="C92" i="23"/>
  <c r="B92" i="23"/>
  <c r="H92" i="23"/>
  <c r="F91" i="23"/>
  <c r="G91" i="23"/>
  <c r="H91" i="23"/>
  <c r="B91" i="23"/>
  <c r="C91" i="23"/>
  <c r="D91" i="23"/>
  <c r="E91" i="23"/>
  <c r="B90" i="23"/>
  <c r="C90" i="23"/>
  <c r="D90" i="23"/>
  <c r="E90" i="23"/>
  <c r="G90" i="23"/>
  <c r="H90" i="23"/>
  <c r="F90" i="23"/>
  <c r="F89" i="23"/>
  <c r="G89" i="23"/>
  <c r="H89" i="23"/>
  <c r="B89" i="23"/>
  <c r="C89" i="23"/>
  <c r="D89" i="23"/>
  <c r="E89" i="23"/>
  <c r="D88" i="23"/>
  <c r="C88" i="23"/>
  <c r="B88" i="23"/>
  <c r="F88" i="23"/>
  <c r="E88" i="23"/>
  <c r="G88" i="23"/>
  <c r="H88" i="23"/>
  <c r="H87" i="23"/>
  <c r="G87" i="23"/>
  <c r="F87" i="23"/>
  <c r="E87" i="23"/>
  <c r="D87" i="23"/>
  <c r="C87" i="23"/>
  <c r="B87" i="23"/>
  <c r="H86" i="23"/>
  <c r="G86" i="23"/>
  <c r="F86" i="23"/>
  <c r="E86" i="23"/>
  <c r="C86" i="23"/>
  <c r="B86" i="23"/>
  <c r="D86" i="23"/>
  <c r="H85" i="23"/>
  <c r="G85" i="23"/>
  <c r="F85" i="23"/>
  <c r="E85" i="23"/>
  <c r="D85" i="23"/>
  <c r="C85" i="23"/>
  <c r="B85" i="23"/>
  <c r="H84" i="23"/>
  <c r="G84" i="23"/>
  <c r="F84" i="23"/>
  <c r="E84" i="23"/>
  <c r="D84" i="23"/>
  <c r="C84" i="23"/>
  <c r="B84" i="23"/>
  <c r="C83" i="23"/>
  <c r="H83" i="23"/>
  <c r="G83" i="23"/>
  <c r="F83" i="23"/>
  <c r="E83" i="23"/>
  <c r="D83" i="23"/>
  <c r="B83" i="23"/>
  <c r="H82" i="23"/>
  <c r="F82" i="23"/>
  <c r="E82" i="23"/>
  <c r="D82" i="23"/>
  <c r="C82" i="23"/>
  <c r="B82" i="23"/>
  <c r="G82" i="23"/>
  <c r="G81" i="23"/>
  <c r="F81" i="23"/>
  <c r="B81" i="23"/>
  <c r="C81" i="23"/>
  <c r="D81" i="23"/>
  <c r="E81" i="23"/>
  <c r="H81" i="23"/>
  <c r="E80" i="23"/>
  <c r="F80" i="23"/>
  <c r="H80" i="23"/>
  <c r="D80" i="23"/>
  <c r="B80" i="23"/>
  <c r="C80" i="23"/>
  <c r="G80" i="23"/>
  <c r="C79" i="23"/>
  <c r="E79" i="23"/>
  <c r="B79" i="23"/>
  <c r="D79" i="23"/>
  <c r="F79" i="23"/>
  <c r="G79" i="23"/>
  <c r="H79" i="23"/>
  <c r="D78" i="23"/>
  <c r="C78" i="23"/>
  <c r="B78" i="23"/>
  <c r="H78" i="23"/>
  <c r="G78" i="23"/>
  <c r="F78" i="23"/>
  <c r="E78" i="23"/>
  <c r="D77" i="23"/>
  <c r="C77" i="23"/>
  <c r="B77" i="23"/>
  <c r="H77" i="23"/>
  <c r="G77" i="23"/>
  <c r="F77" i="23"/>
  <c r="E77" i="23"/>
  <c r="B76" i="23"/>
  <c r="E76" i="23"/>
  <c r="G76" i="23"/>
  <c r="F76" i="23"/>
  <c r="H76" i="23"/>
  <c r="D76" i="23"/>
  <c r="C76" i="23"/>
  <c r="H75" i="23"/>
  <c r="G75" i="23"/>
  <c r="F75" i="23"/>
  <c r="E75" i="23"/>
  <c r="D75" i="23"/>
  <c r="C75" i="23"/>
  <c r="B75" i="23"/>
  <c r="D74" i="23"/>
  <c r="C74" i="23"/>
  <c r="B74" i="23"/>
  <c r="H74" i="23"/>
  <c r="G74" i="23"/>
  <c r="F74" i="23"/>
  <c r="E74" i="23"/>
  <c r="H73" i="23"/>
  <c r="C73" i="23"/>
  <c r="D73" i="23"/>
  <c r="E73" i="23"/>
  <c r="F73" i="23"/>
  <c r="G73" i="23"/>
  <c r="B73" i="23"/>
  <c r="E72" i="23"/>
  <c r="F72" i="23"/>
  <c r="B72" i="23"/>
  <c r="C72" i="23"/>
  <c r="D72" i="23"/>
  <c r="G72" i="23"/>
  <c r="H72" i="23"/>
  <c r="D71" i="23"/>
  <c r="C71" i="23"/>
  <c r="B71" i="23"/>
  <c r="E71" i="23"/>
  <c r="F71" i="23"/>
  <c r="G71" i="23"/>
  <c r="H71" i="23"/>
  <c r="H70" i="23"/>
  <c r="G70" i="23"/>
  <c r="F70" i="23"/>
  <c r="E70" i="23"/>
  <c r="C70" i="23"/>
  <c r="B70" i="23"/>
  <c r="D70" i="23"/>
  <c r="H69" i="23"/>
  <c r="B69" i="23"/>
  <c r="C69" i="23"/>
  <c r="D69" i="23"/>
  <c r="E69" i="23"/>
  <c r="F69" i="23"/>
  <c r="G69" i="23"/>
  <c r="B68" i="23"/>
  <c r="C68" i="23"/>
  <c r="D68" i="23"/>
  <c r="E68" i="23"/>
  <c r="F68" i="23"/>
  <c r="G68" i="23"/>
  <c r="H68" i="23"/>
  <c r="B67" i="23"/>
  <c r="C67" i="23" s="1"/>
  <c r="D67" i="23"/>
  <c r="E67" i="23"/>
  <c r="E66" i="23"/>
  <c r="D66" i="23"/>
  <c r="B66" i="23"/>
  <c r="C66" i="23" s="1"/>
  <c r="D65" i="23"/>
  <c r="B65" i="23"/>
  <c r="C65" i="23" s="1"/>
  <c r="E65" i="23"/>
  <c r="B64" i="23"/>
  <c r="H64" i="23"/>
  <c r="G64" i="23"/>
  <c r="F64" i="23"/>
  <c r="E64" i="23"/>
  <c r="D64" i="23"/>
  <c r="C64" i="23"/>
  <c r="B63" i="23"/>
  <c r="E63" i="23"/>
  <c r="D63" i="23"/>
  <c r="C63" i="23"/>
  <c r="B62" i="23"/>
  <c r="E62" i="23"/>
  <c r="D62" i="23"/>
  <c r="C62" i="23"/>
  <c r="D61" i="23"/>
  <c r="B61" i="23"/>
  <c r="C61" i="23"/>
  <c r="E61" i="23"/>
  <c r="F61" i="23"/>
  <c r="G61" i="23"/>
  <c r="H61" i="23"/>
  <c r="B60" i="23"/>
  <c r="C60" i="23"/>
  <c r="D60" i="23"/>
  <c r="E60" i="23"/>
  <c r="F60" i="23"/>
  <c r="G60" i="23"/>
  <c r="H60" i="23"/>
  <c r="E59" i="23"/>
  <c r="D59" i="23"/>
  <c r="B59" i="23"/>
  <c r="C59" i="23" s="1"/>
  <c r="B58" i="23"/>
  <c r="C58" i="23"/>
  <c r="E58" i="23"/>
  <c r="F58" i="23"/>
  <c r="G58" i="23"/>
  <c r="H58" i="23"/>
  <c r="D58" i="23"/>
  <c r="H57" i="23"/>
  <c r="G57" i="23"/>
  <c r="F57" i="23"/>
  <c r="E57" i="23"/>
  <c r="D57" i="23"/>
  <c r="C57" i="23"/>
  <c r="B57" i="23"/>
  <c r="D56" i="23"/>
  <c r="B56" i="23"/>
  <c r="C56" i="23"/>
  <c r="E56" i="23"/>
  <c r="B55" i="23"/>
  <c r="H55" i="23"/>
  <c r="C55" i="23"/>
  <c r="D55" i="23"/>
  <c r="E55" i="23"/>
  <c r="F55" i="23"/>
  <c r="G55" i="23"/>
  <c r="B54" i="23"/>
  <c r="C54" i="23"/>
  <c r="D54" i="23"/>
  <c r="E54" i="23"/>
  <c r="F54" i="23"/>
  <c r="G54" i="23"/>
  <c r="H54" i="23" s="1"/>
  <c r="E53" i="23"/>
  <c r="B53" i="23"/>
  <c r="C53" i="23" s="1"/>
  <c r="D53" i="23"/>
  <c r="B52" i="23"/>
  <c r="C52" i="23"/>
  <c r="D52" i="23"/>
  <c r="E52" i="23"/>
  <c r="B51" i="23"/>
  <c r="C51" i="23"/>
  <c r="D51" i="23"/>
  <c r="E51" i="23"/>
  <c r="F51" i="23"/>
  <c r="G51" i="23"/>
  <c r="H51" i="23"/>
  <c r="B50" i="23"/>
  <c r="C50" i="23" s="1"/>
  <c r="E50" i="23"/>
  <c r="D50" i="23"/>
  <c r="E49" i="23"/>
  <c r="D49" i="23"/>
  <c r="B49" i="23"/>
  <c r="C49" i="23" s="1"/>
  <c r="H48" i="23"/>
  <c r="B48" i="23"/>
  <c r="C48" i="23"/>
  <c r="E48" i="23"/>
  <c r="D48" i="23"/>
  <c r="F48" i="23"/>
  <c r="G48" i="23"/>
  <c r="E47" i="23"/>
  <c r="D47" i="23"/>
  <c r="B47" i="23"/>
  <c r="C47" i="23" s="1"/>
  <c r="E46" i="23"/>
  <c r="D46" i="23"/>
  <c r="B46" i="23"/>
  <c r="C46" i="23" s="1"/>
  <c r="D45" i="23"/>
  <c r="B45" i="23"/>
  <c r="C45" i="23" s="1"/>
  <c r="E45" i="23"/>
  <c r="H44" i="23"/>
  <c r="G44" i="23"/>
  <c r="F44" i="23"/>
  <c r="E44" i="23"/>
  <c r="D44" i="23"/>
  <c r="C44" i="23"/>
  <c r="B44" i="23"/>
  <c r="B43" i="23"/>
  <c r="E43" i="23"/>
  <c r="D43" i="23"/>
  <c r="C43" i="23"/>
  <c r="B42" i="23"/>
  <c r="E42" i="23"/>
  <c r="D42" i="23"/>
  <c r="C42" i="23"/>
  <c r="B41" i="23"/>
  <c r="E41" i="23"/>
  <c r="D41" i="23"/>
  <c r="C41" i="23"/>
  <c r="B40" i="23"/>
  <c r="C40" i="23"/>
  <c r="H40" i="23"/>
  <c r="G40" i="23"/>
  <c r="F40" i="23"/>
  <c r="E40" i="23"/>
  <c r="D40" i="23"/>
  <c r="E39" i="23"/>
  <c r="D39" i="23"/>
  <c r="B39" i="23"/>
  <c r="C39" i="23" s="1"/>
  <c r="B38" i="23"/>
  <c r="C38" i="23"/>
  <c r="G38" i="23"/>
  <c r="F38" i="23"/>
  <c r="H38" i="23" s="1"/>
  <c r="E38" i="23"/>
  <c r="D38" i="23"/>
  <c r="B37" i="23"/>
  <c r="C37" i="23"/>
  <c r="H37" i="23"/>
  <c r="G37" i="23"/>
  <c r="F37" i="23"/>
  <c r="E37" i="23"/>
  <c r="D37" i="23"/>
  <c r="D36" i="23"/>
  <c r="E36" i="23"/>
  <c r="B36" i="23"/>
  <c r="C36" i="23" s="1"/>
  <c r="B35" i="23"/>
  <c r="C35" i="23" s="1"/>
  <c r="D35" i="23"/>
  <c r="E35" i="23"/>
  <c r="F34" i="23"/>
  <c r="G34" i="23"/>
  <c r="B34" i="23"/>
  <c r="C34" i="23"/>
  <c r="D34" i="23"/>
  <c r="E34" i="23"/>
  <c r="H34" i="23"/>
  <c r="D33" i="23"/>
  <c r="B33" i="23"/>
  <c r="C33" i="23" s="1"/>
  <c r="E33" i="23"/>
  <c r="B32" i="23"/>
  <c r="D32" i="23"/>
  <c r="E32" i="23"/>
  <c r="C32" i="23"/>
  <c r="E31" i="23"/>
  <c r="B31" i="23"/>
  <c r="C31" i="23"/>
  <c r="D31" i="23"/>
  <c r="F31" i="23"/>
  <c r="G31" i="23"/>
  <c r="H31" i="23"/>
  <c r="C30" i="23"/>
  <c r="D30" i="23"/>
  <c r="F30" i="23"/>
  <c r="G30" i="23"/>
  <c r="H30" i="23"/>
  <c r="E30" i="23"/>
  <c r="B30" i="23"/>
  <c r="E29" i="23"/>
  <c r="D29" i="23"/>
  <c r="B29" i="23"/>
  <c r="C29" i="23" s="1"/>
  <c r="E28" i="23"/>
  <c r="B28" i="23"/>
  <c r="C28" i="23"/>
  <c r="D28" i="23"/>
  <c r="B27" i="23"/>
  <c r="C27" i="23"/>
  <c r="D27" i="23"/>
  <c r="F27" i="23"/>
  <c r="G27" i="23"/>
  <c r="H27" i="23"/>
  <c r="E27" i="23"/>
  <c r="D26" i="23"/>
  <c r="B26" i="23"/>
  <c r="C26" i="23" s="1"/>
  <c r="E26" i="23"/>
  <c r="B25" i="23"/>
  <c r="C25" i="23" s="1"/>
  <c r="D25" i="23"/>
  <c r="E25" i="23"/>
  <c r="B24" i="23"/>
  <c r="C24" i="23"/>
  <c r="D24" i="23"/>
  <c r="E24" i="23"/>
  <c r="F24" i="23"/>
  <c r="G24" i="23"/>
  <c r="H24" i="23"/>
  <c r="G23" i="23"/>
  <c r="E23" i="23"/>
  <c r="B23" i="23"/>
  <c r="H23" i="23"/>
  <c r="C23" i="23"/>
  <c r="D23" i="23"/>
  <c r="F23" i="23"/>
  <c r="B22" i="23"/>
  <c r="C22" i="23"/>
  <c r="D22" i="23"/>
  <c r="E22" i="23"/>
  <c r="E21" i="23"/>
  <c r="B21" i="23"/>
  <c r="C21" i="23" s="1"/>
  <c r="D21" i="23"/>
  <c r="B20" i="23"/>
  <c r="C20" i="23"/>
  <c r="G20" i="23"/>
  <c r="F20" i="23"/>
  <c r="E20" i="23"/>
  <c r="H20" i="23"/>
  <c r="D20" i="23"/>
  <c r="F19" i="23"/>
  <c r="E19" i="23"/>
  <c r="D19" i="23"/>
  <c r="C19" i="23"/>
  <c r="B19" i="23"/>
  <c r="H19" i="23"/>
  <c r="G19" i="23"/>
  <c r="E18" i="23"/>
  <c r="B18" i="23"/>
  <c r="C18" i="23"/>
  <c r="D18" i="23"/>
  <c r="G18" i="23"/>
  <c r="F18" i="23"/>
  <c r="H18" i="23" s="1"/>
  <c r="D17" i="23"/>
  <c r="E17" i="23"/>
  <c r="B17" i="23"/>
  <c r="C17" i="23"/>
  <c r="B16" i="23"/>
  <c r="H16" i="23"/>
  <c r="G16" i="23"/>
  <c r="F16" i="23"/>
  <c r="E16" i="23"/>
  <c r="D16" i="23"/>
  <c r="C16" i="23"/>
  <c r="E15" i="23"/>
  <c r="B15" i="23"/>
  <c r="C15" i="23" s="1"/>
  <c r="D15" i="23"/>
  <c r="B14" i="23"/>
  <c r="C14" i="23"/>
  <c r="H14" i="23"/>
  <c r="G14" i="23"/>
  <c r="F14" i="23"/>
  <c r="D14" i="23"/>
  <c r="E14" i="23"/>
  <c r="B13" i="23"/>
  <c r="K1594" i="23" s="1"/>
  <c r="C13" i="23"/>
  <c r="D13" i="23"/>
  <c r="E13" i="23"/>
  <c r="B12" i="23"/>
  <c r="C12" i="23"/>
  <c r="G12" i="23" s="1"/>
  <c r="D12" i="23"/>
  <c r="E12" i="23"/>
  <c r="F12" i="23"/>
  <c r="H12" i="23" s="1"/>
  <c r="D11" i="23"/>
  <c r="C11" i="23"/>
  <c r="B11" i="23"/>
  <c r="G11" i="23"/>
  <c r="H11" i="23"/>
  <c r="F11" i="23"/>
  <c r="E11" i="23"/>
  <c r="D10" i="23"/>
  <c r="B10" i="23"/>
  <c r="C10" i="23" s="1"/>
  <c r="E10" i="23"/>
  <c r="C9" i="23"/>
  <c r="B9" i="23"/>
  <c r="D9" i="23"/>
  <c r="E9" i="23"/>
  <c r="F9" i="23"/>
  <c r="G9" i="23"/>
  <c r="H9" i="23"/>
  <c r="B8" i="23"/>
  <c r="C8" i="23"/>
  <c r="D8" i="23"/>
  <c r="E8" i="23"/>
  <c r="F8" i="23"/>
  <c r="G8" i="23"/>
  <c r="H8" i="23"/>
  <c r="E7" i="23"/>
  <c r="D7" i="23"/>
  <c r="B7" i="23"/>
  <c r="C7" i="23" s="1"/>
  <c r="H6" i="23"/>
  <c r="G6" i="23"/>
  <c r="F6" i="23"/>
  <c r="E6" i="23"/>
  <c r="B6" i="23"/>
  <c r="C6" i="23"/>
  <c r="D6" i="23"/>
  <c r="B5" i="23"/>
  <c r="C5" i="23"/>
  <c r="D5" i="23"/>
  <c r="E5" i="23"/>
  <c r="E4" i="23"/>
  <c r="B4" i="23"/>
  <c r="C4" i="23"/>
  <c r="C4729" i="22"/>
  <c r="G4729" i="22"/>
  <c r="E4729" i="22"/>
  <c r="F4729" i="22"/>
  <c r="K4729" i="22"/>
  <c r="B4730" i="22"/>
  <c r="L4729" i="22"/>
  <c r="C4675" i="22"/>
  <c r="B4676" i="22"/>
  <c r="G4675" i="22"/>
  <c r="R4675" i="22" s="1"/>
  <c r="F4675" i="22"/>
  <c r="E4675" i="22"/>
  <c r="N4672" i="22"/>
  <c r="B4622" i="22"/>
  <c r="G4621" i="22"/>
  <c r="R4621" i="22" s="1"/>
  <c r="E4621" i="22"/>
  <c r="C4621" i="22"/>
  <c r="B4568" i="22"/>
  <c r="G4567" i="22"/>
  <c r="R4567" i="22" s="1"/>
  <c r="E4567" i="22"/>
  <c r="C4567" i="22"/>
  <c r="C4513" i="22"/>
  <c r="B4514" i="22"/>
  <c r="G4513" i="22"/>
  <c r="F4513" i="22"/>
  <c r="E4513" i="22"/>
  <c r="E4507" i="22"/>
  <c r="F4507" i="22"/>
  <c r="H4507" i="22"/>
  <c r="I4507" i="22"/>
  <c r="G4507" i="22"/>
  <c r="F4506" i="22"/>
  <c r="G4506" i="22"/>
  <c r="H4506" i="22"/>
  <c r="E4506" i="22"/>
  <c r="I4506" i="22"/>
  <c r="F4505" i="22"/>
  <c r="E4505" i="22"/>
  <c r="H4505" i="22"/>
  <c r="I4505" i="22"/>
  <c r="G4505" i="22"/>
  <c r="E4504" i="22"/>
  <c r="F4504" i="22"/>
  <c r="H4504" i="22"/>
  <c r="G4504" i="22"/>
  <c r="I4504" i="22"/>
  <c r="I4503" i="22"/>
  <c r="E4503" i="22"/>
  <c r="F4503" i="22"/>
  <c r="G4503" i="22"/>
  <c r="H4503" i="22"/>
  <c r="E4502" i="22"/>
  <c r="I4502" i="22"/>
  <c r="H4502" i="22"/>
  <c r="G4502" i="22"/>
  <c r="F4502" i="22"/>
  <c r="E4501" i="22"/>
  <c r="F4501" i="22"/>
  <c r="G4501" i="22"/>
  <c r="H4501" i="22"/>
  <c r="I4501" i="22"/>
  <c r="E4500" i="22"/>
  <c r="F4500" i="22"/>
  <c r="G4500" i="22"/>
  <c r="H4500" i="22"/>
  <c r="I4500" i="22"/>
  <c r="I4499" i="22"/>
  <c r="H4499" i="22"/>
  <c r="G4499" i="22"/>
  <c r="F4499" i="22"/>
  <c r="E4499" i="22"/>
  <c r="E4498" i="22"/>
  <c r="I4498" i="22"/>
  <c r="H4498" i="22"/>
  <c r="G4498" i="22"/>
  <c r="F4498" i="22"/>
  <c r="I4497" i="22"/>
  <c r="E4497" i="22"/>
  <c r="F4497" i="22"/>
  <c r="G4497" i="22"/>
  <c r="H4497" i="22"/>
  <c r="E4496" i="22"/>
  <c r="F4496" i="22"/>
  <c r="G4496" i="22"/>
  <c r="I4496" i="22"/>
  <c r="H4496" i="22"/>
  <c r="H4495" i="22"/>
  <c r="E4495" i="22"/>
  <c r="F4495" i="22"/>
  <c r="G4495" i="22"/>
  <c r="I4495" i="22"/>
  <c r="I4494" i="22"/>
  <c r="E4494" i="22"/>
  <c r="F4494" i="22"/>
  <c r="G4494" i="22"/>
  <c r="H4494" i="22"/>
  <c r="F4493" i="22"/>
  <c r="I4493" i="22"/>
  <c r="G4493" i="22"/>
  <c r="H4493" i="22"/>
  <c r="E4493" i="22"/>
  <c r="E4492" i="22"/>
  <c r="F4492" i="22"/>
  <c r="G4492" i="22"/>
  <c r="H4492" i="22"/>
  <c r="I4492" i="22"/>
  <c r="G4491" i="22"/>
  <c r="H4491" i="22"/>
  <c r="I4491" i="22"/>
  <c r="E4491" i="22"/>
  <c r="F4491" i="22"/>
  <c r="G4490" i="22"/>
  <c r="E4490" i="22"/>
  <c r="F4490" i="22"/>
  <c r="H4490" i="22"/>
  <c r="I4490" i="22"/>
  <c r="F4489" i="22"/>
  <c r="E4489" i="22"/>
  <c r="G4489" i="22"/>
  <c r="H4489" i="22"/>
  <c r="I4489" i="22"/>
  <c r="E4488" i="22"/>
  <c r="F4488" i="22"/>
  <c r="H4488" i="22"/>
  <c r="I4488" i="22"/>
  <c r="G4488" i="22"/>
  <c r="E4487" i="22"/>
  <c r="I4487" i="22"/>
  <c r="F4487" i="22"/>
  <c r="G4487" i="22"/>
  <c r="H4487" i="22"/>
  <c r="H4486" i="22"/>
  <c r="G4486" i="22"/>
  <c r="F4486" i="22"/>
  <c r="E4486" i="22"/>
  <c r="I4486" i="22"/>
  <c r="I4485" i="22"/>
  <c r="E4485" i="22"/>
  <c r="F4485" i="22"/>
  <c r="G4485" i="22"/>
  <c r="H4485" i="22"/>
  <c r="H4484" i="22"/>
  <c r="I4484" i="22"/>
  <c r="G4484" i="22"/>
  <c r="F4484" i="22"/>
  <c r="E4484" i="22"/>
  <c r="E4483" i="22"/>
  <c r="I4483" i="22"/>
  <c r="H4483" i="22"/>
  <c r="G4483" i="22"/>
  <c r="F4483" i="22"/>
  <c r="I4482" i="22"/>
  <c r="H4482" i="22"/>
  <c r="G4482" i="22"/>
  <c r="E4482" i="22"/>
  <c r="F4482" i="22"/>
  <c r="F4481" i="22"/>
  <c r="E4481" i="22"/>
  <c r="G4481" i="22"/>
  <c r="I4481" i="22"/>
  <c r="H4481" i="22"/>
  <c r="F4480" i="22"/>
  <c r="G4480" i="22"/>
  <c r="H4480" i="22"/>
  <c r="I4480" i="22"/>
  <c r="E4480" i="22"/>
  <c r="I4479" i="22"/>
  <c r="G4479" i="22"/>
  <c r="H4479" i="22"/>
  <c r="F4479" i="22"/>
  <c r="E4479" i="22"/>
  <c r="I4478" i="22"/>
  <c r="H4478" i="22"/>
  <c r="G4478" i="22"/>
  <c r="F4478" i="22"/>
  <c r="E4478" i="22"/>
  <c r="F4477" i="22"/>
  <c r="E4477" i="22"/>
  <c r="H4477" i="22"/>
  <c r="I4477" i="22"/>
  <c r="G4477" i="22"/>
  <c r="G4476" i="22"/>
  <c r="I4476" i="22"/>
  <c r="H4476" i="22"/>
  <c r="E4476" i="22"/>
  <c r="F4476" i="22"/>
  <c r="I4475" i="22"/>
  <c r="H4475" i="22"/>
  <c r="G4475" i="22"/>
  <c r="F4475" i="22"/>
  <c r="E4475" i="22"/>
  <c r="H4474" i="22"/>
  <c r="G4474" i="22"/>
  <c r="F4474" i="22"/>
  <c r="I4474" i="22"/>
  <c r="E4474" i="22"/>
  <c r="E4473" i="22"/>
  <c r="F4473" i="22"/>
  <c r="G4473" i="22"/>
  <c r="H4473" i="22"/>
  <c r="I4473" i="22"/>
  <c r="H4472" i="22"/>
  <c r="E4472" i="22"/>
  <c r="F4472" i="22"/>
  <c r="G4472" i="22"/>
  <c r="I4472" i="22"/>
  <c r="G4471" i="22"/>
  <c r="H4471" i="22"/>
  <c r="I4471" i="22"/>
  <c r="F4471" i="22"/>
  <c r="E4471" i="22"/>
  <c r="I4470" i="22"/>
  <c r="G4470" i="22"/>
  <c r="F4470" i="22"/>
  <c r="E4470" i="22"/>
  <c r="H4470" i="22"/>
  <c r="H4469" i="22"/>
  <c r="I4469" i="22"/>
  <c r="G4469" i="22"/>
  <c r="E4469" i="22"/>
  <c r="F4469" i="22"/>
  <c r="E4468" i="22"/>
  <c r="F4468" i="22"/>
  <c r="G4468" i="22"/>
  <c r="H4468" i="22"/>
  <c r="I4468" i="22"/>
  <c r="I4467" i="22"/>
  <c r="H4467" i="22"/>
  <c r="G4467" i="22"/>
  <c r="F4467" i="22"/>
  <c r="E4467" i="22"/>
  <c r="F4466" i="22"/>
  <c r="I4466" i="22"/>
  <c r="H4466" i="22"/>
  <c r="G4466" i="22"/>
  <c r="E4466" i="22"/>
  <c r="E4465" i="22"/>
  <c r="I4465" i="22"/>
  <c r="H4465" i="22"/>
  <c r="G4465" i="22"/>
  <c r="F4465" i="22"/>
  <c r="H4464" i="22"/>
  <c r="E4464" i="22"/>
  <c r="F4464" i="22"/>
  <c r="G4464" i="22"/>
  <c r="I4464" i="22"/>
  <c r="G4463" i="22"/>
  <c r="I4463" i="22"/>
  <c r="H4463" i="22"/>
  <c r="E4463" i="22"/>
  <c r="F4463" i="22"/>
  <c r="H4462" i="22"/>
  <c r="I4462" i="22"/>
  <c r="G4462" i="22"/>
  <c r="F4462" i="22"/>
  <c r="E4462" i="22"/>
  <c r="E4461" i="22"/>
  <c r="I4461" i="22"/>
  <c r="H4461" i="22"/>
  <c r="G4461" i="22"/>
  <c r="F4461" i="22"/>
  <c r="F4460" i="22"/>
  <c r="G4460" i="22"/>
  <c r="H4460" i="22"/>
  <c r="I4460" i="22"/>
  <c r="E4460" i="22"/>
  <c r="E4459" i="22"/>
  <c r="F4459" i="22"/>
  <c r="G4459" i="22"/>
  <c r="I4459" i="22"/>
  <c r="H4459" i="22"/>
  <c r="G4458" i="22"/>
  <c r="E4458" i="22"/>
  <c r="F4458" i="22"/>
  <c r="I4458" i="22"/>
  <c r="H4458" i="22"/>
  <c r="E4457" i="22"/>
  <c r="H4457" i="22"/>
  <c r="G4457" i="22"/>
  <c r="F4457" i="22"/>
  <c r="I4457" i="22"/>
  <c r="F4456" i="22"/>
  <c r="G4456" i="22"/>
  <c r="E4456" i="22"/>
  <c r="I4456" i="22"/>
  <c r="H4456" i="22"/>
  <c r="F4455" i="22"/>
  <c r="I4455" i="22"/>
  <c r="H4455" i="22"/>
  <c r="G4455" i="22"/>
  <c r="E4455" i="22"/>
  <c r="F4454" i="22"/>
  <c r="E4454" i="22"/>
  <c r="H4454" i="22"/>
  <c r="I4454" i="22"/>
  <c r="G4454" i="22"/>
  <c r="I4453" i="22"/>
  <c r="H4453" i="22"/>
  <c r="G4453" i="22"/>
  <c r="E4453" i="22"/>
  <c r="F4453" i="22"/>
  <c r="I4452" i="22"/>
  <c r="H4452" i="22"/>
  <c r="G4452" i="22"/>
  <c r="F4452" i="22"/>
  <c r="E4452" i="22"/>
  <c r="I4451" i="22"/>
  <c r="H4451" i="22"/>
  <c r="G4451" i="22"/>
  <c r="F4451" i="22"/>
  <c r="E4451" i="22"/>
  <c r="I4450" i="22"/>
  <c r="H4450" i="22"/>
  <c r="G4450" i="22"/>
  <c r="E4450" i="22"/>
  <c r="F4450" i="22"/>
  <c r="H4449" i="22"/>
  <c r="G4449" i="22"/>
  <c r="E4449" i="22"/>
  <c r="I4449" i="22"/>
  <c r="F4449" i="22"/>
  <c r="E4448" i="22"/>
  <c r="I4448" i="22"/>
  <c r="H4448" i="22"/>
  <c r="G4448" i="22"/>
  <c r="F4448" i="22"/>
  <c r="E4447" i="22"/>
  <c r="H4447" i="22"/>
  <c r="G4447" i="22"/>
  <c r="I4447" i="22"/>
  <c r="F4447" i="22"/>
  <c r="I4446" i="22"/>
  <c r="H4446" i="22"/>
  <c r="G4446" i="22"/>
  <c r="F4446" i="22"/>
  <c r="E4446" i="22"/>
  <c r="E4445" i="22"/>
  <c r="H4445" i="22"/>
  <c r="I4445" i="22"/>
  <c r="F4445" i="22"/>
  <c r="G4445" i="22"/>
  <c r="E4444" i="22"/>
  <c r="H4444" i="22"/>
  <c r="F4444" i="22"/>
  <c r="G4444" i="22"/>
  <c r="I4444" i="22"/>
  <c r="F4443" i="22"/>
  <c r="E4443" i="22"/>
  <c r="I4443" i="22"/>
  <c r="H4443" i="22"/>
  <c r="G4443" i="22"/>
  <c r="G4442" i="22"/>
  <c r="I4442" i="22"/>
  <c r="H4442" i="22"/>
  <c r="F4442" i="22"/>
  <c r="E4442" i="22"/>
  <c r="G4441" i="22"/>
  <c r="I4441" i="22"/>
  <c r="H4441" i="22"/>
  <c r="F4441" i="22"/>
  <c r="E4441" i="22"/>
  <c r="H4440" i="22"/>
  <c r="F4440" i="22"/>
  <c r="G4440" i="22"/>
  <c r="I4440" i="22"/>
  <c r="E4440" i="22"/>
  <c r="E4439" i="22"/>
  <c r="F4439" i="22"/>
  <c r="G4439" i="22"/>
  <c r="H4439" i="22"/>
  <c r="I4439" i="22"/>
  <c r="E4438" i="22"/>
  <c r="G4438" i="22"/>
  <c r="H4438" i="22"/>
  <c r="I4438" i="22"/>
  <c r="F4438" i="22"/>
  <c r="E4437" i="22"/>
  <c r="G4437" i="22"/>
  <c r="H4437" i="22"/>
  <c r="I4437" i="22"/>
  <c r="F4437" i="22"/>
  <c r="H4436" i="22"/>
  <c r="I4436" i="22"/>
  <c r="E4436" i="22"/>
  <c r="F4436" i="22"/>
  <c r="G4436" i="22"/>
  <c r="I4435" i="22"/>
  <c r="E4435" i="22"/>
  <c r="F4435" i="22"/>
  <c r="G4435" i="22"/>
  <c r="H4435" i="22"/>
  <c r="G4434" i="22"/>
  <c r="I4434" i="22"/>
  <c r="E4434" i="22"/>
  <c r="H4434" i="22"/>
  <c r="F4434" i="22"/>
  <c r="I4433" i="22"/>
  <c r="G4433" i="22"/>
  <c r="E4433" i="22"/>
  <c r="F4433" i="22"/>
  <c r="H4433" i="22"/>
  <c r="G4432" i="22"/>
  <c r="H4432" i="22"/>
  <c r="I4432" i="22"/>
  <c r="E4432" i="22"/>
  <c r="F4432" i="22"/>
  <c r="F4431" i="22"/>
  <c r="I4431" i="22"/>
  <c r="H4431" i="22"/>
  <c r="G4431" i="22"/>
  <c r="E4431" i="22"/>
  <c r="E4430" i="22"/>
  <c r="F4430" i="22"/>
  <c r="G4430" i="22"/>
  <c r="H4430" i="22"/>
  <c r="I4430" i="22"/>
  <c r="E4429" i="22"/>
  <c r="F4429" i="22"/>
  <c r="G4429" i="22"/>
  <c r="H4429" i="22"/>
  <c r="I4429" i="22"/>
  <c r="E4428" i="22"/>
  <c r="G4428" i="22"/>
  <c r="F4428" i="22"/>
  <c r="H4428" i="22"/>
  <c r="I4428" i="22"/>
  <c r="E4427" i="22"/>
  <c r="F4427" i="22"/>
  <c r="G4427" i="22"/>
  <c r="H4427" i="22"/>
  <c r="I4427" i="22"/>
  <c r="E4426" i="22"/>
  <c r="G4426" i="22"/>
  <c r="I4426" i="22"/>
  <c r="H4426" i="22"/>
  <c r="F4426" i="22"/>
  <c r="I4425" i="22"/>
  <c r="E4425" i="22"/>
  <c r="H4425" i="22"/>
  <c r="G4425" i="22"/>
  <c r="F4425" i="22"/>
  <c r="G4424" i="22"/>
  <c r="H4424" i="22"/>
  <c r="I4424" i="22"/>
  <c r="E4424" i="22"/>
  <c r="F4424" i="22"/>
  <c r="F4423" i="22"/>
  <c r="I4423" i="22"/>
  <c r="H4423" i="22"/>
  <c r="G4423" i="22"/>
  <c r="E4423" i="22"/>
  <c r="I4422" i="22"/>
  <c r="H4422" i="22"/>
  <c r="G4422" i="22"/>
  <c r="F4422" i="22"/>
  <c r="E4422" i="22"/>
  <c r="I4421" i="22"/>
  <c r="H4421" i="22"/>
  <c r="G4421" i="22"/>
  <c r="F4421" i="22"/>
  <c r="E4421" i="22"/>
  <c r="H4420" i="22"/>
  <c r="G4420" i="22"/>
  <c r="F4420" i="22"/>
  <c r="E4420" i="22"/>
  <c r="I4420" i="22"/>
  <c r="H4419" i="22"/>
  <c r="I4419" i="22"/>
  <c r="E4419" i="22"/>
  <c r="G4419" i="22"/>
  <c r="F4419" i="22"/>
  <c r="E4418" i="22"/>
  <c r="F4418" i="22"/>
  <c r="G4418" i="22"/>
  <c r="H4418" i="22"/>
  <c r="I4418" i="22"/>
  <c r="H4417" i="22"/>
  <c r="I4417" i="22"/>
  <c r="G4417" i="22"/>
  <c r="E4417" i="22"/>
  <c r="F4417" i="22"/>
  <c r="F4416" i="22"/>
  <c r="G4416" i="22"/>
  <c r="H4416" i="22"/>
  <c r="I4416" i="22"/>
  <c r="E4416" i="22"/>
  <c r="F4415" i="22"/>
  <c r="E4415" i="22"/>
  <c r="H4415" i="22"/>
  <c r="I4415" i="22"/>
  <c r="G4415" i="22"/>
  <c r="I4414" i="22"/>
  <c r="H4414" i="22"/>
  <c r="G4414" i="22"/>
  <c r="F4414" i="22"/>
  <c r="E4414" i="22"/>
  <c r="I4413" i="22"/>
  <c r="H4413" i="22"/>
  <c r="G4413" i="22"/>
  <c r="F4413" i="22"/>
  <c r="E4413" i="22"/>
  <c r="E4412" i="22"/>
  <c r="F4412" i="22"/>
  <c r="G4412" i="22"/>
  <c r="H4412" i="22"/>
  <c r="I4412" i="22"/>
  <c r="E4411" i="22"/>
  <c r="F4411" i="22"/>
  <c r="G4411" i="22"/>
  <c r="H4411" i="22"/>
  <c r="I4411" i="22"/>
  <c r="I4410" i="22"/>
  <c r="H4410" i="22"/>
  <c r="G4410" i="22"/>
  <c r="F4410" i="22"/>
  <c r="E4410" i="22"/>
  <c r="E4409" i="22"/>
  <c r="I4409" i="22"/>
  <c r="H4409" i="22"/>
  <c r="G4409" i="22"/>
  <c r="F4409" i="22"/>
  <c r="E4408" i="22"/>
  <c r="I4408" i="22"/>
  <c r="H4408" i="22"/>
  <c r="G4408" i="22"/>
  <c r="F4408" i="22"/>
  <c r="G4407" i="22"/>
  <c r="F4407" i="22"/>
  <c r="E4407" i="22"/>
  <c r="H4407" i="22"/>
  <c r="I4407" i="22"/>
  <c r="I4406" i="22"/>
  <c r="H4406" i="22"/>
  <c r="G4406" i="22"/>
  <c r="F4406" i="22"/>
  <c r="E4406" i="22"/>
  <c r="I4405" i="22"/>
  <c r="H4405" i="22"/>
  <c r="G4405" i="22"/>
  <c r="F4405" i="22"/>
  <c r="E4405" i="22"/>
  <c r="I4404" i="22"/>
  <c r="H4404" i="22"/>
  <c r="E4404" i="22"/>
  <c r="F4404" i="22"/>
  <c r="G4404" i="22"/>
  <c r="I4403" i="22"/>
  <c r="H4403" i="22"/>
  <c r="G4403" i="22"/>
  <c r="F4403" i="22"/>
  <c r="E4403" i="22"/>
  <c r="H4402" i="22"/>
  <c r="I4402" i="22"/>
  <c r="G4402" i="22"/>
  <c r="E4402" i="22"/>
  <c r="F4402" i="22"/>
  <c r="E4401" i="22"/>
  <c r="F4401" i="22"/>
  <c r="I4401" i="22"/>
  <c r="G4401" i="22"/>
  <c r="H4401" i="22"/>
  <c r="E4400" i="22"/>
  <c r="F4400" i="22"/>
  <c r="G4400" i="22"/>
  <c r="H4400" i="22"/>
  <c r="I4400" i="22"/>
  <c r="G4399" i="22"/>
  <c r="E4399" i="22"/>
  <c r="F4399" i="22"/>
  <c r="H4399" i="22"/>
  <c r="I4399" i="22"/>
  <c r="I4398" i="22"/>
  <c r="H4398" i="22"/>
  <c r="G4398" i="22"/>
  <c r="F4398" i="22"/>
  <c r="E4398" i="22"/>
  <c r="I4397" i="22"/>
  <c r="H4397" i="22"/>
  <c r="G4397" i="22"/>
  <c r="F4397" i="22"/>
  <c r="E4397" i="22"/>
  <c r="I4396" i="22"/>
  <c r="G4396" i="22"/>
  <c r="H4396" i="22"/>
  <c r="E4396" i="22"/>
  <c r="F4396" i="22"/>
  <c r="G4395" i="22"/>
  <c r="I4395" i="22"/>
  <c r="H4395" i="22"/>
  <c r="E4395" i="22"/>
  <c r="F4395" i="22"/>
  <c r="G4394" i="22"/>
  <c r="F4394" i="22"/>
  <c r="E4394" i="22"/>
  <c r="I4394" i="22"/>
  <c r="H4394" i="22"/>
  <c r="I4393" i="22"/>
  <c r="H4393" i="22"/>
  <c r="G4393" i="22"/>
  <c r="F4393" i="22"/>
  <c r="E4393" i="22"/>
  <c r="I4392" i="22"/>
  <c r="G4392" i="22"/>
  <c r="F4392" i="22"/>
  <c r="E4392" i="22"/>
  <c r="H4392" i="22"/>
  <c r="E4391" i="22"/>
  <c r="F4391" i="22"/>
  <c r="G4391" i="22"/>
  <c r="H4391" i="22"/>
  <c r="I4391" i="22"/>
  <c r="G4390" i="22"/>
  <c r="I4390" i="22"/>
  <c r="H4390" i="22"/>
  <c r="F4390" i="22"/>
  <c r="E4390" i="22"/>
  <c r="H4389" i="22"/>
  <c r="G4389" i="22"/>
  <c r="I4389" i="22"/>
  <c r="F4389" i="22"/>
  <c r="E4389" i="22"/>
  <c r="H4388" i="22"/>
  <c r="I4388" i="22"/>
  <c r="G4388" i="22"/>
  <c r="F4388" i="22"/>
  <c r="E4388" i="22"/>
  <c r="E4387" i="22"/>
  <c r="F4387" i="22"/>
  <c r="G4387" i="22"/>
  <c r="H4387" i="22"/>
  <c r="I4387" i="22"/>
  <c r="E4386" i="22"/>
  <c r="F4386" i="22"/>
  <c r="G4386" i="22"/>
  <c r="H4386" i="22"/>
  <c r="I4386" i="22"/>
  <c r="H4385" i="22"/>
  <c r="G4385" i="22"/>
  <c r="F4385" i="22"/>
  <c r="E4385" i="22"/>
  <c r="I4385" i="22"/>
  <c r="E4384" i="22"/>
  <c r="F4384" i="22"/>
  <c r="G4384" i="22"/>
  <c r="H4384" i="22"/>
  <c r="I4384" i="22"/>
  <c r="I4383" i="22"/>
  <c r="E4383" i="22"/>
  <c r="F4383" i="22"/>
  <c r="G4383" i="22"/>
  <c r="H4383" i="22"/>
  <c r="F4382" i="22"/>
  <c r="I4382" i="22"/>
  <c r="G4382" i="22"/>
  <c r="H4382" i="22"/>
  <c r="E4382" i="22"/>
  <c r="I4381" i="22"/>
  <c r="H4381" i="22"/>
  <c r="G4381" i="22"/>
  <c r="F4381" i="22"/>
  <c r="E4381" i="22"/>
  <c r="I4380" i="22"/>
  <c r="H4380" i="22"/>
  <c r="G4380" i="22"/>
  <c r="F4380" i="22"/>
  <c r="E4380" i="22"/>
  <c r="E4379" i="22"/>
  <c r="F4379" i="22"/>
  <c r="G4379" i="22"/>
  <c r="I4379" i="22"/>
  <c r="H4379" i="22"/>
  <c r="E4378" i="22"/>
  <c r="F4378" i="22"/>
  <c r="G4378" i="22"/>
  <c r="H4378" i="22"/>
  <c r="I4378" i="22"/>
  <c r="G4377" i="22"/>
  <c r="H4377" i="22"/>
  <c r="I4377" i="22"/>
  <c r="E4377" i="22"/>
  <c r="F4377" i="22"/>
  <c r="E4376" i="22"/>
  <c r="F4376" i="22"/>
  <c r="G4376" i="22"/>
  <c r="H4376" i="22"/>
  <c r="I4376" i="22"/>
  <c r="H4375" i="22"/>
  <c r="G4375" i="22"/>
  <c r="I4375" i="22"/>
  <c r="F4375" i="22"/>
  <c r="E4375" i="22"/>
  <c r="G4374" i="22"/>
  <c r="E4374" i="22"/>
  <c r="I4374" i="22"/>
  <c r="H4374" i="22"/>
  <c r="F4374" i="22"/>
  <c r="I4373" i="22"/>
  <c r="E4373" i="22"/>
  <c r="F4373" i="22"/>
  <c r="G4373" i="22"/>
  <c r="H4373" i="22"/>
  <c r="I4372" i="22"/>
  <c r="H4372" i="22"/>
  <c r="G4372" i="22"/>
  <c r="E4372" i="22"/>
  <c r="F4372" i="22"/>
  <c r="I4371" i="22"/>
  <c r="H4371" i="22"/>
  <c r="G4371" i="22"/>
  <c r="F4371" i="22"/>
  <c r="E4371" i="22"/>
  <c r="G4370" i="22"/>
  <c r="E4370" i="22"/>
  <c r="F4370" i="22"/>
  <c r="I4370" i="22"/>
  <c r="H4370" i="22"/>
  <c r="I4369" i="22"/>
  <c r="H4369" i="22"/>
  <c r="G4369" i="22"/>
  <c r="F4369" i="22"/>
  <c r="E4369" i="22"/>
  <c r="I4368" i="22"/>
  <c r="F4368" i="22"/>
  <c r="E4368" i="22"/>
  <c r="G4368" i="22"/>
  <c r="H4368" i="22"/>
  <c r="E4367" i="22"/>
  <c r="F4367" i="22"/>
  <c r="G4367" i="22"/>
  <c r="H4367" i="22"/>
  <c r="I4367" i="22"/>
  <c r="E4366" i="22"/>
  <c r="F4366" i="22"/>
  <c r="G4366" i="22"/>
  <c r="H4366" i="22"/>
  <c r="I4366" i="22"/>
  <c r="E4365" i="22"/>
  <c r="G4365" i="22"/>
  <c r="H4365" i="22"/>
  <c r="I4365" i="22"/>
  <c r="F4365" i="22"/>
  <c r="G4364" i="22"/>
  <c r="H4364" i="22"/>
  <c r="I4364" i="22"/>
  <c r="F4364" i="22"/>
  <c r="E4364" i="22"/>
  <c r="G4363" i="22"/>
  <c r="H4363" i="22"/>
  <c r="I4363" i="22"/>
  <c r="F4363" i="22"/>
  <c r="E4363" i="22"/>
  <c r="E4362" i="22"/>
  <c r="I4362" i="22"/>
  <c r="H4362" i="22"/>
  <c r="G4362" i="22"/>
  <c r="F4362" i="22"/>
  <c r="E4361" i="22"/>
  <c r="G4361" i="22"/>
  <c r="H4361" i="22"/>
  <c r="F4361" i="22"/>
  <c r="I4361" i="22"/>
  <c r="H4360" i="22"/>
  <c r="I4360" i="22"/>
  <c r="E4360" i="22"/>
  <c r="F4360" i="22"/>
  <c r="G4360" i="22"/>
  <c r="E4359" i="22"/>
  <c r="F4359" i="22"/>
  <c r="G4359" i="22"/>
  <c r="H4359" i="22"/>
  <c r="I4359" i="22"/>
  <c r="E4358" i="22"/>
  <c r="F4358" i="22"/>
  <c r="G4358" i="22"/>
  <c r="H4358" i="22"/>
  <c r="I4358" i="22"/>
  <c r="I4357" i="22"/>
  <c r="E4357" i="22"/>
  <c r="H4357" i="22"/>
  <c r="G4357" i="22"/>
  <c r="F4357" i="22"/>
  <c r="H4356" i="22"/>
  <c r="I4356" i="22"/>
  <c r="E4356" i="22"/>
  <c r="F4356" i="22"/>
  <c r="G4356" i="22"/>
  <c r="I4355" i="22"/>
  <c r="H4355" i="22"/>
  <c r="F4355" i="22"/>
  <c r="G4355" i="22"/>
  <c r="E4355" i="22"/>
  <c r="F4354" i="22"/>
  <c r="G4354" i="22"/>
  <c r="I4354" i="22"/>
  <c r="H4354" i="22"/>
  <c r="E4354" i="22"/>
  <c r="G4353" i="22"/>
  <c r="F4353" i="22"/>
  <c r="E4353" i="22"/>
  <c r="I4353" i="22"/>
  <c r="H4353" i="22"/>
  <c r="H4352" i="22"/>
  <c r="F4352" i="22"/>
  <c r="E4352" i="22"/>
  <c r="G4352" i="22"/>
  <c r="I4352" i="22"/>
  <c r="E4351" i="22"/>
  <c r="I4351" i="22"/>
  <c r="H4351" i="22"/>
  <c r="G4351" i="22"/>
  <c r="F4351" i="22"/>
  <c r="I4350" i="22"/>
  <c r="H4350" i="22"/>
  <c r="G4350" i="22"/>
  <c r="F4350" i="22"/>
  <c r="E4350" i="22"/>
  <c r="H4349" i="22"/>
  <c r="I4349" i="22"/>
  <c r="F4349" i="22"/>
  <c r="E4349" i="22"/>
  <c r="G4349" i="22"/>
  <c r="I4348" i="22"/>
  <c r="H4348" i="22"/>
  <c r="G4348" i="22"/>
  <c r="F4348" i="22"/>
  <c r="E4348" i="22"/>
  <c r="I4347" i="22"/>
  <c r="H4347" i="22"/>
  <c r="G4347" i="22"/>
  <c r="F4347" i="22"/>
  <c r="E4347" i="22"/>
  <c r="H4346" i="22"/>
  <c r="G4346" i="22"/>
  <c r="I4346" i="22"/>
  <c r="F4346" i="22"/>
  <c r="E4346" i="22"/>
  <c r="G4345" i="22"/>
  <c r="F4345" i="22"/>
  <c r="E4345" i="22"/>
  <c r="I4345" i="22"/>
  <c r="H4345" i="22"/>
  <c r="H4344" i="22"/>
  <c r="I4344" i="22"/>
  <c r="E4344" i="22"/>
  <c r="F4344" i="22"/>
  <c r="G4344" i="22"/>
  <c r="E4343" i="22"/>
  <c r="F4343" i="22"/>
  <c r="H4343" i="22"/>
  <c r="I4343" i="22"/>
  <c r="G4343" i="22"/>
  <c r="G4342" i="22"/>
  <c r="H4342" i="22"/>
  <c r="I4342" i="22"/>
  <c r="E4342" i="22"/>
  <c r="F4342" i="22"/>
  <c r="E4341" i="22"/>
  <c r="I4341" i="22"/>
  <c r="H4341" i="22"/>
  <c r="G4341" i="22"/>
  <c r="F4341" i="22"/>
  <c r="I4340" i="22"/>
  <c r="H4340" i="22"/>
  <c r="F4340" i="22"/>
  <c r="E4340" i="22"/>
  <c r="G4340" i="22"/>
  <c r="E4339" i="22"/>
  <c r="F4339" i="22"/>
  <c r="G4339" i="22"/>
  <c r="H4339" i="22"/>
  <c r="I4339" i="22"/>
  <c r="H4338" i="22"/>
  <c r="G4338" i="22"/>
  <c r="F4338" i="22"/>
  <c r="E4338" i="22"/>
  <c r="I4338" i="22"/>
  <c r="F4337" i="22"/>
  <c r="I4337" i="22"/>
  <c r="H4337" i="22"/>
  <c r="G4337" i="22"/>
  <c r="E4337" i="22"/>
  <c r="E4336" i="22"/>
  <c r="I4336" i="22"/>
  <c r="H4336" i="22"/>
  <c r="G4336" i="22"/>
  <c r="F4336" i="22"/>
  <c r="E4335" i="22"/>
  <c r="I4335" i="22"/>
  <c r="H4335" i="22"/>
  <c r="G4335" i="22"/>
  <c r="F4335" i="22"/>
  <c r="E4334" i="22"/>
  <c r="F4334" i="22"/>
  <c r="I4334" i="22"/>
  <c r="H4334" i="22"/>
  <c r="G4334" i="22"/>
  <c r="I4333" i="22"/>
  <c r="H4333" i="22"/>
  <c r="G4333" i="22"/>
  <c r="F4333" i="22"/>
  <c r="E4333" i="22"/>
  <c r="D4332" i="22"/>
  <c r="B4332" i="22"/>
  <c r="C4332" i="22" s="1"/>
  <c r="D4331" i="22"/>
  <c r="B4331" i="22"/>
  <c r="C4331" i="22" s="1"/>
  <c r="D4330" i="22"/>
  <c r="B4330" i="22"/>
  <c r="C4330" i="22" s="1"/>
  <c r="D4329" i="22"/>
  <c r="B4329" i="22"/>
  <c r="C4329" i="22" s="1"/>
  <c r="D4328" i="22"/>
  <c r="B4328" i="22"/>
  <c r="C4328" i="22" s="1"/>
  <c r="D4327" i="22"/>
  <c r="B4327" i="22"/>
  <c r="C4327" i="22" s="1"/>
  <c r="D4326" i="22"/>
  <c r="B4326" i="22"/>
  <c r="C4326" i="22" s="1"/>
  <c r="B4325" i="22"/>
  <c r="C4325" i="22" s="1"/>
  <c r="D4325" i="22"/>
  <c r="D4324" i="22"/>
  <c r="B4324" i="22"/>
  <c r="C4324" i="22" s="1"/>
  <c r="D4323" i="22"/>
  <c r="B4323" i="22"/>
  <c r="C4323" i="22" s="1"/>
  <c r="D4322" i="22"/>
  <c r="B4322" i="22"/>
  <c r="C4322" i="22" s="1"/>
  <c r="B4321" i="22"/>
  <c r="C4321" i="22" s="1"/>
  <c r="D4321" i="22"/>
  <c r="D4320" i="22"/>
  <c r="B4320" i="22"/>
  <c r="C4320" i="22" s="1"/>
  <c r="D4319" i="22"/>
  <c r="B4319" i="22"/>
  <c r="C4319" i="22" s="1"/>
  <c r="D4318" i="22"/>
  <c r="B4318" i="22"/>
  <c r="C4318" i="22" s="1"/>
  <c r="D4317" i="22"/>
  <c r="B4317" i="22"/>
  <c r="C4317" i="22" s="1"/>
  <c r="D4316" i="22"/>
  <c r="B4316" i="22"/>
  <c r="C4316" i="22" s="1"/>
  <c r="D4315" i="22"/>
  <c r="B4315" i="22"/>
  <c r="C4315" i="22" s="1"/>
  <c r="D4314" i="22"/>
  <c r="B4314" i="22"/>
  <c r="C4314" i="22" s="1"/>
  <c r="D4313" i="22"/>
  <c r="B4313" i="22"/>
  <c r="C4313" i="22" s="1"/>
  <c r="D4312" i="22"/>
  <c r="B4312" i="22"/>
  <c r="C4312" i="22" s="1"/>
  <c r="D4311" i="22"/>
  <c r="B4311" i="22"/>
  <c r="C4311" i="22" s="1"/>
  <c r="B4310" i="22"/>
  <c r="C4310" i="22" s="1"/>
  <c r="D4310" i="22"/>
  <c r="B4309" i="22"/>
  <c r="C4309" i="22" s="1"/>
  <c r="D4309" i="22"/>
  <c r="D4308" i="22"/>
  <c r="B4308" i="22"/>
  <c r="C4308" i="22" s="1"/>
  <c r="D4307" i="22"/>
  <c r="B4307" i="22"/>
  <c r="C4307" i="22" s="1"/>
  <c r="D4306" i="22"/>
  <c r="B4306" i="22"/>
  <c r="C4306" i="22" s="1"/>
  <c r="D4305" i="22"/>
  <c r="B4305" i="22"/>
  <c r="C4305" i="22" s="1"/>
  <c r="D4304" i="22"/>
  <c r="B4304" i="22"/>
  <c r="C4304" i="22" s="1"/>
  <c r="D4303" i="22"/>
  <c r="B4303" i="22"/>
  <c r="C4303" i="22" s="1"/>
  <c r="B4302" i="22"/>
  <c r="C4302" i="22" s="1"/>
  <c r="D4302" i="22"/>
  <c r="D4301" i="22"/>
  <c r="B4301" i="22"/>
  <c r="C4301" i="22" s="1"/>
  <c r="D4300" i="22"/>
  <c r="B4300" i="22"/>
  <c r="C4300" i="22" s="1"/>
  <c r="B4299" i="22"/>
  <c r="C4299" i="22" s="1"/>
  <c r="D4299" i="22"/>
  <c r="B4298" i="22"/>
  <c r="C4298" i="22" s="1"/>
  <c r="D4298" i="22"/>
  <c r="B4297" i="22"/>
  <c r="C4297" i="22" s="1"/>
  <c r="D4297" i="22"/>
  <c r="B4296" i="22"/>
  <c r="C4296" i="22" s="1"/>
  <c r="D4296" i="22"/>
  <c r="D4295" i="22"/>
  <c r="B4295" i="22"/>
  <c r="C4295" i="22" s="1"/>
  <c r="B4294" i="22"/>
  <c r="C4294" i="22" s="1"/>
  <c r="D4294" i="22"/>
  <c r="D4293" i="22"/>
  <c r="B4293" i="22"/>
  <c r="C4293" i="22" s="1"/>
  <c r="D4292" i="22"/>
  <c r="B4292" i="22"/>
  <c r="C4292" i="22" s="1"/>
  <c r="D4291" i="22"/>
  <c r="B4291" i="22"/>
  <c r="C4291" i="22" s="1"/>
  <c r="D4290" i="22"/>
  <c r="B4290" i="22"/>
  <c r="C4290" i="22" s="1"/>
  <c r="D4289" i="22"/>
  <c r="B4289" i="22"/>
  <c r="C4289" i="22" s="1"/>
  <c r="D4288" i="22"/>
  <c r="B4288" i="22"/>
  <c r="C4288" i="22" s="1"/>
  <c r="B4287" i="22"/>
  <c r="C4287" i="22" s="1"/>
  <c r="D4287" i="22"/>
  <c r="D4286" i="22"/>
  <c r="B4286" i="22"/>
  <c r="C4286" i="22" s="1"/>
  <c r="B4285" i="22"/>
  <c r="C4285" i="22" s="1"/>
  <c r="D4285" i="22"/>
  <c r="B4284" i="22"/>
  <c r="C4284" i="22" s="1"/>
  <c r="D4284" i="22"/>
  <c r="B4283" i="22"/>
  <c r="C4283" i="22" s="1"/>
  <c r="D4283" i="22"/>
  <c r="B4282" i="22"/>
  <c r="C4282" i="22" s="1"/>
  <c r="D4282" i="22"/>
  <c r="D4281" i="22"/>
  <c r="B4281" i="22"/>
  <c r="C4281" i="22" s="1"/>
  <c r="B4280" i="22"/>
  <c r="C4280" i="22" s="1"/>
  <c r="D4280" i="22"/>
  <c r="D4279" i="22"/>
  <c r="B4279" i="22"/>
  <c r="C4279" i="22" s="1"/>
  <c r="B4278" i="22"/>
  <c r="C4278" i="22" s="1"/>
  <c r="D4278" i="22"/>
  <c r="B4277" i="22"/>
  <c r="C4277" i="22" s="1"/>
  <c r="D4277" i="22"/>
  <c r="D4276" i="22"/>
  <c r="B4276" i="22"/>
  <c r="C4276" i="22" s="1"/>
  <c r="D4275" i="22"/>
  <c r="B4275" i="22"/>
  <c r="C4275" i="22" s="1"/>
  <c r="D4274" i="22"/>
  <c r="B4274" i="22"/>
  <c r="C4274" i="22" s="1"/>
  <c r="D4273" i="22"/>
  <c r="B4273" i="22"/>
  <c r="C4273" i="22" s="1"/>
  <c r="D4272" i="22"/>
  <c r="B4272" i="22"/>
  <c r="C4272" i="22" s="1"/>
  <c r="B4271" i="22"/>
  <c r="C4271" i="22" s="1"/>
  <c r="D4271" i="22"/>
  <c r="D4270" i="22"/>
  <c r="B4270" i="22"/>
  <c r="C4270" i="22" s="1"/>
  <c r="D4269" i="22"/>
  <c r="B4269" i="22"/>
  <c r="C4269" i="22" s="1"/>
  <c r="B4268" i="22"/>
  <c r="C4268" i="22" s="1"/>
  <c r="I4513" i="22" s="1"/>
  <c r="D4268" i="22"/>
  <c r="E4213" i="22"/>
  <c r="I4213" i="22"/>
  <c r="C4213" i="22"/>
  <c r="G4213" i="22"/>
  <c r="B4214" i="22"/>
  <c r="F4213" i="22"/>
  <c r="C4159" i="22"/>
  <c r="E4159" i="22"/>
  <c r="I4159" i="22"/>
  <c r="G4159" i="22"/>
  <c r="B4160" i="22"/>
  <c r="F4159" i="22"/>
  <c r="I4105" i="22"/>
  <c r="B4106" i="22"/>
  <c r="C4105" i="22"/>
  <c r="G4105" i="22"/>
  <c r="F4105" i="22"/>
  <c r="E4105" i="22"/>
  <c r="I4051" i="22"/>
  <c r="B4052" i="22"/>
  <c r="C4051" i="22"/>
  <c r="E4051" i="22"/>
  <c r="F4051" i="22"/>
  <c r="G4051" i="22"/>
  <c r="AF4045" i="22"/>
  <c r="AJ4045" i="22"/>
  <c r="AK4045" i="22"/>
  <c r="AM4045" i="22"/>
  <c r="AL4045" i="22"/>
  <c r="Z4045" i="22"/>
  <c r="AB4045" i="22"/>
  <c r="AC4045" i="22"/>
  <c r="V4045" i="22"/>
  <c r="AA4045" i="22"/>
  <c r="S4045" i="22"/>
  <c r="R4045" i="22"/>
  <c r="Q4045" i="22"/>
  <c r="L4045" i="22"/>
  <c r="P4045" i="22"/>
  <c r="G4045" i="22"/>
  <c r="H4045" i="22"/>
  <c r="I4045" i="22"/>
  <c r="B4045" i="22"/>
  <c r="F4045" i="22"/>
  <c r="AJ4044" i="22"/>
  <c r="AM4044" i="22"/>
  <c r="AL4044" i="22"/>
  <c r="AK4044" i="22"/>
  <c r="AF4044" i="22"/>
  <c r="Z4044" i="22"/>
  <c r="V4044" i="22"/>
  <c r="AB4044" i="22"/>
  <c r="AC4044" i="22"/>
  <c r="AA4044" i="22"/>
  <c r="S4044" i="22"/>
  <c r="R4044" i="22"/>
  <c r="Q4044" i="22"/>
  <c r="L4044" i="22"/>
  <c r="P4044" i="22"/>
  <c r="F4044" i="22"/>
  <c r="B4044" i="22"/>
  <c r="I4044" i="22"/>
  <c r="H4044" i="22"/>
  <c r="G4044" i="22"/>
  <c r="AM4043" i="22"/>
  <c r="AL4043" i="22"/>
  <c r="AK4043" i="22"/>
  <c r="AJ4043" i="22"/>
  <c r="AF4043" i="22"/>
  <c r="AC4043" i="22"/>
  <c r="AB4043" i="22"/>
  <c r="AA4043" i="22"/>
  <c r="Z4043" i="22"/>
  <c r="V4043" i="22"/>
  <c r="P4043" i="22"/>
  <c r="S4043" i="22"/>
  <c r="R4043" i="22"/>
  <c r="Q4043" i="22"/>
  <c r="L4043" i="22"/>
  <c r="F4043" i="22"/>
  <c r="B4043" i="22"/>
  <c r="H4043" i="22"/>
  <c r="I4043" i="22"/>
  <c r="G4043" i="22"/>
  <c r="AM4042" i="22"/>
  <c r="AL4042" i="22"/>
  <c r="AJ4042" i="22"/>
  <c r="AK4042" i="22"/>
  <c r="AF4042" i="22"/>
  <c r="Z4042" i="22"/>
  <c r="V4042" i="22"/>
  <c r="AC4042" i="22"/>
  <c r="AB4042" i="22"/>
  <c r="AA4042" i="22"/>
  <c r="S4042" i="22"/>
  <c r="R4042" i="22"/>
  <c r="Q4042" i="22"/>
  <c r="P4042" i="22"/>
  <c r="L4042" i="22"/>
  <c r="I4042" i="22"/>
  <c r="H4042" i="22"/>
  <c r="F4042" i="22"/>
  <c r="B4042" i="22"/>
  <c r="G4042" i="22"/>
  <c r="AF4041" i="22"/>
  <c r="AJ4041" i="22"/>
  <c r="AM4041" i="22"/>
  <c r="AL4041" i="22"/>
  <c r="AK4041" i="22"/>
  <c r="V4041" i="22"/>
  <c r="Z4041" i="22"/>
  <c r="AA4041" i="22"/>
  <c r="AB4041" i="22"/>
  <c r="AC4041" i="22"/>
  <c r="S4041" i="22"/>
  <c r="Q4041" i="22"/>
  <c r="P4041" i="22"/>
  <c r="L4041" i="22"/>
  <c r="R4041" i="22"/>
  <c r="H4041" i="22"/>
  <c r="B4041" i="22"/>
  <c r="F4041" i="22"/>
  <c r="G4041" i="22"/>
  <c r="I4041" i="22"/>
  <c r="AF4040" i="22"/>
  <c r="AK4040" i="22"/>
  <c r="AL4040" i="22"/>
  <c r="AM4040" i="22"/>
  <c r="AJ4040" i="22"/>
  <c r="AB4040" i="22"/>
  <c r="V4040" i="22"/>
  <c r="Z4040" i="22"/>
  <c r="AA4040" i="22"/>
  <c r="AC4040" i="22"/>
  <c r="L4040" i="22"/>
  <c r="P4040" i="22"/>
  <c r="Q4040" i="22"/>
  <c r="R4040" i="22"/>
  <c r="S4040" i="22"/>
  <c r="I4040" i="22"/>
  <c r="H4040" i="22"/>
  <c r="G4040" i="22"/>
  <c r="F4040" i="22"/>
  <c r="B4040" i="22"/>
  <c r="AL4039" i="22"/>
  <c r="AJ4039" i="22"/>
  <c r="AK4039" i="22"/>
  <c r="AM4039" i="22"/>
  <c r="AF4039" i="22"/>
  <c r="Z4039" i="22"/>
  <c r="AA4039" i="22"/>
  <c r="AB4039" i="22"/>
  <c r="AC4039" i="22"/>
  <c r="V4039" i="22"/>
  <c r="L4039" i="22"/>
  <c r="Q4039" i="22"/>
  <c r="R4039" i="22"/>
  <c r="S4039" i="22"/>
  <c r="P4039" i="22"/>
  <c r="G4039" i="22"/>
  <c r="F4039" i="22"/>
  <c r="H4039" i="22"/>
  <c r="I4039" i="22"/>
  <c r="B4039" i="22"/>
  <c r="AJ4038" i="22"/>
  <c r="AF4038" i="22"/>
  <c r="AM4038" i="22"/>
  <c r="AL4038" i="22"/>
  <c r="AK4038" i="22"/>
  <c r="AC4038" i="22"/>
  <c r="AB4038" i="22"/>
  <c r="AA4038" i="22"/>
  <c r="Z4038" i="22"/>
  <c r="V4038" i="22"/>
  <c r="S4038" i="22"/>
  <c r="R4038" i="22"/>
  <c r="Q4038" i="22"/>
  <c r="P4038" i="22"/>
  <c r="L4038" i="22"/>
  <c r="I4038" i="22"/>
  <c r="H4038" i="22"/>
  <c r="F4038" i="22"/>
  <c r="B4038" i="22"/>
  <c r="G4038" i="22"/>
  <c r="AF4037" i="22"/>
  <c r="AM4037" i="22"/>
  <c r="AJ4037" i="22"/>
  <c r="AL4037" i="22"/>
  <c r="AK4037" i="22"/>
  <c r="AB4037" i="22"/>
  <c r="AC4037" i="22"/>
  <c r="AA4037" i="22"/>
  <c r="Z4037" i="22"/>
  <c r="V4037" i="22"/>
  <c r="S4037" i="22"/>
  <c r="Q4037" i="22"/>
  <c r="L4037" i="22"/>
  <c r="P4037" i="22"/>
  <c r="R4037" i="22"/>
  <c r="I4037" i="22"/>
  <c r="B4037" i="22"/>
  <c r="F4037" i="22"/>
  <c r="G4037" i="22"/>
  <c r="H4037" i="22"/>
  <c r="AJ4036" i="22"/>
  <c r="AF4036" i="22"/>
  <c r="AM4036" i="22"/>
  <c r="AL4036" i="22"/>
  <c r="AK4036" i="22"/>
  <c r="AC4036" i="22"/>
  <c r="AB4036" i="22"/>
  <c r="Z4036" i="22"/>
  <c r="AA4036" i="22"/>
  <c r="V4036" i="22"/>
  <c r="P4036" i="22"/>
  <c r="L4036" i="22"/>
  <c r="R4036" i="22"/>
  <c r="S4036" i="22"/>
  <c r="Q4036" i="22"/>
  <c r="H4036" i="22"/>
  <c r="B4036" i="22"/>
  <c r="F4036" i="22"/>
  <c r="G4036" i="22"/>
  <c r="I4036" i="22"/>
  <c r="AJ4035" i="22"/>
  <c r="AF4035" i="22"/>
  <c r="AK4035" i="22"/>
  <c r="AL4035" i="22"/>
  <c r="AM4035" i="22"/>
  <c r="AC4035" i="22"/>
  <c r="AB4035" i="22"/>
  <c r="Z4035" i="22"/>
  <c r="V4035" i="22"/>
  <c r="AA4035" i="22"/>
  <c r="S4035" i="22"/>
  <c r="R4035" i="22"/>
  <c r="L4035" i="22"/>
  <c r="P4035" i="22"/>
  <c r="Q4035" i="22"/>
  <c r="B4035" i="22"/>
  <c r="F4035" i="22"/>
  <c r="G4035" i="22"/>
  <c r="H4035" i="22"/>
  <c r="I4035" i="22"/>
  <c r="AK4034" i="22"/>
  <c r="AJ4034" i="22"/>
  <c r="AF4034" i="22"/>
  <c r="AM4034" i="22"/>
  <c r="AL4034" i="22"/>
  <c r="AC4034" i="22"/>
  <c r="AA4034" i="22"/>
  <c r="Z4034" i="22"/>
  <c r="AB4034" i="22"/>
  <c r="V4034" i="22"/>
  <c r="R4034" i="22"/>
  <c r="L4034" i="22"/>
  <c r="Q4034" i="22"/>
  <c r="P4034" i="22"/>
  <c r="S4034" i="22"/>
  <c r="F4034" i="22"/>
  <c r="B4034" i="22"/>
  <c r="I4034" i="22"/>
  <c r="H4034" i="22"/>
  <c r="G4034" i="22"/>
  <c r="AF4033" i="22"/>
  <c r="AJ4033" i="22"/>
  <c r="AK4033" i="22"/>
  <c r="AL4033" i="22"/>
  <c r="AM4033" i="22"/>
  <c r="AA4033" i="22"/>
  <c r="AB4033" i="22"/>
  <c r="AC4033" i="22"/>
  <c r="Z4033" i="22"/>
  <c r="V4033" i="22"/>
  <c r="P4033" i="22"/>
  <c r="L4033" i="22"/>
  <c r="S4033" i="22"/>
  <c r="Q4033" i="22"/>
  <c r="R4033" i="22"/>
  <c r="F4033" i="22"/>
  <c r="I4033" i="22"/>
  <c r="H4033" i="22"/>
  <c r="G4033" i="22"/>
  <c r="B4033" i="22"/>
  <c r="AF4032" i="22"/>
  <c r="AK4032" i="22"/>
  <c r="AL4032" i="22"/>
  <c r="AM4032" i="22"/>
  <c r="AJ4032" i="22"/>
  <c r="AB4032" i="22"/>
  <c r="V4032" i="22"/>
  <c r="Z4032" i="22"/>
  <c r="AA4032" i="22"/>
  <c r="AC4032" i="22"/>
  <c r="R4032" i="22"/>
  <c r="L4032" i="22"/>
  <c r="P4032" i="22"/>
  <c r="Q4032" i="22"/>
  <c r="S4032" i="22"/>
  <c r="B4032" i="22"/>
  <c r="H4032" i="22"/>
  <c r="G4032" i="22"/>
  <c r="I4032" i="22"/>
  <c r="F4032" i="22"/>
  <c r="AM4031" i="22"/>
  <c r="AL4031" i="22"/>
  <c r="AK4031" i="22"/>
  <c r="AF4031" i="22"/>
  <c r="AJ4031" i="22"/>
  <c r="AC4031" i="22"/>
  <c r="AB4031" i="22"/>
  <c r="AA4031" i="22"/>
  <c r="Z4031" i="22"/>
  <c r="V4031" i="22"/>
  <c r="R4031" i="22"/>
  <c r="Q4031" i="22"/>
  <c r="P4031" i="22"/>
  <c r="L4031" i="22"/>
  <c r="S4031" i="22"/>
  <c r="I4031" i="22"/>
  <c r="G4031" i="22"/>
  <c r="F4031" i="22"/>
  <c r="B4031" i="22"/>
  <c r="H4031" i="22"/>
  <c r="AL4030" i="22"/>
  <c r="AK4030" i="22"/>
  <c r="AJ4030" i="22"/>
  <c r="AF4030" i="22"/>
  <c r="AM4030" i="22"/>
  <c r="AC4030" i="22"/>
  <c r="AB4030" i="22"/>
  <c r="AA4030" i="22"/>
  <c r="V4030" i="22"/>
  <c r="Z4030" i="22"/>
  <c r="S4030" i="22"/>
  <c r="R4030" i="22"/>
  <c r="Q4030" i="22"/>
  <c r="P4030" i="22"/>
  <c r="L4030" i="22"/>
  <c r="I4030" i="22"/>
  <c r="H4030" i="22"/>
  <c r="G4030" i="22"/>
  <c r="F4030" i="22"/>
  <c r="B4030" i="22"/>
  <c r="AF4029" i="22"/>
  <c r="AM4029" i="22"/>
  <c r="AL4029" i="22"/>
  <c r="AK4029" i="22"/>
  <c r="AJ4029" i="22"/>
  <c r="AC4029" i="22"/>
  <c r="V4029" i="22"/>
  <c r="AB4029" i="22"/>
  <c r="Z4029" i="22"/>
  <c r="AA4029" i="22"/>
  <c r="Q4029" i="22"/>
  <c r="S4029" i="22"/>
  <c r="R4029" i="22"/>
  <c r="P4029" i="22"/>
  <c r="L4029" i="22"/>
  <c r="H4029" i="22"/>
  <c r="G4029" i="22"/>
  <c r="F4029" i="22"/>
  <c r="B4029" i="22"/>
  <c r="I4029" i="22"/>
  <c r="AM4028" i="22"/>
  <c r="AK4028" i="22"/>
  <c r="AL4028" i="22"/>
  <c r="AF4028" i="22"/>
  <c r="AJ4028" i="22"/>
  <c r="AB4028" i="22"/>
  <c r="AA4028" i="22"/>
  <c r="Z4028" i="22"/>
  <c r="V4028" i="22"/>
  <c r="AC4028" i="22"/>
  <c r="S4028" i="22"/>
  <c r="R4028" i="22"/>
  <c r="P4028" i="22"/>
  <c r="L4028" i="22"/>
  <c r="Q4028" i="22"/>
  <c r="B4028" i="22"/>
  <c r="G4028" i="22"/>
  <c r="F4028" i="22"/>
  <c r="I4028" i="22"/>
  <c r="H4028" i="22"/>
  <c r="AM4027" i="22"/>
  <c r="AL4027" i="22"/>
  <c r="AK4027" i="22"/>
  <c r="AJ4027" i="22"/>
  <c r="AF4027" i="22"/>
  <c r="AA4027" i="22"/>
  <c r="AC4027" i="22"/>
  <c r="AB4027" i="22"/>
  <c r="V4027" i="22"/>
  <c r="Z4027" i="22"/>
  <c r="S4027" i="22"/>
  <c r="R4027" i="22"/>
  <c r="Q4027" i="22"/>
  <c r="P4027" i="22"/>
  <c r="L4027" i="22"/>
  <c r="G4027" i="22"/>
  <c r="F4027" i="22"/>
  <c r="B4027" i="22"/>
  <c r="I4027" i="22"/>
  <c r="H4027" i="22"/>
  <c r="AL4026" i="22"/>
  <c r="AJ4026" i="22"/>
  <c r="AM4026" i="22"/>
  <c r="AF4026" i="22"/>
  <c r="AK4026" i="22"/>
  <c r="V4026" i="22"/>
  <c r="Z4026" i="22"/>
  <c r="AA4026" i="22"/>
  <c r="AB4026" i="22"/>
  <c r="AC4026" i="22"/>
  <c r="R4026" i="22"/>
  <c r="Q4026" i="22"/>
  <c r="P4026" i="22"/>
  <c r="S4026" i="22"/>
  <c r="L4026" i="22"/>
  <c r="F4026" i="22"/>
  <c r="I4026" i="22"/>
  <c r="B4026" i="22"/>
  <c r="G4026" i="22"/>
  <c r="H4026" i="22"/>
  <c r="AM4025" i="22"/>
  <c r="AF4025" i="22"/>
  <c r="AL4025" i="22"/>
  <c r="AK4025" i="22"/>
  <c r="AJ4025" i="22"/>
  <c r="AB4025" i="22"/>
  <c r="AC4025" i="22"/>
  <c r="AA4025" i="22"/>
  <c r="Z4025" i="22"/>
  <c r="V4025" i="22"/>
  <c r="S4025" i="22"/>
  <c r="R4025" i="22"/>
  <c r="Q4025" i="22"/>
  <c r="P4025" i="22"/>
  <c r="L4025" i="22"/>
  <c r="I4025" i="22"/>
  <c r="H4025" i="22"/>
  <c r="G4025" i="22"/>
  <c r="F4025" i="22"/>
  <c r="B4025" i="22"/>
  <c r="AF4024" i="22"/>
  <c r="AM4024" i="22"/>
  <c r="AL4024" i="22"/>
  <c r="AK4024" i="22"/>
  <c r="AJ4024" i="22"/>
  <c r="AC4024" i="22"/>
  <c r="V4024" i="22"/>
  <c r="Z4024" i="22"/>
  <c r="AB4024" i="22"/>
  <c r="AA4024" i="22"/>
  <c r="S4024" i="22"/>
  <c r="R4024" i="22"/>
  <c r="Q4024" i="22"/>
  <c r="P4024" i="22"/>
  <c r="L4024" i="22"/>
  <c r="I4024" i="22"/>
  <c r="H4024" i="22"/>
  <c r="G4024" i="22"/>
  <c r="F4024" i="22"/>
  <c r="B4024" i="22"/>
  <c r="AJ4023" i="22"/>
  <c r="AK4023" i="22"/>
  <c r="AM4023" i="22"/>
  <c r="AL4023" i="22"/>
  <c r="AF4023" i="22"/>
  <c r="AB4023" i="22"/>
  <c r="V4023" i="22"/>
  <c r="Z4023" i="22"/>
  <c r="AA4023" i="22"/>
  <c r="AC4023" i="22"/>
  <c r="R4023" i="22"/>
  <c r="S4023" i="22"/>
  <c r="L4023" i="22"/>
  <c r="P4023" i="22"/>
  <c r="Q4023" i="22"/>
  <c r="I4023" i="22"/>
  <c r="H4023" i="22"/>
  <c r="G4023" i="22"/>
  <c r="F4023" i="22"/>
  <c r="B4023" i="22"/>
  <c r="AF4022" i="22"/>
  <c r="AJ4022" i="22"/>
  <c r="AL4022" i="22"/>
  <c r="AM4022" i="22"/>
  <c r="AK4022" i="22"/>
  <c r="AC4022" i="22"/>
  <c r="Z4022" i="22"/>
  <c r="AA4022" i="22"/>
  <c r="V4022" i="22"/>
  <c r="AB4022" i="22"/>
  <c r="L4022" i="22"/>
  <c r="P4022" i="22"/>
  <c r="Q4022" i="22"/>
  <c r="R4022" i="22"/>
  <c r="S4022" i="22"/>
  <c r="G4022" i="22"/>
  <c r="F4022" i="22"/>
  <c r="B4022" i="22"/>
  <c r="I4022" i="22"/>
  <c r="H4022" i="22"/>
  <c r="AM4021" i="22"/>
  <c r="AL4021" i="22"/>
  <c r="AK4021" i="22"/>
  <c r="AJ4021" i="22"/>
  <c r="AF4021" i="22"/>
  <c r="AA4021" i="22"/>
  <c r="AB4021" i="22"/>
  <c r="AC4021" i="22"/>
  <c r="V4021" i="22"/>
  <c r="Z4021" i="22"/>
  <c r="L4021" i="22"/>
  <c r="Q4021" i="22"/>
  <c r="R4021" i="22"/>
  <c r="P4021" i="22"/>
  <c r="S4021" i="22"/>
  <c r="I4021" i="22"/>
  <c r="H4021" i="22"/>
  <c r="G4021" i="22"/>
  <c r="F4021" i="22"/>
  <c r="B4021" i="22"/>
  <c r="AJ4020" i="22"/>
  <c r="AF4020" i="22"/>
  <c r="AM4020" i="22"/>
  <c r="AK4020" i="22"/>
  <c r="AL4020" i="22"/>
  <c r="V4020" i="22"/>
  <c r="Z4020" i="22"/>
  <c r="AA4020" i="22"/>
  <c r="AB4020" i="22"/>
  <c r="AC4020" i="22"/>
  <c r="L4020" i="22"/>
  <c r="P4020" i="22"/>
  <c r="Q4020" i="22"/>
  <c r="R4020" i="22"/>
  <c r="S4020" i="22"/>
  <c r="B4020" i="22"/>
  <c r="F4020" i="22"/>
  <c r="H4020" i="22"/>
  <c r="G4020" i="22"/>
  <c r="I4020" i="22"/>
  <c r="AM4019" i="22"/>
  <c r="AF4019" i="22"/>
  <c r="AJ4019" i="22"/>
  <c r="AK4019" i="22"/>
  <c r="AL4019" i="22"/>
  <c r="AB4019" i="22"/>
  <c r="AC4019" i="22"/>
  <c r="V4019" i="22"/>
  <c r="Z4019" i="22"/>
  <c r="AA4019" i="22"/>
  <c r="S4019" i="22"/>
  <c r="R4019" i="22"/>
  <c r="Q4019" i="22"/>
  <c r="P4019" i="22"/>
  <c r="L4019" i="22"/>
  <c r="I4019" i="22"/>
  <c r="H4019" i="22"/>
  <c r="G4019" i="22"/>
  <c r="F4019" i="22"/>
  <c r="B4019" i="22"/>
  <c r="AL4018" i="22"/>
  <c r="AM4018" i="22"/>
  <c r="AK4018" i="22"/>
  <c r="AJ4018" i="22"/>
  <c r="AF4018" i="22"/>
  <c r="AC4018" i="22"/>
  <c r="AB4018" i="22"/>
  <c r="AA4018" i="22"/>
  <c r="Z4018" i="22"/>
  <c r="V4018" i="22"/>
  <c r="Q4018" i="22"/>
  <c r="P4018" i="22"/>
  <c r="L4018" i="22"/>
  <c r="S4018" i="22"/>
  <c r="R4018" i="22"/>
  <c r="G4018" i="22"/>
  <c r="B4018" i="22"/>
  <c r="I4018" i="22"/>
  <c r="H4018" i="22"/>
  <c r="F4018" i="22"/>
  <c r="AF4017" i="22"/>
  <c r="AL4017" i="22"/>
  <c r="AJ4017" i="22"/>
  <c r="AM4017" i="22"/>
  <c r="AK4017" i="22"/>
  <c r="V4017" i="22"/>
  <c r="AB4017" i="22"/>
  <c r="Z4017" i="22"/>
  <c r="AC4017" i="22"/>
  <c r="AA4017" i="22"/>
  <c r="R4017" i="22"/>
  <c r="L4017" i="22"/>
  <c r="Q4017" i="22"/>
  <c r="P4017" i="22"/>
  <c r="S4017" i="22"/>
  <c r="H4017" i="22"/>
  <c r="B4017" i="22"/>
  <c r="I4017" i="22"/>
  <c r="F4017" i="22"/>
  <c r="G4017" i="22"/>
  <c r="AK4016" i="22"/>
  <c r="AM4016" i="22"/>
  <c r="AJ4016" i="22"/>
  <c r="AF4016" i="22"/>
  <c r="AL4016" i="22"/>
  <c r="AA4016" i="22"/>
  <c r="AB4016" i="22"/>
  <c r="V4016" i="22"/>
  <c r="AC4016" i="22"/>
  <c r="Z4016" i="22"/>
  <c r="S4016" i="22"/>
  <c r="Q4016" i="22"/>
  <c r="R4016" i="22"/>
  <c r="P4016" i="22"/>
  <c r="L4016" i="22"/>
  <c r="I4016" i="22"/>
  <c r="G4016" i="22"/>
  <c r="B4016" i="22"/>
  <c r="H4016" i="22"/>
  <c r="F4016" i="22"/>
  <c r="AJ4015" i="22"/>
  <c r="AM4015" i="22"/>
  <c r="AK4015" i="22"/>
  <c r="AF4015" i="22"/>
  <c r="AL4015" i="22"/>
  <c r="V4015" i="22"/>
  <c r="Z4015" i="22"/>
  <c r="AA4015" i="22"/>
  <c r="AC4015" i="22"/>
  <c r="AB4015" i="22"/>
  <c r="Q4015" i="22"/>
  <c r="R4015" i="22"/>
  <c r="S4015" i="22"/>
  <c r="P4015" i="22"/>
  <c r="L4015" i="22"/>
  <c r="H4015" i="22"/>
  <c r="F4015" i="22"/>
  <c r="I4015" i="22"/>
  <c r="G4015" i="22"/>
  <c r="B4015" i="22"/>
  <c r="AM4014" i="22"/>
  <c r="AF4014" i="22"/>
  <c r="AK4014" i="22"/>
  <c r="AL4014" i="22"/>
  <c r="AJ4014" i="22"/>
  <c r="Z4014" i="22"/>
  <c r="V4014" i="22"/>
  <c r="AB4014" i="22"/>
  <c r="AA4014" i="22"/>
  <c r="AC4014" i="22"/>
  <c r="P4014" i="22"/>
  <c r="L4014" i="22"/>
  <c r="R4014" i="22"/>
  <c r="Q4014" i="22"/>
  <c r="S4014" i="22"/>
  <c r="G4014" i="22"/>
  <c r="F4014" i="22"/>
  <c r="B4014" i="22"/>
  <c r="H4014" i="22"/>
  <c r="I4014" i="22"/>
  <c r="AF4013" i="22"/>
  <c r="AL4013" i="22"/>
  <c r="AK4013" i="22"/>
  <c r="AM4013" i="22"/>
  <c r="AJ4013" i="22"/>
  <c r="V4013" i="22"/>
  <c r="Z4013" i="22"/>
  <c r="AB4013" i="22"/>
  <c r="AA4013" i="22"/>
  <c r="AC4013" i="22"/>
  <c r="R4013" i="22"/>
  <c r="Q4013" i="22"/>
  <c r="S4013" i="22"/>
  <c r="L4013" i="22"/>
  <c r="P4013" i="22"/>
  <c r="G4013" i="22"/>
  <c r="I4013" i="22"/>
  <c r="H4013" i="22"/>
  <c r="F4013" i="22"/>
  <c r="B4013" i="22"/>
  <c r="AJ4012" i="22"/>
  <c r="AK4012" i="22"/>
  <c r="AM4012" i="22"/>
  <c r="AL4012" i="22"/>
  <c r="AF4012" i="22"/>
  <c r="AC4012" i="22"/>
  <c r="V4012" i="22"/>
  <c r="AB4012" i="22"/>
  <c r="Z4012" i="22"/>
  <c r="AA4012" i="22"/>
  <c r="P4012" i="22"/>
  <c r="R4012" i="22"/>
  <c r="L4012" i="22"/>
  <c r="Q4012" i="22"/>
  <c r="S4012" i="22"/>
  <c r="H4012" i="22"/>
  <c r="B4012" i="22"/>
  <c r="G4012" i="22"/>
  <c r="I4012" i="22"/>
  <c r="F4012" i="22"/>
  <c r="AK4011" i="22"/>
  <c r="AM4011" i="22"/>
  <c r="AF4011" i="22"/>
  <c r="AL4011" i="22"/>
  <c r="AJ4011" i="22"/>
  <c r="AA4011" i="22"/>
  <c r="AB4011" i="22"/>
  <c r="Z4011" i="22"/>
  <c r="V4011" i="22"/>
  <c r="AC4011" i="22"/>
  <c r="P4011" i="22"/>
  <c r="L4011" i="22"/>
  <c r="S4011" i="22"/>
  <c r="R4011" i="22"/>
  <c r="Q4011" i="22"/>
  <c r="I4011" i="22"/>
  <c r="G4011" i="22"/>
  <c r="F4011" i="22"/>
  <c r="B4011" i="22"/>
  <c r="H4011" i="22"/>
  <c r="AM4010" i="22"/>
  <c r="AF4010" i="22"/>
  <c r="AK4010" i="22"/>
  <c r="AJ4010" i="22"/>
  <c r="AL4010" i="22"/>
  <c r="V4010" i="22"/>
  <c r="AB4010" i="22"/>
  <c r="Z4010" i="22"/>
  <c r="AA4010" i="22"/>
  <c r="AC4010" i="22"/>
  <c r="L4010" i="22"/>
  <c r="P4010" i="22"/>
  <c r="Q4010" i="22"/>
  <c r="R4010" i="22"/>
  <c r="S4010" i="22"/>
  <c r="I4010" i="22"/>
  <c r="G4010" i="22"/>
  <c r="B4010" i="22"/>
  <c r="F4010" i="22"/>
  <c r="H4010" i="22"/>
  <c r="AK4009" i="22"/>
  <c r="AJ4009" i="22"/>
  <c r="AF4009" i="22"/>
  <c r="AL4009" i="22"/>
  <c r="AM4009" i="22"/>
  <c r="AA4009" i="22"/>
  <c r="AB4009" i="22"/>
  <c r="Z4009" i="22"/>
  <c r="AC4009" i="22"/>
  <c r="V4009" i="22"/>
  <c r="Q4009" i="22"/>
  <c r="R4009" i="22"/>
  <c r="L4009" i="22"/>
  <c r="P4009" i="22"/>
  <c r="S4009" i="22"/>
  <c r="H4009" i="22"/>
  <c r="B4009" i="22"/>
  <c r="I4009" i="22"/>
  <c r="G4009" i="22"/>
  <c r="F4009" i="22"/>
  <c r="AL4008" i="22"/>
  <c r="AF4008" i="22"/>
  <c r="AK4008" i="22"/>
  <c r="AJ4008" i="22"/>
  <c r="AM4008" i="22"/>
  <c r="AB4008" i="22"/>
  <c r="Z4008" i="22"/>
  <c r="V4008" i="22"/>
  <c r="AA4008" i="22"/>
  <c r="AC4008" i="22"/>
  <c r="Q4008" i="22"/>
  <c r="S4008" i="22"/>
  <c r="R4008" i="22"/>
  <c r="L4008" i="22"/>
  <c r="G4008" i="22"/>
  <c r="B4008" i="22"/>
  <c r="I4008" i="22"/>
  <c r="H4008" i="22"/>
  <c r="F4008" i="22"/>
  <c r="AJ4007" i="22"/>
  <c r="AL4007" i="22"/>
  <c r="AF4007" i="22"/>
  <c r="AK4007" i="22"/>
  <c r="AM4007" i="22"/>
  <c r="AC4007" i="22"/>
  <c r="AA4007" i="22"/>
  <c r="V4007" i="22"/>
  <c r="Z4007" i="22"/>
  <c r="AB4007" i="22"/>
  <c r="S4007" i="22"/>
  <c r="R4007" i="22"/>
  <c r="L4007" i="22"/>
  <c r="P4007" i="22"/>
  <c r="Q4007" i="22"/>
  <c r="I4007" i="22"/>
  <c r="F4007" i="22"/>
  <c r="B4007" i="22"/>
  <c r="G4007" i="22"/>
  <c r="H4007" i="22"/>
  <c r="AM4006" i="22"/>
  <c r="AK4006" i="22"/>
  <c r="AF4006" i="22"/>
  <c r="AL4006" i="22"/>
  <c r="AJ4006" i="22"/>
  <c r="Z4006" i="22"/>
  <c r="AB4006" i="22"/>
  <c r="AA4006" i="22"/>
  <c r="AC4006" i="22"/>
  <c r="V4006" i="22"/>
  <c r="P4006" i="22"/>
  <c r="S4006" i="22"/>
  <c r="L4006" i="22"/>
  <c r="R4006" i="22"/>
  <c r="Q4006" i="22"/>
  <c r="G4006" i="22"/>
  <c r="B4006" i="22"/>
  <c r="F4006" i="22"/>
  <c r="H4006" i="22"/>
  <c r="I4006" i="22"/>
  <c r="AL4005" i="22"/>
  <c r="AF4005" i="22"/>
  <c r="AJ4005" i="22"/>
  <c r="AM4005" i="22"/>
  <c r="AK4005" i="22"/>
  <c r="AB4005" i="22"/>
  <c r="Z4005" i="22"/>
  <c r="AA4005" i="22"/>
  <c r="AC4005" i="22"/>
  <c r="V4005" i="22"/>
  <c r="L4005" i="22"/>
  <c r="P4005" i="22"/>
  <c r="S4005" i="22"/>
  <c r="R4005" i="22"/>
  <c r="Q4005" i="22"/>
  <c r="B4005" i="22"/>
  <c r="F4005" i="22"/>
  <c r="G4005" i="22"/>
  <c r="H4005" i="22"/>
  <c r="I4005" i="22"/>
  <c r="AK4004" i="22"/>
  <c r="AM4004" i="22"/>
  <c r="AF4004" i="22"/>
  <c r="AJ4004" i="22"/>
  <c r="AL4004" i="22"/>
  <c r="AC4004" i="22"/>
  <c r="V4004" i="22"/>
  <c r="Z4004" i="22"/>
  <c r="AB4004" i="22"/>
  <c r="AA4004" i="22"/>
  <c r="Q4004" i="22"/>
  <c r="S4004" i="22"/>
  <c r="R4004" i="22"/>
  <c r="L4004" i="22"/>
  <c r="P4004" i="22"/>
  <c r="I4004" i="22"/>
  <c r="H4004" i="22"/>
  <c r="B4004" i="22"/>
  <c r="G4004" i="22"/>
  <c r="F4004" i="22"/>
  <c r="AJ4003" i="22"/>
  <c r="AF4003" i="22"/>
  <c r="AK4003" i="22"/>
  <c r="AL4003" i="22"/>
  <c r="AM4003" i="22"/>
  <c r="AC4003" i="22"/>
  <c r="AB4003" i="22"/>
  <c r="AA4003" i="22"/>
  <c r="Z4003" i="22"/>
  <c r="V4003" i="22"/>
  <c r="L4003" i="22"/>
  <c r="R4003" i="22"/>
  <c r="P4003" i="22"/>
  <c r="S4003" i="22"/>
  <c r="Q4003" i="22"/>
  <c r="I4003" i="22"/>
  <c r="H4003" i="22"/>
  <c r="G4003" i="22"/>
  <c r="F4003" i="22"/>
  <c r="B4003" i="22"/>
  <c r="AF4002" i="22"/>
  <c r="AJ4002" i="22"/>
  <c r="AM4002" i="22"/>
  <c r="AL4002" i="22"/>
  <c r="AK4002" i="22"/>
  <c r="AC4002" i="22"/>
  <c r="V4002" i="22"/>
  <c r="AA4002" i="22"/>
  <c r="AB4002" i="22"/>
  <c r="Z4002" i="22"/>
  <c r="L4002" i="22"/>
  <c r="P4002" i="22"/>
  <c r="S4002" i="22"/>
  <c r="Q4002" i="22"/>
  <c r="R4002" i="22"/>
  <c r="I4002" i="22"/>
  <c r="B4002" i="22"/>
  <c r="H4002" i="22"/>
  <c r="F4002" i="22"/>
  <c r="G4002" i="22"/>
  <c r="AK4001" i="22"/>
  <c r="AL4001" i="22"/>
  <c r="AJ4001" i="22"/>
  <c r="AM4001" i="22"/>
  <c r="AF4001" i="22"/>
  <c r="AB4001" i="22"/>
  <c r="V4001" i="22"/>
  <c r="AC4001" i="22"/>
  <c r="AA4001" i="22"/>
  <c r="Z4001" i="22"/>
  <c r="L4001" i="22"/>
  <c r="P4001" i="22"/>
  <c r="Q4001" i="22"/>
  <c r="S4001" i="22"/>
  <c r="R4001" i="22"/>
  <c r="I4001" i="22"/>
  <c r="G4001" i="22"/>
  <c r="H4001" i="22"/>
  <c r="B4001" i="22"/>
  <c r="F4001" i="22"/>
  <c r="AL4000" i="22"/>
  <c r="AK4000" i="22"/>
  <c r="AF4000" i="22"/>
  <c r="AM4000" i="22"/>
  <c r="AJ4000" i="22"/>
  <c r="V4000" i="22"/>
  <c r="AC4000" i="22"/>
  <c r="AA4000" i="22"/>
  <c r="AB4000" i="22"/>
  <c r="Z4000" i="22"/>
  <c r="P4000" i="22"/>
  <c r="S4000" i="22"/>
  <c r="L4000" i="22"/>
  <c r="Q4000" i="22"/>
  <c r="R4000" i="22"/>
  <c r="H4000" i="22"/>
  <c r="F4000" i="22"/>
  <c r="I4000" i="22"/>
  <c r="G4000" i="22"/>
  <c r="B4000" i="22"/>
  <c r="AJ3999" i="22"/>
  <c r="AM3999" i="22"/>
  <c r="AK3999" i="22"/>
  <c r="AF3999" i="22"/>
  <c r="AL3999" i="22"/>
  <c r="V3999" i="22"/>
  <c r="Z3999" i="22"/>
  <c r="AC3999" i="22"/>
  <c r="AA3999" i="22"/>
  <c r="AB3999" i="22"/>
  <c r="S3999" i="22"/>
  <c r="R3999" i="22"/>
  <c r="P3999" i="22"/>
  <c r="Q3999" i="22"/>
  <c r="L3999" i="22"/>
  <c r="B3999" i="22"/>
  <c r="F3999" i="22"/>
  <c r="I3999" i="22"/>
  <c r="G3999" i="22"/>
  <c r="H3999" i="22"/>
  <c r="AL3998" i="22"/>
  <c r="AJ3998" i="22"/>
  <c r="AM3998" i="22"/>
  <c r="AK3998" i="22"/>
  <c r="AF3998" i="22"/>
  <c r="AC3998" i="22"/>
  <c r="AA3998" i="22"/>
  <c r="V3998" i="22"/>
  <c r="Z3998" i="22"/>
  <c r="AB3998" i="22"/>
  <c r="P3998" i="22"/>
  <c r="L3998" i="22"/>
  <c r="Q3998" i="22"/>
  <c r="R3998" i="22"/>
  <c r="S3998" i="22"/>
  <c r="H3998" i="22"/>
  <c r="G3998" i="22"/>
  <c r="F3998" i="22"/>
  <c r="I3998" i="22"/>
  <c r="B3998" i="22"/>
  <c r="AK3997" i="22"/>
  <c r="AF3997" i="22"/>
  <c r="AM3997" i="22"/>
  <c r="AJ3997" i="22"/>
  <c r="AL3997" i="22"/>
  <c r="Z3997" i="22"/>
  <c r="V3997" i="22"/>
  <c r="AB3997" i="22"/>
  <c r="AA3997" i="22"/>
  <c r="AC3997" i="22"/>
  <c r="L3997" i="22"/>
  <c r="R3997" i="22"/>
  <c r="P3997" i="22"/>
  <c r="S3997" i="22"/>
  <c r="Q3997" i="22"/>
  <c r="I3997" i="22"/>
  <c r="B3997" i="22"/>
  <c r="F3997" i="22"/>
  <c r="H3997" i="22"/>
  <c r="G3997" i="22"/>
  <c r="AJ3996" i="22"/>
  <c r="AL3996" i="22"/>
  <c r="AK3996" i="22"/>
  <c r="AF3996" i="22"/>
  <c r="AM3996" i="22"/>
  <c r="AA3996" i="22"/>
  <c r="AC3996" i="22"/>
  <c r="Z3996" i="22"/>
  <c r="AB3996" i="22"/>
  <c r="V3996" i="22"/>
  <c r="L3996" i="22"/>
  <c r="S3996" i="22"/>
  <c r="Q3996" i="22"/>
  <c r="P3996" i="22"/>
  <c r="R3996" i="22"/>
  <c r="B3996" i="22"/>
  <c r="I3996" i="22"/>
  <c r="G3996" i="22"/>
  <c r="F3996" i="22"/>
  <c r="H3996" i="22"/>
  <c r="AJ3995" i="22"/>
  <c r="AM3995" i="22"/>
  <c r="AK3995" i="22"/>
  <c r="AL3995" i="22"/>
  <c r="AF3995" i="22"/>
  <c r="V3995" i="22"/>
  <c r="AB3995" i="22"/>
  <c r="AC3995" i="22"/>
  <c r="AA3995" i="22"/>
  <c r="Z3995" i="22"/>
  <c r="L3995" i="22"/>
  <c r="R3995" i="22"/>
  <c r="Q3995" i="22"/>
  <c r="S3995" i="22"/>
  <c r="P3995" i="22"/>
  <c r="H3995" i="22"/>
  <c r="F3995" i="22"/>
  <c r="G3995" i="22"/>
  <c r="I3995" i="22"/>
  <c r="B3995" i="22"/>
  <c r="AJ3994" i="22"/>
  <c r="AM3994" i="22"/>
  <c r="AF3994" i="22"/>
  <c r="AL3994" i="22"/>
  <c r="AK3994" i="22"/>
  <c r="V3994" i="22"/>
  <c r="AC3994" i="22"/>
  <c r="AA3994" i="22"/>
  <c r="Z3994" i="22"/>
  <c r="AB3994" i="22"/>
  <c r="L3994" i="22"/>
  <c r="P3994" i="22"/>
  <c r="S3994" i="22"/>
  <c r="R3994" i="22"/>
  <c r="Q3994" i="22"/>
  <c r="G3994" i="22"/>
  <c r="H3994" i="22"/>
  <c r="I3994" i="22"/>
  <c r="F3994" i="22"/>
  <c r="B3994" i="22"/>
  <c r="AL3993" i="22"/>
  <c r="AM3993" i="22"/>
  <c r="AJ3993" i="22"/>
  <c r="AF3993" i="22"/>
  <c r="AK3993" i="22"/>
  <c r="AA3993" i="22"/>
  <c r="V3993" i="22"/>
  <c r="Z3993" i="22"/>
  <c r="AB3993" i="22"/>
  <c r="AC3993" i="22"/>
  <c r="S3993" i="22"/>
  <c r="Q3993" i="22"/>
  <c r="P3993" i="22"/>
  <c r="R3993" i="22"/>
  <c r="L3993" i="22"/>
  <c r="F3993" i="22"/>
  <c r="B3993" i="22"/>
  <c r="H3993" i="22"/>
  <c r="G3993" i="22"/>
  <c r="I3993" i="22"/>
  <c r="AF3992" i="22"/>
  <c r="AJ3992" i="22"/>
  <c r="AK3992" i="22"/>
  <c r="AM3992" i="22"/>
  <c r="AL3992" i="22"/>
  <c r="AA3992" i="22"/>
  <c r="AB3992" i="22"/>
  <c r="AC3992" i="22"/>
  <c r="V3992" i="22"/>
  <c r="Z3992" i="22"/>
  <c r="S3992" i="22"/>
  <c r="R3992" i="22"/>
  <c r="P3992" i="22"/>
  <c r="L3992" i="22"/>
  <c r="Q3992" i="22"/>
  <c r="I3992" i="22"/>
  <c r="G3992" i="22"/>
  <c r="B3992" i="22"/>
  <c r="H3992" i="22"/>
  <c r="F3992" i="22"/>
  <c r="AL3991" i="22"/>
  <c r="AJ3991" i="22"/>
  <c r="AM3991" i="22"/>
  <c r="AK3991" i="22"/>
  <c r="AF3991" i="22"/>
  <c r="AC3991" i="22"/>
  <c r="AB3991" i="22"/>
  <c r="AA3991" i="22"/>
  <c r="V3991" i="22"/>
  <c r="Z3991" i="22"/>
  <c r="S3991" i="22"/>
  <c r="R3991" i="22"/>
  <c r="L3991" i="22"/>
  <c r="P3991" i="22"/>
  <c r="Q3991" i="22"/>
  <c r="H3991" i="22"/>
  <c r="F3991" i="22"/>
  <c r="G3991" i="22"/>
  <c r="I3991" i="22"/>
  <c r="B3991" i="22"/>
  <c r="AM3990" i="22"/>
  <c r="AK3990" i="22"/>
  <c r="AL3990" i="22"/>
  <c r="AF3990" i="22"/>
  <c r="AJ3990" i="22"/>
  <c r="AB3990" i="22"/>
  <c r="AA3990" i="22"/>
  <c r="AC3990" i="22"/>
  <c r="V3990" i="22"/>
  <c r="Z3990" i="22"/>
  <c r="R3990" i="22"/>
  <c r="L3990" i="22"/>
  <c r="Q3990" i="22"/>
  <c r="S3990" i="22"/>
  <c r="P3990" i="22"/>
  <c r="G3990" i="22"/>
  <c r="B3990" i="22"/>
  <c r="F3990" i="22"/>
  <c r="I3990" i="22"/>
  <c r="H3990" i="22"/>
  <c r="AF3989" i="22"/>
  <c r="AL3989" i="22"/>
  <c r="AK3989" i="22"/>
  <c r="AM3989" i="22"/>
  <c r="AJ3989" i="22"/>
  <c r="AA3989" i="22"/>
  <c r="Z3989" i="22"/>
  <c r="V3989" i="22"/>
  <c r="AB3989" i="22"/>
  <c r="AC3989" i="22"/>
  <c r="P3989" i="22"/>
  <c r="R3989" i="22"/>
  <c r="S3989" i="22"/>
  <c r="L3989" i="22"/>
  <c r="Q3989" i="22"/>
  <c r="F3989" i="22"/>
  <c r="I3989" i="22"/>
  <c r="B3989" i="22"/>
  <c r="H3989" i="22"/>
  <c r="G3989" i="22"/>
  <c r="AK3988" i="22"/>
  <c r="AJ3988" i="22"/>
  <c r="AL3988" i="22"/>
  <c r="AF3988" i="22"/>
  <c r="AM3988" i="22"/>
  <c r="V3988" i="22"/>
  <c r="AA3988" i="22"/>
  <c r="AC3988" i="22"/>
  <c r="AB3988" i="22"/>
  <c r="Z3988" i="22"/>
  <c r="L3988" i="22"/>
  <c r="Q3988" i="22"/>
  <c r="R3988" i="22"/>
  <c r="S3988" i="22"/>
  <c r="P3988" i="22"/>
  <c r="B3988" i="22"/>
  <c r="G3988" i="22"/>
  <c r="H3988" i="22"/>
  <c r="F3988" i="22"/>
  <c r="I3988" i="22"/>
  <c r="AL3987" i="22"/>
  <c r="AM3987" i="22"/>
  <c r="AF3987" i="22"/>
  <c r="AJ3987" i="22"/>
  <c r="AK3987" i="22"/>
  <c r="AC3987" i="22"/>
  <c r="AA3987" i="22"/>
  <c r="Z3987" i="22"/>
  <c r="AB3987" i="22"/>
  <c r="V3987" i="22"/>
  <c r="R3987" i="22"/>
  <c r="L3987" i="22"/>
  <c r="Q3987" i="22"/>
  <c r="P3987" i="22"/>
  <c r="S3987" i="22"/>
  <c r="F3987" i="22"/>
  <c r="B3987" i="22"/>
  <c r="H3987" i="22"/>
  <c r="G3987" i="22"/>
  <c r="I3987" i="22"/>
  <c r="AF3986" i="22"/>
  <c r="AM3986" i="22"/>
  <c r="AJ3986" i="22"/>
  <c r="AL3986" i="22"/>
  <c r="AK3986" i="22"/>
  <c r="AB3986" i="22"/>
  <c r="V3986" i="22"/>
  <c r="Z3986" i="22"/>
  <c r="AC3986" i="22"/>
  <c r="AA3986" i="22"/>
  <c r="R3986" i="22"/>
  <c r="S3986" i="22"/>
  <c r="Q3986" i="22"/>
  <c r="L3986" i="22"/>
  <c r="P3986" i="22"/>
  <c r="H3986" i="22"/>
  <c r="B3986" i="22"/>
  <c r="I3986" i="22"/>
  <c r="F3986" i="22"/>
  <c r="G3986" i="22"/>
  <c r="AJ3985" i="22"/>
  <c r="AM3985" i="22"/>
  <c r="AK3985" i="22"/>
  <c r="AF3985" i="22"/>
  <c r="AL3985" i="22"/>
  <c r="AC3985" i="22"/>
  <c r="Z3985" i="22"/>
  <c r="V3985" i="22"/>
  <c r="AA3985" i="22"/>
  <c r="AB3985" i="22"/>
  <c r="L3985" i="22"/>
  <c r="S3985" i="22"/>
  <c r="R3985" i="22"/>
  <c r="P3985" i="22"/>
  <c r="Q3985" i="22"/>
  <c r="H3985" i="22"/>
  <c r="G3985" i="22"/>
  <c r="I3985" i="22"/>
  <c r="B3985" i="22"/>
  <c r="F3985" i="22"/>
  <c r="AM3984" i="22"/>
  <c r="AL3984" i="22"/>
  <c r="AK3984" i="22"/>
  <c r="AF3984" i="22"/>
  <c r="AJ3984" i="22"/>
  <c r="Z3984" i="22"/>
  <c r="AB3984" i="22"/>
  <c r="V3984" i="22"/>
  <c r="AA3984" i="22"/>
  <c r="AC3984" i="22"/>
  <c r="S3984" i="22"/>
  <c r="P3984" i="22"/>
  <c r="L3984" i="22"/>
  <c r="R3984" i="22"/>
  <c r="Q3984" i="22"/>
  <c r="G3984" i="22"/>
  <c r="H3984" i="22"/>
  <c r="B3984" i="22"/>
  <c r="I3984" i="22"/>
  <c r="F3984" i="22"/>
  <c r="AF3983" i="22"/>
  <c r="AJ3983" i="22"/>
  <c r="AL3983" i="22"/>
  <c r="AK3983" i="22"/>
  <c r="AM3983" i="22"/>
  <c r="V3983" i="22"/>
  <c r="AB3983" i="22"/>
  <c r="AA3983" i="22"/>
  <c r="Z3983" i="22"/>
  <c r="AC3983" i="22"/>
  <c r="L3983" i="22"/>
  <c r="P3983" i="22"/>
  <c r="Q3983" i="22"/>
  <c r="S3983" i="22"/>
  <c r="R3983" i="22"/>
  <c r="H3983" i="22"/>
  <c r="B3983" i="22"/>
  <c r="I3983" i="22"/>
  <c r="F3983" i="22"/>
  <c r="G3983" i="22"/>
  <c r="AF3982" i="22"/>
  <c r="AM3982" i="22"/>
  <c r="AL3982" i="22"/>
  <c r="AK3982" i="22"/>
  <c r="AJ3982" i="22"/>
  <c r="AB3982" i="22"/>
  <c r="Z3982" i="22"/>
  <c r="AA3982" i="22"/>
  <c r="AC3982" i="22"/>
  <c r="V3982" i="22"/>
  <c r="Q3982" i="22"/>
  <c r="S3982" i="22"/>
  <c r="R3982" i="22"/>
  <c r="P3982" i="22"/>
  <c r="L3982" i="22"/>
  <c r="H3982" i="22"/>
  <c r="F3982" i="22"/>
  <c r="G3982" i="22"/>
  <c r="B3982" i="22"/>
  <c r="I3982" i="22"/>
  <c r="AL3981" i="22"/>
  <c r="AJ3981" i="22"/>
  <c r="AF3981" i="22"/>
  <c r="AK3981" i="22"/>
  <c r="AM3981" i="22"/>
  <c r="Z3981" i="22"/>
  <c r="AC3981" i="22"/>
  <c r="AA3981" i="22"/>
  <c r="AB3981" i="22"/>
  <c r="V3981" i="22"/>
  <c r="L3981" i="22"/>
  <c r="R3981" i="22"/>
  <c r="Q3981" i="22"/>
  <c r="P3981" i="22"/>
  <c r="S3981" i="22"/>
  <c r="B3981" i="22"/>
  <c r="F3981" i="22"/>
  <c r="H3981" i="22"/>
  <c r="G3981" i="22"/>
  <c r="I3981" i="22"/>
  <c r="AK3980" i="22"/>
  <c r="AL3980" i="22"/>
  <c r="AM3980" i="22"/>
  <c r="AJ3980" i="22"/>
  <c r="AF3980" i="22"/>
  <c r="V3980" i="22"/>
  <c r="Z3980" i="22"/>
  <c r="AA3980" i="22"/>
  <c r="AC3980" i="22"/>
  <c r="AB3980" i="22"/>
  <c r="L3980" i="22"/>
  <c r="Q3980" i="22"/>
  <c r="P3980" i="22"/>
  <c r="R3980" i="22"/>
  <c r="S3980" i="22"/>
  <c r="H3980" i="22"/>
  <c r="I3980" i="22"/>
  <c r="G3980" i="22"/>
  <c r="B3980" i="22"/>
  <c r="F3980" i="22"/>
  <c r="AM3979" i="22"/>
  <c r="AL3979" i="22"/>
  <c r="AJ3979" i="22"/>
  <c r="AF3979" i="22"/>
  <c r="AK3979" i="22"/>
  <c r="Z3979" i="22"/>
  <c r="AC3979" i="22"/>
  <c r="AB3979" i="22"/>
  <c r="V3979" i="22"/>
  <c r="AA3979" i="22"/>
  <c r="R3979" i="22"/>
  <c r="S3979" i="22"/>
  <c r="Q3979" i="22"/>
  <c r="P3979" i="22"/>
  <c r="L3979" i="22"/>
  <c r="F3979" i="22"/>
  <c r="G3979" i="22"/>
  <c r="B3979" i="22"/>
  <c r="H3979" i="22"/>
  <c r="I3979" i="22"/>
  <c r="AM3978" i="22"/>
  <c r="AL3978" i="22"/>
  <c r="AK3978" i="22"/>
  <c r="AJ3978" i="22"/>
  <c r="AF3978" i="22"/>
  <c r="AC3978" i="22"/>
  <c r="AA3978" i="22"/>
  <c r="Z3978" i="22"/>
  <c r="V3978" i="22"/>
  <c r="AB3978" i="22"/>
  <c r="P3978" i="22"/>
  <c r="L3978" i="22"/>
  <c r="Q3978" i="22"/>
  <c r="R3978" i="22"/>
  <c r="S3978" i="22"/>
  <c r="I3978" i="22"/>
  <c r="H3978" i="22"/>
  <c r="G3978" i="22"/>
  <c r="F3978" i="22"/>
  <c r="B3978" i="22"/>
  <c r="AF3977" i="22"/>
  <c r="AJ3977" i="22"/>
  <c r="AK3977" i="22"/>
  <c r="AM3977" i="22"/>
  <c r="AL3977" i="22"/>
  <c r="AA3977" i="22"/>
  <c r="AB3977" i="22"/>
  <c r="AC3977" i="22"/>
  <c r="Z3977" i="22"/>
  <c r="V3977" i="22"/>
  <c r="S3977" i="22"/>
  <c r="Q3977" i="22"/>
  <c r="P3977" i="22"/>
  <c r="L3977" i="22"/>
  <c r="R3977" i="22"/>
  <c r="I3977" i="22"/>
  <c r="H3977" i="22"/>
  <c r="G3977" i="22"/>
  <c r="F3977" i="22"/>
  <c r="B3977" i="22"/>
  <c r="AJ3976" i="22"/>
  <c r="AK3976" i="22"/>
  <c r="AM3976" i="22"/>
  <c r="AL3976" i="22"/>
  <c r="AF3976" i="22"/>
  <c r="Z3976" i="22"/>
  <c r="V3976" i="22"/>
  <c r="AA3976" i="22"/>
  <c r="AC3976" i="22"/>
  <c r="AB3976" i="22"/>
  <c r="R3976" i="22"/>
  <c r="Q3976" i="22"/>
  <c r="P3976" i="22"/>
  <c r="L3976" i="22"/>
  <c r="S3976" i="22"/>
  <c r="I3976" i="22"/>
  <c r="F3976" i="22"/>
  <c r="B3976" i="22"/>
  <c r="H3976" i="22"/>
  <c r="G3976" i="22"/>
  <c r="AK3975" i="22"/>
  <c r="AM3975" i="22"/>
  <c r="AL3975" i="22"/>
  <c r="AJ3975" i="22"/>
  <c r="AF3975" i="22"/>
  <c r="Z3975" i="22"/>
  <c r="V3975" i="22"/>
  <c r="AC3975" i="22"/>
  <c r="AB3975" i="22"/>
  <c r="AA3975" i="22"/>
  <c r="S3975" i="22"/>
  <c r="P3975" i="22"/>
  <c r="Q3975" i="22"/>
  <c r="L3975" i="22"/>
  <c r="R3975" i="22"/>
  <c r="I3975" i="22"/>
  <c r="H3975" i="22"/>
  <c r="G3975" i="22"/>
  <c r="F3975" i="22"/>
  <c r="B3975" i="22"/>
  <c r="AL3974" i="22"/>
  <c r="AJ3974" i="22"/>
  <c r="AK3974" i="22"/>
  <c r="AM3974" i="22"/>
  <c r="AF3974" i="22"/>
  <c r="V3974" i="22"/>
  <c r="Z3974" i="22"/>
  <c r="AA3974" i="22"/>
  <c r="AB3974" i="22"/>
  <c r="AC3974" i="22"/>
  <c r="S3974" i="22"/>
  <c r="L3974" i="22"/>
  <c r="P3974" i="22"/>
  <c r="Q3974" i="22"/>
  <c r="R3974" i="22"/>
  <c r="B3974" i="22"/>
  <c r="F3974" i="22"/>
  <c r="G3974" i="22"/>
  <c r="H3974" i="22"/>
  <c r="I3974" i="22"/>
  <c r="AK3973" i="22"/>
  <c r="AJ3973" i="22"/>
  <c r="AF3973" i="22"/>
  <c r="AM3973" i="22"/>
  <c r="AL3973" i="22"/>
  <c r="AB3973" i="22"/>
  <c r="AC3973" i="22"/>
  <c r="AA3973" i="22"/>
  <c r="Z3973" i="22"/>
  <c r="V3973" i="22"/>
  <c r="Q3973" i="22"/>
  <c r="R3973" i="22"/>
  <c r="L3973" i="22"/>
  <c r="P3973" i="22"/>
  <c r="S3973" i="22"/>
  <c r="B3973" i="22"/>
  <c r="F3973" i="22"/>
  <c r="G3973" i="22"/>
  <c r="H3973" i="22"/>
  <c r="I3973" i="22"/>
  <c r="AM3972" i="22"/>
  <c r="AK3972" i="22"/>
  <c r="AJ3972" i="22"/>
  <c r="AF3972" i="22"/>
  <c r="AL3972" i="22"/>
  <c r="AC3972" i="22"/>
  <c r="AB3972" i="22"/>
  <c r="V3972" i="22"/>
  <c r="Z3972" i="22"/>
  <c r="AA3972" i="22"/>
  <c r="R3972" i="22"/>
  <c r="S3972" i="22"/>
  <c r="Q3972" i="22"/>
  <c r="L3972" i="22"/>
  <c r="P3972" i="22"/>
  <c r="H3972" i="22"/>
  <c r="G3972" i="22"/>
  <c r="B3972" i="22"/>
  <c r="F3972" i="22"/>
  <c r="I3972" i="22"/>
  <c r="AL3971" i="22"/>
  <c r="AM3971" i="22"/>
  <c r="AF3971" i="22"/>
  <c r="AJ3971" i="22"/>
  <c r="AK3971" i="22"/>
  <c r="AA3971" i="22"/>
  <c r="AB3971" i="22"/>
  <c r="AC3971" i="22"/>
  <c r="V3971" i="22"/>
  <c r="Z3971" i="22"/>
  <c r="Q3971" i="22"/>
  <c r="S3971" i="22"/>
  <c r="P3971" i="22"/>
  <c r="R3971" i="22"/>
  <c r="L3971" i="22"/>
  <c r="H3971" i="22"/>
  <c r="F3971" i="22"/>
  <c r="B3971" i="22"/>
  <c r="G3971" i="22"/>
  <c r="I3971" i="22"/>
  <c r="AL3970" i="22"/>
  <c r="AK3970" i="22"/>
  <c r="AJ3970" i="22"/>
  <c r="AF3970" i="22"/>
  <c r="AM3970" i="22"/>
  <c r="AC3970" i="22"/>
  <c r="AB3970" i="22"/>
  <c r="AA3970" i="22"/>
  <c r="Z3970" i="22"/>
  <c r="V3970" i="22"/>
  <c r="L3970" i="22"/>
  <c r="P3970" i="22"/>
  <c r="Q3970" i="22"/>
  <c r="R3970" i="22"/>
  <c r="S3970" i="22"/>
  <c r="B3970" i="22"/>
  <c r="F3970" i="22"/>
  <c r="H3970" i="22"/>
  <c r="G3970" i="22"/>
  <c r="I3970" i="22"/>
  <c r="AJ3969" i="22"/>
  <c r="AF3969" i="22"/>
  <c r="AM3969" i="22"/>
  <c r="AK3969" i="22"/>
  <c r="AL3969" i="22"/>
  <c r="AC3969" i="22"/>
  <c r="AB3969" i="22"/>
  <c r="AA3969" i="22"/>
  <c r="Z3969" i="22"/>
  <c r="V3969" i="22"/>
  <c r="S3969" i="22"/>
  <c r="R3969" i="22"/>
  <c r="Q3969" i="22"/>
  <c r="P3969" i="22"/>
  <c r="L3969" i="22"/>
  <c r="H3969" i="22"/>
  <c r="I3969" i="22"/>
  <c r="B3969" i="22"/>
  <c r="F3969" i="22"/>
  <c r="G3969" i="22"/>
  <c r="AJ3968" i="22"/>
  <c r="AK3968" i="22"/>
  <c r="AL3968" i="22"/>
  <c r="AF3968" i="22"/>
  <c r="AM3968" i="22"/>
  <c r="V3968" i="22"/>
  <c r="AA3968" i="22"/>
  <c r="AB3968" i="22"/>
  <c r="AC3968" i="22"/>
  <c r="Z3968" i="22"/>
  <c r="P3968" i="22"/>
  <c r="Q3968" i="22"/>
  <c r="R3968" i="22"/>
  <c r="S3968" i="22"/>
  <c r="L3968" i="22"/>
  <c r="I3968" i="22"/>
  <c r="H3968" i="22"/>
  <c r="G3968" i="22"/>
  <c r="F3968" i="22"/>
  <c r="B3968" i="22"/>
  <c r="AK3967" i="22"/>
  <c r="AM3967" i="22"/>
  <c r="AL3967" i="22"/>
  <c r="AJ3967" i="22"/>
  <c r="AF3967" i="22"/>
  <c r="V3967" i="22"/>
  <c r="Z3967" i="22"/>
  <c r="AA3967" i="22"/>
  <c r="AB3967" i="22"/>
  <c r="AC3967" i="22"/>
  <c r="P3967" i="22"/>
  <c r="Q3967" i="22"/>
  <c r="R3967" i="22"/>
  <c r="S3967" i="22"/>
  <c r="L3967" i="22"/>
  <c r="B3967" i="22"/>
  <c r="F3967" i="22"/>
  <c r="G3967" i="22"/>
  <c r="H3967" i="22"/>
  <c r="I3967" i="22"/>
  <c r="AK3966" i="22"/>
  <c r="AJ3966" i="22"/>
  <c r="AF3966" i="22"/>
  <c r="AM3966" i="22"/>
  <c r="AL3966" i="22"/>
  <c r="AC3966" i="22"/>
  <c r="AB3966" i="22"/>
  <c r="AA3966" i="22"/>
  <c r="Z3966" i="22"/>
  <c r="V3966" i="22"/>
  <c r="R3966" i="22"/>
  <c r="S3966" i="22"/>
  <c r="Q3966" i="22"/>
  <c r="P3966" i="22"/>
  <c r="L3966" i="22"/>
  <c r="I3966" i="22"/>
  <c r="H3966" i="22"/>
  <c r="F3966" i="22"/>
  <c r="G3966" i="22"/>
  <c r="B3966" i="22"/>
  <c r="AM3965" i="22"/>
  <c r="AL3965" i="22"/>
  <c r="AK3965" i="22"/>
  <c r="AJ3965" i="22"/>
  <c r="AF3965" i="22"/>
  <c r="V3965" i="22"/>
  <c r="AB3965" i="22"/>
  <c r="AC3965" i="22"/>
  <c r="AA3965" i="22"/>
  <c r="Z3965" i="22"/>
  <c r="P3965" i="22"/>
  <c r="L3965" i="22"/>
  <c r="Q3965" i="22"/>
  <c r="R3965" i="22"/>
  <c r="S3965" i="22"/>
  <c r="B3965" i="22"/>
  <c r="I3965" i="22"/>
  <c r="F3965" i="22"/>
  <c r="G3965" i="22"/>
  <c r="H3965" i="22"/>
  <c r="AJ3964" i="22"/>
  <c r="AK3964" i="22"/>
  <c r="AL3964" i="22"/>
  <c r="AM3964" i="22"/>
  <c r="AF3964" i="22"/>
  <c r="AC3964" i="22"/>
  <c r="AB3964" i="22"/>
  <c r="Z3964" i="22"/>
  <c r="V3964" i="22"/>
  <c r="AA3964" i="22"/>
  <c r="L3964" i="22"/>
  <c r="R3964" i="22"/>
  <c r="Q3964" i="22"/>
  <c r="P3964" i="22"/>
  <c r="S3964" i="22"/>
  <c r="H3964" i="22"/>
  <c r="G3964" i="22"/>
  <c r="F3964" i="22"/>
  <c r="B3964" i="22"/>
  <c r="I3964" i="22"/>
  <c r="AF3963" i="22"/>
  <c r="AJ3963" i="22"/>
  <c r="AL3963" i="22"/>
  <c r="AK3963" i="22"/>
  <c r="AM3963" i="22"/>
  <c r="AC3963" i="22"/>
  <c r="V3963" i="22"/>
  <c r="Z3963" i="22"/>
  <c r="AA3963" i="22"/>
  <c r="AB3963" i="22"/>
  <c r="S3963" i="22"/>
  <c r="R3963" i="22"/>
  <c r="Q3963" i="22"/>
  <c r="P3963" i="22"/>
  <c r="L3963" i="22"/>
  <c r="G3963" i="22"/>
  <c r="B3963" i="22"/>
  <c r="F3963" i="22"/>
  <c r="H3963" i="22"/>
  <c r="I3963" i="22"/>
  <c r="AF3962" i="22"/>
  <c r="AK3962" i="22"/>
  <c r="AL3962" i="22"/>
  <c r="AM3962" i="22"/>
  <c r="AJ3962" i="22"/>
  <c r="AC3962" i="22"/>
  <c r="Z3962" i="22"/>
  <c r="V3962" i="22"/>
  <c r="AA3962" i="22"/>
  <c r="AB3962" i="22"/>
  <c r="L3962" i="22"/>
  <c r="P3962" i="22"/>
  <c r="S3962" i="22"/>
  <c r="R3962" i="22"/>
  <c r="Q3962" i="22"/>
  <c r="B3962" i="22"/>
  <c r="F3962" i="22"/>
  <c r="G3962" i="22"/>
  <c r="H3962" i="22"/>
  <c r="I3962" i="22"/>
  <c r="AJ3961" i="22"/>
  <c r="AM3961" i="22"/>
  <c r="AL3961" i="22"/>
  <c r="AF3961" i="22"/>
  <c r="AK3961" i="22"/>
  <c r="V3961" i="22"/>
  <c r="AC3961" i="22"/>
  <c r="AB3961" i="22"/>
  <c r="Z3961" i="22"/>
  <c r="AA3961" i="22"/>
  <c r="S3961" i="22"/>
  <c r="R3961" i="22"/>
  <c r="Q3961" i="22"/>
  <c r="L3961" i="22"/>
  <c r="P3961" i="22"/>
  <c r="H3961" i="22"/>
  <c r="G3961" i="22"/>
  <c r="F3961" i="22"/>
  <c r="B3961" i="22"/>
  <c r="I3961" i="22"/>
  <c r="AF3960" i="22"/>
  <c r="AL3960" i="22"/>
  <c r="AK3960" i="22"/>
  <c r="AJ3960" i="22"/>
  <c r="AM3960" i="22"/>
  <c r="AC3960" i="22"/>
  <c r="AB3960" i="22"/>
  <c r="AA3960" i="22"/>
  <c r="Z3960" i="22"/>
  <c r="V3960" i="22"/>
  <c r="S3960" i="22"/>
  <c r="R3960" i="22"/>
  <c r="P3960" i="22"/>
  <c r="Q3960" i="22"/>
  <c r="L3960" i="22"/>
  <c r="B3960" i="22"/>
  <c r="F3960" i="22"/>
  <c r="G3960" i="22"/>
  <c r="I3960" i="22"/>
  <c r="H3960" i="22"/>
  <c r="AF3959" i="22"/>
  <c r="AJ3959" i="22"/>
  <c r="AK3959" i="22"/>
  <c r="AL3959" i="22"/>
  <c r="AM3959" i="22"/>
  <c r="AA3959" i="22"/>
  <c r="AB3959" i="22"/>
  <c r="Z3959" i="22"/>
  <c r="AC3959" i="22"/>
  <c r="V3959" i="22"/>
  <c r="Q3959" i="22"/>
  <c r="L3959" i="22"/>
  <c r="P3959" i="22"/>
  <c r="R3959" i="22"/>
  <c r="S3959" i="22"/>
  <c r="G3959" i="22"/>
  <c r="H3959" i="22"/>
  <c r="I3959" i="22"/>
  <c r="F3959" i="22"/>
  <c r="B3959" i="22"/>
  <c r="AL3958" i="22"/>
  <c r="AK3958" i="22"/>
  <c r="AM3958" i="22"/>
  <c r="AJ3958" i="22"/>
  <c r="AF3958" i="22"/>
  <c r="V3958" i="22"/>
  <c r="Z3958" i="22"/>
  <c r="AA3958" i="22"/>
  <c r="AB3958" i="22"/>
  <c r="AC3958" i="22"/>
  <c r="L3958" i="22"/>
  <c r="P3958" i="22"/>
  <c r="Q3958" i="22"/>
  <c r="R3958" i="22"/>
  <c r="S3958" i="22"/>
  <c r="F3958" i="22"/>
  <c r="B3958" i="22"/>
  <c r="I3958" i="22"/>
  <c r="H3958" i="22"/>
  <c r="G3958" i="22"/>
  <c r="AK3957" i="22"/>
  <c r="AF3957" i="22"/>
  <c r="AJ3957" i="22"/>
  <c r="AM3957" i="22"/>
  <c r="AL3957" i="22"/>
  <c r="AB3957" i="22"/>
  <c r="AA3957" i="22"/>
  <c r="Z3957" i="22"/>
  <c r="V3957" i="22"/>
  <c r="AC3957" i="22"/>
  <c r="L3957" i="22"/>
  <c r="Q3957" i="22"/>
  <c r="R3957" i="22"/>
  <c r="S3957" i="22"/>
  <c r="P3957" i="22"/>
  <c r="B3957" i="22"/>
  <c r="H3957" i="22"/>
  <c r="F3957" i="22"/>
  <c r="G3957" i="22"/>
  <c r="I3957" i="22"/>
  <c r="AL3956" i="22"/>
  <c r="AK3956" i="22"/>
  <c r="AJ3956" i="22"/>
  <c r="AF3956" i="22"/>
  <c r="AM3956" i="22"/>
  <c r="AB3956" i="22"/>
  <c r="V3956" i="22"/>
  <c r="Z3956" i="22"/>
  <c r="AA3956" i="22"/>
  <c r="AC3956" i="22"/>
  <c r="L3956" i="22"/>
  <c r="S3956" i="22"/>
  <c r="R3956" i="22"/>
  <c r="Q3956" i="22"/>
  <c r="P3956" i="22"/>
  <c r="H3956" i="22"/>
  <c r="I3956" i="22"/>
  <c r="G3956" i="22"/>
  <c r="B3956" i="22"/>
  <c r="F3956" i="22"/>
  <c r="AL3955" i="22"/>
  <c r="AM3955" i="22"/>
  <c r="AK3955" i="22"/>
  <c r="AJ3955" i="22"/>
  <c r="AF3955" i="22"/>
  <c r="AC3955" i="22"/>
  <c r="AB3955" i="22"/>
  <c r="AA3955" i="22"/>
  <c r="Z3955" i="22"/>
  <c r="V3955" i="22"/>
  <c r="S3955" i="22"/>
  <c r="R3955" i="22"/>
  <c r="Q3955" i="22"/>
  <c r="P3955" i="22"/>
  <c r="L3955" i="22"/>
  <c r="B3955" i="22"/>
  <c r="F3955" i="22"/>
  <c r="G3955" i="22"/>
  <c r="H3955" i="22"/>
  <c r="I3955" i="22"/>
  <c r="AF3954" i="22"/>
  <c r="AJ3954" i="22"/>
  <c r="AK3954" i="22"/>
  <c r="AM3954" i="22"/>
  <c r="AL3954" i="22"/>
  <c r="V3954" i="22"/>
  <c r="AA3954" i="22"/>
  <c r="Z3954" i="22"/>
  <c r="AB3954" i="22"/>
  <c r="AC3954" i="22"/>
  <c r="S3954" i="22"/>
  <c r="Q3954" i="22"/>
  <c r="R3954" i="22"/>
  <c r="L3954" i="22"/>
  <c r="P3954" i="22"/>
  <c r="F3954" i="22"/>
  <c r="B3954" i="22"/>
  <c r="G3954" i="22"/>
  <c r="H3954" i="22"/>
  <c r="I3954" i="22"/>
  <c r="AK3953" i="22"/>
  <c r="AM3953" i="22"/>
  <c r="AL3953" i="22"/>
  <c r="AF3953" i="22"/>
  <c r="AJ3953" i="22"/>
  <c r="Z3953" i="22"/>
  <c r="AA3953" i="22"/>
  <c r="V3953" i="22"/>
  <c r="AB3953" i="22"/>
  <c r="AC3953" i="22"/>
  <c r="S3953" i="22"/>
  <c r="R3953" i="22"/>
  <c r="Q3953" i="22"/>
  <c r="P3953" i="22"/>
  <c r="L3953" i="22"/>
  <c r="B3953" i="22"/>
  <c r="F3953" i="22"/>
  <c r="G3953" i="22"/>
  <c r="I3953" i="22"/>
  <c r="H3953" i="22"/>
  <c r="AL3952" i="22"/>
  <c r="AM3952" i="22"/>
  <c r="AJ3952" i="22"/>
  <c r="AF3952" i="22"/>
  <c r="AK3952" i="22"/>
  <c r="AC3952" i="22"/>
  <c r="AA3952" i="22"/>
  <c r="Z3952" i="22"/>
  <c r="V3952" i="22"/>
  <c r="AB3952" i="22"/>
  <c r="Q3952" i="22"/>
  <c r="P3952" i="22"/>
  <c r="L3952" i="22"/>
  <c r="S3952" i="22"/>
  <c r="R3952" i="22"/>
  <c r="H3952" i="22"/>
  <c r="I3952" i="22"/>
  <c r="F3952" i="22"/>
  <c r="B3952" i="22"/>
  <c r="G3952" i="22"/>
  <c r="AM3951" i="22"/>
  <c r="AL3951" i="22"/>
  <c r="AK3951" i="22"/>
  <c r="AJ3951" i="22"/>
  <c r="AF3951" i="22"/>
  <c r="AC3951" i="22"/>
  <c r="AB3951" i="22"/>
  <c r="AA3951" i="22"/>
  <c r="Z3951" i="22"/>
  <c r="V3951" i="22"/>
  <c r="P3951" i="22"/>
  <c r="Q3951" i="22"/>
  <c r="R3951" i="22"/>
  <c r="S3951" i="22"/>
  <c r="L3951" i="22"/>
  <c r="H3951" i="22"/>
  <c r="G3951" i="22"/>
  <c r="F3951" i="22"/>
  <c r="B3951" i="22"/>
  <c r="I3951" i="22"/>
  <c r="AK3950" i="22"/>
  <c r="AJ3950" i="22"/>
  <c r="AF3950" i="22"/>
  <c r="AM3950" i="22"/>
  <c r="AL3950" i="22"/>
  <c r="V3950" i="22"/>
  <c r="Z3950" i="22"/>
  <c r="AA3950" i="22"/>
  <c r="AC3950" i="22"/>
  <c r="AB3950" i="22"/>
  <c r="L3950" i="22"/>
  <c r="P3950" i="22"/>
  <c r="Q3950" i="22"/>
  <c r="R3950" i="22"/>
  <c r="S3950" i="22"/>
  <c r="F3950" i="22"/>
  <c r="G3950" i="22"/>
  <c r="H3950" i="22"/>
  <c r="I3950" i="22"/>
  <c r="B3950" i="22"/>
  <c r="AM3949" i="22"/>
  <c r="AK3949" i="22"/>
  <c r="AJ3949" i="22"/>
  <c r="AF3949" i="22"/>
  <c r="AL3949" i="22"/>
  <c r="AC3949" i="22"/>
  <c r="AB3949" i="22"/>
  <c r="AA3949" i="22"/>
  <c r="Z3949" i="22"/>
  <c r="V3949" i="22"/>
  <c r="S3949" i="22"/>
  <c r="R3949" i="22"/>
  <c r="Q3949" i="22"/>
  <c r="P3949" i="22"/>
  <c r="L3949" i="22"/>
  <c r="I3949" i="22"/>
  <c r="H3949" i="22"/>
  <c r="G3949" i="22"/>
  <c r="F3949" i="22"/>
  <c r="B3949" i="22"/>
  <c r="AM3948" i="22"/>
  <c r="AL3948" i="22"/>
  <c r="AK3948" i="22"/>
  <c r="AJ3948" i="22"/>
  <c r="AF3948" i="22"/>
  <c r="Z3948" i="22"/>
  <c r="V3948" i="22"/>
  <c r="AC3948" i="22"/>
  <c r="AB3948" i="22"/>
  <c r="AA3948" i="22"/>
  <c r="S3948" i="22"/>
  <c r="R3948" i="22"/>
  <c r="Q3948" i="22"/>
  <c r="P3948" i="22"/>
  <c r="L3948" i="22"/>
  <c r="H3948" i="22"/>
  <c r="I3948" i="22"/>
  <c r="G3948" i="22"/>
  <c r="B3948" i="22"/>
  <c r="F3948" i="22"/>
  <c r="AM3947" i="22"/>
  <c r="AF3947" i="22"/>
  <c r="AJ3947" i="22"/>
  <c r="AK3947" i="22"/>
  <c r="AL3947" i="22"/>
  <c r="AA3947" i="22"/>
  <c r="Z3947" i="22"/>
  <c r="V3947" i="22"/>
  <c r="AC3947" i="22"/>
  <c r="AB3947" i="22"/>
  <c r="S3947" i="22"/>
  <c r="R3947" i="22"/>
  <c r="Q3947" i="22"/>
  <c r="P3947" i="22"/>
  <c r="L3947" i="22"/>
  <c r="B3947" i="22"/>
  <c r="F3947" i="22"/>
  <c r="G3947" i="22"/>
  <c r="H3947" i="22"/>
  <c r="I3947" i="22"/>
  <c r="AF3946" i="22"/>
  <c r="AJ3946" i="22"/>
  <c r="AK3946" i="22"/>
  <c r="AL3946" i="22"/>
  <c r="AM3946" i="22"/>
  <c r="V3946" i="22"/>
  <c r="AC3946" i="22"/>
  <c r="AB3946" i="22"/>
  <c r="AA3946" i="22"/>
  <c r="Z3946" i="22"/>
  <c r="S3946" i="22"/>
  <c r="R3946" i="22"/>
  <c r="Q3946" i="22"/>
  <c r="P3946" i="22"/>
  <c r="L3946" i="22"/>
  <c r="B3946" i="22"/>
  <c r="F3946" i="22"/>
  <c r="G3946" i="22"/>
  <c r="H3946" i="22"/>
  <c r="I3946" i="22"/>
  <c r="AM3945" i="22"/>
  <c r="AL3945" i="22"/>
  <c r="AK3945" i="22"/>
  <c r="AJ3945" i="22"/>
  <c r="AF3945" i="22"/>
  <c r="AC3945" i="22"/>
  <c r="AB3945" i="22"/>
  <c r="AA3945" i="22"/>
  <c r="Z3945" i="22"/>
  <c r="V3945" i="22"/>
  <c r="S3945" i="22"/>
  <c r="L3945" i="22"/>
  <c r="P3945" i="22"/>
  <c r="Q3945" i="22"/>
  <c r="R3945" i="22"/>
  <c r="B3945" i="22"/>
  <c r="F3945" i="22"/>
  <c r="G3945" i="22"/>
  <c r="H3945" i="22"/>
  <c r="I3945" i="22"/>
  <c r="AF3944" i="22"/>
  <c r="AJ3944" i="22"/>
  <c r="AL3944" i="22"/>
  <c r="AM3944" i="22"/>
  <c r="AK3944" i="22"/>
  <c r="AC3944" i="22"/>
  <c r="AB3944" i="22"/>
  <c r="AA3944" i="22"/>
  <c r="Z3944" i="22"/>
  <c r="V3944" i="22"/>
  <c r="S3944" i="22"/>
  <c r="R3944" i="22"/>
  <c r="Q3944" i="22"/>
  <c r="P3944" i="22"/>
  <c r="L3944" i="22"/>
  <c r="I3944" i="22"/>
  <c r="H3944" i="22"/>
  <c r="G3944" i="22"/>
  <c r="F3944" i="22"/>
  <c r="B3944" i="22"/>
  <c r="AM3943" i="22"/>
  <c r="AL3943" i="22"/>
  <c r="AK3943" i="22"/>
  <c r="AJ3943" i="22"/>
  <c r="AF3943" i="22"/>
  <c r="AC3943" i="22"/>
  <c r="AB3943" i="22"/>
  <c r="AA3943" i="22"/>
  <c r="Z3943" i="22"/>
  <c r="V3943" i="22"/>
  <c r="S3943" i="22"/>
  <c r="R3943" i="22"/>
  <c r="Q3943" i="22"/>
  <c r="P3943" i="22"/>
  <c r="L3943" i="22"/>
  <c r="I3943" i="22"/>
  <c r="H3943" i="22"/>
  <c r="G3943" i="22"/>
  <c r="F3943" i="22"/>
  <c r="B3943" i="22"/>
  <c r="AM3942" i="22"/>
  <c r="AL3942" i="22"/>
  <c r="AK3942" i="22"/>
  <c r="AJ3942" i="22"/>
  <c r="AF3942" i="22"/>
  <c r="AC3942" i="22"/>
  <c r="AB3942" i="22"/>
  <c r="AA3942" i="22"/>
  <c r="Z3942" i="22"/>
  <c r="V3942" i="22"/>
  <c r="S3942" i="22"/>
  <c r="R3942" i="22"/>
  <c r="Q3942" i="22"/>
  <c r="P3942" i="22"/>
  <c r="L3942" i="22"/>
  <c r="I3942" i="22"/>
  <c r="H3942" i="22"/>
  <c r="G3942" i="22"/>
  <c r="F3942" i="22"/>
  <c r="B3942" i="22"/>
  <c r="AM3941" i="22"/>
  <c r="AL3941" i="22"/>
  <c r="AK3941" i="22"/>
  <c r="AJ3941" i="22"/>
  <c r="AF3941" i="22"/>
  <c r="AC3941" i="22"/>
  <c r="AB3941" i="22"/>
  <c r="AA3941" i="22"/>
  <c r="Z3941" i="22"/>
  <c r="V3941" i="22"/>
  <c r="S3941" i="22"/>
  <c r="R3941" i="22"/>
  <c r="Q3941" i="22"/>
  <c r="P3941" i="22"/>
  <c r="L3941" i="22"/>
  <c r="I3941" i="22"/>
  <c r="H3941" i="22"/>
  <c r="G3941" i="22"/>
  <c r="F3941" i="22"/>
  <c r="B3941" i="22"/>
  <c r="AM3940" i="22"/>
  <c r="AL3940" i="22"/>
  <c r="AK3940" i="22"/>
  <c r="AJ3940" i="22"/>
  <c r="AF3940" i="22"/>
  <c r="AC3940" i="22"/>
  <c r="AB3940" i="22"/>
  <c r="AA3940" i="22"/>
  <c r="Z3940" i="22"/>
  <c r="V3940" i="22"/>
  <c r="S3940" i="22"/>
  <c r="R3940" i="22"/>
  <c r="Q3940" i="22"/>
  <c r="P3940" i="22"/>
  <c r="L3940" i="22"/>
  <c r="I3940" i="22"/>
  <c r="H3940" i="22"/>
  <c r="G3940" i="22"/>
  <c r="F3940" i="22"/>
  <c r="B3940" i="22"/>
  <c r="AM3939" i="22"/>
  <c r="AL3939" i="22"/>
  <c r="AK3939" i="22"/>
  <c r="AJ3939" i="22"/>
  <c r="AF3939" i="22"/>
  <c r="AC3939" i="22"/>
  <c r="AB3939" i="22"/>
  <c r="AA3939" i="22"/>
  <c r="Z3939" i="22"/>
  <c r="V3939" i="22"/>
  <c r="S3939" i="22"/>
  <c r="R3939" i="22"/>
  <c r="Q3939" i="22"/>
  <c r="P3939" i="22"/>
  <c r="L3939" i="22"/>
  <c r="I3939" i="22"/>
  <c r="H3939" i="22"/>
  <c r="G3939" i="22"/>
  <c r="F3939" i="22"/>
  <c r="B3939" i="22"/>
  <c r="AJ3938" i="22"/>
  <c r="AM3938" i="22"/>
  <c r="AL3938" i="22"/>
  <c r="AK3938" i="22"/>
  <c r="AF3938" i="22"/>
  <c r="AC3938" i="22"/>
  <c r="AB3938" i="22"/>
  <c r="AA3938" i="22"/>
  <c r="V3938" i="22"/>
  <c r="Z3938" i="22"/>
  <c r="L3938" i="22"/>
  <c r="S3938" i="22"/>
  <c r="Q3938" i="22"/>
  <c r="P3938" i="22"/>
  <c r="R3938" i="22"/>
  <c r="B3938" i="22"/>
  <c r="F3938" i="22"/>
  <c r="G3938" i="22"/>
  <c r="H3938" i="22"/>
  <c r="I3938" i="22"/>
  <c r="AM3937" i="22"/>
  <c r="AF3937" i="22"/>
  <c r="AJ3937" i="22"/>
  <c r="AK3937" i="22"/>
  <c r="AL3937" i="22"/>
  <c r="AA3937" i="22"/>
  <c r="AC3937" i="22"/>
  <c r="V3937" i="22"/>
  <c r="Z3937" i="22"/>
  <c r="AB3937" i="22"/>
  <c r="S3937" i="22"/>
  <c r="P3937" i="22"/>
  <c r="R3937" i="22"/>
  <c r="Q3937" i="22"/>
  <c r="L3937" i="22"/>
  <c r="F3937" i="22"/>
  <c r="G3937" i="22"/>
  <c r="I3937" i="22"/>
  <c r="H3937" i="22"/>
  <c r="B3937" i="22"/>
  <c r="AF3936" i="22"/>
  <c r="AM3936" i="22"/>
  <c r="AL3936" i="22"/>
  <c r="AK3936" i="22"/>
  <c r="AJ3936" i="22"/>
  <c r="AC3936" i="22"/>
  <c r="AB3936" i="22"/>
  <c r="AA3936" i="22"/>
  <c r="Z3936" i="22"/>
  <c r="V3936" i="22"/>
  <c r="R3936" i="22"/>
  <c r="Q3936" i="22"/>
  <c r="P3936" i="22"/>
  <c r="L3936" i="22"/>
  <c r="S3936" i="22"/>
  <c r="I3936" i="22"/>
  <c r="G3936" i="22"/>
  <c r="F3936" i="22"/>
  <c r="B3936" i="22"/>
  <c r="H3936" i="22"/>
  <c r="AM3935" i="22"/>
  <c r="AL3935" i="22"/>
  <c r="AK3935" i="22"/>
  <c r="AJ3935" i="22"/>
  <c r="AF3935" i="22"/>
  <c r="V3935" i="22"/>
  <c r="AC3935" i="22"/>
  <c r="AB3935" i="22"/>
  <c r="AA3935" i="22"/>
  <c r="Z3935" i="22"/>
  <c r="P3935" i="22"/>
  <c r="S3935" i="22"/>
  <c r="R3935" i="22"/>
  <c r="Q3935" i="22"/>
  <c r="L3935" i="22"/>
  <c r="B3935" i="22"/>
  <c r="G3935" i="22"/>
  <c r="F3935" i="22"/>
  <c r="I3935" i="22"/>
  <c r="H3935" i="22"/>
  <c r="AK3934" i="22"/>
  <c r="AJ3934" i="22"/>
  <c r="AF3934" i="22"/>
  <c r="AM3934" i="22"/>
  <c r="AL3934" i="22"/>
  <c r="AB3934" i="22"/>
  <c r="AA3934" i="22"/>
  <c r="Z3934" i="22"/>
  <c r="V3934" i="22"/>
  <c r="AC3934" i="22"/>
  <c r="S3934" i="22"/>
  <c r="Q3934" i="22"/>
  <c r="P3934" i="22"/>
  <c r="L3934" i="22"/>
  <c r="R3934" i="22"/>
  <c r="B3934" i="22"/>
  <c r="F3934" i="22"/>
  <c r="G3934" i="22"/>
  <c r="I3934" i="22"/>
  <c r="H3934" i="22"/>
  <c r="AF3933" i="22"/>
  <c r="AJ3933" i="22"/>
  <c r="AK3933" i="22"/>
  <c r="AL3933" i="22"/>
  <c r="AM3933" i="22"/>
  <c r="AC3933" i="22"/>
  <c r="Z3933" i="22"/>
  <c r="V3933" i="22"/>
  <c r="AB3933" i="22"/>
  <c r="AA3933" i="22"/>
  <c r="S3933" i="22"/>
  <c r="R3933" i="22"/>
  <c r="P3933" i="22"/>
  <c r="L3933" i="22"/>
  <c r="Q3933" i="22"/>
  <c r="I3933" i="22"/>
  <c r="H3933" i="22"/>
  <c r="G3933" i="22"/>
  <c r="F3933" i="22"/>
  <c r="B3933" i="22"/>
  <c r="AL3932" i="22"/>
  <c r="AK3932" i="22"/>
  <c r="AJ3932" i="22"/>
  <c r="AF3932" i="22"/>
  <c r="AM3932" i="22"/>
  <c r="V3932" i="22"/>
  <c r="AB3932" i="22"/>
  <c r="AC3932" i="22"/>
  <c r="AA3932" i="22"/>
  <c r="Z3932" i="22"/>
  <c r="S3932" i="22"/>
  <c r="R3932" i="22"/>
  <c r="Q3932" i="22"/>
  <c r="P3932" i="22"/>
  <c r="L3932" i="22"/>
  <c r="I3932" i="22"/>
  <c r="H3932" i="22"/>
  <c r="G3932" i="22"/>
  <c r="B3932" i="22"/>
  <c r="F3932" i="22"/>
  <c r="AF3931" i="22"/>
  <c r="AM3931" i="22"/>
  <c r="AK3931" i="22"/>
  <c r="AJ3931" i="22"/>
  <c r="AL3931" i="22"/>
  <c r="AC3931" i="22"/>
  <c r="Z3931" i="22"/>
  <c r="V3931" i="22"/>
  <c r="AA3931" i="22"/>
  <c r="AB3931" i="22"/>
  <c r="P3931" i="22"/>
  <c r="R3931" i="22"/>
  <c r="Q3931" i="22"/>
  <c r="L3931" i="22"/>
  <c r="S3931" i="22"/>
  <c r="H3931" i="22"/>
  <c r="I3931" i="22"/>
  <c r="B3931" i="22"/>
  <c r="F3931" i="22"/>
  <c r="G3931" i="22"/>
  <c r="AK3930" i="22"/>
  <c r="AJ3930" i="22"/>
  <c r="AF3930" i="22"/>
  <c r="AM3930" i="22"/>
  <c r="AL3930" i="22"/>
  <c r="AC3930" i="22"/>
  <c r="AB3930" i="22"/>
  <c r="AA3930" i="22"/>
  <c r="V3930" i="22"/>
  <c r="Z3930" i="22"/>
  <c r="L3930" i="22"/>
  <c r="S3930" i="22"/>
  <c r="R3930" i="22"/>
  <c r="Q3930" i="22"/>
  <c r="P3930" i="22"/>
  <c r="H3930" i="22"/>
  <c r="I3930" i="22"/>
  <c r="B3930" i="22"/>
  <c r="F3930" i="22"/>
  <c r="G3930" i="22"/>
  <c r="AJ3929" i="22"/>
  <c r="AK3929" i="22"/>
  <c r="AL3929" i="22"/>
  <c r="AM3929" i="22"/>
  <c r="AF3929" i="22"/>
  <c r="AB3929" i="22"/>
  <c r="AC3929" i="22"/>
  <c r="AA3929" i="22"/>
  <c r="Z3929" i="22"/>
  <c r="V3929" i="22"/>
  <c r="R3929" i="22"/>
  <c r="P3929" i="22"/>
  <c r="L3929" i="22"/>
  <c r="S3929" i="22"/>
  <c r="Q3929" i="22"/>
  <c r="F3929" i="22"/>
  <c r="B3929" i="22"/>
  <c r="G3929" i="22"/>
  <c r="H3929" i="22"/>
  <c r="I3929" i="22"/>
  <c r="AF3928" i="22"/>
  <c r="AJ3928" i="22"/>
  <c r="AK3928" i="22"/>
  <c r="AL3928" i="22"/>
  <c r="AM3928" i="22"/>
  <c r="AC3928" i="22"/>
  <c r="V3928" i="22"/>
  <c r="AA3928" i="22"/>
  <c r="Z3928" i="22"/>
  <c r="AB3928" i="22"/>
  <c r="S3928" i="22"/>
  <c r="L3928" i="22"/>
  <c r="R3928" i="22"/>
  <c r="P3928" i="22"/>
  <c r="Q3928" i="22"/>
  <c r="H3928" i="22"/>
  <c r="I3928" i="22"/>
  <c r="G3928" i="22"/>
  <c r="B3928" i="22"/>
  <c r="F3928" i="22"/>
  <c r="AF3927" i="22"/>
  <c r="AJ3927" i="22"/>
  <c r="AK3927" i="22"/>
  <c r="AL3927" i="22"/>
  <c r="AM3927" i="22"/>
  <c r="Z3927" i="22"/>
  <c r="AA3927" i="22"/>
  <c r="AB3927" i="22"/>
  <c r="AC3927" i="22"/>
  <c r="V3927" i="22"/>
  <c r="Q3927" i="22"/>
  <c r="R3927" i="22"/>
  <c r="S3927" i="22"/>
  <c r="P3927" i="22"/>
  <c r="L3927" i="22"/>
  <c r="B3927" i="22"/>
  <c r="F3927" i="22"/>
  <c r="G3927" i="22"/>
  <c r="H3927" i="22"/>
  <c r="I3927" i="22"/>
  <c r="AJ3926" i="22"/>
  <c r="AF3926" i="22"/>
  <c r="AK3926" i="22"/>
  <c r="AL3926" i="22"/>
  <c r="AM3926" i="22"/>
  <c r="Z3926" i="22"/>
  <c r="AC3926" i="22"/>
  <c r="AB3926" i="22"/>
  <c r="AA3926" i="22"/>
  <c r="V3926" i="22"/>
  <c r="L3926" i="22"/>
  <c r="P3926" i="22"/>
  <c r="Q3926" i="22"/>
  <c r="R3926" i="22"/>
  <c r="S3926" i="22"/>
  <c r="B3926" i="22"/>
  <c r="F3926" i="22"/>
  <c r="G3926" i="22"/>
  <c r="H3926" i="22"/>
  <c r="I3926" i="22"/>
  <c r="AF3925" i="22"/>
  <c r="AJ3925" i="22"/>
  <c r="AK3925" i="22"/>
  <c r="AL3925" i="22"/>
  <c r="AM3925" i="22"/>
  <c r="V3925" i="22"/>
  <c r="Z3925" i="22"/>
  <c r="AA3925" i="22"/>
  <c r="AB3925" i="22"/>
  <c r="AC3925" i="22"/>
  <c r="L3925" i="22"/>
  <c r="P3925" i="22"/>
  <c r="Q3925" i="22"/>
  <c r="S3925" i="22"/>
  <c r="R3925" i="22"/>
  <c r="F3925" i="22"/>
  <c r="B3925" i="22"/>
  <c r="H3925" i="22"/>
  <c r="I3925" i="22"/>
  <c r="G3925" i="22"/>
  <c r="AL3924" i="22"/>
  <c r="AF3924" i="22"/>
  <c r="AJ3924" i="22"/>
  <c r="AK3924" i="22"/>
  <c r="AM3924" i="22"/>
  <c r="AA3924" i="22"/>
  <c r="Z3924" i="22"/>
  <c r="V3924" i="22"/>
  <c r="AC3924" i="22"/>
  <c r="AB3924" i="22"/>
  <c r="L3924" i="22"/>
  <c r="Q3924" i="22"/>
  <c r="R3924" i="22"/>
  <c r="P3924" i="22"/>
  <c r="S3924" i="22"/>
  <c r="B3924" i="22"/>
  <c r="F3924" i="22"/>
  <c r="G3924" i="22"/>
  <c r="H3924" i="22"/>
  <c r="I3924" i="22"/>
  <c r="AF3923" i="22"/>
  <c r="AJ3923" i="22"/>
  <c r="AK3923" i="22"/>
  <c r="AL3923" i="22"/>
  <c r="AM3923" i="22"/>
  <c r="Z3923" i="22"/>
  <c r="V3923" i="22"/>
  <c r="AA3923" i="22"/>
  <c r="AB3923" i="22"/>
  <c r="AC3923" i="22"/>
  <c r="P3923" i="22"/>
  <c r="Q3923" i="22"/>
  <c r="L3923" i="22"/>
  <c r="R3923" i="22"/>
  <c r="S3923" i="22"/>
  <c r="I3923" i="22"/>
  <c r="B3923" i="22"/>
  <c r="F3923" i="22"/>
  <c r="H3923" i="22"/>
  <c r="G3923" i="22"/>
  <c r="AF3922" i="22"/>
  <c r="AK3922" i="22"/>
  <c r="AL3922" i="22"/>
  <c r="AM3922" i="22"/>
  <c r="AJ3922" i="22"/>
  <c r="V3922" i="22"/>
  <c r="AB3922" i="22"/>
  <c r="AC3922" i="22"/>
  <c r="Z3922" i="22"/>
  <c r="AA3922" i="22"/>
  <c r="R3922" i="22"/>
  <c r="S3922" i="22"/>
  <c r="L3922" i="22"/>
  <c r="P3922" i="22"/>
  <c r="Q3922" i="22"/>
  <c r="G3922" i="22"/>
  <c r="I3922" i="22"/>
  <c r="H3922" i="22"/>
  <c r="F3922" i="22"/>
  <c r="B3922" i="22"/>
  <c r="AK3921" i="22"/>
  <c r="AL3921" i="22"/>
  <c r="AF3921" i="22"/>
  <c r="AJ3921" i="22"/>
  <c r="AM3921" i="22"/>
  <c r="AC3921" i="22"/>
  <c r="AB3921" i="22"/>
  <c r="AA3921" i="22"/>
  <c r="Z3921" i="22"/>
  <c r="V3921" i="22"/>
  <c r="S3921" i="22"/>
  <c r="R3921" i="22"/>
  <c r="Q3921" i="22"/>
  <c r="P3921" i="22"/>
  <c r="L3921" i="22"/>
  <c r="B3921" i="22"/>
  <c r="I3921" i="22"/>
  <c r="H3921" i="22"/>
  <c r="G3921" i="22"/>
  <c r="F3921" i="22"/>
  <c r="AF3920" i="22"/>
  <c r="AM3920" i="22"/>
  <c r="AL3920" i="22"/>
  <c r="AK3920" i="22"/>
  <c r="AJ3920" i="22"/>
  <c r="AC3920" i="22"/>
  <c r="AB3920" i="22"/>
  <c r="AA3920" i="22"/>
  <c r="Z3920" i="22"/>
  <c r="V3920" i="22"/>
  <c r="S3920" i="22"/>
  <c r="R3920" i="22"/>
  <c r="Q3920" i="22"/>
  <c r="P3920" i="22"/>
  <c r="L3920" i="22"/>
  <c r="I3920" i="22"/>
  <c r="H3920" i="22"/>
  <c r="G3920" i="22"/>
  <c r="F3920" i="22"/>
  <c r="B3920" i="22"/>
  <c r="AM3919" i="22"/>
  <c r="AL3919" i="22"/>
  <c r="AK3919" i="22"/>
  <c r="AJ3919" i="22"/>
  <c r="AF3919" i="22"/>
  <c r="AA3919" i="22"/>
  <c r="AC3919" i="22"/>
  <c r="AB3919" i="22"/>
  <c r="Z3919" i="22"/>
  <c r="V3919" i="22"/>
  <c r="L3919" i="22"/>
  <c r="P3919" i="22"/>
  <c r="Q3919" i="22"/>
  <c r="R3919" i="22"/>
  <c r="S3919" i="22"/>
  <c r="F3919" i="22"/>
  <c r="I3919" i="22"/>
  <c r="H3919" i="22"/>
  <c r="G3919" i="22"/>
  <c r="B3919" i="22"/>
  <c r="AM3918" i="22"/>
  <c r="AL3918" i="22"/>
  <c r="AK3918" i="22"/>
  <c r="AJ3918" i="22"/>
  <c r="AF3918" i="22"/>
  <c r="AA3918" i="22"/>
  <c r="V3918" i="22"/>
  <c r="Z3918" i="22"/>
  <c r="AC3918" i="22"/>
  <c r="AB3918" i="22"/>
  <c r="S3918" i="22"/>
  <c r="L3918" i="22"/>
  <c r="P3918" i="22"/>
  <c r="Q3918" i="22"/>
  <c r="R3918" i="22"/>
  <c r="H3918" i="22"/>
  <c r="I3918" i="22"/>
  <c r="G3918" i="22"/>
  <c r="F3918" i="22"/>
  <c r="B3918" i="22"/>
  <c r="AM3917" i="22"/>
  <c r="AL3917" i="22"/>
  <c r="AK3917" i="22"/>
  <c r="AJ3917" i="22"/>
  <c r="AF3917" i="22"/>
  <c r="Z3917" i="22"/>
  <c r="V3917" i="22"/>
  <c r="AC3917" i="22"/>
  <c r="AB3917" i="22"/>
  <c r="AA3917" i="22"/>
  <c r="L3917" i="22"/>
  <c r="S3917" i="22"/>
  <c r="P3917" i="22"/>
  <c r="Q3917" i="22"/>
  <c r="R3917" i="22"/>
  <c r="H3917" i="22"/>
  <c r="G3917" i="22"/>
  <c r="F3917" i="22"/>
  <c r="I3917" i="22"/>
  <c r="B3917" i="22"/>
  <c r="AL3916" i="22"/>
  <c r="AJ3916" i="22"/>
  <c r="AF3916" i="22"/>
  <c r="AM3916" i="22"/>
  <c r="AK3916" i="22"/>
  <c r="V3916" i="22"/>
  <c r="Z3916" i="22"/>
  <c r="AA3916" i="22"/>
  <c r="AB3916" i="22"/>
  <c r="AC3916" i="22"/>
  <c r="Q3916" i="22"/>
  <c r="P3916" i="22"/>
  <c r="L3916" i="22"/>
  <c r="R3916" i="22"/>
  <c r="S3916" i="22"/>
  <c r="G3916" i="22"/>
  <c r="B3916" i="22"/>
  <c r="F3916" i="22"/>
  <c r="H3916" i="22"/>
  <c r="I3916" i="22"/>
  <c r="AJ3915" i="22"/>
  <c r="AL3915" i="22"/>
  <c r="AK3915" i="22"/>
  <c r="AM3915" i="22"/>
  <c r="AF3915" i="22"/>
  <c r="AC3915" i="22"/>
  <c r="AB3915" i="22"/>
  <c r="Z3915" i="22"/>
  <c r="AA3915" i="22"/>
  <c r="V3915" i="22"/>
  <c r="L3915" i="22"/>
  <c r="P3915" i="22"/>
  <c r="S3915" i="22"/>
  <c r="R3915" i="22"/>
  <c r="Q3915" i="22"/>
  <c r="I3915" i="22"/>
  <c r="G3915" i="22"/>
  <c r="H3915" i="22"/>
  <c r="F3915" i="22"/>
  <c r="B3915" i="22"/>
  <c r="AL3914" i="22"/>
  <c r="AM3914" i="22"/>
  <c r="AF3914" i="22"/>
  <c r="AJ3914" i="22"/>
  <c r="AK3914" i="22"/>
  <c r="AB3914" i="22"/>
  <c r="AA3914" i="22"/>
  <c r="V3914" i="22"/>
  <c r="AC3914" i="22"/>
  <c r="Z3914" i="22"/>
  <c r="Q3914" i="22"/>
  <c r="R3914" i="22"/>
  <c r="P3914" i="22"/>
  <c r="L3914" i="22"/>
  <c r="S3914" i="22"/>
  <c r="G3914" i="22"/>
  <c r="H3914" i="22"/>
  <c r="B3914" i="22"/>
  <c r="I3914" i="22"/>
  <c r="F3914" i="22"/>
  <c r="AM3913" i="22"/>
  <c r="AF3913" i="22"/>
  <c r="AJ3913" i="22"/>
  <c r="AK3913" i="22"/>
  <c r="AL3913" i="22"/>
  <c r="Z3913" i="22"/>
  <c r="AC3913" i="22"/>
  <c r="AB3913" i="22"/>
  <c r="AA3913" i="22"/>
  <c r="V3913" i="22"/>
  <c r="Q3913" i="22"/>
  <c r="S3913" i="22"/>
  <c r="R3913" i="22"/>
  <c r="L3913" i="22"/>
  <c r="P3913" i="22"/>
  <c r="F3913" i="22"/>
  <c r="G3913" i="22"/>
  <c r="H3913" i="22"/>
  <c r="I3913" i="22"/>
  <c r="B3913" i="22"/>
  <c r="AF3912" i="22"/>
  <c r="AM3912" i="22"/>
  <c r="AJ3912" i="22"/>
  <c r="AK3912" i="22"/>
  <c r="AL3912" i="22"/>
  <c r="V3912" i="22"/>
  <c r="Z3912" i="22"/>
  <c r="AA3912" i="22"/>
  <c r="AB3912" i="22"/>
  <c r="AC3912" i="22"/>
  <c r="S3912" i="22"/>
  <c r="R3912" i="22"/>
  <c r="L3912" i="22"/>
  <c r="P3912" i="22"/>
  <c r="Q3912" i="22"/>
  <c r="G3912" i="22"/>
  <c r="I3912" i="22"/>
  <c r="H3912" i="22"/>
  <c r="B3912" i="22"/>
  <c r="F3912" i="22"/>
  <c r="AF3911" i="22"/>
  <c r="AJ3911" i="22"/>
  <c r="AM3911" i="22"/>
  <c r="AL3911" i="22"/>
  <c r="AK3911" i="22"/>
  <c r="AB3911" i="22"/>
  <c r="AA3911" i="22"/>
  <c r="V3911" i="22"/>
  <c r="Z3911" i="22"/>
  <c r="AC3911" i="22"/>
  <c r="L3911" i="22"/>
  <c r="R3911" i="22"/>
  <c r="S3911" i="22"/>
  <c r="Q3911" i="22"/>
  <c r="P3911" i="22"/>
  <c r="I3911" i="22"/>
  <c r="H3911" i="22"/>
  <c r="G3911" i="22"/>
  <c r="B3911" i="22"/>
  <c r="F3911" i="22"/>
  <c r="AJ3910" i="22"/>
  <c r="AF3910" i="22"/>
  <c r="AK3910" i="22"/>
  <c r="AL3910" i="22"/>
  <c r="AM3910" i="22"/>
  <c r="AB3910" i="22"/>
  <c r="AC3910" i="22"/>
  <c r="AA3910" i="22"/>
  <c r="Z3910" i="22"/>
  <c r="V3910" i="22"/>
  <c r="L3910" i="22"/>
  <c r="P3910" i="22"/>
  <c r="Q3910" i="22"/>
  <c r="R3910" i="22"/>
  <c r="S3910" i="22"/>
  <c r="G3910" i="22"/>
  <c r="H3910" i="22"/>
  <c r="I3910" i="22"/>
  <c r="F3910" i="22"/>
  <c r="B3910" i="22"/>
  <c r="AM3909" i="22"/>
  <c r="AK3909" i="22"/>
  <c r="AJ3909" i="22"/>
  <c r="AF3909" i="22"/>
  <c r="AL3909" i="22"/>
  <c r="AA3909" i="22"/>
  <c r="AC3909" i="22"/>
  <c r="AB3909" i="22"/>
  <c r="Z3909" i="22"/>
  <c r="V3909" i="22"/>
  <c r="Q3909" i="22"/>
  <c r="P3909" i="22"/>
  <c r="L3909" i="22"/>
  <c r="S3909" i="22"/>
  <c r="R3909" i="22"/>
  <c r="I3909" i="22"/>
  <c r="B3909" i="22"/>
  <c r="F3909" i="22"/>
  <c r="G3909" i="22"/>
  <c r="H3909" i="22"/>
  <c r="AJ3908" i="22"/>
  <c r="AK3908" i="22"/>
  <c r="AL3908" i="22"/>
  <c r="AM3908" i="22"/>
  <c r="AF3908" i="22"/>
  <c r="V3908" i="22"/>
  <c r="Z3908" i="22"/>
  <c r="AA3908" i="22"/>
  <c r="AB3908" i="22"/>
  <c r="AC3908" i="22"/>
  <c r="L3908" i="22"/>
  <c r="S3908" i="22"/>
  <c r="R3908" i="22"/>
  <c r="P3908" i="22"/>
  <c r="Q3908" i="22"/>
  <c r="H3908" i="22"/>
  <c r="G3908" i="22"/>
  <c r="F3908" i="22"/>
  <c r="B3908" i="22"/>
  <c r="I3908" i="22"/>
  <c r="AJ3907" i="22"/>
  <c r="AM3907" i="22"/>
  <c r="AL3907" i="22"/>
  <c r="AF3907" i="22"/>
  <c r="AK3907" i="22"/>
  <c r="Z3907" i="22"/>
  <c r="V3907" i="22"/>
  <c r="AC3907" i="22"/>
  <c r="AA3907" i="22"/>
  <c r="AB3907" i="22"/>
  <c r="S3907" i="22"/>
  <c r="R3907" i="22"/>
  <c r="L3907" i="22"/>
  <c r="P3907" i="22"/>
  <c r="Q3907" i="22"/>
  <c r="H3907" i="22"/>
  <c r="G3907" i="22"/>
  <c r="F3907" i="22"/>
  <c r="B3907" i="22"/>
  <c r="I3907" i="22"/>
  <c r="AK3906" i="22"/>
  <c r="AJ3906" i="22"/>
  <c r="AF3906" i="22"/>
  <c r="AM3906" i="22"/>
  <c r="AL3906" i="22"/>
  <c r="AB3906" i="22"/>
  <c r="AA3906" i="22"/>
  <c r="Z3906" i="22"/>
  <c r="V3906" i="22"/>
  <c r="AC3906" i="22"/>
  <c r="S3906" i="22"/>
  <c r="R3906" i="22"/>
  <c r="Q3906" i="22"/>
  <c r="P3906" i="22"/>
  <c r="L3906" i="22"/>
  <c r="I3906" i="22"/>
  <c r="H3906" i="22"/>
  <c r="G3906" i="22"/>
  <c r="F3906" i="22"/>
  <c r="B3906" i="22"/>
  <c r="AM3905" i="22"/>
  <c r="AL3905" i="22"/>
  <c r="AK3905" i="22"/>
  <c r="AJ3905" i="22"/>
  <c r="AF3905" i="22"/>
  <c r="AC3905" i="22"/>
  <c r="AB3905" i="22"/>
  <c r="AA3905" i="22"/>
  <c r="Z3905" i="22"/>
  <c r="V3905" i="22"/>
  <c r="S3905" i="22"/>
  <c r="R3905" i="22"/>
  <c r="Q3905" i="22"/>
  <c r="P3905" i="22"/>
  <c r="L3905" i="22"/>
  <c r="I3905" i="22"/>
  <c r="H3905" i="22"/>
  <c r="G3905" i="22"/>
  <c r="F3905" i="22"/>
  <c r="B3905" i="22"/>
  <c r="AM3904" i="22"/>
  <c r="AL3904" i="22"/>
  <c r="AF3904" i="22"/>
  <c r="AJ3904" i="22"/>
  <c r="AK3904" i="22"/>
  <c r="AB3904" i="22"/>
  <c r="Z3904" i="22"/>
  <c r="V3904" i="22"/>
  <c r="AC3904" i="22"/>
  <c r="AA3904" i="22"/>
  <c r="S3904" i="22"/>
  <c r="R3904" i="22"/>
  <c r="Q3904" i="22"/>
  <c r="P3904" i="22"/>
  <c r="L3904" i="22"/>
  <c r="I3904" i="22"/>
  <c r="H3904" i="22"/>
  <c r="G3904" i="22"/>
  <c r="F3904" i="22"/>
  <c r="B3904" i="22"/>
  <c r="AL3903" i="22"/>
  <c r="AM3903" i="22"/>
  <c r="AK3903" i="22"/>
  <c r="AJ3903" i="22"/>
  <c r="AF3903" i="22"/>
  <c r="V3903" i="22"/>
  <c r="AB3903" i="22"/>
  <c r="AA3903" i="22"/>
  <c r="Z3903" i="22"/>
  <c r="AC3903" i="22"/>
  <c r="S3903" i="22"/>
  <c r="R3903" i="22"/>
  <c r="Q3903" i="22"/>
  <c r="P3903" i="22"/>
  <c r="L3903" i="22"/>
  <c r="I3903" i="22"/>
  <c r="G3903" i="22"/>
  <c r="F3903" i="22"/>
  <c r="B3903" i="22"/>
  <c r="H3903" i="22"/>
  <c r="AL3902" i="22"/>
  <c r="AK3902" i="22"/>
  <c r="AJ3902" i="22"/>
  <c r="AF3902" i="22"/>
  <c r="AM3902" i="22"/>
  <c r="AB3902" i="22"/>
  <c r="V3902" i="22"/>
  <c r="Z3902" i="22"/>
  <c r="AA3902" i="22"/>
  <c r="AC3902" i="22"/>
  <c r="S3902" i="22"/>
  <c r="R3902" i="22"/>
  <c r="Q3902" i="22"/>
  <c r="P3902" i="22"/>
  <c r="L3902" i="22"/>
  <c r="G3902" i="22"/>
  <c r="B3902" i="22"/>
  <c r="I3902" i="22"/>
  <c r="H3902" i="22"/>
  <c r="F3902" i="22"/>
  <c r="AF3901" i="22"/>
  <c r="AJ3901" i="22"/>
  <c r="AL3901" i="22"/>
  <c r="AK3901" i="22"/>
  <c r="AM3901" i="22"/>
  <c r="AC3901" i="22"/>
  <c r="V3901" i="22"/>
  <c r="Z3901" i="22"/>
  <c r="AA3901" i="22"/>
  <c r="AB3901" i="22"/>
  <c r="P3901" i="22"/>
  <c r="Q3901" i="22"/>
  <c r="L3901" i="22"/>
  <c r="S3901" i="22"/>
  <c r="R3901" i="22"/>
  <c r="G3901" i="22"/>
  <c r="I3901" i="22"/>
  <c r="F3901" i="22"/>
  <c r="H3901" i="22"/>
  <c r="B3901" i="22"/>
  <c r="AL3900" i="22"/>
  <c r="AK3900" i="22"/>
  <c r="AJ3900" i="22"/>
  <c r="AF3900" i="22"/>
  <c r="AM3900" i="22"/>
  <c r="AB3900" i="22"/>
  <c r="AC3900" i="22"/>
  <c r="V3900" i="22"/>
  <c r="Z3900" i="22"/>
  <c r="AA3900" i="22"/>
  <c r="R3900" i="22"/>
  <c r="L3900" i="22"/>
  <c r="P3900" i="22"/>
  <c r="Q3900" i="22"/>
  <c r="S3900" i="22"/>
  <c r="I3900" i="22"/>
  <c r="B3900" i="22"/>
  <c r="F3900" i="22"/>
  <c r="G3900" i="22"/>
  <c r="H3900" i="22"/>
  <c r="AF3899" i="22"/>
  <c r="AJ3899" i="22"/>
  <c r="AK3899" i="22"/>
  <c r="AL3899" i="22"/>
  <c r="AM3899" i="22"/>
  <c r="Z3899" i="22"/>
  <c r="V3899" i="22"/>
  <c r="AA3899" i="22"/>
  <c r="AC3899" i="22"/>
  <c r="AB3899" i="22"/>
  <c r="S3899" i="22"/>
  <c r="Q3899" i="22"/>
  <c r="L3899" i="22"/>
  <c r="P3899" i="22"/>
  <c r="R3899" i="22"/>
  <c r="B3899" i="22"/>
  <c r="F3899" i="22"/>
  <c r="G3899" i="22"/>
  <c r="H3899" i="22"/>
  <c r="I3899" i="22"/>
  <c r="AJ3898" i="22"/>
  <c r="AL3898" i="22"/>
  <c r="AM3898" i="22"/>
  <c r="AK3898" i="22"/>
  <c r="AF3898" i="22"/>
  <c r="V3898" i="22"/>
  <c r="Z3898" i="22"/>
  <c r="AA3898" i="22"/>
  <c r="AB3898" i="22"/>
  <c r="AC3898" i="22"/>
  <c r="Q3898" i="22"/>
  <c r="P3898" i="22"/>
  <c r="L3898" i="22"/>
  <c r="S3898" i="22"/>
  <c r="R3898" i="22"/>
  <c r="G3898" i="22"/>
  <c r="I3898" i="22"/>
  <c r="B3898" i="22"/>
  <c r="H3898" i="22"/>
  <c r="F3898" i="22"/>
  <c r="AF3897" i="22"/>
  <c r="AK3897" i="22"/>
  <c r="AL3897" i="22"/>
  <c r="AM3897" i="22"/>
  <c r="AJ3897" i="22"/>
  <c r="AA3897" i="22"/>
  <c r="AB3897" i="22"/>
  <c r="AC3897" i="22"/>
  <c r="Z3897" i="22"/>
  <c r="V3897" i="22"/>
  <c r="R3897" i="22"/>
  <c r="Q3897" i="22"/>
  <c r="P3897" i="22"/>
  <c r="L3897" i="22"/>
  <c r="S3897" i="22"/>
  <c r="B3897" i="22"/>
  <c r="F3897" i="22"/>
  <c r="H3897" i="22"/>
  <c r="I3897" i="22"/>
  <c r="G3897" i="22"/>
  <c r="AL3896" i="22"/>
  <c r="AM3896" i="22"/>
  <c r="AF3896" i="22"/>
  <c r="AK3896" i="22"/>
  <c r="AJ3896" i="22"/>
  <c r="AB3896" i="22"/>
  <c r="Z3896" i="22"/>
  <c r="AC3896" i="22"/>
  <c r="V3896" i="22"/>
  <c r="AA3896" i="22"/>
  <c r="R3896" i="22"/>
  <c r="Q3896" i="22"/>
  <c r="L3896" i="22"/>
  <c r="P3896" i="22"/>
  <c r="S3896" i="22"/>
  <c r="I3896" i="22"/>
  <c r="H3896" i="22"/>
  <c r="G3896" i="22"/>
  <c r="F3896" i="22"/>
  <c r="B3896" i="22"/>
  <c r="AF3895" i="22"/>
  <c r="AM3895" i="22"/>
  <c r="AL3895" i="22"/>
  <c r="AK3895" i="22"/>
  <c r="AJ3895" i="22"/>
  <c r="V3895" i="22"/>
  <c r="Z3895" i="22"/>
  <c r="AA3895" i="22"/>
  <c r="AB3895" i="22"/>
  <c r="AC3895" i="22"/>
  <c r="L3895" i="22"/>
  <c r="P3895" i="22"/>
  <c r="Q3895" i="22"/>
  <c r="R3895" i="22"/>
  <c r="S3895" i="22"/>
  <c r="G3895" i="22"/>
  <c r="F3895" i="22"/>
  <c r="B3895" i="22"/>
  <c r="H3895" i="22"/>
  <c r="I3895" i="22"/>
  <c r="AM3894" i="22"/>
  <c r="AL3894" i="22"/>
  <c r="AK3894" i="22"/>
  <c r="AJ3894" i="22"/>
  <c r="AF3894" i="22"/>
  <c r="AC3894" i="22"/>
  <c r="AB3894" i="22"/>
  <c r="AA3894" i="22"/>
  <c r="Z3894" i="22"/>
  <c r="V3894" i="22"/>
  <c r="S3894" i="22"/>
  <c r="Q3894" i="22"/>
  <c r="R3894" i="22"/>
  <c r="P3894" i="22"/>
  <c r="L3894" i="22"/>
  <c r="B3894" i="22"/>
  <c r="F3894" i="22"/>
  <c r="G3894" i="22"/>
  <c r="H3894" i="22"/>
  <c r="I3894" i="22"/>
  <c r="AM3893" i="22"/>
  <c r="AL3893" i="22"/>
  <c r="AK3893" i="22"/>
  <c r="AJ3893" i="22"/>
  <c r="AF3893" i="22"/>
  <c r="AB3893" i="22"/>
  <c r="AC3893" i="22"/>
  <c r="AA3893" i="22"/>
  <c r="Z3893" i="22"/>
  <c r="V3893" i="22"/>
  <c r="S3893" i="22"/>
  <c r="R3893" i="22"/>
  <c r="Q3893" i="22"/>
  <c r="P3893" i="22"/>
  <c r="L3893" i="22"/>
  <c r="B3893" i="22"/>
  <c r="H3893" i="22"/>
  <c r="I3893" i="22"/>
  <c r="G3893" i="22"/>
  <c r="F3893" i="22"/>
  <c r="AF3892" i="22"/>
  <c r="AJ3892" i="22"/>
  <c r="AK3892" i="22"/>
  <c r="AM3892" i="22"/>
  <c r="AL3892" i="22"/>
  <c r="AA3892" i="22"/>
  <c r="AB3892" i="22"/>
  <c r="AC3892" i="22"/>
  <c r="V3892" i="22"/>
  <c r="Z3892" i="22"/>
  <c r="S3892" i="22"/>
  <c r="R3892" i="22"/>
  <c r="P3892" i="22"/>
  <c r="Q3892" i="22"/>
  <c r="L3892" i="22"/>
  <c r="I3892" i="22"/>
  <c r="H3892" i="22"/>
  <c r="G3892" i="22"/>
  <c r="F3892" i="22"/>
  <c r="B3892" i="22"/>
  <c r="AM3891" i="22"/>
  <c r="AK3891" i="22"/>
  <c r="AJ3891" i="22"/>
  <c r="AF3891" i="22"/>
  <c r="AL3891" i="22"/>
  <c r="AA3891" i="22"/>
  <c r="AC3891" i="22"/>
  <c r="AB3891" i="22"/>
  <c r="Z3891" i="22"/>
  <c r="V3891" i="22"/>
  <c r="S3891" i="22"/>
  <c r="R3891" i="22"/>
  <c r="Q3891" i="22"/>
  <c r="P3891" i="22"/>
  <c r="L3891" i="22"/>
  <c r="F3891" i="22"/>
  <c r="B3891" i="22"/>
  <c r="I3891" i="22"/>
  <c r="H3891" i="22"/>
  <c r="G3891" i="22"/>
  <c r="AF3890" i="22"/>
  <c r="AJ3890" i="22"/>
  <c r="AK3890" i="22"/>
  <c r="AL3890" i="22"/>
  <c r="AM3890" i="22"/>
  <c r="V3890" i="22"/>
  <c r="Z3890" i="22"/>
  <c r="AA3890" i="22"/>
  <c r="AB3890" i="22"/>
  <c r="AC3890" i="22"/>
  <c r="Q3890" i="22"/>
  <c r="S3890" i="22"/>
  <c r="R3890" i="22"/>
  <c r="P3890" i="22"/>
  <c r="L3890" i="22"/>
  <c r="I3890" i="22"/>
  <c r="H3890" i="22"/>
  <c r="G3890" i="22"/>
  <c r="F3890" i="22"/>
  <c r="B3890" i="22"/>
  <c r="AL3889" i="22"/>
  <c r="AK3889" i="22"/>
  <c r="AJ3889" i="22"/>
  <c r="AF3889" i="22"/>
  <c r="AM3889" i="22"/>
  <c r="AB3889" i="22"/>
  <c r="AA3889" i="22"/>
  <c r="Z3889" i="22"/>
  <c r="V3889" i="22"/>
  <c r="AC3889" i="22"/>
  <c r="L3889" i="22"/>
  <c r="P3889" i="22"/>
  <c r="S3889" i="22"/>
  <c r="R3889" i="22"/>
  <c r="Q3889" i="22"/>
  <c r="I3889" i="22"/>
  <c r="H3889" i="22"/>
  <c r="G3889" i="22"/>
  <c r="B3889" i="22"/>
  <c r="F3889" i="22"/>
  <c r="AF3888" i="22"/>
  <c r="AK3888" i="22"/>
  <c r="AL3888" i="22"/>
  <c r="AM3888" i="22"/>
  <c r="AJ3888" i="22"/>
  <c r="V3888" i="22"/>
  <c r="Z3888" i="22"/>
  <c r="AA3888" i="22"/>
  <c r="AB3888" i="22"/>
  <c r="AC3888" i="22"/>
  <c r="P3888" i="22"/>
  <c r="S3888" i="22"/>
  <c r="R3888" i="22"/>
  <c r="Q3888" i="22"/>
  <c r="L3888" i="22"/>
  <c r="I3888" i="22"/>
  <c r="H3888" i="22"/>
  <c r="G3888" i="22"/>
  <c r="F3888" i="22"/>
  <c r="B3888" i="22"/>
  <c r="AL3887" i="22"/>
  <c r="AK3887" i="22"/>
  <c r="AJ3887" i="22"/>
  <c r="AF3887" i="22"/>
  <c r="AM3887" i="22"/>
  <c r="V3887" i="22"/>
  <c r="AC3887" i="22"/>
  <c r="AB3887" i="22"/>
  <c r="AA3887" i="22"/>
  <c r="Z3887" i="22"/>
  <c r="P3887" i="22"/>
  <c r="S3887" i="22"/>
  <c r="R3887" i="22"/>
  <c r="Q3887" i="22"/>
  <c r="L3887" i="22"/>
  <c r="F3887" i="22"/>
  <c r="I3887" i="22"/>
  <c r="H3887" i="22"/>
  <c r="B3887" i="22"/>
  <c r="G3887" i="22"/>
  <c r="AM3886" i="22"/>
  <c r="AL3886" i="22"/>
  <c r="AK3886" i="22"/>
  <c r="AJ3886" i="22"/>
  <c r="AF3886" i="22"/>
  <c r="AC3886" i="22"/>
  <c r="V3886" i="22"/>
  <c r="Z3886" i="22"/>
  <c r="AA3886" i="22"/>
  <c r="AB3886" i="22"/>
  <c r="L3886" i="22"/>
  <c r="S3886" i="22"/>
  <c r="R3886" i="22"/>
  <c r="Q3886" i="22"/>
  <c r="P3886" i="22"/>
  <c r="I3886" i="22"/>
  <c r="F3886" i="22"/>
  <c r="H3886" i="22"/>
  <c r="G3886" i="22"/>
  <c r="B3886" i="22"/>
  <c r="AF3885" i="22"/>
  <c r="AM3885" i="22"/>
  <c r="AL3885" i="22"/>
  <c r="AK3885" i="22"/>
  <c r="AJ3885" i="22"/>
  <c r="Z3885" i="22"/>
  <c r="AC3885" i="22"/>
  <c r="AB3885" i="22"/>
  <c r="AA3885" i="22"/>
  <c r="V3885" i="22"/>
  <c r="S3885" i="22"/>
  <c r="P3885" i="22"/>
  <c r="R3885" i="22"/>
  <c r="Q3885" i="22"/>
  <c r="L3885" i="22"/>
  <c r="B3885" i="22"/>
  <c r="F3885" i="22"/>
  <c r="I3885" i="22"/>
  <c r="H3885" i="22"/>
  <c r="G3885" i="22"/>
  <c r="AM3884" i="22"/>
  <c r="AL3884" i="22"/>
  <c r="AK3884" i="22"/>
  <c r="AJ3884" i="22"/>
  <c r="AF3884" i="22"/>
  <c r="AA3884" i="22"/>
  <c r="V3884" i="22"/>
  <c r="Z3884" i="22"/>
  <c r="AB3884" i="22"/>
  <c r="AC3884" i="22"/>
  <c r="R3884" i="22"/>
  <c r="Q3884" i="22"/>
  <c r="P3884" i="22"/>
  <c r="L3884" i="22"/>
  <c r="S3884" i="22"/>
  <c r="F3884" i="22"/>
  <c r="I3884" i="22"/>
  <c r="H3884" i="22"/>
  <c r="G3884" i="22"/>
  <c r="B3884" i="22"/>
  <c r="AM3883" i="22"/>
  <c r="AL3883" i="22"/>
  <c r="AK3883" i="22"/>
  <c r="AJ3883" i="22"/>
  <c r="AF3883" i="22"/>
  <c r="AA3883" i="22"/>
  <c r="Z3883" i="22"/>
  <c r="V3883" i="22"/>
  <c r="AC3883" i="22"/>
  <c r="AB3883" i="22"/>
  <c r="L3883" i="22"/>
  <c r="P3883" i="22"/>
  <c r="Q3883" i="22"/>
  <c r="R3883" i="22"/>
  <c r="S3883" i="22"/>
  <c r="B3883" i="22"/>
  <c r="F3883" i="22"/>
  <c r="G3883" i="22"/>
  <c r="H3883" i="22"/>
  <c r="I3883" i="22"/>
  <c r="AF3882" i="22"/>
  <c r="AM3882" i="22"/>
  <c r="AL3882" i="22"/>
  <c r="AK3882" i="22"/>
  <c r="AJ3882" i="22"/>
  <c r="AC3882" i="22"/>
  <c r="AB3882" i="22"/>
  <c r="AA3882" i="22"/>
  <c r="Z3882" i="22"/>
  <c r="V3882" i="22"/>
  <c r="S3882" i="22"/>
  <c r="R3882" i="22"/>
  <c r="P3882" i="22"/>
  <c r="L3882" i="22"/>
  <c r="Q3882" i="22"/>
  <c r="G3882" i="22"/>
  <c r="H3882" i="22"/>
  <c r="I3882" i="22"/>
  <c r="F3882" i="22"/>
  <c r="B3882" i="22"/>
  <c r="AM3881" i="22"/>
  <c r="AL3881" i="22"/>
  <c r="AK3881" i="22"/>
  <c r="AJ3881" i="22"/>
  <c r="AF3881" i="22"/>
  <c r="Z3881" i="22"/>
  <c r="AC3881" i="22"/>
  <c r="AB3881" i="22"/>
  <c r="AA3881" i="22"/>
  <c r="V3881" i="22"/>
  <c r="Q3881" i="22"/>
  <c r="P3881" i="22"/>
  <c r="L3881" i="22"/>
  <c r="R3881" i="22"/>
  <c r="S3881" i="22"/>
  <c r="F3881" i="22"/>
  <c r="G3881" i="22"/>
  <c r="H3881" i="22"/>
  <c r="I3881" i="22"/>
  <c r="B3881" i="22"/>
  <c r="AJ3880" i="22"/>
  <c r="AM3880" i="22"/>
  <c r="AL3880" i="22"/>
  <c r="AK3880" i="22"/>
  <c r="AF3880" i="22"/>
  <c r="AB3880" i="22"/>
  <c r="V3880" i="22"/>
  <c r="Z3880" i="22"/>
  <c r="AA3880" i="22"/>
  <c r="AC3880" i="22"/>
  <c r="S3880" i="22"/>
  <c r="L3880" i="22"/>
  <c r="P3880" i="22"/>
  <c r="Q3880" i="22"/>
  <c r="R3880" i="22"/>
  <c r="B3880" i="22"/>
  <c r="F3880" i="22"/>
  <c r="G3880" i="22"/>
  <c r="H3880" i="22"/>
  <c r="I3880" i="22"/>
  <c r="AL3879" i="22"/>
  <c r="AJ3879" i="22"/>
  <c r="AK3879" i="22"/>
  <c r="AF3879" i="22"/>
  <c r="AM3879" i="22"/>
  <c r="AC3879" i="22"/>
  <c r="V3879" i="22"/>
  <c r="AB3879" i="22"/>
  <c r="AA3879" i="22"/>
  <c r="Z3879" i="22"/>
  <c r="P3879" i="22"/>
  <c r="Q3879" i="22"/>
  <c r="R3879" i="22"/>
  <c r="L3879" i="22"/>
  <c r="S3879" i="22"/>
  <c r="H3879" i="22"/>
  <c r="I3879" i="22"/>
  <c r="G3879" i="22"/>
  <c r="F3879" i="22"/>
  <c r="B3879" i="22"/>
  <c r="AJ3878" i="22"/>
  <c r="AF3878" i="22"/>
  <c r="AK3878" i="22"/>
  <c r="AL3878" i="22"/>
  <c r="AM3878" i="22"/>
  <c r="Z3878" i="22"/>
  <c r="V3878" i="22"/>
  <c r="AC3878" i="22"/>
  <c r="AB3878" i="22"/>
  <c r="AA3878" i="22"/>
  <c r="L3878" i="22"/>
  <c r="P3878" i="22"/>
  <c r="Q3878" i="22"/>
  <c r="R3878" i="22"/>
  <c r="S3878" i="22"/>
  <c r="B3878" i="22"/>
  <c r="F3878" i="22"/>
  <c r="G3878" i="22"/>
  <c r="H3878" i="22"/>
  <c r="I3878" i="22"/>
  <c r="AM3877" i="22"/>
  <c r="AL3877" i="22"/>
  <c r="AJ3877" i="22"/>
  <c r="AK3877" i="22"/>
  <c r="AF3877" i="22"/>
  <c r="AC3877" i="22"/>
  <c r="AB3877" i="22"/>
  <c r="AA3877" i="22"/>
  <c r="Z3877" i="22"/>
  <c r="V3877" i="22"/>
  <c r="Q3877" i="22"/>
  <c r="P3877" i="22"/>
  <c r="L3877" i="22"/>
  <c r="S3877" i="22"/>
  <c r="R3877" i="22"/>
  <c r="I3877" i="22"/>
  <c r="B3877" i="22"/>
  <c r="F3877" i="22"/>
  <c r="G3877" i="22"/>
  <c r="H3877" i="22"/>
  <c r="AL3876" i="22"/>
  <c r="AM3876" i="22"/>
  <c r="AF3876" i="22"/>
  <c r="AJ3876" i="22"/>
  <c r="AK3876" i="22"/>
  <c r="AC3876" i="22"/>
  <c r="AB3876" i="22"/>
  <c r="AA3876" i="22"/>
  <c r="V3876" i="22"/>
  <c r="Z3876" i="22"/>
  <c r="R3876" i="22"/>
  <c r="S3876" i="22"/>
  <c r="Q3876" i="22"/>
  <c r="P3876" i="22"/>
  <c r="L3876" i="22"/>
  <c r="H3876" i="22"/>
  <c r="I3876" i="22"/>
  <c r="G3876" i="22"/>
  <c r="F3876" i="22"/>
  <c r="B3876" i="22"/>
  <c r="AF3875" i="22"/>
  <c r="AL3875" i="22"/>
  <c r="AJ3875" i="22"/>
  <c r="AK3875" i="22"/>
  <c r="AM3875" i="22"/>
  <c r="V3875" i="22"/>
  <c r="Z3875" i="22"/>
  <c r="AA3875" i="22"/>
  <c r="AC3875" i="22"/>
  <c r="AB3875" i="22"/>
  <c r="S3875" i="22"/>
  <c r="Q3875" i="22"/>
  <c r="R3875" i="22"/>
  <c r="P3875" i="22"/>
  <c r="L3875" i="22"/>
  <c r="G3875" i="22"/>
  <c r="F3875" i="22"/>
  <c r="B3875" i="22"/>
  <c r="I3875" i="22"/>
  <c r="H3875" i="22"/>
  <c r="AJ3874" i="22"/>
  <c r="AM3874" i="22"/>
  <c r="AL3874" i="22"/>
  <c r="AK3874" i="22"/>
  <c r="AF3874" i="22"/>
  <c r="AA3874" i="22"/>
  <c r="AC3874" i="22"/>
  <c r="AB3874" i="22"/>
  <c r="V3874" i="22"/>
  <c r="Z3874" i="22"/>
  <c r="R3874" i="22"/>
  <c r="Q3874" i="22"/>
  <c r="P3874" i="22"/>
  <c r="L3874" i="22"/>
  <c r="S3874" i="22"/>
  <c r="F3874" i="22"/>
  <c r="B3874" i="22"/>
  <c r="I3874" i="22"/>
  <c r="H3874" i="22"/>
  <c r="G3874" i="22"/>
  <c r="AM3873" i="22"/>
  <c r="AL3873" i="22"/>
  <c r="AK3873" i="22"/>
  <c r="AJ3873" i="22"/>
  <c r="AF3873" i="22"/>
  <c r="AC3873" i="22"/>
  <c r="AB3873" i="22"/>
  <c r="AA3873" i="22"/>
  <c r="Z3873" i="22"/>
  <c r="V3873" i="22"/>
  <c r="L3873" i="22"/>
  <c r="S3873" i="22"/>
  <c r="R3873" i="22"/>
  <c r="Q3873" i="22"/>
  <c r="P3873" i="22"/>
  <c r="H3873" i="22"/>
  <c r="G3873" i="22"/>
  <c r="I3873" i="22"/>
  <c r="F3873" i="22"/>
  <c r="B3873" i="22"/>
  <c r="AM3872" i="22"/>
  <c r="AL3872" i="22"/>
  <c r="AK3872" i="22"/>
  <c r="AJ3872" i="22"/>
  <c r="AF3872" i="22"/>
  <c r="AA3872" i="22"/>
  <c r="V3872" i="22"/>
  <c r="Z3872" i="22"/>
  <c r="AC3872" i="22"/>
  <c r="AB3872" i="22"/>
  <c r="L3872" i="22"/>
  <c r="P3872" i="22"/>
  <c r="Q3872" i="22"/>
  <c r="R3872" i="22"/>
  <c r="S3872" i="22"/>
  <c r="B3872" i="22"/>
  <c r="F3872" i="22"/>
  <c r="G3872" i="22"/>
  <c r="H3872" i="22"/>
  <c r="I3872" i="22"/>
  <c r="AM3871" i="22"/>
  <c r="AL3871" i="22"/>
  <c r="AK3871" i="22"/>
  <c r="AJ3871" i="22"/>
  <c r="AF3871" i="22"/>
  <c r="AB3871" i="22"/>
  <c r="Z3871" i="22"/>
  <c r="V3871" i="22"/>
  <c r="AA3871" i="22"/>
  <c r="AC3871" i="22"/>
  <c r="L3871" i="22"/>
  <c r="Q3871" i="22"/>
  <c r="P3871" i="22"/>
  <c r="S3871" i="22"/>
  <c r="R3871" i="22"/>
  <c r="G3871" i="22"/>
  <c r="F3871" i="22"/>
  <c r="B3871" i="22"/>
  <c r="I3871" i="22"/>
  <c r="H3871" i="22"/>
  <c r="AJ3870" i="22"/>
  <c r="AF3870" i="22"/>
  <c r="Z3870" i="22"/>
  <c r="V3870" i="22"/>
  <c r="L3870" i="22"/>
  <c r="P3870" i="22"/>
  <c r="B3870" i="22"/>
  <c r="F3870" i="22"/>
  <c r="AJ3869" i="22"/>
  <c r="AF3869" i="22"/>
  <c r="V3869" i="22"/>
  <c r="Z3869" i="22"/>
  <c r="L3869" i="22"/>
  <c r="P3869" i="22"/>
  <c r="Q3869" i="22"/>
  <c r="R3869" i="22"/>
  <c r="B3869" i="22"/>
  <c r="G3869" i="22"/>
  <c r="H3869" i="22"/>
  <c r="F3869" i="22"/>
  <c r="AJ3868" i="22"/>
  <c r="AF3868" i="22"/>
  <c r="V3868" i="22"/>
  <c r="Z3868" i="22"/>
  <c r="L3868" i="22"/>
  <c r="P3868" i="22"/>
  <c r="B3868" i="22"/>
  <c r="F3868" i="22"/>
  <c r="AF3867" i="22"/>
  <c r="AJ3867" i="22"/>
  <c r="V3867" i="22"/>
  <c r="Z3867" i="22"/>
  <c r="P3867" i="22"/>
  <c r="L3867" i="22"/>
  <c r="R3867" i="22"/>
  <c r="Q3867" i="22"/>
  <c r="S3867" i="22" s="1"/>
  <c r="B3867" i="22"/>
  <c r="F3867" i="22"/>
  <c r="G3867" i="22"/>
  <c r="H3867" i="22"/>
  <c r="AF3866" i="22"/>
  <c r="AJ3866" i="22"/>
  <c r="V3866" i="22"/>
  <c r="Z3866" i="22"/>
  <c r="L3866" i="22"/>
  <c r="P3866" i="22"/>
  <c r="F3866" i="22"/>
  <c r="B3866" i="22"/>
  <c r="AF3865" i="22"/>
  <c r="AJ3865" i="22"/>
  <c r="AL3865" i="22"/>
  <c r="Z3865" i="22"/>
  <c r="V3865" i="22"/>
  <c r="P3865" i="22"/>
  <c r="L3865" i="22"/>
  <c r="Q3865" i="22" s="1"/>
  <c r="S3865" i="22" s="1"/>
  <c r="R3865" i="22"/>
  <c r="B3865" i="22"/>
  <c r="F3865" i="22"/>
  <c r="G3865" i="22"/>
  <c r="I3865" i="22" s="1"/>
  <c r="H3865" i="22"/>
  <c r="AF3864" i="22"/>
  <c r="AL3864" i="22"/>
  <c r="AK3864" i="22"/>
  <c r="AM3864" i="22" s="1"/>
  <c r="AJ3864" i="22"/>
  <c r="Z3864" i="22"/>
  <c r="V3864" i="22"/>
  <c r="L3864" i="22"/>
  <c r="P3864" i="22"/>
  <c r="Q3864" i="22"/>
  <c r="S3864" i="22" s="1"/>
  <c r="R3864" i="22"/>
  <c r="B3864" i="22"/>
  <c r="H3864" i="22" s="1"/>
  <c r="I3864" i="22" s="1"/>
  <c r="F3864" i="22"/>
  <c r="G3864" i="22"/>
  <c r="AJ3863" i="22"/>
  <c r="AF3863" i="22"/>
  <c r="Z3863" i="22"/>
  <c r="V3863" i="22"/>
  <c r="P3863" i="22"/>
  <c r="L3863" i="22"/>
  <c r="B3863" i="22"/>
  <c r="H3863" i="22"/>
  <c r="G3863" i="22"/>
  <c r="I3863" i="22" s="1"/>
  <c r="F3863" i="22"/>
  <c r="AF3862" i="22"/>
  <c r="AL3862" i="22"/>
  <c r="AK3862" i="22"/>
  <c r="AM3862" i="22" s="1"/>
  <c r="AJ3862" i="22"/>
  <c r="Z3862" i="22"/>
  <c r="V3862" i="22"/>
  <c r="L3862" i="22"/>
  <c r="Q3862" i="22" s="1"/>
  <c r="S3862" i="22" s="1"/>
  <c r="P3862" i="22"/>
  <c r="R3862" i="22"/>
  <c r="F3862" i="22"/>
  <c r="B3862" i="22"/>
  <c r="AJ3861" i="22"/>
  <c r="AF3861" i="22"/>
  <c r="Z3861" i="22"/>
  <c r="V3861" i="22"/>
  <c r="P3861" i="22"/>
  <c r="L3861" i="22"/>
  <c r="B3861" i="22"/>
  <c r="F3861" i="22"/>
  <c r="AF3860" i="22"/>
  <c r="AJ3860" i="22"/>
  <c r="V3860" i="22"/>
  <c r="Z3860" i="22"/>
  <c r="AA3860" i="22"/>
  <c r="AC3860" i="22" s="1"/>
  <c r="AB3860" i="22"/>
  <c r="L3860" i="22"/>
  <c r="P3860" i="22"/>
  <c r="Q3860" i="22"/>
  <c r="S3860" i="22" s="1"/>
  <c r="R3860" i="22"/>
  <c r="B3860" i="22"/>
  <c r="F3860" i="22"/>
  <c r="G3860" i="22"/>
  <c r="I3860" i="22" s="1"/>
  <c r="H3860" i="22"/>
  <c r="AF3859" i="22"/>
  <c r="AJ3859" i="22"/>
  <c r="V3859" i="22"/>
  <c r="Z3859" i="22"/>
  <c r="L3859" i="22"/>
  <c r="P3859" i="22"/>
  <c r="B3859" i="22"/>
  <c r="F3859" i="22"/>
  <c r="AF3858" i="22"/>
  <c r="AJ3858" i="22"/>
  <c r="Z3858" i="22"/>
  <c r="V3858" i="22"/>
  <c r="P3858" i="22"/>
  <c r="L3858" i="22"/>
  <c r="F3858" i="22"/>
  <c r="B3858" i="22"/>
  <c r="AF3857" i="22"/>
  <c r="AJ3857" i="22"/>
  <c r="V3857" i="22"/>
  <c r="Z3857" i="22"/>
  <c r="L3857" i="22"/>
  <c r="P3857" i="22"/>
  <c r="F3857" i="22"/>
  <c r="B3857" i="22"/>
  <c r="AF3856" i="22"/>
  <c r="AJ3856" i="22"/>
  <c r="V3856" i="22"/>
  <c r="AA3856" i="22" s="1"/>
  <c r="AC3856" i="22" s="1"/>
  <c r="Z3856" i="22"/>
  <c r="AB3856" i="22"/>
  <c r="L3856" i="22"/>
  <c r="P3856" i="22"/>
  <c r="R3856" i="22"/>
  <c r="F3856" i="22"/>
  <c r="B3856" i="22"/>
  <c r="AJ3855" i="22"/>
  <c r="AF3855" i="22"/>
  <c r="Z3855" i="22"/>
  <c r="V3855" i="22"/>
  <c r="L3855" i="22"/>
  <c r="P3855" i="22"/>
  <c r="B3855" i="22"/>
  <c r="F3855" i="22"/>
  <c r="AJ3854" i="22"/>
  <c r="AF3854" i="22"/>
  <c r="V3854" i="22"/>
  <c r="AA3854" i="22"/>
  <c r="Z3854" i="22"/>
  <c r="AB3854" i="22"/>
  <c r="AC3854" i="22"/>
  <c r="P3854" i="22"/>
  <c r="L3854" i="22"/>
  <c r="Q3854" i="22"/>
  <c r="R3854" i="22"/>
  <c r="B3854" i="22"/>
  <c r="F3854" i="22"/>
  <c r="G3854" i="22"/>
  <c r="H3854" i="22"/>
  <c r="AJ3853" i="22"/>
  <c r="AF3853" i="22"/>
  <c r="AL3853" i="22" s="1"/>
  <c r="AK3853" i="22"/>
  <c r="Z3853" i="22"/>
  <c r="V3853" i="22"/>
  <c r="P3853" i="22"/>
  <c r="L3853" i="22"/>
  <c r="Q3853" i="22" s="1"/>
  <c r="R3853" i="22"/>
  <c r="F3853" i="22"/>
  <c r="B3853" i="22"/>
  <c r="AF3852" i="22"/>
  <c r="AJ3852" i="22"/>
  <c r="AK3852" i="22"/>
  <c r="AL3852" i="22"/>
  <c r="V3852" i="22"/>
  <c r="AB3852" i="22" s="1"/>
  <c r="Z3852" i="22"/>
  <c r="AA3852" i="22"/>
  <c r="L3852" i="22"/>
  <c r="R3852" i="22"/>
  <c r="P3852" i="22"/>
  <c r="Q3852" i="22"/>
  <c r="S3852" i="22" s="1"/>
  <c r="B3852" i="22"/>
  <c r="F3852" i="22"/>
  <c r="AF3851" i="22"/>
  <c r="AJ3851" i="22"/>
  <c r="AL3851" i="22"/>
  <c r="AK3851" i="22"/>
  <c r="AM3851" i="22" s="1"/>
  <c r="V3851" i="22"/>
  <c r="Z3851" i="22"/>
  <c r="AA3851" i="22"/>
  <c r="AB3851" i="22"/>
  <c r="P3851" i="22"/>
  <c r="L3851" i="22"/>
  <c r="R3851" i="22"/>
  <c r="Q3851" i="22"/>
  <c r="S3851" i="22" s="1"/>
  <c r="F3851" i="22"/>
  <c r="B3851" i="22"/>
  <c r="AF3850" i="22"/>
  <c r="AJ3850" i="22"/>
  <c r="V3850" i="22"/>
  <c r="Z3850" i="22"/>
  <c r="P3850" i="22"/>
  <c r="L3850" i="22"/>
  <c r="B3850" i="22"/>
  <c r="F3850" i="22"/>
  <c r="AF3849" i="22"/>
  <c r="AJ3849" i="22"/>
  <c r="AK3849" i="22"/>
  <c r="AL3849" i="22"/>
  <c r="V3849" i="22"/>
  <c r="Z3849" i="22"/>
  <c r="AA3849" i="22"/>
  <c r="AB3849" i="22"/>
  <c r="P3849" i="22"/>
  <c r="L3849" i="22"/>
  <c r="B3849" i="22"/>
  <c r="F3849" i="22"/>
  <c r="G3849" i="22"/>
  <c r="H3849" i="22"/>
  <c r="AJ3848" i="22"/>
  <c r="AF3848" i="22"/>
  <c r="V3848" i="22"/>
  <c r="AB3848" i="22" s="1"/>
  <c r="Z3848" i="22"/>
  <c r="AA3848" i="22"/>
  <c r="P3848" i="22"/>
  <c r="L3848" i="22"/>
  <c r="B3848" i="22"/>
  <c r="H3848" i="22" s="1"/>
  <c r="F3848" i="22"/>
  <c r="G3848" i="22"/>
  <c r="AJ3847" i="22"/>
  <c r="AF3847" i="22"/>
  <c r="AK3847" i="22" s="1"/>
  <c r="AL3847" i="22"/>
  <c r="Z3847" i="22"/>
  <c r="V3847" i="22"/>
  <c r="AB3847" i="22"/>
  <c r="AA3847" i="22"/>
  <c r="AC3847" i="22" s="1"/>
  <c r="L3847" i="22"/>
  <c r="P3847" i="22"/>
  <c r="R3847" i="22"/>
  <c r="Q3847" i="22"/>
  <c r="S3847" i="22" s="1"/>
  <c r="F3847" i="22"/>
  <c r="B3847" i="22"/>
  <c r="AJ3846" i="22"/>
  <c r="AF3846" i="22"/>
  <c r="V3846" i="22"/>
  <c r="AA3846" i="22" s="1"/>
  <c r="Z3846" i="22"/>
  <c r="L3846" i="22"/>
  <c r="P3846" i="22"/>
  <c r="B3846" i="22"/>
  <c r="F3846" i="22"/>
  <c r="AJ3845" i="22"/>
  <c r="AF3845" i="22"/>
  <c r="AK3845" i="22" s="1"/>
  <c r="V3845" i="22"/>
  <c r="Z3845" i="22"/>
  <c r="P3845" i="22"/>
  <c r="L3845" i="22"/>
  <c r="F3845" i="22"/>
  <c r="B3845" i="22"/>
  <c r="AF3844" i="22"/>
  <c r="AL3844" i="22" s="1"/>
  <c r="AJ3844" i="22"/>
  <c r="AK3844" i="22"/>
  <c r="V3844" i="22"/>
  <c r="Z3844" i="22"/>
  <c r="AA3844" i="22"/>
  <c r="AC3844" i="22" s="1"/>
  <c r="AB3844" i="22"/>
  <c r="L3844" i="22"/>
  <c r="Q3844" i="22" s="1"/>
  <c r="S3844" i="22" s="1"/>
  <c r="P3844" i="22"/>
  <c r="R3844" i="22"/>
  <c r="B3844" i="22"/>
  <c r="F3844" i="22"/>
  <c r="G3844" i="22"/>
  <c r="I3844" i="22" s="1"/>
  <c r="H3844" i="22"/>
  <c r="AF3843" i="22"/>
  <c r="AJ3843" i="22"/>
  <c r="Z3843" i="22"/>
  <c r="V3843" i="22"/>
  <c r="L3843" i="22"/>
  <c r="P3843" i="22"/>
  <c r="F3843" i="22"/>
  <c r="B3843" i="22"/>
  <c r="AJ3842" i="22"/>
  <c r="AF3842" i="22"/>
  <c r="V3842" i="22"/>
  <c r="Z3842" i="22"/>
  <c r="P3842" i="22"/>
  <c r="L3842" i="22"/>
  <c r="F3842" i="22"/>
  <c r="B3842" i="22"/>
  <c r="AJ3841" i="22"/>
  <c r="AF3841" i="22"/>
  <c r="Z3841" i="22"/>
  <c r="V3841" i="22"/>
  <c r="P3841" i="22"/>
  <c r="L3841" i="22"/>
  <c r="B3841" i="22"/>
  <c r="F3841" i="22"/>
  <c r="AF3840" i="22"/>
  <c r="AJ3840" i="22"/>
  <c r="Z3840" i="22"/>
  <c r="V3840" i="22"/>
  <c r="L3840" i="22"/>
  <c r="R3840" i="22" s="1"/>
  <c r="P3840" i="22"/>
  <c r="Q3840" i="22"/>
  <c r="B3840" i="22"/>
  <c r="H3840" i="22" s="1"/>
  <c r="I3840" i="22" s="1"/>
  <c r="G3840" i="22"/>
  <c r="F3840" i="22"/>
  <c r="AJ3839" i="22"/>
  <c r="AF3839" i="22"/>
  <c r="V3839" i="22"/>
  <c r="Z3839" i="22"/>
  <c r="P3839" i="22"/>
  <c r="L3839" i="22"/>
  <c r="F3839" i="22"/>
  <c r="B3839" i="22"/>
  <c r="AF3838" i="22"/>
  <c r="AJ3838" i="22"/>
  <c r="V3838" i="22"/>
  <c r="Z3838" i="22"/>
  <c r="P3838" i="22"/>
  <c r="L3838" i="22"/>
  <c r="F3838" i="22"/>
  <c r="B3838" i="22"/>
  <c r="AJ3837" i="22"/>
  <c r="AF3837" i="22"/>
  <c r="V3837" i="22"/>
  <c r="Z3837" i="22"/>
  <c r="L3837" i="22"/>
  <c r="P3837" i="22"/>
  <c r="B3837" i="22"/>
  <c r="F3837" i="22"/>
  <c r="AJ3836" i="22"/>
  <c r="AF3836" i="22"/>
  <c r="V3836" i="22"/>
  <c r="Z3836" i="22"/>
  <c r="P3836" i="22"/>
  <c r="L3836" i="22"/>
  <c r="B3836" i="22"/>
  <c r="F3836" i="22"/>
  <c r="AF3835" i="22"/>
  <c r="AL3835" i="22" s="1"/>
  <c r="AJ3835" i="22"/>
  <c r="Z3835" i="22"/>
  <c r="V3835" i="22"/>
  <c r="L3835" i="22"/>
  <c r="P3835" i="22"/>
  <c r="F3835" i="22"/>
  <c r="B3835" i="22"/>
  <c r="AF3834" i="22"/>
  <c r="AJ3834" i="22"/>
  <c r="AK3834" i="22"/>
  <c r="AM3834" i="22" s="1"/>
  <c r="AL3834" i="22"/>
  <c r="V3834" i="22"/>
  <c r="Z3834" i="22"/>
  <c r="AA3834" i="22"/>
  <c r="AC3834" i="22" s="1"/>
  <c r="AB3834" i="22"/>
  <c r="P3834" i="22"/>
  <c r="L3834" i="22"/>
  <c r="R3834" i="22"/>
  <c r="Q3834" i="22"/>
  <c r="S3834" i="22" s="1"/>
  <c r="F3834" i="22"/>
  <c r="B3834" i="22"/>
  <c r="AJ3833" i="22"/>
  <c r="AF3833" i="22"/>
  <c r="Z3833" i="22"/>
  <c r="V3833" i="22"/>
  <c r="L3833" i="22"/>
  <c r="P3833" i="22"/>
  <c r="F3833" i="22"/>
  <c r="B3833" i="22"/>
  <c r="AF3832" i="22"/>
  <c r="AJ3832" i="22"/>
  <c r="Z3832" i="22"/>
  <c r="V3832" i="22"/>
  <c r="AA3832" i="22" s="1"/>
  <c r="AB3832" i="22"/>
  <c r="L3832" i="22"/>
  <c r="P3832" i="22"/>
  <c r="B3832" i="22"/>
  <c r="G3832" i="22" s="1"/>
  <c r="I3832" i="22" s="1"/>
  <c r="F3832" i="22"/>
  <c r="H3832" i="22"/>
  <c r="AJ3831" i="22"/>
  <c r="AF3831" i="22"/>
  <c r="Z3831" i="22"/>
  <c r="V3831" i="22"/>
  <c r="L3831" i="22"/>
  <c r="P3831" i="22"/>
  <c r="B3831" i="22"/>
  <c r="F3831" i="22"/>
  <c r="AF3830" i="22"/>
  <c r="AL3830" i="22" s="1"/>
  <c r="AM3830" i="22" s="1"/>
  <c r="AK3830" i="22"/>
  <c r="AJ3830" i="22"/>
  <c r="Z3830" i="22"/>
  <c r="V3830" i="22"/>
  <c r="AA3830" i="22"/>
  <c r="AC3830" i="22" s="1"/>
  <c r="AB3830" i="22"/>
  <c r="P3830" i="22"/>
  <c r="L3830" i="22"/>
  <c r="F3830" i="22"/>
  <c r="B3830" i="22"/>
  <c r="AJ3829" i="22"/>
  <c r="AF3829" i="22"/>
  <c r="Z3829" i="22"/>
  <c r="V3829" i="22"/>
  <c r="L3829" i="22"/>
  <c r="P3829" i="22"/>
  <c r="F3829" i="22"/>
  <c r="B3829" i="22"/>
  <c r="AJ3828" i="22"/>
  <c r="AF3828" i="22"/>
  <c r="Z3828" i="22"/>
  <c r="V3828" i="22"/>
  <c r="P3828" i="22"/>
  <c r="L3828" i="22"/>
  <c r="B3828" i="22"/>
  <c r="F3828" i="22"/>
  <c r="G3828" i="22"/>
  <c r="I3828" i="22" s="1"/>
  <c r="H3828" i="22"/>
  <c r="AF3827" i="22"/>
  <c r="AK3827" i="22"/>
  <c r="AM3827" i="22" s="1"/>
  <c r="AJ3827" i="22"/>
  <c r="AL3827" i="22"/>
  <c r="V3827" i="22"/>
  <c r="AB3827" i="22" s="1"/>
  <c r="Z3827" i="22"/>
  <c r="AA3827" i="22"/>
  <c r="L3827" i="22"/>
  <c r="Q3827" i="22" s="1"/>
  <c r="S3827" i="22" s="1"/>
  <c r="P3827" i="22"/>
  <c r="R3827" i="22"/>
  <c r="B3827" i="22"/>
  <c r="F3827" i="22"/>
  <c r="G3827" i="22"/>
  <c r="I3827" i="22" s="1"/>
  <c r="H3827" i="22"/>
  <c r="AJ3826" i="22"/>
  <c r="AF3826" i="22"/>
  <c r="Z3826" i="22"/>
  <c r="V3826" i="22"/>
  <c r="P3826" i="22"/>
  <c r="L3826" i="22"/>
  <c r="B3826" i="22"/>
  <c r="H3826" i="22" s="1"/>
  <c r="F3826" i="22"/>
  <c r="G3826" i="22"/>
  <c r="AF3825" i="22"/>
  <c r="AJ3825" i="22"/>
  <c r="Z3825" i="22"/>
  <c r="V3825" i="22"/>
  <c r="L3825" i="22"/>
  <c r="P3825" i="22"/>
  <c r="B3825" i="22"/>
  <c r="F3825" i="22"/>
  <c r="AJ3824" i="22"/>
  <c r="AF3824" i="22"/>
  <c r="AL3824" i="22"/>
  <c r="V3824" i="22"/>
  <c r="Z3824" i="22"/>
  <c r="L3824" i="22"/>
  <c r="P3824" i="22"/>
  <c r="Q3824" i="22"/>
  <c r="R3824" i="22"/>
  <c r="B3824" i="22"/>
  <c r="F3824" i="22"/>
  <c r="AJ3823" i="22"/>
  <c r="AF3823" i="22"/>
  <c r="Z3823" i="22"/>
  <c r="V3823" i="22"/>
  <c r="L3823" i="22"/>
  <c r="P3823" i="22"/>
  <c r="F3823" i="22"/>
  <c r="B3823" i="22"/>
  <c r="AJ3822" i="22"/>
  <c r="AF3822" i="22"/>
  <c r="Z3822" i="22"/>
  <c r="V3822" i="22"/>
  <c r="L3822" i="22"/>
  <c r="P3822" i="22"/>
  <c r="B3822" i="22"/>
  <c r="F3822" i="22"/>
  <c r="AF3821" i="22"/>
  <c r="AJ3821" i="22"/>
  <c r="Z3821" i="22"/>
  <c r="V3821" i="22"/>
  <c r="L3821" i="22"/>
  <c r="P3821" i="22"/>
  <c r="F3821" i="22"/>
  <c r="B3821" i="22"/>
  <c r="AJ3820" i="22"/>
  <c r="AF3820" i="22"/>
  <c r="Z3820" i="22"/>
  <c r="V3820" i="22"/>
  <c r="P3820" i="22"/>
  <c r="L3820" i="22"/>
  <c r="B3820" i="22"/>
  <c r="F3820" i="22"/>
  <c r="AF3819" i="22"/>
  <c r="AJ3819" i="22"/>
  <c r="AK3819" i="22"/>
  <c r="AM3819" i="22" s="1"/>
  <c r="AL3819" i="22"/>
  <c r="Z3819" i="22"/>
  <c r="V3819" i="22"/>
  <c r="P3819" i="22"/>
  <c r="L3819" i="22"/>
  <c r="F3819" i="22"/>
  <c r="B3819" i="22"/>
  <c r="AJ3818" i="22"/>
  <c r="AF3818" i="22"/>
  <c r="Z3818" i="22"/>
  <c r="V3818" i="22"/>
  <c r="P3818" i="22"/>
  <c r="L3818" i="22"/>
  <c r="F3818" i="22"/>
  <c r="B3818" i="22"/>
  <c r="AJ3817" i="22"/>
  <c r="AF3817" i="22"/>
  <c r="Z3817" i="22"/>
  <c r="V3817" i="22"/>
  <c r="P3817" i="22"/>
  <c r="L3817" i="22"/>
  <c r="F3817" i="22"/>
  <c r="B3817" i="22"/>
  <c r="AJ3816" i="22"/>
  <c r="AF3816" i="22"/>
  <c r="Z3816" i="22"/>
  <c r="V3816" i="22"/>
  <c r="P3816" i="22"/>
  <c r="L3816" i="22"/>
  <c r="B3816" i="22"/>
  <c r="G3816" i="22" s="1"/>
  <c r="F3816" i="22"/>
  <c r="AF3815" i="22"/>
  <c r="AJ3815" i="22"/>
  <c r="Z3815" i="22"/>
  <c r="V3815" i="22"/>
  <c r="P3815" i="22"/>
  <c r="L3815" i="22"/>
  <c r="B3815" i="22"/>
  <c r="F3815" i="22"/>
  <c r="H3815" i="22"/>
  <c r="AF3814" i="22"/>
  <c r="AJ3814" i="22"/>
  <c r="V3814" i="22"/>
  <c r="Z3814" i="22"/>
  <c r="P3814" i="22"/>
  <c r="L3814" i="22"/>
  <c r="B3814" i="22"/>
  <c r="F3814" i="22"/>
  <c r="AJ3813" i="22"/>
  <c r="AF3813" i="22"/>
  <c r="Z3813" i="22"/>
  <c r="V3813" i="22"/>
  <c r="L3813" i="22"/>
  <c r="P3813" i="22"/>
  <c r="B3813" i="22"/>
  <c r="H3813" i="22" s="1"/>
  <c r="F3813" i="22"/>
  <c r="AF3812" i="22"/>
  <c r="AJ3812" i="22"/>
  <c r="Z3812" i="22"/>
  <c r="V3812" i="22"/>
  <c r="P3812" i="22"/>
  <c r="L3812" i="22"/>
  <c r="B3812" i="22"/>
  <c r="H3812" i="22"/>
  <c r="F3812" i="22"/>
  <c r="AJ3811" i="22"/>
  <c r="AF3811" i="22"/>
  <c r="V3811" i="22"/>
  <c r="Z3811" i="22"/>
  <c r="L3811" i="22"/>
  <c r="P3811" i="22"/>
  <c r="F3811" i="22"/>
  <c r="B3811" i="22"/>
  <c r="AF3810" i="22"/>
  <c r="AJ3810" i="22"/>
  <c r="V3810" i="22"/>
  <c r="Z3810" i="22"/>
  <c r="L3810" i="22"/>
  <c r="Q3810" i="22" s="1"/>
  <c r="S3810" i="22" s="1"/>
  <c r="P3810" i="22"/>
  <c r="R3810" i="22"/>
  <c r="F3810" i="22"/>
  <c r="B3810" i="22"/>
  <c r="AF3809" i="22"/>
  <c r="AJ3809" i="22"/>
  <c r="Z3809" i="22"/>
  <c r="V3809" i="22"/>
  <c r="P3809" i="22"/>
  <c r="L3809" i="22"/>
  <c r="B3809" i="22"/>
  <c r="F3809" i="22"/>
  <c r="AF3808" i="22"/>
  <c r="AJ3808" i="22"/>
  <c r="Z3808" i="22"/>
  <c r="V3808" i="22"/>
  <c r="L3808" i="22"/>
  <c r="P3808" i="22"/>
  <c r="B3808" i="22"/>
  <c r="F3808" i="22"/>
  <c r="AF3807" i="22"/>
  <c r="AK3807" i="22" s="1"/>
  <c r="AJ3807" i="22"/>
  <c r="V3807" i="22"/>
  <c r="Z3807" i="22"/>
  <c r="L3807" i="22"/>
  <c r="P3807" i="22"/>
  <c r="F3807" i="22"/>
  <c r="B3807" i="22"/>
  <c r="AJ3806" i="22"/>
  <c r="AF3806" i="22"/>
  <c r="V3806" i="22"/>
  <c r="Z3806" i="22"/>
  <c r="P3806" i="22"/>
  <c r="L3806" i="22"/>
  <c r="F3806" i="22"/>
  <c r="B3806" i="22"/>
  <c r="B3752" i="22"/>
  <c r="E3751" i="22"/>
  <c r="G3751" i="22"/>
  <c r="C3751" i="22"/>
  <c r="F3751" i="22" s="1"/>
  <c r="CI72" i="22"/>
  <c r="T3798" i="22"/>
  <c r="T3756" i="22"/>
  <c r="S3756" i="22"/>
  <c r="T3755" i="22"/>
  <c r="S3755" i="22"/>
  <c r="T3754" i="22"/>
  <c r="S3754" i="22"/>
  <c r="T3753" i="22"/>
  <c r="S3753" i="22"/>
  <c r="T3752" i="22"/>
  <c r="S3752" i="22"/>
  <c r="T3751" i="22"/>
  <c r="S3751" i="22"/>
  <c r="T3766" i="22"/>
  <c r="S3766" i="22"/>
  <c r="T3765" i="22"/>
  <c r="S3765" i="22"/>
  <c r="T3764" i="22"/>
  <c r="S3764" i="22"/>
  <c r="T3763" i="22"/>
  <c r="S3763" i="22"/>
  <c r="T3762" i="22"/>
  <c r="S3762" i="22"/>
  <c r="T3761" i="22"/>
  <c r="S3761" i="22"/>
  <c r="T3760" i="22"/>
  <c r="S3760" i="22"/>
  <c r="T3759" i="22"/>
  <c r="S3759" i="22"/>
  <c r="T3758" i="22"/>
  <c r="S3758" i="22"/>
  <c r="T3757" i="22"/>
  <c r="S3757" i="22"/>
  <c r="K72" i="22"/>
  <c r="AD72" i="22" s="1"/>
  <c r="L72" i="22"/>
  <c r="AI72" i="22" s="1"/>
  <c r="AK72" i="22"/>
  <c r="S3767" i="22"/>
  <c r="T3767" i="22"/>
  <c r="S3768" i="22"/>
  <c r="T3768" i="22"/>
  <c r="S3769" i="22"/>
  <c r="T3769" i="22"/>
  <c r="S3770" i="22"/>
  <c r="T3770" i="22"/>
  <c r="S3771" i="22"/>
  <c r="T3771" i="22"/>
  <c r="S3772" i="22"/>
  <c r="T3772" i="22"/>
  <c r="S3773" i="22"/>
  <c r="T3773" i="22"/>
  <c r="S3774" i="22"/>
  <c r="T3774" i="22"/>
  <c r="S3775" i="22"/>
  <c r="T3775" i="22"/>
  <c r="S3776" i="22"/>
  <c r="T3776" i="22"/>
  <c r="S3777" i="22"/>
  <c r="T3777" i="22"/>
  <c r="S3778" i="22"/>
  <c r="T3778" i="22"/>
  <c r="S3779" i="22"/>
  <c r="T3779" i="22"/>
  <c r="S3780" i="22"/>
  <c r="T3780" i="22"/>
  <c r="S3781" i="22"/>
  <c r="T3781" i="22"/>
  <c r="S3782" i="22"/>
  <c r="T3782" i="22"/>
  <c r="S3783" i="22"/>
  <c r="T3783" i="22"/>
  <c r="S3784" i="22"/>
  <c r="T3784" i="22"/>
  <c r="S3785" i="22"/>
  <c r="T3785" i="22"/>
  <c r="S3786" i="22"/>
  <c r="T3786" i="22"/>
  <c r="S3787" i="22"/>
  <c r="T3787" i="22"/>
  <c r="S3788" i="22"/>
  <c r="T3788" i="22"/>
  <c r="S3789" i="22"/>
  <c r="T3789" i="22"/>
  <c r="S3790" i="22"/>
  <c r="T3790" i="22"/>
  <c r="S3791" i="22"/>
  <c r="T3791" i="22"/>
  <c r="S3792" i="22"/>
  <c r="T3792" i="22"/>
  <c r="AL72" i="22"/>
  <c r="S3793" i="22"/>
  <c r="T3793" i="22"/>
  <c r="S3794" i="22"/>
  <c r="T3794" i="22"/>
  <c r="S3795" i="22"/>
  <c r="T3795" i="22"/>
  <c r="S3796" i="22"/>
  <c r="T3796" i="22"/>
  <c r="S3797" i="22"/>
  <c r="T3797" i="22"/>
  <c r="S3798" i="22"/>
  <c r="B3749" i="22"/>
  <c r="A3749" i="22"/>
  <c r="E3748" i="22"/>
  <c r="H3754" i="22"/>
  <c r="H3755" i="22"/>
  <c r="H3756" i="22"/>
  <c r="H3757" i="22"/>
  <c r="H3758" i="22"/>
  <c r="H3759" i="22"/>
  <c r="H3760" i="22"/>
  <c r="H3761" i="22"/>
  <c r="H3762" i="22"/>
  <c r="H3763" i="22"/>
  <c r="H3764" i="22"/>
  <c r="H3765" i="22"/>
  <c r="H3766" i="22"/>
  <c r="H3767" i="22"/>
  <c r="H3768" i="22"/>
  <c r="H3769" i="22"/>
  <c r="H3770" i="22"/>
  <c r="H3771" i="22"/>
  <c r="H3772" i="22"/>
  <c r="H3773" i="22"/>
  <c r="H3774" i="22"/>
  <c r="H3775" i="22"/>
  <c r="BW72" i="22" s="1"/>
  <c r="H3776" i="22"/>
  <c r="BX72" i="22" s="1"/>
  <c r="H3777" i="22"/>
  <c r="BY72" i="22" s="1"/>
  <c r="H3778" i="22"/>
  <c r="BZ72" i="22" s="1"/>
  <c r="H3779" i="22"/>
  <c r="CA72" i="22" s="1"/>
  <c r="H3780" i="22"/>
  <c r="CB72" i="22" s="1"/>
  <c r="H3781" i="22"/>
  <c r="CC72" i="22" s="1"/>
  <c r="H3782" i="22"/>
  <c r="CD72" i="22" s="1"/>
  <c r="H3783" i="22"/>
  <c r="CE72" i="22" s="1"/>
  <c r="H3784" i="22"/>
  <c r="CF72" i="22" s="1"/>
  <c r="H3785" i="22"/>
  <c r="CG72" i="22" s="1"/>
  <c r="H3786" i="22"/>
  <c r="CH72" i="22" s="1"/>
  <c r="H3787" i="22"/>
  <c r="H3788" i="22"/>
  <c r="H3789" i="22"/>
  <c r="H3790" i="22"/>
  <c r="H3791" i="22"/>
  <c r="H3792" i="22"/>
  <c r="H3793" i="22"/>
  <c r="H3794" i="22"/>
  <c r="H3795" i="22"/>
  <c r="H3796" i="22"/>
  <c r="H3797" i="22"/>
  <c r="H3798" i="22"/>
  <c r="B3698" i="22"/>
  <c r="G3697" i="22"/>
  <c r="E3697" i="22"/>
  <c r="C3697" i="22"/>
  <c r="F3697" i="22" s="1"/>
  <c r="CI71" i="22"/>
  <c r="T3730" i="22"/>
  <c r="K71" i="22"/>
  <c r="AD71" i="22" s="1"/>
  <c r="L71" i="22"/>
  <c r="AI71" i="22" s="1"/>
  <c r="AK71" i="22"/>
  <c r="AL71" i="22"/>
  <c r="T3744" i="22"/>
  <c r="T3701" i="22"/>
  <c r="S3739" i="22"/>
  <c r="T3739" i="22"/>
  <c r="S3697" i="22"/>
  <c r="S3740" i="22"/>
  <c r="T3740" i="22"/>
  <c r="S3741" i="22"/>
  <c r="T3741" i="22"/>
  <c r="S3742" i="22"/>
  <c r="T3742" i="22"/>
  <c r="T3704" i="22"/>
  <c r="S3743" i="22"/>
  <c r="T3743" i="22"/>
  <c r="T3697" i="22"/>
  <c r="S3744" i="22"/>
  <c r="S3698" i="22"/>
  <c r="T3698" i="22"/>
  <c r="S3699" i="22"/>
  <c r="T3699" i="22"/>
  <c r="S3700" i="22"/>
  <c r="T3700" i="22"/>
  <c r="S3701" i="22"/>
  <c r="S3702" i="22"/>
  <c r="T3702" i="22"/>
  <c r="S3703" i="22"/>
  <c r="T3703" i="22"/>
  <c r="S3704" i="22"/>
  <c r="S3705" i="22"/>
  <c r="T3705" i="22"/>
  <c r="S3706" i="22"/>
  <c r="T3706" i="22"/>
  <c r="S3707" i="22"/>
  <c r="T3707" i="22"/>
  <c r="S3708" i="22"/>
  <c r="T3708" i="22"/>
  <c r="S3709" i="22"/>
  <c r="T3709" i="22"/>
  <c r="S3710" i="22"/>
  <c r="T3710" i="22"/>
  <c r="S3711" i="22"/>
  <c r="T3711" i="22"/>
  <c r="S3712" i="22"/>
  <c r="T3712" i="22"/>
  <c r="S3713" i="22"/>
  <c r="T3713" i="22"/>
  <c r="S3714" i="22"/>
  <c r="T3714" i="22"/>
  <c r="S3715" i="22"/>
  <c r="T3715" i="22"/>
  <c r="S3716" i="22"/>
  <c r="T3716" i="22"/>
  <c r="S3717" i="22"/>
  <c r="T3717" i="22"/>
  <c r="S3718" i="22"/>
  <c r="T3718" i="22"/>
  <c r="S3719" i="22"/>
  <c r="T3719" i="22"/>
  <c r="S3720" i="22"/>
  <c r="T3720" i="22"/>
  <c r="S3721" i="22"/>
  <c r="T3721" i="22"/>
  <c r="S3722" i="22"/>
  <c r="T3722" i="22"/>
  <c r="S3723" i="22"/>
  <c r="T3723" i="22"/>
  <c r="S3724" i="22"/>
  <c r="T3724" i="22"/>
  <c r="S3725" i="22"/>
  <c r="T3725" i="22"/>
  <c r="S3726" i="22"/>
  <c r="T3726" i="22"/>
  <c r="S3727" i="22"/>
  <c r="T3727" i="22"/>
  <c r="S3728" i="22"/>
  <c r="T3728" i="22"/>
  <c r="S3729" i="22"/>
  <c r="T3729" i="22"/>
  <c r="S3730" i="22"/>
  <c r="S3731" i="22"/>
  <c r="T3731" i="22"/>
  <c r="S3732" i="22"/>
  <c r="T3732" i="22"/>
  <c r="S3733" i="22"/>
  <c r="T3733" i="22"/>
  <c r="S3734" i="22"/>
  <c r="T3734" i="22"/>
  <c r="S3735" i="22"/>
  <c r="T3735" i="22"/>
  <c r="S3736" i="22"/>
  <c r="T3736" i="22"/>
  <c r="S3737" i="22"/>
  <c r="T3737" i="22"/>
  <c r="S3738" i="22"/>
  <c r="T3738" i="22"/>
  <c r="B3695" i="22"/>
  <c r="J3695" i="22" s="1"/>
  <c r="A3695" i="22"/>
  <c r="E3694" i="22"/>
  <c r="H3697" i="22"/>
  <c r="H3698" i="22"/>
  <c r="H3699" i="22"/>
  <c r="H3700" i="22"/>
  <c r="H3701" i="22"/>
  <c r="H3702" i="22"/>
  <c r="H3703" i="22"/>
  <c r="H3704" i="22"/>
  <c r="H3705" i="22"/>
  <c r="H3706" i="22"/>
  <c r="H3707" i="22"/>
  <c r="H3708" i="22"/>
  <c r="H3709" i="22"/>
  <c r="H3710" i="22"/>
  <c r="H3711" i="22"/>
  <c r="H3712" i="22"/>
  <c r="H3713" i="22"/>
  <c r="H3714" i="22"/>
  <c r="H3715" i="22"/>
  <c r="H3716" i="22"/>
  <c r="H3717" i="22"/>
  <c r="H3718" i="22"/>
  <c r="H3719" i="22"/>
  <c r="H3720" i="22"/>
  <c r="H3721" i="22"/>
  <c r="BW71" i="22" s="1"/>
  <c r="H3722" i="22"/>
  <c r="BX71" i="22" s="1"/>
  <c r="H3723" i="22"/>
  <c r="BY71" i="22" s="1"/>
  <c r="H3724" i="22"/>
  <c r="BZ71" i="22" s="1"/>
  <c r="H3725" i="22"/>
  <c r="CA71" i="22" s="1"/>
  <c r="H3726" i="22"/>
  <c r="CB71" i="22" s="1"/>
  <c r="H3727" i="22"/>
  <c r="CC71" i="22" s="1"/>
  <c r="H3728" i="22"/>
  <c r="CD71" i="22" s="1"/>
  <c r="H3729" i="22"/>
  <c r="CE71" i="22" s="1"/>
  <c r="H3730" i="22"/>
  <c r="CF71" i="22" s="1"/>
  <c r="H3731" i="22"/>
  <c r="CG71" i="22" s="1"/>
  <c r="H3732" i="22"/>
  <c r="CH71" i="22" s="1"/>
  <c r="H3733" i="22"/>
  <c r="H3734" i="22"/>
  <c r="H3735" i="22"/>
  <c r="H3736" i="22"/>
  <c r="H3737" i="22"/>
  <c r="H3738" i="22"/>
  <c r="H3739" i="22"/>
  <c r="H3740" i="22"/>
  <c r="H3741" i="22"/>
  <c r="H3742" i="22"/>
  <c r="H3743" i="22"/>
  <c r="H3744" i="22"/>
  <c r="C3643" i="22"/>
  <c r="F3643" i="22" s="1"/>
  <c r="E3643" i="22"/>
  <c r="B3644" i="22"/>
  <c r="G3643" i="22"/>
  <c r="CI70" i="22"/>
  <c r="S3689" i="22"/>
  <c r="T3689" i="22"/>
  <c r="S3690" i="22"/>
  <c r="T3690" i="22"/>
  <c r="T3655" i="22"/>
  <c r="S3656" i="22"/>
  <c r="T3656" i="22"/>
  <c r="S3657" i="22"/>
  <c r="T3657" i="22"/>
  <c r="S3658" i="22"/>
  <c r="T3658" i="22"/>
  <c r="S3659" i="22"/>
  <c r="T3659" i="22"/>
  <c r="S3660" i="22"/>
  <c r="T3660" i="22"/>
  <c r="T3686" i="22"/>
  <c r="S3686" i="22"/>
  <c r="T3685" i="22"/>
  <c r="S3682" i="22"/>
  <c r="S3685" i="22"/>
  <c r="T3684" i="22"/>
  <c r="S3684" i="22"/>
  <c r="S3661" i="22"/>
  <c r="T3661" i="22"/>
  <c r="K70" i="22"/>
  <c r="AD70" i="22" s="1"/>
  <c r="L70" i="22"/>
  <c r="AI70" i="22" s="1"/>
  <c r="AK70" i="22"/>
  <c r="AL70" i="22"/>
  <c r="S3662" i="22"/>
  <c r="T3662" i="22"/>
  <c r="S3663" i="22"/>
  <c r="T3663" i="22"/>
  <c r="S3664" i="22"/>
  <c r="T3664" i="22"/>
  <c r="S3665" i="22"/>
  <c r="T3665" i="22"/>
  <c r="S3666" i="22"/>
  <c r="T3666" i="22"/>
  <c r="S3667" i="22"/>
  <c r="T3667" i="22"/>
  <c r="S3668" i="22"/>
  <c r="T3668" i="22"/>
  <c r="S3669" i="22"/>
  <c r="T3669" i="22"/>
  <c r="S3670" i="22"/>
  <c r="T3670" i="22"/>
  <c r="S3671" i="22"/>
  <c r="T3671" i="22"/>
  <c r="S3672" i="22"/>
  <c r="T3672" i="22"/>
  <c r="S3673" i="22"/>
  <c r="T3673" i="22"/>
  <c r="S3674" i="22"/>
  <c r="T3674" i="22"/>
  <c r="S3675" i="22"/>
  <c r="T3675" i="22"/>
  <c r="S3676" i="22"/>
  <c r="T3683" i="22"/>
  <c r="S3683" i="22"/>
  <c r="T3676" i="22"/>
  <c r="T3682" i="22"/>
  <c r="S3677" i="22"/>
  <c r="T3677" i="22"/>
  <c r="S3678" i="22"/>
  <c r="T3678" i="22"/>
  <c r="S3679" i="22"/>
  <c r="T3679" i="22"/>
  <c r="S3680" i="22"/>
  <c r="T3680" i="22"/>
  <c r="S3681" i="22"/>
  <c r="T3681" i="22"/>
  <c r="S3643" i="22"/>
  <c r="T3643" i="22"/>
  <c r="T3654" i="22"/>
  <c r="S3644" i="22"/>
  <c r="S3645" i="22"/>
  <c r="T3645" i="22"/>
  <c r="S3646" i="22"/>
  <c r="T3646" i="22"/>
  <c r="S3647" i="22"/>
  <c r="T3647" i="22"/>
  <c r="S3648" i="22"/>
  <c r="T3648" i="22"/>
  <c r="S3649" i="22"/>
  <c r="T3649" i="22"/>
  <c r="S3650" i="22"/>
  <c r="T3650" i="22"/>
  <c r="S3651" i="22"/>
  <c r="T3651" i="22"/>
  <c r="S3652" i="22"/>
  <c r="T3652" i="22"/>
  <c r="S3653" i="22"/>
  <c r="T3653" i="22"/>
  <c r="S3654" i="22"/>
  <c r="S3655" i="22"/>
  <c r="S3687" i="22"/>
  <c r="T3644" i="22"/>
  <c r="S3688" i="22"/>
  <c r="T3688" i="22"/>
  <c r="T3687" i="22"/>
  <c r="A3641" i="22"/>
  <c r="B3641" i="22"/>
  <c r="E3640" i="22"/>
  <c r="H3645" i="22"/>
  <c r="H3646" i="22"/>
  <c r="H3647" i="22"/>
  <c r="H3648" i="22"/>
  <c r="H3649" i="22"/>
  <c r="H3650" i="22"/>
  <c r="H3651" i="22"/>
  <c r="H3652" i="22"/>
  <c r="H3653" i="22"/>
  <c r="H3654" i="22"/>
  <c r="H3655" i="22"/>
  <c r="H3656" i="22"/>
  <c r="H3657" i="22"/>
  <c r="H3658" i="22"/>
  <c r="H3659" i="22"/>
  <c r="H3660" i="22"/>
  <c r="H3661" i="22"/>
  <c r="H3662" i="22"/>
  <c r="H3663" i="22"/>
  <c r="H3664" i="22"/>
  <c r="H3665" i="22"/>
  <c r="H3666" i="22"/>
  <c r="H3667" i="22"/>
  <c r="BW70" i="22" s="1"/>
  <c r="H3668" i="22"/>
  <c r="BX70" i="22" s="1"/>
  <c r="H3669" i="22"/>
  <c r="BY70" i="22" s="1"/>
  <c r="H3670" i="22"/>
  <c r="BZ70" i="22" s="1"/>
  <c r="H3671" i="22"/>
  <c r="CA70" i="22" s="1"/>
  <c r="H3672" i="22"/>
  <c r="CB70" i="22" s="1"/>
  <c r="H3673" i="22"/>
  <c r="CC70" i="22" s="1"/>
  <c r="H3674" i="22"/>
  <c r="CD70" i="22" s="1"/>
  <c r="H3675" i="22"/>
  <c r="CE70" i="22" s="1"/>
  <c r="H3676" i="22"/>
  <c r="CF70" i="22" s="1"/>
  <c r="H3677" i="22"/>
  <c r="CG70" i="22" s="1"/>
  <c r="H3678" i="22"/>
  <c r="CH70" i="22" s="1"/>
  <c r="H3679" i="22"/>
  <c r="H3680" i="22"/>
  <c r="H3681" i="22"/>
  <c r="H3682" i="22"/>
  <c r="H3683" i="22"/>
  <c r="H3684" i="22"/>
  <c r="H3685" i="22"/>
  <c r="H3686" i="22"/>
  <c r="H3687" i="22"/>
  <c r="H3688" i="22"/>
  <c r="H3689" i="22"/>
  <c r="H3690" i="22"/>
  <c r="B3590" i="22"/>
  <c r="C3589" i="22"/>
  <c r="F3589" i="22" s="1"/>
  <c r="E3589" i="22"/>
  <c r="G3589" i="22"/>
  <c r="CI69" i="22"/>
  <c r="S3593" i="22"/>
  <c r="T3592" i="22"/>
  <c r="T3591" i="22"/>
  <c r="T3590" i="22"/>
  <c r="S3589" i="22"/>
  <c r="K69" i="22"/>
  <c r="AD69" i="22" s="1"/>
  <c r="L69" i="22"/>
  <c r="AI69" i="22" s="1"/>
  <c r="AK69" i="22"/>
  <c r="AL69" i="22"/>
  <c r="S3599" i="22"/>
  <c r="T3614" i="22"/>
  <c r="T3598" i="22"/>
  <c r="T3595" i="22"/>
  <c r="S3595" i="22"/>
  <c r="S3594" i="22"/>
  <c r="S3592" i="22"/>
  <c r="S3591" i="22"/>
  <c r="T3589" i="22"/>
  <c r="T3625" i="22"/>
  <c r="S3627" i="22"/>
  <c r="S3625" i="22"/>
  <c r="T3627" i="22"/>
  <c r="S3628" i="22"/>
  <c r="S3626" i="22"/>
  <c r="T3628" i="22"/>
  <c r="T3626" i="22"/>
  <c r="S3629" i="22"/>
  <c r="T3624" i="22"/>
  <c r="T3629" i="22"/>
  <c r="S3624" i="22"/>
  <c r="T3623" i="22"/>
  <c r="S3623" i="22"/>
  <c r="S3630" i="22"/>
  <c r="T3630" i="22"/>
  <c r="S3631" i="22"/>
  <c r="T3631" i="22"/>
  <c r="S3632" i="22"/>
  <c r="T3632" i="22"/>
  <c r="S3633" i="22"/>
  <c r="T3633" i="22"/>
  <c r="S3634" i="22"/>
  <c r="T3634" i="22"/>
  <c r="S3635" i="22"/>
  <c r="T3635" i="22"/>
  <c r="S3636" i="22"/>
  <c r="T3636" i="22"/>
  <c r="S3590" i="22"/>
  <c r="S3614" i="22"/>
  <c r="S3598" i="22"/>
  <c r="T3597" i="22"/>
  <c r="S3597" i="22"/>
  <c r="T3596" i="22"/>
  <c r="S3596" i="22"/>
  <c r="T3622" i="22"/>
  <c r="S3622" i="22"/>
  <c r="T3594" i="22"/>
  <c r="S3621" i="22"/>
  <c r="T3620" i="22"/>
  <c r="S3620" i="22"/>
  <c r="T3619" i="22"/>
  <c r="S3619" i="22"/>
  <c r="T3618" i="22"/>
  <c r="S3618" i="22"/>
  <c r="T3617" i="22"/>
  <c r="S3617" i="22"/>
  <c r="T3616" i="22"/>
  <c r="S3616" i="22"/>
  <c r="T3615" i="22"/>
  <c r="S3615" i="22"/>
  <c r="T3593" i="22"/>
  <c r="T3613" i="22"/>
  <c r="S3613" i="22"/>
  <c r="T3612" i="22"/>
  <c r="S3612" i="22"/>
  <c r="T3611" i="22"/>
  <c r="S3611" i="22"/>
  <c r="T3610" i="22"/>
  <c r="S3610" i="22"/>
  <c r="T3609" i="22"/>
  <c r="S3609" i="22"/>
  <c r="T3608" i="22"/>
  <c r="S3608" i="22"/>
  <c r="T3607" i="22"/>
  <c r="S3607" i="22"/>
  <c r="T3606" i="22"/>
  <c r="S3606" i="22"/>
  <c r="T3605" i="22"/>
  <c r="S3605" i="22"/>
  <c r="T3604" i="22"/>
  <c r="S3604" i="22"/>
  <c r="T3603" i="22"/>
  <c r="S3603" i="22"/>
  <c r="T3602" i="22"/>
  <c r="S3602" i="22"/>
  <c r="T3601" i="22"/>
  <c r="S3601" i="22"/>
  <c r="T3600" i="22"/>
  <c r="S3600" i="22"/>
  <c r="T3599" i="22"/>
  <c r="T3621" i="22"/>
  <c r="A3587" i="22"/>
  <c r="B3587" i="22"/>
  <c r="E3586" i="22"/>
  <c r="H3589" i="22"/>
  <c r="H3591" i="22"/>
  <c r="H3593" i="22"/>
  <c r="H3595" i="22"/>
  <c r="H3597" i="22"/>
  <c r="H3598" i="22"/>
  <c r="H3599" i="22"/>
  <c r="H3600" i="22"/>
  <c r="H3601" i="22"/>
  <c r="H3602" i="22"/>
  <c r="H3603" i="22"/>
  <c r="H3604" i="22"/>
  <c r="H3605" i="22"/>
  <c r="H3606" i="22"/>
  <c r="H3607" i="22"/>
  <c r="H3608" i="22"/>
  <c r="H3609" i="22"/>
  <c r="H3610" i="22"/>
  <c r="H3611" i="22"/>
  <c r="H3612" i="22"/>
  <c r="H3613" i="22"/>
  <c r="BW69" i="22" s="1"/>
  <c r="H3614" i="22"/>
  <c r="BX69" i="22" s="1"/>
  <c r="H3615" i="22"/>
  <c r="BY69" i="22" s="1"/>
  <c r="H3616" i="22"/>
  <c r="BZ69" i="22" s="1"/>
  <c r="H3617" i="22"/>
  <c r="CA69" i="22" s="1"/>
  <c r="H3618" i="22"/>
  <c r="CB69" i="22" s="1"/>
  <c r="H3619" i="22"/>
  <c r="CC69" i="22" s="1"/>
  <c r="H3620" i="22"/>
  <c r="CD69" i="22" s="1"/>
  <c r="H3621" i="22"/>
  <c r="CE69" i="22" s="1"/>
  <c r="H3622" i="22"/>
  <c r="CF69" i="22" s="1"/>
  <c r="H3623" i="22"/>
  <c r="CG69" i="22" s="1"/>
  <c r="H3624" i="22"/>
  <c r="CH69" i="22" s="1"/>
  <c r="H3625" i="22"/>
  <c r="H3626" i="22"/>
  <c r="H3627" i="22"/>
  <c r="H3628" i="22"/>
  <c r="H3629" i="22"/>
  <c r="H3630" i="22"/>
  <c r="H3631" i="22"/>
  <c r="H3632" i="22"/>
  <c r="H3633" i="22"/>
  <c r="H3634" i="22"/>
  <c r="H3635" i="22"/>
  <c r="H3636" i="22"/>
  <c r="H3590" i="22"/>
  <c r="H3592" i="22"/>
  <c r="H3594" i="22"/>
  <c r="H3596" i="22"/>
  <c r="G3535" i="22"/>
  <c r="C3535" i="22"/>
  <c r="F3535" i="22" s="1"/>
  <c r="E3535" i="22"/>
  <c r="B3536" i="22"/>
  <c r="CI68" i="22"/>
  <c r="S3558" i="22"/>
  <c r="T3557" i="22"/>
  <c r="S3557" i="22"/>
  <c r="T3556" i="22"/>
  <c r="S3556" i="22"/>
  <c r="S3555" i="22"/>
  <c r="S3554" i="22"/>
  <c r="T3553" i="22"/>
  <c r="T3552" i="22"/>
  <c r="S3552" i="22"/>
  <c r="T3551" i="22"/>
  <c r="T3550" i="22"/>
  <c r="S3550" i="22"/>
  <c r="T3549" i="22"/>
  <c r="S3549" i="22"/>
  <c r="S3548" i="22"/>
  <c r="S3547" i="22"/>
  <c r="T3546" i="22"/>
  <c r="S3546" i="22"/>
  <c r="S3545" i="22"/>
  <c r="S3544" i="22"/>
  <c r="T3542" i="22"/>
  <c r="S3542" i="22"/>
  <c r="T3541" i="22"/>
  <c r="T3540" i="22"/>
  <c r="S3537" i="22"/>
  <c r="T3536" i="22"/>
  <c r="T3535" i="22"/>
  <c r="K68" i="22"/>
  <c r="AD68" i="22" s="1"/>
  <c r="L68" i="22"/>
  <c r="AI68" i="22" s="1"/>
  <c r="AK68" i="22"/>
  <c r="AL68" i="22"/>
  <c r="T3582" i="22"/>
  <c r="S3582" i="22"/>
  <c r="T3581" i="22"/>
  <c r="S3581" i="22"/>
  <c r="T3579" i="22"/>
  <c r="T3577" i="22"/>
  <c r="S3576" i="22"/>
  <c r="T3575" i="22"/>
  <c r="T3574" i="22"/>
  <c r="S3574" i="22"/>
  <c r="S3572" i="22"/>
  <c r="T3571" i="22"/>
  <c r="T3570" i="22"/>
  <c r="S3570" i="22"/>
  <c r="S3569" i="22"/>
  <c r="T3567" i="22"/>
  <c r="T3565" i="22"/>
  <c r="S3564" i="22"/>
  <c r="S3563" i="22"/>
  <c r="T3562" i="22"/>
  <c r="T3560" i="22"/>
  <c r="S3559" i="22"/>
  <c r="T3555" i="22"/>
  <c r="T3554" i="22"/>
  <c r="S3553" i="22"/>
  <c r="S3551" i="22"/>
  <c r="T3548" i="22"/>
  <c r="T3547" i="22"/>
  <c r="T3545" i="22"/>
  <c r="T3544" i="22"/>
  <c r="S3543" i="22"/>
  <c r="S3541" i="22"/>
  <c r="S3540" i="22"/>
  <c r="T3539" i="22"/>
  <c r="S3539" i="22"/>
  <c r="T3538" i="22"/>
  <c r="S3538" i="22"/>
  <c r="T3537" i="22"/>
  <c r="S3536" i="22"/>
  <c r="S3535" i="22"/>
  <c r="T3543" i="22"/>
  <c r="T3580" i="22"/>
  <c r="S3580" i="22"/>
  <c r="S3579" i="22"/>
  <c r="T3578" i="22"/>
  <c r="S3578" i="22"/>
  <c r="S3577" i="22"/>
  <c r="T3576" i="22"/>
  <c r="S3575" i="22"/>
  <c r="T3573" i="22"/>
  <c r="S3573" i="22"/>
  <c r="T3572" i="22"/>
  <c r="S3571" i="22"/>
  <c r="T3569" i="22"/>
  <c r="T3568" i="22"/>
  <c r="S3568" i="22"/>
  <c r="S3567" i="22"/>
  <c r="T3566" i="22"/>
  <c r="S3566" i="22"/>
  <c r="S3565" i="22"/>
  <c r="T3564" i="22"/>
  <c r="T3563" i="22"/>
  <c r="S3562" i="22"/>
  <c r="T3561" i="22"/>
  <c r="S3561" i="22"/>
  <c r="S3560" i="22"/>
  <c r="T3559" i="22"/>
  <c r="T3558" i="22"/>
  <c r="B3533" i="22"/>
  <c r="A3533" i="22"/>
  <c r="E3532" i="22"/>
  <c r="H3535" i="22" s="1"/>
  <c r="H3536" i="22"/>
  <c r="H3537" i="22"/>
  <c r="H3538" i="22"/>
  <c r="H3539" i="22"/>
  <c r="H3541" i="22"/>
  <c r="H3542" i="22"/>
  <c r="H3543" i="22"/>
  <c r="H3545" i="22"/>
  <c r="H3547" i="22"/>
  <c r="H3549" i="22"/>
  <c r="H3551" i="22"/>
  <c r="H3556" i="22"/>
  <c r="H3557" i="22"/>
  <c r="H3558" i="22"/>
  <c r="H3559" i="22"/>
  <c r="BW68" i="22" s="1"/>
  <c r="H3560" i="22"/>
  <c r="BX68" i="22" s="1"/>
  <c r="H3561" i="22"/>
  <c r="BY68" i="22" s="1"/>
  <c r="H3562" i="22"/>
  <c r="BZ68" i="22" s="1"/>
  <c r="H3563" i="22"/>
  <c r="CA68" i="22" s="1"/>
  <c r="H3564" i="22"/>
  <c r="CB68" i="22" s="1"/>
  <c r="H3566" i="22"/>
  <c r="CD68" i="22" s="1"/>
  <c r="H3568" i="22"/>
  <c r="CF68" i="22" s="1"/>
  <c r="H3569" i="22"/>
  <c r="CG68" i="22" s="1"/>
  <c r="H3571" i="22"/>
  <c r="H3572" i="22"/>
  <c r="H3574" i="22"/>
  <c r="H3576" i="22"/>
  <c r="H3578" i="22"/>
  <c r="H3579" i="22"/>
  <c r="H3540" i="22"/>
  <c r="H3544" i="22"/>
  <c r="H3546" i="22"/>
  <c r="H3548" i="22"/>
  <c r="H3550" i="22"/>
  <c r="H3552" i="22"/>
  <c r="H3553" i="22"/>
  <c r="H3554" i="22"/>
  <c r="H3555" i="22"/>
  <c r="H3565" i="22"/>
  <c r="CC68" i="22" s="1"/>
  <c r="H3567" i="22"/>
  <c r="CE68" i="22" s="1"/>
  <c r="H3570" i="22"/>
  <c r="CH68" i="22" s="1"/>
  <c r="H3573" i="22"/>
  <c r="H3575" i="22"/>
  <c r="H3577" i="22"/>
  <c r="H3580" i="22"/>
  <c r="H3581" i="22"/>
  <c r="H3582" i="22"/>
  <c r="L3535" i="22"/>
  <c r="L3536" i="22"/>
  <c r="A68" i="22"/>
  <c r="K3535" i="22"/>
  <c r="B3482" i="22"/>
  <c r="G3481" i="22"/>
  <c r="E3481" i="22"/>
  <c r="C3481" i="22"/>
  <c r="F3481" i="22" s="1"/>
  <c r="S3507" i="22"/>
  <c r="T3507" i="22"/>
  <c r="S3508" i="22"/>
  <c r="T3508" i="22"/>
  <c r="S3509" i="22"/>
  <c r="T3509" i="22"/>
  <c r="S3510" i="22"/>
  <c r="T3510" i="22"/>
  <c r="S3511" i="22"/>
  <c r="T3511" i="22"/>
  <c r="T3486" i="22"/>
  <c r="S3512" i="22"/>
  <c r="T3512" i="22"/>
  <c r="S3513" i="22"/>
  <c r="T3513" i="22"/>
  <c r="S3514" i="22"/>
  <c r="T3514" i="22"/>
  <c r="S3487" i="22"/>
  <c r="T3487" i="22"/>
  <c r="S3488" i="22"/>
  <c r="T3488" i="22"/>
  <c r="S3489" i="22"/>
  <c r="T3489" i="22"/>
  <c r="S3490" i="22"/>
  <c r="T3490" i="22"/>
  <c r="S3491" i="22"/>
  <c r="T3491" i="22"/>
  <c r="S3492" i="22"/>
  <c r="T3492" i="22"/>
  <c r="S3493" i="22"/>
  <c r="T3493" i="22"/>
  <c r="S3494" i="22"/>
  <c r="T3494" i="22"/>
  <c r="S3495" i="22"/>
  <c r="T3495" i="22"/>
  <c r="S3496" i="22"/>
  <c r="S3497" i="22"/>
  <c r="T3497" i="22"/>
  <c r="S3498" i="22"/>
  <c r="T3498" i="22"/>
  <c r="S3499" i="22"/>
  <c r="T3499" i="22"/>
  <c r="S3500" i="22"/>
  <c r="T3500" i="22"/>
  <c r="S3501" i="22"/>
  <c r="T3501" i="22"/>
  <c r="S3502" i="22"/>
  <c r="T3502" i="22"/>
  <c r="S3503" i="22"/>
  <c r="T3503" i="22"/>
  <c r="S3504" i="22"/>
  <c r="T3504" i="22"/>
  <c r="S3505" i="22"/>
  <c r="T3505" i="22"/>
  <c r="S3506" i="22"/>
  <c r="T3506" i="22"/>
  <c r="T3496" i="22"/>
  <c r="S3481" i="22"/>
  <c r="T3481" i="22"/>
  <c r="S3482" i="22"/>
  <c r="T3482" i="22"/>
  <c r="S3483" i="22"/>
  <c r="T3483" i="22"/>
  <c r="S3484" i="22"/>
  <c r="T3484" i="22"/>
  <c r="S3485" i="22"/>
  <c r="T3485" i="22"/>
  <c r="S3486" i="22"/>
  <c r="A3479" i="22"/>
  <c r="B3479" i="22"/>
  <c r="E3478" i="22"/>
  <c r="H3481" i="22"/>
  <c r="H3482" i="22"/>
  <c r="H3483" i="22"/>
  <c r="H3484" i="22"/>
  <c r="H3485" i="22"/>
  <c r="H3486" i="22"/>
  <c r="H3487" i="22"/>
  <c r="H3488" i="22"/>
  <c r="H3489" i="22"/>
  <c r="H3490" i="22"/>
  <c r="H3491" i="22"/>
  <c r="H3492" i="22"/>
  <c r="H3493" i="22"/>
  <c r="H3494" i="22"/>
  <c r="H3495" i="22"/>
  <c r="H3496" i="22"/>
  <c r="H3497" i="22"/>
  <c r="H3498" i="22"/>
  <c r="H3499" i="22"/>
  <c r="H3500" i="22"/>
  <c r="H3501" i="22"/>
  <c r="H3502" i="22"/>
  <c r="H3503" i="22"/>
  <c r="H3504" i="22"/>
  <c r="H3505" i="22"/>
  <c r="H3506" i="22"/>
  <c r="H3507" i="22"/>
  <c r="H3508" i="22"/>
  <c r="H3509" i="22"/>
  <c r="H3510" i="22"/>
  <c r="H3511" i="22"/>
  <c r="H3512" i="22"/>
  <c r="H3513" i="22"/>
  <c r="H3514" i="22"/>
  <c r="H3515" i="22"/>
  <c r="H3516" i="22"/>
  <c r="H3517" i="22"/>
  <c r="H3518" i="22"/>
  <c r="H3520" i="22"/>
  <c r="H3521" i="22"/>
  <c r="H3523" i="22"/>
  <c r="H3526" i="22"/>
  <c r="H3519" i="22"/>
  <c r="H3522" i="22"/>
  <c r="H3524" i="22"/>
  <c r="H3525" i="22"/>
  <c r="H3527" i="22"/>
  <c r="H3528" i="22"/>
  <c r="C3427" i="22"/>
  <c r="E3427" i="22"/>
  <c r="F3427" i="22"/>
  <c r="G3427" i="22"/>
  <c r="B3428" i="22"/>
  <c r="CI66" i="22"/>
  <c r="S3473" i="22"/>
  <c r="T3441" i="22"/>
  <c r="T3473" i="22"/>
  <c r="S3441" i="22"/>
  <c r="S3474" i="22"/>
  <c r="T3474" i="22"/>
  <c r="T3440" i="22"/>
  <c r="S3451" i="22"/>
  <c r="S3440" i="22"/>
  <c r="S3427" i="22"/>
  <c r="T3427" i="22"/>
  <c r="S3428" i="22"/>
  <c r="T3428" i="22"/>
  <c r="S3429" i="22"/>
  <c r="T3429" i="22"/>
  <c r="S3430" i="22"/>
  <c r="T3430" i="22"/>
  <c r="S3431" i="22"/>
  <c r="T3431" i="22"/>
  <c r="S3432" i="22"/>
  <c r="T3432" i="22"/>
  <c r="S3433" i="22"/>
  <c r="T3433" i="22"/>
  <c r="S3434" i="22"/>
  <c r="T3434" i="22"/>
  <c r="S3435" i="22"/>
  <c r="T3435" i="22"/>
  <c r="S3436" i="22"/>
  <c r="T3436" i="22"/>
  <c r="S3437" i="22"/>
  <c r="S3438" i="22"/>
  <c r="T3438" i="22"/>
  <c r="S3439" i="22"/>
  <c r="T3439" i="22"/>
  <c r="T3450" i="22"/>
  <c r="S3450" i="22"/>
  <c r="T3449" i="22"/>
  <c r="T3468" i="22"/>
  <c r="S3468" i="22"/>
  <c r="S3449" i="22"/>
  <c r="T3467" i="22"/>
  <c r="S3467" i="22"/>
  <c r="T3466" i="22"/>
  <c r="S3466" i="22"/>
  <c r="T3465" i="22"/>
  <c r="S3465" i="22"/>
  <c r="T3464" i="22"/>
  <c r="S3464" i="22"/>
  <c r="T3463" i="22"/>
  <c r="S3463" i="22"/>
  <c r="T3462" i="22"/>
  <c r="S3462" i="22"/>
  <c r="T3461" i="22"/>
  <c r="S3461" i="22"/>
  <c r="T3460" i="22"/>
  <c r="S3460" i="22"/>
  <c r="T3459" i="22"/>
  <c r="S3459" i="22"/>
  <c r="T3458" i="22"/>
  <c r="S3458" i="22"/>
  <c r="T3457" i="22"/>
  <c r="S3457" i="22"/>
  <c r="T3456" i="22"/>
  <c r="T3448" i="22"/>
  <c r="S3448" i="22"/>
  <c r="AL66" i="22"/>
  <c r="AK66" i="22"/>
  <c r="S3456" i="22"/>
  <c r="T3447" i="22"/>
  <c r="T3455" i="22"/>
  <c r="S3447" i="22"/>
  <c r="S3455" i="22"/>
  <c r="S3454" i="22"/>
  <c r="T3446" i="22"/>
  <c r="S3446" i="22"/>
  <c r="T3453" i="22"/>
  <c r="T3437" i="22"/>
  <c r="S3453" i="22"/>
  <c r="T3454" i="22"/>
  <c r="T3445" i="22"/>
  <c r="S3445" i="22"/>
  <c r="T3452" i="22"/>
  <c r="S3469" i="22"/>
  <c r="S3452" i="22"/>
  <c r="T3444" i="22"/>
  <c r="T3451" i="22"/>
  <c r="T3469" i="22"/>
  <c r="S3444" i="22"/>
  <c r="S3470" i="22"/>
  <c r="T3470" i="22"/>
  <c r="T3443" i="22"/>
  <c r="S3471" i="22"/>
  <c r="T3471" i="22"/>
  <c r="S3443" i="22"/>
  <c r="S3472" i="22"/>
  <c r="T3442" i="22"/>
  <c r="S3442" i="22"/>
  <c r="T3472" i="22"/>
  <c r="A3425" i="22"/>
  <c r="B3425" i="22"/>
  <c r="E3424" i="22"/>
  <c r="H3427" i="22"/>
  <c r="H3428" i="22"/>
  <c r="H3429" i="22"/>
  <c r="H3430" i="22"/>
  <c r="H3431" i="22"/>
  <c r="H3432" i="22"/>
  <c r="H3433" i="22"/>
  <c r="H3434" i="22"/>
  <c r="H3435" i="22"/>
  <c r="H3436" i="22"/>
  <c r="H3437" i="22"/>
  <c r="H3438" i="22"/>
  <c r="H3439" i="22"/>
  <c r="H3440" i="22"/>
  <c r="H3441" i="22"/>
  <c r="H3442" i="22"/>
  <c r="H3443" i="22"/>
  <c r="H3444" i="22"/>
  <c r="H3445" i="22"/>
  <c r="H3446" i="22"/>
  <c r="H3447" i="22"/>
  <c r="H3448" i="22"/>
  <c r="H3449" i="22"/>
  <c r="H3450" i="22"/>
  <c r="H3451" i="22"/>
  <c r="H3452" i="22"/>
  <c r="H3453" i="22"/>
  <c r="H3454" i="22"/>
  <c r="H3455" i="22"/>
  <c r="H3456" i="22"/>
  <c r="H3457" i="22"/>
  <c r="H3458" i="22"/>
  <c r="H3459" i="22"/>
  <c r="H3460" i="22"/>
  <c r="H3461" i="22"/>
  <c r="H3462" i="22"/>
  <c r="H3463" i="22"/>
  <c r="H3464" i="22"/>
  <c r="H3465" i="22"/>
  <c r="H3466" i="22"/>
  <c r="H3467" i="22"/>
  <c r="H3468" i="22"/>
  <c r="H3469" i="22"/>
  <c r="H3470" i="22"/>
  <c r="H3471" i="22"/>
  <c r="H3472" i="22"/>
  <c r="H3473" i="22"/>
  <c r="H3474" i="22"/>
  <c r="C3373" i="22"/>
  <c r="E3373" i="22"/>
  <c r="F3373" i="22"/>
  <c r="B3374" i="22"/>
  <c r="G3373" i="22"/>
  <c r="CI65" i="22"/>
  <c r="T3420" i="22"/>
  <c r="S3420" i="22"/>
  <c r="T3419" i="22"/>
  <c r="S3419" i="22"/>
  <c r="T3418" i="22"/>
  <c r="S3418" i="22"/>
  <c r="T3417" i="22"/>
  <c r="S3417" i="22"/>
  <c r="T3416" i="22"/>
  <c r="S3416" i="22"/>
  <c r="T3415" i="22"/>
  <c r="S3415" i="22"/>
  <c r="T3414" i="22"/>
  <c r="S3414" i="22"/>
  <c r="T3413" i="22"/>
  <c r="T3412" i="22"/>
  <c r="S3412" i="22"/>
  <c r="T3411" i="22"/>
  <c r="S3411" i="22"/>
  <c r="T3410" i="22"/>
  <c r="S3410" i="22"/>
  <c r="T3409" i="22"/>
  <c r="S3409" i="22"/>
  <c r="T3408" i="22"/>
  <c r="S3408" i="22"/>
  <c r="T3407" i="22"/>
  <c r="S3407" i="22"/>
  <c r="T3406" i="22"/>
  <c r="S3406" i="22"/>
  <c r="T3405" i="22"/>
  <c r="S3405" i="22"/>
  <c r="T3404" i="22"/>
  <c r="S3404" i="22"/>
  <c r="T3403" i="22"/>
  <c r="S3403" i="22"/>
  <c r="T3402" i="22"/>
  <c r="S3402" i="22"/>
  <c r="T3401" i="22"/>
  <c r="S3401" i="22"/>
  <c r="T3400" i="22"/>
  <c r="S3400" i="22"/>
  <c r="T3399" i="22"/>
  <c r="S3399" i="22"/>
  <c r="T3398" i="22"/>
  <c r="S3398" i="22"/>
  <c r="T3397" i="22"/>
  <c r="S3397" i="22"/>
  <c r="T3396" i="22"/>
  <c r="S3396" i="22"/>
  <c r="T3395" i="22"/>
  <c r="S3395" i="22"/>
  <c r="T3394" i="22"/>
  <c r="S3394" i="22"/>
  <c r="T3393" i="22"/>
  <c r="S3393" i="22"/>
  <c r="T3392" i="22"/>
  <c r="S3392" i="22"/>
  <c r="T3391" i="22"/>
  <c r="S3391" i="22"/>
  <c r="T3390" i="22"/>
  <c r="S3390" i="22"/>
  <c r="T3389" i="22"/>
  <c r="S3389" i="22"/>
  <c r="T3388" i="22"/>
  <c r="S3388" i="22"/>
  <c r="T3387" i="22"/>
  <c r="S3387" i="22"/>
  <c r="T3386" i="22"/>
  <c r="S3386" i="22"/>
  <c r="T3385" i="22"/>
  <c r="S3385" i="22"/>
  <c r="T3384" i="22"/>
  <c r="S3384" i="22"/>
  <c r="T3383" i="22"/>
  <c r="S3383" i="22"/>
  <c r="T3382" i="22"/>
  <c r="S3382" i="22"/>
  <c r="T3381" i="22"/>
  <c r="S3381" i="22"/>
  <c r="T3380" i="22"/>
  <c r="S3380" i="22"/>
  <c r="T3379" i="22"/>
  <c r="S3379" i="22"/>
  <c r="T3378" i="22"/>
  <c r="S3378" i="22"/>
  <c r="T3377" i="22"/>
  <c r="S3377" i="22"/>
  <c r="T3376" i="22"/>
  <c r="S3376" i="22"/>
  <c r="T3375" i="22"/>
  <c r="S3375" i="22"/>
  <c r="T3374" i="22"/>
  <c r="S3374" i="22"/>
  <c r="T3373" i="22"/>
  <c r="S3373" i="22"/>
  <c r="AL65" i="22"/>
  <c r="AK65" i="22"/>
  <c r="S3413" i="22"/>
  <c r="A3371" i="22"/>
  <c r="B3371" i="22"/>
  <c r="E3370" i="22"/>
  <c r="H3373" i="22"/>
  <c r="H3374" i="22"/>
  <c r="H3375" i="22"/>
  <c r="H3376" i="22"/>
  <c r="H3377" i="22"/>
  <c r="H3378" i="22"/>
  <c r="H3379" i="22"/>
  <c r="H3380" i="22"/>
  <c r="H3381" i="22"/>
  <c r="H3382" i="22"/>
  <c r="H3383" i="22"/>
  <c r="H3384" i="22"/>
  <c r="H3385" i="22"/>
  <c r="H3386" i="22"/>
  <c r="H3387" i="22"/>
  <c r="H3388" i="22"/>
  <c r="H3389" i="22"/>
  <c r="H3390" i="22"/>
  <c r="H3391" i="22"/>
  <c r="H3392" i="22"/>
  <c r="H3393" i="22"/>
  <c r="H3394" i="22"/>
  <c r="H3395" i="22"/>
  <c r="H3396" i="22"/>
  <c r="H3397" i="22"/>
  <c r="H3398" i="22"/>
  <c r="BX65" i="22" s="1"/>
  <c r="H3399" i="22"/>
  <c r="BY65" i="22" s="1"/>
  <c r="H3400" i="22"/>
  <c r="BZ65" i="22" s="1"/>
  <c r="H3401" i="22"/>
  <c r="CA65" i="22" s="1"/>
  <c r="H3402" i="22"/>
  <c r="CB65" i="22" s="1"/>
  <c r="H3403" i="22"/>
  <c r="CC65" i="22" s="1"/>
  <c r="H3404" i="22"/>
  <c r="CD65" i="22" s="1"/>
  <c r="H3405" i="22"/>
  <c r="CE65" i="22" s="1"/>
  <c r="H3406" i="22"/>
  <c r="CF65" i="22" s="1"/>
  <c r="H3407" i="22"/>
  <c r="CG65" i="22" s="1"/>
  <c r="H3408" i="22"/>
  <c r="CH65" i="22" s="1"/>
  <c r="H3409" i="22"/>
  <c r="H3410" i="22"/>
  <c r="H3411" i="22"/>
  <c r="H3412" i="22"/>
  <c r="H3413" i="22"/>
  <c r="H3414" i="22"/>
  <c r="H3415" i="22"/>
  <c r="H3416" i="22"/>
  <c r="H3417" i="22"/>
  <c r="H3418" i="22"/>
  <c r="H3419" i="22"/>
  <c r="H3420" i="22"/>
  <c r="G3319" i="22"/>
  <c r="E3319" i="22"/>
  <c r="C3319" i="22"/>
  <c r="F3319" i="22" s="1"/>
  <c r="B3320" i="22"/>
  <c r="CI64" i="22"/>
  <c r="T3340" i="22"/>
  <c r="S3340" i="22"/>
  <c r="T3339" i="22"/>
  <c r="S3339" i="22"/>
  <c r="T3338" i="22"/>
  <c r="S3338" i="22"/>
  <c r="T3337" i="22"/>
  <c r="S3337" i="22"/>
  <c r="T3336" i="22"/>
  <c r="S3336" i="22"/>
  <c r="T3335" i="22"/>
  <c r="S3335" i="22"/>
  <c r="T3334" i="22"/>
  <c r="S3334" i="22"/>
  <c r="T3333" i="22"/>
  <c r="S3333" i="22"/>
  <c r="T3332" i="22"/>
  <c r="S3332" i="22"/>
  <c r="T3331" i="22"/>
  <c r="S3331" i="22"/>
  <c r="T3330" i="22"/>
  <c r="S3330" i="22"/>
  <c r="T3329" i="22"/>
  <c r="S3329" i="22"/>
  <c r="T3319" i="22"/>
  <c r="S3319" i="22"/>
  <c r="S3324" i="22"/>
  <c r="T3324" i="22"/>
  <c r="S3325" i="22"/>
  <c r="S3326" i="22"/>
  <c r="T3326" i="22"/>
  <c r="S3327" i="22"/>
  <c r="T3327" i="22"/>
  <c r="S3328" i="22"/>
  <c r="T3328" i="22"/>
  <c r="T3343" i="22"/>
  <c r="AL64" i="22"/>
  <c r="AK64" i="22"/>
  <c r="S3343" i="22"/>
  <c r="S3344" i="22"/>
  <c r="T3344" i="22"/>
  <c r="S3345" i="22"/>
  <c r="T3345" i="22"/>
  <c r="S3346" i="22"/>
  <c r="T3346" i="22"/>
  <c r="S3347" i="22"/>
  <c r="T3347" i="22"/>
  <c r="S3348" i="22"/>
  <c r="T3348" i="22"/>
  <c r="S3349" i="22"/>
  <c r="T3349" i="22"/>
  <c r="S3350" i="22"/>
  <c r="T3350" i="22"/>
  <c r="S3351" i="22"/>
  <c r="T3351" i="22"/>
  <c r="T3323" i="22"/>
  <c r="S3352" i="22"/>
  <c r="T3352" i="22"/>
  <c r="S3323" i="22"/>
  <c r="T3322" i="22"/>
  <c r="S3353" i="22"/>
  <c r="T3353" i="22"/>
  <c r="S3322" i="22"/>
  <c r="S3354" i="22"/>
  <c r="T3354" i="22"/>
  <c r="S3355" i="22"/>
  <c r="T3321" i="22"/>
  <c r="T3355" i="22"/>
  <c r="S3321" i="22"/>
  <c r="S3356" i="22"/>
  <c r="T3356" i="22"/>
  <c r="T3357" i="22"/>
  <c r="S3358" i="22"/>
  <c r="T3358" i="22"/>
  <c r="S3359" i="22"/>
  <c r="T3359" i="22"/>
  <c r="S3360" i="22"/>
  <c r="T3360" i="22"/>
  <c r="S3361" i="22"/>
  <c r="T3361" i="22"/>
  <c r="S3362" i="22"/>
  <c r="T3362" i="22"/>
  <c r="S3363" i="22"/>
  <c r="T3363" i="22"/>
  <c r="S3357" i="22"/>
  <c r="T3364" i="22"/>
  <c r="S3365" i="22"/>
  <c r="T3365" i="22"/>
  <c r="S3366" i="22"/>
  <c r="T3366" i="22"/>
  <c r="T3325" i="22"/>
  <c r="T3342" i="22"/>
  <c r="S3342" i="22"/>
  <c r="T3341" i="22"/>
  <c r="S3341" i="22"/>
  <c r="T3320" i="22"/>
  <c r="S3320" i="22"/>
  <c r="S3364" i="22"/>
  <c r="B3317" i="22"/>
  <c r="J3317" i="22" s="1"/>
  <c r="A3317" i="22"/>
  <c r="E3316" i="22"/>
  <c r="H3319" i="22"/>
  <c r="H3320" i="22"/>
  <c r="H3321" i="22"/>
  <c r="H3322" i="22"/>
  <c r="H3323" i="22"/>
  <c r="H3324" i="22"/>
  <c r="H3325" i="22"/>
  <c r="H3326" i="22"/>
  <c r="H3327" i="22"/>
  <c r="H3328" i="22"/>
  <c r="H3329" i="22"/>
  <c r="H3330" i="22"/>
  <c r="H3331" i="22"/>
  <c r="H3332" i="22"/>
  <c r="H3333" i="22"/>
  <c r="H3334" i="22"/>
  <c r="H3335" i="22"/>
  <c r="H3336" i="22"/>
  <c r="H3337" i="22"/>
  <c r="H3338" i="22"/>
  <c r="H3339" i="22"/>
  <c r="H3340" i="22"/>
  <c r="H3341" i="22"/>
  <c r="H3342" i="22"/>
  <c r="H3343" i="22"/>
  <c r="H3344" i="22"/>
  <c r="BX64" i="22" s="1"/>
  <c r="H3345" i="22"/>
  <c r="BY64" i="22" s="1"/>
  <c r="H3346" i="22"/>
  <c r="BZ64" i="22" s="1"/>
  <c r="H3347" i="22"/>
  <c r="CA64" i="22" s="1"/>
  <c r="H3348" i="22"/>
  <c r="CB64" i="22" s="1"/>
  <c r="H3349" i="22"/>
  <c r="CC64" i="22" s="1"/>
  <c r="H3350" i="22"/>
  <c r="CD64" i="22" s="1"/>
  <c r="H3351" i="22"/>
  <c r="CE64" i="22" s="1"/>
  <c r="H3352" i="22"/>
  <c r="CF64" i="22" s="1"/>
  <c r="H3353" i="22"/>
  <c r="CG64" i="22" s="1"/>
  <c r="H3354" i="22"/>
  <c r="CH64" i="22" s="1"/>
  <c r="H3355" i="22"/>
  <c r="H3356" i="22"/>
  <c r="H3357" i="22"/>
  <c r="H3358" i="22"/>
  <c r="H3359" i="22"/>
  <c r="H3360" i="22"/>
  <c r="H3361" i="22"/>
  <c r="H3362" i="22"/>
  <c r="H3363" i="22"/>
  <c r="H3364" i="22"/>
  <c r="H3365" i="22"/>
  <c r="H3366" i="22"/>
  <c r="B3266" i="22"/>
  <c r="E3265" i="22"/>
  <c r="G3265" i="22"/>
  <c r="C3265" i="22"/>
  <c r="F3265" i="22" s="1"/>
  <c r="CI63" i="22"/>
  <c r="T3306" i="22"/>
  <c r="S3277" i="22"/>
  <c r="T3277" i="22"/>
  <c r="S3280" i="22"/>
  <c r="S3278" i="22"/>
  <c r="T3278" i="22"/>
  <c r="S3265" i="22"/>
  <c r="T3265" i="22"/>
  <c r="S3279" i="22"/>
  <c r="T3279" i="22"/>
  <c r="T3299" i="22"/>
  <c r="S3272" i="22"/>
  <c r="S3273" i="22"/>
  <c r="S3266" i="22"/>
  <c r="AL63" i="22"/>
  <c r="AK63" i="22"/>
  <c r="S3303" i="22"/>
  <c r="T3297" i="22"/>
  <c r="S3297" i="22"/>
  <c r="T3298" i="22"/>
  <c r="T3296" i="22"/>
  <c r="S3298" i="22"/>
  <c r="T3273" i="22"/>
  <c r="T3266" i="22"/>
  <c r="S3267" i="22"/>
  <c r="T3267" i="22"/>
  <c r="T3312" i="22"/>
  <c r="T3282" i="22"/>
  <c r="T3280" i="22"/>
  <c r="S3296" i="22"/>
  <c r="T3295" i="22"/>
  <c r="S3295" i="22"/>
  <c r="T3294" i="22"/>
  <c r="S3294" i="22"/>
  <c r="T3293" i="22"/>
  <c r="S3299" i="22"/>
  <c r="S3293" i="22"/>
  <c r="S3312" i="22"/>
  <c r="T3292" i="22"/>
  <c r="T3311" i="22"/>
  <c r="S3292" i="22"/>
  <c r="S3300" i="22"/>
  <c r="S3311" i="22"/>
  <c r="T3310" i="22"/>
  <c r="S3268" i="22"/>
  <c r="S3310" i="22"/>
  <c r="T3291" i="22"/>
  <c r="S3291" i="22"/>
  <c r="T3290" i="22"/>
  <c r="T3309" i="22"/>
  <c r="T3268" i="22"/>
  <c r="S3290" i="22"/>
  <c r="S3309" i="22"/>
  <c r="T3289" i="22"/>
  <c r="S3289" i="22"/>
  <c r="S3269" i="22"/>
  <c r="T3308" i="22"/>
  <c r="T3269" i="22"/>
  <c r="S3308" i="22"/>
  <c r="S3270" i="22"/>
  <c r="T3288" i="22"/>
  <c r="T3307" i="22"/>
  <c r="S3288" i="22"/>
  <c r="S3307" i="22"/>
  <c r="T3287" i="22"/>
  <c r="T3270" i="22"/>
  <c r="S3287" i="22"/>
  <c r="S3306" i="22"/>
  <c r="T3286" i="22"/>
  <c r="S3286" i="22"/>
  <c r="T3305" i="22"/>
  <c r="S3305" i="22"/>
  <c r="T3304" i="22"/>
  <c r="T3285" i="22"/>
  <c r="S3285" i="22"/>
  <c r="S3304" i="22"/>
  <c r="T3284" i="22"/>
  <c r="S3284" i="22"/>
  <c r="T3283" i="22"/>
  <c r="S3274" i="22"/>
  <c r="T3274" i="22"/>
  <c r="S3271" i="22"/>
  <c r="S3283" i="22"/>
  <c r="S3275" i="22"/>
  <c r="T3275" i="22"/>
  <c r="T3272" i="22"/>
  <c r="S3276" i="22"/>
  <c r="T3276" i="22"/>
  <c r="T3271" i="22"/>
  <c r="S3282" i="22"/>
  <c r="T3303" i="22"/>
  <c r="S3281" i="22"/>
  <c r="T3281" i="22"/>
  <c r="T3300" i="22"/>
  <c r="S3301" i="22"/>
  <c r="T3301" i="22"/>
  <c r="S3302" i="22"/>
  <c r="T3302" i="22"/>
  <c r="B3263" i="22"/>
  <c r="J3263" i="22" s="1"/>
  <c r="A3263" i="22"/>
  <c r="E3262" i="22"/>
  <c r="H3265" i="22"/>
  <c r="H3266" i="22"/>
  <c r="H3267" i="22"/>
  <c r="H3268" i="22"/>
  <c r="H3269" i="22"/>
  <c r="H3270" i="22"/>
  <c r="H3271" i="22"/>
  <c r="H3272" i="22"/>
  <c r="H3273" i="22"/>
  <c r="H3274" i="22"/>
  <c r="H3275" i="22"/>
  <c r="H3276" i="22"/>
  <c r="H3277" i="22"/>
  <c r="H3278" i="22"/>
  <c r="H3279" i="22"/>
  <c r="H3280" i="22"/>
  <c r="H3281" i="22"/>
  <c r="H3282" i="22"/>
  <c r="H3283" i="22"/>
  <c r="H3284" i="22"/>
  <c r="H3285" i="22"/>
  <c r="H3286" i="22"/>
  <c r="H3287" i="22"/>
  <c r="H3288" i="22"/>
  <c r="H3289" i="22"/>
  <c r="H3290" i="22"/>
  <c r="BX63" i="22" s="1"/>
  <c r="H3291" i="22"/>
  <c r="BY63" i="22" s="1"/>
  <c r="H3292" i="22"/>
  <c r="BZ63" i="22" s="1"/>
  <c r="H3293" i="22"/>
  <c r="CA63" i="22" s="1"/>
  <c r="H3294" i="22"/>
  <c r="CB63" i="22" s="1"/>
  <c r="H3295" i="22"/>
  <c r="CC63" i="22" s="1"/>
  <c r="H3296" i="22"/>
  <c r="CD63" i="22" s="1"/>
  <c r="H3297" i="22"/>
  <c r="CE63" i="22" s="1"/>
  <c r="H3298" i="22"/>
  <c r="CF63" i="22" s="1"/>
  <c r="H3299" i="22"/>
  <c r="CG63" i="22" s="1"/>
  <c r="H3300" i="22"/>
  <c r="CH63" i="22" s="1"/>
  <c r="H3301" i="22"/>
  <c r="H3302" i="22"/>
  <c r="H3303" i="22"/>
  <c r="H3304" i="22"/>
  <c r="H3305" i="22"/>
  <c r="H3306" i="22"/>
  <c r="H3307" i="22"/>
  <c r="H3308" i="22"/>
  <c r="H3309" i="22"/>
  <c r="H3310" i="22"/>
  <c r="H3311" i="22"/>
  <c r="H3312" i="22"/>
  <c r="G3211" i="22"/>
  <c r="C3211" i="22"/>
  <c r="B3212" i="22"/>
  <c r="E3211" i="22"/>
  <c r="F3211" i="22"/>
  <c r="CI62" i="22"/>
  <c r="T3217" i="22"/>
  <c r="S3231" i="22"/>
  <c r="T3231" i="22"/>
  <c r="T3227" i="22"/>
  <c r="S3232" i="22"/>
  <c r="T3232" i="22"/>
  <c r="S3233" i="22"/>
  <c r="S3226" i="22"/>
  <c r="T3233" i="22"/>
  <c r="S3254" i="22"/>
  <c r="T3254" i="22"/>
  <c r="S3234" i="22"/>
  <c r="T3234" i="22"/>
  <c r="S3235" i="22"/>
  <c r="S3255" i="22"/>
  <c r="T3235" i="22"/>
  <c r="T3255" i="22"/>
  <c r="S3236" i="22"/>
  <c r="T3236" i="22"/>
  <c r="S3237" i="22"/>
  <c r="S3256" i="22"/>
  <c r="T3237" i="22"/>
  <c r="T3256" i="22"/>
  <c r="S3247" i="22"/>
  <c r="T3247" i="22"/>
  <c r="S3248" i="22"/>
  <c r="T3248" i="22"/>
  <c r="S3249" i="22"/>
  <c r="T3249" i="22"/>
  <c r="T3211" i="22"/>
  <c r="S3214" i="22"/>
  <c r="T3216" i="22"/>
  <c r="T3246" i="22"/>
  <c r="S3246" i="22"/>
  <c r="S3221" i="22"/>
  <c r="S3222" i="22"/>
  <c r="T3224" i="22"/>
  <c r="T3245" i="22"/>
  <c r="S3215" i="22"/>
  <c r="S3245" i="22"/>
  <c r="T3229" i="22"/>
  <c r="S3229" i="22"/>
  <c r="T3244" i="22"/>
  <c r="S3251" i="22"/>
  <c r="T3251" i="22"/>
  <c r="T3250" i="22"/>
  <c r="S3252" i="22"/>
  <c r="S3250" i="22"/>
  <c r="S3227" i="22"/>
  <c r="S3224" i="22"/>
  <c r="T3223" i="22"/>
  <c r="T3219" i="22"/>
  <c r="S3219" i="22"/>
  <c r="S3217" i="22"/>
  <c r="S3216" i="22"/>
  <c r="T3215" i="22"/>
  <c r="T3214" i="22"/>
  <c r="T3213" i="22"/>
  <c r="S3213" i="22"/>
  <c r="T3212" i="22"/>
  <c r="S3212" i="22"/>
  <c r="S3211" i="22"/>
  <c r="T3252" i="22"/>
  <c r="S3253" i="22"/>
  <c r="T3228" i="22"/>
  <c r="T3253" i="22"/>
  <c r="S3228" i="22"/>
  <c r="S3244" i="22"/>
  <c r="T3243" i="22"/>
  <c r="S3243" i="22"/>
  <c r="S3218" i="22"/>
  <c r="T3242" i="22"/>
  <c r="S3242" i="22"/>
  <c r="T3218" i="22"/>
  <c r="S3220" i="22"/>
  <c r="T3220" i="22"/>
  <c r="T3241" i="22"/>
  <c r="T3221" i="22"/>
  <c r="S3241" i="22"/>
  <c r="T3258" i="22"/>
  <c r="S3258" i="22"/>
  <c r="T3222" i="22"/>
  <c r="T3240" i="22"/>
  <c r="S3240" i="22"/>
  <c r="T3257" i="22"/>
  <c r="S3257" i="22"/>
  <c r="S3223" i="22"/>
  <c r="T3239" i="22"/>
  <c r="S3225" i="22"/>
  <c r="T3225" i="22"/>
  <c r="S3230" i="22"/>
  <c r="S3239" i="22"/>
  <c r="AL62" i="22"/>
  <c r="AK62" i="22"/>
  <c r="T3238" i="22"/>
  <c r="S3238" i="22"/>
  <c r="T3230" i="22"/>
  <c r="T3226" i="22"/>
  <c r="A3209" i="22"/>
  <c r="B3209" i="22"/>
  <c r="E3208" i="22"/>
  <c r="H3211" i="22"/>
  <c r="H3212" i="22"/>
  <c r="H3216" i="22"/>
  <c r="H3218" i="22"/>
  <c r="H3219" i="22"/>
  <c r="H3220" i="22"/>
  <c r="H3221" i="22"/>
  <c r="H3222" i="22"/>
  <c r="H3223" i="22"/>
  <c r="H3225" i="22"/>
  <c r="H3226" i="22"/>
  <c r="H3227" i="22"/>
  <c r="H3217" i="22"/>
  <c r="H3224" i="22"/>
  <c r="H3228" i="22"/>
  <c r="H3229" i="22"/>
  <c r="H3230" i="22"/>
  <c r="H3231" i="22"/>
  <c r="H3232" i="22"/>
  <c r="H3233" i="22"/>
  <c r="H3234" i="22"/>
  <c r="H3235" i="22"/>
  <c r="H3236" i="22"/>
  <c r="BX62" i="22" s="1"/>
  <c r="H3237" i="22"/>
  <c r="BY62" i="22" s="1"/>
  <c r="H3238" i="22"/>
  <c r="BZ62" i="22" s="1"/>
  <c r="H3239" i="22"/>
  <c r="CA62" i="22" s="1"/>
  <c r="H3240" i="22"/>
  <c r="CB62" i="22" s="1"/>
  <c r="H3241" i="22"/>
  <c r="CC62" i="22" s="1"/>
  <c r="H3242" i="22"/>
  <c r="CD62" i="22" s="1"/>
  <c r="H3243" i="22"/>
  <c r="CE62" i="22" s="1"/>
  <c r="H3244" i="22"/>
  <c r="CF62" i="22" s="1"/>
  <c r="H3245" i="22"/>
  <c r="CG62" i="22" s="1"/>
  <c r="H3246" i="22"/>
  <c r="CH62" i="22" s="1"/>
  <c r="H3247" i="22"/>
  <c r="H3248" i="22"/>
  <c r="H3249" i="22"/>
  <c r="H3250" i="22"/>
  <c r="H3251" i="22"/>
  <c r="H3252" i="22"/>
  <c r="H3253" i="22"/>
  <c r="H3254" i="22"/>
  <c r="H3255" i="22"/>
  <c r="H3256" i="22"/>
  <c r="H3257" i="22"/>
  <c r="H3258" i="22"/>
  <c r="L3211" i="22"/>
  <c r="L3212" i="22"/>
  <c r="A62" i="22"/>
  <c r="K3211" i="22"/>
  <c r="B3158" i="22"/>
  <c r="G3157" i="22"/>
  <c r="E3157" i="22"/>
  <c r="C3157" i="22"/>
  <c r="F3157" i="22" s="1"/>
  <c r="CI61" i="22"/>
  <c r="S3170" i="22"/>
  <c r="T3170" i="22"/>
  <c r="S3171" i="22"/>
  <c r="T3171" i="22"/>
  <c r="S3172" i="22"/>
  <c r="T3172" i="22"/>
  <c r="S3173" i="22"/>
  <c r="T3173" i="22"/>
  <c r="S3174" i="22"/>
  <c r="T3174" i="22"/>
  <c r="S3175" i="22"/>
  <c r="T3175" i="22"/>
  <c r="S3176" i="22"/>
  <c r="T3176" i="22"/>
  <c r="S3177" i="22"/>
  <c r="T3177" i="22"/>
  <c r="S3178" i="22"/>
  <c r="T3178" i="22"/>
  <c r="S3179" i="22"/>
  <c r="T3179" i="22"/>
  <c r="S3180" i="22"/>
  <c r="T3180" i="22"/>
  <c r="S3181" i="22"/>
  <c r="T3181" i="22"/>
  <c r="S3182" i="22"/>
  <c r="T3182" i="22"/>
  <c r="S3183" i="22"/>
  <c r="T3183" i="22"/>
  <c r="S3184" i="22"/>
  <c r="T3184" i="22"/>
  <c r="S3185" i="22"/>
  <c r="T3185" i="22"/>
  <c r="S3186" i="22"/>
  <c r="T3186" i="22"/>
  <c r="S3187" i="22"/>
  <c r="T3187" i="22"/>
  <c r="S3188" i="22"/>
  <c r="T3188" i="22"/>
  <c r="S3189" i="22"/>
  <c r="T3189" i="22"/>
  <c r="S3190" i="22"/>
  <c r="T3190" i="22"/>
  <c r="S3191" i="22"/>
  <c r="T3191" i="22"/>
  <c r="S3192" i="22"/>
  <c r="T3192" i="22"/>
  <c r="S3193" i="22"/>
  <c r="T3193" i="22"/>
  <c r="S3194" i="22"/>
  <c r="T3194" i="22"/>
  <c r="S3195" i="22"/>
  <c r="T3195" i="22"/>
  <c r="S3196" i="22"/>
  <c r="T3196" i="22"/>
  <c r="S3197" i="22"/>
  <c r="T3197" i="22"/>
  <c r="S3198" i="22"/>
  <c r="T3198" i="22"/>
  <c r="S3199" i="22"/>
  <c r="T3199" i="22"/>
  <c r="S3200" i="22"/>
  <c r="T3200" i="22"/>
  <c r="S3201" i="22"/>
  <c r="T3201" i="22"/>
  <c r="S3202" i="22"/>
  <c r="T3202" i="22"/>
  <c r="S3203" i="22"/>
  <c r="T3203" i="22"/>
  <c r="T3204" i="22"/>
  <c r="AK61" i="22"/>
  <c r="AL61" i="22"/>
  <c r="S3157" i="22"/>
  <c r="T3157" i="22"/>
  <c r="S3158" i="22"/>
  <c r="T3158" i="22"/>
  <c r="S3159" i="22"/>
  <c r="T3159" i="22"/>
  <c r="S3160" i="22"/>
  <c r="T3160" i="22"/>
  <c r="S3161" i="22"/>
  <c r="T3161" i="22"/>
  <c r="S3204" i="22"/>
  <c r="S3162" i="22"/>
  <c r="T3162" i="22"/>
  <c r="S3163" i="22"/>
  <c r="T3163" i="22"/>
  <c r="S3164" i="22"/>
  <c r="T3164" i="22"/>
  <c r="S3165" i="22"/>
  <c r="T3165" i="22"/>
  <c r="S3166" i="22"/>
  <c r="T3166" i="22"/>
  <c r="S3167" i="22"/>
  <c r="T3167" i="22"/>
  <c r="S3168" i="22"/>
  <c r="T3168" i="22"/>
  <c r="S3169" i="22"/>
  <c r="T3169" i="22"/>
  <c r="A3155" i="22"/>
  <c r="B3155" i="22"/>
  <c r="E3154" i="22"/>
  <c r="H3204" i="22"/>
  <c r="H3157" i="22"/>
  <c r="H3158" i="22"/>
  <c r="H3159" i="22"/>
  <c r="H3160" i="22"/>
  <c r="H3161" i="22"/>
  <c r="H3162" i="22"/>
  <c r="H3163" i="22"/>
  <c r="H3164" i="22"/>
  <c r="H3165" i="22"/>
  <c r="H3166" i="22"/>
  <c r="H3167" i="22"/>
  <c r="H3168" i="22"/>
  <c r="H3169" i="22"/>
  <c r="H3170" i="22"/>
  <c r="H3171" i="22"/>
  <c r="H3172" i="22"/>
  <c r="H3173" i="22"/>
  <c r="H3174" i="22"/>
  <c r="H3175" i="22"/>
  <c r="H3176" i="22"/>
  <c r="H3177" i="22"/>
  <c r="H3178" i="22"/>
  <c r="H3179" i="22"/>
  <c r="H3180" i="22"/>
  <c r="H3181" i="22"/>
  <c r="H3182" i="22"/>
  <c r="BX61" i="22" s="1"/>
  <c r="H3183" i="22"/>
  <c r="BY61" i="22" s="1"/>
  <c r="H3184" i="22"/>
  <c r="BZ61" i="22" s="1"/>
  <c r="H3185" i="22"/>
  <c r="CA61" i="22" s="1"/>
  <c r="H3186" i="22"/>
  <c r="CB61" i="22" s="1"/>
  <c r="H3187" i="22"/>
  <c r="CC61" i="22" s="1"/>
  <c r="H3188" i="22"/>
  <c r="CD61" i="22" s="1"/>
  <c r="H3189" i="22"/>
  <c r="CE61" i="22" s="1"/>
  <c r="H3190" i="22"/>
  <c r="CF61" i="22" s="1"/>
  <c r="H3191" i="22"/>
  <c r="CG61" i="22" s="1"/>
  <c r="H3192" i="22"/>
  <c r="CH61" i="22" s="1"/>
  <c r="H3193" i="22"/>
  <c r="H3194" i="22"/>
  <c r="H3195" i="22"/>
  <c r="H3196" i="22"/>
  <c r="H3197" i="22"/>
  <c r="H3198" i="22"/>
  <c r="H3199" i="22"/>
  <c r="H3200" i="22"/>
  <c r="H3201" i="22"/>
  <c r="H3202" i="22"/>
  <c r="H3203" i="22"/>
  <c r="A61" i="22"/>
  <c r="K3157" i="22"/>
  <c r="L3157" i="22"/>
  <c r="L3158" i="22"/>
  <c r="E3103" i="22"/>
  <c r="C3103" i="22"/>
  <c r="K3103" i="22" s="1"/>
  <c r="B3104" i="22"/>
  <c r="L3104" i="22" s="1"/>
  <c r="F3103" i="22"/>
  <c r="G3103" i="22"/>
  <c r="CI60" i="22"/>
  <c r="S3117" i="22"/>
  <c r="S3116" i="22"/>
  <c r="T3115" i="22"/>
  <c r="S3113" i="22"/>
  <c r="T3112" i="22"/>
  <c r="S3109" i="22"/>
  <c r="S3108" i="22"/>
  <c r="S3106" i="22"/>
  <c r="S3103" i="22"/>
  <c r="T3145" i="22"/>
  <c r="T3147" i="22"/>
  <c r="S3144" i="22"/>
  <c r="S3150" i="22"/>
  <c r="T3149" i="22"/>
  <c r="S3149" i="22"/>
  <c r="S3146" i="22"/>
  <c r="T3143" i="22"/>
  <c r="S3143" i="22"/>
  <c r="T3141" i="22"/>
  <c r="T3140" i="22"/>
  <c r="S3134" i="22"/>
  <c r="S3133" i="22"/>
  <c r="T3131" i="22"/>
  <c r="S3130" i="22"/>
  <c r="S3129" i="22"/>
  <c r="T3128" i="22"/>
  <c r="T3127" i="22"/>
  <c r="T3126" i="22"/>
  <c r="S3125" i="22"/>
  <c r="T3121" i="22"/>
  <c r="S3119" i="22"/>
  <c r="T3118" i="22"/>
  <c r="T3117" i="22"/>
  <c r="T3116" i="22"/>
  <c r="T3113" i="22"/>
  <c r="T3106" i="22"/>
  <c r="T3105" i="22"/>
  <c r="S3104" i="22"/>
  <c r="S3141" i="22"/>
  <c r="T3139" i="22"/>
  <c r="T3138" i="22"/>
  <c r="T3135" i="22"/>
  <c r="S3115" i="22"/>
  <c r="T3114" i="22"/>
  <c r="S3114" i="22"/>
  <c r="T3109" i="22"/>
  <c r="T3108" i="22"/>
  <c r="T3107" i="22"/>
  <c r="S3107" i="22"/>
  <c r="T3150" i="22"/>
  <c r="T3148" i="22"/>
  <c r="S3148" i="22"/>
  <c r="S3147" i="22"/>
  <c r="T3146" i="22"/>
  <c r="S3145" i="22"/>
  <c r="T3142" i="22"/>
  <c r="S3142" i="22"/>
  <c r="S3140" i="22"/>
  <c r="S3137" i="22"/>
  <c r="S3136" i="22"/>
  <c r="S3135" i="22"/>
  <c r="T3134" i="22"/>
  <c r="T3133" i="22"/>
  <c r="T3132" i="22"/>
  <c r="S3131" i="22"/>
  <c r="T3130" i="22"/>
  <c r="T3129" i="22"/>
  <c r="S3128" i="22"/>
  <c r="S3127" i="22"/>
  <c r="T3125" i="22"/>
  <c r="T3124" i="22"/>
  <c r="S3124" i="22"/>
  <c r="T3123" i="22"/>
  <c r="S3123" i="22"/>
  <c r="T3122" i="22"/>
  <c r="S3122" i="22"/>
  <c r="S3120" i="22"/>
  <c r="T3119" i="22"/>
  <c r="S3112" i="22"/>
  <c r="T3111" i="22"/>
  <c r="S3111" i="22"/>
  <c r="S3110" i="22"/>
  <c r="S3105" i="22"/>
  <c r="T3104" i="22"/>
  <c r="T3103" i="22"/>
  <c r="T3110" i="22"/>
  <c r="AK60" i="22"/>
  <c r="AL60" i="22"/>
  <c r="S3118" i="22"/>
  <c r="T3144" i="22"/>
  <c r="S3139" i="22"/>
  <c r="S3138" i="22"/>
  <c r="T3137" i="22"/>
  <c r="T3136" i="22"/>
  <c r="S3132" i="22"/>
  <c r="S3126" i="22"/>
  <c r="S3121" i="22"/>
  <c r="T3120" i="22"/>
  <c r="B3101" i="22"/>
  <c r="J3101" i="22" s="1"/>
  <c r="A3101" i="22"/>
  <c r="E3100" i="22"/>
  <c r="H3111" i="22"/>
  <c r="H3115" i="22"/>
  <c r="H3139" i="22"/>
  <c r="H3142" i="22"/>
  <c r="H3144" i="22"/>
  <c r="H3145" i="22"/>
  <c r="H3148" i="22"/>
  <c r="H3104" i="22"/>
  <c r="H3105" i="22"/>
  <c r="H3106" i="22"/>
  <c r="H3112" i="22"/>
  <c r="H3121" i="22"/>
  <c r="H3124" i="22"/>
  <c r="H3130" i="22"/>
  <c r="BZ60" i="22" s="1"/>
  <c r="H3135" i="22"/>
  <c r="CE60" i="22" s="1"/>
  <c r="H3136" i="22"/>
  <c r="CF60" i="22" s="1"/>
  <c r="H3143" i="22"/>
  <c r="H3146" i="22"/>
  <c r="H3149" i="22"/>
  <c r="H3107" i="22"/>
  <c r="H3108" i="22"/>
  <c r="H3110" i="22"/>
  <c r="H3120" i="22"/>
  <c r="H3122" i="22"/>
  <c r="H3123" i="22"/>
  <c r="H3125" i="22"/>
  <c r="H3126" i="22"/>
  <c r="H3127" i="22"/>
  <c r="H3128" i="22"/>
  <c r="BX60" i="22" s="1"/>
  <c r="H3131" i="22"/>
  <c r="CA60" i="22" s="1"/>
  <c r="H3132" i="22"/>
  <c r="CB60" i="22" s="1"/>
  <c r="H3133" i="22"/>
  <c r="CC60" i="22" s="1"/>
  <c r="H3134" i="22"/>
  <c r="CD60" i="22" s="1"/>
  <c r="H3147" i="22"/>
  <c r="H3150" i="22"/>
  <c r="H3103" i="22"/>
  <c r="H3109" i="22"/>
  <c r="H3113" i="22"/>
  <c r="H3114" i="22"/>
  <c r="H3116" i="22"/>
  <c r="H3117" i="22"/>
  <c r="H3118" i="22"/>
  <c r="H3119" i="22"/>
  <c r="H3129" i="22"/>
  <c r="BY60" i="22" s="1"/>
  <c r="H3137" i="22"/>
  <c r="CG60" i="22" s="1"/>
  <c r="H3138" i="22"/>
  <c r="CH60" i="22" s="1"/>
  <c r="H3140" i="22"/>
  <c r="H3141" i="22"/>
  <c r="L3103" i="22"/>
  <c r="A60" i="22"/>
  <c r="C3049" i="22"/>
  <c r="E3049" i="22"/>
  <c r="G3049" i="22"/>
  <c r="B3050" i="22"/>
  <c r="CI59" i="22"/>
  <c r="T3062" i="22"/>
  <c r="S3061" i="22"/>
  <c r="T3059" i="22"/>
  <c r="T3058" i="22"/>
  <c r="S3058" i="22"/>
  <c r="S3055" i="22"/>
  <c r="S3054" i="22"/>
  <c r="T3052" i="22"/>
  <c r="S3050" i="22"/>
  <c r="T3095" i="22"/>
  <c r="T3094" i="22"/>
  <c r="S3094" i="22"/>
  <c r="T3091" i="22"/>
  <c r="S3091" i="22"/>
  <c r="S3089" i="22"/>
  <c r="S3086" i="22"/>
  <c r="S3085" i="22"/>
  <c r="T3083" i="22"/>
  <c r="T3080" i="22"/>
  <c r="S3080" i="22"/>
  <c r="T3069" i="22"/>
  <c r="S3069" i="22"/>
  <c r="S3065" i="22"/>
  <c r="S3064" i="22"/>
  <c r="S3060" i="22"/>
  <c r="T3053" i="22"/>
  <c r="S3052" i="22"/>
  <c r="T3051" i="22"/>
  <c r="S3049" i="22"/>
  <c r="T3054" i="22"/>
  <c r="T3055" i="22"/>
  <c r="S3057" i="22"/>
  <c r="T3057" i="22"/>
  <c r="T3060" i="22"/>
  <c r="T3061" i="22"/>
  <c r="T3063" i="22"/>
  <c r="S3066" i="22"/>
  <c r="S3067" i="22"/>
  <c r="S3070" i="22"/>
  <c r="S3071" i="22"/>
  <c r="T3072" i="22"/>
  <c r="S3073" i="22"/>
  <c r="S3075" i="22"/>
  <c r="T3075" i="22"/>
  <c r="S3078" i="22"/>
  <c r="S3083" i="22"/>
  <c r="T3086" i="22"/>
  <c r="S3088" i="22"/>
  <c r="T3088" i="22"/>
  <c r="T3089" i="22"/>
  <c r="T3092" i="22"/>
  <c r="S3093" i="22"/>
  <c r="T3093" i="22"/>
  <c r="S3096" i="22"/>
  <c r="AL59" i="22"/>
  <c r="AK59" i="22"/>
  <c r="S3092" i="22"/>
  <c r="T3087" i="22"/>
  <c r="T3084" i="22"/>
  <c r="T3082" i="22"/>
  <c r="S3082" i="22"/>
  <c r="T3081" i="22"/>
  <c r="S3081" i="22"/>
  <c r="S3079" i="22"/>
  <c r="T3078" i="22"/>
  <c r="T3076" i="22"/>
  <c r="S3076" i="22"/>
  <c r="T3074" i="22"/>
  <c r="S3074" i="22"/>
  <c r="T3070" i="22"/>
  <c r="T3068" i="22"/>
  <c r="S3068" i="22"/>
  <c r="T3067" i="22"/>
  <c r="T3065" i="22"/>
  <c r="T3064" i="22"/>
  <c r="S3062" i="22"/>
  <c r="S3059" i="22"/>
  <c r="T3056" i="22"/>
  <c r="S3056" i="22"/>
  <c r="S3053" i="22"/>
  <c r="S3051" i="22"/>
  <c r="T3050" i="22"/>
  <c r="T3049" i="22"/>
  <c r="T3096" i="22"/>
  <c r="S3095" i="22"/>
  <c r="T3090" i="22"/>
  <c r="S3090" i="22"/>
  <c r="S3087" i="22"/>
  <c r="T3085" i="22"/>
  <c r="S3084" i="22"/>
  <c r="T3079" i="22"/>
  <c r="T3077" i="22"/>
  <c r="S3077" i="22"/>
  <c r="T3073" i="22"/>
  <c r="S3072" i="22"/>
  <c r="T3071" i="22"/>
  <c r="T3066" i="22"/>
  <c r="S3063" i="22"/>
  <c r="A3047" i="22"/>
  <c r="B3047" i="22"/>
  <c r="J3047" i="22" s="1"/>
  <c r="E3046" i="22"/>
  <c r="H3049" i="22"/>
  <c r="H3051" i="22"/>
  <c r="H3052" i="22"/>
  <c r="H3054" i="22"/>
  <c r="H3063" i="22"/>
  <c r="H3065" i="22"/>
  <c r="H3066" i="22"/>
  <c r="H3068" i="22"/>
  <c r="H3077" i="22"/>
  <c r="H3079" i="22"/>
  <c r="H3082" i="22"/>
  <c r="H3083" i="22"/>
  <c r="H3085" i="22"/>
  <c r="H3050" i="22"/>
  <c r="H3056" i="22"/>
  <c r="H3058" i="22"/>
  <c r="H3059" i="22"/>
  <c r="H3061" i="22"/>
  <c r="H3074" i="22"/>
  <c r="H3075" i="22"/>
  <c r="H3084" i="22"/>
  <c r="H3089" i="22"/>
  <c r="H3092" i="22"/>
  <c r="H3094" i="22"/>
  <c r="H3095" i="22"/>
  <c r="H3057" i="22"/>
  <c r="H3070" i="22"/>
  <c r="H3071" i="22"/>
  <c r="H3076" i="22"/>
  <c r="H3081" i="22"/>
  <c r="H3086" i="22"/>
  <c r="H3087" i="22"/>
  <c r="H3088" i="22"/>
  <c r="H3090" i="22"/>
  <c r="H3093" i="22"/>
  <c r="H3096" i="22"/>
  <c r="H3053" i="22"/>
  <c r="H3055" i="22"/>
  <c r="H3060" i="22"/>
  <c r="H3062" i="22"/>
  <c r="H3064" i="22"/>
  <c r="H3067" i="22"/>
  <c r="H3069" i="22"/>
  <c r="H3072" i="22"/>
  <c r="H3073" i="22"/>
  <c r="H3078" i="22"/>
  <c r="H3080" i="22"/>
  <c r="H3091" i="22"/>
  <c r="L3049" i="22"/>
  <c r="A59" i="22"/>
  <c r="B2996" i="22"/>
  <c r="G2995" i="22"/>
  <c r="C2995" i="22"/>
  <c r="E2995" i="22"/>
  <c r="F2995" i="22"/>
  <c r="CI58" i="22"/>
  <c r="S3004" i="22"/>
  <c r="T3013" i="22"/>
  <c r="T3014" i="22"/>
  <c r="S3024" i="22"/>
  <c r="S3015" i="22"/>
  <c r="T3015" i="22"/>
  <c r="S3030" i="22"/>
  <c r="T3021" i="22"/>
  <c r="T3017" i="22"/>
  <c r="T3041" i="22"/>
  <c r="S3029" i="22"/>
  <c r="T3023" i="22"/>
  <c r="S3001" i="22"/>
  <c r="T2998" i="22"/>
  <c r="S2995" i="22"/>
  <c r="T3020" i="22"/>
  <c r="T3018" i="22"/>
  <c r="S3018" i="22"/>
  <c r="S3017" i="22"/>
  <c r="T3016" i="22"/>
  <c r="S3012" i="22"/>
  <c r="T3008" i="22"/>
  <c r="T3007" i="22"/>
  <c r="S3007" i="22"/>
  <c r="T3004" i="22"/>
  <c r="T3002" i="22"/>
  <c r="S3002" i="22"/>
  <c r="S3000" i="22"/>
  <c r="T2999" i="22"/>
  <c r="S2997" i="22"/>
  <c r="T2996" i="22"/>
  <c r="T3006" i="22"/>
  <c r="S2999" i="22"/>
  <c r="T3000" i="22"/>
  <c r="T3003" i="22"/>
  <c r="S3005" i="22"/>
  <c r="S3006" i="22"/>
  <c r="T3009" i="22"/>
  <c r="S3010" i="22"/>
  <c r="S3011" i="22"/>
  <c r="S3013" i="22"/>
  <c r="S3016" i="22"/>
  <c r="S3019" i="22"/>
  <c r="S3021" i="22"/>
  <c r="S3022" i="22"/>
  <c r="T3022" i="22"/>
  <c r="S3023" i="22"/>
  <c r="T3024" i="22"/>
  <c r="S3025" i="22"/>
  <c r="T3025" i="22"/>
  <c r="S3027" i="22"/>
  <c r="T3027" i="22"/>
  <c r="T3030" i="22"/>
  <c r="S3033" i="22"/>
  <c r="T3034" i="22"/>
  <c r="S3035" i="22"/>
  <c r="S3036" i="22"/>
  <c r="T3036" i="22"/>
  <c r="S3038" i="22"/>
  <c r="T3038" i="22"/>
  <c r="S3040" i="22"/>
  <c r="S3042" i="22"/>
  <c r="T3042" i="22"/>
  <c r="T3019" i="22"/>
  <c r="S3041" i="22"/>
  <c r="T3040" i="22"/>
  <c r="S3014" i="22"/>
  <c r="T3010" i="22"/>
  <c r="S3034" i="22"/>
  <c r="T3033" i="22"/>
  <c r="S3032" i="22"/>
  <c r="S3009" i="22"/>
  <c r="T3031" i="22"/>
  <c r="S3031" i="22"/>
  <c r="T3029" i="22"/>
  <c r="S3037" i="22"/>
  <c r="AL58" i="22"/>
  <c r="T3005" i="22"/>
  <c r="S3020" i="22"/>
  <c r="T3001" i="22"/>
  <c r="T3039" i="22"/>
  <c r="S3039" i="22"/>
  <c r="T3037" i="22"/>
  <c r="T3035" i="22"/>
  <c r="T3032" i="22"/>
  <c r="T3028" i="22"/>
  <c r="T2995" i="22"/>
  <c r="S3028" i="22"/>
  <c r="S2996" i="22"/>
  <c r="T2997" i="22"/>
  <c r="S2998" i="22"/>
  <c r="S3003" i="22"/>
  <c r="T3026" i="22"/>
  <c r="S3008" i="22"/>
  <c r="S3026" i="22"/>
  <c r="T3011" i="22"/>
  <c r="T3012" i="22"/>
  <c r="AK58" i="22"/>
  <c r="A2993" i="22"/>
  <c r="B2993" i="22"/>
  <c r="E2992" i="22"/>
  <c r="H2995" i="22"/>
  <c r="H2996" i="22"/>
  <c r="H2997" i="22"/>
  <c r="H3007" i="22"/>
  <c r="H3009" i="22"/>
  <c r="H3016" i="22"/>
  <c r="H3018" i="22"/>
  <c r="H2999" i="22"/>
  <c r="H3002" i="22"/>
  <c r="H3003" i="22"/>
  <c r="H3005" i="22"/>
  <c r="H3010" i="22"/>
  <c r="H3015" i="22"/>
  <c r="H3020" i="22"/>
  <c r="BX58" i="22" s="1"/>
  <c r="H3021" i="22"/>
  <c r="BY58" i="22" s="1"/>
  <c r="H3022" i="22"/>
  <c r="BZ58" i="22" s="1"/>
  <c r="H3025" i="22"/>
  <c r="CC58" i="22" s="1"/>
  <c r="H3026" i="22"/>
  <c r="CD58" i="22" s="1"/>
  <c r="H3027" i="22"/>
  <c r="CE58" i="22" s="1"/>
  <c r="H3028" i="22"/>
  <c r="CF58" i="22" s="1"/>
  <c r="H3029" i="22"/>
  <c r="CG58" i="22" s="1"/>
  <c r="H3030" i="22"/>
  <c r="CH58" i="22" s="1"/>
  <c r="H3031" i="22"/>
  <c r="H3032" i="22"/>
  <c r="H3033" i="22"/>
  <c r="H3035" i="22"/>
  <c r="H3037" i="22"/>
  <c r="H3038" i="22"/>
  <c r="H3041" i="22"/>
  <c r="H3042" i="22"/>
  <c r="H2998" i="22"/>
  <c r="H3008" i="22"/>
  <c r="H3017" i="22"/>
  <c r="H3019" i="22"/>
  <c r="H3024" i="22"/>
  <c r="CB58" i="22" s="1"/>
  <c r="H3034" i="22"/>
  <c r="H3036" i="22"/>
  <c r="H3040" i="22"/>
  <c r="L2996" i="22"/>
  <c r="L2995" i="22"/>
  <c r="K2995" i="22"/>
  <c r="A58" i="22"/>
  <c r="E2941" i="22"/>
  <c r="C2941" i="22"/>
  <c r="F2941" i="22"/>
  <c r="G2941" i="22"/>
  <c r="B2942" i="22"/>
  <c r="CI57" i="22"/>
  <c r="S2963" i="22"/>
  <c r="T2961" i="22"/>
  <c r="S2961" i="22"/>
  <c r="T2959" i="22"/>
  <c r="T2958" i="22"/>
  <c r="S2955" i="22"/>
  <c r="T2949" i="22"/>
  <c r="S2974" i="22"/>
  <c r="S2975" i="22"/>
  <c r="T2975" i="22"/>
  <c r="S2980" i="22"/>
  <c r="S2983" i="22"/>
  <c r="T2983" i="22"/>
  <c r="S2984" i="22"/>
  <c r="T2947" i="22"/>
  <c r="S2947" i="22"/>
  <c r="T2988" i="22"/>
  <c r="S2988" i="22"/>
  <c r="S2946" i="22"/>
  <c r="T2987" i="22"/>
  <c r="S2950" i="22"/>
  <c r="S2949" i="22"/>
  <c r="S2987" i="22"/>
  <c r="T2950" i="22"/>
  <c r="S2973" i="22"/>
  <c r="T2986" i="22"/>
  <c r="S2944" i="22"/>
  <c r="T2951" i="22"/>
  <c r="S2952" i="22"/>
  <c r="S2970" i="22"/>
  <c r="S2953" i="22"/>
  <c r="T2943" i="22"/>
  <c r="S2943" i="22"/>
  <c r="T2982" i="22"/>
  <c r="S2982" i="22"/>
  <c r="T2948" i="22"/>
  <c r="T2955" i="22"/>
  <c r="S2957" i="22"/>
  <c r="T2957" i="22"/>
  <c r="AL57" i="22"/>
  <c r="S2981" i="22"/>
  <c r="AK57" i="22"/>
  <c r="S2958" i="22"/>
  <c r="T2960" i="22"/>
  <c r="T2942" i="22"/>
  <c r="S2962" i="22"/>
  <c r="T2980" i="22"/>
  <c r="T2941" i="22"/>
  <c r="S2942" i="22"/>
  <c r="T2981" i="22"/>
  <c r="T2979" i="22"/>
  <c r="S2978" i="22"/>
  <c r="S2969" i="22"/>
  <c r="T2967" i="22"/>
  <c r="T2970" i="22"/>
  <c r="T2978" i="22"/>
  <c r="T2968" i="22"/>
  <c r="S2971" i="22"/>
  <c r="S2967" i="22"/>
  <c r="T2971" i="22"/>
  <c r="S2966" i="22"/>
  <c r="T2965" i="22"/>
  <c r="S2972" i="22"/>
  <c r="T2972" i="22"/>
  <c r="T2962" i="22"/>
  <c r="S2960" i="22"/>
  <c r="T2973" i="22"/>
  <c r="S2977" i="22"/>
  <c r="S2959" i="22"/>
  <c r="S2986" i="22"/>
  <c r="T2985" i="22"/>
  <c r="S2985" i="22"/>
  <c r="T2956" i="22"/>
  <c r="S2956" i="22"/>
  <c r="T2984" i="22"/>
  <c r="S2954" i="22"/>
  <c r="T2952" i="22"/>
  <c r="S2979" i="22"/>
  <c r="S2951" i="22"/>
  <c r="T2963" i="22"/>
  <c r="T2976" i="22"/>
  <c r="S2976" i="22"/>
  <c r="S2941" i="22"/>
  <c r="T2944" i="22"/>
  <c r="S2945" i="22"/>
  <c r="T2974" i="22"/>
  <c r="T2945" i="22"/>
  <c r="T2946" i="22"/>
  <c r="T2977" i="22"/>
  <c r="T2969" i="22"/>
  <c r="S2948" i="22"/>
  <c r="T2953" i="22"/>
  <c r="T2966" i="22"/>
  <c r="T2954" i="22"/>
  <c r="S2965" i="22"/>
  <c r="T2964" i="22"/>
  <c r="S2964" i="22"/>
  <c r="S2968" i="22"/>
  <c r="A2939" i="22"/>
  <c r="B2939" i="22"/>
  <c r="J2939" i="22" s="1"/>
  <c r="E2938" i="22"/>
  <c r="H2944" i="22"/>
  <c r="H2963" i="22"/>
  <c r="H2964" i="22"/>
  <c r="H2966" i="22"/>
  <c r="BX57" i="22" s="1"/>
  <c r="H2968" i="22"/>
  <c r="BZ57" i="22" s="1"/>
  <c r="H2973" i="22"/>
  <c r="CE57" i="22" s="1"/>
  <c r="H2979" i="22"/>
  <c r="H2981" i="22"/>
  <c r="H2984" i="22"/>
  <c r="H2946" i="22"/>
  <c r="H2949" i="22"/>
  <c r="H2954" i="22"/>
  <c r="H2955" i="22"/>
  <c r="H2962" i="22"/>
  <c r="H2967" i="22"/>
  <c r="BY57" i="22" s="1"/>
  <c r="H2970" i="22"/>
  <c r="CB57" i="22" s="1"/>
  <c r="H2971" i="22"/>
  <c r="CC57" i="22" s="1"/>
  <c r="H2975" i="22"/>
  <c r="CG57" i="22" s="1"/>
  <c r="H2978" i="22"/>
  <c r="H2980" i="22"/>
  <c r="H2985" i="22"/>
  <c r="H2986" i="22"/>
  <c r="L2942" i="22"/>
  <c r="L2941" i="22"/>
  <c r="A57" i="22"/>
  <c r="K2941" i="22"/>
  <c r="C2887" i="22"/>
  <c r="F2887" i="22" s="1"/>
  <c r="B2888" i="22"/>
  <c r="G2887" i="22"/>
  <c r="E2887" i="22"/>
  <c r="S2894" i="22"/>
  <c r="S2895" i="22"/>
  <c r="T2895" i="22"/>
  <c r="T2893" i="22"/>
  <c r="S2893" i="22"/>
  <c r="T2888" i="22"/>
  <c r="S2892" i="22"/>
  <c r="T2891" i="22"/>
  <c r="T2892" i="22"/>
  <c r="S2891" i="22"/>
  <c r="T2887" i="22"/>
  <c r="S2887" i="22"/>
  <c r="S2890" i="22"/>
  <c r="T2889" i="22"/>
  <c r="T2890" i="22"/>
  <c r="S2889" i="22"/>
  <c r="S2888" i="22"/>
  <c r="T2894" i="22"/>
  <c r="A2885" i="22"/>
  <c r="B2885" i="22"/>
  <c r="J2885" i="22" s="1"/>
  <c r="E2884" i="22"/>
  <c r="H2887" i="22"/>
  <c r="H2888" i="22"/>
  <c r="H2889" i="22"/>
  <c r="H2890" i="22"/>
  <c r="H2891" i="22"/>
  <c r="H2892" i="22"/>
  <c r="H2893" i="22"/>
  <c r="H2894" i="22"/>
  <c r="H2895" i="22"/>
  <c r="H2896" i="22"/>
  <c r="H2923" i="22"/>
  <c r="H2924" i="22"/>
  <c r="H2931" i="22"/>
  <c r="H2933" i="22"/>
  <c r="H2900" i="22"/>
  <c r="H2908" i="22"/>
  <c r="H2910" i="22"/>
  <c r="H2911" i="22"/>
  <c r="BW56" i="22" s="1"/>
  <c r="H2920" i="22"/>
  <c r="CF56" i="22" s="1"/>
  <c r="H2925" i="22"/>
  <c r="H2928" i="22"/>
  <c r="H2929" i="22"/>
  <c r="H2932" i="22"/>
  <c r="H2934" i="22"/>
  <c r="H2902" i="22"/>
  <c r="H2915" i="22"/>
  <c r="CA56" i="22" s="1"/>
  <c r="H2916" i="22"/>
  <c r="CB56" i="22" s="1"/>
  <c r="H2921" i="22"/>
  <c r="CG56" i="22" s="1"/>
  <c r="H2922" i="22"/>
  <c r="CH56" i="22" s="1"/>
  <c r="H2926" i="22"/>
  <c r="H2930" i="22"/>
  <c r="H2901" i="22"/>
  <c r="H2906" i="22"/>
  <c r="H2927" i="22"/>
  <c r="H2899" i="22"/>
  <c r="H2905" i="22"/>
  <c r="H2904" i="22"/>
  <c r="H2914" i="22"/>
  <c r="BZ56" i="22" s="1"/>
  <c r="H2917" i="22"/>
  <c r="CC56" i="22" s="1"/>
  <c r="H2898" i="22"/>
  <c r="H2907" i="22"/>
  <c r="H2912" i="22"/>
  <c r="BX56" i="22" s="1"/>
  <c r="H2913" i="22"/>
  <c r="BY56" i="22" s="1"/>
  <c r="H2919" i="22"/>
  <c r="CE56" i="22" s="1"/>
  <c r="H2897" i="22"/>
  <c r="H2909" i="22"/>
  <c r="H2903" i="22"/>
  <c r="H2918" i="22"/>
  <c r="CD56" i="22" s="1"/>
  <c r="B2834" i="22"/>
  <c r="E2833" i="22"/>
  <c r="C2833" i="22"/>
  <c r="F2833" i="22" s="1"/>
  <c r="G2833" i="22"/>
  <c r="CI55" i="22"/>
  <c r="T2852" i="22"/>
  <c r="S2852" i="22"/>
  <c r="T2851" i="22"/>
  <c r="S2851" i="22"/>
  <c r="T2850" i="22"/>
  <c r="S2850" i="22"/>
  <c r="T2849" i="22"/>
  <c r="S2849" i="22"/>
  <c r="T2848" i="22"/>
  <c r="S2848" i="22"/>
  <c r="T2847" i="22"/>
  <c r="S2847" i="22"/>
  <c r="T2846" i="22"/>
  <c r="S2846" i="22"/>
  <c r="T2845" i="22"/>
  <c r="S2845" i="22"/>
  <c r="T2844" i="22"/>
  <c r="S2844" i="22"/>
  <c r="T2843" i="22"/>
  <c r="S2843" i="22"/>
  <c r="T2842" i="22"/>
  <c r="S2842" i="22"/>
  <c r="T2841" i="22"/>
  <c r="S2841" i="22"/>
  <c r="T2840" i="22"/>
  <c r="S2840" i="22"/>
  <c r="T2839" i="22"/>
  <c r="S2839" i="22"/>
  <c r="T2838" i="22"/>
  <c r="S2838" i="22"/>
  <c r="T2837" i="22"/>
  <c r="S2837" i="22"/>
  <c r="T2836" i="22"/>
  <c r="S2836" i="22"/>
  <c r="T2835" i="22"/>
  <c r="S2835" i="22"/>
  <c r="T2834" i="22"/>
  <c r="S2834" i="22"/>
  <c r="AK55" i="22"/>
  <c r="AL55" i="22"/>
  <c r="T2833" i="22"/>
  <c r="S2833" i="22"/>
  <c r="T2880" i="22"/>
  <c r="S2880" i="22"/>
  <c r="T2879" i="22"/>
  <c r="S2879" i="22"/>
  <c r="T2878" i="22"/>
  <c r="S2878" i="22"/>
  <c r="T2877" i="22"/>
  <c r="S2877" i="22"/>
  <c r="T2876" i="22"/>
  <c r="S2876" i="22"/>
  <c r="T2875" i="22"/>
  <c r="S2875" i="22"/>
  <c r="T2874" i="22"/>
  <c r="S2874" i="22"/>
  <c r="T2873" i="22"/>
  <c r="S2873" i="22"/>
  <c r="T2872" i="22"/>
  <c r="S2872" i="22"/>
  <c r="T2871" i="22"/>
  <c r="S2871" i="22"/>
  <c r="T2870" i="22"/>
  <c r="S2870" i="22"/>
  <c r="T2869" i="22"/>
  <c r="S2869" i="22"/>
  <c r="T2868" i="22"/>
  <c r="S2868" i="22"/>
  <c r="T2867" i="22"/>
  <c r="S2867" i="22"/>
  <c r="T2866" i="22"/>
  <c r="S2866" i="22"/>
  <c r="T2865" i="22"/>
  <c r="S2865" i="22"/>
  <c r="T2864" i="22"/>
  <c r="S2864" i="22"/>
  <c r="T2863" i="22"/>
  <c r="S2863" i="22"/>
  <c r="T2862" i="22"/>
  <c r="S2862" i="22"/>
  <c r="T2861" i="22"/>
  <c r="S2861" i="22"/>
  <c r="T2860" i="22"/>
  <c r="S2860" i="22"/>
  <c r="T2859" i="22"/>
  <c r="S2859" i="22"/>
  <c r="T2858" i="22"/>
  <c r="S2858" i="22"/>
  <c r="T2857" i="22"/>
  <c r="S2857" i="22"/>
  <c r="T2856" i="22"/>
  <c r="S2856" i="22"/>
  <c r="T2855" i="22"/>
  <c r="S2855" i="22"/>
  <c r="T2854" i="22"/>
  <c r="S2854" i="22"/>
  <c r="T2853" i="22"/>
  <c r="S2853" i="22"/>
  <c r="B2831" i="22"/>
  <c r="A2831" i="22"/>
  <c r="E2830" i="22"/>
  <c r="H2833" i="22"/>
  <c r="H2834" i="22"/>
  <c r="H2835" i="22"/>
  <c r="H2836" i="22"/>
  <c r="H2837" i="22"/>
  <c r="H2838" i="22"/>
  <c r="H2839" i="22"/>
  <c r="H2840" i="22"/>
  <c r="H2841" i="22"/>
  <c r="H2842" i="22"/>
  <c r="H2843" i="22"/>
  <c r="H2844" i="22"/>
  <c r="H2845" i="22"/>
  <c r="H2846" i="22"/>
  <c r="H2847" i="22"/>
  <c r="H2848" i="22"/>
  <c r="H2849" i="22"/>
  <c r="H2850" i="22"/>
  <c r="H2851" i="22"/>
  <c r="H2852" i="22"/>
  <c r="H2853" i="22"/>
  <c r="H2854" i="22"/>
  <c r="H2855" i="22"/>
  <c r="H2856" i="22"/>
  <c r="H2857" i="22"/>
  <c r="H2858" i="22"/>
  <c r="BX55" i="22" s="1"/>
  <c r="H2859" i="22"/>
  <c r="BY55" i="22" s="1"/>
  <c r="H2860" i="22"/>
  <c r="BZ55" i="22" s="1"/>
  <c r="H2861" i="22"/>
  <c r="CA55" i="22" s="1"/>
  <c r="H2862" i="22"/>
  <c r="CB55" i="22" s="1"/>
  <c r="H2863" i="22"/>
  <c r="CC55" i="22" s="1"/>
  <c r="H2864" i="22"/>
  <c r="CD55" i="22" s="1"/>
  <c r="H2865" i="22"/>
  <c r="CE55" i="22" s="1"/>
  <c r="H2866" i="22"/>
  <c r="CF55" i="22" s="1"/>
  <c r="H2867" i="22"/>
  <c r="CG55" i="22" s="1"/>
  <c r="H2868" i="22"/>
  <c r="CH55" i="22" s="1"/>
  <c r="H2869" i="22"/>
  <c r="H2870" i="22"/>
  <c r="H2871" i="22"/>
  <c r="H2872" i="22"/>
  <c r="H2873" i="22"/>
  <c r="H2874" i="22"/>
  <c r="H2875" i="22"/>
  <c r="H2876" i="22"/>
  <c r="H2877" i="22"/>
  <c r="H2878" i="22"/>
  <c r="H2879" i="22"/>
  <c r="H2880" i="22"/>
  <c r="B2780" i="22"/>
  <c r="C2779" i="22"/>
  <c r="F2779" i="22" s="1"/>
  <c r="E2779" i="22"/>
  <c r="G2779" i="22"/>
  <c r="CI54" i="22"/>
  <c r="K54" i="22"/>
  <c r="L54" i="22"/>
  <c r="AI54" i="22" s="1"/>
  <c r="AK54" i="22"/>
  <c r="AL54" i="22"/>
  <c r="B2777" i="22"/>
  <c r="J2777" i="22" s="1"/>
  <c r="A2777" i="22"/>
  <c r="E2776" i="22"/>
  <c r="H2779" i="22" s="1"/>
  <c r="H2780" i="22"/>
  <c r="H2781" i="22"/>
  <c r="H2782" i="22"/>
  <c r="H2783" i="22"/>
  <c r="H2784" i="22"/>
  <c r="H2785" i="22"/>
  <c r="H2786" i="22"/>
  <c r="H2787" i="22"/>
  <c r="H2788" i="22"/>
  <c r="H2789" i="22"/>
  <c r="H2790" i="22"/>
  <c r="H2791" i="22"/>
  <c r="H2792" i="22"/>
  <c r="H2793" i="22"/>
  <c r="H2794" i="22"/>
  <c r="H2795" i="22"/>
  <c r="H2796" i="22"/>
  <c r="H2797" i="22"/>
  <c r="H2798" i="22"/>
  <c r="H2799" i="22"/>
  <c r="H2800" i="22"/>
  <c r="H2801" i="22"/>
  <c r="H2802" i="22"/>
  <c r="H2803" i="22"/>
  <c r="H2804" i="22"/>
  <c r="BX54" i="22" s="1"/>
  <c r="H2805" i="22"/>
  <c r="BY54" i="22" s="1"/>
  <c r="H2806" i="22"/>
  <c r="BZ54" i="22" s="1"/>
  <c r="H2807" i="22"/>
  <c r="CA54" i="22" s="1"/>
  <c r="H2808" i="22"/>
  <c r="CB54" i="22" s="1"/>
  <c r="H2809" i="22"/>
  <c r="CC54" i="22" s="1"/>
  <c r="H2810" i="22"/>
  <c r="CD54" i="22" s="1"/>
  <c r="H2811" i="22"/>
  <c r="CE54" i="22" s="1"/>
  <c r="H2812" i="22"/>
  <c r="CF54" i="22" s="1"/>
  <c r="H2813" i="22"/>
  <c r="CG54" i="22" s="1"/>
  <c r="H2814" i="22"/>
  <c r="CH54" i="22" s="1"/>
  <c r="H2815" i="22"/>
  <c r="H2816" i="22"/>
  <c r="H2817" i="22"/>
  <c r="H2818" i="22"/>
  <c r="H2819" i="22"/>
  <c r="H2820" i="22"/>
  <c r="H2821" i="22"/>
  <c r="H2822" i="22"/>
  <c r="H2823" i="22"/>
  <c r="H2824" i="22"/>
  <c r="H2825" i="22"/>
  <c r="H2826" i="22"/>
  <c r="E2725" i="22"/>
  <c r="G2725" i="22"/>
  <c r="B2726" i="22"/>
  <c r="C2725" i="22"/>
  <c r="F2725" i="22" s="1"/>
  <c r="CI53" i="22"/>
  <c r="S2731" i="22"/>
  <c r="T2731" i="22"/>
  <c r="S2732" i="22"/>
  <c r="T2732" i="22"/>
  <c r="S2733" i="22"/>
  <c r="T2733" i="22"/>
  <c r="S2734" i="22"/>
  <c r="T2734" i="22"/>
  <c r="S2735" i="22"/>
  <c r="T2735" i="22"/>
  <c r="S2736" i="22"/>
  <c r="T2736" i="22"/>
  <c r="S2737" i="22"/>
  <c r="T2737" i="22"/>
  <c r="S2738" i="22"/>
  <c r="T2738" i="22"/>
  <c r="S2739" i="22"/>
  <c r="T2739" i="22"/>
  <c r="S2740" i="22"/>
  <c r="T2740" i="22"/>
  <c r="S2741" i="22"/>
  <c r="T2741" i="22"/>
  <c r="S2742" i="22"/>
  <c r="T2742" i="22"/>
  <c r="S2743" i="22"/>
  <c r="T2743" i="22"/>
  <c r="S2744" i="22"/>
  <c r="T2744" i="22"/>
  <c r="S2745" i="22"/>
  <c r="T2745" i="22"/>
  <c r="S2746" i="22"/>
  <c r="T2746" i="22"/>
  <c r="S2747" i="22"/>
  <c r="T2747" i="22"/>
  <c r="S2748" i="22"/>
  <c r="T2748" i="22"/>
  <c r="S2749" i="22"/>
  <c r="T2749" i="22"/>
  <c r="S2750" i="22"/>
  <c r="T2750" i="22"/>
  <c r="S2751" i="22"/>
  <c r="T2751" i="22"/>
  <c r="S2752" i="22"/>
  <c r="T2752" i="22"/>
  <c r="S2753" i="22"/>
  <c r="T2753" i="22"/>
  <c r="S2754" i="22"/>
  <c r="T2754" i="22"/>
  <c r="S2755" i="22"/>
  <c r="T2755" i="22"/>
  <c r="S2756" i="22"/>
  <c r="T2757" i="22"/>
  <c r="S2758" i="22"/>
  <c r="T2758" i="22"/>
  <c r="S2759" i="22"/>
  <c r="T2759" i="22"/>
  <c r="S2760" i="22"/>
  <c r="T2760" i="22"/>
  <c r="S2761" i="22"/>
  <c r="T2761" i="22"/>
  <c r="S2762" i="22"/>
  <c r="T2762" i="22"/>
  <c r="S2763" i="22"/>
  <c r="T2763" i="22"/>
  <c r="S2764" i="22"/>
  <c r="T2764" i="22"/>
  <c r="S2765" i="22"/>
  <c r="T2765" i="22"/>
  <c r="S2766" i="22"/>
  <c r="T2766" i="22"/>
  <c r="S2767" i="22"/>
  <c r="T2767" i="22"/>
  <c r="S2768" i="22"/>
  <c r="T2768" i="22"/>
  <c r="S2769" i="22"/>
  <c r="T2769" i="22"/>
  <c r="S2770" i="22"/>
  <c r="T2770" i="22"/>
  <c r="S2771" i="22"/>
  <c r="S2757" i="22"/>
  <c r="S2772" i="22"/>
  <c r="T2772" i="22"/>
  <c r="AK53" i="22"/>
  <c r="AL53" i="22"/>
  <c r="T2756" i="22"/>
  <c r="S2725" i="22"/>
  <c r="T2725" i="22"/>
  <c r="S2726" i="22"/>
  <c r="T2726" i="22"/>
  <c r="S2727" i="22"/>
  <c r="T2727" i="22"/>
  <c r="S2728" i="22"/>
  <c r="T2728" i="22"/>
  <c r="S2729" i="22"/>
  <c r="T2729" i="22"/>
  <c r="S2730" i="22"/>
  <c r="T2730" i="22"/>
  <c r="T2771" i="22"/>
  <c r="B2723" i="22"/>
  <c r="A2723" i="22"/>
  <c r="E2722" i="22"/>
  <c r="H2725" i="22"/>
  <c r="H2726" i="22"/>
  <c r="H2727" i="22"/>
  <c r="H2728" i="22"/>
  <c r="H2729" i="22"/>
  <c r="H2730" i="22"/>
  <c r="H2731" i="22"/>
  <c r="H2732" i="22"/>
  <c r="H2733" i="22"/>
  <c r="H2734" i="22"/>
  <c r="H2735" i="22"/>
  <c r="H2736" i="22"/>
  <c r="H2737" i="22"/>
  <c r="H2738" i="22"/>
  <c r="H2739" i="22"/>
  <c r="H2740" i="22"/>
  <c r="H2741" i="22"/>
  <c r="H2742" i="22"/>
  <c r="H2743" i="22"/>
  <c r="H2744" i="22"/>
  <c r="H2745" i="22"/>
  <c r="H2746" i="22"/>
  <c r="H2747" i="22"/>
  <c r="H2748" i="22"/>
  <c r="H2749" i="22"/>
  <c r="H2750" i="22"/>
  <c r="BX53" i="22" s="1"/>
  <c r="H2751" i="22"/>
  <c r="BY53" i="22" s="1"/>
  <c r="H2752" i="22"/>
  <c r="BZ53" i="22" s="1"/>
  <c r="H2753" i="22"/>
  <c r="CA53" i="22" s="1"/>
  <c r="H2754" i="22"/>
  <c r="CB53" i="22" s="1"/>
  <c r="H2755" i="22"/>
  <c r="CC53" i="22" s="1"/>
  <c r="H2756" i="22"/>
  <c r="CD53" i="22" s="1"/>
  <c r="H2757" i="22"/>
  <c r="CE53" i="22" s="1"/>
  <c r="H2758" i="22"/>
  <c r="CF53" i="22" s="1"/>
  <c r="H2759" i="22"/>
  <c r="CG53" i="22" s="1"/>
  <c r="H2760" i="22"/>
  <c r="CH53" i="22" s="1"/>
  <c r="H2761" i="22"/>
  <c r="H2762" i="22"/>
  <c r="H2763" i="22"/>
  <c r="H2764" i="22"/>
  <c r="H2765" i="22"/>
  <c r="H2766" i="22"/>
  <c r="H2767" i="22"/>
  <c r="H2768" i="22"/>
  <c r="H2769" i="22"/>
  <c r="H2770" i="22"/>
  <c r="H2771" i="22"/>
  <c r="H2772" i="22"/>
  <c r="E2671" i="22"/>
  <c r="B2672" i="22"/>
  <c r="G2671" i="22"/>
  <c r="C2671" i="22"/>
  <c r="CI52" i="22"/>
  <c r="T2712" i="22"/>
  <c r="S2712" i="22"/>
  <c r="T2711" i="22"/>
  <c r="S2711" i="22"/>
  <c r="T2710" i="22"/>
  <c r="S2710" i="22"/>
  <c r="T2709" i="22"/>
  <c r="S2709" i="22"/>
  <c r="T2708" i="22"/>
  <c r="S2708" i="22"/>
  <c r="T2707" i="22"/>
  <c r="S2707" i="22"/>
  <c r="T2706" i="22"/>
  <c r="S2706" i="22"/>
  <c r="T2705" i="22"/>
  <c r="S2705" i="22"/>
  <c r="T2704" i="22"/>
  <c r="S2704" i="22"/>
  <c r="T2703" i="22"/>
  <c r="S2703" i="22"/>
  <c r="T2702" i="22"/>
  <c r="S2702" i="22"/>
  <c r="T2701" i="22"/>
  <c r="S2701" i="22"/>
  <c r="T2700" i="22"/>
  <c r="S2700" i="22"/>
  <c r="T2699" i="22"/>
  <c r="S2699" i="22"/>
  <c r="T2698" i="22"/>
  <c r="S2698" i="22"/>
  <c r="T2697" i="22"/>
  <c r="S2697" i="22"/>
  <c r="AK52" i="22"/>
  <c r="AL52" i="22"/>
  <c r="T2696" i="22"/>
  <c r="S2696" i="22"/>
  <c r="T2695" i="22"/>
  <c r="S2695" i="22"/>
  <c r="T2694" i="22"/>
  <c r="S2694" i="22"/>
  <c r="S2693" i="22"/>
  <c r="T2692" i="22"/>
  <c r="S2692" i="22"/>
  <c r="T2691" i="22"/>
  <c r="S2691" i="22"/>
  <c r="T2690" i="22"/>
  <c r="S2690" i="22"/>
  <c r="T2689" i="22"/>
  <c r="S2689" i="22"/>
  <c r="T2688" i="22"/>
  <c r="S2688" i="22"/>
  <c r="T2687" i="22"/>
  <c r="S2687" i="22"/>
  <c r="T2686" i="22"/>
  <c r="S2686" i="22"/>
  <c r="T2685" i="22"/>
  <c r="S2685" i="22"/>
  <c r="T2684" i="22"/>
  <c r="S2684" i="22"/>
  <c r="T2683" i="22"/>
  <c r="S2683" i="22"/>
  <c r="T2682" i="22"/>
  <c r="S2682" i="22"/>
  <c r="T2681" i="22"/>
  <c r="S2681" i="22"/>
  <c r="T2680" i="22"/>
  <c r="S2680" i="22"/>
  <c r="T2679" i="22"/>
  <c r="S2679" i="22"/>
  <c r="T2678" i="22"/>
  <c r="S2678" i="22"/>
  <c r="T2677" i="22"/>
  <c r="S2677" i="22"/>
  <c r="T2676" i="22"/>
  <c r="S2676" i="22"/>
  <c r="T2675" i="22"/>
  <c r="S2675" i="22"/>
  <c r="T2674" i="22"/>
  <c r="S2674" i="22"/>
  <c r="T2673" i="22"/>
  <c r="S2673" i="22"/>
  <c r="T2672" i="22"/>
  <c r="S2672" i="22"/>
  <c r="T2671" i="22"/>
  <c r="S2671" i="22"/>
  <c r="S2714" i="22"/>
  <c r="T2718" i="22"/>
  <c r="S2718" i="22"/>
  <c r="T2717" i="22"/>
  <c r="S2717" i="22"/>
  <c r="T2693" i="22"/>
  <c r="T2716" i="22"/>
  <c r="S2716" i="22"/>
  <c r="T2715" i="22"/>
  <c r="S2715" i="22"/>
  <c r="T2714" i="22"/>
  <c r="T2713" i="22"/>
  <c r="S2713" i="22"/>
  <c r="B2669" i="22"/>
  <c r="A2669" i="22"/>
  <c r="E2668" i="22"/>
  <c r="H2671" i="22"/>
  <c r="H2672" i="22"/>
  <c r="H2673" i="22"/>
  <c r="H2674" i="22"/>
  <c r="H2675" i="22"/>
  <c r="H2676" i="22"/>
  <c r="H2677" i="22"/>
  <c r="H2678" i="22"/>
  <c r="H2679" i="22"/>
  <c r="H2680" i="22"/>
  <c r="H2681" i="22"/>
  <c r="H2682" i="22"/>
  <c r="H2683" i="22"/>
  <c r="H2684" i="22"/>
  <c r="H2685" i="22"/>
  <c r="H2686" i="22"/>
  <c r="H2687" i="22"/>
  <c r="H2688" i="22"/>
  <c r="H2689" i="22"/>
  <c r="H2690" i="22"/>
  <c r="H2691" i="22"/>
  <c r="H2692" i="22"/>
  <c r="H2693" i="22"/>
  <c r="H2694" i="22"/>
  <c r="H2695" i="22"/>
  <c r="H2696" i="22"/>
  <c r="BX52" i="22" s="1"/>
  <c r="H2697" i="22"/>
  <c r="BY52" i="22" s="1"/>
  <c r="H2698" i="22"/>
  <c r="BZ52" i="22" s="1"/>
  <c r="H2699" i="22"/>
  <c r="CA52" i="22" s="1"/>
  <c r="H2700" i="22"/>
  <c r="CB52" i="22" s="1"/>
  <c r="H2701" i="22"/>
  <c r="CC52" i="22" s="1"/>
  <c r="H2702" i="22"/>
  <c r="CD52" i="22" s="1"/>
  <c r="H2703" i="22"/>
  <c r="CE52" i="22" s="1"/>
  <c r="H2704" i="22"/>
  <c r="CF52" i="22" s="1"/>
  <c r="H2705" i="22"/>
  <c r="CG52" i="22" s="1"/>
  <c r="H2706" i="22"/>
  <c r="CH52" i="22" s="1"/>
  <c r="H2707" i="22"/>
  <c r="H2708" i="22"/>
  <c r="H2709" i="22"/>
  <c r="H2710" i="22"/>
  <c r="H2711" i="22"/>
  <c r="H2712" i="22"/>
  <c r="H2713" i="22"/>
  <c r="H2714" i="22"/>
  <c r="H2715" i="22"/>
  <c r="H2716" i="22"/>
  <c r="H2717" i="22"/>
  <c r="H2718" i="22"/>
  <c r="A52" i="22"/>
  <c r="L2671" i="22"/>
  <c r="B2618" i="22"/>
  <c r="G2617" i="22"/>
  <c r="E2617" i="22"/>
  <c r="C2617" i="22"/>
  <c r="F2617" i="22" s="1"/>
  <c r="CI51" i="22"/>
  <c r="T2642" i="22"/>
  <c r="T2664" i="22"/>
  <c r="S2664" i="22"/>
  <c r="T2663" i="22"/>
  <c r="S2663" i="22"/>
  <c r="S2643" i="22"/>
  <c r="T2643" i="22"/>
  <c r="T2662" i="22"/>
  <c r="S2662" i="22"/>
  <c r="S2644" i="22"/>
  <c r="T2661" i="22"/>
  <c r="S2661" i="22"/>
  <c r="T2644" i="22"/>
  <c r="T2660" i="22"/>
  <c r="S2660" i="22"/>
  <c r="S2645" i="22"/>
  <c r="T2645" i="22"/>
  <c r="T2659" i="22"/>
  <c r="S2659" i="22"/>
  <c r="S2646" i="22"/>
  <c r="T2658" i="22"/>
  <c r="S2658" i="22"/>
  <c r="T2646" i="22"/>
  <c r="S2647" i="22"/>
  <c r="T2647" i="22"/>
  <c r="AL51" i="22"/>
  <c r="AK51" i="22"/>
  <c r="S2648" i="22"/>
  <c r="T2648" i="22"/>
  <c r="S2649" i="22"/>
  <c r="T2649" i="22"/>
  <c r="S2650" i="22"/>
  <c r="T2650" i="22"/>
  <c r="S2651" i="22"/>
  <c r="T2651" i="22"/>
  <c r="S2652" i="22"/>
  <c r="T2652" i="22"/>
  <c r="S2653" i="22"/>
  <c r="T2653" i="22"/>
  <c r="S2654" i="22"/>
  <c r="T2654" i="22"/>
  <c r="S2655" i="22"/>
  <c r="T2655" i="22"/>
  <c r="S2656" i="22"/>
  <c r="T2656" i="22"/>
  <c r="S2657" i="22"/>
  <c r="T2657" i="22"/>
  <c r="S2626" i="22"/>
  <c r="T2626" i="22"/>
  <c r="S2627" i="22"/>
  <c r="T2627" i="22"/>
  <c r="S2628" i="22"/>
  <c r="T2628" i="22"/>
  <c r="S2629" i="22"/>
  <c r="T2629" i="22"/>
  <c r="T2624" i="22"/>
  <c r="S2624" i="22"/>
  <c r="T2623" i="22"/>
  <c r="S2623" i="22"/>
  <c r="T2622" i="22"/>
  <c r="S2622" i="22"/>
  <c r="T2621" i="22"/>
  <c r="T2620" i="22"/>
  <c r="S2620" i="22"/>
  <c r="T2619" i="22"/>
  <c r="S2619" i="22"/>
  <c r="T2618" i="22"/>
  <c r="S2618" i="22"/>
  <c r="T2617" i="22"/>
  <c r="S2617" i="22"/>
  <c r="S2625" i="22"/>
  <c r="T2625" i="22"/>
  <c r="S2630" i="22"/>
  <c r="T2630" i="22"/>
  <c r="S2621" i="22"/>
  <c r="S2631" i="22"/>
  <c r="T2631" i="22"/>
  <c r="S2632" i="22"/>
  <c r="T2632" i="22"/>
  <c r="S2633" i="22"/>
  <c r="T2633" i="22"/>
  <c r="S2634" i="22"/>
  <c r="T2634" i="22"/>
  <c r="S2635" i="22"/>
  <c r="T2635" i="22"/>
  <c r="S2636" i="22"/>
  <c r="T2636" i="22"/>
  <c r="S2637" i="22"/>
  <c r="T2637" i="22"/>
  <c r="S2638" i="22"/>
  <c r="T2638" i="22"/>
  <c r="S2639" i="22"/>
  <c r="T2639" i="22"/>
  <c r="S2640" i="22"/>
  <c r="T2640" i="22"/>
  <c r="S2641" i="22"/>
  <c r="T2641" i="22"/>
  <c r="S2642" i="22"/>
  <c r="A2615" i="22"/>
  <c r="B2615" i="22"/>
  <c r="E2614" i="22"/>
  <c r="H2617" i="22"/>
  <c r="H2618" i="22"/>
  <c r="H2619" i="22"/>
  <c r="H2620" i="22"/>
  <c r="H2621" i="22"/>
  <c r="H2622" i="22"/>
  <c r="H2623" i="22"/>
  <c r="H2624" i="22"/>
  <c r="H2625" i="22"/>
  <c r="H2626" i="22"/>
  <c r="H2627" i="22"/>
  <c r="H2628" i="22"/>
  <c r="H2629" i="22"/>
  <c r="H2630" i="22"/>
  <c r="H2631" i="22"/>
  <c r="H2632" i="22"/>
  <c r="H2633" i="22"/>
  <c r="H2634" i="22"/>
  <c r="H2635" i="22"/>
  <c r="H2636" i="22"/>
  <c r="H2637" i="22"/>
  <c r="H2638" i="22"/>
  <c r="H2639" i="22"/>
  <c r="H2640" i="22"/>
  <c r="H2641" i="22"/>
  <c r="H2642" i="22"/>
  <c r="H2643" i="22"/>
  <c r="H2644" i="22"/>
  <c r="H2645" i="22"/>
  <c r="H2646" i="22"/>
  <c r="H2647" i="22"/>
  <c r="H2648" i="22"/>
  <c r="H2649" i="22"/>
  <c r="H2650" i="22"/>
  <c r="H2651" i="22"/>
  <c r="H2652" i="22"/>
  <c r="H2653" i="22"/>
  <c r="H2654" i="22"/>
  <c r="H2655" i="22"/>
  <c r="H2656" i="22"/>
  <c r="H2657" i="22"/>
  <c r="H2658" i="22"/>
  <c r="H2659" i="22"/>
  <c r="H2660" i="22"/>
  <c r="H2661" i="22"/>
  <c r="H2662" i="22"/>
  <c r="H2663" i="22"/>
  <c r="H2664" i="22"/>
  <c r="A51" i="22"/>
  <c r="K2617" i="22"/>
  <c r="L2617" i="22"/>
  <c r="L2618" i="22"/>
  <c r="G2563" i="22"/>
  <c r="B2564" i="22"/>
  <c r="C2563" i="22"/>
  <c r="F2563" i="22" s="1"/>
  <c r="E2563" i="22"/>
  <c r="T2563" i="22"/>
  <c r="T2574" i="22"/>
  <c r="S2569" i="22"/>
  <c r="S2563" i="22"/>
  <c r="T2566" i="22"/>
  <c r="S2564" i="22"/>
  <c r="T2564" i="22"/>
  <c r="S2565" i="22"/>
  <c r="T2565" i="22"/>
  <c r="S2566" i="22"/>
  <c r="S2574" i="22"/>
  <c r="S2567" i="22"/>
  <c r="T2567" i="22"/>
  <c r="S2577" i="22"/>
  <c r="T2568" i="22"/>
  <c r="S2568" i="22"/>
  <c r="T2583" i="22"/>
  <c r="S2583" i="22"/>
  <c r="T2582" i="22"/>
  <c r="S2582" i="22"/>
  <c r="T2581" i="22"/>
  <c r="T2578" i="22"/>
  <c r="T2573" i="22"/>
  <c r="S2578" i="22"/>
  <c r="T2576" i="22"/>
  <c r="S2573" i="22"/>
  <c r="S2576" i="22"/>
  <c r="S2579" i="22"/>
  <c r="T2572" i="22"/>
  <c r="S2572" i="22"/>
  <c r="T2580" i="22"/>
  <c r="T2575" i="22"/>
  <c r="T2571" i="22"/>
  <c r="T2577" i="22"/>
  <c r="S2571" i="22"/>
  <c r="S2580" i="22"/>
  <c r="S2575" i="22"/>
  <c r="T2570" i="22"/>
  <c r="S2570" i="22"/>
  <c r="T2579" i="22"/>
  <c r="S2581" i="22"/>
  <c r="T2569" i="22"/>
  <c r="B2561" i="22"/>
  <c r="A2561" i="22"/>
  <c r="E2560" i="22"/>
  <c r="H2563" i="22"/>
  <c r="H2564" i="22"/>
  <c r="H2565" i="22"/>
  <c r="H2566" i="22"/>
  <c r="H2567" i="22"/>
  <c r="H2568" i="22"/>
  <c r="H2569" i="22"/>
  <c r="H2570" i="22"/>
  <c r="H2571" i="22"/>
  <c r="H2572" i="22"/>
  <c r="H2573" i="22"/>
  <c r="H2574" i="22"/>
  <c r="H2575" i="22"/>
  <c r="H2576" i="22"/>
  <c r="H2577" i="22"/>
  <c r="H2578" i="22"/>
  <c r="H2579" i="22"/>
  <c r="H2580" i="22"/>
  <c r="H2581" i="22"/>
  <c r="H2582" i="22"/>
  <c r="H2583" i="22"/>
  <c r="H2584" i="22"/>
  <c r="H2595" i="22"/>
  <c r="CE50" i="22" s="1"/>
  <c r="H2596" i="22"/>
  <c r="CF50" i="22" s="1"/>
  <c r="H2607" i="22"/>
  <c r="H2608" i="22"/>
  <c r="H2609" i="22"/>
  <c r="H2610" i="22"/>
  <c r="H2591" i="22"/>
  <c r="CA50" i="22" s="1"/>
  <c r="H2586" i="22"/>
  <c r="H2601" i="22"/>
  <c r="H2594" i="22"/>
  <c r="CD50" i="22" s="1"/>
  <c r="H2606" i="22"/>
  <c r="H2585" i="22"/>
  <c r="H2587" i="22"/>
  <c r="BW50" i="22" s="1"/>
  <c r="H2589" i="22"/>
  <c r="BY50" i="22" s="1"/>
  <c r="H2597" i="22"/>
  <c r="CG50" i="22" s="1"/>
  <c r="H2602" i="22"/>
  <c r="H2599" i="22"/>
  <c r="H2603" i="22"/>
  <c r="H2605" i="22"/>
  <c r="H2588" i="22"/>
  <c r="BX50" i="22" s="1"/>
  <c r="H2604" i="22"/>
  <c r="H2592" i="22"/>
  <c r="CB50" i="22" s="1"/>
  <c r="H2593" i="22"/>
  <c r="CC50" i="22" s="1"/>
  <c r="H2600" i="22"/>
  <c r="H2598" i="22"/>
  <c r="CH50" i="22" s="1"/>
  <c r="H2590" i="22"/>
  <c r="BZ50" i="22" s="1"/>
  <c r="B2510" i="22"/>
  <c r="E2509" i="22"/>
  <c r="G2509" i="22"/>
  <c r="C2509" i="22"/>
  <c r="F2509" i="22" s="1"/>
  <c r="CI49" i="22"/>
  <c r="S2526" i="22"/>
  <c r="T2525" i="22"/>
  <c r="S2525" i="22"/>
  <c r="T2524" i="22"/>
  <c r="S2524" i="22"/>
  <c r="T2523" i="22"/>
  <c r="S2523" i="22"/>
  <c r="T2522" i="22"/>
  <c r="S2522" i="22"/>
  <c r="T2521" i="22"/>
  <c r="S2521" i="22"/>
  <c r="T2520" i="22"/>
  <c r="S2520" i="22"/>
  <c r="T2519" i="22"/>
  <c r="S2519" i="22"/>
  <c r="T2518" i="22"/>
  <c r="S2518" i="22"/>
  <c r="T2517" i="22"/>
  <c r="S2517" i="22"/>
  <c r="T2516" i="22"/>
  <c r="S2516" i="22"/>
  <c r="T2515" i="22"/>
  <c r="S2515" i="22"/>
  <c r="T2514" i="22"/>
  <c r="S2514" i="22"/>
  <c r="T2513" i="22"/>
  <c r="S2513" i="22"/>
  <c r="T2512" i="22"/>
  <c r="S2512" i="22"/>
  <c r="T2511" i="22"/>
  <c r="S2511" i="22"/>
  <c r="T2510" i="22"/>
  <c r="S2510" i="22"/>
  <c r="T2509" i="22"/>
  <c r="S2509" i="22"/>
  <c r="AL49" i="22"/>
  <c r="AK49" i="22"/>
  <c r="T2556" i="22"/>
  <c r="S2556" i="22"/>
  <c r="T2555" i="22"/>
  <c r="S2555" i="22"/>
  <c r="T2554" i="22"/>
  <c r="S2554" i="22"/>
  <c r="T2553" i="22"/>
  <c r="S2553" i="22"/>
  <c r="T2552" i="22"/>
  <c r="S2552" i="22"/>
  <c r="T2551" i="22"/>
  <c r="S2551" i="22"/>
  <c r="T2550" i="22"/>
  <c r="S2550" i="22"/>
  <c r="T2549" i="22"/>
  <c r="S2549" i="22"/>
  <c r="T2548" i="22"/>
  <c r="S2548" i="22"/>
  <c r="T2547" i="22"/>
  <c r="S2547" i="22"/>
  <c r="T2546" i="22"/>
  <c r="S2546" i="22"/>
  <c r="T2545" i="22"/>
  <c r="S2545" i="22"/>
  <c r="T2544" i="22"/>
  <c r="S2544" i="22"/>
  <c r="T2543" i="22"/>
  <c r="S2543" i="22"/>
  <c r="T2542" i="22"/>
  <c r="S2542" i="22"/>
  <c r="T2541" i="22"/>
  <c r="S2541" i="22"/>
  <c r="T2540" i="22"/>
  <c r="S2540" i="22"/>
  <c r="T2539" i="22"/>
  <c r="S2539" i="22"/>
  <c r="T2538" i="22"/>
  <c r="S2538" i="22"/>
  <c r="T2537" i="22"/>
  <c r="S2537" i="22"/>
  <c r="T2536" i="22"/>
  <c r="S2536" i="22"/>
  <c r="T2535" i="22"/>
  <c r="S2535" i="22"/>
  <c r="T2534" i="22"/>
  <c r="S2534" i="22"/>
  <c r="T2533" i="22"/>
  <c r="S2533" i="22"/>
  <c r="T2532" i="22"/>
  <c r="S2532" i="22"/>
  <c r="T2531" i="22"/>
  <c r="S2531" i="22"/>
  <c r="T2530" i="22"/>
  <c r="S2530" i="22"/>
  <c r="T2529" i="22"/>
  <c r="S2529" i="22"/>
  <c r="T2528" i="22"/>
  <c r="S2528" i="22"/>
  <c r="T2527" i="22"/>
  <c r="S2527" i="22"/>
  <c r="T2526" i="22"/>
  <c r="B2507" i="22"/>
  <c r="A2507" i="22"/>
  <c r="E2506" i="22"/>
  <c r="H2509" i="22"/>
  <c r="H2510" i="22"/>
  <c r="H2511" i="22"/>
  <c r="H2512" i="22"/>
  <c r="H2513" i="22"/>
  <c r="H2514" i="22"/>
  <c r="H2515" i="22"/>
  <c r="H2516" i="22"/>
  <c r="H2517" i="22"/>
  <c r="H2518" i="22"/>
  <c r="H2519" i="22"/>
  <c r="H2520" i="22"/>
  <c r="H2521" i="22"/>
  <c r="H2522" i="22"/>
  <c r="H2523" i="22"/>
  <c r="H2524" i="22"/>
  <c r="H2525" i="22"/>
  <c r="H2526" i="22"/>
  <c r="H2527" i="22"/>
  <c r="H2528" i="22"/>
  <c r="H2529" i="22"/>
  <c r="H2530" i="22"/>
  <c r="H2531" i="22"/>
  <c r="H2532" i="22"/>
  <c r="H2533" i="22"/>
  <c r="H2534" i="22"/>
  <c r="BX49" i="22" s="1"/>
  <c r="H2535" i="22"/>
  <c r="BY49" i="22" s="1"/>
  <c r="H2536" i="22"/>
  <c r="BZ49" i="22" s="1"/>
  <c r="H2537" i="22"/>
  <c r="CA49" i="22" s="1"/>
  <c r="H2538" i="22"/>
  <c r="CB49" i="22" s="1"/>
  <c r="H2539" i="22"/>
  <c r="CC49" i="22" s="1"/>
  <c r="H2540" i="22"/>
  <c r="CD49" i="22" s="1"/>
  <c r="H2541" i="22"/>
  <c r="CE49" i="22" s="1"/>
  <c r="H2542" i="22"/>
  <c r="CF49" i="22" s="1"/>
  <c r="H2543" i="22"/>
  <c r="CG49" i="22" s="1"/>
  <c r="H2544" i="22"/>
  <c r="CH49" i="22" s="1"/>
  <c r="H2545" i="22"/>
  <c r="H2546" i="22"/>
  <c r="H2547" i="22"/>
  <c r="H2548" i="22"/>
  <c r="H2549" i="22"/>
  <c r="H2550" i="22"/>
  <c r="H2551" i="22"/>
  <c r="H2552" i="22"/>
  <c r="H2553" i="22"/>
  <c r="H2554" i="22"/>
  <c r="H2555" i="22"/>
  <c r="H2556" i="22"/>
  <c r="B2456" i="22"/>
  <c r="G2455" i="22"/>
  <c r="E2455" i="22"/>
  <c r="C2455" i="22"/>
  <c r="F2455" i="22" s="1"/>
  <c r="CI48" i="22"/>
  <c r="S2475" i="22"/>
  <c r="T2474" i="22"/>
  <c r="S2474" i="22"/>
  <c r="T2473" i="22"/>
  <c r="S2473" i="22"/>
  <c r="T2472" i="22"/>
  <c r="S2472" i="22"/>
  <c r="T2471" i="22"/>
  <c r="S2471" i="22"/>
  <c r="T2470" i="22"/>
  <c r="S2470" i="22"/>
  <c r="T2469" i="22"/>
  <c r="S2469" i="22"/>
  <c r="T2468" i="22"/>
  <c r="S2468" i="22"/>
  <c r="T2467" i="22"/>
  <c r="S2467" i="22"/>
  <c r="T2466" i="22"/>
  <c r="S2466" i="22"/>
  <c r="T2465" i="22"/>
  <c r="S2465" i="22"/>
  <c r="T2464" i="22"/>
  <c r="S2464" i="22"/>
  <c r="T2463" i="22"/>
  <c r="S2463" i="22"/>
  <c r="T2462" i="22"/>
  <c r="S2462" i="22"/>
  <c r="T2461" i="22"/>
  <c r="S2461" i="22"/>
  <c r="T2460" i="22"/>
  <c r="S2460" i="22"/>
  <c r="T2459" i="22"/>
  <c r="S2459" i="22"/>
  <c r="T2458" i="22"/>
  <c r="S2458" i="22"/>
  <c r="S2476" i="22"/>
  <c r="T2457" i="22"/>
  <c r="S2457" i="22"/>
  <c r="T2456" i="22"/>
  <c r="S2456" i="22"/>
  <c r="T2455" i="22"/>
  <c r="S2455" i="22"/>
  <c r="S2491" i="22"/>
  <c r="T2491" i="22"/>
  <c r="S2492" i="22"/>
  <c r="T2492" i="22"/>
  <c r="S2493" i="22"/>
  <c r="T2493" i="22"/>
  <c r="S2494" i="22"/>
  <c r="S2495" i="22"/>
  <c r="T2495" i="22"/>
  <c r="S2496" i="22"/>
  <c r="T2496" i="22"/>
  <c r="S2497" i="22"/>
  <c r="T2497" i="22"/>
  <c r="S2498" i="22"/>
  <c r="T2498" i="22"/>
  <c r="S2499" i="22"/>
  <c r="T2499" i="22"/>
  <c r="S2500" i="22"/>
  <c r="T2500" i="22"/>
  <c r="S2501" i="22"/>
  <c r="T2501" i="22"/>
  <c r="S2502" i="22"/>
  <c r="T2502" i="22"/>
  <c r="T2494" i="22"/>
  <c r="AL48" i="22"/>
  <c r="AK48" i="22"/>
  <c r="T2476" i="22"/>
  <c r="S2477" i="22"/>
  <c r="T2477" i="22"/>
  <c r="S2478" i="22"/>
  <c r="T2478" i="22"/>
  <c r="S2479" i="22"/>
  <c r="T2479" i="22"/>
  <c r="S2480" i="22"/>
  <c r="T2480" i="22"/>
  <c r="S2481" i="22"/>
  <c r="T2481" i="22"/>
  <c r="S2482" i="22"/>
  <c r="T2482" i="22"/>
  <c r="S2483" i="22"/>
  <c r="T2483" i="22"/>
  <c r="S2484" i="22"/>
  <c r="T2484" i="22"/>
  <c r="S2485" i="22"/>
  <c r="T2485" i="22"/>
  <c r="S2486" i="22"/>
  <c r="T2486" i="22"/>
  <c r="S2487" i="22"/>
  <c r="T2487" i="22"/>
  <c r="S2488" i="22"/>
  <c r="T2488" i="22"/>
  <c r="T2475" i="22"/>
  <c r="S2489" i="22"/>
  <c r="T2489" i="22"/>
  <c r="S2490" i="22"/>
  <c r="T2490" i="22"/>
  <c r="A2453" i="22"/>
  <c r="B2453" i="22"/>
  <c r="E2452" i="22"/>
  <c r="H2455" i="22"/>
  <c r="H2456" i="22"/>
  <c r="H2457" i="22"/>
  <c r="H2458" i="22"/>
  <c r="H2459" i="22"/>
  <c r="H2460" i="22"/>
  <c r="H2461" i="22"/>
  <c r="H2462" i="22"/>
  <c r="H2463" i="22"/>
  <c r="H2464" i="22"/>
  <c r="H2465" i="22"/>
  <c r="H2466" i="22"/>
  <c r="H2467" i="22"/>
  <c r="H2468" i="22"/>
  <c r="H2469" i="22"/>
  <c r="H2470" i="22"/>
  <c r="H2471" i="22"/>
  <c r="H2472" i="22"/>
  <c r="H2473" i="22"/>
  <c r="H2474" i="22"/>
  <c r="H2475" i="22"/>
  <c r="H2476" i="22"/>
  <c r="H2477" i="22"/>
  <c r="H2478" i="22"/>
  <c r="H2479" i="22"/>
  <c r="H2480" i="22"/>
  <c r="BX48" i="22" s="1"/>
  <c r="E2401" i="22"/>
  <c r="C2401" i="22"/>
  <c r="B2402" i="22"/>
  <c r="F2401" i="22"/>
  <c r="G2401" i="22"/>
  <c r="CI47" i="22"/>
  <c r="T2427" i="22"/>
  <c r="T2448" i="22"/>
  <c r="S2448" i="22"/>
  <c r="S2436" i="22"/>
  <c r="S2433" i="22"/>
  <c r="T2447" i="22"/>
  <c r="S2447" i="22"/>
  <c r="S2428" i="22"/>
  <c r="T2428" i="22"/>
  <c r="T2446" i="22"/>
  <c r="S2446" i="22"/>
  <c r="S2439" i="22"/>
  <c r="T2438" i="22"/>
  <c r="S2438" i="22"/>
  <c r="T2437" i="22"/>
  <c r="S2437" i="22"/>
  <c r="S2445" i="22"/>
  <c r="T2404" i="22"/>
  <c r="S2404" i="22"/>
  <c r="T2403" i="22"/>
  <c r="T2412" i="22"/>
  <c r="T2433" i="22"/>
  <c r="S2401" i="22"/>
  <c r="T2401" i="22"/>
  <c r="S2429" i="22"/>
  <c r="S2402" i="22"/>
  <c r="T2402" i="22"/>
  <c r="T2429" i="22"/>
  <c r="S2420" i="22"/>
  <c r="T2420" i="22"/>
  <c r="AK47" i="22"/>
  <c r="AL47" i="22"/>
  <c r="T2436" i="22"/>
  <c r="S2435" i="22"/>
  <c r="S2421" i="22"/>
  <c r="T2421" i="22"/>
  <c r="S2430" i="22"/>
  <c r="T2430" i="22"/>
  <c r="T2435" i="22"/>
  <c r="S2422" i="22"/>
  <c r="T2422" i="22"/>
  <c r="S2403" i="22"/>
  <c r="S2434" i="22"/>
  <c r="S2431" i="22"/>
  <c r="S2423" i="22"/>
  <c r="T2423" i="22"/>
  <c r="T2431" i="22"/>
  <c r="S2424" i="22"/>
  <c r="T2424" i="22"/>
  <c r="T2434" i="22"/>
  <c r="S2425" i="22"/>
  <c r="T2425" i="22"/>
  <c r="S2432" i="22"/>
  <c r="T2432" i="22"/>
  <c r="S2426" i="22"/>
  <c r="T2426" i="22"/>
  <c r="S2427" i="22"/>
  <c r="T2439" i="22"/>
  <c r="S2440" i="22"/>
  <c r="T2440" i="22"/>
  <c r="S2441" i="22"/>
  <c r="T2441" i="22"/>
  <c r="S2442" i="22"/>
  <c r="T2442" i="22"/>
  <c r="S2443" i="22"/>
  <c r="T2443" i="22"/>
  <c r="S2444" i="22"/>
  <c r="T2444" i="22"/>
  <c r="T2419" i="22"/>
  <c r="S2419" i="22"/>
  <c r="T2445" i="22"/>
  <c r="T2418" i="22"/>
  <c r="S2418" i="22"/>
  <c r="T2417" i="22"/>
  <c r="S2417" i="22"/>
  <c r="T2416" i="22"/>
  <c r="S2416" i="22"/>
  <c r="T2409" i="22"/>
  <c r="T2415" i="22"/>
  <c r="S2415" i="22"/>
  <c r="T2414" i="22"/>
  <c r="S2414" i="22"/>
  <c r="T2413" i="22"/>
  <c r="S2413" i="22"/>
  <c r="S2412" i="22"/>
  <c r="T2411" i="22"/>
  <c r="S2411" i="22"/>
  <c r="T2410" i="22"/>
  <c r="S2410" i="22"/>
  <c r="S2409" i="22"/>
  <c r="T2408" i="22"/>
  <c r="S2408" i="22"/>
  <c r="T2407" i="22"/>
  <c r="S2407" i="22"/>
  <c r="T2406" i="22"/>
  <c r="S2406" i="22"/>
  <c r="T2405" i="22"/>
  <c r="S2405" i="22"/>
  <c r="B2399" i="22"/>
  <c r="A2399" i="22"/>
  <c r="E2398" i="22"/>
  <c r="H2401" i="22"/>
  <c r="H2402" i="22"/>
  <c r="H2403" i="22"/>
  <c r="H2404" i="22"/>
  <c r="H2405" i="22"/>
  <c r="H2406" i="22"/>
  <c r="H2407" i="22"/>
  <c r="H2408" i="22"/>
  <c r="H2409" i="22"/>
  <c r="H2410" i="22"/>
  <c r="H2411" i="22"/>
  <c r="H2412" i="22"/>
  <c r="H2413" i="22"/>
  <c r="H2414" i="22"/>
  <c r="H2415" i="22"/>
  <c r="H2416" i="22"/>
  <c r="H2417" i="22"/>
  <c r="H2418" i="22"/>
  <c r="H2419" i="22"/>
  <c r="H2420" i="22"/>
  <c r="H2421" i="22"/>
  <c r="H2422" i="22"/>
  <c r="H2423" i="22"/>
  <c r="H2424" i="22"/>
  <c r="H2425" i="22"/>
  <c r="H2426" i="22"/>
  <c r="BX47" i="22" s="1"/>
  <c r="H2427" i="22"/>
  <c r="BY47" i="22" s="1"/>
  <c r="H2428" i="22"/>
  <c r="BZ47" i="22" s="1"/>
  <c r="H2429" i="22"/>
  <c r="CA47" i="22" s="1"/>
  <c r="H2430" i="22"/>
  <c r="CB47" i="22" s="1"/>
  <c r="H2431" i="22"/>
  <c r="CC47" i="22" s="1"/>
  <c r="H2432" i="22"/>
  <c r="CD47" i="22" s="1"/>
  <c r="H2433" i="22"/>
  <c r="CE47" i="22" s="1"/>
  <c r="H2434" i="22"/>
  <c r="CF47" i="22" s="1"/>
  <c r="H2435" i="22"/>
  <c r="CG47" i="22" s="1"/>
  <c r="H2436" i="22"/>
  <c r="CH47" i="22" s="1"/>
  <c r="H2437" i="22"/>
  <c r="H2438" i="22"/>
  <c r="H2439" i="22"/>
  <c r="H2440" i="22"/>
  <c r="H2441" i="22"/>
  <c r="H2442" i="22"/>
  <c r="H2443" i="22"/>
  <c r="H2444" i="22"/>
  <c r="H2445" i="22"/>
  <c r="H2446" i="22"/>
  <c r="H2447" i="22"/>
  <c r="H2448" i="22"/>
  <c r="A47" i="22"/>
  <c r="K2401" i="22"/>
  <c r="L2401" i="22"/>
  <c r="L2402" i="22"/>
  <c r="C2347" i="22"/>
  <c r="G2347" i="22"/>
  <c r="B2348" i="22"/>
  <c r="F2347" i="22"/>
  <c r="E2347" i="22"/>
  <c r="CI46" i="22"/>
  <c r="S2378" i="22"/>
  <c r="T2377" i="22"/>
  <c r="S2377" i="22"/>
  <c r="T2376" i="22"/>
  <c r="S2376" i="22"/>
  <c r="T2375" i="22"/>
  <c r="S2375" i="22"/>
  <c r="T2374" i="22"/>
  <c r="S2374" i="22"/>
  <c r="T2373" i="22"/>
  <c r="S2373" i="22"/>
  <c r="T2372" i="22"/>
  <c r="S2372" i="22"/>
  <c r="T2371" i="22"/>
  <c r="S2371" i="22"/>
  <c r="T2370" i="22"/>
  <c r="S2370" i="22"/>
  <c r="T2369" i="22"/>
  <c r="S2369" i="22"/>
  <c r="T2368" i="22"/>
  <c r="S2368" i="22"/>
  <c r="T2367" i="22"/>
  <c r="S2367" i="22"/>
  <c r="T2366" i="22"/>
  <c r="S2366" i="22"/>
  <c r="T2365" i="22"/>
  <c r="S2365" i="22"/>
  <c r="T2364" i="22"/>
  <c r="S2364" i="22"/>
  <c r="T2363" i="22"/>
  <c r="S2363" i="22"/>
  <c r="T2362" i="22"/>
  <c r="S2362" i="22"/>
  <c r="T2361" i="22"/>
  <c r="T2360" i="22"/>
  <c r="S2360" i="22"/>
  <c r="T2359" i="22"/>
  <c r="S2359" i="22"/>
  <c r="T2358" i="22"/>
  <c r="S2358" i="22"/>
  <c r="T2357" i="22"/>
  <c r="S2357" i="22"/>
  <c r="T2356" i="22"/>
  <c r="S2356" i="22"/>
  <c r="T2355" i="22"/>
  <c r="S2355" i="22"/>
  <c r="T2354" i="22"/>
  <c r="S2354" i="22"/>
  <c r="T2353" i="22"/>
  <c r="S2353" i="22"/>
  <c r="T2352" i="22"/>
  <c r="S2352" i="22"/>
  <c r="T2351" i="22"/>
  <c r="S2351" i="22"/>
  <c r="T2350" i="22"/>
  <c r="S2350" i="22"/>
  <c r="T2349" i="22"/>
  <c r="S2349" i="22"/>
  <c r="T2348" i="22"/>
  <c r="S2348" i="22"/>
  <c r="T2347" i="22"/>
  <c r="S2347" i="22"/>
  <c r="AK46" i="22"/>
  <c r="AL46" i="22"/>
  <c r="S2361" i="22"/>
  <c r="T2394" i="22"/>
  <c r="S2394" i="22"/>
  <c r="T2393" i="22"/>
  <c r="S2393" i="22"/>
  <c r="T2392" i="22"/>
  <c r="S2392" i="22"/>
  <c r="T2391" i="22"/>
  <c r="S2391" i="22"/>
  <c r="T2390" i="22"/>
  <c r="S2390" i="22"/>
  <c r="T2389" i="22"/>
  <c r="S2389" i="22"/>
  <c r="T2388" i="22"/>
  <c r="S2388" i="22"/>
  <c r="T2387" i="22"/>
  <c r="S2387" i="22"/>
  <c r="T2386" i="22"/>
  <c r="S2386" i="22"/>
  <c r="T2385" i="22"/>
  <c r="S2385" i="22"/>
  <c r="T2384" i="22"/>
  <c r="S2384" i="22"/>
  <c r="T2383" i="22"/>
  <c r="S2383" i="22"/>
  <c r="T2382" i="22"/>
  <c r="S2382" i="22"/>
  <c r="T2381" i="22"/>
  <c r="S2381" i="22"/>
  <c r="T2380" i="22"/>
  <c r="S2380" i="22"/>
  <c r="T2379" i="22"/>
  <c r="S2379" i="22"/>
  <c r="T2378" i="22"/>
  <c r="B2345" i="22"/>
  <c r="J2345" i="22" s="1"/>
  <c r="A2345" i="22"/>
  <c r="E2344" i="22"/>
  <c r="H2347" i="22"/>
  <c r="H2348" i="22"/>
  <c r="H2349" i="22"/>
  <c r="H2350" i="22"/>
  <c r="H2351" i="22"/>
  <c r="H2352" i="22"/>
  <c r="H2353" i="22"/>
  <c r="H2354" i="22"/>
  <c r="H2355" i="22"/>
  <c r="H2356" i="22"/>
  <c r="H2357" i="22"/>
  <c r="H2358" i="22"/>
  <c r="H2359" i="22"/>
  <c r="H2360" i="22"/>
  <c r="H2361" i="22"/>
  <c r="H2362" i="22"/>
  <c r="H2363" i="22"/>
  <c r="H2364" i="22"/>
  <c r="H2365" i="22"/>
  <c r="H2366" i="22"/>
  <c r="H2367" i="22"/>
  <c r="H2368" i="22"/>
  <c r="H2369" i="22"/>
  <c r="H2370" i="22"/>
  <c r="H2371" i="22"/>
  <c r="H2372" i="22"/>
  <c r="BX46" i="22" s="1"/>
  <c r="H2373" i="22"/>
  <c r="BY46" i="22" s="1"/>
  <c r="H2374" i="22"/>
  <c r="BZ46" i="22" s="1"/>
  <c r="H2375" i="22"/>
  <c r="CA46" i="22" s="1"/>
  <c r="H2376" i="22"/>
  <c r="CB46" i="22" s="1"/>
  <c r="H2377" i="22"/>
  <c r="CC46" i="22" s="1"/>
  <c r="H2378" i="22"/>
  <c r="CD46" i="22" s="1"/>
  <c r="H2379" i="22"/>
  <c r="CE46" i="22" s="1"/>
  <c r="H2380" i="22"/>
  <c r="CF46" i="22" s="1"/>
  <c r="H2381" i="22"/>
  <c r="CG46" i="22" s="1"/>
  <c r="H2382" i="22"/>
  <c r="CH46" i="22" s="1"/>
  <c r="H2383" i="22"/>
  <c r="H2384" i="22"/>
  <c r="H2385" i="22"/>
  <c r="H2386" i="22"/>
  <c r="H2387" i="22"/>
  <c r="H2388" i="22"/>
  <c r="H2389" i="22"/>
  <c r="H2390" i="22"/>
  <c r="H2391" i="22"/>
  <c r="H2392" i="22"/>
  <c r="H2393" i="22"/>
  <c r="H2394" i="22"/>
  <c r="L2348" i="22"/>
  <c r="K2347" i="22"/>
  <c r="L2347" i="22"/>
  <c r="A46" i="22"/>
  <c r="E2293" i="22"/>
  <c r="G2293" i="22"/>
  <c r="B2294" i="22"/>
  <c r="L2294" i="22" s="1"/>
  <c r="C2293" i="22"/>
  <c r="F2293" i="22"/>
  <c r="CI45" i="22"/>
  <c r="S2331" i="22"/>
  <c r="T2299" i="22"/>
  <c r="T2330" i="22"/>
  <c r="S2330" i="22"/>
  <c r="S2313" i="22"/>
  <c r="S2314" i="22"/>
  <c r="T2314" i="22"/>
  <c r="T2329" i="22"/>
  <c r="S2329" i="22"/>
  <c r="T2340" i="22"/>
  <c r="S2340" i="22"/>
  <c r="T2328" i="22"/>
  <c r="T2339" i="22"/>
  <c r="S2328" i="22"/>
  <c r="S2339" i="22"/>
  <c r="T2327" i="22"/>
  <c r="S2327" i="22"/>
  <c r="T2338" i="22"/>
  <c r="S2338" i="22"/>
  <c r="T2326" i="22"/>
  <c r="S2326" i="22"/>
  <c r="T2337" i="22"/>
  <c r="T2325" i="22"/>
  <c r="S2325" i="22"/>
  <c r="S2337" i="22"/>
  <c r="T2324" i="22"/>
  <c r="S2324" i="22"/>
  <c r="T2336" i="22"/>
  <c r="S2336" i="22"/>
  <c r="T2323" i="22"/>
  <c r="S2323" i="22"/>
  <c r="T2335" i="22"/>
  <c r="T2322" i="22"/>
  <c r="S2322" i="22"/>
  <c r="S2335" i="22"/>
  <c r="T2321" i="22"/>
  <c r="S2321" i="22"/>
  <c r="T2334" i="22"/>
  <c r="T2320" i="22"/>
  <c r="S2320" i="22"/>
  <c r="S2334" i="22"/>
  <c r="T2319" i="22"/>
  <c r="S2319" i="22"/>
  <c r="T2333" i="22"/>
  <c r="S2333" i="22"/>
  <c r="T2318" i="22"/>
  <c r="S2318" i="22"/>
  <c r="T2332" i="22"/>
  <c r="T2317" i="22"/>
  <c r="S2317" i="22"/>
  <c r="S2332" i="22"/>
  <c r="T2316" i="22"/>
  <c r="S2316" i="22"/>
  <c r="T2331" i="22"/>
  <c r="T2315" i="22"/>
  <c r="S2315" i="22"/>
  <c r="S2298" i="22"/>
  <c r="AL45" i="22"/>
  <c r="AK45" i="22"/>
  <c r="S2299" i="22"/>
  <c r="S2300" i="22"/>
  <c r="S2293" i="22"/>
  <c r="S2297" i="22"/>
  <c r="T2300" i="22"/>
  <c r="S2302" i="22"/>
  <c r="T2302" i="22"/>
  <c r="S2303" i="22"/>
  <c r="T2303" i="22"/>
  <c r="S2304" i="22"/>
  <c r="T2304" i="22"/>
  <c r="S2305" i="22"/>
  <c r="T2305" i="22"/>
  <c r="T2306" i="22"/>
  <c r="S2307" i="22"/>
  <c r="T2307" i="22"/>
  <c r="S2308" i="22"/>
  <c r="T2308" i="22"/>
  <c r="S2309" i="22"/>
  <c r="T2309" i="22"/>
  <c r="S2310" i="22"/>
  <c r="T2310" i="22"/>
  <c r="S2311" i="22"/>
  <c r="T2311" i="22"/>
  <c r="S2312" i="22"/>
  <c r="T2312" i="22"/>
  <c r="S2295" i="22"/>
  <c r="T2313" i="22"/>
  <c r="T2296" i="22"/>
  <c r="T2293" i="22"/>
  <c r="S2306" i="22"/>
  <c r="T2295" i="22"/>
  <c r="T2298" i="22"/>
  <c r="S2301" i="22"/>
  <c r="T2301" i="22"/>
  <c r="S2296" i="22"/>
  <c r="S2294" i="22"/>
  <c r="T2294" i="22"/>
  <c r="T2297" i="22"/>
  <c r="A2291" i="22"/>
  <c r="B2291" i="22"/>
  <c r="J2291" i="22" s="1"/>
  <c r="E2290" i="22"/>
  <c r="H2299" i="22" s="1"/>
  <c r="H2296" i="22"/>
  <c r="H2298" i="22"/>
  <c r="H2302" i="22"/>
  <c r="H2303" i="22"/>
  <c r="H2304" i="22"/>
  <c r="H2305" i="22"/>
  <c r="H2306" i="22"/>
  <c r="H2307" i="22"/>
  <c r="H2308" i="22"/>
  <c r="H2309" i="22"/>
  <c r="H2310" i="22"/>
  <c r="H2311" i="22"/>
  <c r="H2312" i="22"/>
  <c r="H2313" i="22"/>
  <c r="H2314" i="22"/>
  <c r="H2315" i="22"/>
  <c r="H2316" i="22"/>
  <c r="H2317" i="22"/>
  <c r="H2318" i="22"/>
  <c r="BX45" i="22" s="1"/>
  <c r="H2319" i="22"/>
  <c r="BY45" i="22" s="1"/>
  <c r="H2320" i="22"/>
  <c r="BZ45" i="22" s="1"/>
  <c r="H2321" i="22"/>
  <c r="CA45" i="22" s="1"/>
  <c r="H2322" i="22"/>
  <c r="CB45" i="22" s="1"/>
  <c r="H2323" i="22"/>
  <c r="CC45" i="22" s="1"/>
  <c r="H2324" i="22"/>
  <c r="CD45" i="22" s="1"/>
  <c r="H2325" i="22"/>
  <c r="CE45" i="22" s="1"/>
  <c r="H2326" i="22"/>
  <c r="CF45" i="22" s="1"/>
  <c r="H2327" i="22"/>
  <c r="CG45" i="22" s="1"/>
  <c r="H2328" i="22"/>
  <c r="CH45" i="22" s="1"/>
  <c r="H2329" i="22"/>
  <c r="H2330" i="22"/>
  <c r="H2331" i="22"/>
  <c r="H2332" i="22"/>
  <c r="H2333" i="22"/>
  <c r="H2334" i="22"/>
  <c r="H2335" i="22"/>
  <c r="H2336" i="22"/>
  <c r="H2337" i="22"/>
  <c r="H2338" i="22"/>
  <c r="H2339" i="22"/>
  <c r="H2340" i="22"/>
  <c r="H2300" i="22"/>
  <c r="H2297" i="22"/>
  <c r="H2301" i="22"/>
  <c r="H2293" i="22"/>
  <c r="H2295" i="22"/>
  <c r="H2294" i="22"/>
  <c r="K2293" i="22"/>
  <c r="L2293" i="22"/>
  <c r="A45" i="22"/>
  <c r="B2240" i="22"/>
  <c r="G2239" i="22"/>
  <c r="C2239" i="22"/>
  <c r="F2239" i="22" s="1"/>
  <c r="E2239" i="22"/>
  <c r="T2270" i="22"/>
  <c r="T2252" i="22"/>
  <c r="S2253" i="22"/>
  <c r="T2251" i="22"/>
  <c r="S2270" i="22"/>
  <c r="T2253" i="22"/>
  <c r="S2254" i="22"/>
  <c r="S2241" i="22"/>
  <c r="T2254" i="22"/>
  <c r="S2255" i="22"/>
  <c r="T2240" i="22"/>
  <c r="T2255" i="22"/>
  <c r="S2256" i="22"/>
  <c r="S2252" i="22"/>
  <c r="T2256" i="22"/>
  <c r="S2257" i="22"/>
  <c r="T2257" i="22"/>
  <c r="S2258" i="22"/>
  <c r="T2258" i="22"/>
  <c r="S2259" i="22"/>
  <c r="T2259" i="22"/>
  <c r="S2260" i="22"/>
  <c r="T2260" i="22"/>
  <c r="S2261" i="22"/>
  <c r="T2261" i="22"/>
  <c r="S2262" i="22"/>
  <c r="T2262" i="22"/>
  <c r="S2263" i="22"/>
  <c r="T2263" i="22"/>
  <c r="T2243" i="22"/>
  <c r="T2269" i="22"/>
  <c r="T2245" i="22"/>
  <c r="S2269" i="22"/>
  <c r="T2265" i="22"/>
  <c r="T2268" i="22"/>
  <c r="T2239" i="22"/>
  <c r="S2246" i="22"/>
  <c r="T2242" i="22"/>
  <c r="S2265" i="22"/>
  <c r="S2268" i="22"/>
  <c r="T2272" i="22"/>
  <c r="S2272" i="22"/>
  <c r="S2266" i="22"/>
  <c r="S2244" i="22"/>
  <c r="T2266" i="22"/>
  <c r="T2246" i="22"/>
  <c r="T2271" i="22"/>
  <c r="S2243" i="22"/>
  <c r="S2247" i="22"/>
  <c r="S2240" i="22"/>
  <c r="T2244" i="22"/>
  <c r="T2247" i="22"/>
  <c r="S2248" i="22"/>
  <c r="S2271" i="22"/>
  <c r="S2264" i="22"/>
  <c r="T2248" i="22"/>
  <c r="S2267" i="22"/>
  <c r="T2264" i="22"/>
  <c r="S2249" i="22"/>
  <c r="S2239" i="22"/>
  <c r="S2245" i="22"/>
  <c r="S2242" i="22"/>
  <c r="T2249" i="22"/>
  <c r="T2267" i="22"/>
  <c r="S2250" i="22"/>
  <c r="T2241" i="22"/>
  <c r="T2250" i="22"/>
  <c r="S2251" i="22"/>
  <c r="B2237" i="22"/>
  <c r="J2237" i="22" s="1"/>
  <c r="A2237" i="22"/>
  <c r="E2236" i="22"/>
  <c r="H2239" i="22"/>
  <c r="H2240" i="22"/>
  <c r="H2241" i="22"/>
  <c r="H2242" i="22"/>
  <c r="H2243" i="22"/>
  <c r="H2244" i="22"/>
  <c r="H2245" i="22"/>
  <c r="H2246" i="22"/>
  <c r="H2247" i="22"/>
  <c r="H2248" i="22"/>
  <c r="H2249" i="22"/>
  <c r="H2250" i="22"/>
  <c r="H2251" i="22"/>
  <c r="H2252" i="22"/>
  <c r="H2253" i="22"/>
  <c r="H2254" i="22"/>
  <c r="H2255" i="22"/>
  <c r="H2256" i="22"/>
  <c r="H2257" i="22"/>
  <c r="H2258" i="22"/>
  <c r="H2259" i="22"/>
  <c r="H2260" i="22"/>
  <c r="H2261" i="22"/>
  <c r="H2262" i="22"/>
  <c r="H2263" i="22"/>
  <c r="H2264" i="22"/>
  <c r="H2265" i="22"/>
  <c r="H2266" i="22"/>
  <c r="H2267" i="22"/>
  <c r="H2268" i="22"/>
  <c r="H2269" i="22"/>
  <c r="H2270" i="22"/>
  <c r="H2271" i="22"/>
  <c r="H2272" i="22"/>
  <c r="H2276" i="22"/>
  <c r="H2283" i="22"/>
  <c r="H2286" i="22"/>
  <c r="H2274" i="22"/>
  <c r="H2280" i="22"/>
  <c r="H2278" i="22"/>
  <c r="H2285" i="22"/>
  <c r="H2281" i="22"/>
  <c r="H2282" i="22"/>
  <c r="H2273" i="22"/>
  <c r="H2275" i="22"/>
  <c r="H2279" i="22"/>
  <c r="H2284" i="22"/>
  <c r="H2277" i="22"/>
  <c r="G2185" i="22"/>
  <c r="P2185" i="22" s="1"/>
  <c r="B2186" i="22"/>
  <c r="C2185" i="22"/>
  <c r="F2185" i="22" s="1"/>
  <c r="E2185" i="22"/>
  <c r="T2226" i="22"/>
  <c r="S2226" i="22"/>
  <c r="T2225" i="22"/>
  <c r="S2225" i="22"/>
  <c r="T2224" i="22"/>
  <c r="S2224" i="22"/>
  <c r="T2223" i="22"/>
  <c r="S2223" i="22"/>
  <c r="T2222" i="22"/>
  <c r="S2222" i="22"/>
  <c r="T2221" i="22"/>
  <c r="S2221" i="22"/>
  <c r="T2220" i="22"/>
  <c r="S2220" i="22"/>
  <c r="T2219" i="22"/>
  <c r="S2219" i="22"/>
  <c r="T2218" i="22"/>
  <c r="S2218" i="22"/>
  <c r="T2217" i="22"/>
  <c r="S2217" i="22"/>
  <c r="T2216" i="22"/>
  <c r="S2216" i="22"/>
  <c r="T2215" i="22"/>
  <c r="S2215" i="22"/>
  <c r="T2214" i="22"/>
  <c r="S2214" i="22"/>
  <c r="T2213" i="22"/>
  <c r="S2213" i="22"/>
  <c r="T2212" i="22"/>
  <c r="S2212" i="22"/>
  <c r="T2211" i="22"/>
  <c r="S2211" i="22"/>
  <c r="T2210" i="22"/>
  <c r="S2210" i="22"/>
  <c r="T2209" i="22"/>
  <c r="S2209" i="22"/>
  <c r="T2208" i="22"/>
  <c r="S2208" i="22"/>
  <c r="T2207" i="22"/>
  <c r="S2207" i="22"/>
  <c r="T2206" i="22"/>
  <c r="S2206" i="22"/>
  <c r="T2205" i="22"/>
  <c r="S2205" i="22"/>
  <c r="T2204" i="22"/>
  <c r="S2204" i="22"/>
  <c r="T2203" i="22"/>
  <c r="S2203" i="22"/>
  <c r="T2202" i="22"/>
  <c r="S2202" i="22"/>
  <c r="T2201" i="22"/>
  <c r="S2201" i="22"/>
  <c r="T2200" i="22"/>
  <c r="S2200" i="22"/>
  <c r="T2199" i="22"/>
  <c r="S2199" i="22"/>
  <c r="T2198" i="22"/>
  <c r="S2198" i="22"/>
  <c r="T2197" i="22"/>
  <c r="S2197" i="22"/>
  <c r="T2196" i="22"/>
  <c r="S2196" i="22"/>
  <c r="T2195" i="22"/>
  <c r="S2195" i="22"/>
  <c r="T2194" i="22"/>
  <c r="S2194" i="22"/>
  <c r="T2193" i="22"/>
  <c r="S2193" i="22"/>
  <c r="T2192" i="22"/>
  <c r="S2192" i="22"/>
  <c r="T2191" i="22"/>
  <c r="S2191" i="22"/>
  <c r="T2190" i="22"/>
  <c r="S2190" i="22"/>
  <c r="T2189" i="22"/>
  <c r="S2189" i="22"/>
  <c r="T2188" i="22"/>
  <c r="S2188" i="22"/>
  <c r="T2187" i="22"/>
  <c r="S2187" i="22"/>
  <c r="T2186" i="22"/>
  <c r="S2186" i="22"/>
  <c r="T2185" i="22"/>
  <c r="S2185" i="22"/>
  <c r="T2232" i="22"/>
  <c r="S2232" i="22"/>
  <c r="T2231" i="22"/>
  <c r="S2231" i="22"/>
  <c r="T2230" i="22"/>
  <c r="S2230" i="22"/>
  <c r="T2229" i="22"/>
  <c r="S2229" i="22"/>
  <c r="T2228" i="22"/>
  <c r="S2228" i="22"/>
  <c r="T2227" i="22"/>
  <c r="S2227" i="22"/>
  <c r="A2183" i="22"/>
  <c r="B2183" i="22"/>
  <c r="J2183" i="22" s="1"/>
  <c r="E2182" i="22"/>
  <c r="H2185" i="22"/>
  <c r="H2186" i="22"/>
  <c r="H2187" i="22"/>
  <c r="H2188" i="22"/>
  <c r="H2189" i="22"/>
  <c r="H2190" i="22"/>
  <c r="H2191" i="22"/>
  <c r="H2192" i="22"/>
  <c r="H2193" i="22"/>
  <c r="H2194" i="22"/>
  <c r="H2195" i="22"/>
  <c r="H2196" i="22"/>
  <c r="H2197" i="22"/>
  <c r="H2198" i="22"/>
  <c r="H2199" i="22"/>
  <c r="H2200" i="22"/>
  <c r="H2201" i="22"/>
  <c r="H2202" i="22"/>
  <c r="H2203" i="22"/>
  <c r="H2204" i="22"/>
  <c r="H2205" i="22"/>
  <c r="H2206" i="22"/>
  <c r="H2207" i="22"/>
  <c r="H2208" i="22"/>
  <c r="H2209" i="22"/>
  <c r="H2210" i="22"/>
  <c r="H2211" i="22"/>
  <c r="H2212" i="22"/>
  <c r="H2213" i="22"/>
  <c r="H2214" i="22"/>
  <c r="H2215" i="22"/>
  <c r="H2216" i="22"/>
  <c r="H2217" i="22"/>
  <c r="H2218" i="22"/>
  <c r="H2219" i="22"/>
  <c r="H2220" i="22"/>
  <c r="H2221" i="22"/>
  <c r="H2222" i="22"/>
  <c r="H2223" i="22"/>
  <c r="H2224" i="22"/>
  <c r="H2225" i="22"/>
  <c r="H2226" i="22"/>
  <c r="H2227" i="22"/>
  <c r="H2228" i="22"/>
  <c r="H2229" i="22"/>
  <c r="H2230" i="22"/>
  <c r="H2231" i="22"/>
  <c r="H2232" i="22"/>
  <c r="G2131" i="22"/>
  <c r="E2131" i="22"/>
  <c r="C2131" i="22"/>
  <c r="F2131" i="22" s="1"/>
  <c r="B2132" i="22"/>
  <c r="CI42" i="22"/>
  <c r="T2161" i="22"/>
  <c r="S2161" i="22"/>
  <c r="T2160" i="22"/>
  <c r="S2160" i="22"/>
  <c r="T2159" i="22"/>
  <c r="S2159" i="22"/>
  <c r="T2158" i="22"/>
  <c r="S2158" i="22"/>
  <c r="T2157" i="22"/>
  <c r="S2157" i="22"/>
  <c r="T2156" i="22"/>
  <c r="S2156" i="22"/>
  <c r="T2155" i="22"/>
  <c r="S2155" i="22"/>
  <c r="T2154" i="22"/>
  <c r="S2154" i="22"/>
  <c r="T2153" i="22"/>
  <c r="S2153" i="22"/>
  <c r="T2152" i="22"/>
  <c r="S2152" i="22"/>
  <c r="T2151" i="22"/>
  <c r="S2151" i="22"/>
  <c r="T2150" i="22"/>
  <c r="S2150" i="22"/>
  <c r="T2149" i="22"/>
  <c r="S2149" i="22"/>
  <c r="T2148" i="22"/>
  <c r="S2148" i="22"/>
  <c r="T2147" i="22"/>
  <c r="S2147" i="22"/>
  <c r="T2146" i="22"/>
  <c r="S2146" i="22"/>
  <c r="T2145" i="22"/>
  <c r="S2145" i="22"/>
  <c r="T2144" i="22"/>
  <c r="S2144" i="22"/>
  <c r="T2143" i="22"/>
  <c r="S2143" i="22"/>
  <c r="T2142" i="22"/>
  <c r="S2142" i="22"/>
  <c r="T2141" i="22"/>
  <c r="S2141" i="22"/>
  <c r="S2140" i="22"/>
  <c r="T2139" i="22"/>
  <c r="S2139" i="22"/>
  <c r="T2138" i="22"/>
  <c r="S2138" i="22"/>
  <c r="T2137" i="22"/>
  <c r="AK42" i="22"/>
  <c r="T2136" i="22"/>
  <c r="S2136" i="22"/>
  <c r="T2135" i="22"/>
  <c r="S2135" i="22"/>
  <c r="T2134" i="22"/>
  <c r="S2134" i="22"/>
  <c r="T2133" i="22"/>
  <c r="S2133" i="22"/>
  <c r="T2132" i="22"/>
  <c r="S2132" i="22"/>
  <c r="T2131" i="22"/>
  <c r="S2131" i="22"/>
  <c r="S2162" i="22"/>
  <c r="AL42" i="22"/>
  <c r="S2137" i="22"/>
  <c r="T2178" i="22"/>
  <c r="S2178" i="22"/>
  <c r="T2177" i="22"/>
  <c r="S2177" i="22"/>
  <c r="T2176" i="22"/>
  <c r="S2176" i="22"/>
  <c r="T2175" i="22"/>
  <c r="S2175" i="22"/>
  <c r="T2174" i="22"/>
  <c r="S2174" i="22"/>
  <c r="T2173" i="22"/>
  <c r="S2173" i="22"/>
  <c r="T2172" i="22"/>
  <c r="S2172" i="22"/>
  <c r="T2171" i="22"/>
  <c r="S2171" i="22"/>
  <c r="T2170" i="22"/>
  <c r="S2170" i="22"/>
  <c r="T2169" i="22"/>
  <c r="S2169" i="22"/>
  <c r="T2168" i="22"/>
  <c r="S2168" i="22"/>
  <c r="T2167" i="22"/>
  <c r="S2167" i="22"/>
  <c r="T2140" i="22"/>
  <c r="T2166" i="22"/>
  <c r="S2166" i="22"/>
  <c r="T2165" i="22"/>
  <c r="S2165" i="22"/>
  <c r="T2164" i="22"/>
  <c r="S2164" i="22"/>
  <c r="T2163" i="22"/>
  <c r="S2163" i="22"/>
  <c r="T2162" i="22"/>
  <c r="B2129" i="22"/>
  <c r="A2129" i="22"/>
  <c r="E2128" i="22"/>
  <c r="H2131" i="22"/>
  <c r="H2132" i="22"/>
  <c r="H2133" i="22"/>
  <c r="H2134" i="22"/>
  <c r="H2135" i="22"/>
  <c r="H2136" i="22"/>
  <c r="H2137" i="22"/>
  <c r="H2138" i="22"/>
  <c r="H2139" i="22"/>
  <c r="H2140" i="22"/>
  <c r="H2141" i="22"/>
  <c r="H2142" i="22"/>
  <c r="H2143" i="22"/>
  <c r="H2144" i="22"/>
  <c r="H2145" i="22"/>
  <c r="H2146" i="22"/>
  <c r="H2147" i="22"/>
  <c r="H2148" i="22"/>
  <c r="H2149" i="22"/>
  <c r="H2150" i="22"/>
  <c r="H2151" i="22"/>
  <c r="H2152" i="22"/>
  <c r="H2153" i="22"/>
  <c r="H2154" i="22"/>
  <c r="H2155" i="22"/>
  <c r="H2156" i="22"/>
  <c r="H2157" i="22"/>
  <c r="H2158" i="22"/>
  <c r="H2159" i="22"/>
  <c r="H2160" i="22"/>
  <c r="H2161" i="22"/>
  <c r="H2162" i="22"/>
  <c r="H2163" i="22"/>
  <c r="H2164" i="22"/>
  <c r="H2165" i="22"/>
  <c r="H2166" i="22"/>
  <c r="H2167" i="22"/>
  <c r="H2168" i="22"/>
  <c r="H2169" i="22"/>
  <c r="H2170" i="22"/>
  <c r="H2171" i="22"/>
  <c r="H2172" i="22"/>
  <c r="H2173" i="22"/>
  <c r="H2174" i="22"/>
  <c r="H2175" i="22"/>
  <c r="H2176" i="22"/>
  <c r="H2177" i="22"/>
  <c r="H2178" i="22"/>
  <c r="C2077" i="22"/>
  <c r="E2077" i="22"/>
  <c r="F2077" i="22"/>
  <c r="G2077" i="22"/>
  <c r="R2077" i="22" s="1"/>
  <c r="B2078" i="22"/>
  <c r="CI41" i="22"/>
  <c r="S2124" i="22"/>
  <c r="T2105" i="22"/>
  <c r="T2123" i="22"/>
  <c r="S2123" i="22"/>
  <c r="T2110" i="22"/>
  <c r="S2110" i="22"/>
  <c r="T2122" i="22"/>
  <c r="S2122" i="22"/>
  <c r="S2105" i="22"/>
  <c r="S2103" i="22"/>
  <c r="T2121" i="22"/>
  <c r="S2121" i="22"/>
  <c r="T2109" i="22"/>
  <c r="T2120" i="22"/>
  <c r="S2120" i="22"/>
  <c r="S2109" i="22"/>
  <c r="T2102" i="22"/>
  <c r="T2119" i="22"/>
  <c r="S2119" i="22"/>
  <c r="T2118" i="22"/>
  <c r="S2118" i="22"/>
  <c r="T2108" i="22"/>
  <c r="S2108" i="22"/>
  <c r="T2117" i="22"/>
  <c r="S2117" i="22"/>
  <c r="T2104" i="22"/>
  <c r="AL41" i="22"/>
  <c r="S2104" i="22"/>
  <c r="T2116" i="22"/>
  <c r="S2084" i="22"/>
  <c r="T2084" i="22"/>
  <c r="AK41" i="22"/>
  <c r="S2111" i="22"/>
  <c r="S2085" i="22"/>
  <c r="T2085" i="22"/>
  <c r="S2086" i="22"/>
  <c r="T2086" i="22"/>
  <c r="S2087" i="22"/>
  <c r="T2087" i="22"/>
  <c r="S2088" i="22"/>
  <c r="T2088" i="22"/>
  <c r="S2089" i="22"/>
  <c r="T2089" i="22"/>
  <c r="S2090" i="22"/>
  <c r="T2090" i="22"/>
  <c r="S2091" i="22"/>
  <c r="T2091" i="22"/>
  <c r="S2092" i="22"/>
  <c r="T2092" i="22"/>
  <c r="S2093" i="22"/>
  <c r="T2093" i="22"/>
  <c r="S2094" i="22"/>
  <c r="T2094" i="22"/>
  <c r="S2095" i="22"/>
  <c r="T2095" i="22"/>
  <c r="S2096" i="22"/>
  <c r="T2096" i="22"/>
  <c r="S2097" i="22"/>
  <c r="T2097" i="22"/>
  <c r="S2098" i="22"/>
  <c r="T2098" i="22"/>
  <c r="S2099" i="22"/>
  <c r="T2114" i="22"/>
  <c r="T2099" i="22"/>
  <c r="S2107" i="22"/>
  <c r="S2115" i="22"/>
  <c r="T2115" i="22"/>
  <c r="T2107" i="22"/>
  <c r="S2100" i="22"/>
  <c r="T2100" i="22"/>
  <c r="S2116" i="22"/>
  <c r="S2114" i="22"/>
  <c r="T2113" i="22"/>
  <c r="S2113" i="22"/>
  <c r="T2106" i="22"/>
  <c r="S2106" i="22"/>
  <c r="S2102" i="22"/>
  <c r="T2112" i="22"/>
  <c r="S2112" i="22"/>
  <c r="T2103" i="22"/>
  <c r="T2111" i="22"/>
  <c r="S2101" i="22"/>
  <c r="T2101" i="22"/>
  <c r="S2077" i="22"/>
  <c r="T2077" i="22"/>
  <c r="T2124" i="22"/>
  <c r="S2078" i="22"/>
  <c r="T2078" i="22"/>
  <c r="S2079" i="22"/>
  <c r="T2079" i="22"/>
  <c r="S2080" i="22"/>
  <c r="T2080" i="22"/>
  <c r="S2081" i="22"/>
  <c r="T2081" i="22"/>
  <c r="S2082" i="22"/>
  <c r="T2082" i="22"/>
  <c r="S2083" i="22"/>
  <c r="T2083" i="22"/>
  <c r="A2075" i="22"/>
  <c r="B2075" i="22"/>
  <c r="E2074" i="22"/>
  <c r="H2077" i="22"/>
  <c r="H2078" i="22"/>
  <c r="H2079" i="22"/>
  <c r="H2080" i="22"/>
  <c r="H2081" i="22"/>
  <c r="H2082" i="22"/>
  <c r="H2083" i="22"/>
  <c r="H2084" i="22"/>
  <c r="H2085" i="22"/>
  <c r="H2086" i="22"/>
  <c r="H2087" i="22"/>
  <c r="H2088" i="22"/>
  <c r="H2089" i="22"/>
  <c r="H2090" i="22"/>
  <c r="H2091" i="22"/>
  <c r="H2092" i="22"/>
  <c r="H2093" i="22"/>
  <c r="H2094" i="22"/>
  <c r="H2095" i="22"/>
  <c r="H2096" i="22"/>
  <c r="H2097" i="22"/>
  <c r="H2098" i="22"/>
  <c r="H2099" i="22"/>
  <c r="H2100" i="22"/>
  <c r="H2101" i="22"/>
  <c r="H2102" i="22"/>
  <c r="BX41" i="22" s="1"/>
  <c r="H2103" i="22"/>
  <c r="BY41" i="22" s="1"/>
  <c r="H2104" i="22"/>
  <c r="BZ41" i="22" s="1"/>
  <c r="H2105" i="22"/>
  <c r="CA41" i="22" s="1"/>
  <c r="H2106" i="22"/>
  <c r="CB41" i="22" s="1"/>
  <c r="H2107" i="22"/>
  <c r="CC41" i="22" s="1"/>
  <c r="H2108" i="22"/>
  <c r="CD41" i="22" s="1"/>
  <c r="H2109" i="22"/>
  <c r="CE41" i="22" s="1"/>
  <c r="H2110" i="22"/>
  <c r="CF41" i="22" s="1"/>
  <c r="H2111" i="22"/>
  <c r="CG41" i="22" s="1"/>
  <c r="H2112" i="22"/>
  <c r="CH41" i="22" s="1"/>
  <c r="H2113" i="22"/>
  <c r="H2114" i="22"/>
  <c r="H2115" i="22"/>
  <c r="H2116" i="22"/>
  <c r="H2117" i="22"/>
  <c r="H2118" i="22"/>
  <c r="H2119" i="22"/>
  <c r="H2120" i="22"/>
  <c r="H2121" i="22"/>
  <c r="H2122" i="22"/>
  <c r="H2123" i="22"/>
  <c r="H2124" i="22"/>
  <c r="L2078" i="22"/>
  <c r="L2077" i="22"/>
  <c r="K2077" i="22"/>
  <c r="A41" i="22"/>
  <c r="G2023" i="22"/>
  <c r="B2024" i="22"/>
  <c r="C2023" i="22"/>
  <c r="F2023" i="22" s="1"/>
  <c r="E2023" i="22"/>
  <c r="CI40" i="22"/>
  <c r="T2069" i="22"/>
  <c r="S2069" i="22"/>
  <c r="T2035" i="22"/>
  <c r="T2068" i="22"/>
  <c r="T2045" i="22"/>
  <c r="S2068" i="22"/>
  <c r="S2045" i="22"/>
  <c r="T2044" i="22"/>
  <c r="T2067" i="22"/>
  <c r="S2067" i="22"/>
  <c r="T2050" i="22"/>
  <c r="S2044" i="22"/>
  <c r="T2066" i="22"/>
  <c r="S2066" i="22"/>
  <c r="T2048" i="22"/>
  <c r="T2065" i="22"/>
  <c r="S2065" i="22"/>
  <c r="T2043" i="22"/>
  <c r="S2048" i="22"/>
  <c r="T2064" i="22"/>
  <c r="S2064" i="22"/>
  <c r="T2052" i="22"/>
  <c r="T2063" i="22"/>
  <c r="S2063" i="22"/>
  <c r="T2062" i="22"/>
  <c r="S2062" i="22"/>
  <c r="AK40" i="22"/>
  <c r="AL40" i="22"/>
  <c r="T2061" i="22"/>
  <c r="S2061" i="22"/>
  <c r="T2047" i="22"/>
  <c r="S2043" i="22"/>
  <c r="T2060" i="22"/>
  <c r="S2051" i="22"/>
  <c r="T2051" i="22"/>
  <c r="S2060" i="22"/>
  <c r="S2047" i="22"/>
  <c r="T2042" i="22"/>
  <c r="T2059" i="22"/>
  <c r="S2059" i="22"/>
  <c r="S2042" i="22"/>
  <c r="S2052" i="22"/>
  <c r="S2050" i="22"/>
  <c r="T2058" i="22"/>
  <c r="S2058" i="22"/>
  <c r="T2041" i="22"/>
  <c r="S2041" i="22"/>
  <c r="T2046" i="22"/>
  <c r="T2057" i="22"/>
  <c r="S2057" i="22"/>
  <c r="S2053" i="22"/>
  <c r="T2040" i="22"/>
  <c r="S2046" i="22"/>
  <c r="T2049" i="22"/>
  <c r="S2040" i="22"/>
  <c r="T2055" i="22"/>
  <c r="S2049" i="22"/>
  <c r="T2039" i="22"/>
  <c r="S2039" i="22"/>
  <c r="S2023" i="22"/>
  <c r="T2023" i="22"/>
  <c r="S2024" i="22"/>
  <c r="T2024" i="22"/>
  <c r="S2055" i="22"/>
  <c r="T2038" i="22"/>
  <c r="S2025" i="22"/>
  <c r="T2025" i="22"/>
  <c r="S2038" i="22"/>
  <c r="S2026" i="22"/>
  <c r="T2026" i="22"/>
  <c r="T2037" i="22"/>
  <c r="S2037" i="22"/>
  <c r="S2027" i="22"/>
  <c r="T2027" i="22"/>
  <c r="T2036" i="22"/>
  <c r="S2028" i="22"/>
  <c r="T2028" i="22"/>
  <c r="S2036" i="22"/>
  <c r="S2029" i="22"/>
  <c r="T2029" i="22"/>
  <c r="T2070" i="22"/>
  <c r="S2070" i="22"/>
  <c r="S2030" i="22"/>
  <c r="T2030" i="22"/>
  <c r="S2031" i="22"/>
  <c r="T2031" i="22"/>
  <c r="S2032" i="22"/>
  <c r="T2032" i="22"/>
  <c r="S2033" i="22"/>
  <c r="T2033" i="22"/>
  <c r="T2053" i="22"/>
  <c r="S2034" i="22"/>
  <c r="T2034" i="22"/>
  <c r="S2035" i="22"/>
  <c r="T2056" i="22"/>
  <c r="S2054" i="22"/>
  <c r="T2054" i="22"/>
  <c r="S2056" i="22"/>
  <c r="B2021" i="22"/>
  <c r="J2021" i="22" s="1"/>
  <c r="A2021" i="22"/>
  <c r="E2020" i="22"/>
  <c r="H2023" i="22"/>
  <c r="H2024" i="22"/>
  <c r="H2025" i="22"/>
  <c r="H2026" i="22"/>
  <c r="H2027" i="22"/>
  <c r="H2028" i="22"/>
  <c r="H2029" i="22"/>
  <c r="H2030" i="22"/>
  <c r="H2031" i="22"/>
  <c r="H2032" i="22"/>
  <c r="H2033" i="22"/>
  <c r="H2034" i="22"/>
  <c r="H2035" i="22"/>
  <c r="H2036" i="22"/>
  <c r="H2037" i="22"/>
  <c r="H2038" i="22"/>
  <c r="H2039" i="22"/>
  <c r="H2040" i="22"/>
  <c r="H2041" i="22"/>
  <c r="H2042" i="22"/>
  <c r="H2043" i="22"/>
  <c r="H2044" i="22"/>
  <c r="H2045" i="22"/>
  <c r="H2046" i="22"/>
  <c r="H2047" i="22"/>
  <c r="H2048" i="22"/>
  <c r="BX40" i="22" s="1"/>
  <c r="H2049" i="22"/>
  <c r="BY40" i="22" s="1"/>
  <c r="H2050" i="22"/>
  <c r="BZ40" i="22" s="1"/>
  <c r="H2051" i="22"/>
  <c r="CA40" i="22" s="1"/>
  <c r="H2052" i="22"/>
  <c r="CB40" i="22" s="1"/>
  <c r="H2053" i="22"/>
  <c r="CC40" i="22" s="1"/>
  <c r="H2054" i="22"/>
  <c r="CD40" i="22" s="1"/>
  <c r="H2055" i="22"/>
  <c r="CE40" i="22" s="1"/>
  <c r="H2056" i="22"/>
  <c r="CF40" i="22" s="1"/>
  <c r="H2057" i="22"/>
  <c r="CG40" i="22" s="1"/>
  <c r="H2058" i="22"/>
  <c r="CH40" i="22" s="1"/>
  <c r="H2059" i="22"/>
  <c r="H2060" i="22"/>
  <c r="H2061" i="22"/>
  <c r="H2062" i="22"/>
  <c r="H2063" i="22"/>
  <c r="H2064" i="22"/>
  <c r="H2065" i="22"/>
  <c r="H2066" i="22"/>
  <c r="H2067" i="22"/>
  <c r="H2068" i="22"/>
  <c r="H2069" i="22"/>
  <c r="H2070" i="22"/>
  <c r="K2023" i="22"/>
  <c r="L2023" i="22"/>
  <c r="L2024" i="22"/>
  <c r="A40" i="22"/>
  <c r="B1970" i="22"/>
  <c r="G1969" i="22"/>
  <c r="E1969" i="22"/>
  <c r="C1969" i="22"/>
  <c r="F1969" i="22"/>
  <c r="CI39" i="22"/>
  <c r="T2004" i="22"/>
  <c r="T1978" i="22"/>
  <c r="S1978" i="22"/>
  <c r="T1972" i="22"/>
  <c r="T1977" i="22"/>
  <c r="T1970" i="22"/>
  <c r="S1977" i="22"/>
  <c r="T1976" i="22"/>
  <c r="S1976" i="22"/>
  <c r="S2005" i="22"/>
  <c r="T2005" i="22"/>
  <c r="T1975" i="22"/>
  <c r="S2006" i="22"/>
  <c r="T2006" i="22"/>
  <c r="S1975" i="22"/>
  <c r="S2007" i="22"/>
  <c r="T2007" i="22"/>
  <c r="T1974" i="22"/>
  <c r="S1974" i="22"/>
  <c r="S2008" i="22"/>
  <c r="T2008" i="22"/>
  <c r="T1973" i="22"/>
  <c r="S2009" i="22"/>
  <c r="T2009" i="22"/>
  <c r="S1973" i="22"/>
  <c r="S1971" i="22"/>
  <c r="S2010" i="22"/>
  <c r="T2010" i="22"/>
  <c r="S2011" i="22"/>
  <c r="T2011" i="22"/>
  <c r="S2012" i="22"/>
  <c r="T2012" i="22"/>
  <c r="S2013" i="22"/>
  <c r="T2013" i="22"/>
  <c r="S2014" i="22"/>
  <c r="T2014" i="22"/>
  <c r="S2015" i="22"/>
  <c r="T2015" i="22"/>
  <c r="S2016" i="22"/>
  <c r="T2016" i="22"/>
  <c r="S1969" i="22"/>
  <c r="S1970" i="22"/>
  <c r="S1972" i="22"/>
  <c r="T1969" i="22"/>
  <c r="T1971" i="22"/>
  <c r="AK39" i="22"/>
  <c r="AL39" i="22"/>
  <c r="S2004" i="22"/>
  <c r="T2003" i="22"/>
  <c r="S2003" i="22"/>
  <c r="T2002" i="22"/>
  <c r="S2002" i="22"/>
  <c r="T2001" i="22"/>
  <c r="S2001" i="22"/>
  <c r="T2000" i="22"/>
  <c r="S2000" i="22"/>
  <c r="T1999" i="22"/>
  <c r="S1999" i="22"/>
  <c r="T1998" i="22"/>
  <c r="S1998" i="22"/>
  <c r="T1997" i="22"/>
  <c r="S1997" i="22"/>
  <c r="T1996" i="22"/>
  <c r="S1996" i="22"/>
  <c r="T1995" i="22"/>
  <c r="S1995" i="22"/>
  <c r="T1994" i="22"/>
  <c r="S1994" i="22"/>
  <c r="T1993" i="22"/>
  <c r="S1993" i="22"/>
  <c r="T1992" i="22"/>
  <c r="S1992" i="22"/>
  <c r="T1991" i="22"/>
  <c r="S1991" i="22"/>
  <c r="T1990" i="22"/>
  <c r="S1990" i="22"/>
  <c r="T1989" i="22"/>
  <c r="S1989" i="22"/>
  <c r="T1988" i="22"/>
  <c r="S1988" i="22"/>
  <c r="T1987" i="22"/>
  <c r="S1987" i="22"/>
  <c r="T1986" i="22"/>
  <c r="S1986" i="22"/>
  <c r="T1985" i="22"/>
  <c r="S1985" i="22"/>
  <c r="T1984" i="22"/>
  <c r="S1984" i="22"/>
  <c r="T1983" i="22"/>
  <c r="S1983" i="22"/>
  <c r="T1982" i="22"/>
  <c r="S1982" i="22"/>
  <c r="T1981" i="22"/>
  <c r="S1981" i="22"/>
  <c r="T1980" i="22"/>
  <c r="S1980" i="22"/>
  <c r="T1979" i="22"/>
  <c r="S1979" i="22"/>
  <c r="A1967" i="22"/>
  <c r="B1967" i="22"/>
  <c r="E1966" i="22"/>
  <c r="H1974" i="22"/>
  <c r="H1975" i="22"/>
  <c r="H1976" i="22"/>
  <c r="H1977" i="22"/>
  <c r="H1978" i="22"/>
  <c r="H1979" i="22"/>
  <c r="H1980" i="22"/>
  <c r="H1981" i="22"/>
  <c r="H1982" i="22"/>
  <c r="H1983" i="22"/>
  <c r="H1984" i="22"/>
  <c r="H1985" i="22"/>
  <c r="H1986" i="22"/>
  <c r="H1987" i="22"/>
  <c r="H1988" i="22"/>
  <c r="H1989" i="22"/>
  <c r="H1990" i="22"/>
  <c r="H1991" i="22"/>
  <c r="H1992" i="22"/>
  <c r="H1993" i="22"/>
  <c r="H1994" i="22"/>
  <c r="BX39" i="22" s="1"/>
  <c r="H1995" i="22"/>
  <c r="BY39" i="22" s="1"/>
  <c r="H1996" i="22"/>
  <c r="BZ39" i="22" s="1"/>
  <c r="H1997" i="22"/>
  <c r="CA39" i="22" s="1"/>
  <c r="H1998" i="22"/>
  <c r="CB39" i="22" s="1"/>
  <c r="H1999" i="22"/>
  <c r="CC39" i="22" s="1"/>
  <c r="H2000" i="22"/>
  <c r="CD39" i="22" s="1"/>
  <c r="H2001" i="22"/>
  <c r="CE39" i="22" s="1"/>
  <c r="H2002" i="22"/>
  <c r="CF39" i="22" s="1"/>
  <c r="H2003" i="22"/>
  <c r="CG39" i="22" s="1"/>
  <c r="H2004" i="22"/>
  <c r="CH39" i="22" s="1"/>
  <c r="H2005" i="22"/>
  <c r="H2006" i="22"/>
  <c r="H2007" i="22"/>
  <c r="H2008" i="22"/>
  <c r="H2009" i="22"/>
  <c r="H2010" i="22"/>
  <c r="H2011" i="22"/>
  <c r="H2012" i="22"/>
  <c r="H2013" i="22"/>
  <c r="H2014" i="22"/>
  <c r="H2015" i="22"/>
  <c r="H2016" i="22"/>
  <c r="H1972" i="22"/>
  <c r="H1973" i="22"/>
  <c r="K1969" i="22"/>
  <c r="A39" i="22"/>
  <c r="L1969" i="22"/>
  <c r="L1970" i="22"/>
  <c r="G1915" i="22"/>
  <c r="E1915" i="22"/>
  <c r="C1915" i="22"/>
  <c r="F1915" i="22" s="1"/>
  <c r="B1916" i="22"/>
  <c r="S1958" i="22"/>
  <c r="T1957" i="22"/>
  <c r="S1957" i="22"/>
  <c r="T1956" i="22"/>
  <c r="S1956" i="22"/>
  <c r="T1955" i="22"/>
  <c r="S1955" i="22"/>
  <c r="T1954" i="22"/>
  <c r="S1954" i="22"/>
  <c r="T1953" i="22"/>
  <c r="S1953" i="22"/>
  <c r="T1952" i="22"/>
  <c r="S1952" i="22"/>
  <c r="T1951" i="22"/>
  <c r="S1951" i="22"/>
  <c r="T1950" i="22"/>
  <c r="S1950" i="22"/>
  <c r="T1949" i="22"/>
  <c r="S1949" i="22"/>
  <c r="T1948" i="22"/>
  <c r="S1948" i="22"/>
  <c r="T1947" i="22"/>
  <c r="S1947" i="22"/>
  <c r="T1946" i="22"/>
  <c r="S1946" i="22"/>
  <c r="T1945" i="22"/>
  <c r="S1945" i="22"/>
  <c r="T1944" i="22"/>
  <c r="S1944" i="22"/>
  <c r="T1943" i="22"/>
  <c r="S1943" i="22"/>
  <c r="T1942" i="22"/>
  <c r="S1942" i="22"/>
  <c r="T1941" i="22"/>
  <c r="S1941" i="22"/>
  <c r="T1940" i="22"/>
  <c r="S1940" i="22"/>
  <c r="T1939" i="22"/>
  <c r="S1939" i="22"/>
  <c r="T1938" i="22"/>
  <c r="S1938" i="22"/>
  <c r="T1937" i="22"/>
  <c r="S1937" i="22"/>
  <c r="T1936" i="22"/>
  <c r="S1936" i="22"/>
  <c r="T1935" i="22"/>
  <c r="S1935" i="22"/>
  <c r="T1934" i="22"/>
  <c r="S1934" i="22"/>
  <c r="T1933" i="22"/>
  <c r="S1933" i="22"/>
  <c r="T1932" i="22"/>
  <c r="S1932" i="22"/>
  <c r="T1931" i="22"/>
  <c r="S1931" i="22"/>
  <c r="T1930" i="22"/>
  <c r="S1930" i="22"/>
  <c r="T1929" i="22"/>
  <c r="S1929" i="22"/>
  <c r="T1928" i="22"/>
  <c r="S1928" i="22"/>
  <c r="T1927" i="22"/>
  <c r="S1927" i="22"/>
  <c r="T1926" i="22"/>
  <c r="S1926" i="22"/>
  <c r="T1925" i="22"/>
  <c r="S1925" i="22"/>
  <c r="T1924" i="22"/>
  <c r="S1924" i="22"/>
  <c r="T1923" i="22"/>
  <c r="S1923" i="22"/>
  <c r="T1922" i="22"/>
  <c r="S1922" i="22"/>
  <c r="T1921" i="22"/>
  <c r="S1921" i="22"/>
  <c r="T1920" i="22"/>
  <c r="S1920" i="22"/>
  <c r="T1919" i="22"/>
  <c r="S1919" i="22"/>
  <c r="T1918" i="22"/>
  <c r="S1918" i="22"/>
  <c r="T1917" i="22"/>
  <c r="S1917" i="22"/>
  <c r="T1916" i="22"/>
  <c r="S1916" i="22"/>
  <c r="T1915" i="22"/>
  <c r="S1915" i="22"/>
  <c r="T1960" i="22"/>
  <c r="S1960" i="22"/>
  <c r="T1959" i="22"/>
  <c r="S1959" i="22"/>
  <c r="T1958" i="22"/>
  <c r="B1913" i="22"/>
  <c r="A1913" i="22"/>
  <c r="E1912" i="22"/>
  <c r="H1918" i="22"/>
  <c r="H1919" i="22"/>
  <c r="H1920" i="22"/>
  <c r="H1921" i="22"/>
  <c r="H1922" i="22"/>
  <c r="H1923" i="22"/>
  <c r="H1924" i="22"/>
  <c r="H1925" i="22"/>
  <c r="H1926" i="22"/>
  <c r="H1927" i="22"/>
  <c r="H1928" i="22"/>
  <c r="H1929" i="22"/>
  <c r="H1930" i="22"/>
  <c r="H1931" i="22"/>
  <c r="H1932" i="22"/>
  <c r="H1933" i="22"/>
  <c r="H1934" i="22"/>
  <c r="H1935" i="22"/>
  <c r="H1936" i="22"/>
  <c r="H1937" i="22"/>
  <c r="H1938" i="22"/>
  <c r="H1939" i="22"/>
  <c r="BW38" i="22" s="1"/>
  <c r="H1940" i="22"/>
  <c r="BX38" i="22" s="1"/>
  <c r="H1941" i="22"/>
  <c r="BY38" i="22" s="1"/>
  <c r="H1942" i="22"/>
  <c r="BZ38" i="22" s="1"/>
  <c r="H1943" i="22"/>
  <c r="CA38" i="22" s="1"/>
  <c r="H1944" i="22"/>
  <c r="CB38" i="22" s="1"/>
  <c r="H1945" i="22"/>
  <c r="CC38" i="22" s="1"/>
  <c r="H1946" i="22"/>
  <c r="CD38" i="22" s="1"/>
  <c r="H1947" i="22"/>
  <c r="CE38" i="22" s="1"/>
  <c r="H1948" i="22"/>
  <c r="CF38" i="22" s="1"/>
  <c r="H1949" i="22"/>
  <c r="CG38" i="22" s="1"/>
  <c r="H1950" i="22"/>
  <c r="CH38" i="22" s="1"/>
  <c r="H1951" i="22"/>
  <c r="H1952" i="22"/>
  <c r="H1953" i="22"/>
  <c r="H1954" i="22"/>
  <c r="H1955" i="22"/>
  <c r="H1956" i="22"/>
  <c r="H1957" i="22"/>
  <c r="H1958" i="22"/>
  <c r="H1959" i="22"/>
  <c r="H1960" i="22"/>
  <c r="H1961" i="22"/>
  <c r="H1962" i="22"/>
  <c r="B1862" i="22"/>
  <c r="G1861" i="22"/>
  <c r="E1861" i="22"/>
  <c r="C1861" i="22"/>
  <c r="F1861" i="22" s="1"/>
  <c r="T1906" i="22"/>
  <c r="S1906" i="22"/>
  <c r="T1905" i="22"/>
  <c r="S1905" i="22"/>
  <c r="T1904" i="22"/>
  <c r="S1904" i="22"/>
  <c r="T1903" i="22"/>
  <c r="S1903" i="22"/>
  <c r="T1902" i="22"/>
  <c r="S1902" i="22"/>
  <c r="T1901" i="22"/>
  <c r="S1901" i="22"/>
  <c r="T1900" i="22"/>
  <c r="S1900" i="22"/>
  <c r="T1899" i="22"/>
  <c r="S1899" i="22"/>
  <c r="T1898" i="22"/>
  <c r="S1898" i="22"/>
  <c r="T1897" i="22"/>
  <c r="S1897" i="22"/>
  <c r="T1896" i="22"/>
  <c r="S1896" i="22"/>
  <c r="T1895" i="22"/>
  <c r="S1895" i="22"/>
  <c r="T1894" i="22"/>
  <c r="S1894" i="22"/>
  <c r="T1893" i="22"/>
  <c r="S1893" i="22"/>
  <c r="T1892" i="22"/>
  <c r="S1892" i="22"/>
  <c r="T1891" i="22"/>
  <c r="S1891" i="22"/>
  <c r="T1890" i="22"/>
  <c r="S1890" i="22"/>
  <c r="T1889" i="22"/>
  <c r="S1889" i="22"/>
  <c r="T1888" i="22"/>
  <c r="S1888" i="22"/>
  <c r="T1887" i="22"/>
  <c r="S1887" i="22"/>
  <c r="T1886" i="22"/>
  <c r="T1885" i="22"/>
  <c r="S1885" i="22"/>
  <c r="T1884" i="22"/>
  <c r="S1884" i="22"/>
  <c r="T1883" i="22"/>
  <c r="S1883" i="22"/>
  <c r="T1882" i="22"/>
  <c r="S1882" i="22"/>
  <c r="T1881" i="22"/>
  <c r="S1881" i="22"/>
  <c r="T1880" i="22"/>
  <c r="S1880" i="22"/>
  <c r="T1879" i="22"/>
  <c r="S1879" i="22"/>
  <c r="T1878" i="22"/>
  <c r="S1878" i="22"/>
  <c r="T1877" i="22"/>
  <c r="S1877" i="22"/>
  <c r="T1876" i="22"/>
  <c r="S1876" i="22"/>
  <c r="T1875" i="22"/>
  <c r="S1875" i="22"/>
  <c r="T1874" i="22"/>
  <c r="S1874" i="22"/>
  <c r="T1873" i="22"/>
  <c r="S1873" i="22"/>
  <c r="T1872" i="22"/>
  <c r="S1872" i="22"/>
  <c r="T1871" i="22"/>
  <c r="S1871" i="22"/>
  <c r="T1870" i="22"/>
  <c r="S1870" i="22"/>
  <c r="T1869" i="22"/>
  <c r="S1869" i="22"/>
  <c r="T1868" i="22"/>
  <c r="S1868" i="22"/>
  <c r="T1867" i="22"/>
  <c r="S1867" i="22"/>
  <c r="T1866" i="22"/>
  <c r="S1866" i="22"/>
  <c r="T1865" i="22"/>
  <c r="S1865" i="22"/>
  <c r="T1864" i="22"/>
  <c r="S1864" i="22"/>
  <c r="T1863" i="22"/>
  <c r="S1863" i="22"/>
  <c r="T1862" i="22"/>
  <c r="S1862" i="22"/>
  <c r="S1886" i="22"/>
  <c r="T1861" i="22"/>
  <c r="S1861" i="22"/>
  <c r="T1908" i="22"/>
  <c r="S1908" i="22"/>
  <c r="T1907" i="22"/>
  <c r="S1907" i="22"/>
  <c r="B1859" i="22"/>
  <c r="A1859" i="22"/>
  <c r="E1858" i="22"/>
  <c r="H1861" i="22"/>
  <c r="H1862" i="22"/>
  <c r="H1863" i="22"/>
  <c r="H1864" i="22"/>
  <c r="H1865" i="22"/>
  <c r="H1866" i="22"/>
  <c r="H1867" i="22"/>
  <c r="H1868" i="22"/>
  <c r="H1869" i="22"/>
  <c r="H1870" i="22"/>
  <c r="H1871" i="22"/>
  <c r="H1872" i="22"/>
  <c r="H1873" i="22"/>
  <c r="H1874" i="22"/>
  <c r="H1875" i="22"/>
  <c r="H1876" i="22"/>
  <c r="H1877" i="22"/>
  <c r="H1878" i="22"/>
  <c r="H1879" i="22"/>
  <c r="H1880" i="22"/>
  <c r="H1881" i="22"/>
  <c r="H1882" i="22"/>
  <c r="H1883" i="22"/>
  <c r="H1884" i="22"/>
  <c r="H1885" i="22"/>
  <c r="B1808" i="22"/>
  <c r="C1807" i="22"/>
  <c r="E1807" i="22"/>
  <c r="F1807" i="22"/>
  <c r="G1807" i="22"/>
  <c r="R1807" i="22" s="1"/>
  <c r="CI36" i="22"/>
  <c r="T1808" i="22"/>
  <c r="S1824" i="22"/>
  <c r="T1823" i="22"/>
  <c r="T1811" i="22"/>
  <c r="S1811" i="22"/>
  <c r="T1810" i="22"/>
  <c r="S1810" i="22"/>
  <c r="S1823" i="22"/>
  <c r="T1818" i="22"/>
  <c r="S1807" i="22"/>
  <c r="T1807" i="22"/>
  <c r="S1808" i="22"/>
  <c r="T1814" i="22"/>
  <c r="S1809" i="22"/>
  <c r="T1822" i="22"/>
  <c r="S1822" i="22"/>
  <c r="T1809" i="22"/>
  <c r="T1821" i="22"/>
  <c r="S1821" i="22"/>
  <c r="T1820" i="22"/>
  <c r="S1812" i="22"/>
  <c r="T1812" i="22"/>
  <c r="S1813" i="22"/>
  <c r="T1813" i="22"/>
  <c r="S1814" i="22"/>
  <c r="S1820" i="22"/>
  <c r="S1815" i="22"/>
  <c r="T1815" i="22"/>
  <c r="S1816" i="22"/>
  <c r="T1816" i="22"/>
  <c r="S1817" i="22"/>
  <c r="T1817" i="22"/>
  <c r="S1818" i="22"/>
  <c r="AK36" i="22"/>
  <c r="AL36" i="22"/>
  <c r="T1819" i="22"/>
  <c r="S1819" i="22"/>
  <c r="T1854" i="22"/>
  <c r="S1854" i="22"/>
  <c r="T1853" i="22"/>
  <c r="S1853" i="22"/>
  <c r="T1852" i="22"/>
  <c r="S1852" i="22"/>
  <c r="T1851" i="22"/>
  <c r="S1851" i="22"/>
  <c r="T1850" i="22"/>
  <c r="S1850" i="22"/>
  <c r="T1849" i="22"/>
  <c r="S1849" i="22"/>
  <c r="T1848" i="22"/>
  <c r="S1848" i="22"/>
  <c r="T1847" i="22"/>
  <c r="S1847" i="22"/>
  <c r="T1846" i="22"/>
  <c r="S1846" i="22"/>
  <c r="T1845" i="22"/>
  <c r="S1845" i="22"/>
  <c r="T1844" i="22"/>
  <c r="S1844" i="22"/>
  <c r="T1843" i="22"/>
  <c r="S1843" i="22"/>
  <c r="T1842" i="22"/>
  <c r="S1842" i="22"/>
  <c r="T1841" i="22"/>
  <c r="S1841" i="22"/>
  <c r="T1840" i="22"/>
  <c r="S1840" i="22"/>
  <c r="T1839" i="22"/>
  <c r="S1839" i="22"/>
  <c r="T1838" i="22"/>
  <c r="S1838" i="22"/>
  <c r="T1837" i="22"/>
  <c r="S1837" i="22"/>
  <c r="T1836" i="22"/>
  <c r="S1836" i="22"/>
  <c r="T1835" i="22"/>
  <c r="S1835" i="22"/>
  <c r="T1834" i="22"/>
  <c r="S1834" i="22"/>
  <c r="T1833" i="22"/>
  <c r="S1833" i="22"/>
  <c r="T1832" i="22"/>
  <c r="S1832" i="22"/>
  <c r="T1831" i="22"/>
  <c r="S1831" i="22"/>
  <c r="T1830" i="22"/>
  <c r="S1830" i="22"/>
  <c r="T1829" i="22"/>
  <c r="S1829" i="22"/>
  <c r="T1828" i="22"/>
  <c r="S1828" i="22"/>
  <c r="T1827" i="22"/>
  <c r="S1827" i="22"/>
  <c r="T1826" i="22"/>
  <c r="S1826" i="22"/>
  <c r="T1825" i="22"/>
  <c r="S1825" i="22"/>
  <c r="T1824" i="22"/>
  <c r="A1805" i="22"/>
  <c r="B1805" i="22"/>
  <c r="E1804" i="22"/>
  <c r="H1807" i="22"/>
  <c r="H1808" i="22"/>
  <c r="H1809" i="22"/>
  <c r="H1810" i="22"/>
  <c r="H1811" i="22"/>
  <c r="H1812" i="22"/>
  <c r="H1813" i="22"/>
  <c r="H1814" i="22"/>
  <c r="H1815" i="22"/>
  <c r="H1816" i="22"/>
  <c r="H1817" i="22"/>
  <c r="H1818" i="22"/>
  <c r="H1819" i="22"/>
  <c r="H1820" i="22"/>
  <c r="H1821" i="22"/>
  <c r="H1822" i="22"/>
  <c r="H1823" i="22"/>
  <c r="H1824" i="22"/>
  <c r="H1825" i="22"/>
  <c r="H1826" i="22"/>
  <c r="H1827" i="22"/>
  <c r="H1828" i="22"/>
  <c r="H1829" i="22"/>
  <c r="H1830" i="22"/>
  <c r="H1831" i="22"/>
  <c r="H1832" i="22"/>
  <c r="H1833" i="22"/>
  <c r="H1834" i="22"/>
  <c r="H1835" i="22"/>
  <c r="H1836" i="22"/>
  <c r="H1837" i="22"/>
  <c r="H1838" i="22"/>
  <c r="H1839" i="22"/>
  <c r="H1840" i="22"/>
  <c r="H1841" i="22"/>
  <c r="H1842" i="22"/>
  <c r="H1843" i="22"/>
  <c r="H1844" i="22"/>
  <c r="H1845" i="22"/>
  <c r="H1846" i="22"/>
  <c r="H1847" i="22"/>
  <c r="H1848" i="22"/>
  <c r="H1849" i="22"/>
  <c r="H1850" i="22"/>
  <c r="H1851" i="22"/>
  <c r="H1852" i="22"/>
  <c r="H1853" i="22"/>
  <c r="H1854" i="22"/>
  <c r="E1753" i="22"/>
  <c r="C1753" i="22"/>
  <c r="F1753" i="22" s="1"/>
  <c r="G1753" i="22"/>
  <c r="R1753" i="22" s="1"/>
  <c r="B1754" i="22"/>
  <c r="CI35" i="22"/>
  <c r="S1764" i="22"/>
  <c r="T1764" i="22"/>
  <c r="S1777" i="22"/>
  <c r="T1777" i="22"/>
  <c r="T1759" i="22"/>
  <c r="S1778" i="22"/>
  <c r="T1778" i="22"/>
  <c r="S1765" i="22"/>
  <c r="S1779" i="22"/>
  <c r="T1779" i="22"/>
  <c r="AL35" i="22"/>
  <c r="AK35" i="22"/>
  <c r="S1763" i="22"/>
  <c r="T1755" i="22"/>
  <c r="S1755" i="22"/>
  <c r="T1754" i="22"/>
  <c r="S1754" i="22"/>
  <c r="T1753" i="22"/>
  <c r="T1765" i="22"/>
  <c r="S1780" i="22"/>
  <c r="T1757" i="22"/>
  <c r="S1753" i="22"/>
  <c r="S1781" i="22"/>
  <c r="T1781" i="22"/>
  <c r="S1766" i="22"/>
  <c r="T1766" i="22"/>
  <c r="S1782" i="22"/>
  <c r="T1782" i="22"/>
  <c r="S1760" i="22"/>
  <c r="S1783" i="22"/>
  <c r="T1783" i="22"/>
  <c r="T1760" i="22"/>
  <c r="S1767" i="22"/>
  <c r="S1784" i="22"/>
  <c r="T1784" i="22"/>
  <c r="T1767" i="22"/>
  <c r="S1785" i="22"/>
  <c r="T1785" i="22"/>
  <c r="S1786" i="22"/>
  <c r="T1786" i="22"/>
  <c r="S1768" i="22"/>
  <c r="T1768" i="22"/>
  <c r="S1787" i="22"/>
  <c r="T1787" i="22"/>
  <c r="S1756" i="22"/>
  <c r="S1788" i="22"/>
  <c r="T1788" i="22"/>
  <c r="S1761" i="22"/>
  <c r="S1769" i="22"/>
  <c r="S1789" i="22"/>
  <c r="T1789" i="22"/>
  <c r="T1769" i="22"/>
  <c r="S1790" i="22"/>
  <c r="T1790" i="22"/>
  <c r="T1761" i="22"/>
  <c r="S1791" i="22"/>
  <c r="T1791" i="22"/>
  <c r="S1770" i="22"/>
  <c r="T1770" i="22"/>
  <c r="S1792" i="22"/>
  <c r="T1792" i="22"/>
  <c r="S1758" i="22"/>
  <c r="S1793" i="22"/>
  <c r="T1793" i="22"/>
  <c r="T1758" i="22"/>
  <c r="S1771" i="22"/>
  <c r="S1794" i="22"/>
  <c r="T1794" i="22"/>
  <c r="T1771" i="22"/>
  <c r="S1797" i="22"/>
  <c r="S1795" i="22"/>
  <c r="T1795" i="22"/>
  <c r="S1762" i="22"/>
  <c r="T1762" i="22"/>
  <c r="S1796" i="22"/>
  <c r="T1796" i="22"/>
  <c r="S1772" i="22"/>
  <c r="T1772" i="22"/>
  <c r="T1797" i="22"/>
  <c r="S1798" i="22"/>
  <c r="T1798" i="22"/>
  <c r="S1773" i="22"/>
  <c r="S1799" i="22"/>
  <c r="T1799" i="22"/>
  <c r="T1773" i="22"/>
  <c r="S1800" i="22"/>
  <c r="T1800" i="22"/>
  <c r="T1756" i="22"/>
  <c r="T1780" i="22"/>
  <c r="S1774" i="22"/>
  <c r="T1774" i="22"/>
  <c r="T1763" i="22"/>
  <c r="S1775" i="22"/>
  <c r="T1775" i="22"/>
  <c r="S1757" i="22"/>
  <c r="S1759" i="22"/>
  <c r="S1776" i="22"/>
  <c r="T1776" i="22"/>
  <c r="A1751" i="22"/>
  <c r="B1751" i="22"/>
  <c r="E1750" i="22"/>
  <c r="H1753" i="22"/>
  <c r="H1754" i="22"/>
  <c r="H1755" i="22"/>
  <c r="H1756" i="22"/>
  <c r="H1757" i="22"/>
  <c r="H1758" i="22"/>
  <c r="H1759" i="22"/>
  <c r="H1760" i="22"/>
  <c r="H1761" i="22"/>
  <c r="H1762" i="22"/>
  <c r="H1763" i="22"/>
  <c r="H1764" i="22"/>
  <c r="H1765" i="22"/>
  <c r="H1766" i="22"/>
  <c r="H1767" i="22"/>
  <c r="H1768" i="22"/>
  <c r="H1769" i="22"/>
  <c r="H1770" i="22"/>
  <c r="H1771" i="22"/>
  <c r="H1772" i="22"/>
  <c r="H1773" i="22"/>
  <c r="H1774" i="22"/>
  <c r="H1775" i="22"/>
  <c r="H1776" i="22"/>
  <c r="H1777" i="22"/>
  <c r="BW35" i="22" s="1"/>
  <c r="H1778" i="22"/>
  <c r="BX35" i="22" s="1"/>
  <c r="H1779" i="22"/>
  <c r="BY35" i="22" s="1"/>
  <c r="H1780" i="22"/>
  <c r="BZ35" i="22" s="1"/>
  <c r="H1781" i="22"/>
  <c r="CA35" i="22" s="1"/>
  <c r="H1782" i="22"/>
  <c r="CB35" i="22" s="1"/>
  <c r="H1783" i="22"/>
  <c r="CC35" i="22" s="1"/>
  <c r="H1784" i="22"/>
  <c r="CD35" i="22" s="1"/>
  <c r="H1785" i="22"/>
  <c r="CE35" i="22" s="1"/>
  <c r="H1786" i="22"/>
  <c r="CF35" i="22" s="1"/>
  <c r="H1787" i="22"/>
  <c r="CG35" i="22" s="1"/>
  <c r="H1788" i="22"/>
  <c r="CH35" i="22" s="1"/>
  <c r="H1789" i="22"/>
  <c r="H1790" i="22"/>
  <c r="H1791" i="22"/>
  <c r="H1792" i="22"/>
  <c r="H1793" i="22"/>
  <c r="H1794" i="22"/>
  <c r="H1795" i="22"/>
  <c r="H1796" i="22"/>
  <c r="H1797" i="22"/>
  <c r="H1798" i="22"/>
  <c r="H1799" i="22"/>
  <c r="H1800" i="22"/>
  <c r="L1754" i="22"/>
  <c r="L1753" i="22"/>
  <c r="K1753" i="22"/>
  <c r="A35" i="22"/>
  <c r="B1700" i="22"/>
  <c r="E1699" i="22"/>
  <c r="C1699" i="22"/>
  <c r="F1699" i="22" s="1"/>
  <c r="G1699" i="22"/>
  <c r="CI34" i="22"/>
  <c r="T1734" i="22"/>
  <c r="S1734" i="22"/>
  <c r="S1700" i="22"/>
  <c r="T1733" i="22"/>
  <c r="S1733" i="22"/>
  <c r="T1699" i="22"/>
  <c r="S1699" i="22"/>
  <c r="T1732" i="22"/>
  <c r="S1732" i="22"/>
  <c r="T1731" i="22"/>
  <c r="S1731" i="22"/>
  <c r="AL34" i="22"/>
  <c r="AK34" i="22"/>
  <c r="T1730" i="22"/>
  <c r="S1730" i="22"/>
  <c r="T1746" i="22"/>
  <c r="T1729" i="22"/>
  <c r="S1729" i="22"/>
  <c r="S1746" i="22"/>
  <c r="T1728" i="22"/>
  <c r="S1728" i="22"/>
  <c r="T1745" i="22"/>
  <c r="S1745" i="22"/>
  <c r="T1727" i="22"/>
  <c r="S1727" i="22"/>
  <c r="T1744" i="22"/>
  <c r="T1726" i="22"/>
  <c r="S1726" i="22"/>
  <c r="S1744" i="22"/>
  <c r="T1725" i="22"/>
  <c r="S1725" i="22"/>
  <c r="T1743" i="22"/>
  <c r="S1743" i="22"/>
  <c r="T1724" i="22"/>
  <c r="S1724" i="22"/>
  <c r="T1742" i="22"/>
  <c r="T1723" i="22"/>
  <c r="S1723" i="22"/>
  <c r="S1742" i="22"/>
  <c r="T1722" i="22"/>
  <c r="S1722" i="22"/>
  <c r="S1741" i="22"/>
  <c r="T1721" i="22"/>
  <c r="S1721" i="22"/>
  <c r="T1740" i="22"/>
  <c r="S1740" i="22"/>
  <c r="T1720" i="22"/>
  <c r="S1720" i="22"/>
  <c r="T1739" i="22"/>
  <c r="T1719" i="22"/>
  <c r="S1719" i="22"/>
  <c r="S1739" i="22"/>
  <c r="T1718" i="22"/>
  <c r="S1718" i="22"/>
  <c r="T1738" i="22"/>
  <c r="S1738" i="22"/>
  <c r="T1717" i="22"/>
  <c r="S1717" i="22"/>
  <c r="T1737" i="22"/>
  <c r="T1716" i="22"/>
  <c r="S1716" i="22"/>
  <c r="S1737" i="22"/>
  <c r="T1715" i="22"/>
  <c r="S1715" i="22"/>
  <c r="T1736" i="22"/>
  <c r="S1736" i="22"/>
  <c r="T1714" i="22"/>
  <c r="S1714" i="22"/>
  <c r="T1735" i="22"/>
  <c r="T1713" i="22"/>
  <c r="S1713" i="22"/>
  <c r="S1735" i="22"/>
  <c r="T1712" i="22"/>
  <c r="S1712" i="22"/>
  <c r="T1711" i="22"/>
  <c r="T1741" i="22"/>
  <c r="S1711" i="22"/>
  <c r="T1710" i="22"/>
  <c r="S1710" i="22"/>
  <c r="T1709" i="22"/>
  <c r="S1709" i="22"/>
  <c r="T1708" i="22"/>
  <c r="S1708" i="22"/>
  <c r="T1701" i="22"/>
  <c r="T1707" i="22"/>
  <c r="S1707" i="22"/>
  <c r="T1706" i="22"/>
  <c r="S1706" i="22"/>
  <c r="T1705" i="22"/>
  <c r="S1705" i="22"/>
  <c r="T1704" i="22"/>
  <c r="S1704" i="22"/>
  <c r="T1703" i="22"/>
  <c r="S1703" i="22"/>
  <c r="T1702" i="22"/>
  <c r="S1702" i="22"/>
  <c r="S1701" i="22"/>
  <c r="T1700" i="22"/>
  <c r="B1697" i="22"/>
  <c r="A1697" i="22"/>
  <c r="E1696" i="22"/>
  <c r="H1699" i="22"/>
  <c r="H1700" i="22"/>
  <c r="H1701" i="22"/>
  <c r="H1702" i="22"/>
  <c r="H1703" i="22"/>
  <c r="H1704" i="22"/>
  <c r="H1705" i="22"/>
  <c r="H1706" i="22"/>
  <c r="H1707" i="22"/>
  <c r="H1708" i="22"/>
  <c r="H1709" i="22"/>
  <c r="H1710" i="22"/>
  <c r="H1711" i="22"/>
  <c r="H1712" i="22"/>
  <c r="H1713" i="22"/>
  <c r="H1714" i="22"/>
  <c r="H1715" i="22"/>
  <c r="H1716" i="22"/>
  <c r="H1717" i="22"/>
  <c r="H1718" i="22"/>
  <c r="H1719" i="22"/>
  <c r="H1720" i="22"/>
  <c r="H1721" i="22"/>
  <c r="H1722" i="22"/>
  <c r="H1723" i="22"/>
  <c r="H1724" i="22"/>
  <c r="BX34" i="22" s="1"/>
  <c r="H1725" i="22"/>
  <c r="BY34" i="22" s="1"/>
  <c r="H1726" i="22"/>
  <c r="BZ34" i="22" s="1"/>
  <c r="H1727" i="22"/>
  <c r="CA34" i="22" s="1"/>
  <c r="H1728" i="22"/>
  <c r="CB34" i="22" s="1"/>
  <c r="H1729" i="22"/>
  <c r="CC34" i="22" s="1"/>
  <c r="H1730" i="22"/>
  <c r="CD34" i="22" s="1"/>
  <c r="H1731" i="22"/>
  <c r="CE34" i="22" s="1"/>
  <c r="H1732" i="22"/>
  <c r="CF34" i="22" s="1"/>
  <c r="H1733" i="22"/>
  <c r="CG34" i="22" s="1"/>
  <c r="H1734" i="22"/>
  <c r="CH34" i="22" s="1"/>
  <c r="H1735" i="22"/>
  <c r="H1736" i="22"/>
  <c r="H1737" i="22"/>
  <c r="H1738" i="22"/>
  <c r="H1739" i="22"/>
  <c r="H1740" i="22"/>
  <c r="H1741" i="22"/>
  <c r="H1742" i="22"/>
  <c r="H1743" i="22"/>
  <c r="H1744" i="22"/>
  <c r="H1745" i="22"/>
  <c r="H1746" i="22"/>
  <c r="L1700" i="22"/>
  <c r="L1699" i="22"/>
  <c r="K1699" i="22"/>
  <c r="A34" i="22"/>
  <c r="B1646" i="22"/>
  <c r="C1645" i="22"/>
  <c r="F1645" i="22" s="1"/>
  <c r="E1645" i="22"/>
  <c r="G1645" i="22"/>
  <c r="T1648" i="22"/>
  <c r="S1648" i="22"/>
  <c r="T1647" i="22"/>
  <c r="S1647" i="22"/>
  <c r="T1646" i="22"/>
  <c r="S1646" i="22"/>
  <c r="T1645" i="22"/>
  <c r="S1645" i="22"/>
  <c r="T1653" i="22"/>
  <c r="S1653" i="22"/>
  <c r="T1652" i="22"/>
  <c r="S1652" i="22"/>
  <c r="T1651" i="22"/>
  <c r="S1651" i="22"/>
  <c r="T1650" i="22"/>
  <c r="S1650" i="22"/>
  <c r="T1649" i="22"/>
  <c r="S1649" i="22"/>
  <c r="B1643" i="22"/>
  <c r="A1643" i="22"/>
  <c r="E1642" i="22"/>
  <c r="H1645" i="22"/>
  <c r="H1646" i="22"/>
  <c r="H1647" i="22"/>
  <c r="H1648" i="22"/>
  <c r="H1649" i="22"/>
  <c r="H1650" i="22"/>
  <c r="H1651" i="22"/>
  <c r="H1652" i="22"/>
  <c r="H1653" i="22"/>
  <c r="H1654" i="22"/>
  <c r="H1655" i="22"/>
  <c r="H1656" i="22"/>
  <c r="H1657" i="22"/>
  <c r="H1658" i="22"/>
  <c r="H1659" i="22"/>
  <c r="H1660" i="22"/>
  <c r="H1661" i="22"/>
  <c r="H1662" i="22"/>
  <c r="H1663" i="22"/>
  <c r="H1664" i="22"/>
  <c r="H1665" i="22"/>
  <c r="H1666" i="22"/>
  <c r="H1667" i="22"/>
  <c r="H1668" i="22"/>
  <c r="H1669" i="22"/>
  <c r="BW33" i="22" s="1"/>
  <c r="H1670" i="22"/>
  <c r="BX33" i="22" s="1"/>
  <c r="H1671" i="22"/>
  <c r="BY33" i="22" s="1"/>
  <c r="H1672" i="22"/>
  <c r="BZ33" i="22" s="1"/>
  <c r="H1673" i="22"/>
  <c r="CA33" i="22" s="1"/>
  <c r="H1674" i="22"/>
  <c r="CB33" i="22" s="1"/>
  <c r="H1675" i="22"/>
  <c r="CC33" i="22" s="1"/>
  <c r="H1676" i="22"/>
  <c r="CD33" i="22" s="1"/>
  <c r="H1677" i="22"/>
  <c r="CE33" i="22" s="1"/>
  <c r="H1678" i="22"/>
  <c r="CF33" i="22" s="1"/>
  <c r="H1679" i="22"/>
  <c r="CG33" i="22" s="1"/>
  <c r="H1680" i="22"/>
  <c r="CH33" i="22" s="1"/>
  <c r="H1681" i="22"/>
  <c r="H1682" i="22"/>
  <c r="H1683" i="22"/>
  <c r="H1684" i="22"/>
  <c r="H1685" i="22"/>
  <c r="H1686" i="22"/>
  <c r="H1687" i="22"/>
  <c r="H1688" i="22"/>
  <c r="H1689" i="22"/>
  <c r="H1690" i="22"/>
  <c r="H1691" i="22"/>
  <c r="H1692" i="22"/>
  <c r="G1591" i="22"/>
  <c r="B1592" i="22"/>
  <c r="C1591" i="22"/>
  <c r="F1591" i="22" s="1"/>
  <c r="E1591" i="22"/>
  <c r="T1605" i="22"/>
  <c r="S1605" i="22"/>
  <c r="T1604" i="22"/>
  <c r="S1604" i="22"/>
  <c r="T1603" i="22"/>
  <c r="S1603" i="22"/>
  <c r="S1596" i="22"/>
  <c r="T1596" i="22"/>
  <c r="S1597" i="22"/>
  <c r="T1597" i="22"/>
  <c r="S1598" i="22"/>
  <c r="T1598" i="22"/>
  <c r="S1599" i="22"/>
  <c r="T1599" i="22"/>
  <c r="T1602" i="22"/>
  <c r="S1602" i="22"/>
  <c r="T1601" i="22"/>
  <c r="S1601" i="22"/>
  <c r="T1600" i="22"/>
  <c r="T1638" i="22"/>
  <c r="S1638" i="22"/>
  <c r="T1637" i="22"/>
  <c r="S1610" i="22"/>
  <c r="T1609" i="22"/>
  <c r="T1595" i="22"/>
  <c r="S1609" i="22"/>
  <c r="T1608" i="22"/>
  <c r="S1608" i="22"/>
  <c r="S1591" i="22"/>
  <c r="T1591" i="22"/>
  <c r="S1592" i="22"/>
  <c r="T1592" i="22"/>
  <c r="S1593" i="22"/>
  <c r="T1593" i="22"/>
  <c r="S1594" i="22"/>
  <c r="T1594" i="22"/>
  <c r="S1595" i="22"/>
  <c r="T1607" i="22"/>
  <c r="S1607" i="22"/>
  <c r="T1606" i="22"/>
  <c r="S1606" i="22"/>
  <c r="S1637" i="22"/>
  <c r="T1636" i="22"/>
  <c r="S1636" i="22"/>
  <c r="S1600" i="22"/>
  <c r="T1635" i="22"/>
  <c r="S1635" i="22"/>
  <c r="T1634" i="22"/>
  <c r="S1634" i="22"/>
  <c r="T1633" i="22"/>
  <c r="S1633" i="22"/>
  <c r="T1632" i="22"/>
  <c r="S1632" i="22"/>
  <c r="T1631" i="22"/>
  <c r="S1631" i="22"/>
  <c r="T1630" i="22"/>
  <c r="S1630" i="22"/>
  <c r="T1629" i="22"/>
  <c r="S1629" i="22"/>
  <c r="T1628" i="22"/>
  <c r="S1628" i="22"/>
  <c r="T1627" i="22"/>
  <c r="S1627" i="22"/>
  <c r="T1626" i="22"/>
  <c r="S1626" i="22"/>
  <c r="T1625" i="22"/>
  <c r="S1625" i="22"/>
  <c r="T1624" i="22"/>
  <c r="S1624" i="22"/>
  <c r="T1623" i="22"/>
  <c r="S1623" i="22"/>
  <c r="T1622" i="22"/>
  <c r="S1622" i="22"/>
  <c r="T1621" i="22"/>
  <c r="S1621" i="22"/>
  <c r="T1620" i="22"/>
  <c r="S1620" i="22"/>
  <c r="T1619" i="22"/>
  <c r="S1619" i="22"/>
  <c r="T1618" i="22"/>
  <c r="S1618" i="22"/>
  <c r="T1617" i="22"/>
  <c r="S1617" i="22"/>
  <c r="T1616" i="22"/>
  <c r="S1616" i="22"/>
  <c r="T1615" i="22"/>
  <c r="S1615" i="22"/>
  <c r="T1614" i="22"/>
  <c r="S1614" i="22"/>
  <c r="T1613" i="22"/>
  <c r="S1613" i="22"/>
  <c r="T1612" i="22"/>
  <c r="S1612" i="22"/>
  <c r="T1611" i="22"/>
  <c r="S1611" i="22"/>
  <c r="T1610" i="22"/>
  <c r="A1589" i="22"/>
  <c r="B1589" i="22"/>
  <c r="E1588" i="22"/>
  <c r="H1600" i="22"/>
  <c r="H1601" i="22"/>
  <c r="H1602" i="22"/>
  <c r="H1603" i="22"/>
  <c r="H1604" i="22"/>
  <c r="H1605" i="22"/>
  <c r="H1606" i="22"/>
  <c r="H1607" i="22"/>
  <c r="H1608" i="22"/>
  <c r="H1609" i="22"/>
  <c r="H1610" i="22"/>
  <c r="H1611" i="22"/>
  <c r="H1612" i="22"/>
  <c r="H1613" i="22"/>
  <c r="H1614" i="22"/>
  <c r="H1615" i="22"/>
  <c r="BW32" i="22" s="1"/>
  <c r="H1616" i="22"/>
  <c r="BX32" i="22" s="1"/>
  <c r="H1617" i="22"/>
  <c r="BY32" i="22" s="1"/>
  <c r="H1618" i="22"/>
  <c r="BZ32" i="22" s="1"/>
  <c r="H1619" i="22"/>
  <c r="CA32" i="22" s="1"/>
  <c r="H1620" i="22"/>
  <c r="CB32" i="22" s="1"/>
  <c r="H1621" i="22"/>
  <c r="CC32" i="22" s="1"/>
  <c r="H1622" i="22"/>
  <c r="CD32" i="22" s="1"/>
  <c r="H1623" i="22"/>
  <c r="CE32" i="22" s="1"/>
  <c r="H1624" i="22"/>
  <c r="CF32" i="22" s="1"/>
  <c r="H1625" i="22"/>
  <c r="CG32" i="22" s="1"/>
  <c r="H1626" i="22"/>
  <c r="CH32" i="22" s="1"/>
  <c r="H1627" i="22"/>
  <c r="H1628" i="22"/>
  <c r="H1629" i="22"/>
  <c r="H1630" i="22"/>
  <c r="H1631" i="22"/>
  <c r="H1632" i="22"/>
  <c r="H1633" i="22"/>
  <c r="H1634" i="22"/>
  <c r="H1635" i="22"/>
  <c r="H1636" i="22"/>
  <c r="H1637" i="22"/>
  <c r="H1638" i="22"/>
  <c r="C1537" i="22"/>
  <c r="F1537" i="22" s="1"/>
  <c r="E1537" i="22"/>
  <c r="G1537" i="22"/>
  <c r="B1538" i="22"/>
  <c r="T1538" i="22"/>
  <c r="S1572" i="22"/>
  <c r="S1573" i="22"/>
  <c r="T1550" i="22"/>
  <c r="T1572" i="22"/>
  <c r="T1573" i="22"/>
  <c r="S1574" i="22"/>
  <c r="T1584" i="22"/>
  <c r="S1584" i="22"/>
  <c r="T1583" i="22"/>
  <c r="S1583" i="22"/>
  <c r="T1582" i="22"/>
  <c r="S1582" i="22"/>
  <c r="T1581" i="22"/>
  <c r="S1581" i="22"/>
  <c r="T1580" i="22"/>
  <c r="S1580" i="22"/>
  <c r="T1579" i="22"/>
  <c r="S1579" i="22"/>
  <c r="T1578" i="22"/>
  <c r="S1578" i="22"/>
  <c r="T1577" i="22"/>
  <c r="S1577" i="22"/>
  <c r="T1576" i="22"/>
  <c r="S1576" i="22"/>
  <c r="T1575" i="22"/>
  <c r="S1575" i="22"/>
  <c r="S1537" i="22"/>
  <c r="T1537" i="22"/>
  <c r="S1538" i="22"/>
  <c r="S1539" i="22"/>
  <c r="T1539" i="22"/>
  <c r="S1540" i="22"/>
  <c r="T1540" i="22"/>
  <c r="S1541" i="22"/>
  <c r="T1541" i="22"/>
  <c r="S1542" i="22"/>
  <c r="T1542" i="22"/>
  <c r="S1543" i="22"/>
  <c r="T1543" i="22"/>
  <c r="S1544" i="22"/>
  <c r="T1544" i="22"/>
  <c r="S1545" i="22"/>
  <c r="T1545" i="22"/>
  <c r="S1546" i="22"/>
  <c r="T1546" i="22"/>
  <c r="S1547" i="22"/>
  <c r="T1547" i="22"/>
  <c r="S1548" i="22"/>
  <c r="T1548" i="22"/>
  <c r="S1549" i="22"/>
  <c r="T1549" i="22"/>
  <c r="S1550" i="22"/>
  <c r="S1551" i="22"/>
  <c r="T1551" i="22"/>
  <c r="S1552" i="22"/>
  <c r="T1552" i="22"/>
  <c r="S1553" i="22"/>
  <c r="T1553" i="22"/>
  <c r="S1554" i="22"/>
  <c r="T1554" i="22"/>
  <c r="S1555" i="22"/>
  <c r="T1555" i="22"/>
  <c r="S1556" i="22"/>
  <c r="T1556" i="22"/>
  <c r="S1557" i="22"/>
  <c r="T1557" i="22"/>
  <c r="S1558" i="22"/>
  <c r="T1558" i="22"/>
  <c r="S1559" i="22"/>
  <c r="T1559" i="22"/>
  <c r="S1560" i="22"/>
  <c r="T1560" i="22"/>
  <c r="S1561" i="22"/>
  <c r="T1561" i="22"/>
  <c r="S1562" i="22"/>
  <c r="T1562" i="22"/>
  <c r="S1563" i="22"/>
  <c r="T1563" i="22"/>
  <c r="S1564" i="22"/>
  <c r="T1564" i="22"/>
  <c r="S1565" i="22"/>
  <c r="T1565" i="22"/>
  <c r="S1566" i="22"/>
  <c r="T1566" i="22"/>
  <c r="S1567" i="22"/>
  <c r="T1567" i="22"/>
  <c r="S1568" i="22"/>
  <c r="T1568" i="22"/>
  <c r="T1574" i="22"/>
  <c r="S1569" i="22"/>
  <c r="T1569" i="22"/>
  <c r="S1570" i="22"/>
  <c r="T1570" i="22"/>
  <c r="S1571" i="22"/>
  <c r="T1571" i="22"/>
  <c r="B1535" i="22"/>
  <c r="A1535" i="22"/>
  <c r="E1534" i="22"/>
  <c r="H1538" i="22"/>
  <c r="H1540" i="22"/>
  <c r="H1541" i="22"/>
  <c r="H1542" i="22"/>
  <c r="H1543" i="22"/>
  <c r="H1544" i="22"/>
  <c r="H1545" i="22"/>
  <c r="H1546" i="22"/>
  <c r="H1547" i="22"/>
  <c r="H1548" i="22"/>
  <c r="H1549" i="22"/>
  <c r="H1550" i="22"/>
  <c r="H1551" i="22"/>
  <c r="H1552" i="22"/>
  <c r="H1553" i="22"/>
  <c r="H1554" i="22"/>
  <c r="H1555" i="22"/>
  <c r="H1556" i="22"/>
  <c r="H1557" i="22"/>
  <c r="H1558" i="22"/>
  <c r="H1559" i="22"/>
  <c r="H1560" i="22"/>
  <c r="H1561" i="22"/>
  <c r="BW31" i="22" s="1"/>
  <c r="G1483" i="22"/>
  <c r="C1483" i="22"/>
  <c r="F1483" i="22"/>
  <c r="B1484" i="22"/>
  <c r="E1483" i="22"/>
  <c r="CI30" i="22"/>
  <c r="T1510" i="22"/>
  <c r="S1511" i="22"/>
  <c r="T1511" i="22"/>
  <c r="S1512" i="22"/>
  <c r="T1512" i="22"/>
  <c r="S1513" i="22"/>
  <c r="T1513" i="22"/>
  <c r="S1514" i="22"/>
  <c r="T1514" i="22"/>
  <c r="S1515" i="22"/>
  <c r="T1515" i="22"/>
  <c r="S1516" i="22"/>
  <c r="T1516" i="22"/>
  <c r="S1517" i="22"/>
  <c r="T1517" i="22"/>
  <c r="S1518" i="22"/>
  <c r="T1518" i="22"/>
  <c r="S1519" i="22"/>
  <c r="T1519" i="22"/>
  <c r="S1520" i="22"/>
  <c r="T1520" i="22"/>
  <c r="S1521" i="22"/>
  <c r="T1521" i="22"/>
  <c r="S1522" i="22"/>
  <c r="T1522" i="22"/>
  <c r="S1523" i="22"/>
  <c r="T1523" i="22"/>
  <c r="T1527" i="22"/>
  <c r="S1527" i="22"/>
  <c r="T1526" i="22"/>
  <c r="S1526" i="22"/>
  <c r="T1525" i="22"/>
  <c r="S1525" i="22"/>
  <c r="T1524" i="22"/>
  <c r="S1484" i="22"/>
  <c r="S1524" i="22"/>
  <c r="T1483" i="22"/>
  <c r="S1483" i="22"/>
  <c r="T1495" i="22"/>
  <c r="AK30" i="22"/>
  <c r="AL30" i="22"/>
  <c r="S1510" i="22"/>
  <c r="T1530" i="22"/>
  <c r="S1530" i="22"/>
  <c r="T1529" i="22"/>
  <c r="S1529" i="22"/>
  <c r="T1528" i="22"/>
  <c r="S1528" i="22"/>
  <c r="T1509" i="22"/>
  <c r="S1509" i="22"/>
  <c r="T1508" i="22"/>
  <c r="S1508" i="22"/>
  <c r="T1507" i="22"/>
  <c r="S1507" i="22"/>
  <c r="T1506" i="22"/>
  <c r="S1506" i="22"/>
  <c r="T1505" i="22"/>
  <c r="S1505" i="22"/>
  <c r="T1504" i="22"/>
  <c r="S1504" i="22"/>
  <c r="T1503" i="22"/>
  <c r="S1503" i="22"/>
  <c r="T1502" i="22"/>
  <c r="S1502" i="22"/>
  <c r="T1501" i="22"/>
  <c r="S1501" i="22"/>
  <c r="T1500" i="22"/>
  <c r="S1500" i="22"/>
  <c r="T1499" i="22"/>
  <c r="S1499" i="22"/>
  <c r="T1498" i="22"/>
  <c r="S1498" i="22"/>
  <c r="T1497" i="22"/>
  <c r="S1497" i="22"/>
  <c r="T1496" i="22"/>
  <c r="S1496" i="22"/>
  <c r="S1495" i="22"/>
  <c r="T1494" i="22"/>
  <c r="S1494" i="22"/>
  <c r="T1493" i="22"/>
  <c r="S1493" i="22"/>
  <c r="T1492" i="22"/>
  <c r="S1492" i="22"/>
  <c r="T1491" i="22"/>
  <c r="S1491" i="22"/>
  <c r="T1490" i="22"/>
  <c r="S1490" i="22"/>
  <c r="T1489" i="22"/>
  <c r="S1489" i="22"/>
  <c r="T1488" i="22"/>
  <c r="S1488" i="22"/>
  <c r="T1487" i="22"/>
  <c r="S1487" i="22"/>
  <c r="T1486" i="22"/>
  <c r="S1486" i="22"/>
  <c r="T1485" i="22"/>
  <c r="S1485" i="22"/>
  <c r="T1484" i="22"/>
  <c r="A1481" i="22"/>
  <c r="B1481" i="22"/>
  <c r="E1480" i="22"/>
  <c r="H1483" i="22"/>
  <c r="H1484" i="22"/>
  <c r="H1485" i="22"/>
  <c r="H1486" i="22"/>
  <c r="H1487" i="22"/>
  <c r="H1488" i="22"/>
  <c r="H1489" i="22"/>
  <c r="H1490" i="22"/>
  <c r="H1491" i="22"/>
  <c r="H1492" i="22"/>
  <c r="H1493" i="22"/>
  <c r="H1494" i="22"/>
  <c r="H1495" i="22"/>
  <c r="H1496" i="22"/>
  <c r="H1497" i="22"/>
  <c r="H1498" i="22"/>
  <c r="H1499" i="22"/>
  <c r="H1500" i="22"/>
  <c r="H1501" i="22"/>
  <c r="H1502" i="22"/>
  <c r="H1503" i="22"/>
  <c r="H1504" i="22"/>
  <c r="H1505" i="22"/>
  <c r="H1506" i="22"/>
  <c r="H1507" i="22"/>
  <c r="H1508" i="22"/>
  <c r="BX30" i="22" s="1"/>
  <c r="H1509" i="22"/>
  <c r="BY30" i="22" s="1"/>
  <c r="H1510" i="22"/>
  <c r="BZ30" i="22" s="1"/>
  <c r="H1511" i="22"/>
  <c r="CA30" i="22" s="1"/>
  <c r="H1512" i="22"/>
  <c r="CB30" i="22" s="1"/>
  <c r="H1513" i="22"/>
  <c r="CC30" i="22" s="1"/>
  <c r="H1514" i="22"/>
  <c r="CD30" i="22" s="1"/>
  <c r="H1515" i="22"/>
  <c r="CE30" i="22" s="1"/>
  <c r="H1516" i="22"/>
  <c r="CF30" i="22" s="1"/>
  <c r="H1517" i="22"/>
  <c r="CG30" i="22" s="1"/>
  <c r="H1518" i="22"/>
  <c r="CH30" i="22" s="1"/>
  <c r="H1519" i="22"/>
  <c r="H1520" i="22"/>
  <c r="H1521" i="22"/>
  <c r="H1522" i="22"/>
  <c r="H1523" i="22"/>
  <c r="H1524" i="22"/>
  <c r="H1525" i="22"/>
  <c r="H1526" i="22"/>
  <c r="H1527" i="22"/>
  <c r="H1528" i="22"/>
  <c r="H1529" i="22"/>
  <c r="H1530" i="22"/>
  <c r="B1430" i="22"/>
  <c r="L1430" i="22" s="1"/>
  <c r="G1429" i="22"/>
  <c r="E1429" i="22"/>
  <c r="C1429" i="22"/>
  <c r="CI29" i="22"/>
  <c r="T1476" i="22"/>
  <c r="S1476" i="22"/>
  <c r="T1475" i="22"/>
  <c r="S1475" i="22"/>
  <c r="T1474" i="22"/>
  <c r="S1474" i="22"/>
  <c r="T1473" i="22"/>
  <c r="S1473" i="22"/>
  <c r="T1472" i="22"/>
  <c r="S1472" i="22"/>
  <c r="T1471" i="22"/>
  <c r="S1471" i="22"/>
  <c r="T1470" i="22"/>
  <c r="S1470" i="22"/>
  <c r="T1469" i="22"/>
  <c r="S1469" i="22"/>
  <c r="T1468" i="22"/>
  <c r="S1468" i="22"/>
  <c r="T1467" i="22"/>
  <c r="S1467" i="22"/>
  <c r="T1466" i="22"/>
  <c r="S1466" i="22"/>
  <c r="T1465" i="22"/>
  <c r="S1465" i="22"/>
  <c r="T1464" i="22"/>
  <c r="S1464" i="22"/>
  <c r="T1463" i="22"/>
  <c r="S1463" i="22"/>
  <c r="T1462" i="22"/>
  <c r="S1462" i="22"/>
  <c r="T1461" i="22"/>
  <c r="S1461" i="22"/>
  <c r="T1460" i="22"/>
  <c r="S1460" i="22"/>
  <c r="T1459" i="22"/>
  <c r="S1459" i="22"/>
  <c r="T1458" i="22"/>
  <c r="S1458" i="22"/>
  <c r="T1457" i="22"/>
  <c r="S1457" i="22"/>
  <c r="T1456" i="22"/>
  <c r="S1456" i="22"/>
  <c r="T1455" i="22"/>
  <c r="S1455" i="22"/>
  <c r="T1454" i="22"/>
  <c r="S1454" i="22"/>
  <c r="T1453" i="22"/>
  <c r="S1453" i="22"/>
  <c r="T1452" i="22"/>
  <c r="S1452" i="22"/>
  <c r="T1451" i="22"/>
  <c r="S1451" i="22"/>
  <c r="T1450" i="22"/>
  <c r="S1450" i="22"/>
  <c r="T1449" i="22"/>
  <c r="S1449" i="22"/>
  <c r="T1448" i="22"/>
  <c r="S1448" i="22"/>
  <c r="T1447" i="22"/>
  <c r="S1447" i="22"/>
  <c r="T1446" i="22"/>
  <c r="S1446" i="22"/>
  <c r="T1445" i="22"/>
  <c r="S1445" i="22"/>
  <c r="T1444" i="22"/>
  <c r="S1444" i="22"/>
  <c r="T1443" i="22"/>
  <c r="S1443" i="22"/>
  <c r="T1442" i="22"/>
  <c r="S1442" i="22"/>
  <c r="T1441" i="22"/>
  <c r="S1441" i="22"/>
  <c r="T1440" i="22"/>
  <c r="S1440" i="22"/>
  <c r="T1439" i="22"/>
  <c r="S1439" i="22"/>
  <c r="T1438" i="22"/>
  <c r="S1438" i="22"/>
  <c r="T1437" i="22"/>
  <c r="S1437" i="22"/>
  <c r="T1436" i="22"/>
  <c r="S1436" i="22"/>
  <c r="T1435" i="22"/>
  <c r="S1435" i="22"/>
  <c r="T1434" i="22"/>
  <c r="S1434" i="22"/>
  <c r="T1433" i="22"/>
  <c r="S1433" i="22"/>
  <c r="T1432" i="22"/>
  <c r="S1432" i="22"/>
  <c r="T1431" i="22"/>
  <c r="S1431" i="22"/>
  <c r="T1430" i="22"/>
  <c r="S1430" i="22"/>
  <c r="T1429" i="22"/>
  <c r="S1429" i="22"/>
  <c r="AK29" i="22"/>
  <c r="AL29" i="22"/>
  <c r="B1427" i="22"/>
  <c r="A1427" i="22"/>
  <c r="E1426" i="22"/>
  <c r="H1429" i="22"/>
  <c r="H1430" i="22"/>
  <c r="H1431" i="22"/>
  <c r="H1432" i="22"/>
  <c r="H1433" i="22"/>
  <c r="H1434" i="22"/>
  <c r="H1435" i="22"/>
  <c r="H1436" i="22"/>
  <c r="H1437" i="22"/>
  <c r="H1438" i="22"/>
  <c r="H1439" i="22"/>
  <c r="H1440" i="22"/>
  <c r="H1441" i="22"/>
  <c r="H1442" i="22"/>
  <c r="H1443" i="22"/>
  <c r="H1444" i="22"/>
  <c r="H1445" i="22"/>
  <c r="H1446" i="22"/>
  <c r="H1447" i="22"/>
  <c r="H1448" i="22"/>
  <c r="H1449" i="22"/>
  <c r="H1450" i="22"/>
  <c r="H1451" i="22"/>
  <c r="H1452" i="22"/>
  <c r="H1453" i="22"/>
  <c r="H1454" i="22"/>
  <c r="BX29" i="22" s="1"/>
  <c r="H1455" i="22"/>
  <c r="BY29" i="22" s="1"/>
  <c r="H1456" i="22"/>
  <c r="BZ29" i="22" s="1"/>
  <c r="H1457" i="22"/>
  <c r="CA29" i="22" s="1"/>
  <c r="H1458" i="22"/>
  <c r="CB29" i="22" s="1"/>
  <c r="H1459" i="22"/>
  <c r="CC29" i="22" s="1"/>
  <c r="H1460" i="22"/>
  <c r="CD29" i="22" s="1"/>
  <c r="H1461" i="22"/>
  <c r="CE29" i="22" s="1"/>
  <c r="H1462" i="22"/>
  <c r="CF29" i="22" s="1"/>
  <c r="H1463" i="22"/>
  <c r="CG29" i="22" s="1"/>
  <c r="H1464" i="22"/>
  <c r="CH29" i="22" s="1"/>
  <c r="H1465" i="22"/>
  <c r="H1466" i="22"/>
  <c r="H1467" i="22"/>
  <c r="H1468" i="22"/>
  <c r="H1469" i="22"/>
  <c r="H1470" i="22"/>
  <c r="H1471" i="22"/>
  <c r="H1472" i="22"/>
  <c r="H1473" i="22"/>
  <c r="H1474" i="22"/>
  <c r="H1475" i="22"/>
  <c r="H1476" i="22"/>
  <c r="A29" i="22"/>
  <c r="L1429" i="22"/>
  <c r="G1375" i="22"/>
  <c r="B1376" i="22"/>
  <c r="C1375" i="22"/>
  <c r="F1375" i="22" s="1"/>
  <c r="E1375" i="22"/>
  <c r="CI28" i="22"/>
  <c r="S1394" i="22"/>
  <c r="S1386" i="22"/>
  <c r="T1386" i="22"/>
  <c r="S1379" i="22"/>
  <c r="S1387" i="22"/>
  <c r="T1387" i="22"/>
  <c r="T1393" i="22"/>
  <c r="T1379" i="22"/>
  <c r="S1388" i="22"/>
  <c r="T1388" i="22"/>
  <c r="S1393" i="22"/>
  <c r="S1389" i="22"/>
  <c r="T1389" i="22"/>
  <c r="S1380" i="22"/>
  <c r="S1390" i="22"/>
  <c r="T1390" i="22"/>
  <c r="T1380" i="22"/>
  <c r="S1391" i="22"/>
  <c r="T1391" i="22"/>
  <c r="T1392" i="22"/>
  <c r="S1381" i="22"/>
  <c r="T1381" i="22"/>
  <c r="AL28" i="22"/>
  <c r="AK28" i="22"/>
  <c r="S1392" i="22"/>
  <c r="S1382" i="22"/>
  <c r="T1382" i="22"/>
  <c r="S1418" i="22"/>
  <c r="S1383" i="22"/>
  <c r="T1383" i="22"/>
  <c r="S1384" i="22"/>
  <c r="T1384" i="22"/>
  <c r="S1385" i="22"/>
  <c r="T1385" i="22"/>
  <c r="T1422" i="22"/>
  <c r="S1422" i="22"/>
  <c r="T1421" i="22"/>
  <c r="S1421" i="22"/>
  <c r="T1420" i="22"/>
  <c r="S1420" i="22"/>
  <c r="T1419" i="22"/>
  <c r="S1419" i="22"/>
  <c r="T1418" i="22"/>
  <c r="T1417" i="22"/>
  <c r="S1417" i="22"/>
  <c r="T1416" i="22"/>
  <c r="S1416" i="22"/>
  <c r="T1415" i="22"/>
  <c r="S1415" i="22"/>
  <c r="T1414" i="22"/>
  <c r="S1414" i="22"/>
  <c r="T1413" i="22"/>
  <c r="S1413" i="22"/>
  <c r="T1412" i="22"/>
  <c r="S1412" i="22"/>
  <c r="T1411" i="22"/>
  <c r="S1411" i="22"/>
  <c r="T1410" i="22"/>
  <c r="S1410" i="22"/>
  <c r="T1409" i="22"/>
  <c r="S1409" i="22"/>
  <c r="T1408" i="22"/>
  <c r="S1408" i="22"/>
  <c r="T1407" i="22"/>
  <c r="S1407" i="22"/>
  <c r="T1406" i="22"/>
  <c r="S1406" i="22"/>
  <c r="T1405" i="22"/>
  <c r="S1405" i="22"/>
  <c r="T1404" i="22"/>
  <c r="S1404" i="22"/>
  <c r="T1403" i="22"/>
  <c r="S1403" i="22"/>
  <c r="T1402" i="22"/>
  <c r="S1402" i="22"/>
  <c r="T1401" i="22"/>
  <c r="S1401" i="22"/>
  <c r="T1400" i="22"/>
  <c r="S1400" i="22"/>
  <c r="T1399" i="22"/>
  <c r="S1399" i="22"/>
  <c r="T1398" i="22"/>
  <c r="S1398" i="22"/>
  <c r="T1397" i="22"/>
  <c r="S1397" i="22"/>
  <c r="S1375" i="22"/>
  <c r="T1375" i="22"/>
  <c r="T1396" i="22"/>
  <c r="S1396" i="22"/>
  <c r="S1376" i="22"/>
  <c r="T1376" i="22"/>
  <c r="T1395" i="22"/>
  <c r="S1377" i="22"/>
  <c r="T1377" i="22"/>
  <c r="S1395" i="22"/>
  <c r="S1378" i="22"/>
  <c r="T1378" i="22"/>
  <c r="T1394" i="22"/>
  <c r="A1373" i="22"/>
  <c r="B1373" i="22"/>
  <c r="E1372" i="22"/>
  <c r="H1375" i="22"/>
  <c r="H1376" i="22"/>
  <c r="H1377" i="22"/>
  <c r="H1378" i="22"/>
  <c r="H1379" i="22"/>
  <c r="H1380" i="22"/>
  <c r="H1381" i="22"/>
  <c r="H1382" i="22"/>
  <c r="H1383" i="22"/>
  <c r="H1384" i="22"/>
  <c r="H1385" i="22"/>
  <c r="H1386" i="22"/>
  <c r="H1387" i="22"/>
  <c r="H1388" i="22"/>
  <c r="H1389" i="22"/>
  <c r="H1390" i="22"/>
  <c r="H1391" i="22"/>
  <c r="H1392" i="22"/>
  <c r="H1393" i="22"/>
  <c r="H1394" i="22"/>
  <c r="H1395" i="22"/>
  <c r="H1396" i="22"/>
  <c r="H1397" i="22"/>
  <c r="H1398" i="22"/>
  <c r="H1399" i="22"/>
  <c r="BW28" i="22" s="1"/>
  <c r="H1400" i="22"/>
  <c r="BX28" i="22" s="1"/>
  <c r="H1401" i="22"/>
  <c r="BY28" i="22" s="1"/>
  <c r="H1402" i="22"/>
  <c r="BZ28" i="22" s="1"/>
  <c r="H1403" i="22"/>
  <c r="CA28" i="22" s="1"/>
  <c r="H1404" i="22"/>
  <c r="CB28" i="22" s="1"/>
  <c r="H1405" i="22"/>
  <c r="CC28" i="22" s="1"/>
  <c r="H1406" i="22"/>
  <c r="CD28" i="22" s="1"/>
  <c r="H1407" i="22"/>
  <c r="CE28" i="22" s="1"/>
  <c r="H1408" i="22"/>
  <c r="CF28" i="22" s="1"/>
  <c r="H1409" i="22"/>
  <c r="CG28" i="22" s="1"/>
  <c r="H1410" i="22"/>
  <c r="CH28" i="22" s="1"/>
  <c r="H1411" i="22"/>
  <c r="H1412" i="22"/>
  <c r="H1413" i="22"/>
  <c r="H1414" i="22"/>
  <c r="H1415" i="22"/>
  <c r="H1416" i="22"/>
  <c r="H1417" i="22"/>
  <c r="H1418" i="22"/>
  <c r="H1419" i="22"/>
  <c r="H1420" i="22"/>
  <c r="H1421" i="22"/>
  <c r="H1422" i="22"/>
  <c r="L1376" i="22"/>
  <c r="L1375" i="22"/>
  <c r="K1375" i="22"/>
  <c r="A28" i="22"/>
  <c r="C1321" i="22"/>
  <c r="E1321" i="22"/>
  <c r="F1321" i="22"/>
  <c r="G1321" i="22"/>
  <c r="R1321" i="22" s="1"/>
  <c r="B1322" i="22"/>
  <c r="T1326" i="22"/>
  <c r="S1327" i="22"/>
  <c r="T1327" i="22"/>
  <c r="S1328" i="22"/>
  <c r="T1328" i="22"/>
  <c r="S1329" i="22"/>
  <c r="T1329" i="22"/>
  <c r="S1330" i="22"/>
  <c r="S1331" i="22"/>
  <c r="T1331" i="22"/>
  <c r="S1332" i="22"/>
  <c r="T1332" i="22"/>
  <c r="T1330" i="22"/>
  <c r="S1333" i="22"/>
  <c r="T1333" i="22"/>
  <c r="S1334" i="22"/>
  <c r="T1334" i="22"/>
  <c r="S1335" i="22"/>
  <c r="T1335" i="22"/>
  <c r="S1336" i="22"/>
  <c r="T1336" i="22"/>
  <c r="S1337" i="22"/>
  <c r="T1337" i="22"/>
  <c r="S1338" i="22"/>
  <c r="T1338" i="22"/>
  <c r="S1339" i="22"/>
  <c r="T1339" i="22"/>
  <c r="S1340" i="22"/>
  <c r="T1340" i="22"/>
  <c r="S1341" i="22"/>
  <c r="S1325" i="22"/>
  <c r="S1321" i="22"/>
  <c r="T1321" i="22"/>
  <c r="S1322" i="22"/>
  <c r="T1322" i="22"/>
  <c r="T1341" i="22"/>
  <c r="S1323" i="22"/>
  <c r="T1323" i="22"/>
  <c r="S1324" i="22"/>
  <c r="T1324" i="22"/>
  <c r="T1325" i="22"/>
  <c r="S1326" i="22"/>
  <c r="B1319" i="22"/>
  <c r="A1319" i="22"/>
  <c r="E1318" i="22"/>
  <c r="H1321" i="22"/>
  <c r="H1322" i="22"/>
  <c r="H1323" i="22"/>
  <c r="H1324" i="22"/>
  <c r="H1325" i="22"/>
  <c r="H1326" i="22"/>
  <c r="H1327" i="22"/>
  <c r="H1328" i="22"/>
  <c r="H1329" i="22"/>
  <c r="H1330" i="22"/>
  <c r="H1331" i="22"/>
  <c r="H1332" i="22"/>
  <c r="H1333" i="22"/>
  <c r="H1334" i="22"/>
  <c r="H1335" i="22"/>
  <c r="H1336" i="22"/>
  <c r="H1337" i="22"/>
  <c r="H1338" i="22"/>
  <c r="H1339" i="22"/>
  <c r="H1340" i="22"/>
  <c r="H1341" i="22"/>
  <c r="H1343" i="22"/>
  <c r="H1344" i="22"/>
  <c r="H1349" i="22"/>
  <c r="CA27" i="22" s="1"/>
  <c r="H1350" i="22"/>
  <c r="CB27" i="22" s="1"/>
  <c r="H1351" i="22"/>
  <c r="CC27" i="22" s="1"/>
  <c r="H1352" i="22"/>
  <c r="CD27" i="22" s="1"/>
  <c r="H1353" i="22"/>
  <c r="CE27" i="22" s="1"/>
  <c r="H1354" i="22"/>
  <c r="CF27" i="22" s="1"/>
  <c r="H1355" i="22"/>
  <c r="CG27" i="22" s="1"/>
  <c r="H1356" i="22"/>
  <c r="CH27" i="22" s="1"/>
  <c r="H1357" i="22"/>
  <c r="H1358" i="22"/>
  <c r="H1359" i="22"/>
  <c r="H1360" i="22"/>
  <c r="H1361" i="22"/>
  <c r="H1362" i="22"/>
  <c r="H1363" i="22"/>
  <c r="H1364" i="22"/>
  <c r="H1365" i="22"/>
  <c r="H1366" i="22"/>
  <c r="H1367" i="22"/>
  <c r="H1368" i="22"/>
  <c r="H1342" i="22"/>
  <c r="H1345" i="22"/>
  <c r="BW27" i="22" s="1"/>
  <c r="H1346" i="22"/>
  <c r="BX27" i="22" s="1"/>
  <c r="H1347" i="22"/>
  <c r="BY27" i="22" s="1"/>
  <c r="H1348" i="22"/>
  <c r="BZ27" i="22" s="1"/>
  <c r="G1267" i="22"/>
  <c r="R1267" i="22" s="1"/>
  <c r="B1268" i="22"/>
  <c r="C1267" i="22"/>
  <c r="E1267" i="22"/>
  <c r="F1267" i="22"/>
  <c r="S1279" i="22"/>
  <c r="T1278" i="22"/>
  <c r="S1278" i="22"/>
  <c r="T1277" i="22"/>
  <c r="S1277" i="22"/>
  <c r="T1276" i="22"/>
  <c r="S1276" i="22"/>
  <c r="T1275" i="22"/>
  <c r="S1275" i="22"/>
  <c r="T1274" i="22"/>
  <c r="S1274" i="22"/>
  <c r="T1273" i="22"/>
  <c r="S1273" i="22"/>
  <c r="T1272" i="22"/>
  <c r="S1272" i="22"/>
  <c r="T1271" i="22"/>
  <c r="S1271" i="22"/>
  <c r="T1270" i="22"/>
  <c r="S1270" i="22"/>
  <c r="T1269" i="22"/>
  <c r="S1269" i="22"/>
  <c r="T1268" i="22"/>
  <c r="S1268" i="22"/>
  <c r="T1267" i="22"/>
  <c r="S1267" i="22"/>
  <c r="T1314" i="22"/>
  <c r="S1314" i="22"/>
  <c r="T1313" i="22"/>
  <c r="S1313" i="22"/>
  <c r="T1312" i="22"/>
  <c r="S1312" i="22"/>
  <c r="T1311" i="22"/>
  <c r="S1311" i="22"/>
  <c r="T1310" i="22"/>
  <c r="S1310" i="22"/>
  <c r="T1309" i="22"/>
  <c r="S1309" i="22"/>
  <c r="T1308" i="22"/>
  <c r="S1308" i="22"/>
  <c r="T1307" i="22"/>
  <c r="S1307" i="22"/>
  <c r="T1306" i="22"/>
  <c r="S1306" i="22"/>
  <c r="T1305" i="22"/>
  <c r="S1305" i="22"/>
  <c r="T1304" i="22"/>
  <c r="S1304" i="22"/>
  <c r="T1303" i="22"/>
  <c r="S1303" i="22"/>
  <c r="T1302" i="22"/>
  <c r="S1302" i="22"/>
  <c r="T1301" i="22"/>
  <c r="S1301" i="22"/>
  <c r="T1300" i="22"/>
  <c r="S1300" i="22"/>
  <c r="T1299" i="22"/>
  <c r="S1299" i="22"/>
  <c r="T1298" i="22"/>
  <c r="S1298" i="22"/>
  <c r="T1297" i="22"/>
  <c r="S1297" i="22"/>
  <c r="T1296" i="22"/>
  <c r="S1296" i="22"/>
  <c r="T1295" i="22"/>
  <c r="S1295" i="22"/>
  <c r="T1294" i="22"/>
  <c r="S1294" i="22"/>
  <c r="T1293" i="22"/>
  <c r="S1293" i="22"/>
  <c r="T1292" i="22"/>
  <c r="S1292" i="22"/>
  <c r="T1291" i="22"/>
  <c r="S1291" i="22"/>
  <c r="T1290" i="22"/>
  <c r="S1290" i="22"/>
  <c r="T1289" i="22"/>
  <c r="S1289" i="22"/>
  <c r="T1288" i="22"/>
  <c r="S1288" i="22"/>
  <c r="T1287" i="22"/>
  <c r="S1287" i="22"/>
  <c r="T1286" i="22"/>
  <c r="S1286" i="22"/>
  <c r="T1285" i="22"/>
  <c r="S1285" i="22"/>
  <c r="T1284" i="22"/>
  <c r="S1284" i="22"/>
  <c r="T1283" i="22"/>
  <c r="S1283" i="22"/>
  <c r="T1282" i="22"/>
  <c r="S1282" i="22"/>
  <c r="T1281" i="22"/>
  <c r="S1281" i="22"/>
  <c r="T1280" i="22"/>
  <c r="S1280" i="22"/>
  <c r="T1279" i="22"/>
  <c r="A1265" i="22"/>
  <c r="B1265" i="22"/>
  <c r="E1264" i="22"/>
  <c r="H1267" i="22"/>
  <c r="H1268" i="22"/>
  <c r="H1269" i="22"/>
  <c r="H1270" i="22"/>
  <c r="H1271" i="22"/>
  <c r="H1272" i="22"/>
  <c r="H1273" i="22"/>
  <c r="H1274" i="22"/>
  <c r="H1275" i="22"/>
  <c r="H1276" i="22"/>
  <c r="H1277" i="22"/>
  <c r="H1278" i="22"/>
  <c r="H1279" i="22"/>
  <c r="H1280" i="22"/>
  <c r="H1281" i="22"/>
  <c r="H1282" i="22"/>
  <c r="H1283" i="22"/>
  <c r="H1284" i="22"/>
  <c r="H1285" i="22"/>
  <c r="H1286" i="22"/>
  <c r="H1287" i="22"/>
  <c r="H1288" i="22"/>
  <c r="H1289" i="22"/>
  <c r="H1290" i="22"/>
  <c r="H1291" i="22"/>
  <c r="BW26" i="22" s="1"/>
  <c r="H1292" i="22"/>
  <c r="BX26" i="22" s="1"/>
  <c r="H1293" i="22"/>
  <c r="BY26" i="22" s="1"/>
  <c r="H1294" i="22"/>
  <c r="BZ26" i="22" s="1"/>
  <c r="H1295" i="22"/>
  <c r="CA26" i="22" s="1"/>
  <c r="H1296" i="22"/>
  <c r="CB26" i="22" s="1"/>
  <c r="H1297" i="22"/>
  <c r="CC26" i="22" s="1"/>
  <c r="H1298" i="22"/>
  <c r="CD26" i="22" s="1"/>
  <c r="H1299" i="22"/>
  <c r="CE26" i="22" s="1"/>
  <c r="H1300" i="22"/>
  <c r="CF26" i="22" s="1"/>
  <c r="H1301" i="22"/>
  <c r="CG26" i="22" s="1"/>
  <c r="H1302" i="22"/>
  <c r="CH26" i="22" s="1"/>
  <c r="H1303" i="22"/>
  <c r="H1304" i="22"/>
  <c r="H1305" i="22"/>
  <c r="H1306" i="22"/>
  <c r="H1307" i="22"/>
  <c r="H1308" i="22"/>
  <c r="H1309" i="22"/>
  <c r="H1310" i="22"/>
  <c r="H1311" i="22"/>
  <c r="H1312" i="22"/>
  <c r="H1313" i="22"/>
  <c r="H1314" i="22"/>
  <c r="B1214" i="22"/>
  <c r="G1213" i="22"/>
  <c r="E1213" i="22"/>
  <c r="C1213" i="22"/>
  <c r="F1213" i="22" s="1"/>
  <c r="T1239" i="22"/>
  <c r="T1253" i="22"/>
  <c r="T1251" i="22"/>
  <c r="S1239" i="22"/>
  <c r="T1238" i="22"/>
  <c r="S1240" i="22"/>
  <c r="T1237" i="22"/>
  <c r="S1237" i="22"/>
  <c r="T1236" i="22"/>
  <c r="T1240" i="22"/>
  <c r="S1236" i="22"/>
  <c r="T1235" i="22"/>
  <c r="S1235" i="22"/>
  <c r="T1234" i="22"/>
  <c r="S1234" i="22"/>
  <c r="T1233" i="22"/>
  <c r="S1241" i="22"/>
  <c r="T1241" i="22"/>
  <c r="S1233" i="22"/>
  <c r="T1232" i="22"/>
  <c r="AK25" i="22"/>
  <c r="S1232" i="22"/>
  <c r="T1231" i="22"/>
  <c r="AL25" i="22"/>
  <c r="S1231" i="22"/>
  <c r="T1230" i="22"/>
  <c r="S1242" i="22"/>
  <c r="S1230" i="22"/>
  <c r="T1229" i="22"/>
  <c r="S1252" i="22"/>
  <c r="S1229" i="22"/>
  <c r="T1228" i="22"/>
  <c r="T1242" i="22"/>
  <c r="S1228" i="22"/>
  <c r="T1227" i="22"/>
  <c r="S1227" i="22"/>
  <c r="T1226" i="22"/>
  <c r="S1243" i="22"/>
  <c r="S1226" i="22"/>
  <c r="T1225" i="22"/>
  <c r="T1243" i="22"/>
  <c r="S1225" i="22"/>
  <c r="T1224" i="22"/>
  <c r="S1224" i="22"/>
  <c r="T1223" i="22"/>
  <c r="S1244" i="22"/>
  <c r="S1223" i="22"/>
  <c r="T1222" i="22"/>
  <c r="T1252" i="22"/>
  <c r="S1238" i="22"/>
  <c r="S1222" i="22"/>
  <c r="T1221" i="22"/>
  <c r="S1221" i="22"/>
  <c r="T1220" i="22"/>
  <c r="T1244" i="22"/>
  <c r="S1220" i="22"/>
  <c r="T1219" i="22"/>
  <c r="S1219" i="22"/>
  <c r="T1218" i="22"/>
  <c r="T1260" i="22"/>
  <c r="S1245" i="22"/>
  <c r="S1218" i="22"/>
  <c r="T1217" i="22"/>
  <c r="T1245" i="22"/>
  <c r="S1260" i="22"/>
  <c r="S1217" i="22"/>
  <c r="T1216" i="22"/>
  <c r="T1259" i="22"/>
  <c r="S1216" i="22"/>
  <c r="T1215" i="22"/>
  <c r="S1246" i="22"/>
  <c r="S1215" i="22"/>
  <c r="T1214" i="22"/>
  <c r="S1259" i="22"/>
  <c r="S1214" i="22"/>
  <c r="T1258" i="22"/>
  <c r="T1246" i="22"/>
  <c r="T1213" i="22"/>
  <c r="S1213" i="22"/>
  <c r="S1258" i="22"/>
  <c r="T1257" i="22"/>
  <c r="S1247" i="22"/>
  <c r="S1254" i="22"/>
  <c r="T1247" i="22"/>
  <c r="S1248" i="22"/>
  <c r="T1248" i="22"/>
  <c r="S1249" i="22"/>
  <c r="T1249" i="22"/>
  <c r="S1257" i="22"/>
  <c r="T1256" i="22"/>
  <c r="S1250" i="22"/>
  <c r="S1256" i="22"/>
  <c r="T1255" i="22"/>
  <c r="S1255" i="22"/>
  <c r="T1254" i="22"/>
  <c r="T1250" i="22"/>
  <c r="S1251" i="22"/>
  <c r="S1253" i="22"/>
  <c r="A1211" i="22"/>
  <c r="B1211" i="22"/>
  <c r="E1210" i="22"/>
  <c r="H1213" i="22"/>
  <c r="H1214" i="22"/>
  <c r="H1215" i="22"/>
  <c r="H1216" i="22"/>
  <c r="H1217" i="22"/>
  <c r="H1218" i="22"/>
  <c r="H1219" i="22"/>
  <c r="H1220" i="22"/>
  <c r="H1221" i="22"/>
  <c r="H1222" i="22"/>
  <c r="H1223" i="22"/>
  <c r="H1224" i="22"/>
  <c r="H1225" i="22"/>
  <c r="H1226" i="22"/>
  <c r="H1227" i="22"/>
  <c r="H1228" i="22"/>
  <c r="H1229" i="22"/>
  <c r="H1230" i="22"/>
  <c r="H1231" i="22"/>
  <c r="H1232" i="22"/>
  <c r="H1233" i="22"/>
  <c r="H1234" i="22"/>
  <c r="H1235" i="22"/>
  <c r="H1236" i="22"/>
  <c r="H1237" i="22"/>
  <c r="BW25" i="22" s="1"/>
  <c r="H1238" i="22"/>
  <c r="BX25" i="22" s="1"/>
  <c r="H1239" i="22"/>
  <c r="BY25" i="22" s="1"/>
  <c r="H1240" i="22"/>
  <c r="BZ25" i="22" s="1"/>
  <c r="H1241" i="22"/>
  <c r="CA25" i="22" s="1"/>
  <c r="H1242" i="22"/>
  <c r="CB25" i="22" s="1"/>
  <c r="H1243" i="22"/>
  <c r="CC25" i="22" s="1"/>
  <c r="H1244" i="22"/>
  <c r="CD25" i="22" s="1"/>
  <c r="H1245" i="22"/>
  <c r="CE25" i="22" s="1"/>
  <c r="H1246" i="22"/>
  <c r="CF25" i="22" s="1"/>
  <c r="H1247" i="22"/>
  <c r="CG25" i="22" s="1"/>
  <c r="H1248" i="22"/>
  <c r="CH25" i="22" s="1"/>
  <c r="H1249" i="22"/>
  <c r="H1250" i="22"/>
  <c r="H1251" i="22"/>
  <c r="H1252" i="22"/>
  <c r="H1253" i="22"/>
  <c r="H1254" i="22"/>
  <c r="H1255" i="22"/>
  <c r="H1256" i="22"/>
  <c r="H1257" i="22"/>
  <c r="H1258" i="22"/>
  <c r="H1259" i="22"/>
  <c r="H1260" i="22"/>
  <c r="B1160" i="22"/>
  <c r="G1159" i="22"/>
  <c r="E1159" i="22"/>
  <c r="C1159" i="22"/>
  <c r="F1159" i="22" s="1"/>
  <c r="CI24" i="22"/>
  <c r="S1195" i="22"/>
  <c r="T1195" i="22"/>
  <c r="S1196" i="22"/>
  <c r="T1196" i="22"/>
  <c r="S1197" i="22"/>
  <c r="T1197" i="22"/>
  <c r="S1198" i="22"/>
  <c r="T1198" i="22"/>
  <c r="S1199" i="22"/>
  <c r="T1199" i="22"/>
  <c r="S1200" i="22"/>
  <c r="T1200" i="22"/>
  <c r="S1201" i="22"/>
  <c r="T1201" i="22"/>
  <c r="S1202" i="22"/>
  <c r="T1202" i="22"/>
  <c r="S1203" i="22"/>
  <c r="T1203" i="22"/>
  <c r="S1204" i="22"/>
  <c r="T1204" i="22"/>
  <c r="S1205" i="22"/>
  <c r="AK24" i="22"/>
  <c r="AL24" i="22"/>
  <c r="S1206" i="22"/>
  <c r="T1206" i="22"/>
  <c r="T1191" i="22"/>
  <c r="T1205" i="22"/>
  <c r="S1192" i="22"/>
  <c r="S1191" i="22"/>
  <c r="T1190" i="22"/>
  <c r="S1190" i="22"/>
  <c r="T1189" i="22"/>
  <c r="S1189" i="22"/>
  <c r="T1188" i="22"/>
  <c r="S1188" i="22"/>
  <c r="T1187" i="22"/>
  <c r="S1187" i="22"/>
  <c r="T1186" i="22"/>
  <c r="S1186" i="22"/>
  <c r="T1185" i="22"/>
  <c r="S1185" i="22"/>
  <c r="T1184" i="22"/>
  <c r="S1184" i="22"/>
  <c r="T1183" i="22"/>
  <c r="S1183" i="22"/>
  <c r="T1182" i="22"/>
  <c r="S1182" i="22"/>
  <c r="T1181" i="22"/>
  <c r="S1181" i="22"/>
  <c r="T1180" i="22"/>
  <c r="S1180" i="22"/>
  <c r="T1179" i="22"/>
  <c r="S1179" i="22"/>
  <c r="T1178" i="22"/>
  <c r="S1178" i="22"/>
  <c r="T1177" i="22"/>
  <c r="S1177" i="22"/>
  <c r="T1176" i="22"/>
  <c r="S1176" i="22"/>
  <c r="T1175" i="22"/>
  <c r="S1175" i="22"/>
  <c r="T1174" i="22"/>
  <c r="S1174" i="22"/>
  <c r="T1173" i="22"/>
  <c r="S1173" i="22"/>
  <c r="T1172" i="22"/>
  <c r="S1172" i="22"/>
  <c r="T1171" i="22"/>
  <c r="S1171" i="22"/>
  <c r="T1170" i="22"/>
  <c r="S1170" i="22"/>
  <c r="T1169" i="22"/>
  <c r="S1169" i="22"/>
  <c r="T1168" i="22"/>
  <c r="S1168" i="22"/>
  <c r="T1167" i="22"/>
  <c r="S1167" i="22"/>
  <c r="T1166" i="22"/>
  <c r="S1166" i="22"/>
  <c r="T1165" i="22"/>
  <c r="S1165" i="22"/>
  <c r="T1164" i="22"/>
  <c r="S1164" i="22"/>
  <c r="T1163" i="22"/>
  <c r="S1163" i="22"/>
  <c r="T1162" i="22"/>
  <c r="S1162" i="22"/>
  <c r="T1161" i="22"/>
  <c r="S1161" i="22"/>
  <c r="T1160" i="22"/>
  <c r="S1160" i="22"/>
  <c r="T1192" i="22"/>
  <c r="T1159" i="22"/>
  <c r="S1159" i="22"/>
  <c r="S1193" i="22"/>
  <c r="T1193" i="22"/>
  <c r="S1194" i="22"/>
  <c r="T1194" i="22"/>
  <c r="B1157" i="22"/>
  <c r="A1157" i="22"/>
  <c r="E1156" i="22"/>
  <c r="H1159" i="22"/>
  <c r="H1160" i="22"/>
  <c r="H1161" i="22"/>
  <c r="H1162" i="22"/>
  <c r="H1163" i="22"/>
  <c r="H1164" i="22"/>
  <c r="H1165" i="22"/>
  <c r="H1166" i="22"/>
  <c r="H1167" i="22"/>
  <c r="H1168" i="22"/>
  <c r="H1169" i="22"/>
  <c r="H1170" i="22"/>
  <c r="H1171" i="22"/>
  <c r="H1172" i="22"/>
  <c r="H1173" i="22"/>
  <c r="H1174" i="22"/>
  <c r="H1175" i="22"/>
  <c r="H1176" i="22"/>
  <c r="H1177" i="22"/>
  <c r="H1178" i="22"/>
  <c r="H1179" i="22"/>
  <c r="H1180" i="22"/>
  <c r="H1181" i="22"/>
  <c r="H1182" i="22"/>
  <c r="H1183" i="22"/>
  <c r="H1184" i="22"/>
  <c r="BX24" i="22" s="1"/>
  <c r="H1185" i="22"/>
  <c r="BY24" i="22" s="1"/>
  <c r="H1186" i="22"/>
  <c r="BZ24" i="22" s="1"/>
  <c r="H1187" i="22"/>
  <c r="CA24" i="22" s="1"/>
  <c r="H1188" i="22"/>
  <c r="CB24" i="22" s="1"/>
  <c r="H1189" i="22"/>
  <c r="CC24" i="22" s="1"/>
  <c r="H1190" i="22"/>
  <c r="CD24" i="22" s="1"/>
  <c r="H1191" i="22"/>
  <c r="CE24" i="22" s="1"/>
  <c r="H1192" i="22"/>
  <c r="CF24" i="22" s="1"/>
  <c r="H1193" i="22"/>
  <c r="CG24" i="22" s="1"/>
  <c r="H1194" i="22"/>
  <c r="CH24" i="22" s="1"/>
  <c r="H1195" i="22"/>
  <c r="H1196" i="22"/>
  <c r="H1197" i="22"/>
  <c r="H1198" i="22"/>
  <c r="H1199" i="22"/>
  <c r="H1200" i="22"/>
  <c r="H1201" i="22"/>
  <c r="H1202" i="22"/>
  <c r="H1203" i="22"/>
  <c r="H1204" i="22"/>
  <c r="H1205" i="22"/>
  <c r="H1206" i="22"/>
  <c r="A24" i="22"/>
  <c r="L1160" i="22"/>
  <c r="L1159" i="22"/>
  <c r="K1159" i="22"/>
  <c r="G1105" i="22"/>
  <c r="E1105" i="22"/>
  <c r="B1106" i="22"/>
  <c r="C1105" i="22"/>
  <c r="F1105" i="22" s="1"/>
  <c r="CI23" i="22"/>
  <c r="AK23" i="22"/>
  <c r="AL23" i="22"/>
  <c r="T1134" i="22"/>
  <c r="S1134" i="22"/>
  <c r="T1133" i="22"/>
  <c r="S1133" i="22"/>
  <c r="T1132" i="22"/>
  <c r="S1132" i="22"/>
  <c r="T1131" i="22"/>
  <c r="S1131" i="22"/>
  <c r="T1130" i="22"/>
  <c r="S1130" i="22"/>
  <c r="T1129" i="22"/>
  <c r="S1129" i="22"/>
  <c r="T1128" i="22"/>
  <c r="S1128" i="22"/>
  <c r="T1127" i="22"/>
  <c r="S1127" i="22"/>
  <c r="T1126" i="22"/>
  <c r="S1126" i="22"/>
  <c r="T1125" i="22"/>
  <c r="S1125" i="22"/>
  <c r="T1124" i="22"/>
  <c r="S1124" i="22"/>
  <c r="T1123" i="22"/>
  <c r="S1123" i="22"/>
  <c r="T1122" i="22"/>
  <c r="S1122" i="22"/>
  <c r="T1121" i="22"/>
  <c r="S1121" i="22"/>
  <c r="T1120" i="22"/>
  <c r="S1120" i="22"/>
  <c r="T1119" i="22"/>
  <c r="S1119" i="22"/>
  <c r="T1118" i="22"/>
  <c r="S1118" i="22"/>
  <c r="T1117" i="22"/>
  <c r="S1117" i="22"/>
  <c r="T1116" i="22"/>
  <c r="S1116" i="22"/>
  <c r="T1115" i="22"/>
  <c r="S1115" i="22"/>
  <c r="T1114" i="22"/>
  <c r="S1114" i="22"/>
  <c r="T1113" i="22"/>
  <c r="S1113" i="22"/>
  <c r="T1112" i="22"/>
  <c r="S1112" i="22"/>
  <c r="T1111" i="22"/>
  <c r="S1111" i="22"/>
  <c r="T1110" i="22"/>
  <c r="S1110" i="22"/>
  <c r="T1109" i="22"/>
  <c r="S1109" i="22"/>
  <c r="T1108" i="22"/>
  <c r="S1108" i="22"/>
  <c r="T1107" i="22"/>
  <c r="S1107" i="22"/>
  <c r="T1106" i="22"/>
  <c r="S1106" i="22"/>
  <c r="T1105" i="22"/>
  <c r="S1105" i="22"/>
  <c r="T1152" i="22"/>
  <c r="S1152" i="22"/>
  <c r="T1151" i="22"/>
  <c r="S1151" i="22"/>
  <c r="T1150" i="22"/>
  <c r="S1150" i="22"/>
  <c r="T1149" i="22"/>
  <c r="S1149" i="22"/>
  <c r="T1148" i="22"/>
  <c r="S1148" i="22"/>
  <c r="T1147" i="22"/>
  <c r="S1147" i="22"/>
  <c r="T1146" i="22"/>
  <c r="S1146" i="22"/>
  <c r="T1145" i="22"/>
  <c r="S1145" i="22"/>
  <c r="T1144" i="22"/>
  <c r="S1144" i="22"/>
  <c r="T1143" i="22"/>
  <c r="S1143" i="22"/>
  <c r="T1142" i="22"/>
  <c r="S1142" i="22"/>
  <c r="T1141" i="22"/>
  <c r="S1141" i="22"/>
  <c r="T1140" i="22"/>
  <c r="S1140" i="22"/>
  <c r="T1139" i="22"/>
  <c r="S1139" i="22"/>
  <c r="T1138" i="22"/>
  <c r="S1138" i="22"/>
  <c r="T1137" i="22"/>
  <c r="S1137" i="22"/>
  <c r="T1136" i="22"/>
  <c r="S1136" i="22"/>
  <c r="T1135" i="22"/>
  <c r="S1135" i="22"/>
  <c r="A1103" i="22"/>
  <c r="B1103" i="22"/>
  <c r="J1103" i="22" s="1"/>
  <c r="E1102" i="22"/>
  <c r="H1105" i="22"/>
  <c r="H1106" i="22"/>
  <c r="H1107" i="22"/>
  <c r="H1108" i="22"/>
  <c r="H1109" i="22"/>
  <c r="H1110" i="22"/>
  <c r="H1111" i="22"/>
  <c r="H1112" i="22"/>
  <c r="H1113" i="22"/>
  <c r="H1114" i="22"/>
  <c r="H1115" i="22"/>
  <c r="H1116" i="22"/>
  <c r="H1117" i="22"/>
  <c r="H1118" i="22"/>
  <c r="H1119" i="22"/>
  <c r="H1120" i="22"/>
  <c r="H1121" i="22"/>
  <c r="H1122" i="22"/>
  <c r="H1123" i="22"/>
  <c r="H1124" i="22"/>
  <c r="H1125" i="22"/>
  <c r="H1126" i="22"/>
  <c r="H1127" i="22"/>
  <c r="H1128" i="22"/>
  <c r="H1129" i="22"/>
  <c r="H1130" i="22"/>
  <c r="BX23" i="22" s="1"/>
  <c r="H1131" i="22"/>
  <c r="BY23" i="22" s="1"/>
  <c r="H1132" i="22"/>
  <c r="BZ23" i="22" s="1"/>
  <c r="H1133" i="22"/>
  <c r="CA23" i="22" s="1"/>
  <c r="H1134" i="22"/>
  <c r="CB23" i="22" s="1"/>
  <c r="H1135" i="22"/>
  <c r="CC23" i="22" s="1"/>
  <c r="H1136" i="22"/>
  <c r="CD23" i="22" s="1"/>
  <c r="H1137" i="22"/>
  <c r="CE23" i="22" s="1"/>
  <c r="H1138" i="22"/>
  <c r="CF23" i="22" s="1"/>
  <c r="H1139" i="22"/>
  <c r="CG23" i="22" s="1"/>
  <c r="H1140" i="22"/>
  <c r="CH23" i="22" s="1"/>
  <c r="H1141" i="22"/>
  <c r="H1142" i="22"/>
  <c r="H1143" i="22"/>
  <c r="H1144" i="22"/>
  <c r="H1145" i="22"/>
  <c r="H1146" i="22"/>
  <c r="H1147" i="22"/>
  <c r="H1148" i="22"/>
  <c r="H1149" i="22"/>
  <c r="H1150" i="22"/>
  <c r="H1151" i="22"/>
  <c r="H1152" i="22"/>
  <c r="K1105" i="22"/>
  <c r="L1105" i="22"/>
  <c r="L1106" i="22"/>
  <c r="A23" i="22"/>
  <c r="E1051" i="22"/>
  <c r="C1051" i="22"/>
  <c r="F1051" i="22" s="1"/>
  <c r="B1052" i="22"/>
  <c r="G1051" i="22"/>
  <c r="CI22" i="22"/>
  <c r="T1054" i="22"/>
  <c r="S1054" i="22"/>
  <c r="T1053" i="22"/>
  <c r="S1053" i="22"/>
  <c r="T1052" i="22"/>
  <c r="S1052" i="22"/>
  <c r="T1051" i="22"/>
  <c r="S1051" i="22"/>
  <c r="AK22" i="22"/>
  <c r="AL22" i="22"/>
  <c r="T1098" i="22"/>
  <c r="S1098" i="22"/>
  <c r="T1097" i="22"/>
  <c r="S1097" i="22"/>
  <c r="T1096" i="22"/>
  <c r="S1096" i="22"/>
  <c r="T1095" i="22"/>
  <c r="S1095" i="22"/>
  <c r="T1094" i="22"/>
  <c r="S1094" i="22"/>
  <c r="T1093" i="22"/>
  <c r="S1093" i="22"/>
  <c r="T1092" i="22"/>
  <c r="S1092" i="22"/>
  <c r="T1091" i="22"/>
  <c r="S1091" i="22"/>
  <c r="T1090" i="22"/>
  <c r="S1090" i="22"/>
  <c r="T1089" i="22"/>
  <c r="S1089" i="22"/>
  <c r="T1088" i="22"/>
  <c r="S1088" i="22"/>
  <c r="T1087" i="22"/>
  <c r="S1087" i="22"/>
  <c r="T1086" i="22"/>
  <c r="S1086" i="22"/>
  <c r="T1085" i="22"/>
  <c r="S1085" i="22"/>
  <c r="T1084" i="22"/>
  <c r="S1084" i="22"/>
  <c r="T1083" i="22"/>
  <c r="S1083" i="22"/>
  <c r="T1082" i="22"/>
  <c r="S1082" i="22"/>
  <c r="T1081" i="22"/>
  <c r="S1081" i="22"/>
  <c r="T1080" i="22"/>
  <c r="S1080" i="22"/>
  <c r="T1079" i="22"/>
  <c r="S1079" i="22"/>
  <c r="T1078" i="22"/>
  <c r="S1078" i="22"/>
  <c r="T1077" i="22"/>
  <c r="S1077" i="22"/>
  <c r="T1076" i="22"/>
  <c r="S1076" i="22"/>
  <c r="T1075" i="22"/>
  <c r="S1075" i="22"/>
  <c r="T1074" i="22"/>
  <c r="S1074" i="22"/>
  <c r="T1073" i="22"/>
  <c r="S1073" i="22"/>
  <c r="T1072" i="22"/>
  <c r="S1072" i="22"/>
  <c r="T1071" i="22"/>
  <c r="S1071" i="22"/>
  <c r="T1070" i="22"/>
  <c r="S1070" i="22"/>
  <c r="T1069" i="22"/>
  <c r="S1069" i="22"/>
  <c r="T1068" i="22"/>
  <c r="S1068" i="22"/>
  <c r="T1067" i="22"/>
  <c r="S1067" i="22"/>
  <c r="T1066" i="22"/>
  <c r="S1066" i="22"/>
  <c r="T1065" i="22"/>
  <c r="S1065" i="22"/>
  <c r="T1064" i="22"/>
  <c r="S1064" i="22"/>
  <c r="T1063" i="22"/>
  <c r="S1063" i="22"/>
  <c r="T1062" i="22"/>
  <c r="S1062" i="22"/>
  <c r="T1061" i="22"/>
  <c r="S1061" i="22"/>
  <c r="T1060" i="22"/>
  <c r="S1060" i="22"/>
  <c r="T1059" i="22"/>
  <c r="S1059" i="22"/>
  <c r="T1058" i="22"/>
  <c r="S1058" i="22"/>
  <c r="T1057" i="22"/>
  <c r="S1057" i="22"/>
  <c r="T1056" i="22"/>
  <c r="S1056" i="22"/>
  <c r="T1055" i="22"/>
  <c r="S1055" i="22"/>
  <c r="B1049" i="22"/>
  <c r="A1049" i="22"/>
  <c r="E1048" i="22"/>
  <c r="H1051" i="22"/>
  <c r="H1052" i="22"/>
  <c r="H1053" i="22"/>
  <c r="H1054" i="22"/>
  <c r="H1055" i="22"/>
  <c r="H1056" i="22"/>
  <c r="H1057" i="22"/>
  <c r="H1058" i="22"/>
  <c r="H1059" i="22"/>
  <c r="H1060" i="22"/>
  <c r="H1061" i="22"/>
  <c r="H1062" i="22"/>
  <c r="H1063" i="22"/>
  <c r="H1064" i="22"/>
  <c r="H1065" i="22"/>
  <c r="H1066" i="22"/>
  <c r="H1067" i="22"/>
  <c r="H1068" i="22"/>
  <c r="H1069" i="22"/>
  <c r="H1070" i="22"/>
  <c r="H1071" i="22"/>
  <c r="H1072" i="22"/>
  <c r="H1073" i="22"/>
  <c r="H1074" i="22"/>
  <c r="H1075" i="22"/>
  <c r="H1076" i="22"/>
  <c r="BX22" i="22" s="1"/>
  <c r="H1077" i="22"/>
  <c r="BY22" i="22" s="1"/>
  <c r="H1078" i="22"/>
  <c r="BZ22" i="22" s="1"/>
  <c r="H1079" i="22"/>
  <c r="CA22" i="22" s="1"/>
  <c r="H1080" i="22"/>
  <c r="CB22" i="22" s="1"/>
  <c r="H1081" i="22"/>
  <c r="CC22" i="22" s="1"/>
  <c r="H1082" i="22"/>
  <c r="CD22" i="22" s="1"/>
  <c r="H1083" i="22"/>
  <c r="CE22" i="22" s="1"/>
  <c r="H1084" i="22"/>
  <c r="CF22" i="22" s="1"/>
  <c r="H1085" i="22"/>
  <c r="CG22" i="22" s="1"/>
  <c r="H1086" i="22"/>
  <c r="CH22" i="22" s="1"/>
  <c r="H1087" i="22"/>
  <c r="H1088" i="22"/>
  <c r="H1089" i="22"/>
  <c r="H1090" i="22"/>
  <c r="H1091" i="22"/>
  <c r="H1092" i="22"/>
  <c r="H1093" i="22"/>
  <c r="H1094" i="22"/>
  <c r="H1095" i="22"/>
  <c r="H1096" i="22"/>
  <c r="H1097" i="22"/>
  <c r="H1098" i="22"/>
  <c r="L1052" i="22"/>
  <c r="L1051" i="22"/>
  <c r="K1051" i="22"/>
  <c r="A22" i="22"/>
  <c r="G997" i="22"/>
  <c r="B998" i="22"/>
  <c r="C997" i="22"/>
  <c r="F997" i="22" s="1"/>
  <c r="E997" i="22"/>
  <c r="S1025" i="22"/>
  <c r="T1025" i="22"/>
  <c r="S1026" i="22"/>
  <c r="T1026" i="22"/>
  <c r="T1029" i="22"/>
  <c r="S1029" i="22"/>
  <c r="S1009" i="22"/>
  <c r="T1009" i="22"/>
  <c r="T1028" i="22"/>
  <c r="S1028" i="22"/>
  <c r="T1027" i="22"/>
  <c r="S1027" i="22"/>
  <c r="S1010" i="22"/>
  <c r="T1010" i="22"/>
  <c r="S997" i="22"/>
  <c r="T997" i="22"/>
  <c r="S998" i="22"/>
  <c r="T998" i="22"/>
  <c r="S999" i="22"/>
  <c r="T999" i="22"/>
  <c r="S1000" i="22"/>
  <c r="T1000" i="22"/>
  <c r="S1001" i="22"/>
  <c r="T1001" i="22"/>
  <c r="S1002" i="22"/>
  <c r="T1002" i="22"/>
  <c r="S1003" i="22"/>
  <c r="T1003" i="22"/>
  <c r="S1004" i="22"/>
  <c r="T1004" i="22"/>
  <c r="S1005" i="22"/>
  <c r="T1005" i="22"/>
  <c r="S1006" i="22"/>
  <c r="T1006" i="22"/>
  <c r="S1007" i="22"/>
  <c r="T1007" i="22"/>
  <c r="S1011" i="22"/>
  <c r="T1011" i="22"/>
  <c r="S1012" i="22"/>
  <c r="T1012" i="22"/>
  <c r="S1013" i="22"/>
  <c r="T1013" i="22"/>
  <c r="S1014" i="22"/>
  <c r="T1014" i="22"/>
  <c r="S1015" i="22"/>
  <c r="T1015" i="22"/>
  <c r="S1016" i="22"/>
  <c r="T1016" i="22"/>
  <c r="S1017" i="22"/>
  <c r="T1017" i="22"/>
  <c r="S1018" i="22"/>
  <c r="T1018" i="22"/>
  <c r="S1008" i="22"/>
  <c r="S1019" i="22"/>
  <c r="T1019" i="22"/>
  <c r="S1020" i="22"/>
  <c r="T1020" i="22"/>
  <c r="S1021" i="22"/>
  <c r="T1021" i="22"/>
  <c r="S1022" i="22"/>
  <c r="T1022" i="22"/>
  <c r="S1023" i="22"/>
  <c r="T1023" i="22"/>
  <c r="S1024" i="22"/>
  <c r="T1024" i="22"/>
  <c r="T1008" i="22"/>
  <c r="A995" i="22"/>
  <c r="B995" i="22"/>
  <c r="E994" i="22"/>
  <c r="H997" i="22"/>
  <c r="H998" i="22"/>
  <c r="H999" i="22"/>
  <c r="H1000" i="22"/>
  <c r="H1001" i="22"/>
  <c r="H1002" i="22"/>
  <c r="H1003" i="22"/>
  <c r="H1004" i="22"/>
  <c r="H1005" i="22"/>
  <c r="H1006" i="22"/>
  <c r="H1007" i="22"/>
  <c r="H1008" i="22"/>
  <c r="H1009" i="22"/>
  <c r="H1010" i="22"/>
  <c r="H1011" i="22"/>
  <c r="H1012" i="22"/>
  <c r="H1013" i="22"/>
  <c r="H1014" i="22"/>
  <c r="H1015" i="22"/>
  <c r="H1016" i="22"/>
  <c r="H1017" i="22"/>
  <c r="H1018" i="22"/>
  <c r="H1019" i="22"/>
  <c r="H1020" i="22"/>
  <c r="H1021" i="22"/>
  <c r="BW21" i="22" s="1"/>
  <c r="H1022" i="22"/>
  <c r="BX21" i="22" s="1"/>
  <c r="H1023" i="22"/>
  <c r="BY21" i="22" s="1"/>
  <c r="H1024" i="22"/>
  <c r="BZ21" i="22" s="1"/>
  <c r="H1025" i="22"/>
  <c r="CA21" i="22" s="1"/>
  <c r="H1026" i="22"/>
  <c r="CB21" i="22" s="1"/>
  <c r="H1027" i="22"/>
  <c r="CC21" i="22" s="1"/>
  <c r="H1028" i="22"/>
  <c r="CD21" i="22" s="1"/>
  <c r="H1029" i="22"/>
  <c r="CE21" i="22" s="1"/>
  <c r="H1030" i="22"/>
  <c r="CF21" i="22" s="1"/>
  <c r="H1033" i="22"/>
  <c r="H1031" i="22"/>
  <c r="CG21" i="22" s="1"/>
  <c r="H1039" i="22"/>
  <c r="H1041" i="22"/>
  <c r="H1036" i="22"/>
  <c r="H1040" i="22"/>
  <c r="H1043" i="22"/>
  <c r="H1044" i="22"/>
  <c r="H1038" i="22"/>
  <c r="H1035" i="22"/>
  <c r="H1032" i="22"/>
  <c r="CH21" i="22" s="1"/>
  <c r="H1037" i="22"/>
  <c r="H1034" i="22"/>
  <c r="H1042" i="22"/>
  <c r="B944" i="22"/>
  <c r="C943" i="22"/>
  <c r="E943" i="22"/>
  <c r="F943" i="22"/>
  <c r="G943" i="22"/>
  <c r="CI20" i="22"/>
  <c r="S966" i="22"/>
  <c r="S956" i="22"/>
  <c r="T955" i="22"/>
  <c r="S955" i="22"/>
  <c r="T954" i="22"/>
  <c r="S954" i="22"/>
  <c r="T953" i="22"/>
  <c r="S953" i="22"/>
  <c r="T952" i="22"/>
  <c r="S952" i="22"/>
  <c r="T951" i="22"/>
  <c r="S951" i="22"/>
  <c r="T950" i="22"/>
  <c r="S950" i="22"/>
  <c r="T949" i="22"/>
  <c r="S949" i="22"/>
  <c r="T948" i="22"/>
  <c r="S948" i="22"/>
  <c r="T947" i="22"/>
  <c r="S947" i="22"/>
  <c r="T946" i="22"/>
  <c r="S946" i="22"/>
  <c r="T945" i="22"/>
  <c r="S945" i="22"/>
  <c r="T944" i="22"/>
  <c r="S944" i="22"/>
  <c r="T943" i="22"/>
  <c r="S943" i="22"/>
  <c r="S989" i="22"/>
  <c r="T975" i="22"/>
  <c r="S975" i="22"/>
  <c r="T974" i="22"/>
  <c r="S974" i="22"/>
  <c r="AK20" i="22"/>
  <c r="T973" i="22"/>
  <c r="S973" i="22"/>
  <c r="AL20" i="22"/>
  <c r="S971" i="22"/>
  <c r="T970" i="22"/>
  <c r="T990" i="22"/>
  <c r="S990" i="22"/>
  <c r="T988" i="22"/>
  <c r="S972" i="22"/>
  <c r="T972" i="22"/>
  <c r="S970" i="22"/>
  <c r="T969" i="22"/>
  <c r="S969" i="22"/>
  <c r="T968" i="22"/>
  <c r="S968" i="22"/>
  <c r="T967" i="22"/>
  <c r="S967" i="22"/>
  <c r="T966" i="22"/>
  <c r="T989" i="22"/>
  <c r="T965" i="22"/>
  <c r="S965" i="22"/>
  <c r="T964" i="22"/>
  <c r="S964" i="22"/>
  <c r="T963" i="22"/>
  <c r="S963" i="22"/>
  <c r="T962" i="22"/>
  <c r="S962" i="22"/>
  <c r="T961" i="22"/>
  <c r="S961" i="22"/>
  <c r="T960" i="22"/>
  <c r="S960" i="22"/>
  <c r="T959" i="22"/>
  <c r="S959" i="22"/>
  <c r="T958" i="22"/>
  <c r="S958" i="22"/>
  <c r="T971" i="22"/>
  <c r="T957" i="22"/>
  <c r="S957" i="22"/>
  <c r="T956" i="22"/>
  <c r="S988" i="22"/>
  <c r="T987" i="22"/>
  <c r="S987" i="22"/>
  <c r="T986" i="22"/>
  <c r="S986" i="22"/>
  <c r="T985" i="22"/>
  <c r="S985" i="22"/>
  <c r="T984" i="22"/>
  <c r="S984" i="22"/>
  <c r="T983" i="22"/>
  <c r="S983" i="22"/>
  <c r="T982" i="22"/>
  <c r="S982" i="22"/>
  <c r="T981" i="22"/>
  <c r="S981" i="22"/>
  <c r="T980" i="22"/>
  <c r="S980" i="22"/>
  <c r="T979" i="22"/>
  <c r="S979" i="22"/>
  <c r="T978" i="22"/>
  <c r="S978" i="22"/>
  <c r="T977" i="22"/>
  <c r="S977" i="22"/>
  <c r="T976" i="22"/>
  <c r="S976" i="22"/>
  <c r="B941" i="22"/>
  <c r="A941" i="22"/>
  <c r="E940" i="22"/>
  <c r="H943" i="22"/>
  <c r="H944" i="22"/>
  <c r="H945" i="22"/>
  <c r="H946" i="22"/>
  <c r="H947" i="22"/>
  <c r="H948" i="22"/>
  <c r="H949" i="22"/>
  <c r="H950" i="22"/>
  <c r="H951" i="22"/>
  <c r="H952" i="22"/>
  <c r="H953" i="22"/>
  <c r="H954" i="22"/>
  <c r="H955" i="22"/>
  <c r="H956" i="22"/>
  <c r="H957" i="22"/>
  <c r="H958" i="22"/>
  <c r="H959" i="22"/>
  <c r="H960" i="22"/>
  <c r="H961" i="22"/>
  <c r="H962" i="22"/>
  <c r="H963" i="22"/>
  <c r="H964" i="22"/>
  <c r="H965" i="22"/>
  <c r="H966" i="22"/>
  <c r="H967" i="22"/>
  <c r="BW20" i="22" s="1"/>
  <c r="H968" i="22"/>
  <c r="BX20" i="22" s="1"/>
  <c r="H969" i="22"/>
  <c r="BY20" i="22" s="1"/>
  <c r="H970" i="22"/>
  <c r="BZ20" i="22" s="1"/>
  <c r="H971" i="22"/>
  <c r="CA20" i="22" s="1"/>
  <c r="H972" i="22"/>
  <c r="CB20" i="22" s="1"/>
  <c r="H973" i="22"/>
  <c r="CC20" i="22" s="1"/>
  <c r="H974" i="22"/>
  <c r="CD20" i="22" s="1"/>
  <c r="H975" i="22"/>
  <c r="CE20" i="22" s="1"/>
  <c r="H976" i="22"/>
  <c r="CF20" i="22" s="1"/>
  <c r="H977" i="22"/>
  <c r="CG20" i="22" s="1"/>
  <c r="H978" i="22"/>
  <c r="CH20" i="22" s="1"/>
  <c r="H979" i="22"/>
  <c r="H980" i="22"/>
  <c r="H981" i="22"/>
  <c r="H982" i="22"/>
  <c r="H983" i="22"/>
  <c r="H984" i="22"/>
  <c r="H985" i="22"/>
  <c r="H986" i="22"/>
  <c r="H987" i="22"/>
  <c r="H988" i="22"/>
  <c r="H989" i="22"/>
  <c r="H990" i="22"/>
  <c r="B890" i="22"/>
  <c r="G889" i="22"/>
  <c r="R889" i="22" s="1"/>
  <c r="E889" i="22"/>
  <c r="C889" i="22"/>
  <c r="F889" i="22" s="1"/>
  <c r="CI19" i="22"/>
  <c r="S921" i="22"/>
  <c r="T921" i="22"/>
  <c r="S922" i="22"/>
  <c r="T922" i="22"/>
  <c r="S923" i="22"/>
  <c r="T923" i="22"/>
  <c r="S924" i="22"/>
  <c r="T924" i="22"/>
  <c r="S925" i="22"/>
  <c r="T925" i="22"/>
  <c r="S926" i="22"/>
  <c r="T926" i="22"/>
  <c r="S927" i="22"/>
  <c r="T927" i="22"/>
  <c r="S928" i="22"/>
  <c r="T928" i="22"/>
  <c r="S929" i="22"/>
  <c r="T929" i="22"/>
  <c r="S930" i="22"/>
  <c r="T930" i="22"/>
  <c r="S931" i="22"/>
  <c r="T931" i="22"/>
  <c r="S932" i="22"/>
  <c r="T932" i="22"/>
  <c r="S933" i="22"/>
  <c r="T933" i="22"/>
  <c r="T934" i="22"/>
  <c r="S935" i="22"/>
  <c r="T935" i="22"/>
  <c r="S936" i="22"/>
  <c r="S920" i="22"/>
  <c r="T919" i="22"/>
  <c r="S919" i="22"/>
  <c r="T918" i="22"/>
  <c r="S918" i="22"/>
  <c r="T917" i="22"/>
  <c r="S917" i="22"/>
  <c r="T916" i="22"/>
  <c r="S916" i="22"/>
  <c r="T915" i="22"/>
  <c r="S915" i="22"/>
  <c r="T914" i="22"/>
  <c r="S914" i="22"/>
  <c r="T913" i="22"/>
  <c r="S913" i="22"/>
  <c r="T912" i="22"/>
  <c r="S912" i="22"/>
  <c r="T911" i="22"/>
  <c r="S911" i="22"/>
  <c r="T910" i="22"/>
  <c r="S910" i="22"/>
  <c r="T909" i="22"/>
  <c r="S909" i="22"/>
  <c r="T908" i="22"/>
  <c r="S908" i="22"/>
  <c r="T907" i="22"/>
  <c r="S907" i="22"/>
  <c r="T906" i="22"/>
  <c r="S906" i="22"/>
  <c r="T905" i="22"/>
  <c r="S905" i="22"/>
  <c r="T904" i="22"/>
  <c r="T936" i="22"/>
  <c r="T903" i="22"/>
  <c r="S903" i="22"/>
  <c r="T902" i="22"/>
  <c r="S902" i="22"/>
  <c r="T901" i="22"/>
  <c r="S901" i="22"/>
  <c r="T900" i="22"/>
  <c r="S900" i="22"/>
  <c r="T899" i="22"/>
  <c r="S899" i="22"/>
  <c r="T898" i="22"/>
  <c r="S898" i="22"/>
  <c r="T897" i="22"/>
  <c r="S897" i="22"/>
  <c r="T896" i="22"/>
  <c r="S896" i="22"/>
  <c r="T895" i="22"/>
  <c r="S895" i="22"/>
  <c r="T894" i="22"/>
  <c r="S894" i="22"/>
  <c r="T893" i="22"/>
  <c r="S893" i="22"/>
  <c r="T892" i="22"/>
  <c r="S892" i="22"/>
  <c r="T891" i="22"/>
  <c r="S891" i="22"/>
  <c r="T890" i="22"/>
  <c r="S890" i="22"/>
  <c r="T889" i="22"/>
  <c r="S889" i="22"/>
  <c r="AL19" i="22"/>
  <c r="AK19" i="22"/>
  <c r="S934" i="22"/>
  <c r="T920" i="22"/>
  <c r="S904" i="22"/>
  <c r="B887" i="22"/>
  <c r="A887" i="22"/>
  <c r="E886" i="22"/>
  <c r="H889" i="22"/>
  <c r="H890" i="22"/>
  <c r="H891" i="22"/>
  <c r="H892" i="22"/>
  <c r="H893" i="22"/>
  <c r="H894" i="22"/>
  <c r="H895" i="22"/>
  <c r="H896" i="22"/>
  <c r="H897" i="22"/>
  <c r="H898" i="22"/>
  <c r="H899" i="22"/>
  <c r="H900" i="22"/>
  <c r="H901" i="22"/>
  <c r="H902" i="22"/>
  <c r="H903" i="22"/>
  <c r="H904" i="22"/>
  <c r="H905" i="22"/>
  <c r="H906" i="22"/>
  <c r="H907" i="22"/>
  <c r="H908" i="22"/>
  <c r="H909" i="22"/>
  <c r="H910" i="22"/>
  <c r="H911" i="22"/>
  <c r="H912" i="22"/>
  <c r="H913" i="22"/>
  <c r="BW19" i="22" s="1"/>
  <c r="H914" i="22"/>
  <c r="BX19" i="22" s="1"/>
  <c r="H915" i="22"/>
  <c r="BY19" i="22" s="1"/>
  <c r="H916" i="22"/>
  <c r="BZ19" i="22" s="1"/>
  <c r="H917" i="22"/>
  <c r="CA19" i="22" s="1"/>
  <c r="H918" i="22"/>
  <c r="CB19" i="22" s="1"/>
  <c r="H919" i="22"/>
  <c r="CC19" i="22" s="1"/>
  <c r="H920" i="22"/>
  <c r="CD19" i="22" s="1"/>
  <c r="H921" i="22"/>
  <c r="CE19" i="22" s="1"/>
  <c r="H922" i="22"/>
  <c r="CF19" i="22" s="1"/>
  <c r="H923" i="22"/>
  <c r="CG19" i="22" s="1"/>
  <c r="H924" i="22"/>
  <c r="CH19" i="22" s="1"/>
  <c r="H925" i="22"/>
  <c r="H926" i="22"/>
  <c r="H927" i="22"/>
  <c r="H928" i="22"/>
  <c r="H929" i="22"/>
  <c r="H930" i="22"/>
  <c r="H931" i="22"/>
  <c r="H932" i="22"/>
  <c r="H933" i="22"/>
  <c r="H934" i="22"/>
  <c r="H935" i="22"/>
  <c r="H936" i="22"/>
  <c r="B836" i="22"/>
  <c r="G835" i="22"/>
  <c r="E835" i="22"/>
  <c r="C835" i="22"/>
  <c r="F835" i="22" s="1"/>
  <c r="CI18" i="22"/>
  <c r="T881" i="22"/>
  <c r="S881" i="22"/>
  <c r="T880" i="22"/>
  <c r="S880" i="22"/>
  <c r="T879" i="22"/>
  <c r="S879" i="22"/>
  <c r="T878" i="22"/>
  <c r="S878" i="22"/>
  <c r="T877" i="22"/>
  <c r="S877" i="22"/>
  <c r="T876" i="22"/>
  <c r="S876" i="22"/>
  <c r="T875" i="22"/>
  <c r="S875" i="22"/>
  <c r="T874" i="22"/>
  <c r="S874" i="22"/>
  <c r="T873" i="22"/>
  <c r="S873" i="22"/>
  <c r="T872" i="22"/>
  <c r="S872" i="22"/>
  <c r="T871" i="22"/>
  <c r="S871" i="22"/>
  <c r="T870" i="22"/>
  <c r="S870" i="22"/>
  <c r="T869" i="22"/>
  <c r="S869" i="22"/>
  <c r="T868" i="22"/>
  <c r="S868" i="22"/>
  <c r="T867" i="22"/>
  <c r="S867" i="22"/>
  <c r="T866" i="22"/>
  <c r="S866" i="22"/>
  <c r="T865" i="22"/>
  <c r="S865" i="22"/>
  <c r="T864" i="22"/>
  <c r="S864" i="22"/>
  <c r="T863" i="22"/>
  <c r="S863" i="22"/>
  <c r="T862" i="22"/>
  <c r="S862" i="22"/>
  <c r="T861" i="22"/>
  <c r="S861" i="22"/>
  <c r="T860" i="22"/>
  <c r="S860" i="22"/>
  <c r="S859" i="22"/>
  <c r="T858" i="22"/>
  <c r="S858" i="22"/>
  <c r="T857" i="22"/>
  <c r="S857" i="22"/>
  <c r="T856" i="22"/>
  <c r="S856" i="22"/>
  <c r="T855" i="22"/>
  <c r="S855" i="22"/>
  <c r="T854" i="22"/>
  <c r="S854" i="22"/>
  <c r="T853" i="22"/>
  <c r="S853" i="22"/>
  <c r="T852" i="22"/>
  <c r="S852" i="22"/>
  <c r="T851" i="22"/>
  <c r="S851" i="22"/>
  <c r="T850" i="22"/>
  <c r="S850" i="22"/>
  <c r="T849" i="22"/>
  <c r="S849" i="22"/>
  <c r="T848" i="22"/>
  <c r="S848" i="22"/>
  <c r="T847" i="22"/>
  <c r="S847" i="22"/>
  <c r="T846" i="22"/>
  <c r="S846" i="22"/>
  <c r="T845" i="22"/>
  <c r="S845" i="22"/>
  <c r="T844" i="22"/>
  <c r="S844" i="22"/>
  <c r="T843" i="22"/>
  <c r="S843" i="22"/>
  <c r="T842" i="22"/>
  <c r="S842" i="22"/>
  <c r="T841" i="22"/>
  <c r="S841" i="22"/>
  <c r="T840" i="22"/>
  <c r="S840" i="22"/>
  <c r="T839" i="22"/>
  <c r="S839" i="22"/>
  <c r="T838" i="22"/>
  <c r="S838" i="22"/>
  <c r="T837" i="22"/>
  <c r="S837" i="22"/>
  <c r="T836" i="22"/>
  <c r="S836" i="22"/>
  <c r="T835" i="22"/>
  <c r="S835" i="22"/>
  <c r="AK18" i="22"/>
  <c r="AL18" i="22"/>
  <c r="T859" i="22"/>
  <c r="T882" i="22"/>
  <c r="S882" i="22"/>
  <c r="A833" i="22"/>
  <c r="B833" i="22"/>
  <c r="E832" i="22"/>
  <c r="H835" i="22"/>
  <c r="H836" i="22"/>
  <c r="H837" i="22"/>
  <c r="H838" i="22"/>
  <c r="H839" i="22"/>
  <c r="H840" i="22"/>
  <c r="H841" i="22"/>
  <c r="H842" i="22"/>
  <c r="H843" i="22"/>
  <c r="H844" i="22"/>
  <c r="H845" i="22"/>
  <c r="H846" i="22"/>
  <c r="H847" i="22"/>
  <c r="H848" i="22"/>
  <c r="H849" i="22"/>
  <c r="H850" i="22"/>
  <c r="H851" i="22"/>
  <c r="H852" i="22"/>
  <c r="H853" i="22"/>
  <c r="H854" i="22"/>
  <c r="H855" i="22"/>
  <c r="H856" i="22"/>
  <c r="H857" i="22"/>
  <c r="H858" i="22"/>
  <c r="H859" i="22"/>
  <c r="BW18" i="22" s="1"/>
  <c r="H860" i="22"/>
  <c r="BX18" i="22" s="1"/>
  <c r="H861" i="22"/>
  <c r="BY18" i="22" s="1"/>
  <c r="H862" i="22"/>
  <c r="BZ18" i="22" s="1"/>
  <c r="H863" i="22"/>
  <c r="CA18" i="22" s="1"/>
  <c r="H864" i="22"/>
  <c r="CB18" i="22" s="1"/>
  <c r="H865" i="22"/>
  <c r="CC18" i="22" s="1"/>
  <c r="H866" i="22"/>
  <c r="CD18" i="22" s="1"/>
  <c r="H867" i="22"/>
  <c r="CE18" i="22" s="1"/>
  <c r="H868" i="22"/>
  <c r="CF18" i="22" s="1"/>
  <c r="H869" i="22"/>
  <c r="CG18" i="22" s="1"/>
  <c r="H870" i="22"/>
  <c r="CH18" i="22" s="1"/>
  <c r="H871" i="22"/>
  <c r="H872" i="22"/>
  <c r="H873" i="22"/>
  <c r="H874" i="22"/>
  <c r="H875" i="22"/>
  <c r="H876" i="22"/>
  <c r="H877" i="22"/>
  <c r="H878" i="22"/>
  <c r="H879" i="22"/>
  <c r="H880" i="22"/>
  <c r="H881" i="22"/>
  <c r="H882" i="22"/>
  <c r="C781" i="22"/>
  <c r="E781" i="22"/>
  <c r="B782" i="22"/>
  <c r="F781" i="22"/>
  <c r="G781" i="22"/>
  <c r="R781" i="22" s="1"/>
  <c r="CI17" i="22"/>
  <c r="T807" i="22"/>
  <c r="S808" i="22"/>
  <c r="T808" i="22"/>
  <c r="S809" i="22"/>
  <c r="T809" i="22"/>
  <c r="S810" i="22"/>
  <c r="T810" i="22"/>
  <c r="S811" i="22"/>
  <c r="T811" i="22"/>
  <c r="S812" i="22"/>
  <c r="T812" i="22"/>
  <c r="S813" i="22"/>
  <c r="T813" i="22"/>
  <c r="S814" i="22"/>
  <c r="S807" i="22"/>
  <c r="S815" i="22"/>
  <c r="T815" i="22"/>
  <c r="S816" i="22"/>
  <c r="T816" i="22"/>
  <c r="S817" i="22"/>
  <c r="T817" i="22"/>
  <c r="S818" i="22"/>
  <c r="T818" i="22"/>
  <c r="S819" i="22"/>
  <c r="T819" i="22"/>
  <c r="S820" i="22"/>
  <c r="T820" i="22"/>
  <c r="T821" i="22"/>
  <c r="S821" i="22"/>
  <c r="T814" i="22"/>
  <c r="AL17" i="22"/>
  <c r="AK17" i="22"/>
  <c r="T824" i="22"/>
  <c r="S824" i="22"/>
  <c r="T823" i="22"/>
  <c r="S823" i="22"/>
  <c r="T822" i="22"/>
  <c r="S822" i="22"/>
  <c r="S781" i="22"/>
  <c r="T781" i="22"/>
  <c r="S782" i="22"/>
  <c r="T782" i="22"/>
  <c r="S783" i="22"/>
  <c r="T783" i="22"/>
  <c r="S784" i="22"/>
  <c r="T784" i="22"/>
  <c r="S785" i="22"/>
  <c r="T785" i="22"/>
  <c r="S786" i="22"/>
  <c r="T786" i="22"/>
  <c r="S787" i="22"/>
  <c r="T787" i="22"/>
  <c r="S788" i="22"/>
  <c r="T788" i="22"/>
  <c r="S789" i="22"/>
  <c r="T789" i="22"/>
  <c r="S790" i="22"/>
  <c r="T790" i="22"/>
  <c r="S791" i="22"/>
  <c r="T791" i="22"/>
  <c r="S792" i="22"/>
  <c r="T792" i="22"/>
  <c r="S793" i="22"/>
  <c r="T793" i="22"/>
  <c r="S794" i="22"/>
  <c r="T794" i="22"/>
  <c r="S795" i="22"/>
  <c r="T795" i="22"/>
  <c r="S796" i="22"/>
  <c r="T796" i="22"/>
  <c r="S797" i="22"/>
  <c r="T797" i="22"/>
  <c r="S798" i="22"/>
  <c r="T798" i="22"/>
  <c r="S799" i="22"/>
  <c r="T799" i="22"/>
  <c r="S800" i="22"/>
  <c r="T800" i="22"/>
  <c r="S801" i="22"/>
  <c r="T801" i="22"/>
  <c r="T802" i="22"/>
  <c r="S803" i="22"/>
  <c r="T803" i="22"/>
  <c r="S804" i="22"/>
  <c r="T804" i="22"/>
  <c r="S805" i="22"/>
  <c r="T805" i="22"/>
  <c r="S806" i="22"/>
  <c r="T806" i="22"/>
  <c r="S802" i="22"/>
  <c r="T828" i="22"/>
  <c r="S828" i="22"/>
  <c r="T827" i="22"/>
  <c r="S827" i="22"/>
  <c r="T826" i="22"/>
  <c r="S826" i="22"/>
  <c r="T825" i="22"/>
  <c r="S825" i="22"/>
  <c r="B779" i="22"/>
  <c r="A779" i="22"/>
  <c r="E778" i="22"/>
  <c r="H781" i="22"/>
  <c r="H782" i="22"/>
  <c r="H783" i="22"/>
  <c r="H784" i="22"/>
  <c r="H785" i="22"/>
  <c r="H786" i="22"/>
  <c r="H787" i="22"/>
  <c r="H788" i="22"/>
  <c r="H789" i="22"/>
  <c r="H790" i="22"/>
  <c r="H791" i="22"/>
  <c r="H792" i="22"/>
  <c r="H793" i="22"/>
  <c r="H794" i="22"/>
  <c r="H795" i="22"/>
  <c r="H796" i="22"/>
  <c r="H797" i="22"/>
  <c r="H798" i="22"/>
  <c r="H799" i="22"/>
  <c r="H800" i="22"/>
  <c r="H801" i="22"/>
  <c r="H802" i="22"/>
  <c r="H803" i="22"/>
  <c r="H804" i="22"/>
  <c r="H805" i="22"/>
  <c r="BW17" i="22" s="1"/>
  <c r="H806" i="22"/>
  <c r="BX17" i="22" s="1"/>
  <c r="H807" i="22"/>
  <c r="BY17" i="22" s="1"/>
  <c r="H808" i="22"/>
  <c r="BZ17" i="22" s="1"/>
  <c r="H809" i="22"/>
  <c r="CA17" i="22" s="1"/>
  <c r="H810" i="22"/>
  <c r="CB17" i="22" s="1"/>
  <c r="H811" i="22"/>
  <c r="CC17" i="22" s="1"/>
  <c r="H812" i="22"/>
  <c r="CD17" i="22" s="1"/>
  <c r="H813" i="22"/>
  <c r="CE17" i="22" s="1"/>
  <c r="H814" i="22"/>
  <c r="CF17" i="22" s="1"/>
  <c r="H815" i="22"/>
  <c r="CG17" i="22" s="1"/>
  <c r="H816" i="22"/>
  <c r="CH17" i="22" s="1"/>
  <c r="H817" i="22"/>
  <c r="H818" i="22"/>
  <c r="H819" i="22"/>
  <c r="H820" i="22"/>
  <c r="H821" i="22"/>
  <c r="H822" i="22"/>
  <c r="H823" i="22"/>
  <c r="H824" i="22"/>
  <c r="H825" i="22"/>
  <c r="H826" i="22"/>
  <c r="H827" i="22"/>
  <c r="H828" i="22"/>
  <c r="G727" i="22"/>
  <c r="R727" i="22" s="1"/>
  <c r="E727" i="22"/>
  <c r="C727" i="22"/>
  <c r="F727" i="22"/>
  <c r="B728" i="22"/>
  <c r="CI16" i="22"/>
  <c r="T749" i="22"/>
  <c r="S749" i="22"/>
  <c r="T748" i="22"/>
  <c r="S748" i="22"/>
  <c r="T747" i="22"/>
  <c r="S747" i="22"/>
  <c r="T746" i="22"/>
  <c r="S746" i="22"/>
  <c r="T745" i="22"/>
  <c r="S745" i="22"/>
  <c r="T744" i="22"/>
  <c r="S744" i="22"/>
  <c r="T743" i="22"/>
  <c r="S743" i="22"/>
  <c r="T742" i="22"/>
  <c r="S742" i="22"/>
  <c r="T741" i="22"/>
  <c r="S741" i="22"/>
  <c r="T740" i="22"/>
  <c r="S740" i="22"/>
  <c r="T739" i="22"/>
  <c r="S739" i="22"/>
  <c r="T738" i="22"/>
  <c r="S738" i="22"/>
  <c r="T737" i="22"/>
  <c r="S737" i="22"/>
  <c r="T736" i="22"/>
  <c r="S736" i="22"/>
  <c r="T735" i="22"/>
  <c r="S735" i="22"/>
  <c r="T734" i="22"/>
  <c r="S734" i="22"/>
  <c r="T733" i="22"/>
  <c r="S733" i="22"/>
  <c r="T732" i="22"/>
  <c r="S732" i="22"/>
  <c r="T731" i="22"/>
  <c r="S731" i="22"/>
  <c r="T730" i="22"/>
  <c r="S730" i="22"/>
  <c r="T729" i="22"/>
  <c r="S729" i="22"/>
  <c r="T728" i="22"/>
  <c r="S728" i="22"/>
  <c r="T727" i="22"/>
  <c r="S727" i="22"/>
  <c r="AL16" i="22"/>
  <c r="AK16" i="22"/>
  <c r="T774" i="22"/>
  <c r="S774" i="22"/>
  <c r="T773" i="22"/>
  <c r="S773" i="22"/>
  <c r="T772" i="22"/>
  <c r="S772" i="22"/>
  <c r="T771" i="22"/>
  <c r="S771" i="22"/>
  <c r="T770" i="22"/>
  <c r="S770" i="22"/>
  <c r="T769" i="22"/>
  <c r="S769" i="22"/>
  <c r="T768" i="22"/>
  <c r="S768" i="22"/>
  <c r="T767" i="22"/>
  <c r="S767" i="22"/>
  <c r="T766" i="22"/>
  <c r="S766" i="22"/>
  <c r="T765" i="22"/>
  <c r="S765" i="22"/>
  <c r="T764" i="22"/>
  <c r="S764" i="22"/>
  <c r="T763" i="22"/>
  <c r="S763" i="22"/>
  <c r="T762" i="22"/>
  <c r="S762" i="22"/>
  <c r="T761" i="22"/>
  <c r="S761" i="22"/>
  <c r="T760" i="22"/>
  <c r="S760" i="22"/>
  <c r="T759" i="22"/>
  <c r="S759" i="22"/>
  <c r="T758" i="22"/>
  <c r="S758" i="22"/>
  <c r="T757" i="22"/>
  <c r="S757" i="22"/>
  <c r="T756" i="22"/>
  <c r="S756" i="22"/>
  <c r="T755" i="22"/>
  <c r="S755" i="22"/>
  <c r="T754" i="22"/>
  <c r="S754" i="22"/>
  <c r="T753" i="22"/>
  <c r="S753" i="22"/>
  <c r="T752" i="22"/>
  <c r="S752" i="22"/>
  <c r="T751" i="22"/>
  <c r="S751" i="22"/>
  <c r="T750" i="22"/>
  <c r="S750" i="22"/>
  <c r="A725" i="22"/>
  <c r="B725" i="22"/>
  <c r="J725" i="22" s="1"/>
  <c r="E724" i="22"/>
  <c r="H727" i="22"/>
  <c r="H728" i="22"/>
  <c r="H729" i="22"/>
  <c r="H730" i="22"/>
  <c r="H731" i="22"/>
  <c r="H732" i="22"/>
  <c r="H733" i="22"/>
  <c r="H734" i="22"/>
  <c r="H735" i="22"/>
  <c r="H736" i="22"/>
  <c r="H737" i="22"/>
  <c r="H738" i="22"/>
  <c r="H739" i="22"/>
  <c r="H740" i="22"/>
  <c r="H741" i="22"/>
  <c r="H742" i="22"/>
  <c r="H743" i="22"/>
  <c r="H744" i="22"/>
  <c r="H745" i="22"/>
  <c r="H746" i="22"/>
  <c r="H747" i="22"/>
  <c r="H748" i="22"/>
  <c r="H749" i="22"/>
  <c r="H750" i="22"/>
  <c r="H751" i="22"/>
  <c r="BW16" i="22" s="1"/>
  <c r="H752" i="22"/>
  <c r="BX16" i="22" s="1"/>
  <c r="H753" i="22"/>
  <c r="BY16" i="22" s="1"/>
  <c r="H754" i="22"/>
  <c r="BZ16" i="22" s="1"/>
  <c r="H755" i="22"/>
  <c r="CA16" i="22" s="1"/>
  <c r="H756" i="22"/>
  <c r="CB16" i="22" s="1"/>
  <c r="H757" i="22"/>
  <c r="CC16" i="22" s="1"/>
  <c r="H758" i="22"/>
  <c r="CD16" i="22" s="1"/>
  <c r="H759" i="22"/>
  <c r="CE16" i="22" s="1"/>
  <c r="H760" i="22"/>
  <c r="CF16" i="22" s="1"/>
  <c r="H761" i="22"/>
  <c r="CG16" i="22" s="1"/>
  <c r="H762" i="22"/>
  <c r="CH16" i="22" s="1"/>
  <c r="H763" i="22"/>
  <c r="H764" i="22"/>
  <c r="H765" i="22"/>
  <c r="H766" i="22"/>
  <c r="H767" i="22"/>
  <c r="H768" i="22"/>
  <c r="H769" i="22"/>
  <c r="H770" i="22"/>
  <c r="H771" i="22"/>
  <c r="H772" i="22"/>
  <c r="H773" i="22"/>
  <c r="H774" i="22"/>
  <c r="A16" i="22"/>
  <c r="L728" i="22"/>
  <c r="L727" i="22"/>
  <c r="K727" i="22"/>
  <c r="C673" i="22"/>
  <c r="E673" i="22"/>
  <c r="F673" i="22"/>
  <c r="G673" i="22"/>
  <c r="B674" i="22"/>
  <c r="S700" i="22"/>
  <c r="T700" i="22"/>
  <c r="S701" i="22"/>
  <c r="S702" i="22"/>
  <c r="T702" i="22"/>
  <c r="S703" i="22"/>
  <c r="T703" i="22"/>
  <c r="S704" i="22"/>
  <c r="T704" i="22"/>
  <c r="S705" i="22"/>
  <c r="T705" i="22"/>
  <c r="S706" i="22"/>
  <c r="T706" i="22"/>
  <c r="S707" i="22"/>
  <c r="T707" i="22"/>
  <c r="S708" i="22"/>
  <c r="T708" i="22"/>
  <c r="S709" i="22"/>
  <c r="T709" i="22"/>
  <c r="S710" i="22"/>
  <c r="T710" i="22"/>
  <c r="S711" i="22"/>
  <c r="T711" i="22"/>
  <c r="S712" i="22"/>
  <c r="T712" i="22"/>
  <c r="S713" i="22"/>
  <c r="T713" i="22"/>
  <c r="S696" i="22"/>
  <c r="S714" i="22"/>
  <c r="T714" i="22"/>
  <c r="S715" i="22"/>
  <c r="T715" i="22"/>
  <c r="S716" i="22"/>
  <c r="T716" i="22"/>
  <c r="S717" i="22"/>
  <c r="T717" i="22"/>
  <c r="S718" i="22"/>
  <c r="T718" i="22"/>
  <c r="T685" i="22"/>
  <c r="S686" i="22"/>
  <c r="T686" i="22"/>
  <c r="T690" i="22"/>
  <c r="S687" i="22"/>
  <c r="T687" i="22"/>
  <c r="S688" i="22"/>
  <c r="T688" i="22"/>
  <c r="S689" i="22"/>
  <c r="T689" i="22"/>
  <c r="S690" i="22"/>
  <c r="T697" i="22"/>
  <c r="S691" i="22"/>
  <c r="T691" i="22"/>
  <c r="S692" i="22"/>
  <c r="T692" i="22"/>
  <c r="S693" i="22"/>
  <c r="T693" i="22"/>
  <c r="S694" i="22"/>
  <c r="T694" i="22"/>
  <c r="T673" i="22"/>
  <c r="S695" i="22"/>
  <c r="T695" i="22"/>
  <c r="T696" i="22"/>
  <c r="S697" i="22"/>
  <c r="S698" i="22"/>
  <c r="T698" i="22"/>
  <c r="S699" i="22"/>
  <c r="T699" i="22"/>
  <c r="S674" i="22"/>
  <c r="T674" i="22"/>
  <c r="S675" i="22"/>
  <c r="T675" i="22"/>
  <c r="S676" i="22"/>
  <c r="T676" i="22"/>
  <c r="S677" i="22"/>
  <c r="T677" i="22"/>
  <c r="S678" i="22"/>
  <c r="T678" i="22"/>
  <c r="S673" i="22"/>
  <c r="S679" i="22"/>
  <c r="T679" i="22"/>
  <c r="T701" i="22"/>
  <c r="S680" i="22"/>
  <c r="T680" i="22"/>
  <c r="S681" i="22"/>
  <c r="T681" i="22"/>
  <c r="S682" i="22"/>
  <c r="T682" i="22"/>
  <c r="S683" i="22"/>
  <c r="T683" i="22"/>
  <c r="S684" i="22"/>
  <c r="T684" i="22"/>
  <c r="S685" i="22"/>
  <c r="B671" i="22"/>
  <c r="J671" i="22" s="1"/>
  <c r="A671" i="22"/>
  <c r="E670" i="22"/>
  <c r="H673" i="22"/>
  <c r="H674" i="22"/>
  <c r="H675" i="22"/>
  <c r="H676" i="22"/>
  <c r="H677" i="22"/>
  <c r="H678" i="22"/>
  <c r="H679" i="22"/>
  <c r="H680" i="22"/>
  <c r="H681" i="22"/>
  <c r="H682" i="22"/>
  <c r="H683" i="22"/>
  <c r="H684" i="22"/>
  <c r="H685" i="22"/>
  <c r="H686" i="22"/>
  <c r="H687" i="22"/>
  <c r="H688" i="22"/>
  <c r="H689" i="22"/>
  <c r="H690" i="22"/>
  <c r="H691" i="22"/>
  <c r="H692" i="22"/>
  <c r="H693" i="22"/>
  <c r="H694" i="22"/>
  <c r="H695" i="22"/>
  <c r="H696" i="22"/>
  <c r="H697" i="22"/>
  <c r="BW15" i="22" s="1"/>
  <c r="H698" i="22"/>
  <c r="BX15" i="22" s="1"/>
  <c r="H699" i="22"/>
  <c r="BY15" i="22" s="1"/>
  <c r="H700" i="22"/>
  <c r="BZ15" i="22" s="1"/>
  <c r="H701" i="22"/>
  <c r="CA15" i="22" s="1"/>
  <c r="H702" i="22"/>
  <c r="CB15" i="22" s="1"/>
  <c r="H703" i="22"/>
  <c r="CC15" i="22" s="1"/>
  <c r="H704" i="22"/>
  <c r="CD15" i="22" s="1"/>
  <c r="H705" i="22"/>
  <c r="CE15" i="22" s="1"/>
  <c r="H706" i="22"/>
  <c r="CF15" i="22" s="1"/>
  <c r="H707" i="22"/>
  <c r="CG15" i="22" s="1"/>
  <c r="H708" i="22"/>
  <c r="CH15" i="22" s="1"/>
  <c r="H709" i="22"/>
  <c r="H710" i="22"/>
  <c r="H711" i="22"/>
  <c r="H712" i="22"/>
  <c r="H713" i="22"/>
  <c r="H714" i="22"/>
  <c r="H715" i="22"/>
  <c r="H716" i="22"/>
  <c r="H717" i="22"/>
  <c r="H718" i="22"/>
  <c r="H719" i="22"/>
  <c r="H720" i="22"/>
  <c r="C619" i="22"/>
  <c r="E619" i="22"/>
  <c r="F619" i="22"/>
  <c r="B620" i="22"/>
  <c r="G619" i="22"/>
  <c r="CI14" i="22"/>
  <c r="T655" i="22"/>
  <c r="S655" i="22"/>
  <c r="T654" i="22"/>
  <c r="S654" i="22"/>
  <c r="T653" i="22"/>
  <c r="S653" i="22"/>
  <c r="T652" i="22"/>
  <c r="S652" i="22"/>
  <c r="T651" i="22"/>
  <c r="S651" i="22"/>
  <c r="T650" i="22"/>
  <c r="S650" i="22"/>
  <c r="T649" i="22"/>
  <c r="S649" i="22"/>
  <c r="T648" i="22"/>
  <c r="S648" i="22"/>
  <c r="T647" i="22"/>
  <c r="S647" i="22"/>
  <c r="T646" i="22"/>
  <c r="S646" i="22"/>
  <c r="T645" i="22"/>
  <c r="S645" i="22"/>
  <c r="T644" i="22"/>
  <c r="S644" i="22"/>
  <c r="T643" i="22"/>
  <c r="S643" i="22"/>
  <c r="T642" i="22"/>
  <c r="S642" i="22"/>
  <c r="T641" i="22"/>
  <c r="S641" i="22"/>
  <c r="T640" i="22"/>
  <c r="S640" i="22"/>
  <c r="T639" i="22"/>
  <c r="S639" i="22"/>
  <c r="T638" i="22"/>
  <c r="S638" i="22"/>
  <c r="T637" i="22"/>
  <c r="S637" i="22"/>
  <c r="T636" i="22"/>
  <c r="S636" i="22"/>
  <c r="T635" i="22"/>
  <c r="S635" i="22"/>
  <c r="T634" i="22"/>
  <c r="S634" i="22"/>
  <c r="T633" i="22"/>
  <c r="S633" i="22"/>
  <c r="S632" i="22"/>
  <c r="T631" i="22"/>
  <c r="S631" i="22"/>
  <c r="T630" i="22"/>
  <c r="S630" i="22"/>
  <c r="T629" i="22"/>
  <c r="S629" i="22"/>
  <c r="T628" i="22"/>
  <c r="S628" i="22"/>
  <c r="T627" i="22"/>
  <c r="S627" i="22"/>
  <c r="T626" i="22"/>
  <c r="S626" i="22"/>
  <c r="T625" i="22"/>
  <c r="S625" i="22"/>
  <c r="T624" i="22"/>
  <c r="S624" i="22"/>
  <c r="T623" i="22"/>
  <c r="S623" i="22"/>
  <c r="T622" i="22"/>
  <c r="S622" i="22"/>
  <c r="T621" i="22"/>
  <c r="S621" i="22"/>
  <c r="T620" i="22"/>
  <c r="S620" i="22"/>
  <c r="T619" i="22"/>
  <c r="S619" i="22"/>
  <c r="AK14" i="22"/>
  <c r="AL14" i="22"/>
  <c r="T632" i="22"/>
  <c r="T666" i="22"/>
  <c r="S666" i="22"/>
  <c r="T665" i="22"/>
  <c r="S665" i="22"/>
  <c r="T664" i="22"/>
  <c r="S664" i="22"/>
  <c r="T663" i="22"/>
  <c r="S663" i="22"/>
  <c r="T662" i="22"/>
  <c r="S662" i="22"/>
  <c r="T661" i="22"/>
  <c r="S661" i="22"/>
  <c r="T660" i="22"/>
  <c r="S660" i="22"/>
  <c r="T659" i="22"/>
  <c r="S659" i="22"/>
  <c r="T658" i="22"/>
  <c r="S658" i="22"/>
  <c r="T657" i="22"/>
  <c r="S657" i="22"/>
  <c r="T656" i="22"/>
  <c r="S656" i="22"/>
  <c r="B617" i="22"/>
  <c r="A617" i="22"/>
  <c r="E616" i="22"/>
  <c r="H619" i="22"/>
  <c r="H620" i="22"/>
  <c r="H621" i="22"/>
  <c r="H622" i="22"/>
  <c r="H623" i="22"/>
  <c r="H624" i="22"/>
  <c r="H625" i="22"/>
  <c r="H626" i="22"/>
  <c r="H627" i="22"/>
  <c r="H628" i="22"/>
  <c r="H629" i="22"/>
  <c r="H630" i="22"/>
  <c r="H631" i="22"/>
  <c r="H632" i="22"/>
  <c r="H633" i="22"/>
  <c r="H634" i="22"/>
  <c r="H635" i="22"/>
  <c r="H636" i="22"/>
  <c r="H637" i="22"/>
  <c r="H638" i="22"/>
  <c r="H639" i="22"/>
  <c r="H640" i="22"/>
  <c r="H641" i="22"/>
  <c r="H642" i="22"/>
  <c r="H643" i="22"/>
  <c r="H644" i="22"/>
  <c r="BX14" i="22" s="1"/>
  <c r="H645" i="22"/>
  <c r="BY14" i="22" s="1"/>
  <c r="H646" i="22"/>
  <c r="BZ14" i="22" s="1"/>
  <c r="H647" i="22"/>
  <c r="CA14" i="22" s="1"/>
  <c r="H648" i="22"/>
  <c r="CB14" i="22" s="1"/>
  <c r="H649" i="22"/>
  <c r="CC14" i="22" s="1"/>
  <c r="G565" i="22"/>
  <c r="E565" i="22"/>
  <c r="C565" i="22"/>
  <c r="F565" i="22" s="1"/>
  <c r="B566" i="22"/>
  <c r="CI13" i="22"/>
  <c r="T599" i="22"/>
  <c r="S599" i="22"/>
  <c r="T598" i="22"/>
  <c r="S598" i="22"/>
  <c r="T597" i="22"/>
  <c r="S597" i="22"/>
  <c r="T596" i="22"/>
  <c r="S596" i="22"/>
  <c r="T595" i="22"/>
  <c r="S595" i="22"/>
  <c r="T594" i="22"/>
  <c r="S594" i="22"/>
  <c r="T593" i="22"/>
  <c r="S593" i="22"/>
  <c r="T592" i="22"/>
  <c r="S592" i="22"/>
  <c r="T591" i="22"/>
  <c r="S591" i="22"/>
  <c r="T590" i="22"/>
  <c r="S590" i="22"/>
  <c r="T589" i="22"/>
  <c r="S589" i="22"/>
  <c r="T588" i="22"/>
  <c r="S588" i="22"/>
  <c r="T587" i="22"/>
  <c r="S587" i="22"/>
  <c r="T586" i="22"/>
  <c r="S586" i="22"/>
  <c r="T585" i="22"/>
  <c r="S585" i="22"/>
  <c r="T584" i="22"/>
  <c r="S584" i="22"/>
  <c r="T583" i="22"/>
  <c r="S583" i="22"/>
  <c r="T582" i="22"/>
  <c r="S582" i="22"/>
  <c r="T581" i="22"/>
  <c r="S581" i="22"/>
  <c r="T580" i="22"/>
  <c r="S580" i="22"/>
  <c r="T579" i="22"/>
  <c r="S579" i="22"/>
  <c r="T578" i="22"/>
  <c r="S578" i="22"/>
  <c r="T577" i="22"/>
  <c r="S577" i="22"/>
  <c r="T576" i="22"/>
  <c r="S576" i="22"/>
  <c r="T575" i="22"/>
  <c r="S575" i="22"/>
  <c r="T574" i="22"/>
  <c r="S574" i="22"/>
  <c r="T573" i="22"/>
  <c r="S573" i="22"/>
  <c r="S572" i="22"/>
  <c r="T571" i="22"/>
  <c r="S571" i="22"/>
  <c r="T570" i="22"/>
  <c r="S570" i="22"/>
  <c r="T569" i="22"/>
  <c r="S569" i="22"/>
  <c r="S568" i="22"/>
  <c r="T567" i="22"/>
  <c r="S567" i="22"/>
  <c r="T566" i="22"/>
  <c r="S566" i="22"/>
  <c r="T565" i="22"/>
  <c r="S565" i="22"/>
  <c r="T602" i="22"/>
  <c r="S602" i="22"/>
  <c r="T601" i="22"/>
  <c r="S601" i="22"/>
  <c r="T600" i="22"/>
  <c r="S600" i="22"/>
  <c r="T572" i="22"/>
  <c r="AL13" i="22"/>
  <c r="AK13" i="22"/>
  <c r="T568" i="22"/>
  <c r="T612" i="22"/>
  <c r="S612" i="22"/>
  <c r="T611" i="22"/>
  <c r="S611" i="22"/>
  <c r="T610" i="22"/>
  <c r="S610" i="22"/>
  <c r="T609" i="22"/>
  <c r="S609" i="22"/>
  <c r="T608" i="22"/>
  <c r="S608" i="22"/>
  <c r="T607" i="22"/>
  <c r="S607" i="22"/>
  <c r="T606" i="22"/>
  <c r="S606" i="22"/>
  <c r="T605" i="22"/>
  <c r="S605" i="22"/>
  <c r="T604" i="22"/>
  <c r="S604" i="22"/>
  <c r="T603" i="22"/>
  <c r="S603" i="22"/>
  <c r="A563" i="22"/>
  <c r="B563" i="22"/>
  <c r="E562" i="22"/>
  <c r="H565" i="22"/>
  <c r="H566" i="22"/>
  <c r="H567" i="22"/>
  <c r="H568" i="22"/>
  <c r="H569" i="22"/>
  <c r="H570" i="22"/>
  <c r="H571" i="22"/>
  <c r="H572" i="22"/>
  <c r="H573" i="22"/>
  <c r="H574" i="22"/>
  <c r="H575" i="22"/>
  <c r="H576" i="22"/>
  <c r="H577" i="22"/>
  <c r="H578" i="22"/>
  <c r="H579" i="22"/>
  <c r="H580" i="22"/>
  <c r="H581" i="22"/>
  <c r="H582" i="22"/>
  <c r="H583" i="22"/>
  <c r="H584" i="22"/>
  <c r="H585" i="22"/>
  <c r="H586" i="22"/>
  <c r="H587" i="22"/>
  <c r="H588" i="22"/>
  <c r="H589" i="22"/>
  <c r="BW13" i="22" s="1"/>
  <c r="H590" i="22"/>
  <c r="BX13" i="22" s="1"/>
  <c r="H591" i="22"/>
  <c r="BY13" i="22" s="1"/>
  <c r="H592" i="22"/>
  <c r="BZ13" i="22" s="1"/>
  <c r="H593" i="22"/>
  <c r="CA13" i="22" s="1"/>
  <c r="H594" i="22"/>
  <c r="CB13" i="22" s="1"/>
  <c r="H595" i="22"/>
  <c r="CC13" i="22" s="1"/>
  <c r="H596" i="22"/>
  <c r="CD13" i="22" s="1"/>
  <c r="H597" i="22"/>
  <c r="CE13" i="22" s="1"/>
  <c r="H598" i="22"/>
  <c r="CF13" i="22" s="1"/>
  <c r="H599" i="22"/>
  <c r="CG13" i="22" s="1"/>
  <c r="H600" i="22"/>
  <c r="CH13" i="22" s="1"/>
  <c r="H601" i="22"/>
  <c r="H602" i="22"/>
  <c r="H603" i="22"/>
  <c r="H604" i="22"/>
  <c r="H605" i="22"/>
  <c r="H606" i="22"/>
  <c r="H607" i="22"/>
  <c r="H608" i="22"/>
  <c r="H609" i="22"/>
  <c r="H610" i="22"/>
  <c r="H611" i="22"/>
  <c r="H612" i="22"/>
  <c r="C511" i="22"/>
  <c r="E511" i="22"/>
  <c r="F511" i="22"/>
  <c r="G511" i="22"/>
  <c r="Q511" i="22" s="1"/>
  <c r="B512" i="22"/>
  <c r="CI12" i="22"/>
  <c r="S532" i="22"/>
  <c r="S548" i="22"/>
  <c r="T548" i="22"/>
  <c r="S549" i="22"/>
  <c r="T549" i="22"/>
  <c r="S550" i="22"/>
  <c r="T550" i="22"/>
  <c r="S551" i="22"/>
  <c r="T551" i="22"/>
  <c r="S552" i="22"/>
  <c r="T552" i="22"/>
  <c r="S553" i="22"/>
  <c r="T553" i="22"/>
  <c r="S554" i="22"/>
  <c r="T554" i="22"/>
  <c r="S555" i="22"/>
  <c r="T555" i="22"/>
  <c r="S556" i="22"/>
  <c r="T556" i="22"/>
  <c r="S557" i="22"/>
  <c r="T557" i="22"/>
  <c r="S558" i="22"/>
  <c r="T558" i="22"/>
  <c r="T532" i="22"/>
  <c r="T531" i="22"/>
  <c r="T524" i="22"/>
  <c r="S525" i="22"/>
  <c r="T525" i="22"/>
  <c r="S526" i="22"/>
  <c r="T526" i="22"/>
  <c r="S527" i="22"/>
  <c r="T527" i="22"/>
  <c r="S528" i="22"/>
  <c r="T528" i="22"/>
  <c r="T537" i="22"/>
  <c r="S522" i="22"/>
  <c r="S523" i="22"/>
  <c r="T521" i="22"/>
  <c r="S521" i="22"/>
  <c r="AL12" i="22"/>
  <c r="AK12" i="22"/>
  <c r="S524" i="22"/>
  <c r="S533" i="22"/>
  <c r="T533" i="22"/>
  <c r="S534" i="22"/>
  <c r="T534" i="22"/>
  <c r="T520" i="22"/>
  <c r="S535" i="22"/>
  <c r="T535" i="22"/>
  <c r="S536" i="22"/>
  <c r="T536" i="22"/>
  <c r="S537" i="22"/>
  <c r="T523" i="22"/>
  <c r="S538" i="22"/>
  <c r="T538" i="22"/>
  <c r="S539" i="22"/>
  <c r="T539" i="22"/>
  <c r="S540" i="22"/>
  <c r="T540" i="22"/>
  <c r="S541" i="22"/>
  <c r="T541" i="22"/>
  <c r="S542" i="22"/>
  <c r="T542" i="22"/>
  <c r="S543" i="22"/>
  <c r="T543" i="22"/>
  <c r="S544" i="22"/>
  <c r="T544" i="22"/>
  <c r="S545" i="22"/>
  <c r="T545" i="22"/>
  <c r="S546" i="22"/>
  <c r="T546" i="22"/>
  <c r="S547" i="22"/>
  <c r="T547" i="22"/>
  <c r="S531" i="22"/>
  <c r="T530" i="22"/>
  <c r="S530" i="22"/>
  <c r="T522" i="22"/>
  <c r="T529" i="22"/>
  <c r="S529" i="22"/>
  <c r="S520" i="22"/>
  <c r="T519" i="22"/>
  <c r="S519" i="22"/>
  <c r="T518" i="22"/>
  <c r="S518" i="22"/>
  <c r="T517" i="22"/>
  <c r="S517" i="22"/>
  <c r="T516" i="22"/>
  <c r="S516" i="22"/>
  <c r="T515" i="22"/>
  <c r="S515" i="22"/>
  <c r="T514" i="22"/>
  <c r="S514" i="22"/>
  <c r="T513" i="22"/>
  <c r="S513" i="22"/>
  <c r="T512" i="22"/>
  <c r="S512" i="22"/>
  <c r="T511" i="22"/>
  <c r="S511" i="22"/>
  <c r="B509" i="22"/>
  <c r="J509" i="22" s="1"/>
  <c r="A509" i="22"/>
  <c r="E508" i="22"/>
  <c r="H511" i="22"/>
  <c r="H512" i="22"/>
  <c r="H513" i="22"/>
  <c r="H514" i="22"/>
  <c r="H515" i="22"/>
  <c r="H516" i="22"/>
  <c r="H517" i="22"/>
  <c r="H518" i="22"/>
  <c r="H519" i="22"/>
  <c r="H520" i="22"/>
  <c r="H521" i="22"/>
  <c r="H522" i="22"/>
  <c r="H523" i="22"/>
  <c r="H524" i="22"/>
  <c r="H525" i="22"/>
  <c r="H526" i="22"/>
  <c r="H527" i="22"/>
  <c r="H528" i="22"/>
  <c r="H529" i="22"/>
  <c r="H530" i="22"/>
  <c r="H531" i="22"/>
  <c r="H532" i="22"/>
  <c r="H533" i="22"/>
  <c r="H534" i="22"/>
  <c r="H535" i="22"/>
  <c r="BW12" i="22" s="1"/>
  <c r="H536" i="22"/>
  <c r="BX12" i="22" s="1"/>
  <c r="H537" i="22"/>
  <c r="BY12" i="22" s="1"/>
  <c r="H538" i="22"/>
  <c r="BZ12" i="22" s="1"/>
  <c r="H539" i="22"/>
  <c r="CA12" i="22" s="1"/>
  <c r="H540" i="22"/>
  <c r="CB12" i="22" s="1"/>
  <c r="H541" i="22"/>
  <c r="CC12" i="22" s="1"/>
  <c r="H542" i="22"/>
  <c r="CD12" i="22" s="1"/>
  <c r="H543" i="22"/>
  <c r="CE12" i="22" s="1"/>
  <c r="H544" i="22"/>
  <c r="CF12" i="22" s="1"/>
  <c r="H545" i="22"/>
  <c r="CG12" i="22" s="1"/>
  <c r="H546" i="22"/>
  <c r="CH12" i="22" s="1"/>
  <c r="H547" i="22"/>
  <c r="H548" i="22"/>
  <c r="H549" i="22"/>
  <c r="H550" i="22"/>
  <c r="H551" i="22"/>
  <c r="H552" i="22"/>
  <c r="H553" i="22"/>
  <c r="H554" i="22"/>
  <c r="H555" i="22"/>
  <c r="H556" i="22"/>
  <c r="H557" i="22"/>
  <c r="H558" i="22"/>
  <c r="C457" i="22"/>
  <c r="E457" i="22"/>
  <c r="G457" i="22"/>
  <c r="Q457" i="22" s="1"/>
  <c r="F457" i="22"/>
  <c r="B458" i="22"/>
  <c r="CI11" i="22"/>
  <c r="T472" i="22"/>
  <c r="S472" i="22"/>
  <c r="T471" i="22"/>
  <c r="S471" i="22"/>
  <c r="T470" i="22"/>
  <c r="S470" i="22"/>
  <c r="T469" i="22"/>
  <c r="S469" i="22"/>
  <c r="T468" i="22"/>
  <c r="S468" i="22"/>
  <c r="T467" i="22"/>
  <c r="S467" i="22"/>
  <c r="T466" i="22"/>
  <c r="S466" i="22"/>
  <c r="T465" i="22"/>
  <c r="S465" i="22"/>
  <c r="T464" i="22"/>
  <c r="S464" i="22"/>
  <c r="T463" i="22"/>
  <c r="S463" i="22"/>
  <c r="T462" i="22"/>
  <c r="S462" i="22"/>
  <c r="T461" i="22"/>
  <c r="S461" i="22"/>
  <c r="T460" i="22"/>
  <c r="S460" i="22"/>
  <c r="T459" i="22"/>
  <c r="S459" i="22"/>
  <c r="T458" i="22"/>
  <c r="S458" i="22"/>
  <c r="T457" i="22"/>
  <c r="S457" i="22"/>
  <c r="AL11" i="22"/>
  <c r="AK11" i="22"/>
  <c r="S473" i="22"/>
  <c r="T504" i="22"/>
  <c r="S504" i="22"/>
  <c r="T503" i="22"/>
  <c r="S503" i="22"/>
  <c r="T502" i="22"/>
  <c r="S502" i="22"/>
  <c r="T501" i="22"/>
  <c r="S501" i="22"/>
  <c r="T500" i="22"/>
  <c r="S500" i="22"/>
  <c r="T499" i="22"/>
  <c r="S499" i="22"/>
  <c r="T498" i="22"/>
  <c r="S498" i="22"/>
  <c r="T497" i="22"/>
  <c r="S497" i="22"/>
  <c r="T496" i="22"/>
  <c r="S496" i="22"/>
  <c r="T495" i="22"/>
  <c r="S495" i="22"/>
  <c r="T494" i="22"/>
  <c r="S494" i="22"/>
  <c r="T493" i="22"/>
  <c r="S493" i="22"/>
  <c r="T492" i="22"/>
  <c r="S492" i="22"/>
  <c r="T491" i="22"/>
  <c r="S491" i="22"/>
  <c r="T490" i="22"/>
  <c r="S490" i="22"/>
  <c r="T489" i="22"/>
  <c r="S489" i="22"/>
  <c r="T488" i="22"/>
  <c r="S488" i="22"/>
  <c r="T487" i="22"/>
  <c r="S487" i="22"/>
  <c r="T486" i="22"/>
  <c r="S486" i="22"/>
  <c r="T485" i="22"/>
  <c r="S485" i="22"/>
  <c r="T484" i="22"/>
  <c r="S484" i="22"/>
  <c r="T483" i="22"/>
  <c r="S483" i="22"/>
  <c r="T482" i="22"/>
  <c r="S482" i="22"/>
  <c r="T481" i="22"/>
  <c r="S481" i="22"/>
  <c r="T480" i="22"/>
  <c r="S480" i="22"/>
  <c r="T479" i="22"/>
  <c r="S479" i="22"/>
  <c r="T478" i="22"/>
  <c r="S478" i="22"/>
  <c r="T477" i="22"/>
  <c r="S477" i="22"/>
  <c r="T476" i="22"/>
  <c r="S476" i="22"/>
  <c r="T475" i="22"/>
  <c r="S475" i="22"/>
  <c r="T474" i="22"/>
  <c r="S474" i="22"/>
  <c r="T473" i="22"/>
  <c r="B455" i="22"/>
  <c r="J455" i="22" s="1"/>
  <c r="A455" i="22"/>
  <c r="E454" i="22"/>
  <c r="H457" i="22"/>
  <c r="H458" i="22"/>
  <c r="H459" i="22"/>
  <c r="H460" i="22"/>
  <c r="H461" i="22"/>
  <c r="H462" i="22"/>
  <c r="H463" i="22"/>
  <c r="H464" i="22"/>
  <c r="H465" i="22"/>
  <c r="H466" i="22"/>
  <c r="H467" i="22"/>
  <c r="H468" i="22"/>
  <c r="H469" i="22"/>
  <c r="H470" i="22"/>
  <c r="H471" i="22"/>
  <c r="H472" i="22"/>
  <c r="H473" i="22"/>
  <c r="H474" i="22"/>
  <c r="H475" i="22"/>
  <c r="H476" i="22"/>
  <c r="H477" i="22"/>
  <c r="H478" i="22"/>
  <c r="H479" i="22"/>
  <c r="H480" i="22"/>
  <c r="H481" i="22"/>
  <c r="BW11" i="22" s="1"/>
  <c r="H482" i="22"/>
  <c r="BX11" i="22" s="1"/>
  <c r="H483" i="22"/>
  <c r="BY11" i="22" s="1"/>
  <c r="H484" i="22"/>
  <c r="BZ11" i="22" s="1"/>
  <c r="H485" i="22"/>
  <c r="CA11" i="22" s="1"/>
  <c r="H486" i="22"/>
  <c r="CB11" i="22" s="1"/>
  <c r="H487" i="22"/>
  <c r="CC11" i="22" s="1"/>
  <c r="H488" i="22"/>
  <c r="CD11" i="22" s="1"/>
  <c r="H489" i="22"/>
  <c r="CE11" i="22" s="1"/>
  <c r="H490" i="22"/>
  <c r="CF11" i="22" s="1"/>
  <c r="H491" i="22"/>
  <c r="CG11" i="22" s="1"/>
  <c r="H492" i="22"/>
  <c r="CH11" i="22" s="1"/>
  <c r="H493" i="22"/>
  <c r="H494" i="22"/>
  <c r="H495" i="22"/>
  <c r="H496" i="22"/>
  <c r="H497" i="22"/>
  <c r="H498" i="22"/>
  <c r="H499" i="22"/>
  <c r="H500" i="22"/>
  <c r="H501" i="22"/>
  <c r="H502" i="22"/>
  <c r="H503" i="22"/>
  <c r="H504" i="22"/>
  <c r="L458" i="22"/>
  <c r="L457" i="22"/>
  <c r="K457" i="22"/>
  <c r="A11" i="22"/>
  <c r="G403" i="22"/>
  <c r="E403" i="22"/>
  <c r="C403" i="22"/>
  <c r="F403" i="22" s="1"/>
  <c r="B404" i="22"/>
  <c r="T404" i="22"/>
  <c r="S407" i="22"/>
  <c r="T403" i="22"/>
  <c r="T408" i="22"/>
  <c r="T407" i="22"/>
  <c r="T409" i="22"/>
  <c r="T406" i="22"/>
  <c r="T405" i="22"/>
  <c r="T410" i="22"/>
  <c r="S404" i="22"/>
  <c r="S409" i="22"/>
  <c r="S408" i="22"/>
  <c r="S403" i="22"/>
  <c r="S410" i="22"/>
  <c r="S405" i="22"/>
  <c r="S406" i="22"/>
  <c r="A401" i="22"/>
  <c r="B401" i="22"/>
  <c r="E400" i="22"/>
  <c r="H403" i="22"/>
  <c r="H404" i="22"/>
  <c r="H405" i="22"/>
  <c r="H406" i="22"/>
  <c r="H407" i="22"/>
  <c r="H408" i="22"/>
  <c r="H409" i="22"/>
  <c r="H410" i="22"/>
  <c r="H411" i="22"/>
  <c r="H413" i="22"/>
  <c r="H415" i="22"/>
  <c r="H417" i="22"/>
  <c r="H419" i="22"/>
  <c r="H421" i="22"/>
  <c r="H422" i="22"/>
  <c r="H427" i="22"/>
  <c r="BW10" i="22" s="1"/>
  <c r="H429" i="22"/>
  <c r="BY10" i="22" s="1"/>
  <c r="H431" i="22"/>
  <c r="CA10" i="22" s="1"/>
  <c r="H437" i="22"/>
  <c r="CG10" i="22" s="1"/>
  <c r="H443" i="22"/>
  <c r="H446" i="22"/>
  <c r="H447" i="22"/>
  <c r="H448" i="22"/>
  <c r="H449" i="22"/>
  <c r="H450" i="22"/>
  <c r="H412" i="22"/>
  <c r="H414" i="22"/>
  <c r="H416" i="22"/>
  <c r="H418" i="22"/>
  <c r="H420" i="22"/>
  <c r="H423" i="22"/>
  <c r="H424" i="22"/>
  <c r="H425" i="22"/>
  <c r="H426" i="22"/>
  <c r="H428" i="22"/>
  <c r="BX10" i="22" s="1"/>
  <c r="H430" i="22"/>
  <c r="BZ10" i="22" s="1"/>
  <c r="H432" i="22"/>
  <c r="CB10" i="22" s="1"/>
  <c r="H433" i="22"/>
  <c r="CC10" i="22" s="1"/>
  <c r="H434" i="22"/>
  <c r="CD10" i="22" s="1"/>
  <c r="H435" i="22"/>
  <c r="CE10" i="22" s="1"/>
  <c r="H436" i="22"/>
  <c r="CF10" i="22" s="1"/>
  <c r="H438" i="22"/>
  <c r="CH10" i="22" s="1"/>
  <c r="H439" i="22"/>
  <c r="H440" i="22"/>
  <c r="H441" i="22"/>
  <c r="H442" i="22"/>
  <c r="H444" i="22"/>
  <c r="H445" i="22"/>
  <c r="G349" i="22"/>
  <c r="B350" i="22"/>
  <c r="E349" i="22"/>
  <c r="C349" i="22"/>
  <c r="F349" i="22" s="1"/>
  <c r="CI9" i="22"/>
  <c r="S384" i="22"/>
  <c r="T381" i="22"/>
  <c r="S390" i="22"/>
  <c r="S349" i="22"/>
  <c r="T349" i="22"/>
  <c r="T350" i="22"/>
  <c r="S351" i="22"/>
  <c r="T351" i="22"/>
  <c r="S352" i="22"/>
  <c r="T352" i="22"/>
  <c r="S353" i="22"/>
  <c r="T353" i="22"/>
  <c r="S354" i="22"/>
  <c r="T354" i="22"/>
  <c r="S355" i="22"/>
  <c r="T355" i="22"/>
  <c r="S356" i="22"/>
  <c r="T356" i="22"/>
  <c r="S357" i="22"/>
  <c r="T357" i="22"/>
  <c r="S358" i="22"/>
  <c r="T358" i="22"/>
  <c r="S359" i="22"/>
  <c r="T359" i="22"/>
  <c r="S360" i="22"/>
  <c r="T360" i="22"/>
  <c r="S361" i="22"/>
  <c r="T361" i="22"/>
  <c r="S379" i="22"/>
  <c r="T362" i="22"/>
  <c r="S363" i="22"/>
  <c r="T363" i="22"/>
  <c r="S364" i="22"/>
  <c r="T364" i="22"/>
  <c r="S365" i="22"/>
  <c r="T365" i="22"/>
  <c r="S366" i="22"/>
  <c r="T366" i="22"/>
  <c r="S367" i="22"/>
  <c r="T378" i="22"/>
  <c r="T367" i="22"/>
  <c r="S350" i="22"/>
  <c r="S368" i="22"/>
  <c r="T368" i="22"/>
  <c r="S370" i="22"/>
  <c r="S386" i="22"/>
  <c r="S369" i="22"/>
  <c r="T386" i="22"/>
  <c r="S387" i="22"/>
  <c r="T369" i="22"/>
  <c r="T387" i="22"/>
  <c r="S388" i="22"/>
  <c r="T370" i="22"/>
  <c r="T388" i="22"/>
  <c r="S389" i="22"/>
  <c r="S371" i="22"/>
  <c r="T371" i="22"/>
  <c r="T389" i="22"/>
  <c r="S383" i="22"/>
  <c r="S372" i="22"/>
  <c r="T390" i="22"/>
  <c r="S391" i="22"/>
  <c r="T372" i="22"/>
  <c r="T391" i="22"/>
  <c r="S392" i="22"/>
  <c r="S373" i="22"/>
  <c r="T373" i="22"/>
  <c r="T392" i="22"/>
  <c r="S393" i="22"/>
  <c r="S374" i="22"/>
  <c r="T393" i="22"/>
  <c r="S394" i="22"/>
  <c r="T374" i="22"/>
  <c r="T394" i="22"/>
  <c r="S395" i="22"/>
  <c r="S375" i="22"/>
  <c r="T375" i="22"/>
  <c r="T395" i="22"/>
  <c r="S396" i="22"/>
  <c r="S376" i="22"/>
  <c r="T396" i="22"/>
  <c r="T376" i="22"/>
  <c r="T385" i="22"/>
  <c r="S381" i="22"/>
  <c r="S377" i="22"/>
  <c r="T377" i="22"/>
  <c r="T379" i="22"/>
  <c r="S385" i="22"/>
  <c r="S378" i="22"/>
  <c r="T382" i="22"/>
  <c r="S362" i="22"/>
  <c r="T383" i="22"/>
  <c r="T384" i="22"/>
  <c r="S382" i="22"/>
  <c r="S380" i="22"/>
  <c r="T380" i="22"/>
  <c r="AL9" i="22"/>
  <c r="AK9" i="22"/>
  <c r="A347" i="22"/>
  <c r="B347" i="22"/>
  <c r="I347" i="22" s="1"/>
  <c r="E346" i="22"/>
  <c r="H349" i="22"/>
  <c r="H350" i="22"/>
  <c r="H351" i="22"/>
  <c r="H352" i="22"/>
  <c r="H353" i="22"/>
  <c r="H354" i="22"/>
  <c r="H355" i="22"/>
  <c r="H356" i="22"/>
  <c r="H357" i="22"/>
  <c r="H358" i="22"/>
  <c r="H359" i="22"/>
  <c r="H360" i="22"/>
  <c r="H361" i="22"/>
  <c r="H362" i="22"/>
  <c r="H363" i="22"/>
  <c r="H364" i="22"/>
  <c r="H365" i="22"/>
  <c r="H366" i="22"/>
  <c r="H367" i="22"/>
  <c r="H368" i="22"/>
  <c r="H369" i="22"/>
  <c r="H370" i="22"/>
  <c r="H371" i="22"/>
  <c r="H372" i="22"/>
  <c r="H373" i="22"/>
  <c r="H374" i="22"/>
  <c r="BX9" i="22" s="1"/>
  <c r="H375" i="22"/>
  <c r="BY9" i="22" s="1"/>
  <c r="H376" i="22"/>
  <c r="BZ9" i="22" s="1"/>
  <c r="H377" i="22"/>
  <c r="CA9" i="22" s="1"/>
  <c r="H378" i="22"/>
  <c r="CB9" i="22" s="1"/>
  <c r="H379" i="22"/>
  <c r="CC9" i="22" s="1"/>
  <c r="H380" i="22"/>
  <c r="CD9" i="22" s="1"/>
  <c r="H381" i="22"/>
  <c r="CE9" i="22" s="1"/>
  <c r="H382" i="22"/>
  <c r="CF9" i="22" s="1"/>
  <c r="H383" i="22"/>
  <c r="CG9" i="22" s="1"/>
  <c r="H384" i="22"/>
  <c r="CH9" i="22" s="1"/>
  <c r="H385" i="22"/>
  <c r="H386" i="22"/>
  <c r="H387" i="22"/>
  <c r="H388" i="22"/>
  <c r="H389" i="22"/>
  <c r="H390" i="22"/>
  <c r="H391" i="22"/>
  <c r="H392" i="22"/>
  <c r="H393" i="22"/>
  <c r="H394" i="22"/>
  <c r="H395" i="22"/>
  <c r="H396" i="22"/>
  <c r="B296" i="22"/>
  <c r="C295" i="22"/>
  <c r="E295" i="22"/>
  <c r="F295" i="22"/>
  <c r="G295" i="22"/>
  <c r="CI8" i="22"/>
  <c r="T329" i="22"/>
  <c r="T342" i="22"/>
  <c r="S342" i="22"/>
  <c r="S298" i="22"/>
  <c r="T341" i="22"/>
  <c r="S341" i="22"/>
  <c r="T340" i="22"/>
  <c r="S340" i="22"/>
  <c r="T339" i="22"/>
  <c r="T296" i="22"/>
  <c r="S339" i="22"/>
  <c r="S296" i="22"/>
  <c r="T338" i="22"/>
  <c r="S338" i="22"/>
  <c r="T337" i="22"/>
  <c r="S321" i="22"/>
  <c r="S337" i="22"/>
  <c r="T336" i="22"/>
  <c r="S297" i="22"/>
  <c r="S336" i="22"/>
  <c r="T335" i="22"/>
  <c r="S335" i="22"/>
  <c r="T334" i="22"/>
  <c r="S334" i="22"/>
  <c r="T333" i="22"/>
  <c r="S333" i="22"/>
  <c r="T332" i="22"/>
  <c r="S332" i="22"/>
  <c r="T331" i="22"/>
  <c r="S331" i="22"/>
  <c r="S300" i="22"/>
  <c r="T300" i="22"/>
  <c r="T330" i="22"/>
  <c r="S301" i="22"/>
  <c r="S330" i="22"/>
  <c r="T297" i="22"/>
  <c r="T298" i="22"/>
  <c r="S299" i="22"/>
  <c r="T299" i="22"/>
  <c r="T295" i="22"/>
  <c r="S295" i="22"/>
  <c r="S329" i="22"/>
  <c r="T328" i="22"/>
  <c r="S328" i="22"/>
  <c r="T327" i="22"/>
  <c r="S327" i="22"/>
  <c r="T326" i="22"/>
  <c r="S326" i="22"/>
  <c r="T325" i="22"/>
  <c r="S325" i="22"/>
  <c r="T324" i="22"/>
  <c r="S324" i="22"/>
  <c r="T323" i="22"/>
  <c r="S323" i="22"/>
  <c r="T322" i="22"/>
  <c r="S322" i="22"/>
  <c r="T321" i="22"/>
  <c r="T320" i="22"/>
  <c r="S320" i="22"/>
  <c r="T319" i="22"/>
  <c r="S319" i="22"/>
  <c r="T318" i="22"/>
  <c r="S318" i="22"/>
  <c r="T317" i="22"/>
  <c r="S317" i="22"/>
  <c r="T316" i="22"/>
  <c r="S316" i="22"/>
  <c r="T315" i="22"/>
  <c r="S315" i="22"/>
  <c r="T314" i="22"/>
  <c r="S314" i="22"/>
  <c r="T313" i="22"/>
  <c r="S313" i="22"/>
  <c r="T312" i="22"/>
  <c r="S312" i="22"/>
  <c r="T311" i="22"/>
  <c r="S311" i="22"/>
  <c r="T310" i="22"/>
  <c r="S310" i="22"/>
  <c r="T309" i="22"/>
  <c r="S309" i="22"/>
  <c r="T308" i="22"/>
  <c r="S308" i="22"/>
  <c r="T307" i="22"/>
  <c r="S307" i="22"/>
  <c r="T306" i="22"/>
  <c r="S306" i="22"/>
  <c r="T305" i="22"/>
  <c r="S305" i="22"/>
  <c r="T301" i="22"/>
  <c r="S302" i="22"/>
  <c r="T302" i="22"/>
  <c r="S303" i="22"/>
  <c r="T303" i="22"/>
  <c r="S304" i="22"/>
  <c r="T304" i="22"/>
  <c r="AL8" i="22"/>
  <c r="AK8" i="22"/>
  <c r="A293" i="22"/>
  <c r="B293" i="22"/>
  <c r="J293" i="22" s="1"/>
  <c r="E292" i="22"/>
  <c r="H295" i="22"/>
  <c r="H296" i="22"/>
  <c r="H297" i="22"/>
  <c r="H298" i="22"/>
  <c r="H299" i="22"/>
  <c r="H300" i="22"/>
  <c r="H301" i="22"/>
  <c r="H302" i="22"/>
  <c r="H303" i="22"/>
  <c r="H304" i="22"/>
  <c r="H305" i="22"/>
  <c r="H306" i="22"/>
  <c r="H307" i="22"/>
  <c r="H308" i="22"/>
  <c r="H309" i="22"/>
  <c r="H310" i="22"/>
  <c r="H311" i="22"/>
  <c r="H312" i="22"/>
  <c r="H313" i="22"/>
  <c r="H314" i="22"/>
  <c r="H315" i="22"/>
  <c r="H316" i="22"/>
  <c r="H317" i="22"/>
  <c r="H318" i="22"/>
  <c r="H319" i="22"/>
  <c r="H320" i="22"/>
  <c r="BX8" i="22" s="1"/>
  <c r="H321" i="22"/>
  <c r="BY8" i="22" s="1"/>
  <c r="H322" i="22"/>
  <c r="BZ8" i="22" s="1"/>
  <c r="H323" i="22"/>
  <c r="CA8" i="22" s="1"/>
  <c r="H324" i="22"/>
  <c r="CB8" i="22" s="1"/>
  <c r="H325" i="22"/>
  <c r="CC8" i="22" s="1"/>
  <c r="H326" i="22"/>
  <c r="CD8" i="22" s="1"/>
  <c r="H327" i="22"/>
  <c r="CE8" i="22" s="1"/>
  <c r="H328" i="22"/>
  <c r="CF8" i="22" s="1"/>
  <c r="H329" i="22"/>
  <c r="CG8" i="22" s="1"/>
  <c r="H330" i="22"/>
  <c r="CH8" i="22" s="1"/>
  <c r="H331" i="22"/>
  <c r="H332" i="22"/>
  <c r="H333" i="22"/>
  <c r="H334" i="22"/>
  <c r="E241" i="22"/>
  <c r="B242" i="22"/>
  <c r="C241" i="22"/>
  <c r="G241" i="22"/>
  <c r="F241" i="22"/>
  <c r="CI7" i="22"/>
  <c r="S274" i="22"/>
  <c r="T280" i="22"/>
  <c r="S280" i="22"/>
  <c r="T274" i="22"/>
  <c r="T279" i="22"/>
  <c r="S275" i="22"/>
  <c r="S279" i="22"/>
  <c r="T275" i="22"/>
  <c r="T278" i="22"/>
  <c r="S278" i="22"/>
  <c r="S276" i="22"/>
  <c r="T276" i="22"/>
  <c r="S263" i="22"/>
  <c r="S242" i="22"/>
  <c r="S241" i="22"/>
  <c r="T241" i="22"/>
  <c r="T242" i="22"/>
  <c r="S243" i="22"/>
  <c r="T243" i="22"/>
  <c r="S244" i="22"/>
  <c r="T244" i="22"/>
  <c r="S245" i="22"/>
  <c r="T245" i="22"/>
  <c r="S246" i="22"/>
  <c r="T246" i="22"/>
  <c r="S247" i="22"/>
  <c r="T247" i="22"/>
  <c r="S248" i="22"/>
  <c r="T248" i="22"/>
  <c r="S249" i="22"/>
  <c r="S277" i="22"/>
  <c r="T249" i="22"/>
  <c r="S250" i="22"/>
  <c r="T250" i="22"/>
  <c r="S251" i="22"/>
  <c r="T251" i="22"/>
  <c r="S252" i="22"/>
  <c r="T252" i="22"/>
  <c r="S253" i="22"/>
  <c r="T253" i="22"/>
  <c r="S254" i="22"/>
  <c r="T254" i="22"/>
  <c r="S255" i="22"/>
  <c r="T255" i="22"/>
  <c r="S256" i="22"/>
  <c r="T256" i="22"/>
  <c r="T266" i="22"/>
  <c r="T277" i="22"/>
  <c r="S266" i="22"/>
  <c r="T265" i="22"/>
  <c r="S265" i="22"/>
  <c r="T264" i="22"/>
  <c r="S264" i="22"/>
  <c r="T270" i="22"/>
  <c r="T269" i="22"/>
  <c r="S269" i="22"/>
  <c r="S270" i="22"/>
  <c r="T268" i="22"/>
  <c r="T285" i="22"/>
  <c r="S268" i="22"/>
  <c r="S286" i="22"/>
  <c r="T286" i="22"/>
  <c r="S287" i="22"/>
  <c r="T287" i="22"/>
  <c r="T262" i="22"/>
  <c r="S262" i="22"/>
  <c r="T267" i="22"/>
  <c r="S267" i="22"/>
  <c r="S288" i="22"/>
  <c r="T288" i="22"/>
  <c r="T263" i="22"/>
  <c r="T261" i="22"/>
  <c r="S261" i="22"/>
  <c r="S285" i="22"/>
  <c r="T260" i="22"/>
  <c r="S260" i="22"/>
  <c r="T259" i="22"/>
  <c r="S259" i="22"/>
  <c r="T258" i="22"/>
  <c r="S258" i="22"/>
  <c r="T257" i="22"/>
  <c r="S257" i="22"/>
  <c r="T284" i="22"/>
  <c r="S284" i="22"/>
  <c r="S271" i="22"/>
  <c r="T271" i="22"/>
  <c r="T283" i="22"/>
  <c r="S283" i="22"/>
  <c r="S272" i="22"/>
  <c r="T272" i="22"/>
  <c r="T282" i="22"/>
  <c r="S282" i="22"/>
  <c r="T281" i="22"/>
  <c r="S273" i="22"/>
  <c r="T273" i="22"/>
  <c r="S281" i="22"/>
  <c r="AL7" i="22"/>
  <c r="AK7" i="22"/>
  <c r="L7" i="22"/>
  <c r="AI7" i="22" s="1"/>
  <c r="K7" i="22"/>
  <c r="B239" i="22"/>
  <c r="A239" i="22"/>
  <c r="E238" i="22"/>
  <c r="H241" i="22"/>
  <c r="H242" i="22"/>
  <c r="H243" i="22"/>
  <c r="H244" i="22"/>
  <c r="H245" i="22"/>
  <c r="H246" i="22"/>
  <c r="H247" i="22"/>
  <c r="H248" i="22"/>
  <c r="H249" i="22"/>
  <c r="H250" i="22"/>
  <c r="H251" i="22"/>
  <c r="H252" i="22"/>
  <c r="H253" i="22"/>
  <c r="H254" i="22"/>
  <c r="H255" i="22"/>
  <c r="H256" i="22"/>
  <c r="H257" i="22"/>
  <c r="H258" i="22"/>
  <c r="H259" i="22"/>
  <c r="H260" i="22"/>
  <c r="H261" i="22"/>
  <c r="H262" i="22"/>
  <c r="H263" i="22"/>
  <c r="H264" i="22"/>
  <c r="H265" i="22"/>
  <c r="BW7" i="22" s="1"/>
  <c r="H266" i="22"/>
  <c r="BX7" i="22" s="1"/>
  <c r="H267" i="22"/>
  <c r="BY7" i="22" s="1"/>
  <c r="H268" i="22"/>
  <c r="BZ7" i="22" s="1"/>
  <c r="H269" i="22"/>
  <c r="CA7" i="22" s="1"/>
  <c r="H270" i="22"/>
  <c r="CB7" i="22" s="1"/>
  <c r="H271" i="22"/>
  <c r="CC7" i="22" s="1"/>
  <c r="H272" i="22"/>
  <c r="CD7" i="22" s="1"/>
  <c r="H273" i="22"/>
  <c r="CE7" i="22" s="1"/>
  <c r="H274" i="22"/>
  <c r="CF7" i="22" s="1"/>
  <c r="H275" i="22"/>
  <c r="CG7" i="22" s="1"/>
  <c r="H276" i="22"/>
  <c r="CH7" i="22" s="1"/>
  <c r="H277" i="22"/>
  <c r="H278" i="22"/>
  <c r="H279" i="22"/>
  <c r="H280" i="22"/>
  <c r="H281" i="22"/>
  <c r="H282" i="22"/>
  <c r="H283" i="22"/>
  <c r="H284" i="22"/>
  <c r="H285" i="22"/>
  <c r="H286" i="22"/>
  <c r="H287" i="22"/>
  <c r="H288" i="22"/>
  <c r="L242" i="22"/>
  <c r="L241" i="22"/>
  <c r="K241" i="22"/>
  <c r="A7" i="22"/>
  <c r="G187" i="22"/>
  <c r="B188" i="22"/>
  <c r="E187" i="22"/>
  <c r="C187" i="22"/>
  <c r="F187" i="22" s="1"/>
  <c r="CI6" i="22"/>
  <c r="S231" i="22"/>
  <c r="T230" i="22"/>
  <c r="S230" i="22"/>
  <c r="T229" i="22"/>
  <c r="S229" i="22"/>
  <c r="T228" i="22"/>
  <c r="S228" i="22"/>
  <c r="T227" i="22"/>
  <c r="S227" i="22"/>
  <c r="T226" i="22"/>
  <c r="S226" i="22"/>
  <c r="T225" i="22"/>
  <c r="S225" i="22"/>
  <c r="T224" i="22"/>
  <c r="S224" i="22"/>
  <c r="T223" i="22"/>
  <c r="S223" i="22"/>
  <c r="T222" i="22"/>
  <c r="S222" i="22"/>
  <c r="T221" i="22"/>
  <c r="S221" i="22"/>
  <c r="T220" i="22"/>
  <c r="S220" i="22"/>
  <c r="T219" i="22"/>
  <c r="S219" i="22"/>
  <c r="T218" i="22"/>
  <c r="S218" i="22"/>
  <c r="T217" i="22"/>
  <c r="S217" i="22"/>
  <c r="T216" i="22"/>
  <c r="S216" i="22"/>
  <c r="T215" i="22"/>
  <c r="S215" i="22"/>
  <c r="T214" i="22"/>
  <c r="T187" i="22"/>
  <c r="S189" i="22"/>
  <c r="S190" i="22"/>
  <c r="T190" i="22"/>
  <c r="T191" i="22"/>
  <c r="S192" i="22"/>
  <c r="S193" i="22"/>
  <c r="T193" i="22"/>
  <c r="S195" i="22"/>
  <c r="T195" i="22"/>
  <c r="S196" i="22"/>
  <c r="S198" i="22"/>
  <c r="S199" i="22"/>
  <c r="T199" i="22"/>
  <c r="S201" i="22"/>
  <c r="T201" i="22"/>
  <c r="T202" i="22"/>
  <c r="T204" i="22"/>
  <c r="T213" i="22"/>
  <c r="S213" i="22"/>
  <c r="T212" i="22"/>
  <c r="S212" i="22"/>
  <c r="T211" i="22"/>
  <c r="S211" i="22"/>
  <c r="T210" i="22"/>
  <c r="S210" i="22"/>
  <c r="T209" i="22"/>
  <c r="S209" i="22"/>
  <c r="T208" i="22"/>
  <c r="S208" i="22"/>
  <c r="T207" i="22"/>
  <c r="T206" i="22"/>
  <c r="S206" i="22"/>
  <c r="S203" i="22"/>
  <c r="S202" i="22"/>
  <c r="S200" i="22"/>
  <c r="T197" i="22"/>
  <c r="S197" i="22"/>
  <c r="S191" i="22"/>
  <c r="S187" i="22"/>
  <c r="T205" i="22"/>
  <c r="S188" i="22"/>
  <c r="T188" i="22"/>
  <c r="T189" i="22"/>
  <c r="T192" i="22"/>
  <c r="S194" i="22"/>
  <c r="T194" i="22"/>
  <c r="T196" i="22"/>
  <c r="T198" i="22"/>
  <c r="T200" i="22"/>
  <c r="T203" i="22"/>
  <c r="S204" i="22"/>
  <c r="S205" i="22"/>
  <c r="S207" i="22"/>
  <c r="S214" i="22"/>
  <c r="T234" i="22"/>
  <c r="S234" i="22"/>
  <c r="T233" i="22"/>
  <c r="S233" i="22"/>
  <c r="T232" i="22"/>
  <c r="S232" i="22"/>
  <c r="T231" i="22"/>
  <c r="AL6" i="22"/>
  <c r="AK6" i="22"/>
  <c r="B185" i="22"/>
  <c r="A185" i="22"/>
  <c r="E184" i="22"/>
  <c r="H198" i="22"/>
  <c r="H207" i="22"/>
  <c r="H209" i="22"/>
  <c r="H210" i="22"/>
  <c r="H211" i="22"/>
  <c r="H212" i="22"/>
  <c r="BX6" i="22" s="1"/>
  <c r="H213" i="22"/>
  <c r="BY6" i="22" s="1"/>
  <c r="H214" i="22"/>
  <c r="BZ6" i="22" s="1"/>
  <c r="H215" i="22"/>
  <c r="CA6" i="22" s="1"/>
  <c r="H216" i="22"/>
  <c r="CB6" i="22" s="1"/>
  <c r="H217" i="22"/>
  <c r="CC6" i="22" s="1"/>
  <c r="H218" i="22"/>
  <c r="CD6" i="22" s="1"/>
  <c r="H219" i="22"/>
  <c r="CE6" i="22" s="1"/>
  <c r="H220" i="22"/>
  <c r="CF6" i="22" s="1"/>
  <c r="H221" i="22"/>
  <c r="CG6" i="22" s="1"/>
  <c r="H222" i="22"/>
  <c r="CH6" i="22" s="1"/>
  <c r="H223" i="22"/>
  <c r="H224" i="22"/>
  <c r="H225" i="22"/>
  <c r="H226" i="22"/>
  <c r="H227" i="22"/>
  <c r="H228" i="22"/>
  <c r="H229" i="22"/>
  <c r="H230" i="22"/>
  <c r="H231" i="22"/>
  <c r="H232" i="22"/>
  <c r="H233" i="22"/>
  <c r="H234" i="22"/>
  <c r="H188" i="22"/>
  <c r="H191" i="22"/>
  <c r="H192" i="22"/>
  <c r="H193" i="22"/>
  <c r="H194" i="22"/>
  <c r="H196" i="22"/>
  <c r="H197" i="22"/>
  <c r="H200" i="22"/>
  <c r="H201" i="22"/>
  <c r="H202" i="22"/>
  <c r="H204" i="22"/>
  <c r="H206" i="22"/>
  <c r="L188" i="22"/>
  <c r="A6" i="22"/>
  <c r="K187" i="22"/>
  <c r="L187" i="22"/>
  <c r="G133" i="22"/>
  <c r="E133" i="22"/>
  <c r="B134" i="22"/>
  <c r="C133" i="22"/>
  <c r="CI5" i="22"/>
  <c r="S158" i="22"/>
  <c r="S157" i="22"/>
  <c r="T150" i="22"/>
  <c r="S150" i="22"/>
  <c r="T149" i="22"/>
  <c r="S149" i="22"/>
  <c r="T148" i="22"/>
  <c r="S148" i="22"/>
  <c r="T146" i="22"/>
  <c r="T142" i="22"/>
  <c r="S142" i="22"/>
  <c r="T140" i="22"/>
  <c r="T180" i="22"/>
  <c r="T133" i="22"/>
  <c r="S133" i="22"/>
  <c r="S178" i="22"/>
  <c r="S176" i="22"/>
  <c r="T174" i="22"/>
  <c r="S163" i="22"/>
  <c r="T160" i="22"/>
  <c r="S159" i="22"/>
  <c r="T157" i="22"/>
  <c r="S156" i="22"/>
  <c r="S155" i="22"/>
  <c r="T154" i="22"/>
  <c r="S154" i="22"/>
  <c r="S153" i="22"/>
  <c r="S147" i="22"/>
  <c r="T145" i="22"/>
  <c r="S145" i="22"/>
  <c r="T144" i="22"/>
  <c r="S144" i="22"/>
  <c r="T143" i="22"/>
  <c r="S141" i="22"/>
  <c r="S139" i="22"/>
  <c r="S138" i="22"/>
  <c r="S137" i="22"/>
  <c r="T136" i="22"/>
  <c r="S136" i="22"/>
  <c r="T179" i="22"/>
  <c r="S179" i="22"/>
  <c r="S177" i="22"/>
  <c r="T176" i="22"/>
  <c r="T175" i="22"/>
  <c r="S175" i="22"/>
  <c r="S174" i="22"/>
  <c r="S173" i="22"/>
  <c r="S172" i="22"/>
  <c r="T171" i="22"/>
  <c r="S169" i="22"/>
  <c r="S168" i="22"/>
  <c r="T166" i="22"/>
  <c r="S166" i="22"/>
  <c r="T165" i="22"/>
  <c r="S165" i="22"/>
  <c r="T164" i="22"/>
  <c r="S164" i="22"/>
  <c r="T163" i="22"/>
  <c r="T162" i="22"/>
  <c r="S162" i="22"/>
  <c r="T161" i="22"/>
  <c r="S161" i="22"/>
  <c r="T159" i="22"/>
  <c r="T158" i="22"/>
  <c r="T156" i="22"/>
  <c r="T155" i="22"/>
  <c r="T153" i="22"/>
  <c r="T152" i="22"/>
  <c r="S152" i="22"/>
  <c r="T151" i="22"/>
  <c r="S151" i="22"/>
  <c r="T147" i="22"/>
  <c r="S146" i="22"/>
  <c r="S143" i="22"/>
  <c r="T141" i="22"/>
  <c r="S140" i="22"/>
  <c r="T139" i="22"/>
  <c r="T138" i="22"/>
  <c r="T137" i="22"/>
  <c r="T135" i="22"/>
  <c r="S135" i="22"/>
  <c r="T134" i="22"/>
  <c r="S134" i="22"/>
  <c r="S180" i="22"/>
  <c r="T178" i="22"/>
  <c r="T177" i="22"/>
  <c r="T173" i="22"/>
  <c r="T172" i="22"/>
  <c r="S171" i="22"/>
  <c r="T170" i="22"/>
  <c r="S170" i="22"/>
  <c r="T169" i="22"/>
  <c r="T168" i="22"/>
  <c r="T167" i="22"/>
  <c r="S167" i="22"/>
  <c r="S160" i="22"/>
  <c r="AL5" i="22"/>
  <c r="AK5" i="22"/>
  <c r="A131" i="22"/>
  <c r="B131" i="22"/>
  <c r="E130" i="22"/>
  <c r="H133" i="22"/>
  <c r="H135" i="22"/>
  <c r="H136" i="22"/>
  <c r="H148" i="22"/>
  <c r="H152" i="22"/>
  <c r="H153" i="22"/>
  <c r="H154" i="22"/>
  <c r="H157" i="22"/>
  <c r="BW5" i="22" s="1"/>
  <c r="H162" i="22"/>
  <c r="CB5" i="22" s="1"/>
  <c r="H164" i="22"/>
  <c r="CD5" i="22" s="1"/>
  <c r="H165" i="22"/>
  <c r="CE5" i="22" s="1"/>
  <c r="H166" i="22"/>
  <c r="CF5" i="22" s="1"/>
  <c r="H167" i="22"/>
  <c r="CG5" i="22" s="1"/>
  <c r="H168" i="22"/>
  <c r="CH5" i="22" s="1"/>
  <c r="H173" i="22"/>
  <c r="H174" i="22"/>
  <c r="H176" i="22"/>
  <c r="H177" i="22"/>
  <c r="H179" i="22"/>
  <c r="H134" i="22"/>
  <c r="H143" i="22"/>
  <c r="H147" i="22"/>
  <c r="H149" i="22"/>
  <c r="H150" i="22"/>
  <c r="H151" i="22"/>
  <c r="H155" i="22"/>
  <c r="H159" i="22"/>
  <c r="BY5" i="22" s="1"/>
  <c r="H161" i="22"/>
  <c r="CA5" i="22" s="1"/>
  <c r="H163" i="22"/>
  <c r="CC5" i="22" s="1"/>
  <c r="H169" i="22"/>
  <c r="H170" i="22"/>
  <c r="H171" i="22"/>
  <c r="H172" i="22"/>
  <c r="H178" i="22"/>
  <c r="H180" i="22"/>
  <c r="H137" i="22"/>
  <c r="H138" i="22"/>
  <c r="H139" i="22"/>
  <c r="H140" i="22"/>
  <c r="H141" i="22"/>
  <c r="H142" i="22"/>
  <c r="H144" i="22"/>
  <c r="H145" i="22"/>
  <c r="H146" i="22"/>
  <c r="H156" i="22"/>
  <c r="H158" i="22"/>
  <c r="BX5" i="22" s="1"/>
  <c r="H160" i="22"/>
  <c r="BZ5" i="22" s="1"/>
  <c r="H175" i="22"/>
  <c r="L133" i="22"/>
  <c r="A5" i="22"/>
  <c r="G79" i="22"/>
  <c r="B80" i="22"/>
  <c r="E79" i="22"/>
  <c r="C79" i="22"/>
  <c r="F79" i="22" s="1"/>
  <c r="T80" i="22"/>
  <c r="S80" i="22"/>
  <c r="T79" i="22"/>
  <c r="S79" i="22"/>
  <c r="T83" i="22"/>
  <c r="S83" i="22"/>
  <c r="T81" i="22"/>
  <c r="S81" i="22"/>
  <c r="T98" i="22"/>
  <c r="S98" i="22"/>
  <c r="T97" i="22"/>
  <c r="S97" i="22"/>
  <c r="T96" i="22"/>
  <c r="S96" i="22"/>
  <c r="T95" i="22"/>
  <c r="S95" i="22"/>
  <c r="T94" i="22"/>
  <c r="S94" i="22"/>
  <c r="T93" i="22"/>
  <c r="S93" i="22"/>
  <c r="T92" i="22"/>
  <c r="S92" i="22"/>
  <c r="T91" i="22"/>
  <c r="S91" i="22"/>
  <c r="T90" i="22"/>
  <c r="S90" i="22"/>
  <c r="T89" i="22"/>
  <c r="S89" i="22"/>
  <c r="T88" i="22"/>
  <c r="S88" i="22"/>
  <c r="T87" i="22"/>
  <c r="S87" i="22"/>
  <c r="T86" i="22"/>
  <c r="S86" i="22"/>
  <c r="S85" i="22"/>
  <c r="T85" i="22"/>
  <c r="T84" i="22"/>
  <c r="T82" i="22"/>
  <c r="S84" i="22"/>
  <c r="S82" i="22"/>
  <c r="B77" i="22"/>
  <c r="A77" i="22"/>
  <c r="E76" i="22"/>
  <c r="H79" i="22"/>
  <c r="H80" i="22"/>
  <c r="H81" i="22"/>
  <c r="H82" i="22"/>
  <c r="H83" i="22"/>
  <c r="H84" i="22"/>
  <c r="H85" i="22"/>
  <c r="H86" i="22"/>
  <c r="H87" i="22"/>
  <c r="H88" i="22"/>
  <c r="H89" i="22"/>
  <c r="H90" i="22"/>
  <c r="H91" i="22"/>
  <c r="H92" i="22"/>
  <c r="H93" i="22"/>
  <c r="H94" i="22"/>
  <c r="H95" i="22"/>
  <c r="H96" i="22"/>
  <c r="H97" i="22"/>
  <c r="H98" i="22"/>
  <c r="H99" i="22"/>
  <c r="H101" i="22"/>
  <c r="H106" i="22"/>
  <c r="BZ4" i="22" s="1"/>
  <c r="H113" i="22"/>
  <c r="CG4" i="22" s="1"/>
  <c r="H117" i="22"/>
  <c r="H120" i="22"/>
  <c r="H121" i="22"/>
  <c r="H123" i="22"/>
  <c r="H126" i="22"/>
  <c r="H100" i="22"/>
  <c r="H102" i="22"/>
  <c r="H103" i="22"/>
  <c r="BW4" i="22" s="1"/>
  <c r="H105" i="22"/>
  <c r="BY4" i="22" s="1"/>
  <c r="H107" i="22"/>
  <c r="CA4" i="22" s="1"/>
  <c r="H110" i="22"/>
  <c r="CD4" i="22" s="1"/>
  <c r="H111" i="22"/>
  <c r="CE4" i="22" s="1"/>
  <c r="H112" i="22"/>
  <c r="CF4" i="22" s="1"/>
  <c r="H114" i="22"/>
  <c r="CH4" i="22" s="1"/>
  <c r="H115" i="22"/>
  <c r="H118" i="22"/>
  <c r="H119" i="22"/>
  <c r="H124" i="22"/>
  <c r="H125" i="22"/>
  <c r="H104" i="22"/>
  <c r="BX4" i="22" s="1"/>
  <c r="H108" i="22"/>
  <c r="CB4" i="22" s="1"/>
  <c r="H109" i="22"/>
  <c r="CC4" i="22" s="1"/>
  <c r="H116" i="22"/>
  <c r="H122" i="22"/>
  <c r="Y72" i="22"/>
  <c r="X72" i="22"/>
  <c r="W72" i="22"/>
  <c r="AE72" i="22"/>
  <c r="W71" i="22"/>
  <c r="X71" i="22"/>
  <c r="Y71" i="22"/>
  <c r="AE71" i="22"/>
  <c r="Y70" i="22"/>
  <c r="X70" i="22"/>
  <c r="W70" i="22"/>
  <c r="AE70" i="22"/>
  <c r="X69" i="22"/>
  <c r="Y69" i="22"/>
  <c r="W69" i="22"/>
  <c r="AE69" i="22"/>
  <c r="Y68" i="22"/>
  <c r="X68" i="22"/>
  <c r="W68" i="22"/>
  <c r="AE68" i="22"/>
  <c r="CM67" i="22"/>
  <c r="CT67" i="22"/>
  <c r="CG67" i="22"/>
  <c r="CH67" i="22"/>
  <c r="CE67" i="22"/>
  <c r="CC67" i="22"/>
  <c r="CF67" i="22"/>
  <c r="CB67" i="22"/>
  <c r="CA67" i="22"/>
  <c r="BX67" i="22"/>
  <c r="BW67" i="22"/>
  <c r="CD67" i="22"/>
  <c r="BY67" i="22"/>
  <c r="Y67" i="22"/>
  <c r="X67" i="22"/>
  <c r="W67" i="22"/>
  <c r="BZ67" i="22"/>
  <c r="AE67" i="22"/>
  <c r="Y66" i="22"/>
  <c r="X66" i="22"/>
  <c r="W66" i="22"/>
  <c r="CC66" i="22"/>
  <c r="CB66" i="22"/>
  <c r="CA66" i="22"/>
  <c r="BZ66" i="22"/>
  <c r="BY66" i="22"/>
  <c r="BX66" i="22"/>
  <c r="BW66" i="22"/>
  <c r="CH66" i="22"/>
  <c r="CG66" i="22"/>
  <c r="CF66" i="22"/>
  <c r="CE66" i="22"/>
  <c r="CD66" i="22"/>
  <c r="AE66" i="22"/>
  <c r="Y65" i="22"/>
  <c r="X65" i="22"/>
  <c r="W65" i="22"/>
  <c r="AE65" i="22"/>
  <c r="Y64" i="22"/>
  <c r="X64" i="22"/>
  <c r="W64" i="22"/>
  <c r="AE64" i="22"/>
  <c r="Y63" i="22"/>
  <c r="X63" i="22"/>
  <c r="W63" i="22"/>
  <c r="AE63" i="22"/>
  <c r="X62" i="22"/>
  <c r="W62" i="22"/>
  <c r="Y62" i="22"/>
  <c r="AE62" i="22"/>
  <c r="Y61" i="22"/>
  <c r="X61" i="22"/>
  <c r="W61" i="22"/>
  <c r="AE61" i="22"/>
  <c r="Y60" i="22"/>
  <c r="X60" i="22"/>
  <c r="W60" i="22"/>
  <c r="AE60" i="22"/>
  <c r="BZ59" i="22"/>
  <c r="BY59" i="22"/>
  <c r="BX59" i="22"/>
  <c r="CB59" i="22"/>
  <c r="CC59" i="22"/>
  <c r="BW59" i="22"/>
  <c r="CE59" i="22"/>
  <c r="CF59" i="22"/>
  <c r="CG59" i="22"/>
  <c r="CH59" i="22"/>
  <c r="CD59" i="22"/>
  <c r="Y59" i="22"/>
  <c r="X59" i="22"/>
  <c r="W59" i="22"/>
  <c r="CA59" i="22"/>
  <c r="AE59" i="22"/>
  <c r="Y58" i="22"/>
  <c r="W58" i="22"/>
  <c r="X58" i="22"/>
  <c r="AE58" i="22"/>
  <c r="Y57" i="22"/>
  <c r="W57" i="22"/>
  <c r="X57" i="22"/>
  <c r="AE57" i="22"/>
  <c r="CT56" i="22"/>
  <c r="CM56" i="22"/>
  <c r="X56" i="22"/>
  <c r="W56" i="22"/>
  <c r="Y56" i="22"/>
  <c r="AE56" i="22"/>
  <c r="Y55" i="22"/>
  <c r="X55" i="22"/>
  <c r="W55" i="22"/>
  <c r="AE55" i="22"/>
  <c r="Y54" i="22"/>
  <c r="X54" i="22"/>
  <c r="W54" i="22"/>
  <c r="AE54" i="22"/>
  <c r="Y53" i="22"/>
  <c r="W53" i="22"/>
  <c r="X53" i="22"/>
  <c r="AE53" i="22"/>
  <c r="X52" i="22"/>
  <c r="Y52" i="22"/>
  <c r="W52" i="22"/>
  <c r="AE52" i="22"/>
  <c r="CE51" i="22"/>
  <c r="CD51" i="22"/>
  <c r="CC51" i="22"/>
  <c r="CB51" i="22"/>
  <c r="CF51" i="22"/>
  <c r="CA51" i="22"/>
  <c r="CH51" i="22"/>
  <c r="X51" i="22"/>
  <c r="CG51" i="22"/>
  <c r="BY51" i="22"/>
  <c r="BX51" i="22"/>
  <c r="W51" i="22"/>
  <c r="Y51" i="22"/>
  <c r="BW51" i="22"/>
  <c r="BZ51" i="22"/>
  <c r="AE51" i="22"/>
  <c r="CT50" i="22"/>
  <c r="CM50" i="22"/>
  <c r="W50" i="22"/>
  <c r="X50" i="22"/>
  <c r="Y50" i="22"/>
  <c r="AE50" i="22"/>
  <c r="X49" i="22"/>
  <c r="Y49" i="22"/>
  <c r="W49" i="22"/>
  <c r="AE49" i="22"/>
  <c r="W48" i="22"/>
  <c r="X48" i="22"/>
  <c r="Y48" i="22"/>
  <c r="AE48" i="22"/>
  <c r="W47" i="22"/>
  <c r="X47" i="22"/>
  <c r="Y47" i="22"/>
  <c r="AE47" i="22"/>
  <c r="X46" i="22"/>
  <c r="Y46" i="22"/>
  <c r="W46" i="22"/>
  <c r="AE46" i="22"/>
  <c r="W45" i="22"/>
  <c r="X45" i="22"/>
  <c r="Y45" i="22"/>
  <c r="AE45" i="22"/>
  <c r="CT44" i="22"/>
  <c r="CM44" i="22"/>
  <c r="CA44" i="22"/>
  <c r="CB44" i="22"/>
  <c r="CC44" i="22"/>
  <c r="CD44" i="22"/>
  <c r="CE44" i="22"/>
  <c r="BZ44" i="22"/>
  <c r="CG44" i="22"/>
  <c r="BW44" i="22"/>
  <c r="CH44" i="22"/>
  <c r="CF44" i="22"/>
  <c r="BY44" i="22"/>
  <c r="BX44" i="22"/>
  <c r="Y44" i="22"/>
  <c r="X44" i="22"/>
  <c r="W44" i="22"/>
  <c r="AE44" i="22"/>
  <c r="CM43" i="22"/>
  <c r="CT43" i="22"/>
  <c r="CB43" i="22"/>
  <c r="CC43" i="22"/>
  <c r="CD43" i="22"/>
  <c r="W43" i="22"/>
  <c r="CF43" i="22"/>
  <c r="CE43" i="22"/>
  <c r="CH43" i="22"/>
  <c r="CG43" i="22"/>
  <c r="X43" i="22"/>
  <c r="Y43" i="22"/>
  <c r="BW43" i="22"/>
  <c r="BX43" i="22"/>
  <c r="BY43" i="22"/>
  <c r="BZ43" i="22"/>
  <c r="CA43" i="22"/>
  <c r="AE43" i="22"/>
  <c r="BZ42" i="22"/>
  <c r="BY42" i="22"/>
  <c r="BX42" i="22"/>
  <c r="BW42" i="22"/>
  <c r="Y42" i="22"/>
  <c r="X42" i="22"/>
  <c r="W42" i="22"/>
  <c r="CD42" i="22"/>
  <c r="CE42" i="22"/>
  <c r="CF42" i="22"/>
  <c r="CG42" i="22"/>
  <c r="CH42" i="22"/>
  <c r="CC42" i="22"/>
  <c r="CB42" i="22"/>
  <c r="CA42" i="22"/>
  <c r="AE42" i="22"/>
  <c r="X41" i="22"/>
  <c r="W41" i="22"/>
  <c r="Y41" i="22"/>
  <c r="AE41" i="22"/>
  <c r="Y40" i="22"/>
  <c r="W40" i="22"/>
  <c r="X40" i="22"/>
  <c r="AE40" i="22"/>
  <c r="Y39" i="22"/>
  <c r="W39" i="22"/>
  <c r="X39" i="22"/>
  <c r="AE39" i="22"/>
  <c r="CM38" i="22"/>
  <c r="CT38" i="22"/>
  <c r="W38" i="22"/>
  <c r="X38" i="22"/>
  <c r="Y38" i="22"/>
  <c r="AE38" i="22"/>
  <c r="CT37" i="22"/>
  <c r="CM37" i="22"/>
  <c r="BW37" i="22"/>
  <c r="Y37" i="22"/>
  <c r="X37" i="22"/>
  <c r="W37" i="22"/>
  <c r="AE37" i="22"/>
  <c r="W36" i="22"/>
  <c r="X36" i="22"/>
  <c r="Y36" i="22"/>
  <c r="CH36" i="22"/>
  <c r="CG36" i="22"/>
  <c r="CF36" i="22"/>
  <c r="CE36" i="22"/>
  <c r="CD36" i="22"/>
  <c r="CC36" i="22"/>
  <c r="CB36" i="22"/>
  <c r="CA36" i="22"/>
  <c r="BZ36" i="22"/>
  <c r="BY36" i="22"/>
  <c r="BX36" i="22"/>
  <c r="BW36" i="22"/>
  <c r="AE36" i="22"/>
  <c r="W35" i="22"/>
  <c r="X35" i="22"/>
  <c r="Y35" i="22"/>
  <c r="AE35" i="22"/>
  <c r="Y34" i="22"/>
  <c r="X34" i="22"/>
  <c r="W34" i="22"/>
  <c r="AE34" i="22"/>
  <c r="CT33" i="22"/>
  <c r="CM33" i="22"/>
  <c r="Y33" i="22"/>
  <c r="X33" i="22"/>
  <c r="W33" i="22"/>
  <c r="AE33" i="22"/>
  <c r="CM32" i="22"/>
  <c r="CT32" i="22"/>
  <c r="W32" i="22"/>
  <c r="X32" i="22"/>
  <c r="Y32" i="22"/>
  <c r="AE32" i="22"/>
  <c r="CT31" i="22"/>
  <c r="CM31" i="22"/>
  <c r="W31" i="22"/>
  <c r="X31" i="22"/>
  <c r="Y31" i="22"/>
  <c r="AE31" i="22"/>
  <c r="Y30" i="22"/>
  <c r="X30" i="22"/>
  <c r="W30" i="22"/>
  <c r="AE30" i="22"/>
  <c r="W29" i="22"/>
  <c r="X29" i="22"/>
  <c r="Y29" i="22"/>
  <c r="AE29" i="22"/>
  <c r="W28" i="22"/>
  <c r="X28" i="22"/>
  <c r="Y28" i="22"/>
  <c r="AE28" i="22"/>
  <c r="CT27" i="22"/>
  <c r="CM27" i="22"/>
  <c r="W27" i="22"/>
  <c r="X27" i="22"/>
  <c r="Y27" i="22"/>
  <c r="AE27" i="22"/>
  <c r="Y26" i="22"/>
  <c r="W26" i="22"/>
  <c r="X26" i="22"/>
  <c r="AE26" i="22"/>
  <c r="W25" i="22"/>
  <c r="X25" i="22"/>
  <c r="Y25" i="22"/>
  <c r="AE25" i="22"/>
  <c r="Y24" i="22"/>
  <c r="X24" i="22"/>
  <c r="W24" i="22"/>
  <c r="AE24" i="22"/>
  <c r="Y23" i="22"/>
  <c r="W23" i="22"/>
  <c r="X23" i="22"/>
  <c r="AE23" i="22"/>
  <c r="Y22" i="22"/>
  <c r="W22" i="22"/>
  <c r="X22" i="22"/>
  <c r="AE22" i="22"/>
  <c r="CT21" i="22"/>
  <c r="CM21" i="22"/>
  <c r="W21" i="22"/>
  <c r="Y21" i="22"/>
  <c r="X21" i="22"/>
  <c r="AE21" i="22"/>
  <c r="W20" i="22"/>
  <c r="X20" i="22"/>
  <c r="Y20" i="22"/>
  <c r="AE20" i="22"/>
  <c r="W19" i="22"/>
  <c r="X19" i="22"/>
  <c r="Y19" i="22"/>
  <c r="AE19" i="22"/>
  <c r="W18" i="22"/>
  <c r="X18" i="22"/>
  <c r="Y18" i="22"/>
  <c r="AE18" i="22"/>
  <c r="Y17" i="22"/>
  <c r="W17" i="22"/>
  <c r="X17" i="22"/>
  <c r="AE17" i="22"/>
  <c r="Y16" i="22"/>
  <c r="X16" i="22"/>
  <c r="W16" i="22"/>
  <c r="AE16" i="22"/>
  <c r="W15" i="22"/>
  <c r="X15" i="22"/>
  <c r="Y15" i="22"/>
  <c r="AE15" i="22"/>
  <c r="X14" i="22"/>
  <c r="Y14" i="22"/>
  <c r="W14" i="22"/>
  <c r="AE14" i="22"/>
  <c r="W13" i="22"/>
  <c r="X13" i="22"/>
  <c r="Y13" i="22"/>
  <c r="AE13" i="22"/>
  <c r="W12" i="22"/>
  <c r="X12" i="22"/>
  <c r="Y12" i="22"/>
  <c r="AE12" i="22"/>
  <c r="W11" i="22"/>
  <c r="X11" i="22"/>
  <c r="Y11" i="22"/>
  <c r="AE11" i="22"/>
  <c r="W10" i="22"/>
  <c r="X10" i="22"/>
  <c r="Y10" i="22"/>
  <c r="AE10" i="22"/>
  <c r="Y9" i="22"/>
  <c r="X9" i="22"/>
  <c r="W9" i="22"/>
  <c r="AE9" i="22"/>
  <c r="X8" i="22"/>
  <c r="Y8" i="22"/>
  <c r="W8" i="22"/>
  <c r="AE8" i="22"/>
  <c r="Y7" i="22"/>
  <c r="W7" i="22"/>
  <c r="X7" i="22"/>
  <c r="AE7" i="22"/>
  <c r="X6" i="22"/>
  <c r="W6" i="22"/>
  <c r="Y6" i="22"/>
  <c r="AE6" i="22"/>
  <c r="W5" i="22"/>
  <c r="X5" i="22"/>
  <c r="Y5" i="22"/>
  <c r="AE5" i="22"/>
  <c r="CT4" i="22"/>
  <c r="CM4" i="22"/>
  <c r="W4" i="22"/>
  <c r="X4" i="22"/>
  <c r="Y4" i="22"/>
  <c r="AE4" i="22"/>
  <c r="C17" i="17"/>
  <c r="E17" i="17"/>
  <c r="F17" i="17"/>
  <c r="C17" i="18" s="1"/>
  <c r="G17" i="17"/>
  <c r="B18" i="17"/>
  <c r="X16" i="17"/>
  <c r="B82" i="12"/>
  <c r="I82" i="12" s="1"/>
  <c r="V17" i="17"/>
  <c r="W15" i="17"/>
  <c r="R17" i="17"/>
  <c r="H17" i="18" s="1"/>
  <c r="R457" i="22"/>
  <c r="R511" i="22"/>
  <c r="R835" i="22"/>
  <c r="R2617" i="22"/>
  <c r="R1202" i="23"/>
  <c r="R1258" i="23"/>
  <c r="R1314" i="23"/>
  <c r="R1370" i="23"/>
  <c r="R1426" i="23"/>
  <c r="R1482" i="23"/>
  <c r="R1538" i="23"/>
  <c r="R1594" i="23"/>
  <c r="R4729" i="22"/>
  <c r="Q17" i="17"/>
  <c r="G17" i="18" s="1"/>
  <c r="Q1034" i="23"/>
  <c r="Q1753" i="22"/>
  <c r="Q1807" i="22"/>
  <c r="Q2077" i="22"/>
  <c r="Q2617" i="22"/>
  <c r="Q4567" i="22"/>
  <c r="Q4621" i="22"/>
  <c r="Q4675" i="22"/>
  <c r="Q4729" i="22"/>
  <c r="Q922" i="23"/>
  <c r="Q978" i="23"/>
  <c r="Q1090" i="23"/>
  <c r="Q1146" i="23"/>
  <c r="Q1202" i="23"/>
  <c r="Q1258" i="23"/>
  <c r="Q1314" i="23"/>
  <c r="Q1426" i="23"/>
  <c r="Q1482" i="23"/>
  <c r="Q1538" i="23"/>
  <c r="Q1594" i="23"/>
  <c r="Q1370" i="23"/>
  <c r="P17" i="17"/>
  <c r="F17" i="18" s="1"/>
  <c r="P4729" i="22"/>
  <c r="P457" i="22"/>
  <c r="P511" i="22"/>
  <c r="P1375" i="22"/>
  <c r="P1753" i="22"/>
  <c r="P1807" i="22"/>
  <c r="P2077" i="22"/>
  <c r="P2563" i="22"/>
  <c r="P2617" i="22"/>
  <c r="P4513" i="22"/>
  <c r="P4567" i="22"/>
  <c r="P4621" i="22"/>
  <c r="P4675" i="22"/>
  <c r="P530" i="23"/>
  <c r="P586" i="23"/>
  <c r="P642" i="23"/>
  <c r="P698" i="23"/>
  <c r="P754" i="23"/>
  <c r="P810" i="23"/>
  <c r="P866" i="23"/>
  <c r="P922" i="23"/>
  <c r="P1370" i="23"/>
  <c r="P1426" i="23"/>
  <c r="P1482" i="23"/>
  <c r="P1538" i="23"/>
  <c r="P1594" i="23"/>
  <c r="F7" i="17"/>
  <c r="H4213" i="22"/>
  <c r="H21" i="17"/>
  <c r="D21" i="18" s="1"/>
  <c r="H4228" i="22"/>
  <c r="H4206" i="22"/>
  <c r="H4229" i="22"/>
  <c r="H4220" i="22"/>
  <c r="H4205" i="22"/>
  <c r="H4221" i="22"/>
  <c r="H22" i="17"/>
  <c r="D22" i="18" s="1"/>
  <c r="H4204" i="22"/>
  <c r="H23" i="17"/>
  <c r="D23" i="18" s="1"/>
  <c r="H4231" i="22"/>
  <c r="H4203" i="22"/>
  <c r="H24" i="17"/>
  <c r="D24" i="18" s="1"/>
  <c r="H25" i="17"/>
  <c r="D25" i="18" s="1"/>
  <c r="H4202" i="22"/>
  <c r="H26" i="17"/>
  <c r="D26" i="18" s="1"/>
  <c r="H19" i="17"/>
  <c r="D19" i="18" s="1"/>
  <c r="H4201" i="22"/>
  <c r="H4222" i="22"/>
  <c r="H27" i="17"/>
  <c r="D27" i="18" s="1"/>
  <c r="H4200" i="22"/>
  <c r="H20" i="17"/>
  <c r="D20" i="18" s="1"/>
  <c r="H28" i="17"/>
  <c r="D28" i="18" s="1"/>
  <c r="H29" i="17"/>
  <c r="D29" i="18" s="1"/>
  <c r="H30" i="17"/>
  <c r="D30" i="18" s="1"/>
  <c r="H31" i="17"/>
  <c r="D31" i="18" s="1"/>
  <c r="H32" i="17"/>
  <c r="D32" i="18" s="1"/>
  <c r="H4230" i="22"/>
  <c r="H4198" i="22"/>
  <c r="H4219" i="22"/>
  <c r="H17" i="17"/>
  <c r="G10" i="15"/>
  <c r="G11" i="15"/>
  <c r="G13" i="15"/>
  <c r="G12" i="15"/>
  <c r="H6" i="14"/>
  <c r="D8" i="14"/>
  <c r="C8" i="14"/>
  <c r="B33" i="6"/>
  <c r="L74" i="5"/>
  <c r="I74" i="5"/>
  <c r="AB74" i="5"/>
  <c r="H74" i="5"/>
  <c r="D74" i="5"/>
  <c r="E74" i="5"/>
  <c r="G74" i="5"/>
  <c r="Q74" i="5"/>
  <c r="O74" i="5"/>
  <c r="M74" i="5"/>
  <c r="J74" i="5"/>
  <c r="F74" i="5"/>
  <c r="P74" i="5"/>
  <c r="K74" i="5"/>
  <c r="AC74" i="5"/>
  <c r="AA74" i="5"/>
  <c r="N74" i="5"/>
  <c r="W246" i="4"/>
  <c r="V246" i="4"/>
  <c r="X246" i="4"/>
  <c r="W245" i="4"/>
  <c r="X245" i="4"/>
  <c r="V245" i="4"/>
  <c r="W244" i="4"/>
  <c r="V244" i="4"/>
  <c r="X244" i="4"/>
  <c r="X243" i="4"/>
  <c r="W243" i="4"/>
  <c r="V243" i="4"/>
  <c r="X242" i="4"/>
  <c r="W242" i="4"/>
  <c r="V242" i="4"/>
  <c r="W241" i="4"/>
  <c r="V241" i="4"/>
  <c r="X241" i="4"/>
  <c r="V240" i="4"/>
  <c r="X240" i="4"/>
  <c r="W240" i="4"/>
  <c r="X239" i="4"/>
  <c r="W239" i="4"/>
  <c r="V239" i="4"/>
  <c r="W238" i="4"/>
  <c r="X238" i="4"/>
  <c r="V238" i="4"/>
  <c r="W237" i="4"/>
  <c r="V237" i="4"/>
  <c r="X237" i="4"/>
  <c r="V236" i="4"/>
  <c r="W236" i="4"/>
  <c r="X236" i="4"/>
  <c r="V235" i="4"/>
  <c r="W235" i="4"/>
  <c r="X235" i="4"/>
  <c r="V234" i="4"/>
  <c r="W234" i="4"/>
  <c r="X234" i="4"/>
  <c r="W233" i="4"/>
  <c r="V233" i="4"/>
  <c r="X233" i="4"/>
  <c r="W232" i="4"/>
  <c r="V232" i="4"/>
  <c r="X232" i="4"/>
  <c r="W231" i="4"/>
  <c r="X231" i="4"/>
  <c r="V231" i="4"/>
  <c r="X230" i="4"/>
  <c r="V230" i="4"/>
  <c r="W230" i="4"/>
  <c r="W229" i="4"/>
  <c r="X229" i="4"/>
  <c r="V229" i="4"/>
  <c r="V228" i="4"/>
  <c r="W228" i="4"/>
  <c r="X228" i="4"/>
  <c r="W227" i="4"/>
  <c r="X227" i="4"/>
  <c r="V227" i="4"/>
  <c r="V226" i="4"/>
  <c r="W226" i="4"/>
  <c r="X226" i="4"/>
  <c r="X225" i="4"/>
  <c r="W225" i="4"/>
  <c r="V225" i="4"/>
  <c r="V224" i="4"/>
  <c r="X224" i="4"/>
  <c r="W224" i="4"/>
  <c r="X223" i="4"/>
  <c r="W223" i="4"/>
  <c r="V223" i="4"/>
  <c r="X222" i="4"/>
  <c r="V222" i="4"/>
  <c r="W222" i="4"/>
  <c r="V221" i="4"/>
  <c r="W221" i="4"/>
  <c r="X221" i="4"/>
  <c r="V220" i="4"/>
  <c r="W220" i="4"/>
  <c r="X220" i="4"/>
  <c r="X219" i="4"/>
  <c r="V219" i="4"/>
  <c r="W219" i="4"/>
  <c r="V218" i="4"/>
  <c r="W218" i="4"/>
  <c r="X218" i="4"/>
  <c r="X217" i="4"/>
  <c r="V217" i="4"/>
  <c r="W217" i="4"/>
  <c r="V216" i="4"/>
  <c r="W216" i="4"/>
  <c r="X216" i="4"/>
  <c r="V215" i="4"/>
  <c r="W215" i="4"/>
  <c r="X215" i="4"/>
  <c r="V214" i="4"/>
  <c r="W214" i="4"/>
  <c r="X214" i="4"/>
  <c r="V213" i="4"/>
  <c r="W213" i="4"/>
  <c r="X213" i="4"/>
  <c r="V212" i="4"/>
  <c r="W212" i="4"/>
  <c r="X212" i="4"/>
  <c r="X211" i="4"/>
  <c r="V211" i="4"/>
  <c r="W211" i="4"/>
  <c r="X210" i="4"/>
  <c r="W210" i="4"/>
  <c r="V210" i="4"/>
  <c r="V209" i="4"/>
  <c r="X209" i="4"/>
  <c r="W209" i="4"/>
  <c r="W208" i="4"/>
  <c r="X208" i="4"/>
  <c r="V208" i="4"/>
  <c r="V207" i="4"/>
  <c r="W207" i="4"/>
  <c r="X207" i="4"/>
  <c r="V206" i="4"/>
  <c r="W206" i="4"/>
  <c r="X206" i="4"/>
  <c r="W205" i="4"/>
  <c r="X205" i="4"/>
  <c r="V205" i="4"/>
  <c r="V204" i="4"/>
  <c r="W204" i="4"/>
  <c r="X204" i="4"/>
  <c r="V203" i="4"/>
  <c r="W203" i="4"/>
  <c r="X203" i="4"/>
  <c r="X202" i="4"/>
  <c r="V202" i="4"/>
  <c r="W202" i="4"/>
  <c r="V201" i="4"/>
  <c r="W201" i="4"/>
  <c r="X201" i="4"/>
  <c r="X200" i="4"/>
  <c r="W200" i="4"/>
  <c r="V200" i="4"/>
  <c r="X199" i="4"/>
  <c r="V199" i="4"/>
  <c r="W199" i="4"/>
  <c r="X198" i="4"/>
  <c r="W198" i="4"/>
  <c r="V198" i="4"/>
  <c r="X197" i="4"/>
  <c r="W197" i="4"/>
  <c r="V197" i="4"/>
  <c r="X196" i="4"/>
  <c r="W196" i="4"/>
  <c r="V196" i="4"/>
  <c r="V195" i="4"/>
  <c r="W195" i="4"/>
  <c r="X195" i="4"/>
  <c r="V194" i="4"/>
  <c r="W194" i="4"/>
  <c r="X194" i="4"/>
  <c r="X193" i="4"/>
  <c r="V193" i="4"/>
  <c r="W193" i="4"/>
  <c r="W192" i="4"/>
  <c r="V192" i="4"/>
  <c r="X192" i="4"/>
  <c r="X191" i="4"/>
  <c r="V191" i="4"/>
  <c r="W191" i="4"/>
  <c r="V190" i="4"/>
  <c r="W190" i="4"/>
  <c r="X190" i="4"/>
  <c r="X189" i="4"/>
  <c r="W189" i="4"/>
  <c r="V189" i="4"/>
  <c r="X188" i="4"/>
  <c r="W188" i="4"/>
  <c r="V188" i="4"/>
  <c r="V187" i="4"/>
  <c r="X187" i="4"/>
  <c r="W187" i="4"/>
  <c r="V186" i="4"/>
  <c r="X186" i="4"/>
  <c r="W186" i="4"/>
  <c r="X185" i="4"/>
  <c r="W185" i="4"/>
  <c r="V185" i="4"/>
  <c r="X184" i="4"/>
  <c r="W184" i="4"/>
  <c r="V184" i="4"/>
  <c r="X183" i="4"/>
  <c r="W183" i="4"/>
  <c r="V183" i="4"/>
  <c r="X182" i="4"/>
  <c r="W182" i="4"/>
  <c r="V182" i="4"/>
  <c r="X181" i="4"/>
  <c r="W181" i="4"/>
  <c r="V181" i="4"/>
  <c r="V180" i="4"/>
  <c r="W180" i="4"/>
  <c r="X180" i="4"/>
  <c r="V179" i="4"/>
  <c r="W179" i="4"/>
  <c r="X179" i="4"/>
  <c r="V178" i="4"/>
  <c r="W178" i="4"/>
  <c r="X178" i="4"/>
  <c r="X177" i="4"/>
  <c r="W177" i="4"/>
  <c r="V177" i="4"/>
  <c r="W176" i="4"/>
  <c r="V176" i="4"/>
  <c r="X176" i="4"/>
  <c r="V175" i="4"/>
  <c r="W175" i="4"/>
  <c r="X175" i="4"/>
  <c r="X174" i="4"/>
  <c r="W174" i="4"/>
  <c r="V174" i="4"/>
  <c r="X173" i="4"/>
  <c r="V173" i="4"/>
  <c r="W173" i="4"/>
  <c r="X172" i="4"/>
  <c r="V172" i="4"/>
  <c r="W172" i="4"/>
  <c r="V171" i="4"/>
  <c r="X171" i="4"/>
  <c r="W171" i="4"/>
  <c r="V170" i="4"/>
  <c r="W170" i="4"/>
  <c r="X170" i="4"/>
  <c r="W169" i="4"/>
  <c r="X169" i="4"/>
  <c r="V169" i="4"/>
  <c r="V168" i="4"/>
  <c r="W168" i="4"/>
  <c r="X168" i="4"/>
  <c r="V167" i="4"/>
  <c r="X167" i="4"/>
  <c r="W167" i="4"/>
  <c r="W166" i="4"/>
  <c r="V166" i="4"/>
  <c r="X166" i="4"/>
  <c r="X165" i="4"/>
  <c r="V165" i="4"/>
  <c r="W165" i="4"/>
  <c r="W164" i="4"/>
  <c r="X164" i="4"/>
  <c r="V164" i="4"/>
  <c r="X163" i="4"/>
  <c r="W163" i="4"/>
  <c r="V163" i="4"/>
  <c r="V162" i="4"/>
  <c r="W162" i="4"/>
  <c r="X162" i="4"/>
  <c r="X161" i="4"/>
  <c r="W161" i="4"/>
  <c r="V161" i="4"/>
  <c r="X160" i="4"/>
  <c r="V160" i="4"/>
  <c r="W160" i="4"/>
  <c r="X159" i="4"/>
  <c r="W159" i="4"/>
  <c r="V159" i="4"/>
  <c r="V158" i="4"/>
  <c r="X158" i="4"/>
  <c r="W158" i="4"/>
  <c r="X157" i="4"/>
  <c r="W157" i="4"/>
  <c r="V157" i="4"/>
  <c r="X156" i="4"/>
  <c r="W156" i="4"/>
  <c r="V156" i="4"/>
  <c r="X155" i="4"/>
  <c r="W155" i="4"/>
  <c r="V155" i="4"/>
  <c r="X154" i="4"/>
  <c r="W154" i="4"/>
  <c r="V154" i="4"/>
  <c r="W153" i="4"/>
  <c r="X153" i="4"/>
  <c r="V153" i="4"/>
  <c r="X152" i="4"/>
  <c r="W152" i="4"/>
  <c r="V152" i="4"/>
  <c r="V151" i="4"/>
  <c r="W151" i="4"/>
  <c r="X151" i="4"/>
  <c r="V150" i="4"/>
  <c r="X150" i="4"/>
  <c r="W150" i="4"/>
  <c r="X149" i="4"/>
  <c r="W149" i="4"/>
  <c r="V149" i="4"/>
  <c r="V148" i="4"/>
  <c r="W148" i="4"/>
  <c r="X148" i="4"/>
  <c r="X147" i="4"/>
  <c r="W147" i="4"/>
  <c r="V147" i="4"/>
  <c r="X146" i="4"/>
  <c r="W146" i="4"/>
  <c r="V146" i="4"/>
  <c r="X145" i="4"/>
  <c r="W145" i="4"/>
  <c r="V145" i="4"/>
  <c r="V144" i="4"/>
  <c r="W144" i="4"/>
  <c r="X144" i="4"/>
  <c r="X143" i="4"/>
  <c r="V143" i="4"/>
  <c r="W143" i="4"/>
  <c r="W142" i="4"/>
  <c r="X142" i="4"/>
  <c r="V142" i="4"/>
  <c r="X141" i="4"/>
  <c r="W141" i="4"/>
  <c r="V141" i="4"/>
  <c r="V140" i="4"/>
  <c r="X140" i="4"/>
  <c r="W140" i="4"/>
  <c r="V139" i="4"/>
  <c r="X139" i="4"/>
  <c r="W139" i="4"/>
  <c r="V138" i="4"/>
  <c r="W138" i="4"/>
  <c r="X138" i="4"/>
  <c r="X137" i="4"/>
  <c r="V137" i="4"/>
  <c r="W137" i="4"/>
  <c r="V136" i="4"/>
  <c r="W136" i="4"/>
  <c r="X136" i="4"/>
  <c r="V135" i="4"/>
  <c r="W135" i="4"/>
  <c r="X135" i="4"/>
  <c r="X134" i="4"/>
  <c r="V134" i="4"/>
  <c r="W134" i="4"/>
  <c r="X133" i="4"/>
  <c r="V133" i="4"/>
  <c r="W133" i="4"/>
  <c r="X132" i="4"/>
  <c r="W132" i="4"/>
  <c r="V132" i="4"/>
  <c r="V131" i="4"/>
  <c r="X131" i="4"/>
  <c r="W131" i="4"/>
  <c r="X130" i="4"/>
  <c r="W130" i="4"/>
  <c r="V130" i="4"/>
  <c r="W129" i="4"/>
  <c r="X129" i="4"/>
  <c r="V129" i="4"/>
  <c r="X128" i="4"/>
  <c r="W128" i="4"/>
  <c r="V128" i="4"/>
  <c r="V127" i="4"/>
  <c r="W127" i="4"/>
  <c r="X127" i="4"/>
  <c r="W126" i="4"/>
  <c r="X126" i="4"/>
  <c r="V126" i="4"/>
  <c r="W125" i="4"/>
  <c r="X125" i="4"/>
  <c r="V125" i="4"/>
  <c r="V124" i="4"/>
  <c r="W124" i="4"/>
  <c r="X124" i="4"/>
  <c r="W123" i="4"/>
  <c r="V123" i="4"/>
  <c r="X123" i="4"/>
  <c r="X122" i="4"/>
  <c r="W122" i="4"/>
  <c r="V122" i="4"/>
  <c r="W121" i="4"/>
  <c r="V121" i="4"/>
  <c r="X121" i="4"/>
  <c r="V120" i="4"/>
  <c r="W120" i="4"/>
  <c r="X120" i="4"/>
  <c r="V119" i="4"/>
  <c r="W119" i="4"/>
  <c r="X119" i="4"/>
  <c r="V118" i="4"/>
  <c r="W118" i="4"/>
  <c r="X118" i="4"/>
  <c r="X117" i="4"/>
  <c r="W117" i="4"/>
  <c r="V117" i="4"/>
  <c r="X116" i="4"/>
  <c r="W116" i="4"/>
  <c r="V116" i="4"/>
  <c r="X115" i="4"/>
  <c r="W115" i="4"/>
  <c r="V115" i="4"/>
  <c r="X114" i="4"/>
  <c r="W114" i="4"/>
  <c r="V114" i="4"/>
  <c r="W113" i="4"/>
  <c r="X113" i="4"/>
  <c r="V113" i="4"/>
  <c r="X112" i="4"/>
  <c r="W112" i="4"/>
  <c r="V112" i="4"/>
  <c r="X111" i="4"/>
  <c r="W111" i="4"/>
  <c r="V111" i="4"/>
  <c r="X110" i="4"/>
  <c r="W110" i="4"/>
  <c r="V110" i="4"/>
  <c r="X109" i="4"/>
  <c r="W109" i="4"/>
  <c r="V109" i="4"/>
  <c r="X108" i="4"/>
  <c r="W108" i="4"/>
  <c r="V108" i="4"/>
  <c r="X107" i="4"/>
  <c r="W107" i="4"/>
  <c r="V107" i="4"/>
  <c r="V106" i="4"/>
  <c r="W106" i="4"/>
  <c r="X106" i="4"/>
  <c r="V105" i="4"/>
  <c r="W105" i="4"/>
  <c r="X105" i="4"/>
  <c r="X104" i="4"/>
  <c r="W104" i="4"/>
  <c r="V104" i="4"/>
  <c r="X103" i="4"/>
  <c r="W103" i="4"/>
  <c r="V103" i="4"/>
  <c r="V102" i="4"/>
  <c r="X102" i="4"/>
  <c r="W102" i="4"/>
  <c r="V101" i="4"/>
  <c r="X101" i="4"/>
  <c r="W101" i="4"/>
  <c r="V100" i="4"/>
  <c r="W100" i="4"/>
  <c r="X100" i="4"/>
  <c r="V99" i="4"/>
  <c r="W99" i="4"/>
  <c r="X99" i="4"/>
  <c r="V98" i="4"/>
  <c r="X98" i="4"/>
  <c r="W98" i="4"/>
  <c r="X97" i="4"/>
  <c r="W97" i="4"/>
  <c r="V97" i="4"/>
  <c r="W96" i="4"/>
  <c r="X96" i="4"/>
  <c r="V96" i="4"/>
  <c r="V95" i="4"/>
  <c r="W95" i="4"/>
  <c r="X95" i="4"/>
  <c r="X94" i="4"/>
  <c r="V94" i="4"/>
  <c r="W94" i="4"/>
  <c r="V93" i="4"/>
  <c r="X93" i="4"/>
  <c r="W93" i="4"/>
  <c r="X92" i="4"/>
  <c r="W92" i="4"/>
  <c r="V92" i="4"/>
  <c r="X91" i="4"/>
  <c r="W91" i="4"/>
  <c r="V91" i="4"/>
  <c r="X90" i="4"/>
  <c r="V90" i="4"/>
  <c r="W90" i="4"/>
  <c r="V89" i="4"/>
  <c r="W89" i="4"/>
  <c r="X89" i="4"/>
  <c r="X88" i="4"/>
  <c r="W88" i="4"/>
  <c r="V88" i="4"/>
  <c r="X87" i="4"/>
  <c r="W87" i="4"/>
  <c r="V87" i="4"/>
  <c r="X86" i="4"/>
  <c r="W86" i="4"/>
  <c r="V86" i="4"/>
  <c r="X85" i="4"/>
  <c r="W85" i="4"/>
  <c r="V85" i="4"/>
  <c r="V84" i="4"/>
  <c r="X84" i="4"/>
  <c r="W84" i="4"/>
  <c r="W83" i="4"/>
  <c r="V83" i="4"/>
  <c r="X83" i="4"/>
  <c r="W82" i="4"/>
  <c r="X82" i="4"/>
  <c r="V82" i="4"/>
  <c r="V81" i="4"/>
  <c r="X81" i="4"/>
  <c r="W81" i="4"/>
  <c r="X80" i="4"/>
  <c r="W80" i="4"/>
  <c r="V80" i="4"/>
  <c r="X79" i="4"/>
  <c r="W79" i="4"/>
  <c r="V79" i="4"/>
  <c r="W78" i="4"/>
  <c r="X78" i="4"/>
  <c r="V78" i="4"/>
  <c r="V77" i="4"/>
  <c r="W77" i="4"/>
  <c r="X77" i="4"/>
  <c r="V76" i="4"/>
  <c r="W76" i="4"/>
  <c r="X76" i="4"/>
  <c r="V75" i="4"/>
  <c r="W75" i="4"/>
  <c r="X75" i="4"/>
  <c r="W74" i="4"/>
  <c r="X74" i="4"/>
  <c r="V74" i="4"/>
  <c r="W73" i="4"/>
  <c r="X73" i="4"/>
  <c r="V73" i="4"/>
  <c r="W72" i="4"/>
  <c r="X72" i="4"/>
  <c r="V72" i="4"/>
  <c r="O71" i="4"/>
  <c r="X71" i="4"/>
  <c r="P71" i="4"/>
  <c r="R71" i="4"/>
  <c r="S71" i="4"/>
  <c r="T71" i="4"/>
  <c r="X70" i="4"/>
  <c r="U70" i="4"/>
  <c r="S70" i="4"/>
  <c r="R70" i="4"/>
  <c r="O70" i="4"/>
  <c r="P70" i="4"/>
  <c r="O69" i="4"/>
  <c r="P69" i="4"/>
  <c r="R69" i="4"/>
  <c r="S69" i="4"/>
  <c r="U69" i="4"/>
  <c r="X69" i="4"/>
  <c r="O68" i="4"/>
  <c r="P68" i="4"/>
  <c r="R68" i="4"/>
  <c r="U68" i="4"/>
  <c r="X68" i="4"/>
  <c r="S68" i="4"/>
  <c r="X67" i="4"/>
  <c r="R67" i="4"/>
  <c r="O67" i="4"/>
  <c r="P67" i="4"/>
  <c r="S67" i="4"/>
  <c r="T67" i="4"/>
  <c r="U66" i="4"/>
  <c r="S66" i="4"/>
  <c r="R66" i="4"/>
  <c r="P66" i="4"/>
  <c r="O66" i="4"/>
  <c r="Q66" i="4" s="1"/>
  <c r="X66" i="4"/>
  <c r="O65" i="4"/>
  <c r="U65" i="4"/>
  <c r="P65" i="4"/>
  <c r="R65" i="4"/>
  <c r="S65" i="4"/>
  <c r="X65" i="4"/>
  <c r="P64" i="4"/>
  <c r="R64" i="4"/>
  <c r="S64" i="4"/>
  <c r="U64" i="4"/>
  <c r="X64" i="4"/>
  <c r="O64" i="4"/>
  <c r="Q64" i="4" s="1"/>
  <c r="P63" i="4"/>
  <c r="X63" i="4"/>
  <c r="O63" i="4"/>
  <c r="Q63" i="4" s="1"/>
  <c r="R63" i="4"/>
  <c r="T63" i="4"/>
  <c r="S63" i="4"/>
  <c r="U62" i="4"/>
  <c r="X62" i="4"/>
  <c r="S62" i="4"/>
  <c r="R62" i="4"/>
  <c r="O62" i="4"/>
  <c r="Q62" i="4" s="1"/>
  <c r="P62" i="4"/>
  <c r="U61" i="4"/>
  <c r="S61" i="4"/>
  <c r="R61" i="4"/>
  <c r="X61" i="4"/>
  <c r="O61" i="4"/>
  <c r="Q61" i="4" s="1"/>
  <c r="P61" i="4"/>
  <c r="X60" i="4"/>
  <c r="T60" i="4"/>
  <c r="S60" i="4"/>
  <c r="R60" i="4"/>
  <c r="P60" i="4"/>
  <c r="O60" i="4"/>
  <c r="Q60" i="4" s="1"/>
  <c r="S59" i="4"/>
  <c r="U59" i="4"/>
  <c r="X59" i="4"/>
  <c r="P59" i="4"/>
  <c r="R59" i="4"/>
  <c r="O59" i="4"/>
  <c r="Q59" i="4" s="1"/>
  <c r="T58" i="4"/>
  <c r="S58" i="4"/>
  <c r="R58" i="4"/>
  <c r="P58" i="4"/>
  <c r="O58" i="4"/>
  <c r="Q58" i="4" s="1"/>
  <c r="X58" i="4"/>
  <c r="P57" i="4"/>
  <c r="O57" i="4"/>
  <c r="Q57" i="4" s="1"/>
  <c r="S57" i="4"/>
  <c r="X57" i="4"/>
  <c r="U57" i="4"/>
  <c r="R57" i="4"/>
  <c r="P56" i="4"/>
  <c r="X56" i="4"/>
  <c r="U56" i="4"/>
  <c r="S56" i="4"/>
  <c r="R56" i="4"/>
  <c r="O56" i="4"/>
  <c r="Q56" i="4" s="1"/>
  <c r="S55" i="4"/>
  <c r="X55" i="4"/>
  <c r="U55" i="4"/>
  <c r="R55" i="4"/>
  <c r="P55" i="4"/>
  <c r="O55" i="4"/>
  <c r="Q55" i="4" s="1"/>
  <c r="O54" i="4"/>
  <c r="X54" i="4"/>
  <c r="T54" i="4"/>
  <c r="S54" i="4"/>
  <c r="R54" i="4"/>
  <c r="P54" i="4"/>
  <c r="P53" i="4"/>
  <c r="O53" i="4"/>
  <c r="Q53" i="4" s="1"/>
  <c r="X53" i="4"/>
  <c r="U53" i="4"/>
  <c r="S53" i="4"/>
  <c r="R53" i="4"/>
  <c r="X52" i="4"/>
  <c r="U52" i="4"/>
  <c r="S52" i="4"/>
  <c r="R52" i="4"/>
  <c r="P52" i="4"/>
  <c r="O52" i="4"/>
  <c r="Q52" i="4" s="1"/>
  <c r="P51" i="4"/>
  <c r="T51" i="4"/>
  <c r="X51" i="4"/>
  <c r="O51" i="4"/>
  <c r="Q51" i="4" s="1"/>
  <c r="S51" i="4"/>
  <c r="R51" i="4"/>
  <c r="X50" i="4"/>
  <c r="U50" i="4"/>
  <c r="S50" i="4"/>
  <c r="R50" i="4"/>
  <c r="P50" i="4"/>
  <c r="O50" i="4"/>
  <c r="Q50" i="4" s="1"/>
  <c r="X49" i="4"/>
  <c r="S49" i="4"/>
  <c r="R49" i="4"/>
  <c r="P49" i="4"/>
  <c r="O49" i="4"/>
  <c r="Q49" i="4" s="1"/>
  <c r="U49" i="4"/>
  <c r="R48" i="4"/>
  <c r="X48" i="4"/>
  <c r="U48" i="4"/>
  <c r="S48" i="4"/>
  <c r="P48" i="4"/>
  <c r="O48" i="4"/>
  <c r="Q48" i="4" s="1"/>
  <c r="S47" i="4"/>
  <c r="T47" i="4"/>
  <c r="P47" i="4"/>
  <c r="X47" i="4"/>
  <c r="O47" i="4"/>
  <c r="Q47" i="4" s="1"/>
  <c r="R47" i="4"/>
  <c r="O46" i="4"/>
  <c r="Q46" i="4" s="1"/>
  <c r="P46" i="4"/>
  <c r="R46" i="4"/>
  <c r="S46" i="4"/>
  <c r="X46" i="4"/>
  <c r="U46" i="4"/>
  <c r="X45" i="4"/>
  <c r="U45" i="4"/>
  <c r="S45" i="4"/>
  <c r="R45" i="4"/>
  <c r="P45" i="4"/>
  <c r="O45" i="4"/>
  <c r="Q45" i="4" s="1"/>
  <c r="X44" i="4"/>
  <c r="U44" i="4"/>
  <c r="S44" i="4"/>
  <c r="R44" i="4"/>
  <c r="P44" i="4"/>
  <c r="O44" i="4"/>
  <c r="Q44" i="4" s="1"/>
  <c r="O43" i="4"/>
  <c r="Q43" i="4" s="1"/>
  <c r="P43" i="4"/>
  <c r="R43" i="4"/>
  <c r="T43" i="4"/>
  <c r="S43" i="4"/>
  <c r="X43" i="4"/>
  <c r="U42" i="4"/>
  <c r="S42" i="4"/>
  <c r="X42" i="4"/>
  <c r="O42" i="4"/>
  <c r="Q42" i="4" s="1"/>
  <c r="P42" i="4"/>
  <c r="R42" i="4"/>
  <c r="P41" i="4"/>
  <c r="R41" i="4"/>
  <c r="O41" i="4"/>
  <c r="Q41" i="4" s="1"/>
  <c r="S41" i="4"/>
  <c r="X41" i="4"/>
  <c r="U41" i="4"/>
  <c r="P40" i="4"/>
  <c r="X40" i="4"/>
  <c r="O40" i="4"/>
  <c r="Q40" i="4" s="1"/>
  <c r="T40" i="4"/>
  <c r="S40" i="4"/>
  <c r="R40" i="4"/>
  <c r="U39" i="4"/>
  <c r="O39" i="4"/>
  <c r="Q39" i="4" s="1"/>
  <c r="P39" i="4"/>
  <c r="X39" i="4"/>
  <c r="R39" i="4"/>
  <c r="S39" i="4"/>
  <c r="X38" i="4"/>
  <c r="U38" i="4"/>
  <c r="S38" i="4"/>
  <c r="P38" i="4"/>
  <c r="O38" i="4"/>
  <c r="Q38" i="4" s="1"/>
  <c r="R38" i="4"/>
  <c r="T37" i="4"/>
  <c r="O37" i="4"/>
  <c r="Q37" i="4" s="1"/>
  <c r="P37" i="4"/>
  <c r="R37" i="4"/>
  <c r="S37" i="4"/>
  <c r="X37" i="4"/>
  <c r="X36" i="4"/>
  <c r="O36" i="4"/>
  <c r="Q36" i="4" s="1"/>
  <c r="P36" i="4"/>
  <c r="R36" i="4"/>
  <c r="S36" i="4"/>
  <c r="U36" i="4"/>
  <c r="X35" i="4"/>
  <c r="O35" i="4"/>
  <c r="Q35" i="4" s="1"/>
  <c r="P35" i="4"/>
  <c r="R35" i="4"/>
  <c r="S35" i="4"/>
  <c r="U35" i="4"/>
  <c r="O34" i="4"/>
  <c r="Q34" i="4" s="1"/>
  <c r="X34" i="4"/>
  <c r="S34" i="4"/>
  <c r="U34" i="4"/>
  <c r="P34" i="4"/>
  <c r="R34" i="4"/>
  <c r="O33" i="4"/>
  <c r="Q33" i="4" s="1"/>
  <c r="P33" i="4"/>
  <c r="S33" i="4"/>
  <c r="T33" i="4"/>
  <c r="X33" i="4"/>
  <c r="R33" i="4"/>
  <c r="P32" i="4"/>
  <c r="O32" i="4"/>
  <c r="Q32" i="4" s="1"/>
  <c r="X32" i="4"/>
  <c r="U32" i="4"/>
  <c r="S32" i="4"/>
  <c r="R32" i="4"/>
  <c r="U31" i="4"/>
  <c r="X31" i="4"/>
  <c r="S31" i="4"/>
  <c r="R31" i="4"/>
  <c r="P31" i="4"/>
  <c r="O31" i="4"/>
  <c r="Q31" i="4" s="1"/>
  <c r="O30" i="4"/>
  <c r="Q30" i="4" s="1"/>
  <c r="P30" i="4"/>
  <c r="R30" i="4"/>
  <c r="X30" i="4"/>
  <c r="T30" i="4"/>
  <c r="S30" i="4"/>
  <c r="P29" i="4"/>
  <c r="R29" i="4"/>
  <c r="S29" i="4"/>
  <c r="U29" i="4"/>
  <c r="X29" i="4"/>
  <c r="O29" i="4"/>
  <c r="Q29" i="4" s="1"/>
  <c r="P28" i="4"/>
  <c r="O28" i="4"/>
  <c r="Q28" i="4" s="1"/>
  <c r="R28" i="4"/>
  <c r="X28" i="4"/>
  <c r="U28" i="4"/>
  <c r="S28" i="4"/>
  <c r="S27" i="4"/>
  <c r="R27" i="4"/>
  <c r="U27" i="4"/>
  <c r="X27" i="4"/>
  <c r="P27" i="4"/>
  <c r="O27" i="4"/>
  <c r="Q27" i="4" s="1"/>
  <c r="O26" i="4"/>
  <c r="Q26" i="4" s="1"/>
  <c r="P26" i="4"/>
  <c r="R26" i="4"/>
  <c r="S26" i="4"/>
  <c r="T26" i="4"/>
  <c r="X26" i="4"/>
  <c r="U25" i="4"/>
  <c r="X25" i="4"/>
  <c r="O25" i="4"/>
  <c r="Q25" i="4" s="1"/>
  <c r="P25" i="4"/>
  <c r="R25" i="4"/>
  <c r="S25" i="4"/>
  <c r="O24" i="4"/>
  <c r="Q24" i="4" s="1"/>
  <c r="P24" i="4"/>
  <c r="R24" i="4"/>
  <c r="S24" i="4"/>
  <c r="U24" i="4"/>
  <c r="X24" i="4"/>
  <c r="P23" i="4"/>
  <c r="R23" i="4"/>
  <c r="S23" i="4"/>
  <c r="U23" i="4"/>
  <c r="X23" i="4"/>
  <c r="O23" i="4"/>
  <c r="Q23" i="4" s="1"/>
  <c r="P22" i="4"/>
  <c r="O22" i="4"/>
  <c r="Q22" i="4" s="1"/>
  <c r="X22" i="4"/>
  <c r="R22" i="4"/>
  <c r="S22" i="4"/>
  <c r="T22" i="4"/>
  <c r="X21" i="4"/>
  <c r="S21" i="4"/>
  <c r="U21" i="4"/>
  <c r="O21" i="4"/>
  <c r="Q21" i="4" s="1"/>
  <c r="P21" i="4"/>
  <c r="R21" i="4"/>
  <c r="G3819" i="22"/>
  <c r="I3819" i="22" s="1"/>
  <c r="X20" i="4"/>
  <c r="H3819" i="22"/>
  <c r="O20" i="4"/>
  <c r="Q20" i="4" s="1"/>
  <c r="P20" i="4"/>
  <c r="R20" i="4"/>
  <c r="S20" i="4"/>
  <c r="U20" i="4"/>
  <c r="R19" i="4"/>
  <c r="P19" i="4"/>
  <c r="O19" i="4"/>
  <c r="Q19" i="4" s="1"/>
  <c r="T19" i="4"/>
  <c r="X19" i="4"/>
  <c r="S19" i="4"/>
  <c r="U18" i="4"/>
  <c r="S18" i="4"/>
  <c r="R18" i="4"/>
  <c r="P18" i="4"/>
  <c r="O18" i="4"/>
  <c r="Q18" i="4" s="1"/>
  <c r="X18" i="4"/>
  <c r="X17" i="4"/>
  <c r="T17" i="4"/>
  <c r="S17" i="4"/>
  <c r="R17" i="4"/>
  <c r="P17" i="4"/>
  <c r="O17" i="4"/>
  <c r="Q17" i="4" s="1"/>
  <c r="X16" i="4"/>
  <c r="S16" i="4"/>
  <c r="R16" i="4"/>
  <c r="P16" i="4"/>
  <c r="O16" i="4"/>
  <c r="Q16" i="4" s="1"/>
  <c r="U16" i="4"/>
  <c r="X15" i="4"/>
  <c r="U15" i="4"/>
  <c r="S15" i="4"/>
  <c r="R15" i="4"/>
  <c r="P15" i="4"/>
  <c r="O15" i="4"/>
  <c r="Q15" i="4" s="1"/>
  <c r="X14" i="4"/>
  <c r="T14" i="4"/>
  <c r="S14" i="4"/>
  <c r="R14" i="4"/>
  <c r="P14" i="4"/>
  <c r="O14" i="4"/>
  <c r="Q14" i="4" s="1"/>
  <c r="X13" i="4"/>
  <c r="U13" i="4"/>
  <c r="S13" i="4"/>
  <c r="R13" i="4"/>
  <c r="P13" i="4"/>
  <c r="O13" i="4"/>
  <c r="Q13" i="4" s="1"/>
  <c r="T12" i="4"/>
  <c r="S12" i="4"/>
  <c r="X12" i="4"/>
  <c r="P12" i="4"/>
  <c r="O12" i="4"/>
  <c r="Q12" i="4" s="1"/>
  <c r="R12" i="4"/>
  <c r="U11" i="4"/>
  <c r="S11" i="4"/>
  <c r="R11" i="4"/>
  <c r="O11" i="4"/>
  <c r="Q11" i="4" s="1"/>
  <c r="P11" i="4"/>
  <c r="X11" i="4"/>
  <c r="R10" i="4"/>
  <c r="O10" i="4"/>
  <c r="Q10" i="4" s="1"/>
  <c r="P10" i="4"/>
  <c r="X10" i="4"/>
  <c r="S10" i="4"/>
  <c r="O9" i="4"/>
  <c r="P9" i="4"/>
  <c r="R9" i="4"/>
  <c r="S9" i="4"/>
  <c r="T9" i="4"/>
  <c r="O8" i="4"/>
  <c r="P8" i="4"/>
  <c r="R8" i="4"/>
  <c r="S8" i="4"/>
  <c r="U8" i="4"/>
  <c r="L7" i="4"/>
  <c r="E33" i="19"/>
  <c r="G33" i="19" s="1"/>
  <c r="C40" i="24"/>
  <c r="D40" i="24" s="1"/>
  <c r="C43" i="24"/>
  <c r="D43" i="24" s="1"/>
  <c r="C41" i="24"/>
  <c r="D41" i="24" s="1"/>
  <c r="C39" i="24"/>
  <c r="D39" i="24" s="1"/>
  <c r="C42" i="24"/>
  <c r="D42" i="24" s="1"/>
  <c r="E44" i="19"/>
  <c r="G44" i="19" s="1"/>
  <c r="E35" i="19"/>
  <c r="G35" i="19" s="1"/>
  <c r="C5" i="17"/>
  <c r="U7" i="4"/>
  <c r="S7" i="4"/>
  <c r="R7" i="4"/>
  <c r="P7" i="4"/>
  <c r="O7" i="4"/>
  <c r="Q7" i="4" s="1"/>
  <c r="C44" i="24"/>
  <c r="D44" i="24" s="1"/>
  <c r="Y80" i="3"/>
  <c r="X80" i="3"/>
  <c r="V80" i="3"/>
  <c r="A3748" i="22"/>
  <c r="W80" i="3"/>
  <c r="V79" i="3"/>
  <c r="W79" i="3"/>
  <c r="X79" i="3"/>
  <c r="Y79" i="3"/>
  <c r="A3694" i="22"/>
  <c r="C73" i="5"/>
  <c r="B73" i="5"/>
  <c r="A73" i="5"/>
  <c r="V78" i="3"/>
  <c r="X78" i="3"/>
  <c r="Y78" i="3"/>
  <c r="W78" i="3"/>
  <c r="A3640" i="22"/>
  <c r="I3643" i="22" s="1"/>
  <c r="A72" i="5"/>
  <c r="C72" i="5"/>
  <c r="B72" i="5"/>
  <c r="C71" i="5"/>
  <c r="B71" i="5"/>
  <c r="A71" i="5"/>
  <c r="V77" i="3"/>
  <c r="W77" i="3"/>
  <c r="X77" i="3"/>
  <c r="Y77" i="3"/>
  <c r="A3586" i="22"/>
  <c r="I3589" i="22" s="1"/>
  <c r="C70" i="5"/>
  <c r="V76" i="3"/>
  <c r="W76" i="3"/>
  <c r="X76" i="3"/>
  <c r="Y76" i="3"/>
  <c r="B70" i="5"/>
  <c r="A70" i="5"/>
  <c r="V75" i="3"/>
  <c r="X75" i="3"/>
  <c r="W75" i="3"/>
  <c r="Y75" i="3"/>
  <c r="A69" i="5"/>
  <c r="B69" i="5"/>
  <c r="C69" i="5"/>
  <c r="A3478" i="22"/>
  <c r="I3481" i="22" s="1"/>
  <c r="A3424" i="22"/>
  <c r="A68" i="5"/>
  <c r="B68" i="5"/>
  <c r="C68" i="5"/>
  <c r="B67" i="5"/>
  <c r="A3370" i="22"/>
  <c r="C67" i="5"/>
  <c r="A67" i="5"/>
  <c r="A3316" i="22"/>
  <c r="I3319" i="22" s="1"/>
  <c r="B66" i="5"/>
  <c r="A66" i="5"/>
  <c r="C66" i="5"/>
  <c r="C65" i="5"/>
  <c r="B65" i="5"/>
  <c r="A3262" i="22"/>
  <c r="I3265" i="22" s="1"/>
  <c r="A65" i="5"/>
  <c r="C64" i="5"/>
  <c r="B64" i="5"/>
  <c r="A64" i="5"/>
  <c r="C63" i="5"/>
  <c r="A63" i="5"/>
  <c r="B63" i="5"/>
  <c r="B62" i="5"/>
  <c r="C62" i="5"/>
  <c r="A62" i="5"/>
  <c r="A61" i="5"/>
  <c r="B61" i="5"/>
  <c r="C61" i="5"/>
  <c r="A60" i="5"/>
  <c r="B60" i="5"/>
  <c r="C60" i="5"/>
  <c r="A59" i="5"/>
  <c r="B59" i="5"/>
  <c r="C59" i="5"/>
  <c r="A58" i="5"/>
  <c r="B58" i="5"/>
  <c r="A2884" i="22"/>
  <c r="I2887" i="22" s="1"/>
  <c r="C58" i="5"/>
  <c r="B57" i="5"/>
  <c r="C57" i="5"/>
  <c r="A2830" i="22"/>
  <c r="A57" i="5"/>
  <c r="A56" i="5"/>
  <c r="B56" i="5"/>
  <c r="C56" i="5"/>
  <c r="A2776" i="22"/>
  <c r="A2722" i="22"/>
  <c r="C55" i="5"/>
  <c r="A55" i="5"/>
  <c r="B55" i="5"/>
  <c r="C54" i="5"/>
  <c r="B54" i="5"/>
  <c r="A54" i="5"/>
  <c r="C53" i="5"/>
  <c r="B53" i="5"/>
  <c r="A53" i="5"/>
  <c r="C52" i="5"/>
  <c r="A2560" i="22"/>
  <c r="A52" i="5"/>
  <c r="B52" i="5"/>
  <c r="A51" i="5"/>
  <c r="B51" i="5"/>
  <c r="C51" i="5"/>
  <c r="A2506" i="22"/>
  <c r="A2452" i="22"/>
  <c r="B50" i="5"/>
  <c r="C50" i="5"/>
  <c r="A50" i="5"/>
  <c r="A49" i="5"/>
  <c r="C49" i="5"/>
  <c r="B49" i="5"/>
  <c r="A48" i="5"/>
  <c r="B48" i="5"/>
  <c r="C48" i="5"/>
  <c r="B47" i="5"/>
  <c r="C47" i="5"/>
  <c r="A47" i="5"/>
  <c r="A2236" i="22"/>
  <c r="C46" i="5"/>
  <c r="B46" i="5"/>
  <c r="A46" i="5"/>
  <c r="B45" i="5"/>
  <c r="A2182" i="22"/>
  <c r="A45" i="5"/>
  <c r="C45" i="5"/>
  <c r="B44" i="5"/>
  <c r="A2128" i="22"/>
  <c r="C44" i="5"/>
  <c r="A44" i="5"/>
  <c r="B43" i="5"/>
  <c r="C43" i="5"/>
  <c r="A43" i="5"/>
  <c r="B42" i="5"/>
  <c r="C42" i="5"/>
  <c r="A42" i="5"/>
  <c r="C41" i="5"/>
  <c r="B41" i="5"/>
  <c r="A41" i="5"/>
  <c r="A40" i="5"/>
  <c r="C40" i="5"/>
  <c r="B40" i="5"/>
  <c r="A1912" i="22"/>
  <c r="A39" i="5"/>
  <c r="B39" i="5"/>
  <c r="A1858" i="22"/>
  <c r="C39" i="5"/>
  <c r="C38" i="5"/>
  <c r="A1804" i="22"/>
  <c r="A38" i="5"/>
  <c r="B38" i="5"/>
  <c r="B37" i="5"/>
  <c r="A37" i="5"/>
  <c r="C37" i="5"/>
  <c r="C36" i="5"/>
  <c r="B36" i="5"/>
  <c r="A36" i="5"/>
  <c r="A1642" i="22"/>
  <c r="A35" i="5"/>
  <c r="C35" i="5"/>
  <c r="B35" i="5"/>
  <c r="B34" i="5"/>
  <c r="C34" i="5"/>
  <c r="A1588" i="22"/>
  <c r="A34" i="5"/>
  <c r="B33" i="5"/>
  <c r="C33" i="5"/>
  <c r="A1534" i="22"/>
  <c r="A33" i="5"/>
  <c r="A32" i="5"/>
  <c r="C32" i="5"/>
  <c r="A1480" i="22"/>
  <c r="I1483" i="22" s="1"/>
  <c r="B32" i="5"/>
  <c r="C31" i="5"/>
  <c r="B31" i="5"/>
  <c r="A31" i="5"/>
  <c r="B30" i="5"/>
  <c r="A30" i="5"/>
  <c r="C30" i="5"/>
  <c r="C29" i="5"/>
  <c r="B29" i="5"/>
  <c r="A29" i="5"/>
  <c r="A1318" i="22"/>
  <c r="C28" i="5"/>
  <c r="A28" i="5"/>
  <c r="B28" i="5"/>
  <c r="A1264" i="22"/>
  <c r="A1210" i="22"/>
  <c r="A27" i="5"/>
  <c r="B27" i="5"/>
  <c r="C27" i="5"/>
  <c r="A26" i="5"/>
  <c r="B26" i="5"/>
  <c r="C26" i="5"/>
  <c r="C25" i="5"/>
  <c r="B25" i="5"/>
  <c r="A25" i="5"/>
  <c r="A24" i="5"/>
  <c r="C24" i="5"/>
  <c r="B24" i="5"/>
  <c r="A994" i="22"/>
  <c r="C23" i="5"/>
  <c r="B23" i="5"/>
  <c r="A23" i="5"/>
  <c r="C22" i="5"/>
  <c r="B22" i="5"/>
  <c r="A22" i="5"/>
  <c r="A940" i="22"/>
  <c r="C21" i="5"/>
  <c r="B21" i="5"/>
  <c r="A21" i="5"/>
  <c r="A886" i="22"/>
  <c r="A20" i="5"/>
  <c r="B20" i="5"/>
  <c r="A832" i="22"/>
  <c r="C20" i="5"/>
  <c r="A778" i="22"/>
  <c r="C19" i="5"/>
  <c r="B19" i="5"/>
  <c r="A19" i="5"/>
  <c r="C18" i="5"/>
  <c r="B18" i="5"/>
  <c r="A18" i="5"/>
  <c r="C17" i="5"/>
  <c r="B17" i="5"/>
  <c r="A17" i="5"/>
  <c r="A670" i="22"/>
  <c r="A616" i="22"/>
  <c r="B16" i="5"/>
  <c r="C16" i="5"/>
  <c r="A16" i="5"/>
  <c r="A562" i="22"/>
  <c r="I565" i="22" s="1"/>
  <c r="C15" i="5"/>
  <c r="A15" i="5"/>
  <c r="B15" i="5"/>
  <c r="A508" i="22"/>
  <c r="B14" i="5"/>
  <c r="A14" i="5"/>
  <c r="C14" i="5"/>
  <c r="C13" i="5"/>
  <c r="B13" i="5"/>
  <c r="A13" i="5"/>
  <c r="A400" i="22"/>
  <c r="C12" i="5"/>
  <c r="B12" i="5"/>
  <c r="A12" i="5"/>
  <c r="A11" i="5"/>
  <c r="A346" i="22"/>
  <c r="C11" i="5"/>
  <c r="B11" i="5"/>
  <c r="B10" i="5"/>
  <c r="C10" i="5"/>
  <c r="A292" i="22"/>
  <c r="A10" i="5"/>
  <c r="B9" i="5"/>
  <c r="C9" i="5"/>
  <c r="A9" i="5"/>
  <c r="C8" i="5"/>
  <c r="A8" i="5"/>
  <c r="B8" i="5"/>
  <c r="C7" i="5"/>
  <c r="B7" i="5"/>
  <c r="A7" i="5"/>
  <c r="E46" i="19"/>
  <c r="G46" i="19" s="1"/>
  <c r="A76" i="22"/>
  <c r="E34" i="19"/>
  <c r="G34" i="19" s="1"/>
  <c r="E42" i="19"/>
  <c r="G42" i="19" s="1"/>
  <c r="C6" i="5"/>
  <c r="B6" i="5"/>
  <c r="A6" i="5"/>
  <c r="E45" i="19"/>
  <c r="G45" i="19" s="1"/>
  <c r="H27" i="2"/>
  <c r="H28" i="2"/>
  <c r="H29" i="2"/>
  <c r="H30" i="2"/>
  <c r="H31" i="2"/>
  <c r="H32" i="2"/>
  <c r="H33" i="2"/>
  <c r="H34" i="2"/>
  <c r="K4513" i="22"/>
  <c r="A4507" i="22"/>
  <c r="B4507" i="22" s="1"/>
  <c r="A4506" i="22"/>
  <c r="B4506" i="22" s="1"/>
  <c r="A4505" i="22"/>
  <c r="B4505" i="22" s="1"/>
  <c r="A4504" i="22"/>
  <c r="B4504" i="22" s="1"/>
  <c r="A4503" i="22"/>
  <c r="B4503" i="22" s="1"/>
  <c r="A4400" i="22"/>
  <c r="B4400" i="22" s="1"/>
  <c r="A4399" i="22"/>
  <c r="B4399" i="22" s="1"/>
  <c r="A4502" i="22"/>
  <c r="B4502" i="22" s="1"/>
  <c r="A4501" i="22"/>
  <c r="B4501" i="22" s="1"/>
  <c r="A4500" i="22"/>
  <c r="B4500" i="22" s="1"/>
  <c r="A4499" i="22"/>
  <c r="B4499" i="22" s="1"/>
  <c r="A4498" i="22"/>
  <c r="B4498" i="22" s="1"/>
  <c r="A4497" i="22"/>
  <c r="B4497" i="22" s="1"/>
  <c r="A4496" i="22"/>
  <c r="B4496" i="22" s="1"/>
  <c r="A4495" i="22"/>
  <c r="B4495" i="22" s="1"/>
  <c r="A4494" i="22"/>
  <c r="B4494" i="22" s="1"/>
  <c r="A4493" i="22"/>
  <c r="B4493" i="22" s="1"/>
  <c r="A4492" i="22"/>
  <c r="B4492" i="22" s="1"/>
  <c r="A4491" i="22"/>
  <c r="B4491" i="22" s="1"/>
  <c r="A4398" i="22"/>
  <c r="B4398" i="22" s="1"/>
  <c r="A4490" i="22"/>
  <c r="B4490" i="22" s="1"/>
  <c r="A4489" i="22"/>
  <c r="B4489" i="22" s="1"/>
  <c r="A4488" i="22"/>
  <c r="B4488" i="22" s="1"/>
  <c r="A4397" i="22"/>
  <c r="B4397" i="22" s="1"/>
  <c r="A4396" i="22"/>
  <c r="B4396" i="22" s="1"/>
  <c r="A4395" i="22"/>
  <c r="B4395" i="22" s="1"/>
  <c r="A4487" i="22"/>
  <c r="B4487" i="22" s="1"/>
  <c r="A4486" i="22"/>
  <c r="B4486" i="22" s="1"/>
  <c r="A4485" i="22"/>
  <c r="B4485" i="22" s="1"/>
  <c r="A4484" i="22"/>
  <c r="B4484" i="22" s="1"/>
  <c r="A4394" i="22"/>
  <c r="B4394" i="22" s="1"/>
  <c r="A4393" i="22"/>
  <c r="B4393" i="22" s="1"/>
  <c r="A4392" i="22"/>
  <c r="B4392" i="22" s="1"/>
  <c r="K4051" i="22"/>
  <c r="A4467" i="22"/>
  <c r="B4467" i="22" s="1"/>
  <c r="A4466" i="22"/>
  <c r="B4466" i="22" s="1"/>
  <c r="A4465" i="22"/>
  <c r="B4465" i="22" s="1"/>
  <c r="A4464" i="22"/>
  <c r="B4464" i="22" s="1"/>
  <c r="A4391" i="22"/>
  <c r="B4391" i="22" s="1"/>
  <c r="A4390" i="22"/>
  <c r="B4390" i="22" s="1"/>
  <c r="A4389" i="22"/>
  <c r="B4389" i="22" s="1"/>
  <c r="A4388" i="22"/>
  <c r="B4388" i="22" s="1"/>
  <c r="A4463" i="22"/>
  <c r="B4463" i="22" s="1"/>
  <c r="A4462" i="22"/>
  <c r="B4462" i="22" s="1"/>
  <c r="A4387" i="22"/>
  <c r="B4387" i="22" s="1"/>
  <c r="A4386" i="22"/>
  <c r="B4386" i="22" s="1"/>
  <c r="A4461" i="22"/>
  <c r="B4461" i="22" s="1"/>
  <c r="A4460" i="22"/>
  <c r="B4460" i="22" s="1"/>
  <c r="A4459" i="22"/>
  <c r="B4459" i="22" s="1"/>
  <c r="A4458" i="22"/>
  <c r="B4458" i="22" s="1"/>
  <c r="A4385" i="22"/>
  <c r="B4385" i="22" s="1"/>
  <c r="A4457" i="22"/>
  <c r="B4457" i="22" s="1"/>
  <c r="A4456" i="22"/>
  <c r="B4456" i="22" s="1"/>
  <c r="A4384" i="22"/>
  <c r="B4384" i="22" s="1"/>
  <c r="A4383" i="22"/>
  <c r="B4383" i="22" s="1"/>
  <c r="A4382" i="22"/>
  <c r="B4382" i="22" s="1"/>
  <c r="A4381" i="22"/>
  <c r="B4381" i="22" s="1"/>
  <c r="D27" i="9"/>
  <c r="A4455" i="22"/>
  <c r="B4455" i="22" s="1"/>
  <c r="A4380" i="22"/>
  <c r="B4380" i="22" s="1"/>
  <c r="A4379" i="22"/>
  <c r="B4379" i="22" s="1"/>
  <c r="A4454" i="22"/>
  <c r="B4454" i="22" s="1"/>
  <c r="A4453" i="22"/>
  <c r="B4453" i="22" s="1"/>
  <c r="A4452" i="22"/>
  <c r="B4452" i="22" s="1"/>
  <c r="A4475" i="22"/>
  <c r="B4475" i="22" s="1"/>
  <c r="A4474" i="22"/>
  <c r="B4474" i="22" s="1"/>
  <c r="A4473" i="22"/>
  <c r="B4473" i="22" s="1"/>
  <c r="A4451" i="22"/>
  <c r="B4451" i="22" s="1"/>
  <c r="A4450" i="22"/>
  <c r="B4450" i="22" s="1"/>
  <c r="A4378" i="22"/>
  <c r="B4378" i="22" s="1"/>
  <c r="A4377" i="22"/>
  <c r="B4377" i="22" s="1"/>
  <c r="A4449" i="22"/>
  <c r="B4449" i="22" s="1"/>
  <c r="K4213" i="22"/>
  <c r="A4448" i="22"/>
  <c r="B4448" i="22" s="1"/>
  <c r="A4447" i="22"/>
  <c r="B4447" i="22" s="1"/>
  <c r="A4446" i="22"/>
  <c r="B4446" i="22" s="1"/>
  <c r="A4445" i="22"/>
  <c r="B4445" i="22" s="1"/>
  <c r="A4444" i="22"/>
  <c r="B4444" i="22" s="1"/>
  <c r="C22" i="24"/>
  <c r="D22" i="24" s="1"/>
  <c r="A4443" i="22"/>
  <c r="B4443" i="22" s="1"/>
  <c r="A4442" i="22"/>
  <c r="B4442" i="22" s="1"/>
  <c r="A4441" i="22"/>
  <c r="B4441" i="22" s="1"/>
  <c r="A4440" i="22"/>
  <c r="B4440" i="22" s="1"/>
  <c r="A4439" i="22"/>
  <c r="B4439" i="22" s="1"/>
  <c r="A4438" i="22"/>
  <c r="B4438" i="22" s="1"/>
  <c r="A4437" i="22"/>
  <c r="B4437" i="22" s="1"/>
  <c r="A4436" i="22"/>
  <c r="B4436" i="22" s="1"/>
  <c r="A4435" i="22"/>
  <c r="B4435" i="22" s="1"/>
  <c r="A4434" i="22"/>
  <c r="B4434" i="22" s="1"/>
  <c r="A4433" i="22"/>
  <c r="B4433" i="22" s="1"/>
  <c r="A4432" i="22"/>
  <c r="B4432" i="22" s="1"/>
  <c r="A4431" i="22"/>
  <c r="B4431" i="22" s="1"/>
  <c r="A4430" i="22"/>
  <c r="B4430" i="22" s="1"/>
  <c r="A4429" i="22"/>
  <c r="B4429" i="22" s="1"/>
  <c r="A4428" i="22"/>
  <c r="B4428" i="22" s="1"/>
  <c r="A4427" i="22"/>
  <c r="B4427" i="22" s="1"/>
  <c r="A4426" i="22"/>
  <c r="B4426" i="22" s="1"/>
  <c r="A4425" i="22"/>
  <c r="B4425" i="22" s="1"/>
  <c r="A4424" i="22"/>
  <c r="B4424" i="22" s="1"/>
  <c r="A4423" i="22"/>
  <c r="B4423" i="22" s="1"/>
  <c r="K4567" i="22"/>
  <c r="A4422" i="22"/>
  <c r="B4422" i="22" s="1"/>
  <c r="A4421" i="22"/>
  <c r="B4421" i="22" s="1"/>
  <c r="A4420" i="22"/>
  <c r="B4420" i="22" s="1"/>
  <c r="A4419" i="22"/>
  <c r="B4419" i="22" s="1"/>
  <c r="A4418" i="22"/>
  <c r="B4418" i="22" s="1"/>
  <c r="A4417" i="22"/>
  <c r="B4417" i="22" s="1"/>
  <c r="A4416" i="22"/>
  <c r="B4416" i="22" s="1"/>
  <c r="A4415" i="22"/>
  <c r="B4415" i="22" s="1"/>
  <c r="A4414" i="22"/>
  <c r="B4414" i="22" s="1"/>
  <c r="A4413" i="22"/>
  <c r="B4413" i="22" s="1"/>
  <c r="A4412" i="22"/>
  <c r="B4412" i="22" s="1"/>
  <c r="F4" i="9"/>
  <c r="C26" i="9"/>
  <c r="D26" i="9"/>
  <c r="E26" i="9"/>
  <c r="F26" i="9"/>
  <c r="G26" i="9"/>
  <c r="C27" i="9"/>
  <c r="E27" i="9"/>
  <c r="F27" i="9"/>
  <c r="G27" i="9"/>
  <c r="C28" i="9"/>
  <c r="D28" i="9"/>
  <c r="E28" i="9"/>
  <c r="F28" i="9"/>
  <c r="G28" i="9"/>
  <c r="C29" i="9"/>
  <c r="D29" i="9"/>
  <c r="E29" i="9"/>
  <c r="F29" i="9"/>
  <c r="G29" i="9"/>
  <c r="C30" i="9"/>
  <c r="D30" i="9"/>
  <c r="E30" i="9"/>
  <c r="F30" i="9"/>
  <c r="G30" i="9"/>
  <c r="C31" i="9"/>
  <c r="D31" i="9"/>
  <c r="E31" i="9"/>
  <c r="F31" i="9"/>
  <c r="G31" i="9"/>
  <c r="C32" i="9"/>
  <c r="D32" i="9"/>
  <c r="E32" i="9"/>
  <c r="F32" i="9"/>
  <c r="G32" i="9"/>
  <c r="C33" i="9"/>
  <c r="D33" i="9"/>
  <c r="E33" i="9"/>
  <c r="F33" i="9"/>
  <c r="G33" i="9"/>
  <c r="C4" i="10"/>
  <c r="C25" i="10"/>
  <c r="D25" i="10"/>
  <c r="E25" i="10"/>
  <c r="F25" i="10"/>
  <c r="G25" i="10"/>
  <c r="H25" i="10"/>
  <c r="C26" i="10"/>
  <c r="D26" i="10"/>
  <c r="E26" i="10"/>
  <c r="F26" i="10"/>
  <c r="G26" i="10"/>
  <c r="H26" i="10"/>
  <c r="C27" i="10"/>
  <c r="D27" i="10"/>
  <c r="E27" i="10"/>
  <c r="F27" i="10"/>
  <c r="G27" i="10"/>
  <c r="H27" i="10"/>
  <c r="C28" i="10"/>
  <c r="D28" i="10"/>
  <c r="E28" i="10"/>
  <c r="F28" i="10"/>
  <c r="G28" i="10"/>
  <c r="H28" i="10"/>
  <c r="C29" i="10"/>
  <c r="D29" i="10"/>
  <c r="E29" i="10"/>
  <c r="F29" i="10"/>
  <c r="G29" i="10"/>
  <c r="H29" i="10"/>
  <c r="C30" i="10"/>
  <c r="D30" i="10"/>
  <c r="E30" i="10"/>
  <c r="F30" i="10"/>
  <c r="G30" i="10"/>
  <c r="H30" i="10"/>
  <c r="C31" i="10"/>
  <c r="D31" i="10"/>
  <c r="E31" i="10"/>
  <c r="F31" i="10"/>
  <c r="G31" i="10"/>
  <c r="H31" i="10"/>
  <c r="C32" i="10"/>
  <c r="D32" i="10"/>
  <c r="E32" i="10"/>
  <c r="F32" i="10"/>
  <c r="G32" i="10"/>
  <c r="H32" i="10"/>
  <c r="J70" i="10"/>
  <c r="C4" i="11"/>
  <c r="C24" i="11"/>
  <c r="D24" i="11"/>
  <c r="E24" i="11"/>
  <c r="C25" i="11"/>
  <c r="D25" i="11"/>
  <c r="E25" i="11"/>
  <c r="C26" i="11"/>
  <c r="D26" i="11"/>
  <c r="E26" i="11"/>
  <c r="C27" i="11"/>
  <c r="D27" i="11"/>
  <c r="E27" i="11"/>
  <c r="C28" i="11"/>
  <c r="D28" i="11"/>
  <c r="E28" i="11"/>
  <c r="B29" i="11"/>
  <c r="J2" i="12"/>
  <c r="C63" i="12"/>
  <c r="D63" i="12"/>
  <c r="C64" i="12"/>
  <c r="D64" i="12"/>
  <c r="C65" i="12"/>
  <c r="D65" i="12"/>
  <c r="C66" i="12"/>
  <c r="D66" i="12"/>
  <c r="C67" i="12"/>
  <c r="D67" i="12"/>
  <c r="C68" i="12"/>
  <c r="D68" i="12"/>
  <c r="C69" i="12"/>
  <c r="D69" i="12"/>
  <c r="C70" i="12"/>
  <c r="D70" i="12"/>
  <c r="C3" i="13"/>
  <c r="G4" i="15"/>
  <c r="I4675" i="22" s="1"/>
  <c r="C3" i="16"/>
  <c r="B3" i="17"/>
  <c r="K17" i="17"/>
  <c r="L17" i="17"/>
  <c r="L18" i="17"/>
  <c r="A4472" i="22"/>
  <c r="B4472" i="22" s="1"/>
  <c r="A4471" i="22"/>
  <c r="B4471" i="22" s="1"/>
  <c r="A4470" i="22"/>
  <c r="B4470" i="22" s="1"/>
  <c r="A4469" i="22"/>
  <c r="B4469" i="22" s="1"/>
  <c r="A4468" i="22"/>
  <c r="B4468" i="22" s="1"/>
  <c r="L4160" i="22"/>
  <c r="L4159" i="22"/>
  <c r="K4159" i="22"/>
  <c r="B3" i="18"/>
  <c r="L4051" i="22"/>
  <c r="L4106" i="22"/>
  <c r="L4105" i="22"/>
  <c r="K4105" i="22"/>
  <c r="A4411" i="22"/>
  <c r="B4411" i="22" s="1"/>
  <c r="A4410" i="22"/>
  <c r="B4410" i="22" s="1"/>
  <c r="A4409" i="22"/>
  <c r="B4409" i="22" s="1"/>
  <c r="A4408" i="22"/>
  <c r="B4408" i="22" s="1"/>
  <c r="A4407" i="22"/>
  <c r="B4407" i="22" s="1"/>
  <c r="A4406" i="22"/>
  <c r="B4406" i="22" s="1"/>
  <c r="G23" i="2"/>
  <c r="G7" i="2"/>
  <c r="A4405" i="22"/>
  <c r="B4405" i="22" s="1"/>
  <c r="L4514" i="22"/>
  <c r="A4404" i="22"/>
  <c r="B4404" i="22" s="1"/>
  <c r="A4403" i="22"/>
  <c r="B4403" i="22" s="1"/>
  <c r="A4402" i="22"/>
  <c r="B4402" i="22" s="1"/>
  <c r="A4401" i="22"/>
  <c r="B4401" i="22" s="1"/>
  <c r="L4513" i="22"/>
  <c r="A4476" i="22"/>
  <c r="B4476" i="22" s="1"/>
  <c r="A4477" i="22"/>
  <c r="B4477" i="22" s="1"/>
  <c r="A4478" i="22"/>
  <c r="B4478" i="22" s="1"/>
  <c r="A4479" i="22"/>
  <c r="B4479" i="22" s="1"/>
  <c r="A4480" i="22"/>
  <c r="B4480" i="22" s="1"/>
  <c r="A4481" i="22"/>
  <c r="B4481" i="22" s="1"/>
  <c r="A4482" i="22"/>
  <c r="B4482" i="22" s="1"/>
  <c r="A4349" i="22"/>
  <c r="A4350" i="22"/>
  <c r="B4350" i="22" s="1"/>
  <c r="A4351" i="22"/>
  <c r="B4351" i="22" s="1"/>
  <c r="A4352" i="22"/>
  <c r="B4352" i="22" s="1"/>
  <c r="A4353" i="22"/>
  <c r="B4353" i="22" s="1"/>
  <c r="A4354" i="22"/>
  <c r="B4354" i="22" s="1"/>
  <c r="A4355" i="22"/>
  <c r="B4355" i="22" s="1"/>
  <c r="A4356" i="22"/>
  <c r="B4356" i="22" s="1"/>
  <c r="A4357" i="22"/>
  <c r="B4357" i="22" s="1"/>
  <c r="A4358" i="22"/>
  <c r="B4358" i="22" s="1"/>
  <c r="A4359" i="22"/>
  <c r="B4359" i="22" s="1"/>
  <c r="A4360" i="22"/>
  <c r="B4360" i="22" s="1"/>
  <c r="A4361" i="22"/>
  <c r="B4361" i="22" s="1"/>
  <c r="A4362" i="22"/>
  <c r="B4362" i="22" s="1"/>
  <c r="A4363" i="22"/>
  <c r="B4363" i="22" s="1"/>
  <c r="A4364" i="22"/>
  <c r="B4364" i="22" s="1"/>
  <c r="A4365" i="22"/>
  <c r="B4365" i="22" s="1"/>
  <c r="A4366" i="22"/>
  <c r="B4366" i="22" s="1"/>
  <c r="A4367" i="22"/>
  <c r="B4367" i="22" s="1"/>
  <c r="A4368" i="22"/>
  <c r="B4368" i="22" s="1"/>
  <c r="A4369" i="22"/>
  <c r="B4369" i="22" s="1"/>
  <c r="A4370" i="22"/>
  <c r="B4370" i="22" s="1"/>
  <c r="A4371" i="22"/>
  <c r="B4371" i="22" s="1"/>
  <c r="A4372" i="22"/>
  <c r="B4372" i="22" s="1"/>
  <c r="A4373" i="22"/>
  <c r="B4373" i="22" s="1"/>
  <c r="A4374" i="22"/>
  <c r="B4374" i="22" s="1"/>
  <c r="A4375" i="22"/>
  <c r="B4375" i="22" s="1"/>
  <c r="A4376" i="22"/>
  <c r="B4376" i="22" s="1"/>
  <c r="A4483" i="22"/>
  <c r="B4483" i="22" s="1"/>
  <c r="L4214" i="22"/>
  <c r="E3155" i="22"/>
  <c r="I3155" i="22" s="1"/>
  <c r="E2291" i="22"/>
  <c r="I2291" i="22" s="1"/>
  <c r="K347" i="22"/>
  <c r="E671" i="22"/>
  <c r="I671" i="22" s="1"/>
  <c r="E3317" i="22"/>
  <c r="I3317" i="22" s="1"/>
  <c r="J3155" i="22"/>
  <c r="J347" i="22"/>
  <c r="J617" i="22"/>
  <c r="E3263" i="22"/>
  <c r="I3263" i="22" s="1"/>
  <c r="E2831" i="22"/>
  <c r="I2831" i="22" s="1"/>
  <c r="K2777" i="22"/>
  <c r="E2345" i="22"/>
  <c r="I2345" i="22" s="1"/>
  <c r="E2021" i="22"/>
  <c r="I2021" i="22" s="1"/>
  <c r="E3695" i="22"/>
  <c r="I3695" i="22" s="1"/>
  <c r="J3587" i="22"/>
  <c r="E2885" i="22"/>
  <c r="I2885" i="22" s="1"/>
  <c r="K671" i="22"/>
  <c r="E293" i="22"/>
  <c r="I293" i="22" s="1"/>
  <c r="E2723" i="22"/>
  <c r="I2723" i="22" s="1"/>
  <c r="E1967" i="22"/>
  <c r="I1967" i="22" s="1"/>
  <c r="E2993" i="22"/>
  <c r="I2993" i="22" s="1"/>
  <c r="E2939" i="22"/>
  <c r="I2939" i="22" s="1"/>
  <c r="J2831" i="22"/>
  <c r="E3533" i="22"/>
  <c r="I3533" i="22" s="1"/>
  <c r="E2183" i="22"/>
  <c r="I2183" i="22" s="1"/>
  <c r="J779" i="22"/>
  <c r="K3479" i="22"/>
  <c r="E3479" i="22"/>
  <c r="I3479" i="22" s="1"/>
  <c r="J3479" i="22"/>
  <c r="K3425" i="22"/>
  <c r="E3425" i="22"/>
  <c r="I3425" i="22" s="1"/>
  <c r="J3425" i="22"/>
  <c r="K3371" i="22"/>
  <c r="E3371" i="22"/>
  <c r="I3371" i="22" s="1"/>
  <c r="J3371" i="22"/>
  <c r="J2993" i="22"/>
  <c r="J1913" i="22"/>
  <c r="E1103" i="22"/>
  <c r="I1103" i="22" s="1"/>
  <c r="E779" i="22"/>
  <c r="I779" i="22" s="1"/>
  <c r="K293" i="22"/>
  <c r="K2669" i="22"/>
  <c r="E2669" i="22"/>
  <c r="I2669" i="22" s="1"/>
  <c r="J2669" i="22"/>
  <c r="K2615" i="22"/>
  <c r="E2615" i="22"/>
  <c r="I2615" i="22" s="1"/>
  <c r="J2615" i="22"/>
  <c r="K2561" i="22"/>
  <c r="E2561" i="22"/>
  <c r="I2561" i="22" s="1"/>
  <c r="J2561" i="22"/>
  <c r="K2507" i="22"/>
  <c r="E2507" i="22"/>
  <c r="I2507" i="22" s="1"/>
  <c r="J2507" i="22"/>
  <c r="K2453" i="22"/>
  <c r="E2453" i="22"/>
  <c r="I2453" i="22" s="1"/>
  <c r="J2453" i="22"/>
  <c r="K2399" i="22"/>
  <c r="E2399" i="22"/>
  <c r="I2399" i="22" s="1"/>
  <c r="J2399" i="22"/>
  <c r="K1805" i="22"/>
  <c r="E1805" i="22"/>
  <c r="I1805" i="22" s="1"/>
  <c r="J1805" i="22"/>
  <c r="K1751" i="22"/>
  <c r="E1751" i="22"/>
  <c r="I1751" i="22" s="1"/>
  <c r="J1751" i="22"/>
  <c r="K1697" i="22"/>
  <c r="E1697" i="22"/>
  <c r="I1697" i="22" s="1"/>
  <c r="J1697" i="22"/>
  <c r="K1643" i="22"/>
  <c r="E1643" i="22"/>
  <c r="I1643" i="22" s="1"/>
  <c r="J1643" i="22"/>
  <c r="K1589" i="22"/>
  <c r="E1589" i="22"/>
  <c r="I1589" i="22" s="1"/>
  <c r="J1589" i="22"/>
  <c r="K1535" i="22"/>
  <c r="E1535" i="22"/>
  <c r="I1535" i="22" s="1"/>
  <c r="J1535" i="22"/>
  <c r="K1481" i="22"/>
  <c r="E1481" i="22"/>
  <c r="I1481" i="22" s="1"/>
  <c r="J1481" i="22"/>
  <c r="K1427" i="22"/>
  <c r="E1427" i="22"/>
  <c r="I1427" i="22" s="1"/>
  <c r="J1427" i="22"/>
  <c r="K1373" i="22"/>
  <c r="E1373" i="22"/>
  <c r="I1373" i="22" s="1"/>
  <c r="J1373" i="22"/>
  <c r="K1319" i="22"/>
  <c r="E1319" i="22"/>
  <c r="I1319" i="22" s="1"/>
  <c r="J1319" i="22"/>
  <c r="K1265" i="22"/>
  <c r="E1265" i="22"/>
  <c r="I1265" i="22" s="1"/>
  <c r="J1265" i="22"/>
  <c r="K1211" i="22"/>
  <c r="E1211" i="22"/>
  <c r="I1211" i="22" s="1"/>
  <c r="J1211" i="22"/>
  <c r="K1157" i="22"/>
  <c r="E1157" i="22"/>
  <c r="I1157" i="22" s="1"/>
  <c r="J1157" i="22"/>
  <c r="K1049" i="22"/>
  <c r="E1049" i="22"/>
  <c r="I1049" i="22" s="1"/>
  <c r="J1049" i="22"/>
  <c r="K995" i="22"/>
  <c r="E995" i="22"/>
  <c r="I995" i="22" s="1"/>
  <c r="J995" i="22"/>
  <c r="K941" i="22"/>
  <c r="E941" i="22"/>
  <c r="I941" i="22" s="1"/>
  <c r="J941" i="22"/>
  <c r="K887" i="22"/>
  <c r="E887" i="22"/>
  <c r="I887" i="22" s="1"/>
  <c r="J887" i="22"/>
  <c r="K833" i="22"/>
  <c r="E833" i="22"/>
  <c r="I833" i="22" s="1"/>
  <c r="J833" i="22"/>
  <c r="E509" i="22"/>
  <c r="I509" i="22" s="1"/>
  <c r="K455" i="22"/>
  <c r="K239" i="22"/>
  <c r="E239" i="22"/>
  <c r="I239" i="22" s="1"/>
  <c r="J239" i="22"/>
  <c r="K185" i="22"/>
  <c r="E185" i="22"/>
  <c r="I185" i="22" s="1"/>
  <c r="J185" i="22"/>
  <c r="K131" i="22"/>
  <c r="E131" i="22"/>
  <c r="I131" i="22" s="1"/>
  <c r="J131" i="22"/>
  <c r="K77" i="22"/>
  <c r="E77" i="22"/>
  <c r="I77" i="22" s="1"/>
  <c r="J77" i="22"/>
  <c r="E3101" i="22"/>
  <c r="I3101" i="22" s="1"/>
  <c r="K725" i="22"/>
  <c r="K2345" i="22"/>
  <c r="E2237" i="22"/>
  <c r="I2237" i="22" s="1"/>
  <c r="K1103" i="22"/>
  <c r="J3749" i="22"/>
  <c r="E3749" i="22"/>
  <c r="I3749" i="22" s="1"/>
  <c r="J1967" i="22"/>
  <c r="E725" i="22"/>
  <c r="I725" i="22" s="1"/>
  <c r="E3587" i="22"/>
  <c r="I3587" i="22" s="1"/>
  <c r="E3047" i="22"/>
  <c r="I3047" i="22" s="1"/>
  <c r="K2885" i="22"/>
  <c r="E2777" i="22"/>
  <c r="I2777" i="22" s="1"/>
  <c r="E1859" i="22"/>
  <c r="I1859" i="22" s="1"/>
  <c r="J2723" i="22"/>
  <c r="E563" i="22"/>
  <c r="I563" i="22" s="1"/>
  <c r="J3533" i="22"/>
  <c r="E1913" i="22"/>
  <c r="I1913" i="22" s="1"/>
  <c r="K1859" i="22"/>
  <c r="K3317" i="22"/>
  <c r="J1859" i="22"/>
  <c r="E617" i="22"/>
  <c r="I617" i="22" s="1"/>
  <c r="J563" i="22"/>
  <c r="E455" i="22"/>
  <c r="I455" i="22" s="1"/>
  <c r="S3824" i="22" l="1"/>
  <c r="AB3818" i="22"/>
  <c r="AA3807" i="22"/>
  <c r="O3751" i="22"/>
  <c r="O1861" i="22"/>
  <c r="AK3821" i="22"/>
  <c r="AK3813" i="22"/>
  <c r="R3807" i="22"/>
  <c r="S3840" i="22"/>
  <c r="S3869" i="22"/>
  <c r="I3869" i="22"/>
  <c r="I3867" i="22"/>
  <c r="AL3866" i="22"/>
  <c r="AL3859" i="22"/>
  <c r="AC3832" i="22"/>
  <c r="O3697" i="22"/>
  <c r="S3854" i="22"/>
  <c r="I3854" i="22"/>
  <c r="S3853" i="22"/>
  <c r="AM3852" i="22"/>
  <c r="AC3851" i="22"/>
  <c r="AM3849" i="22"/>
  <c r="AC3849" i="22"/>
  <c r="I3849" i="22"/>
  <c r="AM3847" i="22"/>
  <c r="O3589" i="22"/>
  <c r="O3535" i="22"/>
  <c r="O3481" i="22"/>
  <c r="O3319" i="22"/>
  <c r="O3265" i="22"/>
  <c r="O3157" i="22"/>
  <c r="O2725" i="22"/>
  <c r="O2617" i="22"/>
  <c r="O2563" i="22"/>
  <c r="O2509" i="22"/>
  <c r="O2455" i="22"/>
  <c r="O2185" i="22"/>
  <c r="O2239" i="22"/>
  <c r="O2023" i="22"/>
  <c r="O1915" i="22"/>
  <c r="O1753" i="22"/>
  <c r="O1699" i="22"/>
  <c r="O1645" i="22"/>
  <c r="O1375" i="22"/>
  <c r="O1213" i="22"/>
  <c r="O889" i="22"/>
  <c r="O1159" i="22"/>
  <c r="O1105" i="22"/>
  <c r="O1051" i="22"/>
  <c r="O997" i="22"/>
  <c r="O835" i="22"/>
  <c r="O565" i="22"/>
  <c r="O349" i="22"/>
  <c r="O187" i="22"/>
  <c r="AG33" i="6"/>
  <c r="O79" i="22"/>
  <c r="U21" i="5"/>
  <c r="Q71" i="4"/>
  <c r="Q70" i="4"/>
  <c r="Q69" i="4"/>
  <c r="Q68" i="4"/>
  <c r="Q67" i="4"/>
  <c r="Q65" i="4"/>
  <c r="I2563" i="22"/>
  <c r="I2455" i="22"/>
  <c r="I2239" i="22"/>
  <c r="I2131" i="22"/>
  <c r="I1807" i="22"/>
  <c r="B1639" i="22"/>
  <c r="C32" i="22" s="1"/>
  <c r="Z32" i="22" s="1"/>
  <c r="I1321" i="22"/>
  <c r="I1213" i="22"/>
  <c r="I889" i="22"/>
  <c r="I835" i="22"/>
  <c r="I781" i="22"/>
  <c r="I673" i="22"/>
  <c r="I511" i="22"/>
  <c r="I403" i="22"/>
  <c r="I349" i="22"/>
  <c r="I295" i="22"/>
  <c r="I79" i="22"/>
  <c r="CM26" i="22"/>
  <c r="CT26" i="22"/>
  <c r="CM15" i="22"/>
  <c r="CT15" i="22"/>
  <c r="CT10" i="22"/>
  <c r="CM10" i="22"/>
  <c r="A50" i="21"/>
  <c r="I51" i="21" s="1"/>
  <c r="A51" i="21"/>
  <c r="I52" i="21" s="1"/>
  <c r="A34" i="21"/>
  <c r="I35" i="21" s="1"/>
  <c r="A52" i="21"/>
  <c r="I53" i="21" s="1"/>
  <c r="A7" i="21"/>
  <c r="I8" i="21" s="1"/>
  <c r="A53" i="21"/>
  <c r="I54" i="21" s="1"/>
  <c r="A35" i="21"/>
  <c r="I36" i="21" s="1"/>
  <c r="A54" i="21"/>
  <c r="I55" i="21" s="1"/>
  <c r="A55" i="21"/>
  <c r="I56" i="21" s="1"/>
  <c r="A48" i="21"/>
  <c r="I49" i="21" s="1"/>
  <c r="A12" i="21"/>
  <c r="I13" i="21" s="1"/>
  <c r="A66" i="21"/>
  <c r="I67" i="21" s="1"/>
  <c r="A43" i="21"/>
  <c r="I44" i="21" s="1"/>
  <c r="A56" i="21"/>
  <c r="I57" i="21" s="1"/>
  <c r="A9" i="21"/>
  <c r="I10" i="21" s="1"/>
  <c r="A6" i="21"/>
  <c r="I7" i="21" s="1"/>
  <c r="A36" i="21"/>
  <c r="I37" i="21" s="1"/>
  <c r="A23" i="21"/>
  <c r="I24" i="21" s="1"/>
  <c r="A65" i="21"/>
  <c r="I66" i="21" s="1"/>
  <c r="A64" i="21"/>
  <c r="I65" i="21" s="1"/>
  <c r="A3" i="21"/>
  <c r="I4" i="21" s="1"/>
  <c r="A47" i="21"/>
  <c r="I48" i="21" s="1"/>
  <c r="A63" i="21"/>
  <c r="I64" i="21" s="1"/>
  <c r="A20" i="21"/>
  <c r="I21" i="21" s="1"/>
  <c r="A19" i="21"/>
  <c r="I20" i="21" s="1"/>
  <c r="A58" i="21"/>
  <c r="I59" i="21" s="1"/>
  <c r="A10" i="21"/>
  <c r="I11" i="21" s="1"/>
  <c r="A18" i="21"/>
  <c r="I19" i="21" s="1"/>
  <c r="A17" i="21"/>
  <c r="I18" i="21" s="1"/>
  <c r="A16" i="21"/>
  <c r="I17" i="21" s="1"/>
  <c r="A57" i="21"/>
  <c r="I58" i="21" s="1"/>
  <c r="A29" i="21"/>
  <c r="I30" i="21" s="1"/>
  <c r="A15" i="21"/>
  <c r="I16" i="21" s="1"/>
  <c r="A14" i="21"/>
  <c r="I15" i="21" s="1"/>
  <c r="A22" i="21"/>
  <c r="I23" i="21" s="1"/>
  <c r="A24" i="21"/>
  <c r="I25" i="21" s="1"/>
  <c r="A4" i="21"/>
  <c r="I5" i="21" s="1"/>
  <c r="A62" i="21"/>
  <c r="I63" i="21" s="1"/>
  <c r="A61" i="21"/>
  <c r="I62" i="21" s="1"/>
  <c r="A13" i="21"/>
  <c r="I14" i="21" s="1"/>
  <c r="A28" i="21"/>
  <c r="I29" i="21" s="1"/>
  <c r="A11" i="21"/>
  <c r="I12" i="21" s="1"/>
  <c r="A41" i="21"/>
  <c r="I42" i="21" s="1"/>
  <c r="A42" i="21"/>
  <c r="I43" i="21" s="1"/>
  <c r="A27" i="21"/>
  <c r="I28" i="21" s="1"/>
  <c r="A38" i="21"/>
  <c r="I39" i="21" s="1"/>
  <c r="A26" i="21"/>
  <c r="I27" i="21" s="1"/>
  <c r="A71" i="21"/>
  <c r="I72" i="21" s="1"/>
  <c r="A70" i="21"/>
  <c r="I71" i="21" s="1"/>
  <c r="A39" i="21"/>
  <c r="I40" i="21" s="1"/>
  <c r="A30" i="21"/>
  <c r="I31" i="21" s="1"/>
  <c r="A69" i="21"/>
  <c r="I70" i="21" s="1"/>
  <c r="A68" i="21"/>
  <c r="I69" i="21" s="1"/>
  <c r="A60" i="21"/>
  <c r="I61" i="21" s="1"/>
  <c r="A5" i="21"/>
  <c r="I6" i="21" s="1"/>
  <c r="A59" i="21"/>
  <c r="I60" i="21" s="1"/>
  <c r="A49" i="21"/>
  <c r="I50" i="21" s="1"/>
  <c r="A33" i="21"/>
  <c r="I34" i="21" s="1"/>
  <c r="A8" i="21"/>
  <c r="I9" i="21" s="1"/>
  <c r="A25" i="21"/>
  <c r="I26" i="21" s="1"/>
  <c r="A67" i="21"/>
  <c r="I68" i="21" s="1"/>
  <c r="A31" i="21"/>
  <c r="I32" i="21" s="1"/>
  <c r="A21" i="21"/>
  <c r="I22" i="21" s="1"/>
  <c r="A37" i="21"/>
  <c r="I38" i="21" s="1"/>
  <c r="A44" i="21"/>
  <c r="I45" i="21" s="1"/>
  <c r="A32" i="21"/>
  <c r="I33" i="21" s="1"/>
  <c r="A45" i="21"/>
  <c r="I46" i="21" s="1"/>
  <c r="A46" i="21"/>
  <c r="I47" i="21" s="1"/>
  <c r="A40" i="21"/>
  <c r="I41" i="21" s="1"/>
  <c r="E51" i="19"/>
  <c r="G51" i="19" s="1"/>
  <c r="B67" i="21"/>
  <c r="B66" i="21"/>
  <c r="B9" i="21"/>
  <c r="B65" i="21"/>
  <c r="B36" i="21"/>
  <c r="B64" i="21"/>
  <c r="B63" i="21"/>
  <c r="B7" i="21"/>
  <c r="B62" i="21"/>
  <c r="B61" i="21"/>
  <c r="B6" i="21"/>
  <c r="B37" i="21"/>
  <c r="B60" i="21"/>
  <c r="B5" i="21"/>
  <c r="B46" i="21"/>
  <c r="B59" i="21"/>
  <c r="B4" i="21"/>
  <c r="B58" i="21"/>
  <c r="B57" i="21"/>
  <c r="B3" i="21"/>
  <c r="B22" i="21"/>
  <c r="B56" i="21"/>
  <c r="B50" i="21"/>
  <c r="B47" i="21"/>
  <c r="B55" i="21"/>
  <c r="B23" i="21"/>
  <c r="B54" i="21"/>
  <c r="B53" i="21"/>
  <c r="B24" i="21"/>
  <c r="B51" i="21"/>
  <c r="B25" i="21"/>
  <c r="B49" i="21"/>
  <c r="B48" i="21"/>
  <c r="B26" i="21"/>
  <c r="B34" i="21"/>
  <c r="B45" i="21"/>
  <c r="B27" i="21"/>
  <c r="B44" i="21"/>
  <c r="B43" i="21"/>
  <c r="B28" i="21"/>
  <c r="B21" i="21"/>
  <c r="B20" i="21"/>
  <c r="B29" i="21"/>
  <c r="B19" i="21"/>
  <c r="B18" i="21"/>
  <c r="B17" i="21"/>
  <c r="B30" i="21"/>
  <c r="B16" i="21"/>
  <c r="B15" i="21"/>
  <c r="B31" i="21"/>
  <c r="B38" i="21"/>
  <c r="B14" i="21"/>
  <c r="B13" i="21"/>
  <c r="B39" i="21"/>
  <c r="B52" i="21"/>
  <c r="B32" i="21"/>
  <c r="B40" i="21"/>
  <c r="B41" i="21"/>
  <c r="B33" i="21"/>
  <c r="B42" i="21"/>
  <c r="B71" i="21"/>
  <c r="B8" i="21"/>
  <c r="B12" i="21"/>
  <c r="B70" i="21"/>
  <c r="B69" i="21"/>
  <c r="B11" i="21"/>
  <c r="B35" i="21"/>
  <c r="B68" i="21"/>
  <c r="B10" i="21"/>
  <c r="P1146" i="23"/>
  <c r="R1146" i="23"/>
  <c r="P1090" i="23"/>
  <c r="R1090" i="23"/>
  <c r="P1034" i="23"/>
  <c r="R1034" i="23"/>
  <c r="P978" i="23"/>
  <c r="R978" i="23"/>
  <c r="Q866" i="23"/>
  <c r="R866" i="23"/>
  <c r="Q810" i="23"/>
  <c r="R810" i="23"/>
  <c r="Q754" i="23"/>
  <c r="R754" i="23"/>
  <c r="Q698" i="23"/>
  <c r="R698" i="23"/>
  <c r="Q642" i="23"/>
  <c r="R642" i="23"/>
  <c r="Q586" i="23"/>
  <c r="R586" i="23"/>
  <c r="Q530" i="23"/>
  <c r="R530" i="23"/>
  <c r="Q474" i="23"/>
  <c r="P474" i="23"/>
  <c r="R474" i="23"/>
  <c r="P418" i="23"/>
  <c r="Q418" i="23"/>
  <c r="R418" i="23"/>
  <c r="Q362" i="23"/>
  <c r="R362" i="23"/>
  <c r="P362" i="23"/>
  <c r="R250" i="23"/>
  <c r="P250" i="23"/>
  <c r="Q250" i="23"/>
  <c r="R4513" i="22"/>
  <c r="Q4513" i="22"/>
  <c r="AK3860" i="22"/>
  <c r="AL3860" i="22"/>
  <c r="AL3856" i="22"/>
  <c r="AK3856" i="22"/>
  <c r="AB3855" i="22"/>
  <c r="AA3855" i="22"/>
  <c r="AC3855" i="22" s="1"/>
  <c r="Q3855" i="22"/>
  <c r="R3855" i="22"/>
  <c r="G3855" i="22"/>
  <c r="H3855" i="22"/>
  <c r="AL3854" i="22"/>
  <c r="AK3854" i="22"/>
  <c r="Q3845" i="22"/>
  <c r="R3845" i="22"/>
  <c r="R3843" i="22"/>
  <c r="Q3843" i="22"/>
  <c r="AK3840" i="22"/>
  <c r="AL3840" i="22"/>
  <c r="AB3840" i="22"/>
  <c r="AA3840" i="22"/>
  <c r="AA3838" i="22"/>
  <c r="AB3838" i="22"/>
  <c r="AC3838" i="22" s="1"/>
  <c r="R3837" i="22"/>
  <c r="Q3837" i="22"/>
  <c r="S3837" i="22" s="1"/>
  <c r="G3837" i="22"/>
  <c r="H3837" i="22"/>
  <c r="Q3836" i="22"/>
  <c r="R3836" i="22"/>
  <c r="AA3835" i="22"/>
  <c r="AB3835" i="22"/>
  <c r="AC3835" i="22" s="1"/>
  <c r="AL3833" i="22"/>
  <c r="AK3833" i="22"/>
  <c r="AM3833" i="22" s="1"/>
  <c r="R3833" i="22"/>
  <c r="Q3833" i="22"/>
  <c r="AK3832" i="22"/>
  <c r="AL3832" i="22"/>
  <c r="R3832" i="22"/>
  <c r="Q3832" i="22"/>
  <c r="S3832" i="22" s="1"/>
  <c r="AA3831" i="22"/>
  <c r="AB3831" i="22"/>
  <c r="Q3831" i="22"/>
  <c r="R3831" i="22"/>
  <c r="H3831" i="22"/>
  <c r="G3831" i="22"/>
  <c r="Q3830" i="22"/>
  <c r="R3830" i="22"/>
  <c r="S3830" i="22" s="1"/>
  <c r="AA3828" i="22"/>
  <c r="AB3828" i="22"/>
  <c r="AC3828" i="22" s="1"/>
  <c r="R3826" i="22"/>
  <c r="Q3826" i="22"/>
  <c r="AA3824" i="22"/>
  <c r="AB3824" i="22"/>
  <c r="R3822" i="22"/>
  <c r="Q3822" i="22"/>
  <c r="AK3820" i="22"/>
  <c r="AL3820" i="22"/>
  <c r="R3820" i="22"/>
  <c r="Q3820" i="22"/>
  <c r="S3820" i="22" s="1"/>
  <c r="Q3819" i="22"/>
  <c r="R3819" i="22"/>
  <c r="AB3815" i="22"/>
  <c r="AA3815" i="22"/>
  <c r="AC3815" i="22" s="1"/>
  <c r="H3816" i="22"/>
  <c r="G3815" i="22"/>
  <c r="I3815" i="22" s="1"/>
  <c r="AL3821" i="22"/>
  <c r="AK3814" i="22"/>
  <c r="AL3814" i="22"/>
  <c r="AM3814" i="22" s="1"/>
  <c r="AA3814" i="22"/>
  <c r="AB3814" i="22"/>
  <c r="H3814" i="22"/>
  <c r="G3814" i="22"/>
  <c r="I3814" i="22" s="1"/>
  <c r="AL3813" i="22"/>
  <c r="AL3812" i="22"/>
  <c r="AK3812" i="22"/>
  <c r="AM3812" i="22" s="1"/>
  <c r="AL3810" i="22"/>
  <c r="AK3810" i="22"/>
  <c r="AM3810" i="22" s="1"/>
  <c r="AL3809" i="22"/>
  <c r="AK3809" i="22"/>
  <c r="AM3809" i="22" s="1"/>
  <c r="AB3809" i="22"/>
  <c r="AA3809" i="22"/>
  <c r="AC3809" i="22" s="1"/>
  <c r="H3809" i="22"/>
  <c r="G3809" i="22"/>
  <c r="I3809" i="22" s="1"/>
  <c r="H3751" i="22"/>
  <c r="H3753" i="22"/>
  <c r="H3752" i="22"/>
  <c r="R3427" i="22"/>
  <c r="P3427" i="22"/>
  <c r="Q3427" i="22"/>
  <c r="P3373" i="22"/>
  <c r="Q3373" i="22"/>
  <c r="R3373" i="22"/>
  <c r="P2995" i="22"/>
  <c r="R2995" i="22"/>
  <c r="Q2995" i="22"/>
  <c r="H2945" i="22"/>
  <c r="H2942" i="22"/>
  <c r="H2495" i="22"/>
  <c r="H2496" i="22"/>
  <c r="H2481" i="22"/>
  <c r="BY48" i="22" s="1"/>
  <c r="H2482" i="22"/>
  <c r="BZ48" i="22" s="1"/>
  <c r="H2483" i="22"/>
  <c r="CA48" i="22" s="1"/>
  <c r="H2484" i="22"/>
  <c r="CB48" i="22" s="1"/>
  <c r="H2485" i="22"/>
  <c r="CC48" i="22" s="1"/>
  <c r="H2486" i="22"/>
  <c r="CD48" i="22" s="1"/>
  <c r="H2487" i="22"/>
  <c r="CE48" i="22" s="1"/>
  <c r="H2488" i="22"/>
  <c r="CF48" i="22" s="1"/>
  <c r="H2489" i="22"/>
  <c r="CG48" i="22" s="1"/>
  <c r="H2491" i="22"/>
  <c r="H2490" i="22"/>
  <c r="CH48" i="22" s="1"/>
  <c r="H2498" i="22"/>
  <c r="H2499" i="22"/>
  <c r="H2500" i="22"/>
  <c r="H2501" i="22"/>
  <c r="H2502" i="22"/>
  <c r="H2497" i="22"/>
  <c r="H2492" i="22"/>
  <c r="H2493" i="22"/>
  <c r="H2494" i="22"/>
  <c r="Q2239" i="22"/>
  <c r="R2239" i="22"/>
  <c r="P2239" i="22"/>
  <c r="R2131" i="22"/>
  <c r="Q2131" i="22"/>
  <c r="P2131" i="22"/>
  <c r="H1916" i="22"/>
  <c r="H1915" i="22"/>
  <c r="H1917" i="22"/>
  <c r="H1890" i="22"/>
  <c r="CB37" i="22" s="1"/>
  <c r="H1891" i="22"/>
  <c r="CC37" i="22" s="1"/>
  <c r="H1905" i="22"/>
  <c r="H1892" i="22"/>
  <c r="CD37" i="22" s="1"/>
  <c r="H1907" i="22"/>
  <c r="H1904" i="22"/>
  <c r="H1893" i="22"/>
  <c r="CE37" i="22" s="1"/>
  <c r="H1908" i="22"/>
  <c r="H1894" i="22"/>
  <c r="CF37" i="22" s="1"/>
  <c r="H1906" i="22"/>
  <c r="H1895" i="22"/>
  <c r="CG37" i="22" s="1"/>
  <c r="H1896" i="22"/>
  <c r="CH37" i="22" s="1"/>
  <c r="H1898" i="22"/>
  <c r="H1899" i="22"/>
  <c r="H1900" i="22"/>
  <c r="H1901" i="22"/>
  <c r="H1902" i="22"/>
  <c r="H1903" i="22"/>
  <c r="H1897" i="22"/>
  <c r="H1886" i="22"/>
  <c r="BX37" i="22" s="1"/>
  <c r="H1887" i="22"/>
  <c r="BY37" i="22" s="1"/>
  <c r="H1888" i="22"/>
  <c r="BZ37" i="22" s="1"/>
  <c r="H1889" i="22"/>
  <c r="CA37" i="22" s="1"/>
  <c r="H1592" i="22"/>
  <c r="H1599" i="22"/>
  <c r="H1598" i="22"/>
  <c r="H1595" i="22"/>
  <c r="H1594" i="22"/>
  <c r="H1597" i="22"/>
  <c r="H1593" i="22"/>
  <c r="H1591" i="22"/>
  <c r="H1596" i="22"/>
  <c r="H1569" i="22"/>
  <c r="CE31" i="22" s="1"/>
  <c r="H1568" i="22"/>
  <c r="CD31" i="22" s="1"/>
  <c r="H1567" i="22"/>
  <c r="CC31" i="22" s="1"/>
  <c r="H1566" i="22"/>
  <c r="CB31" i="22" s="1"/>
  <c r="H1565" i="22"/>
  <c r="CA31" i="22" s="1"/>
  <c r="H1564" i="22"/>
  <c r="BZ31" i="22" s="1"/>
  <c r="H1563" i="22"/>
  <c r="BY31" i="22" s="1"/>
  <c r="H1537" i="22"/>
  <c r="H1539" i="22"/>
  <c r="H1562" i="22"/>
  <c r="BX31" i="22" s="1"/>
  <c r="H1579" i="22"/>
  <c r="H1584" i="22"/>
  <c r="H1583" i="22"/>
  <c r="H1582" i="22"/>
  <c r="H1581" i="22"/>
  <c r="H1580" i="22"/>
  <c r="H1578" i="22"/>
  <c r="H1577" i="22"/>
  <c r="H1576" i="22"/>
  <c r="H1575" i="22"/>
  <c r="H1574" i="22"/>
  <c r="H1573" i="22"/>
  <c r="H1572" i="22"/>
  <c r="CH31" i="22" s="1"/>
  <c r="H1571" i="22"/>
  <c r="CG31" i="22" s="1"/>
  <c r="H1570" i="22"/>
  <c r="CF31" i="22" s="1"/>
  <c r="R1375" i="22"/>
  <c r="Q1375" i="22"/>
  <c r="R943" i="22"/>
  <c r="P943" i="22"/>
  <c r="Q943" i="22"/>
  <c r="H661" i="22"/>
  <c r="H660" i="22"/>
  <c r="H659" i="22"/>
  <c r="H658" i="22"/>
  <c r="H662" i="22"/>
  <c r="H655" i="22"/>
  <c r="H650" i="22"/>
  <c r="CD14" i="22" s="1"/>
  <c r="H651" i="22"/>
  <c r="CE14" i="22" s="1"/>
  <c r="H652" i="22"/>
  <c r="CF14" i="22" s="1"/>
  <c r="H653" i="22"/>
  <c r="CG14" i="22" s="1"/>
  <c r="H656" i="22"/>
  <c r="H657" i="22"/>
  <c r="H666" i="22"/>
  <c r="H665" i="22"/>
  <c r="H664" i="22"/>
  <c r="H663" i="22"/>
  <c r="H654" i="22"/>
  <c r="CH14" i="22" s="1"/>
  <c r="H340" i="22"/>
  <c r="H341" i="22"/>
  <c r="H342" i="22"/>
  <c r="H336" i="22"/>
  <c r="H335" i="22"/>
  <c r="H337" i="22"/>
  <c r="H338" i="22"/>
  <c r="H339" i="22"/>
  <c r="R79" i="22"/>
  <c r="Q79" i="22"/>
  <c r="P79" i="22"/>
  <c r="B2719" i="22"/>
  <c r="C52" i="22" s="1"/>
  <c r="I1753" i="22"/>
  <c r="B2341" i="22"/>
  <c r="C45" i="22" s="1"/>
  <c r="B2665" i="22"/>
  <c r="C51" i="22" s="1"/>
  <c r="I2617" i="22"/>
  <c r="I2671" i="22"/>
  <c r="I1591" i="22"/>
  <c r="I2995" i="22"/>
  <c r="I3049" i="22"/>
  <c r="B3097" i="22"/>
  <c r="C59" i="22" s="1"/>
  <c r="Z59" i="22" s="1"/>
  <c r="B3151" i="22"/>
  <c r="C60" i="22" s="1"/>
  <c r="Z60" i="22" s="1"/>
  <c r="I3103" i="22"/>
  <c r="I2941" i="22"/>
  <c r="B3043" i="22"/>
  <c r="C58" i="22" s="1"/>
  <c r="I3157" i="22"/>
  <c r="I3211" i="22"/>
  <c r="B3259" i="22"/>
  <c r="C62" i="22" s="1"/>
  <c r="B3583" i="22"/>
  <c r="C68" i="22" s="1"/>
  <c r="I727" i="22"/>
  <c r="I3535" i="22"/>
  <c r="I1537" i="22"/>
  <c r="I1861" i="22"/>
  <c r="B3205" i="22"/>
  <c r="C61" i="22" s="1"/>
  <c r="I17" i="17"/>
  <c r="B2017" i="22"/>
  <c r="C39" i="22" s="1"/>
  <c r="Z39" i="22" s="1"/>
  <c r="I1969" i="22"/>
  <c r="I2779" i="22"/>
  <c r="I2725" i="22"/>
  <c r="D4" i="23"/>
  <c r="B2989" i="22"/>
  <c r="C57" i="22" s="1"/>
  <c r="I457" i="22"/>
  <c r="B505" i="22"/>
  <c r="C11" i="22" s="1"/>
  <c r="B181" i="22"/>
  <c r="C5" i="22" s="1"/>
  <c r="B2071" i="22"/>
  <c r="C40" i="22" s="1"/>
  <c r="I2023" i="22"/>
  <c r="B2125" i="22"/>
  <c r="C41" i="22" s="1"/>
  <c r="I2077" i="22"/>
  <c r="B2395" i="22"/>
  <c r="C46" i="22" s="1"/>
  <c r="Z46" i="22" s="1"/>
  <c r="I2347" i="22"/>
  <c r="B2449" i="22"/>
  <c r="C47" i="22" s="1"/>
  <c r="Z47" i="22" s="1"/>
  <c r="I2401" i="22"/>
  <c r="I241" i="22"/>
  <c r="B775" i="22"/>
  <c r="C16" i="22" s="1"/>
  <c r="B289" i="22"/>
  <c r="C7" i="22" s="1"/>
  <c r="I187" i="22"/>
  <c r="I997" i="22"/>
  <c r="B1099" i="22"/>
  <c r="C22" i="22" s="1"/>
  <c r="I1051" i="22"/>
  <c r="B1153" i="22"/>
  <c r="C23" i="22" s="1"/>
  <c r="Z23" i="22" s="1"/>
  <c r="I1105" i="22"/>
  <c r="B1207" i="22"/>
  <c r="C24" i="22" s="1"/>
  <c r="Z24" i="22" s="1"/>
  <c r="I1159" i="22"/>
  <c r="B1423" i="22"/>
  <c r="C28" i="22" s="1"/>
  <c r="Z28" i="22" s="1"/>
  <c r="I1375" i="22"/>
  <c r="B1477" i="22"/>
  <c r="C29" i="22" s="1"/>
  <c r="B235" i="22"/>
  <c r="C6" i="22" s="1"/>
  <c r="I1429" i="22"/>
  <c r="I133" i="22"/>
  <c r="I1645" i="22"/>
  <c r="B1747" i="22"/>
  <c r="C34" i="22" s="1"/>
  <c r="I1699" i="22"/>
  <c r="B1801" i="22"/>
  <c r="C35" i="22" s="1"/>
  <c r="I1915" i="22"/>
  <c r="B3799" i="22"/>
  <c r="C72" i="22" s="1"/>
  <c r="I3751" i="22"/>
  <c r="B3745" i="22"/>
  <c r="C71" i="22" s="1"/>
  <c r="I3697" i="22"/>
  <c r="B2881" i="22"/>
  <c r="C55" i="22" s="1"/>
  <c r="I2833" i="22"/>
  <c r="C1595" i="23"/>
  <c r="J1595" i="23" s="1"/>
  <c r="E1595" i="23"/>
  <c r="F1595" i="23"/>
  <c r="G1595" i="23"/>
  <c r="B1596" i="23"/>
  <c r="I1596" i="23" s="1"/>
  <c r="D1591" i="23"/>
  <c r="F1591" i="23"/>
  <c r="G1591" i="23"/>
  <c r="H1591" i="23"/>
  <c r="F1592" i="23" s="1"/>
  <c r="I1591" i="23"/>
  <c r="J1591" i="23"/>
  <c r="G1592" i="23" s="1"/>
  <c r="K1591" i="23"/>
  <c r="L1591" i="23"/>
  <c r="H1592" i="23" s="1"/>
  <c r="K1592" i="23" s="1"/>
  <c r="M1594" i="23"/>
  <c r="X1591" i="23"/>
  <c r="Y1591" i="23"/>
  <c r="Z1591" i="23"/>
  <c r="B1642" i="23"/>
  <c r="B102" i="8"/>
  <c r="C102" i="8"/>
  <c r="D102" i="8"/>
  <c r="E102" i="8"/>
  <c r="F102" i="8"/>
  <c r="G102" i="8"/>
  <c r="H102" i="8"/>
  <c r="I102" i="8"/>
  <c r="J102" i="8"/>
  <c r="K102" i="8"/>
  <c r="L102" i="8"/>
  <c r="M102" i="8"/>
  <c r="C1539" i="23"/>
  <c r="D1539" i="23" s="1"/>
  <c r="E1539" i="23"/>
  <c r="F1539" i="23"/>
  <c r="G1539" i="23"/>
  <c r="B1540" i="23"/>
  <c r="C1483" i="23"/>
  <c r="E1483" i="23"/>
  <c r="G1483" i="23"/>
  <c r="B1484" i="23"/>
  <c r="C1427" i="23"/>
  <c r="E1427" i="23"/>
  <c r="G1427" i="23"/>
  <c r="B1428" i="23"/>
  <c r="B1372" i="23"/>
  <c r="C1371" i="23"/>
  <c r="E1371" i="23"/>
  <c r="G1371" i="23"/>
  <c r="C1315" i="23"/>
  <c r="E1315" i="23"/>
  <c r="G1315" i="23"/>
  <c r="B1316" i="23"/>
  <c r="C1259" i="23"/>
  <c r="E1259" i="23"/>
  <c r="G1259" i="23"/>
  <c r="B1260" i="23"/>
  <c r="C1203" i="23"/>
  <c r="D1203" i="23" s="1"/>
  <c r="E1203" i="23"/>
  <c r="F1203" i="23"/>
  <c r="G1203" i="23"/>
  <c r="B1204" i="23"/>
  <c r="C1147" i="23"/>
  <c r="D1147" i="23" s="1"/>
  <c r="E1147" i="23"/>
  <c r="F1147" i="23"/>
  <c r="G1147" i="23"/>
  <c r="B1148" i="23"/>
  <c r="C1091" i="23"/>
  <c r="D1091" i="23" s="1"/>
  <c r="E1091" i="23"/>
  <c r="F1091" i="23"/>
  <c r="G1091" i="23"/>
  <c r="B1092" i="23"/>
  <c r="B1036" i="23"/>
  <c r="C1035" i="23"/>
  <c r="E1035" i="23"/>
  <c r="G1035" i="23"/>
  <c r="C979" i="23"/>
  <c r="D979" i="23" s="1"/>
  <c r="E979" i="23"/>
  <c r="F979" i="23"/>
  <c r="G979" i="23"/>
  <c r="B980" i="23"/>
  <c r="C923" i="23"/>
  <c r="D923" i="23" s="1"/>
  <c r="E923" i="23"/>
  <c r="F923" i="23"/>
  <c r="G923" i="23"/>
  <c r="B924" i="23"/>
  <c r="C867" i="23"/>
  <c r="D867" i="23" s="1"/>
  <c r="E867" i="23"/>
  <c r="F867" i="23"/>
  <c r="G867" i="23"/>
  <c r="B868" i="23"/>
  <c r="C811" i="23"/>
  <c r="D811" i="23" s="1"/>
  <c r="E811" i="23"/>
  <c r="F811" i="23"/>
  <c r="G811" i="23"/>
  <c r="B812" i="23"/>
  <c r="C755" i="23"/>
  <c r="D755" i="23" s="1"/>
  <c r="E755" i="23"/>
  <c r="F755" i="23"/>
  <c r="G755" i="23"/>
  <c r="B756" i="23"/>
  <c r="C699" i="23"/>
  <c r="D699" i="23" s="1"/>
  <c r="E699" i="23"/>
  <c r="F699" i="23"/>
  <c r="G699" i="23"/>
  <c r="B700" i="23"/>
  <c r="C643" i="23"/>
  <c r="D643" i="23" s="1"/>
  <c r="E643" i="23"/>
  <c r="F643" i="23"/>
  <c r="G643" i="23"/>
  <c r="B644" i="23"/>
  <c r="C587" i="23"/>
  <c r="D587" i="23" s="1"/>
  <c r="E587" i="23"/>
  <c r="F587" i="23"/>
  <c r="G587" i="23"/>
  <c r="B588" i="23"/>
  <c r="C531" i="23"/>
  <c r="D531" i="23" s="1"/>
  <c r="E531" i="23"/>
  <c r="F531" i="23"/>
  <c r="G531" i="23"/>
  <c r="B532" i="23"/>
  <c r="G475" i="23"/>
  <c r="B476" i="23"/>
  <c r="E475" i="23"/>
  <c r="C475" i="23"/>
  <c r="E419" i="23"/>
  <c r="G419" i="23"/>
  <c r="B420" i="23"/>
  <c r="C419" i="23"/>
  <c r="D419" i="23" s="1"/>
  <c r="F419" i="23"/>
  <c r="C363" i="23"/>
  <c r="D363" i="23" s="1"/>
  <c r="E363" i="23"/>
  <c r="F363" i="23"/>
  <c r="G363" i="23"/>
  <c r="B364" i="23"/>
  <c r="C307" i="23"/>
  <c r="D307" i="23" s="1"/>
  <c r="E307" i="23"/>
  <c r="F307" i="23"/>
  <c r="G307" i="23"/>
  <c r="B308" i="23"/>
  <c r="C251" i="23"/>
  <c r="D251" i="23" s="1"/>
  <c r="E251" i="23"/>
  <c r="F251" i="23"/>
  <c r="G251" i="23"/>
  <c r="B252" i="23"/>
  <c r="J4729" i="22"/>
  <c r="N4729" i="22" s="1"/>
  <c r="D4729" i="22"/>
  <c r="M4729" i="22"/>
  <c r="I4730" i="22"/>
  <c r="C4730" i="22"/>
  <c r="L4730" i="22"/>
  <c r="E4730" i="22"/>
  <c r="B4731" i="22"/>
  <c r="G4730" i="22"/>
  <c r="D4675" i="22"/>
  <c r="J4675" i="22"/>
  <c r="C4676" i="22"/>
  <c r="E4676" i="22"/>
  <c r="G4676" i="22"/>
  <c r="I4676" i="22"/>
  <c r="B4677" i="22"/>
  <c r="C4622" i="22"/>
  <c r="E4622" i="22"/>
  <c r="G4622" i="22"/>
  <c r="B4623" i="22"/>
  <c r="C4568" i="22"/>
  <c r="E4568" i="22"/>
  <c r="G4568" i="22"/>
  <c r="B4569" i="22"/>
  <c r="I4569" i="22" s="1"/>
  <c r="D4513" i="22"/>
  <c r="J4513" i="22"/>
  <c r="N4513" i="22" s="1"/>
  <c r="C4514" i="22"/>
  <c r="F4514" i="22" s="1"/>
  <c r="E4514" i="22"/>
  <c r="G4514" i="22"/>
  <c r="I4514" i="22"/>
  <c r="B4515" i="22"/>
  <c r="E4332" i="22"/>
  <c r="F4332" i="22"/>
  <c r="E4331" i="22"/>
  <c r="F4331" i="22"/>
  <c r="E4330" i="22"/>
  <c r="F4330" i="22"/>
  <c r="E4329" i="22"/>
  <c r="F4329" i="22"/>
  <c r="E4328" i="22"/>
  <c r="F4328" i="22"/>
  <c r="E4327" i="22"/>
  <c r="F4327" i="22"/>
  <c r="E4326" i="22"/>
  <c r="F4326" i="22"/>
  <c r="E4325" i="22"/>
  <c r="F4325" i="22"/>
  <c r="E4324" i="22"/>
  <c r="F4324" i="22"/>
  <c r="E4323" i="22"/>
  <c r="F4323" i="22"/>
  <c r="E4322" i="22"/>
  <c r="F4322" i="22"/>
  <c r="E4321" i="22"/>
  <c r="F4321" i="22"/>
  <c r="E4320" i="22"/>
  <c r="F4320" i="22"/>
  <c r="E4319" i="22"/>
  <c r="F4319" i="22"/>
  <c r="E4318" i="22"/>
  <c r="F4318" i="22"/>
  <c r="E4317" i="22"/>
  <c r="F4317" i="22"/>
  <c r="E4316" i="22"/>
  <c r="F4316" i="22"/>
  <c r="E4315" i="22"/>
  <c r="F4315" i="22"/>
  <c r="E4314" i="22"/>
  <c r="F4314" i="22"/>
  <c r="E4313" i="22"/>
  <c r="F4313" i="22"/>
  <c r="E4312" i="22"/>
  <c r="F4312" i="22"/>
  <c r="E4311" i="22"/>
  <c r="F4311" i="22"/>
  <c r="E4310" i="22"/>
  <c r="F4310" i="22"/>
  <c r="E4309" i="22"/>
  <c r="F4309" i="22"/>
  <c r="E4308" i="22"/>
  <c r="F4308" i="22"/>
  <c r="E4307" i="22"/>
  <c r="F4307" i="22"/>
  <c r="G4307" i="22"/>
  <c r="H4307" i="22"/>
  <c r="I4307" i="22"/>
  <c r="E4306" i="22"/>
  <c r="F4306" i="22"/>
  <c r="G4306" i="22"/>
  <c r="H4306" i="22"/>
  <c r="I4306" i="22"/>
  <c r="E4305" i="22"/>
  <c r="F4305" i="22"/>
  <c r="G4305" i="22"/>
  <c r="H4305" i="22"/>
  <c r="I4305" i="22"/>
  <c r="E4304" i="22"/>
  <c r="F4304" i="22"/>
  <c r="G4304" i="22"/>
  <c r="H4304" i="22"/>
  <c r="I4304" i="22"/>
  <c r="E4303" i="22"/>
  <c r="F4303" i="22"/>
  <c r="G4303" i="22"/>
  <c r="H4303" i="22"/>
  <c r="I4303" i="22"/>
  <c r="E4302" i="22"/>
  <c r="F4302" i="22"/>
  <c r="G4302" i="22"/>
  <c r="H4302" i="22"/>
  <c r="I4302" i="22"/>
  <c r="E4301" i="22"/>
  <c r="F4301" i="22"/>
  <c r="E4300" i="22"/>
  <c r="F4300" i="22"/>
  <c r="G4300" i="22"/>
  <c r="H4300" i="22"/>
  <c r="I4300" i="22"/>
  <c r="E4299" i="22"/>
  <c r="F4299" i="22"/>
  <c r="G4299" i="22"/>
  <c r="H4299" i="22"/>
  <c r="I4299" i="22"/>
  <c r="E4298" i="22"/>
  <c r="F4298" i="22"/>
  <c r="E4297" i="22"/>
  <c r="F4297" i="22"/>
  <c r="G4297" i="22"/>
  <c r="H4297" i="22"/>
  <c r="I4297" i="22"/>
  <c r="E4296" i="22"/>
  <c r="F4296" i="22"/>
  <c r="G4296" i="22"/>
  <c r="H4296" i="22"/>
  <c r="I4296" i="22"/>
  <c r="E4295" i="22"/>
  <c r="F4295" i="22"/>
  <c r="G4295" i="22"/>
  <c r="H4295" i="22"/>
  <c r="I4295" i="22"/>
  <c r="E4294" i="22"/>
  <c r="F4294" i="22"/>
  <c r="G4294" i="22"/>
  <c r="H4294" i="22"/>
  <c r="I4294" i="22"/>
  <c r="E4293" i="22"/>
  <c r="F4293" i="22"/>
  <c r="G4293" i="22"/>
  <c r="H4293" i="22"/>
  <c r="I4293" i="22"/>
  <c r="E4292" i="22"/>
  <c r="F4292" i="22"/>
  <c r="G4292" i="22"/>
  <c r="H4292" i="22"/>
  <c r="I4292" i="22"/>
  <c r="E4291" i="22"/>
  <c r="F4291" i="22"/>
  <c r="E4290" i="22"/>
  <c r="F4290" i="22"/>
  <c r="G4290" i="22"/>
  <c r="H4290" i="22"/>
  <c r="I4290" i="22"/>
  <c r="E4289" i="22"/>
  <c r="F4289" i="22"/>
  <c r="G4289" i="22"/>
  <c r="H4289" i="22"/>
  <c r="I4289" i="22"/>
  <c r="E4288" i="22"/>
  <c r="F4288" i="22"/>
  <c r="G4288" i="22"/>
  <c r="H4288" i="22"/>
  <c r="I4288" i="22"/>
  <c r="E4287" i="22"/>
  <c r="F4287" i="22"/>
  <c r="E4286" i="22"/>
  <c r="F4286" i="22"/>
  <c r="G4286" i="22"/>
  <c r="H4286" i="22"/>
  <c r="I4286" i="22"/>
  <c r="E4285" i="22"/>
  <c r="F4285" i="22"/>
  <c r="G4285" i="22"/>
  <c r="H4285" i="22"/>
  <c r="I4285" i="22"/>
  <c r="E4284" i="22"/>
  <c r="F4284" i="22"/>
  <c r="G4284" i="22"/>
  <c r="H4284" i="22"/>
  <c r="I4284" i="22"/>
  <c r="E4283" i="22"/>
  <c r="F4283" i="22"/>
  <c r="E4282" i="22"/>
  <c r="F4282" i="22"/>
  <c r="G4282" i="22"/>
  <c r="H4282" i="22"/>
  <c r="I4282" i="22"/>
  <c r="E4281" i="22"/>
  <c r="F4281" i="22"/>
  <c r="G4281" i="22"/>
  <c r="H4281" i="22"/>
  <c r="I4281" i="22"/>
  <c r="E4280" i="22"/>
  <c r="F4280" i="22"/>
  <c r="E4279" i="22"/>
  <c r="F4279" i="22"/>
  <c r="G4279" i="22"/>
  <c r="H4279" i="22"/>
  <c r="I4279" i="22"/>
  <c r="E4278" i="22"/>
  <c r="F4278" i="22"/>
  <c r="E4277" i="22"/>
  <c r="F4277" i="22"/>
  <c r="G4277" i="22"/>
  <c r="H4277" i="22"/>
  <c r="I4277" i="22"/>
  <c r="E4276" i="22"/>
  <c r="F4276" i="22"/>
  <c r="G4276" i="22"/>
  <c r="H4276" i="22"/>
  <c r="I4276" i="22"/>
  <c r="E4275" i="22"/>
  <c r="F4275" i="22"/>
  <c r="E4274" i="22"/>
  <c r="F4274" i="22"/>
  <c r="G4274" i="22"/>
  <c r="H4274" i="22"/>
  <c r="I4274" i="22"/>
  <c r="E4273" i="22"/>
  <c r="F4273" i="22"/>
  <c r="E4272" i="22"/>
  <c r="F4272" i="22"/>
  <c r="G4272" i="22"/>
  <c r="H4272" i="22"/>
  <c r="I4272" i="22"/>
  <c r="E4271" i="22"/>
  <c r="F4271" i="22"/>
  <c r="G4271" i="22"/>
  <c r="H4271" i="22"/>
  <c r="I4271" i="22"/>
  <c r="E4270" i="22"/>
  <c r="F4270" i="22"/>
  <c r="E4269" i="22"/>
  <c r="F4269" i="22"/>
  <c r="E4268" i="22"/>
  <c r="F4268" i="22"/>
  <c r="G4268" i="22"/>
  <c r="H4268" i="22"/>
  <c r="I4268" i="22"/>
  <c r="I4567" i="22"/>
  <c r="J4567" i="22"/>
  <c r="N4567" i="22" s="1"/>
  <c r="I4568" i="22"/>
  <c r="D4213" i="22"/>
  <c r="J4213" i="22"/>
  <c r="N4213" i="22" s="1"/>
  <c r="C4214" i="22"/>
  <c r="E4214" i="22"/>
  <c r="F4214" i="22"/>
  <c r="G4214" i="22"/>
  <c r="I4214" i="22"/>
  <c r="B4215" i="22"/>
  <c r="D4159" i="22"/>
  <c r="J4159" i="22"/>
  <c r="N4159" i="22" s="1"/>
  <c r="C4160" i="22"/>
  <c r="F4160" i="22" s="1"/>
  <c r="E4160" i="22"/>
  <c r="G4160" i="22"/>
  <c r="I4160" i="22"/>
  <c r="B4161" i="22"/>
  <c r="C4106" i="22"/>
  <c r="F4106" i="22" s="1"/>
  <c r="E4106" i="22"/>
  <c r="G4106" i="22"/>
  <c r="I4106" i="22"/>
  <c r="B4107" i="22"/>
  <c r="D4105" i="22"/>
  <c r="J4105" i="22"/>
  <c r="N4105" i="22" s="1"/>
  <c r="C4052" i="22"/>
  <c r="F4052" i="22" s="1"/>
  <c r="E4052" i="22"/>
  <c r="G4052" i="22"/>
  <c r="I4052" i="22"/>
  <c r="B4053" i="22"/>
  <c r="D4051" i="22"/>
  <c r="J4051" i="22"/>
  <c r="N4051" i="22" s="1"/>
  <c r="C3752" i="22"/>
  <c r="E3752" i="22"/>
  <c r="G3752" i="22"/>
  <c r="I3752" i="22"/>
  <c r="B3753" i="22"/>
  <c r="D3751" i="22"/>
  <c r="J3751" i="22"/>
  <c r="CM72" i="22"/>
  <c r="CT72" i="22"/>
  <c r="C3698" i="22"/>
  <c r="E3698" i="22"/>
  <c r="G3698" i="22"/>
  <c r="I3698" i="22"/>
  <c r="B3699" i="22"/>
  <c r="D3697" i="22"/>
  <c r="J3697" i="22"/>
  <c r="CM71" i="22"/>
  <c r="CT71" i="22"/>
  <c r="D3643" i="22"/>
  <c r="J3643" i="22"/>
  <c r="C3644" i="22"/>
  <c r="E3644" i="22"/>
  <c r="G3644" i="22"/>
  <c r="I3644" i="22"/>
  <c r="B3645" i="22"/>
  <c r="CM70" i="22"/>
  <c r="CT70" i="22"/>
  <c r="J3641" i="22"/>
  <c r="E3641" i="22"/>
  <c r="I3590" i="22"/>
  <c r="C3590" i="22"/>
  <c r="E3590" i="22"/>
  <c r="G3590" i="22"/>
  <c r="B3591" i="22"/>
  <c r="J3589" i="22"/>
  <c r="D3589" i="22"/>
  <c r="CM69" i="22"/>
  <c r="CT69" i="22"/>
  <c r="J3535" i="22"/>
  <c r="N3535" i="22" s="1"/>
  <c r="D3535" i="22"/>
  <c r="G3536" i="22"/>
  <c r="C3536" i="22"/>
  <c r="F3536" i="22" s="1"/>
  <c r="O3536" i="22" s="1"/>
  <c r="E3536" i="22"/>
  <c r="I3536" i="22"/>
  <c r="B3537" i="22"/>
  <c r="CM68" i="22"/>
  <c r="CT68" i="22"/>
  <c r="Z68" i="22"/>
  <c r="CU68" i="22"/>
  <c r="CV68" i="22"/>
  <c r="CW68" i="22"/>
  <c r="CX68" i="22"/>
  <c r="CY68" i="22"/>
  <c r="CZ68" i="22"/>
  <c r="DA68" i="22"/>
  <c r="DB68" i="22"/>
  <c r="DC68" i="22"/>
  <c r="DD68" i="22"/>
  <c r="DE68" i="22"/>
  <c r="DF68" i="22"/>
  <c r="DG68" i="22"/>
  <c r="DH68" i="22"/>
  <c r="M3535" i="22"/>
  <c r="C3482" i="22"/>
  <c r="E3482" i="22"/>
  <c r="G3482" i="22"/>
  <c r="I3482" i="22"/>
  <c r="B3483" i="22"/>
  <c r="D3481" i="22"/>
  <c r="J3481" i="22"/>
  <c r="D3427" i="22"/>
  <c r="J3427" i="22"/>
  <c r="C3428" i="22"/>
  <c r="E3428" i="22"/>
  <c r="G3428" i="22"/>
  <c r="I3428" i="22"/>
  <c r="B3429" i="22"/>
  <c r="CM66" i="22"/>
  <c r="CT66" i="22"/>
  <c r="D3373" i="22"/>
  <c r="J3373" i="22"/>
  <c r="C3374" i="22"/>
  <c r="E3374" i="22"/>
  <c r="G3374" i="22"/>
  <c r="I3374" i="22"/>
  <c r="B3375" i="22"/>
  <c r="CM65" i="22"/>
  <c r="CT65" i="22"/>
  <c r="D3319" i="22"/>
  <c r="J3319" i="22"/>
  <c r="C3320" i="22"/>
  <c r="E3320" i="22"/>
  <c r="G3320" i="22"/>
  <c r="I3320" i="22"/>
  <c r="B3321" i="22"/>
  <c r="CM64" i="22"/>
  <c r="CT64" i="22"/>
  <c r="C3266" i="22"/>
  <c r="E3266" i="22"/>
  <c r="G3266" i="22"/>
  <c r="I3266" i="22"/>
  <c r="B3267" i="22"/>
  <c r="D3265" i="22"/>
  <c r="J3265" i="22"/>
  <c r="CM63" i="22"/>
  <c r="CT63" i="22"/>
  <c r="D3211" i="22"/>
  <c r="J3211" i="22"/>
  <c r="N3211" i="22" s="1"/>
  <c r="C3212" i="22"/>
  <c r="F3212" i="22" s="1"/>
  <c r="E3212" i="22"/>
  <c r="G3212" i="22"/>
  <c r="I3212" i="22"/>
  <c r="B3213" i="22"/>
  <c r="CM62" i="22"/>
  <c r="CT62" i="22"/>
  <c r="E3209" i="22"/>
  <c r="J3209" i="22"/>
  <c r="CU62" i="22"/>
  <c r="CV62" i="22"/>
  <c r="CW62" i="22"/>
  <c r="CX62" i="22"/>
  <c r="CY62" i="22"/>
  <c r="CZ62" i="22"/>
  <c r="DA62" i="22"/>
  <c r="DB62" i="22"/>
  <c r="DC62" i="22"/>
  <c r="DD62" i="22"/>
  <c r="DE62" i="22"/>
  <c r="DF62" i="22"/>
  <c r="DG62" i="22"/>
  <c r="DH62" i="22"/>
  <c r="Z62" i="22"/>
  <c r="M3211" i="22"/>
  <c r="C3158" i="22"/>
  <c r="F3158" i="22" s="1"/>
  <c r="O3158" i="22" s="1"/>
  <c r="E3158" i="22"/>
  <c r="G3158" i="22"/>
  <c r="I3158" i="22"/>
  <c r="B3159" i="22"/>
  <c r="D3157" i="22"/>
  <c r="J3157" i="22"/>
  <c r="N3157" i="22" s="1"/>
  <c r="CM61" i="22"/>
  <c r="CT61" i="22"/>
  <c r="CU61" i="22"/>
  <c r="CV61" i="22"/>
  <c r="CW61" i="22"/>
  <c r="CX61" i="22"/>
  <c r="CY61" i="22"/>
  <c r="CZ61" i="22"/>
  <c r="DA61" i="22"/>
  <c r="DB61" i="22"/>
  <c r="DC61" i="22"/>
  <c r="DD61" i="22"/>
  <c r="DE61" i="22"/>
  <c r="DF61" i="22"/>
  <c r="DG61" i="22"/>
  <c r="DH61" i="22"/>
  <c r="M3157" i="22"/>
  <c r="Z61" i="22"/>
  <c r="D3103" i="22"/>
  <c r="J3103" i="22"/>
  <c r="N3103" i="22" s="1"/>
  <c r="I3104" i="22"/>
  <c r="C3104" i="22"/>
  <c r="F3104" i="22" s="1"/>
  <c r="O3104" i="22" s="1"/>
  <c r="E3104" i="22"/>
  <c r="G3104" i="22"/>
  <c r="B3105" i="22"/>
  <c r="CM60" i="22"/>
  <c r="CT60" i="22"/>
  <c r="M3103" i="22"/>
  <c r="CU60" i="22"/>
  <c r="CV60" i="22"/>
  <c r="CW60" i="22"/>
  <c r="CX60" i="22"/>
  <c r="CY60" i="22"/>
  <c r="CZ60" i="22"/>
  <c r="DA60" i="22"/>
  <c r="DB60" i="22"/>
  <c r="DC60" i="22"/>
  <c r="DD60" i="22"/>
  <c r="DE60" i="22"/>
  <c r="DF60" i="22"/>
  <c r="DG60" i="22"/>
  <c r="DH60" i="22"/>
  <c r="D3049" i="22"/>
  <c r="J3049" i="22"/>
  <c r="I3050" i="22"/>
  <c r="B3051" i="22"/>
  <c r="C3050" i="22"/>
  <c r="K3050" i="22" s="1"/>
  <c r="E3050" i="22"/>
  <c r="F3050" i="22"/>
  <c r="O3050" i="22" s="1"/>
  <c r="G3050" i="22"/>
  <c r="CM59" i="22"/>
  <c r="CT59" i="22"/>
  <c r="CU59" i="22"/>
  <c r="CV59" i="22"/>
  <c r="CW59" i="22"/>
  <c r="CX59" i="22"/>
  <c r="CY59" i="22"/>
  <c r="CZ59" i="22"/>
  <c r="DA59" i="22"/>
  <c r="DB59" i="22"/>
  <c r="DC59" i="22"/>
  <c r="DD59" i="22"/>
  <c r="DE59" i="22"/>
  <c r="DF59" i="22"/>
  <c r="DG59" i="22"/>
  <c r="DH59" i="22"/>
  <c r="C2996" i="22"/>
  <c r="F2996" i="22" s="1"/>
  <c r="O2996" i="22" s="1"/>
  <c r="E2996" i="22"/>
  <c r="G2996" i="22"/>
  <c r="I2996" i="22"/>
  <c r="B2997" i="22"/>
  <c r="D2995" i="22"/>
  <c r="J2995" i="22"/>
  <c r="N2995" i="22" s="1"/>
  <c r="CM58" i="22"/>
  <c r="CT58" i="22"/>
  <c r="Z58" i="22"/>
  <c r="M2995" i="22"/>
  <c r="CU58" i="22"/>
  <c r="CV58" i="22"/>
  <c r="CW58" i="22"/>
  <c r="CX58" i="22"/>
  <c r="CY58" i="22"/>
  <c r="CZ58" i="22"/>
  <c r="DA58" i="22"/>
  <c r="DB58" i="22"/>
  <c r="DC58" i="22"/>
  <c r="DD58" i="22"/>
  <c r="DE58" i="22"/>
  <c r="DF58" i="22"/>
  <c r="DG58" i="22"/>
  <c r="DH58" i="22"/>
  <c r="D2941" i="22"/>
  <c r="J2941" i="22"/>
  <c r="N2941" i="22" s="1"/>
  <c r="U2941" i="22" s="1"/>
  <c r="C2942" i="22"/>
  <c r="F2942" i="22" s="1"/>
  <c r="O2942" i="22" s="1"/>
  <c r="E2942" i="22"/>
  <c r="G2942" i="22"/>
  <c r="I2942" i="22"/>
  <c r="B2943" i="22"/>
  <c r="CM57" i="22"/>
  <c r="CT57" i="22"/>
  <c r="CU57" i="22"/>
  <c r="CV57" i="22"/>
  <c r="CW57" i="22"/>
  <c r="CX57" i="22"/>
  <c r="CY57" i="22"/>
  <c r="CZ57" i="22"/>
  <c r="DA57" i="22"/>
  <c r="DB57" i="22"/>
  <c r="DC57" i="22"/>
  <c r="DD57" i="22"/>
  <c r="DE57" i="22"/>
  <c r="DF57" i="22"/>
  <c r="DG57" i="22"/>
  <c r="DH57" i="22"/>
  <c r="M2941" i="22"/>
  <c r="Z57" i="22"/>
  <c r="D2887" i="22"/>
  <c r="J2887" i="22"/>
  <c r="C2888" i="22"/>
  <c r="E2888" i="22"/>
  <c r="G2888" i="22"/>
  <c r="I2888" i="22"/>
  <c r="B2889" i="22"/>
  <c r="C2834" i="22"/>
  <c r="E2834" i="22"/>
  <c r="G2834" i="22"/>
  <c r="I2834" i="22"/>
  <c r="B2835" i="22"/>
  <c r="D2833" i="22"/>
  <c r="J2833" i="22"/>
  <c r="CM55" i="22"/>
  <c r="CT55" i="22"/>
  <c r="C2780" i="22"/>
  <c r="E2780" i="22"/>
  <c r="G2780" i="22"/>
  <c r="I2780" i="22"/>
  <c r="B2781" i="22"/>
  <c r="D2779" i="22"/>
  <c r="J2779" i="22"/>
  <c r="CS54" i="22"/>
  <c r="C2726" i="22"/>
  <c r="E2726" i="22"/>
  <c r="G2726" i="22"/>
  <c r="I2726" i="22"/>
  <c r="B2727" i="22"/>
  <c r="D2725" i="22"/>
  <c r="J2725" i="22"/>
  <c r="CM53" i="22"/>
  <c r="CT53" i="22"/>
  <c r="C2672" i="22"/>
  <c r="E2672" i="22"/>
  <c r="G2672" i="22"/>
  <c r="I2672" i="22"/>
  <c r="B2673" i="22"/>
  <c r="D2671" i="22"/>
  <c r="J2671" i="22"/>
  <c r="CM52" i="22"/>
  <c r="CT52" i="22"/>
  <c r="CU52" i="22"/>
  <c r="CV52" i="22"/>
  <c r="CW52" i="22"/>
  <c r="CX52" i="22"/>
  <c r="CY52" i="22"/>
  <c r="CZ52" i="22"/>
  <c r="DA52" i="22"/>
  <c r="DB52" i="22"/>
  <c r="DC52" i="22"/>
  <c r="DD52" i="22"/>
  <c r="DE52" i="22"/>
  <c r="DF52" i="22"/>
  <c r="DG52" i="22"/>
  <c r="DH52" i="22"/>
  <c r="Z52" i="22"/>
  <c r="C2618" i="22"/>
  <c r="F2618" i="22" s="1"/>
  <c r="O2618" i="22" s="1"/>
  <c r="E2618" i="22"/>
  <c r="G2618" i="22"/>
  <c r="I2618" i="22"/>
  <c r="B2619" i="22"/>
  <c r="D2617" i="22"/>
  <c r="J2617" i="22"/>
  <c r="N2617" i="22" s="1"/>
  <c r="CM51" i="22"/>
  <c r="CT51" i="22"/>
  <c r="Z51" i="22"/>
  <c r="CU51" i="22"/>
  <c r="CV51" i="22"/>
  <c r="CW51" i="22"/>
  <c r="CX51" i="22"/>
  <c r="CY51" i="22"/>
  <c r="CZ51" i="22"/>
  <c r="DA51" i="22"/>
  <c r="DB51" i="22"/>
  <c r="DC51" i="22"/>
  <c r="DD51" i="22"/>
  <c r="DE51" i="22"/>
  <c r="DF51" i="22"/>
  <c r="DG51" i="22"/>
  <c r="DH51" i="22"/>
  <c r="M2617" i="22"/>
  <c r="C2564" i="22"/>
  <c r="K2564" i="22" s="1"/>
  <c r="E2564" i="22"/>
  <c r="F2564" i="22"/>
  <c r="O2564" i="22" s="1"/>
  <c r="G2564" i="22"/>
  <c r="I2564" i="22"/>
  <c r="B2565" i="22"/>
  <c r="L2565" i="22" s="1"/>
  <c r="D2563" i="22"/>
  <c r="J2563" i="22"/>
  <c r="C2510" i="22"/>
  <c r="E2510" i="22"/>
  <c r="G2510" i="22"/>
  <c r="I2510" i="22"/>
  <c r="B2511" i="22"/>
  <c r="D2509" i="22"/>
  <c r="J2509" i="22"/>
  <c r="CM49" i="22"/>
  <c r="CT49" i="22"/>
  <c r="C2456" i="22"/>
  <c r="K2456" i="22" s="1"/>
  <c r="E2456" i="22"/>
  <c r="F2456" i="22"/>
  <c r="O2456" i="22" s="1"/>
  <c r="G2456" i="22"/>
  <c r="I2456" i="22"/>
  <c r="B2457" i="22"/>
  <c r="D2455" i="22"/>
  <c r="J2455" i="22"/>
  <c r="CM48" i="22"/>
  <c r="CT48" i="22"/>
  <c r="D2401" i="22"/>
  <c r="J2401" i="22"/>
  <c r="C2402" i="22"/>
  <c r="E2402" i="22"/>
  <c r="F2402" i="22"/>
  <c r="O2402" i="22" s="1"/>
  <c r="G2402" i="22"/>
  <c r="I2402" i="22"/>
  <c r="B2403" i="22"/>
  <c r="CM47" i="22"/>
  <c r="CT47" i="22"/>
  <c r="CU47" i="22"/>
  <c r="CV47" i="22"/>
  <c r="CW47" i="22"/>
  <c r="CX47" i="22"/>
  <c r="CY47" i="22"/>
  <c r="CZ47" i="22"/>
  <c r="DA47" i="22"/>
  <c r="DB47" i="22"/>
  <c r="DC47" i="22"/>
  <c r="DD47" i="22"/>
  <c r="DE47" i="22"/>
  <c r="DF47" i="22"/>
  <c r="DG47" i="22"/>
  <c r="DH47" i="22"/>
  <c r="M2401" i="22"/>
  <c r="N2401" i="22"/>
  <c r="D2347" i="22"/>
  <c r="J2347" i="22"/>
  <c r="C2348" i="22"/>
  <c r="E2348" i="22"/>
  <c r="F2348" i="22"/>
  <c r="O2348" i="22" s="1"/>
  <c r="G2348" i="22"/>
  <c r="I2348" i="22"/>
  <c r="B2349" i="22"/>
  <c r="CM46" i="22"/>
  <c r="CT46" i="22"/>
  <c r="M2347" i="22"/>
  <c r="N2347" i="22"/>
  <c r="CU46" i="22"/>
  <c r="CV46" i="22"/>
  <c r="CW46" i="22"/>
  <c r="CX46" i="22"/>
  <c r="CY46" i="22"/>
  <c r="CZ46" i="22"/>
  <c r="DA46" i="22"/>
  <c r="DB46" i="22"/>
  <c r="DC46" i="22"/>
  <c r="DD46" i="22"/>
  <c r="DE46" i="22"/>
  <c r="DF46" i="22"/>
  <c r="DG46" i="22"/>
  <c r="DH46" i="22"/>
  <c r="I2294" i="22"/>
  <c r="B2295" i="22"/>
  <c r="C2294" i="22"/>
  <c r="F2294" i="22" s="1"/>
  <c r="O2294" i="22" s="1"/>
  <c r="G2294" i="22"/>
  <c r="E2294" i="22"/>
  <c r="D2293" i="22"/>
  <c r="J2293" i="22"/>
  <c r="N2293" i="22" s="1"/>
  <c r="CM45" i="22"/>
  <c r="CT45" i="22"/>
  <c r="M2293" i="22"/>
  <c r="CU45" i="22"/>
  <c r="CV45" i="22"/>
  <c r="CW45" i="22"/>
  <c r="CX45" i="22"/>
  <c r="CY45" i="22"/>
  <c r="CZ45" i="22"/>
  <c r="DA45" i="22"/>
  <c r="DB45" i="22"/>
  <c r="DC45" i="22"/>
  <c r="DD45" i="22"/>
  <c r="DE45" i="22"/>
  <c r="DF45" i="22"/>
  <c r="DG45" i="22"/>
  <c r="DH45" i="22"/>
  <c r="Z45" i="22"/>
  <c r="C2240" i="22"/>
  <c r="E2240" i="22"/>
  <c r="G2240" i="22"/>
  <c r="I2240" i="22"/>
  <c r="B2241" i="22"/>
  <c r="D2239" i="22"/>
  <c r="J2239" i="22"/>
  <c r="C2186" i="22"/>
  <c r="E2186" i="22"/>
  <c r="G2186" i="22"/>
  <c r="I2186" i="22"/>
  <c r="B2187" i="22"/>
  <c r="D2185" i="22"/>
  <c r="J2185" i="22"/>
  <c r="D2131" i="22"/>
  <c r="J2131" i="22"/>
  <c r="C2132" i="22"/>
  <c r="E2132" i="22"/>
  <c r="G2132" i="22"/>
  <c r="I2132" i="22"/>
  <c r="B2133" i="22"/>
  <c r="CM42" i="22"/>
  <c r="CT42" i="22"/>
  <c r="J2129" i="22"/>
  <c r="E2129" i="22"/>
  <c r="D2077" i="22"/>
  <c r="J2077" i="22"/>
  <c r="N2077" i="22" s="1"/>
  <c r="C2078" i="22"/>
  <c r="F2078" i="22" s="1"/>
  <c r="E2078" i="22"/>
  <c r="G2078" i="22"/>
  <c r="I2078" i="22"/>
  <c r="B2079" i="22"/>
  <c r="CM41" i="22"/>
  <c r="CT41" i="22"/>
  <c r="E2075" i="22"/>
  <c r="J2075" i="22"/>
  <c r="M2077" i="22"/>
  <c r="CU41" i="22"/>
  <c r="CV41" i="22"/>
  <c r="CW41" i="22"/>
  <c r="CX41" i="22"/>
  <c r="CY41" i="22"/>
  <c r="CZ41" i="22"/>
  <c r="DA41" i="22"/>
  <c r="DB41" i="22"/>
  <c r="DC41" i="22"/>
  <c r="DD41" i="22"/>
  <c r="DE41" i="22"/>
  <c r="DF41" i="22"/>
  <c r="DG41" i="22"/>
  <c r="DH41" i="22"/>
  <c r="Z41" i="22"/>
  <c r="C2024" i="22"/>
  <c r="E2024" i="22"/>
  <c r="F2024" i="22"/>
  <c r="O2024" i="22" s="1"/>
  <c r="G2024" i="22"/>
  <c r="I2024" i="22"/>
  <c r="B2025" i="22"/>
  <c r="D2023" i="22"/>
  <c r="J2023" i="22"/>
  <c r="N2023" i="22" s="1"/>
  <c r="CM40" i="22"/>
  <c r="CT40" i="22"/>
  <c r="M2023" i="22"/>
  <c r="CU40" i="22"/>
  <c r="CV40" i="22"/>
  <c r="CW40" i="22"/>
  <c r="CX40" i="22"/>
  <c r="CY40" i="22"/>
  <c r="CZ40" i="22"/>
  <c r="DA40" i="22"/>
  <c r="DB40" i="22"/>
  <c r="DC40" i="22"/>
  <c r="DD40" i="22"/>
  <c r="DE40" i="22"/>
  <c r="DF40" i="22"/>
  <c r="DG40" i="22"/>
  <c r="DH40" i="22"/>
  <c r="Z40" i="22"/>
  <c r="G1970" i="22"/>
  <c r="I1970" i="22"/>
  <c r="B1971" i="22"/>
  <c r="E1970" i="22"/>
  <c r="C1970" i="22"/>
  <c r="F1970" i="22" s="1"/>
  <c r="O1970" i="22" s="1"/>
  <c r="D1969" i="22"/>
  <c r="J1969" i="22"/>
  <c r="N1969" i="22" s="1"/>
  <c r="U1969" i="22" s="1"/>
  <c r="CM39" i="22"/>
  <c r="CT39" i="22"/>
  <c r="M1969" i="22"/>
  <c r="CU39" i="22"/>
  <c r="CV39" i="22"/>
  <c r="CW39" i="22"/>
  <c r="CX39" i="22"/>
  <c r="CY39" i="22"/>
  <c r="CZ39" i="22"/>
  <c r="DA39" i="22"/>
  <c r="DB39" i="22"/>
  <c r="DC39" i="22"/>
  <c r="DD39" i="22"/>
  <c r="DE39" i="22"/>
  <c r="DF39" i="22"/>
  <c r="DG39" i="22"/>
  <c r="DH39" i="22"/>
  <c r="D1915" i="22"/>
  <c r="J1915" i="22"/>
  <c r="C1916" i="22"/>
  <c r="E1916" i="22"/>
  <c r="G1916" i="22"/>
  <c r="I1916" i="22"/>
  <c r="B1917" i="22"/>
  <c r="C1862" i="22"/>
  <c r="K1862" i="22" s="1"/>
  <c r="E1862" i="22"/>
  <c r="F1862" i="22"/>
  <c r="O1862" i="22" s="1"/>
  <c r="G1862" i="22"/>
  <c r="I1862" i="22"/>
  <c r="B1863" i="22"/>
  <c r="L1863" i="22" s="1"/>
  <c r="D1861" i="22"/>
  <c r="J1861" i="22"/>
  <c r="C1808" i="22"/>
  <c r="K1808" i="22" s="1"/>
  <c r="E1808" i="22"/>
  <c r="F1808" i="22"/>
  <c r="O1808" i="22" s="1"/>
  <c r="G1808" i="22"/>
  <c r="I1808" i="22"/>
  <c r="B1809" i="22"/>
  <c r="L1809" i="22" s="1"/>
  <c r="D1807" i="22"/>
  <c r="J1807" i="22"/>
  <c r="CM36" i="22"/>
  <c r="CT36" i="22"/>
  <c r="D1753" i="22"/>
  <c r="J1753" i="22"/>
  <c r="C1754" i="22"/>
  <c r="E1754" i="22"/>
  <c r="F1754" i="22"/>
  <c r="O1754" i="22" s="1"/>
  <c r="G1754" i="22"/>
  <c r="I1754" i="22"/>
  <c r="B1755" i="22"/>
  <c r="CM35" i="22"/>
  <c r="CT35" i="22"/>
  <c r="M1753" i="22"/>
  <c r="N1753" i="22"/>
  <c r="CU35" i="22"/>
  <c r="CV35" i="22"/>
  <c r="CW35" i="22"/>
  <c r="CX35" i="22"/>
  <c r="CY35" i="22"/>
  <c r="CZ35" i="22"/>
  <c r="DA35" i="22"/>
  <c r="DB35" i="22"/>
  <c r="DC35" i="22"/>
  <c r="DD35" i="22"/>
  <c r="DE35" i="22"/>
  <c r="DF35" i="22"/>
  <c r="DG35" i="22"/>
  <c r="DH35" i="22"/>
  <c r="Z35" i="22"/>
  <c r="C1700" i="22"/>
  <c r="F1700" i="22" s="1"/>
  <c r="O1700" i="22" s="1"/>
  <c r="E1700" i="22"/>
  <c r="G1700" i="22"/>
  <c r="I1700" i="22"/>
  <c r="B1701" i="22"/>
  <c r="D1699" i="22"/>
  <c r="J1699" i="22"/>
  <c r="N1699" i="22" s="1"/>
  <c r="CM34" i="22"/>
  <c r="CT34" i="22"/>
  <c r="Z34" i="22"/>
  <c r="M1699" i="22"/>
  <c r="CU34" i="22"/>
  <c r="CV34" i="22"/>
  <c r="CW34" i="22"/>
  <c r="CX34" i="22"/>
  <c r="CY34" i="22"/>
  <c r="CZ34" i="22"/>
  <c r="DA34" i="22"/>
  <c r="DB34" i="22"/>
  <c r="DC34" i="22"/>
  <c r="DD34" i="22"/>
  <c r="DE34" i="22"/>
  <c r="DF34" i="22"/>
  <c r="DG34" i="22"/>
  <c r="DH34" i="22"/>
  <c r="C1646" i="22"/>
  <c r="E1646" i="22"/>
  <c r="G1646" i="22"/>
  <c r="I1646" i="22"/>
  <c r="B1647" i="22"/>
  <c r="D1645" i="22"/>
  <c r="J1645" i="22"/>
  <c r="C1592" i="22"/>
  <c r="E1592" i="22"/>
  <c r="G1592" i="22"/>
  <c r="I1592" i="22"/>
  <c r="B1593" i="22"/>
  <c r="D1591" i="22"/>
  <c r="J1591" i="22"/>
  <c r="D1537" i="22"/>
  <c r="J1537" i="22"/>
  <c r="C1538" i="22"/>
  <c r="E1538" i="22"/>
  <c r="G1538" i="22"/>
  <c r="I1538" i="22"/>
  <c r="B1539" i="22"/>
  <c r="D1483" i="22"/>
  <c r="J1483" i="22"/>
  <c r="C1484" i="22"/>
  <c r="E1484" i="22"/>
  <c r="G1484" i="22"/>
  <c r="I1484" i="22"/>
  <c r="B1485" i="22"/>
  <c r="CM30" i="22"/>
  <c r="CT30" i="22"/>
  <c r="C1430" i="22"/>
  <c r="F1430" i="22" s="1"/>
  <c r="O1430" i="22" s="1"/>
  <c r="E1430" i="22"/>
  <c r="G1430" i="22"/>
  <c r="I1430" i="22"/>
  <c r="B1431" i="22"/>
  <c r="D1429" i="22"/>
  <c r="J1429" i="22"/>
  <c r="CM29" i="22"/>
  <c r="CT29" i="22"/>
  <c r="Z29" i="22"/>
  <c r="CU29" i="22"/>
  <c r="CV29" i="22"/>
  <c r="CW29" i="22"/>
  <c r="CX29" i="22"/>
  <c r="CY29" i="22"/>
  <c r="CZ29" i="22"/>
  <c r="DA29" i="22"/>
  <c r="DB29" i="22"/>
  <c r="DC29" i="22"/>
  <c r="DD29" i="22"/>
  <c r="DE29" i="22"/>
  <c r="DF29" i="22"/>
  <c r="DG29" i="22"/>
  <c r="DH29" i="22"/>
  <c r="C1376" i="22"/>
  <c r="E1376" i="22"/>
  <c r="F1376" i="22"/>
  <c r="O1376" i="22" s="1"/>
  <c r="G1376" i="22"/>
  <c r="I1376" i="22"/>
  <c r="B1377" i="22"/>
  <c r="D1375" i="22"/>
  <c r="J1375" i="22"/>
  <c r="N1375" i="22" s="1"/>
  <c r="CM28" i="22"/>
  <c r="CT28" i="22"/>
  <c r="M1375" i="22"/>
  <c r="CU28" i="22"/>
  <c r="CV28" i="22"/>
  <c r="CW28" i="22"/>
  <c r="CX28" i="22"/>
  <c r="CY28" i="22"/>
  <c r="CZ28" i="22"/>
  <c r="DA28" i="22"/>
  <c r="DB28" i="22"/>
  <c r="DC28" i="22"/>
  <c r="DD28" i="22"/>
  <c r="DE28" i="22"/>
  <c r="DF28" i="22"/>
  <c r="DG28" i="22"/>
  <c r="DH28" i="22"/>
  <c r="D1321" i="22"/>
  <c r="J1321" i="22"/>
  <c r="C1322" i="22"/>
  <c r="K1322" i="22" s="1"/>
  <c r="E1322" i="22"/>
  <c r="F1322" i="22"/>
  <c r="O1322" i="22" s="1"/>
  <c r="G1322" i="22"/>
  <c r="I1322" i="22"/>
  <c r="B1323" i="22"/>
  <c r="C1268" i="22"/>
  <c r="E1268" i="22"/>
  <c r="G1268" i="22"/>
  <c r="I1268" i="22"/>
  <c r="B1269" i="22"/>
  <c r="D1267" i="22"/>
  <c r="J1267" i="22"/>
  <c r="C1214" i="22"/>
  <c r="E1214" i="22"/>
  <c r="G1214" i="22"/>
  <c r="I1214" i="22"/>
  <c r="B1215" i="22"/>
  <c r="D1213" i="22"/>
  <c r="J1213" i="22"/>
  <c r="CM25" i="22"/>
  <c r="CT25" i="22"/>
  <c r="C1160" i="22"/>
  <c r="F1160" i="22" s="1"/>
  <c r="O1160" i="22" s="1"/>
  <c r="E1160" i="22"/>
  <c r="G1160" i="22"/>
  <c r="I1160" i="22"/>
  <c r="B1161" i="22"/>
  <c r="D1159" i="22"/>
  <c r="J1159" i="22"/>
  <c r="N1159" i="22" s="1"/>
  <c r="CM24" i="22"/>
  <c r="CT24" i="22"/>
  <c r="CU24" i="22"/>
  <c r="CV24" i="22"/>
  <c r="CW24" i="22"/>
  <c r="CX24" i="22"/>
  <c r="CY24" i="22"/>
  <c r="CZ24" i="22"/>
  <c r="DA24" i="22"/>
  <c r="DB24" i="22"/>
  <c r="DC24" i="22"/>
  <c r="DD24" i="22"/>
  <c r="DE24" i="22"/>
  <c r="DF24" i="22"/>
  <c r="DG24" i="22"/>
  <c r="DH24" i="22"/>
  <c r="M1159" i="22"/>
  <c r="C1106" i="22"/>
  <c r="F1106" i="22" s="1"/>
  <c r="O1106" i="22" s="1"/>
  <c r="E1106" i="22"/>
  <c r="G1106" i="22"/>
  <c r="I1106" i="22"/>
  <c r="B1107" i="22"/>
  <c r="D1105" i="22"/>
  <c r="J1105" i="22"/>
  <c r="N1105" i="22" s="1"/>
  <c r="U1105" i="22" s="1"/>
  <c r="CM23" i="22"/>
  <c r="CT23" i="22"/>
  <c r="M1105" i="22"/>
  <c r="CU23" i="22"/>
  <c r="CV23" i="22"/>
  <c r="CW23" i="22"/>
  <c r="CX23" i="22"/>
  <c r="CY23" i="22"/>
  <c r="CZ23" i="22"/>
  <c r="DA23" i="22"/>
  <c r="DB23" i="22"/>
  <c r="DC23" i="22"/>
  <c r="DD23" i="22"/>
  <c r="DE23" i="22"/>
  <c r="DF23" i="22"/>
  <c r="DG23" i="22"/>
  <c r="DH23" i="22"/>
  <c r="D1051" i="22"/>
  <c r="J1051" i="22"/>
  <c r="C1052" i="22"/>
  <c r="E1052" i="22"/>
  <c r="F1052" i="22"/>
  <c r="O1052" i="22" s="1"/>
  <c r="G1052" i="22"/>
  <c r="I1052" i="22"/>
  <c r="B1053" i="22"/>
  <c r="CM22" i="22"/>
  <c r="CT22" i="22"/>
  <c r="Z22" i="22"/>
  <c r="M1051" i="22"/>
  <c r="N1051" i="22"/>
  <c r="U1051" i="22" s="1"/>
  <c r="CU22" i="22"/>
  <c r="CV22" i="22"/>
  <c r="CW22" i="22"/>
  <c r="CX22" i="22"/>
  <c r="CY22" i="22"/>
  <c r="CZ22" i="22"/>
  <c r="DA22" i="22"/>
  <c r="DB22" i="22"/>
  <c r="DC22" i="22"/>
  <c r="DD22" i="22"/>
  <c r="DE22" i="22"/>
  <c r="DF22" i="22"/>
  <c r="DG22" i="22"/>
  <c r="DH22" i="22"/>
  <c r="C998" i="22"/>
  <c r="K998" i="22" s="1"/>
  <c r="E998" i="22"/>
  <c r="F998" i="22"/>
  <c r="O998" i="22" s="1"/>
  <c r="G998" i="22"/>
  <c r="I998" i="22"/>
  <c r="B999" i="22"/>
  <c r="D997" i="22"/>
  <c r="J997" i="22"/>
  <c r="C944" i="22"/>
  <c r="K944" i="22" s="1"/>
  <c r="E944" i="22"/>
  <c r="F944" i="22"/>
  <c r="O944" i="22" s="1"/>
  <c r="G944" i="22"/>
  <c r="I944" i="22"/>
  <c r="B945" i="22"/>
  <c r="D943" i="22"/>
  <c r="J943" i="22"/>
  <c r="CM20" i="22"/>
  <c r="CT20" i="22"/>
  <c r="C890" i="22"/>
  <c r="K890" i="22" s="1"/>
  <c r="E890" i="22"/>
  <c r="F890" i="22"/>
  <c r="O890" i="22" s="1"/>
  <c r="G890" i="22"/>
  <c r="I890" i="22"/>
  <c r="B891" i="22"/>
  <c r="D889" i="22"/>
  <c r="J889" i="22"/>
  <c r="CM19" i="22"/>
  <c r="CT19" i="22"/>
  <c r="C836" i="22"/>
  <c r="E836" i="22"/>
  <c r="G836" i="22"/>
  <c r="I836" i="22"/>
  <c r="B837" i="22"/>
  <c r="D835" i="22"/>
  <c r="J835" i="22"/>
  <c r="CM18" i="22"/>
  <c r="CT18" i="22"/>
  <c r="D781" i="22"/>
  <c r="J781" i="22"/>
  <c r="C782" i="22"/>
  <c r="K782" i="22" s="1"/>
  <c r="E782" i="22"/>
  <c r="F782" i="22"/>
  <c r="O782" i="22" s="1"/>
  <c r="G782" i="22"/>
  <c r="I782" i="22"/>
  <c r="B783" i="22"/>
  <c r="CM17" i="22"/>
  <c r="CT17" i="22"/>
  <c r="D727" i="22"/>
  <c r="J727" i="22"/>
  <c r="N727" i="22" s="1"/>
  <c r="C728" i="22"/>
  <c r="F728" i="22" s="1"/>
  <c r="O728" i="22" s="1"/>
  <c r="E728" i="22"/>
  <c r="G728" i="22"/>
  <c r="I728" i="22"/>
  <c r="B729" i="22"/>
  <c r="CM16" i="22"/>
  <c r="CT16" i="22"/>
  <c r="Z16" i="22"/>
  <c r="CU16" i="22"/>
  <c r="CV16" i="22"/>
  <c r="CW16" i="22"/>
  <c r="CX16" i="22"/>
  <c r="CY16" i="22"/>
  <c r="CZ16" i="22"/>
  <c r="DA16" i="22"/>
  <c r="DB16" i="22"/>
  <c r="DC16" i="22"/>
  <c r="DD16" i="22"/>
  <c r="DE16" i="22"/>
  <c r="DF16" i="22"/>
  <c r="DG16" i="22"/>
  <c r="DH16" i="22"/>
  <c r="M727" i="22"/>
  <c r="D673" i="22"/>
  <c r="J673" i="22"/>
  <c r="C674" i="22"/>
  <c r="K674" i="22" s="1"/>
  <c r="E674" i="22"/>
  <c r="F674" i="22"/>
  <c r="O674" i="22" s="1"/>
  <c r="G674" i="22"/>
  <c r="I674" i="22"/>
  <c r="B675" i="22"/>
  <c r="D619" i="22"/>
  <c r="J619" i="22"/>
  <c r="C620" i="22"/>
  <c r="K620" i="22" s="1"/>
  <c r="E620" i="22"/>
  <c r="F620" i="22"/>
  <c r="O620" i="22" s="1"/>
  <c r="G620" i="22"/>
  <c r="I620" i="22"/>
  <c r="B621" i="22"/>
  <c r="CM14" i="22"/>
  <c r="CT14" i="22"/>
  <c r="D565" i="22"/>
  <c r="J565" i="22"/>
  <c r="C566" i="22"/>
  <c r="K566" i="22" s="1"/>
  <c r="E566" i="22"/>
  <c r="F566" i="22"/>
  <c r="O566" i="22" s="1"/>
  <c r="G566" i="22"/>
  <c r="I566" i="22"/>
  <c r="B567" i="22"/>
  <c r="CM13" i="22"/>
  <c r="CT13" i="22"/>
  <c r="D511" i="22"/>
  <c r="J511" i="22"/>
  <c r="C512" i="22"/>
  <c r="E512" i="22"/>
  <c r="G512" i="22"/>
  <c r="I512" i="22"/>
  <c r="B513" i="22"/>
  <c r="CM12" i="22"/>
  <c r="CT12" i="22"/>
  <c r="D457" i="22"/>
  <c r="J457" i="22"/>
  <c r="N457" i="22" s="1"/>
  <c r="C458" i="22"/>
  <c r="F458" i="22" s="1"/>
  <c r="O458" i="22" s="1"/>
  <c r="E458" i="22"/>
  <c r="G458" i="22"/>
  <c r="I458" i="22"/>
  <c r="B459" i="22"/>
  <c r="CM11" i="22"/>
  <c r="CT11" i="22"/>
  <c r="M457" i="22"/>
  <c r="CU11" i="22"/>
  <c r="CV11" i="22"/>
  <c r="CW11" i="22"/>
  <c r="CX11" i="22"/>
  <c r="CY11" i="22"/>
  <c r="CZ11" i="22"/>
  <c r="DA11" i="22"/>
  <c r="DB11" i="22"/>
  <c r="DC11" i="22"/>
  <c r="DD11" i="22"/>
  <c r="DE11" i="22"/>
  <c r="DF11" i="22"/>
  <c r="DG11" i="22"/>
  <c r="DH11" i="22"/>
  <c r="Z11" i="22"/>
  <c r="D403" i="22"/>
  <c r="J403" i="22"/>
  <c r="C404" i="22"/>
  <c r="E404" i="22"/>
  <c r="G404" i="22"/>
  <c r="I404" i="22"/>
  <c r="B405" i="22"/>
  <c r="E401" i="22"/>
  <c r="J401" i="22"/>
  <c r="C350" i="22"/>
  <c r="E350" i="22"/>
  <c r="G350" i="22"/>
  <c r="I350" i="22"/>
  <c r="B351" i="22"/>
  <c r="D349" i="22"/>
  <c r="J349" i="22"/>
  <c r="CM9" i="22"/>
  <c r="CT9" i="22"/>
  <c r="C296" i="22"/>
  <c r="E296" i="22"/>
  <c r="G296" i="22"/>
  <c r="I296" i="22"/>
  <c r="B297" i="22"/>
  <c r="D295" i="22"/>
  <c r="J295" i="22"/>
  <c r="CM8" i="22"/>
  <c r="CT8" i="22"/>
  <c r="C242" i="22"/>
  <c r="F242" i="22" s="1"/>
  <c r="O242" i="22" s="1"/>
  <c r="E242" i="22"/>
  <c r="G242" i="22"/>
  <c r="I242" i="22"/>
  <c r="B243" i="22"/>
  <c r="D241" i="22"/>
  <c r="J241" i="22"/>
  <c r="N241" i="22" s="1"/>
  <c r="U241" i="22" s="1"/>
  <c r="CM7" i="22"/>
  <c r="CT7" i="22"/>
  <c r="M241" i="22"/>
  <c r="CU7" i="22"/>
  <c r="CV7" i="22"/>
  <c r="CW7" i="22"/>
  <c r="CX7" i="22"/>
  <c r="CY7" i="22"/>
  <c r="CZ7" i="22"/>
  <c r="DA7" i="22"/>
  <c r="DB7" i="22"/>
  <c r="DC7" i="22"/>
  <c r="DD7" i="22"/>
  <c r="DE7" i="22"/>
  <c r="DF7" i="22"/>
  <c r="DG7" i="22"/>
  <c r="DH7" i="22"/>
  <c r="Z7" i="22"/>
  <c r="I188" i="22"/>
  <c r="C188" i="22"/>
  <c r="E188" i="22"/>
  <c r="F188" i="22"/>
  <c r="O188" i="22" s="1"/>
  <c r="G188" i="22"/>
  <c r="B189" i="22"/>
  <c r="D187" i="22"/>
  <c r="J187" i="22"/>
  <c r="N187" i="22" s="1"/>
  <c r="U187" i="22" s="1"/>
  <c r="CM6" i="22"/>
  <c r="CT6" i="22"/>
  <c r="CU6" i="22"/>
  <c r="CV6" i="22"/>
  <c r="CW6" i="22"/>
  <c r="CX6" i="22"/>
  <c r="CY6" i="22"/>
  <c r="CZ6" i="22"/>
  <c r="DA6" i="22"/>
  <c r="DB6" i="22"/>
  <c r="DC6" i="22"/>
  <c r="DD6" i="22"/>
  <c r="DE6" i="22"/>
  <c r="DF6" i="22"/>
  <c r="DG6" i="22"/>
  <c r="DH6" i="22"/>
  <c r="M187" i="22"/>
  <c r="Z6" i="22"/>
  <c r="C134" i="22"/>
  <c r="E134" i="22"/>
  <c r="G134" i="22"/>
  <c r="I134" i="22"/>
  <c r="B135" i="22"/>
  <c r="J133" i="22"/>
  <c r="D133" i="22"/>
  <c r="CM5" i="22"/>
  <c r="CT5" i="22"/>
  <c r="A6" i="7"/>
  <c r="C34" i="7"/>
  <c r="C34" i="8"/>
  <c r="CU5" i="22"/>
  <c r="CV5" i="22"/>
  <c r="CW5" i="22"/>
  <c r="CX5" i="22"/>
  <c r="CY5" i="22"/>
  <c r="CZ5" i="22"/>
  <c r="DA5" i="22"/>
  <c r="DB5" i="22"/>
  <c r="DC5" i="22"/>
  <c r="DD5" i="22"/>
  <c r="DE5" i="22"/>
  <c r="DF5" i="22"/>
  <c r="DG5" i="22"/>
  <c r="DH5" i="22"/>
  <c r="Z5" i="22"/>
  <c r="C80" i="22"/>
  <c r="E80" i="22"/>
  <c r="G80" i="22"/>
  <c r="I80" i="22"/>
  <c r="B81" i="22"/>
  <c r="D79" i="22"/>
  <c r="J79" i="22"/>
  <c r="A807" i="23"/>
  <c r="A18" i="6"/>
  <c r="A19" i="7"/>
  <c r="A51" i="7"/>
  <c r="A82" i="7"/>
  <c r="A113" i="7"/>
  <c r="A19" i="8"/>
  <c r="A51" i="8"/>
  <c r="A81" i="8"/>
  <c r="A863" i="23"/>
  <c r="A19" i="6"/>
  <c r="A20" i="7"/>
  <c r="A52" i="7"/>
  <c r="A83" i="7"/>
  <c r="A114" i="7"/>
  <c r="A20" i="8"/>
  <c r="A52" i="8"/>
  <c r="A82" i="8"/>
  <c r="A919" i="23"/>
  <c r="A20" i="6"/>
  <c r="A21" i="7"/>
  <c r="A53" i="7"/>
  <c r="A84" i="7"/>
  <c r="A115" i="7"/>
  <c r="A21" i="8"/>
  <c r="A53" i="8"/>
  <c r="A83" i="8"/>
  <c r="A975" i="23"/>
  <c r="A21" i="6"/>
  <c r="A22" i="7"/>
  <c r="A54" i="7"/>
  <c r="A85" i="7"/>
  <c r="A116" i="7"/>
  <c r="A22" i="8"/>
  <c r="A54" i="8"/>
  <c r="A84" i="8"/>
  <c r="A1031" i="23"/>
  <c r="A22" i="6"/>
  <c r="A23" i="7"/>
  <c r="A55" i="7"/>
  <c r="A86" i="7"/>
  <c r="A117" i="7"/>
  <c r="A23" i="8"/>
  <c r="A55" i="8"/>
  <c r="A85" i="8"/>
  <c r="A1087" i="23"/>
  <c r="A23" i="6"/>
  <c r="A24" i="7"/>
  <c r="A56" i="7"/>
  <c r="A87" i="7"/>
  <c r="A118" i="7"/>
  <c r="A24" i="8"/>
  <c r="A56" i="8"/>
  <c r="A86" i="8"/>
  <c r="A1143" i="23"/>
  <c r="A24" i="6"/>
  <c r="A25" i="7"/>
  <c r="A57" i="7"/>
  <c r="A88" i="7"/>
  <c r="A119" i="7"/>
  <c r="A25" i="8"/>
  <c r="A57" i="8"/>
  <c r="A87" i="8"/>
  <c r="A1199" i="23"/>
  <c r="A25" i="6"/>
  <c r="A26" i="7"/>
  <c r="A58" i="7"/>
  <c r="A89" i="7"/>
  <c r="A120" i="7"/>
  <c r="A26" i="8"/>
  <c r="A58" i="8"/>
  <c r="A88" i="8"/>
  <c r="A1255" i="23"/>
  <c r="A26" i="6"/>
  <c r="A27" i="7"/>
  <c r="A59" i="7"/>
  <c r="A90" i="7"/>
  <c r="A121" i="7"/>
  <c r="A27" i="8"/>
  <c r="A59" i="8"/>
  <c r="A89" i="8"/>
  <c r="A1535" i="23"/>
  <c r="A31" i="6"/>
  <c r="A32" i="7"/>
  <c r="A64" i="7"/>
  <c r="A95" i="7"/>
  <c r="A126" i="7"/>
  <c r="A32" i="8"/>
  <c r="A64" i="8"/>
  <c r="A94" i="8"/>
  <c r="A1479" i="23"/>
  <c r="A30" i="6"/>
  <c r="A31" i="7"/>
  <c r="A63" i="7"/>
  <c r="A94" i="7"/>
  <c r="A125" i="7"/>
  <c r="A31" i="8"/>
  <c r="A63" i="8"/>
  <c r="A93" i="8"/>
  <c r="A1423" i="23"/>
  <c r="A29" i="6"/>
  <c r="A30" i="7"/>
  <c r="A62" i="7"/>
  <c r="A93" i="7"/>
  <c r="A124" i="7"/>
  <c r="A30" i="8"/>
  <c r="A62" i="8"/>
  <c r="A92" i="8"/>
  <c r="A1367" i="23"/>
  <c r="A28" i="6"/>
  <c r="A29" i="7"/>
  <c r="A61" i="7"/>
  <c r="A92" i="7"/>
  <c r="A123" i="7"/>
  <c r="A29" i="8"/>
  <c r="A61" i="8"/>
  <c r="A91" i="8"/>
  <c r="A1311" i="23"/>
  <c r="A27" i="6"/>
  <c r="A28" i="7"/>
  <c r="A60" i="7"/>
  <c r="A91" i="7"/>
  <c r="A122" i="7"/>
  <c r="A28" i="8"/>
  <c r="A60" i="8"/>
  <c r="A90" i="8"/>
  <c r="A247" i="23"/>
  <c r="A9" i="7"/>
  <c r="A41" i="7"/>
  <c r="A72" i="7"/>
  <c r="A103" i="7"/>
  <c r="A9" i="8"/>
  <c r="A41" i="8"/>
  <c r="A71" i="8"/>
  <c r="A8" i="6"/>
  <c r="A303" i="23"/>
  <c r="A9" i="6"/>
  <c r="A10" i="7"/>
  <c r="A42" i="7"/>
  <c r="A73" i="7"/>
  <c r="A104" i="7"/>
  <c r="A10" i="8"/>
  <c r="A42" i="8"/>
  <c r="A72" i="8"/>
  <c r="A359" i="23"/>
  <c r="A10" i="6"/>
  <c r="A11" i="7"/>
  <c r="A43" i="7"/>
  <c r="A74" i="7"/>
  <c r="A105" i="7"/>
  <c r="A11" i="8"/>
  <c r="A43" i="8"/>
  <c r="A73" i="8"/>
  <c r="A415" i="23"/>
  <c r="A11" i="6"/>
  <c r="A12" i="7"/>
  <c r="A44" i="7"/>
  <c r="A75" i="7"/>
  <c r="A106" i="7"/>
  <c r="A12" i="8"/>
  <c r="A44" i="8"/>
  <c r="A74" i="8"/>
  <c r="A471" i="23"/>
  <c r="A12" i="6"/>
  <c r="A13" i="7"/>
  <c r="A45" i="7"/>
  <c r="A76" i="7"/>
  <c r="A107" i="7"/>
  <c r="A13" i="8"/>
  <c r="A45" i="8"/>
  <c r="A75" i="8"/>
  <c r="A527" i="23"/>
  <c r="A13" i="6"/>
  <c r="A14" i="7"/>
  <c r="A46" i="7"/>
  <c r="A77" i="7"/>
  <c r="A108" i="7"/>
  <c r="A14" i="8"/>
  <c r="A46" i="8"/>
  <c r="A76" i="8"/>
  <c r="A583" i="23"/>
  <c r="A14" i="6"/>
  <c r="A15" i="7"/>
  <c r="A47" i="7"/>
  <c r="A78" i="7"/>
  <c r="A109" i="7"/>
  <c r="A15" i="8"/>
  <c r="A47" i="8"/>
  <c r="A77" i="8"/>
  <c r="A639" i="23"/>
  <c r="A15" i="6"/>
  <c r="A16" i="7"/>
  <c r="A48" i="7"/>
  <c r="A79" i="7"/>
  <c r="D17" i="17"/>
  <c r="J17" i="17"/>
  <c r="N17" i="17" s="1"/>
  <c r="C18" i="17"/>
  <c r="F18" i="17" s="1"/>
  <c r="C18" i="18" s="1"/>
  <c r="E18" i="17"/>
  <c r="G18" i="17"/>
  <c r="I18" i="17"/>
  <c r="B19" i="17"/>
  <c r="B18" i="18"/>
  <c r="Y16" i="17"/>
  <c r="B83" i="12"/>
  <c r="I83" i="12" s="1"/>
  <c r="X15" i="17"/>
  <c r="W17" i="17"/>
  <c r="W18" i="17"/>
  <c r="H4731" i="22"/>
  <c r="H4733" i="22"/>
  <c r="H64" i="17"/>
  <c r="D64" i="18" s="1"/>
  <c r="H4729" i="22"/>
  <c r="H33" i="17"/>
  <c r="D33" i="18" s="1"/>
  <c r="H34" i="17"/>
  <c r="D34" i="18" s="1"/>
  <c r="H35" i="17"/>
  <c r="D35" i="18" s="1"/>
  <c r="H36" i="17"/>
  <c r="D36" i="18" s="1"/>
  <c r="H37" i="17"/>
  <c r="D37" i="18" s="1"/>
  <c r="H38" i="17"/>
  <c r="H39" i="17"/>
  <c r="D39" i="18" s="1"/>
  <c r="H40" i="17"/>
  <c r="D40" i="18" s="1"/>
  <c r="H41" i="17"/>
  <c r="H42" i="17"/>
  <c r="D42" i="18" s="1"/>
  <c r="H43" i="17"/>
  <c r="D43" i="18" s="1"/>
  <c r="H44" i="17"/>
  <c r="D44" i="18" s="1"/>
  <c r="H45" i="17"/>
  <c r="D45" i="18" s="1"/>
  <c r="H46" i="17"/>
  <c r="D46" i="18" s="1"/>
  <c r="H47" i="17"/>
  <c r="D47" i="18" s="1"/>
  <c r="H48" i="17"/>
  <c r="D48" i="18" s="1"/>
  <c r="H49" i="17"/>
  <c r="D49" i="18" s="1"/>
  <c r="H50" i="17"/>
  <c r="H51" i="17"/>
  <c r="D51" i="18" s="1"/>
  <c r="H52" i="17"/>
  <c r="D52" i="18" s="1"/>
  <c r="H53" i="17"/>
  <c r="D53" i="18" s="1"/>
  <c r="H54" i="17"/>
  <c r="D54" i="18" s="1"/>
  <c r="H55" i="17"/>
  <c r="D55" i="18" s="1"/>
  <c r="H56" i="17"/>
  <c r="D56" i="18" s="1"/>
  <c r="H57" i="17"/>
  <c r="D57" i="18" s="1"/>
  <c r="H58" i="17"/>
  <c r="D58" i="18" s="1"/>
  <c r="H59" i="17"/>
  <c r="D59" i="18" s="1"/>
  <c r="H60" i="17"/>
  <c r="D60" i="18" s="1"/>
  <c r="H61" i="17"/>
  <c r="D61" i="18" s="1"/>
  <c r="H62" i="17"/>
  <c r="D62" i="18" s="1"/>
  <c r="H63" i="17"/>
  <c r="D63" i="18" s="1"/>
  <c r="H4051" i="22"/>
  <c r="H4052" i="22"/>
  <c r="H4053" i="22"/>
  <c r="H4054" i="22"/>
  <c r="H4055" i="22"/>
  <c r="H4056" i="22"/>
  <c r="H4057" i="22"/>
  <c r="H4058" i="22"/>
  <c r="H4059" i="22"/>
  <c r="H4060" i="22"/>
  <c r="H4061" i="22"/>
  <c r="H4062" i="22"/>
  <c r="H4063" i="22"/>
  <c r="H4064" i="22"/>
  <c r="H4065" i="22"/>
  <c r="H4066" i="22"/>
  <c r="H4067" i="22"/>
  <c r="H4068" i="22"/>
  <c r="H4069" i="22"/>
  <c r="H4070" i="22"/>
  <c r="H4071" i="22"/>
  <c r="H4072" i="22"/>
  <c r="H4073" i="22"/>
  <c r="H4074" i="22"/>
  <c r="H4075" i="22"/>
  <c r="H4076" i="22"/>
  <c r="H4077" i="22"/>
  <c r="H4078" i="22"/>
  <c r="H4079" i="22"/>
  <c r="H4080" i="22"/>
  <c r="H4081" i="22"/>
  <c r="H4082" i="22"/>
  <c r="H4083" i="22"/>
  <c r="H4084" i="22"/>
  <c r="H4085" i="22"/>
  <c r="H4086" i="22"/>
  <c r="H4087" i="22"/>
  <c r="H4088" i="22"/>
  <c r="H4089" i="22"/>
  <c r="H4090" i="22"/>
  <c r="H4091" i="22"/>
  <c r="H4092" i="22"/>
  <c r="H4093" i="22"/>
  <c r="H4094" i="22"/>
  <c r="H4095" i="22"/>
  <c r="H4096" i="22"/>
  <c r="H4097" i="22"/>
  <c r="H4098" i="22"/>
  <c r="H4105" i="22"/>
  <c r="H4106" i="22"/>
  <c r="H4107" i="22"/>
  <c r="H4108" i="22"/>
  <c r="H4109" i="22"/>
  <c r="H4110" i="22"/>
  <c r="H4111" i="22"/>
  <c r="H4112" i="22"/>
  <c r="H4113" i="22"/>
  <c r="H4114" i="22"/>
  <c r="H4115" i="22"/>
  <c r="H4116" i="22"/>
  <c r="H4117" i="22"/>
  <c r="H4118" i="22"/>
  <c r="H4119" i="22"/>
  <c r="H4120" i="22"/>
  <c r="H4121" i="22"/>
  <c r="H4122" i="22"/>
  <c r="H4123" i="22"/>
  <c r="H4124" i="22"/>
  <c r="H4125" i="22"/>
  <c r="H4126" i="22"/>
  <c r="H4127" i="22"/>
  <c r="H4128" i="22"/>
  <c r="H4129" i="22"/>
  <c r="H4130" i="22"/>
  <c r="H4131" i="22"/>
  <c r="H4132" i="22"/>
  <c r="H4133" i="22"/>
  <c r="H4134" i="22"/>
  <c r="H4135" i="22"/>
  <c r="H4136" i="22"/>
  <c r="H4137" i="22"/>
  <c r="H4138" i="22"/>
  <c r="H4139" i="22"/>
  <c r="H4140" i="22"/>
  <c r="H4141" i="22"/>
  <c r="H4142" i="22"/>
  <c r="H4143" i="22"/>
  <c r="H4144" i="22"/>
  <c r="H4145" i="22"/>
  <c r="H4146" i="22"/>
  <c r="H4147" i="22"/>
  <c r="H4148" i="22"/>
  <c r="H4149" i="22"/>
  <c r="H4150" i="22"/>
  <c r="H4151" i="22"/>
  <c r="H4152" i="22"/>
  <c r="H4159" i="22"/>
  <c r="H4160" i="22"/>
  <c r="H4161" i="22"/>
  <c r="H4162" i="22"/>
  <c r="H4163" i="22"/>
  <c r="H4164" i="22"/>
  <c r="H4165" i="22"/>
  <c r="H4166" i="22"/>
  <c r="H4167" i="22"/>
  <c r="H4168" i="22"/>
  <c r="H4169" i="22"/>
  <c r="H4170" i="22"/>
  <c r="H4171" i="22"/>
  <c r="H4172" i="22"/>
  <c r="H4173" i="22"/>
  <c r="H4174" i="22"/>
  <c r="H4175" i="22"/>
  <c r="H4176" i="22"/>
  <c r="H4177" i="22"/>
  <c r="H4178" i="22"/>
  <c r="H4179" i="22"/>
  <c r="H4180" i="22"/>
  <c r="H4181" i="22"/>
  <c r="H4182" i="22"/>
  <c r="H4183" i="22"/>
  <c r="H4184" i="22"/>
  <c r="H4185" i="22"/>
  <c r="H4186" i="22"/>
  <c r="H4187" i="22"/>
  <c r="H4188" i="22"/>
  <c r="H4189" i="22"/>
  <c r="H4190" i="22"/>
  <c r="H4191" i="22"/>
  <c r="H4192" i="22"/>
  <c r="H4193" i="22"/>
  <c r="H4194" i="22"/>
  <c r="H4195" i="22"/>
  <c r="H4196" i="22"/>
  <c r="H4197" i="22"/>
  <c r="H4232" i="22"/>
  <c r="H4233" i="22"/>
  <c r="H4234" i="22"/>
  <c r="H4235" i="22"/>
  <c r="H4236" i="22"/>
  <c r="H4237" i="22"/>
  <c r="H4238" i="22"/>
  <c r="H4239" i="22"/>
  <c r="H4240" i="22"/>
  <c r="H4241" i="22"/>
  <c r="H4242" i="22"/>
  <c r="H4243" i="22"/>
  <c r="H4244" i="22"/>
  <c r="H4245" i="22"/>
  <c r="H4246" i="22"/>
  <c r="H4247" i="22"/>
  <c r="H4248" i="22"/>
  <c r="H4249" i="22"/>
  <c r="H4250" i="22"/>
  <c r="H4251" i="22"/>
  <c r="H4252" i="22"/>
  <c r="H4253" i="22"/>
  <c r="H4254" i="22"/>
  <c r="H4255" i="22"/>
  <c r="H4256" i="22"/>
  <c r="H4257" i="22"/>
  <c r="H4258" i="22"/>
  <c r="H4259" i="22"/>
  <c r="H4260" i="22"/>
  <c r="H4513" i="22"/>
  <c r="H4514" i="22"/>
  <c r="H4515" i="22"/>
  <c r="H4516" i="22"/>
  <c r="H4517" i="22"/>
  <c r="H4518" i="22"/>
  <c r="H4519" i="22"/>
  <c r="H4520" i="22"/>
  <c r="H4521" i="22"/>
  <c r="H4522" i="22"/>
  <c r="H4523" i="22"/>
  <c r="H4524" i="22"/>
  <c r="H4525" i="22"/>
  <c r="H4526" i="22"/>
  <c r="H4527" i="22"/>
  <c r="H4528" i="22"/>
  <c r="H4529" i="22"/>
  <c r="H4530" i="22"/>
  <c r="H4531" i="22"/>
  <c r="H4532" i="22"/>
  <c r="H4533" i="22"/>
  <c r="H4534" i="22"/>
  <c r="H4535" i="22"/>
  <c r="H4536" i="22"/>
  <c r="H4537" i="22"/>
  <c r="H4538" i="22"/>
  <c r="H4539" i="22"/>
  <c r="H4540" i="22"/>
  <c r="H4541" i="22"/>
  <c r="H4542" i="22"/>
  <c r="H4543" i="22"/>
  <c r="H4544" i="22"/>
  <c r="H4545" i="22"/>
  <c r="H4546" i="22"/>
  <c r="H4547" i="22"/>
  <c r="H4548" i="22"/>
  <c r="H4549" i="22"/>
  <c r="H4550" i="22"/>
  <c r="H4551" i="22"/>
  <c r="H4552" i="22"/>
  <c r="H4553" i="22"/>
  <c r="H4554" i="22"/>
  <c r="H4555" i="22"/>
  <c r="H4556" i="22"/>
  <c r="H4557" i="22"/>
  <c r="H4558" i="22"/>
  <c r="H4559" i="22"/>
  <c r="H4560" i="22"/>
  <c r="H4567" i="22"/>
  <c r="H4568" i="22"/>
  <c r="H4569" i="22"/>
  <c r="H4570" i="22"/>
  <c r="H4571" i="22"/>
  <c r="H4572" i="22"/>
  <c r="H4573" i="22"/>
  <c r="H4574" i="22"/>
  <c r="H4575" i="22"/>
  <c r="H4576" i="22"/>
  <c r="H4577" i="22"/>
  <c r="H4578" i="22"/>
  <c r="H4579" i="22"/>
  <c r="H4580" i="22"/>
  <c r="H4581" i="22"/>
  <c r="H4582" i="22"/>
  <c r="H4583" i="22"/>
  <c r="H4584" i="22"/>
  <c r="H4585" i="22"/>
  <c r="H4586" i="22"/>
  <c r="H4587" i="22"/>
  <c r="H4588" i="22"/>
  <c r="H4589" i="22"/>
  <c r="H4590" i="22"/>
  <c r="H4591" i="22"/>
  <c r="H4592" i="22"/>
  <c r="H4593" i="22"/>
  <c r="H4594" i="22"/>
  <c r="H4595" i="22"/>
  <c r="H4596" i="22"/>
  <c r="H4597" i="22"/>
  <c r="H4598" i="22"/>
  <c r="H4599" i="22"/>
  <c r="H4600" i="22"/>
  <c r="H4601" i="22"/>
  <c r="H4602" i="22"/>
  <c r="H4603" i="22"/>
  <c r="H4604" i="22"/>
  <c r="H4605" i="22"/>
  <c r="H4606" i="22"/>
  <c r="H4607" i="22"/>
  <c r="H4608" i="22"/>
  <c r="H4609" i="22"/>
  <c r="H4610" i="22"/>
  <c r="H4611" i="22"/>
  <c r="H4612" i="22"/>
  <c r="H4613" i="22"/>
  <c r="H4614" i="22"/>
  <c r="H4621" i="22"/>
  <c r="H4622" i="22"/>
  <c r="H4623" i="22"/>
  <c r="H4624" i="22"/>
  <c r="H4625" i="22"/>
  <c r="H4626" i="22"/>
  <c r="H4627" i="22"/>
  <c r="H4628" i="22"/>
  <c r="H4629" i="22"/>
  <c r="H4630" i="22"/>
  <c r="H4631" i="22"/>
  <c r="H4632" i="22"/>
  <c r="H4633" i="22"/>
  <c r="H4634" i="22"/>
  <c r="H4635" i="22"/>
  <c r="H4636" i="22"/>
  <c r="H4637" i="22"/>
  <c r="H4638" i="22"/>
  <c r="H4639" i="22"/>
  <c r="H4640" i="22"/>
  <c r="H4641" i="22"/>
  <c r="H4642" i="22"/>
  <c r="H4643" i="22"/>
  <c r="H4644" i="22"/>
  <c r="H4645" i="22"/>
  <c r="H4646" i="22"/>
  <c r="H4647" i="22"/>
  <c r="H4648" i="22"/>
  <c r="H4649" i="22"/>
  <c r="H4650" i="22"/>
  <c r="H4651" i="22"/>
  <c r="H4652" i="22"/>
  <c r="H4653" i="22"/>
  <c r="H4654" i="22"/>
  <c r="H4655" i="22"/>
  <c r="H4656" i="22"/>
  <c r="H4657" i="22"/>
  <c r="H4658" i="22"/>
  <c r="H4659" i="22"/>
  <c r="H4660" i="22"/>
  <c r="H4661" i="22"/>
  <c r="H4662" i="22"/>
  <c r="H4663" i="22"/>
  <c r="H4664" i="22"/>
  <c r="H4665" i="22"/>
  <c r="H4666" i="22"/>
  <c r="H4667" i="22"/>
  <c r="H4668" i="22"/>
  <c r="H4734" i="22"/>
  <c r="H4736" i="22"/>
  <c r="H4737" i="22"/>
  <c r="H4738" i="22"/>
  <c r="H4739" i="22"/>
  <c r="H4740" i="22"/>
  <c r="H4741" i="22"/>
  <c r="H4742" i="22"/>
  <c r="H4743" i="22"/>
  <c r="H4744" i="22"/>
  <c r="H4745" i="22"/>
  <c r="H4746" i="22"/>
  <c r="H4747" i="22"/>
  <c r="H4748" i="22"/>
  <c r="H4749" i="22"/>
  <c r="H4750" i="22"/>
  <c r="H4751" i="22"/>
  <c r="H4752" i="22"/>
  <c r="H4753" i="22"/>
  <c r="H4754" i="22"/>
  <c r="H4755" i="22"/>
  <c r="H4756" i="22"/>
  <c r="H4757" i="22"/>
  <c r="H4758" i="22"/>
  <c r="H4759" i="22"/>
  <c r="H4760" i="22"/>
  <c r="H4761" i="22"/>
  <c r="H4762" i="22"/>
  <c r="H4763" i="22"/>
  <c r="H4764" i="22"/>
  <c r="H4765" i="22"/>
  <c r="H4766" i="22"/>
  <c r="H4767" i="22"/>
  <c r="H4768" i="22"/>
  <c r="H4769" i="22"/>
  <c r="H4770" i="22"/>
  <c r="H4771" i="22"/>
  <c r="H4772" i="22"/>
  <c r="H4773" i="22"/>
  <c r="H4774" i="22"/>
  <c r="H4775" i="22"/>
  <c r="H4776" i="22"/>
  <c r="H4730" i="22"/>
  <c r="H4732" i="22"/>
  <c r="H4735" i="22"/>
  <c r="D17" i="18"/>
  <c r="D9" i="14"/>
  <c r="D10" i="14"/>
  <c r="D11" i="14"/>
  <c r="D12" i="14"/>
  <c r="D13" i="14"/>
  <c r="D14" i="14"/>
  <c r="D15" i="14"/>
  <c r="D16" i="14"/>
  <c r="D17" i="14"/>
  <c r="D18" i="14"/>
  <c r="D19" i="14"/>
  <c r="D20" i="14"/>
  <c r="D21" i="14"/>
  <c r="D22" i="14"/>
  <c r="D23" i="14"/>
  <c r="D24" i="14"/>
  <c r="D25" i="14"/>
  <c r="D26" i="14"/>
  <c r="D27" i="14"/>
  <c r="D28" i="14"/>
  <c r="C33" i="6"/>
  <c r="D33" i="6"/>
  <c r="E33" i="6"/>
  <c r="W33" i="6"/>
  <c r="Z33" i="6"/>
  <c r="AC33" i="6"/>
  <c r="I2293" i="22"/>
  <c r="I4729" i="22"/>
  <c r="E17" i="19"/>
  <c r="H33" i="10"/>
  <c r="Z72" i="22"/>
  <c r="Z71" i="22"/>
  <c r="Z55" i="22"/>
  <c r="K3751" i="22"/>
  <c r="L3751" i="22"/>
  <c r="L3752" i="22"/>
  <c r="A72" i="22"/>
  <c r="K3697" i="22"/>
  <c r="L3697" i="22"/>
  <c r="L3698" i="22"/>
  <c r="A71" i="22"/>
  <c r="D73" i="5"/>
  <c r="E73" i="5"/>
  <c r="F73" i="5"/>
  <c r="J73" i="5"/>
  <c r="O73" i="5"/>
  <c r="Q73" i="5"/>
  <c r="AB73" i="5"/>
  <c r="G73" i="5"/>
  <c r="I73" i="5"/>
  <c r="M73" i="5"/>
  <c r="P73" i="5"/>
  <c r="AA73" i="5"/>
  <c r="AC73" i="5"/>
  <c r="H73" i="5"/>
  <c r="K73" i="5"/>
  <c r="L73" i="5"/>
  <c r="N73" i="5"/>
  <c r="K3643" i="22"/>
  <c r="L3643" i="22"/>
  <c r="L3644" i="22"/>
  <c r="B3691" i="22"/>
  <c r="C70" i="22" s="1"/>
  <c r="A70" i="22"/>
  <c r="D72" i="5"/>
  <c r="E72" i="5"/>
  <c r="F72" i="5"/>
  <c r="G72" i="5"/>
  <c r="H72" i="5"/>
  <c r="I72" i="5"/>
  <c r="J72" i="5"/>
  <c r="K72" i="5"/>
  <c r="L72" i="5"/>
  <c r="M72" i="5"/>
  <c r="N72" i="5"/>
  <c r="O72" i="5"/>
  <c r="P72" i="5"/>
  <c r="Q72" i="5"/>
  <c r="AA72" i="5"/>
  <c r="AB72" i="5"/>
  <c r="AC72" i="5"/>
  <c r="D71" i="5"/>
  <c r="E71" i="5"/>
  <c r="F71" i="5"/>
  <c r="G71" i="5"/>
  <c r="H71" i="5"/>
  <c r="I71" i="5"/>
  <c r="J71" i="5"/>
  <c r="K71" i="5"/>
  <c r="L71" i="5"/>
  <c r="M71" i="5"/>
  <c r="N71" i="5"/>
  <c r="O71" i="5"/>
  <c r="P71" i="5"/>
  <c r="Q71" i="5"/>
  <c r="AA71" i="5"/>
  <c r="AB71" i="5"/>
  <c r="AC71" i="5"/>
  <c r="L3589" i="22"/>
  <c r="A69" i="22"/>
  <c r="K3589" i="22"/>
  <c r="L3590" i="22"/>
  <c r="B3637" i="22"/>
  <c r="C69" i="22" s="1"/>
  <c r="D70" i="5"/>
  <c r="E70" i="5"/>
  <c r="F70" i="5"/>
  <c r="G70" i="5"/>
  <c r="H70" i="5"/>
  <c r="I70" i="5"/>
  <c r="J70" i="5"/>
  <c r="K70" i="5"/>
  <c r="L70" i="5"/>
  <c r="M70" i="5"/>
  <c r="N70" i="5"/>
  <c r="O70" i="5"/>
  <c r="P70" i="5"/>
  <c r="Q70" i="5"/>
  <c r="AA70" i="5"/>
  <c r="AB70" i="5"/>
  <c r="AC70" i="5"/>
  <c r="D69" i="5"/>
  <c r="E69" i="5"/>
  <c r="F69" i="5"/>
  <c r="G69" i="5"/>
  <c r="H69" i="5"/>
  <c r="I69" i="5"/>
  <c r="J69" i="5"/>
  <c r="K69" i="5"/>
  <c r="L69" i="5"/>
  <c r="M69" i="5"/>
  <c r="N69" i="5"/>
  <c r="O69" i="5"/>
  <c r="AC69" i="5" s="1"/>
  <c r="P69" i="5"/>
  <c r="Q69" i="5"/>
  <c r="AA69" i="5"/>
  <c r="AB69" i="5"/>
  <c r="K3481" i="22"/>
  <c r="L3481" i="22"/>
  <c r="L3482" i="22"/>
  <c r="B3529" i="22"/>
  <c r="C67" i="22" s="1"/>
  <c r="A67" i="22"/>
  <c r="K3427" i="22"/>
  <c r="L3427" i="22"/>
  <c r="L3428" i="22"/>
  <c r="A66" i="22"/>
  <c r="D68" i="5"/>
  <c r="E68" i="5"/>
  <c r="F68" i="5"/>
  <c r="N68" i="5"/>
  <c r="Q68" i="5"/>
  <c r="K3373" i="22"/>
  <c r="L3373" i="22"/>
  <c r="L3374" i="22"/>
  <c r="A65" i="22"/>
  <c r="D67" i="5"/>
  <c r="E67" i="5"/>
  <c r="F67" i="5"/>
  <c r="N67" i="5"/>
  <c r="Q67" i="5"/>
  <c r="K3319" i="22"/>
  <c r="L3319" i="22"/>
  <c r="L3320" i="22"/>
  <c r="B3367" i="22"/>
  <c r="C64" i="22" s="1"/>
  <c r="A64" i="22"/>
  <c r="D66" i="5"/>
  <c r="E66" i="5"/>
  <c r="F66" i="5"/>
  <c r="N66" i="5"/>
  <c r="Q66" i="5"/>
  <c r="D65" i="5"/>
  <c r="E65" i="5"/>
  <c r="F65" i="5"/>
  <c r="N65" i="5"/>
  <c r="Q65" i="5"/>
  <c r="K3265" i="22"/>
  <c r="L3265" i="22"/>
  <c r="L3266" i="22"/>
  <c r="B3313" i="22"/>
  <c r="C63" i="22" s="1"/>
  <c r="A63" i="22"/>
  <c r="D64" i="5"/>
  <c r="E64" i="5"/>
  <c r="F64" i="5"/>
  <c r="N64" i="5"/>
  <c r="Q64" i="5"/>
  <c r="D63" i="5"/>
  <c r="E63" i="5"/>
  <c r="F63" i="5"/>
  <c r="N63" i="5"/>
  <c r="Q63" i="5"/>
  <c r="D62" i="5"/>
  <c r="E62" i="5"/>
  <c r="F62" i="5"/>
  <c r="N62" i="5"/>
  <c r="Q62" i="5"/>
  <c r="D61" i="5"/>
  <c r="E61" i="5"/>
  <c r="F61" i="5"/>
  <c r="N61" i="5"/>
  <c r="Q61" i="5"/>
  <c r="D60" i="5"/>
  <c r="E60" i="5"/>
  <c r="F60" i="5"/>
  <c r="N60" i="5"/>
  <c r="Q60" i="5"/>
  <c r="D59" i="5"/>
  <c r="E59" i="5"/>
  <c r="F59" i="5"/>
  <c r="N59" i="5"/>
  <c r="Q59" i="5"/>
  <c r="K2887" i="22"/>
  <c r="L2887" i="22"/>
  <c r="L2888" i="22"/>
  <c r="B2935" i="22"/>
  <c r="C56" i="22" s="1"/>
  <c r="A56" i="22"/>
  <c r="D58" i="5"/>
  <c r="E58" i="5"/>
  <c r="F58" i="5"/>
  <c r="N58" i="5"/>
  <c r="Q58" i="5"/>
  <c r="D57" i="5"/>
  <c r="E57" i="5"/>
  <c r="F57" i="5"/>
  <c r="N57" i="5"/>
  <c r="Q57" i="5"/>
  <c r="K2833" i="22"/>
  <c r="L2833" i="22"/>
  <c r="L2834" i="22"/>
  <c r="A55" i="22"/>
  <c r="D56" i="5"/>
  <c r="E56" i="5"/>
  <c r="F56" i="5"/>
  <c r="J56" i="5"/>
  <c r="N56" i="5"/>
  <c r="K2779" i="22"/>
  <c r="L2779" i="22"/>
  <c r="L2780" i="22"/>
  <c r="B2827" i="22"/>
  <c r="C54" i="22" s="1"/>
  <c r="A54" i="22"/>
  <c r="K2725" i="22"/>
  <c r="L2725" i="22"/>
  <c r="L2726" i="22"/>
  <c r="B2773" i="22"/>
  <c r="C53" i="22" s="1"/>
  <c r="A53" i="22"/>
  <c r="D55" i="5"/>
  <c r="E55" i="5"/>
  <c r="F55" i="5"/>
  <c r="N55" i="5"/>
  <c r="Q55" i="5"/>
  <c r="D54" i="5"/>
  <c r="E54" i="5"/>
  <c r="F54" i="5"/>
  <c r="N54" i="5"/>
  <c r="Q54" i="5"/>
  <c r="D53" i="5"/>
  <c r="E53" i="5"/>
  <c r="F53" i="5"/>
  <c r="N53" i="5"/>
  <c r="Q53" i="5"/>
  <c r="D52" i="5"/>
  <c r="E52" i="5"/>
  <c r="F52" i="5"/>
  <c r="N52" i="5"/>
  <c r="Q52" i="5"/>
  <c r="K2563" i="22"/>
  <c r="L2563" i="22"/>
  <c r="L2564" i="22"/>
  <c r="B2611" i="22"/>
  <c r="C50" i="22" s="1"/>
  <c r="A50" i="22"/>
  <c r="D51" i="5"/>
  <c r="E51" i="5"/>
  <c r="F51" i="5"/>
  <c r="N51" i="5"/>
  <c r="Q51" i="5"/>
  <c r="K2509" i="22"/>
  <c r="L2509" i="22"/>
  <c r="L2510" i="22"/>
  <c r="A49" i="22"/>
  <c r="K2455" i="22"/>
  <c r="L2455" i="22"/>
  <c r="L2456" i="22"/>
  <c r="B2503" i="22"/>
  <c r="C48" i="22" s="1"/>
  <c r="A48" i="22"/>
  <c r="D50" i="5"/>
  <c r="E50" i="5"/>
  <c r="F50" i="5"/>
  <c r="N50" i="5"/>
  <c r="Q50" i="5"/>
  <c r="D49" i="5"/>
  <c r="E49" i="5"/>
  <c r="F49" i="5"/>
  <c r="N49" i="5"/>
  <c r="Q49" i="5"/>
  <c r="D48" i="5"/>
  <c r="E48" i="5"/>
  <c r="F48" i="5"/>
  <c r="N48" i="5"/>
  <c r="Q48" i="5"/>
  <c r="D47" i="5"/>
  <c r="E47" i="5"/>
  <c r="F47" i="5"/>
  <c r="N47" i="5"/>
  <c r="Q47" i="5"/>
  <c r="K2239" i="22"/>
  <c r="L2239" i="22"/>
  <c r="L2240" i="22"/>
  <c r="B2287" i="22"/>
  <c r="C44" i="22" s="1"/>
  <c r="A44" i="22"/>
  <c r="D46" i="5"/>
  <c r="E46" i="5"/>
  <c r="F46" i="5"/>
  <c r="N46" i="5"/>
  <c r="Q46" i="5"/>
  <c r="K2185" i="22"/>
  <c r="L2185" i="22"/>
  <c r="L2186" i="22"/>
  <c r="A43" i="22"/>
  <c r="D45" i="5"/>
  <c r="E45" i="5"/>
  <c r="F45" i="5"/>
  <c r="N45" i="5"/>
  <c r="Q45" i="5"/>
  <c r="K2131" i="22"/>
  <c r="L2131" i="22"/>
  <c r="L2132" i="22"/>
  <c r="B2179" i="22"/>
  <c r="C42" i="22" s="1"/>
  <c r="A42" i="22"/>
  <c r="D44" i="5"/>
  <c r="E44" i="5"/>
  <c r="F44" i="5"/>
  <c r="N44" i="5"/>
  <c r="Q44" i="5"/>
  <c r="D43" i="5"/>
  <c r="E43" i="5"/>
  <c r="F43" i="5"/>
  <c r="N43" i="5"/>
  <c r="Q43" i="5"/>
  <c r="D42" i="5"/>
  <c r="E42" i="5"/>
  <c r="F42" i="5"/>
  <c r="N42" i="5"/>
  <c r="Q42" i="5"/>
  <c r="D41" i="5"/>
  <c r="E41" i="5"/>
  <c r="F41" i="5"/>
  <c r="N41" i="5"/>
  <c r="Q41" i="5"/>
  <c r="D40" i="5"/>
  <c r="E40" i="5"/>
  <c r="F40" i="5"/>
  <c r="N40" i="5"/>
  <c r="Q40" i="5"/>
  <c r="K1915" i="22"/>
  <c r="L1915" i="22"/>
  <c r="L1916" i="22"/>
  <c r="B1963" i="22"/>
  <c r="C38" i="22" s="1"/>
  <c r="A38" i="22"/>
  <c r="K1861" i="22"/>
  <c r="L1861" i="22"/>
  <c r="L1862" i="22"/>
  <c r="B1909" i="22"/>
  <c r="C37" i="22" s="1"/>
  <c r="A37" i="22"/>
  <c r="D39" i="5"/>
  <c r="E39" i="5"/>
  <c r="F39" i="5"/>
  <c r="N39" i="5"/>
  <c r="Q39" i="5"/>
  <c r="D38" i="5"/>
  <c r="E38" i="5"/>
  <c r="F38" i="5"/>
  <c r="N38" i="5"/>
  <c r="Q38" i="5"/>
  <c r="K1807" i="22"/>
  <c r="L1807" i="22"/>
  <c r="L1808" i="22"/>
  <c r="B1855" i="22"/>
  <c r="C36" i="22" s="1"/>
  <c r="A36" i="22"/>
  <c r="D37" i="5"/>
  <c r="E37" i="5"/>
  <c r="F37" i="5"/>
  <c r="N37" i="5"/>
  <c r="Q37" i="5"/>
  <c r="D36" i="5"/>
  <c r="E36" i="5"/>
  <c r="F36" i="5"/>
  <c r="N36" i="5"/>
  <c r="Q36" i="5"/>
  <c r="K1645" i="22"/>
  <c r="L1645" i="22"/>
  <c r="L1646" i="22"/>
  <c r="B1693" i="22"/>
  <c r="C33" i="22" s="1"/>
  <c r="A33" i="22"/>
  <c r="D35" i="5"/>
  <c r="E35" i="5"/>
  <c r="F35" i="5"/>
  <c r="N35" i="5"/>
  <c r="Q35" i="5"/>
  <c r="D34" i="5"/>
  <c r="E34" i="5"/>
  <c r="F34" i="5"/>
  <c r="N34" i="5"/>
  <c r="Q34" i="5"/>
  <c r="K1591" i="22"/>
  <c r="L1591" i="22"/>
  <c r="L1592" i="22"/>
  <c r="A32" i="22"/>
  <c r="D33" i="5"/>
  <c r="E33" i="5"/>
  <c r="F33" i="5"/>
  <c r="N33" i="5"/>
  <c r="Q33" i="5"/>
  <c r="K1537" i="22"/>
  <c r="L1537" i="22"/>
  <c r="L1538" i="22"/>
  <c r="B1585" i="22"/>
  <c r="C31" i="22" s="1"/>
  <c r="A31" i="22"/>
  <c r="D32" i="5"/>
  <c r="E32" i="5"/>
  <c r="F32" i="5"/>
  <c r="N32" i="5"/>
  <c r="Q32" i="5"/>
  <c r="K1483" i="22"/>
  <c r="L1483" i="22"/>
  <c r="L1484" i="22"/>
  <c r="B1531" i="22"/>
  <c r="C30" i="22" s="1"/>
  <c r="A30" i="22"/>
  <c r="D31" i="5"/>
  <c r="E31" i="5"/>
  <c r="F31" i="5"/>
  <c r="N31" i="5"/>
  <c r="Q31" i="5"/>
  <c r="D30" i="5"/>
  <c r="E30" i="5"/>
  <c r="F30" i="5"/>
  <c r="N30" i="5"/>
  <c r="Q30" i="5"/>
  <c r="D29" i="5"/>
  <c r="E29" i="5"/>
  <c r="F29" i="5"/>
  <c r="N29" i="5"/>
  <c r="Q29" i="5"/>
  <c r="K1321" i="22"/>
  <c r="L1321" i="22"/>
  <c r="L1322" i="22"/>
  <c r="B1369" i="22"/>
  <c r="C27" i="22" s="1"/>
  <c r="A27" i="22"/>
  <c r="D28" i="5"/>
  <c r="E28" i="5"/>
  <c r="F28" i="5"/>
  <c r="N28" i="5"/>
  <c r="Q28" i="5"/>
  <c r="K1267" i="22"/>
  <c r="L1267" i="22"/>
  <c r="L1268" i="22"/>
  <c r="A26" i="22"/>
  <c r="K1213" i="22"/>
  <c r="L1213" i="22"/>
  <c r="L1214" i="22"/>
  <c r="B1261" i="22"/>
  <c r="C25" i="22" s="1"/>
  <c r="A25" i="22"/>
  <c r="D27" i="5"/>
  <c r="E27" i="5"/>
  <c r="F27" i="5"/>
  <c r="N27" i="5"/>
  <c r="Q27" i="5"/>
  <c r="D26" i="5"/>
  <c r="E26" i="5"/>
  <c r="F26" i="5"/>
  <c r="N26" i="5"/>
  <c r="Q26" i="5"/>
  <c r="D25" i="5"/>
  <c r="E25" i="5"/>
  <c r="F25" i="5"/>
  <c r="N25" i="5"/>
  <c r="Q25" i="5"/>
  <c r="D24" i="5"/>
  <c r="E24" i="5"/>
  <c r="F24" i="5"/>
  <c r="N24" i="5"/>
  <c r="Q24" i="5"/>
  <c r="K997" i="22"/>
  <c r="L997" i="22"/>
  <c r="L998" i="22"/>
  <c r="B1045" i="22"/>
  <c r="C21" i="22" s="1"/>
  <c r="A21" i="22"/>
  <c r="D23" i="5"/>
  <c r="E23" i="5"/>
  <c r="F23" i="5"/>
  <c r="N23" i="5"/>
  <c r="Q23" i="5"/>
  <c r="D22" i="5"/>
  <c r="E22" i="5"/>
  <c r="F22" i="5"/>
  <c r="N22" i="5"/>
  <c r="Q22" i="5"/>
  <c r="K943" i="22"/>
  <c r="L943" i="22"/>
  <c r="L944" i="22"/>
  <c r="A20" i="22"/>
  <c r="D21" i="5"/>
  <c r="E21" i="5"/>
  <c r="F21" i="5"/>
  <c r="N21" i="5"/>
  <c r="Q21" i="5"/>
  <c r="K889" i="22"/>
  <c r="L889" i="22"/>
  <c r="L890" i="22"/>
  <c r="B937" i="22"/>
  <c r="C19" i="22" s="1"/>
  <c r="A19" i="22"/>
  <c r="K835" i="22"/>
  <c r="L835" i="22"/>
  <c r="L836" i="22"/>
  <c r="B883" i="22"/>
  <c r="C18" i="22" s="1"/>
  <c r="A18" i="22"/>
  <c r="D20" i="5"/>
  <c r="E20" i="5"/>
  <c r="F20" i="5"/>
  <c r="N20" i="5"/>
  <c r="Q20" i="5"/>
  <c r="K781" i="22"/>
  <c r="L781" i="22"/>
  <c r="L782" i="22"/>
  <c r="B829" i="22"/>
  <c r="C17" i="22" s="1"/>
  <c r="A17" i="22"/>
  <c r="D19" i="5"/>
  <c r="E19" i="5"/>
  <c r="F19" i="5"/>
  <c r="N19" i="5"/>
  <c r="Q19" i="5"/>
  <c r="D18" i="5"/>
  <c r="E18" i="5"/>
  <c r="F18" i="5"/>
  <c r="N18" i="5"/>
  <c r="Q18" i="5"/>
  <c r="D17" i="5"/>
  <c r="E17" i="5"/>
  <c r="F17" i="5"/>
  <c r="N17" i="5"/>
  <c r="Q17" i="5"/>
  <c r="K673" i="22"/>
  <c r="L673" i="22"/>
  <c r="L674" i="22"/>
  <c r="B721" i="22"/>
  <c r="C15" i="22" s="1"/>
  <c r="A15" i="22"/>
  <c r="K619" i="22"/>
  <c r="L619" i="22"/>
  <c r="L620" i="22"/>
  <c r="A14" i="22"/>
  <c r="D16" i="5"/>
  <c r="E16" i="5"/>
  <c r="F16" i="5"/>
  <c r="N16" i="5"/>
  <c r="Q16" i="5"/>
  <c r="K565" i="22"/>
  <c r="L565" i="22"/>
  <c r="L566" i="22"/>
  <c r="B613" i="22"/>
  <c r="C13" i="22" s="1"/>
  <c r="A13" i="22"/>
  <c r="D15" i="5"/>
  <c r="E15" i="5"/>
  <c r="F15" i="5"/>
  <c r="N15" i="5"/>
  <c r="Q15" i="5"/>
  <c r="K511" i="22"/>
  <c r="L511" i="22"/>
  <c r="L512" i="22"/>
  <c r="B559" i="22"/>
  <c r="C12" i="22" s="1"/>
  <c r="A12" i="22"/>
  <c r="D14" i="5"/>
  <c r="E14" i="5"/>
  <c r="F14" i="5"/>
  <c r="N14" i="5"/>
  <c r="Q14" i="5"/>
  <c r="D13" i="5"/>
  <c r="E13" i="5"/>
  <c r="F13" i="5"/>
  <c r="N13" i="5"/>
  <c r="Q13" i="5"/>
  <c r="K403" i="22"/>
  <c r="L403" i="22"/>
  <c r="L404" i="22"/>
  <c r="B451" i="22"/>
  <c r="C10" i="22" s="1"/>
  <c r="A10" i="22"/>
  <c r="D12" i="5"/>
  <c r="E12" i="5"/>
  <c r="F12" i="5"/>
  <c r="N12" i="5"/>
  <c r="Q12" i="5"/>
  <c r="K349" i="22"/>
  <c r="L349" i="22"/>
  <c r="L350" i="22"/>
  <c r="B397" i="22"/>
  <c r="C9" i="22" s="1"/>
  <c r="A9" i="22"/>
  <c r="D11" i="5"/>
  <c r="E11" i="5"/>
  <c r="F11" i="5"/>
  <c r="N11" i="5"/>
  <c r="Q11" i="5"/>
  <c r="D10" i="5"/>
  <c r="E10" i="5"/>
  <c r="F10" i="5"/>
  <c r="N10" i="5"/>
  <c r="Q10" i="5"/>
  <c r="K295" i="22"/>
  <c r="L295" i="22"/>
  <c r="L296" i="22"/>
  <c r="B343" i="22"/>
  <c r="C8" i="22" s="1"/>
  <c r="A8" i="22"/>
  <c r="D9" i="5"/>
  <c r="E9" i="5"/>
  <c r="F9" i="5"/>
  <c r="J9" i="5"/>
  <c r="N9" i="5"/>
  <c r="Q9" i="5"/>
  <c r="D8" i="5"/>
  <c r="E8" i="5"/>
  <c r="F8" i="5"/>
  <c r="N8" i="5"/>
  <c r="Q8" i="5"/>
  <c r="D7" i="5"/>
  <c r="E7" i="5"/>
  <c r="F7" i="5"/>
  <c r="N7" i="5"/>
  <c r="Q7" i="5"/>
  <c r="K79" i="22"/>
  <c r="L79" i="22"/>
  <c r="L80" i="22"/>
  <c r="B127" i="22"/>
  <c r="C4" i="22" s="1"/>
  <c r="A4" i="22"/>
  <c r="D6" i="5"/>
  <c r="E6" i="5"/>
  <c r="F6" i="5"/>
  <c r="N6" i="5"/>
  <c r="O37" i="5" s="1"/>
  <c r="Q6" i="5"/>
  <c r="M4513" i="22"/>
  <c r="M4051" i="22"/>
  <c r="M4213" i="22"/>
  <c r="M4567" i="22"/>
  <c r="E66" i="12"/>
  <c r="F66" i="12"/>
  <c r="G66" i="12"/>
  <c r="H66" i="12"/>
  <c r="E67" i="12"/>
  <c r="F67" i="12"/>
  <c r="G67" i="12"/>
  <c r="H67" i="12"/>
  <c r="E68" i="12"/>
  <c r="F68" i="12"/>
  <c r="G68" i="12"/>
  <c r="H68" i="12"/>
  <c r="E69" i="12"/>
  <c r="F69" i="12"/>
  <c r="G69" i="12"/>
  <c r="H69" i="12"/>
  <c r="E70" i="12"/>
  <c r="F70" i="12"/>
  <c r="G70" i="12"/>
  <c r="H70" i="12"/>
  <c r="K4675" i="22"/>
  <c r="L4675" i="22"/>
  <c r="L4676" i="22"/>
  <c r="C3" i="15"/>
  <c r="M17" i="17"/>
  <c r="M4159" i="22"/>
  <c r="M4105" i="22"/>
  <c r="B16" i="2"/>
  <c r="G32" i="2"/>
  <c r="F36" i="9"/>
  <c r="E48" i="19"/>
  <c r="G48" i="19" s="1"/>
  <c r="F7" i="2"/>
  <c r="O3427" i="22"/>
  <c r="O3373" i="22"/>
  <c r="O3103" i="22"/>
  <c r="O2995" i="22"/>
  <c r="O2941" i="22"/>
  <c r="O2887" i="22"/>
  <c r="O2833" i="22"/>
  <c r="O2779" i="22"/>
  <c r="O2401" i="22"/>
  <c r="O2347" i="22"/>
  <c r="O2293" i="22"/>
  <c r="O1969" i="22"/>
  <c r="O1807" i="22"/>
  <c r="O1591" i="22"/>
  <c r="O1537" i="22"/>
  <c r="O1483" i="22"/>
  <c r="O1321" i="22"/>
  <c r="O1267" i="22"/>
  <c r="O943" i="22"/>
  <c r="O781" i="22"/>
  <c r="O727" i="22"/>
  <c r="O673" i="22"/>
  <c r="O619" i="22"/>
  <c r="O511" i="22"/>
  <c r="O457" i="22"/>
  <c r="O295" i="22"/>
  <c r="O241" i="22"/>
  <c r="Q54" i="4"/>
  <c r="Q9" i="4"/>
  <c r="Q8" i="4"/>
  <c r="E40" i="19"/>
  <c r="G40" i="19" s="1"/>
  <c r="D1538" i="23"/>
  <c r="F1538" i="23"/>
  <c r="D1370" i="23"/>
  <c r="F1370" i="23"/>
  <c r="D1258" i="23"/>
  <c r="F1258" i="23"/>
  <c r="D1202" i="23"/>
  <c r="F1202" i="23"/>
  <c r="D1146" i="23"/>
  <c r="F1146" i="23"/>
  <c r="D1090" i="23"/>
  <c r="F1090" i="23"/>
  <c r="D922" i="23"/>
  <c r="F922" i="23"/>
  <c r="D866" i="23"/>
  <c r="F866" i="23"/>
  <c r="D810" i="23"/>
  <c r="F810" i="23"/>
  <c r="D754" i="23"/>
  <c r="F754" i="23"/>
  <c r="D586" i="23"/>
  <c r="F586" i="23"/>
  <c r="D474" i="23"/>
  <c r="F474" i="23"/>
  <c r="R306" i="23"/>
  <c r="Q306" i="23"/>
  <c r="F67" i="23"/>
  <c r="G67" i="23"/>
  <c r="F66" i="23"/>
  <c r="G66" i="23"/>
  <c r="F65" i="23"/>
  <c r="G65" i="23"/>
  <c r="F63" i="23"/>
  <c r="G63" i="23"/>
  <c r="F62" i="23"/>
  <c r="G62" i="23"/>
  <c r="G59" i="23"/>
  <c r="F59" i="23"/>
  <c r="H59" i="23" s="1"/>
  <c r="G56" i="23"/>
  <c r="F56" i="23"/>
  <c r="H56" i="23" s="1"/>
  <c r="F53" i="23"/>
  <c r="G53" i="23"/>
  <c r="F52" i="23"/>
  <c r="G52" i="23"/>
  <c r="G50" i="23"/>
  <c r="F50" i="23"/>
  <c r="H50" i="23" s="1"/>
  <c r="F49" i="23"/>
  <c r="G49" i="23"/>
  <c r="G47" i="23"/>
  <c r="F47" i="23"/>
  <c r="H47" i="23" s="1"/>
  <c r="F46" i="23"/>
  <c r="G46" i="23"/>
  <c r="G45" i="23"/>
  <c r="F45" i="23"/>
  <c r="H45" i="23" s="1"/>
  <c r="G43" i="23"/>
  <c r="F43" i="23"/>
  <c r="H43" i="23" s="1"/>
  <c r="F42" i="23"/>
  <c r="G42" i="23"/>
  <c r="F41" i="23"/>
  <c r="G41" i="23"/>
  <c r="F39" i="23"/>
  <c r="G39" i="23"/>
  <c r="F36" i="23"/>
  <c r="G36" i="23"/>
  <c r="G35" i="23"/>
  <c r="F35" i="23"/>
  <c r="H35" i="23" s="1"/>
  <c r="G33" i="23"/>
  <c r="F33" i="23"/>
  <c r="H33" i="23" s="1"/>
  <c r="F32" i="23"/>
  <c r="G32" i="23"/>
  <c r="F29" i="23"/>
  <c r="G29" i="23"/>
  <c r="F28" i="23"/>
  <c r="G28" i="23"/>
  <c r="F26" i="23"/>
  <c r="G26" i="23"/>
  <c r="G25" i="23"/>
  <c r="F25" i="23"/>
  <c r="H25" i="23" s="1"/>
  <c r="F22" i="23"/>
  <c r="G22" i="23"/>
  <c r="G21" i="23"/>
  <c r="F21" i="23"/>
  <c r="H21" i="23" s="1"/>
  <c r="G17" i="23"/>
  <c r="F17" i="23"/>
  <c r="H17" i="23" s="1"/>
  <c r="F15" i="23"/>
  <c r="G15" i="23"/>
  <c r="F13" i="23"/>
  <c r="G13" i="23"/>
  <c r="L1594" i="23"/>
  <c r="L1595" i="23"/>
  <c r="F10" i="23"/>
  <c r="G10" i="23"/>
  <c r="F7" i="23"/>
  <c r="G7" i="23"/>
  <c r="F5" i="23"/>
  <c r="G5" i="23"/>
  <c r="G4" i="23"/>
  <c r="F4" i="23"/>
  <c r="H4" i="23" s="1"/>
  <c r="H4691" i="22"/>
  <c r="H4713" i="22"/>
  <c r="H4715" i="22"/>
  <c r="H4716" i="22"/>
  <c r="H4714" i="22"/>
  <c r="H4717" i="22"/>
  <c r="H4719" i="22"/>
  <c r="H4720" i="22"/>
  <c r="H4721" i="22"/>
  <c r="H4722" i="22"/>
  <c r="H4698" i="22"/>
  <c r="H4693" i="22"/>
  <c r="H4694" i="22"/>
  <c r="H4695" i="22"/>
  <c r="H4696" i="22"/>
  <c r="H4697" i="22"/>
  <c r="H4699" i="22"/>
  <c r="H4700" i="22"/>
  <c r="H4701" i="22"/>
  <c r="H4702" i="22"/>
  <c r="H4718" i="22"/>
  <c r="H4703" i="22"/>
  <c r="H4704" i="22"/>
  <c r="H4690" i="22"/>
  <c r="H4689" i="22"/>
  <c r="H4688" i="22"/>
  <c r="H4687" i="22"/>
  <c r="H4686" i="22"/>
  <c r="H4685" i="22"/>
  <c r="H4684" i="22"/>
  <c r="H4683" i="22"/>
  <c r="H4682" i="22"/>
  <c r="H4681" i="22"/>
  <c r="H4705" i="22"/>
  <c r="H4679" i="22"/>
  <c r="H4678" i="22"/>
  <c r="H4677" i="22"/>
  <c r="H4676" i="22"/>
  <c r="H4706" i="22"/>
  <c r="H4707" i="22"/>
  <c r="H4675" i="22"/>
  <c r="H4708" i="22"/>
  <c r="H4709" i="22"/>
  <c r="H4711" i="22"/>
  <c r="H4680" i="22"/>
  <c r="H4692" i="22"/>
  <c r="H4712" i="22"/>
  <c r="H4710" i="22"/>
  <c r="D4621" i="22"/>
  <c r="F4621" i="22"/>
  <c r="D4567" i="22"/>
  <c r="F4567" i="22"/>
  <c r="Q4213" i="22"/>
  <c r="R4213" i="22"/>
  <c r="P4213" i="22"/>
  <c r="R4159" i="22"/>
  <c r="P4159" i="22"/>
  <c r="Q4159" i="22"/>
  <c r="Q4105" i="22"/>
  <c r="P4105" i="22"/>
  <c r="R4105" i="22"/>
  <c r="Q4051" i="22"/>
  <c r="P4051" i="22"/>
  <c r="R4051" i="22"/>
  <c r="AL3870" i="22"/>
  <c r="AK3870" i="22"/>
  <c r="AM3870" i="22" s="1"/>
  <c r="AB3870" i="22"/>
  <c r="AA3870" i="22"/>
  <c r="AC3870" i="22" s="1"/>
  <c r="AL3869" i="22"/>
  <c r="AK3869" i="22"/>
  <c r="AM3869" i="22" s="1"/>
  <c r="AB3869" i="22"/>
  <c r="AA3869" i="22"/>
  <c r="AC3869" i="22" s="1"/>
  <c r="Q3870" i="22"/>
  <c r="R3870" i="22"/>
  <c r="G3870" i="22"/>
  <c r="H3870" i="22"/>
  <c r="AK3868" i="22"/>
  <c r="AL3868" i="22"/>
  <c r="AB3868" i="22"/>
  <c r="AA3868" i="22"/>
  <c r="AC3868" i="22" s="1"/>
  <c r="Q3868" i="22"/>
  <c r="R3868" i="22"/>
  <c r="G3868" i="22"/>
  <c r="H3868" i="22"/>
  <c r="AL3867" i="22"/>
  <c r="AK3867" i="22"/>
  <c r="AM3867" i="22" s="1"/>
  <c r="AA3867" i="22"/>
  <c r="AB3867" i="22"/>
  <c r="Q3866" i="22"/>
  <c r="R3866" i="22"/>
  <c r="H3866" i="22"/>
  <c r="G3866" i="22"/>
  <c r="I3866" i="22" s="1"/>
  <c r="AK3865" i="22"/>
  <c r="AM3865" i="22" s="1"/>
  <c r="AK3866" i="22"/>
  <c r="AM3866" i="22" s="1"/>
  <c r="AA3865" i="22"/>
  <c r="AA3866" i="22"/>
  <c r="AB3866" i="22"/>
  <c r="AB3865" i="22"/>
  <c r="AA3864" i="22"/>
  <c r="AB3864" i="22"/>
  <c r="AL3863" i="22"/>
  <c r="AK3863" i="22"/>
  <c r="AM3863" i="22" s="1"/>
  <c r="AA3863" i="22"/>
  <c r="AB3863" i="22"/>
  <c r="Q3863" i="22"/>
  <c r="R3863" i="22"/>
  <c r="AB3862" i="22"/>
  <c r="AA3862" i="22"/>
  <c r="AC3862" i="22" s="1"/>
  <c r="H3862" i="22"/>
  <c r="G3862" i="22"/>
  <c r="I3862" i="22" s="1"/>
  <c r="AL3861" i="22"/>
  <c r="AK3861" i="22"/>
  <c r="AM3861" i="22" s="1"/>
  <c r="AB3861" i="22"/>
  <c r="AA3861" i="22"/>
  <c r="AC3861" i="22" s="1"/>
  <c r="R3861" i="22"/>
  <c r="Q3861" i="22"/>
  <c r="S3861" i="22" s="1"/>
  <c r="H3861" i="22"/>
  <c r="G3861" i="22"/>
  <c r="I3861" i="22" s="1"/>
  <c r="G3859" i="22"/>
  <c r="H3859" i="22"/>
  <c r="AK3858" i="22"/>
  <c r="AL3858" i="22"/>
  <c r="AK3859" i="22"/>
  <c r="AM3859" i="22" s="1"/>
  <c r="AB3859" i="22"/>
  <c r="AA3858" i="22"/>
  <c r="AB3858" i="22"/>
  <c r="AA3859" i="22"/>
  <c r="AC3859" i="22" s="1"/>
  <c r="R3858" i="22"/>
  <c r="R3859" i="22"/>
  <c r="Q3858" i="22"/>
  <c r="S3858" i="22" s="1"/>
  <c r="Q3859" i="22"/>
  <c r="S3859" i="22" s="1"/>
  <c r="H3858" i="22"/>
  <c r="G3858" i="22"/>
  <c r="I3858" i="22" s="1"/>
  <c r="AL3857" i="22"/>
  <c r="AK3857" i="22"/>
  <c r="AM3857" i="22" s="1"/>
  <c r="AA3857" i="22"/>
  <c r="AB3857" i="22"/>
  <c r="R3857" i="22"/>
  <c r="Q3856" i="22"/>
  <c r="S3856" i="22" s="1"/>
  <c r="Q3857" i="22"/>
  <c r="S3857" i="22" s="1"/>
  <c r="G3857" i="22"/>
  <c r="G3856" i="22"/>
  <c r="I3856" i="22" s="1"/>
  <c r="H3856" i="22"/>
  <c r="H3857" i="22"/>
  <c r="AL3855" i="22"/>
  <c r="AK3855" i="22"/>
  <c r="AM3855" i="22" s="1"/>
  <c r="AA3853" i="22"/>
  <c r="AB3853" i="22"/>
  <c r="G3853" i="22"/>
  <c r="I3853" i="22" s="1"/>
  <c r="H3853" i="22"/>
  <c r="G3852" i="22"/>
  <c r="I3852" i="22" s="1"/>
  <c r="H3852" i="22"/>
  <c r="H3851" i="22"/>
  <c r="G3851" i="22"/>
  <c r="I3851" i="22" s="1"/>
  <c r="Q3850" i="22"/>
  <c r="R3850" i="22"/>
  <c r="H3850" i="22"/>
  <c r="G3850" i="22"/>
  <c r="I3850" i="22" s="1"/>
  <c r="AK3850" i="22"/>
  <c r="AL3850" i="22"/>
  <c r="AB3850" i="22"/>
  <c r="AA3850" i="22"/>
  <c r="AC3850" i="22" s="1"/>
  <c r="Q3849" i="22"/>
  <c r="R3849" i="22"/>
  <c r="AL3848" i="22"/>
  <c r="AK3848" i="22"/>
  <c r="AM3848" i="22" s="1"/>
  <c r="Q3848" i="22"/>
  <c r="R3848" i="22"/>
  <c r="G3847" i="22"/>
  <c r="I3847" i="22" s="1"/>
  <c r="H3847" i="22"/>
  <c r="H3846" i="22"/>
  <c r="G3846" i="22"/>
  <c r="I3846" i="22" s="1"/>
  <c r="AL3846" i="22"/>
  <c r="AK3846" i="22"/>
  <c r="AM3846" i="22" s="1"/>
  <c r="AL3845" i="22"/>
  <c r="AM3845" i="22" s="1"/>
  <c r="AB3845" i="22"/>
  <c r="AA3845" i="22"/>
  <c r="AC3845" i="22" s="1"/>
  <c r="AB3846" i="22"/>
  <c r="AC3846" i="22" s="1"/>
  <c r="Q3846" i="22"/>
  <c r="S3846" i="22" s="1"/>
  <c r="R3846" i="22"/>
  <c r="G3845" i="22"/>
  <c r="I3845" i="22" s="1"/>
  <c r="H3845" i="22"/>
  <c r="AK3843" i="22"/>
  <c r="AM3843" i="22" s="1"/>
  <c r="AL3843" i="22"/>
  <c r="AA3843" i="22"/>
  <c r="AC3843" i="22" s="1"/>
  <c r="AB3843" i="22"/>
  <c r="H3843" i="22"/>
  <c r="G3843" i="22"/>
  <c r="I3843" i="22" s="1"/>
  <c r="AL3842" i="22"/>
  <c r="AK3842" i="22"/>
  <c r="AM3842" i="22" s="1"/>
  <c r="AA3842" i="22"/>
  <c r="AC3842" i="22" s="1"/>
  <c r="AB3842" i="22"/>
  <c r="Q3842" i="22"/>
  <c r="S3842" i="22" s="1"/>
  <c r="R3842" i="22"/>
  <c r="G3842" i="22"/>
  <c r="I3842" i="22" s="1"/>
  <c r="H3842" i="22"/>
  <c r="AL3841" i="22"/>
  <c r="AK3841" i="22"/>
  <c r="AM3841" i="22" s="1"/>
  <c r="AB3841" i="22"/>
  <c r="AA3841" i="22"/>
  <c r="AC3841" i="22" s="1"/>
  <c r="Q3841" i="22"/>
  <c r="R3841" i="22"/>
  <c r="G3841" i="22"/>
  <c r="H3841" i="22"/>
  <c r="AL3839" i="22"/>
  <c r="AK3839" i="22"/>
  <c r="AM3839" i="22" s="1"/>
  <c r="AA3839" i="22"/>
  <c r="AB3839" i="22"/>
  <c r="Q3839" i="22"/>
  <c r="R3839" i="22"/>
  <c r="H3839" i="22"/>
  <c r="G3839" i="22"/>
  <c r="I3839" i="22" s="1"/>
  <c r="AL3838" i="22"/>
  <c r="AK3838" i="22"/>
  <c r="AM3838" i="22" s="1"/>
  <c r="Q3838" i="22"/>
  <c r="R3838" i="22"/>
  <c r="H3838" i="22"/>
  <c r="G3838" i="22"/>
  <c r="I3838" i="22" s="1"/>
  <c r="AK3837" i="22"/>
  <c r="AL3837" i="22"/>
  <c r="AB3837" i="22"/>
  <c r="AA3837" i="22"/>
  <c r="AC3837" i="22" s="1"/>
  <c r="AK3835" i="22"/>
  <c r="AM3835" i="22" s="1"/>
  <c r="AL3836" i="22"/>
  <c r="AK3836" i="22"/>
  <c r="AM3836" i="22" s="1"/>
  <c r="AB3836" i="22"/>
  <c r="AA3836" i="22"/>
  <c r="AC3836" i="22" s="1"/>
  <c r="R3835" i="22"/>
  <c r="Q3835" i="22"/>
  <c r="S3835" i="22" s="1"/>
  <c r="H3835" i="22"/>
  <c r="G3835" i="22"/>
  <c r="I3835" i="22" s="1"/>
  <c r="G3836" i="22"/>
  <c r="H3836" i="22"/>
  <c r="H3834" i="22"/>
  <c r="G3834" i="22"/>
  <c r="I3834" i="22" s="1"/>
  <c r="AB3833" i="22"/>
  <c r="AA3833" i="22"/>
  <c r="AC3833" i="22" s="1"/>
  <c r="G3833" i="22"/>
  <c r="H3833" i="22"/>
  <c r="AK3831" i="22"/>
  <c r="AL3831" i="22"/>
  <c r="G3830" i="22"/>
  <c r="H3830" i="22"/>
  <c r="AL3829" i="22"/>
  <c r="AK3829" i="22"/>
  <c r="AM3829" i="22" s="1"/>
  <c r="AB3829" i="22"/>
  <c r="AA3829" i="22"/>
  <c r="AC3829" i="22" s="1"/>
  <c r="H3829" i="22"/>
  <c r="G3829" i="22"/>
  <c r="I3829" i="22" s="1"/>
  <c r="AL3828" i="22"/>
  <c r="AK3828" i="22"/>
  <c r="AM3828" i="22" s="1"/>
  <c r="Q3829" i="22"/>
  <c r="R3828" i="22"/>
  <c r="Q3828" i="22"/>
  <c r="S3828" i="22" s="1"/>
  <c r="R3829" i="22"/>
  <c r="AK3826" i="22"/>
  <c r="AM3826" i="22" s="1"/>
  <c r="AL3826" i="22"/>
  <c r="AA3826" i="22"/>
  <c r="AC3826" i="22" s="1"/>
  <c r="AB3826" i="22"/>
  <c r="AA3825" i="22"/>
  <c r="AC3825" i="22" s="1"/>
  <c r="AB3825" i="22"/>
  <c r="AK3824" i="22"/>
  <c r="AM3824" i="22" s="1"/>
  <c r="AK3825" i="22"/>
  <c r="AM3825" i="22" s="1"/>
  <c r="AL3825" i="22"/>
  <c r="R3825" i="22"/>
  <c r="Q3825" i="22"/>
  <c r="S3825" i="22" s="1"/>
  <c r="H3825" i="22"/>
  <c r="G3825" i="22"/>
  <c r="I3825" i="22" s="1"/>
  <c r="H3824" i="22"/>
  <c r="G3824" i="22"/>
  <c r="I3824" i="22" s="1"/>
  <c r="AL3823" i="22"/>
  <c r="AK3823" i="22"/>
  <c r="AM3823" i="22" s="1"/>
  <c r="AB3823" i="22"/>
  <c r="AA3823" i="22"/>
  <c r="AC3823" i="22" s="1"/>
  <c r="Q3823" i="22"/>
  <c r="S3823" i="22" s="1"/>
  <c r="R3823" i="22"/>
  <c r="G3823" i="22"/>
  <c r="I3823" i="22" s="1"/>
  <c r="H3823" i="22"/>
  <c r="AK3822" i="22"/>
  <c r="AM3822" i="22" s="1"/>
  <c r="AL3822" i="22"/>
  <c r="AB3822" i="22"/>
  <c r="AA3822" i="22"/>
  <c r="AC3822" i="22" s="1"/>
  <c r="G3822" i="22"/>
  <c r="I3822" i="22" s="1"/>
  <c r="H3822" i="22"/>
  <c r="AB3821" i="22"/>
  <c r="AA3821" i="22"/>
  <c r="AC3821" i="22" s="1"/>
  <c r="H3821" i="22"/>
  <c r="G3821" i="22"/>
  <c r="I3821" i="22" s="1"/>
  <c r="AB3820" i="22"/>
  <c r="AA3820" i="22"/>
  <c r="AC3820" i="22" s="1"/>
  <c r="H3820" i="22"/>
  <c r="G3820" i="22"/>
  <c r="I3820" i="22" s="1"/>
  <c r="AA3819" i="22"/>
  <c r="AC3819" i="22" s="1"/>
  <c r="AB3819" i="22"/>
  <c r="AL3818" i="22"/>
  <c r="AK3818" i="22"/>
  <c r="AM3818" i="22" s="1"/>
  <c r="R3818" i="22"/>
  <c r="Q3818" i="22"/>
  <c r="S3818" i="22" s="1"/>
  <c r="G3818" i="22"/>
  <c r="I3818" i="22" s="1"/>
  <c r="H3818" i="22"/>
  <c r="AL3817" i="22"/>
  <c r="AK3817" i="22"/>
  <c r="AM3817" i="22" s="1"/>
  <c r="AA3818" i="22"/>
  <c r="AC3818" i="22" s="1"/>
  <c r="AA3817" i="22"/>
  <c r="AC3817" i="22" s="1"/>
  <c r="AB3817" i="22"/>
  <c r="Q3817" i="22"/>
  <c r="S3817" i="22" s="1"/>
  <c r="R3817" i="22"/>
  <c r="H3817" i="22"/>
  <c r="G3817" i="22"/>
  <c r="I3817" i="22" s="1"/>
  <c r="AK3816" i="22"/>
  <c r="AM3816" i="22" s="1"/>
  <c r="AL3816" i="22"/>
  <c r="AB3816" i="22"/>
  <c r="AA3816" i="22"/>
  <c r="AC3816" i="22" s="1"/>
  <c r="Q3816" i="22"/>
  <c r="S3816" i="22" s="1"/>
  <c r="R3816" i="22"/>
  <c r="AK3815" i="22"/>
  <c r="AM3815" i="22" s="1"/>
  <c r="AL3815" i="22"/>
  <c r="R3815" i="22"/>
  <c r="Q3815" i="22"/>
  <c r="S3815" i="22" s="1"/>
  <c r="R3814" i="22"/>
  <c r="Q3814" i="22"/>
  <c r="S3814" i="22" s="1"/>
  <c r="Q3821" i="22"/>
  <c r="S3821" i="22" s="1"/>
  <c r="R3821" i="22"/>
  <c r="AB3813" i="22"/>
  <c r="AA3813" i="22"/>
  <c r="AC3813" i="22" s="1"/>
  <c r="AB3812" i="22"/>
  <c r="AA3812" i="22"/>
  <c r="AC3812" i="22" s="1"/>
  <c r="R3812" i="22"/>
  <c r="Q3812" i="22"/>
  <c r="S3812" i="22" s="1"/>
  <c r="Q3813" i="22"/>
  <c r="S3813" i="22" s="1"/>
  <c r="R3813" i="22"/>
  <c r="G3812" i="22"/>
  <c r="I3812" i="22" s="1"/>
  <c r="G3813" i="22"/>
  <c r="I3813" i="22" s="1"/>
  <c r="AL3811" i="22"/>
  <c r="AK3811" i="22"/>
  <c r="AM3811" i="22" s="1"/>
  <c r="H3811" i="22"/>
  <c r="G3811" i="22"/>
  <c r="I3811" i="22" s="1"/>
  <c r="AB3811" i="22"/>
  <c r="AA3811" i="22"/>
  <c r="AC3811" i="22" s="1"/>
  <c r="AB3810" i="22"/>
  <c r="AA3810" i="22"/>
  <c r="AC3810" i="22" s="1"/>
  <c r="Q3811" i="22"/>
  <c r="R3811" i="22"/>
  <c r="H3810" i="22"/>
  <c r="G3810" i="22"/>
  <c r="I3810" i="22" s="1"/>
  <c r="R3809" i="22"/>
  <c r="Q3809" i="22"/>
  <c r="S3809" i="22" s="1"/>
  <c r="AB3808" i="22"/>
  <c r="AA3808" i="22"/>
  <c r="AC3808" i="22" s="1"/>
  <c r="G3808" i="22"/>
  <c r="H3808" i="22"/>
  <c r="G3807" i="22"/>
  <c r="H3807" i="22"/>
  <c r="AL3807" i="22"/>
  <c r="AM3807" i="22" s="1"/>
  <c r="AK3806" i="22"/>
  <c r="L4213" i="22"/>
  <c r="AL3806" i="22"/>
  <c r="AL3808" i="22"/>
  <c r="AK3808" i="22"/>
  <c r="AM3808" i="22" s="1"/>
  <c r="AB3807" i="22"/>
  <c r="AC3807" i="22" s="1"/>
  <c r="AB3806" i="22"/>
  <c r="AA3806" i="22"/>
  <c r="AC3806" i="22" s="1"/>
  <c r="Q3808" i="22"/>
  <c r="R3808" i="22"/>
  <c r="Q3807" i="22"/>
  <c r="S3807" i="22" s="1"/>
  <c r="R3806" i="22"/>
  <c r="Q3806" i="22"/>
  <c r="S3806" i="22" s="1"/>
  <c r="H3806" i="22"/>
  <c r="G3806" i="22"/>
  <c r="I3806" i="22" s="1"/>
  <c r="L4052" i="22"/>
  <c r="P3751" i="22"/>
  <c r="Q3751" i="22"/>
  <c r="R3751" i="22"/>
  <c r="P3697" i="22"/>
  <c r="R3697" i="22"/>
  <c r="Q3697" i="22"/>
  <c r="P3643" i="22"/>
  <c r="Q3643" i="22"/>
  <c r="R3643" i="22"/>
  <c r="H3644" i="22"/>
  <c r="H3643" i="22"/>
  <c r="P3589" i="22"/>
  <c r="R3589" i="22"/>
  <c r="Q3589" i="22"/>
  <c r="P3535" i="22"/>
  <c r="Q3535" i="22"/>
  <c r="R3535" i="22"/>
  <c r="P3481" i="22"/>
  <c r="Q3481" i="22"/>
  <c r="R3481" i="22"/>
  <c r="BW65" i="22"/>
  <c r="P3319" i="22"/>
  <c r="R3319" i="22"/>
  <c r="Q3319" i="22"/>
  <c r="BW64" i="22"/>
  <c r="P3265" i="22"/>
  <c r="Q3265" i="22"/>
  <c r="R3265" i="22"/>
  <c r="BW63" i="22"/>
  <c r="P3211" i="22"/>
  <c r="Q3211" i="22"/>
  <c r="R3211" i="22"/>
  <c r="H3213" i="22"/>
  <c r="H3214" i="22"/>
  <c r="H3215" i="22"/>
  <c r="BW62" i="22"/>
  <c r="Q3157" i="22"/>
  <c r="R3157" i="22"/>
  <c r="P3157" i="22"/>
  <c r="BW61" i="22"/>
  <c r="Q3103" i="22"/>
  <c r="P3103" i="22"/>
  <c r="R3103" i="22"/>
  <c r="BW60" i="22"/>
  <c r="F3049" i="22"/>
  <c r="O3049" i="22" s="1"/>
  <c r="K3049" i="22"/>
  <c r="P3049" i="22"/>
  <c r="Q3049" i="22"/>
  <c r="R3049" i="22"/>
  <c r="L3050" i="22"/>
  <c r="H3004" i="22"/>
  <c r="H3006" i="22"/>
  <c r="H3012" i="22"/>
  <c r="H3013" i="22"/>
  <c r="H3014" i="22"/>
  <c r="H3023" i="22"/>
  <c r="CA58" i="22" s="1"/>
  <c r="H3039" i="22"/>
  <c r="H3011" i="22"/>
  <c r="H3000" i="22"/>
  <c r="H3001" i="22"/>
  <c r="BW58" i="22"/>
  <c r="P2941" i="22"/>
  <c r="Q2941" i="22"/>
  <c r="R2941" i="22"/>
  <c r="H2941" i="22"/>
  <c r="H2943" i="22"/>
  <c r="H2959" i="22"/>
  <c r="H2956" i="22"/>
  <c r="H2960" i="22"/>
  <c r="H2969" i="22"/>
  <c r="CA57" i="22" s="1"/>
  <c r="H2974" i="22"/>
  <c r="CF57" i="22" s="1"/>
  <c r="H2976" i="22"/>
  <c r="CH57" i="22" s="1"/>
  <c r="H2947" i="22"/>
  <c r="H2948" i="22"/>
  <c r="H2951" i="22"/>
  <c r="H2952" i="22"/>
  <c r="H2953" i="22"/>
  <c r="H2972" i="22"/>
  <c r="CD57" i="22" s="1"/>
  <c r="H2958" i="22"/>
  <c r="H2961" i="22"/>
  <c r="H2965" i="22"/>
  <c r="H2977" i="22"/>
  <c r="H2982" i="22"/>
  <c r="H2983" i="22"/>
  <c r="H2987" i="22"/>
  <c r="H2988" i="22"/>
  <c r="H2950" i="22"/>
  <c r="H2957" i="22"/>
  <c r="Q2887" i="22"/>
  <c r="R2887" i="22"/>
  <c r="P2887" i="22"/>
  <c r="R2833" i="22"/>
  <c r="P2833" i="22"/>
  <c r="Q2833" i="22"/>
  <c r="BW55" i="22"/>
  <c r="P2779" i="22"/>
  <c r="Q2779" i="22"/>
  <c r="R2779" i="22"/>
  <c r="AD54" i="22"/>
  <c r="Y62" i="3"/>
  <c r="BW54" i="22"/>
  <c r="Q2725" i="22"/>
  <c r="P2725" i="22"/>
  <c r="R2725" i="22"/>
  <c r="BW53" i="22"/>
  <c r="L2672" i="22"/>
  <c r="Q2671" i="22"/>
  <c r="P2671" i="22"/>
  <c r="R2671" i="22"/>
  <c r="F2671" i="22"/>
  <c r="O2671" i="22" s="1"/>
  <c r="K2671" i="22"/>
  <c r="BW52" i="22"/>
  <c r="R2563" i="22"/>
  <c r="Q2563" i="22"/>
  <c r="R2509" i="22"/>
  <c r="Q2509" i="22"/>
  <c r="P2509" i="22"/>
  <c r="BW49" i="22"/>
  <c r="P2455" i="22"/>
  <c r="Q2455" i="22"/>
  <c r="R2455" i="22"/>
  <c r="BW48" i="22"/>
  <c r="P2401" i="22"/>
  <c r="Q2401" i="22"/>
  <c r="R2401" i="22"/>
  <c r="BW47" i="22"/>
  <c r="Q2347" i="22"/>
  <c r="R2347" i="22"/>
  <c r="P2347" i="22"/>
  <c r="BW46" i="22"/>
  <c r="Q2293" i="22"/>
  <c r="R2293" i="22"/>
  <c r="P2293" i="22"/>
  <c r="BW45" i="22"/>
  <c r="Q2185" i="22"/>
  <c r="R2185" i="22"/>
  <c r="BW41" i="22"/>
  <c r="Q2023" i="22"/>
  <c r="R2023" i="22"/>
  <c r="P2023" i="22"/>
  <c r="BW40" i="22"/>
  <c r="P1969" i="22"/>
  <c r="R1969" i="22"/>
  <c r="Q1969" i="22"/>
  <c r="H1970" i="22"/>
  <c r="H1969" i="22"/>
  <c r="H1971" i="22"/>
  <c r="BW39" i="22"/>
  <c r="R1915" i="22"/>
  <c r="P1915" i="22"/>
  <c r="Q1915" i="22"/>
  <c r="R1861" i="22"/>
  <c r="Q1861" i="22"/>
  <c r="P1861" i="22"/>
  <c r="R1699" i="22"/>
  <c r="Q1699" i="22"/>
  <c r="P1699" i="22"/>
  <c r="BW34" i="22"/>
  <c r="R1645" i="22"/>
  <c r="P1645" i="22"/>
  <c r="Q1645" i="22"/>
  <c r="R1591" i="22"/>
  <c r="Q1591" i="22"/>
  <c r="P1591" i="22"/>
  <c r="Q1537" i="22"/>
  <c r="P1537" i="22"/>
  <c r="R1537" i="22"/>
  <c r="Q1483" i="22"/>
  <c r="P1483" i="22"/>
  <c r="R1483" i="22"/>
  <c r="BW30" i="22"/>
  <c r="R1429" i="22"/>
  <c r="P1429" i="22"/>
  <c r="Q1429" i="22"/>
  <c r="K1429" i="22"/>
  <c r="F1429" i="22"/>
  <c r="O1429" i="22" s="1"/>
  <c r="BW29" i="22"/>
  <c r="P1321" i="22"/>
  <c r="Q1321" i="22"/>
  <c r="P1267" i="22"/>
  <c r="Q1267" i="22"/>
  <c r="R1213" i="22"/>
  <c r="P1213" i="22"/>
  <c r="Q1213" i="22"/>
  <c r="P1159" i="22"/>
  <c r="R1159" i="22"/>
  <c r="Q1159" i="22"/>
  <c r="BW24" i="22"/>
  <c r="R1105" i="22"/>
  <c r="P1105" i="22"/>
  <c r="Q1105" i="22"/>
  <c r="BW23" i="22"/>
  <c r="R1051" i="22"/>
  <c r="P1051" i="22"/>
  <c r="Q1051" i="22"/>
  <c r="BW22" i="22"/>
  <c r="Q997" i="22"/>
  <c r="P997" i="22"/>
  <c r="R997" i="22"/>
  <c r="Q889" i="22"/>
  <c r="P889" i="22"/>
  <c r="Q835" i="22"/>
  <c r="P835" i="22"/>
  <c r="Q781" i="22"/>
  <c r="P781" i="22"/>
  <c r="P727" i="22"/>
  <c r="Q727" i="22"/>
  <c r="Q673" i="22"/>
  <c r="R673" i="22"/>
  <c r="P673" i="22"/>
  <c r="P619" i="22"/>
  <c r="Q619" i="22"/>
  <c r="R619" i="22"/>
  <c r="BW14" i="22"/>
  <c r="P565" i="22"/>
  <c r="Q565" i="22"/>
  <c r="R565" i="22"/>
  <c r="P403" i="22"/>
  <c r="R403" i="22"/>
  <c r="Q403" i="22"/>
  <c r="P349" i="22"/>
  <c r="Q349" i="22"/>
  <c r="R349" i="22"/>
  <c r="BW9" i="22"/>
  <c r="Q295" i="22"/>
  <c r="P295" i="22"/>
  <c r="R295" i="22"/>
  <c r="BW8" i="22"/>
  <c r="P241" i="22"/>
  <c r="Q241" i="22"/>
  <c r="R241" i="22"/>
  <c r="AD7" i="22"/>
  <c r="Y15" i="3"/>
  <c r="R187" i="22"/>
  <c r="Q187" i="22"/>
  <c r="P187" i="22"/>
  <c r="H205" i="22"/>
  <c r="H187" i="22"/>
  <c r="H189" i="22"/>
  <c r="H199" i="22"/>
  <c r="H190" i="22"/>
  <c r="H195" i="22"/>
  <c r="H203" i="22"/>
  <c r="H208" i="22"/>
  <c r="BW6" i="22"/>
  <c r="R133" i="22"/>
  <c r="Q133" i="22"/>
  <c r="P133" i="22"/>
  <c r="L134" i="22"/>
  <c r="K133" i="22"/>
  <c r="F133" i="22"/>
  <c r="O133" i="22" s="1"/>
  <c r="H4218" i="22"/>
  <c r="H4227" i="22"/>
  <c r="H4226" i="22"/>
  <c r="H4217" i="22"/>
  <c r="H4225" i="22"/>
  <c r="H4224" i="22"/>
  <c r="H4216" i="22"/>
  <c r="H4223" i="22"/>
  <c r="H4199" i="22"/>
  <c r="H4215" i="22"/>
  <c r="F8" i="17"/>
  <c r="H4214" i="22"/>
  <c r="H18" i="17"/>
  <c r="I3427" i="22"/>
  <c r="B3475" i="22"/>
  <c r="C66" i="22" s="1"/>
  <c r="I3373" i="22"/>
  <c r="B3421" i="22"/>
  <c r="C65" i="22" s="1"/>
  <c r="I2509" i="22"/>
  <c r="B2557" i="22"/>
  <c r="C49" i="22" s="1"/>
  <c r="I2185" i="22"/>
  <c r="B2233" i="22"/>
  <c r="C43" i="22" s="1"/>
  <c r="I1267" i="22"/>
  <c r="B1315" i="22"/>
  <c r="C26" i="22" s="1"/>
  <c r="I943" i="22"/>
  <c r="B991" i="22"/>
  <c r="C20" i="22" s="1"/>
  <c r="I619" i="22"/>
  <c r="B667" i="22"/>
  <c r="C14" i="22" s="1"/>
  <c r="J7" i="19"/>
  <c r="K7" i="19"/>
  <c r="I31" i="2"/>
  <c r="I29" i="2"/>
  <c r="I28" i="2"/>
  <c r="I34" i="2"/>
  <c r="I27" i="2"/>
  <c r="I33" i="2"/>
  <c r="I32" i="2"/>
  <c r="I30" i="2"/>
  <c r="B4349" i="22"/>
  <c r="C15" i="16"/>
  <c r="D15" i="16" s="1"/>
  <c r="C21" i="16"/>
  <c r="D21" i="16" s="1"/>
  <c r="C18" i="16"/>
  <c r="D18" i="16" s="1"/>
  <c r="C19" i="16"/>
  <c r="D19" i="16" s="1"/>
  <c r="C16" i="16"/>
  <c r="D16" i="16" s="1"/>
  <c r="C17" i="16"/>
  <c r="D17" i="16" s="1"/>
  <c r="C20" i="16"/>
  <c r="D20" i="16" s="1"/>
  <c r="C14" i="16"/>
  <c r="D14" i="16" s="1"/>
  <c r="AM3854" i="22"/>
  <c r="AM3853" i="22"/>
  <c r="S3833" i="22"/>
  <c r="I3831" i="22"/>
  <c r="AC3852" i="22"/>
  <c r="AC3848" i="22"/>
  <c r="AM3856" i="22"/>
  <c r="S3843" i="22"/>
  <c r="I3848" i="22"/>
  <c r="AC3827" i="22"/>
  <c r="S3826" i="22"/>
  <c r="I3826" i="22"/>
  <c r="AM3844" i="22"/>
  <c r="AC3840" i="22"/>
  <c r="AM3821" i="22"/>
  <c r="I3816" i="22"/>
  <c r="AM3813" i="22"/>
  <c r="AM3860" i="22" l="1"/>
  <c r="S3855" i="22"/>
  <c r="I3855" i="22"/>
  <c r="S3845" i="22"/>
  <c r="AM3840" i="22"/>
  <c r="I3837" i="22"/>
  <c r="S3836" i="22"/>
  <c r="AM3832" i="22"/>
  <c r="AC3831" i="22"/>
  <c r="S3831" i="22"/>
  <c r="AC3824" i="22"/>
  <c r="S3822" i="22"/>
  <c r="AM3820" i="22"/>
  <c r="S3819" i="22"/>
  <c r="AC3814" i="22"/>
  <c r="G19" i="15"/>
  <c r="O29" i="5"/>
  <c r="F77" i="5"/>
  <c r="O2078" i="22"/>
  <c r="H65" i="23"/>
  <c r="H63" i="23"/>
  <c r="H62" i="23"/>
  <c r="H53" i="23"/>
  <c r="H52" i="23"/>
  <c r="H49" i="23"/>
  <c r="I3857" i="22"/>
  <c r="AC3865" i="22"/>
  <c r="AC3866" i="22"/>
  <c r="AC3864" i="22"/>
  <c r="AC3863" i="22"/>
  <c r="S3863" i="22"/>
  <c r="I3859" i="22"/>
  <c r="AM3858" i="22"/>
  <c r="AC3858" i="22"/>
  <c r="AC3857" i="22"/>
  <c r="AC3853" i="22"/>
  <c r="S3850" i="22"/>
  <c r="AM3850" i="22"/>
  <c r="S3849" i="22"/>
  <c r="S3848" i="22"/>
  <c r="S3841" i="22"/>
  <c r="I3841" i="22"/>
  <c r="AC3839" i="22"/>
  <c r="S3839" i="22"/>
  <c r="S3838" i="22"/>
  <c r="AM3837" i="22"/>
  <c r="I3836" i="22"/>
  <c r="I3833" i="22"/>
  <c r="AM3831" i="22"/>
  <c r="I3830" i="22"/>
  <c r="S3829" i="22"/>
  <c r="A50" i="8"/>
  <c r="A17" i="6"/>
  <c r="A751" i="23"/>
  <c r="A18" i="8"/>
  <c r="A112" i="7"/>
  <c r="A81" i="7"/>
  <c r="A50" i="7"/>
  <c r="A18" i="7"/>
  <c r="A80" i="8"/>
  <c r="A79" i="8"/>
  <c r="A17" i="8"/>
  <c r="A111" i="7"/>
  <c r="A49" i="8"/>
  <c r="A80" i="7"/>
  <c r="A49" i="7"/>
  <c r="A16" i="6"/>
  <c r="A695" i="23"/>
  <c r="A17" i="7"/>
  <c r="A16" i="8"/>
  <c r="A78" i="8"/>
  <c r="A48" i="8"/>
  <c r="A110" i="7"/>
  <c r="I1594" i="23"/>
  <c r="J1594" i="23"/>
  <c r="N1594" i="23" s="1"/>
  <c r="I1595" i="23"/>
  <c r="D1483" i="23"/>
  <c r="F1483" i="23"/>
  <c r="D1427" i="23"/>
  <c r="F1427" i="23"/>
  <c r="D1315" i="23"/>
  <c r="F1315" i="23"/>
  <c r="D1259" i="23"/>
  <c r="F1259" i="23"/>
  <c r="G4325" i="22"/>
  <c r="H4325" i="22"/>
  <c r="I4325" i="22" s="1"/>
  <c r="G4314" i="22"/>
  <c r="H4314" i="22"/>
  <c r="I4314" i="22" s="1"/>
  <c r="H4309" i="22"/>
  <c r="G4309" i="22"/>
  <c r="I4309" i="22" s="1"/>
  <c r="K3374" i="22"/>
  <c r="F3374" i="22"/>
  <c r="O3374" i="22" s="1"/>
  <c r="K3320" i="22"/>
  <c r="F3320" i="22"/>
  <c r="O3320" i="22" s="1"/>
  <c r="K3266" i="22"/>
  <c r="F3266" i="22"/>
  <c r="O3266" i="22" s="1"/>
  <c r="K2510" i="22"/>
  <c r="F2510" i="22"/>
  <c r="O2510" i="22" s="1"/>
  <c r="K2240" i="22"/>
  <c r="F2240" i="22"/>
  <c r="O2240" i="22" s="1"/>
  <c r="K1646" i="22"/>
  <c r="F1646" i="22"/>
  <c r="O1646" i="22" s="1"/>
  <c r="K1592" i="22"/>
  <c r="F1592" i="22"/>
  <c r="O1592" i="22" s="1"/>
  <c r="K1538" i="22"/>
  <c r="F1538" i="22"/>
  <c r="O1538" i="22" s="1"/>
  <c r="K1484" i="22"/>
  <c r="F1484" i="22"/>
  <c r="O1484" i="22" s="1"/>
  <c r="K836" i="22"/>
  <c r="F836" i="22"/>
  <c r="O836" i="22" s="1"/>
  <c r="F134" i="22"/>
  <c r="O134" i="22" s="1"/>
  <c r="K134" i="22"/>
  <c r="M134" i="22" s="1"/>
  <c r="K80" i="22"/>
  <c r="F80" i="22"/>
  <c r="O80" i="22" s="1"/>
  <c r="K1595" i="23"/>
  <c r="D1595" i="23"/>
  <c r="P1595" i="23"/>
  <c r="Q1595" i="23"/>
  <c r="R1595" i="23"/>
  <c r="L1596" i="23"/>
  <c r="C1596" i="23"/>
  <c r="K1596" i="23" s="1"/>
  <c r="E1596" i="23"/>
  <c r="F1596" i="23"/>
  <c r="G1596" i="23"/>
  <c r="B1597" i="23"/>
  <c r="E1591" i="23"/>
  <c r="E130" i="8"/>
  <c r="E131" i="8"/>
  <c r="E132" i="8"/>
  <c r="E133" i="8"/>
  <c r="E134" i="8"/>
  <c r="E135" i="8"/>
  <c r="E136" i="8"/>
  <c r="E137" i="8"/>
  <c r="E138" i="8"/>
  <c r="E139" i="8"/>
  <c r="E140" i="8"/>
  <c r="E141" i="8"/>
  <c r="A1592" i="23"/>
  <c r="B1592" i="23"/>
  <c r="P1539" i="23"/>
  <c r="Q1539" i="23"/>
  <c r="R1539" i="23"/>
  <c r="C1540" i="23"/>
  <c r="E1540" i="23"/>
  <c r="F1540" i="23"/>
  <c r="G1540" i="23"/>
  <c r="B1541" i="23"/>
  <c r="P1483" i="23"/>
  <c r="Q1483" i="23"/>
  <c r="R1483" i="23"/>
  <c r="C1484" i="23"/>
  <c r="E1484" i="23"/>
  <c r="F1484" i="23"/>
  <c r="G1484" i="23"/>
  <c r="B1485" i="23"/>
  <c r="P1427" i="23"/>
  <c r="Q1427" i="23"/>
  <c r="R1427" i="23"/>
  <c r="C1428" i="23"/>
  <c r="E1428" i="23"/>
  <c r="F1428" i="23"/>
  <c r="G1428" i="23"/>
  <c r="B1429" i="23"/>
  <c r="E1372" i="23"/>
  <c r="C1372" i="23"/>
  <c r="F1372" i="23"/>
  <c r="G1372" i="23"/>
  <c r="B1373" i="23"/>
  <c r="P1371" i="23"/>
  <c r="Q1371" i="23"/>
  <c r="R1371" i="23"/>
  <c r="P1315" i="23"/>
  <c r="Q1315" i="23"/>
  <c r="R1315" i="23"/>
  <c r="C1316" i="23"/>
  <c r="E1316" i="23"/>
  <c r="F1316" i="23"/>
  <c r="G1316" i="23"/>
  <c r="B1317" i="23"/>
  <c r="P1259" i="23"/>
  <c r="Q1259" i="23"/>
  <c r="R1259" i="23"/>
  <c r="C1260" i="23"/>
  <c r="E1260" i="23"/>
  <c r="F1260" i="23"/>
  <c r="G1260" i="23"/>
  <c r="B1261" i="23"/>
  <c r="P1203" i="23"/>
  <c r="Q1203" i="23"/>
  <c r="R1203" i="23"/>
  <c r="C1204" i="23"/>
  <c r="E1204" i="23"/>
  <c r="F1204" i="23"/>
  <c r="G1204" i="23"/>
  <c r="B1205" i="23"/>
  <c r="P1147" i="23"/>
  <c r="Q1147" i="23"/>
  <c r="R1147" i="23"/>
  <c r="C1148" i="23"/>
  <c r="E1148" i="23"/>
  <c r="F1148" i="23"/>
  <c r="G1148" i="23"/>
  <c r="B1149" i="23"/>
  <c r="P1091" i="23"/>
  <c r="Q1091" i="23"/>
  <c r="R1091" i="23"/>
  <c r="C1092" i="23"/>
  <c r="E1092" i="23"/>
  <c r="F1092" i="23"/>
  <c r="G1092" i="23"/>
  <c r="B1093" i="23"/>
  <c r="E1036" i="23"/>
  <c r="G1036" i="23"/>
  <c r="C1036" i="23"/>
  <c r="B1037" i="23"/>
  <c r="F1036" i="23"/>
  <c r="P1035" i="23"/>
  <c r="Q1035" i="23"/>
  <c r="R1035" i="23"/>
  <c r="P979" i="23"/>
  <c r="Q979" i="23"/>
  <c r="R979" i="23"/>
  <c r="C980" i="23"/>
  <c r="E980" i="23"/>
  <c r="F980" i="23"/>
  <c r="G980" i="23"/>
  <c r="B981" i="23"/>
  <c r="P923" i="23"/>
  <c r="Q923" i="23"/>
  <c r="R923" i="23"/>
  <c r="C924" i="23"/>
  <c r="E924" i="23"/>
  <c r="F924" i="23"/>
  <c r="G924" i="23"/>
  <c r="B925" i="23"/>
  <c r="P867" i="23"/>
  <c r="Q867" i="23"/>
  <c r="R867" i="23"/>
  <c r="C868" i="23"/>
  <c r="E868" i="23"/>
  <c r="F868" i="23"/>
  <c r="G868" i="23"/>
  <c r="B869" i="23"/>
  <c r="P811" i="23"/>
  <c r="Q811" i="23"/>
  <c r="R811" i="23"/>
  <c r="C812" i="23"/>
  <c r="E812" i="23"/>
  <c r="F812" i="23"/>
  <c r="G812" i="23"/>
  <c r="B813" i="23"/>
  <c r="P755" i="23"/>
  <c r="Q755" i="23"/>
  <c r="R755" i="23"/>
  <c r="C756" i="23"/>
  <c r="E756" i="23"/>
  <c r="F756" i="23"/>
  <c r="G756" i="23"/>
  <c r="B757" i="23"/>
  <c r="P699" i="23"/>
  <c r="Q699" i="23"/>
  <c r="R699" i="23"/>
  <c r="C700" i="23"/>
  <c r="E700" i="23"/>
  <c r="F700" i="23"/>
  <c r="G700" i="23"/>
  <c r="B701" i="23"/>
  <c r="P643" i="23"/>
  <c r="Q643" i="23"/>
  <c r="R643" i="23"/>
  <c r="C644" i="23"/>
  <c r="E644" i="23"/>
  <c r="F644" i="23"/>
  <c r="G644" i="23"/>
  <c r="B645" i="23"/>
  <c r="P587" i="23"/>
  <c r="Q587" i="23"/>
  <c r="R587" i="23"/>
  <c r="C588" i="23"/>
  <c r="E588" i="23"/>
  <c r="F588" i="23"/>
  <c r="G588" i="23"/>
  <c r="B589" i="23"/>
  <c r="P531" i="23"/>
  <c r="Q531" i="23"/>
  <c r="R531" i="23"/>
  <c r="C532" i="23"/>
  <c r="E532" i="23"/>
  <c r="F532" i="23"/>
  <c r="G532" i="23"/>
  <c r="B533" i="23"/>
  <c r="P475" i="23"/>
  <c r="Q475" i="23"/>
  <c r="R475" i="23"/>
  <c r="E476" i="23"/>
  <c r="G476" i="23"/>
  <c r="B477" i="23"/>
  <c r="C476" i="23"/>
  <c r="F476" i="23" s="1"/>
  <c r="P419" i="23"/>
  <c r="R419" i="23"/>
  <c r="Q419" i="23"/>
  <c r="G420" i="23"/>
  <c r="C420" i="23"/>
  <c r="E420" i="23"/>
  <c r="B421" i="23"/>
  <c r="F420" i="23"/>
  <c r="P363" i="23"/>
  <c r="Q363" i="23"/>
  <c r="R363" i="23"/>
  <c r="C364" i="23"/>
  <c r="E364" i="23"/>
  <c r="F364" i="23"/>
  <c r="G364" i="23"/>
  <c r="B365" i="23"/>
  <c r="P307" i="23"/>
  <c r="Q307" i="23"/>
  <c r="R307" i="23"/>
  <c r="C308" i="23"/>
  <c r="E308" i="23"/>
  <c r="F308" i="23"/>
  <c r="G308" i="23"/>
  <c r="B309" i="23"/>
  <c r="P251" i="23"/>
  <c r="Q251" i="23"/>
  <c r="R251" i="23"/>
  <c r="C252" i="23"/>
  <c r="E252" i="23"/>
  <c r="F252" i="23"/>
  <c r="G252" i="23"/>
  <c r="B253" i="23"/>
  <c r="D4730" i="22"/>
  <c r="J4730" i="22"/>
  <c r="G4731" i="22"/>
  <c r="B4732" i="22"/>
  <c r="L4731" i="22"/>
  <c r="C4731" i="22"/>
  <c r="I4731" i="22"/>
  <c r="E4731" i="22"/>
  <c r="P4730" i="22"/>
  <c r="Q4730" i="22"/>
  <c r="R4730" i="22"/>
  <c r="D4676" i="22"/>
  <c r="J4676" i="22"/>
  <c r="P4676" i="22"/>
  <c r="Q4676" i="22"/>
  <c r="R4676" i="22"/>
  <c r="C4677" i="22"/>
  <c r="E4677" i="22"/>
  <c r="G4677" i="22"/>
  <c r="I4677" i="22"/>
  <c r="B4678" i="22"/>
  <c r="P4622" i="22"/>
  <c r="Q4622" i="22"/>
  <c r="R4622" i="22"/>
  <c r="C4623" i="22"/>
  <c r="D4623" i="22" s="1"/>
  <c r="E4623" i="22"/>
  <c r="F4623" i="22"/>
  <c r="G4623" i="22"/>
  <c r="B4624" i="22"/>
  <c r="K4568" i="22"/>
  <c r="D4568" i="22"/>
  <c r="P4568" i="22"/>
  <c r="Q4568" i="22"/>
  <c r="R4568" i="22"/>
  <c r="L4569" i="22"/>
  <c r="C4569" i="22"/>
  <c r="K4569" i="22" s="1"/>
  <c r="E4569" i="22"/>
  <c r="F4569" i="22"/>
  <c r="G4569" i="22"/>
  <c r="B4570" i="22"/>
  <c r="K4514" i="22"/>
  <c r="D4514" i="22"/>
  <c r="J4514" i="22"/>
  <c r="P4514" i="22"/>
  <c r="Q4514" i="22"/>
  <c r="R4514" i="22"/>
  <c r="L4515" i="22"/>
  <c r="C4515" i="22"/>
  <c r="K4515" i="22" s="1"/>
  <c r="E4515" i="22"/>
  <c r="F4515" i="22"/>
  <c r="G4515" i="22"/>
  <c r="I4515" i="22"/>
  <c r="B4516" i="22"/>
  <c r="L4568" i="22"/>
  <c r="L4567" i="22"/>
  <c r="K4214" i="22"/>
  <c r="D4214" i="22"/>
  <c r="J4214" i="22"/>
  <c r="P4214" i="22"/>
  <c r="Q4214" i="22"/>
  <c r="R4214" i="22"/>
  <c r="L4215" i="22"/>
  <c r="C4215" i="22"/>
  <c r="K4215" i="22" s="1"/>
  <c r="E4215" i="22"/>
  <c r="F4215" i="22"/>
  <c r="G4215" i="22"/>
  <c r="I4215" i="22"/>
  <c r="B4216" i="22"/>
  <c r="K4160" i="22"/>
  <c r="D4160" i="22"/>
  <c r="J4160" i="22"/>
  <c r="P4160" i="22"/>
  <c r="Q4160" i="22"/>
  <c r="R4160" i="22"/>
  <c r="L4161" i="22"/>
  <c r="C4161" i="22"/>
  <c r="K4161" i="22" s="1"/>
  <c r="E4161" i="22"/>
  <c r="F4161" i="22"/>
  <c r="G4161" i="22"/>
  <c r="I4161" i="22"/>
  <c r="B4162" i="22"/>
  <c r="K4106" i="22"/>
  <c r="D4106" i="22"/>
  <c r="J4106" i="22"/>
  <c r="P4106" i="22"/>
  <c r="Q4106" i="22"/>
  <c r="R4106" i="22"/>
  <c r="L4107" i="22"/>
  <c r="C4107" i="22"/>
  <c r="K4107" i="22" s="1"/>
  <c r="E4107" i="22"/>
  <c r="F4107" i="22"/>
  <c r="G4107" i="22"/>
  <c r="I4107" i="22"/>
  <c r="B4108" i="22"/>
  <c r="K4052" i="22"/>
  <c r="D4052" i="22"/>
  <c r="J4052" i="22"/>
  <c r="P4052" i="22"/>
  <c r="Q4052" i="22"/>
  <c r="R4052" i="22"/>
  <c r="L4053" i="22"/>
  <c r="C4053" i="22"/>
  <c r="K4053" i="22" s="1"/>
  <c r="E4053" i="22"/>
  <c r="F4053" i="22"/>
  <c r="G4053" i="22"/>
  <c r="I4053" i="22"/>
  <c r="B4054" i="22"/>
  <c r="D3752" i="22"/>
  <c r="J3752" i="22"/>
  <c r="P3752" i="22"/>
  <c r="Q3752" i="22"/>
  <c r="R3752" i="22"/>
  <c r="C3753" i="22"/>
  <c r="K3753" i="22" s="1"/>
  <c r="E3753" i="22"/>
  <c r="F3753" i="22"/>
  <c r="O3753" i="22" s="1"/>
  <c r="G3753" i="22"/>
  <c r="I3753" i="22"/>
  <c r="B3754" i="22"/>
  <c r="D3698" i="22"/>
  <c r="J3698" i="22"/>
  <c r="P3698" i="22"/>
  <c r="Q3698" i="22"/>
  <c r="R3698" i="22"/>
  <c r="C3699" i="22"/>
  <c r="K3699" i="22" s="1"/>
  <c r="E3699" i="22"/>
  <c r="F3699" i="22"/>
  <c r="O3699" i="22" s="1"/>
  <c r="G3699" i="22"/>
  <c r="I3699" i="22"/>
  <c r="B3700" i="22"/>
  <c r="D3644" i="22"/>
  <c r="J3644" i="22"/>
  <c r="P3644" i="22"/>
  <c r="Q3644" i="22"/>
  <c r="R3644" i="22"/>
  <c r="C3645" i="22"/>
  <c r="E3645" i="22"/>
  <c r="F3645" i="22"/>
  <c r="G3645" i="22"/>
  <c r="I3645" i="22"/>
  <c r="B3646" i="22"/>
  <c r="I3641" i="22"/>
  <c r="O3643" i="22" s="1"/>
  <c r="J3590" i="22"/>
  <c r="D3590" i="22"/>
  <c r="P3590" i="22"/>
  <c r="Q3590" i="22"/>
  <c r="R3590" i="22"/>
  <c r="B3592" i="22"/>
  <c r="C3591" i="22"/>
  <c r="E3591" i="22"/>
  <c r="G3591" i="22"/>
  <c r="I3591" i="22"/>
  <c r="P3536" i="22"/>
  <c r="Q3536" i="22"/>
  <c r="R3536" i="22"/>
  <c r="K3536" i="22"/>
  <c r="D3536" i="22"/>
  <c r="J3536" i="22"/>
  <c r="L3537" i="22"/>
  <c r="C3537" i="22"/>
  <c r="E3537" i="22"/>
  <c r="G3537" i="22"/>
  <c r="I3537" i="22"/>
  <c r="B3538" i="22"/>
  <c r="D3482" i="22"/>
  <c r="J3482" i="22"/>
  <c r="P3482" i="22"/>
  <c r="Q3482" i="22"/>
  <c r="R3482" i="22"/>
  <c r="C3483" i="22"/>
  <c r="K3483" i="22" s="1"/>
  <c r="E3483" i="22"/>
  <c r="F3483" i="22"/>
  <c r="O3483" i="22" s="1"/>
  <c r="G3483" i="22"/>
  <c r="I3483" i="22"/>
  <c r="B3484" i="22"/>
  <c r="D3428" i="22"/>
  <c r="J3428" i="22"/>
  <c r="P3428" i="22"/>
  <c r="Q3428" i="22"/>
  <c r="R3428" i="22"/>
  <c r="C3429" i="22"/>
  <c r="K3429" i="22" s="1"/>
  <c r="E3429" i="22"/>
  <c r="F3429" i="22"/>
  <c r="O3429" i="22" s="1"/>
  <c r="G3429" i="22"/>
  <c r="I3429" i="22"/>
  <c r="B3430" i="22"/>
  <c r="D3374" i="22"/>
  <c r="J3374" i="22"/>
  <c r="N3374" i="22" s="1"/>
  <c r="U3374" i="22" s="1"/>
  <c r="P3374" i="22"/>
  <c r="Q3374" i="22"/>
  <c r="R3374" i="22"/>
  <c r="C3375" i="22"/>
  <c r="K3375" i="22" s="1"/>
  <c r="E3375" i="22"/>
  <c r="F3375" i="22"/>
  <c r="O3375" i="22" s="1"/>
  <c r="G3375" i="22"/>
  <c r="I3375" i="22"/>
  <c r="B3376" i="22"/>
  <c r="D3320" i="22"/>
  <c r="J3320" i="22"/>
  <c r="N3320" i="22" s="1"/>
  <c r="U3320" i="22" s="1"/>
  <c r="P3320" i="22"/>
  <c r="Q3320" i="22"/>
  <c r="R3320" i="22"/>
  <c r="C3321" i="22"/>
  <c r="E3321" i="22"/>
  <c r="G3321" i="22"/>
  <c r="I3321" i="22"/>
  <c r="B3322" i="22"/>
  <c r="D3266" i="22"/>
  <c r="J3266" i="22"/>
  <c r="N3266" i="22" s="1"/>
  <c r="U3266" i="22" s="1"/>
  <c r="P3266" i="22"/>
  <c r="Q3266" i="22"/>
  <c r="R3266" i="22"/>
  <c r="C3267" i="22"/>
  <c r="E3267" i="22"/>
  <c r="G3267" i="22"/>
  <c r="I3267" i="22"/>
  <c r="B3268" i="22"/>
  <c r="K3212" i="22"/>
  <c r="D3212" i="22"/>
  <c r="J3212" i="22"/>
  <c r="P3212" i="22"/>
  <c r="Q3212" i="22"/>
  <c r="R3212" i="22"/>
  <c r="L3213" i="22"/>
  <c r="C3213" i="22"/>
  <c r="K3213" i="22" s="1"/>
  <c r="E3213" i="22"/>
  <c r="F3213" i="22"/>
  <c r="O3213" i="22" s="1"/>
  <c r="G3213" i="22"/>
  <c r="B3214" i="22"/>
  <c r="I3213" i="22"/>
  <c r="K3158" i="22"/>
  <c r="D3158" i="22"/>
  <c r="J3158" i="22"/>
  <c r="P3158" i="22"/>
  <c r="Q3158" i="22"/>
  <c r="R3158" i="22"/>
  <c r="L3159" i="22"/>
  <c r="C3159" i="22"/>
  <c r="E3159" i="22"/>
  <c r="G3159" i="22"/>
  <c r="I3159" i="22"/>
  <c r="B3160" i="22"/>
  <c r="K3104" i="22"/>
  <c r="J3104" i="22"/>
  <c r="D3104" i="22"/>
  <c r="P3104" i="22"/>
  <c r="Q3104" i="22"/>
  <c r="R3104" i="22"/>
  <c r="L3105" i="22"/>
  <c r="E3105" i="22"/>
  <c r="B3106" i="22"/>
  <c r="C3105" i="22"/>
  <c r="K3105" i="22" s="1"/>
  <c r="F3105" i="22"/>
  <c r="O3105" i="22" s="1"/>
  <c r="G3105" i="22"/>
  <c r="I3105" i="22"/>
  <c r="L3051" i="22"/>
  <c r="C3051" i="22"/>
  <c r="K3051" i="22" s="1"/>
  <c r="E3051" i="22"/>
  <c r="F3051" i="22"/>
  <c r="O3051" i="22" s="1"/>
  <c r="G3051" i="22"/>
  <c r="I3051" i="22"/>
  <c r="B3052" i="22"/>
  <c r="D3050" i="22"/>
  <c r="J3050" i="22"/>
  <c r="N3050" i="22" s="1"/>
  <c r="U3050" i="22" s="1"/>
  <c r="P3050" i="22"/>
  <c r="Q3050" i="22"/>
  <c r="R3050" i="22"/>
  <c r="K2996" i="22"/>
  <c r="J2996" i="22"/>
  <c r="D2996" i="22"/>
  <c r="P2996" i="22"/>
  <c r="Q2996" i="22"/>
  <c r="R2996" i="22"/>
  <c r="L2997" i="22"/>
  <c r="E2997" i="22"/>
  <c r="G2997" i="22"/>
  <c r="B2998" i="22"/>
  <c r="I2997" i="22"/>
  <c r="C2997" i="22"/>
  <c r="K2942" i="22"/>
  <c r="D2942" i="22"/>
  <c r="J2942" i="22"/>
  <c r="P2942" i="22"/>
  <c r="Q2942" i="22"/>
  <c r="R2942" i="22"/>
  <c r="L2943" i="22"/>
  <c r="C2943" i="22"/>
  <c r="K2943" i="22" s="1"/>
  <c r="E2943" i="22"/>
  <c r="F2943" i="22"/>
  <c r="O2943" i="22" s="1"/>
  <c r="G2943" i="22"/>
  <c r="I2943" i="22"/>
  <c r="B2944" i="22"/>
  <c r="D2888" i="22"/>
  <c r="J2888" i="22"/>
  <c r="P2888" i="22"/>
  <c r="Q2888" i="22"/>
  <c r="R2888" i="22"/>
  <c r="C2889" i="22"/>
  <c r="E2889" i="22"/>
  <c r="G2889" i="22"/>
  <c r="I2889" i="22"/>
  <c r="B2890" i="22"/>
  <c r="D2834" i="22"/>
  <c r="J2834" i="22"/>
  <c r="P2834" i="22"/>
  <c r="Q2834" i="22"/>
  <c r="R2834" i="22"/>
  <c r="C2835" i="22"/>
  <c r="K2835" i="22" s="1"/>
  <c r="E2835" i="22"/>
  <c r="F2835" i="22"/>
  <c r="O2835" i="22" s="1"/>
  <c r="G2835" i="22"/>
  <c r="I2835" i="22"/>
  <c r="B2836" i="22"/>
  <c r="D2780" i="22"/>
  <c r="J2780" i="22"/>
  <c r="P2780" i="22"/>
  <c r="Q2780" i="22"/>
  <c r="R2780" i="22"/>
  <c r="C2781" i="22"/>
  <c r="K2781" i="22" s="1"/>
  <c r="E2781" i="22"/>
  <c r="F2781" i="22"/>
  <c r="O2781" i="22" s="1"/>
  <c r="G2781" i="22"/>
  <c r="I2781" i="22"/>
  <c r="B2782" i="22"/>
  <c r="D2726" i="22"/>
  <c r="J2726" i="22"/>
  <c r="P2726" i="22"/>
  <c r="Q2726" i="22"/>
  <c r="R2726" i="22"/>
  <c r="C2727" i="22"/>
  <c r="E2727" i="22"/>
  <c r="G2727" i="22"/>
  <c r="I2727" i="22"/>
  <c r="B2728" i="22"/>
  <c r="D2672" i="22"/>
  <c r="J2672" i="22"/>
  <c r="P2672" i="22"/>
  <c r="Q2672" i="22"/>
  <c r="R2672" i="22"/>
  <c r="L2673" i="22"/>
  <c r="C2673" i="22"/>
  <c r="K2673" i="22" s="1"/>
  <c r="E2673" i="22"/>
  <c r="F2673" i="22"/>
  <c r="O2673" i="22" s="1"/>
  <c r="G2673" i="22"/>
  <c r="I2673" i="22"/>
  <c r="B2674" i="22"/>
  <c r="K2618" i="22"/>
  <c r="D2618" i="22"/>
  <c r="J2618" i="22"/>
  <c r="P2618" i="22"/>
  <c r="Q2618" i="22"/>
  <c r="R2618" i="22"/>
  <c r="L2619" i="22"/>
  <c r="C2619" i="22"/>
  <c r="K2619" i="22" s="1"/>
  <c r="E2619" i="22"/>
  <c r="F2619" i="22"/>
  <c r="O2619" i="22" s="1"/>
  <c r="G2619" i="22"/>
  <c r="I2619" i="22"/>
  <c r="B2620" i="22"/>
  <c r="D2564" i="22"/>
  <c r="J2564" i="22"/>
  <c r="N2564" i="22" s="1"/>
  <c r="U2564" i="22" s="1"/>
  <c r="P2564" i="22"/>
  <c r="Q2564" i="22"/>
  <c r="R2564" i="22"/>
  <c r="C2565" i="22"/>
  <c r="E2565" i="22"/>
  <c r="F2565" i="22"/>
  <c r="O2565" i="22" s="1"/>
  <c r="G2565" i="22"/>
  <c r="I2565" i="22"/>
  <c r="B2566" i="22"/>
  <c r="D2510" i="22"/>
  <c r="J2510" i="22"/>
  <c r="N2510" i="22" s="1"/>
  <c r="U2510" i="22" s="1"/>
  <c r="P2510" i="22"/>
  <c r="Q2510" i="22"/>
  <c r="R2510" i="22"/>
  <c r="C2511" i="22"/>
  <c r="K2511" i="22" s="1"/>
  <c r="E2511" i="22"/>
  <c r="F2511" i="22"/>
  <c r="O2511" i="22" s="1"/>
  <c r="G2511" i="22"/>
  <c r="I2511" i="22"/>
  <c r="B2512" i="22"/>
  <c r="D2456" i="22"/>
  <c r="J2456" i="22"/>
  <c r="N2456" i="22" s="1"/>
  <c r="U2456" i="22" s="1"/>
  <c r="P2456" i="22"/>
  <c r="Q2456" i="22"/>
  <c r="R2456" i="22"/>
  <c r="C2457" i="22"/>
  <c r="K2457" i="22" s="1"/>
  <c r="E2457" i="22"/>
  <c r="F2457" i="22"/>
  <c r="O2457" i="22" s="1"/>
  <c r="G2457" i="22"/>
  <c r="I2457" i="22"/>
  <c r="B2458" i="22"/>
  <c r="K2402" i="22"/>
  <c r="D2402" i="22"/>
  <c r="J2402" i="22"/>
  <c r="P2402" i="22"/>
  <c r="Q2402" i="22"/>
  <c r="R2402" i="22"/>
  <c r="L2403" i="22"/>
  <c r="C2403" i="22"/>
  <c r="K2403" i="22" s="1"/>
  <c r="E2403" i="22"/>
  <c r="F2403" i="22"/>
  <c r="O2403" i="22" s="1"/>
  <c r="G2403" i="22"/>
  <c r="I2403" i="22"/>
  <c r="B2404" i="22"/>
  <c r="K2348" i="22"/>
  <c r="D2348" i="22"/>
  <c r="J2348" i="22"/>
  <c r="P2348" i="22"/>
  <c r="Q2348" i="22"/>
  <c r="R2348" i="22"/>
  <c r="L2349" i="22"/>
  <c r="C2349" i="22"/>
  <c r="E2349" i="22"/>
  <c r="G2349" i="22"/>
  <c r="I2349" i="22"/>
  <c r="B2350" i="22"/>
  <c r="L2295" i="22"/>
  <c r="C2295" i="22"/>
  <c r="K2295" i="22" s="1"/>
  <c r="G2295" i="22"/>
  <c r="F2295" i="22"/>
  <c r="O2295" i="22" s="1"/>
  <c r="B2296" i="22"/>
  <c r="E2295" i="22"/>
  <c r="I2295" i="22"/>
  <c r="K2294" i="22"/>
  <c r="D2294" i="22"/>
  <c r="J2294" i="22"/>
  <c r="P2294" i="22"/>
  <c r="Q2294" i="22"/>
  <c r="R2294" i="22"/>
  <c r="D2240" i="22"/>
  <c r="J2240" i="22"/>
  <c r="N2240" i="22" s="1"/>
  <c r="U2240" i="22" s="1"/>
  <c r="P2240" i="22"/>
  <c r="Q2240" i="22"/>
  <c r="R2240" i="22"/>
  <c r="C2241" i="22"/>
  <c r="K2241" i="22" s="1"/>
  <c r="E2241" i="22"/>
  <c r="F2241" i="22"/>
  <c r="O2241" i="22" s="1"/>
  <c r="G2241" i="22"/>
  <c r="I2241" i="22"/>
  <c r="B2242" i="22"/>
  <c r="D2186" i="22"/>
  <c r="J2186" i="22"/>
  <c r="P2186" i="22"/>
  <c r="Q2186" i="22"/>
  <c r="R2186" i="22"/>
  <c r="C2187" i="22"/>
  <c r="K2187" i="22" s="1"/>
  <c r="E2187" i="22"/>
  <c r="F2187" i="22"/>
  <c r="O2187" i="22" s="1"/>
  <c r="G2187" i="22"/>
  <c r="I2187" i="22"/>
  <c r="B2188" i="22"/>
  <c r="D2132" i="22"/>
  <c r="J2132" i="22"/>
  <c r="P2132" i="22"/>
  <c r="Q2132" i="22"/>
  <c r="R2132" i="22"/>
  <c r="C2133" i="22"/>
  <c r="K2133" i="22" s="1"/>
  <c r="E2133" i="22"/>
  <c r="F2133" i="22"/>
  <c r="G2133" i="22"/>
  <c r="I2133" i="22"/>
  <c r="B2134" i="22"/>
  <c r="I2129" i="22"/>
  <c r="O2131" i="22" s="1"/>
  <c r="K2078" i="22"/>
  <c r="D2078" i="22"/>
  <c r="J2078" i="22"/>
  <c r="P2078" i="22"/>
  <c r="Q2078" i="22"/>
  <c r="R2078" i="22"/>
  <c r="L2079" i="22"/>
  <c r="C2079" i="22"/>
  <c r="K2079" i="22" s="1"/>
  <c r="E2079" i="22"/>
  <c r="F2079" i="22"/>
  <c r="O2079" i="22" s="1"/>
  <c r="G2079" i="22"/>
  <c r="I2079" i="22"/>
  <c r="B2080" i="22"/>
  <c r="K2024" i="22"/>
  <c r="D2024" i="22"/>
  <c r="J2024" i="22"/>
  <c r="P2024" i="22"/>
  <c r="Q2024" i="22"/>
  <c r="R2024" i="22"/>
  <c r="L2025" i="22"/>
  <c r="C2025" i="22"/>
  <c r="K2025" i="22" s="1"/>
  <c r="E2025" i="22"/>
  <c r="F2025" i="22"/>
  <c r="O2025" i="22" s="1"/>
  <c r="G2025" i="22"/>
  <c r="I2025" i="22"/>
  <c r="B2026" i="22"/>
  <c r="P1970" i="22"/>
  <c r="Q1970" i="22"/>
  <c r="R1970" i="22"/>
  <c r="L1971" i="22"/>
  <c r="E1971" i="22"/>
  <c r="I1971" i="22"/>
  <c r="B1972" i="22"/>
  <c r="C1971" i="22"/>
  <c r="G1971" i="22"/>
  <c r="K1970" i="22"/>
  <c r="D1970" i="22"/>
  <c r="J1970" i="22"/>
  <c r="D1916" i="22"/>
  <c r="J1916" i="22"/>
  <c r="P1916" i="22"/>
  <c r="Q1916" i="22"/>
  <c r="R1916" i="22"/>
  <c r="C1917" i="22"/>
  <c r="E1917" i="22"/>
  <c r="G1917" i="22"/>
  <c r="I1917" i="22"/>
  <c r="B1918" i="22"/>
  <c r="D1862" i="22"/>
  <c r="J1862" i="22"/>
  <c r="N1862" i="22" s="1"/>
  <c r="U1862" i="22" s="1"/>
  <c r="P1862" i="22"/>
  <c r="Q1862" i="22"/>
  <c r="R1862" i="22"/>
  <c r="C1863" i="22"/>
  <c r="E1863" i="22"/>
  <c r="F1863" i="22"/>
  <c r="O1863" i="22" s="1"/>
  <c r="G1863" i="22"/>
  <c r="I1863" i="22"/>
  <c r="B1864" i="22"/>
  <c r="D1808" i="22"/>
  <c r="J1808" i="22"/>
  <c r="N1808" i="22" s="1"/>
  <c r="U1808" i="22" s="1"/>
  <c r="P1808" i="22"/>
  <c r="Q1808" i="22"/>
  <c r="R1808" i="22"/>
  <c r="C1809" i="22"/>
  <c r="E1809" i="22"/>
  <c r="F1809" i="22"/>
  <c r="O1809" i="22" s="1"/>
  <c r="G1809" i="22"/>
  <c r="I1809" i="22"/>
  <c r="B1810" i="22"/>
  <c r="K1754" i="22"/>
  <c r="D1754" i="22"/>
  <c r="J1754" i="22"/>
  <c r="P1754" i="22"/>
  <c r="Q1754" i="22"/>
  <c r="R1754" i="22"/>
  <c r="L1755" i="22"/>
  <c r="C1755" i="22"/>
  <c r="K1755" i="22" s="1"/>
  <c r="E1755" i="22"/>
  <c r="F1755" i="22"/>
  <c r="O1755" i="22" s="1"/>
  <c r="G1755" i="22"/>
  <c r="I1755" i="22"/>
  <c r="B1756" i="22"/>
  <c r="K1700" i="22"/>
  <c r="D1700" i="22"/>
  <c r="J1700" i="22"/>
  <c r="P1700" i="22"/>
  <c r="Q1700" i="22"/>
  <c r="R1700" i="22"/>
  <c r="L1701" i="22"/>
  <c r="C1701" i="22"/>
  <c r="K1701" i="22" s="1"/>
  <c r="E1701" i="22"/>
  <c r="F1701" i="22"/>
  <c r="O1701" i="22" s="1"/>
  <c r="G1701" i="22"/>
  <c r="I1701" i="22"/>
  <c r="B1702" i="22"/>
  <c r="D1646" i="22"/>
  <c r="J1646" i="22"/>
  <c r="N1646" i="22" s="1"/>
  <c r="U1646" i="22" s="1"/>
  <c r="P1646" i="22"/>
  <c r="Q1646" i="22"/>
  <c r="R1646" i="22"/>
  <c r="C1647" i="22"/>
  <c r="E1647" i="22"/>
  <c r="G1647" i="22"/>
  <c r="I1647" i="22"/>
  <c r="B1648" i="22"/>
  <c r="D1592" i="22"/>
  <c r="J1592" i="22"/>
  <c r="N1592" i="22" s="1"/>
  <c r="U1592" i="22" s="1"/>
  <c r="P1592" i="22"/>
  <c r="Q1592" i="22"/>
  <c r="R1592" i="22"/>
  <c r="C1593" i="22"/>
  <c r="E1593" i="22"/>
  <c r="G1593" i="22"/>
  <c r="I1593" i="22"/>
  <c r="B1594" i="22"/>
  <c r="D1538" i="22"/>
  <c r="J1538" i="22"/>
  <c r="N1538" i="22" s="1"/>
  <c r="U1538" i="22" s="1"/>
  <c r="P1538" i="22"/>
  <c r="Q1538" i="22"/>
  <c r="R1538" i="22"/>
  <c r="C1539" i="22"/>
  <c r="E1539" i="22"/>
  <c r="G1539" i="22"/>
  <c r="I1539" i="22"/>
  <c r="B1540" i="22"/>
  <c r="D1484" i="22"/>
  <c r="J1484" i="22"/>
  <c r="N1484" i="22" s="1"/>
  <c r="U1484" i="22" s="1"/>
  <c r="P1484" i="22"/>
  <c r="Q1484" i="22"/>
  <c r="R1484" i="22"/>
  <c r="C1485" i="22"/>
  <c r="E1485" i="22"/>
  <c r="G1485" i="22"/>
  <c r="I1485" i="22"/>
  <c r="B1486" i="22"/>
  <c r="K1430" i="22"/>
  <c r="D1430" i="22"/>
  <c r="J1430" i="22"/>
  <c r="P1430" i="22"/>
  <c r="Q1430" i="22"/>
  <c r="R1430" i="22"/>
  <c r="L1431" i="22"/>
  <c r="C1431" i="22"/>
  <c r="E1431" i="22"/>
  <c r="G1431" i="22"/>
  <c r="I1431" i="22"/>
  <c r="B1432" i="22"/>
  <c r="K1376" i="22"/>
  <c r="D1376" i="22"/>
  <c r="J1376" i="22"/>
  <c r="P1376" i="22"/>
  <c r="Q1376" i="22"/>
  <c r="R1376" i="22"/>
  <c r="L1377" i="22"/>
  <c r="C1377" i="22"/>
  <c r="K1377" i="22" s="1"/>
  <c r="E1377" i="22"/>
  <c r="F1377" i="22"/>
  <c r="O1377" i="22" s="1"/>
  <c r="G1377" i="22"/>
  <c r="I1377" i="22"/>
  <c r="B1378" i="22"/>
  <c r="D1322" i="22"/>
  <c r="J1322" i="22"/>
  <c r="N1322" i="22" s="1"/>
  <c r="U1322" i="22" s="1"/>
  <c r="P1322" i="22"/>
  <c r="Q1322" i="22"/>
  <c r="R1322" i="22"/>
  <c r="C1323" i="22"/>
  <c r="K1323" i="22" s="1"/>
  <c r="E1323" i="22"/>
  <c r="F1323" i="22"/>
  <c r="O1323" i="22" s="1"/>
  <c r="G1323" i="22"/>
  <c r="I1323" i="22"/>
  <c r="B1324" i="22"/>
  <c r="D1268" i="22"/>
  <c r="J1268" i="22"/>
  <c r="P1268" i="22"/>
  <c r="Q1268" i="22"/>
  <c r="R1268" i="22"/>
  <c r="C1269" i="22"/>
  <c r="E1269" i="22"/>
  <c r="G1269" i="22"/>
  <c r="I1269" i="22"/>
  <c r="B1270" i="22"/>
  <c r="D1214" i="22"/>
  <c r="J1214" i="22"/>
  <c r="P1214" i="22"/>
  <c r="Q1214" i="22"/>
  <c r="R1214" i="22"/>
  <c r="C1215" i="22"/>
  <c r="E1215" i="22"/>
  <c r="F1215" i="22"/>
  <c r="O1215" i="22" s="1"/>
  <c r="G1215" i="22"/>
  <c r="I1215" i="22"/>
  <c r="B1216" i="22"/>
  <c r="K1160" i="22"/>
  <c r="D1160" i="22"/>
  <c r="J1160" i="22"/>
  <c r="P1160" i="22"/>
  <c r="Q1160" i="22"/>
  <c r="R1160" i="22"/>
  <c r="L1161" i="22"/>
  <c r="C1161" i="22"/>
  <c r="K1161" i="22" s="1"/>
  <c r="E1161" i="22"/>
  <c r="F1161" i="22"/>
  <c r="O1161" i="22" s="1"/>
  <c r="G1161" i="22"/>
  <c r="I1161" i="22"/>
  <c r="B1162" i="22"/>
  <c r="K1106" i="22"/>
  <c r="D1106" i="22"/>
  <c r="J1106" i="22"/>
  <c r="P1106" i="22"/>
  <c r="Q1106" i="22"/>
  <c r="R1106" i="22"/>
  <c r="L1107" i="22"/>
  <c r="C1107" i="22"/>
  <c r="K1107" i="22" s="1"/>
  <c r="E1107" i="22"/>
  <c r="F1107" i="22"/>
  <c r="O1107" i="22" s="1"/>
  <c r="G1107" i="22"/>
  <c r="I1107" i="22"/>
  <c r="B1108" i="22"/>
  <c r="K1052" i="22"/>
  <c r="D1052" i="22"/>
  <c r="J1052" i="22"/>
  <c r="P1052" i="22"/>
  <c r="Q1052" i="22"/>
  <c r="R1052" i="22"/>
  <c r="L1053" i="22"/>
  <c r="C1053" i="22"/>
  <c r="K1053" i="22" s="1"/>
  <c r="E1053" i="22"/>
  <c r="F1053" i="22"/>
  <c r="O1053" i="22" s="1"/>
  <c r="G1053" i="22"/>
  <c r="I1053" i="22"/>
  <c r="B1054" i="22"/>
  <c r="D998" i="22"/>
  <c r="J998" i="22"/>
  <c r="N998" i="22" s="1"/>
  <c r="U998" i="22" s="1"/>
  <c r="P998" i="22"/>
  <c r="Q998" i="22"/>
  <c r="R998" i="22"/>
  <c r="C999" i="22"/>
  <c r="K999" i="22" s="1"/>
  <c r="E999" i="22"/>
  <c r="F999" i="22"/>
  <c r="O999" i="22" s="1"/>
  <c r="G999" i="22"/>
  <c r="I999" i="22"/>
  <c r="B1000" i="22"/>
  <c r="D944" i="22"/>
  <c r="J944" i="22"/>
  <c r="N944" i="22" s="1"/>
  <c r="U944" i="22" s="1"/>
  <c r="P944" i="22"/>
  <c r="Q944" i="22"/>
  <c r="R944" i="22"/>
  <c r="C945" i="22"/>
  <c r="E945" i="22"/>
  <c r="G945" i="22"/>
  <c r="I945" i="22"/>
  <c r="B946" i="22"/>
  <c r="D890" i="22"/>
  <c r="J890" i="22"/>
  <c r="N890" i="22" s="1"/>
  <c r="U890" i="22" s="1"/>
  <c r="P890" i="22"/>
  <c r="Q890" i="22"/>
  <c r="R890" i="22"/>
  <c r="C891" i="22"/>
  <c r="K891" i="22" s="1"/>
  <c r="E891" i="22"/>
  <c r="F891" i="22"/>
  <c r="O891" i="22" s="1"/>
  <c r="G891" i="22"/>
  <c r="I891" i="22"/>
  <c r="B892" i="22"/>
  <c r="D836" i="22"/>
  <c r="J836" i="22"/>
  <c r="N836" i="22" s="1"/>
  <c r="U836" i="22" s="1"/>
  <c r="P836" i="22"/>
  <c r="Q836" i="22"/>
  <c r="R836" i="22"/>
  <c r="C837" i="22"/>
  <c r="E837" i="22"/>
  <c r="G837" i="22"/>
  <c r="I837" i="22"/>
  <c r="B838" i="22"/>
  <c r="D782" i="22"/>
  <c r="J782" i="22"/>
  <c r="N782" i="22" s="1"/>
  <c r="U782" i="22" s="1"/>
  <c r="P782" i="22"/>
  <c r="Q782" i="22"/>
  <c r="R782" i="22"/>
  <c r="C783" i="22"/>
  <c r="E783" i="22"/>
  <c r="G783" i="22"/>
  <c r="I783" i="22"/>
  <c r="B784" i="22"/>
  <c r="K728" i="22"/>
  <c r="D728" i="22"/>
  <c r="J728" i="22"/>
  <c r="P728" i="22"/>
  <c r="Q728" i="22"/>
  <c r="R728" i="22"/>
  <c r="L729" i="22"/>
  <c r="C729" i="22"/>
  <c r="K729" i="22" s="1"/>
  <c r="E729" i="22"/>
  <c r="F729" i="22"/>
  <c r="O729" i="22" s="1"/>
  <c r="G729" i="22"/>
  <c r="I729" i="22"/>
  <c r="B730" i="22"/>
  <c r="D674" i="22"/>
  <c r="J674" i="22"/>
  <c r="N674" i="22" s="1"/>
  <c r="U674" i="22" s="1"/>
  <c r="P674" i="22"/>
  <c r="Q674" i="22"/>
  <c r="R674" i="22"/>
  <c r="C675" i="22"/>
  <c r="E675" i="22"/>
  <c r="F675" i="22"/>
  <c r="O675" i="22" s="1"/>
  <c r="G675" i="22"/>
  <c r="I675" i="22"/>
  <c r="B676" i="22"/>
  <c r="D620" i="22"/>
  <c r="J620" i="22"/>
  <c r="N620" i="22" s="1"/>
  <c r="U620" i="22" s="1"/>
  <c r="P620" i="22"/>
  <c r="Q620" i="22"/>
  <c r="R620" i="22"/>
  <c r="C621" i="22"/>
  <c r="K621" i="22" s="1"/>
  <c r="E621" i="22"/>
  <c r="F621" i="22"/>
  <c r="O621" i="22" s="1"/>
  <c r="G621" i="22"/>
  <c r="I621" i="22"/>
  <c r="B622" i="22"/>
  <c r="D566" i="22"/>
  <c r="J566" i="22"/>
  <c r="N566" i="22" s="1"/>
  <c r="U566" i="22" s="1"/>
  <c r="P566" i="22"/>
  <c r="Q566" i="22"/>
  <c r="R566" i="22"/>
  <c r="C567" i="22"/>
  <c r="K567" i="22" s="1"/>
  <c r="E567" i="22"/>
  <c r="F567" i="22"/>
  <c r="O567" i="22" s="1"/>
  <c r="G567" i="22"/>
  <c r="I567" i="22"/>
  <c r="B568" i="22"/>
  <c r="D512" i="22"/>
  <c r="J512" i="22"/>
  <c r="P512" i="22"/>
  <c r="Q512" i="22"/>
  <c r="R512" i="22"/>
  <c r="C513" i="22"/>
  <c r="K513" i="22" s="1"/>
  <c r="E513" i="22"/>
  <c r="F513" i="22"/>
  <c r="O513" i="22" s="1"/>
  <c r="G513" i="22"/>
  <c r="I513" i="22"/>
  <c r="B514" i="22"/>
  <c r="K458" i="22"/>
  <c r="D458" i="22"/>
  <c r="J458" i="22"/>
  <c r="P458" i="22"/>
  <c r="Q458" i="22"/>
  <c r="R458" i="22"/>
  <c r="L459" i="22"/>
  <c r="C459" i="22"/>
  <c r="K459" i="22" s="1"/>
  <c r="E459" i="22"/>
  <c r="F459" i="22"/>
  <c r="O459" i="22" s="1"/>
  <c r="G459" i="22"/>
  <c r="I459" i="22"/>
  <c r="B460" i="22"/>
  <c r="D404" i="22"/>
  <c r="J404" i="22"/>
  <c r="P404" i="22"/>
  <c r="Q404" i="22"/>
  <c r="R404" i="22"/>
  <c r="C405" i="22"/>
  <c r="E405" i="22"/>
  <c r="G405" i="22"/>
  <c r="I405" i="22"/>
  <c r="B406" i="22"/>
  <c r="I401" i="22"/>
  <c r="O403" i="22" s="1"/>
  <c r="D350" i="22"/>
  <c r="J350" i="22"/>
  <c r="P350" i="22"/>
  <c r="Q350" i="22"/>
  <c r="R350" i="22"/>
  <c r="C351" i="22"/>
  <c r="E351" i="22"/>
  <c r="G351" i="22"/>
  <c r="I351" i="22"/>
  <c r="B352" i="22"/>
  <c r="D296" i="22"/>
  <c r="J296" i="22"/>
  <c r="P296" i="22"/>
  <c r="Q296" i="22"/>
  <c r="R296" i="22"/>
  <c r="C297" i="22"/>
  <c r="K297" i="22" s="1"/>
  <c r="E297" i="22"/>
  <c r="F297" i="22"/>
  <c r="O297" i="22" s="1"/>
  <c r="G297" i="22"/>
  <c r="I297" i="22"/>
  <c r="B298" i="22"/>
  <c r="K242" i="22"/>
  <c r="D242" i="22"/>
  <c r="J242" i="22"/>
  <c r="P242" i="22"/>
  <c r="Q242" i="22"/>
  <c r="R242" i="22"/>
  <c r="L243" i="22"/>
  <c r="C243" i="22"/>
  <c r="E243" i="22"/>
  <c r="G243" i="22"/>
  <c r="I243" i="22"/>
  <c r="B244" i="22"/>
  <c r="K188" i="22"/>
  <c r="D188" i="22"/>
  <c r="J188" i="22"/>
  <c r="P188" i="22"/>
  <c r="Q188" i="22"/>
  <c r="R188" i="22"/>
  <c r="L189" i="22"/>
  <c r="I189" i="22"/>
  <c r="C189" i="22"/>
  <c r="E189" i="22"/>
  <c r="G189" i="22"/>
  <c r="B190" i="22"/>
  <c r="D134" i="22"/>
  <c r="J134" i="22"/>
  <c r="N134" i="22" s="1"/>
  <c r="U134" i="22" s="1"/>
  <c r="P134" i="22"/>
  <c r="Q134" i="22"/>
  <c r="R134" i="22"/>
  <c r="L135" i="22"/>
  <c r="C135" i="22"/>
  <c r="K135" i="22" s="1"/>
  <c r="E135" i="22"/>
  <c r="F135" i="22"/>
  <c r="O135" i="22" s="1"/>
  <c r="G135" i="22"/>
  <c r="B136" i="22"/>
  <c r="I135" i="22"/>
  <c r="D80" i="22"/>
  <c r="J80" i="22"/>
  <c r="P80" i="22"/>
  <c r="Q80" i="22"/>
  <c r="R80" i="22"/>
  <c r="C81" i="22"/>
  <c r="K81" i="22" s="1"/>
  <c r="E81" i="22"/>
  <c r="F81" i="22"/>
  <c r="O81" i="22" s="1"/>
  <c r="G81" i="22"/>
  <c r="I81" i="22"/>
  <c r="B82" i="22"/>
  <c r="B807" i="23"/>
  <c r="M807" i="23"/>
  <c r="AL18" i="6"/>
  <c r="AN18" i="6"/>
  <c r="B19" i="7"/>
  <c r="O19" i="7"/>
  <c r="P19" i="7" s="1"/>
  <c r="B19" i="8"/>
  <c r="B863" i="23"/>
  <c r="M863" i="23"/>
  <c r="AL19" i="6"/>
  <c r="AN19" i="6"/>
  <c r="B20" i="7"/>
  <c r="O20" i="7"/>
  <c r="P20" i="7" s="1"/>
  <c r="B20" i="8"/>
  <c r="B919" i="23"/>
  <c r="M919" i="23"/>
  <c r="AL20" i="6"/>
  <c r="AN20" i="6"/>
  <c r="B21" i="7"/>
  <c r="O21" i="7"/>
  <c r="P21" i="7" s="1"/>
  <c r="B21" i="8"/>
  <c r="B975" i="23"/>
  <c r="M975" i="23"/>
  <c r="AL21" i="6"/>
  <c r="AN21" i="6"/>
  <c r="B22" i="7"/>
  <c r="O22" i="7"/>
  <c r="P22" i="7" s="1"/>
  <c r="B22" i="8"/>
  <c r="B1031" i="23"/>
  <c r="M1031" i="23"/>
  <c r="AL22" i="6"/>
  <c r="AN22" i="6"/>
  <c r="B23" i="7"/>
  <c r="O23" i="7"/>
  <c r="P23" i="7" s="1"/>
  <c r="B23" i="8"/>
  <c r="B1087" i="23"/>
  <c r="M1087" i="23"/>
  <c r="AL23" i="6"/>
  <c r="AN23" i="6"/>
  <c r="B24" i="7"/>
  <c r="O24" i="7"/>
  <c r="P24" i="7" s="1"/>
  <c r="B24" i="8"/>
  <c r="B1143" i="23"/>
  <c r="M1143" i="23"/>
  <c r="AL24" i="6"/>
  <c r="AN24" i="6"/>
  <c r="B25" i="7"/>
  <c r="O25" i="7"/>
  <c r="P25" i="7" s="1"/>
  <c r="B25" i="8"/>
  <c r="B1199" i="23"/>
  <c r="M1199" i="23"/>
  <c r="AL25" i="6"/>
  <c r="AN25" i="6"/>
  <c r="B26" i="7"/>
  <c r="O26" i="7"/>
  <c r="P26" i="7" s="1"/>
  <c r="B26" i="8"/>
  <c r="B1255" i="23"/>
  <c r="M1255" i="23"/>
  <c r="AL26" i="6"/>
  <c r="AN26" i="6"/>
  <c r="B27" i="7"/>
  <c r="O27" i="7"/>
  <c r="P27" i="7" s="1"/>
  <c r="B27" i="8"/>
  <c r="B1535" i="23"/>
  <c r="M1535" i="23"/>
  <c r="AL31" i="6"/>
  <c r="AN31" i="6"/>
  <c r="B32" i="7"/>
  <c r="C32" i="7"/>
  <c r="D32" i="7"/>
  <c r="E32" i="7"/>
  <c r="F32" i="7"/>
  <c r="G32" i="7"/>
  <c r="H32" i="7"/>
  <c r="O32" i="7"/>
  <c r="P32" i="7" s="1"/>
  <c r="Q32" i="7" s="1"/>
  <c r="B64" i="7"/>
  <c r="C64" i="7"/>
  <c r="D64" i="7"/>
  <c r="E64" i="7"/>
  <c r="F64" i="7"/>
  <c r="G64" i="7"/>
  <c r="H64" i="7"/>
  <c r="I64" i="7"/>
  <c r="J64" i="7"/>
  <c r="K64" i="7"/>
  <c r="L64" i="7"/>
  <c r="M64" i="7"/>
  <c r="B95" i="7"/>
  <c r="C95" i="7"/>
  <c r="D95" i="7"/>
  <c r="E95" i="7"/>
  <c r="F95" i="7"/>
  <c r="G95" i="7"/>
  <c r="H95" i="7"/>
  <c r="I95" i="7"/>
  <c r="J95" i="7"/>
  <c r="K95" i="7"/>
  <c r="L95" i="7"/>
  <c r="M95" i="7"/>
  <c r="B126" i="7"/>
  <c r="C126" i="7"/>
  <c r="D126" i="7"/>
  <c r="E126" i="7"/>
  <c r="F126" i="7"/>
  <c r="G126" i="7"/>
  <c r="H126" i="7"/>
  <c r="I126" i="7"/>
  <c r="J126" i="7"/>
  <c r="K126" i="7"/>
  <c r="L126" i="7"/>
  <c r="M126" i="7"/>
  <c r="B32" i="8"/>
  <c r="C32" i="8"/>
  <c r="F32" i="8"/>
  <c r="G32" i="8"/>
  <c r="H32" i="8"/>
  <c r="I32" i="8"/>
  <c r="J32" i="8"/>
  <c r="K32" i="8"/>
  <c r="L32" i="8"/>
  <c r="M32" i="8"/>
  <c r="N32" i="8"/>
  <c r="O32" i="8"/>
  <c r="P32" i="8"/>
  <c r="B1479" i="23"/>
  <c r="M1479" i="23"/>
  <c r="AL30" i="6"/>
  <c r="AN30" i="6"/>
  <c r="B31" i="7"/>
  <c r="C31" i="7"/>
  <c r="D31" i="7"/>
  <c r="E31" i="7"/>
  <c r="F31" i="7"/>
  <c r="G31" i="7"/>
  <c r="H31" i="7"/>
  <c r="O31" i="7"/>
  <c r="P31" i="7" s="1"/>
  <c r="Q31" i="7" s="1"/>
  <c r="B63" i="7"/>
  <c r="C63" i="7"/>
  <c r="D63" i="7"/>
  <c r="E63" i="7"/>
  <c r="F63" i="7"/>
  <c r="G63" i="7"/>
  <c r="H63" i="7"/>
  <c r="I63" i="7"/>
  <c r="J63" i="7"/>
  <c r="K63" i="7"/>
  <c r="L63" i="7"/>
  <c r="M63" i="7"/>
  <c r="B94" i="7"/>
  <c r="C94" i="7"/>
  <c r="D94" i="7"/>
  <c r="E94" i="7"/>
  <c r="F94" i="7"/>
  <c r="G94" i="7"/>
  <c r="H94" i="7"/>
  <c r="I94" i="7"/>
  <c r="J94" i="7"/>
  <c r="K94" i="7"/>
  <c r="L94" i="7"/>
  <c r="M94" i="7"/>
  <c r="B125" i="7"/>
  <c r="C125" i="7"/>
  <c r="D125" i="7"/>
  <c r="E125" i="7"/>
  <c r="F125" i="7"/>
  <c r="G125" i="7"/>
  <c r="H125" i="7"/>
  <c r="I125" i="7"/>
  <c r="J125" i="7"/>
  <c r="K125" i="7"/>
  <c r="L125" i="7"/>
  <c r="M125" i="7"/>
  <c r="B31" i="8"/>
  <c r="C31" i="8"/>
  <c r="F31" i="8"/>
  <c r="G31" i="8"/>
  <c r="H31" i="8"/>
  <c r="I31" i="8"/>
  <c r="J31" i="8"/>
  <c r="K31" i="8"/>
  <c r="L31" i="8"/>
  <c r="M31" i="8"/>
  <c r="N31" i="8"/>
  <c r="O31" i="8"/>
  <c r="P31" i="8"/>
  <c r="B1423" i="23"/>
  <c r="M1423" i="23"/>
  <c r="AL29" i="6"/>
  <c r="AN29" i="6"/>
  <c r="B30" i="7"/>
  <c r="C30" i="7"/>
  <c r="D30" i="7"/>
  <c r="E30" i="7"/>
  <c r="F30" i="7"/>
  <c r="G30" i="7"/>
  <c r="H30" i="7"/>
  <c r="O30" i="7"/>
  <c r="P30" i="7" s="1"/>
  <c r="Q30" i="7" s="1"/>
  <c r="B62" i="7"/>
  <c r="C62" i="7"/>
  <c r="D62" i="7"/>
  <c r="E62" i="7"/>
  <c r="F62" i="7"/>
  <c r="G62" i="7"/>
  <c r="H62" i="7"/>
  <c r="I62" i="7"/>
  <c r="J62" i="7"/>
  <c r="K62" i="7"/>
  <c r="L62" i="7"/>
  <c r="M62" i="7"/>
  <c r="B93" i="7"/>
  <c r="C93" i="7"/>
  <c r="D93" i="7"/>
  <c r="E93" i="7"/>
  <c r="F93" i="7"/>
  <c r="G93" i="7"/>
  <c r="H93" i="7"/>
  <c r="I93" i="7"/>
  <c r="J93" i="7"/>
  <c r="K93" i="7"/>
  <c r="L93" i="7"/>
  <c r="M93" i="7"/>
  <c r="B124" i="7"/>
  <c r="C124" i="7"/>
  <c r="D124" i="7"/>
  <c r="E124" i="7"/>
  <c r="F124" i="7"/>
  <c r="G124" i="7"/>
  <c r="H124" i="7"/>
  <c r="I124" i="7"/>
  <c r="J124" i="7"/>
  <c r="K124" i="7"/>
  <c r="L124" i="7"/>
  <c r="M124" i="7"/>
  <c r="B30" i="8"/>
  <c r="C30" i="8"/>
  <c r="F30" i="8"/>
  <c r="G30" i="8"/>
  <c r="H30" i="8"/>
  <c r="I30" i="8"/>
  <c r="J30" i="8"/>
  <c r="K30" i="8"/>
  <c r="L30" i="8"/>
  <c r="M30" i="8"/>
  <c r="N30" i="8"/>
  <c r="O30" i="8"/>
  <c r="P30" i="8"/>
  <c r="B1367" i="23"/>
  <c r="M1367" i="23"/>
  <c r="AL28" i="6"/>
  <c r="AN28" i="6"/>
  <c r="B29" i="7"/>
  <c r="O29" i="7"/>
  <c r="P29" i="7" s="1"/>
  <c r="B29" i="8"/>
  <c r="B1311" i="23"/>
  <c r="M1311" i="23"/>
  <c r="AL27" i="6"/>
  <c r="AN27" i="6"/>
  <c r="B28" i="7"/>
  <c r="O28" i="7"/>
  <c r="P28" i="7" s="1"/>
  <c r="B28" i="8"/>
  <c r="B247" i="23"/>
  <c r="M247" i="23"/>
  <c r="B9" i="7"/>
  <c r="O9" i="7"/>
  <c r="P9" i="7" s="1"/>
  <c r="V1591" i="23"/>
  <c r="F1642" i="23" s="1"/>
  <c r="O1591" i="23"/>
  <c r="B9" i="8"/>
  <c r="AL8" i="6"/>
  <c r="AN8" i="6"/>
  <c r="B303" i="23"/>
  <c r="M303" i="23"/>
  <c r="AL9" i="6"/>
  <c r="AN9" i="6"/>
  <c r="B10" i="7"/>
  <c r="O10" i="7"/>
  <c r="P10" i="7" s="1"/>
  <c r="B10" i="8"/>
  <c r="B359" i="23"/>
  <c r="M359" i="23"/>
  <c r="AL10" i="6"/>
  <c r="AN10" i="6"/>
  <c r="B11" i="7"/>
  <c r="O11" i="7"/>
  <c r="P11" i="7" s="1"/>
  <c r="B11" i="8"/>
  <c r="M415" i="23"/>
  <c r="B415" i="23"/>
  <c r="AL11" i="6"/>
  <c r="AN11" i="6"/>
  <c r="B12" i="7"/>
  <c r="O12" i="7"/>
  <c r="P12" i="7" s="1"/>
  <c r="B12" i="8"/>
  <c r="M471" i="23"/>
  <c r="B471" i="23"/>
  <c r="AL12" i="6"/>
  <c r="AN12" i="6"/>
  <c r="B13" i="7"/>
  <c r="O13" i="7"/>
  <c r="P13" i="7" s="1"/>
  <c r="B13" i="8"/>
  <c r="B527" i="23"/>
  <c r="M527" i="23"/>
  <c r="AL13" i="6"/>
  <c r="AN13" i="6"/>
  <c r="B14" i="7"/>
  <c r="O14" i="7"/>
  <c r="P14" i="7" s="1"/>
  <c r="B14" i="8"/>
  <c r="B583" i="23"/>
  <c r="M583" i="23"/>
  <c r="AL14" i="6"/>
  <c r="AN14" i="6"/>
  <c r="B15" i="7"/>
  <c r="O15" i="7"/>
  <c r="P15" i="7" s="1"/>
  <c r="B15" i="8"/>
  <c r="B639" i="23"/>
  <c r="M639" i="23"/>
  <c r="AL15" i="6"/>
  <c r="AN15" i="6"/>
  <c r="B16" i="7"/>
  <c r="O16" i="7"/>
  <c r="P16" i="7" s="1"/>
  <c r="B16" i="8"/>
  <c r="B695" i="23"/>
  <c r="M695" i="23"/>
  <c r="AL16" i="6"/>
  <c r="AN16" i="6"/>
  <c r="B17" i="7"/>
  <c r="O17" i="7"/>
  <c r="P17" i="7" s="1"/>
  <c r="B17" i="8"/>
  <c r="B751" i="23"/>
  <c r="M751" i="23"/>
  <c r="AL17" i="6"/>
  <c r="AN17" i="6"/>
  <c r="B18" i="7"/>
  <c r="O18" i="7"/>
  <c r="P18" i="7" s="1"/>
  <c r="B18" i="8"/>
  <c r="K18" i="17"/>
  <c r="D18" i="17"/>
  <c r="J18" i="17"/>
  <c r="P18" i="17"/>
  <c r="F18" i="18" s="1"/>
  <c r="Q18" i="17"/>
  <c r="G18" i="18" s="1"/>
  <c r="R18" i="17"/>
  <c r="H18" i="18" s="1"/>
  <c r="V18" i="17"/>
  <c r="L19" i="17"/>
  <c r="C19" i="17"/>
  <c r="K19" i="17" s="1"/>
  <c r="E19" i="17"/>
  <c r="F19" i="17"/>
  <c r="C19" i="18" s="1"/>
  <c r="G19" i="17"/>
  <c r="I19" i="17"/>
  <c r="B20" i="17"/>
  <c r="B19" i="18"/>
  <c r="Z16" i="17"/>
  <c r="B84" i="12"/>
  <c r="I84" i="12" s="1"/>
  <c r="Y15" i="17"/>
  <c r="X17" i="17"/>
  <c r="X18" i="17"/>
  <c r="X19" i="17"/>
  <c r="C38" i="10"/>
  <c r="D38" i="18"/>
  <c r="D41" i="18"/>
  <c r="E38" i="10"/>
  <c r="D50" i="18"/>
  <c r="M3751" i="22"/>
  <c r="N3751" i="22"/>
  <c r="CU72" i="22"/>
  <c r="CV72" i="22"/>
  <c r="CW72" i="22"/>
  <c r="CX72" i="22"/>
  <c r="CY72" i="22"/>
  <c r="CZ72" i="22"/>
  <c r="DA72" i="22"/>
  <c r="DB72" i="22"/>
  <c r="DC72" i="22"/>
  <c r="DD72" i="22"/>
  <c r="DE72" i="22"/>
  <c r="DF72" i="22"/>
  <c r="DG72" i="22"/>
  <c r="DH72" i="22"/>
  <c r="M3697" i="22"/>
  <c r="N3697" i="22"/>
  <c r="CU71" i="22"/>
  <c r="CV71" i="22"/>
  <c r="CW71" i="22"/>
  <c r="CX71" i="22"/>
  <c r="CY71" i="22"/>
  <c r="CZ71" i="22"/>
  <c r="DA71" i="22"/>
  <c r="DB71" i="22"/>
  <c r="DC71" i="22"/>
  <c r="DD71" i="22"/>
  <c r="DE71" i="22"/>
  <c r="DF71" i="22"/>
  <c r="DG71" i="22"/>
  <c r="DH71" i="22"/>
  <c r="M3643" i="22"/>
  <c r="N3643" i="22"/>
  <c r="Z70" i="22"/>
  <c r="CU70" i="22"/>
  <c r="CV70" i="22"/>
  <c r="CW70" i="22"/>
  <c r="CX70" i="22"/>
  <c r="CY70" i="22"/>
  <c r="CZ70" i="22"/>
  <c r="DA70" i="22"/>
  <c r="DB70" i="22"/>
  <c r="DC70" i="22"/>
  <c r="DD70" i="22"/>
  <c r="DE70" i="22"/>
  <c r="DF70" i="22"/>
  <c r="DG70" i="22"/>
  <c r="DH70" i="22"/>
  <c r="CU69" i="22"/>
  <c r="CV69" i="22"/>
  <c r="CW69" i="22"/>
  <c r="CX69" i="22"/>
  <c r="CY69" i="22"/>
  <c r="CZ69" i="22"/>
  <c r="DA69" i="22"/>
  <c r="DB69" i="22"/>
  <c r="DC69" i="22"/>
  <c r="DD69" i="22"/>
  <c r="DE69" i="22"/>
  <c r="DF69" i="22"/>
  <c r="DG69" i="22"/>
  <c r="DH69" i="22"/>
  <c r="M3589" i="22"/>
  <c r="N3589" i="22"/>
  <c r="Z69" i="22"/>
  <c r="M3481" i="22"/>
  <c r="N3481" i="22"/>
  <c r="Z67" i="22"/>
  <c r="CU67" i="22"/>
  <c r="CV67" i="22"/>
  <c r="CW67" i="22"/>
  <c r="CX67" i="22"/>
  <c r="CY67" i="22"/>
  <c r="CZ67" i="22"/>
  <c r="DA67" i="22"/>
  <c r="DB67" i="22"/>
  <c r="DC67" i="22"/>
  <c r="DD67" i="22"/>
  <c r="DE67" i="22"/>
  <c r="DF67" i="22"/>
  <c r="DG67" i="22"/>
  <c r="DH67" i="22"/>
  <c r="M3427" i="22"/>
  <c r="N3427" i="22"/>
  <c r="CU66" i="22"/>
  <c r="CV66" i="22"/>
  <c r="CW66" i="22"/>
  <c r="CX66" i="22"/>
  <c r="CY66" i="22"/>
  <c r="CZ66" i="22"/>
  <c r="DA66" i="22"/>
  <c r="DB66" i="22"/>
  <c r="DC66" i="22"/>
  <c r="DD66" i="22"/>
  <c r="DE66" i="22"/>
  <c r="DF66" i="22"/>
  <c r="DG66" i="22"/>
  <c r="DH66" i="22"/>
  <c r="M3373" i="22"/>
  <c r="N3373" i="22"/>
  <c r="M3374" i="22"/>
  <c r="CU65" i="22"/>
  <c r="CV65" i="22"/>
  <c r="CW65" i="22"/>
  <c r="CX65" i="22"/>
  <c r="CY65" i="22"/>
  <c r="CZ65" i="22"/>
  <c r="DA65" i="22"/>
  <c r="DB65" i="22"/>
  <c r="DC65" i="22"/>
  <c r="DD65" i="22"/>
  <c r="DE65" i="22"/>
  <c r="DF65" i="22"/>
  <c r="DG65" i="22"/>
  <c r="DH65" i="22"/>
  <c r="M3319" i="22"/>
  <c r="N3319" i="22"/>
  <c r="M3320" i="22"/>
  <c r="Z64" i="22"/>
  <c r="CU64" i="22"/>
  <c r="CV64" i="22"/>
  <c r="CW64" i="22"/>
  <c r="CX64" i="22"/>
  <c r="CY64" i="22"/>
  <c r="CZ64" i="22"/>
  <c r="DA64" i="22"/>
  <c r="DB64" i="22"/>
  <c r="DC64" i="22"/>
  <c r="DD64" i="22"/>
  <c r="DE64" i="22"/>
  <c r="DF64" i="22"/>
  <c r="DG64" i="22"/>
  <c r="DH64" i="22"/>
  <c r="M3265" i="22"/>
  <c r="N3265" i="22"/>
  <c r="M3266" i="22"/>
  <c r="Z63" i="22"/>
  <c r="CU63" i="22"/>
  <c r="CV63" i="22"/>
  <c r="CW63" i="22"/>
  <c r="CX63" i="22"/>
  <c r="CY63" i="22"/>
  <c r="CZ63" i="22"/>
  <c r="DA63" i="22"/>
  <c r="DB63" i="22"/>
  <c r="DC63" i="22"/>
  <c r="DD63" i="22"/>
  <c r="DE63" i="22"/>
  <c r="DF63" i="22"/>
  <c r="DG63" i="22"/>
  <c r="DH63" i="22"/>
  <c r="M2887" i="22"/>
  <c r="N2887" i="22"/>
  <c r="Z56" i="22"/>
  <c r="CU56" i="22"/>
  <c r="CV56" i="22"/>
  <c r="CW56" i="22"/>
  <c r="CX56" i="22"/>
  <c r="CY56" i="22"/>
  <c r="CZ56" i="22"/>
  <c r="DA56" i="22"/>
  <c r="DB56" i="22"/>
  <c r="DC56" i="22"/>
  <c r="DD56" i="22"/>
  <c r="DE56" i="22"/>
  <c r="DF56" i="22"/>
  <c r="DG56" i="22"/>
  <c r="DH56" i="22"/>
  <c r="M2833" i="22"/>
  <c r="N2833" i="22"/>
  <c r="CU55" i="22"/>
  <c r="CV55" i="22"/>
  <c r="CW55" i="22"/>
  <c r="CX55" i="22"/>
  <c r="CY55" i="22"/>
  <c r="CZ55" i="22"/>
  <c r="DA55" i="22"/>
  <c r="DB55" i="22"/>
  <c r="DC55" i="22"/>
  <c r="DD55" i="22"/>
  <c r="DE55" i="22"/>
  <c r="DF55" i="22"/>
  <c r="DG55" i="22"/>
  <c r="DH55" i="22"/>
  <c r="M2779" i="22"/>
  <c r="N2779" i="22"/>
  <c r="Z54" i="22"/>
  <c r="CU54" i="22"/>
  <c r="CV54" i="22"/>
  <c r="CW54" i="22"/>
  <c r="CX54" i="22"/>
  <c r="CY54" i="22"/>
  <c r="CZ54" i="22"/>
  <c r="DA54" i="22"/>
  <c r="DB54" i="22"/>
  <c r="DC54" i="22"/>
  <c r="DD54" i="22"/>
  <c r="DE54" i="22"/>
  <c r="DF54" i="22"/>
  <c r="DG54" i="22"/>
  <c r="DH54" i="22"/>
  <c r="M2725" i="22"/>
  <c r="N2725" i="22"/>
  <c r="Z53" i="22"/>
  <c r="CU53" i="22"/>
  <c r="CV53" i="22"/>
  <c r="CW53" i="22"/>
  <c r="CX53" i="22"/>
  <c r="CY53" i="22"/>
  <c r="CZ53" i="22"/>
  <c r="DA53" i="22"/>
  <c r="DB53" i="22"/>
  <c r="DC53" i="22"/>
  <c r="DD53" i="22"/>
  <c r="DE53" i="22"/>
  <c r="DF53" i="22"/>
  <c r="DG53" i="22"/>
  <c r="DH53" i="22"/>
  <c r="M2563" i="22"/>
  <c r="N2563" i="22"/>
  <c r="M2564" i="22"/>
  <c r="Z50" i="22"/>
  <c r="CU50" i="22"/>
  <c r="CV50" i="22"/>
  <c r="CW50" i="22"/>
  <c r="CX50" i="22"/>
  <c r="CY50" i="22"/>
  <c r="CZ50" i="22"/>
  <c r="DA50" i="22"/>
  <c r="DB50" i="22"/>
  <c r="DC50" i="22"/>
  <c r="DD50" i="22"/>
  <c r="DE50" i="22"/>
  <c r="DF50" i="22"/>
  <c r="DG50" i="22"/>
  <c r="DH50" i="22"/>
  <c r="M2509" i="22"/>
  <c r="N2509" i="22"/>
  <c r="M2510" i="22"/>
  <c r="CU49" i="22"/>
  <c r="CV49" i="22"/>
  <c r="CW49" i="22"/>
  <c r="CX49" i="22"/>
  <c r="CY49" i="22"/>
  <c r="CZ49" i="22"/>
  <c r="DA49" i="22"/>
  <c r="DB49" i="22"/>
  <c r="DC49" i="22"/>
  <c r="DD49" i="22"/>
  <c r="DE49" i="22"/>
  <c r="DF49" i="22"/>
  <c r="DG49" i="22"/>
  <c r="DH49" i="22"/>
  <c r="M2455" i="22"/>
  <c r="N2455" i="22"/>
  <c r="M2456" i="22"/>
  <c r="Z48" i="22"/>
  <c r="CU48" i="22"/>
  <c r="CV48" i="22"/>
  <c r="CW48" i="22"/>
  <c r="CX48" i="22"/>
  <c r="CY48" i="22"/>
  <c r="CZ48" i="22"/>
  <c r="DA48" i="22"/>
  <c r="DB48" i="22"/>
  <c r="DC48" i="22"/>
  <c r="DD48" i="22"/>
  <c r="DE48" i="22"/>
  <c r="DF48" i="22"/>
  <c r="DG48" i="22"/>
  <c r="DH48" i="22"/>
  <c r="M2239" i="22"/>
  <c r="N2239" i="22"/>
  <c r="M2240" i="22"/>
  <c r="Z44" i="22"/>
  <c r="CU44" i="22"/>
  <c r="CV44" i="22"/>
  <c r="CW44" i="22"/>
  <c r="CX44" i="22"/>
  <c r="CY44" i="22"/>
  <c r="CZ44" i="22"/>
  <c r="DA44" i="22"/>
  <c r="DB44" i="22"/>
  <c r="DC44" i="22"/>
  <c r="DD44" i="22"/>
  <c r="DE44" i="22"/>
  <c r="DF44" i="22"/>
  <c r="DG44" i="22"/>
  <c r="DH44" i="22"/>
  <c r="M2185" i="22"/>
  <c r="N2185" i="22"/>
  <c r="CU43" i="22"/>
  <c r="CV43" i="22"/>
  <c r="CW43" i="22"/>
  <c r="CX43" i="22"/>
  <c r="CY43" i="22"/>
  <c r="CZ43" i="22"/>
  <c r="DA43" i="22"/>
  <c r="DB43" i="22"/>
  <c r="DC43" i="22"/>
  <c r="DD43" i="22"/>
  <c r="DE43" i="22"/>
  <c r="DF43" i="22"/>
  <c r="DG43" i="22"/>
  <c r="DH43" i="22"/>
  <c r="M2131" i="22"/>
  <c r="N2131" i="22"/>
  <c r="Z42" i="22"/>
  <c r="CU42" i="22"/>
  <c r="CV42" i="22"/>
  <c r="CW42" i="22"/>
  <c r="CX42" i="22"/>
  <c r="CY42" i="22"/>
  <c r="CZ42" i="22"/>
  <c r="DA42" i="22"/>
  <c r="DB42" i="22"/>
  <c r="DC42" i="22"/>
  <c r="DD42" i="22"/>
  <c r="DE42" i="22"/>
  <c r="DF42" i="22"/>
  <c r="DG42" i="22"/>
  <c r="DH42" i="22"/>
  <c r="M1915" i="22"/>
  <c r="N1915" i="22"/>
  <c r="Z38" i="22"/>
  <c r="CU38" i="22"/>
  <c r="CV38" i="22"/>
  <c r="CW38" i="22"/>
  <c r="CX38" i="22"/>
  <c r="CY38" i="22"/>
  <c r="CZ38" i="22"/>
  <c r="DA38" i="22"/>
  <c r="DB38" i="22"/>
  <c r="DC38" i="22"/>
  <c r="DD38" i="22"/>
  <c r="DE38" i="22"/>
  <c r="DF38" i="22"/>
  <c r="DG38" i="22"/>
  <c r="DH38" i="22"/>
  <c r="M1861" i="22"/>
  <c r="N1861" i="22"/>
  <c r="M1862" i="22"/>
  <c r="Z37" i="22"/>
  <c r="CU37" i="22"/>
  <c r="CV37" i="22"/>
  <c r="CW37" i="22"/>
  <c r="CX37" i="22"/>
  <c r="CY37" i="22"/>
  <c r="CZ37" i="22"/>
  <c r="DA37" i="22"/>
  <c r="DB37" i="22"/>
  <c r="DC37" i="22"/>
  <c r="DD37" i="22"/>
  <c r="DE37" i="22"/>
  <c r="DF37" i="22"/>
  <c r="DG37" i="22"/>
  <c r="DH37" i="22"/>
  <c r="M1807" i="22"/>
  <c r="N1807" i="22"/>
  <c r="M1808" i="22"/>
  <c r="Z36" i="22"/>
  <c r="CU36" i="22"/>
  <c r="CV36" i="22"/>
  <c r="CW36" i="22"/>
  <c r="CX36" i="22"/>
  <c r="CY36" i="22"/>
  <c r="CZ36" i="22"/>
  <c r="DA36" i="22"/>
  <c r="DB36" i="22"/>
  <c r="DC36" i="22"/>
  <c r="DD36" i="22"/>
  <c r="DE36" i="22"/>
  <c r="DF36" i="22"/>
  <c r="DG36" i="22"/>
  <c r="DH36" i="22"/>
  <c r="M1645" i="22"/>
  <c r="N1645" i="22"/>
  <c r="M1646" i="22"/>
  <c r="Z33" i="22"/>
  <c r="CU33" i="22"/>
  <c r="CV33" i="22"/>
  <c r="CW33" i="22"/>
  <c r="CX33" i="22"/>
  <c r="CY33" i="22"/>
  <c r="CZ33" i="22"/>
  <c r="DA33" i="22"/>
  <c r="DB33" i="22"/>
  <c r="DC33" i="22"/>
  <c r="DD33" i="22"/>
  <c r="DE33" i="22"/>
  <c r="DF33" i="22"/>
  <c r="DG33" i="22"/>
  <c r="DH33" i="22"/>
  <c r="M1591" i="22"/>
  <c r="N1591" i="22"/>
  <c r="M1592" i="22"/>
  <c r="CU32" i="22"/>
  <c r="CV32" i="22"/>
  <c r="CW32" i="22"/>
  <c r="CX32" i="22"/>
  <c r="CY32" i="22"/>
  <c r="CZ32" i="22"/>
  <c r="DA32" i="22"/>
  <c r="DB32" i="22"/>
  <c r="DC32" i="22"/>
  <c r="DD32" i="22"/>
  <c r="DE32" i="22"/>
  <c r="DF32" i="22"/>
  <c r="DG32" i="22"/>
  <c r="DH32" i="22"/>
  <c r="M1537" i="22"/>
  <c r="N1537" i="22"/>
  <c r="M1538" i="22"/>
  <c r="Z31" i="22"/>
  <c r="CU31" i="22"/>
  <c r="CV31" i="22"/>
  <c r="CW31" i="22"/>
  <c r="CX31" i="22"/>
  <c r="CY31" i="22"/>
  <c r="CZ31" i="22"/>
  <c r="DA31" i="22"/>
  <c r="DB31" i="22"/>
  <c r="DC31" i="22"/>
  <c r="DD31" i="22"/>
  <c r="DE31" i="22"/>
  <c r="DF31" i="22"/>
  <c r="DG31" i="22"/>
  <c r="DH31" i="22"/>
  <c r="M1483" i="22"/>
  <c r="N1483" i="22"/>
  <c r="M1484" i="22"/>
  <c r="Z30" i="22"/>
  <c r="CU30" i="22"/>
  <c r="CV30" i="22"/>
  <c r="CW30" i="22"/>
  <c r="CX30" i="22"/>
  <c r="CY30" i="22"/>
  <c r="CZ30" i="22"/>
  <c r="DA30" i="22"/>
  <c r="DB30" i="22"/>
  <c r="DC30" i="22"/>
  <c r="DD30" i="22"/>
  <c r="DE30" i="22"/>
  <c r="DF30" i="22"/>
  <c r="DG30" i="22"/>
  <c r="DH30" i="22"/>
  <c r="M1321" i="22"/>
  <c r="N1321" i="22"/>
  <c r="M1322" i="22"/>
  <c r="Z27" i="22"/>
  <c r="CU27" i="22"/>
  <c r="CV27" i="22"/>
  <c r="CW27" i="22"/>
  <c r="CX27" i="22"/>
  <c r="CY27" i="22"/>
  <c r="CZ27" i="22"/>
  <c r="DA27" i="22"/>
  <c r="DB27" i="22"/>
  <c r="DC27" i="22"/>
  <c r="DD27" i="22"/>
  <c r="DE27" i="22"/>
  <c r="DF27" i="22"/>
  <c r="DG27" i="22"/>
  <c r="DH27" i="22"/>
  <c r="M1267" i="22"/>
  <c r="N1267" i="22"/>
  <c r="CU26" i="22"/>
  <c r="CV26" i="22"/>
  <c r="CW26" i="22"/>
  <c r="CX26" i="22"/>
  <c r="CY26" i="22"/>
  <c r="CZ26" i="22"/>
  <c r="DA26" i="22"/>
  <c r="DB26" i="22"/>
  <c r="DC26" i="22"/>
  <c r="DD26" i="22"/>
  <c r="DE26" i="22"/>
  <c r="DF26" i="22"/>
  <c r="DG26" i="22"/>
  <c r="DH26" i="22"/>
  <c r="M1213" i="22"/>
  <c r="N1213" i="22"/>
  <c r="Z25" i="22"/>
  <c r="CU25" i="22"/>
  <c r="CV25" i="22"/>
  <c r="CW25" i="22"/>
  <c r="CX25" i="22"/>
  <c r="CY25" i="22"/>
  <c r="CZ25" i="22"/>
  <c r="DA25" i="22"/>
  <c r="DB25" i="22"/>
  <c r="DC25" i="22"/>
  <c r="DD25" i="22"/>
  <c r="DE25" i="22"/>
  <c r="DF25" i="22"/>
  <c r="DG25" i="22"/>
  <c r="DH25" i="22"/>
  <c r="M997" i="22"/>
  <c r="N997" i="22"/>
  <c r="M998" i="22"/>
  <c r="Z21" i="22"/>
  <c r="CU21" i="22"/>
  <c r="CV21" i="22"/>
  <c r="CW21" i="22"/>
  <c r="CX21" i="22"/>
  <c r="CY21" i="22"/>
  <c r="CZ21" i="22"/>
  <c r="DA21" i="22"/>
  <c r="DB21" i="22"/>
  <c r="DC21" i="22"/>
  <c r="DD21" i="22"/>
  <c r="DE21" i="22"/>
  <c r="DF21" i="22"/>
  <c r="DG21" i="22"/>
  <c r="DH21" i="22"/>
  <c r="M943" i="22"/>
  <c r="N943" i="22"/>
  <c r="M944" i="22"/>
  <c r="CU20" i="22"/>
  <c r="CV20" i="22"/>
  <c r="CW20" i="22"/>
  <c r="CX20" i="22"/>
  <c r="CY20" i="22"/>
  <c r="CZ20" i="22"/>
  <c r="DA20" i="22"/>
  <c r="DB20" i="22"/>
  <c r="DC20" i="22"/>
  <c r="DD20" i="22"/>
  <c r="DE20" i="22"/>
  <c r="DF20" i="22"/>
  <c r="DG20" i="22"/>
  <c r="DH20" i="22"/>
  <c r="M889" i="22"/>
  <c r="N889" i="22"/>
  <c r="M890" i="22"/>
  <c r="Z19" i="22"/>
  <c r="CU19" i="22"/>
  <c r="CV19" i="22"/>
  <c r="CW19" i="22"/>
  <c r="CX19" i="22"/>
  <c r="CY19" i="22"/>
  <c r="CZ19" i="22"/>
  <c r="DA19" i="22"/>
  <c r="DB19" i="22"/>
  <c r="DC19" i="22"/>
  <c r="DD19" i="22"/>
  <c r="DE19" i="22"/>
  <c r="DF19" i="22"/>
  <c r="DG19" i="22"/>
  <c r="DH19" i="22"/>
  <c r="M835" i="22"/>
  <c r="N835" i="22"/>
  <c r="M836" i="22"/>
  <c r="Z18" i="22"/>
  <c r="CU18" i="22"/>
  <c r="CV18" i="22"/>
  <c r="CW18" i="22"/>
  <c r="CX18" i="22"/>
  <c r="CY18" i="22"/>
  <c r="CZ18" i="22"/>
  <c r="DA18" i="22"/>
  <c r="DB18" i="22"/>
  <c r="DC18" i="22"/>
  <c r="DD18" i="22"/>
  <c r="DE18" i="22"/>
  <c r="DF18" i="22"/>
  <c r="DG18" i="22"/>
  <c r="DH18" i="22"/>
  <c r="M781" i="22"/>
  <c r="N781" i="22"/>
  <c r="M782" i="22"/>
  <c r="Z17" i="22"/>
  <c r="CU17" i="22"/>
  <c r="CV17" i="22"/>
  <c r="CW17" i="22"/>
  <c r="CX17" i="22"/>
  <c r="CY17" i="22"/>
  <c r="CZ17" i="22"/>
  <c r="DA17" i="22"/>
  <c r="DB17" i="22"/>
  <c r="DC17" i="22"/>
  <c r="DD17" i="22"/>
  <c r="DE17" i="22"/>
  <c r="DF17" i="22"/>
  <c r="DG17" i="22"/>
  <c r="DH17" i="22"/>
  <c r="M673" i="22"/>
  <c r="N673" i="22"/>
  <c r="M674" i="22"/>
  <c r="Z15" i="22"/>
  <c r="CU15" i="22"/>
  <c r="CV15" i="22"/>
  <c r="CW15" i="22"/>
  <c r="CX15" i="22"/>
  <c r="CY15" i="22"/>
  <c r="CZ15" i="22"/>
  <c r="DA15" i="22"/>
  <c r="DB15" i="22"/>
  <c r="DC15" i="22"/>
  <c r="DD15" i="22"/>
  <c r="DE15" i="22"/>
  <c r="DF15" i="22"/>
  <c r="DG15" i="22"/>
  <c r="DH15" i="22"/>
  <c r="M619" i="22"/>
  <c r="N619" i="22"/>
  <c r="M620" i="22"/>
  <c r="CU14" i="22"/>
  <c r="CV14" i="22"/>
  <c r="CW14" i="22"/>
  <c r="CX14" i="22"/>
  <c r="CY14" i="22"/>
  <c r="CZ14" i="22"/>
  <c r="DA14" i="22"/>
  <c r="DB14" i="22"/>
  <c r="DC14" i="22"/>
  <c r="DD14" i="22"/>
  <c r="DE14" i="22"/>
  <c r="DF14" i="22"/>
  <c r="DG14" i="22"/>
  <c r="DH14" i="22"/>
  <c r="M565" i="22"/>
  <c r="N565" i="22"/>
  <c r="M566" i="22"/>
  <c r="Z13" i="22"/>
  <c r="CU13" i="22"/>
  <c r="CV13" i="22"/>
  <c r="CW13" i="22"/>
  <c r="CX13" i="22"/>
  <c r="CY13" i="22"/>
  <c r="CZ13" i="22"/>
  <c r="DA13" i="22"/>
  <c r="DB13" i="22"/>
  <c r="DC13" i="22"/>
  <c r="DD13" i="22"/>
  <c r="DE13" i="22"/>
  <c r="DF13" i="22"/>
  <c r="DG13" i="22"/>
  <c r="DH13" i="22"/>
  <c r="M511" i="22"/>
  <c r="N511" i="22"/>
  <c r="Z12" i="22"/>
  <c r="CU12" i="22"/>
  <c r="CV12" i="22"/>
  <c r="CW12" i="22"/>
  <c r="CX12" i="22"/>
  <c r="CY12" i="22"/>
  <c r="CZ12" i="22"/>
  <c r="DA12" i="22"/>
  <c r="DB12" i="22"/>
  <c r="DC12" i="22"/>
  <c r="DD12" i="22"/>
  <c r="DE12" i="22"/>
  <c r="DF12" i="22"/>
  <c r="DG12" i="22"/>
  <c r="DH12" i="22"/>
  <c r="M403" i="22"/>
  <c r="N403" i="22"/>
  <c r="Z10" i="22"/>
  <c r="CU10" i="22"/>
  <c r="CV10" i="22"/>
  <c r="CW10" i="22"/>
  <c r="CX10" i="22"/>
  <c r="CY10" i="22"/>
  <c r="CZ10" i="22"/>
  <c r="DA10" i="22"/>
  <c r="DB10" i="22"/>
  <c r="DC10" i="22"/>
  <c r="DD10" i="22"/>
  <c r="DE10" i="22"/>
  <c r="DF10" i="22"/>
  <c r="DG10" i="22"/>
  <c r="DH10" i="22"/>
  <c r="M349" i="22"/>
  <c r="N349" i="22"/>
  <c r="Z9" i="22"/>
  <c r="CU9" i="22"/>
  <c r="CV9" i="22"/>
  <c r="CW9" i="22"/>
  <c r="CX9" i="22"/>
  <c r="CY9" i="22"/>
  <c r="CZ9" i="22"/>
  <c r="DA9" i="22"/>
  <c r="DB9" i="22"/>
  <c r="DC9" i="22"/>
  <c r="DD9" i="22"/>
  <c r="DE9" i="22"/>
  <c r="DF9" i="22"/>
  <c r="DG9" i="22"/>
  <c r="DH9" i="22"/>
  <c r="M295" i="22"/>
  <c r="N295" i="22"/>
  <c r="Z8" i="22"/>
  <c r="CU8" i="22"/>
  <c r="CV8" i="22"/>
  <c r="CW8" i="22"/>
  <c r="CX8" i="22"/>
  <c r="CY8" i="22"/>
  <c r="CZ8" i="22"/>
  <c r="DA8" i="22"/>
  <c r="DB8" i="22"/>
  <c r="DC8" i="22"/>
  <c r="DD8" i="22"/>
  <c r="DE8" i="22"/>
  <c r="DF8" i="22"/>
  <c r="DG8" i="22"/>
  <c r="DH8" i="22"/>
  <c r="M79" i="22"/>
  <c r="N79" i="22"/>
  <c r="M80" i="22"/>
  <c r="N80" i="22"/>
  <c r="U80" i="22" s="1"/>
  <c r="Z4" i="22"/>
  <c r="H5" i="14"/>
  <c r="CU4" i="22"/>
  <c r="CV4" i="22"/>
  <c r="CW4" i="22"/>
  <c r="CX4" i="22"/>
  <c r="CY4" i="22"/>
  <c r="CZ4" i="22"/>
  <c r="DA4" i="22"/>
  <c r="DB4" i="22"/>
  <c r="DC4" i="22"/>
  <c r="DD4" i="22"/>
  <c r="DE4" i="22"/>
  <c r="DF4" i="22"/>
  <c r="DG4" i="22"/>
  <c r="DH4" i="22"/>
  <c r="F76" i="5"/>
  <c r="N76" i="5"/>
  <c r="G20" i="15"/>
  <c r="G21" i="15"/>
  <c r="G23" i="15"/>
  <c r="B24" i="15"/>
  <c r="M4675" i="22"/>
  <c r="N4675" i="22"/>
  <c r="S4675" i="22" s="1"/>
  <c r="C40" i="9"/>
  <c r="C41" i="9"/>
  <c r="C42" i="9"/>
  <c r="C11" i="10" s="1"/>
  <c r="C44" i="9"/>
  <c r="C45" i="9"/>
  <c r="C46" i="9"/>
  <c r="C47" i="9"/>
  <c r="C48" i="9"/>
  <c r="L12" i="18" s="1"/>
  <c r="C49" i="9"/>
  <c r="C50" i="9"/>
  <c r="C51" i="9"/>
  <c r="C52" i="9"/>
  <c r="J19" i="10" s="1"/>
  <c r="C53" i="9"/>
  <c r="C55" i="9"/>
  <c r="C56" i="9"/>
  <c r="C57" i="9"/>
  <c r="I9" i="10"/>
  <c r="I10" i="10"/>
  <c r="I11" i="10"/>
  <c r="I12" i="10"/>
  <c r="I13" i="10"/>
  <c r="I14" i="10"/>
  <c r="I15" i="10"/>
  <c r="I16" i="10"/>
  <c r="I17" i="10"/>
  <c r="I18" i="10"/>
  <c r="I19" i="10"/>
  <c r="I20" i="10"/>
  <c r="I21" i="10"/>
  <c r="D16" i="11"/>
  <c r="E10" i="19"/>
  <c r="G10" i="19" s="1"/>
  <c r="U4675" i="22"/>
  <c r="M3049" i="22"/>
  <c r="N3049" i="22"/>
  <c r="M3050" i="22"/>
  <c r="BW57" i="22"/>
  <c r="N2671" i="22"/>
  <c r="M2671" i="22"/>
  <c r="N1429" i="22"/>
  <c r="M1429" i="22"/>
  <c r="N133" i="22"/>
  <c r="M133" i="22"/>
  <c r="C37" i="24"/>
  <c r="D37" i="24" s="1"/>
  <c r="Z66" i="22"/>
  <c r="Z65" i="22"/>
  <c r="Z49" i="22"/>
  <c r="Z43" i="22"/>
  <c r="Z26" i="22"/>
  <c r="Z20" i="22"/>
  <c r="Z14" i="22"/>
  <c r="H67" i="23"/>
  <c r="H66" i="23"/>
  <c r="H46" i="23"/>
  <c r="H42" i="23"/>
  <c r="H41" i="23"/>
  <c r="H39" i="23"/>
  <c r="H36" i="23"/>
  <c r="H32" i="23"/>
  <c r="H29" i="23"/>
  <c r="H28" i="23"/>
  <c r="H26" i="23"/>
  <c r="H22" i="23"/>
  <c r="H15" i="23"/>
  <c r="H13" i="23"/>
  <c r="H10" i="23"/>
  <c r="H7" i="23"/>
  <c r="H5" i="23"/>
  <c r="S3870" i="22"/>
  <c r="I3870" i="22"/>
  <c r="AM3868" i="22"/>
  <c r="S3868" i="22"/>
  <c r="I3868" i="22"/>
  <c r="AC3867" i="22"/>
  <c r="S3866" i="22"/>
  <c r="S3811" i="22"/>
  <c r="I3808" i="22"/>
  <c r="I3807" i="22"/>
  <c r="AM3806" i="22"/>
  <c r="S3808" i="22"/>
  <c r="D1371" i="23"/>
  <c r="F1371" i="23"/>
  <c r="D1035" i="23"/>
  <c r="F1035" i="23"/>
  <c r="D475" i="23"/>
  <c r="F475" i="23"/>
  <c r="F4730" i="22"/>
  <c r="K4730" i="22"/>
  <c r="F4676" i="22"/>
  <c r="K4676" i="22"/>
  <c r="L4677" i="22"/>
  <c r="D4622" i="22"/>
  <c r="F4622" i="22"/>
  <c r="F4568" i="22"/>
  <c r="J4568" i="22"/>
  <c r="G4332" i="22"/>
  <c r="H4332" i="22"/>
  <c r="G4331" i="22"/>
  <c r="H4331" i="22"/>
  <c r="G4330" i="22"/>
  <c r="H4330" i="22"/>
  <c r="G4329" i="22"/>
  <c r="H4329" i="22"/>
  <c r="G4328" i="22"/>
  <c r="H4328" i="22"/>
  <c r="H4327" i="22"/>
  <c r="G4327" i="22"/>
  <c r="I4327" i="22" s="1"/>
  <c r="G4326" i="22"/>
  <c r="H4326" i="22"/>
  <c r="H4324" i="22"/>
  <c r="G4324" i="22"/>
  <c r="I4324" i="22" s="1"/>
  <c r="H4323" i="22"/>
  <c r="G4323" i="22"/>
  <c r="I4323" i="22" s="1"/>
  <c r="H4322" i="22"/>
  <c r="G4322" i="22"/>
  <c r="I4322" i="22" s="1"/>
  <c r="H4321" i="22"/>
  <c r="G4321" i="22"/>
  <c r="I4321" i="22" s="1"/>
  <c r="G4320" i="22"/>
  <c r="H4320" i="22"/>
  <c r="H4319" i="22"/>
  <c r="G4319" i="22"/>
  <c r="I4319" i="22" s="1"/>
  <c r="G4318" i="22"/>
  <c r="H4318" i="22"/>
  <c r="H4317" i="22"/>
  <c r="G4317" i="22"/>
  <c r="I4317" i="22" s="1"/>
  <c r="H4316" i="22"/>
  <c r="G4316" i="22"/>
  <c r="I4316" i="22" s="1"/>
  <c r="H4315" i="22"/>
  <c r="G4315" i="22"/>
  <c r="I4315" i="22" s="1"/>
  <c r="G4313" i="22"/>
  <c r="H4313" i="22"/>
  <c r="G4312" i="22"/>
  <c r="H4312" i="22"/>
  <c r="H4311" i="22"/>
  <c r="G4311" i="22"/>
  <c r="I4311" i="22" s="1"/>
  <c r="G4310" i="22"/>
  <c r="H4310" i="22"/>
  <c r="G4308" i="22"/>
  <c r="H4308" i="22"/>
  <c r="H4301" i="22"/>
  <c r="G4301" i="22"/>
  <c r="I4301" i="22" s="1"/>
  <c r="H4298" i="22"/>
  <c r="G4298" i="22"/>
  <c r="I4298" i="22" s="1"/>
  <c r="G4291" i="22"/>
  <c r="H4291" i="22"/>
  <c r="H4287" i="22"/>
  <c r="G4287" i="22"/>
  <c r="I4287" i="22" s="1"/>
  <c r="H4280" i="22"/>
  <c r="G4280" i="22"/>
  <c r="I4280" i="22" s="1"/>
  <c r="H4278" i="22"/>
  <c r="G4278" i="22"/>
  <c r="I4278" i="22" s="1"/>
  <c r="G4283" i="22"/>
  <c r="H4283" i="22"/>
  <c r="H4275" i="22"/>
  <c r="G4275" i="22"/>
  <c r="I4275" i="22" s="1"/>
  <c r="H4273" i="22"/>
  <c r="G4273" i="22"/>
  <c r="I4273" i="22" s="1"/>
  <c r="H4269" i="22"/>
  <c r="G4269" i="22"/>
  <c r="I4269" i="22" s="1"/>
  <c r="G4270" i="22"/>
  <c r="I4270" i="22" s="1"/>
  <c r="H4270" i="22"/>
  <c r="K3752" i="22"/>
  <c r="F3752" i="22"/>
  <c r="O3752" i="22" s="1"/>
  <c r="L3753" i="22"/>
  <c r="K3698" i="22"/>
  <c r="F3698" i="22"/>
  <c r="O3698" i="22" s="1"/>
  <c r="L3699" i="22"/>
  <c r="K3644" i="22"/>
  <c r="F3644" i="22"/>
  <c r="L3645" i="22"/>
  <c r="K3645" i="22"/>
  <c r="F3590" i="22"/>
  <c r="O3590" i="22" s="1"/>
  <c r="K3590" i="22"/>
  <c r="L3591" i="22"/>
  <c r="U3535" i="22"/>
  <c r="F3482" i="22"/>
  <c r="O3482" i="22" s="1"/>
  <c r="K3482" i="22"/>
  <c r="L3483" i="22"/>
  <c r="F3428" i="22"/>
  <c r="O3428" i="22" s="1"/>
  <c r="K3428" i="22"/>
  <c r="L3429" i="22"/>
  <c r="L3375" i="22"/>
  <c r="L3321" i="22"/>
  <c r="L3267" i="22"/>
  <c r="I3209" i="22"/>
  <c r="O3212" i="22" s="1"/>
  <c r="O3211" i="22"/>
  <c r="U3211" i="22"/>
  <c r="U3157" i="22"/>
  <c r="U3103" i="22"/>
  <c r="U2995" i="22"/>
  <c r="K2888" i="22"/>
  <c r="F2888" i="22"/>
  <c r="O2888" i="22" s="1"/>
  <c r="L2889" i="22"/>
  <c r="K2834" i="22"/>
  <c r="F2834" i="22"/>
  <c r="O2834" i="22" s="1"/>
  <c r="L2835" i="22"/>
  <c r="K2780" i="22"/>
  <c r="F2780" i="22"/>
  <c r="O2780" i="22" s="1"/>
  <c r="L2781" i="22"/>
  <c r="K2726" i="22"/>
  <c r="F2726" i="22"/>
  <c r="O2726" i="22" s="1"/>
  <c r="L2727" i="22"/>
  <c r="F2672" i="22"/>
  <c r="O2672" i="22" s="1"/>
  <c r="K2672" i="22"/>
  <c r="U2617" i="22"/>
  <c r="L2511" i="22"/>
  <c r="L2457" i="22"/>
  <c r="U2401" i="22"/>
  <c r="U2347" i="22"/>
  <c r="U2293" i="22"/>
  <c r="L2241" i="22"/>
  <c r="F2186" i="22"/>
  <c r="O2186" i="22" s="1"/>
  <c r="K2186" i="22"/>
  <c r="L2187" i="22"/>
  <c r="K2132" i="22"/>
  <c r="F2132" i="22"/>
  <c r="L2133" i="22"/>
  <c r="U2077" i="22"/>
  <c r="I2075" i="22"/>
  <c r="O2077" i="22"/>
  <c r="U2023" i="22"/>
  <c r="F1916" i="22"/>
  <c r="O1916" i="22" s="1"/>
  <c r="K1916" i="22"/>
  <c r="L1917" i="22"/>
  <c r="U1753" i="22"/>
  <c r="U1699" i="22"/>
  <c r="L1647" i="22"/>
  <c r="L1593" i="22"/>
  <c r="L1539" i="22"/>
  <c r="L1485" i="22"/>
  <c r="U1375" i="22"/>
  <c r="L1323" i="22"/>
  <c r="K1268" i="22"/>
  <c r="F1268" i="22"/>
  <c r="O1268" i="22" s="1"/>
  <c r="L1269" i="22"/>
  <c r="K1214" i="22"/>
  <c r="F1214" i="22"/>
  <c r="O1214" i="22" s="1"/>
  <c r="K1215" i="22"/>
  <c r="L1215" i="22"/>
  <c r="U1159" i="22"/>
  <c r="L999" i="22"/>
  <c r="L945" i="22"/>
  <c r="L891" i="22"/>
  <c r="L837" i="22"/>
  <c r="L783" i="22"/>
  <c r="U727" i="22"/>
  <c r="K675" i="22"/>
  <c r="L675" i="22"/>
  <c r="L621" i="22"/>
  <c r="L567" i="22"/>
  <c r="F512" i="22"/>
  <c r="O512" i="22" s="1"/>
  <c r="K512" i="22"/>
  <c r="L513" i="22"/>
  <c r="U457" i="22"/>
  <c r="K404" i="22"/>
  <c r="F404" i="22"/>
  <c r="L405" i="22"/>
  <c r="F350" i="22"/>
  <c r="O350" i="22" s="1"/>
  <c r="K350" i="22"/>
  <c r="L351" i="22"/>
  <c r="K296" i="22"/>
  <c r="F296" i="22"/>
  <c r="O296" i="22" s="1"/>
  <c r="L297" i="22"/>
  <c r="L81" i="22"/>
  <c r="O31" i="5"/>
  <c r="O22" i="5"/>
  <c r="O30" i="5"/>
  <c r="O11" i="5"/>
  <c r="O23" i="5"/>
  <c r="O46" i="5"/>
  <c r="O65" i="5"/>
  <c r="O32" i="5"/>
  <c r="O61" i="5"/>
  <c r="O62" i="5"/>
  <c r="O50" i="5"/>
  <c r="O53" i="5"/>
  <c r="O48" i="5"/>
  <c r="O47" i="5"/>
  <c r="O27" i="5"/>
  <c r="O26" i="5"/>
  <c r="O25" i="5"/>
  <c r="O24" i="5"/>
  <c r="O63" i="5"/>
  <c r="O49" i="5"/>
  <c r="O17" i="5"/>
  <c r="O38" i="5"/>
  <c r="O64" i="5"/>
  <c r="O52" i="5"/>
  <c r="O12" i="5"/>
  <c r="O33" i="5"/>
  <c r="O60" i="5"/>
  <c r="O54" i="5"/>
  <c r="O6" i="5"/>
  <c r="O20" i="5"/>
  <c r="O39" i="5"/>
  <c r="O55" i="5"/>
  <c r="O59" i="5"/>
  <c r="O19" i="5"/>
  <c r="O18" i="5"/>
  <c r="O68" i="5"/>
  <c r="O34" i="5"/>
  <c r="O58" i="5"/>
  <c r="O40" i="5"/>
  <c r="O41" i="5"/>
  <c r="O57" i="5"/>
  <c r="O21" i="5"/>
  <c r="O51" i="5"/>
  <c r="O56" i="5"/>
  <c r="O45" i="5"/>
  <c r="O44" i="5"/>
  <c r="O42" i="5"/>
  <c r="O28" i="5"/>
  <c r="O16" i="5"/>
  <c r="O15" i="5"/>
  <c r="O14" i="5"/>
  <c r="O13" i="5"/>
  <c r="O43" i="5"/>
  <c r="O35" i="5"/>
  <c r="O36" i="5"/>
  <c r="O66" i="5"/>
  <c r="O10" i="5"/>
  <c r="O9" i="5"/>
  <c r="O8" i="5"/>
  <c r="O7" i="5"/>
  <c r="O67" i="5"/>
  <c r="D18" i="18"/>
  <c r="T33" i="6" l="1"/>
  <c r="I4320" i="22"/>
  <c r="I4312" i="22"/>
  <c r="I4308" i="22"/>
  <c r="I4291" i="22"/>
  <c r="I4283" i="22"/>
  <c r="K4677" i="22"/>
  <c r="F4677" i="22"/>
  <c r="K3321" i="22"/>
  <c r="F3321" i="22"/>
  <c r="O3321" i="22" s="1"/>
  <c r="K3267" i="22"/>
  <c r="F3267" i="22"/>
  <c r="O3267" i="22" s="1"/>
  <c r="K2997" i="22"/>
  <c r="F2997" i="22"/>
  <c r="O2997" i="22" s="1"/>
  <c r="K2889" i="22"/>
  <c r="F2889" i="22"/>
  <c r="O2889" i="22" s="1"/>
  <c r="K2727" i="22"/>
  <c r="F2727" i="22"/>
  <c r="O2727" i="22" s="1"/>
  <c r="K2349" i="22"/>
  <c r="F2349" i="22"/>
  <c r="O2349" i="22" s="1"/>
  <c r="F1917" i="22"/>
  <c r="O1917" i="22" s="1"/>
  <c r="K1917" i="22"/>
  <c r="F1269" i="22"/>
  <c r="O1269" i="22" s="1"/>
  <c r="K1269" i="22"/>
  <c r="K783" i="22"/>
  <c r="F783" i="22"/>
  <c r="O783" i="22" s="1"/>
  <c r="B75" i="7"/>
  <c r="C75" i="7"/>
  <c r="K75" i="7"/>
  <c r="J75" i="7"/>
  <c r="I75" i="7"/>
  <c r="H75" i="7"/>
  <c r="G75" i="7"/>
  <c r="F75" i="7"/>
  <c r="E75" i="7"/>
  <c r="D75" i="7"/>
  <c r="M75" i="7"/>
  <c r="L75" i="7"/>
  <c r="N1595" i="23"/>
  <c r="M1595" i="23"/>
  <c r="M1596" i="23"/>
  <c r="J1596" i="23"/>
  <c r="N1596" i="23" s="1"/>
  <c r="D1596" i="23"/>
  <c r="P1596" i="23"/>
  <c r="Q1596" i="23"/>
  <c r="R1596" i="23"/>
  <c r="I1597" i="23"/>
  <c r="L1597" i="23"/>
  <c r="C1597" i="23"/>
  <c r="E1597" i="23"/>
  <c r="G1597" i="23"/>
  <c r="B1598" i="23"/>
  <c r="E1592" i="23"/>
  <c r="J1592" i="23"/>
  <c r="O1594" i="23"/>
  <c r="AE1594" i="23" s="1"/>
  <c r="J1540" i="23"/>
  <c r="D1540" i="23"/>
  <c r="P1540" i="23"/>
  <c r="Q1540" i="23"/>
  <c r="R1540" i="23"/>
  <c r="I1541" i="23"/>
  <c r="C1541" i="23"/>
  <c r="K1541" i="23" s="1"/>
  <c r="E1541" i="23"/>
  <c r="F1541" i="23"/>
  <c r="G1541" i="23"/>
  <c r="B1542" i="23"/>
  <c r="L1542" i="23" s="1"/>
  <c r="J1484" i="23"/>
  <c r="D1484" i="23"/>
  <c r="P1484" i="23"/>
  <c r="Q1484" i="23"/>
  <c r="R1484" i="23"/>
  <c r="I1485" i="23"/>
  <c r="C1485" i="23"/>
  <c r="F1485" i="23" s="1"/>
  <c r="E1485" i="23"/>
  <c r="G1485" i="23"/>
  <c r="B1486" i="23"/>
  <c r="J1428" i="23"/>
  <c r="D1428" i="23"/>
  <c r="P1428" i="23"/>
  <c r="Q1428" i="23"/>
  <c r="R1428" i="23"/>
  <c r="I1429" i="23"/>
  <c r="C1429" i="23"/>
  <c r="K1429" i="23" s="1"/>
  <c r="E1429" i="23"/>
  <c r="F1429" i="23"/>
  <c r="G1429" i="23"/>
  <c r="B1430" i="23"/>
  <c r="L1430" i="23" s="1"/>
  <c r="J1372" i="23"/>
  <c r="D1372" i="23"/>
  <c r="P1372" i="23"/>
  <c r="Q1372" i="23"/>
  <c r="R1372" i="23"/>
  <c r="I1373" i="23"/>
  <c r="G1373" i="23"/>
  <c r="C1373" i="23"/>
  <c r="F1373" i="23" s="1"/>
  <c r="E1373" i="23"/>
  <c r="B1374" i="23"/>
  <c r="J1316" i="23"/>
  <c r="D1316" i="23"/>
  <c r="P1316" i="23"/>
  <c r="Q1316" i="23"/>
  <c r="R1316" i="23"/>
  <c r="I1317" i="23"/>
  <c r="C1317" i="23"/>
  <c r="F1317" i="23" s="1"/>
  <c r="E1317" i="23"/>
  <c r="G1317" i="23"/>
  <c r="B1318" i="23"/>
  <c r="J1260" i="23"/>
  <c r="D1260" i="23"/>
  <c r="P1260" i="23"/>
  <c r="Q1260" i="23"/>
  <c r="R1260" i="23"/>
  <c r="I1261" i="23"/>
  <c r="C1261" i="23"/>
  <c r="K1261" i="23" s="1"/>
  <c r="E1261" i="23"/>
  <c r="F1261" i="23"/>
  <c r="G1261" i="23"/>
  <c r="B1262" i="23"/>
  <c r="J1204" i="23"/>
  <c r="D1204" i="23"/>
  <c r="P1204" i="23"/>
  <c r="Q1204" i="23"/>
  <c r="R1204" i="23"/>
  <c r="I1205" i="23"/>
  <c r="C1205" i="23"/>
  <c r="F1205" i="23" s="1"/>
  <c r="E1205" i="23"/>
  <c r="G1205" i="23"/>
  <c r="B1206" i="23"/>
  <c r="J1148" i="23"/>
  <c r="D1148" i="23"/>
  <c r="P1148" i="23"/>
  <c r="Q1148" i="23"/>
  <c r="R1148" i="23"/>
  <c r="I1149" i="23"/>
  <c r="C1149" i="23"/>
  <c r="E1149" i="23"/>
  <c r="G1149" i="23"/>
  <c r="B1150" i="23"/>
  <c r="J1092" i="23"/>
  <c r="D1092" i="23"/>
  <c r="P1092" i="23"/>
  <c r="Q1092" i="23"/>
  <c r="R1092" i="23"/>
  <c r="I1093" i="23"/>
  <c r="C1093" i="23"/>
  <c r="F1093" i="23" s="1"/>
  <c r="E1093" i="23"/>
  <c r="G1093" i="23"/>
  <c r="B1094" i="23"/>
  <c r="P1036" i="23"/>
  <c r="Q1036" i="23"/>
  <c r="R1036" i="23"/>
  <c r="J1036" i="23"/>
  <c r="D1036" i="23"/>
  <c r="I1037" i="23"/>
  <c r="C1037" i="23"/>
  <c r="K1037" i="23" s="1"/>
  <c r="E1037" i="23"/>
  <c r="F1037" i="23"/>
  <c r="G1037" i="23"/>
  <c r="B1038" i="23"/>
  <c r="J980" i="23"/>
  <c r="D980" i="23"/>
  <c r="P980" i="23"/>
  <c r="Q980" i="23"/>
  <c r="R980" i="23"/>
  <c r="I981" i="23"/>
  <c r="C981" i="23"/>
  <c r="E981" i="23"/>
  <c r="F981" i="23"/>
  <c r="G981" i="23"/>
  <c r="B982" i="23"/>
  <c r="J924" i="23"/>
  <c r="D924" i="23"/>
  <c r="P924" i="23"/>
  <c r="Q924" i="23"/>
  <c r="R924" i="23"/>
  <c r="I925" i="23"/>
  <c r="C925" i="23"/>
  <c r="K925" i="23" s="1"/>
  <c r="E925" i="23"/>
  <c r="F925" i="23"/>
  <c r="G925" i="23"/>
  <c r="B926" i="23"/>
  <c r="J868" i="23"/>
  <c r="D868" i="23"/>
  <c r="P868" i="23"/>
  <c r="Q868" i="23"/>
  <c r="R868" i="23"/>
  <c r="I869" i="23"/>
  <c r="C869" i="23"/>
  <c r="F869" i="23" s="1"/>
  <c r="E869" i="23"/>
  <c r="G869" i="23"/>
  <c r="B870" i="23"/>
  <c r="J812" i="23"/>
  <c r="D812" i="23"/>
  <c r="P812" i="23"/>
  <c r="Q812" i="23"/>
  <c r="R812" i="23"/>
  <c r="I813" i="23"/>
  <c r="C813" i="23"/>
  <c r="F813" i="23" s="1"/>
  <c r="E813" i="23"/>
  <c r="G813" i="23"/>
  <c r="B814" i="23"/>
  <c r="J756" i="23"/>
  <c r="D756" i="23"/>
  <c r="P756" i="23"/>
  <c r="Q756" i="23"/>
  <c r="R756" i="23"/>
  <c r="I757" i="23"/>
  <c r="C757" i="23"/>
  <c r="E757" i="23"/>
  <c r="F757" i="23"/>
  <c r="G757" i="23"/>
  <c r="B758" i="23"/>
  <c r="J700" i="23"/>
  <c r="D700" i="23"/>
  <c r="P700" i="23"/>
  <c r="Q700" i="23"/>
  <c r="R700" i="23"/>
  <c r="I701" i="23"/>
  <c r="C701" i="23"/>
  <c r="K701" i="23" s="1"/>
  <c r="E701" i="23"/>
  <c r="F701" i="23"/>
  <c r="G701" i="23"/>
  <c r="B702" i="23"/>
  <c r="J644" i="23"/>
  <c r="D644" i="23"/>
  <c r="P644" i="23"/>
  <c r="Q644" i="23"/>
  <c r="R644" i="23"/>
  <c r="I645" i="23"/>
  <c r="C645" i="23"/>
  <c r="E645" i="23"/>
  <c r="F645" i="23"/>
  <c r="G645" i="23"/>
  <c r="B646" i="23"/>
  <c r="J588" i="23"/>
  <c r="D588" i="23"/>
  <c r="P588" i="23"/>
  <c r="Q588" i="23"/>
  <c r="R588" i="23"/>
  <c r="I589" i="23"/>
  <c r="C589" i="23"/>
  <c r="K589" i="23" s="1"/>
  <c r="E589" i="23"/>
  <c r="F589" i="23"/>
  <c r="G589" i="23"/>
  <c r="B590" i="23"/>
  <c r="J532" i="23"/>
  <c r="D532" i="23"/>
  <c r="P532" i="23"/>
  <c r="Q532" i="23"/>
  <c r="R532" i="23"/>
  <c r="I533" i="23"/>
  <c r="C533" i="23"/>
  <c r="E533" i="23"/>
  <c r="F533" i="23"/>
  <c r="G533" i="23"/>
  <c r="B534" i="23"/>
  <c r="P476" i="23"/>
  <c r="Q476" i="23"/>
  <c r="R476" i="23"/>
  <c r="I477" i="23"/>
  <c r="G477" i="23"/>
  <c r="E477" i="23"/>
  <c r="B478" i="23"/>
  <c r="L478" i="23" s="1"/>
  <c r="C477" i="23"/>
  <c r="J476" i="23"/>
  <c r="D476" i="23"/>
  <c r="P420" i="23"/>
  <c r="Q420" i="23"/>
  <c r="R420" i="23"/>
  <c r="J420" i="23"/>
  <c r="D420" i="23"/>
  <c r="I421" i="23"/>
  <c r="B422" i="23"/>
  <c r="C421" i="23"/>
  <c r="E421" i="23"/>
  <c r="G421" i="23"/>
  <c r="J364" i="23"/>
  <c r="D364" i="23"/>
  <c r="P364" i="23"/>
  <c r="Q364" i="23"/>
  <c r="R364" i="23"/>
  <c r="I365" i="23"/>
  <c r="C365" i="23"/>
  <c r="K365" i="23" s="1"/>
  <c r="E365" i="23"/>
  <c r="F365" i="23"/>
  <c r="G365" i="23"/>
  <c r="B366" i="23"/>
  <c r="J308" i="23"/>
  <c r="D308" i="23"/>
  <c r="P308" i="23"/>
  <c r="Q308" i="23"/>
  <c r="R308" i="23"/>
  <c r="I309" i="23"/>
  <c r="C309" i="23"/>
  <c r="E309" i="23"/>
  <c r="F309" i="23"/>
  <c r="G309" i="23"/>
  <c r="B310" i="23"/>
  <c r="J252" i="23"/>
  <c r="D252" i="23"/>
  <c r="P252" i="23"/>
  <c r="Q252" i="23"/>
  <c r="R252" i="23"/>
  <c r="I253" i="23"/>
  <c r="C253" i="23"/>
  <c r="K253" i="23" s="1"/>
  <c r="E253" i="23"/>
  <c r="F253" i="23"/>
  <c r="G253" i="23"/>
  <c r="B254" i="23"/>
  <c r="P4731" i="22"/>
  <c r="Q4731" i="22"/>
  <c r="R4731" i="22"/>
  <c r="C4732" i="22"/>
  <c r="L4732" i="22"/>
  <c r="E4732" i="22"/>
  <c r="K4732" i="22"/>
  <c r="I4732" i="22"/>
  <c r="B4733" i="22"/>
  <c r="F4732" i="22"/>
  <c r="G4732" i="22"/>
  <c r="J4731" i="22"/>
  <c r="D4731" i="22"/>
  <c r="D4677" i="22"/>
  <c r="J4677" i="22"/>
  <c r="N4677" i="22" s="1"/>
  <c r="P4677" i="22"/>
  <c r="Q4677" i="22"/>
  <c r="R4677" i="22"/>
  <c r="L4678" i="22"/>
  <c r="C4678" i="22"/>
  <c r="K4678" i="22" s="1"/>
  <c r="E4678" i="22"/>
  <c r="F4678" i="22"/>
  <c r="G4678" i="22"/>
  <c r="I4678" i="22"/>
  <c r="B4679" i="22"/>
  <c r="P4623" i="22"/>
  <c r="Q4623" i="22"/>
  <c r="R4623" i="22"/>
  <c r="C4624" i="22"/>
  <c r="D4624" i="22" s="1"/>
  <c r="E4624" i="22"/>
  <c r="F4624" i="22"/>
  <c r="G4624" i="22"/>
  <c r="B4625" i="22"/>
  <c r="N4568" i="22"/>
  <c r="M4568" i="22"/>
  <c r="M4569" i="22"/>
  <c r="J4569" i="22"/>
  <c r="N4569" i="22" s="1"/>
  <c r="D4569" i="22"/>
  <c r="P4569" i="22"/>
  <c r="Q4569" i="22"/>
  <c r="R4569" i="22"/>
  <c r="I4570" i="22"/>
  <c r="L4570" i="22"/>
  <c r="C4570" i="22"/>
  <c r="K4570" i="22" s="1"/>
  <c r="E4570" i="22"/>
  <c r="F4570" i="22"/>
  <c r="G4570" i="22"/>
  <c r="B4571" i="22"/>
  <c r="N4514" i="22"/>
  <c r="M4514" i="22"/>
  <c r="M4515" i="22"/>
  <c r="D4515" i="22"/>
  <c r="J4515" i="22"/>
  <c r="N4515" i="22" s="1"/>
  <c r="P4515" i="22"/>
  <c r="Q4515" i="22"/>
  <c r="R4515" i="22"/>
  <c r="L4516" i="22"/>
  <c r="C4516" i="22"/>
  <c r="K4516" i="22" s="1"/>
  <c r="E4516" i="22"/>
  <c r="F4516" i="22"/>
  <c r="G4516" i="22"/>
  <c r="I4516" i="22"/>
  <c r="B4517" i="22"/>
  <c r="N4214" i="22"/>
  <c r="U4214" i="22" s="1"/>
  <c r="M4214" i="22"/>
  <c r="M4215" i="22"/>
  <c r="D4215" i="22"/>
  <c r="J4215" i="22"/>
  <c r="N4215" i="22" s="1"/>
  <c r="U4215" i="22" s="1"/>
  <c r="P4215" i="22"/>
  <c r="Q4215" i="22"/>
  <c r="R4215" i="22"/>
  <c r="L4216" i="22"/>
  <c r="C4216" i="22"/>
  <c r="K4216" i="22" s="1"/>
  <c r="E4216" i="22"/>
  <c r="F4216" i="22"/>
  <c r="G4216" i="22"/>
  <c r="I4216" i="22"/>
  <c r="B4217" i="22"/>
  <c r="N4160" i="22"/>
  <c r="U4160" i="22" s="1"/>
  <c r="M4160" i="22"/>
  <c r="M4161" i="22"/>
  <c r="D4161" i="22"/>
  <c r="J4161" i="22"/>
  <c r="N4161" i="22" s="1"/>
  <c r="U4161" i="22" s="1"/>
  <c r="P4161" i="22"/>
  <c r="Q4161" i="22"/>
  <c r="R4161" i="22"/>
  <c r="L4162" i="22"/>
  <c r="C4162" i="22"/>
  <c r="K4162" i="22" s="1"/>
  <c r="E4162" i="22"/>
  <c r="F4162" i="22"/>
  <c r="G4162" i="22"/>
  <c r="I4162" i="22"/>
  <c r="B4163" i="22"/>
  <c r="N4106" i="22"/>
  <c r="U4106" i="22" s="1"/>
  <c r="M4106" i="22"/>
  <c r="M4107" i="22"/>
  <c r="D4107" i="22"/>
  <c r="J4107" i="22"/>
  <c r="N4107" i="22" s="1"/>
  <c r="U4107" i="22" s="1"/>
  <c r="P4107" i="22"/>
  <c r="Q4107" i="22"/>
  <c r="R4107" i="22"/>
  <c r="L4108" i="22"/>
  <c r="C4108" i="22"/>
  <c r="K4108" i="22" s="1"/>
  <c r="E4108" i="22"/>
  <c r="F4108" i="22"/>
  <c r="G4108" i="22"/>
  <c r="I4108" i="22"/>
  <c r="B4109" i="22"/>
  <c r="N4052" i="22"/>
  <c r="U4052" i="22" s="1"/>
  <c r="M4052" i="22"/>
  <c r="M4053" i="22"/>
  <c r="D4053" i="22"/>
  <c r="J4053" i="22"/>
  <c r="N4053" i="22" s="1"/>
  <c r="U4053" i="22" s="1"/>
  <c r="P4053" i="22"/>
  <c r="Q4053" i="22"/>
  <c r="R4053" i="22"/>
  <c r="L4054" i="22"/>
  <c r="C4054" i="22"/>
  <c r="E4054" i="22"/>
  <c r="G4054" i="22"/>
  <c r="I4054" i="22"/>
  <c r="B4055" i="22"/>
  <c r="D3753" i="22"/>
  <c r="J3753" i="22"/>
  <c r="N3753" i="22" s="1"/>
  <c r="U3753" i="22" s="1"/>
  <c r="P3753" i="22"/>
  <c r="Q3753" i="22"/>
  <c r="R3753" i="22"/>
  <c r="L3754" i="22"/>
  <c r="C3754" i="22"/>
  <c r="K3754" i="22" s="1"/>
  <c r="E3754" i="22"/>
  <c r="F3754" i="22"/>
  <c r="O3754" i="22" s="1"/>
  <c r="G3754" i="22"/>
  <c r="I3754" i="22"/>
  <c r="B3755" i="22"/>
  <c r="D3699" i="22"/>
  <c r="J3699" i="22"/>
  <c r="N3699" i="22" s="1"/>
  <c r="U3699" i="22" s="1"/>
  <c r="P3699" i="22"/>
  <c r="Q3699" i="22"/>
  <c r="R3699" i="22"/>
  <c r="L3700" i="22"/>
  <c r="C3700" i="22"/>
  <c r="E3700" i="22"/>
  <c r="G3700" i="22"/>
  <c r="I3700" i="22"/>
  <c r="B3701" i="22"/>
  <c r="D3645" i="22"/>
  <c r="J3645" i="22"/>
  <c r="N3645" i="22" s="1"/>
  <c r="U3645" i="22" s="1"/>
  <c r="P3645" i="22"/>
  <c r="Q3645" i="22"/>
  <c r="R3645" i="22"/>
  <c r="L3646" i="22"/>
  <c r="C3646" i="22"/>
  <c r="E3646" i="22"/>
  <c r="G3646" i="22"/>
  <c r="I3646" i="22"/>
  <c r="B3647" i="22"/>
  <c r="L3592" i="22"/>
  <c r="I3592" i="22"/>
  <c r="C3592" i="22"/>
  <c r="E3592" i="22"/>
  <c r="G3592" i="22"/>
  <c r="B3593" i="22"/>
  <c r="D3591" i="22"/>
  <c r="J3591" i="22"/>
  <c r="P3591" i="22"/>
  <c r="Q3591" i="22"/>
  <c r="R3591" i="22"/>
  <c r="N3536" i="22"/>
  <c r="U3536" i="22" s="1"/>
  <c r="M3536" i="22"/>
  <c r="D3537" i="22"/>
  <c r="J3537" i="22"/>
  <c r="P3537" i="22"/>
  <c r="Q3537" i="22"/>
  <c r="R3537" i="22"/>
  <c r="L3538" i="22"/>
  <c r="G3538" i="22"/>
  <c r="B3539" i="22"/>
  <c r="C3538" i="22"/>
  <c r="K3538" i="22" s="1"/>
  <c r="E3538" i="22"/>
  <c r="F3538" i="22"/>
  <c r="O3538" i="22" s="1"/>
  <c r="I3538" i="22"/>
  <c r="D3483" i="22"/>
  <c r="J3483" i="22"/>
  <c r="N3483" i="22" s="1"/>
  <c r="U3483" i="22" s="1"/>
  <c r="P3483" i="22"/>
  <c r="Q3483" i="22"/>
  <c r="R3483" i="22"/>
  <c r="L3484" i="22"/>
  <c r="C3484" i="22"/>
  <c r="K3484" i="22" s="1"/>
  <c r="E3484" i="22"/>
  <c r="F3484" i="22"/>
  <c r="O3484" i="22" s="1"/>
  <c r="G3484" i="22"/>
  <c r="I3484" i="22"/>
  <c r="B3485" i="22"/>
  <c r="D3429" i="22"/>
  <c r="J3429" i="22"/>
  <c r="N3429" i="22" s="1"/>
  <c r="U3429" i="22" s="1"/>
  <c r="P3429" i="22"/>
  <c r="Q3429" i="22"/>
  <c r="R3429" i="22"/>
  <c r="L3430" i="22"/>
  <c r="C3430" i="22"/>
  <c r="K3430" i="22" s="1"/>
  <c r="E3430" i="22"/>
  <c r="F3430" i="22"/>
  <c r="O3430" i="22" s="1"/>
  <c r="G3430" i="22"/>
  <c r="I3430" i="22"/>
  <c r="B3431" i="22"/>
  <c r="D3375" i="22"/>
  <c r="J3375" i="22"/>
  <c r="N3375" i="22" s="1"/>
  <c r="U3375" i="22" s="1"/>
  <c r="P3375" i="22"/>
  <c r="Q3375" i="22"/>
  <c r="R3375" i="22"/>
  <c r="L3376" i="22"/>
  <c r="C3376" i="22"/>
  <c r="E3376" i="22"/>
  <c r="G3376" i="22"/>
  <c r="I3376" i="22"/>
  <c r="B3377" i="22"/>
  <c r="D3321" i="22"/>
  <c r="J3321" i="22"/>
  <c r="N3321" i="22" s="1"/>
  <c r="U3321" i="22" s="1"/>
  <c r="P3321" i="22"/>
  <c r="Q3321" i="22"/>
  <c r="R3321" i="22"/>
  <c r="L3322" i="22"/>
  <c r="C3322" i="22"/>
  <c r="K3322" i="22" s="1"/>
  <c r="E3322" i="22"/>
  <c r="F3322" i="22"/>
  <c r="O3322" i="22" s="1"/>
  <c r="G3322" i="22"/>
  <c r="I3322" i="22"/>
  <c r="B3323" i="22"/>
  <c r="D3267" i="22"/>
  <c r="J3267" i="22"/>
  <c r="N3267" i="22" s="1"/>
  <c r="U3267" i="22" s="1"/>
  <c r="P3267" i="22"/>
  <c r="Q3267" i="22"/>
  <c r="R3267" i="22"/>
  <c r="L3268" i="22"/>
  <c r="C3268" i="22"/>
  <c r="E3268" i="22"/>
  <c r="G3268" i="22"/>
  <c r="I3268" i="22"/>
  <c r="B3269" i="22"/>
  <c r="M3212" i="22"/>
  <c r="N3212" i="22"/>
  <c r="U3212" i="22" s="1"/>
  <c r="M3213" i="22"/>
  <c r="D3213" i="22"/>
  <c r="J3213" i="22"/>
  <c r="N3213" i="22" s="1"/>
  <c r="U3213" i="22" s="1"/>
  <c r="P3213" i="22"/>
  <c r="Q3213" i="22"/>
  <c r="R3213" i="22"/>
  <c r="L3214" i="22"/>
  <c r="C3214" i="22"/>
  <c r="K3214" i="22" s="1"/>
  <c r="E3214" i="22"/>
  <c r="F3214" i="22"/>
  <c r="O3214" i="22" s="1"/>
  <c r="G3214" i="22"/>
  <c r="B3215" i="22"/>
  <c r="I3214" i="22"/>
  <c r="N3158" i="22"/>
  <c r="U3158" i="22" s="1"/>
  <c r="M3158" i="22"/>
  <c r="D3159" i="22"/>
  <c r="J3159" i="22"/>
  <c r="P3159" i="22"/>
  <c r="Q3159" i="22"/>
  <c r="R3159" i="22"/>
  <c r="L3160" i="22"/>
  <c r="C3160" i="22"/>
  <c r="K3160" i="22" s="1"/>
  <c r="E3160" i="22"/>
  <c r="F3160" i="22"/>
  <c r="O3160" i="22" s="1"/>
  <c r="G3160" i="22"/>
  <c r="I3160" i="22"/>
  <c r="B3161" i="22"/>
  <c r="N3104" i="22"/>
  <c r="U3104" i="22" s="1"/>
  <c r="M3104" i="22"/>
  <c r="M3105" i="22"/>
  <c r="L3106" i="22"/>
  <c r="E3106" i="22"/>
  <c r="G3106" i="22"/>
  <c r="C3106" i="22"/>
  <c r="B3107" i="22"/>
  <c r="I3106" i="22"/>
  <c r="J3105" i="22"/>
  <c r="N3105" i="22" s="1"/>
  <c r="U3105" i="22" s="1"/>
  <c r="D3105" i="22"/>
  <c r="P3105" i="22"/>
  <c r="Q3105" i="22"/>
  <c r="R3105" i="22"/>
  <c r="M3051" i="22"/>
  <c r="D3051" i="22"/>
  <c r="J3051" i="22"/>
  <c r="N3051" i="22" s="1"/>
  <c r="U3051" i="22" s="1"/>
  <c r="P3051" i="22"/>
  <c r="Q3051" i="22"/>
  <c r="R3051" i="22"/>
  <c r="L3052" i="22"/>
  <c r="G3052" i="22"/>
  <c r="I3052" i="22"/>
  <c r="B3053" i="22"/>
  <c r="C3052" i="22"/>
  <c r="E3052" i="22"/>
  <c r="M2996" i="22"/>
  <c r="N2996" i="22"/>
  <c r="U2996" i="22" s="1"/>
  <c r="M2997" i="22"/>
  <c r="P2997" i="22"/>
  <c r="Q2997" i="22"/>
  <c r="R2997" i="22"/>
  <c r="L2998" i="22"/>
  <c r="C2998" i="22"/>
  <c r="E2998" i="22"/>
  <c r="G2998" i="22"/>
  <c r="B2999" i="22"/>
  <c r="I2998" i="22"/>
  <c r="J2997" i="22"/>
  <c r="N2997" i="22" s="1"/>
  <c r="U2997" i="22" s="1"/>
  <c r="D2997" i="22"/>
  <c r="N2942" i="22"/>
  <c r="U2942" i="22" s="1"/>
  <c r="M2942" i="22"/>
  <c r="M2943" i="22"/>
  <c r="D2943" i="22"/>
  <c r="J2943" i="22"/>
  <c r="N2943" i="22" s="1"/>
  <c r="U2943" i="22" s="1"/>
  <c r="P2943" i="22"/>
  <c r="Q2943" i="22"/>
  <c r="R2943" i="22"/>
  <c r="L2944" i="22"/>
  <c r="C2944" i="22"/>
  <c r="K2944" i="22" s="1"/>
  <c r="E2944" i="22"/>
  <c r="F2944" i="22"/>
  <c r="O2944" i="22" s="1"/>
  <c r="G2944" i="22"/>
  <c r="B2945" i="22"/>
  <c r="I2944" i="22"/>
  <c r="D2889" i="22"/>
  <c r="J2889" i="22"/>
  <c r="N2889" i="22" s="1"/>
  <c r="U2889" i="22" s="1"/>
  <c r="P2889" i="22"/>
  <c r="Q2889" i="22"/>
  <c r="R2889" i="22"/>
  <c r="L2890" i="22"/>
  <c r="C2890" i="22"/>
  <c r="K2890" i="22" s="1"/>
  <c r="E2890" i="22"/>
  <c r="F2890" i="22"/>
  <c r="O2890" i="22" s="1"/>
  <c r="G2890" i="22"/>
  <c r="I2890" i="22"/>
  <c r="B2891" i="22"/>
  <c r="D2835" i="22"/>
  <c r="J2835" i="22"/>
  <c r="N2835" i="22" s="1"/>
  <c r="U2835" i="22" s="1"/>
  <c r="P2835" i="22"/>
  <c r="Q2835" i="22"/>
  <c r="R2835" i="22"/>
  <c r="L2836" i="22"/>
  <c r="C2836" i="22"/>
  <c r="K2836" i="22" s="1"/>
  <c r="E2836" i="22"/>
  <c r="F2836" i="22"/>
  <c r="O2836" i="22" s="1"/>
  <c r="G2836" i="22"/>
  <c r="I2836" i="22"/>
  <c r="B2837" i="22"/>
  <c r="D2781" i="22"/>
  <c r="J2781" i="22"/>
  <c r="N2781" i="22" s="1"/>
  <c r="S2781" i="22" s="1"/>
  <c r="T2781" i="22" s="1"/>
  <c r="U2781" i="22" s="1"/>
  <c r="P2781" i="22"/>
  <c r="Q2781" i="22"/>
  <c r="R2781" i="22"/>
  <c r="L2782" i="22"/>
  <c r="C2782" i="22"/>
  <c r="K2782" i="22" s="1"/>
  <c r="E2782" i="22"/>
  <c r="F2782" i="22"/>
  <c r="O2782" i="22" s="1"/>
  <c r="G2782" i="22"/>
  <c r="I2782" i="22"/>
  <c r="B2783" i="22"/>
  <c r="D2727" i="22"/>
  <c r="J2727" i="22"/>
  <c r="N2727" i="22" s="1"/>
  <c r="U2727" i="22" s="1"/>
  <c r="P2727" i="22"/>
  <c r="Q2727" i="22"/>
  <c r="R2727" i="22"/>
  <c r="L2728" i="22"/>
  <c r="C2728" i="22"/>
  <c r="K2728" i="22" s="1"/>
  <c r="E2728" i="22"/>
  <c r="F2728" i="22"/>
  <c r="O2728" i="22" s="1"/>
  <c r="G2728" i="22"/>
  <c r="I2728" i="22"/>
  <c r="B2729" i="22"/>
  <c r="M2673" i="22"/>
  <c r="D2673" i="22"/>
  <c r="J2673" i="22"/>
  <c r="N2673" i="22" s="1"/>
  <c r="U2673" i="22" s="1"/>
  <c r="P2673" i="22"/>
  <c r="Q2673" i="22"/>
  <c r="R2673" i="22"/>
  <c r="L2674" i="22"/>
  <c r="C2674" i="22"/>
  <c r="K2674" i="22" s="1"/>
  <c r="E2674" i="22"/>
  <c r="F2674" i="22"/>
  <c r="O2674" i="22" s="1"/>
  <c r="G2674" i="22"/>
  <c r="I2674" i="22"/>
  <c r="B2675" i="22"/>
  <c r="N2618" i="22"/>
  <c r="U2618" i="22" s="1"/>
  <c r="M2618" i="22"/>
  <c r="M2619" i="22"/>
  <c r="D2619" i="22"/>
  <c r="J2619" i="22"/>
  <c r="N2619" i="22" s="1"/>
  <c r="U2619" i="22" s="1"/>
  <c r="P2619" i="22"/>
  <c r="Q2619" i="22"/>
  <c r="R2619" i="22"/>
  <c r="L2620" i="22"/>
  <c r="C2620" i="22"/>
  <c r="E2620" i="22"/>
  <c r="G2620" i="22"/>
  <c r="I2620" i="22"/>
  <c r="B2621" i="22"/>
  <c r="K2565" i="22"/>
  <c r="D2565" i="22"/>
  <c r="J2565" i="22"/>
  <c r="P2565" i="22"/>
  <c r="Q2565" i="22"/>
  <c r="R2565" i="22"/>
  <c r="L2566" i="22"/>
  <c r="C2566" i="22"/>
  <c r="E2566" i="22"/>
  <c r="G2566" i="22"/>
  <c r="I2566" i="22"/>
  <c r="B2567" i="22"/>
  <c r="D2511" i="22"/>
  <c r="J2511" i="22"/>
  <c r="N2511" i="22" s="1"/>
  <c r="U2511" i="22" s="1"/>
  <c r="P2511" i="22"/>
  <c r="Q2511" i="22"/>
  <c r="R2511" i="22"/>
  <c r="L2512" i="22"/>
  <c r="C2512" i="22"/>
  <c r="E2512" i="22"/>
  <c r="G2512" i="22"/>
  <c r="I2512" i="22"/>
  <c r="B2513" i="22"/>
  <c r="D2457" i="22"/>
  <c r="J2457" i="22"/>
  <c r="N2457" i="22" s="1"/>
  <c r="U2457" i="22" s="1"/>
  <c r="P2457" i="22"/>
  <c r="Q2457" i="22"/>
  <c r="R2457" i="22"/>
  <c r="L2458" i="22"/>
  <c r="C2458" i="22"/>
  <c r="E2458" i="22"/>
  <c r="G2458" i="22"/>
  <c r="I2458" i="22"/>
  <c r="B2459" i="22"/>
  <c r="N2402" i="22"/>
  <c r="U2402" i="22" s="1"/>
  <c r="M2402" i="22"/>
  <c r="M2403" i="22"/>
  <c r="D2403" i="22"/>
  <c r="J2403" i="22"/>
  <c r="N2403" i="22" s="1"/>
  <c r="U2403" i="22" s="1"/>
  <c r="P2403" i="22"/>
  <c r="Q2403" i="22"/>
  <c r="R2403" i="22"/>
  <c r="L2404" i="22"/>
  <c r="C2404" i="22"/>
  <c r="E2404" i="22"/>
  <c r="G2404" i="22"/>
  <c r="I2404" i="22"/>
  <c r="B2405" i="22"/>
  <c r="N2348" i="22"/>
  <c r="U2348" i="22" s="1"/>
  <c r="M2348" i="22"/>
  <c r="M2349" i="22"/>
  <c r="D2349" i="22"/>
  <c r="J2349" i="22"/>
  <c r="N2349" i="22" s="1"/>
  <c r="U2349" i="22" s="1"/>
  <c r="P2349" i="22"/>
  <c r="Q2349" i="22"/>
  <c r="R2349" i="22"/>
  <c r="L2350" i="22"/>
  <c r="C2350" i="22"/>
  <c r="E2350" i="22"/>
  <c r="G2350" i="22"/>
  <c r="I2350" i="22"/>
  <c r="B2351" i="22"/>
  <c r="M2295" i="22"/>
  <c r="D2295" i="22"/>
  <c r="J2295" i="22"/>
  <c r="N2295" i="22" s="1"/>
  <c r="U2295" i="22" s="1"/>
  <c r="P2295" i="22"/>
  <c r="R2295" i="22"/>
  <c r="Q2295" i="22"/>
  <c r="L2296" i="22"/>
  <c r="B2297" i="22"/>
  <c r="E2296" i="22"/>
  <c r="G2296" i="22"/>
  <c r="I2296" i="22"/>
  <c r="C2296" i="22"/>
  <c r="N2294" i="22"/>
  <c r="U2294" i="22" s="1"/>
  <c r="M2294" i="22"/>
  <c r="D2241" i="22"/>
  <c r="J2241" i="22"/>
  <c r="N2241" i="22" s="1"/>
  <c r="U2241" i="22" s="1"/>
  <c r="P2241" i="22"/>
  <c r="Q2241" i="22"/>
  <c r="R2241" i="22"/>
  <c r="L2242" i="22"/>
  <c r="C2242" i="22"/>
  <c r="E2242" i="22"/>
  <c r="G2242" i="22"/>
  <c r="I2242" i="22"/>
  <c r="B2243" i="22"/>
  <c r="D2187" i="22"/>
  <c r="J2187" i="22"/>
  <c r="N2187" i="22" s="1"/>
  <c r="U2187" i="22" s="1"/>
  <c r="P2187" i="22"/>
  <c r="Q2187" i="22"/>
  <c r="R2187" i="22"/>
  <c r="L2188" i="22"/>
  <c r="C2188" i="22"/>
  <c r="K2188" i="22" s="1"/>
  <c r="E2188" i="22"/>
  <c r="F2188" i="22"/>
  <c r="O2188" i="22" s="1"/>
  <c r="G2188" i="22"/>
  <c r="I2188" i="22"/>
  <c r="B2189" i="22"/>
  <c r="D2133" i="22"/>
  <c r="J2133" i="22"/>
  <c r="N2133" i="22" s="1"/>
  <c r="U2133" i="22" s="1"/>
  <c r="P2133" i="22"/>
  <c r="Q2133" i="22"/>
  <c r="R2133" i="22"/>
  <c r="L2134" i="22"/>
  <c r="C2134" i="22"/>
  <c r="E2134" i="22"/>
  <c r="G2134" i="22"/>
  <c r="I2134" i="22"/>
  <c r="B2135" i="22"/>
  <c r="N2078" i="22"/>
  <c r="U2078" i="22" s="1"/>
  <c r="M2078" i="22"/>
  <c r="M2079" i="22"/>
  <c r="D2079" i="22"/>
  <c r="J2079" i="22"/>
  <c r="N2079" i="22" s="1"/>
  <c r="U2079" i="22" s="1"/>
  <c r="P2079" i="22"/>
  <c r="Q2079" i="22"/>
  <c r="R2079" i="22"/>
  <c r="L2080" i="22"/>
  <c r="C2080" i="22"/>
  <c r="K2080" i="22" s="1"/>
  <c r="E2080" i="22"/>
  <c r="F2080" i="22"/>
  <c r="O2080" i="22" s="1"/>
  <c r="G2080" i="22"/>
  <c r="I2080" i="22"/>
  <c r="B2081" i="22"/>
  <c r="N2024" i="22"/>
  <c r="U2024" i="22" s="1"/>
  <c r="M2024" i="22"/>
  <c r="M2025" i="22"/>
  <c r="D2025" i="22"/>
  <c r="J2025" i="22"/>
  <c r="N2025" i="22" s="1"/>
  <c r="U2025" i="22" s="1"/>
  <c r="P2025" i="22"/>
  <c r="Q2025" i="22"/>
  <c r="R2025" i="22"/>
  <c r="L2026" i="22"/>
  <c r="C2026" i="22"/>
  <c r="K2026" i="22" s="1"/>
  <c r="E2026" i="22"/>
  <c r="F2026" i="22"/>
  <c r="O2026" i="22" s="1"/>
  <c r="G2026" i="22"/>
  <c r="I2026" i="22"/>
  <c r="B2027" i="22"/>
  <c r="L1972" i="22"/>
  <c r="B1973" i="22"/>
  <c r="I1972" i="22"/>
  <c r="E1972" i="22"/>
  <c r="G1972" i="22"/>
  <c r="C1972" i="22"/>
  <c r="D1971" i="22"/>
  <c r="J1971" i="22"/>
  <c r="P1971" i="22"/>
  <c r="Q1971" i="22"/>
  <c r="R1971" i="22"/>
  <c r="N1970" i="22"/>
  <c r="U1970" i="22" s="1"/>
  <c r="M1970" i="22"/>
  <c r="D1917" i="22"/>
  <c r="J1917" i="22"/>
  <c r="N1917" i="22" s="1"/>
  <c r="U1917" i="22" s="1"/>
  <c r="P1917" i="22"/>
  <c r="Q1917" i="22"/>
  <c r="R1917" i="22"/>
  <c r="L1918" i="22"/>
  <c r="C1918" i="22"/>
  <c r="E1918" i="22"/>
  <c r="G1918" i="22"/>
  <c r="I1918" i="22"/>
  <c r="B1919" i="22"/>
  <c r="K1863" i="22"/>
  <c r="D1863" i="22"/>
  <c r="J1863" i="22"/>
  <c r="P1863" i="22"/>
  <c r="Q1863" i="22"/>
  <c r="R1863" i="22"/>
  <c r="L1864" i="22"/>
  <c r="C1864" i="22"/>
  <c r="K1864" i="22" s="1"/>
  <c r="E1864" i="22"/>
  <c r="F1864" i="22"/>
  <c r="O1864" i="22" s="1"/>
  <c r="G1864" i="22"/>
  <c r="I1864" i="22"/>
  <c r="B1865" i="22"/>
  <c r="K1809" i="22"/>
  <c r="D1809" i="22"/>
  <c r="J1809" i="22"/>
  <c r="P1809" i="22"/>
  <c r="Q1809" i="22"/>
  <c r="R1809" i="22"/>
  <c r="L1810" i="22"/>
  <c r="C1810" i="22"/>
  <c r="K1810" i="22" s="1"/>
  <c r="E1810" i="22"/>
  <c r="F1810" i="22"/>
  <c r="O1810" i="22" s="1"/>
  <c r="G1810" i="22"/>
  <c r="I1810" i="22"/>
  <c r="B1811" i="22"/>
  <c r="N1754" i="22"/>
  <c r="U1754" i="22" s="1"/>
  <c r="M1754" i="22"/>
  <c r="M1755" i="22"/>
  <c r="D1755" i="22"/>
  <c r="J1755" i="22"/>
  <c r="N1755" i="22" s="1"/>
  <c r="U1755" i="22" s="1"/>
  <c r="P1755" i="22"/>
  <c r="Q1755" i="22"/>
  <c r="R1755" i="22"/>
  <c r="L1756" i="22"/>
  <c r="C1756" i="22"/>
  <c r="K1756" i="22" s="1"/>
  <c r="E1756" i="22"/>
  <c r="F1756" i="22"/>
  <c r="O1756" i="22" s="1"/>
  <c r="G1756" i="22"/>
  <c r="I1756" i="22"/>
  <c r="B1757" i="22"/>
  <c r="N1700" i="22"/>
  <c r="U1700" i="22" s="1"/>
  <c r="M1700" i="22"/>
  <c r="M1701" i="22"/>
  <c r="D1701" i="22"/>
  <c r="J1701" i="22"/>
  <c r="N1701" i="22" s="1"/>
  <c r="U1701" i="22" s="1"/>
  <c r="P1701" i="22"/>
  <c r="Q1701" i="22"/>
  <c r="R1701" i="22"/>
  <c r="L1702" i="22"/>
  <c r="C1702" i="22"/>
  <c r="K1702" i="22" s="1"/>
  <c r="E1702" i="22"/>
  <c r="F1702" i="22"/>
  <c r="O1702" i="22" s="1"/>
  <c r="G1702" i="22"/>
  <c r="I1702" i="22"/>
  <c r="B1703" i="22"/>
  <c r="D1647" i="22"/>
  <c r="J1647" i="22"/>
  <c r="P1647" i="22"/>
  <c r="Q1647" i="22"/>
  <c r="R1647" i="22"/>
  <c r="L1648" i="22"/>
  <c r="C1648" i="22"/>
  <c r="E1648" i="22"/>
  <c r="G1648" i="22"/>
  <c r="I1648" i="22"/>
  <c r="B1649" i="22"/>
  <c r="D1593" i="22"/>
  <c r="J1593" i="22"/>
  <c r="P1593" i="22"/>
  <c r="Q1593" i="22"/>
  <c r="R1593" i="22"/>
  <c r="L1594" i="22"/>
  <c r="C1594" i="22"/>
  <c r="K1594" i="22" s="1"/>
  <c r="E1594" i="22"/>
  <c r="F1594" i="22"/>
  <c r="O1594" i="22" s="1"/>
  <c r="G1594" i="22"/>
  <c r="I1594" i="22"/>
  <c r="B1595" i="22"/>
  <c r="D1539" i="22"/>
  <c r="J1539" i="22"/>
  <c r="P1539" i="22"/>
  <c r="Q1539" i="22"/>
  <c r="R1539" i="22"/>
  <c r="L1540" i="22"/>
  <c r="C1540" i="22"/>
  <c r="E1540" i="22"/>
  <c r="G1540" i="22"/>
  <c r="I1540" i="22"/>
  <c r="B1541" i="22"/>
  <c r="D1485" i="22"/>
  <c r="J1485" i="22"/>
  <c r="P1485" i="22"/>
  <c r="Q1485" i="22"/>
  <c r="R1485" i="22"/>
  <c r="L1486" i="22"/>
  <c r="C1486" i="22"/>
  <c r="E1486" i="22"/>
  <c r="G1486" i="22"/>
  <c r="I1486" i="22"/>
  <c r="B1487" i="22"/>
  <c r="N1430" i="22"/>
  <c r="U1430" i="22" s="1"/>
  <c r="M1430" i="22"/>
  <c r="D1431" i="22"/>
  <c r="J1431" i="22"/>
  <c r="P1431" i="22"/>
  <c r="Q1431" i="22"/>
  <c r="R1431" i="22"/>
  <c r="L1432" i="22"/>
  <c r="C1432" i="22"/>
  <c r="E1432" i="22"/>
  <c r="G1432" i="22"/>
  <c r="I1432" i="22"/>
  <c r="B1433" i="22"/>
  <c r="N1376" i="22"/>
  <c r="U1376" i="22" s="1"/>
  <c r="M1376" i="22"/>
  <c r="M1377" i="22"/>
  <c r="D1377" i="22"/>
  <c r="J1377" i="22"/>
  <c r="N1377" i="22" s="1"/>
  <c r="U1377" i="22" s="1"/>
  <c r="P1377" i="22"/>
  <c r="Q1377" i="22"/>
  <c r="R1377" i="22"/>
  <c r="L1378" i="22"/>
  <c r="C1378" i="22"/>
  <c r="E1378" i="22"/>
  <c r="G1378" i="22"/>
  <c r="I1378" i="22"/>
  <c r="B1379" i="22"/>
  <c r="D1323" i="22"/>
  <c r="J1323" i="22"/>
  <c r="N1323" i="22" s="1"/>
  <c r="U1323" i="22" s="1"/>
  <c r="P1323" i="22"/>
  <c r="Q1323" i="22"/>
  <c r="R1323" i="22"/>
  <c r="L1324" i="22"/>
  <c r="C1324" i="22"/>
  <c r="K1324" i="22" s="1"/>
  <c r="E1324" i="22"/>
  <c r="F1324" i="22"/>
  <c r="O1324" i="22" s="1"/>
  <c r="G1324" i="22"/>
  <c r="I1324" i="22"/>
  <c r="B1325" i="22"/>
  <c r="D1269" i="22"/>
  <c r="J1269" i="22"/>
  <c r="N1269" i="22" s="1"/>
  <c r="U1269" i="22" s="1"/>
  <c r="P1269" i="22"/>
  <c r="Q1269" i="22"/>
  <c r="R1269" i="22"/>
  <c r="L1270" i="22"/>
  <c r="C1270" i="22"/>
  <c r="E1270" i="22"/>
  <c r="G1270" i="22"/>
  <c r="I1270" i="22"/>
  <c r="B1271" i="22"/>
  <c r="D1215" i="22"/>
  <c r="J1215" i="22"/>
  <c r="N1215" i="22" s="1"/>
  <c r="U1215" i="22" s="1"/>
  <c r="P1215" i="22"/>
  <c r="Q1215" i="22"/>
  <c r="R1215" i="22"/>
  <c r="L1216" i="22"/>
  <c r="C1216" i="22"/>
  <c r="K1216" i="22" s="1"/>
  <c r="E1216" i="22"/>
  <c r="F1216" i="22"/>
  <c r="O1216" i="22" s="1"/>
  <c r="G1216" i="22"/>
  <c r="I1216" i="22"/>
  <c r="B1217" i="22"/>
  <c r="N1160" i="22"/>
  <c r="U1160" i="22" s="1"/>
  <c r="M1160" i="22"/>
  <c r="M1161" i="22"/>
  <c r="D1161" i="22"/>
  <c r="J1161" i="22"/>
  <c r="N1161" i="22" s="1"/>
  <c r="U1161" i="22" s="1"/>
  <c r="P1161" i="22"/>
  <c r="Q1161" i="22"/>
  <c r="R1161" i="22"/>
  <c r="L1162" i="22"/>
  <c r="C1162" i="22"/>
  <c r="K1162" i="22" s="1"/>
  <c r="E1162" i="22"/>
  <c r="F1162" i="22"/>
  <c r="O1162" i="22" s="1"/>
  <c r="G1162" i="22"/>
  <c r="I1162" i="22"/>
  <c r="B1163" i="22"/>
  <c r="N1106" i="22"/>
  <c r="U1106" i="22" s="1"/>
  <c r="M1106" i="22"/>
  <c r="M1107" i="22"/>
  <c r="D1107" i="22"/>
  <c r="J1107" i="22"/>
  <c r="N1107" i="22" s="1"/>
  <c r="U1107" i="22" s="1"/>
  <c r="P1107" i="22"/>
  <c r="Q1107" i="22"/>
  <c r="R1107" i="22"/>
  <c r="L1108" i="22"/>
  <c r="C1108" i="22"/>
  <c r="K1108" i="22" s="1"/>
  <c r="E1108" i="22"/>
  <c r="F1108" i="22"/>
  <c r="O1108" i="22" s="1"/>
  <c r="G1108" i="22"/>
  <c r="I1108" i="22"/>
  <c r="B1109" i="22"/>
  <c r="N1052" i="22"/>
  <c r="U1052" i="22" s="1"/>
  <c r="M1052" i="22"/>
  <c r="M1053" i="22"/>
  <c r="D1053" i="22"/>
  <c r="J1053" i="22"/>
  <c r="N1053" i="22" s="1"/>
  <c r="U1053" i="22" s="1"/>
  <c r="P1053" i="22"/>
  <c r="Q1053" i="22"/>
  <c r="R1053" i="22"/>
  <c r="L1054" i="22"/>
  <c r="C1054" i="22"/>
  <c r="K1054" i="22" s="1"/>
  <c r="E1054" i="22"/>
  <c r="F1054" i="22"/>
  <c r="O1054" i="22" s="1"/>
  <c r="G1054" i="22"/>
  <c r="I1054" i="22"/>
  <c r="B1055" i="22"/>
  <c r="D999" i="22"/>
  <c r="J999" i="22"/>
  <c r="N999" i="22" s="1"/>
  <c r="U999" i="22" s="1"/>
  <c r="P999" i="22"/>
  <c r="Q999" i="22"/>
  <c r="R999" i="22"/>
  <c r="L1000" i="22"/>
  <c r="C1000" i="22"/>
  <c r="K1000" i="22" s="1"/>
  <c r="E1000" i="22"/>
  <c r="F1000" i="22"/>
  <c r="O1000" i="22" s="1"/>
  <c r="G1000" i="22"/>
  <c r="I1000" i="22"/>
  <c r="B1001" i="22"/>
  <c r="D945" i="22"/>
  <c r="J945" i="22"/>
  <c r="P945" i="22"/>
  <c r="Q945" i="22"/>
  <c r="R945" i="22"/>
  <c r="L946" i="22"/>
  <c r="C946" i="22"/>
  <c r="K946" i="22" s="1"/>
  <c r="E946" i="22"/>
  <c r="F946" i="22"/>
  <c r="O946" i="22" s="1"/>
  <c r="G946" i="22"/>
  <c r="I946" i="22"/>
  <c r="B947" i="22"/>
  <c r="D891" i="22"/>
  <c r="J891" i="22"/>
  <c r="N891" i="22" s="1"/>
  <c r="U891" i="22" s="1"/>
  <c r="P891" i="22"/>
  <c r="Q891" i="22"/>
  <c r="R891" i="22"/>
  <c r="L892" i="22"/>
  <c r="C892" i="22"/>
  <c r="K892" i="22" s="1"/>
  <c r="E892" i="22"/>
  <c r="F892" i="22"/>
  <c r="O892" i="22" s="1"/>
  <c r="G892" i="22"/>
  <c r="I892" i="22"/>
  <c r="B893" i="22"/>
  <c r="D837" i="22"/>
  <c r="J837" i="22"/>
  <c r="P837" i="22"/>
  <c r="Q837" i="22"/>
  <c r="R837" i="22"/>
  <c r="L838" i="22"/>
  <c r="C838" i="22"/>
  <c r="E838" i="22"/>
  <c r="G838" i="22"/>
  <c r="I838" i="22"/>
  <c r="B839" i="22"/>
  <c r="D783" i="22"/>
  <c r="J783" i="22"/>
  <c r="N783" i="22" s="1"/>
  <c r="U783" i="22" s="1"/>
  <c r="P783" i="22"/>
  <c r="Q783" i="22"/>
  <c r="R783" i="22"/>
  <c r="L784" i="22"/>
  <c r="C784" i="22"/>
  <c r="K784" i="22" s="1"/>
  <c r="E784" i="22"/>
  <c r="F784" i="22"/>
  <c r="O784" i="22" s="1"/>
  <c r="G784" i="22"/>
  <c r="I784" i="22"/>
  <c r="B785" i="22"/>
  <c r="N728" i="22"/>
  <c r="U728" i="22" s="1"/>
  <c r="M728" i="22"/>
  <c r="M729" i="22"/>
  <c r="D729" i="22"/>
  <c r="J729" i="22"/>
  <c r="N729" i="22" s="1"/>
  <c r="U729" i="22" s="1"/>
  <c r="P729" i="22"/>
  <c r="Q729" i="22"/>
  <c r="R729" i="22"/>
  <c r="L730" i="22"/>
  <c r="C730" i="22"/>
  <c r="K730" i="22" s="1"/>
  <c r="E730" i="22"/>
  <c r="F730" i="22"/>
  <c r="O730" i="22" s="1"/>
  <c r="G730" i="22"/>
  <c r="I730" i="22"/>
  <c r="B731" i="22"/>
  <c r="D675" i="22"/>
  <c r="J675" i="22"/>
  <c r="N675" i="22" s="1"/>
  <c r="U675" i="22" s="1"/>
  <c r="P675" i="22"/>
  <c r="Q675" i="22"/>
  <c r="R675" i="22"/>
  <c r="L676" i="22"/>
  <c r="C676" i="22"/>
  <c r="K676" i="22" s="1"/>
  <c r="E676" i="22"/>
  <c r="F676" i="22"/>
  <c r="O676" i="22" s="1"/>
  <c r="G676" i="22"/>
  <c r="I676" i="22"/>
  <c r="B677" i="22"/>
  <c r="D621" i="22"/>
  <c r="J621" i="22"/>
  <c r="N621" i="22" s="1"/>
  <c r="U621" i="22" s="1"/>
  <c r="P621" i="22"/>
  <c r="Q621" i="22"/>
  <c r="R621" i="22"/>
  <c r="L622" i="22"/>
  <c r="C622" i="22"/>
  <c r="E622" i="22"/>
  <c r="G622" i="22"/>
  <c r="I622" i="22"/>
  <c r="B623" i="22"/>
  <c r="D567" i="22"/>
  <c r="J567" i="22"/>
  <c r="N567" i="22" s="1"/>
  <c r="U567" i="22" s="1"/>
  <c r="P567" i="22"/>
  <c r="Q567" i="22"/>
  <c r="R567" i="22"/>
  <c r="L568" i="22"/>
  <c r="C568" i="22"/>
  <c r="E568" i="22"/>
  <c r="G568" i="22"/>
  <c r="I568" i="22"/>
  <c r="B569" i="22"/>
  <c r="D513" i="22"/>
  <c r="J513" i="22"/>
  <c r="N513" i="22" s="1"/>
  <c r="U513" i="22" s="1"/>
  <c r="P513" i="22"/>
  <c r="Q513" i="22"/>
  <c r="R513" i="22"/>
  <c r="L514" i="22"/>
  <c r="C514" i="22"/>
  <c r="K514" i="22" s="1"/>
  <c r="E514" i="22"/>
  <c r="F514" i="22"/>
  <c r="O514" i="22" s="1"/>
  <c r="G514" i="22"/>
  <c r="I514" i="22"/>
  <c r="B515" i="22"/>
  <c r="N458" i="22"/>
  <c r="U458" i="22" s="1"/>
  <c r="M458" i="22"/>
  <c r="M459" i="22"/>
  <c r="D459" i="22"/>
  <c r="J459" i="22"/>
  <c r="N459" i="22" s="1"/>
  <c r="U459" i="22" s="1"/>
  <c r="P459" i="22"/>
  <c r="Q459" i="22"/>
  <c r="R459" i="22"/>
  <c r="L460" i="22"/>
  <c r="C460" i="22"/>
  <c r="E460" i="22"/>
  <c r="G460" i="22"/>
  <c r="I460" i="22"/>
  <c r="B461" i="22"/>
  <c r="D405" i="22"/>
  <c r="J405" i="22"/>
  <c r="P405" i="22"/>
  <c r="Q405" i="22"/>
  <c r="R405" i="22"/>
  <c r="L406" i="22"/>
  <c r="C406" i="22"/>
  <c r="E406" i="22"/>
  <c r="G406" i="22"/>
  <c r="I406" i="22"/>
  <c r="B407" i="22"/>
  <c r="D351" i="22"/>
  <c r="J351" i="22"/>
  <c r="P351" i="22"/>
  <c r="Q351" i="22"/>
  <c r="R351" i="22"/>
  <c r="L352" i="22"/>
  <c r="C352" i="22"/>
  <c r="E352" i="22"/>
  <c r="G352" i="22"/>
  <c r="I352" i="22"/>
  <c r="B353" i="22"/>
  <c r="D297" i="22"/>
  <c r="J297" i="22"/>
  <c r="N297" i="22" s="1"/>
  <c r="U297" i="22" s="1"/>
  <c r="P297" i="22"/>
  <c r="Q297" i="22"/>
  <c r="R297" i="22"/>
  <c r="L298" i="22"/>
  <c r="C298" i="22"/>
  <c r="K298" i="22" s="1"/>
  <c r="E298" i="22"/>
  <c r="F298" i="22"/>
  <c r="O298" i="22" s="1"/>
  <c r="G298" i="22"/>
  <c r="I298" i="22"/>
  <c r="B299" i="22"/>
  <c r="N242" i="22"/>
  <c r="U242" i="22" s="1"/>
  <c r="M242" i="22"/>
  <c r="D243" i="22"/>
  <c r="J243" i="22"/>
  <c r="P243" i="22"/>
  <c r="Q243" i="22"/>
  <c r="R243" i="22"/>
  <c r="L244" i="22"/>
  <c r="C244" i="22"/>
  <c r="K244" i="22" s="1"/>
  <c r="E244" i="22"/>
  <c r="F244" i="22"/>
  <c r="O244" i="22" s="1"/>
  <c r="G244" i="22"/>
  <c r="I244" i="22"/>
  <c r="B245" i="22"/>
  <c r="N188" i="22"/>
  <c r="U188" i="22" s="1"/>
  <c r="M188" i="22"/>
  <c r="D189" i="22"/>
  <c r="J189" i="22"/>
  <c r="P189" i="22"/>
  <c r="Q189" i="22"/>
  <c r="R189" i="22"/>
  <c r="L190" i="22"/>
  <c r="C190" i="22"/>
  <c r="E190" i="22"/>
  <c r="G190" i="22"/>
  <c r="B191" i="22"/>
  <c r="I190" i="22"/>
  <c r="M135" i="22"/>
  <c r="D135" i="22"/>
  <c r="J135" i="22"/>
  <c r="N135" i="22" s="1"/>
  <c r="U135" i="22" s="1"/>
  <c r="P135" i="22"/>
  <c r="Q135" i="22"/>
  <c r="R135" i="22"/>
  <c r="L136" i="22"/>
  <c r="C136" i="22"/>
  <c r="K136" i="22" s="1"/>
  <c r="E136" i="22"/>
  <c r="F136" i="22"/>
  <c r="O136" i="22" s="1"/>
  <c r="G136" i="22"/>
  <c r="I136" i="22"/>
  <c r="B137" i="22"/>
  <c r="D81" i="22"/>
  <c r="J81" i="22"/>
  <c r="N81" i="22" s="1"/>
  <c r="U81" i="22" s="1"/>
  <c r="P81" i="22"/>
  <c r="Q81" i="22"/>
  <c r="R81" i="22"/>
  <c r="L82" i="22"/>
  <c r="C82" i="22"/>
  <c r="E82" i="22"/>
  <c r="G82" i="22"/>
  <c r="I82" i="22"/>
  <c r="B83" i="22"/>
  <c r="J810" i="23"/>
  <c r="I812" i="23"/>
  <c r="J811" i="23"/>
  <c r="I811" i="23"/>
  <c r="I810" i="23"/>
  <c r="C807" i="23"/>
  <c r="W807" i="23"/>
  <c r="K810" i="23"/>
  <c r="L810" i="23"/>
  <c r="K811" i="23"/>
  <c r="L811" i="23"/>
  <c r="K812" i="23"/>
  <c r="L812" i="23"/>
  <c r="K813" i="23"/>
  <c r="L813" i="23"/>
  <c r="L814" i="23"/>
  <c r="N807" i="23"/>
  <c r="H810" i="23"/>
  <c r="AO18" i="6"/>
  <c r="B18" i="6"/>
  <c r="C18" i="6"/>
  <c r="D18" i="6"/>
  <c r="E18" i="6"/>
  <c r="R18" i="6"/>
  <c r="S18" i="6"/>
  <c r="T18" i="6"/>
  <c r="W18" i="6"/>
  <c r="Z18" i="6"/>
  <c r="AC18" i="6"/>
  <c r="AG18" i="6"/>
  <c r="AH18" i="6"/>
  <c r="AI18" i="6"/>
  <c r="I868" i="23"/>
  <c r="J867" i="23"/>
  <c r="I867" i="23"/>
  <c r="J866" i="23"/>
  <c r="I866" i="23"/>
  <c r="C863" i="23"/>
  <c r="W863" i="23"/>
  <c r="K866" i="23"/>
  <c r="L866" i="23"/>
  <c r="K867" i="23"/>
  <c r="L867" i="23"/>
  <c r="K868" i="23"/>
  <c r="L868" i="23"/>
  <c r="K869" i="23"/>
  <c r="L869" i="23"/>
  <c r="L870" i="23"/>
  <c r="N863" i="23"/>
  <c r="H866" i="23"/>
  <c r="H867" i="23"/>
  <c r="H868" i="23"/>
  <c r="H869" i="23"/>
  <c r="H870" i="23"/>
  <c r="H871" i="23"/>
  <c r="H872" i="23"/>
  <c r="H873" i="23"/>
  <c r="H874" i="23"/>
  <c r="H875" i="23"/>
  <c r="H876" i="23"/>
  <c r="H877" i="23"/>
  <c r="H878" i="23"/>
  <c r="H879" i="23"/>
  <c r="H880" i="23"/>
  <c r="H881" i="23"/>
  <c r="H882" i="23"/>
  <c r="H883" i="23"/>
  <c r="H884" i="23"/>
  <c r="H885" i="23"/>
  <c r="H886" i="23"/>
  <c r="H887" i="23"/>
  <c r="H888" i="23"/>
  <c r="H889" i="23"/>
  <c r="AO19" i="6"/>
  <c r="B19" i="6"/>
  <c r="C19" i="6"/>
  <c r="D19" i="6"/>
  <c r="E19" i="6"/>
  <c r="R19" i="6"/>
  <c r="S19" i="6"/>
  <c r="T19" i="6"/>
  <c r="W19" i="6"/>
  <c r="Z19" i="6"/>
  <c r="AC19" i="6"/>
  <c r="AG19" i="6"/>
  <c r="AH19" i="6"/>
  <c r="AI19" i="6"/>
  <c r="I924" i="23"/>
  <c r="J923" i="23"/>
  <c r="I923" i="23"/>
  <c r="J922" i="23"/>
  <c r="I922" i="23"/>
  <c r="C919" i="23"/>
  <c r="W919" i="23"/>
  <c r="K922" i="23"/>
  <c r="L922" i="23"/>
  <c r="K923" i="23"/>
  <c r="L923" i="23"/>
  <c r="K924" i="23"/>
  <c r="L924" i="23"/>
  <c r="L925" i="23"/>
  <c r="N919" i="23"/>
  <c r="H922" i="23"/>
  <c r="H923" i="23"/>
  <c r="H924" i="23"/>
  <c r="H925" i="23"/>
  <c r="H926" i="23"/>
  <c r="H927" i="23"/>
  <c r="H928" i="23"/>
  <c r="H929" i="23"/>
  <c r="H930" i="23"/>
  <c r="H931" i="23"/>
  <c r="H932" i="23"/>
  <c r="H933" i="23"/>
  <c r="H934" i="23"/>
  <c r="H935" i="23"/>
  <c r="H936" i="23"/>
  <c r="H937" i="23"/>
  <c r="H938" i="23"/>
  <c r="H939" i="23"/>
  <c r="H940" i="23"/>
  <c r="H941" i="23"/>
  <c r="H942" i="23"/>
  <c r="H943" i="23"/>
  <c r="H944" i="23"/>
  <c r="H945" i="23"/>
  <c r="H946" i="23"/>
  <c r="H947" i="23"/>
  <c r="H948" i="23"/>
  <c r="H949" i="23"/>
  <c r="H950" i="23"/>
  <c r="H951" i="23"/>
  <c r="H952" i="23"/>
  <c r="H953" i="23"/>
  <c r="H954" i="23"/>
  <c r="H955" i="23"/>
  <c r="H956" i="23"/>
  <c r="H957" i="23"/>
  <c r="H958" i="23"/>
  <c r="H959" i="23"/>
  <c r="H960" i="23"/>
  <c r="H961" i="23"/>
  <c r="H962" i="23"/>
  <c r="H963" i="23"/>
  <c r="H964" i="23"/>
  <c r="H965" i="23"/>
  <c r="H966" i="23"/>
  <c r="H967" i="23"/>
  <c r="AO20" i="6"/>
  <c r="B20" i="6"/>
  <c r="C20" i="6"/>
  <c r="D20" i="6"/>
  <c r="E20" i="6"/>
  <c r="R20" i="6"/>
  <c r="S20" i="6"/>
  <c r="T20" i="6"/>
  <c r="W20" i="6"/>
  <c r="Z20" i="6"/>
  <c r="AC20" i="6"/>
  <c r="AG20" i="6"/>
  <c r="AH20" i="6"/>
  <c r="AI20" i="6"/>
  <c r="I979" i="23"/>
  <c r="I980" i="23"/>
  <c r="J978" i="23"/>
  <c r="I978" i="23"/>
  <c r="J979" i="23"/>
  <c r="C975" i="23"/>
  <c r="W975" i="23"/>
  <c r="K978" i="23"/>
  <c r="L978" i="23"/>
  <c r="K979" i="23"/>
  <c r="L979" i="23"/>
  <c r="K980" i="23"/>
  <c r="L980" i="23"/>
  <c r="K981" i="23"/>
  <c r="L981" i="23"/>
  <c r="L982" i="23"/>
  <c r="N975" i="23"/>
  <c r="H978" i="23"/>
  <c r="H979" i="23"/>
  <c r="H980" i="23"/>
  <c r="H981" i="23"/>
  <c r="H982" i="23"/>
  <c r="H983" i="23"/>
  <c r="H984" i="23"/>
  <c r="H985" i="23"/>
  <c r="H986" i="23"/>
  <c r="H987" i="23"/>
  <c r="H988" i="23"/>
  <c r="H989" i="23"/>
  <c r="H990" i="23"/>
  <c r="H991" i="23"/>
  <c r="H992" i="23"/>
  <c r="H993" i="23"/>
  <c r="AO21" i="6"/>
  <c r="B21" i="6"/>
  <c r="C21" i="6"/>
  <c r="D21" i="6"/>
  <c r="E21" i="6"/>
  <c r="R21" i="6"/>
  <c r="S21" i="6"/>
  <c r="T21" i="6"/>
  <c r="W21" i="6"/>
  <c r="Z21" i="6"/>
  <c r="AC21" i="6"/>
  <c r="AG21" i="6"/>
  <c r="AH21" i="6"/>
  <c r="AI21" i="6"/>
  <c r="J1034" i="23"/>
  <c r="I1036" i="23"/>
  <c r="I1034" i="23"/>
  <c r="J1035" i="23"/>
  <c r="I1035" i="23"/>
  <c r="L1035" i="23"/>
  <c r="L1037" i="23"/>
  <c r="K1035" i="23"/>
  <c r="L1036" i="23"/>
  <c r="C1031" i="23"/>
  <c r="W1031" i="23"/>
  <c r="L1034" i="23"/>
  <c r="K1034" i="23"/>
  <c r="K1036" i="23"/>
  <c r="N1031" i="23"/>
  <c r="H1034" i="23"/>
  <c r="H1038" i="23"/>
  <c r="H1045" i="23"/>
  <c r="H1056" i="23"/>
  <c r="H1057" i="23"/>
  <c r="H1058" i="23"/>
  <c r="H1059" i="23"/>
  <c r="H1060" i="23"/>
  <c r="H1061" i="23"/>
  <c r="H1062" i="23"/>
  <c r="H1063" i="23"/>
  <c r="H1064" i="23"/>
  <c r="H1065" i="23"/>
  <c r="H1066" i="23"/>
  <c r="H1067" i="23"/>
  <c r="H1068" i="23"/>
  <c r="H1069" i="23"/>
  <c r="H1070" i="23"/>
  <c r="H1071" i="23"/>
  <c r="H1072" i="23"/>
  <c r="H1073" i="23"/>
  <c r="H1074" i="23"/>
  <c r="H1075" i="23"/>
  <c r="H1076" i="23"/>
  <c r="H1077" i="23"/>
  <c r="H1078" i="23"/>
  <c r="H1079" i="23"/>
  <c r="H1080" i="23"/>
  <c r="H1081" i="23"/>
  <c r="AO22" i="6"/>
  <c r="B22" i="6"/>
  <c r="C22" i="6"/>
  <c r="D22" i="6"/>
  <c r="E22" i="6"/>
  <c r="R22" i="6"/>
  <c r="S22" i="6"/>
  <c r="T22" i="6"/>
  <c r="W22" i="6"/>
  <c r="Z22" i="6"/>
  <c r="AC22" i="6"/>
  <c r="AG22" i="6"/>
  <c r="AH22" i="6"/>
  <c r="AI22" i="6"/>
  <c r="J1090" i="23"/>
  <c r="J1091" i="23"/>
  <c r="I1090" i="23"/>
  <c r="I1092" i="23"/>
  <c r="I1091" i="23"/>
  <c r="C1087" i="23"/>
  <c r="W1087" i="23"/>
  <c r="K1090" i="23"/>
  <c r="L1090" i="23"/>
  <c r="K1091" i="23"/>
  <c r="L1091" i="23"/>
  <c r="K1092" i="23"/>
  <c r="L1092" i="23"/>
  <c r="K1093" i="23"/>
  <c r="L1093" i="23"/>
  <c r="L1094" i="23"/>
  <c r="N1087" i="23"/>
  <c r="H1093" i="23"/>
  <c r="H1094" i="23"/>
  <c r="H1095" i="23"/>
  <c r="H1096" i="23"/>
  <c r="H1097" i="23"/>
  <c r="AO23" i="6"/>
  <c r="B23" i="6"/>
  <c r="R23" i="6"/>
  <c r="S23" i="6"/>
  <c r="T23" i="6"/>
  <c r="W23" i="6"/>
  <c r="Z23" i="6"/>
  <c r="AC23" i="6"/>
  <c r="AG23" i="6"/>
  <c r="AH23" i="6"/>
  <c r="AI23" i="6"/>
  <c r="I1147" i="23"/>
  <c r="J1147" i="23"/>
  <c r="I1146" i="23"/>
  <c r="J1146" i="23"/>
  <c r="I1148" i="23"/>
  <c r="C1143" i="23"/>
  <c r="W1143" i="23"/>
  <c r="K1146" i="23"/>
  <c r="L1146" i="23"/>
  <c r="K1147" i="23"/>
  <c r="L1147" i="23"/>
  <c r="K1148" i="23"/>
  <c r="L1148" i="23"/>
  <c r="L1149" i="23"/>
  <c r="N1143" i="23"/>
  <c r="H1146" i="23"/>
  <c r="H1147" i="23"/>
  <c r="AO24" i="6"/>
  <c r="B24" i="6"/>
  <c r="C24" i="6"/>
  <c r="D24" i="6"/>
  <c r="E24" i="6"/>
  <c r="R24" i="6"/>
  <c r="S24" i="6"/>
  <c r="T24" i="6"/>
  <c r="W24" i="6"/>
  <c r="Z24" i="6"/>
  <c r="AC24" i="6"/>
  <c r="AG24" i="6"/>
  <c r="AH24" i="6"/>
  <c r="AI24" i="6"/>
  <c r="I1204" i="23"/>
  <c r="J1203" i="23"/>
  <c r="I1203" i="23"/>
  <c r="J1202" i="23"/>
  <c r="I1202" i="23"/>
  <c r="C1199" i="23"/>
  <c r="W1199" i="23"/>
  <c r="K1202" i="23"/>
  <c r="L1202" i="23"/>
  <c r="K1203" i="23"/>
  <c r="L1203" i="23"/>
  <c r="K1204" i="23"/>
  <c r="L1204" i="23"/>
  <c r="K1205" i="23"/>
  <c r="L1205" i="23"/>
  <c r="L1206" i="23"/>
  <c r="N1199" i="23"/>
  <c r="AO25" i="6"/>
  <c r="B25" i="6"/>
  <c r="C25" i="6"/>
  <c r="D25" i="6"/>
  <c r="E25" i="6"/>
  <c r="R25" i="6"/>
  <c r="S25" i="6"/>
  <c r="T25" i="6"/>
  <c r="W25" i="6"/>
  <c r="Z25" i="6"/>
  <c r="AC25" i="6"/>
  <c r="AG25" i="6"/>
  <c r="AH25" i="6"/>
  <c r="AI25" i="6"/>
  <c r="I1260" i="23"/>
  <c r="J1259" i="23"/>
  <c r="I1259" i="23"/>
  <c r="J1258" i="23"/>
  <c r="I1258" i="23"/>
  <c r="C1255" i="23"/>
  <c r="W1255" i="23"/>
  <c r="K1258" i="23"/>
  <c r="L1258" i="23"/>
  <c r="K1259" i="23"/>
  <c r="L1259" i="23"/>
  <c r="K1260" i="23"/>
  <c r="L1260" i="23"/>
  <c r="L1261" i="23"/>
  <c r="N1255" i="23"/>
  <c r="H1258" i="23"/>
  <c r="H1259" i="23"/>
  <c r="H1260" i="23"/>
  <c r="H1261" i="23"/>
  <c r="H1262" i="23"/>
  <c r="H1263" i="23"/>
  <c r="H1264" i="23"/>
  <c r="H1265" i="23"/>
  <c r="H1266" i="23"/>
  <c r="H1267" i="23"/>
  <c r="H1268" i="23"/>
  <c r="H1269" i="23"/>
  <c r="H1270" i="23"/>
  <c r="H1271" i="23"/>
  <c r="H1272" i="23"/>
  <c r="H1273" i="23"/>
  <c r="H1274" i="23"/>
  <c r="H1275" i="23"/>
  <c r="H1276" i="23"/>
  <c r="H1277" i="23"/>
  <c r="H1278" i="23"/>
  <c r="H1279" i="23"/>
  <c r="H1280" i="23"/>
  <c r="H1281" i="23"/>
  <c r="H1282" i="23"/>
  <c r="H1283" i="23"/>
  <c r="H1284" i="23"/>
  <c r="H1285" i="23"/>
  <c r="H1286" i="23"/>
  <c r="H1287" i="23"/>
  <c r="H1288" i="23"/>
  <c r="H1289" i="23"/>
  <c r="H1290" i="23"/>
  <c r="H1291" i="23"/>
  <c r="H1292" i="23"/>
  <c r="H1293" i="23"/>
  <c r="H1294" i="23"/>
  <c r="H1295" i="23"/>
  <c r="H1296" i="23"/>
  <c r="H1297" i="23"/>
  <c r="H1298" i="23"/>
  <c r="H1299" i="23"/>
  <c r="H1300" i="23"/>
  <c r="H1301" i="23"/>
  <c r="H1302" i="23"/>
  <c r="H1303" i="23"/>
  <c r="H1304" i="23"/>
  <c r="H1305" i="23"/>
  <c r="AO26" i="6"/>
  <c r="B26" i="6"/>
  <c r="C26" i="6"/>
  <c r="D26" i="6"/>
  <c r="E26" i="6"/>
  <c r="R26" i="6"/>
  <c r="S26" i="6"/>
  <c r="T26" i="6"/>
  <c r="W26" i="6"/>
  <c r="Z26" i="6"/>
  <c r="AC26" i="6"/>
  <c r="AG26" i="6"/>
  <c r="AH26" i="6"/>
  <c r="AI26" i="6"/>
  <c r="I1540" i="23"/>
  <c r="J1539" i="23"/>
  <c r="I1539" i="23"/>
  <c r="J1538" i="23"/>
  <c r="I1538" i="23"/>
  <c r="C1535" i="23"/>
  <c r="W1535" i="23"/>
  <c r="K1538" i="23"/>
  <c r="L1538" i="23"/>
  <c r="K1539" i="23"/>
  <c r="L1539" i="23"/>
  <c r="K1540" i="23"/>
  <c r="L1540" i="23"/>
  <c r="L1541" i="23"/>
  <c r="N1535" i="23"/>
  <c r="H1538" i="23"/>
  <c r="H1539" i="23"/>
  <c r="H1540" i="23"/>
  <c r="H1541" i="23"/>
  <c r="H1542" i="23"/>
  <c r="H1543" i="23"/>
  <c r="H1544" i="23"/>
  <c r="H1545" i="23"/>
  <c r="H1546" i="23"/>
  <c r="H1547" i="23"/>
  <c r="H1548" i="23"/>
  <c r="H1549" i="23"/>
  <c r="H1550" i="23"/>
  <c r="H1551" i="23"/>
  <c r="H1552" i="23"/>
  <c r="H1553" i="23"/>
  <c r="H1554" i="23"/>
  <c r="H1555" i="23"/>
  <c r="H1556" i="23"/>
  <c r="H1557" i="23"/>
  <c r="H1558" i="23"/>
  <c r="H1559" i="23"/>
  <c r="H1560" i="23"/>
  <c r="H1561" i="23"/>
  <c r="H1562" i="23"/>
  <c r="H1563" i="23"/>
  <c r="H1564" i="23"/>
  <c r="H1565" i="23"/>
  <c r="H1566" i="23"/>
  <c r="H1567" i="23"/>
  <c r="H1568" i="23"/>
  <c r="H1569" i="23"/>
  <c r="H1570" i="23"/>
  <c r="H1571" i="23"/>
  <c r="H1572" i="23"/>
  <c r="H1573" i="23"/>
  <c r="H1574" i="23"/>
  <c r="H1575" i="23"/>
  <c r="H1576" i="23"/>
  <c r="H1577" i="23"/>
  <c r="H1578" i="23"/>
  <c r="H1579" i="23"/>
  <c r="H1580" i="23"/>
  <c r="H1581" i="23"/>
  <c r="H1582" i="23"/>
  <c r="H1583" i="23"/>
  <c r="H1584" i="23"/>
  <c r="H1585" i="23"/>
  <c r="AO31" i="6"/>
  <c r="B31" i="6"/>
  <c r="C31" i="6"/>
  <c r="D31" i="6"/>
  <c r="E31" i="6"/>
  <c r="R31" i="6"/>
  <c r="S31" i="6"/>
  <c r="T31" i="6"/>
  <c r="U31" i="6"/>
  <c r="V31" i="6"/>
  <c r="W31" i="6"/>
  <c r="X31" i="6"/>
  <c r="Y31" i="6"/>
  <c r="Z31" i="6"/>
  <c r="AA31" i="6"/>
  <c r="AB31" i="6"/>
  <c r="AC31" i="6"/>
  <c r="AD31" i="6"/>
  <c r="AE31" i="6"/>
  <c r="AF31" i="6"/>
  <c r="AG31" i="6"/>
  <c r="AH31" i="6"/>
  <c r="AI31" i="6"/>
  <c r="J1483" i="23"/>
  <c r="I1483" i="23"/>
  <c r="I1482" i="23"/>
  <c r="I1484" i="23"/>
  <c r="J1482" i="23"/>
  <c r="C1479" i="23"/>
  <c r="W1479" i="23"/>
  <c r="K1482" i="23"/>
  <c r="L1482" i="23"/>
  <c r="K1483" i="23"/>
  <c r="L1483" i="23"/>
  <c r="K1484" i="23"/>
  <c r="L1484" i="23"/>
  <c r="K1485" i="23"/>
  <c r="L1485" i="23"/>
  <c r="L1486" i="23"/>
  <c r="N1479" i="23"/>
  <c r="H1482" i="23"/>
  <c r="H1483" i="23"/>
  <c r="H1484" i="23"/>
  <c r="H1485" i="23"/>
  <c r="H1486" i="23"/>
  <c r="H1487" i="23"/>
  <c r="H1488" i="23"/>
  <c r="H1489" i="23"/>
  <c r="H1490" i="23"/>
  <c r="H1491" i="23"/>
  <c r="H1492" i="23"/>
  <c r="H1493" i="23"/>
  <c r="H1494" i="23"/>
  <c r="H1495" i="23"/>
  <c r="H1496" i="23"/>
  <c r="H1497" i="23"/>
  <c r="H1498" i="23"/>
  <c r="H1499" i="23"/>
  <c r="H1500" i="23"/>
  <c r="H1501" i="23"/>
  <c r="H1502" i="23"/>
  <c r="H1503" i="23"/>
  <c r="H1504" i="23"/>
  <c r="H1505" i="23"/>
  <c r="H1506" i="23"/>
  <c r="H1507" i="23"/>
  <c r="H1508" i="23"/>
  <c r="H1509" i="23"/>
  <c r="H1510" i="23"/>
  <c r="H1511" i="23"/>
  <c r="H1512" i="23"/>
  <c r="H1513" i="23"/>
  <c r="H1514" i="23"/>
  <c r="H1515" i="23"/>
  <c r="H1516" i="23"/>
  <c r="H1517" i="23"/>
  <c r="H1518" i="23"/>
  <c r="H1519" i="23"/>
  <c r="H1520" i="23"/>
  <c r="H1521" i="23"/>
  <c r="H1522" i="23"/>
  <c r="H1523" i="23"/>
  <c r="H1524" i="23"/>
  <c r="H1525" i="23"/>
  <c r="H1526" i="23"/>
  <c r="H1527" i="23"/>
  <c r="H1528" i="23"/>
  <c r="H1529" i="23"/>
  <c r="AO30" i="6"/>
  <c r="B30" i="6"/>
  <c r="C30" i="6"/>
  <c r="D30" i="6"/>
  <c r="E30" i="6"/>
  <c r="R30" i="6"/>
  <c r="S30" i="6"/>
  <c r="T30" i="6"/>
  <c r="U30" i="6"/>
  <c r="V30" i="6"/>
  <c r="W30" i="6"/>
  <c r="X30" i="6"/>
  <c r="Y30" i="6"/>
  <c r="Z30" i="6"/>
  <c r="AA30" i="6"/>
  <c r="AB30" i="6"/>
  <c r="AC30" i="6"/>
  <c r="AD30" i="6"/>
  <c r="AE30" i="6"/>
  <c r="AF30" i="6"/>
  <c r="AG30" i="6"/>
  <c r="AH30" i="6"/>
  <c r="AI30" i="6"/>
  <c r="I1426" i="23"/>
  <c r="J1426" i="23"/>
  <c r="I1427" i="23"/>
  <c r="I1428" i="23"/>
  <c r="J1427" i="23"/>
  <c r="C1423" i="23"/>
  <c r="W1423" i="23"/>
  <c r="K1426" i="23"/>
  <c r="L1426" i="23"/>
  <c r="K1427" i="23"/>
  <c r="L1427" i="23"/>
  <c r="K1428" i="23"/>
  <c r="L1428" i="23"/>
  <c r="L1429" i="23"/>
  <c r="N1423" i="23"/>
  <c r="H1426" i="23"/>
  <c r="H1427" i="23"/>
  <c r="H1428" i="23"/>
  <c r="H1429" i="23"/>
  <c r="H1430" i="23"/>
  <c r="H1431" i="23"/>
  <c r="H1432" i="23"/>
  <c r="H1433" i="23"/>
  <c r="H1434" i="23"/>
  <c r="H1435" i="23"/>
  <c r="H1436" i="23"/>
  <c r="H1437" i="23"/>
  <c r="H1438" i="23"/>
  <c r="H1439" i="23"/>
  <c r="H1440" i="23"/>
  <c r="H1441" i="23"/>
  <c r="H1442" i="23"/>
  <c r="H1443" i="23"/>
  <c r="H1444" i="23"/>
  <c r="H1445" i="23"/>
  <c r="H1446" i="23"/>
  <c r="H1447" i="23"/>
  <c r="H1448" i="23"/>
  <c r="H1449" i="23"/>
  <c r="H1450" i="23"/>
  <c r="H1451" i="23"/>
  <c r="H1452" i="23"/>
  <c r="H1453" i="23"/>
  <c r="H1454" i="23"/>
  <c r="H1455" i="23"/>
  <c r="H1456" i="23"/>
  <c r="H1457" i="23"/>
  <c r="H1458" i="23"/>
  <c r="H1459" i="23"/>
  <c r="H1460" i="23"/>
  <c r="H1461" i="23"/>
  <c r="H1462" i="23"/>
  <c r="H1463" i="23"/>
  <c r="H1464" i="23"/>
  <c r="H1465" i="23"/>
  <c r="H1466" i="23"/>
  <c r="H1467" i="23"/>
  <c r="H1468" i="23"/>
  <c r="H1469" i="23"/>
  <c r="H1470" i="23"/>
  <c r="H1471" i="23"/>
  <c r="H1472" i="23"/>
  <c r="H1473" i="23"/>
  <c r="AO29" i="6"/>
  <c r="B29" i="6"/>
  <c r="C29" i="6"/>
  <c r="D29" i="6"/>
  <c r="E29" i="6"/>
  <c r="R29" i="6"/>
  <c r="S29" i="6"/>
  <c r="T29" i="6"/>
  <c r="U29" i="6"/>
  <c r="V29" i="6"/>
  <c r="W29" i="6"/>
  <c r="X29" i="6"/>
  <c r="Y29" i="6"/>
  <c r="Z29" i="6"/>
  <c r="AA29" i="6"/>
  <c r="AB29" i="6"/>
  <c r="AC29" i="6"/>
  <c r="AD29" i="6"/>
  <c r="AE29" i="6"/>
  <c r="AF29" i="6"/>
  <c r="AG29" i="6"/>
  <c r="AH29" i="6"/>
  <c r="AI29" i="6"/>
  <c r="J1371" i="23"/>
  <c r="I1370" i="23"/>
  <c r="I1372" i="23"/>
  <c r="I1371" i="23"/>
  <c r="J1370" i="23"/>
  <c r="W1367" i="23"/>
  <c r="L1370" i="23"/>
  <c r="K1371" i="23"/>
  <c r="L1372" i="23"/>
  <c r="L1373" i="23"/>
  <c r="C1367" i="23"/>
  <c r="K1370" i="23"/>
  <c r="L1371" i="23"/>
  <c r="K1372" i="23"/>
  <c r="K1373" i="23"/>
  <c r="L1374" i="23"/>
  <c r="N1367" i="23"/>
  <c r="H1372" i="23"/>
  <c r="H1375" i="23"/>
  <c r="H1380" i="23"/>
  <c r="H1386" i="23"/>
  <c r="H1388" i="23"/>
  <c r="H1390" i="23"/>
  <c r="H1391" i="23"/>
  <c r="H1370" i="23"/>
  <c r="H1371" i="23"/>
  <c r="H1373" i="23"/>
  <c r="H1374" i="23"/>
  <c r="H1376" i="23"/>
  <c r="H1377" i="23"/>
  <c r="H1378" i="23"/>
  <c r="H1379" i="23"/>
  <c r="H1381" i="23"/>
  <c r="H1382" i="23"/>
  <c r="H1383" i="23"/>
  <c r="H1384" i="23"/>
  <c r="H1385" i="23"/>
  <c r="H1387" i="23"/>
  <c r="H1389" i="23"/>
  <c r="H1392" i="23"/>
  <c r="H1393" i="23"/>
  <c r="H1394" i="23"/>
  <c r="H1395" i="23"/>
  <c r="H1396" i="23"/>
  <c r="H1397" i="23"/>
  <c r="H1398" i="23"/>
  <c r="H1399" i="23"/>
  <c r="H1400" i="23"/>
  <c r="H1401" i="23"/>
  <c r="H1402" i="23"/>
  <c r="H1403" i="23"/>
  <c r="H1404" i="23"/>
  <c r="H1405" i="23"/>
  <c r="H1406" i="23"/>
  <c r="H1407" i="23"/>
  <c r="H1408" i="23"/>
  <c r="H1409" i="23"/>
  <c r="H1410" i="23"/>
  <c r="H1411" i="23"/>
  <c r="H1412" i="23"/>
  <c r="H1413" i="23"/>
  <c r="H1414" i="23"/>
  <c r="H1415" i="23"/>
  <c r="H1416" i="23"/>
  <c r="H1417" i="23"/>
  <c r="AO28" i="6"/>
  <c r="B28" i="6"/>
  <c r="C28" i="6"/>
  <c r="D28" i="6"/>
  <c r="E28" i="6"/>
  <c r="R28" i="6"/>
  <c r="S28" i="6"/>
  <c r="T28" i="6"/>
  <c r="W28" i="6"/>
  <c r="Z28" i="6"/>
  <c r="AC28" i="6"/>
  <c r="AG28" i="6"/>
  <c r="AH28" i="6"/>
  <c r="AI28" i="6"/>
  <c r="I1314" i="23"/>
  <c r="J1314" i="23"/>
  <c r="I1316" i="23"/>
  <c r="J1315" i="23"/>
  <c r="I1315" i="23"/>
  <c r="C1311" i="23"/>
  <c r="W1311" i="23"/>
  <c r="K1314" i="23"/>
  <c r="L1314" i="23"/>
  <c r="K1315" i="23"/>
  <c r="L1315" i="23"/>
  <c r="K1316" i="23"/>
  <c r="L1316" i="23"/>
  <c r="K1317" i="23"/>
  <c r="L1317" i="23"/>
  <c r="L1318" i="23"/>
  <c r="N1311" i="23"/>
  <c r="H1314" i="23"/>
  <c r="H1315" i="23"/>
  <c r="AO27" i="6"/>
  <c r="B27" i="6"/>
  <c r="C27" i="6"/>
  <c r="D27" i="6"/>
  <c r="E27" i="6"/>
  <c r="R27" i="6"/>
  <c r="S27" i="6"/>
  <c r="T27" i="6"/>
  <c r="W27" i="6"/>
  <c r="Z27" i="6"/>
  <c r="AC27" i="6"/>
  <c r="AG27" i="6"/>
  <c r="AH27" i="6"/>
  <c r="AI27" i="6"/>
  <c r="I252" i="23"/>
  <c r="J251" i="23"/>
  <c r="I251" i="23"/>
  <c r="J250" i="23"/>
  <c r="I250" i="23"/>
  <c r="C247" i="23"/>
  <c r="W247" i="23"/>
  <c r="K250" i="23"/>
  <c r="L250" i="23"/>
  <c r="K251" i="23"/>
  <c r="L251" i="23"/>
  <c r="K252" i="23"/>
  <c r="L252" i="23"/>
  <c r="L253" i="23"/>
  <c r="N247" i="23"/>
  <c r="H250" i="23"/>
  <c r="H251" i="23"/>
  <c r="H252" i="23"/>
  <c r="H253" i="23"/>
  <c r="H254" i="23"/>
  <c r="H255" i="23"/>
  <c r="H256" i="23"/>
  <c r="H257" i="23"/>
  <c r="H258" i="23"/>
  <c r="H259" i="23"/>
  <c r="H260" i="23"/>
  <c r="H261" i="23"/>
  <c r="H262" i="23"/>
  <c r="H263" i="23"/>
  <c r="H264" i="23"/>
  <c r="H265" i="23"/>
  <c r="H266" i="23"/>
  <c r="H267" i="23"/>
  <c r="H268" i="23"/>
  <c r="H269" i="23"/>
  <c r="H270" i="23"/>
  <c r="H271" i="23"/>
  <c r="H272" i="23"/>
  <c r="H273" i="23"/>
  <c r="H274" i="23"/>
  <c r="H275" i="23"/>
  <c r="H276" i="23"/>
  <c r="H277" i="23"/>
  <c r="H278" i="23"/>
  <c r="H279" i="23"/>
  <c r="H280" i="23"/>
  <c r="H281" i="23"/>
  <c r="H282" i="23"/>
  <c r="H283" i="23"/>
  <c r="H284" i="23"/>
  <c r="H285" i="23"/>
  <c r="H286" i="23"/>
  <c r="H287" i="23"/>
  <c r="H288" i="23"/>
  <c r="H289" i="23"/>
  <c r="H290" i="23"/>
  <c r="H291" i="23"/>
  <c r="H292" i="23"/>
  <c r="H293" i="23"/>
  <c r="H294" i="23"/>
  <c r="H295" i="23"/>
  <c r="H296" i="23"/>
  <c r="H297" i="23"/>
  <c r="G1642" i="23"/>
  <c r="S1591" i="23"/>
  <c r="R1591" i="23"/>
  <c r="Q1591" i="23"/>
  <c r="P1591" i="23"/>
  <c r="T1591" i="23"/>
  <c r="AO8" i="6"/>
  <c r="B8" i="6"/>
  <c r="C8" i="6" s="1"/>
  <c r="D8" i="6"/>
  <c r="E8" i="6"/>
  <c r="R8" i="6"/>
  <c r="S8" i="6"/>
  <c r="T8" i="6"/>
  <c r="W8" i="6"/>
  <c r="Z8" i="6"/>
  <c r="AC8" i="6"/>
  <c r="AG8" i="6"/>
  <c r="AH8" i="6"/>
  <c r="AI8" i="6"/>
  <c r="I308" i="23"/>
  <c r="J307" i="23"/>
  <c r="I307" i="23"/>
  <c r="J306" i="23"/>
  <c r="I306" i="23"/>
  <c r="C303" i="23"/>
  <c r="W303" i="23"/>
  <c r="K306" i="23"/>
  <c r="L306" i="23"/>
  <c r="K307" i="23"/>
  <c r="L307" i="23"/>
  <c r="K308" i="23"/>
  <c r="L308" i="23"/>
  <c r="K309" i="23"/>
  <c r="L309" i="23"/>
  <c r="L310" i="23"/>
  <c r="N303" i="23"/>
  <c r="H306" i="23"/>
  <c r="H307" i="23"/>
  <c r="H308" i="23"/>
  <c r="H309" i="23"/>
  <c r="H310" i="23"/>
  <c r="H311" i="23"/>
  <c r="H312" i="23"/>
  <c r="H313" i="23"/>
  <c r="H314" i="23"/>
  <c r="H315" i="23"/>
  <c r="H316" i="23"/>
  <c r="H317" i="23"/>
  <c r="H318" i="23"/>
  <c r="H319" i="23"/>
  <c r="H320" i="23"/>
  <c r="H321" i="23"/>
  <c r="H322" i="23"/>
  <c r="AO9" i="6"/>
  <c r="B9" i="6"/>
  <c r="C9" i="6"/>
  <c r="D9" i="6"/>
  <c r="E9" i="6"/>
  <c r="R9" i="6"/>
  <c r="S9" i="6"/>
  <c r="T9" i="6"/>
  <c r="W9" i="6"/>
  <c r="Z9" i="6"/>
  <c r="AC9" i="6"/>
  <c r="AG9" i="6"/>
  <c r="AH9" i="6"/>
  <c r="AI9" i="6"/>
  <c r="I364" i="23"/>
  <c r="I363" i="23"/>
  <c r="J363" i="23"/>
  <c r="I362" i="23"/>
  <c r="J362" i="23"/>
  <c r="C359" i="23"/>
  <c r="W359" i="23"/>
  <c r="K362" i="23"/>
  <c r="L362" i="23"/>
  <c r="K363" i="23"/>
  <c r="L363" i="23"/>
  <c r="K364" i="23"/>
  <c r="L364" i="23"/>
  <c r="L365" i="23"/>
  <c r="N359" i="23"/>
  <c r="H362" i="23"/>
  <c r="H363" i="23"/>
  <c r="H364" i="23"/>
  <c r="H365" i="23"/>
  <c r="H366" i="23"/>
  <c r="H367" i="23"/>
  <c r="H368" i="23"/>
  <c r="H369" i="23"/>
  <c r="H370" i="23"/>
  <c r="H371" i="23"/>
  <c r="H372" i="23"/>
  <c r="H373" i="23"/>
  <c r="H374" i="23"/>
  <c r="H375" i="23"/>
  <c r="H376" i="23"/>
  <c r="H377" i="23"/>
  <c r="H378" i="23"/>
  <c r="H379" i="23"/>
  <c r="H380" i="23"/>
  <c r="H381" i="23"/>
  <c r="H382" i="23"/>
  <c r="H383" i="23"/>
  <c r="H384" i="23"/>
  <c r="H385" i="23"/>
  <c r="H386" i="23"/>
  <c r="H387" i="23"/>
  <c r="H388" i="23"/>
  <c r="H389" i="23"/>
  <c r="H390" i="23"/>
  <c r="H391" i="23"/>
  <c r="H392" i="23"/>
  <c r="H393" i="23"/>
  <c r="H394" i="23"/>
  <c r="H395" i="23"/>
  <c r="H396" i="23"/>
  <c r="H397" i="23"/>
  <c r="H398" i="23"/>
  <c r="H399" i="23"/>
  <c r="H400" i="23"/>
  <c r="H401" i="23"/>
  <c r="H402" i="23"/>
  <c r="H403" i="23"/>
  <c r="H404" i="23"/>
  <c r="H405" i="23"/>
  <c r="H406" i="23"/>
  <c r="H409" i="23"/>
  <c r="H407" i="23"/>
  <c r="H408" i="23"/>
  <c r="AO10" i="6"/>
  <c r="B10" i="6"/>
  <c r="C10" i="6"/>
  <c r="D10" i="6"/>
  <c r="E10" i="6"/>
  <c r="R10" i="6"/>
  <c r="S10" i="6"/>
  <c r="T10" i="6"/>
  <c r="W10" i="6"/>
  <c r="Z10" i="6"/>
  <c r="AC10" i="6"/>
  <c r="AG10" i="6"/>
  <c r="AH10" i="6"/>
  <c r="AI10" i="6"/>
  <c r="N415" i="23"/>
  <c r="H426" i="23"/>
  <c r="H427" i="23"/>
  <c r="H436" i="23"/>
  <c r="H437" i="23"/>
  <c r="H450" i="23"/>
  <c r="H419" i="23"/>
  <c r="H430" i="23"/>
  <c r="H432" i="23"/>
  <c r="H439" i="23"/>
  <c r="H444" i="23"/>
  <c r="H448" i="23"/>
  <c r="J419" i="23"/>
  <c r="J418" i="23"/>
  <c r="I420" i="23"/>
  <c r="I418" i="23"/>
  <c r="I419" i="23"/>
  <c r="K420" i="23"/>
  <c r="K419" i="23"/>
  <c r="C415" i="23"/>
  <c r="L421" i="23"/>
  <c r="L418" i="23"/>
  <c r="L419" i="23"/>
  <c r="L420" i="23"/>
  <c r="W415" i="23"/>
  <c r="K418" i="23"/>
  <c r="AO11" i="6"/>
  <c r="B11" i="6"/>
  <c r="C11" i="6"/>
  <c r="D11" i="6"/>
  <c r="E11" i="6"/>
  <c r="R11" i="6"/>
  <c r="S11" i="6"/>
  <c r="T11" i="6"/>
  <c r="W11" i="6"/>
  <c r="Z11" i="6"/>
  <c r="AC11" i="6"/>
  <c r="AG11" i="6"/>
  <c r="AH11" i="6"/>
  <c r="AI11" i="6"/>
  <c r="N471" i="23"/>
  <c r="H478" i="23"/>
  <c r="H481" i="23"/>
  <c r="H485" i="23"/>
  <c r="H474" i="23"/>
  <c r="H475" i="23"/>
  <c r="H476" i="23"/>
  <c r="H479" i="23"/>
  <c r="I476" i="23"/>
  <c r="I474" i="23"/>
  <c r="I475" i="23"/>
  <c r="J475" i="23"/>
  <c r="J474" i="23"/>
  <c r="K475" i="23"/>
  <c r="W471" i="23"/>
  <c r="K474" i="23"/>
  <c r="C471" i="23"/>
  <c r="K476" i="23"/>
  <c r="L474" i="23"/>
  <c r="L475" i="23"/>
  <c r="L476" i="23"/>
  <c r="L477" i="23"/>
  <c r="AO12" i="6"/>
  <c r="B12" i="6"/>
  <c r="C12" i="6"/>
  <c r="D12" i="6"/>
  <c r="E12" i="6"/>
  <c r="R12" i="6"/>
  <c r="S12" i="6"/>
  <c r="T12" i="6"/>
  <c r="W12" i="6"/>
  <c r="Z12" i="6"/>
  <c r="AC12" i="6"/>
  <c r="AG12" i="6"/>
  <c r="AH12" i="6"/>
  <c r="AI12" i="6"/>
  <c r="I532" i="23"/>
  <c r="J531" i="23"/>
  <c r="I531" i="23"/>
  <c r="J530" i="23"/>
  <c r="I530" i="23"/>
  <c r="C527" i="23"/>
  <c r="W527" i="23"/>
  <c r="K530" i="23"/>
  <c r="L530" i="23"/>
  <c r="K531" i="23"/>
  <c r="L531" i="23"/>
  <c r="K532" i="23"/>
  <c r="L532" i="23"/>
  <c r="K533" i="23"/>
  <c r="L533" i="23"/>
  <c r="L534" i="23"/>
  <c r="N527" i="23"/>
  <c r="H530" i="23"/>
  <c r="H531" i="23"/>
  <c r="H532" i="23"/>
  <c r="H533" i="23"/>
  <c r="H534" i="23"/>
  <c r="H535" i="23"/>
  <c r="H536" i="23"/>
  <c r="H537" i="23"/>
  <c r="H538" i="23"/>
  <c r="H539" i="23"/>
  <c r="H540" i="23"/>
  <c r="H541" i="23"/>
  <c r="H542" i="23"/>
  <c r="H543" i="23"/>
  <c r="H544" i="23"/>
  <c r="H545" i="23"/>
  <c r="H546" i="23"/>
  <c r="H547" i="23"/>
  <c r="H548" i="23"/>
  <c r="H549" i="23"/>
  <c r="H550" i="23"/>
  <c r="H551" i="23"/>
  <c r="H552" i="23"/>
  <c r="H553" i="23"/>
  <c r="H554" i="23"/>
  <c r="H555" i="23"/>
  <c r="H556" i="23"/>
  <c r="H557" i="23"/>
  <c r="H558" i="23"/>
  <c r="H559" i="23"/>
  <c r="H560" i="23"/>
  <c r="H561" i="23"/>
  <c r="H562" i="23"/>
  <c r="H563" i="23"/>
  <c r="H564" i="23"/>
  <c r="H565" i="23"/>
  <c r="H566" i="23"/>
  <c r="H567" i="23"/>
  <c r="H568" i="23"/>
  <c r="H569" i="23"/>
  <c r="H570" i="23"/>
  <c r="H571" i="23"/>
  <c r="H572" i="23"/>
  <c r="H573" i="23"/>
  <c r="H574" i="23"/>
  <c r="H575" i="23"/>
  <c r="H576" i="23"/>
  <c r="H577" i="23"/>
  <c r="AO13" i="6"/>
  <c r="B13" i="6"/>
  <c r="C13" i="6"/>
  <c r="D13" i="6"/>
  <c r="E13" i="6"/>
  <c r="R13" i="6"/>
  <c r="S13" i="6"/>
  <c r="T13" i="6"/>
  <c r="W13" i="6"/>
  <c r="Z13" i="6"/>
  <c r="AC13" i="6"/>
  <c r="AG13" i="6"/>
  <c r="AH13" i="6"/>
  <c r="AI13" i="6"/>
  <c r="I588" i="23"/>
  <c r="J587" i="23"/>
  <c r="I587" i="23"/>
  <c r="J586" i="23"/>
  <c r="I586" i="23"/>
  <c r="C583" i="23"/>
  <c r="W583" i="23"/>
  <c r="K586" i="23"/>
  <c r="L586" i="23"/>
  <c r="K587" i="23"/>
  <c r="L587" i="23"/>
  <c r="K588" i="23"/>
  <c r="L588" i="23"/>
  <c r="L589" i="23"/>
  <c r="N583" i="23"/>
  <c r="H586" i="23"/>
  <c r="H587" i="23"/>
  <c r="H588" i="23"/>
  <c r="H589" i="23"/>
  <c r="H590" i="23"/>
  <c r="H591" i="23"/>
  <c r="H592" i="23"/>
  <c r="H593" i="23"/>
  <c r="H594" i="23"/>
  <c r="H595" i="23"/>
  <c r="H596" i="23"/>
  <c r="H597" i="23"/>
  <c r="H598" i="23"/>
  <c r="H599" i="23"/>
  <c r="H600" i="23"/>
  <c r="H601" i="23"/>
  <c r="H602" i="23"/>
  <c r="H603" i="23"/>
  <c r="H604" i="23"/>
  <c r="H605" i="23"/>
  <c r="H606" i="23"/>
  <c r="H607" i="23"/>
  <c r="H608" i="23"/>
  <c r="H609" i="23"/>
  <c r="H610" i="23"/>
  <c r="H611" i="23"/>
  <c r="H612" i="23"/>
  <c r="H613" i="23"/>
  <c r="H614" i="23"/>
  <c r="H615" i="23"/>
  <c r="H616" i="23"/>
  <c r="H617" i="23"/>
  <c r="H618" i="23"/>
  <c r="H619" i="23"/>
  <c r="H620" i="23"/>
  <c r="H621" i="23"/>
  <c r="H622" i="23"/>
  <c r="H623" i="23"/>
  <c r="H624" i="23"/>
  <c r="H625" i="23"/>
  <c r="H626" i="23"/>
  <c r="H627" i="23"/>
  <c r="H628" i="23"/>
  <c r="H629" i="23"/>
  <c r="H630" i="23"/>
  <c r="H631" i="23"/>
  <c r="H632" i="23"/>
  <c r="H633" i="23"/>
  <c r="AO14" i="6"/>
  <c r="B14" i="6"/>
  <c r="R14" i="6"/>
  <c r="S14" i="6"/>
  <c r="T14" i="6"/>
  <c r="W14" i="6"/>
  <c r="Z14" i="6"/>
  <c r="AC14" i="6"/>
  <c r="AG14" i="6"/>
  <c r="AH14" i="6"/>
  <c r="AI14" i="6"/>
  <c r="I643" i="23"/>
  <c r="J642" i="23"/>
  <c r="I644" i="23"/>
  <c r="I642" i="23"/>
  <c r="J643" i="23"/>
  <c r="C639" i="23"/>
  <c r="W639" i="23"/>
  <c r="K642" i="23"/>
  <c r="L642" i="23"/>
  <c r="K643" i="23"/>
  <c r="L643" i="23"/>
  <c r="K644" i="23"/>
  <c r="L644" i="23"/>
  <c r="K645" i="23"/>
  <c r="L645" i="23"/>
  <c r="L646" i="23"/>
  <c r="N639" i="23"/>
  <c r="H642" i="23"/>
  <c r="H643" i="23"/>
  <c r="H644" i="23"/>
  <c r="H645" i="23"/>
  <c r="H646" i="23"/>
  <c r="H647" i="23"/>
  <c r="H648" i="23"/>
  <c r="H649" i="23"/>
  <c r="H650" i="23"/>
  <c r="H651" i="23"/>
  <c r="H652" i="23"/>
  <c r="H653" i="23"/>
  <c r="H654" i="23"/>
  <c r="H655" i="23"/>
  <c r="H656" i="23"/>
  <c r="H657" i="23"/>
  <c r="H658" i="23"/>
  <c r="H659" i="23"/>
  <c r="H660" i="23"/>
  <c r="H661" i="23"/>
  <c r="H662" i="23"/>
  <c r="H663" i="23"/>
  <c r="H664" i="23"/>
  <c r="H665" i="23"/>
  <c r="H666" i="23"/>
  <c r="H667" i="23"/>
  <c r="H668" i="23"/>
  <c r="H669" i="23"/>
  <c r="H670" i="23"/>
  <c r="H671" i="23"/>
  <c r="H672" i="23"/>
  <c r="H673" i="23"/>
  <c r="H674" i="23"/>
  <c r="H675" i="23"/>
  <c r="H676" i="23"/>
  <c r="H677" i="23"/>
  <c r="H678" i="23"/>
  <c r="H679" i="23"/>
  <c r="H680" i="23"/>
  <c r="H681" i="23"/>
  <c r="H682" i="23"/>
  <c r="H683" i="23"/>
  <c r="H684" i="23"/>
  <c r="H685" i="23"/>
  <c r="H686" i="23"/>
  <c r="H687" i="23"/>
  <c r="H688" i="23"/>
  <c r="H689" i="23"/>
  <c r="AO15" i="6"/>
  <c r="B15" i="6"/>
  <c r="C15" i="6"/>
  <c r="D15" i="6"/>
  <c r="E15" i="6"/>
  <c r="R15" i="6"/>
  <c r="S15" i="6"/>
  <c r="T15" i="6"/>
  <c r="W15" i="6"/>
  <c r="Z15" i="6"/>
  <c r="AC15" i="6"/>
  <c r="AG15" i="6"/>
  <c r="AH15" i="6"/>
  <c r="AI15" i="6"/>
  <c r="J699" i="23"/>
  <c r="I700" i="23"/>
  <c r="J698" i="23"/>
  <c r="I699" i="23"/>
  <c r="I698" i="23"/>
  <c r="C695" i="23"/>
  <c r="W695" i="23"/>
  <c r="K698" i="23"/>
  <c r="L698" i="23"/>
  <c r="K699" i="23"/>
  <c r="L699" i="23"/>
  <c r="K700" i="23"/>
  <c r="L700" i="23"/>
  <c r="L701" i="23"/>
  <c r="N695" i="23"/>
  <c r="H698" i="23"/>
  <c r="H699" i="23"/>
  <c r="H700" i="23"/>
  <c r="H701" i="23"/>
  <c r="H702" i="23"/>
  <c r="H703" i="23"/>
  <c r="H704" i="23"/>
  <c r="H705" i="23"/>
  <c r="H706" i="23"/>
  <c r="H707" i="23"/>
  <c r="H708" i="23"/>
  <c r="H709" i="23"/>
  <c r="H710" i="23"/>
  <c r="H711" i="23"/>
  <c r="H712" i="23"/>
  <c r="H713" i="23"/>
  <c r="H714" i="23"/>
  <c r="H715" i="23"/>
  <c r="H716" i="23"/>
  <c r="H717" i="23"/>
  <c r="H718" i="23"/>
  <c r="H719" i="23"/>
  <c r="H720" i="23"/>
  <c r="H721" i="23"/>
  <c r="H722" i="23"/>
  <c r="H732" i="23"/>
  <c r="H733" i="23"/>
  <c r="H734" i="23"/>
  <c r="H735" i="23"/>
  <c r="H736" i="23"/>
  <c r="H737" i="23"/>
  <c r="H738" i="23"/>
  <c r="H739" i="23"/>
  <c r="H740" i="23"/>
  <c r="H741" i="23"/>
  <c r="H742" i="23"/>
  <c r="H743" i="23"/>
  <c r="H744" i="23"/>
  <c r="H745" i="23"/>
  <c r="H724" i="23"/>
  <c r="H726" i="23"/>
  <c r="H731" i="23"/>
  <c r="H725" i="23"/>
  <c r="H727" i="23"/>
  <c r="H729" i="23"/>
  <c r="H730" i="23"/>
  <c r="H728" i="23"/>
  <c r="H723" i="23"/>
  <c r="AO16" i="6"/>
  <c r="B16" i="6"/>
  <c r="R16" i="6"/>
  <c r="S16" i="6"/>
  <c r="T16" i="6"/>
  <c r="W16" i="6"/>
  <c r="Z16" i="6"/>
  <c r="AC16" i="6"/>
  <c r="AG16" i="6"/>
  <c r="I754" i="23"/>
  <c r="J755" i="23"/>
  <c r="I755" i="23"/>
  <c r="I756" i="23"/>
  <c r="J754" i="23"/>
  <c r="C751" i="23"/>
  <c r="W751" i="23"/>
  <c r="K754" i="23"/>
  <c r="L754" i="23"/>
  <c r="K755" i="23"/>
  <c r="L755" i="23"/>
  <c r="K756" i="23"/>
  <c r="L756" i="23"/>
  <c r="K757" i="23"/>
  <c r="L757" i="23"/>
  <c r="L758" i="23"/>
  <c r="N751" i="23"/>
  <c r="H754" i="23"/>
  <c r="H755" i="23"/>
  <c r="AO17" i="6"/>
  <c r="B17" i="6"/>
  <c r="C17" i="6"/>
  <c r="D17" i="6"/>
  <c r="E17" i="6"/>
  <c r="R17" i="6"/>
  <c r="S17" i="6"/>
  <c r="T17" i="6"/>
  <c r="W17" i="6"/>
  <c r="Z17" i="6"/>
  <c r="AC17" i="6"/>
  <c r="AG17" i="6"/>
  <c r="AH17" i="6"/>
  <c r="AI17" i="6"/>
  <c r="N18" i="17"/>
  <c r="M18" i="17"/>
  <c r="M19" i="17"/>
  <c r="D19" i="17"/>
  <c r="J19" i="17"/>
  <c r="N19" i="17" s="1"/>
  <c r="U19" i="17" s="1"/>
  <c r="W19" i="17"/>
  <c r="P19" i="17"/>
  <c r="F19" i="18" s="1"/>
  <c r="Q19" i="17"/>
  <c r="G19" i="18" s="1"/>
  <c r="R19" i="17"/>
  <c r="H19" i="18" s="1"/>
  <c r="V19" i="17"/>
  <c r="L20" i="17"/>
  <c r="C20" i="17"/>
  <c r="K20" i="17" s="1"/>
  <c r="E20" i="17"/>
  <c r="F20" i="17"/>
  <c r="C20" i="18" s="1"/>
  <c r="G20" i="17"/>
  <c r="I20" i="17"/>
  <c r="B21" i="17"/>
  <c r="B20" i="18"/>
  <c r="AA16" i="17"/>
  <c r="B85" i="12"/>
  <c r="I85" i="12" s="1"/>
  <c r="Z15" i="17"/>
  <c r="Y17" i="17"/>
  <c r="Y18" i="17"/>
  <c r="Y19" i="17"/>
  <c r="Y20" i="17"/>
  <c r="U3751" i="22"/>
  <c r="U3697" i="22"/>
  <c r="U3589" i="22"/>
  <c r="U3481" i="22"/>
  <c r="U3427" i="22"/>
  <c r="U3373" i="22"/>
  <c r="U3265" i="22"/>
  <c r="U2887" i="22"/>
  <c r="U2833" i="22"/>
  <c r="S2779" i="22"/>
  <c r="T2779" i="22" s="1"/>
  <c r="U2779" i="22" s="1"/>
  <c r="U2725" i="22"/>
  <c r="U2509" i="22"/>
  <c r="U2455" i="22"/>
  <c r="U2239" i="22"/>
  <c r="U2185" i="22"/>
  <c r="U2131" i="22"/>
  <c r="U1915" i="22"/>
  <c r="U1807" i="22"/>
  <c r="U1645" i="22"/>
  <c r="U1591" i="22"/>
  <c r="U1537" i="22"/>
  <c r="U1483" i="22"/>
  <c r="U1321" i="22"/>
  <c r="U1267" i="22"/>
  <c r="U1213" i="22"/>
  <c r="U997" i="22"/>
  <c r="U943" i="22"/>
  <c r="U889" i="22"/>
  <c r="U835" i="22"/>
  <c r="U781" i="22"/>
  <c r="U673" i="22"/>
  <c r="U619" i="22"/>
  <c r="U565" i="22"/>
  <c r="U511" i="22"/>
  <c r="U403" i="22"/>
  <c r="U349" i="22"/>
  <c r="U79" i="22"/>
  <c r="E28" i="14"/>
  <c r="C28" i="14"/>
  <c r="E27" i="14"/>
  <c r="C27" i="14"/>
  <c r="E26" i="14"/>
  <c r="E25" i="14"/>
  <c r="E24" i="14"/>
  <c r="E23" i="14"/>
  <c r="E22" i="14"/>
  <c r="C22" i="14"/>
  <c r="E21" i="14"/>
  <c r="E20" i="14"/>
  <c r="E19" i="14"/>
  <c r="C19" i="14"/>
  <c r="E18" i="14"/>
  <c r="E17" i="14"/>
  <c r="E16" i="14"/>
  <c r="E15" i="14"/>
  <c r="E14" i="14"/>
  <c r="C14" i="14"/>
  <c r="E13" i="14"/>
  <c r="C13" i="14"/>
  <c r="E12" i="14"/>
  <c r="C12" i="14"/>
  <c r="E11" i="14"/>
  <c r="C11" i="14"/>
  <c r="E10" i="14"/>
  <c r="C10" i="14"/>
  <c r="E9" i="14"/>
  <c r="C9" i="14"/>
  <c r="B19" i="2"/>
  <c r="C9" i="10"/>
  <c r="C23" i="24"/>
  <c r="D23" i="24" s="1"/>
  <c r="D9" i="9"/>
  <c r="G9" i="9"/>
  <c r="C43" i="9"/>
  <c r="J9" i="10"/>
  <c r="C10" i="10"/>
  <c r="C24" i="24"/>
  <c r="D24" i="24" s="1"/>
  <c r="C10" i="9"/>
  <c r="F10" i="9"/>
  <c r="C12" i="10"/>
  <c r="C5" i="18"/>
  <c r="C25" i="24"/>
  <c r="D25" i="24" s="1"/>
  <c r="J19" i="2"/>
  <c r="C13" i="10"/>
  <c r="C6" i="18"/>
  <c r="G7" i="18"/>
  <c r="F4049" i="22"/>
  <c r="F4103" i="22"/>
  <c r="F4157" i="22"/>
  <c r="F4211" i="22"/>
  <c r="M4618" i="22"/>
  <c r="F4619" i="22" s="1"/>
  <c r="C26" i="24"/>
  <c r="D26" i="24" s="1"/>
  <c r="C14" i="10"/>
  <c r="F6" i="18"/>
  <c r="C57" i="10" s="1"/>
  <c r="C7" i="18"/>
  <c r="F7" i="18"/>
  <c r="A4049" i="22"/>
  <c r="B4049" i="22"/>
  <c r="A4103" i="22"/>
  <c r="B4103" i="22"/>
  <c r="A4157" i="22"/>
  <c r="B4157" i="22"/>
  <c r="A4211" i="22"/>
  <c r="B4211" i="22"/>
  <c r="N4618" i="22"/>
  <c r="C27" i="24"/>
  <c r="D27" i="24" s="1"/>
  <c r="K19" i="2"/>
  <c r="C15" i="10"/>
  <c r="C8" i="18"/>
  <c r="G8" i="18"/>
  <c r="G4049" i="22"/>
  <c r="J4049" i="22" s="1"/>
  <c r="G4103" i="22"/>
  <c r="J4103" i="22" s="1"/>
  <c r="G4157" i="22"/>
  <c r="J4157" i="22" s="1"/>
  <c r="G4211" i="22"/>
  <c r="J4211" i="22" s="1"/>
  <c r="O4618" i="22"/>
  <c r="G4619" i="22" s="1"/>
  <c r="C28" i="24"/>
  <c r="D28" i="24" s="1"/>
  <c r="D48" i="9"/>
  <c r="C16" i="10"/>
  <c r="J16" i="10"/>
  <c r="G6" i="18"/>
  <c r="D57" i="10" s="1"/>
  <c r="C9" i="18"/>
  <c r="E4049" i="22"/>
  <c r="E4103" i="22"/>
  <c r="E4157" i="22"/>
  <c r="E4211" i="22"/>
  <c r="C29" i="24"/>
  <c r="D29" i="24" s="1"/>
  <c r="D49" i="9"/>
  <c r="C17" i="10"/>
  <c r="J17" i="10"/>
  <c r="G9" i="18"/>
  <c r="C10" i="18"/>
  <c r="H4049" i="22"/>
  <c r="K4049" i="22" s="1"/>
  <c r="H4103" i="22"/>
  <c r="K4103" i="22" s="1"/>
  <c r="H4157" i="22"/>
  <c r="K4157" i="22" s="1"/>
  <c r="H4211" i="22"/>
  <c r="K4211" i="22" s="1"/>
  <c r="P4618" i="22"/>
  <c r="H4619" i="22" s="1"/>
  <c r="K4619" i="22" s="1"/>
  <c r="C30" i="24"/>
  <c r="D30" i="24" s="1"/>
  <c r="C18" i="10"/>
  <c r="C31" i="24"/>
  <c r="D31" i="24" s="1"/>
  <c r="F11" i="9"/>
  <c r="D51" i="9"/>
  <c r="C19" i="10"/>
  <c r="C69" i="10"/>
  <c r="C11" i="11"/>
  <c r="C34" i="24"/>
  <c r="D34" i="24" s="1"/>
  <c r="C14" i="9"/>
  <c r="F14" i="9"/>
  <c r="C54" i="9"/>
  <c r="C35" i="24"/>
  <c r="D35" i="24" s="1"/>
  <c r="D19" i="11"/>
  <c r="B34" i="9"/>
  <c r="D55" i="9"/>
  <c r="B63" i="9"/>
  <c r="B64" i="9"/>
  <c r="C21" i="10"/>
  <c r="J21" i="10"/>
  <c r="B9" i="11"/>
  <c r="B10" i="11"/>
  <c r="B61"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E3" i="16"/>
  <c r="H3" i="17"/>
  <c r="S17" i="17"/>
  <c r="T17" i="17"/>
  <c r="U17" i="17"/>
  <c r="S18" i="17"/>
  <c r="T18" i="17"/>
  <c r="U18" i="17"/>
  <c r="S19" i="17"/>
  <c r="T19" i="17"/>
  <c r="S20" i="17"/>
  <c r="T20" i="17"/>
  <c r="S21" i="17"/>
  <c r="T21" i="17"/>
  <c r="S22" i="17"/>
  <c r="T22" i="17"/>
  <c r="S23" i="17"/>
  <c r="T23" i="17"/>
  <c r="S24" i="17"/>
  <c r="T24" i="17"/>
  <c r="S25" i="17"/>
  <c r="T25" i="17"/>
  <c r="S26" i="17"/>
  <c r="T26" i="17"/>
  <c r="S27" i="17"/>
  <c r="T27" i="17"/>
  <c r="S28" i="17"/>
  <c r="T28" i="17"/>
  <c r="S29" i="17"/>
  <c r="T29" i="17"/>
  <c r="S30" i="17"/>
  <c r="T30" i="17"/>
  <c r="S31" i="17"/>
  <c r="T31" i="17"/>
  <c r="S32" i="17"/>
  <c r="T32" i="17"/>
  <c r="T33" i="17"/>
  <c r="T34" i="17"/>
  <c r="S35" i="17"/>
  <c r="T36" i="17"/>
  <c r="T37" i="17"/>
  <c r="T38" i="17"/>
  <c r="S40" i="17"/>
  <c r="T41" i="17"/>
  <c r="T43" i="17"/>
  <c r="T44" i="17"/>
  <c r="S45" i="17"/>
  <c r="T45" i="17"/>
  <c r="T46" i="17"/>
  <c r="S47" i="17"/>
  <c r="S48" i="17"/>
  <c r="S49" i="17"/>
  <c r="S50" i="17"/>
  <c r="T51" i="17"/>
  <c r="S52" i="17"/>
  <c r="S53" i="17"/>
  <c r="S54" i="17"/>
  <c r="T55" i="17"/>
  <c r="T56" i="17"/>
  <c r="S57" i="17"/>
  <c r="S58" i="17"/>
  <c r="T58" i="17"/>
  <c r="S59" i="17"/>
  <c r="S60" i="17"/>
  <c r="S61" i="17"/>
  <c r="T63" i="17"/>
  <c r="S64" i="17"/>
  <c r="E47" i="19"/>
  <c r="G47" i="19" s="1"/>
  <c r="S33" i="17"/>
  <c r="S34" i="17"/>
  <c r="T35" i="17"/>
  <c r="S36" i="17"/>
  <c r="S37" i="17"/>
  <c r="S38" i="17"/>
  <c r="S39" i="17"/>
  <c r="T39" i="17"/>
  <c r="T40" i="17"/>
  <c r="S41" i="17"/>
  <c r="S42" i="17"/>
  <c r="T42" i="17"/>
  <c r="S43" i="17"/>
  <c r="S44" i="17"/>
  <c r="S46" i="17"/>
  <c r="T47" i="17"/>
  <c r="T48" i="17"/>
  <c r="T49" i="17"/>
  <c r="T50" i="17"/>
  <c r="S51" i="17"/>
  <c r="T52" i="17"/>
  <c r="T53" i="17"/>
  <c r="T54" i="17"/>
  <c r="S55" i="17"/>
  <c r="S56" i="17"/>
  <c r="T57" i="17"/>
  <c r="T59" i="17"/>
  <c r="T60" i="17"/>
  <c r="T61" i="17"/>
  <c r="S62" i="17"/>
  <c r="T62" i="17"/>
  <c r="S63" i="17"/>
  <c r="T64" i="17"/>
  <c r="S4051" i="22"/>
  <c r="T4051" i="22"/>
  <c r="U4051" i="22"/>
  <c r="S4052" i="22"/>
  <c r="T4052" i="22"/>
  <c r="S4053" i="22"/>
  <c r="T4053" i="22"/>
  <c r="S4054" i="22"/>
  <c r="T4054" i="22"/>
  <c r="S4055" i="22"/>
  <c r="T4055" i="22"/>
  <c r="S4056" i="22"/>
  <c r="T4056" i="22"/>
  <c r="S4057" i="22"/>
  <c r="T4057" i="22"/>
  <c r="S4058" i="22"/>
  <c r="T4058" i="22"/>
  <c r="S4059" i="22"/>
  <c r="T4059" i="22"/>
  <c r="S4060" i="22"/>
  <c r="T4060" i="22"/>
  <c r="S4061" i="22"/>
  <c r="T4061" i="22"/>
  <c r="S4062" i="22"/>
  <c r="T4062" i="22"/>
  <c r="S4063" i="22"/>
  <c r="T4063" i="22"/>
  <c r="S4064" i="22"/>
  <c r="T4064" i="22"/>
  <c r="S4065" i="22"/>
  <c r="T4065" i="22"/>
  <c r="S4066" i="22"/>
  <c r="T4066" i="22"/>
  <c r="S4067" i="22"/>
  <c r="T4067" i="22"/>
  <c r="S4068" i="22"/>
  <c r="T4068" i="22"/>
  <c r="S4069" i="22"/>
  <c r="T4069" i="22"/>
  <c r="S4070" i="22"/>
  <c r="T4070" i="22"/>
  <c r="S4071" i="22"/>
  <c r="T4071" i="22"/>
  <c r="S4072" i="22"/>
  <c r="T4072" i="22"/>
  <c r="S4073" i="22"/>
  <c r="T4073" i="22"/>
  <c r="S4074" i="22"/>
  <c r="T4074" i="22"/>
  <c r="S4075" i="22"/>
  <c r="T4075" i="22"/>
  <c r="S4076" i="22"/>
  <c r="T4076" i="22"/>
  <c r="S4077" i="22"/>
  <c r="T4077" i="22"/>
  <c r="S4078" i="22"/>
  <c r="T4078" i="22"/>
  <c r="S4079" i="22"/>
  <c r="T4079" i="22"/>
  <c r="S4080" i="22"/>
  <c r="T4080" i="22"/>
  <c r="S4081" i="22"/>
  <c r="T4081" i="22"/>
  <c r="S4082" i="22"/>
  <c r="T4082" i="22"/>
  <c r="S4083" i="22"/>
  <c r="T4083" i="22"/>
  <c r="S4084" i="22"/>
  <c r="T4084" i="22"/>
  <c r="S4085" i="22"/>
  <c r="T4085" i="22"/>
  <c r="S4086" i="22"/>
  <c r="T4086" i="22"/>
  <c r="S4087" i="22"/>
  <c r="T4087" i="22"/>
  <c r="S4088" i="22"/>
  <c r="T4088" i="22"/>
  <c r="S4089" i="22"/>
  <c r="T4089" i="22"/>
  <c r="S4090" i="22"/>
  <c r="T4090" i="22"/>
  <c r="S4091" i="22"/>
  <c r="T4091" i="22"/>
  <c r="S4092" i="22"/>
  <c r="T4092" i="22"/>
  <c r="S4093" i="22"/>
  <c r="T4093" i="22"/>
  <c r="S4094" i="22"/>
  <c r="T4094" i="22"/>
  <c r="S4095" i="22"/>
  <c r="T4095" i="22"/>
  <c r="S4096" i="22"/>
  <c r="T4096" i="22"/>
  <c r="S4097" i="22"/>
  <c r="T4097" i="22"/>
  <c r="S4098" i="22"/>
  <c r="T4098" i="22"/>
  <c r="S4105" i="22"/>
  <c r="T4105" i="22"/>
  <c r="U4105" i="22"/>
  <c r="S4106" i="22"/>
  <c r="T4106" i="22"/>
  <c r="S4107" i="22"/>
  <c r="T4107" i="22"/>
  <c r="S4108" i="22"/>
  <c r="T4108" i="22"/>
  <c r="S4109" i="22"/>
  <c r="T4109" i="22"/>
  <c r="S4110" i="22"/>
  <c r="T4110" i="22"/>
  <c r="S4111" i="22"/>
  <c r="T4111" i="22"/>
  <c r="S4112" i="22"/>
  <c r="T4112" i="22"/>
  <c r="S4113" i="22"/>
  <c r="T4113" i="22"/>
  <c r="S4114" i="22"/>
  <c r="T4114" i="22"/>
  <c r="S4115" i="22"/>
  <c r="T4115" i="22"/>
  <c r="S4116" i="22"/>
  <c r="T4116" i="22"/>
  <c r="S4117" i="22"/>
  <c r="T4117" i="22"/>
  <c r="S4118" i="22"/>
  <c r="T4118" i="22"/>
  <c r="S4119" i="22"/>
  <c r="T4119" i="22"/>
  <c r="S4120" i="22"/>
  <c r="T4120" i="22"/>
  <c r="S4121" i="22"/>
  <c r="T4121" i="22"/>
  <c r="S4122" i="22"/>
  <c r="T4122" i="22"/>
  <c r="S4123" i="22"/>
  <c r="T4123" i="22"/>
  <c r="S4124" i="22"/>
  <c r="T4124" i="22"/>
  <c r="S4125" i="22"/>
  <c r="T4125" i="22"/>
  <c r="S4126" i="22"/>
  <c r="T4126" i="22"/>
  <c r="S4127" i="22"/>
  <c r="T4127" i="22"/>
  <c r="S4128" i="22"/>
  <c r="T4128" i="22"/>
  <c r="S4129" i="22"/>
  <c r="T4129" i="22"/>
  <c r="S4130" i="22"/>
  <c r="T4130" i="22"/>
  <c r="S4131" i="22"/>
  <c r="T4131" i="22"/>
  <c r="S4132" i="22"/>
  <c r="T4132" i="22"/>
  <c r="S4133" i="22"/>
  <c r="T4133" i="22"/>
  <c r="S4134" i="22"/>
  <c r="T4134" i="22"/>
  <c r="S4135" i="22"/>
  <c r="T4135" i="22"/>
  <c r="S4136" i="22"/>
  <c r="T4136" i="22"/>
  <c r="S4137" i="22"/>
  <c r="T4137" i="22"/>
  <c r="S4138" i="22"/>
  <c r="T4138" i="22"/>
  <c r="S4139" i="22"/>
  <c r="T4139" i="22"/>
  <c r="S4140" i="22"/>
  <c r="T4140" i="22"/>
  <c r="S4141" i="22"/>
  <c r="T4141" i="22"/>
  <c r="S4142" i="22"/>
  <c r="T4142" i="22"/>
  <c r="S4143" i="22"/>
  <c r="T4143" i="22"/>
  <c r="S4144" i="22"/>
  <c r="T4144" i="22"/>
  <c r="S4145" i="22"/>
  <c r="T4145" i="22"/>
  <c r="S4146" i="22"/>
  <c r="T4146" i="22"/>
  <c r="S4147" i="22"/>
  <c r="T4147" i="22"/>
  <c r="S4148" i="22"/>
  <c r="T4148" i="22"/>
  <c r="S4149" i="22"/>
  <c r="T4149" i="22"/>
  <c r="S4150" i="22"/>
  <c r="T4150" i="22"/>
  <c r="S4151" i="22"/>
  <c r="T4151" i="22"/>
  <c r="S4152" i="22"/>
  <c r="T4152" i="22"/>
  <c r="S4159" i="22"/>
  <c r="T4159" i="22"/>
  <c r="U4159" i="22"/>
  <c r="S4160" i="22"/>
  <c r="T4160" i="22"/>
  <c r="S4161" i="22"/>
  <c r="T4161" i="22"/>
  <c r="S4162" i="22"/>
  <c r="T4162" i="22"/>
  <c r="S4163" i="22"/>
  <c r="T4163" i="22"/>
  <c r="S4164" i="22"/>
  <c r="T4164" i="22"/>
  <c r="S4165" i="22"/>
  <c r="T4165" i="22"/>
  <c r="S4166" i="22"/>
  <c r="T4166" i="22"/>
  <c r="S4167" i="22"/>
  <c r="T4167" i="22"/>
  <c r="S4168" i="22"/>
  <c r="T4168" i="22"/>
  <c r="S4169" i="22"/>
  <c r="T4169" i="22"/>
  <c r="S4170" i="22"/>
  <c r="T4170" i="22"/>
  <c r="S4171" i="22"/>
  <c r="T4171" i="22"/>
  <c r="S4172" i="22"/>
  <c r="T4172" i="22"/>
  <c r="S4173" i="22"/>
  <c r="T4173" i="22"/>
  <c r="S4174" i="22"/>
  <c r="T4174" i="22"/>
  <c r="S4175" i="22"/>
  <c r="T4175" i="22"/>
  <c r="S4176" i="22"/>
  <c r="T4176" i="22"/>
  <c r="S4177" i="22"/>
  <c r="T4177" i="22"/>
  <c r="S4178" i="22"/>
  <c r="T4178" i="22"/>
  <c r="S4179" i="22"/>
  <c r="T4179" i="22"/>
  <c r="S4180" i="22"/>
  <c r="T4180" i="22"/>
  <c r="S4181" i="22"/>
  <c r="T4181" i="22"/>
  <c r="S4182" i="22"/>
  <c r="T4182" i="22"/>
  <c r="S4183" i="22"/>
  <c r="T4183" i="22"/>
  <c r="S4184" i="22"/>
  <c r="T4184" i="22"/>
  <c r="S4185" i="22"/>
  <c r="T4185" i="22"/>
  <c r="S4186" i="22"/>
  <c r="T4186" i="22"/>
  <c r="S4187" i="22"/>
  <c r="T4187" i="22"/>
  <c r="S4188" i="22"/>
  <c r="T4188" i="22"/>
  <c r="S4189" i="22"/>
  <c r="T4189" i="22"/>
  <c r="S4190" i="22"/>
  <c r="T4190" i="22"/>
  <c r="S4191" i="22"/>
  <c r="T4191" i="22"/>
  <c r="S4192" i="22"/>
  <c r="T4192" i="22"/>
  <c r="S4193" i="22"/>
  <c r="T4193" i="22"/>
  <c r="S4194" i="22"/>
  <c r="T4194" i="22"/>
  <c r="S4195" i="22"/>
  <c r="T4195" i="22"/>
  <c r="S4196" i="22"/>
  <c r="T4196" i="22"/>
  <c r="S4197" i="22"/>
  <c r="T4197" i="22"/>
  <c r="S4198" i="22"/>
  <c r="T4198" i="22"/>
  <c r="S4199" i="22"/>
  <c r="T4199" i="22"/>
  <c r="S4200" i="22"/>
  <c r="T4200" i="22"/>
  <c r="S4201" i="22"/>
  <c r="T4201" i="22"/>
  <c r="S4202" i="22"/>
  <c r="T4202" i="22"/>
  <c r="S4203" i="22"/>
  <c r="T4203" i="22"/>
  <c r="S4204" i="22"/>
  <c r="T4204" i="22"/>
  <c r="S4205" i="22"/>
  <c r="T4205" i="22"/>
  <c r="S4206" i="22"/>
  <c r="T4206" i="22"/>
  <c r="S4213" i="22"/>
  <c r="T4213" i="22"/>
  <c r="U4213" i="22"/>
  <c r="S4214" i="22"/>
  <c r="T4214" i="22"/>
  <c r="S4215" i="22"/>
  <c r="T4215" i="22"/>
  <c r="S4216" i="22"/>
  <c r="T4216" i="22"/>
  <c r="S4217" i="22"/>
  <c r="T4217" i="22"/>
  <c r="S4218" i="22"/>
  <c r="T4218" i="22"/>
  <c r="S4219" i="22"/>
  <c r="T4219" i="22"/>
  <c r="S4220" i="22"/>
  <c r="T4220" i="22"/>
  <c r="S4221" i="22"/>
  <c r="T4221" i="22"/>
  <c r="S4222" i="22"/>
  <c r="T4222" i="22"/>
  <c r="S4223" i="22"/>
  <c r="T4223" i="22"/>
  <c r="S4224" i="22"/>
  <c r="T4224" i="22"/>
  <c r="S4225" i="22"/>
  <c r="T4225" i="22"/>
  <c r="S4226" i="22"/>
  <c r="T4226" i="22"/>
  <c r="S4227" i="22"/>
  <c r="T4227" i="22"/>
  <c r="S4228" i="22"/>
  <c r="T4228" i="22"/>
  <c r="S4229" i="22"/>
  <c r="T4229" i="22"/>
  <c r="S4230" i="22"/>
  <c r="T4230" i="22"/>
  <c r="S4231" i="22"/>
  <c r="T4231" i="22"/>
  <c r="S4232" i="22"/>
  <c r="T4232" i="22"/>
  <c r="S4233" i="22"/>
  <c r="T4233" i="22"/>
  <c r="S4234" i="22"/>
  <c r="T4234" i="22"/>
  <c r="S4235" i="22"/>
  <c r="T4235" i="22"/>
  <c r="S4236" i="22"/>
  <c r="T4236" i="22"/>
  <c r="S4237" i="22"/>
  <c r="T4237" i="22"/>
  <c r="S4238" i="22"/>
  <c r="T4238" i="22"/>
  <c r="S4239" i="22"/>
  <c r="T4239" i="22"/>
  <c r="S4240" i="22"/>
  <c r="T4240" i="22"/>
  <c r="S4241" i="22"/>
  <c r="T4241" i="22"/>
  <c r="S4242" i="22"/>
  <c r="T4242" i="22"/>
  <c r="S4243" i="22"/>
  <c r="T4243" i="22"/>
  <c r="S4244" i="22"/>
  <c r="T4244" i="22"/>
  <c r="S4245" i="22"/>
  <c r="T4245" i="22"/>
  <c r="S4246" i="22"/>
  <c r="T4246" i="22"/>
  <c r="S4247" i="22"/>
  <c r="T4247" i="22"/>
  <c r="S4248" i="22"/>
  <c r="T4248" i="22"/>
  <c r="S4249" i="22"/>
  <c r="T4249" i="22"/>
  <c r="S4250" i="22"/>
  <c r="T4250" i="22"/>
  <c r="S4251" i="22"/>
  <c r="T4251" i="22"/>
  <c r="S4252" i="22"/>
  <c r="T4252" i="22"/>
  <c r="S4253" i="22"/>
  <c r="T4253" i="22"/>
  <c r="S4254" i="22"/>
  <c r="T4254" i="22"/>
  <c r="S4255" i="22"/>
  <c r="T4255" i="22"/>
  <c r="S4256" i="22"/>
  <c r="T4256" i="22"/>
  <c r="S4257" i="22"/>
  <c r="T4257" i="22"/>
  <c r="S4258" i="22"/>
  <c r="T4258" i="22"/>
  <c r="S4259" i="22"/>
  <c r="T4259" i="22"/>
  <c r="S4260" i="22"/>
  <c r="T4260" i="22"/>
  <c r="C33" i="24"/>
  <c r="D33" i="24" s="1"/>
  <c r="B12" i="9"/>
  <c r="B13" i="9"/>
  <c r="B35" i="9"/>
  <c r="T4675" i="22"/>
  <c r="U3049" i="22"/>
  <c r="U2671" i="22"/>
  <c r="U1429" i="22"/>
  <c r="U133" i="22"/>
  <c r="G15" i="19"/>
  <c r="J62" i="10"/>
  <c r="M4730" i="22"/>
  <c r="N4730" i="22"/>
  <c r="N4676" i="22"/>
  <c r="S4676" i="22" s="1"/>
  <c r="M4676" i="22"/>
  <c r="M4677" i="22"/>
  <c r="N3752" i="22"/>
  <c r="U3752" i="22" s="1"/>
  <c r="M3752" i="22"/>
  <c r="M3753" i="22"/>
  <c r="N3698" i="22"/>
  <c r="U3698" i="22" s="1"/>
  <c r="M3698" i="22"/>
  <c r="M3699" i="22"/>
  <c r="N3644" i="22"/>
  <c r="U3644" i="22" s="1"/>
  <c r="M3644" i="22"/>
  <c r="M3645" i="22"/>
  <c r="N3590" i="22"/>
  <c r="U3590" i="22" s="1"/>
  <c r="M3590" i="22"/>
  <c r="N3482" i="22"/>
  <c r="U3482" i="22" s="1"/>
  <c r="M3482" i="22"/>
  <c r="M3483" i="22"/>
  <c r="N3428" i="22"/>
  <c r="U3428" i="22" s="1"/>
  <c r="M3428" i="22"/>
  <c r="M3429" i="22"/>
  <c r="M3375" i="22"/>
  <c r="M3321" i="22"/>
  <c r="M3267" i="22"/>
  <c r="N2888" i="22"/>
  <c r="U2888" i="22" s="1"/>
  <c r="M2888" i="22"/>
  <c r="M2889" i="22"/>
  <c r="N2834" i="22"/>
  <c r="U2834" i="22" s="1"/>
  <c r="M2834" i="22"/>
  <c r="M2835" i="22"/>
  <c r="N2780" i="22"/>
  <c r="S2780" i="22" s="1"/>
  <c r="T2780" i="22" s="1"/>
  <c r="U2780" i="22" s="1"/>
  <c r="M2780" i="22"/>
  <c r="M2781" i="22"/>
  <c r="N2726" i="22"/>
  <c r="U2726" i="22" s="1"/>
  <c r="M2726" i="22"/>
  <c r="M2727" i="22"/>
  <c r="M2672" i="22"/>
  <c r="N2672" i="22"/>
  <c r="U2672" i="22" s="1"/>
  <c r="M2511" i="22"/>
  <c r="M2457" i="22"/>
  <c r="M2241" i="22"/>
  <c r="N2186" i="22"/>
  <c r="U2186" i="22" s="1"/>
  <c r="M2186" i="22"/>
  <c r="M2187" i="22"/>
  <c r="N2132" i="22"/>
  <c r="U2132" i="22" s="1"/>
  <c r="M2132" i="22"/>
  <c r="M2133" i="22"/>
  <c r="N1916" i="22"/>
  <c r="U1916" i="22" s="1"/>
  <c r="M1916" i="22"/>
  <c r="M1917" i="22"/>
  <c r="M1323" i="22"/>
  <c r="N1268" i="22"/>
  <c r="U1268" i="22" s="1"/>
  <c r="M1268" i="22"/>
  <c r="M1269" i="22"/>
  <c r="N1214" i="22"/>
  <c r="U1214" i="22" s="1"/>
  <c r="M1214" i="22"/>
  <c r="M1215" i="22"/>
  <c r="M999" i="22"/>
  <c r="M891" i="22"/>
  <c r="M783" i="22"/>
  <c r="M675" i="22"/>
  <c r="M621" i="22"/>
  <c r="M567" i="22"/>
  <c r="N512" i="22"/>
  <c r="U512" i="22" s="1"/>
  <c r="M512" i="22"/>
  <c r="M513" i="22"/>
  <c r="N404" i="22"/>
  <c r="U404" i="22" s="1"/>
  <c r="M404" i="22"/>
  <c r="N350" i="22"/>
  <c r="U350" i="22" s="1"/>
  <c r="M350" i="22"/>
  <c r="N296" i="22"/>
  <c r="U296" i="22" s="1"/>
  <c r="M296" i="22"/>
  <c r="M297" i="22"/>
  <c r="M81" i="22"/>
  <c r="O3645" i="22"/>
  <c r="I4318" i="22"/>
  <c r="I4310" i="22"/>
  <c r="I4332" i="22"/>
  <c r="I4331" i="22"/>
  <c r="I4330" i="22"/>
  <c r="I4329" i="22"/>
  <c r="I4328" i="22"/>
  <c r="I4326" i="22"/>
  <c r="I4313" i="22"/>
  <c r="O3644" i="22"/>
  <c r="O2132" i="22"/>
  <c r="O404" i="22"/>
  <c r="O2133" i="22"/>
  <c r="K4731" i="22"/>
  <c r="F4731" i="22"/>
  <c r="U4676" i="22"/>
  <c r="K3591" i="22"/>
  <c r="F3591" i="22"/>
  <c r="O3591" i="22" s="1"/>
  <c r="K3537" i="22"/>
  <c r="F3537" i="22"/>
  <c r="O3537" i="22" s="1"/>
  <c r="K3159" i="22"/>
  <c r="F3159" i="22"/>
  <c r="O3159" i="22" s="1"/>
  <c r="K1971" i="22"/>
  <c r="F1971" i="22"/>
  <c r="O1971" i="22" s="1"/>
  <c r="K1647" i="22"/>
  <c r="F1647" i="22"/>
  <c r="O1647" i="22" s="1"/>
  <c r="F1593" i="22"/>
  <c r="O1593" i="22" s="1"/>
  <c r="K1593" i="22"/>
  <c r="K1539" i="22"/>
  <c r="F1539" i="22"/>
  <c r="O1539" i="22" s="1"/>
  <c r="K1485" i="22"/>
  <c r="F1485" i="22"/>
  <c r="O1485" i="22" s="1"/>
  <c r="K1431" i="22"/>
  <c r="F1431" i="22"/>
  <c r="O1431" i="22" s="1"/>
  <c r="F945" i="22"/>
  <c r="O945" i="22" s="1"/>
  <c r="K945" i="22"/>
  <c r="F837" i="22"/>
  <c r="O837" i="22" s="1"/>
  <c r="K837" i="22"/>
  <c r="F405" i="22"/>
  <c r="O405" i="22" s="1"/>
  <c r="K405" i="22"/>
  <c r="K351" i="22"/>
  <c r="F351" i="22"/>
  <c r="O351" i="22" s="1"/>
  <c r="K243" i="22"/>
  <c r="F243" i="22"/>
  <c r="O243" i="22" s="1"/>
  <c r="K189" i="22"/>
  <c r="F189" i="22"/>
  <c r="O189" i="22" s="1"/>
  <c r="Q19" i="7"/>
  <c r="G19" i="7"/>
  <c r="C19" i="7"/>
  <c r="H19" i="7"/>
  <c r="Q20" i="7"/>
  <c r="C20" i="7"/>
  <c r="G20" i="7"/>
  <c r="H20" i="7"/>
  <c r="Q21" i="7"/>
  <c r="C21" i="7"/>
  <c r="G21" i="7"/>
  <c r="H21" i="7"/>
  <c r="Q22" i="7"/>
  <c r="H22" i="7"/>
  <c r="G22" i="7"/>
  <c r="C22" i="7"/>
  <c r="Q23" i="7"/>
  <c r="G23" i="7"/>
  <c r="C23" i="7"/>
  <c r="H23" i="7"/>
  <c r="Q24" i="7"/>
  <c r="H24" i="7"/>
  <c r="G24" i="7"/>
  <c r="C24" i="7"/>
  <c r="Q25" i="7"/>
  <c r="C25" i="7"/>
  <c r="G25" i="7"/>
  <c r="H25" i="7"/>
  <c r="Q26" i="7"/>
  <c r="H26" i="7"/>
  <c r="G26" i="7"/>
  <c r="C26" i="7"/>
  <c r="Q27" i="7"/>
  <c r="H27" i="7"/>
  <c r="C27" i="7"/>
  <c r="G27" i="7"/>
  <c r="Q29" i="7"/>
  <c r="C29" i="7"/>
  <c r="H29" i="7"/>
  <c r="G29" i="7"/>
  <c r="Q28" i="7"/>
  <c r="G28" i="7"/>
  <c r="H28" i="7"/>
  <c r="C28" i="7"/>
  <c r="Q9" i="7"/>
  <c r="G9" i="7"/>
  <c r="C9" i="7"/>
  <c r="H9" i="7"/>
  <c r="F99" i="8"/>
  <c r="Q10" i="7"/>
  <c r="H10" i="7"/>
  <c r="C10" i="7"/>
  <c r="G10" i="7"/>
  <c r="Q11" i="7"/>
  <c r="G11" i="7"/>
  <c r="C11" i="7"/>
  <c r="H11" i="7"/>
  <c r="Q12" i="7"/>
  <c r="C12" i="7"/>
  <c r="E12" i="7"/>
  <c r="H12" i="7"/>
  <c r="G12" i="7"/>
  <c r="Q13" i="7"/>
  <c r="C13" i="7"/>
  <c r="G13" i="7"/>
  <c r="H13" i="7"/>
  <c r="Q14" i="7"/>
  <c r="G14" i="7"/>
  <c r="H14" i="7"/>
  <c r="C14" i="7"/>
  <c r="Q15" i="7"/>
  <c r="H15" i="7"/>
  <c r="G15" i="7"/>
  <c r="C15" i="7"/>
  <c r="Q16" i="7"/>
  <c r="H16" i="7"/>
  <c r="G16" i="7"/>
  <c r="C16" i="7"/>
  <c r="Q17" i="7"/>
  <c r="G17" i="7"/>
  <c r="C17" i="7"/>
  <c r="H17" i="7"/>
  <c r="Q18" i="7"/>
  <c r="H18" i="7"/>
  <c r="G18" i="7"/>
  <c r="C18" i="7"/>
  <c r="U3643" i="22"/>
  <c r="U3319" i="22"/>
  <c r="U2563" i="22"/>
  <c r="U1861" i="22"/>
  <c r="U295" i="22"/>
  <c r="E58" i="19" l="1"/>
  <c r="G58" i="19" s="1"/>
  <c r="K1597" i="23"/>
  <c r="F1597" i="23"/>
  <c r="I1592" i="23"/>
  <c r="O1595" i="23" s="1"/>
  <c r="O1596" i="23"/>
  <c r="AE1596" i="23" s="1"/>
  <c r="F477" i="23"/>
  <c r="K477" i="23"/>
  <c r="K3376" i="22"/>
  <c r="F3376" i="22"/>
  <c r="O3376" i="22" s="1"/>
  <c r="K3268" i="22"/>
  <c r="F3268" i="22"/>
  <c r="O3268" i="22" s="1"/>
  <c r="K3052" i="22"/>
  <c r="F3052" i="22"/>
  <c r="O3052" i="22" s="1"/>
  <c r="K2620" i="22"/>
  <c r="F2620" i="22"/>
  <c r="O2620" i="22" s="1"/>
  <c r="K1918" i="22"/>
  <c r="F1918" i="22"/>
  <c r="O1918" i="22" s="1"/>
  <c r="K838" i="22"/>
  <c r="F838" i="22"/>
  <c r="O838" i="22" s="1"/>
  <c r="K82" i="22"/>
  <c r="F82" i="22"/>
  <c r="O82" i="22" s="1"/>
  <c r="H818" i="23"/>
  <c r="H819" i="23"/>
  <c r="H820" i="23"/>
  <c r="H821" i="23"/>
  <c r="H822" i="23"/>
  <c r="H823" i="23"/>
  <c r="H824" i="23"/>
  <c r="H825" i="23"/>
  <c r="H826" i="23"/>
  <c r="H827" i="23"/>
  <c r="H828" i="23"/>
  <c r="H829" i="23"/>
  <c r="H830" i="23"/>
  <c r="H831" i="23"/>
  <c r="H832" i="23"/>
  <c r="H833" i="23"/>
  <c r="H834" i="23"/>
  <c r="H835" i="23"/>
  <c r="H836" i="23"/>
  <c r="H837" i="23"/>
  <c r="H838" i="23"/>
  <c r="H839" i="23"/>
  <c r="H840" i="23"/>
  <c r="H841" i="23"/>
  <c r="H842" i="23"/>
  <c r="H843" i="23"/>
  <c r="H844" i="23"/>
  <c r="H845" i="23"/>
  <c r="H846" i="23"/>
  <c r="H847" i="23"/>
  <c r="H848" i="23"/>
  <c r="H849" i="23"/>
  <c r="H850" i="23"/>
  <c r="H851" i="23"/>
  <c r="H852" i="23"/>
  <c r="H853" i="23"/>
  <c r="H854" i="23"/>
  <c r="H855" i="23"/>
  <c r="H856" i="23"/>
  <c r="H857" i="23"/>
  <c r="H816" i="23"/>
  <c r="H811" i="23"/>
  <c r="H812" i="23"/>
  <c r="H813" i="23"/>
  <c r="H814" i="23"/>
  <c r="H815" i="23"/>
  <c r="H817" i="23"/>
  <c r="H969" i="23"/>
  <c r="H968" i="23"/>
  <c r="H1092" i="23"/>
  <c r="H1091" i="23"/>
  <c r="D23" i="6"/>
  <c r="E23" i="6"/>
  <c r="C23" i="6"/>
  <c r="H1163" i="23"/>
  <c r="H1164" i="23"/>
  <c r="H1165" i="23"/>
  <c r="H1166" i="23"/>
  <c r="H1167" i="23"/>
  <c r="H1168" i="23"/>
  <c r="H1169" i="23"/>
  <c r="H1170" i="23"/>
  <c r="H1171" i="23"/>
  <c r="H1172" i="23"/>
  <c r="H1173" i="23"/>
  <c r="H1174" i="23"/>
  <c r="H1175" i="23"/>
  <c r="H1176" i="23"/>
  <c r="H1177" i="23"/>
  <c r="H1178" i="23"/>
  <c r="H1179" i="23"/>
  <c r="H1148" i="23"/>
  <c r="H1181" i="23"/>
  <c r="H1182" i="23"/>
  <c r="H1183" i="23"/>
  <c r="H1184" i="23"/>
  <c r="H1185" i="23"/>
  <c r="H1186" i="23"/>
  <c r="H1187" i="23"/>
  <c r="H1188" i="23"/>
  <c r="H1189" i="23"/>
  <c r="H1190" i="23"/>
  <c r="H1191" i="23"/>
  <c r="H1192" i="23"/>
  <c r="H1193" i="23"/>
  <c r="H1149" i="23"/>
  <c r="H1156" i="23"/>
  <c r="H1157" i="23"/>
  <c r="H1158" i="23"/>
  <c r="H1159" i="23"/>
  <c r="H1160" i="23"/>
  <c r="H1161" i="23"/>
  <c r="H1162" i="23"/>
  <c r="H1150" i="23"/>
  <c r="H1151" i="23"/>
  <c r="H1152" i="23"/>
  <c r="H1153" i="23"/>
  <c r="H1154" i="23"/>
  <c r="H1155" i="23"/>
  <c r="H1180" i="23"/>
  <c r="H1327" i="23"/>
  <c r="H1328" i="23"/>
  <c r="H1329" i="23"/>
  <c r="H1330" i="23"/>
  <c r="H1331" i="23"/>
  <c r="H1332" i="23"/>
  <c r="H1333" i="23"/>
  <c r="H1334" i="23"/>
  <c r="H1335" i="23"/>
  <c r="H1336" i="23"/>
  <c r="H1337" i="23"/>
  <c r="H1338" i="23"/>
  <c r="H1339" i="23"/>
  <c r="H1340" i="23"/>
  <c r="H1341" i="23"/>
  <c r="H1345" i="23"/>
  <c r="H1350" i="23"/>
  <c r="H1351" i="23"/>
  <c r="H1352" i="23"/>
  <c r="H1353" i="23"/>
  <c r="H1354" i="23"/>
  <c r="H1355" i="23"/>
  <c r="H1356" i="23"/>
  <c r="H1357" i="23"/>
  <c r="H1359" i="23"/>
  <c r="H1360" i="23"/>
  <c r="H1361" i="23"/>
  <c r="H1346" i="23"/>
  <c r="H1358" i="23"/>
  <c r="H1349" i="23"/>
  <c r="H1342" i="23"/>
  <c r="H1343" i="23"/>
  <c r="H1344" i="23"/>
  <c r="H1347" i="23"/>
  <c r="H1348" i="23"/>
  <c r="H1316" i="23"/>
  <c r="H1317" i="23"/>
  <c r="H1318" i="23"/>
  <c r="H1319" i="23"/>
  <c r="H1320" i="23"/>
  <c r="H1321" i="23"/>
  <c r="H1322" i="23"/>
  <c r="H1323" i="23"/>
  <c r="H1324" i="23"/>
  <c r="H1325" i="23"/>
  <c r="H1326" i="23"/>
  <c r="H332" i="23"/>
  <c r="H333" i="23"/>
  <c r="H334" i="23"/>
  <c r="H335" i="23"/>
  <c r="H336" i="23"/>
  <c r="H337" i="23"/>
  <c r="H338" i="23"/>
  <c r="H339" i="23"/>
  <c r="H340" i="23"/>
  <c r="H341" i="23"/>
  <c r="H342" i="23"/>
  <c r="H343" i="23"/>
  <c r="H344" i="23"/>
  <c r="H345" i="23"/>
  <c r="H346" i="23"/>
  <c r="H347" i="23"/>
  <c r="H348" i="23"/>
  <c r="H349" i="23"/>
  <c r="H350" i="23"/>
  <c r="H351" i="23"/>
  <c r="H352" i="23"/>
  <c r="H323" i="23"/>
  <c r="H353" i="23"/>
  <c r="H324" i="23"/>
  <c r="H325" i="23"/>
  <c r="H326" i="23"/>
  <c r="H327" i="23"/>
  <c r="H328" i="23"/>
  <c r="H329" i="23"/>
  <c r="H330" i="23"/>
  <c r="H331" i="23"/>
  <c r="C14" i="6"/>
  <c r="D14" i="6"/>
  <c r="E14" i="6"/>
  <c r="D16" i="6"/>
  <c r="E16" i="6"/>
  <c r="C16" i="6"/>
  <c r="H765" i="23"/>
  <c r="H766" i="23"/>
  <c r="H767" i="23"/>
  <c r="H768" i="23"/>
  <c r="H769" i="23"/>
  <c r="H760" i="23"/>
  <c r="H771" i="23"/>
  <c r="H772" i="23"/>
  <c r="H773" i="23"/>
  <c r="H774" i="23"/>
  <c r="H775" i="23"/>
  <c r="H776" i="23"/>
  <c r="H777" i="23"/>
  <c r="H778" i="23"/>
  <c r="H779" i="23"/>
  <c r="H770" i="23"/>
  <c r="H781" i="23"/>
  <c r="H782" i="23"/>
  <c r="H783" i="23"/>
  <c r="H784" i="23"/>
  <c r="H785" i="23"/>
  <c r="H786" i="23"/>
  <c r="H787" i="23"/>
  <c r="H788" i="23"/>
  <c r="H789" i="23"/>
  <c r="H790" i="23"/>
  <c r="H791" i="23"/>
  <c r="H792" i="23"/>
  <c r="H793" i="23"/>
  <c r="H794" i="23"/>
  <c r="H795" i="23"/>
  <c r="H796" i="23"/>
  <c r="H797" i="23"/>
  <c r="H798" i="23"/>
  <c r="H799" i="23"/>
  <c r="H800" i="23"/>
  <c r="H801" i="23"/>
  <c r="H756" i="23"/>
  <c r="H757" i="23"/>
  <c r="H758" i="23"/>
  <c r="H759" i="23"/>
  <c r="H761" i="23"/>
  <c r="H762" i="23"/>
  <c r="H763" i="23"/>
  <c r="H764" i="23"/>
  <c r="H780" i="23"/>
  <c r="M1597" i="23"/>
  <c r="J1597" i="23"/>
  <c r="N1597" i="23" s="1"/>
  <c r="D1597" i="23"/>
  <c r="P1597" i="23"/>
  <c r="Q1597" i="23"/>
  <c r="R1597" i="23"/>
  <c r="I1598" i="23"/>
  <c r="L1598" i="23"/>
  <c r="C1598" i="23"/>
  <c r="K1598" i="23" s="1"/>
  <c r="E1598" i="23"/>
  <c r="F1598" i="23"/>
  <c r="O1598" i="23" s="1"/>
  <c r="G1598" i="23"/>
  <c r="B1599" i="23"/>
  <c r="J1541" i="23"/>
  <c r="N1541" i="23" s="1"/>
  <c r="D1541" i="23"/>
  <c r="P1541" i="23"/>
  <c r="Q1541" i="23"/>
  <c r="R1541" i="23"/>
  <c r="I1542" i="23"/>
  <c r="C1542" i="23"/>
  <c r="E1542" i="23"/>
  <c r="F1542" i="23"/>
  <c r="G1542" i="23"/>
  <c r="B1543" i="23"/>
  <c r="J1485" i="23"/>
  <c r="N1485" i="23" s="1"/>
  <c r="D1485" i="23"/>
  <c r="P1485" i="23"/>
  <c r="Q1485" i="23"/>
  <c r="R1485" i="23"/>
  <c r="I1486" i="23"/>
  <c r="C1486" i="23"/>
  <c r="E1486" i="23"/>
  <c r="F1486" i="23"/>
  <c r="G1486" i="23"/>
  <c r="B1487" i="23"/>
  <c r="J1429" i="23"/>
  <c r="N1429" i="23" s="1"/>
  <c r="AE1429" i="23" s="1"/>
  <c r="D1429" i="23"/>
  <c r="P1429" i="23"/>
  <c r="Q1429" i="23"/>
  <c r="R1429" i="23"/>
  <c r="I1430" i="23"/>
  <c r="C1430" i="23"/>
  <c r="E1430" i="23"/>
  <c r="F1430" i="23"/>
  <c r="G1430" i="23"/>
  <c r="B1431" i="23"/>
  <c r="P1373" i="23"/>
  <c r="Q1373" i="23"/>
  <c r="R1373" i="23"/>
  <c r="J1373" i="23"/>
  <c r="N1373" i="23" s="1"/>
  <c r="D1373" i="23"/>
  <c r="I1374" i="23"/>
  <c r="E1374" i="23"/>
  <c r="G1374" i="23"/>
  <c r="B1375" i="23"/>
  <c r="C1374" i="23"/>
  <c r="F1374" i="23" s="1"/>
  <c r="J1317" i="23"/>
  <c r="N1317" i="23" s="1"/>
  <c r="D1317" i="23"/>
  <c r="P1317" i="23"/>
  <c r="Q1317" i="23"/>
  <c r="R1317" i="23"/>
  <c r="I1318" i="23"/>
  <c r="C1318" i="23"/>
  <c r="F1318" i="23" s="1"/>
  <c r="E1318" i="23"/>
  <c r="G1318" i="23"/>
  <c r="B1319" i="23"/>
  <c r="J1261" i="23"/>
  <c r="N1261" i="23" s="1"/>
  <c r="D1261" i="23"/>
  <c r="P1261" i="23"/>
  <c r="Q1261" i="23"/>
  <c r="R1261" i="23"/>
  <c r="I1262" i="23"/>
  <c r="C1262" i="23"/>
  <c r="E1262" i="23"/>
  <c r="G1262" i="23"/>
  <c r="B1263" i="23"/>
  <c r="J1205" i="23"/>
  <c r="N1205" i="23" s="1"/>
  <c r="D1205" i="23"/>
  <c r="P1205" i="23"/>
  <c r="Q1205" i="23"/>
  <c r="R1205" i="23"/>
  <c r="I1206" i="23"/>
  <c r="C1206" i="23"/>
  <c r="F1206" i="23" s="1"/>
  <c r="E1206" i="23"/>
  <c r="G1206" i="23"/>
  <c r="B1207" i="23"/>
  <c r="J1149" i="23"/>
  <c r="D1149" i="23"/>
  <c r="P1149" i="23"/>
  <c r="Q1149" i="23"/>
  <c r="R1149" i="23"/>
  <c r="I1150" i="23"/>
  <c r="C1150" i="23"/>
  <c r="E1150" i="23"/>
  <c r="G1150" i="23"/>
  <c r="B1151" i="23"/>
  <c r="J1093" i="23"/>
  <c r="N1093" i="23" s="1"/>
  <c r="D1093" i="23"/>
  <c r="P1093" i="23"/>
  <c r="Q1093" i="23"/>
  <c r="R1093" i="23"/>
  <c r="I1094" i="23"/>
  <c r="C1094" i="23"/>
  <c r="F1094" i="23" s="1"/>
  <c r="E1094" i="23"/>
  <c r="G1094" i="23"/>
  <c r="B1095" i="23"/>
  <c r="J1037" i="23"/>
  <c r="N1037" i="23" s="1"/>
  <c r="D1037" i="23"/>
  <c r="P1037" i="23"/>
  <c r="Q1037" i="23"/>
  <c r="R1037" i="23"/>
  <c r="I1038" i="23"/>
  <c r="E1038" i="23"/>
  <c r="G1038" i="23"/>
  <c r="B1039" i="23"/>
  <c r="C1038" i="23"/>
  <c r="J981" i="23"/>
  <c r="N981" i="23" s="1"/>
  <c r="D981" i="23"/>
  <c r="P981" i="23"/>
  <c r="Q981" i="23"/>
  <c r="R981" i="23"/>
  <c r="I982" i="23"/>
  <c r="C982" i="23"/>
  <c r="F982" i="23" s="1"/>
  <c r="E982" i="23"/>
  <c r="G982" i="23"/>
  <c r="B983" i="23"/>
  <c r="J925" i="23"/>
  <c r="N925" i="23" s="1"/>
  <c r="D925" i="23"/>
  <c r="P925" i="23"/>
  <c r="Q925" i="23"/>
  <c r="R925" i="23"/>
  <c r="I926" i="23"/>
  <c r="C926" i="23"/>
  <c r="K926" i="23" s="1"/>
  <c r="E926" i="23"/>
  <c r="F926" i="23"/>
  <c r="G926" i="23"/>
  <c r="B927" i="23"/>
  <c r="J869" i="23"/>
  <c r="N869" i="23" s="1"/>
  <c r="D869" i="23"/>
  <c r="P869" i="23"/>
  <c r="Q869" i="23"/>
  <c r="R869" i="23"/>
  <c r="I870" i="23"/>
  <c r="C870" i="23"/>
  <c r="E870" i="23"/>
  <c r="F870" i="23"/>
  <c r="G870" i="23"/>
  <c r="B871" i="23"/>
  <c r="J813" i="23"/>
  <c r="N813" i="23" s="1"/>
  <c r="D813" i="23"/>
  <c r="P813" i="23"/>
  <c r="Q813" i="23"/>
  <c r="R813" i="23"/>
  <c r="I814" i="23"/>
  <c r="C814" i="23"/>
  <c r="F814" i="23" s="1"/>
  <c r="E814" i="23"/>
  <c r="G814" i="23"/>
  <c r="B815" i="23"/>
  <c r="J757" i="23"/>
  <c r="N757" i="23" s="1"/>
  <c r="D757" i="23"/>
  <c r="P757" i="23"/>
  <c r="Q757" i="23"/>
  <c r="R757" i="23"/>
  <c r="I758" i="23"/>
  <c r="C758" i="23"/>
  <c r="F758" i="23" s="1"/>
  <c r="E758" i="23"/>
  <c r="G758" i="23"/>
  <c r="B759" i="23"/>
  <c r="J701" i="23"/>
  <c r="N701" i="23" s="1"/>
  <c r="D701" i="23"/>
  <c r="P701" i="23"/>
  <c r="Q701" i="23"/>
  <c r="R701" i="23"/>
  <c r="I702" i="23"/>
  <c r="C702" i="23"/>
  <c r="E702" i="23"/>
  <c r="G702" i="23"/>
  <c r="B703" i="23"/>
  <c r="J645" i="23"/>
  <c r="N645" i="23" s="1"/>
  <c r="D645" i="23"/>
  <c r="P645" i="23"/>
  <c r="Q645" i="23"/>
  <c r="R645" i="23"/>
  <c r="I646" i="23"/>
  <c r="C646" i="23"/>
  <c r="E646" i="23"/>
  <c r="F646" i="23"/>
  <c r="G646" i="23"/>
  <c r="B647" i="23"/>
  <c r="J589" i="23"/>
  <c r="N589" i="23" s="1"/>
  <c r="D589" i="23"/>
  <c r="P589" i="23"/>
  <c r="Q589" i="23"/>
  <c r="R589" i="23"/>
  <c r="I590" i="23"/>
  <c r="C590" i="23"/>
  <c r="E590" i="23"/>
  <c r="G590" i="23"/>
  <c r="B591" i="23"/>
  <c r="J533" i="23"/>
  <c r="N533" i="23" s="1"/>
  <c r="D533" i="23"/>
  <c r="P533" i="23"/>
  <c r="Q533" i="23"/>
  <c r="R533" i="23"/>
  <c r="I534" i="23"/>
  <c r="C534" i="23"/>
  <c r="F534" i="23" s="1"/>
  <c r="E534" i="23"/>
  <c r="G534" i="23"/>
  <c r="B535" i="23"/>
  <c r="P477" i="23"/>
  <c r="Q477" i="23"/>
  <c r="R477" i="23"/>
  <c r="I478" i="23"/>
  <c r="E478" i="23"/>
  <c r="B479" i="23"/>
  <c r="G478" i="23"/>
  <c r="C478" i="23"/>
  <c r="F478" i="23" s="1"/>
  <c r="J477" i="23"/>
  <c r="N477" i="23" s="1"/>
  <c r="D477" i="23"/>
  <c r="I422" i="23"/>
  <c r="B423" i="23"/>
  <c r="E422" i="23"/>
  <c r="C422" i="23"/>
  <c r="K422" i="23" s="1"/>
  <c r="F422" i="23"/>
  <c r="G422" i="23"/>
  <c r="J421" i="23"/>
  <c r="D421" i="23"/>
  <c r="P421" i="23"/>
  <c r="Q421" i="23"/>
  <c r="R421" i="23"/>
  <c r="J365" i="23"/>
  <c r="N365" i="23" s="1"/>
  <c r="D365" i="23"/>
  <c r="P365" i="23"/>
  <c r="Q365" i="23"/>
  <c r="R365" i="23"/>
  <c r="I366" i="23"/>
  <c r="C366" i="23"/>
  <c r="K366" i="23" s="1"/>
  <c r="E366" i="23"/>
  <c r="F366" i="23"/>
  <c r="G366" i="23"/>
  <c r="B367" i="23"/>
  <c r="J309" i="23"/>
  <c r="N309" i="23" s="1"/>
  <c r="D309" i="23"/>
  <c r="P309" i="23"/>
  <c r="Q309" i="23"/>
  <c r="R309" i="23"/>
  <c r="I310" i="23"/>
  <c r="C310" i="23"/>
  <c r="E310" i="23"/>
  <c r="F310" i="23"/>
  <c r="G310" i="23"/>
  <c r="B311" i="23"/>
  <c r="J253" i="23"/>
  <c r="N253" i="23" s="1"/>
  <c r="D253" i="23"/>
  <c r="P253" i="23"/>
  <c r="R253" i="23"/>
  <c r="Q253" i="23"/>
  <c r="I254" i="23"/>
  <c r="C254" i="23"/>
  <c r="E254" i="23"/>
  <c r="G254" i="23"/>
  <c r="B255" i="23"/>
  <c r="D4732" i="22"/>
  <c r="J4732" i="22"/>
  <c r="N4732" i="22" s="1"/>
  <c r="M4732" i="22"/>
  <c r="E4733" i="22"/>
  <c r="B4734" i="22"/>
  <c r="C4733" i="22"/>
  <c r="F4733" i="22" s="1"/>
  <c r="I4733" i="22"/>
  <c r="G4733" i="22"/>
  <c r="K4733" i="22"/>
  <c r="L4733" i="22"/>
  <c r="P4732" i="22"/>
  <c r="Q4732" i="22"/>
  <c r="R4732" i="22"/>
  <c r="S4677" i="22"/>
  <c r="U4677" i="22"/>
  <c r="M4678" i="22"/>
  <c r="D4678" i="22"/>
  <c r="J4678" i="22"/>
  <c r="N4678" i="22" s="1"/>
  <c r="P4678" i="22"/>
  <c r="Q4678" i="22"/>
  <c r="R4678" i="22"/>
  <c r="L4679" i="22"/>
  <c r="C4679" i="22"/>
  <c r="K4679" i="22" s="1"/>
  <c r="E4679" i="22"/>
  <c r="F4679" i="22"/>
  <c r="G4679" i="22"/>
  <c r="I4679" i="22"/>
  <c r="B4680" i="22"/>
  <c r="P4624" i="22"/>
  <c r="Q4624" i="22"/>
  <c r="R4624" i="22"/>
  <c r="C4625" i="22"/>
  <c r="E4625" i="22"/>
  <c r="G4625" i="22"/>
  <c r="B4626" i="22"/>
  <c r="M4570" i="22"/>
  <c r="J4570" i="22"/>
  <c r="N4570" i="22" s="1"/>
  <c r="D4570" i="22"/>
  <c r="P4570" i="22"/>
  <c r="Q4570" i="22"/>
  <c r="R4570" i="22"/>
  <c r="I4571" i="22"/>
  <c r="L4571" i="22"/>
  <c r="C4571" i="22"/>
  <c r="K4571" i="22" s="1"/>
  <c r="E4571" i="22"/>
  <c r="F4571" i="22"/>
  <c r="G4571" i="22"/>
  <c r="B4572" i="22"/>
  <c r="M4516" i="22"/>
  <c r="D4516" i="22"/>
  <c r="J4516" i="22"/>
  <c r="N4516" i="22" s="1"/>
  <c r="P4516" i="22"/>
  <c r="Q4516" i="22"/>
  <c r="R4516" i="22"/>
  <c r="L4517" i="22"/>
  <c r="C4517" i="22"/>
  <c r="K4517" i="22" s="1"/>
  <c r="E4517" i="22"/>
  <c r="F4517" i="22"/>
  <c r="G4517" i="22"/>
  <c r="I4517" i="22"/>
  <c r="B4518" i="22"/>
  <c r="M4216" i="22"/>
  <c r="D4216" i="22"/>
  <c r="J4216" i="22"/>
  <c r="N4216" i="22" s="1"/>
  <c r="U4216" i="22" s="1"/>
  <c r="P4216" i="22"/>
  <c r="Q4216" i="22"/>
  <c r="R4216" i="22"/>
  <c r="L4217" i="22"/>
  <c r="C4217" i="22"/>
  <c r="E4217" i="22"/>
  <c r="G4217" i="22"/>
  <c r="I4217" i="22"/>
  <c r="B4218" i="22"/>
  <c r="M4162" i="22"/>
  <c r="D4162" i="22"/>
  <c r="J4162" i="22"/>
  <c r="N4162" i="22" s="1"/>
  <c r="U4162" i="22" s="1"/>
  <c r="P4162" i="22"/>
  <c r="Q4162" i="22"/>
  <c r="R4162" i="22"/>
  <c r="L4163" i="22"/>
  <c r="C4163" i="22"/>
  <c r="E4163" i="22"/>
  <c r="G4163" i="22"/>
  <c r="I4163" i="22"/>
  <c r="B4164" i="22"/>
  <c r="M4108" i="22"/>
  <c r="D4108" i="22"/>
  <c r="J4108" i="22"/>
  <c r="N4108" i="22" s="1"/>
  <c r="U4108" i="22" s="1"/>
  <c r="P4108" i="22"/>
  <c r="Q4108" i="22"/>
  <c r="R4108" i="22"/>
  <c r="L4109" i="22"/>
  <c r="C4109" i="22"/>
  <c r="E4109" i="22"/>
  <c r="G4109" i="22"/>
  <c r="I4109" i="22"/>
  <c r="B4110" i="22"/>
  <c r="D4054" i="22"/>
  <c r="J4054" i="22"/>
  <c r="P4054" i="22"/>
  <c r="Q4054" i="22"/>
  <c r="R4054" i="22"/>
  <c r="L4055" i="22"/>
  <c r="C4055" i="22"/>
  <c r="E4055" i="22"/>
  <c r="G4055" i="22"/>
  <c r="I4055" i="22"/>
  <c r="B4056" i="22"/>
  <c r="M3754" i="22"/>
  <c r="D3754" i="22"/>
  <c r="J3754" i="22"/>
  <c r="N3754" i="22" s="1"/>
  <c r="U3754" i="22" s="1"/>
  <c r="P3754" i="22"/>
  <c r="Q3754" i="22"/>
  <c r="R3754" i="22"/>
  <c r="L3755" i="22"/>
  <c r="C3755" i="22"/>
  <c r="K3755" i="22" s="1"/>
  <c r="E3755" i="22"/>
  <c r="F3755" i="22"/>
  <c r="O3755" i="22" s="1"/>
  <c r="G3755" i="22"/>
  <c r="I3755" i="22"/>
  <c r="B3756" i="22"/>
  <c r="D3700" i="22"/>
  <c r="J3700" i="22"/>
  <c r="P3700" i="22"/>
  <c r="Q3700" i="22"/>
  <c r="R3700" i="22"/>
  <c r="L3701" i="22"/>
  <c r="C3701" i="22"/>
  <c r="K3701" i="22" s="1"/>
  <c r="E3701" i="22"/>
  <c r="F3701" i="22"/>
  <c r="O3701" i="22" s="1"/>
  <c r="G3701" i="22"/>
  <c r="I3701" i="22"/>
  <c r="B3702" i="22"/>
  <c r="D3646" i="22"/>
  <c r="J3646" i="22"/>
  <c r="P3646" i="22"/>
  <c r="Q3646" i="22"/>
  <c r="R3646" i="22"/>
  <c r="L3647" i="22"/>
  <c r="C3647" i="22"/>
  <c r="K3647" i="22" s="1"/>
  <c r="E3647" i="22"/>
  <c r="F3647" i="22"/>
  <c r="O3647" i="22" s="1"/>
  <c r="G3647" i="22"/>
  <c r="I3647" i="22"/>
  <c r="B3648" i="22"/>
  <c r="J3592" i="22"/>
  <c r="D3592" i="22"/>
  <c r="P3592" i="22"/>
  <c r="Q3592" i="22"/>
  <c r="R3592" i="22"/>
  <c r="L3593" i="22"/>
  <c r="G3593" i="22"/>
  <c r="B3594" i="22"/>
  <c r="C3593" i="22"/>
  <c r="E3593" i="22"/>
  <c r="I3593" i="22"/>
  <c r="M3538" i="22"/>
  <c r="P3538" i="22"/>
  <c r="Q3538" i="22"/>
  <c r="R3538" i="22"/>
  <c r="L3539" i="22"/>
  <c r="I3539" i="22"/>
  <c r="B3540" i="22"/>
  <c r="C3539" i="22"/>
  <c r="K3539" i="22" s="1"/>
  <c r="E3539" i="22"/>
  <c r="F3539" i="22"/>
  <c r="O3539" i="22" s="1"/>
  <c r="G3539" i="22"/>
  <c r="D3538" i="22"/>
  <c r="J3538" i="22"/>
  <c r="N3538" i="22" s="1"/>
  <c r="U3538" i="22" s="1"/>
  <c r="M3484" i="22"/>
  <c r="D3484" i="22"/>
  <c r="J3484" i="22"/>
  <c r="N3484" i="22" s="1"/>
  <c r="U3484" i="22" s="1"/>
  <c r="P3484" i="22"/>
  <c r="Q3484" i="22"/>
  <c r="R3484" i="22"/>
  <c r="L3485" i="22"/>
  <c r="C3485" i="22"/>
  <c r="E3485" i="22"/>
  <c r="G3485" i="22"/>
  <c r="I3485" i="22"/>
  <c r="B3486" i="22"/>
  <c r="M3430" i="22"/>
  <c r="D3430" i="22"/>
  <c r="J3430" i="22"/>
  <c r="N3430" i="22" s="1"/>
  <c r="U3430" i="22" s="1"/>
  <c r="P3430" i="22"/>
  <c r="Q3430" i="22"/>
  <c r="R3430" i="22"/>
  <c r="L3431" i="22"/>
  <c r="C3431" i="22"/>
  <c r="E3431" i="22"/>
  <c r="G3431" i="22"/>
  <c r="I3431" i="22"/>
  <c r="B3432" i="22"/>
  <c r="M3376" i="22"/>
  <c r="D3376" i="22"/>
  <c r="J3376" i="22"/>
  <c r="N3376" i="22" s="1"/>
  <c r="U3376" i="22" s="1"/>
  <c r="P3376" i="22"/>
  <c r="Q3376" i="22"/>
  <c r="R3376" i="22"/>
  <c r="L3377" i="22"/>
  <c r="C3377" i="22"/>
  <c r="E3377" i="22"/>
  <c r="G3377" i="22"/>
  <c r="I3377" i="22"/>
  <c r="B3378" i="22"/>
  <c r="M3322" i="22"/>
  <c r="D3322" i="22"/>
  <c r="J3322" i="22"/>
  <c r="N3322" i="22" s="1"/>
  <c r="U3322" i="22" s="1"/>
  <c r="P3322" i="22"/>
  <c r="Q3322" i="22"/>
  <c r="R3322" i="22"/>
  <c r="L3323" i="22"/>
  <c r="C3323" i="22"/>
  <c r="K3323" i="22" s="1"/>
  <c r="E3323" i="22"/>
  <c r="F3323" i="22"/>
  <c r="O3323" i="22" s="1"/>
  <c r="G3323" i="22"/>
  <c r="I3323" i="22"/>
  <c r="B3324" i="22"/>
  <c r="M3268" i="22"/>
  <c r="D3268" i="22"/>
  <c r="J3268" i="22"/>
  <c r="N3268" i="22" s="1"/>
  <c r="U3268" i="22" s="1"/>
  <c r="P3268" i="22"/>
  <c r="Q3268" i="22"/>
  <c r="R3268" i="22"/>
  <c r="L3269" i="22"/>
  <c r="C3269" i="22"/>
  <c r="E3269" i="22"/>
  <c r="G3269" i="22"/>
  <c r="I3269" i="22"/>
  <c r="B3270" i="22"/>
  <c r="M3214" i="22"/>
  <c r="D3214" i="22"/>
  <c r="J3214" i="22"/>
  <c r="N3214" i="22" s="1"/>
  <c r="U3214" i="22" s="1"/>
  <c r="P3214" i="22"/>
  <c r="Q3214" i="22"/>
  <c r="R3214" i="22"/>
  <c r="L3215" i="22"/>
  <c r="C3215" i="22"/>
  <c r="K3215" i="22" s="1"/>
  <c r="E3215" i="22"/>
  <c r="F3215" i="22"/>
  <c r="O3215" i="22" s="1"/>
  <c r="G3215" i="22"/>
  <c r="I3215" i="22"/>
  <c r="B3216" i="22"/>
  <c r="M3160" i="22"/>
  <c r="D3160" i="22"/>
  <c r="J3160" i="22"/>
  <c r="N3160" i="22" s="1"/>
  <c r="U3160" i="22" s="1"/>
  <c r="P3160" i="22"/>
  <c r="Q3160" i="22"/>
  <c r="R3160" i="22"/>
  <c r="L3161" i="22"/>
  <c r="C3161" i="22"/>
  <c r="K3161" i="22" s="1"/>
  <c r="E3161" i="22"/>
  <c r="F3161" i="22"/>
  <c r="O3161" i="22" s="1"/>
  <c r="G3161" i="22"/>
  <c r="I3161" i="22"/>
  <c r="B3162" i="22"/>
  <c r="P3106" i="22"/>
  <c r="Q3106" i="22"/>
  <c r="R3106" i="22"/>
  <c r="J3106" i="22"/>
  <c r="D3106" i="22"/>
  <c r="L3107" i="22"/>
  <c r="G3107" i="22"/>
  <c r="C3107" i="22"/>
  <c r="E3107" i="22"/>
  <c r="I3107" i="22"/>
  <c r="B3108" i="22"/>
  <c r="M3052" i="22"/>
  <c r="P3052" i="22"/>
  <c r="Q3052" i="22"/>
  <c r="R3052" i="22"/>
  <c r="L3053" i="22"/>
  <c r="I3053" i="22"/>
  <c r="B3054" i="22"/>
  <c r="C3053" i="22"/>
  <c r="E3053" i="22"/>
  <c r="G3053" i="22"/>
  <c r="J3052" i="22"/>
  <c r="N3052" i="22" s="1"/>
  <c r="U3052" i="22" s="1"/>
  <c r="D3052" i="22"/>
  <c r="D2998" i="22"/>
  <c r="J2998" i="22"/>
  <c r="P2998" i="22"/>
  <c r="Q2998" i="22"/>
  <c r="R2998" i="22"/>
  <c r="L2999" i="22"/>
  <c r="E2999" i="22"/>
  <c r="G2999" i="22"/>
  <c r="C2999" i="22"/>
  <c r="I2999" i="22"/>
  <c r="B3000" i="22"/>
  <c r="M2944" i="22"/>
  <c r="D2944" i="22"/>
  <c r="J2944" i="22"/>
  <c r="N2944" i="22" s="1"/>
  <c r="U2944" i="22" s="1"/>
  <c r="P2944" i="22"/>
  <c r="Q2944" i="22"/>
  <c r="R2944" i="22"/>
  <c r="L2945" i="22"/>
  <c r="C2945" i="22"/>
  <c r="E2945" i="22"/>
  <c r="G2945" i="22"/>
  <c r="B2946" i="22"/>
  <c r="I2945" i="22"/>
  <c r="M2890" i="22"/>
  <c r="D2890" i="22"/>
  <c r="J2890" i="22"/>
  <c r="N2890" i="22" s="1"/>
  <c r="U2890" i="22" s="1"/>
  <c r="P2890" i="22"/>
  <c r="Q2890" i="22"/>
  <c r="R2890" i="22"/>
  <c r="L2891" i="22"/>
  <c r="C2891" i="22"/>
  <c r="K2891" i="22" s="1"/>
  <c r="E2891" i="22"/>
  <c r="F2891" i="22"/>
  <c r="O2891" i="22" s="1"/>
  <c r="G2891" i="22"/>
  <c r="I2891" i="22"/>
  <c r="B2892" i="22"/>
  <c r="M2836" i="22"/>
  <c r="D2836" i="22"/>
  <c r="J2836" i="22"/>
  <c r="N2836" i="22" s="1"/>
  <c r="U2836" i="22" s="1"/>
  <c r="P2836" i="22"/>
  <c r="Q2836" i="22"/>
  <c r="R2836" i="22"/>
  <c r="L2837" i="22"/>
  <c r="C2837" i="22"/>
  <c r="K2837" i="22" s="1"/>
  <c r="E2837" i="22"/>
  <c r="F2837" i="22"/>
  <c r="O2837" i="22" s="1"/>
  <c r="G2837" i="22"/>
  <c r="I2837" i="22"/>
  <c r="B2838" i="22"/>
  <c r="M2782" i="22"/>
  <c r="D2782" i="22"/>
  <c r="J2782" i="22"/>
  <c r="N2782" i="22" s="1"/>
  <c r="S2782" i="22" s="1"/>
  <c r="T2782" i="22" s="1"/>
  <c r="U2782" i="22" s="1"/>
  <c r="P2782" i="22"/>
  <c r="Q2782" i="22"/>
  <c r="R2782" i="22"/>
  <c r="L2783" i="22"/>
  <c r="C2783" i="22"/>
  <c r="K2783" i="22" s="1"/>
  <c r="E2783" i="22"/>
  <c r="F2783" i="22"/>
  <c r="O2783" i="22" s="1"/>
  <c r="G2783" i="22"/>
  <c r="I2783" i="22"/>
  <c r="B2784" i="22"/>
  <c r="M2728" i="22"/>
  <c r="D2728" i="22"/>
  <c r="J2728" i="22"/>
  <c r="N2728" i="22" s="1"/>
  <c r="U2728" i="22" s="1"/>
  <c r="P2728" i="22"/>
  <c r="Q2728" i="22"/>
  <c r="R2728" i="22"/>
  <c r="L2729" i="22"/>
  <c r="C2729" i="22"/>
  <c r="K2729" i="22" s="1"/>
  <c r="E2729" i="22"/>
  <c r="F2729" i="22"/>
  <c r="O2729" i="22" s="1"/>
  <c r="G2729" i="22"/>
  <c r="I2729" i="22"/>
  <c r="B2730" i="22"/>
  <c r="M2674" i="22"/>
  <c r="D2674" i="22"/>
  <c r="J2674" i="22"/>
  <c r="N2674" i="22" s="1"/>
  <c r="U2674" i="22" s="1"/>
  <c r="P2674" i="22"/>
  <c r="Q2674" i="22"/>
  <c r="R2674" i="22"/>
  <c r="L2675" i="22"/>
  <c r="C2675" i="22"/>
  <c r="E2675" i="22"/>
  <c r="G2675" i="22"/>
  <c r="I2675" i="22"/>
  <c r="B2676" i="22"/>
  <c r="M2620" i="22"/>
  <c r="D2620" i="22"/>
  <c r="J2620" i="22"/>
  <c r="N2620" i="22" s="1"/>
  <c r="U2620" i="22" s="1"/>
  <c r="P2620" i="22"/>
  <c r="Q2620" i="22"/>
  <c r="R2620" i="22"/>
  <c r="L2621" i="22"/>
  <c r="C2621" i="22"/>
  <c r="E2621" i="22"/>
  <c r="G2621" i="22"/>
  <c r="I2621" i="22"/>
  <c r="B2622" i="22"/>
  <c r="N2565" i="22"/>
  <c r="U2565" i="22" s="1"/>
  <c r="M2565" i="22"/>
  <c r="D2566" i="22"/>
  <c r="J2566" i="22"/>
  <c r="P2566" i="22"/>
  <c r="Q2566" i="22"/>
  <c r="R2566" i="22"/>
  <c r="L2567" i="22"/>
  <c r="C2567" i="22"/>
  <c r="E2567" i="22"/>
  <c r="G2567" i="22"/>
  <c r="I2567" i="22"/>
  <c r="B2568" i="22"/>
  <c r="D2512" i="22"/>
  <c r="J2512" i="22"/>
  <c r="P2512" i="22"/>
  <c r="Q2512" i="22"/>
  <c r="R2512" i="22"/>
  <c r="L2513" i="22"/>
  <c r="C2513" i="22"/>
  <c r="E2513" i="22"/>
  <c r="G2513" i="22"/>
  <c r="I2513" i="22"/>
  <c r="B2514" i="22"/>
  <c r="D2458" i="22"/>
  <c r="J2458" i="22"/>
  <c r="P2458" i="22"/>
  <c r="Q2458" i="22"/>
  <c r="R2458" i="22"/>
  <c r="L2459" i="22"/>
  <c r="C2459" i="22"/>
  <c r="E2459" i="22"/>
  <c r="G2459" i="22"/>
  <c r="I2459" i="22"/>
  <c r="B2460" i="22"/>
  <c r="D2404" i="22"/>
  <c r="J2404" i="22"/>
  <c r="P2404" i="22"/>
  <c r="Q2404" i="22"/>
  <c r="R2404" i="22"/>
  <c r="L2405" i="22"/>
  <c r="C2405" i="22"/>
  <c r="K2405" i="22" s="1"/>
  <c r="E2405" i="22"/>
  <c r="F2405" i="22"/>
  <c r="O2405" i="22" s="1"/>
  <c r="G2405" i="22"/>
  <c r="I2405" i="22"/>
  <c r="B2406" i="22"/>
  <c r="D2350" i="22"/>
  <c r="J2350" i="22"/>
  <c r="P2350" i="22"/>
  <c r="Q2350" i="22"/>
  <c r="R2350" i="22"/>
  <c r="L2351" i="22"/>
  <c r="C2351" i="22"/>
  <c r="K2351" i="22" s="1"/>
  <c r="E2351" i="22"/>
  <c r="F2351" i="22"/>
  <c r="O2351" i="22" s="1"/>
  <c r="G2351" i="22"/>
  <c r="I2351" i="22"/>
  <c r="B2352" i="22"/>
  <c r="L2297" i="22"/>
  <c r="C2297" i="22"/>
  <c r="B2298" i="22"/>
  <c r="G2297" i="22"/>
  <c r="E2297" i="22"/>
  <c r="I2297" i="22"/>
  <c r="P2296" i="22"/>
  <c r="Q2296" i="22"/>
  <c r="R2296" i="22"/>
  <c r="J2296" i="22"/>
  <c r="D2296" i="22"/>
  <c r="D2242" i="22"/>
  <c r="J2242" i="22"/>
  <c r="P2242" i="22"/>
  <c r="Q2242" i="22"/>
  <c r="R2242" i="22"/>
  <c r="L2243" i="22"/>
  <c r="C2243" i="22"/>
  <c r="E2243" i="22"/>
  <c r="G2243" i="22"/>
  <c r="I2243" i="22"/>
  <c r="B2244" i="22"/>
  <c r="M2188" i="22"/>
  <c r="D2188" i="22"/>
  <c r="J2188" i="22"/>
  <c r="N2188" i="22" s="1"/>
  <c r="U2188" i="22" s="1"/>
  <c r="P2188" i="22"/>
  <c r="Q2188" i="22"/>
  <c r="R2188" i="22"/>
  <c r="L2189" i="22"/>
  <c r="C2189" i="22"/>
  <c r="E2189" i="22"/>
  <c r="G2189" i="22"/>
  <c r="I2189" i="22"/>
  <c r="B2190" i="22"/>
  <c r="D2134" i="22"/>
  <c r="J2134" i="22"/>
  <c r="P2134" i="22"/>
  <c r="Q2134" i="22"/>
  <c r="R2134" i="22"/>
  <c r="L2135" i="22"/>
  <c r="C2135" i="22"/>
  <c r="K2135" i="22" s="1"/>
  <c r="E2135" i="22"/>
  <c r="F2135" i="22"/>
  <c r="O2135" i="22" s="1"/>
  <c r="G2135" i="22"/>
  <c r="I2135" i="22"/>
  <c r="B2136" i="22"/>
  <c r="M2080" i="22"/>
  <c r="D2080" i="22"/>
  <c r="J2080" i="22"/>
  <c r="N2080" i="22" s="1"/>
  <c r="U2080" i="22" s="1"/>
  <c r="P2080" i="22"/>
  <c r="Q2080" i="22"/>
  <c r="R2080" i="22"/>
  <c r="L2081" i="22"/>
  <c r="C2081" i="22"/>
  <c r="E2081" i="22"/>
  <c r="G2081" i="22"/>
  <c r="I2081" i="22"/>
  <c r="B2082" i="22"/>
  <c r="M2026" i="22"/>
  <c r="D2026" i="22"/>
  <c r="J2026" i="22"/>
  <c r="N2026" i="22" s="1"/>
  <c r="U2026" i="22" s="1"/>
  <c r="P2026" i="22"/>
  <c r="Q2026" i="22"/>
  <c r="R2026" i="22"/>
  <c r="L2027" i="22"/>
  <c r="C2027" i="22"/>
  <c r="K2027" i="22" s="1"/>
  <c r="E2027" i="22"/>
  <c r="F2027" i="22"/>
  <c r="O2027" i="22" s="1"/>
  <c r="G2027" i="22"/>
  <c r="I2027" i="22"/>
  <c r="B2028" i="22"/>
  <c r="L1973" i="22"/>
  <c r="E1973" i="22"/>
  <c r="C1973" i="22"/>
  <c r="K1973" i="22" s="1"/>
  <c r="I1973" i="22"/>
  <c r="B1974" i="22"/>
  <c r="F1973" i="22"/>
  <c r="O1973" i="22" s="1"/>
  <c r="G1973" i="22"/>
  <c r="P1972" i="22"/>
  <c r="Q1972" i="22"/>
  <c r="R1972" i="22"/>
  <c r="J1972" i="22"/>
  <c r="D1972" i="22"/>
  <c r="M1918" i="22"/>
  <c r="D1918" i="22"/>
  <c r="J1918" i="22"/>
  <c r="N1918" i="22" s="1"/>
  <c r="U1918" i="22" s="1"/>
  <c r="P1918" i="22"/>
  <c r="Q1918" i="22"/>
  <c r="R1918" i="22"/>
  <c r="L1919" i="22"/>
  <c r="C1919" i="22"/>
  <c r="K1919" i="22" s="1"/>
  <c r="E1919" i="22"/>
  <c r="F1919" i="22"/>
  <c r="O1919" i="22" s="1"/>
  <c r="G1919" i="22"/>
  <c r="I1919" i="22"/>
  <c r="B1920" i="22"/>
  <c r="N1863" i="22"/>
  <c r="U1863" i="22" s="1"/>
  <c r="M1863" i="22"/>
  <c r="M1864" i="22"/>
  <c r="D1864" i="22"/>
  <c r="J1864" i="22"/>
  <c r="N1864" i="22" s="1"/>
  <c r="U1864" i="22" s="1"/>
  <c r="P1864" i="22"/>
  <c r="Q1864" i="22"/>
  <c r="R1864" i="22"/>
  <c r="L1865" i="22"/>
  <c r="C1865" i="22"/>
  <c r="K1865" i="22" s="1"/>
  <c r="E1865" i="22"/>
  <c r="F1865" i="22"/>
  <c r="O1865" i="22" s="1"/>
  <c r="G1865" i="22"/>
  <c r="I1865" i="22"/>
  <c r="B1866" i="22"/>
  <c r="N1809" i="22"/>
  <c r="U1809" i="22" s="1"/>
  <c r="M1809" i="22"/>
  <c r="M1810" i="22"/>
  <c r="D1810" i="22"/>
  <c r="J1810" i="22"/>
  <c r="N1810" i="22" s="1"/>
  <c r="U1810" i="22" s="1"/>
  <c r="P1810" i="22"/>
  <c r="Q1810" i="22"/>
  <c r="R1810" i="22"/>
  <c r="L1811" i="22"/>
  <c r="C1811" i="22"/>
  <c r="K1811" i="22" s="1"/>
  <c r="E1811" i="22"/>
  <c r="F1811" i="22"/>
  <c r="O1811" i="22" s="1"/>
  <c r="G1811" i="22"/>
  <c r="I1811" i="22"/>
  <c r="B1812" i="22"/>
  <c r="M1756" i="22"/>
  <c r="D1756" i="22"/>
  <c r="J1756" i="22"/>
  <c r="N1756" i="22" s="1"/>
  <c r="U1756" i="22" s="1"/>
  <c r="P1756" i="22"/>
  <c r="Q1756" i="22"/>
  <c r="R1756" i="22"/>
  <c r="L1757" i="22"/>
  <c r="C1757" i="22"/>
  <c r="E1757" i="22"/>
  <c r="G1757" i="22"/>
  <c r="I1757" i="22"/>
  <c r="B1758" i="22"/>
  <c r="M1702" i="22"/>
  <c r="D1702" i="22"/>
  <c r="J1702" i="22"/>
  <c r="N1702" i="22" s="1"/>
  <c r="U1702" i="22" s="1"/>
  <c r="P1702" i="22"/>
  <c r="Q1702" i="22"/>
  <c r="R1702" i="22"/>
  <c r="L1703" i="22"/>
  <c r="C1703" i="22"/>
  <c r="K1703" i="22" s="1"/>
  <c r="E1703" i="22"/>
  <c r="F1703" i="22"/>
  <c r="O1703" i="22" s="1"/>
  <c r="G1703" i="22"/>
  <c r="I1703" i="22"/>
  <c r="B1704" i="22"/>
  <c r="D1648" i="22"/>
  <c r="J1648" i="22"/>
  <c r="P1648" i="22"/>
  <c r="Q1648" i="22"/>
  <c r="R1648" i="22"/>
  <c r="L1649" i="22"/>
  <c r="C1649" i="22"/>
  <c r="K1649" i="22" s="1"/>
  <c r="E1649" i="22"/>
  <c r="F1649" i="22"/>
  <c r="O1649" i="22" s="1"/>
  <c r="G1649" i="22"/>
  <c r="I1649" i="22"/>
  <c r="B1650" i="22"/>
  <c r="M1594" i="22"/>
  <c r="D1594" i="22"/>
  <c r="J1594" i="22"/>
  <c r="N1594" i="22" s="1"/>
  <c r="U1594" i="22" s="1"/>
  <c r="P1594" i="22"/>
  <c r="Q1594" i="22"/>
  <c r="R1594" i="22"/>
  <c r="L1595" i="22"/>
  <c r="C1595" i="22"/>
  <c r="K1595" i="22" s="1"/>
  <c r="E1595" i="22"/>
  <c r="F1595" i="22"/>
  <c r="O1595" i="22" s="1"/>
  <c r="G1595" i="22"/>
  <c r="I1595" i="22"/>
  <c r="B1596" i="22"/>
  <c r="D1540" i="22"/>
  <c r="J1540" i="22"/>
  <c r="P1540" i="22"/>
  <c r="Q1540" i="22"/>
  <c r="R1540" i="22"/>
  <c r="L1541" i="22"/>
  <c r="C1541" i="22"/>
  <c r="K1541" i="22" s="1"/>
  <c r="E1541" i="22"/>
  <c r="F1541" i="22"/>
  <c r="O1541" i="22" s="1"/>
  <c r="G1541" i="22"/>
  <c r="I1541" i="22"/>
  <c r="B1542" i="22"/>
  <c r="D1486" i="22"/>
  <c r="J1486" i="22"/>
  <c r="P1486" i="22"/>
  <c r="Q1486" i="22"/>
  <c r="R1486" i="22"/>
  <c r="L1487" i="22"/>
  <c r="C1487" i="22"/>
  <c r="K1487" i="22" s="1"/>
  <c r="E1487" i="22"/>
  <c r="F1487" i="22"/>
  <c r="O1487" i="22" s="1"/>
  <c r="G1487" i="22"/>
  <c r="I1487" i="22"/>
  <c r="B1488" i="22"/>
  <c r="D1432" i="22"/>
  <c r="J1432" i="22"/>
  <c r="P1432" i="22"/>
  <c r="Q1432" i="22"/>
  <c r="R1432" i="22"/>
  <c r="L1433" i="22"/>
  <c r="C1433" i="22"/>
  <c r="E1433" i="22"/>
  <c r="G1433" i="22"/>
  <c r="I1433" i="22"/>
  <c r="B1434" i="22"/>
  <c r="D1378" i="22"/>
  <c r="J1378" i="22"/>
  <c r="P1378" i="22"/>
  <c r="Q1378" i="22"/>
  <c r="R1378" i="22"/>
  <c r="L1379" i="22"/>
  <c r="C1379" i="22"/>
  <c r="E1379" i="22"/>
  <c r="G1379" i="22"/>
  <c r="I1379" i="22"/>
  <c r="B1380" i="22"/>
  <c r="M1324" i="22"/>
  <c r="D1324" i="22"/>
  <c r="J1324" i="22"/>
  <c r="N1324" i="22" s="1"/>
  <c r="U1324" i="22" s="1"/>
  <c r="P1324" i="22"/>
  <c r="Q1324" i="22"/>
  <c r="R1324" i="22"/>
  <c r="L1325" i="22"/>
  <c r="C1325" i="22"/>
  <c r="E1325" i="22"/>
  <c r="G1325" i="22"/>
  <c r="I1325" i="22"/>
  <c r="B1326" i="22"/>
  <c r="D1270" i="22"/>
  <c r="J1270" i="22"/>
  <c r="P1270" i="22"/>
  <c r="Q1270" i="22"/>
  <c r="R1270" i="22"/>
  <c r="L1271" i="22"/>
  <c r="C1271" i="22"/>
  <c r="E1271" i="22"/>
  <c r="G1271" i="22"/>
  <c r="I1271" i="22"/>
  <c r="B1272" i="22"/>
  <c r="M1216" i="22"/>
  <c r="D1216" i="22"/>
  <c r="J1216" i="22"/>
  <c r="N1216" i="22" s="1"/>
  <c r="U1216" i="22" s="1"/>
  <c r="P1216" i="22"/>
  <c r="Q1216" i="22"/>
  <c r="R1216" i="22"/>
  <c r="L1217" i="22"/>
  <c r="C1217" i="22"/>
  <c r="E1217" i="22"/>
  <c r="G1217" i="22"/>
  <c r="I1217" i="22"/>
  <c r="B1218" i="22"/>
  <c r="M1162" i="22"/>
  <c r="D1162" i="22"/>
  <c r="J1162" i="22"/>
  <c r="N1162" i="22" s="1"/>
  <c r="U1162" i="22" s="1"/>
  <c r="P1162" i="22"/>
  <c r="Q1162" i="22"/>
  <c r="R1162" i="22"/>
  <c r="L1163" i="22"/>
  <c r="C1163" i="22"/>
  <c r="K1163" i="22" s="1"/>
  <c r="E1163" i="22"/>
  <c r="F1163" i="22"/>
  <c r="O1163" i="22" s="1"/>
  <c r="G1163" i="22"/>
  <c r="I1163" i="22"/>
  <c r="B1164" i="22"/>
  <c r="M1108" i="22"/>
  <c r="D1108" i="22"/>
  <c r="J1108" i="22"/>
  <c r="N1108" i="22" s="1"/>
  <c r="U1108" i="22" s="1"/>
  <c r="P1108" i="22"/>
  <c r="Q1108" i="22"/>
  <c r="R1108" i="22"/>
  <c r="L1109" i="22"/>
  <c r="C1109" i="22"/>
  <c r="K1109" i="22" s="1"/>
  <c r="E1109" i="22"/>
  <c r="F1109" i="22"/>
  <c r="O1109" i="22" s="1"/>
  <c r="G1109" i="22"/>
  <c r="I1109" i="22"/>
  <c r="B1110" i="22"/>
  <c r="M1054" i="22"/>
  <c r="D1054" i="22"/>
  <c r="J1054" i="22"/>
  <c r="N1054" i="22" s="1"/>
  <c r="U1054" i="22" s="1"/>
  <c r="P1054" i="22"/>
  <c r="Q1054" i="22"/>
  <c r="R1054" i="22"/>
  <c r="L1055" i="22"/>
  <c r="C1055" i="22"/>
  <c r="K1055" i="22" s="1"/>
  <c r="E1055" i="22"/>
  <c r="F1055" i="22"/>
  <c r="O1055" i="22" s="1"/>
  <c r="G1055" i="22"/>
  <c r="I1055" i="22"/>
  <c r="B1056" i="22"/>
  <c r="M1000" i="22"/>
  <c r="D1000" i="22"/>
  <c r="J1000" i="22"/>
  <c r="N1000" i="22" s="1"/>
  <c r="U1000" i="22" s="1"/>
  <c r="P1000" i="22"/>
  <c r="Q1000" i="22"/>
  <c r="R1000" i="22"/>
  <c r="L1001" i="22"/>
  <c r="C1001" i="22"/>
  <c r="K1001" i="22" s="1"/>
  <c r="E1001" i="22"/>
  <c r="F1001" i="22"/>
  <c r="O1001" i="22" s="1"/>
  <c r="G1001" i="22"/>
  <c r="I1001" i="22"/>
  <c r="B1002" i="22"/>
  <c r="M946" i="22"/>
  <c r="D946" i="22"/>
  <c r="J946" i="22"/>
  <c r="N946" i="22" s="1"/>
  <c r="U946" i="22" s="1"/>
  <c r="P946" i="22"/>
  <c r="Q946" i="22"/>
  <c r="R946" i="22"/>
  <c r="L947" i="22"/>
  <c r="C947" i="22"/>
  <c r="E947" i="22"/>
  <c r="G947" i="22"/>
  <c r="I947" i="22"/>
  <c r="B948" i="22"/>
  <c r="M892" i="22"/>
  <c r="D892" i="22"/>
  <c r="J892" i="22"/>
  <c r="N892" i="22" s="1"/>
  <c r="U892" i="22" s="1"/>
  <c r="P892" i="22"/>
  <c r="Q892" i="22"/>
  <c r="R892" i="22"/>
  <c r="L893" i="22"/>
  <c r="C893" i="22"/>
  <c r="E893" i="22"/>
  <c r="G893" i="22"/>
  <c r="I893" i="22"/>
  <c r="B894" i="22"/>
  <c r="M838" i="22"/>
  <c r="D838" i="22"/>
  <c r="J838" i="22"/>
  <c r="N838" i="22" s="1"/>
  <c r="U838" i="22" s="1"/>
  <c r="P838" i="22"/>
  <c r="Q838" i="22"/>
  <c r="R838" i="22"/>
  <c r="L839" i="22"/>
  <c r="C839" i="22"/>
  <c r="E839" i="22"/>
  <c r="G839" i="22"/>
  <c r="I839" i="22"/>
  <c r="B840" i="22"/>
  <c r="M784" i="22"/>
  <c r="D784" i="22"/>
  <c r="J784" i="22"/>
  <c r="N784" i="22" s="1"/>
  <c r="U784" i="22" s="1"/>
  <c r="P784" i="22"/>
  <c r="Q784" i="22"/>
  <c r="R784" i="22"/>
  <c r="L785" i="22"/>
  <c r="C785" i="22"/>
  <c r="E785" i="22"/>
  <c r="G785" i="22"/>
  <c r="I785" i="22"/>
  <c r="B786" i="22"/>
  <c r="M730" i="22"/>
  <c r="D730" i="22"/>
  <c r="J730" i="22"/>
  <c r="N730" i="22" s="1"/>
  <c r="U730" i="22" s="1"/>
  <c r="P730" i="22"/>
  <c r="Q730" i="22"/>
  <c r="R730" i="22"/>
  <c r="L731" i="22"/>
  <c r="C731" i="22"/>
  <c r="K731" i="22" s="1"/>
  <c r="E731" i="22"/>
  <c r="F731" i="22"/>
  <c r="O731" i="22" s="1"/>
  <c r="G731" i="22"/>
  <c r="I731" i="22"/>
  <c r="B732" i="22"/>
  <c r="M676" i="22"/>
  <c r="D676" i="22"/>
  <c r="J676" i="22"/>
  <c r="N676" i="22" s="1"/>
  <c r="U676" i="22" s="1"/>
  <c r="P676" i="22"/>
  <c r="Q676" i="22"/>
  <c r="R676" i="22"/>
  <c r="L677" i="22"/>
  <c r="C677" i="22"/>
  <c r="K677" i="22" s="1"/>
  <c r="E677" i="22"/>
  <c r="F677" i="22"/>
  <c r="O677" i="22" s="1"/>
  <c r="G677" i="22"/>
  <c r="I677" i="22"/>
  <c r="B678" i="22"/>
  <c r="D622" i="22"/>
  <c r="J622" i="22"/>
  <c r="P622" i="22"/>
  <c r="Q622" i="22"/>
  <c r="R622" i="22"/>
  <c r="L623" i="22"/>
  <c r="C623" i="22"/>
  <c r="K623" i="22" s="1"/>
  <c r="E623" i="22"/>
  <c r="F623" i="22"/>
  <c r="O623" i="22" s="1"/>
  <c r="G623" i="22"/>
  <c r="I623" i="22"/>
  <c r="B624" i="22"/>
  <c r="D568" i="22"/>
  <c r="J568" i="22"/>
  <c r="P568" i="22"/>
  <c r="Q568" i="22"/>
  <c r="R568" i="22"/>
  <c r="L569" i="22"/>
  <c r="C569" i="22"/>
  <c r="K569" i="22" s="1"/>
  <c r="E569" i="22"/>
  <c r="F569" i="22"/>
  <c r="O569" i="22" s="1"/>
  <c r="G569" i="22"/>
  <c r="I569" i="22"/>
  <c r="B570" i="22"/>
  <c r="M514" i="22"/>
  <c r="D514" i="22"/>
  <c r="J514" i="22"/>
  <c r="N514" i="22" s="1"/>
  <c r="U514" i="22" s="1"/>
  <c r="P514" i="22"/>
  <c r="Q514" i="22"/>
  <c r="R514" i="22"/>
  <c r="L515" i="22"/>
  <c r="C515" i="22"/>
  <c r="E515" i="22"/>
  <c r="G515" i="22"/>
  <c r="I515" i="22"/>
  <c r="B516" i="22"/>
  <c r="D460" i="22"/>
  <c r="J460" i="22"/>
  <c r="P460" i="22"/>
  <c r="Q460" i="22"/>
  <c r="R460" i="22"/>
  <c r="L461" i="22"/>
  <c r="C461" i="22"/>
  <c r="K461" i="22" s="1"/>
  <c r="E461" i="22"/>
  <c r="F461" i="22"/>
  <c r="O461" i="22" s="1"/>
  <c r="G461" i="22"/>
  <c r="I461" i="22"/>
  <c r="B462" i="22"/>
  <c r="D406" i="22"/>
  <c r="J406" i="22"/>
  <c r="P406" i="22"/>
  <c r="Q406" i="22"/>
  <c r="R406" i="22"/>
  <c r="L407" i="22"/>
  <c r="C407" i="22"/>
  <c r="E407" i="22"/>
  <c r="G407" i="22"/>
  <c r="I407" i="22"/>
  <c r="B408" i="22"/>
  <c r="D352" i="22"/>
  <c r="J352" i="22"/>
  <c r="P352" i="22"/>
  <c r="Q352" i="22"/>
  <c r="R352" i="22"/>
  <c r="L353" i="22"/>
  <c r="C353" i="22"/>
  <c r="E353" i="22"/>
  <c r="G353" i="22"/>
  <c r="I353" i="22"/>
  <c r="B354" i="22"/>
  <c r="M298" i="22"/>
  <c r="D298" i="22"/>
  <c r="J298" i="22"/>
  <c r="N298" i="22" s="1"/>
  <c r="U298" i="22" s="1"/>
  <c r="P298" i="22"/>
  <c r="Q298" i="22"/>
  <c r="R298" i="22"/>
  <c r="L299" i="22"/>
  <c r="C299" i="22"/>
  <c r="E299" i="22"/>
  <c r="G299" i="22"/>
  <c r="I299" i="22"/>
  <c r="B300" i="22"/>
  <c r="M244" i="22"/>
  <c r="D244" i="22"/>
  <c r="J244" i="22"/>
  <c r="N244" i="22" s="1"/>
  <c r="U244" i="22" s="1"/>
  <c r="P244" i="22"/>
  <c r="Q244" i="22"/>
  <c r="R244" i="22"/>
  <c r="L245" i="22"/>
  <c r="C245" i="22"/>
  <c r="K245" i="22" s="1"/>
  <c r="E245" i="22"/>
  <c r="F245" i="22"/>
  <c r="O245" i="22" s="1"/>
  <c r="G245" i="22"/>
  <c r="I245" i="22"/>
  <c r="B246" i="22"/>
  <c r="D190" i="22"/>
  <c r="J190" i="22"/>
  <c r="P190" i="22"/>
  <c r="Q190" i="22"/>
  <c r="R190" i="22"/>
  <c r="L191" i="22"/>
  <c r="B192" i="22"/>
  <c r="I191" i="22"/>
  <c r="C191" i="22"/>
  <c r="K191" i="22" s="1"/>
  <c r="E191" i="22"/>
  <c r="F191" i="22"/>
  <c r="O191" i="22" s="1"/>
  <c r="G191" i="22"/>
  <c r="M136" i="22"/>
  <c r="D136" i="22"/>
  <c r="J136" i="22"/>
  <c r="N136" i="22" s="1"/>
  <c r="U136" i="22" s="1"/>
  <c r="P136" i="22"/>
  <c r="Q136" i="22"/>
  <c r="R136" i="22"/>
  <c r="L137" i="22"/>
  <c r="C137" i="22"/>
  <c r="K137" i="22" s="1"/>
  <c r="E137" i="22"/>
  <c r="F137" i="22"/>
  <c r="O137" i="22" s="1"/>
  <c r="G137" i="22"/>
  <c r="B138" i="22"/>
  <c r="I137" i="22"/>
  <c r="M82" i="22"/>
  <c r="D82" i="22"/>
  <c r="J82" i="22"/>
  <c r="N82" i="22" s="1"/>
  <c r="U82" i="22" s="1"/>
  <c r="P82" i="22"/>
  <c r="Q82" i="22"/>
  <c r="R82" i="22"/>
  <c r="L83" i="22"/>
  <c r="C83" i="22"/>
  <c r="E83" i="22"/>
  <c r="G83" i="22"/>
  <c r="I83" i="22"/>
  <c r="B84" i="22"/>
  <c r="D807" i="23"/>
  <c r="F807" i="23"/>
  <c r="G807" i="23"/>
  <c r="H807" i="23"/>
  <c r="F808" i="23" s="1"/>
  <c r="I807" i="23"/>
  <c r="J807" i="23"/>
  <c r="G808" i="23" s="1"/>
  <c r="K807" i="23"/>
  <c r="L807" i="23"/>
  <c r="H808" i="23" s="1"/>
  <c r="K808" i="23" s="1"/>
  <c r="X807" i="23"/>
  <c r="O807" i="23" s="1"/>
  <c r="Y807" i="23"/>
  <c r="V807" i="23" s="1"/>
  <c r="Z807" i="23"/>
  <c r="M810" i="23"/>
  <c r="N810" i="23"/>
  <c r="M811" i="23"/>
  <c r="N811" i="23"/>
  <c r="M812" i="23"/>
  <c r="N812" i="23"/>
  <c r="M813" i="23"/>
  <c r="B858" i="23"/>
  <c r="D863" i="23"/>
  <c r="F863" i="23"/>
  <c r="G863" i="23"/>
  <c r="H863" i="23"/>
  <c r="F864" i="23" s="1"/>
  <c r="I863" i="23"/>
  <c r="J863" i="23"/>
  <c r="G864" i="23" s="1"/>
  <c r="K863" i="23"/>
  <c r="L863" i="23"/>
  <c r="H864" i="23" s="1"/>
  <c r="K864" i="23" s="1"/>
  <c r="X863" i="23"/>
  <c r="O863" i="23" s="1"/>
  <c r="Y863" i="23"/>
  <c r="V863" i="23" s="1"/>
  <c r="F914" i="23" s="1"/>
  <c r="Z863" i="23"/>
  <c r="M866" i="23"/>
  <c r="N866" i="23"/>
  <c r="M867" i="23"/>
  <c r="N867" i="23"/>
  <c r="M868" i="23"/>
  <c r="N868" i="23"/>
  <c r="M869" i="23"/>
  <c r="D919" i="23"/>
  <c r="F919" i="23"/>
  <c r="G919" i="23"/>
  <c r="H919" i="23"/>
  <c r="F920" i="23" s="1"/>
  <c r="I919" i="23"/>
  <c r="J919" i="23"/>
  <c r="G920" i="23" s="1"/>
  <c r="K919" i="23"/>
  <c r="L919" i="23"/>
  <c r="H920" i="23" s="1"/>
  <c r="K920" i="23" s="1"/>
  <c r="X919" i="23"/>
  <c r="O919" i="23" s="1"/>
  <c r="Y919" i="23"/>
  <c r="V919" i="23" s="1"/>
  <c r="Z919" i="23"/>
  <c r="M922" i="23"/>
  <c r="N922" i="23"/>
  <c r="M923" i="23"/>
  <c r="N923" i="23"/>
  <c r="M924" i="23"/>
  <c r="N924" i="23"/>
  <c r="M925" i="23"/>
  <c r="B970" i="23"/>
  <c r="D975" i="23"/>
  <c r="F975" i="23"/>
  <c r="G975" i="23"/>
  <c r="H975" i="23"/>
  <c r="F976" i="23" s="1"/>
  <c r="I975" i="23"/>
  <c r="J975" i="23"/>
  <c r="G976" i="23" s="1"/>
  <c r="K975" i="23"/>
  <c r="L975" i="23"/>
  <c r="H976" i="23" s="1"/>
  <c r="K976" i="23" s="1"/>
  <c r="X975" i="23"/>
  <c r="O975" i="23" s="1"/>
  <c r="Y975" i="23"/>
  <c r="V975" i="23" s="1"/>
  <c r="Z975" i="23"/>
  <c r="M978" i="23"/>
  <c r="N978" i="23"/>
  <c r="M979" i="23"/>
  <c r="N979" i="23"/>
  <c r="M980" i="23"/>
  <c r="N980" i="23"/>
  <c r="M981" i="23"/>
  <c r="M1035" i="23"/>
  <c r="N1035" i="23"/>
  <c r="G1031" i="23"/>
  <c r="F1031" i="23"/>
  <c r="I1031" i="23"/>
  <c r="H1031" i="23"/>
  <c r="F1032" i="23" s="1"/>
  <c r="L1031" i="23"/>
  <c r="K1031" i="23"/>
  <c r="D1031" i="23"/>
  <c r="J1031" i="23"/>
  <c r="G1032" i="23" s="1"/>
  <c r="X1031" i="23"/>
  <c r="O1031" i="23" s="1"/>
  <c r="Y1031" i="23"/>
  <c r="V1031" i="23" s="1"/>
  <c r="Z1031" i="23"/>
  <c r="M1034" i="23"/>
  <c r="N1034" i="23"/>
  <c r="N1036" i="23"/>
  <c r="M1036" i="23"/>
  <c r="M1037" i="23"/>
  <c r="B1082" i="23"/>
  <c r="D1087" i="23"/>
  <c r="F1087" i="23"/>
  <c r="G1087" i="23"/>
  <c r="H1087" i="23"/>
  <c r="F1088" i="23" s="1"/>
  <c r="I1087" i="23"/>
  <c r="J1087" i="23"/>
  <c r="G1088" i="23" s="1"/>
  <c r="K1087" i="23"/>
  <c r="L1087" i="23"/>
  <c r="H1088" i="23" s="1"/>
  <c r="K1088" i="23" s="1"/>
  <c r="X1087" i="23"/>
  <c r="O1087" i="23" s="1"/>
  <c r="Y1087" i="23"/>
  <c r="V1087" i="23" s="1"/>
  <c r="F1138" i="23" s="1"/>
  <c r="Z1087" i="23"/>
  <c r="M1090" i="23"/>
  <c r="N1090" i="23"/>
  <c r="M1091" i="23"/>
  <c r="N1091" i="23"/>
  <c r="M1092" i="23"/>
  <c r="N1092" i="23"/>
  <c r="M1093" i="23"/>
  <c r="D1143" i="23"/>
  <c r="F1143" i="23"/>
  <c r="G1143" i="23"/>
  <c r="H1143" i="23"/>
  <c r="F1144" i="23" s="1"/>
  <c r="I1143" i="23"/>
  <c r="J1143" i="23"/>
  <c r="G1144" i="23" s="1"/>
  <c r="K1143" i="23"/>
  <c r="L1143" i="23"/>
  <c r="H1144" i="23" s="1"/>
  <c r="K1144" i="23" s="1"/>
  <c r="X1143" i="23"/>
  <c r="O1143" i="23" s="1"/>
  <c r="Y1143" i="23"/>
  <c r="V1143" i="23" s="1"/>
  <c r="Z1143" i="23"/>
  <c r="M1146" i="23"/>
  <c r="N1146" i="23"/>
  <c r="M1147" i="23"/>
  <c r="N1147" i="23"/>
  <c r="M1148" i="23"/>
  <c r="N1148" i="23"/>
  <c r="B1194" i="23"/>
  <c r="D1199" i="23"/>
  <c r="F1199" i="23"/>
  <c r="G1199" i="23"/>
  <c r="H1199" i="23"/>
  <c r="F1200" i="23" s="1"/>
  <c r="I1199" i="23"/>
  <c r="J1199" i="23"/>
  <c r="G1200" i="23" s="1"/>
  <c r="K1199" i="23"/>
  <c r="L1199" i="23"/>
  <c r="H1200" i="23" s="1"/>
  <c r="K1200" i="23" s="1"/>
  <c r="X1199" i="23"/>
  <c r="O1199" i="23" s="1"/>
  <c r="Y1199" i="23"/>
  <c r="V1199" i="23" s="1"/>
  <c r="Z1199" i="23"/>
  <c r="M1202" i="23"/>
  <c r="N1202" i="23"/>
  <c r="M1203" i="23"/>
  <c r="N1203" i="23"/>
  <c r="M1204" i="23"/>
  <c r="N1204" i="23"/>
  <c r="M1205" i="23"/>
  <c r="D1255" i="23"/>
  <c r="F1255" i="23"/>
  <c r="G1255" i="23"/>
  <c r="H1255" i="23"/>
  <c r="F1256" i="23" s="1"/>
  <c r="I1255" i="23"/>
  <c r="J1255" i="23"/>
  <c r="G1256" i="23" s="1"/>
  <c r="K1255" i="23"/>
  <c r="L1255" i="23"/>
  <c r="H1256" i="23" s="1"/>
  <c r="K1256" i="23" s="1"/>
  <c r="X1255" i="23"/>
  <c r="O1255" i="23" s="1"/>
  <c r="Y1255" i="23"/>
  <c r="V1255" i="23" s="1"/>
  <c r="Z1255" i="23"/>
  <c r="M1258" i="23"/>
  <c r="N1258" i="23"/>
  <c r="M1259" i="23"/>
  <c r="N1259" i="23"/>
  <c r="M1260" i="23"/>
  <c r="N1260" i="23"/>
  <c r="M1261" i="23"/>
  <c r="B1306" i="23"/>
  <c r="D1535" i="23"/>
  <c r="F1535" i="23"/>
  <c r="G1535" i="23"/>
  <c r="H1535" i="23"/>
  <c r="F1536" i="23" s="1"/>
  <c r="I1535" i="23"/>
  <c r="J1535" i="23"/>
  <c r="G1536" i="23" s="1"/>
  <c r="K1535" i="23"/>
  <c r="L1535" i="23"/>
  <c r="H1536" i="23" s="1"/>
  <c r="K1536" i="23" s="1"/>
  <c r="X1535" i="23"/>
  <c r="O1535" i="23" s="1"/>
  <c r="Y1535" i="23"/>
  <c r="V1535" i="23" s="1"/>
  <c r="Z1535" i="23"/>
  <c r="M1538" i="23"/>
  <c r="N1538" i="23"/>
  <c r="M1539" i="23"/>
  <c r="N1539" i="23"/>
  <c r="M1540" i="23"/>
  <c r="N1540" i="23"/>
  <c r="M1541" i="23"/>
  <c r="B1586" i="23"/>
  <c r="D1479" i="23"/>
  <c r="F1479" i="23"/>
  <c r="G1479" i="23"/>
  <c r="H1479" i="23"/>
  <c r="F1480" i="23" s="1"/>
  <c r="I1479" i="23"/>
  <c r="J1479" i="23"/>
  <c r="G1480" i="23" s="1"/>
  <c r="K1479" i="23"/>
  <c r="L1479" i="23"/>
  <c r="H1480" i="23" s="1"/>
  <c r="K1480" i="23" s="1"/>
  <c r="X1479" i="23"/>
  <c r="O1479" i="23" s="1"/>
  <c r="Y1479" i="23"/>
  <c r="V1479" i="23" s="1"/>
  <c r="Z1479" i="23"/>
  <c r="M1482" i="23"/>
  <c r="N1482" i="23"/>
  <c r="M1483" i="23"/>
  <c r="N1483" i="23"/>
  <c r="M1484" i="23"/>
  <c r="N1484" i="23"/>
  <c r="M1485" i="23"/>
  <c r="B1530" i="23"/>
  <c r="D1423" i="23"/>
  <c r="F1423" i="23"/>
  <c r="G1423" i="23"/>
  <c r="H1423" i="23"/>
  <c r="F1424" i="23" s="1"/>
  <c r="I1423" i="23"/>
  <c r="J1423" i="23"/>
  <c r="G1424" i="23" s="1"/>
  <c r="K1423" i="23"/>
  <c r="L1423" i="23"/>
  <c r="H1424" i="23" s="1"/>
  <c r="K1424" i="23" s="1"/>
  <c r="X1423" i="23"/>
  <c r="O1423" i="23" s="1"/>
  <c r="Y1423" i="23"/>
  <c r="V1423" i="23" s="1"/>
  <c r="Z1423" i="23"/>
  <c r="M1426" i="23"/>
  <c r="N1426" i="23"/>
  <c r="M1427" i="23"/>
  <c r="N1427" i="23"/>
  <c r="M1428" i="23"/>
  <c r="N1428" i="23"/>
  <c r="M1429" i="23"/>
  <c r="B1474" i="23"/>
  <c r="Z1367" i="23"/>
  <c r="X1367" i="23"/>
  <c r="O1367" i="23" s="1"/>
  <c r="Y1367" i="23"/>
  <c r="V1367" i="23" s="1"/>
  <c r="M1371" i="23"/>
  <c r="N1371" i="23"/>
  <c r="D1367" i="23"/>
  <c r="F1367" i="23"/>
  <c r="H1367" i="23"/>
  <c r="F1368" i="23" s="1"/>
  <c r="J1367" i="23"/>
  <c r="G1368" i="23" s="1"/>
  <c r="L1367" i="23"/>
  <c r="H1368" i="23" s="1"/>
  <c r="K1368" i="23" s="1"/>
  <c r="G1367" i="23"/>
  <c r="I1367" i="23"/>
  <c r="K1367" i="23"/>
  <c r="M1370" i="23"/>
  <c r="N1370" i="23"/>
  <c r="N1372" i="23"/>
  <c r="M1372" i="23"/>
  <c r="M1373" i="23"/>
  <c r="B1418" i="23"/>
  <c r="D1311" i="23"/>
  <c r="F1311" i="23"/>
  <c r="G1311" i="23"/>
  <c r="H1311" i="23"/>
  <c r="F1312" i="23" s="1"/>
  <c r="I1311" i="23"/>
  <c r="J1311" i="23"/>
  <c r="G1312" i="23" s="1"/>
  <c r="K1311" i="23"/>
  <c r="L1311" i="23"/>
  <c r="H1312" i="23" s="1"/>
  <c r="K1312" i="23" s="1"/>
  <c r="X1311" i="23"/>
  <c r="O1311" i="23" s="1"/>
  <c r="Y1311" i="23"/>
  <c r="V1311" i="23" s="1"/>
  <c r="F1362" i="23" s="1"/>
  <c r="Z1311" i="23"/>
  <c r="M1314" i="23"/>
  <c r="N1314" i="23"/>
  <c r="M1315" i="23"/>
  <c r="N1315" i="23"/>
  <c r="M1316" i="23"/>
  <c r="N1316" i="23"/>
  <c r="M1317" i="23"/>
  <c r="B1362" i="23"/>
  <c r="D247" i="23"/>
  <c r="F247" i="23"/>
  <c r="G247" i="23"/>
  <c r="H247" i="23"/>
  <c r="F248" i="23" s="1"/>
  <c r="I247" i="23"/>
  <c r="J247" i="23"/>
  <c r="G248" i="23" s="1"/>
  <c r="K247" i="23"/>
  <c r="L247" i="23"/>
  <c r="H248" i="23" s="1"/>
  <c r="K248" i="23" s="1"/>
  <c r="X247" i="23"/>
  <c r="O247" i="23" s="1"/>
  <c r="Y247" i="23"/>
  <c r="V247" i="23" s="1"/>
  <c r="Z247" i="23"/>
  <c r="M250" i="23"/>
  <c r="N250" i="23"/>
  <c r="M251" i="23"/>
  <c r="N251" i="23"/>
  <c r="M252" i="23"/>
  <c r="N252" i="23"/>
  <c r="M253" i="23"/>
  <c r="B298" i="23"/>
  <c r="U1591" i="23"/>
  <c r="D303" i="23"/>
  <c r="F303" i="23"/>
  <c r="G303" i="23"/>
  <c r="H303" i="23"/>
  <c r="F304" i="23" s="1"/>
  <c r="I303" i="23"/>
  <c r="J303" i="23"/>
  <c r="G304" i="23" s="1"/>
  <c r="K303" i="23"/>
  <c r="L303" i="23"/>
  <c r="H304" i="23" s="1"/>
  <c r="K304" i="23" s="1"/>
  <c r="X303" i="23"/>
  <c r="O303" i="23" s="1"/>
  <c r="Y303" i="23"/>
  <c r="V303" i="23" s="1"/>
  <c r="Z303" i="23"/>
  <c r="M306" i="23"/>
  <c r="N306" i="23"/>
  <c r="M307" i="23"/>
  <c r="N307" i="23"/>
  <c r="M308" i="23"/>
  <c r="N308" i="23"/>
  <c r="M309" i="23"/>
  <c r="B354" i="23"/>
  <c r="D359" i="23"/>
  <c r="F359" i="23"/>
  <c r="G359" i="23"/>
  <c r="H359" i="23"/>
  <c r="F360" i="23" s="1"/>
  <c r="I359" i="23"/>
  <c r="J359" i="23"/>
  <c r="G360" i="23" s="1"/>
  <c r="K359" i="23"/>
  <c r="L359" i="23"/>
  <c r="H360" i="23" s="1"/>
  <c r="K360" i="23" s="1"/>
  <c r="X359" i="23"/>
  <c r="O359" i="23" s="1"/>
  <c r="Y359" i="23"/>
  <c r="V359" i="23" s="1"/>
  <c r="Z359" i="23"/>
  <c r="M362" i="23"/>
  <c r="N362" i="23"/>
  <c r="M363" i="23"/>
  <c r="N363" i="23"/>
  <c r="M364" i="23"/>
  <c r="N364" i="23"/>
  <c r="M365" i="23"/>
  <c r="B410" i="23"/>
  <c r="N420" i="23"/>
  <c r="M420" i="23"/>
  <c r="N419" i="23"/>
  <c r="M419" i="23"/>
  <c r="J415" i="23"/>
  <c r="G416" i="23" s="1"/>
  <c r="I415" i="23"/>
  <c r="D415" i="23"/>
  <c r="F415" i="23"/>
  <c r="K415" i="23"/>
  <c r="L415" i="23"/>
  <c r="H416" i="23" s="1"/>
  <c r="K416" i="23" s="1"/>
  <c r="G415" i="23"/>
  <c r="H415" i="23"/>
  <c r="F416" i="23" s="1"/>
  <c r="X415" i="23"/>
  <c r="O415" i="23" s="1"/>
  <c r="Z415" i="23"/>
  <c r="Y415" i="23"/>
  <c r="V415" i="23" s="1"/>
  <c r="F466" i="23" s="1"/>
  <c r="N418" i="23"/>
  <c r="M418" i="23"/>
  <c r="M475" i="23"/>
  <c r="N475" i="23"/>
  <c r="Z471" i="23"/>
  <c r="X471" i="23"/>
  <c r="O471" i="23" s="1"/>
  <c r="Y471" i="23"/>
  <c r="V471" i="23" s="1"/>
  <c r="M474" i="23"/>
  <c r="N474" i="23"/>
  <c r="I471" i="23"/>
  <c r="F471" i="23"/>
  <c r="L471" i="23"/>
  <c r="J471" i="23"/>
  <c r="G472" i="23" s="1"/>
  <c r="D471" i="23"/>
  <c r="H471" i="23"/>
  <c r="F472" i="23" s="1"/>
  <c r="G471" i="23"/>
  <c r="K471" i="23"/>
  <c r="M476" i="23"/>
  <c r="N476" i="23"/>
  <c r="M477" i="23"/>
  <c r="D527" i="23"/>
  <c r="F527" i="23"/>
  <c r="G527" i="23"/>
  <c r="H527" i="23"/>
  <c r="F528" i="23" s="1"/>
  <c r="I527" i="23"/>
  <c r="J527" i="23"/>
  <c r="G528" i="23" s="1"/>
  <c r="K527" i="23"/>
  <c r="L527" i="23"/>
  <c r="H528" i="23" s="1"/>
  <c r="K528" i="23" s="1"/>
  <c r="X527" i="23"/>
  <c r="O527" i="23" s="1"/>
  <c r="Y527" i="23"/>
  <c r="V527" i="23" s="1"/>
  <c r="Z527" i="23"/>
  <c r="M530" i="23"/>
  <c r="N530" i="23"/>
  <c r="M531" i="23"/>
  <c r="N531" i="23"/>
  <c r="M532" i="23"/>
  <c r="N532" i="23"/>
  <c r="M533" i="23"/>
  <c r="B578" i="23"/>
  <c r="D583" i="23"/>
  <c r="F583" i="23"/>
  <c r="G583" i="23"/>
  <c r="H583" i="23"/>
  <c r="F584" i="23" s="1"/>
  <c r="I583" i="23"/>
  <c r="J583" i="23"/>
  <c r="G584" i="23" s="1"/>
  <c r="K583" i="23"/>
  <c r="L583" i="23"/>
  <c r="H584" i="23" s="1"/>
  <c r="K584" i="23" s="1"/>
  <c r="X583" i="23"/>
  <c r="O583" i="23" s="1"/>
  <c r="Y583" i="23"/>
  <c r="V583" i="23" s="1"/>
  <c r="Z583" i="23"/>
  <c r="M586" i="23"/>
  <c r="N586" i="23"/>
  <c r="M587" i="23"/>
  <c r="N587" i="23"/>
  <c r="M588" i="23"/>
  <c r="N588" i="23"/>
  <c r="M589" i="23"/>
  <c r="B634" i="23"/>
  <c r="D639" i="23"/>
  <c r="F639" i="23"/>
  <c r="G639" i="23"/>
  <c r="H639" i="23"/>
  <c r="F640" i="23" s="1"/>
  <c r="I639" i="23"/>
  <c r="J639" i="23"/>
  <c r="G640" i="23" s="1"/>
  <c r="K639" i="23"/>
  <c r="L639" i="23"/>
  <c r="X639" i="23"/>
  <c r="O639" i="23" s="1"/>
  <c r="Y639" i="23"/>
  <c r="V639" i="23" s="1"/>
  <c r="F690" i="23" s="1"/>
  <c r="Z639" i="23"/>
  <c r="M642" i="23"/>
  <c r="N642" i="23"/>
  <c r="M643" i="23"/>
  <c r="N643" i="23"/>
  <c r="M644" i="23"/>
  <c r="N644" i="23"/>
  <c r="M645" i="23"/>
  <c r="B690" i="23"/>
  <c r="D695" i="23"/>
  <c r="F695" i="23"/>
  <c r="G695" i="23"/>
  <c r="H695" i="23"/>
  <c r="F696" i="23" s="1"/>
  <c r="I695" i="23"/>
  <c r="J695" i="23"/>
  <c r="G696" i="23" s="1"/>
  <c r="K695" i="23"/>
  <c r="L695" i="23"/>
  <c r="H696" i="23" s="1"/>
  <c r="K696" i="23" s="1"/>
  <c r="X695" i="23"/>
  <c r="O695" i="23" s="1"/>
  <c r="Y695" i="23"/>
  <c r="V695" i="23" s="1"/>
  <c r="F746" i="23" s="1"/>
  <c r="Z695" i="23"/>
  <c r="M698" i="23"/>
  <c r="N698" i="23"/>
  <c r="M699" i="23"/>
  <c r="N699" i="23"/>
  <c r="M700" i="23"/>
  <c r="N700" i="23"/>
  <c r="M701" i="23"/>
  <c r="B746" i="23"/>
  <c r="D751" i="23"/>
  <c r="F751" i="23"/>
  <c r="G751" i="23"/>
  <c r="H751" i="23"/>
  <c r="F752" i="23" s="1"/>
  <c r="I751" i="23"/>
  <c r="J751" i="23"/>
  <c r="G752" i="23" s="1"/>
  <c r="K751" i="23"/>
  <c r="L751" i="23"/>
  <c r="H752" i="23" s="1"/>
  <c r="K752" i="23" s="1"/>
  <c r="X751" i="23"/>
  <c r="O751" i="23" s="1"/>
  <c r="Y751" i="23"/>
  <c r="V751" i="23" s="1"/>
  <c r="Z751" i="23"/>
  <c r="M754" i="23"/>
  <c r="N754" i="23"/>
  <c r="M755" i="23"/>
  <c r="N755" i="23"/>
  <c r="M756" i="23"/>
  <c r="N756" i="23"/>
  <c r="M757" i="23"/>
  <c r="B802" i="23"/>
  <c r="M20" i="17"/>
  <c r="D20" i="17"/>
  <c r="J20" i="17"/>
  <c r="N20" i="17" s="1"/>
  <c r="U20" i="17" s="1"/>
  <c r="X20" i="17"/>
  <c r="W20" i="17"/>
  <c r="P20" i="17"/>
  <c r="F20" i="18" s="1"/>
  <c r="Q20" i="17"/>
  <c r="G20" i="18" s="1"/>
  <c r="R20" i="17"/>
  <c r="H20" i="18" s="1"/>
  <c r="V20" i="17"/>
  <c r="L21" i="17"/>
  <c r="C21" i="17"/>
  <c r="E21" i="17"/>
  <c r="G21" i="17"/>
  <c r="I21" i="17"/>
  <c r="B22" i="17"/>
  <c r="B21" i="18"/>
  <c r="AB16" i="17"/>
  <c r="B86" i="12"/>
  <c r="I86" i="12" s="1"/>
  <c r="AA15" i="17"/>
  <c r="Z17" i="17"/>
  <c r="Z18" i="17"/>
  <c r="Z19" i="17"/>
  <c r="Z20" i="17"/>
  <c r="Z21" i="17"/>
  <c r="D10" i="9"/>
  <c r="F61" i="9"/>
  <c r="C62" i="9"/>
  <c r="E62" i="9"/>
  <c r="G27" i="2"/>
  <c r="D66" i="10"/>
  <c r="D8" i="11"/>
  <c r="D58" i="10"/>
  <c r="H6" i="18"/>
  <c r="E19" i="18"/>
  <c r="O19" i="17" s="1"/>
  <c r="E18" i="18"/>
  <c r="O18" i="17" s="1"/>
  <c r="E17" i="18"/>
  <c r="C58" i="10"/>
  <c r="O4053" i="22"/>
  <c r="O4052" i="22"/>
  <c r="O4051" i="22"/>
  <c r="O4107" i="22"/>
  <c r="O4106" i="22"/>
  <c r="O4105" i="22"/>
  <c r="O4161" i="22"/>
  <c r="O4160" i="22"/>
  <c r="O4159" i="22"/>
  <c r="O4215" i="22"/>
  <c r="O4214" i="22"/>
  <c r="O4213" i="22"/>
  <c r="A4619" i="22"/>
  <c r="B4619" i="22"/>
  <c r="D59" i="10"/>
  <c r="H7" i="18"/>
  <c r="L11" i="18" s="1"/>
  <c r="D15" i="19" s="1"/>
  <c r="D60" i="10"/>
  <c r="H8" i="18"/>
  <c r="I8" i="18" s="1"/>
  <c r="C20" i="10"/>
  <c r="J5" i="19"/>
  <c r="K5" i="19"/>
  <c r="M4731" i="22"/>
  <c r="N4731" i="22"/>
  <c r="M3591" i="22"/>
  <c r="N3591" i="22"/>
  <c r="U3591" i="22" s="1"/>
  <c r="M3537" i="22"/>
  <c r="N3537" i="22"/>
  <c r="U3537" i="22" s="1"/>
  <c r="M3159" i="22"/>
  <c r="N3159" i="22"/>
  <c r="U3159" i="22" s="1"/>
  <c r="M1971" i="22"/>
  <c r="N1971" i="22"/>
  <c r="U1971" i="22" s="1"/>
  <c r="M1647" i="22"/>
  <c r="N1647" i="22"/>
  <c r="U1647" i="22" s="1"/>
  <c r="M1593" i="22"/>
  <c r="N1593" i="22"/>
  <c r="U1593" i="22" s="1"/>
  <c r="M1539" i="22"/>
  <c r="N1539" i="22"/>
  <c r="U1539" i="22" s="1"/>
  <c r="M1485" i="22"/>
  <c r="N1485" i="22"/>
  <c r="U1485" i="22" s="1"/>
  <c r="M1431" i="22"/>
  <c r="N1431" i="22"/>
  <c r="U1431" i="22" s="1"/>
  <c r="M945" i="22"/>
  <c r="N945" i="22"/>
  <c r="U945" i="22" s="1"/>
  <c r="M837" i="22"/>
  <c r="N837" i="22"/>
  <c r="U837" i="22" s="1"/>
  <c r="M405" i="22"/>
  <c r="N405" i="22"/>
  <c r="U405" i="22" s="1"/>
  <c r="M351" i="22"/>
  <c r="N351" i="22"/>
  <c r="U351" i="22" s="1"/>
  <c r="M243" i="22"/>
  <c r="N243" i="22"/>
  <c r="U243" i="22" s="1"/>
  <c r="N189" i="22"/>
  <c r="U189" i="22" s="1"/>
  <c r="M189" i="22"/>
  <c r="AE1595" i="23"/>
  <c r="O1597" i="23"/>
  <c r="E60" i="19"/>
  <c r="G60" i="19" s="1"/>
  <c r="B46" i="24"/>
  <c r="G10" i="9"/>
  <c r="I4049" i="22"/>
  <c r="I4103" i="22"/>
  <c r="O4108" i="22" s="1"/>
  <c r="I4157" i="22"/>
  <c r="O4162" i="22" s="1"/>
  <c r="I4211" i="22"/>
  <c r="O4216" i="22" s="1"/>
  <c r="L1262" i="23"/>
  <c r="F1149" i="23"/>
  <c r="K1149" i="23"/>
  <c r="L1150" i="23"/>
  <c r="L1038" i="23"/>
  <c r="L926" i="23"/>
  <c r="L702" i="23"/>
  <c r="L590" i="23"/>
  <c r="L422" i="23"/>
  <c r="F421" i="23"/>
  <c r="K421" i="23"/>
  <c r="L366" i="23"/>
  <c r="L254" i="23"/>
  <c r="F4054" i="22"/>
  <c r="O4054" i="22" s="1"/>
  <c r="K4054" i="22"/>
  <c r="F3700" i="22"/>
  <c r="O3700" i="22" s="1"/>
  <c r="K3700" i="22"/>
  <c r="F3646" i="22"/>
  <c r="O3646" i="22" s="1"/>
  <c r="K3646" i="22"/>
  <c r="F3592" i="22"/>
  <c r="O3592" i="22" s="1"/>
  <c r="K3592" i="22"/>
  <c r="K3106" i="22"/>
  <c r="F3106" i="22"/>
  <c r="O3106" i="22" s="1"/>
  <c r="F2998" i="22"/>
  <c r="O2998" i="22" s="1"/>
  <c r="K2998" i="22"/>
  <c r="F2566" i="22"/>
  <c r="O2566" i="22" s="1"/>
  <c r="K2566" i="22"/>
  <c r="K2512" i="22"/>
  <c r="F2512" i="22"/>
  <c r="O2512" i="22" s="1"/>
  <c r="K2458" i="22"/>
  <c r="F2458" i="22"/>
  <c r="O2458" i="22" s="1"/>
  <c r="F2404" i="22"/>
  <c r="O2404" i="22" s="1"/>
  <c r="K2404" i="22"/>
  <c r="F2350" i="22"/>
  <c r="O2350" i="22" s="1"/>
  <c r="K2350" i="22"/>
  <c r="F2296" i="22"/>
  <c r="O2296" i="22" s="1"/>
  <c r="K2296" i="22"/>
  <c r="F2242" i="22"/>
  <c r="O2242" i="22" s="1"/>
  <c r="K2242" i="22"/>
  <c r="K2134" i="22"/>
  <c r="F2134" i="22"/>
  <c r="O2134" i="22" s="1"/>
  <c r="F1972" i="22"/>
  <c r="O1972" i="22" s="1"/>
  <c r="K1972" i="22"/>
  <c r="F1648" i="22"/>
  <c r="O1648" i="22" s="1"/>
  <c r="K1648" i="22"/>
  <c r="K1540" i="22"/>
  <c r="F1540" i="22"/>
  <c r="O1540" i="22" s="1"/>
  <c r="K1486" i="22"/>
  <c r="F1486" i="22"/>
  <c r="O1486" i="22" s="1"/>
  <c r="F1432" i="22"/>
  <c r="O1432" i="22" s="1"/>
  <c r="K1432" i="22"/>
  <c r="F1378" i="22"/>
  <c r="O1378" i="22" s="1"/>
  <c r="K1378" i="22"/>
  <c r="K1270" i="22"/>
  <c r="F1270" i="22"/>
  <c r="O1270" i="22" s="1"/>
  <c r="K622" i="22"/>
  <c r="F622" i="22"/>
  <c r="O622" i="22" s="1"/>
  <c r="F568" i="22"/>
  <c r="O568" i="22" s="1"/>
  <c r="K568" i="22"/>
  <c r="F460" i="22"/>
  <c r="O460" i="22" s="1"/>
  <c r="K460" i="22"/>
  <c r="F406" i="22"/>
  <c r="O406" i="22" s="1"/>
  <c r="K406" i="22"/>
  <c r="K352" i="22"/>
  <c r="F352" i="22"/>
  <c r="O352" i="22" s="1"/>
  <c r="F190" i="22"/>
  <c r="O190" i="22" s="1"/>
  <c r="K190" i="22"/>
  <c r="H903" i="23"/>
  <c r="H905" i="23"/>
  <c r="H906" i="23"/>
  <c r="H907" i="23"/>
  <c r="H908" i="23"/>
  <c r="H911" i="23"/>
  <c r="H912" i="23"/>
  <c r="H913" i="23"/>
  <c r="H900" i="23"/>
  <c r="H901" i="23"/>
  <c r="H896" i="23"/>
  <c r="H902" i="23"/>
  <c r="H891" i="23"/>
  <c r="H895" i="23"/>
  <c r="H894" i="23"/>
  <c r="H893" i="23"/>
  <c r="H892" i="23"/>
  <c r="H904" i="23"/>
  <c r="H890" i="23"/>
  <c r="H897" i="23"/>
  <c r="H910" i="23"/>
  <c r="H909" i="23"/>
  <c r="H898" i="23"/>
  <c r="H899" i="23"/>
  <c r="H1004" i="23"/>
  <c r="H1005" i="23"/>
  <c r="H1006" i="23"/>
  <c r="H1007" i="23"/>
  <c r="H1008" i="23"/>
  <c r="H1009" i="23"/>
  <c r="H1010" i="23"/>
  <c r="H1011" i="23"/>
  <c r="H1012" i="23"/>
  <c r="H1013" i="23"/>
  <c r="H1014" i="23"/>
  <c r="H1015" i="23"/>
  <c r="H1016" i="23"/>
  <c r="H1017" i="23"/>
  <c r="H1018" i="23"/>
  <c r="H1020" i="23"/>
  <c r="H1021" i="23"/>
  <c r="H1022" i="23"/>
  <c r="H1024" i="23"/>
  <c r="H1025" i="23"/>
  <c r="H1023" i="23"/>
  <c r="H1002" i="23"/>
  <c r="H994" i="23"/>
  <c r="H995" i="23"/>
  <c r="H996" i="23"/>
  <c r="H997" i="23"/>
  <c r="H998" i="23"/>
  <c r="H999" i="23"/>
  <c r="H1000" i="23"/>
  <c r="H1001" i="23"/>
  <c r="H1019" i="23"/>
  <c r="H1003" i="23"/>
  <c r="H1049" i="23"/>
  <c r="H1035" i="23"/>
  <c r="H1039" i="23"/>
  <c r="H1043" i="23"/>
  <c r="H1051" i="23"/>
  <c r="H1048" i="23"/>
  <c r="H1041" i="23"/>
  <c r="H1037" i="23"/>
  <c r="H1055" i="23"/>
  <c r="H1050" i="23"/>
  <c r="H1036" i="23"/>
  <c r="H1053" i="23"/>
  <c r="H1052" i="23"/>
  <c r="H1047" i="23"/>
  <c r="H1054" i="23"/>
  <c r="H1046" i="23"/>
  <c r="H1044" i="23"/>
  <c r="H1042" i="23"/>
  <c r="H1040" i="23"/>
  <c r="H1126" i="23"/>
  <c r="H1125" i="23"/>
  <c r="H1124" i="23"/>
  <c r="H1123" i="23"/>
  <c r="H1122" i="23"/>
  <c r="H1103" i="23"/>
  <c r="H1104" i="23"/>
  <c r="H1121" i="23"/>
  <c r="H1120" i="23"/>
  <c r="H1119" i="23"/>
  <c r="H1118" i="23"/>
  <c r="H1107" i="23"/>
  <c r="H1106" i="23"/>
  <c r="H1137" i="23"/>
  <c r="H1136" i="23"/>
  <c r="H1099" i="23"/>
  <c r="H1135" i="23"/>
  <c r="H1134" i="23"/>
  <c r="H1132" i="23"/>
  <c r="H1131" i="23"/>
  <c r="H1130" i="23"/>
  <c r="H1129" i="23"/>
  <c r="H1100" i="23"/>
  <c r="H1098" i="23"/>
  <c r="H1090" i="23"/>
  <c r="H1133" i="23"/>
  <c r="H1128" i="23"/>
  <c r="H1127" i="23"/>
  <c r="H1117" i="23"/>
  <c r="H1115" i="23"/>
  <c r="H1114" i="23"/>
  <c r="H1113" i="23"/>
  <c r="H1112" i="23"/>
  <c r="H1111" i="23"/>
  <c r="H1105" i="23"/>
  <c r="H1110" i="23"/>
  <c r="H1101" i="23"/>
  <c r="H1116" i="23"/>
  <c r="H1109" i="23"/>
  <c r="H1108" i="23"/>
  <c r="H1102" i="23"/>
  <c r="H1219" i="23"/>
  <c r="H1218" i="23"/>
  <c r="H1217" i="23"/>
  <c r="H1216" i="23"/>
  <c r="H1215" i="23"/>
  <c r="H1214" i="23"/>
  <c r="H1213" i="23"/>
  <c r="H1212" i="23"/>
  <c r="H1211" i="23"/>
  <c r="H1210" i="23"/>
  <c r="H1209" i="23"/>
  <c r="H1208" i="23"/>
  <c r="H1206" i="23"/>
  <c r="H1205" i="23"/>
  <c r="H1204" i="23"/>
  <c r="H1203" i="23"/>
  <c r="H1202" i="23"/>
  <c r="H1207" i="23"/>
  <c r="H1241" i="23"/>
  <c r="H1249" i="23"/>
  <c r="H1248" i="23"/>
  <c r="H1247" i="23"/>
  <c r="H1246" i="23"/>
  <c r="H1245" i="23"/>
  <c r="H1244" i="23"/>
  <c r="H1243" i="23"/>
  <c r="H1242" i="23"/>
  <c r="H1240" i="23"/>
  <c r="H1239" i="23"/>
  <c r="H1238" i="23"/>
  <c r="H1237" i="23"/>
  <c r="H1236" i="23"/>
  <c r="H1235" i="23"/>
  <c r="H1234" i="23"/>
  <c r="H1233" i="23"/>
  <c r="H1232" i="23"/>
  <c r="H1231" i="23"/>
  <c r="H1230" i="23"/>
  <c r="H1229" i="23"/>
  <c r="H1228" i="23"/>
  <c r="H1227" i="23"/>
  <c r="H1226" i="23"/>
  <c r="H1225" i="23"/>
  <c r="H1224" i="23"/>
  <c r="H1223" i="23"/>
  <c r="H1222" i="23"/>
  <c r="H1221" i="23"/>
  <c r="H1220" i="23"/>
  <c r="H461" i="23"/>
  <c r="H465" i="23"/>
  <c r="H447" i="23"/>
  <c r="H455" i="23"/>
  <c r="H458" i="23"/>
  <c r="H424" i="23"/>
  <c r="H433" i="23"/>
  <c r="H438" i="23"/>
  <c r="H443" i="23"/>
  <c r="H446" i="23"/>
  <c r="H420" i="23"/>
  <c r="H425" i="23"/>
  <c r="H441" i="23"/>
  <c r="H451" i="23"/>
  <c r="H463" i="23"/>
  <c r="H442" i="23"/>
  <c r="H434" i="23"/>
  <c r="H435" i="23"/>
  <c r="H440" i="23"/>
  <c r="H452" i="23"/>
  <c r="H464" i="23"/>
  <c r="H449" i="23"/>
  <c r="H453" i="23"/>
  <c r="H456" i="23"/>
  <c r="H459" i="23"/>
  <c r="H460" i="23"/>
  <c r="H462" i="23"/>
  <c r="H457" i="23"/>
  <c r="H454" i="23"/>
  <c r="H418" i="23"/>
  <c r="H421" i="23"/>
  <c r="H422" i="23"/>
  <c r="H423" i="23"/>
  <c r="H428" i="23"/>
  <c r="H429" i="23"/>
  <c r="H431" i="23"/>
  <c r="H445" i="23"/>
  <c r="H490" i="23"/>
  <c r="H491" i="23"/>
  <c r="H492" i="23"/>
  <c r="H493" i="23"/>
  <c r="H494" i="23"/>
  <c r="H495" i="23"/>
  <c r="H496" i="23"/>
  <c r="H497" i="23"/>
  <c r="H498" i="23"/>
  <c r="H499" i="23"/>
  <c r="H500" i="23"/>
  <c r="H501" i="23"/>
  <c r="H502" i="23"/>
  <c r="H521" i="23"/>
  <c r="H520" i="23"/>
  <c r="H519" i="23"/>
  <c r="H518" i="23"/>
  <c r="H517" i="23"/>
  <c r="H516" i="23"/>
  <c r="H515" i="23"/>
  <c r="H504" i="23"/>
  <c r="H503" i="23"/>
  <c r="H480" i="23"/>
  <c r="H482" i="23"/>
  <c r="H483" i="23"/>
  <c r="H484" i="23"/>
  <c r="H486" i="23"/>
  <c r="H477" i="23"/>
  <c r="H487" i="23"/>
  <c r="H488" i="23"/>
  <c r="H514" i="23"/>
  <c r="H489" i="23"/>
  <c r="H505" i="23"/>
  <c r="H506" i="23"/>
  <c r="H507" i="23"/>
  <c r="H508" i="23"/>
  <c r="H509" i="23"/>
  <c r="H510" i="23"/>
  <c r="H511" i="23"/>
  <c r="H512" i="23"/>
  <c r="H513" i="23"/>
  <c r="T4676" i="22"/>
  <c r="AE1541" i="23" l="1"/>
  <c r="AE1597" i="23"/>
  <c r="AE1485" i="23"/>
  <c r="K590" i="23"/>
  <c r="F590" i="23"/>
  <c r="K4217" i="22"/>
  <c r="F4217" i="22"/>
  <c r="O4217" i="22" s="1"/>
  <c r="K3593" i="22"/>
  <c r="F3593" i="22"/>
  <c r="O3593" i="22" s="1"/>
  <c r="K2675" i="22"/>
  <c r="F2675" i="22"/>
  <c r="O2675" i="22" s="1"/>
  <c r="K2621" i="22"/>
  <c r="F2621" i="22"/>
  <c r="O2621" i="22" s="1"/>
  <c r="K2243" i="22"/>
  <c r="F2243" i="22"/>
  <c r="O2243" i="22" s="1"/>
  <c r="K1757" i="22"/>
  <c r="F1757" i="22"/>
  <c r="O1757" i="22" s="1"/>
  <c r="K1379" i="22"/>
  <c r="F1379" i="22"/>
  <c r="O1379" i="22" s="1"/>
  <c r="K947" i="22"/>
  <c r="F947" i="22"/>
  <c r="O947" i="22" s="1"/>
  <c r="K83" i="22"/>
  <c r="F83" i="22"/>
  <c r="O83" i="22" s="1"/>
  <c r="M1598" i="23"/>
  <c r="J1598" i="23"/>
  <c r="N1598" i="23" s="1"/>
  <c r="AE1598" i="23" s="1"/>
  <c r="D1598" i="23"/>
  <c r="P1598" i="23"/>
  <c r="Q1598" i="23"/>
  <c r="R1598" i="23"/>
  <c r="I1599" i="23"/>
  <c r="L1599" i="23"/>
  <c r="C1599" i="23"/>
  <c r="K1599" i="23" s="1"/>
  <c r="E1599" i="23"/>
  <c r="F1599" i="23"/>
  <c r="O1599" i="23" s="1"/>
  <c r="G1599" i="23"/>
  <c r="B1600" i="23"/>
  <c r="K1542" i="23"/>
  <c r="J1542" i="23"/>
  <c r="D1542" i="23"/>
  <c r="P1542" i="23"/>
  <c r="Q1542" i="23"/>
  <c r="R1542" i="23"/>
  <c r="L1543" i="23"/>
  <c r="I1543" i="23"/>
  <c r="C1543" i="23"/>
  <c r="E1543" i="23"/>
  <c r="G1543" i="23"/>
  <c r="B1544" i="23"/>
  <c r="K1486" i="23"/>
  <c r="J1486" i="23"/>
  <c r="D1486" i="23"/>
  <c r="P1486" i="23"/>
  <c r="Q1486" i="23"/>
  <c r="R1486" i="23"/>
  <c r="L1487" i="23"/>
  <c r="I1487" i="23"/>
  <c r="C1487" i="23"/>
  <c r="E1487" i="23"/>
  <c r="G1487" i="23"/>
  <c r="B1488" i="23"/>
  <c r="K1430" i="23"/>
  <c r="J1430" i="23"/>
  <c r="D1430" i="23"/>
  <c r="P1430" i="23"/>
  <c r="Q1430" i="23"/>
  <c r="R1430" i="23"/>
  <c r="L1431" i="23"/>
  <c r="I1431" i="23"/>
  <c r="C1431" i="23"/>
  <c r="K1431" i="23" s="1"/>
  <c r="E1431" i="23"/>
  <c r="F1431" i="23"/>
  <c r="G1431" i="23"/>
  <c r="B1432" i="23"/>
  <c r="P1374" i="23"/>
  <c r="Q1374" i="23"/>
  <c r="R1374" i="23"/>
  <c r="L1375" i="23"/>
  <c r="I1375" i="23"/>
  <c r="E1375" i="23"/>
  <c r="G1375" i="23"/>
  <c r="B1376" i="23"/>
  <c r="C1375" i="23"/>
  <c r="K1374" i="23"/>
  <c r="J1374" i="23"/>
  <c r="D1374" i="23"/>
  <c r="K1318" i="23"/>
  <c r="J1318" i="23"/>
  <c r="D1318" i="23"/>
  <c r="P1318" i="23"/>
  <c r="Q1318" i="23"/>
  <c r="R1318" i="23"/>
  <c r="L1319" i="23"/>
  <c r="I1319" i="23"/>
  <c r="C1319" i="23"/>
  <c r="E1319" i="23"/>
  <c r="G1319" i="23"/>
  <c r="B1320" i="23"/>
  <c r="J1262" i="23"/>
  <c r="D1262" i="23"/>
  <c r="P1262" i="23"/>
  <c r="Q1262" i="23"/>
  <c r="R1262" i="23"/>
  <c r="L1263" i="23"/>
  <c r="I1263" i="23"/>
  <c r="C1263" i="23"/>
  <c r="E1263" i="23"/>
  <c r="G1263" i="23"/>
  <c r="B1264" i="23"/>
  <c r="K1206" i="23"/>
  <c r="J1206" i="23"/>
  <c r="D1206" i="23"/>
  <c r="P1206" i="23"/>
  <c r="Q1206" i="23"/>
  <c r="R1206" i="23"/>
  <c r="L1207" i="23"/>
  <c r="I1207" i="23"/>
  <c r="C1207" i="23"/>
  <c r="E1207" i="23"/>
  <c r="G1207" i="23"/>
  <c r="B1208" i="23"/>
  <c r="J1150" i="23"/>
  <c r="D1150" i="23"/>
  <c r="P1150" i="23"/>
  <c r="Q1150" i="23"/>
  <c r="R1150" i="23"/>
  <c r="L1151" i="23"/>
  <c r="I1151" i="23"/>
  <c r="C1151" i="23"/>
  <c r="E1151" i="23"/>
  <c r="G1151" i="23"/>
  <c r="B1152" i="23"/>
  <c r="K1094" i="23"/>
  <c r="J1094" i="23"/>
  <c r="D1094" i="23"/>
  <c r="P1094" i="23"/>
  <c r="Q1094" i="23"/>
  <c r="R1094" i="23"/>
  <c r="L1095" i="23"/>
  <c r="I1095" i="23"/>
  <c r="C1095" i="23"/>
  <c r="E1095" i="23"/>
  <c r="G1095" i="23"/>
  <c r="B1096" i="23"/>
  <c r="P1038" i="23"/>
  <c r="Q1038" i="23"/>
  <c r="R1038" i="23"/>
  <c r="L1039" i="23"/>
  <c r="I1039" i="23"/>
  <c r="E1039" i="23"/>
  <c r="G1039" i="23"/>
  <c r="B1040" i="23"/>
  <c r="C1039" i="23"/>
  <c r="J1038" i="23"/>
  <c r="D1038" i="23"/>
  <c r="K982" i="23"/>
  <c r="J982" i="23"/>
  <c r="D982" i="23"/>
  <c r="P982" i="23"/>
  <c r="Q982" i="23"/>
  <c r="R982" i="23"/>
  <c r="L983" i="23"/>
  <c r="I983" i="23"/>
  <c r="C983" i="23"/>
  <c r="K983" i="23" s="1"/>
  <c r="E983" i="23"/>
  <c r="F983" i="23"/>
  <c r="G983" i="23"/>
  <c r="B984" i="23"/>
  <c r="J926" i="23"/>
  <c r="N926" i="23" s="1"/>
  <c r="D926" i="23"/>
  <c r="Q926" i="23"/>
  <c r="P926" i="23"/>
  <c r="R926" i="23"/>
  <c r="L927" i="23"/>
  <c r="I927" i="23"/>
  <c r="C927" i="23"/>
  <c r="K927" i="23" s="1"/>
  <c r="E927" i="23"/>
  <c r="F927" i="23"/>
  <c r="G927" i="23"/>
  <c r="B928" i="23"/>
  <c r="K870" i="23"/>
  <c r="J870" i="23"/>
  <c r="D870" i="23"/>
  <c r="P870" i="23"/>
  <c r="Q870" i="23"/>
  <c r="R870" i="23"/>
  <c r="L871" i="23"/>
  <c r="I871" i="23"/>
  <c r="C871" i="23"/>
  <c r="K871" i="23" s="1"/>
  <c r="E871" i="23"/>
  <c r="F871" i="23"/>
  <c r="G871" i="23"/>
  <c r="B872" i="23"/>
  <c r="K814" i="23"/>
  <c r="J814" i="23"/>
  <c r="D814" i="23"/>
  <c r="P814" i="23"/>
  <c r="Q814" i="23"/>
  <c r="R814" i="23"/>
  <c r="L815" i="23"/>
  <c r="I815" i="23"/>
  <c r="C815" i="23"/>
  <c r="K815" i="23" s="1"/>
  <c r="E815" i="23"/>
  <c r="F815" i="23"/>
  <c r="G815" i="23"/>
  <c r="B816" i="23"/>
  <c r="K758" i="23"/>
  <c r="J758" i="23"/>
  <c r="D758" i="23"/>
  <c r="P758" i="23"/>
  <c r="Q758" i="23"/>
  <c r="R758" i="23"/>
  <c r="L759" i="23"/>
  <c r="I759" i="23"/>
  <c r="C759" i="23"/>
  <c r="K759" i="23" s="1"/>
  <c r="E759" i="23"/>
  <c r="F759" i="23"/>
  <c r="G759" i="23"/>
  <c r="B760" i="23"/>
  <c r="J702" i="23"/>
  <c r="D702" i="23"/>
  <c r="P702" i="23"/>
  <c r="Q702" i="23"/>
  <c r="R702" i="23"/>
  <c r="L703" i="23"/>
  <c r="I703" i="23"/>
  <c r="C703" i="23"/>
  <c r="E703" i="23"/>
  <c r="G703" i="23"/>
  <c r="B704" i="23"/>
  <c r="K646" i="23"/>
  <c r="J646" i="23"/>
  <c r="D646" i="23"/>
  <c r="P646" i="23"/>
  <c r="Q646" i="23"/>
  <c r="R646" i="23"/>
  <c r="L647" i="23"/>
  <c r="I647" i="23"/>
  <c r="C647" i="23"/>
  <c r="K647" i="23" s="1"/>
  <c r="E647" i="23"/>
  <c r="F647" i="23"/>
  <c r="G647" i="23"/>
  <c r="B648" i="23"/>
  <c r="J590" i="23"/>
  <c r="N590" i="23" s="1"/>
  <c r="D590" i="23"/>
  <c r="P590" i="23"/>
  <c r="Q590" i="23"/>
  <c r="R590" i="23"/>
  <c r="L591" i="23"/>
  <c r="I591" i="23"/>
  <c r="C591" i="23"/>
  <c r="E591" i="23"/>
  <c r="G591" i="23"/>
  <c r="B592" i="23"/>
  <c r="K534" i="23"/>
  <c r="J534" i="23"/>
  <c r="D534" i="23"/>
  <c r="P534" i="23"/>
  <c r="Q534" i="23"/>
  <c r="R534" i="23"/>
  <c r="L535" i="23"/>
  <c r="I535" i="23"/>
  <c r="C535" i="23"/>
  <c r="K535" i="23" s="1"/>
  <c r="E535" i="23"/>
  <c r="F535" i="23"/>
  <c r="G535" i="23"/>
  <c r="B536" i="23"/>
  <c r="L479" i="23"/>
  <c r="I479" i="23"/>
  <c r="B480" i="23"/>
  <c r="C479" i="23"/>
  <c r="G479" i="23"/>
  <c r="E479" i="23"/>
  <c r="P478" i="23"/>
  <c r="Q478" i="23"/>
  <c r="R478" i="23"/>
  <c r="K478" i="23"/>
  <c r="J478" i="23"/>
  <c r="D478" i="23"/>
  <c r="L423" i="23"/>
  <c r="I423" i="23"/>
  <c r="E423" i="23"/>
  <c r="B424" i="23"/>
  <c r="G423" i="23"/>
  <c r="C423" i="23"/>
  <c r="J422" i="23"/>
  <c r="N422" i="23" s="1"/>
  <c r="D422" i="23"/>
  <c r="P422" i="23"/>
  <c r="Q422" i="23"/>
  <c r="R422" i="23"/>
  <c r="J366" i="23"/>
  <c r="N366" i="23" s="1"/>
  <c r="D366" i="23"/>
  <c r="P366" i="23"/>
  <c r="Q366" i="23"/>
  <c r="R366" i="23"/>
  <c r="L367" i="23"/>
  <c r="I367" i="23"/>
  <c r="C367" i="23"/>
  <c r="K367" i="23" s="1"/>
  <c r="E367" i="23"/>
  <c r="F367" i="23"/>
  <c r="G367" i="23"/>
  <c r="B368" i="23"/>
  <c r="K310" i="23"/>
  <c r="J310" i="23"/>
  <c r="D310" i="23"/>
  <c r="P310" i="23"/>
  <c r="Q310" i="23"/>
  <c r="R310" i="23"/>
  <c r="L311" i="23"/>
  <c r="I311" i="23"/>
  <c r="C311" i="23"/>
  <c r="E311" i="23"/>
  <c r="G311" i="23"/>
  <c r="B312" i="23"/>
  <c r="J254" i="23"/>
  <c r="D254" i="23"/>
  <c r="P254" i="23"/>
  <c r="R254" i="23"/>
  <c r="Q254" i="23"/>
  <c r="L255" i="23"/>
  <c r="I255" i="23"/>
  <c r="C255" i="23"/>
  <c r="K255" i="23" s="1"/>
  <c r="E255" i="23"/>
  <c r="F255" i="23"/>
  <c r="G255" i="23"/>
  <c r="B256" i="23"/>
  <c r="E4734" i="22"/>
  <c r="C4734" i="22"/>
  <c r="B4735" i="22"/>
  <c r="G4734" i="22"/>
  <c r="L4734" i="22"/>
  <c r="I4734" i="22"/>
  <c r="D4733" i="22"/>
  <c r="J4733" i="22"/>
  <c r="N4733" i="22" s="1"/>
  <c r="P4733" i="22"/>
  <c r="Q4733" i="22"/>
  <c r="R4733" i="22"/>
  <c r="M4733" i="22"/>
  <c r="S4678" i="22"/>
  <c r="U4678" i="22"/>
  <c r="M4679" i="22"/>
  <c r="D4679" i="22"/>
  <c r="J4679" i="22"/>
  <c r="N4679" i="22" s="1"/>
  <c r="P4679" i="22"/>
  <c r="Q4679" i="22"/>
  <c r="R4679" i="22"/>
  <c r="L4680" i="22"/>
  <c r="C4680" i="22"/>
  <c r="K4680" i="22" s="1"/>
  <c r="E4680" i="22"/>
  <c r="F4680" i="22"/>
  <c r="G4680" i="22"/>
  <c r="I4680" i="22"/>
  <c r="B4681" i="22"/>
  <c r="P4625" i="22"/>
  <c r="Q4625" i="22"/>
  <c r="R4625" i="22"/>
  <c r="C4626" i="22"/>
  <c r="D4626" i="22" s="1"/>
  <c r="E4626" i="22"/>
  <c r="F4626" i="22"/>
  <c r="O4626" i="22" s="1"/>
  <c r="G4626" i="22"/>
  <c r="B4627" i="22"/>
  <c r="M4571" i="22"/>
  <c r="J4571" i="22"/>
  <c r="N4571" i="22" s="1"/>
  <c r="D4571" i="22"/>
  <c r="P4571" i="22"/>
  <c r="Q4571" i="22"/>
  <c r="R4571" i="22"/>
  <c r="I4572" i="22"/>
  <c r="L4572" i="22"/>
  <c r="C4572" i="22"/>
  <c r="E4572" i="22"/>
  <c r="G4572" i="22"/>
  <c r="B4573" i="22"/>
  <c r="M4517" i="22"/>
  <c r="D4517" i="22"/>
  <c r="J4517" i="22"/>
  <c r="N4517" i="22" s="1"/>
  <c r="P4517" i="22"/>
  <c r="Q4517" i="22"/>
  <c r="R4517" i="22"/>
  <c r="L4518" i="22"/>
  <c r="C4518" i="22"/>
  <c r="K4518" i="22" s="1"/>
  <c r="E4518" i="22"/>
  <c r="F4518" i="22"/>
  <c r="G4518" i="22"/>
  <c r="I4518" i="22"/>
  <c r="B4519" i="22"/>
  <c r="M4217" i="22"/>
  <c r="D4217" i="22"/>
  <c r="J4217" i="22"/>
  <c r="N4217" i="22" s="1"/>
  <c r="U4217" i="22" s="1"/>
  <c r="P4217" i="22"/>
  <c r="Q4217" i="22"/>
  <c r="R4217" i="22"/>
  <c r="L4218" i="22"/>
  <c r="C4218" i="22"/>
  <c r="E4218" i="22"/>
  <c r="G4218" i="22"/>
  <c r="I4218" i="22"/>
  <c r="B4219" i="22"/>
  <c r="D4163" i="22"/>
  <c r="J4163" i="22"/>
  <c r="P4163" i="22"/>
  <c r="Q4163" i="22"/>
  <c r="R4163" i="22"/>
  <c r="L4164" i="22"/>
  <c r="C4164" i="22"/>
  <c r="E4164" i="22"/>
  <c r="G4164" i="22"/>
  <c r="I4164" i="22"/>
  <c r="B4165" i="22"/>
  <c r="D4109" i="22"/>
  <c r="J4109" i="22"/>
  <c r="P4109" i="22"/>
  <c r="Q4109" i="22"/>
  <c r="R4109" i="22"/>
  <c r="L4110" i="22"/>
  <c r="C4110" i="22"/>
  <c r="E4110" i="22"/>
  <c r="G4110" i="22"/>
  <c r="I4110" i="22"/>
  <c r="B4111" i="22"/>
  <c r="D4055" i="22"/>
  <c r="J4055" i="22"/>
  <c r="P4055" i="22"/>
  <c r="Q4055" i="22"/>
  <c r="R4055" i="22"/>
  <c r="L4056" i="22"/>
  <c r="C4056" i="22"/>
  <c r="K4056" i="22" s="1"/>
  <c r="E4056" i="22"/>
  <c r="F4056" i="22"/>
  <c r="O4056" i="22" s="1"/>
  <c r="G4056" i="22"/>
  <c r="I4056" i="22"/>
  <c r="B4057" i="22"/>
  <c r="M3755" i="22"/>
  <c r="D3755" i="22"/>
  <c r="J3755" i="22"/>
  <c r="N3755" i="22" s="1"/>
  <c r="U3755" i="22" s="1"/>
  <c r="P3755" i="22"/>
  <c r="Q3755" i="22"/>
  <c r="R3755" i="22"/>
  <c r="L3756" i="22"/>
  <c r="C3756" i="22"/>
  <c r="E3756" i="22"/>
  <c r="G3756" i="22"/>
  <c r="I3756" i="22"/>
  <c r="B3757" i="22"/>
  <c r="M3701" i="22"/>
  <c r="D3701" i="22"/>
  <c r="J3701" i="22"/>
  <c r="N3701" i="22" s="1"/>
  <c r="U3701" i="22" s="1"/>
  <c r="P3701" i="22"/>
  <c r="Q3701" i="22"/>
  <c r="R3701" i="22"/>
  <c r="L3702" i="22"/>
  <c r="C3702" i="22"/>
  <c r="E3702" i="22"/>
  <c r="G3702" i="22"/>
  <c r="I3702" i="22"/>
  <c r="B3703" i="22"/>
  <c r="M3647" i="22"/>
  <c r="D3647" i="22"/>
  <c r="J3647" i="22"/>
  <c r="N3647" i="22" s="1"/>
  <c r="U3647" i="22" s="1"/>
  <c r="P3647" i="22"/>
  <c r="Q3647" i="22"/>
  <c r="R3647" i="22"/>
  <c r="L3648" i="22"/>
  <c r="C3648" i="22"/>
  <c r="K3648" i="22" s="1"/>
  <c r="E3648" i="22"/>
  <c r="F3648" i="22"/>
  <c r="O3648" i="22" s="1"/>
  <c r="G3648" i="22"/>
  <c r="I3648" i="22"/>
  <c r="B3649" i="22"/>
  <c r="M3593" i="22"/>
  <c r="P3593" i="22"/>
  <c r="Q3593" i="22"/>
  <c r="R3593" i="22"/>
  <c r="L3594" i="22"/>
  <c r="E3594" i="22"/>
  <c r="I3594" i="22"/>
  <c r="C3594" i="22"/>
  <c r="K3594" i="22" s="1"/>
  <c r="F3594" i="22"/>
  <c r="O3594" i="22" s="1"/>
  <c r="G3594" i="22"/>
  <c r="B3595" i="22"/>
  <c r="D3593" i="22"/>
  <c r="J3593" i="22"/>
  <c r="N3593" i="22" s="1"/>
  <c r="U3593" i="22" s="1"/>
  <c r="M3539" i="22"/>
  <c r="L3540" i="22"/>
  <c r="B3541" i="22"/>
  <c r="C3540" i="22"/>
  <c r="E3540" i="22"/>
  <c r="G3540" i="22"/>
  <c r="I3540" i="22"/>
  <c r="D3539" i="22"/>
  <c r="J3539" i="22"/>
  <c r="N3539" i="22" s="1"/>
  <c r="U3539" i="22" s="1"/>
  <c r="P3539" i="22"/>
  <c r="Q3539" i="22"/>
  <c r="R3539" i="22"/>
  <c r="D3485" i="22"/>
  <c r="J3485" i="22"/>
  <c r="P3485" i="22"/>
  <c r="Q3485" i="22"/>
  <c r="R3485" i="22"/>
  <c r="L3486" i="22"/>
  <c r="C3486" i="22"/>
  <c r="K3486" i="22" s="1"/>
  <c r="E3486" i="22"/>
  <c r="F3486" i="22"/>
  <c r="O3486" i="22" s="1"/>
  <c r="G3486" i="22"/>
  <c r="I3486" i="22"/>
  <c r="B3487" i="22"/>
  <c r="D3431" i="22"/>
  <c r="J3431" i="22"/>
  <c r="P3431" i="22"/>
  <c r="Q3431" i="22"/>
  <c r="R3431" i="22"/>
  <c r="L3432" i="22"/>
  <c r="C3432" i="22"/>
  <c r="E3432" i="22"/>
  <c r="G3432" i="22"/>
  <c r="I3432" i="22"/>
  <c r="B3433" i="22"/>
  <c r="D3377" i="22"/>
  <c r="J3377" i="22"/>
  <c r="P3377" i="22"/>
  <c r="Q3377" i="22"/>
  <c r="R3377" i="22"/>
  <c r="L3378" i="22"/>
  <c r="C3378" i="22"/>
  <c r="E3378" i="22"/>
  <c r="G3378" i="22"/>
  <c r="I3378" i="22"/>
  <c r="B3379" i="22"/>
  <c r="M3323" i="22"/>
  <c r="D3323" i="22"/>
  <c r="J3323" i="22"/>
  <c r="N3323" i="22" s="1"/>
  <c r="U3323" i="22" s="1"/>
  <c r="P3323" i="22"/>
  <c r="Q3323" i="22"/>
  <c r="R3323" i="22"/>
  <c r="L3324" i="22"/>
  <c r="C3324" i="22"/>
  <c r="K3324" i="22" s="1"/>
  <c r="E3324" i="22"/>
  <c r="F3324" i="22"/>
  <c r="O3324" i="22" s="1"/>
  <c r="G3324" i="22"/>
  <c r="I3324" i="22"/>
  <c r="B3325" i="22"/>
  <c r="D3269" i="22"/>
  <c r="J3269" i="22"/>
  <c r="P3269" i="22"/>
  <c r="Q3269" i="22"/>
  <c r="R3269" i="22"/>
  <c r="L3270" i="22"/>
  <c r="C3270" i="22"/>
  <c r="K3270" i="22" s="1"/>
  <c r="E3270" i="22"/>
  <c r="F3270" i="22"/>
  <c r="O3270" i="22" s="1"/>
  <c r="G3270" i="22"/>
  <c r="I3270" i="22"/>
  <c r="B3271" i="22"/>
  <c r="M3215" i="22"/>
  <c r="D3215" i="22"/>
  <c r="J3215" i="22"/>
  <c r="N3215" i="22" s="1"/>
  <c r="U3215" i="22" s="1"/>
  <c r="P3215" i="22"/>
  <c r="Q3215" i="22"/>
  <c r="R3215" i="22"/>
  <c r="L3216" i="22"/>
  <c r="E3216" i="22"/>
  <c r="B3217" i="22"/>
  <c r="C3216" i="22"/>
  <c r="I3216" i="22"/>
  <c r="G3216" i="22"/>
  <c r="M3161" i="22"/>
  <c r="D3161" i="22"/>
  <c r="J3161" i="22"/>
  <c r="N3161" i="22" s="1"/>
  <c r="U3161" i="22" s="1"/>
  <c r="P3161" i="22"/>
  <c r="Q3161" i="22"/>
  <c r="R3161" i="22"/>
  <c r="L3162" i="22"/>
  <c r="C3162" i="22"/>
  <c r="K3162" i="22" s="1"/>
  <c r="E3162" i="22"/>
  <c r="F3162" i="22"/>
  <c r="O3162" i="22" s="1"/>
  <c r="G3162" i="22"/>
  <c r="I3162" i="22"/>
  <c r="B3163" i="22"/>
  <c r="P3107" i="22"/>
  <c r="Q3107" i="22"/>
  <c r="R3107" i="22"/>
  <c r="J3107" i="22"/>
  <c r="D3107" i="22"/>
  <c r="L3108" i="22"/>
  <c r="G3108" i="22"/>
  <c r="B3109" i="22"/>
  <c r="C3108" i="22"/>
  <c r="E3108" i="22"/>
  <c r="I3108" i="22"/>
  <c r="L3054" i="22"/>
  <c r="I3054" i="22"/>
  <c r="B3055" i="22"/>
  <c r="C3054" i="22"/>
  <c r="E3054" i="22"/>
  <c r="G3054" i="22"/>
  <c r="D3053" i="22"/>
  <c r="J3053" i="22"/>
  <c r="P3053" i="22"/>
  <c r="Q3053" i="22"/>
  <c r="R3053" i="22"/>
  <c r="P2999" i="22"/>
  <c r="Q2999" i="22"/>
  <c r="R2999" i="22"/>
  <c r="D2999" i="22"/>
  <c r="J2999" i="22"/>
  <c r="L3000" i="22"/>
  <c r="B3001" i="22"/>
  <c r="C3000" i="22"/>
  <c r="E3000" i="22"/>
  <c r="G3000" i="22"/>
  <c r="I3000" i="22"/>
  <c r="D2945" i="22"/>
  <c r="J2945" i="22"/>
  <c r="P2945" i="22"/>
  <c r="Q2945" i="22"/>
  <c r="R2945" i="22"/>
  <c r="L2946" i="22"/>
  <c r="C2946" i="22"/>
  <c r="K2946" i="22" s="1"/>
  <c r="E2946" i="22"/>
  <c r="F2946" i="22"/>
  <c r="O2946" i="22" s="1"/>
  <c r="G2946" i="22"/>
  <c r="I2946" i="22"/>
  <c r="B2947" i="22"/>
  <c r="M2891" i="22"/>
  <c r="D2891" i="22"/>
  <c r="J2891" i="22"/>
  <c r="N2891" i="22" s="1"/>
  <c r="U2891" i="22" s="1"/>
  <c r="P2891" i="22"/>
  <c r="Q2891" i="22"/>
  <c r="R2891" i="22"/>
  <c r="L2892" i="22"/>
  <c r="C2892" i="22"/>
  <c r="K2892" i="22" s="1"/>
  <c r="E2892" i="22"/>
  <c r="F2892" i="22"/>
  <c r="O2892" i="22" s="1"/>
  <c r="G2892" i="22"/>
  <c r="I2892" i="22"/>
  <c r="B2893" i="22"/>
  <c r="M2837" i="22"/>
  <c r="D2837" i="22"/>
  <c r="J2837" i="22"/>
  <c r="N2837" i="22" s="1"/>
  <c r="U2837" i="22" s="1"/>
  <c r="P2837" i="22"/>
  <c r="Q2837" i="22"/>
  <c r="R2837" i="22"/>
  <c r="L2838" i="22"/>
  <c r="C2838" i="22"/>
  <c r="K2838" i="22" s="1"/>
  <c r="E2838" i="22"/>
  <c r="F2838" i="22"/>
  <c r="O2838" i="22" s="1"/>
  <c r="G2838" i="22"/>
  <c r="I2838" i="22"/>
  <c r="B2839" i="22"/>
  <c r="M2783" i="22"/>
  <c r="D2783" i="22"/>
  <c r="J2783" i="22"/>
  <c r="N2783" i="22" s="1"/>
  <c r="S2783" i="22" s="1"/>
  <c r="T2783" i="22" s="1"/>
  <c r="U2783" i="22" s="1"/>
  <c r="P2783" i="22"/>
  <c r="Q2783" i="22"/>
  <c r="R2783" i="22"/>
  <c r="L2784" i="22"/>
  <c r="C2784" i="22"/>
  <c r="K2784" i="22" s="1"/>
  <c r="E2784" i="22"/>
  <c r="F2784" i="22"/>
  <c r="O2784" i="22" s="1"/>
  <c r="G2784" i="22"/>
  <c r="I2784" i="22"/>
  <c r="B2785" i="22"/>
  <c r="M2729" i="22"/>
  <c r="D2729" i="22"/>
  <c r="J2729" i="22"/>
  <c r="N2729" i="22" s="1"/>
  <c r="U2729" i="22" s="1"/>
  <c r="P2729" i="22"/>
  <c r="Q2729" i="22"/>
  <c r="R2729" i="22"/>
  <c r="L2730" i="22"/>
  <c r="C2730" i="22"/>
  <c r="E2730" i="22"/>
  <c r="G2730" i="22"/>
  <c r="I2730" i="22"/>
  <c r="B2731" i="22"/>
  <c r="M2675" i="22"/>
  <c r="D2675" i="22"/>
  <c r="J2675" i="22"/>
  <c r="N2675" i="22" s="1"/>
  <c r="U2675" i="22" s="1"/>
  <c r="P2675" i="22"/>
  <c r="Q2675" i="22"/>
  <c r="R2675" i="22"/>
  <c r="L2676" i="22"/>
  <c r="C2676" i="22"/>
  <c r="K2676" i="22" s="1"/>
  <c r="E2676" i="22"/>
  <c r="F2676" i="22"/>
  <c r="O2676" i="22" s="1"/>
  <c r="G2676" i="22"/>
  <c r="I2676" i="22"/>
  <c r="B2677" i="22"/>
  <c r="M2621" i="22"/>
  <c r="D2621" i="22"/>
  <c r="J2621" i="22"/>
  <c r="N2621" i="22" s="1"/>
  <c r="U2621" i="22" s="1"/>
  <c r="P2621" i="22"/>
  <c r="Q2621" i="22"/>
  <c r="R2621" i="22"/>
  <c r="L2622" i="22"/>
  <c r="C2622" i="22"/>
  <c r="E2622" i="22"/>
  <c r="G2622" i="22"/>
  <c r="I2622" i="22"/>
  <c r="B2623" i="22"/>
  <c r="D2567" i="22"/>
  <c r="J2567" i="22"/>
  <c r="P2567" i="22"/>
  <c r="Q2567" i="22"/>
  <c r="R2567" i="22"/>
  <c r="L2568" i="22"/>
  <c r="C2568" i="22"/>
  <c r="E2568" i="22"/>
  <c r="G2568" i="22"/>
  <c r="I2568" i="22"/>
  <c r="B2569" i="22"/>
  <c r="D2513" i="22"/>
  <c r="J2513" i="22"/>
  <c r="P2513" i="22"/>
  <c r="Q2513" i="22"/>
  <c r="R2513" i="22"/>
  <c r="L2514" i="22"/>
  <c r="C2514" i="22"/>
  <c r="K2514" i="22" s="1"/>
  <c r="E2514" i="22"/>
  <c r="F2514" i="22"/>
  <c r="O2514" i="22" s="1"/>
  <c r="G2514" i="22"/>
  <c r="I2514" i="22"/>
  <c r="B2515" i="22"/>
  <c r="D2459" i="22"/>
  <c r="J2459" i="22"/>
  <c r="P2459" i="22"/>
  <c r="Q2459" i="22"/>
  <c r="R2459" i="22"/>
  <c r="L2460" i="22"/>
  <c r="C2460" i="22"/>
  <c r="K2460" i="22" s="1"/>
  <c r="E2460" i="22"/>
  <c r="F2460" i="22"/>
  <c r="O2460" i="22" s="1"/>
  <c r="G2460" i="22"/>
  <c r="I2460" i="22"/>
  <c r="B2461" i="22"/>
  <c r="M2405" i="22"/>
  <c r="D2405" i="22"/>
  <c r="J2405" i="22"/>
  <c r="N2405" i="22" s="1"/>
  <c r="U2405" i="22" s="1"/>
  <c r="P2405" i="22"/>
  <c r="Q2405" i="22"/>
  <c r="R2405" i="22"/>
  <c r="L2406" i="22"/>
  <c r="C2406" i="22"/>
  <c r="K2406" i="22" s="1"/>
  <c r="E2406" i="22"/>
  <c r="F2406" i="22"/>
  <c r="O2406" i="22" s="1"/>
  <c r="G2406" i="22"/>
  <c r="I2406" i="22"/>
  <c r="B2407" i="22"/>
  <c r="M2351" i="22"/>
  <c r="D2351" i="22"/>
  <c r="J2351" i="22"/>
  <c r="N2351" i="22" s="1"/>
  <c r="U2351" i="22" s="1"/>
  <c r="P2351" i="22"/>
  <c r="Q2351" i="22"/>
  <c r="R2351" i="22"/>
  <c r="L2352" i="22"/>
  <c r="C2352" i="22"/>
  <c r="K2352" i="22" s="1"/>
  <c r="E2352" i="22"/>
  <c r="F2352" i="22"/>
  <c r="O2352" i="22" s="1"/>
  <c r="G2352" i="22"/>
  <c r="I2352" i="22"/>
  <c r="B2353" i="22"/>
  <c r="J2297" i="22"/>
  <c r="D2297" i="22"/>
  <c r="L2298" i="22"/>
  <c r="C2298" i="22"/>
  <c r="G2298" i="22"/>
  <c r="B2299" i="22"/>
  <c r="E2298" i="22"/>
  <c r="I2298" i="22"/>
  <c r="P2297" i="22"/>
  <c r="Q2297" i="22"/>
  <c r="R2297" i="22"/>
  <c r="M2243" i="22"/>
  <c r="D2243" i="22"/>
  <c r="J2243" i="22"/>
  <c r="N2243" i="22" s="1"/>
  <c r="U2243" i="22" s="1"/>
  <c r="P2243" i="22"/>
  <c r="Q2243" i="22"/>
  <c r="R2243" i="22"/>
  <c r="L2244" i="22"/>
  <c r="C2244" i="22"/>
  <c r="E2244" i="22"/>
  <c r="G2244" i="22"/>
  <c r="I2244" i="22"/>
  <c r="B2245" i="22"/>
  <c r="D2189" i="22"/>
  <c r="J2189" i="22"/>
  <c r="P2189" i="22"/>
  <c r="Q2189" i="22"/>
  <c r="R2189" i="22"/>
  <c r="L2190" i="22"/>
  <c r="C2190" i="22"/>
  <c r="K2190" i="22" s="1"/>
  <c r="E2190" i="22"/>
  <c r="F2190" i="22"/>
  <c r="O2190" i="22" s="1"/>
  <c r="G2190" i="22"/>
  <c r="I2190" i="22"/>
  <c r="B2191" i="22"/>
  <c r="M2135" i="22"/>
  <c r="D2135" i="22"/>
  <c r="J2135" i="22"/>
  <c r="N2135" i="22" s="1"/>
  <c r="U2135" i="22" s="1"/>
  <c r="P2135" i="22"/>
  <c r="Q2135" i="22"/>
  <c r="R2135" i="22"/>
  <c r="L2136" i="22"/>
  <c r="C2136" i="22"/>
  <c r="K2136" i="22" s="1"/>
  <c r="E2136" i="22"/>
  <c r="F2136" i="22"/>
  <c r="O2136" i="22" s="1"/>
  <c r="G2136" i="22"/>
  <c r="I2136" i="22"/>
  <c r="B2137" i="22"/>
  <c r="D2081" i="22"/>
  <c r="J2081" i="22"/>
  <c r="P2081" i="22"/>
  <c r="Q2081" i="22"/>
  <c r="R2081" i="22"/>
  <c r="L2082" i="22"/>
  <c r="C2082" i="22"/>
  <c r="K2082" i="22" s="1"/>
  <c r="E2082" i="22"/>
  <c r="F2082" i="22"/>
  <c r="O2082" i="22" s="1"/>
  <c r="G2082" i="22"/>
  <c r="I2082" i="22"/>
  <c r="B2083" i="22"/>
  <c r="M2027" i="22"/>
  <c r="D2027" i="22"/>
  <c r="J2027" i="22"/>
  <c r="N2027" i="22" s="1"/>
  <c r="U2027" i="22" s="1"/>
  <c r="P2027" i="22"/>
  <c r="Q2027" i="22"/>
  <c r="R2027" i="22"/>
  <c r="L2028" i="22"/>
  <c r="C2028" i="22"/>
  <c r="K2028" i="22" s="1"/>
  <c r="E2028" i="22"/>
  <c r="F2028" i="22"/>
  <c r="O2028" i="22" s="1"/>
  <c r="G2028" i="22"/>
  <c r="I2028" i="22"/>
  <c r="B2029" i="22"/>
  <c r="M1973" i="22"/>
  <c r="J1973" i="22"/>
  <c r="N1973" i="22" s="1"/>
  <c r="U1973" i="22" s="1"/>
  <c r="D1973" i="22"/>
  <c r="L1974" i="22"/>
  <c r="C1974" i="22"/>
  <c r="E1974" i="22"/>
  <c r="G1974" i="22"/>
  <c r="I1974" i="22"/>
  <c r="B1975" i="22"/>
  <c r="P1973" i="22"/>
  <c r="Q1973" i="22"/>
  <c r="R1973" i="22"/>
  <c r="M1919" i="22"/>
  <c r="D1919" i="22"/>
  <c r="J1919" i="22"/>
  <c r="N1919" i="22" s="1"/>
  <c r="U1919" i="22" s="1"/>
  <c r="P1919" i="22"/>
  <c r="Q1919" i="22"/>
  <c r="R1919" i="22"/>
  <c r="L1920" i="22"/>
  <c r="C1920" i="22"/>
  <c r="E1920" i="22"/>
  <c r="G1920" i="22"/>
  <c r="I1920" i="22"/>
  <c r="B1921" i="22"/>
  <c r="M1865" i="22"/>
  <c r="D1865" i="22"/>
  <c r="J1865" i="22"/>
  <c r="N1865" i="22" s="1"/>
  <c r="U1865" i="22" s="1"/>
  <c r="P1865" i="22"/>
  <c r="Q1865" i="22"/>
  <c r="R1865" i="22"/>
  <c r="L1866" i="22"/>
  <c r="C1866" i="22"/>
  <c r="E1866" i="22"/>
  <c r="G1866" i="22"/>
  <c r="I1866" i="22"/>
  <c r="B1867" i="22"/>
  <c r="M1811" i="22"/>
  <c r="D1811" i="22"/>
  <c r="J1811" i="22"/>
  <c r="N1811" i="22" s="1"/>
  <c r="U1811" i="22" s="1"/>
  <c r="P1811" i="22"/>
  <c r="Q1811" i="22"/>
  <c r="R1811" i="22"/>
  <c r="L1812" i="22"/>
  <c r="C1812" i="22"/>
  <c r="E1812" i="22"/>
  <c r="G1812" i="22"/>
  <c r="I1812" i="22"/>
  <c r="B1813" i="22"/>
  <c r="M1757" i="22"/>
  <c r="D1757" i="22"/>
  <c r="J1757" i="22"/>
  <c r="N1757" i="22" s="1"/>
  <c r="U1757" i="22" s="1"/>
  <c r="P1757" i="22"/>
  <c r="Q1757" i="22"/>
  <c r="R1757" i="22"/>
  <c r="L1758" i="22"/>
  <c r="C1758" i="22"/>
  <c r="E1758" i="22"/>
  <c r="G1758" i="22"/>
  <c r="I1758" i="22"/>
  <c r="B1759" i="22"/>
  <c r="M1703" i="22"/>
  <c r="D1703" i="22"/>
  <c r="J1703" i="22"/>
  <c r="N1703" i="22" s="1"/>
  <c r="U1703" i="22" s="1"/>
  <c r="P1703" i="22"/>
  <c r="Q1703" i="22"/>
  <c r="R1703" i="22"/>
  <c r="L1704" i="22"/>
  <c r="C1704" i="22"/>
  <c r="K1704" i="22" s="1"/>
  <c r="E1704" i="22"/>
  <c r="F1704" i="22"/>
  <c r="O1704" i="22" s="1"/>
  <c r="G1704" i="22"/>
  <c r="I1704" i="22"/>
  <c r="B1705" i="22"/>
  <c r="M1649" i="22"/>
  <c r="D1649" i="22"/>
  <c r="J1649" i="22"/>
  <c r="N1649" i="22" s="1"/>
  <c r="U1649" i="22" s="1"/>
  <c r="P1649" i="22"/>
  <c r="Q1649" i="22"/>
  <c r="R1649" i="22"/>
  <c r="L1650" i="22"/>
  <c r="C1650" i="22"/>
  <c r="E1650" i="22"/>
  <c r="G1650" i="22"/>
  <c r="I1650" i="22"/>
  <c r="B1651" i="22"/>
  <c r="M1595" i="22"/>
  <c r="D1595" i="22"/>
  <c r="J1595" i="22"/>
  <c r="N1595" i="22" s="1"/>
  <c r="U1595" i="22" s="1"/>
  <c r="P1595" i="22"/>
  <c r="Q1595" i="22"/>
  <c r="R1595" i="22"/>
  <c r="L1596" i="22"/>
  <c r="C1596" i="22"/>
  <c r="K1596" i="22" s="1"/>
  <c r="E1596" i="22"/>
  <c r="F1596" i="22"/>
  <c r="O1596" i="22" s="1"/>
  <c r="G1596" i="22"/>
  <c r="I1596" i="22"/>
  <c r="B1597" i="22"/>
  <c r="M1541" i="22"/>
  <c r="D1541" i="22"/>
  <c r="J1541" i="22"/>
  <c r="N1541" i="22" s="1"/>
  <c r="U1541" i="22" s="1"/>
  <c r="P1541" i="22"/>
  <c r="Q1541" i="22"/>
  <c r="R1541" i="22"/>
  <c r="L1542" i="22"/>
  <c r="C1542" i="22"/>
  <c r="K1542" i="22" s="1"/>
  <c r="E1542" i="22"/>
  <c r="F1542" i="22"/>
  <c r="O1542" i="22" s="1"/>
  <c r="G1542" i="22"/>
  <c r="I1542" i="22"/>
  <c r="B1543" i="22"/>
  <c r="M1487" i="22"/>
  <c r="D1487" i="22"/>
  <c r="J1487" i="22"/>
  <c r="N1487" i="22" s="1"/>
  <c r="U1487" i="22" s="1"/>
  <c r="P1487" i="22"/>
  <c r="Q1487" i="22"/>
  <c r="R1487" i="22"/>
  <c r="L1488" i="22"/>
  <c r="C1488" i="22"/>
  <c r="E1488" i="22"/>
  <c r="G1488" i="22"/>
  <c r="I1488" i="22"/>
  <c r="B1489" i="22"/>
  <c r="D1433" i="22"/>
  <c r="J1433" i="22"/>
  <c r="P1433" i="22"/>
  <c r="Q1433" i="22"/>
  <c r="R1433" i="22"/>
  <c r="L1434" i="22"/>
  <c r="C1434" i="22"/>
  <c r="E1434" i="22"/>
  <c r="G1434" i="22"/>
  <c r="I1434" i="22"/>
  <c r="B1435" i="22"/>
  <c r="M1379" i="22"/>
  <c r="D1379" i="22"/>
  <c r="J1379" i="22"/>
  <c r="N1379" i="22" s="1"/>
  <c r="U1379" i="22" s="1"/>
  <c r="P1379" i="22"/>
  <c r="Q1379" i="22"/>
  <c r="R1379" i="22"/>
  <c r="L1380" i="22"/>
  <c r="C1380" i="22"/>
  <c r="K1380" i="22" s="1"/>
  <c r="E1380" i="22"/>
  <c r="F1380" i="22"/>
  <c r="O1380" i="22" s="1"/>
  <c r="G1380" i="22"/>
  <c r="I1380" i="22"/>
  <c r="B1381" i="22"/>
  <c r="D1325" i="22"/>
  <c r="J1325" i="22"/>
  <c r="P1325" i="22"/>
  <c r="Q1325" i="22"/>
  <c r="R1325" i="22"/>
  <c r="L1326" i="22"/>
  <c r="C1326" i="22"/>
  <c r="E1326" i="22"/>
  <c r="G1326" i="22"/>
  <c r="I1326" i="22"/>
  <c r="B1327" i="22"/>
  <c r="D1271" i="22"/>
  <c r="J1271" i="22"/>
  <c r="P1271" i="22"/>
  <c r="Q1271" i="22"/>
  <c r="R1271" i="22"/>
  <c r="L1272" i="22"/>
  <c r="C1272" i="22"/>
  <c r="E1272" i="22"/>
  <c r="G1272" i="22"/>
  <c r="I1272" i="22"/>
  <c r="B1273" i="22"/>
  <c r="D1217" i="22"/>
  <c r="J1217" i="22"/>
  <c r="P1217" i="22"/>
  <c r="Q1217" i="22"/>
  <c r="R1217" i="22"/>
  <c r="L1218" i="22"/>
  <c r="C1218" i="22"/>
  <c r="E1218" i="22"/>
  <c r="G1218" i="22"/>
  <c r="I1218" i="22"/>
  <c r="B1219" i="22"/>
  <c r="M1163" i="22"/>
  <c r="D1163" i="22"/>
  <c r="J1163" i="22"/>
  <c r="N1163" i="22" s="1"/>
  <c r="U1163" i="22" s="1"/>
  <c r="P1163" i="22"/>
  <c r="Q1163" i="22"/>
  <c r="R1163" i="22"/>
  <c r="L1164" i="22"/>
  <c r="C1164" i="22"/>
  <c r="K1164" i="22" s="1"/>
  <c r="E1164" i="22"/>
  <c r="F1164" i="22"/>
  <c r="O1164" i="22" s="1"/>
  <c r="G1164" i="22"/>
  <c r="I1164" i="22"/>
  <c r="B1165" i="22"/>
  <c r="M1109" i="22"/>
  <c r="D1109" i="22"/>
  <c r="J1109" i="22"/>
  <c r="N1109" i="22" s="1"/>
  <c r="U1109" i="22" s="1"/>
  <c r="P1109" i="22"/>
  <c r="Q1109" i="22"/>
  <c r="R1109" i="22"/>
  <c r="L1110" i="22"/>
  <c r="C1110" i="22"/>
  <c r="E1110" i="22"/>
  <c r="G1110" i="22"/>
  <c r="I1110" i="22"/>
  <c r="B1111" i="22"/>
  <c r="M1055" i="22"/>
  <c r="D1055" i="22"/>
  <c r="J1055" i="22"/>
  <c r="N1055" i="22" s="1"/>
  <c r="U1055" i="22" s="1"/>
  <c r="P1055" i="22"/>
  <c r="Q1055" i="22"/>
  <c r="R1055" i="22"/>
  <c r="L1056" i="22"/>
  <c r="C1056" i="22"/>
  <c r="E1056" i="22"/>
  <c r="G1056" i="22"/>
  <c r="I1056" i="22"/>
  <c r="B1057" i="22"/>
  <c r="M1001" i="22"/>
  <c r="D1001" i="22"/>
  <c r="J1001" i="22"/>
  <c r="N1001" i="22" s="1"/>
  <c r="U1001" i="22" s="1"/>
  <c r="P1001" i="22"/>
  <c r="Q1001" i="22"/>
  <c r="R1001" i="22"/>
  <c r="L1002" i="22"/>
  <c r="C1002" i="22"/>
  <c r="K1002" i="22" s="1"/>
  <c r="E1002" i="22"/>
  <c r="F1002" i="22"/>
  <c r="O1002" i="22" s="1"/>
  <c r="G1002" i="22"/>
  <c r="I1002" i="22"/>
  <c r="B1003" i="22"/>
  <c r="M947" i="22"/>
  <c r="D947" i="22"/>
  <c r="J947" i="22"/>
  <c r="N947" i="22" s="1"/>
  <c r="U947" i="22" s="1"/>
  <c r="P947" i="22"/>
  <c r="Q947" i="22"/>
  <c r="R947" i="22"/>
  <c r="L948" i="22"/>
  <c r="C948" i="22"/>
  <c r="E948" i="22"/>
  <c r="G948" i="22"/>
  <c r="I948" i="22"/>
  <c r="B949" i="22"/>
  <c r="D893" i="22"/>
  <c r="J893" i="22"/>
  <c r="P893" i="22"/>
  <c r="Q893" i="22"/>
  <c r="R893" i="22"/>
  <c r="L894" i="22"/>
  <c r="C894" i="22"/>
  <c r="E894" i="22"/>
  <c r="G894" i="22"/>
  <c r="I894" i="22"/>
  <c r="B895" i="22"/>
  <c r="D839" i="22"/>
  <c r="J839" i="22"/>
  <c r="P839" i="22"/>
  <c r="Q839" i="22"/>
  <c r="R839" i="22"/>
  <c r="L840" i="22"/>
  <c r="C840" i="22"/>
  <c r="K840" i="22" s="1"/>
  <c r="E840" i="22"/>
  <c r="F840" i="22"/>
  <c r="O840" i="22" s="1"/>
  <c r="G840" i="22"/>
  <c r="I840" i="22"/>
  <c r="B841" i="22"/>
  <c r="D785" i="22"/>
  <c r="J785" i="22"/>
  <c r="P785" i="22"/>
  <c r="Q785" i="22"/>
  <c r="R785" i="22"/>
  <c r="L786" i="22"/>
  <c r="C786" i="22"/>
  <c r="E786" i="22"/>
  <c r="G786" i="22"/>
  <c r="I786" i="22"/>
  <c r="B787" i="22"/>
  <c r="M731" i="22"/>
  <c r="D731" i="22"/>
  <c r="J731" i="22"/>
  <c r="N731" i="22" s="1"/>
  <c r="U731" i="22" s="1"/>
  <c r="P731" i="22"/>
  <c r="Q731" i="22"/>
  <c r="R731" i="22"/>
  <c r="L732" i="22"/>
  <c r="C732" i="22"/>
  <c r="K732" i="22" s="1"/>
  <c r="E732" i="22"/>
  <c r="F732" i="22"/>
  <c r="O732" i="22" s="1"/>
  <c r="G732" i="22"/>
  <c r="I732" i="22"/>
  <c r="B733" i="22"/>
  <c r="M677" i="22"/>
  <c r="D677" i="22"/>
  <c r="J677" i="22"/>
  <c r="N677" i="22" s="1"/>
  <c r="U677" i="22" s="1"/>
  <c r="P677" i="22"/>
  <c r="Q677" i="22"/>
  <c r="R677" i="22"/>
  <c r="L678" i="22"/>
  <c r="C678" i="22"/>
  <c r="K678" i="22" s="1"/>
  <c r="E678" i="22"/>
  <c r="F678" i="22"/>
  <c r="O678" i="22" s="1"/>
  <c r="G678" i="22"/>
  <c r="I678" i="22"/>
  <c r="B679" i="22"/>
  <c r="M623" i="22"/>
  <c r="D623" i="22"/>
  <c r="J623" i="22"/>
  <c r="N623" i="22" s="1"/>
  <c r="U623" i="22" s="1"/>
  <c r="P623" i="22"/>
  <c r="Q623" i="22"/>
  <c r="R623" i="22"/>
  <c r="L624" i="22"/>
  <c r="C624" i="22"/>
  <c r="K624" i="22" s="1"/>
  <c r="E624" i="22"/>
  <c r="F624" i="22"/>
  <c r="O624" i="22" s="1"/>
  <c r="G624" i="22"/>
  <c r="I624" i="22"/>
  <c r="B625" i="22"/>
  <c r="M569" i="22"/>
  <c r="D569" i="22"/>
  <c r="J569" i="22"/>
  <c r="N569" i="22" s="1"/>
  <c r="U569" i="22" s="1"/>
  <c r="P569" i="22"/>
  <c r="Q569" i="22"/>
  <c r="R569" i="22"/>
  <c r="L570" i="22"/>
  <c r="C570" i="22"/>
  <c r="K570" i="22" s="1"/>
  <c r="E570" i="22"/>
  <c r="F570" i="22"/>
  <c r="O570" i="22" s="1"/>
  <c r="G570" i="22"/>
  <c r="I570" i="22"/>
  <c r="B571" i="22"/>
  <c r="D515" i="22"/>
  <c r="J515" i="22"/>
  <c r="P515" i="22"/>
  <c r="Q515" i="22"/>
  <c r="R515" i="22"/>
  <c r="L516" i="22"/>
  <c r="C516" i="22"/>
  <c r="E516" i="22"/>
  <c r="G516" i="22"/>
  <c r="I516" i="22"/>
  <c r="B517" i="22"/>
  <c r="M461" i="22"/>
  <c r="D461" i="22"/>
  <c r="J461" i="22"/>
  <c r="N461" i="22" s="1"/>
  <c r="U461" i="22" s="1"/>
  <c r="P461" i="22"/>
  <c r="Q461" i="22"/>
  <c r="R461" i="22"/>
  <c r="L462" i="22"/>
  <c r="C462" i="22"/>
  <c r="K462" i="22" s="1"/>
  <c r="E462" i="22"/>
  <c r="F462" i="22"/>
  <c r="O462" i="22" s="1"/>
  <c r="G462" i="22"/>
  <c r="I462" i="22"/>
  <c r="B463" i="22"/>
  <c r="D407" i="22"/>
  <c r="J407" i="22"/>
  <c r="P407" i="22"/>
  <c r="Q407" i="22"/>
  <c r="R407" i="22"/>
  <c r="L408" i="22"/>
  <c r="C408" i="22"/>
  <c r="E408" i="22"/>
  <c r="G408" i="22"/>
  <c r="I408" i="22"/>
  <c r="B409" i="22"/>
  <c r="D353" i="22"/>
  <c r="J353" i="22"/>
  <c r="P353" i="22"/>
  <c r="Q353" i="22"/>
  <c r="R353" i="22"/>
  <c r="L354" i="22"/>
  <c r="C354" i="22"/>
  <c r="K354" i="22" s="1"/>
  <c r="E354" i="22"/>
  <c r="F354" i="22"/>
  <c r="O354" i="22" s="1"/>
  <c r="G354" i="22"/>
  <c r="I354" i="22"/>
  <c r="B355" i="22"/>
  <c r="D299" i="22"/>
  <c r="J299" i="22"/>
  <c r="P299" i="22"/>
  <c r="Q299" i="22"/>
  <c r="R299" i="22"/>
  <c r="L300" i="22"/>
  <c r="C300" i="22"/>
  <c r="K300" i="22" s="1"/>
  <c r="E300" i="22"/>
  <c r="F300" i="22"/>
  <c r="O300" i="22" s="1"/>
  <c r="G300" i="22"/>
  <c r="I300" i="22"/>
  <c r="B301" i="22"/>
  <c r="M245" i="22"/>
  <c r="D245" i="22"/>
  <c r="J245" i="22"/>
  <c r="N245" i="22" s="1"/>
  <c r="U245" i="22" s="1"/>
  <c r="P245" i="22"/>
  <c r="Q245" i="22"/>
  <c r="R245" i="22"/>
  <c r="L246" i="22"/>
  <c r="C246" i="22"/>
  <c r="K246" i="22" s="1"/>
  <c r="E246" i="22"/>
  <c r="F246" i="22"/>
  <c r="O246" i="22" s="1"/>
  <c r="G246" i="22"/>
  <c r="I246" i="22"/>
  <c r="B247" i="22"/>
  <c r="M191" i="22"/>
  <c r="L192" i="22"/>
  <c r="I192" i="22"/>
  <c r="C192" i="22"/>
  <c r="K192" i="22" s="1"/>
  <c r="E192" i="22"/>
  <c r="F192" i="22"/>
  <c r="O192" i="22" s="1"/>
  <c r="G192" i="22"/>
  <c r="B193" i="22"/>
  <c r="D191" i="22"/>
  <c r="J191" i="22"/>
  <c r="N191" i="22" s="1"/>
  <c r="U191" i="22" s="1"/>
  <c r="P191" i="22"/>
  <c r="Q191" i="22"/>
  <c r="R191" i="22"/>
  <c r="M137" i="22"/>
  <c r="D137" i="22"/>
  <c r="J137" i="22"/>
  <c r="N137" i="22" s="1"/>
  <c r="U137" i="22" s="1"/>
  <c r="P137" i="22"/>
  <c r="Q137" i="22"/>
  <c r="R137" i="22"/>
  <c r="L138" i="22"/>
  <c r="C138" i="22"/>
  <c r="K138" i="22" s="1"/>
  <c r="E138" i="22"/>
  <c r="F138" i="22"/>
  <c r="O138" i="22" s="1"/>
  <c r="G138" i="22"/>
  <c r="B139" i="22"/>
  <c r="I138" i="22"/>
  <c r="M83" i="22"/>
  <c r="D83" i="22"/>
  <c r="J83" i="22"/>
  <c r="N83" i="22" s="1"/>
  <c r="U83" i="22" s="1"/>
  <c r="P83" i="22"/>
  <c r="Q83" i="22"/>
  <c r="R83" i="22"/>
  <c r="L84" i="22"/>
  <c r="C84" i="22"/>
  <c r="K84" i="22" s="1"/>
  <c r="E84" i="22"/>
  <c r="F84" i="22"/>
  <c r="O84" i="22" s="1"/>
  <c r="G84" i="22"/>
  <c r="I84" i="22"/>
  <c r="B85" i="22"/>
  <c r="P19" i="8"/>
  <c r="O19" i="8"/>
  <c r="N19" i="8"/>
  <c r="M19" i="8"/>
  <c r="L19" i="8"/>
  <c r="K19" i="8"/>
  <c r="J19" i="8"/>
  <c r="I19" i="8"/>
  <c r="H19" i="8"/>
  <c r="G19" i="8"/>
  <c r="F19" i="8"/>
  <c r="C19" i="8"/>
  <c r="E807" i="23"/>
  <c r="M858" i="23"/>
  <c r="O858" i="23"/>
  <c r="A808" i="23"/>
  <c r="B808" i="23"/>
  <c r="T807" i="23"/>
  <c r="P807" i="23"/>
  <c r="Q807" i="23"/>
  <c r="R807" i="23"/>
  <c r="S807" i="23"/>
  <c r="P20" i="8"/>
  <c r="O20" i="8"/>
  <c r="N20" i="8"/>
  <c r="M20" i="8"/>
  <c r="L20" i="8"/>
  <c r="K20" i="8"/>
  <c r="J20" i="8"/>
  <c r="I20" i="8"/>
  <c r="H20" i="8"/>
  <c r="G20" i="8"/>
  <c r="F20" i="8"/>
  <c r="C20" i="8"/>
  <c r="E863" i="23"/>
  <c r="M914" i="23"/>
  <c r="N914" i="23"/>
  <c r="O914" i="23"/>
  <c r="A864" i="23"/>
  <c r="B864" i="23"/>
  <c r="T863" i="23"/>
  <c r="P863" i="23"/>
  <c r="Q863" i="23"/>
  <c r="R863" i="23"/>
  <c r="S863" i="23"/>
  <c r="G914" i="23"/>
  <c r="P21" i="8"/>
  <c r="O21" i="8"/>
  <c r="N21" i="8"/>
  <c r="M21" i="8"/>
  <c r="L21" i="8"/>
  <c r="K21" i="8"/>
  <c r="J21" i="8"/>
  <c r="I21" i="8"/>
  <c r="H21" i="8"/>
  <c r="G21" i="8"/>
  <c r="F21" i="8"/>
  <c r="C21" i="8"/>
  <c r="E919" i="23"/>
  <c r="M970" i="23"/>
  <c r="O970" i="23"/>
  <c r="A920" i="23"/>
  <c r="B920" i="23"/>
  <c r="T919" i="23"/>
  <c r="P919" i="23"/>
  <c r="Q919" i="23"/>
  <c r="R919" i="23"/>
  <c r="S919" i="23"/>
  <c r="P22" i="8"/>
  <c r="O22" i="8"/>
  <c r="N22" i="8"/>
  <c r="M22" i="8"/>
  <c r="L22" i="8"/>
  <c r="K22" i="8"/>
  <c r="J22" i="8"/>
  <c r="I22" i="8"/>
  <c r="H22" i="8"/>
  <c r="G22" i="8"/>
  <c r="F22" i="8"/>
  <c r="C22" i="8"/>
  <c r="E975" i="23"/>
  <c r="M1026" i="23"/>
  <c r="O1026" i="23"/>
  <c r="A976" i="23"/>
  <c r="B976" i="23"/>
  <c r="T975" i="23"/>
  <c r="P975" i="23"/>
  <c r="Q975" i="23"/>
  <c r="R975" i="23"/>
  <c r="S975" i="23"/>
  <c r="A1032" i="23"/>
  <c r="B1032" i="23"/>
  <c r="E1032" i="23" s="1"/>
  <c r="I1032" i="23" s="1"/>
  <c r="P23" i="8"/>
  <c r="O23" i="8"/>
  <c r="N23" i="8"/>
  <c r="M23" i="8"/>
  <c r="L23" i="8"/>
  <c r="K23" i="8"/>
  <c r="J23" i="8"/>
  <c r="I23" i="8"/>
  <c r="H23" i="8"/>
  <c r="G23" i="8"/>
  <c r="F23" i="8"/>
  <c r="C23" i="8"/>
  <c r="M1082" i="23"/>
  <c r="O1082" i="23"/>
  <c r="E1031" i="23"/>
  <c r="T1031" i="23"/>
  <c r="Q1031" i="23"/>
  <c r="P1031" i="23"/>
  <c r="S1031" i="23"/>
  <c r="R1031" i="23"/>
  <c r="P24" i="8"/>
  <c r="O24" i="8"/>
  <c r="N24" i="8"/>
  <c r="M24" i="8"/>
  <c r="L24" i="8"/>
  <c r="K24" i="8"/>
  <c r="J24" i="8"/>
  <c r="I24" i="8"/>
  <c r="H24" i="8"/>
  <c r="G24" i="8"/>
  <c r="F24" i="8"/>
  <c r="C24" i="8"/>
  <c r="E1087" i="23"/>
  <c r="M1138" i="23"/>
  <c r="N1138" i="23"/>
  <c r="O1138" i="23"/>
  <c r="A1088" i="23"/>
  <c r="B1088" i="23"/>
  <c r="T1087" i="23"/>
  <c r="P1087" i="23"/>
  <c r="Q1087" i="23"/>
  <c r="R1087" i="23"/>
  <c r="S1087" i="23"/>
  <c r="G1138" i="23"/>
  <c r="P25" i="8"/>
  <c r="O25" i="8"/>
  <c r="N25" i="8"/>
  <c r="M25" i="8"/>
  <c r="L25" i="8"/>
  <c r="K25" i="8"/>
  <c r="J25" i="8"/>
  <c r="I25" i="8"/>
  <c r="H25" i="8"/>
  <c r="G25" i="8"/>
  <c r="F25" i="8"/>
  <c r="C25" i="8"/>
  <c r="E1143" i="23"/>
  <c r="M1194" i="23"/>
  <c r="O1194" i="23"/>
  <c r="A1144" i="23"/>
  <c r="B1144" i="23"/>
  <c r="T1143" i="23"/>
  <c r="P1143" i="23"/>
  <c r="Q1143" i="23"/>
  <c r="R1143" i="23"/>
  <c r="S1143" i="23"/>
  <c r="P26" i="8"/>
  <c r="O26" i="8"/>
  <c r="N26" i="8"/>
  <c r="M26" i="8"/>
  <c r="L26" i="8"/>
  <c r="K26" i="8"/>
  <c r="J26" i="8"/>
  <c r="I26" i="8"/>
  <c r="H26" i="8"/>
  <c r="G26" i="8"/>
  <c r="F26" i="8"/>
  <c r="C26" i="8"/>
  <c r="E1199" i="23"/>
  <c r="M1250" i="23"/>
  <c r="O1250" i="23"/>
  <c r="A1200" i="23"/>
  <c r="B1200" i="23"/>
  <c r="T1199" i="23"/>
  <c r="P1199" i="23"/>
  <c r="Q1199" i="23"/>
  <c r="R1199" i="23"/>
  <c r="S1199" i="23"/>
  <c r="P27" i="8"/>
  <c r="O27" i="8"/>
  <c r="N27" i="8"/>
  <c r="M27" i="8"/>
  <c r="L27" i="8"/>
  <c r="K27" i="8"/>
  <c r="J27" i="8"/>
  <c r="I27" i="8"/>
  <c r="H27" i="8"/>
  <c r="G27" i="8"/>
  <c r="F27" i="8"/>
  <c r="C27" i="8"/>
  <c r="E1255" i="23"/>
  <c r="M1306" i="23"/>
  <c r="O1306" i="23"/>
  <c r="A1256" i="23"/>
  <c r="B1256" i="23"/>
  <c r="T1255" i="23"/>
  <c r="P1255" i="23"/>
  <c r="Q1255" i="23"/>
  <c r="R1255" i="23"/>
  <c r="S1255" i="23"/>
  <c r="E1535" i="23"/>
  <c r="M1586" i="23"/>
  <c r="O1586" i="23"/>
  <c r="AE1540" i="23"/>
  <c r="AE1539" i="23"/>
  <c r="AE1538" i="23"/>
  <c r="Y1562" i="23"/>
  <c r="Y1563" i="23"/>
  <c r="Y1564" i="23"/>
  <c r="Y1565" i="23"/>
  <c r="Y1566" i="23"/>
  <c r="Y1567" i="23"/>
  <c r="Y1568" i="23"/>
  <c r="Y1569" i="23"/>
  <c r="Y1570" i="23"/>
  <c r="Y1571" i="23"/>
  <c r="Y1572" i="23"/>
  <c r="Y1573" i="23"/>
  <c r="A1536" i="23"/>
  <c r="B1536" i="23"/>
  <c r="T1535" i="23"/>
  <c r="P1535" i="23"/>
  <c r="Q1535" i="23"/>
  <c r="R1535" i="23"/>
  <c r="S1535" i="23"/>
  <c r="E1479" i="23"/>
  <c r="M1530" i="23"/>
  <c r="O1530" i="23"/>
  <c r="AE1484" i="23"/>
  <c r="AE1483" i="23"/>
  <c r="AE1482" i="23"/>
  <c r="Y1506" i="23"/>
  <c r="Y1507" i="23"/>
  <c r="Y1508" i="23"/>
  <c r="Y1509" i="23"/>
  <c r="Y1510" i="23"/>
  <c r="Y1511" i="23"/>
  <c r="Y1512" i="23"/>
  <c r="Y1513" i="23"/>
  <c r="Y1514" i="23"/>
  <c r="Y1515" i="23"/>
  <c r="Y1516" i="23"/>
  <c r="Y1517" i="23"/>
  <c r="A1480" i="23"/>
  <c r="B1480" i="23"/>
  <c r="T1479" i="23"/>
  <c r="P1479" i="23"/>
  <c r="Q1479" i="23"/>
  <c r="R1479" i="23"/>
  <c r="S1479" i="23"/>
  <c r="E1423" i="23"/>
  <c r="M1474" i="23"/>
  <c r="O1474" i="23"/>
  <c r="AE1428" i="23"/>
  <c r="AE1427" i="23"/>
  <c r="AE1426" i="23"/>
  <c r="Y1450" i="23"/>
  <c r="Y1451" i="23"/>
  <c r="Y1452" i="23"/>
  <c r="Y1453" i="23"/>
  <c r="Y1454" i="23"/>
  <c r="Y1455" i="23"/>
  <c r="Y1456" i="23"/>
  <c r="Y1457" i="23"/>
  <c r="Y1458" i="23"/>
  <c r="Y1459" i="23"/>
  <c r="Y1460" i="23"/>
  <c r="Y1461" i="23"/>
  <c r="A1424" i="23"/>
  <c r="B1424" i="23"/>
  <c r="T1423" i="23"/>
  <c r="P1423" i="23"/>
  <c r="Q1423" i="23"/>
  <c r="R1423" i="23"/>
  <c r="S1423" i="23"/>
  <c r="T1367" i="23"/>
  <c r="P1367" i="23"/>
  <c r="Q1367" i="23"/>
  <c r="S1367" i="23"/>
  <c r="R1367" i="23"/>
  <c r="P29" i="8"/>
  <c r="O29" i="8"/>
  <c r="N29" i="8"/>
  <c r="M29" i="8"/>
  <c r="L29" i="8"/>
  <c r="K29" i="8"/>
  <c r="J29" i="8"/>
  <c r="I29" i="8"/>
  <c r="H29" i="8"/>
  <c r="G29" i="8"/>
  <c r="F29" i="8"/>
  <c r="C29" i="8"/>
  <c r="AG1394" i="23"/>
  <c r="AG1395" i="23"/>
  <c r="AG1396" i="23"/>
  <c r="AG1397" i="23"/>
  <c r="AG1398" i="23"/>
  <c r="AG1399" i="23"/>
  <c r="AG1400" i="23"/>
  <c r="AG1401" i="23"/>
  <c r="AG1402" i="23"/>
  <c r="AG1403" i="23"/>
  <c r="AG1404" i="23"/>
  <c r="AG1405" i="23"/>
  <c r="M1418" i="23"/>
  <c r="O1418" i="23"/>
  <c r="E1367" i="23"/>
  <c r="A1368" i="23"/>
  <c r="B1368" i="23"/>
  <c r="P28" i="8"/>
  <c r="O28" i="8"/>
  <c r="N28" i="8"/>
  <c r="M28" i="8"/>
  <c r="L28" i="8"/>
  <c r="K28" i="8"/>
  <c r="J28" i="8"/>
  <c r="I28" i="8"/>
  <c r="H28" i="8"/>
  <c r="G28" i="8"/>
  <c r="F28" i="8"/>
  <c r="C28" i="8"/>
  <c r="E1311" i="23"/>
  <c r="M1362" i="23"/>
  <c r="O1362" i="23"/>
  <c r="N1362" i="23"/>
  <c r="A1312" i="23"/>
  <c r="B1312" i="23"/>
  <c r="T1311" i="23"/>
  <c r="P1311" i="23"/>
  <c r="Q1311" i="23"/>
  <c r="R1311" i="23"/>
  <c r="S1311" i="23"/>
  <c r="G1362" i="23"/>
  <c r="P9" i="8"/>
  <c r="O9" i="8"/>
  <c r="N9" i="8"/>
  <c r="M9" i="8"/>
  <c r="L9" i="8"/>
  <c r="K9" i="8"/>
  <c r="J9" i="8"/>
  <c r="I9" i="8"/>
  <c r="H9" i="8"/>
  <c r="G9" i="8"/>
  <c r="F9" i="8"/>
  <c r="C9" i="8"/>
  <c r="E247" i="23"/>
  <c r="M298" i="23"/>
  <c r="O298" i="23"/>
  <c r="A248" i="23"/>
  <c r="B248" i="23"/>
  <c r="T247" i="23"/>
  <c r="P247" i="23"/>
  <c r="Q247" i="23"/>
  <c r="R247" i="23"/>
  <c r="S247" i="23"/>
  <c r="P10" i="8"/>
  <c r="O10" i="8"/>
  <c r="M10" i="8"/>
  <c r="L10" i="8"/>
  <c r="K10" i="8"/>
  <c r="J10" i="8"/>
  <c r="I10" i="8"/>
  <c r="H10" i="8"/>
  <c r="G10" i="8"/>
  <c r="F10" i="8"/>
  <c r="C10" i="8"/>
  <c r="N10" i="8"/>
  <c r="E303" i="23"/>
  <c r="M354" i="23"/>
  <c r="O354" i="23"/>
  <c r="A304" i="23"/>
  <c r="B304" i="23"/>
  <c r="T303" i="23"/>
  <c r="P303" i="23"/>
  <c r="Q303" i="23"/>
  <c r="R303" i="23"/>
  <c r="S303" i="23"/>
  <c r="P11" i="8"/>
  <c r="O11" i="8"/>
  <c r="N11" i="8"/>
  <c r="M11" i="8"/>
  <c r="L11" i="8"/>
  <c r="K11" i="8"/>
  <c r="J11" i="8"/>
  <c r="I11" i="8"/>
  <c r="H11" i="8"/>
  <c r="G11" i="8"/>
  <c r="F11" i="8"/>
  <c r="C11" i="8"/>
  <c r="E359" i="23"/>
  <c r="M410" i="23"/>
  <c r="O410" i="23"/>
  <c r="A360" i="23"/>
  <c r="B360" i="23"/>
  <c r="T359" i="23"/>
  <c r="P359" i="23"/>
  <c r="Q359" i="23"/>
  <c r="R359" i="23"/>
  <c r="S359" i="23"/>
  <c r="B416" i="23"/>
  <c r="A416" i="23"/>
  <c r="P12" i="8"/>
  <c r="O12" i="8"/>
  <c r="N12" i="8"/>
  <c r="M12" i="8"/>
  <c r="L12" i="8"/>
  <c r="K12" i="8"/>
  <c r="J12" i="8"/>
  <c r="I12" i="8"/>
  <c r="H12" i="8"/>
  <c r="G12" i="8"/>
  <c r="F12" i="8"/>
  <c r="C12" i="8"/>
  <c r="N466" i="23"/>
  <c r="M466" i="23"/>
  <c r="O466" i="23"/>
  <c r="E415" i="23"/>
  <c r="T415" i="23"/>
  <c r="P415" i="23"/>
  <c r="S415" i="23"/>
  <c r="Q415" i="23"/>
  <c r="R415" i="23"/>
  <c r="G466" i="23"/>
  <c r="T471" i="23"/>
  <c r="Q471" i="23"/>
  <c r="P471" i="23"/>
  <c r="R471" i="23"/>
  <c r="S471" i="23"/>
  <c r="A472" i="23"/>
  <c r="B472" i="23"/>
  <c r="J472" i="23" s="1"/>
  <c r="P13" i="8"/>
  <c r="O13" i="8"/>
  <c r="N13" i="8"/>
  <c r="M13" i="8"/>
  <c r="L13" i="8"/>
  <c r="K13" i="8"/>
  <c r="J13" i="8"/>
  <c r="I13" i="8"/>
  <c r="H13" i="8"/>
  <c r="G13" i="8"/>
  <c r="F13" i="8"/>
  <c r="C13" i="8"/>
  <c r="M522" i="23"/>
  <c r="O522" i="23"/>
  <c r="E471" i="23"/>
  <c r="P14" i="8"/>
  <c r="O14" i="8"/>
  <c r="N14" i="8"/>
  <c r="M14" i="8"/>
  <c r="L14" i="8"/>
  <c r="K14" i="8"/>
  <c r="J14" i="8"/>
  <c r="I14" i="8"/>
  <c r="H14" i="8"/>
  <c r="G14" i="8"/>
  <c r="F14" i="8"/>
  <c r="C14" i="8"/>
  <c r="E527" i="23"/>
  <c r="M578" i="23"/>
  <c r="O578" i="23"/>
  <c r="A528" i="23"/>
  <c r="B528" i="23"/>
  <c r="T527" i="23"/>
  <c r="P527" i="23"/>
  <c r="Q527" i="23"/>
  <c r="R527" i="23"/>
  <c r="S527" i="23"/>
  <c r="P15" i="8"/>
  <c r="O15" i="8"/>
  <c r="N15" i="8"/>
  <c r="M15" i="8"/>
  <c r="L15" i="8"/>
  <c r="K15" i="8"/>
  <c r="J15" i="8"/>
  <c r="I15" i="8"/>
  <c r="H15" i="8"/>
  <c r="G15" i="8"/>
  <c r="F15" i="8"/>
  <c r="C15" i="8"/>
  <c r="E583" i="23"/>
  <c r="M634" i="23"/>
  <c r="O634" i="23"/>
  <c r="A584" i="23"/>
  <c r="B584" i="23"/>
  <c r="T583" i="23"/>
  <c r="P583" i="23"/>
  <c r="Q583" i="23"/>
  <c r="R583" i="23"/>
  <c r="S583" i="23"/>
  <c r="P16" i="8"/>
  <c r="O16" i="8"/>
  <c r="N16" i="8"/>
  <c r="M16" i="8"/>
  <c r="L16" i="8"/>
  <c r="K16" i="8"/>
  <c r="J16" i="8"/>
  <c r="I16" i="8"/>
  <c r="H16" i="8"/>
  <c r="G16" i="8"/>
  <c r="F16" i="8"/>
  <c r="C16" i="8"/>
  <c r="E639" i="23"/>
  <c r="M690" i="23"/>
  <c r="N690" i="23"/>
  <c r="O690" i="23"/>
  <c r="A640" i="23"/>
  <c r="B640" i="23"/>
  <c r="E640" i="23" s="1"/>
  <c r="T639" i="23"/>
  <c r="P639" i="23"/>
  <c r="Q639" i="23"/>
  <c r="R639" i="23"/>
  <c r="S639" i="23"/>
  <c r="G690" i="23"/>
  <c r="I17" i="8"/>
  <c r="G17" i="8"/>
  <c r="F17" i="8"/>
  <c r="E695" i="23"/>
  <c r="C17" i="8" s="1"/>
  <c r="A696" i="23"/>
  <c r="B696" i="23"/>
  <c r="E696" i="23" s="1"/>
  <c r="I696" i="23" s="1"/>
  <c r="T695" i="23"/>
  <c r="P695" i="23"/>
  <c r="Q695" i="23"/>
  <c r="R695" i="23"/>
  <c r="S695" i="23"/>
  <c r="G746" i="23"/>
  <c r="J17" i="8" s="1"/>
  <c r="P18" i="8"/>
  <c r="O18" i="8"/>
  <c r="N18" i="8"/>
  <c r="M18" i="8"/>
  <c r="L18" i="8"/>
  <c r="K18" i="8"/>
  <c r="J18" i="8"/>
  <c r="I18" i="8"/>
  <c r="H18" i="8"/>
  <c r="G18" i="8"/>
  <c r="F18" i="8"/>
  <c r="C18" i="8"/>
  <c r="E751" i="23"/>
  <c r="M802" i="23"/>
  <c r="O802" i="23"/>
  <c r="A752" i="23"/>
  <c r="B752" i="23"/>
  <c r="T751" i="23"/>
  <c r="P751" i="23"/>
  <c r="Q751" i="23"/>
  <c r="R751" i="23"/>
  <c r="S751" i="23"/>
  <c r="D21" i="17"/>
  <c r="J21" i="17"/>
  <c r="Y21" i="17"/>
  <c r="X21" i="17"/>
  <c r="W21" i="17"/>
  <c r="P21" i="17"/>
  <c r="Q21" i="17"/>
  <c r="R21" i="17"/>
  <c r="V21" i="17"/>
  <c r="L22" i="17"/>
  <c r="C22" i="17"/>
  <c r="K22" i="17" s="1"/>
  <c r="E22" i="17"/>
  <c r="F22" i="17"/>
  <c r="C22" i="18" s="1"/>
  <c r="E22" i="18" s="1"/>
  <c r="O22" i="17" s="1"/>
  <c r="G22" i="17"/>
  <c r="I22" i="17"/>
  <c r="B23" i="17"/>
  <c r="B22" i="18"/>
  <c r="AC16" i="17"/>
  <c r="B87" i="12"/>
  <c r="I87" i="12" s="1"/>
  <c r="AB15" i="17"/>
  <c r="AA17" i="17"/>
  <c r="AA18" i="17"/>
  <c r="AA19" i="17"/>
  <c r="AA20" i="17"/>
  <c r="AA21" i="17"/>
  <c r="AA22" i="17"/>
  <c r="E10" i="9"/>
  <c r="D11" i="9"/>
  <c r="D62" i="9"/>
  <c r="O17" i="17"/>
  <c r="E4619" i="22"/>
  <c r="I4619" i="22" s="1"/>
  <c r="J4619" i="22"/>
  <c r="O4624" i="22"/>
  <c r="O4622" i="22"/>
  <c r="O4623" i="22"/>
  <c r="O4621" i="22"/>
  <c r="I7" i="18"/>
  <c r="F15" i="19"/>
  <c r="C61" i="10"/>
  <c r="G17" i="19"/>
  <c r="G11" i="9"/>
  <c r="H10" i="9"/>
  <c r="N1149" i="23"/>
  <c r="M1149" i="23"/>
  <c r="M926" i="23"/>
  <c r="M590" i="23"/>
  <c r="M422" i="23"/>
  <c r="M421" i="23"/>
  <c r="N421" i="23"/>
  <c r="M366" i="23"/>
  <c r="M4054" i="22"/>
  <c r="N4054" i="22"/>
  <c r="U4054" i="22" s="1"/>
  <c r="M3700" i="22"/>
  <c r="N3700" i="22"/>
  <c r="U3700" i="22" s="1"/>
  <c r="M3646" i="22"/>
  <c r="N3646" i="22"/>
  <c r="U3646" i="22" s="1"/>
  <c r="M3592" i="22"/>
  <c r="N3592" i="22"/>
  <c r="U3592" i="22" s="1"/>
  <c r="N3106" i="22"/>
  <c r="U3106" i="22" s="1"/>
  <c r="M3106" i="22"/>
  <c r="N2998" i="22"/>
  <c r="U2998" i="22" s="1"/>
  <c r="M2998" i="22"/>
  <c r="M2566" i="22"/>
  <c r="N2566" i="22"/>
  <c r="U2566" i="22" s="1"/>
  <c r="M2512" i="22"/>
  <c r="N2512" i="22"/>
  <c r="U2512" i="22" s="1"/>
  <c r="M2458" i="22"/>
  <c r="N2458" i="22"/>
  <c r="U2458" i="22" s="1"/>
  <c r="M2404" i="22"/>
  <c r="N2404" i="22"/>
  <c r="U2404" i="22" s="1"/>
  <c r="M2350" i="22"/>
  <c r="N2350" i="22"/>
  <c r="U2350" i="22" s="1"/>
  <c r="M2296" i="22"/>
  <c r="N2296" i="22"/>
  <c r="U2296" i="22" s="1"/>
  <c r="M2242" i="22"/>
  <c r="N2242" i="22"/>
  <c r="U2242" i="22" s="1"/>
  <c r="M2134" i="22"/>
  <c r="N2134" i="22"/>
  <c r="U2134" i="22" s="1"/>
  <c r="M1972" i="22"/>
  <c r="N1972" i="22"/>
  <c r="U1972" i="22" s="1"/>
  <c r="M1648" i="22"/>
  <c r="N1648" i="22"/>
  <c r="U1648" i="22" s="1"/>
  <c r="M1540" i="22"/>
  <c r="N1540" i="22"/>
  <c r="U1540" i="22" s="1"/>
  <c r="M1486" i="22"/>
  <c r="N1486" i="22"/>
  <c r="U1486" i="22" s="1"/>
  <c r="M1432" i="22"/>
  <c r="N1432" i="22"/>
  <c r="U1432" i="22" s="1"/>
  <c r="M1378" i="22"/>
  <c r="N1378" i="22"/>
  <c r="U1378" i="22" s="1"/>
  <c r="M1270" i="22"/>
  <c r="N1270" i="22"/>
  <c r="U1270" i="22" s="1"/>
  <c r="M622" i="22"/>
  <c r="N622" i="22"/>
  <c r="U622" i="22" s="1"/>
  <c r="M568" i="22"/>
  <c r="N568" i="22"/>
  <c r="U568" i="22" s="1"/>
  <c r="M460" i="22"/>
  <c r="N460" i="22"/>
  <c r="U460" i="22" s="1"/>
  <c r="M406" i="22"/>
  <c r="N406" i="22"/>
  <c r="U406" i="22" s="1"/>
  <c r="M352" i="22"/>
  <c r="N352" i="22"/>
  <c r="U352" i="22" s="1"/>
  <c r="N190" i="22"/>
  <c r="U190" i="22" s="1"/>
  <c r="M190" i="22"/>
  <c r="B914" i="23"/>
  <c r="B1026" i="23"/>
  <c r="B1138" i="23"/>
  <c r="B1250" i="23"/>
  <c r="B466" i="23"/>
  <c r="B522" i="23"/>
  <c r="H1032" i="23"/>
  <c r="K1032" i="23" s="1"/>
  <c r="J1256" i="23"/>
  <c r="E1256" i="23"/>
  <c r="I1256" i="23" s="1"/>
  <c r="H472" i="23"/>
  <c r="K472" i="23" s="1"/>
  <c r="H640" i="23"/>
  <c r="K640" i="23" s="1"/>
  <c r="K1262" i="23"/>
  <c r="F1262" i="23"/>
  <c r="K1150" i="23"/>
  <c r="F1150" i="23"/>
  <c r="F1038" i="23"/>
  <c r="K1038" i="23"/>
  <c r="K702" i="23"/>
  <c r="F702" i="23"/>
  <c r="F254" i="23"/>
  <c r="K254" i="23"/>
  <c r="T4677" i="22"/>
  <c r="D4625" i="22"/>
  <c r="F4625" i="22"/>
  <c r="K4163" i="22"/>
  <c r="F4163" i="22"/>
  <c r="O4163" i="22" s="1"/>
  <c r="F4109" i="22"/>
  <c r="O4109" i="22" s="1"/>
  <c r="K4109" i="22"/>
  <c r="F4055" i="22"/>
  <c r="O4055" i="22" s="1"/>
  <c r="K4055" i="22"/>
  <c r="F3485" i="22"/>
  <c r="O3485" i="22" s="1"/>
  <c r="K3485" i="22"/>
  <c r="K3431" i="22"/>
  <c r="F3431" i="22"/>
  <c r="O3431" i="22" s="1"/>
  <c r="F3377" i="22"/>
  <c r="O3377" i="22" s="1"/>
  <c r="K3377" i="22"/>
  <c r="F3269" i="22"/>
  <c r="O3269" i="22" s="1"/>
  <c r="K3269" i="22"/>
  <c r="K3107" i="22"/>
  <c r="F3107" i="22"/>
  <c r="O3107" i="22" s="1"/>
  <c r="K3053" i="22"/>
  <c r="F3053" i="22"/>
  <c r="O3053" i="22" s="1"/>
  <c r="K2999" i="22"/>
  <c r="F2999" i="22"/>
  <c r="O2999" i="22" s="1"/>
  <c r="K2945" i="22"/>
  <c r="F2945" i="22"/>
  <c r="O2945" i="22" s="1"/>
  <c r="K2567" i="22"/>
  <c r="F2567" i="22"/>
  <c r="O2567" i="22" s="1"/>
  <c r="K2513" i="22"/>
  <c r="F2513" i="22"/>
  <c r="O2513" i="22" s="1"/>
  <c r="K2459" i="22"/>
  <c r="F2459" i="22"/>
  <c r="O2459" i="22" s="1"/>
  <c r="K2297" i="22"/>
  <c r="F2297" i="22"/>
  <c r="O2297" i="22" s="1"/>
  <c r="F2189" i="22"/>
  <c r="O2189" i="22" s="1"/>
  <c r="K2189" i="22"/>
  <c r="K2081" i="22"/>
  <c r="F2081" i="22"/>
  <c r="O2081" i="22" s="1"/>
  <c r="K1433" i="22"/>
  <c r="F1433" i="22"/>
  <c r="O1433" i="22" s="1"/>
  <c r="K1325" i="22"/>
  <c r="F1325" i="22"/>
  <c r="O1325" i="22" s="1"/>
  <c r="F1271" i="22"/>
  <c r="O1271" i="22" s="1"/>
  <c r="K1271" i="22"/>
  <c r="F1217" i="22"/>
  <c r="O1217" i="22" s="1"/>
  <c r="K1217" i="22"/>
  <c r="F893" i="22"/>
  <c r="O893" i="22" s="1"/>
  <c r="K893" i="22"/>
  <c r="F839" i="22"/>
  <c r="O839" i="22" s="1"/>
  <c r="K839" i="22"/>
  <c r="K785" i="22"/>
  <c r="F785" i="22"/>
  <c r="O785" i="22" s="1"/>
  <c r="F515" i="22"/>
  <c r="O515" i="22" s="1"/>
  <c r="K515" i="22"/>
  <c r="K407" i="22"/>
  <c r="F407" i="22"/>
  <c r="O407" i="22" s="1"/>
  <c r="K353" i="22"/>
  <c r="F353" i="22"/>
  <c r="O353" i="22" s="1"/>
  <c r="F299" i="22"/>
  <c r="O299" i="22" s="1"/>
  <c r="K299" i="22"/>
  <c r="K21" i="17"/>
  <c r="F21" i="17"/>
  <c r="C21" i="18" s="1"/>
  <c r="E21" i="18" s="1"/>
  <c r="O21" i="17" s="1"/>
  <c r="I6" i="18"/>
  <c r="E20" i="18"/>
  <c r="O20" i="17" s="1"/>
  <c r="O4625" i="22" l="1"/>
  <c r="K1151" i="23"/>
  <c r="F1151" i="23"/>
  <c r="K591" i="23"/>
  <c r="F591" i="23"/>
  <c r="K311" i="23"/>
  <c r="F311" i="23"/>
  <c r="K4110" i="22"/>
  <c r="F4110" i="22"/>
  <c r="O4110" i="22" s="1"/>
  <c r="K2730" i="22"/>
  <c r="F2730" i="22"/>
  <c r="O2730" i="22" s="1"/>
  <c r="K1974" i="22"/>
  <c r="F1974" i="22"/>
  <c r="O1974" i="22" s="1"/>
  <c r="K1920" i="22"/>
  <c r="F1920" i="22"/>
  <c r="O1920" i="22" s="1"/>
  <c r="K1650" i="22"/>
  <c r="F1650" i="22"/>
  <c r="O1650" i="22" s="1"/>
  <c r="K1326" i="22"/>
  <c r="F1326" i="22"/>
  <c r="O1326" i="22" s="1"/>
  <c r="K1272" i="22"/>
  <c r="F1272" i="22"/>
  <c r="O1272" i="22" s="1"/>
  <c r="K1218" i="22"/>
  <c r="F1218" i="22"/>
  <c r="O1218" i="22" s="1"/>
  <c r="K948" i="22"/>
  <c r="F948" i="22"/>
  <c r="O948" i="22" s="1"/>
  <c r="K894" i="22"/>
  <c r="F894" i="22"/>
  <c r="O894" i="22" s="1"/>
  <c r="K516" i="22"/>
  <c r="F516" i="22"/>
  <c r="O516" i="22" s="1"/>
  <c r="AG1058" i="23"/>
  <c r="AG1059" i="23"/>
  <c r="AG1060" i="23"/>
  <c r="AG1064" i="23"/>
  <c r="AG1065" i="23"/>
  <c r="AG1062" i="23"/>
  <c r="AG1061" i="23"/>
  <c r="AG1063" i="23"/>
  <c r="AG1282" i="23"/>
  <c r="AG1283" i="23"/>
  <c r="AG1284" i="23"/>
  <c r="AG1285" i="23"/>
  <c r="AG1286" i="23"/>
  <c r="AG1287" i="23"/>
  <c r="AG1288" i="23"/>
  <c r="AG1289" i="23"/>
  <c r="AG1290" i="23"/>
  <c r="AG393" i="23"/>
  <c r="AG386" i="23"/>
  <c r="AG388" i="23"/>
  <c r="AG390" i="23"/>
  <c r="AG392" i="23"/>
  <c r="AG394" i="23"/>
  <c r="AG396" i="23"/>
  <c r="AG395" i="23"/>
  <c r="AG387" i="23"/>
  <c r="AG391" i="23"/>
  <c r="AG397" i="23"/>
  <c r="AG389" i="23"/>
  <c r="AG498" i="23"/>
  <c r="AG501" i="23"/>
  <c r="AG502" i="23"/>
  <c r="AG503" i="23"/>
  <c r="AG504" i="23"/>
  <c r="AG505" i="23"/>
  <c r="AG506" i="23"/>
  <c r="AG507" i="23"/>
  <c r="AG500" i="23"/>
  <c r="AG509" i="23"/>
  <c r="AG499" i="23"/>
  <c r="AG508" i="23"/>
  <c r="AG610" i="23"/>
  <c r="AG611" i="23"/>
  <c r="AG612" i="23"/>
  <c r="AG613" i="23"/>
  <c r="AG614" i="23"/>
  <c r="M1599" i="23"/>
  <c r="J1599" i="23"/>
  <c r="N1599" i="23" s="1"/>
  <c r="AE1599" i="23" s="1"/>
  <c r="D1599" i="23"/>
  <c r="P1599" i="23"/>
  <c r="Q1599" i="23"/>
  <c r="R1599" i="23"/>
  <c r="I1600" i="23"/>
  <c r="L1600" i="23"/>
  <c r="C1600" i="23"/>
  <c r="E1600" i="23"/>
  <c r="G1600" i="23"/>
  <c r="B1601" i="23"/>
  <c r="N1542" i="23"/>
  <c r="AE1542" i="23" s="1"/>
  <c r="M1542" i="23"/>
  <c r="J1543" i="23"/>
  <c r="D1543" i="23"/>
  <c r="P1543" i="23"/>
  <c r="Q1543" i="23"/>
  <c r="R1543" i="23"/>
  <c r="L1544" i="23"/>
  <c r="I1544" i="23"/>
  <c r="C1544" i="23"/>
  <c r="E1544" i="23"/>
  <c r="G1544" i="23"/>
  <c r="B1545" i="23"/>
  <c r="N1486" i="23"/>
  <c r="AE1486" i="23" s="1"/>
  <c r="M1486" i="23"/>
  <c r="J1487" i="23"/>
  <c r="D1487" i="23"/>
  <c r="P1487" i="23"/>
  <c r="Q1487" i="23"/>
  <c r="R1487" i="23"/>
  <c r="L1488" i="23"/>
  <c r="I1488" i="23"/>
  <c r="C1488" i="23"/>
  <c r="K1488" i="23" s="1"/>
  <c r="E1488" i="23"/>
  <c r="F1488" i="23"/>
  <c r="G1488" i="23"/>
  <c r="B1489" i="23"/>
  <c r="N1430" i="23"/>
  <c r="AE1430" i="23" s="1"/>
  <c r="M1430" i="23"/>
  <c r="M1431" i="23"/>
  <c r="J1431" i="23"/>
  <c r="N1431" i="23" s="1"/>
  <c r="AE1431" i="23" s="1"/>
  <c r="D1431" i="23"/>
  <c r="P1431" i="23"/>
  <c r="Q1431" i="23"/>
  <c r="R1431" i="23"/>
  <c r="L1432" i="23"/>
  <c r="I1432" i="23"/>
  <c r="C1432" i="23"/>
  <c r="E1432" i="23"/>
  <c r="G1432" i="23"/>
  <c r="B1433" i="23"/>
  <c r="P1375" i="23"/>
  <c r="Q1375" i="23"/>
  <c r="R1375" i="23"/>
  <c r="L1376" i="23"/>
  <c r="I1376" i="23"/>
  <c r="C1376" i="23"/>
  <c r="K1376" i="23" s="1"/>
  <c r="E1376" i="23"/>
  <c r="G1376" i="23"/>
  <c r="F1376" i="23"/>
  <c r="B1377" i="23"/>
  <c r="J1375" i="23"/>
  <c r="D1375" i="23"/>
  <c r="N1374" i="23"/>
  <c r="M1374" i="23"/>
  <c r="N1318" i="23"/>
  <c r="M1318" i="23"/>
  <c r="J1319" i="23"/>
  <c r="D1319" i="23"/>
  <c r="P1319" i="23"/>
  <c r="Q1319" i="23"/>
  <c r="R1319" i="23"/>
  <c r="L1320" i="23"/>
  <c r="I1320" i="23"/>
  <c r="C1320" i="23"/>
  <c r="E1320" i="23"/>
  <c r="G1320" i="23"/>
  <c r="B1321" i="23"/>
  <c r="J1263" i="23"/>
  <c r="D1263" i="23"/>
  <c r="P1263" i="23"/>
  <c r="Q1263" i="23"/>
  <c r="R1263" i="23"/>
  <c r="L1264" i="23"/>
  <c r="I1264" i="23"/>
  <c r="C1264" i="23"/>
  <c r="E1264" i="23"/>
  <c r="G1264" i="23"/>
  <c r="B1265" i="23"/>
  <c r="N1206" i="23"/>
  <c r="M1206" i="23"/>
  <c r="J1207" i="23"/>
  <c r="D1207" i="23"/>
  <c r="P1207" i="23"/>
  <c r="Q1207" i="23"/>
  <c r="R1207" i="23"/>
  <c r="L1208" i="23"/>
  <c r="I1208" i="23"/>
  <c r="C1208" i="23"/>
  <c r="E1208" i="23"/>
  <c r="G1208" i="23"/>
  <c r="B1209" i="23"/>
  <c r="M1151" i="23"/>
  <c r="J1151" i="23"/>
  <c r="N1151" i="23" s="1"/>
  <c r="D1151" i="23"/>
  <c r="P1151" i="23"/>
  <c r="Q1151" i="23"/>
  <c r="R1151" i="23"/>
  <c r="L1152" i="23"/>
  <c r="I1152" i="23"/>
  <c r="C1152" i="23"/>
  <c r="K1152" i="23" s="1"/>
  <c r="E1152" i="23"/>
  <c r="F1152" i="23"/>
  <c r="G1152" i="23"/>
  <c r="B1153" i="23"/>
  <c r="N1094" i="23"/>
  <c r="M1094" i="23"/>
  <c r="J1095" i="23"/>
  <c r="D1095" i="23"/>
  <c r="P1095" i="23"/>
  <c r="Q1095" i="23"/>
  <c r="R1095" i="23"/>
  <c r="L1096" i="23"/>
  <c r="I1096" i="23"/>
  <c r="C1096" i="23"/>
  <c r="E1096" i="23"/>
  <c r="G1096" i="23"/>
  <c r="B1097" i="23"/>
  <c r="P1039" i="23"/>
  <c r="Q1039" i="23"/>
  <c r="R1039" i="23"/>
  <c r="L1040" i="23"/>
  <c r="I1040" i="23"/>
  <c r="G1040" i="23"/>
  <c r="B1041" i="23"/>
  <c r="C1040" i="23"/>
  <c r="E1040" i="23"/>
  <c r="J1039" i="23"/>
  <c r="D1039" i="23"/>
  <c r="N982" i="23"/>
  <c r="M982" i="23"/>
  <c r="M983" i="23"/>
  <c r="J983" i="23"/>
  <c r="N983" i="23" s="1"/>
  <c r="D983" i="23"/>
  <c r="P983" i="23"/>
  <c r="Q983" i="23"/>
  <c r="R983" i="23"/>
  <c r="L984" i="23"/>
  <c r="I984" i="23"/>
  <c r="C984" i="23"/>
  <c r="E984" i="23"/>
  <c r="G984" i="23"/>
  <c r="B985" i="23"/>
  <c r="M927" i="23"/>
  <c r="J927" i="23"/>
  <c r="N927" i="23" s="1"/>
  <c r="D927" i="23"/>
  <c r="Q927" i="23"/>
  <c r="R927" i="23"/>
  <c r="P927" i="23"/>
  <c r="L928" i="23"/>
  <c r="I928" i="23"/>
  <c r="C928" i="23"/>
  <c r="K928" i="23" s="1"/>
  <c r="E928" i="23"/>
  <c r="F928" i="23"/>
  <c r="G928" i="23"/>
  <c r="B929" i="23"/>
  <c r="N870" i="23"/>
  <c r="M870" i="23"/>
  <c r="M871" i="23"/>
  <c r="J871" i="23"/>
  <c r="N871" i="23" s="1"/>
  <c r="D871" i="23"/>
  <c r="P871" i="23"/>
  <c r="Q871" i="23"/>
  <c r="R871" i="23"/>
  <c r="L872" i="23"/>
  <c r="I872" i="23"/>
  <c r="C872" i="23"/>
  <c r="E872" i="23"/>
  <c r="G872" i="23"/>
  <c r="B873" i="23"/>
  <c r="N814" i="23"/>
  <c r="M814" i="23"/>
  <c r="M815" i="23"/>
  <c r="J815" i="23"/>
  <c r="N815" i="23" s="1"/>
  <c r="D815" i="23"/>
  <c r="P815" i="23"/>
  <c r="Q815" i="23"/>
  <c r="R815" i="23"/>
  <c r="L816" i="23"/>
  <c r="I816" i="23"/>
  <c r="C816" i="23"/>
  <c r="K816" i="23" s="1"/>
  <c r="E816" i="23"/>
  <c r="F816" i="23"/>
  <c r="G816" i="23"/>
  <c r="B817" i="23"/>
  <c r="N758" i="23"/>
  <c r="M758" i="23"/>
  <c r="M759" i="23"/>
  <c r="J759" i="23"/>
  <c r="N759" i="23" s="1"/>
  <c r="D759" i="23"/>
  <c r="P759" i="23"/>
  <c r="Q759" i="23"/>
  <c r="R759" i="23"/>
  <c r="L760" i="23"/>
  <c r="I760" i="23"/>
  <c r="C760" i="23"/>
  <c r="E760" i="23"/>
  <c r="G760" i="23"/>
  <c r="B761" i="23"/>
  <c r="J703" i="23"/>
  <c r="D703" i="23"/>
  <c r="P703" i="23"/>
  <c r="Q703" i="23"/>
  <c r="R703" i="23"/>
  <c r="L704" i="23"/>
  <c r="I704" i="23"/>
  <c r="C704" i="23"/>
  <c r="K704" i="23" s="1"/>
  <c r="E704" i="23"/>
  <c r="F704" i="23"/>
  <c r="O704" i="23" s="1"/>
  <c r="G704" i="23"/>
  <c r="B705" i="23"/>
  <c r="N646" i="23"/>
  <c r="M646" i="23"/>
  <c r="M647" i="23"/>
  <c r="J647" i="23"/>
  <c r="N647" i="23" s="1"/>
  <c r="D647" i="23"/>
  <c r="P647" i="23"/>
  <c r="Q647" i="23"/>
  <c r="R647" i="23"/>
  <c r="L648" i="23"/>
  <c r="I648" i="23"/>
  <c r="C648" i="23"/>
  <c r="K648" i="23" s="1"/>
  <c r="E648" i="23"/>
  <c r="F648" i="23"/>
  <c r="O648" i="23" s="1"/>
  <c r="G648" i="23"/>
  <c r="B649" i="23"/>
  <c r="M591" i="23"/>
  <c r="J591" i="23"/>
  <c r="N591" i="23" s="1"/>
  <c r="D591" i="23"/>
  <c r="P591" i="23"/>
  <c r="Q591" i="23"/>
  <c r="R591" i="23"/>
  <c r="L592" i="23"/>
  <c r="I592" i="23"/>
  <c r="C592" i="23"/>
  <c r="K592" i="23" s="1"/>
  <c r="E592" i="23"/>
  <c r="F592" i="23"/>
  <c r="G592" i="23"/>
  <c r="B593" i="23"/>
  <c r="N534" i="23"/>
  <c r="M534" i="23"/>
  <c r="M535" i="23"/>
  <c r="J535" i="23"/>
  <c r="N535" i="23" s="1"/>
  <c r="D535" i="23"/>
  <c r="P535" i="23"/>
  <c r="Q535" i="23"/>
  <c r="R535" i="23"/>
  <c r="L536" i="23"/>
  <c r="I536" i="23"/>
  <c r="C536" i="23"/>
  <c r="K536" i="23" s="1"/>
  <c r="E536" i="23"/>
  <c r="F536" i="23"/>
  <c r="G536" i="23"/>
  <c r="B537" i="23"/>
  <c r="L480" i="23"/>
  <c r="I480" i="23"/>
  <c r="C480" i="23"/>
  <c r="E480" i="23"/>
  <c r="B481" i="23"/>
  <c r="G480" i="23"/>
  <c r="J479" i="23"/>
  <c r="D479" i="23"/>
  <c r="P479" i="23"/>
  <c r="Q479" i="23"/>
  <c r="R479" i="23"/>
  <c r="N478" i="23"/>
  <c r="M478" i="23"/>
  <c r="L424" i="23"/>
  <c r="I424" i="23"/>
  <c r="E424" i="23"/>
  <c r="C424" i="23"/>
  <c r="K424" i="23" s="1"/>
  <c r="F424" i="23"/>
  <c r="O424" i="23" s="1"/>
  <c r="G424" i="23"/>
  <c r="B425" i="23"/>
  <c r="P423" i="23"/>
  <c r="Q423" i="23"/>
  <c r="R423" i="23"/>
  <c r="J423" i="23"/>
  <c r="D423" i="23"/>
  <c r="M367" i="23"/>
  <c r="J367" i="23"/>
  <c r="N367" i="23" s="1"/>
  <c r="D367" i="23"/>
  <c r="P367" i="23"/>
  <c r="Q367" i="23"/>
  <c r="R367" i="23"/>
  <c r="L368" i="23"/>
  <c r="I368" i="23"/>
  <c r="C368" i="23"/>
  <c r="K368" i="23" s="1"/>
  <c r="E368" i="23"/>
  <c r="F368" i="23"/>
  <c r="G368" i="23"/>
  <c r="B369" i="23"/>
  <c r="N310" i="23"/>
  <c r="M310" i="23"/>
  <c r="M311" i="23"/>
  <c r="J311" i="23"/>
  <c r="N311" i="23" s="1"/>
  <c r="D311" i="23"/>
  <c r="P311" i="23"/>
  <c r="Q311" i="23"/>
  <c r="R311" i="23"/>
  <c r="L312" i="23"/>
  <c r="I312" i="23"/>
  <c r="C312" i="23"/>
  <c r="K312" i="23" s="1"/>
  <c r="E312" i="23"/>
  <c r="F312" i="23"/>
  <c r="G312" i="23"/>
  <c r="B313" i="23"/>
  <c r="M255" i="23"/>
  <c r="J255" i="23"/>
  <c r="N255" i="23" s="1"/>
  <c r="D255" i="23"/>
  <c r="P255" i="23"/>
  <c r="Q255" i="23"/>
  <c r="R255" i="23"/>
  <c r="L256" i="23"/>
  <c r="I256" i="23"/>
  <c r="C256" i="23"/>
  <c r="E256" i="23"/>
  <c r="G256" i="23"/>
  <c r="B257" i="23"/>
  <c r="D4734" i="22"/>
  <c r="J4734" i="22"/>
  <c r="I4735" i="22"/>
  <c r="L4735" i="22"/>
  <c r="B4736" i="22"/>
  <c r="C4735" i="22"/>
  <c r="G4735" i="22"/>
  <c r="E4735" i="22"/>
  <c r="P4734" i="22"/>
  <c r="Q4734" i="22"/>
  <c r="R4734" i="22"/>
  <c r="S4679" i="22"/>
  <c r="U4679" i="22"/>
  <c r="M4680" i="22"/>
  <c r="D4680" i="22"/>
  <c r="J4680" i="22"/>
  <c r="N4680" i="22" s="1"/>
  <c r="P4680" i="22"/>
  <c r="Q4680" i="22"/>
  <c r="R4680" i="22"/>
  <c r="L4681" i="22"/>
  <c r="C4681" i="22"/>
  <c r="E4681" i="22"/>
  <c r="G4681" i="22"/>
  <c r="I4681" i="22"/>
  <c r="B4682" i="22"/>
  <c r="P4626" i="22"/>
  <c r="Q4626" i="22"/>
  <c r="R4626" i="22"/>
  <c r="C4627" i="22"/>
  <c r="E4627" i="22"/>
  <c r="G4627" i="22"/>
  <c r="B4628" i="22"/>
  <c r="J4572" i="22"/>
  <c r="D4572" i="22"/>
  <c r="P4572" i="22"/>
  <c r="Q4572" i="22"/>
  <c r="R4572" i="22"/>
  <c r="I4573" i="22"/>
  <c r="L4573" i="22"/>
  <c r="C4573" i="22"/>
  <c r="K4573" i="22" s="1"/>
  <c r="E4573" i="22"/>
  <c r="F4573" i="22"/>
  <c r="G4573" i="22"/>
  <c r="B4574" i="22"/>
  <c r="M4518" i="22"/>
  <c r="D4518" i="22"/>
  <c r="J4518" i="22"/>
  <c r="N4518" i="22" s="1"/>
  <c r="P4518" i="22"/>
  <c r="Q4518" i="22"/>
  <c r="R4518" i="22"/>
  <c r="L4519" i="22"/>
  <c r="C4519" i="22"/>
  <c r="K4519" i="22" s="1"/>
  <c r="E4519" i="22"/>
  <c r="F4519" i="22"/>
  <c r="G4519" i="22"/>
  <c r="I4519" i="22"/>
  <c r="B4520" i="22"/>
  <c r="D4218" i="22"/>
  <c r="J4218" i="22"/>
  <c r="P4218" i="22"/>
  <c r="Q4218" i="22"/>
  <c r="R4218" i="22"/>
  <c r="L4219" i="22"/>
  <c r="C4219" i="22"/>
  <c r="K4219" i="22" s="1"/>
  <c r="E4219" i="22"/>
  <c r="F4219" i="22"/>
  <c r="O4219" i="22" s="1"/>
  <c r="G4219" i="22"/>
  <c r="I4219" i="22"/>
  <c r="B4220" i="22"/>
  <c r="D4164" i="22"/>
  <c r="J4164" i="22"/>
  <c r="P4164" i="22"/>
  <c r="Q4164" i="22"/>
  <c r="R4164" i="22"/>
  <c r="L4165" i="22"/>
  <c r="C4165" i="22"/>
  <c r="K4165" i="22" s="1"/>
  <c r="E4165" i="22"/>
  <c r="F4165" i="22"/>
  <c r="O4165" i="22" s="1"/>
  <c r="G4165" i="22"/>
  <c r="I4165" i="22"/>
  <c r="B4166" i="22"/>
  <c r="M4110" i="22"/>
  <c r="D4110" i="22"/>
  <c r="J4110" i="22"/>
  <c r="N4110" i="22" s="1"/>
  <c r="U4110" i="22" s="1"/>
  <c r="P4110" i="22"/>
  <c r="Q4110" i="22"/>
  <c r="R4110" i="22"/>
  <c r="L4111" i="22"/>
  <c r="C4111" i="22"/>
  <c r="E4111" i="22"/>
  <c r="G4111" i="22"/>
  <c r="I4111" i="22"/>
  <c r="B4112" i="22"/>
  <c r="M4056" i="22"/>
  <c r="D4056" i="22"/>
  <c r="J4056" i="22"/>
  <c r="N4056" i="22" s="1"/>
  <c r="U4056" i="22" s="1"/>
  <c r="P4056" i="22"/>
  <c r="Q4056" i="22"/>
  <c r="R4056" i="22"/>
  <c r="L4057" i="22"/>
  <c r="C4057" i="22"/>
  <c r="E4057" i="22"/>
  <c r="G4057" i="22"/>
  <c r="I4057" i="22"/>
  <c r="B4058" i="22"/>
  <c r="D3756" i="22"/>
  <c r="J3756" i="22"/>
  <c r="P3756" i="22"/>
  <c r="Q3756" i="22"/>
  <c r="R3756" i="22"/>
  <c r="L3757" i="22"/>
  <c r="C3757" i="22"/>
  <c r="K3757" i="22" s="1"/>
  <c r="E3757" i="22"/>
  <c r="F3757" i="22"/>
  <c r="O3757" i="22" s="1"/>
  <c r="G3757" i="22"/>
  <c r="I3757" i="22"/>
  <c r="B3758" i="22"/>
  <c r="D3702" i="22"/>
  <c r="J3702" i="22"/>
  <c r="P3702" i="22"/>
  <c r="Q3702" i="22"/>
  <c r="R3702" i="22"/>
  <c r="L3703" i="22"/>
  <c r="C3703" i="22"/>
  <c r="K3703" i="22" s="1"/>
  <c r="E3703" i="22"/>
  <c r="F3703" i="22"/>
  <c r="O3703" i="22" s="1"/>
  <c r="G3703" i="22"/>
  <c r="I3703" i="22"/>
  <c r="B3704" i="22"/>
  <c r="M3648" i="22"/>
  <c r="D3648" i="22"/>
  <c r="J3648" i="22"/>
  <c r="N3648" i="22" s="1"/>
  <c r="U3648" i="22" s="1"/>
  <c r="P3648" i="22"/>
  <c r="Q3648" i="22"/>
  <c r="R3648" i="22"/>
  <c r="L3649" i="22"/>
  <c r="C3649" i="22"/>
  <c r="K3649" i="22" s="1"/>
  <c r="E3649" i="22"/>
  <c r="F3649" i="22"/>
  <c r="O3649" i="22" s="1"/>
  <c r="G3649" i="22"/>
  <c r="I3649" i="22"/>
  <c r="B3650" i="22"/>
  <c r="M3594" i="22"/>
  <c r="D3594" i="22"/>
  <c r="J3594" i="22"/>
  <c r="N3594" i="22" s="1"/>
  <c r="U3594" i="22" s="1"/>
  <c r="P3594" i="22"/>
  <c r="Q3594" i="22"/>
  <c r="R3594" i="22"/>
  <c r="L3595" i="22"/>
  <c r="I3595" i="22"/>
  <c r="C3595" i="22"/>
  <c r="E3595" i="22"/>
  <c r="G3595" i="22"/>
  <c r="B3596" i="22"/>
  <c r="L3541" i="22"/>
  <c r="G3541" i="22"/>
  <c r="C3541" i="22"/>
  <c r="E3541" i="22"/>
  <c r="I3541" i="22"/>
  <c r="B3542" i="22"/>
  <c r="D3540" i="22"/>
  <c r="J3540" i="22"/>
  <c r="P3540" i="22"/>
  <c r="Q3540" i="22"/>
  <c r="R3540" i="22"/>
  <c r="M3486" i="22"/>
  <c r="D3486" i="22"/>
  <c r="J3486" i="22"/>
  <c r="N3486" i="22" s="1"/>
  <c r="U3486" i="22" s="1"/>
  <c r="P3486" i="22"/>
  <c r="Q3486" i="22"/>
  <c r="R3486" i="22"/>
  <c r="L3487" i="22"/>
  <c r="C3487" i="22"/>
  <c r="E3487" i="22"/>
  <c r="G3487" i="22"/>
  <c r="I3487" i="22"/>
  <c r="B3488" i="22"/>
  <c r="D3432" i="22"/>
  <c r="J3432" i="22"/>
  <c r="P3432" i="22"/>
  <c r="Q3432" i="22"/>
  <c r="R3432" i="22"/>
  <c r="L3433" i="22"/>
  <c r="C3433" i="22"/>
  <c r="E3433" i="22"/>
  <c r="G3433" i="22"/>
  <c r="I3433" i="22"/>
  <c r="B3434" i="22"/>
  <c r="D3378" i="22"/>
  <c r="J3378" i="22"/>
  <c r="P3378" i="22"/>
  <c r="Q3378" i="22"/>
  <c r="R3378" i="22"/>
  <c r="L3379" i="22"/>
  <c r="C3379" i="22"/>
  <c r="K3379" i="22" s="1"/>
  <c r="E3379" i="22"/>
  <c r="F3379" i="22"/>
  <c r="O3379" i="22" s="1"/>
  <c r="G3379" i="22"/>
  <c r="I3379" i="22"/>
  <c r="B3380" i="22"/>
  <c r="M3324" i="22"/>
  <c r="D3324" i="22"/>
  <c r="J3324" i="22"/>
  <c r="N3324" i="22" s="1"/>
  <c r="U3324" i="22" s="1"/>
  <c r="P3324" i="22"/>
  <c r="Q3324" i="22"/>
  <c r="R3324" i="22"/>
  <c r="L3325" i="22"/>
  <c r="C3325" i="22"/>
  <c r="E3325" i="22"/>
  <c r="G3325" i="22"/>
  <c r="I3325" i="22"/>
  <c r="B3326" i="22"/>
  <c r="M3270" i="22"/>
  <c r="D3270" i="22"/>
  <c r="J3270" i="22"/>
  <c r="N3270" i="22" s="1"/>
  <c r="U3270" i="22" s="1"/>
  <c r="P3270" i="22"/>
  <c r="Q3270" i="22"/>
  <c r="R3270" i="22"/>
  <c r="L3271" i="22"/>
  <c r="C3271" i="22"/>
  <c r="E3271" i="22"/>
  <c r="G3271" i="22"/>
  <c r="I3271" i="22"/>
  <c r="B3272" i="22"/>
  <c r="L3217" i="22"/>
  <c r="C3217" i="22"/>
  <c r="K3217" i="22" s="1"/>
  <c r="E3217" i="22"/>
  <c r="F3217" i="22"/>
  <c r="O3217" i="22" s="1"/>
  <c r="G3217" i="22"/>
  <c r="I3217" i="22"/>
  <c r="B3218" i="22"/>
  <c r="D3216" i="22"/>
  <c r="J3216" i="22"/>
  <c r="P3216" i="22"/>
  <c r="Q3216" i="22"/>
  <c r="R3216" i="22"/>
  <c r="M3162" i="22"/>
  <c r="D3162" i="22"/>
  <c r="J3162" i="22"/>
  <c r="N3162" i="22" s="1"/>
  <c r="U3162" i="22" s="1"/>
  <c r="P3162" i="22"/>
  <c r="Q3162" i="22"/>
  <c r="R3162" i="22"/>
  <c r="L3163" i="22"/>
  <c r="C3163" i="22"/>
  <c r="E3163" i="22"/>
  <c r="G3163" i="22"/>
  <c r="I3163" i="22"/>
  <c r="B3164" i="22"/>
  <c r="P3108" i="22"/>
  <c r="Q3108" i="22"/>
  <c r="R3108" i="22"/>
  <c r="L3109" i="22"/>
  <c r="G3109" i="22"/>
  <c r="I3109" i="22"/>
  <c r="B3110" i="22"/>
  <c r="C3109" i="22"/>
  <c r="E3109" i="22"/>
  <c r="D3108" i="22"/>
  <c r="J3108" i="22"/>
  <c r="L3055" i="22"/>
  <c r="E3055" i="22"/>
  <c r="G3055" i="22"/>
  <c r="B3056" i="22"/>
  <c r="C3055" i="22"/>
  <c r="I3055" i="22"/>
  <c r="J3054" i="22"/>
  <c r="D3054" i="22"/>
  <c r="P3054" i="22"/>
  <c r="Q3054" i="22"/>
  <c r="R3054" i="22"/>
  <c r="L3001" i="22"/>
  <c r="C3001" i="22"/>
  <c r="E3001" i="22"/>
  <c r="G3001" i="22"/>
  <c r="I3001" i="22"/>
  <c r="B3002" i="22"/>
  <c r="D3000" i="22"/>
  <c r="J3000" i="22"/>
  <c r="P3000" i="22"/>
  <c r="Q3000" i="22"/>
  <c r="R3000" i="22"/>
  <c r="M2946" i="22"/>
  <c r="D2946" i="22"/>
  <c r="J2946" i="22"/>
  <c r="N2946" i="22" s="1"/>
  <c r="U2946" i="22" s="1"/>
  <c r="P2946" i="22"/>
  <c r="Q2946" i="22"/>
  <c r="R2946" i="22"/>
  <c r="L2947" i="22"/>
  <c r="C2947" i="22"/>
  <c r="E2947" i="22"/>
  <c r="I2947" i="22"/>
  <c r="B2948" i="22"/>
  <c r="G2947" i="22"/>
  <c r="M2892" i="22"/>
  <c r="D2892" i="22"/>
  <c r="J2892" i="22"/>
  <c r="N2892" i="22" s="1"/>
  <c r="U2892" i="22" s="1"/>
  <c r="P2892" i="22"/>
  <c r="Q2892" i="22"/>
  <c r="R2892" i="22"/>
  <c r="L2893" i="22"/>
  <c r="C2893" i="22"/>
  <c r="E2893" i="22"/>
  <c r="G2893" i="22"/>
  <c r="I2893" i="22"/>
  <c r="B2894" i="22"/>
  <c r="M2838" i="22"/>
  <c r="D2838" i="22"/>
  <c r="J2838" i="22"/>
  <c r="N2838" i="22" s="1"/>
  <c r="U2838" i="22" s="1"/>
  <c r="P2838" i="22"/>
  <c r="Q2838" i="22"/>
  <c r="R2838" i="22"/>
  <c r="L2839" i="22"/>
  <c r="C2839" i="22"/>
  <c r="K2839" i="22" s="1"/>
  <c r="E2839" i="22"/>
  <c r="F2839" i="22"/>
  <c r="O2839" i="22" s="1"/>
  <c r="G2839" i="22"/>
  <c r="I2839" i="22"/>
  <c r="B2840" i="22"/>
  <c r="M2784" i="22"/>
  <c r="D2784" i="22"/>
  <c r="J2784" i="22"/>
  <c r="N2784" i="22" s="1"/>
  <c r="S2784" i="22" s="1"/>
  <c r="T2784" i="22" s="1"/>
  <c r="U2784" i="22" s="1"/>
  <c r="Q2784" i="22"/>
  <c r="P2784" i="22"/>
  <c r="R2784" i="22"/>
  <c r="L2785" i="22"/>
  <c r="C2785" i="22"/>
  <c r="K2785" i="22" s="1"/>
  <c r="E2785" i="22"/>
  <c r="F2785" i="22"/>
  <c r="O2785" i="22" s="1"/>
  <c r="G2785" i="22"/>
  <c r="I2785" i="22"/>
  <c r="B2786" i="22"/>
  <c r="M2730" i="22"/>
  <c r="D2730" i="22"/>
  <c r="J2730" i="22"/>
  <c r="N2730" i="22" s="1"/>
  <c r="U2730" i="22" s="1"/>
  <c r="P2730" i="22"/>
  <c r="Q2730" i="22"/>
  <c r="R2730" i="22"/>
  <c r="L2731" i="22"/>
  <c r="C2731" i="22"/>
  <c r="E2731" i="22"/>
  <c r="G2731" i="22"/>
  <c r="I2731" i="22"/>
  <c r="B2732" i="22"/>
  <c r="M2676" i="22"/>
  <c r="D2676" i="22"/>
  <c r="J2676" i="22"/>
  <c r="N2676" i="22" s="1"/>
  <c r="U2676" i="22" s="1"/>
  <c r="P2676" i="22"/>
  <c r="Q2676" i="22"/>
  <c r="R2676" i="22"/>
  <c r="L2677" i="22"/>
  <c r="C2677" i="22"/>
  <c r="K2677" i="22" s="1"/>
  <c r="E2677" i="22"/>
  <c r="F2677" i="22"/>
  <c r="O2677" i="22" s="1"/>
  <c r="G2677" i="22"/>
  <c r="I2677" i="22"/>
  <c r="B2678" i="22"/>
  <c r="D2622" i="22"/>
  <c r="J2622" i="22"/>
  <c r="P2622" i="22"/>
  <c r="Q2622" i="22"/>
  <c r="R2622" i="22"/>
  <c r="L2623" i="22"/>
  <c r="C2623" i="22"/>
  <c r="E2623" i="22"/>
  <c r="G2623" i="22"/>
  <c r="I2623" i="22"/>
  <c r="B2624" i="22"/>
  <c r="D2568" i="22"/>
  <c r="J2568" i="22"/>
  <c r="P2568" i="22"/>
  <c r="Q2568" i="22"/>
  <c r="R2568" i="22"/>
  <c r="L2569" i="22"/>
  <c r="C2569" i="22"/>
  <c r="E2569" i="22"/>
  <c r="G2569" i="22"/>
  <c r="I2569" i="22"/>
  <c r="B2570" i="22"/>
  <c r="M2514" i="22"/>
  <c r="D2514" i="22"/>
  <c r="J2514" i="22"/>
  <c r="N2514" i="22" s="1"/>
  <c r="U2514" i="22" s="1"/>
  <c r="P2514" i="22"/>
  <c r="Q2514" i="22"/>
  <c r="R2514" i="22"/>
  <c r="L2515" i="22"/>
  <c r="C2515" i="22"/>
  <c r="E2515" i="22"/>
  <c r="G2515" i="22"/>
  <c r="I2515" i="22"/>
  <c r="B2516" i="22"/>
  <c r="M2460" i="22"/>
  <c r="D2460" i="22"/>
  <c r="J2460" i="22"/>
  <c r="N2460" i="22" s="1"/>
  <c r="U2460" i="22" s="1"/>
  <c r="P2460" i="22"/>
  <c r="Q2460" i="22"/>
  <c r="R2460" i="22"/>
  <c r="L2461" i="22"/>
  <c r="C2461" i="22"/>
  <c r="E2461" i="22"/>
  <c r="G2461" i="22"/>
  <c r="I2461" i="22"/>
  <c r="B2462" i="22"/>
  <c r="M2406" i="22"/>
  <c r="D2406" i="22"/>
  <c r="J2406" i="22"/>
  <c r="N2406" i="22" s="1"/>
  <c r="U2406" i="22" s="1"/>
  <c r="P2406" i="22"/>
  <c r="Q2406" i="22"/>
  <c r="R2406" i="22"/>
  <c r="L2407" i="22"/>
  <c r="C2407" i="22"/>
  <c r="K2407" i="22" s="1"/>
  <c r="E2407" i="22"/>
  <c r="F2407" i="22"/>
  <c r="O2407" i="22" s="1"/>
  <c r="G2407" i="22"/>
  <c r="I2407" i="22"/>
  <c r="B2408" i="22"/>
  <c r="M2352" i="22"/>
  <c r="D2352" i="22"/>
  <c r="J2352" i="22"/>
  <c r="N2352" i="22" s="1"/>
  <c r="U2352" i="22" s="1"/>
  <c r="P2352" i="22"/>
  <c r="Q2352" i="22"/>
  <c r="R2352" i="22"/>
  <c r="L2353" i="22"/>
  <c r="C2353" i="22"/>
  <c r="K2353" i="22" s="1"/>
  <c r="E2353" i="22"/>
  <c r="F2353" i="22"/>
  <c r="O2353" i="22" s="1"/>
  <c r="G2353" i="22"/>
  <c r="I2353" i="22"/>
  <c r="B2354" i="22"/>
  <c r="J2298" i="22"/>
  <c r="D2298" i="22"/>
  <c r="P2298" i="22"/>
  <c r="Q2298" i="22"/>
  <c r="R2298" i="22"/>
  <c r="L2299" i="22"/>
  <c r="C2299" i="22"/>
  <c r="I2299" i="22"/>
  <c r="G2299" i="22"/>
  <c r="E2299" i="22"/>
  <c r="B2300" i="22"/>
  <c r="D2244" i="22"/>
  <c r="J2244" i="22"/>
  <c r="P2244" i="22"/>
  <c r="Q2244" i="22"/>
  <c r="R2244" i="22"/>
  <c r="L2245" i="22"/>
  <c r="C2245" i="22"/>
  <c r="K2245" i="22" s="1"/>
  <c r="E2245" i="22"/>
  <c r="F2245" i="22"/>
  <c r="O2245" i="22" s="1"/>
  <c r="G2245" i="22"/>
  <c r="I2245" i="22"/>
  <c r="B2246" i="22"/>
  <c r="M2190" i="22"/>
  <c r="D2190" i="22"/>
  <c r="J2190" i="22"/>
  <c r="N2190" i="22" s="1"/>
  <c r="U2190" i="22" s="1"/>
  <c r="P2190" i="22"/>
  <c r="Q2190" i="22"/>
  <c r="R2190" i="22"/>
  <c r="L2191" i="22"/>
  <c r="C2191" i="22"/>
  <c r="K2191" i="22" s="1"/>
  <c r="E2191" i="22"/>
  <c r="F2191" i="22"/>
  <c r="O2191" i="22" s="1"/>
  <c r="G2191" i="22"/>
  <c r="I2191" i="22"/>
  <c r="B2192" i="22"/>
  <c r="M2136" i="22"/>
  <c r="D2136" i="22"/>
  <c r="J2136" i="22"/>
  <c r="N2136" i="22" s="1"/>
  <c r="U2136" i="22" s="1"/>
  <c r="P2136" i="22"/>
  <c r="Q2136" i="22"/>
  <c r="R2136" i="22"/>
  <c r="L2137" i="22"/>
  <c r="C2137" i="22"/>
  <c r="E2137" i="22"/>
  <c r="G2137" i="22"/>
  <c r="I2137" i="22"/>
  <c r="B2138" i="22"/>
  <c r="M2082" i="22"/>
  <c r="D2082" i="22"/>
  <c r="J2082" i="22"/>
  <c r="N2082" i="22" s="1"/>
  <c r="U2082" i="22" s="1"/>
  <c r="P2082" i="22"/>
  <c r="Q2082" i="22"/>
  <c r="R2082" i="22"/>
  <c r="L2083" i="22"/>
  <c r="C2083" i="22"/>
  <c r="E2083" i="22"/>
  <c r="G2083" i="22"/>
  <c r="I2083" i="22"/>
  <c r="B2084" i="22"/>
  <c r="M2028" i="22"/>
  <c r="D2028" i="22"/>
  <c r="J2028" i="22"/>
  <c r="N2028" i="22" s="1"/>
  <c r="U2028" i="22" s="1"/>
  <c r="P2028" i="22"/>
  <c r="Q2028" i="22"/>
  <c r="R2028" i="22"/>
  <c r="L2029" i="22"/>
  <c r="C2029" i="22"/>
  <c r="E2029" i="22"/>
  <c r="G2029" i="22"/>
  <c r="I2029" i="22"/>
  <c r="B2030" i="22"/>
  <c r="M1974" i="22"/>
  <c r="D1974" i="22"/>
  <c r="J1974" i="22"/>
  <c r="N1974" i="22" s="1"/>
  <c r="U1974" i="22" s="1"/>
  <c r="P1974" i="22"/>
  <c r="Q1974" i="22"/>
  <c r="R1974" i="22"/>
  <c r="L1975" i="22"/>
  <c r="C1975" i="22"/>
  <c r="E1975" i="22"/>
  <c r="G1975" i="22"/>
  <c r="I1975" i="22"/>
  <c r="B1976" i="22"/>
  <c r="M1920" i="22"/>
  <c r="D1920" i="22"/>
  <c r="J1920" i="22"/>
  <c r="N1920" i="22" s="1"/>
  <c r="U1920" i="22" s="1"/>
  <c r="P1920" i="22"/>
  <c r="Q1920" i="22"/>
  <c r="R1920" i="22"/>
  <c r="L1921" i="22"/>
  <c r="C1921" i="22"/>
  <c r="K1921" i="22" s="1"/>
  <c r="E1921" i="22"/>
  <c r="F1921" i="22"/>
  <c r="O1921" i="22" s="1"/>
  <c r="G1921" i="22"/>
  <c r="I1921" i="22"/>
  <c r="B1922" i="22"/>
  <c r="D1866" i="22"/>
  <c r="J1866" i="22"/>
  <c r="P1866" i="22"/>
  <c r="Q1866" i="22"/>
  <c r="R1866" i="22"/>
  <c r="L1867" i="22"/>
  <c r="C1867" i="22"/>
  <c r="K1867" i="22" s="1"/>
  <c r="E1867" i="22"/>
  <c r="F1867" i="22"/>
  <c r="O1867" i="22" s="1"/>
  <c r="G1867" i="22"/>
  <c r="I1867" i="22"/>
  <c r="B1868" i="22"/>
  <c r="D1812" i="22"/>
  <c r="J1812" i="22"/>
  <c r="P1812" i="22"/>
  <c r="Q1812" i="22"/>
  <c r="R1812" i="22"/>
  <c r="L1813" i="22"/>
  <c r="C1813" i="22"/>
  <c r="K1813" i="22" s="1"/>
  <c r="E1813" i="22"/>
  <c r="F1813" i="22"/>
  <c r="O1813" i="22" s="1"/>
  <c r="G1813" i="22"/>
  <c r="I1813" i="22"/>
  <c r="B1814" i="22"/>
  <c r="D1758" i="22"/>
  <c r="J1758" i="22"/>
  <c r="P1758" i="22"/>
  <c r="Q1758" i="22"/>
  <c r="R1758" i="22"/>
  <c r="L1759" i="22"/>
  <c r="C1759" i="22"/>
  <c r="E1759" i="22"/>
  <c r="G1759" i="22"/>
  <c r="I1759" i="22"/>
  <c r="B1760" i="22"/>
  <c r="M1704" i="22"/>
  <c r="D1704" i="22"/>
  <c r="J1704" i="22"/>
  <c r="N1704" i="22" s="1"/>
  <c r="U1704" i="22" s="1"/>
  <c r="P1704" i="22"/>
  <c r="Q1704" i="22"/>
  <c r="R1704" i="22"/>
  <c r="L1705" i="22"/>
  <c r="C1705" i="22"/>
  <c r="E1705" i="22"/>
  <c r="G1705" i="22"/>
  <c r="I1705" i="22"/>
  <c r="B1706" i="22"/>
  <c r="M1650" i="22"/>
  <c r="D1650" i="22"/>
  <c r="J1650" i="22"/>
  <c r="N1650" i="22" s="1"/>
  <c r="U1650" i="22" s="1"/>
  <c r="P1650" i="22"/>
  <c r="Q1650" i="22"/>
  <c r="R1650" i="22"/>
  <c r="L1651" i="22"/>
  <c r="C1651" i="22"/>
  <c r="E1651" i="22"/>
  <c r="G1651" i="22"/>
  <c r="I1651" i="22"/>
  <c r="B1652" i="22"/>
  <c r="M1596" i="22"/>
  <c r="D1596" i="22"/>
  <c r="J1596" i="22"/>
  <c r="N1596" i="22" s="1"/>
  <c r="U1596" i="22" s="1"/>
  <c r="P1596" i="22"/>
  <c r="Q1596" i="22"/>
  <c r="R1596" i="22"/>
  <c r="L1597" i="22"/>
  <c r="C1597" i="22"/>
  <c r="E1597" i="22"/>
  <c r="G1597" i="22"/>
  <c r="I1597" i="22"/>
  <c r="B1598" i="22"/>
  <c r="M1542" i="22"/>
  <c r="D1542" i="22"/>
  <c r="J1542" i="22"/>
  <c r="N1542" i="22" s="1"/>
  <c r="U1542" i="22" s="1"/>
  <c r="P1542" i="22"/>
  <c r="Q1542" i="22"/>
  <c r="R1542" i="22"/>
  <c r="L1543" i="22"/>
  <c r="C1543" i="22"/>
  <c r="K1543" i="22" s="1"/>
  <c r="E1543" i="22"/>
  <c r="F1543" i="22"/>
  <c r="O1543" i="22" s="1"/>
  <c r="G1543" i="22"/>
  <c r="I1543" i="22"/>
  <c r="B1544" i="22"/>
  <c r="D1488" i="22"/>
  <c r="J1488" i="22"/>
  <c r="P1488" i="22"/>
  <c r="Q1488" i="22"/>
  <c r="R1488" i="22"/>
  <c r="L1489" i="22"/>
  <c r="C1489" i="22"/>
  <c r="K1489" i="22" s="1"/>
  <c r="E1489" i="22"/>
  <c r="F1489" i="22"/>
  <c r="O1489" i="22" s="1"/>
  <c r="G1489" i="22"/>
  <c r="I1489" i="22"/>
  <c r="B1490" i="22"/>
  <c r="D1434" i="22"/>
  <c r="J1434" i="22"/>
  <c r="P1434" i="22"/>
  <c r="Q1434" i="22"/>
  <c r="R1434" i="22"/>
  <c r="L1435" i="22"/>
  <c r="C1435" i="22"/>
  <c r="K1435" i="22" s="1"/>
  <c r="E1435" i="22"/>
  <c r="F1435" i="22"/>
  <c r="O1435" i="22" s="1"/>
  <c r="G1435" i="22"/>
  <c r="I1435" i="22"/>
  <c r="B1436" i="22"/>
  <c r="M1380" i="22"/>
  <c r="D1380" i="22"/>
  <c r="J1380" i="22"/>
  <c r="N1380" i="22" s="1"/>
  <c r="U1380" i="22" s="1"/>
  <c r="P1380" i="22"/>
  <c r="Q1380" i="22"/>
  <c r="R1380" i="22"/>
  <c r="L1381" i="22"/>
  <c r="C1381" i="22"/>
  <c r="E1381" i="22"/>
  <c r="G1381" i="22"/>
  <c r="I1381" i="22"/>
  <c r="B1382" i="22"/>
  <c r="M1326" i="22"/>
  <c r="D1326" i="22"/>
  <c r="J1326" i="22"/>
  <c r="N1326" i="22" s="1"/>
  <c r="U1326" i="22" s="1"/>
  <c r="P1326" i="22"/>
  <c r="Q1326" i="22"/>
  <c r="R1326" i="22"/>
  <c r="L1327" i="22"/>
  <c r="C1327" i="22"/>
  <c r="E1327" i="22"/>
  <c r="G1327" i="22"/>
  <c r="I1327" i="22"/>
  <c r="B1328" i="22"/>
  <c r="M1272" i="22"/>
  <c r="D1272" i="22"/>
  <c r="J1272" i="22"/>
  <c r="N1272" i="22" s="1"/>
  <c r="U1272" i="22" s="1"/>
  <c r="P1272" i="22"/>
  <c r="Q1272" i="22"/>
  <c r="R1272" i="22"/>
  <c r="L1273" i="22"/>
  <c r="C1273" i="22"/>
  <c r="E1273" i="22"/>
  <c r="G1273" i="22"/>
  <c r="I1273" i="22"/>
  <c r="B1274" i="22"/>
  <c r="M1218" i="22"/>
  <c r="D1218" i="22"/>
  <c r="J1218" i="22"/>
  <c r="N1218" i="22" s="1"/>
  <c r="U1218" i="22" s="1"/>
  <c r="P1218" i="22"/>
  <c r="Q1218" i="22"/>
  <c r="R1218" i="22"/>
  <c r="L1219" i="22"/>
  <c r="C1219" i="22"/>
  <c r="K1219" i="22" s="1"/>
  <c r="E1219" i="22"/>
  <c r="F1219" i="22"/>
  <c r="O1219" i="22" s="1"/>
  <c r="G1219" i="22"/>
  <c r="I1219" i="22"/>
  <c r="B1220" i="22"/>
  <c r="M1164" i="22"/>
  <c r="D1164" i="22"/>
  <c r="J1164" i="22"/>
  <c r="N1164" i="22" s="1"/>
  <c r="U1164" i="22" s="1"/>
  <c r="P1164" i="22"/>
  <c r="Q1164" i="22"/>
  <c r="R1164" i="22"/>
  <c r="L1165" i="22"/>
  <c r="C1165" i="22"/>
  <c r="K1165" i="22" s="1"/>
  <c r="E1165" i="22"/>
  <c r="F1165" i="22"/>
  <c r="O1165" i="22" s="1"/>
  <c r="G1165" i="22"/>
  <c r="I1165" i="22"/>
  <c r="B1166" i="22"/>
  <c r="D1110" i="22"/>
  <c r="J1110" i="22"/>
  <c r="P1110" i="22"/>
  <c r="Q1110" i="22"/>
  <c r="R1110" i="22"/>
  <c r="L1111" i="22"/>
  <c r="C1111" i="22"/>
  <c r="K1111" i="22" s="1"/>
  <c r="E1111" i="22"/>
  <c r="F1111" i="22"/>
  <c r="O1111" i="22" s="1"/>
  <c r="G1111" i="22"/>
  <c r="I1111" i="22"/>
  <c r="B1112" i="22"/>
  <c r="D1056" i="22"/>
  <c r="J1056" i="22"/>
  <c r="P1056" i="22"/>
  <c r="Q1056" i="22"/>
  <c r="R1056" i="22"/>
  <c r="L1057" i="22"/>
  <c r="C1057" i="22"/>
  <c r="E1057" i="22"/>
  <c r="G1057" i="22"/>
  <c r="I1057" i="22"/>
  <c r="B1058" i="22"/>
  <c r="M1002" i="22"/>
  <c r="D1002" i="22"/>
  <c r="J1002" i="22"/>
  <c r="N1002" i="22" s="1"/>
  <c r="U1002" i="22" s="1"/>
  <c r="P1002" i="22"/>
  <c r="Q1002" i="22"/>
  <c r="R1002" i="22"/>
  <c r="L1003" i="22"/>
  <c r="C1003" i="22"/>
  <c r="E1003" i="22"/>
  <c r="G1003" i="22"/>
  <c r="I1003" i="22"/>
  <c r="B1004" i="22"/>
  <c r="M948" i="22"/>
  <c r="D948" i="22"/>
  <c r="J948" i="22"/>
  <c r="N948" i="22" s="1"/>
  <c r="U948" i="22" s="1"/>
  <c r="P948" i="22"/>
  <c r="Q948" i="22"/>
  <c r="R948" i="22"/>
  <c r="L949" i="22"/>
  <c r="C949" i="22"/>
  <c r="E949" i="22"/>
  <c r="G949" i="22"/>
  <c r="I949" i="22"/>
  <c r="B950" i="22"/>
  <c r="M894" i="22"/>
  <c r="D894" i="22"/>
  <c r="J894" i="22"/>
  <c r="N894" i="22" s="1"/>
  <c r="U894" i="22" s="1"/>
  <c r="P894" i="22"/>
  <c r="Q894" i="22"/>
  <c r="R894" i="22"/>
  <c r="L895" i="22"/>
  <c r="C895" i="22"/>
  <c r="E895" i="22"/>
  <c r="G895" i="22"/>
  <c r="I895" i="22"/>
  <c r="B896" i="22"/>
  <c r="M840" i="22"/>
  <c r="D840" i="22"/>
  <c r="J840" i="22"/>
  <c r="N840" i="22" s="1"/>
  <c r="U840" i="22" s="1"/>
  <c r="P840" i="22"/>
  <c r="Q840" i="22"/>
  <c r="R840" i="22"/>
  <c r="L841" i="22"/>
  <c r="C841" i="22"/>
  <c r="K841" i="22" s="1"/>
  <c r="E841" i="22"/>
  <c r="F841" i="22"/>
  <c r="O841" i="22" s="1"/>
  <c r="G841" i="22"/>
  <c r="I841" i="22"/>
  <c r="B842" i="22"/>
  <c r="D786" i="22"/>
  <c r="J786" i="22"/>
  <c r="P786" i="22"/>
  <c r="Q786" i="22"/>
  <c r="R786" i="22"/>
  <c r="L787" i="22"/>
  <c r="C787" i="22"/>
  <c r="K787" i="22" s="1"/>
  <c r="E787" i="22"/>
  <c r="F787" i="22"/>
  <c r="O787" i="22" s="1"/>
  <c r="G787" i="22"/>
  <c r="I787" i="22"/>
  <c r="B788" i="22"/>
  <c r="M732" i="22"/>
  <c r="D732" i="22"/>
  <c r="J732" i="22"/>
  <c r="N732" i="22" s="1"/>
  <c r="U732" i="22" s="1"/>
  <c r="P732" i="22"/>
  <c r="Q732" i="22"/>
  <c r="R732" i="22"/>
  <c r="L733" i="22"/>
  <c r="C733" i="22"/>
  <c r="K733" i="22" s="1"/>
  <c r="E733" i="22"/>
  <c r="F733" i="22"/>
  <c r="O733" i="22" s="1"/>
  <c r="G733" i="22"/>
  <c r="I733" i="22"/>
  <c r="B734" i="22"/>
  <c r="M678" i="22"/>
  <c r="D678" i="22"/>
  <c r="J678" i="22"/>
  <c r="N678" i="22" s="1"/>
  <c r="U678" i="22" s="1"/>
  <c r="P678" i="22"/>
  <c r="Q678" i="22"/>
  <c r="R678" i="22"/>
  <c r="L679" i="22"/>
  <c r="C679" i="22"/>
  <c r="E679" i="22"/>
  <c r="G679" i="22"/>
  <c r="I679" i="22"/>
  <c r="B680" i="22"/>
  <c r="M624" i="22"/>
  <c r="D624" i="22"/>
  <c r="J624" i="22"/>
  <c r="N624" i="22" s="1"/>
  <c r="U624" i="22" s="1"/>
  <c r="P624" i="22"/>
  <c r="Q624" i="22"/>
  <c r="R624" i="22"/>
  <c r="L625" i="22"/>
  <c r="C625" i="22"/>
  <c r="E625" i="22"/>
  <c r="G625" i="22"/>
  <c r="I625" i="22"/>
  <c r="B626" i="22"/>
  <c r="M570" i="22"/>
  <c r="D570" i="22"/>
  <c r="J570" i="22"/>
  <c r="N570" i="22" s="1"/>
  <c r="U570" i="22" s="1"/>
  <c r="P570" i="22"/>
  <c r="Q570" i="22"/>
  <c r="R570" i="22"/>
  <c r="L571" i="22"/>
  <c r="C571" i="22"/>
  <c r="E571" i="22"/>
  <c r="G571" i="22"/>
  <c r="I571" i="22"/>
  <c r="B572" i="22"/>
  <c r="M516" i="22"/>
  <c r="D516" i="22"/>
  <c r="J516" i="22"/>
  <c r="N516" i="22" s="1"/>
  <c r="U516" i="22" s="1"/>
  <c r="P516" i="22"/>
  <c r="Q516" i="22"/>
  <c r="R516" i="22"/>
  <c r="L517" i="22"/>
  <c r="C517" i="22"/>
  <c r="E517" i="22"/>
  <c r="G517" i="22"/>
  <c r="I517" i="22"/>
  <c r="B518" i="22"/>
  <c r="M462" i="22"/>
  <c r="D462" i="22"/>
  <c r="J462" i="22"/>
  <c r="N462" i="22" s="1"/>
  <c r="U462" i="22" s="1"/>
  <c r="P462" i="22"/>
  <c r="Q462" i="22"/>
  <c r="R462" i="22"/>
  <c r="L463" i="22"/>
  <c r="C463" i="22"/>
  <c r="K463" i="22" s="1"/>
  <c r="E463" i="22"/>
  <c r="F463" i="22"/>
  <c r="O463" i="22" s="1"/>
  <c r="G463" i="22"/>
  <c r="I463" i="22"/>
  <c r="B464" i="22"/>
  <c r="D408" i="22"/>
  <c r="J408" i="22"/>
  <c r="P408" i="22"/>
  <c r="Q408" i="22"/>
  <c r="R408" i="22"/>
  <c r="L409" i="22"/>
  <c r="C409" i="22"/>
  <c r="K409" i="22" s="1"/>
  <c r="E409" i="22"/>
  <c r="F409" i="22"/>
  <c r="O409" i="22" s="1"/>
  <c r="G409" i="22"/>
  <c r="I409" i="22"/>
  <c r="B410" i="22"/>
  <c r="M354" i="22"/>
  <c r="D354" i="22"/>
  <c r="J354" i="22"/>
  <c r="N354" i="22" s="1"/>
  <c r="U354" i="22" s="1"/>
  <c r="P354" i="22"/>
  <c r="Q354" i="22"/>
  <c r="R354" i="22"/>
  <c r="L355" i="22"/>
  <c r="C355" i="22"/>
  <c r="K355" i="22" s="1"/>
  <c r="E355" i="22"/>
  <c r="F355" i="22"/>
  <c r="O355" i="22" s="1"/>
  <c r="G355" i="22"/>
  <c r="I355" i="22"/>
  <c r="B356" i="22"/>
  <c r="M300" i="22"/>
  <c r="D300" i="22"/>
  <c r="J300" i="22"/>
  <c r="N300" i="22" s="1"/>
  <c r="U300" i="22" s="1"/>
  <c r="P300" i="22"/>
  <c r="Q300" i="22"/>
  <c r="R300" i="22"/>
  <c r="L301" i="22"/>
  <c r="C301" i="22"/>
  <c r="K301" i="22" s="1"/>
  <c r="E301" i="22"/>
  <c r="F301" i="22"/>
  <c r="O301" i="22" s="1"/>
  <c r="G301" i="22"/>
  <c r="I301" i="22"/>
  <c r="B302" i="22"/>
  <c r="M246" i="22"/>
  <c r="D246" i="22"/>
  <c r="J246" i="22"/>
  <c r="N246" i="22" s="1"/>
  <c r="U246" i="22" s="1"/>
  <c r="P246" i="22"/>
  <c r="Q246" i="22"/>
  <c r="R246" i="22"/>
  <c r="L247" i="22"/>
  <c r="C247" i="22"/>
  <c r="E247" i="22"/>
  <c r="G247" i="22"/>
  <c r="I247" i="22"/>
  <c r="B248" i="22"/>
  <c r="M192" i="22"/>
  <c r="D192" i="22"/>
  <c r="J192" i="22"/>
  <c r="N192" i="22" s="1"/>
  <c r="U192" i="22" s="1"/>
  <c r="P192" i="22"/>
  <c r="Q192" i="22"/>
  <c r="R192" i="22"/>
  <c r="L193" i="22"/>
  <c r="C193" i="22"/>
  <c r="K193" i="22" s="1"/>
  <c r="E193" i="22"/>
  <c r="F193" i="22"/>
  <c r="O193" i="22" s="1"/>
  <c r="G193" i="22"/>
  <c r="B194" i="22"/>
  <c r="I193" i="22"/>
  <c r="M138" i="22"/>
  <c r="D138" i="22"/>
  <c r="J138" i="22"/>
  <c r="N138" i="22" s="1"/>
  <c r="U138" i="22" s="1"/>
  <c r="P138" i="22"/>
  <c r="Q138" i="22"/>
  <c r="R138" i="22"/>
  <c r="L139" i="22"/>
  <c r="C139" i="22"/>
  <c r="K139" i="22" s="1"/>
  <c r="E139" i="22"/>
  <c r="F139" i="22"/>
  <c r="O139" i="22" s="1"/>
  <c r="G139" i="22"/>
  <c r="B140" i="22"/>
  <c r="I139" i="22"/>
  <c r="M84" i="22"/>
  <c r="D84" i="22"/>
  <c r="J84" i="22"/>
  <c r="N84" i="22" s="1"/>
  <c r="U84" i="22" s="1"/>
  <c r="P84" i="22"/>
  <c r="Q84" i="22"/>
  <c r="R84" i="22"/>
  <c r="L85" i="22"/>
  <c r="C85" i="22"/>
  <c r="K85" i="22" s="1"/>
  <c r="E85" i="22"/>
  <c r="F85" i="22"/>
  <c r="O85" i="22" s="1"/>
  <c r="G85" i="22"/>
  <c r="I85" i="22"/>
  <c r="B86" i="22"/>
  <c r="E808" i="23"/>
  <c r="J808" i="23"/>
  <c r="E864" i="23"/>
  <c r="J864" i="23"/>
  <c r="E920" i="23"/>
  <c r="J920" i="23"/>
  <c r="E976" i="23"/>
  <c r="J976" i="23"/>
  <c r="J1032" i="23"/>
  <c r="O1037" i="23"/>
  <c r="AE1037" i="23" s="1"/>
  <c r="O1035" i="23"/>
  <c r="AE1035" i="23" s="1"/>
  <c r="O1036" i="23"/>
  <c r="AE1036" i="23" s="1"/>
  <c r="O1034" i="23"/>
  <c r="AE1034" i="23" s="1"/>
  <c r="AH1058" i="23"/>
  <c r="B55" i="8"/>
  <c r="AH1059" i="23"/>
  <c r="C55" i="8"/>
  <c r="AH1060" i="23"/>
  <c r="D55" i="8"/>
  <c r="AH1061" i="23"/>
  <c r="E55" i="8"/>
  <c r="AH1062" i="23"/>
  <c r="F55" i="8"/>
  <c r="AH1063" i="23"/>
  <c r="G55" i="8"/>
  <c r="AH1064" i="23"/>
  <c r="H55" i="8"/>
  <c r="AH1065" i="23"/>
  <c r="I55" i="8"/>
  <c r="E1088" i="23"/>
  <c r="J1088" i="23"/>
  <c r="E1144" i="23"/>
  <c r="J1144" i="23"/>
  <c r="E1200" i="23"/>
  <c r="J1200" i="23"/>
  <c r="O1261" i="23"/>
  <c r="AE1261" i="23" s="1"/>
  <c r="O1260" i="23"/>
  <c r="AE1260" i="23" s="1"/>
  <c r="O1258" i="23"/>
  <c r="AE1258" i="23" s="1"/>
  <c r="O1259" i="23"/>
  <c r="AE1259" i="23" s="1"/>
  <c r="E1536" i="23"/>
  <c r="J1536" i="23"/>
  <c r="E1480" i="23"/>
  <c r="J1480" i="23"/>
  <c r="E1424" i="23"/>
  <c r="J1424" i="23"/>
  <c r="AH1394" i="23"/>
  <c r="B61" i="8"/>
  <c r="AH1395" i="23"/>
  <c r="C61" i="8"/>
  <c r="AH1396" i="23"/>
  <c r="D61" i="8"/>
  <c r="AH1397" i="23"/>
  <c r="E61" i="8"/>
  <c r="AH1398" i="23"/>
  <c r="F61" i="8"/>
  <c r="AH1399" i="23"/>
  <c r="G61" i="8"/>
  <c r="AH1400" i="23"/>
  <c r="H61" i="8"/>
  <c r="AH1401" i="23"/>
  <c r="I61" i="8"/>
  <c r="AH1402" i="23"/>
  <c r="J61" i="8"/>
  <c r="AH1403" i="23"/>
  <c r="K61" i="8"/>
  <c r="AH1404" i="23"/>
  <c r="L61" i="8"/>
  <c r="AH1405" i="23"/>
  <c r="M61" i="8"/>
  <c r="E1368" i="23"/>
  <c r="J1368" i="23"/>
  <c r="E1312" i="23"/>
  <c r="J1312" i="23"/>
  <c r="E248" i="23"/>
  <c r="J248" i="23"/>
  <c r="E304" i="23"/>
  <c r="J304" i="23"/>
  <c r="E360" i="23"/>
  <c r="J360" i="23"/>
  <c r="E472" i="23"/>
  <c r="E528" i="23"/>
  <c r="J528" i="23"/>
  <c r="E584" i="23"/>
  <c r="J584" i="23"/>
  <c r="J640" i="23"/>
  <c r="J696" i="23"/>
  <c r="O701" i="23"/>
  <c r="AE701" i="23" s="1"/>
  <c r="O700" i="23"/>
  <c r="AE700" i="23" s="1"/>
  <c r="O699" i="23"/>
  <c r="AE699" i="23" s="1"/>
  <c r="O698" i="23"/>
  <c r="AE698" i="23" s="1"/>
  <c r="E752" i="23"/>
  <c r="J752" i="23"/>
  <c r="F21" i="18"/>
  <c r="G21" i="18"/>
  <c r="H21" i="18"/>
  <c r="M22" i="17"/>
  <c r="D22" i="17"/>
  <c r="J22" i="17"/>
  <c r="N22" i="17" s="1"/>
  <c r="U22" i="17" s="1"/>
  <c r="Z22" i="17"/>
  <c r="Y22" i="17"/>
  <c r="X22" i="17"/>
  <c r="W22" i="17"/>
  <c r="P22" i="17"/>
  <c r="Q22" i="17"/>
  <c r="R22" i="17"/>
  <c r="V22" i="17"/>
  <c r="L23" i="17"/>
  <c r="C23" i="17"/>
  <c r="K23" i="17" s="1"/>
  <c r="E23" i="17"/>
  <c r="F23" i="17"/>
  <c r="C23" i="18" s="1"/>
  <c r="E23" i="18" s="1"/>
  <c r="O23" i="17" s="1"/>
  <c r="G23" i="17"/>
  <c r="I23" i="17"/>
  <c r="B24" i="17"/>
  <c r="B23" i="18"/>
  <c r="AD16" i="17"/>
  <c r="B88" i="12"/>
  <c r="I88" i="12" s="1"/>
  <c r="AC15" i="17"/>
  <c r="AB17" i="17"/>
  <c r="AB18" i="17"/>
  <c r="AB19" i="17"/>
  <c r="AB20" i="17"/>
  <c r="AB21" i="17"/>
  <c r="AB22" i="17"/>
  <c r="AB23" i="17"/>
  <c r="E11" i="9"/>
  <c r="H11" i="9"/>
  <c r="M1262" i="23"/>
  <c r="N1262" i="23"/>
  <c r="M1150" i="23"/>
  <c r="N1150" i="23"/>
  <c r="N1038" i="23"/>
  <c r="M1038" i="23"/>
  <c r="M702" i="23"/>
  <c r="N702" i="23"/>
  <c r="M254" i="23"/>
  <c r="N254" i="23"/>
  <c r="M4163" i="22"/>
  <c r="N4163" i="22"/>
  <c r="U4163" i="22" s="1"/>
  <c r="M4109" i="22"/>
  <c r="N4109" i="22"/>
  <c r="U4109" i="22" s="1"/>
  <c r="M4055" i="22"/>
  <c r="N4055" i="22"/>
  <c r="U4055" i="22" s="1"/>
  <c r="M3485" i="22"/>
  <c r="N3485" i="22"/>
  <c r="U3485" i="22" s="1"/>
  <c r="M3431" i="22"/>
  <c r="N3431" i="22"/>
  <c r="U3431" i="22" s="1"/>
  <c r="M3377" i="22"/>
  <c r="N3377" i="22"/>
  <c r="U3377" i="22" s="1"/>
  <c r="M3269" i="22"/>
  <c r="N3269" i="22"/>
  <c r="U3269" i="22" s="1"/>
  <c r="N3107" i="22"/>
  <c r="U3107" i="22" s="1"/>
  <c r="M3107" i="22"/>
  <c r="N3053" i="22"/>
  <c r="U3053" i="22" s="1"/>
  <c r="M3053" i="22"/>
  <c r="M2999" i="22"/>
  <c r="N2999" i="22"/>
  <c r="U2999" i="22" s="1"/>
  <c r="N2945" i="22"/>
  <c r="U2945" i="22" s="1"/>
  <c r="M2945" i="22"/>
  <c r="M2567" i="22"/>
  <c r="N2567" i="22"/>
  <c r="U2567" i="22" s="1"/>
  <c r="M2513" i="22"/>
  <c r="N2513" i="22"/>
  <c r="U2513" i="22" s="1"/>
  <c r="M2459" i="22"/>
  <c r="N2459" i="22"/>
  <c r="U2459" i="22" s="1"/>
  <c r="M2297" i="22"/>
  <c r="N2297" i="22"/>
  <c r="U2297" i="22" s="1"/>
  <c r="M2189" i="22"/>
  <c r="N2189" i="22"/>
  <c r="U2189" i="22" s="1"/>
  <c r="M2081" i="22"/>
  <c r="N2081" i="22"/>
  <c r="U2081" i="22" s="1"/>
  <c r="M1433" i="22"/>
  <c r="N1433" i="22"/>
  <c r="U1433" i="22" s="1"/>
  <c r="M1325" i="22"/>
  <c r="N1325" i="22"/>
  <c r="U1325" i="22" s="1"/>
  <c r="M1271" i="22"/>
  <c r="N1271" i="22"/>
  <c r="U1271" i="22" s="1"/>
  <c r="M1217" i="22"/>
  <c r="N1217" i="22"/>
  <c r="U1217" i="22" s="1"/>
  <c r="M893" i="22"/>
  <c r="N893" i="22"/>
  <c r="U893" i="22" s="1"/>
  <c r="M839" i="22"/>
  <c r="N839" i="22"/>
  <c r="U839" i="22" s="1"/>
  <c r="M785" i="22"/>
  <c r="N785" i="22"/>
  <c r="U785" i="22" s="1"/>
  <c r="M515" i="22"/>
  <c r="N515" i="22"/>
  <c r="U515" i="22" s="1"/>
  <c r="M407" i="22"/>
  <c r="N407" i="22"/>
  <c r="U407" i="22" s="1"/>
  <c r="M353" i="22"/>
  <c r="N353" i="22"/>
  <c r="U353" i="22" s="1"/>
  <c r="M299" i="22"/>
  <c r="N299" i="22"/>
  <c r="U299" i="22" s="1"/>
  <c r="M21" i="17"/>
  <c r="N21" i="17"/>
  <c r="U21" i="17" s="1"/>
  <c r="U807" i="23"/>
  <c r="U863" i="23"/>
  <c r="U919" i="23"/>
  <c r="U975" i="23"/>
  <c r="U1199" i="23"/>
  <c r="U1031" i="23"/>
  <c r="U1087" i="23"/>
  <c r="U1143" i="23"/>
  <c r="U1423" i="23"/>
  <c r="U1367" i="23"/>
  <c r="U527" i="23"/>
  <c r="U1255" i="23"/>
  <c r="U1535" i="23"/>
  <c r="U1479" i="23"/>
  <c r="U1311" i="23"/>
  <c r="U247" i="23"/>
  <c r="U303" i="23"/>
  <c r="U695" i="23"/>
  <c r="U751" i="23"/>
  <c r="U359" i="23"/>
  <c r="U415" i="23"/>
  <c r="U471" i="23"/>
  <c r="U583" i="23"/>
  <c r="U639" i="23"/>
  <c r="O1262" i="23"/>
  <c r="O1038" i="23"/>
  <c r="O702" i="23"/>
  <c r="F1543" i="23"/>
  <c r="K1543" i="23"/>
  <c r="K1487" i="23"/>
  <c r="F1487" i="23"/>
  <c r="K1375" i="23"/>
  <c r="F1375" i="23"/>
  <c r="F1319" i="23"/>
  <c r="K1319" i="23"/>
  <c r="K1263" i="23"/>
  <c r="F1263" i="23"/>
  <c r="O1263" i="23" s="1"/>
  <c r="K1207" i="23"/>
  <c r="F1207" i="23"/>
  <c r="K1095" i="23"/>
  <c r="F1095" i="23"/>
  <c r="K1039" i="23"/>
  <c r="F1039" i="23"/>
  <c r="O1039" i="23" s="1"/>
  <c r="K703" i="23"/>
  <c r="F703" i="23"/>
  <c r="O703" i="23" s="1"/>
  <c r="K479" i="23"/>
  <c r="F479" i="23"/>
  <c r="F423" i="23"/>
  <c r="O423" i="23" s="1"/>
  <c r="K423" i="23"/>
  <c r="F4734" i="22"/>
  <c r="K4734" i="22"/>
  <c r="T4678" i="22"/>
  <c r="K4572" i="22"/>
  <c r="F4572" i="22"/>
  <c r="F4218" i="22"/>
  <c r="O4218" i="22" s="1"/>
  <c r="K4218" i="22"/>
  <c r="F4164" i="22"/>
  <c r="O4164" i="22" s="1"/>
  <c r="K4164" i="22"/>
  <c r="F3756" i="22"/>
  <c r="O3756" i="22" s="1"/>
  <c r="K3756" i="22"/>
  <c r="K3702" i="22"/>
  <c r="F3702" i="22"/>
  <c r="O3702" i="22" s="1"/>
  <c r="K3540" i="22"/>
  <c r="F3540" i="22"/>
  <c r="O3540" i="22" s="1"/>
  <c r="K3432" i="22"/>
  <c r="F3432" i="22"/>
  <c r="O3432" i="22" s="1"/>
  <c r="K3378" i="22"/>
  <c r="F3378" i="22"/>
  <c r="O3378" i="22" s="1"/>
  <c r="K3216" i="22"/>
  <c r="F3216" i="22"/>
  <c r="O3216" i="22" s="1"/>
  <c r="F3108" i="22"/>
  <c r="O3108" i="22" s="1"/>
  <c r="K3108" i="22"/>
  <c r="K3054" i="22"/>
  <c r="F3054" i="22"/>
  <c r="O3054" i="22" s="1"/>
  <c r="F3000" i="22"/>
  <c r="O3000" i="22" s="1"/>
  <c r="K3000" i="22"/>
  <c r="K2622" i="22"/>
  <c r="F2622" i="22"/>
  <c r="O2622" i="22" s="1"/>
  <c r="F2568" i="22"/>
  <c r="O2568" i="22" s="1"/>
  <c r="K2568" i="22"/>
  <c r="K2298" i="22"/>
  <c r="F2298" i="22"/>
  <c r="O2298" i="22" s="1"/>
  <c r="K2244" i="22"/>
  <c r="F2244" i="22"/>
  <c r="O2244" i="22" s="1"/>
  <c r="K1866" i="22"/>
  <c r="F1866" i="22"/>
  <c r="O1866" i="22" s="1"/>
  <c r="K1812" i="22"/>
  <c r="F1812" i="22"/>
  <c r="O1812" i="22" s="1"/>
  <c r="F1758" i="22"/>
  <c r="O1758" i="22" s="1"/>
  <c r="K1758" i="22"/>
  <c r="F1488" i="22"/>
  <c r="O1488" i="22" s="1"/>
  <c r="K1488" i="22"/>
  <c r="F1434" i="22"/>
  <c r="O1434" i="22" s="1"/>
  <c r="K1434" i="22"/>
  <c r="F1110" i="22"/>
  <c r="O1110" i="22" s="1"/>
  <c r="K1110" i="22"/>
  <c r="K1056" i="22"/>
  <c r="F1056" i="22"/>
  <c r="O1056" i="22" s="1"/>
  <c r="F786" i="22"/>
  <c r="O786" i="22" s="1"/>
  <c r="K786" i="22"/>
  <c r="K408" i="22"/>
  <c r="F408" i="22"/>
  <c r="O408" i="22" s="1"/>
  <c r="AG836" i="23"/>
  <c r="AG843" i="23"/>
  <c r="AG834" i="23"/>
  <c r="AG844" i="23"/>
  <c r="AG839" i="23"/>
  <c r="AG837" i="23"/>
  <c r="AG842" i="23"/>
  <c r="AG835" i="23"/>
  <c r="AG841" i="23"/>
  <c r="AG838" i="23"/>
  <c r="AG845" i="23"/>
  <c r="AG840" i="23"/>
  <c r="AG899" i="23"/>
  <c r="AG898" i="23"/>
  <c r="AG897" i="23"/>
  <c r="AG896" i="23"/>
  <c r="AG891" i="23"/>
  <c r="AG894" i="23"/>
  <c r="AG895" i="23"/>
  <c r="AG893" i="23"/>
  <c r="AG901" i="23"/>
  <c r="AG900" i="23"/>
  <c r="AG892" i="23"/>
  <c r="AG890" i="23"/>
  <c r="AG947" i="23"/>
  <c r="AG949" i="23"/>
  <c r="AG950" i="23"/>
  <c r="AG951" i="23"/>
  <c r="AG952" i="23"/>
  <c r="AG953" i="23"/>
  <c r="AG957" i="23"/>
  <c r="AG956" i="23"/>
  <c r="AG948" i="23"/>
  <c r="AG955" i="23"/>
  <c r="AG954" i="23"/>
  <c r="AG946" i="23"/>
  <c r="AG1010" i="23"/>
  <c r="AG1005" i="23"/>
  <c r="AG1009" i="23"/>
  <c r="AG1008" i="23"/>
  <c r="AG1006" i="23"/>
  <c r="AG1004" i="23"/>
  <c r="AG1007" i="23"/>
  <c r="AG1002" i="23"/>
  <c r="AG1003" i="23"/>
  <c r="AG1012" i="23"/>
  <c r="AG1011" i="23"/>
  <c r="AG1013" i="23"/>
  <c r="AG1067" i="23"/>
  <c r="AG1068" i="23"/>
  <c r="AG1069" i="23"/>
  <c r="AG1066" i="23"/>
  <c r="AG1122" i="23"/>
  <c r="AG1121" i="23"/>
  <c r="AG1120" i="23"/>
  <c r="AG1119" i="23"/>
  <c r="AG1118" i="23"/>
  <c r="AG1117" i="23"/>
  <c r="AG1116" i="23"/>
  <c r="AG1115" i="23"/>
  <c r="AG1114" i="23"/>
  <c r="AG1125" i="23"/>
  <c r="AG1124" i="23"/>
  <c r="AG1123" i="23"/>
  <c r="AG1181" i="23"/>
  <c r="AG1171" i="23"/>
  <c r="AG1170" i="23"/>
  <c r="AG1178" i="23"/>
  <c r="AG1177" i="23"/>
  <c r="AG1176" i="23"/>
  <c r="AG1175" i="23"/>
  <c r="AG1172" i="23"/>
  <c r="AG1174" i="23"/>
  <c r="AG1173" i="23"/>
  <c r="AG1179" i="23"/>
  <c r="AG1180" i="23"/>
  <c r="AG1231" i="23"/>
  <c r="AG1230" i="23"/>
  <c r="AG1229" i="23"/>
  <c r="AG1228" i="23"/>
  <c r="AG1227" i="23"/>
  <c r="AG1226" i="23"/>
  <c r="AG1232" i="23"/>
  <c r="AG1234" i="23"/>
  <c r="AG1233" i="23"/>
  <c r="AG1237" i="23"/>
  <c r="AG1236" i="23"/>
  <c r="AG1235" i="23"/>
  <c r="AG1291" i="23"/>
  <c r="AG1292" i="23"/>
  <c r="AG1293" i="23"/>
  <c r="AG1566" i="23"/>
  <c r="AG1565" i="23"/>
  <c r="AG1564" i="23"/>
  <c r="AG1562" i="23"/>
  <c r="AG1573" i="23"/>
  <c r="AG1572" i="23"/>
  <c r="AG1569" i="23"/>
  <c r="AG1571" i="23"/>
  <c r="AG1570" i="23"/>
  <c r="AG1568" i="23"/>
  <c r="AG1567" i="23"/>
  <c r="AG1563" i="23"/>
  <c r="AG1506" i="23"/>
  <c r="AG1507" i="23"/>
  <c r="AG1508" i="23"/>
  <c r="AG1509" i="23"/>
  <c r="AG1511" i="23"/>
  <c r="AG1512" i="23"/>
  <c r="AG1513" i="23"/>
  <c r="AG1514" i="23"/>
  <c r="AG1515" i="23"/>
  <c r="AG1516" i="23"/>
  <c r="AG1510" i="23"/>
  <c r="AG1517" i="23"/>
  <c r="AG1450" i="23"/>
  <c r="AG1451" i="23"/>
  <c r="AG1452" i="23"/>
  <c r="AG1453" i="23"/>
  <c r="AG1454" i="23"/>
  <c r="AG1455" i="23"/>
  <c r="AG1456" i="23"/>
  <c r="AG1457" i="23"/>
  <c r="AG1458" i="23"/>
  <c r="AG1459" i="23"/>
  <c r="AG1460" i="23"/>
  <c r="AG1461" i="23"/>
  <c r="AG1346" i="23"/>
  <c r="AG1339" i="23"/>
  <c r="AG1347" i="23"/>
  <c r="AG1343" i="23"/>
  <c r="AG1348" i="23"/>
  <c r="AG1340" i="23"/>
  <c r="AG1342" i="23"/>
  <c r="AG1349" i="23"/>
  <c r="AG1341" i="23"/>
  <c r="AG1338" i="23"/>
  <c r="AG1345" i="23"/>
  <c r="AG1344" i="23"/>
  <c r="AG277" i="23"/>
  <c r="AG274" i="23"/>
  <c r="AG275" i="23"/>
  <c r="AG276" i="23"/>
  <c r="AG285" i="23"/>
  <c r="AG284" i="23"/>
  <c r="AG282" i="23"/>
  <c r="AG283" i="23"/>
  <c r="AG281" i="23"/>
  <c r="AG280" i="23"/>
  <c r="AG279" i="23"/>
  <c r="AG278" i="23"/>
  <c r="AG330" i="23"/>
  <c r="AG331" i="23"/>
  <c r="AG341" i="23"/>
  <c r="AG333" i="23"/>
  <c r="AG334" i="23"/>
  <c r="AG335" i="23"/>
  <c r="AG336" i="23"/>
  <c r="AG337" i="23"/>
  <c r="AG338" i="23"/>
  <c r="AG332" i="23"/>
  <c r="AG340" i="23"/>
  <c r="AG339" i="23"/>
  <c r="E416" i="23"/>
  <c r="J416" i="23"/>
  <c r="AG443" i="23"/>
  <c r="AG448" i="23"/>
  <c r="AG452" i="23"/>
  <c r="AG442" i="23"/>
  <c r="AG445" i="23"/>
  <c r="AG444" i="23"/>
  <c r="AG453" i="23"/>
  <c r="AG447" i="23"/>
  <c r="AG451" i="23"/>
  <c r="AG449" i="23"/>
  <c r="AG450" i="23"/>
  <c r="AG446" i="23"/>
  <c r="AG558" i="23"/>
  <c r="AG555" i="23"/>
  <c r="AG559" i="23"/>
  <c r="AG562" i="23"/>
  <c r="AG561" i="23"/>
  <c r="AG554" i="23"/>
  <c r="AG564" i="23"/>
  <c r="AG560" i="23"/>
  <c r="AG557" i="23"/>
  <c r="AG565" i="23"/>
  <c r="AG556" i="23"/>
  <c r="AG563" i="23"/>
  <c r="AG616" i="23"/>
  <c r="AG617" i="23"/>
  <c r="AG619" i="23"/>
  <c r="AG615" i="23"/>
  <c r="AG618" i="23"/>
  <c r="AG620" i="23"/>
  <c r="AG621" i="23"/>
  <c r="I640" i="23"/>
  <c r="AG671" i="23"/>
  <c r="AG672" i="23"/>
  <c r="AG673" i="23"/>
  <c r="AG674" i="23"/>
  <c r="AG668" i="23"/>
  <c r="AG677" i="23"/>
  <c r="AG676" i="23"/>
  <c r="AG675" i="23"/>
  <c r="AG666" i="23"/>
  <c r="AG667" i="23"/>
  <c r="AG669" i="23"/>
  <c r="AG670" i="23"/>
  <c r="AG781" i="23"/>
  <c r="AG788" i="23"/>
  <c r="AG784" i="23"/>
  <c r="AG782" i="23"/>
  <c r="AG778" i="23"/>
  <c r="AG787" i="23"/>
  <c r="AG785" i="23"/>
  <c r="AG780" i="23"/>
  <c r="AG783" i="23"/>
  <c r="AG779" i="23"/>
  <c r="AG786" i="23"/>
  <c r="AG789" i="23"/>
  <c r="AE1262" i="23" l="1"/>
  <c r="AE1038" i="23"/>
  <c r="AE702" i="23"/>
  <c r="AH1282" i="23"/>
  <c r="B59" i="8"/>
  <c r="AH1283" i="23"/>
  <c r="C59" i="8"/>
  <c r="AH1284" i="23"/>
  <c r="D59" i="8"/>
  <c r="AH1285" i="23"/>
  <c r="E59" i="8"/>
  <c r="AH1286" i="23"/>
  <c r="F59" i="8"/>
  <c r="AH1287" i="23"/>
  <c r="G59" i="8"/>
  <c r="AH1288" i="23"/>
  <c r="H59" i="8"/>
  <c r="AH1289" i="23"/>
  <c r="I59" i="8"/>
  <c r="AH1290" i="23"/>
  <c r="J59" i="8"/>
  <c r="I43" i="8"/>
  <c r="AH393" i="23"/>
  <c r="B43" i="8"/>
  <c r="AH386" i="23"/>
  <c r="AH388" i="23"/>
  <c r="D43" i="8"/>
  <c r="F43" i="8"/>
  <c r="AH390" i="23"/>
  <c r="H43" i="8"/>
  <c r="AH392" i="23"/>
  <c r="AH394" i="23"/>
  <c r="J43" i="8"/>
  <c r="L43" i="8"/>
  <c r="AH396" i="23"/>
  <c r="K43" i="8"/>
  <c r="AH395" i="23"/>
  <c r="C43" i="8"/>
  <c r="AH387" i="23"/>
  <c r="G43" i="8"/>
  <c r="AH391" i="23"/>
  <c r="M43" i="8"/>
  <c r="AH397" i="23"/>
  <c r="AH389" i="23"/>
  <c r="E43" i="8"/>
  <c r="AH498" i="23"/>
  <c r="B45" i="8"/>
  <c r="E45" i="8"/>
  <c r="AH501" i="23"/>
  <c r="F45" i="8"/>
  <c r="AH502" i="23"/>
  <c r="G45" i="8"/>
  <c r="AH503" i="23"/>
  <c r="AH504" i="23"/>
  <c r="H45" i="8"/>
  <c r="AH505" i="23"/>
  <c r="I45" i="8"/>
  <c r="AH506" i="23"/>
  <c r="J45" i="8"/>
  <c r="AH507" i="23"/>
  <c r="K45" i="8"/>
  <c r="AH500" i="23"/>
  <c r="D45" i="8"/>
  <c r="AH509" i="23"/>
  <c r="M45" i="8"/>
  <c r="C45" i="8"/>
  <c r="AH499" i="23"/>
  <c r="AH508" i="23"/>
  <c r="L45" i="8"/>
  <c r="AH610" i="23"/>
  <c r="B47" i="8"/>
  <c r="AH611" i="23"/>
  <c r="C47" i="8"/>
  <c r="D47" i="8"/>
  <c r="AH612" i="23"/>
  <c r="E47" i="8"/>
  <c r="AH613" i="23"/>
  <c r="F47" i="8"/>
  <c r="AH614" i="23"/>
  <c r="K1600" i="23"/>
  <c r="F1600" i="23"/>
  <c r="O1600" i="23" s="1"/>
  <c r="K1544" i="23"/>
  <c r="F1544" i="23"/>
  <c r="O1544" i="23" s="1"/>
  <c r="K1432" i="23"/>
  <c r="F1432" i="23"/>
  <c r="K1096" i="23"/>
  <c r="F1096" i="23"/>
  <c r="O1096" i="23" s="1"/>
  <c r="K984" i="23"/>
  <c r="F984" i="23"/>
  <c r="K760" i="23"/>
  <c r="F760" i="23"/>
  <c r="K256" i="23"/>
  <c r="F256" i="23"/>
  <c r="K4057" i="22"/>
  <c r="F4057" i="22"/>
  <c r="O4057" i="22" s="1"/>
  <c r="K3487" i="22"/>
  <c r="F3487" i="22"/>
  <c r="O3487" i="22" s="1"/>
  <c r="K3433" i="22"/>
  <c r="F3433" i="22"/>
  <c r="O3433" i="22" s="1"/>
  <c r="K3163" i="22"/>
  <c r="F3163" i="22"/>
  <c r="O3163" i="22" s="1"/>
  <c r="K3055" i="22"/>
  <c r="F3055" i="22"/>
  <c r="O3055" i="22" s="1"/>
  <c r="K2731" i="22"/>
  <c r="F2731" i="22"/>
  <c r="O2731" i="22" s="1"/>
  <c r="K2083" i="22"/>
  <c r="F2083" i="22"/>
  <c r="O2083" i="22" s="1"/>
  <c r="K2029" i="22"/>
  <c r="F2029" i="22"/>
  <c r="O2029" i="22" s="1"/>
  <c r="K1975" i="22"/>
  <c r="F1975" i="22"/>
  <c r="O1975" i="22" s="1"/>
  <c r="K1651" i="22"/>
  <c r="F1651" i="22"/>
  <c r="O1651" i="22" s="1"/>
  <c r="K1597" i="22"/>
  <c r="F1597" i="22"/>
  <c r="O1597" i="22" s="1"/>
  <c r="K949" i="22"/>
  <c r="F949" i="22"/>
  <c r="O949" i="22" s="1"/>
  <c r="K895" i="22"/>
  <c r="F895" i="22"/>
  <c r="O895" i="22" s="1"/>
  <c r="K679" i="22"/>
  <c r="F679" i="22"/>
  <c r="O679" i="22" s="1"/>
  <c r="K247" i="22"/>
  <c r="F247" i="22"/>
  <c r="O247" i="22" s="1"/>
  <c r="I416" i="23"/>
  <c r="O419" i="23"/>
  <c r="AE419" i="23" s="1"/>
  <c r="O420" i="23"/>
  <c r="AE420" i="23" s="1"/>
  <c r="O421" i="23"/>
  <c r="AE421" i="23" s="1"/>
  <c r="O422" i="23"/>
  <c r="AE422" i="23" s="1"/>
  <c r="O418" i="23"/>
  <c r="AE418" i="23" s="1"/>
  <c r="M1600" i="23"/>
  <c r="J1600" i="23"/>
  <c r="N1600" i="23" s="1"/>
  <c r="D1600" i="23"/>
  <c r="P1600" i="23"/>
  <c r="Q1600" i="23"/>
  <c r="R1600" i="23"/>
  <c r="I1601" i="23"/>
  <c r="L1601" i="23"/>
  <c r="C1601" i="23"/>
  <c r="K1601" i="23" s="1"/>
  <c r="E1601" i="23"/>
  <c r="F1601" i="23"/>
  <c r="O1601" i="23" s="1"/>
  <c r="G1601" i="23"/>
  <c r="B1602" i="23"/>
  <c r="M1544" i="23"/>
  <c r="J1544" i="23"/>
  <c r="N1544" i="23" s="1"/>
  <c r="AE1544" i="23" s="1"/>
  <c r="D1544" i="23"/>
  <c r="P1544" i="23"/>
  <c r="Q1544" i="23"/>
  <c r="R1544" i="23"/>
  <c r="L1545" i="23"/>
  <c r="I1545" i="23"/>
  <c r="C1545" i="23"/>
  <c r="E1545" i="23"/>
  <c r="G1545" i="23"/>
  <c r="B1546" i="23"/>
  <c r="M1488" i="23"/>
  <c r="J1488" i="23"/>
  <c r="N1488" i="23" s="1"/>
  <c r="AE1488" i="23" s="1"/>
  <c r="D1488" i="23"/>
  <c r="P1488" i="23"/>
  <c r="Q1488" i="23"/>
  <c r="R1488" i="23"/>
  <c r="L1489" i="23"/>
  <c r="I1489" i="23"/>
  <c r="C1489" i="23"/>
  <c r="E1489" i="23"/>
  <c r="G1489" i="23"/>
  <c r="B1490" i="23"/>
  <c r="M1432" i="23"/>
  <c r="J1432" i="23"/>
  <c r="N1432" i="23" s="1"/>
  <c r="AE1432" i="23" s="1"/>
  <c r="D1432" i="23"/>
  <c r="P1432" i="23"/>
  <c r="Q1432" i="23"/>
  <c r="R1432" i="23"/>
  <c r="L1433" i="23"/>
  <c r="I1433" i="23"/>
  <c r="C1433" i="23"/>
  <c r="E1433" i="23"/>
  <c r="G1433" i="23"/>
  <c r="B1434" i="23"/>
  <c r="M1376" i="23"/>
  <c r="J1376" i="23"/>
  <c r="N1376" i="23" s="1"/>
  <c r="D1376" i="23"/>
  <c r="P1376" i="23"/>
  <c r="Q1376" i="23"/>
  <c r="R1376" i="23"/>
  <c r="L1377" i="23"/>
  <c r="I1377" i="23"/>
  <c r="G1377" i="23"/>
  <c r="B1378" i="23"/>
  <c r="C1377" i="23"/>
  <c r="E1377" i="23"/>
  <c r="J1320" i="23"/>
  <c r="D1320" i="23"/>
  <c r="P1320" i="23"/>
  <c r="Q1320" i="23"/>
  <c r="R1320" i="23"/>
  <c r="L1321" i="23"/>
  <c r="I1321" i="23"/>
  <c r="C1321" i="23"/>
  <c r="E1321" i="23"/>
  <c r="G1321" i="23"/>
  <c r="B1322" i="23"/>
  <c r="J1264" i="23"/>
  <c r="D1264" i="23"/>
  <c r="P1264" i="23"/>
  <c r="Q1264" i="23"/>
  <c r="R1264" i="23"/>
  <c r="L1265" i="23"/>
  <c r="I1265" i="23"/>
  <c r="C1265" i="23"/>
  <c r="K1265" i="23" s="1"/>
  <c r="E1265" i="23"/>
  <c r="F1265" i="23"/>
  <c r="O1265" i="23" s="1"/>
  <c r="G1265" i="23"/>
  <c r="B1266" i="23"/>
  <c r="J1208" i="23"/>
  <c r="D1208" i="23"/>
  <c r="P1208" i="23"/>
  <c r="Q1208" i="23"/>
  <c r="R1208" i="23"/>
  <c r="L1209" i="23"/>
  <c r="I1209" i="23"/>
  <c r="C1209" i="23"/>
  <c r="K1209" i="23" s="1"/>
  <c r="E1209" i="23"/>
  <c r="F1209" i="23"/>
  <c r="O1209" i="23" s="1"/>
  <c r="G1209" i="23"/>
  <c r="B1210" i="23"/>
  <c r="M1152" i="23"/>
  <c r="J1152" i="23"/>
  <c r="N1152" i="23" s="1"/>
  <c r="D1152" i="23"/>
  <c r="P1152" i="23"/>
  <c r="Q1152" i="23"/>
  <c r="R1152" i="23"/>
  <c r="L1153" i="23"/>
  <c r="I1153" i="23"/>
  <c r="C1153" i="23"/>
  <c r="K1153" i="23" s="1"/>
  <c r="E1153" i="23"/>
  <c r="F1153" i="23"/>
  <c r="G1153" i="23"/>
  <c r="B1154" i="23"/>
  <c r="M1096" i="23"/>
  <c r="J1096" i="23"/>
  <c r="N1096" i="23" s="1"/>
  <c r="D1096" i="23"/>
  <c r="P1096" i="23"/>
  <c r="Q1096" i="23"/>
  <c r="R1096" i="23"/>
  <c r="L1097" i="23"/>
  <c r="I1097" i="23"/>
  <c r="C1097" i="23"/>
  <c r="E1097" i="23"/>
  <c r="G1097" i="23"/>
  <c r="B1098" i="23"/>
  <c r="P1040" i="23"/>
  <c r="Q1040" i="23"/>
  <c r="R1040" i="23"/>
  <c r="L1041" i="23"/>
  <c r="I1041" i="23"/>
  <c r="G1041" i="23"/>
  <c r="B1042" i="23"/>
  <c r="C1041" i="23"/>
  <c r="K1041" i="23" s="1"/>
  <c r="F1041" i="23"/>
  <c r="O1041" i="23" s="1"/>
  <c r="E1041" i="23"/>
  <c r="J1040" i="23"/>
  <c r="D1040" i="23"/>
  <c r="M984" i="23"/>
  <c r="J984" i="23"/>
  <c r="N984" i="23" s="1"/>
  <c r="D984" i="23"/>
  <c r="P984" i="23"/>
  <c r="Q984" i="23"/>
  <c r="R984" i="23"/>
  <c r="L985" i="23"/>
  <c r="I985" i="23"/>
  <c r="C985" i="23"/>
  <c r="E985" i="23"/>
  <c r="G985" i="23"/>
  <c r="B986" i="23"/>
  <c r="M928" i="23"/>
  <c r="J928" i="23"/>
  <c r="N928" i="23" s="1"/>
  <c r="D928" i="23"/>
  <c r="Q928" i="23"/>
  <c r="P928" i="23"/>
  <c r="R928" i="23"/>
  <c r="L929" i="23"/>
  <c r="I929" i="23"/>
  <c r="C929" i="23"/>
  <c r="K929" i="23" s="1"/>
  <c r="E929" i="23"/>
  <c r="F929" i="23"/>
  <c r="O929" i="23" s="1"/>
  <c r="G929" i="23"/>
  <c r="B930" i="23"/>
  <c r="J872" i="23"/>
  <c r="D872" i="23"/>
  <c r="P872" i="23"/>
  <c r="Q872" i="23"/>
  <c r="R872" i="23"/>
  <c r="L873" i="23"/>
  <c r="I873" i="23"/>
  <c r="C873" i="23"/>
  <c r="K873" i="23" s="1"/>
  <c r="E873" i="23"/>
  <c r="F873" i="23"/>
  <c r="G873" i="23"/>
  <c r="B874" i="23"/>
  <c r="M816" i="23"/>
  <c r="J816" i="23"/>
  <c r="N816" i="23" s="1"/>
  <c r="D816" i="23"/>
  <c r="P816" i="23"/>
  <c r="Q816" i="23"/>
  <c r="R816" i="23"/>
  <c r="L817" i="23"/>
  <c r="I817" i="23"/>
  <c r="C817" i="23"/>
  <c r="K817" i="23" s="1"/>
  <c r="E817" i="23"/>
  <c r="F817" i="23"/>
  <c r="O817" i="23" s="1"/>
  <c r="G817" i="23"/>
  <c r="B818" i="23"/>
  <c r="M760" i="23"/>
  <c r="J760" i="23"/>
  <c r="N760" i="23" s="1"/>
  <c r="D760" i="23"/>
  <c r="P760" i="23"/>
  <c r="Q760" i="23"/>
  <c r="R760" i="23"/>
  <c r="L761" i="23"/>
  <c r="I761" i="23"/>
  <c r="C761" i="23"/>
  <c r="E761" i="23"/>
  <c r="G761" i="23"/>
  <c r="B762" i="23"/>
  <c r="M704" i="23"/>
  <c r="J704" i="23"/>
  <c r="N704" i="23" s="1"/>
  <c r="AE704" i="23" s="1"/>
  <c r="D704" i="23"/>
  <c r="P704" i="23"/>
  <c r="Q704" i="23"/>
  <c r="R704" i="23"/>
  <c r="L705" i="23"/>
  <c r="I705" i="23"/>
  <c r="C705" i="23"/>
  <c r="K705" i="23" s="1"/>
  <c r="E705" i="23"/>
  <c r="F705" i="23"/>
  <c r="O705" i="23" s="1"/>
  <c r="G705" i="23"/>
  <c r="B706" i="23"/>
  <c r="M648" i="23"/>
  <c r="J648" i="23"/>
  <c r="N648" i="23" s="1"/>
  <c r="AE648" i="23" s="1"/>
  <c r="D648" i="23"/>
  <c r="P648" i="23"/>
  <c r="Q648" i="23"/>
  <c r="R648" i="23"/>
  <c r="L649" i="23"/>
  <c r="I649" i="23"/>
  <c r="C649" i="23"/>
  <c r="E649" i="23"/>
  <c r="G649" i="23"/>
  <c r="B650" i="23"/>
  <c r="M592" i="23"/>
  <c r="J592" i="23"/>
  <c r="N592" i="23" s="1"/>
  <c r="D592" i="23"/>
  <c r="P592" i="23"/>
  <c r="Q592" i="23"/>
  <c r="R592" i="23"/>
  <c r="L593" i="23"/>
  <c r="I593" i="23"/>
  <c r="C593" i="23"/>
  <c r="K593" i="23" s="1"/>
  <c r="E593" i="23"/>
  <c r="F593" i="23"/>
  <c r="G593" i="23"/>
  <c r="B594" i="23"/>
  <c r="M536" i="23"/>
  <c r="J536" i="23"/>
  <c r="N536" i="23" s="1"/>
  <c r="D536" i="23"/>
  <c r="P536" i="23"/>
  <c r="Q536" i="23"/>
  <c r="R536" i="23"/>
  <c r="L537" i="23"/>
  <c r="I537" i="23"/>
  <c r="C537" i="23"/>
  <c r="K537" i="23" s="1"/>
  <c r="E537" i="23"/>
  <c r="F537" i="23"/>
  <c r="O537" i="23" s="1"/>
  <c r="G537" i="23"/>
  <c r="B538" i="23"/>
  <c r="J480" i="23"/>
  <c r="D480" i="23"/>
  <c r="L481" i="23"/>
  <c r="I481" i="23"/>
  <c r="E481" i="23"/>
  <c r="B482" i="23"/>
  <c r="C481" i="23"/>
  <c r="G481" i="23"/>
  <c r="P480" i="23"/>
  <c r="Q480" i="23"/>
  <c r="R480" i="23"/>
  <c r="M424" i="23"/>
  <c r="J424" i="23"/>
  <c r="N424" i="23" s="1"/>
  <c r="AE424" i="23" s="1"/>
  <c r="D424" i="23"/>
  <c r="P424" i="23"/>
  <c r="Q424" i="23"/>
  <c r="R424" i="23"/>
  <c r="L425" i="23"/>
  <c r="I425" i="23"/>
  <c r="E425" i="23"/>
  <c r="C425" i="23"/>
  <c r="K425" i="23" s="1"/>
  <c r="G425" i="23"/>
  <c r="B426" i="23"/>
  <c r="F425" i="23"/>
  <c r="O425" i="23" s="1"/>
  <c r="M368" i="23"/>
  <c r="J368" i="23"/>
  <c r="N368" i="23" s="1"/>
  <c r="D368" i="23"/>
  <c r="P368" i="23"/>
  <c r="Q368" i="23"/>
  <c r="R368" i="23"/>
  <c r="L369" i="23"/>
  <c r="I369" i="23"/>
  <c r="C369" i="23"/>
  <c r="E369" i="23"/>
  <c r="G369" i="23"/>
  <c r="B370" i="23"/>
  <c r="M312" i="23"/>
  <c r="J312" i="23"/>
  <c r="N312" i="23" s="1"/>
  <c r="D312" i="23"/>
  <c r="P312" i="23"/>
  <c r="Q312" i="23"/>
  <c r="R312" i="23"/>
  <c r="L313" i="23"/>
  <c r="I313" i="23"/>
  <c r="C313" i="23"/>
  <c r="E313" i="23"/>
  <c r="G313" i="23"/>
  <c r="B314" i="23"/>
  <c r="M256" i="23"/>
  <c r="J256" i="23"/>
  <c r="N256" i="23" s="1"/>
  <c r="D256" i="23"/>
  <c r="P256" i="23"/>
  <c r="R256" i="23"/>
  <c r="Q256" i="23"/>
  <c r="L257" i="23"/>
  <c r="I257" i="23"/>
  <c r="C257" i="23"/>
  <c r="K257" i="23" s="1"/>
  <c r="E257" i="23"/>
  <c r="F257" i="23"/>
  <c r="G257" i="23"/>
  <c r="B258" i="23"/>
  <c r="C4736" i="22"/>
  <c r="E4736" i="22"/>
  <c r="F4736" i="22"/>
  <c r="G4736" i="22"/>
  <c r="I4736" i="22"/>
  <c r="K4736" i="22"/>
  <c r="L4736" i="22"/>
  <c r="B4737" i="22"/>
  <c r="D4735" i="22"/>
  <c r="J4735" i="22"/>
  <c r="P4735" i="22"/>
  <c r="Q4735" i="22"/>
  <c r="R4735" i="22"/>
  <c r="S4680" i="22"/>
  <c r="T4680" i="22" s="1"/>
  <c r="U4680" i="22"/>
  <c r="D4681" i="22"/>
  <c r="J4681" i="22"/>
  <c r="P4681" i="22"/>
  <c r="Q4681" i="22"/>
  <c r="R4681" i="22"/>
  <c r="L4682" i="22"/>
  <c r="C4682" i="22"/>
  <c r="E4682" i="22"/>
  <c r="G4682" i="22"/>
  <c r="I4682" i="22"/>
  <c r="B4683" i="22"/>
  <c r="P4627" i="22"/>
  <c r="Q4627" i="22"/>
  <c r="R4627" i="22"/>
  <c r="C4628" i="22"/>
  <c r="D4628" i="22" s="1"/>
  <c r="E4628" i="22"/>
  <c r="F4628" i="22"/>
  <c r="O4628" i="22" s="1"/>
  <c r="G4628" i="22"/>
  <c r="B4629" i="22"/>
  <c r="J4573" i="22"/>
  <c r="D4573" i="22"/>
  <c r="M4573" i="22" s="1"/>
  <c r="P4573" i="22"/>
  <c r="Q4573" i="22"/>
  <c r="R4573" i="22"/>
  <c r="I4574" i="22"/>
  <c r="L4574" i="22"/>
  <c r="C4574" i="22"/>
  <c r="K4574" i="22" s="1"/>
  <c r="E4574" i="22"/>
  <c r="F4574" i="22"/>
  <c r="G4574" i="22"/>
  <c r="B4575" i="22"/>
  <c r="D4519" i="22"/>
  <c r="M4519" i="22" s="1"/>
  <c r="J4519" i="22"/>
  <c r="P4519" i="22"/>
  <c r="Q4519" i="22"/>
  <c r="R4519" i="22"/>
  <c r="L4520" i="22"/>
  <c r="C4520" i="22"/>
  <c r="K4520" i="22" s="1"/>
  <c r="E4520" i="22"/>
  <c r="F4520" i="22"/>
  <c r="G4520" i="22"/>
  <c r="I4520" i="22"/>
  <c r="B4521" i="22"/>
  <c r="D4219" i="22"/>
  <c r="M4219" i="22" s="1"/>
  <c r="J4219" i="22"/>
  <c r="P4219" i="22"/>
  <c r="Q4219" i="22"/>
  <c r="R4219" i="22"/>
  <c r="L4220" i="22"/>
  <c r="C4220" i="22"/>
  <c r="E4220" i="22"/>
  <c r="G4220" i="22"/>
  <c r="I4220" i="22"/>
  <c r="B4221" i="22"/>
  <c r="D4165" i="22"/>
  <c r="M4165" i="22" s="1"/>
  <c r="J4165" i="22"/>
  <c r="P4165" i="22"/>
  <c r="Q4165" i="22"/>
  <c r="R4165" i="22"/>
  <c r="L4166" i="22"/>
  <c r="C4166" i="22"/>
  <c r="K4166" i="22" s="1"/>
  <c r="E4166" i="22"/>
  <c r="F4166" i="22"/>
  <c r="O4166" i="22" s="1"/>
  <c r="G4166" i="22"/>
  <c r="I4166" i="22"/>
  <c r="B4167" i="22"/>
  <c r="D4111" i="22"/>
  <c r="J4111" i="22"/>
  <c r="P4111" i="22"/>
  <c r="Q4111" i="22"/>
  <c r="R4111" i="22"/>
  <c r="L4112" i="22"/>
  <c r="C4112" i="22"/>
  <c r="K4112" i="22" s="1"/>
  <c r="E4112" i="22"/>
  <c r="F4112" i="22"/>
  <c r="O4112" i="22" s="1"/>
  <c r="G4112" i="22"/>
  <c r="I4112" i="22"/>
  <c r="B4113" i="22"/>
  <c r="D4057" i="22"/>
  <c r="M4057" i="22" s="1"/>
  <c r="J4057" i="22"/>
  <c r="P4057" i="22"/>
  <c r="Q4057" i="22"/>
  <c r="R4057" i="22"/>
  <c r="L4058" i="22"/>
  <c r="C4058" i="22"/>
  <c r="E4058" i="22"/>
  <c r="G4058" i="22"/>
  <c r="I4058" i="22"/>
  <c r="B4059" i="22"/>
  <c r="M3757" i="22"/>
  <c r="D3757" i="22"/>
  <c r="J3757" i="22"/>
  <c r="N3757" i="22" s="1"/>
  <c r="U3757" i="22" s="1"/>
  <c r="P3757" i="22"/>
  <c r="Q3757" i="22"/>
  <c r="R3757" i="22"/>
  <c r="L3758" i="22"/>
  <c r="C3758" i="22"/>
  <c r="E3758" i="22"/>
  <c r="G3758" i="22"/>
  <c r="I3758" i="22"/>
  <c r="B3759" i="22"/>
  <c r="M3703" i="22"/>
  <c r="D3703" i="22"/>
  <c r="J3703" i="22"/>
  <c r="N3703" i="22" s="1"/>
  <c r="U3703" i="22" s="1"/>
  <c r="P3703" i="22"/>
  <c r="Q3703" i="22"/>
  <c r="R3703" i="22"/>
  <c r="L3704" i="22"/>
  <c r="C3704" i="22"/>
  <c r="K3704" i="22" s="1"/>
  <c r="E3704" i="22"/>
  <c r="F3704" i="22"/>
  <c r="O3704" i="22" s="1"/>
  <c r="G3704" i="22"/>
  <c r="I3704" i="22"/>
  <c r="B3705" i="22"/>
  <c r="M3649" i="22"/>
  <c r="D3649" i="22"/>
  <c r="J3649" i="22"/>
  <c r="N3649" i="22" s="1"/>
  <c r="U3649" i="22" s="1"/>
  <c r="P3649" i="22"/>
  <c r="Q3649" i="22"/>
  <c r="R3649" i="22"/>
  <c r="L3650" i="22"/>
  <c r="C3650" i="22"/>
  <c r="K3650" i="22" s="1"/>
  <c r="E3650" i="22"/>
  <c r="F3650" i="22"/>
  <c r="O3650" i="22" s="1"/>
  <c r="G3650" i="22"/>
  <c r="I3650" i="22"/>
  <c r="B3651" i="22"/>
  <c r="J3595" i="22"/>
  <c r="D3595" i="22"/>
  <c r="P3595" i="22"/>
  <c r="Q3595" i="22"/>
  <c r="R3595" i="22"/>
  <c r="L3596" i="22"/>
  <c r="I3596" i="22"/>
  <c r="B3597" i="22"/>
  <c r="C3596" i="22"/>
  <c r="K3596" i="22" s="1"/>
  <c r="E3596" i="22"/>
  <c r="F3596" i="22"/>
  <c r="O3596" i="22" s="1"/>
  <c r="G3596" i="22"/>
  <c r="P3541" i="22"/>
  <c r="Q3541" i="22"/>
  <c r="R3541" i="22"/>
  <c r="D3541" i="22"/>
  <c r="J3541" i="22"/>
  <c r="L3542" i="22"/>
  <c r="E3542" i="22"/>
  <c r="B3543" i="22"/>
  <c r="C3542" i="22"/>
  <c r="G3542" i="22"/>
  <c r="I3542" i="22"/>
  <c r="M3487" i="22"/>
  <c r="D3487" i="22"/>
  <c r="J3487" i="22"/>
  <c r="N3487" i="22" s="1"/>
  <c r="U3487" i="22" s="1"/>
  <c r="P3487" i="22"/>
  <c r="Q3487" i="22"/>
  <c r="R3487" i="22"/>
  <c r="L3488" i="22"/>
  <c r="C3488" i="22"/>
  <c r="E3488" i="22"/>
  <c r="G3488" i="22"/>
  <c r="I3488" i="22"/>
  <c r="B3489" i="22"/>
  <c r="M3433" i="22"/>
  <c r="D3433" i="22"/>
  <c r="J3433" i="22"/>
  <c r="N3433" i="22" s="1"/>
  <c r="U3433" i="22" s="1"/>
  <c r="P3433" i="22"/>
  <c r="Q3433" i="22"/>
  <c r="R3433" i="22"/>
  <c r="L3434" i="22"/>
  <c r="C3434" i="22"/>
  <c r="K3434" i="22" s="1"/>
  <c r="E3434" i="22"/>
  <c r="F3434" i="22"/>
  <c r="O3434" i="22" s="1"/>
  <c r="G3434" i="22"/>
  <c r="I3434" i="22"/>
  <c r="B3435" i="22"/>
  <c r="M3379" i="22"/>
  <c r="D3379" i="22"/>
  <c r="J3379" i="22"/>
  <c r="N3379" i="22" s="1"/>
  <c r="U3379" i="22" s="1"/>
  <c r="P3379" i="22"/>
  <c r="Q3379" i="22"/>
  <c r="R3379" i="22"/>
  <c r="L3380" i="22"/>
  <c r="C3380" i="22"/>
  <c r="K3380" i="22" s="1"/>
  <c r="E3380" i="22"/>
  <c r="F3380" i="22"/>
  <c r="O3380" i="22" s="1"/>
  <c r="G3380" i="22"/>
  <c r="I3380" i="22"/>
  <c r="B3381" i="22"/>
  <c r="D3325" i="22"/>
  <c r="J3325" i="22"/>
  <c r="P3325" i="22"/>
  <c r="Q3325" i="22"/>
  <c r="R3325" i="22"/>
  <c r="L3326" i="22"/>
  <c r="C3326" i="22"/>
  <c r="E3326" i="22"/>
  <c r="G3326" i="22"/>
  <c r="I3326" i="22"/>
  <c r="B3327" i="22"/>
  <c r="D3271" i="22"/>
  <c r="J3271" i="22"/>
  <c r="P3271" i="22"/>
  <c r="Q3271" i="22"/>
  <c r="R3271" i="22"/>
  <c r="L3272" i="22"/>
  <c r="C3272" i="22"/>
  <c r="E3272" i="22"/>
  <c r="G3272" i="22"/>
  <c r="I3272" i="22"/>
  <c r="B3273" i="22"/>
  <c r="M3217" i="22"/>
  <c r="D3217" i="22"/>
  <c r="J3217" i="22"/>
  <c r="N3217" i="22" s="1"/>
  <c r="U3217" i="22" s="1"/>
  <c r="P3217" i="22"/>
  <c r="Q3217" i="22"/>
  <c r="R3217" i="22"/>
  <c r="L3218" i="22"/>
  <c r="C3218" i="22"/>
  <c r="K3218" i="22" s="1"/>
  <c r="E3218" i="22"/>
  <c r="F3218" i="22"/>
  <c r="O3218" i="22" s="1"/>
  <c r="G3218" i="22"/>
  <c r="B3219" i="22"/>
  <c r="I3218" i="22"/>
  <c r="M3163" i="22"/>
  <c r="D3163" i="22"/>
  <c r="J3163" i="22"/>
  <c r="N3163" i="22" s="1"/>
  <c r="U3163" i="22" s="1"/>
  <c r="P3163" i="22"/>
  <c r="Q3163" i="22"/>
  <c r="R3163" i="22"/>
  <c r="L3164" i="22"/>
  <c r="C3164" i="22"/>
  <c r="E3164" i="22"/>
  <c r="G3164" i="22"/>
  <c r="I3164" i="22"/>
  <c r="B3165" i="22"/>
  <c r="P3109" i="22"/>
  <c r="Q3109" i="22"/>
  <c r="R3109" i="22"/>
  <c r="L3110" i="22"/>
  <c r="C3110" i="22"/>
  <c r="K3110" i="22" s="1"/>
  <c r="F3110" i="22"/>
  <c r="O3110" i="22" s="1"/>
  <c r="G3110" i="22"/>
  <c r="E3110" i="22"/>
  <c r="I3110" i="22"/>
  <c r="B3111" i="22"/>
  <c r="D3109" i="22"/>
  <c r="J3109" i="22"/>
  <c r="M3055" i="22"/>
  <c r="P3055" i="22"/>
  <c r="Q3055" i="22"/>
  <c r="R3055" i="22"/>
  <c r="L3056" i="22"/>
  <c r="C3056" i="22"/>
  <c r="K3056" i="22" s="1"/>
  <c r="E3056" i="22"/>
  <c r="G3056" i="22"/>
  <c r="B3057" i="22"/>
  <c r="I3056" i="22"/>
  <c r="F3056" i="22"/>
  <c r="O3056" i="22" s="1"/>
  <c r="D3055" i="22"/>
  <c r="J3055" i="22"/>
  <c r="N3055" i="22" s="1"/>
  <c r="U3055" i="22" s="1"/>
  <c r="D3001" i="22"/>
  <c r="J3001" i="22"/>
  <c r="P3001" i="22"/>
  <c r="Q3001" i="22"/>
  <c r="R3001" i="22"/>
  <c r="L3002" i="22"/>
  <c r="B3003" i="22"/>
  <c r="C3002" i="22"/>
  <c r="E3002" i="22"/>
  <c r="G3002" i="22"/>
  <c r="I3002" i="22"/>
  <c r="D2947" i="22"/>
  <c r="J2947" i="22"/>
  <c r="L2948" i="22"/>
  <c r="E2948" i="22"/>
  <c r="G2948" i="22"/>
  <c r="C2948" i="22"/>
  <c r="B2949" i="22"/>
  <c r="I2948" i="22"/>
  <c r="P2947" i="22"/>
  <c r="Q2947" i="22"/>
  <c r="R2947" i="22"/>
  <c r="D2893" i="22"/>
  <c r="J2893" i="22"/>
  <c r="P2893" i="22"/>
  <c r="Q2893" i="22"/>
  <c r="R2893" i="22"/>
  <c r="L2894" i="22"/>
  <c r="C2894" i="22"/>
  <c r="E2894" i="22"/>
  <c r="G2894" i="22"/>
  <c r="I2894" i="22"/>
  <c r="B2895" i="22"/>
  <c r="M2839" i="22"/>
  <c r="D2839" i="22"/>
  <c r="J2839" i="22"/>
  <c r="N2839" i="22" s="1"/>
  <c r="U2839" i="22" s="1"/>
  <c r="P2839" i="22"/>
  <c r="Q2839" i="22"/>
  <c r="R2839" i="22"/>
  <c r="L2840" i="22"/>
  <c r="C2840" i="22"/>
  <c r="K2840" i="22" s="1"/>
  <c r="E2840" i="22"/>
  <c r="F2840" i="22"/>
  <c r="O2840" i="22" s="1"/>
  <c r="G2840" i="22"/>
  <c r="I2840" i="22"/>
  <c r="B2841" i="22"/>
  <c r="M2785" i="22"/>
  <c r="D2785" i="22"/>
  <c r="J2785" i="22"/>
  <c r="N2785" i="22" s="1"/>
  <c r="S2785" i="22" s="1"/>
  <c r="T2785" i="22" s="1"/>
  <c r="U2785" i="22" s="1"/>
  <c r="Q2785" i="22"/>
  <c r="P2785" i="22"/>
  <c r="R2785" i="22"/>
  <c r="L2786" i="22"/>
  <c r="C2786" i="22"/>
  <c r="K2786" i="22" s="1"/>
  <c r="E2786" i="22"/>
  <c r="F2786" i="22"/>
  <c r="O2786" i="22" s="1"/>
  <c r="G2786" i="22"/>
  <c r="I2786" i="22"/>
  <c r="B2787" i="22"/>
  <c r="M2731" i="22"/>
  <c r="D2731" i="22"/>
  <c r="J2731" i="22"/>
  <c r="N2731" i="22" s="1"/>
  <c r="U2731" i="22" s="1"/>
  <c r="P2731" i="22"/>
  <c r="Q2731" i="22"/>
  <c r="R2731" i="22"/>
  <c r="L2732" i="22"/>
  <c r="C2732" i="22"/>
  <c r="E2732" i="22"/>
  <c r="G2732" i="22"/>
  <c r="I2732" i="22"/>
  <c r="B2733" i="22"/>
  <c r="M2677" i="22"/>
  <c r="D2677" i="22"/>
  <c r="J2677" i="22"/>
  <c r="N2677" i="22" s="1"/>
  <c r="U2677" i="22" s="1"/>
  <c r="P2677" i="22"/>
  <c r="Q2677" i="22"/>
  <c r="R2677" i="22"/>
  <c r="L2678" i="22"/>
  <c r="C2678" i="22"/>
  <c r="E2678" i="22"/>
  <c r="G2678" i="22"/>
  <c r="I2678" i="22"/>
  <c r="B2679" i="22"/>
  <c r="D2623" i="22"/>
  <c r="J2623" i="22"/>
  <c r="P2623" i="22"/>
  <c r="Q2623" i="22"/>
  <c r="R2623" i="22"/>
  <c r="L2624" i="22"/>
  <c r="C2624" i="22"/>
  <c r="E2624" i="22"/>
  <c r="G2624" i="22"/>
  <c r="I2624" i="22"/>
  <c r="B2625" i="22"/>
  <c r="D2569" i="22"/>
  <c r="J2569" i="22"/>
  <c r="P2569" i="22"/>
  <c r="Q2569" i="22"/>
  <c r="R2569" i="22"/>
  <c r="L2570" i="22"/>
  <c r="C2570" i="22"/>
  <c r="K2570" i="22" s="1"/>
  <c r="E2570" i="22"/>
  <c r="F2570" i="22"/>
  <c r="O2570" i="22" s="1"/>
  <c r="G2570" i="22"/>
  <c r="I2570" i="22"/>
  <c r="B2571" i="22"/>
  <c r="D2515" i="22"/>
  <c r="J2515" i="22"/>
  <c r="P2515" i="22"/>
  <c r="Q2515" i="22"/>
  <c r="R2515" i="22"/>
  <c r="L2516" i="22"/>
  <c r="C2516" i="22"/>
  <c r="K2516" i="22" s="1"/>
  <c r="E2516" i="22"/>
  <c r="F2516" i="22"/>
  <c r="O2516" i="22" s="1"/>
  <c r="G2516" i="22"/>
  <c r="I2516" i="22"/>
  <c r="B2517" i="22"/>
  <c r="D2461" i="22"/>
  <c r="J2461" i="22"/>
  <c r="P2461" i="22"/>
  <c r="Q2461" i="22"/>
  <c r="R2461" i="22"/>
  <c r="L2462" i="22"/>
  <c r="C2462" i="22"/>
  <c r="K2462" i="22" s="1"/>
  <c r="E2462" i="22"/>
  <c r="F2462" i="22"/>
  <c r="O2462" i="22" s="1"/>
  <c r="G2462" i="22"/>
  <c r="I2462" i="22"/>
  <c r="B2463" i="22"/>
  <c r="M2407" i="22"/>
  <c r="D2407" i="22"/>
  <c r="J2407" i="22"/>
  <c r="N2407" i="22" s="1"/>
  <c r="U2407" i="22" s="1"/>
  <c r="P2407" i="22"/>
  <c r="Q2407" i="22"/>
  <c r="R2407" i="22"/>
  <c r="L2408" i="22"/>
  <c r="C2408" i="22"/>
  <c r="E2408" i="22"/>
  <c r="G2408" i="22"/>
  <c r="I2408" i="22"/>
  <c r="B2409" i="22"/>
  <c r="M2353" i="22"/>
  <c r="D2353" i="22"/>
  <c r="J2353" i="22"/>
  <c r="N2353" i="22" s="1"/>
  <c r="U2353" i="22" s="1"/>
  <c r="P2353" i="22"/>
  <c r="Q2353" i="22"/>
  <c r="R2353" i="22"/>
  <c r="L2354" i="22"/>
  <c r="C2354" i="22"/>
  <c r="E2354" i="22"/>
  <c r="G2354" i="22"/>
  <c r="I2354" i="22"/>
  <c r="B2355" i="22"/>
  <c r="J2299" i="22"/>
  <c r="D2299" i="22"/>
  <c r="P2299" i="22"/>
  <c r="Q2299" i="22"/>
  <c r="R2299" i="22"/>
  <c r="L2300" i="22"/>
  <c r="B2301" i="22"/>
  <c r="G2300" i="22"/>
  <c r="E2300" i="22"/>
  <c r="I2300" i="22"/>
  <c r="C2300" i="22"/>
  <c r="M2245" i="22"/>
  <c r="D2245" i="22"/>
  <c r="J2245" i="22"/>
  <c r="N2245" i="22" s="1"/>
  <c r="U2245" i="22" s="1"/>
  <c r="P2245" i="22"/>
  <c r="Q2245" i="22"/>
  <c r="R2245" i="22"/>
  <c r="L2246" i="22"/>
  <c r="C2246" i="22"/>
  <c r="E2246" i="22"/>
  <c r="G2246" i="22"/>
  <c r="I2246" i="22"/>
  <c r="B2247" i="22"/>
  <c r="M2191" i="22"/>
  <c r="D2191" i="22"/>
  <c r="J2191" i="22"/>
  <c r="N2191" i="22" s="1"/>
  <c r="U2191" i="22" s="1"/>
  <c r="P2191" i="22"/>
  <c r="Q2191" i="22"/>
  <c r="R2191" i="22"/>
  <c r="L2192" i="22"/>
  <c r="C2192" i="22"/>
  <c r="K2192" i="22" s="1"/>
  <c r="E2192" i="22"/>
  <c r="F2192" i="22"/>
  <c r="O2192" i="22" s="1"/>
  <c r="G2192" i="22"/>
  <c r="I2192" i="22"/>
  <c r="B2193" i="22"/>
  <c r="D2137" i="22"/>
  <c r="J2137" i="22"/>
  <c r="P2137" i="22"/>
  <c r="Q2137" i="22"/>
  <c r="R2137" i="22"/>
  <c r="L2138" i="22"/>
  <c r="C2138" i="22"/>
  <c r="K2138" i="22" s="1"/>
  <c r="E2138" i="22"/>
  <c r="F2138" i="22"/>
  <c r="O2138" i="22" s="1"/>
  <c r="G2138" i="22"/>
  <c r="I2138" i="22"/>
  <c r="B2139" i="22"/>
  <c r="M2083" i="22"/>
  <c r="D2083" i="22"/>
  <c r="J2083" i="22"/>
  <c r="N2083" i="22" s="1"/>
  <c r="U2083" i="22" s="1"/>
  <c r="P2083" i="22"/>
  <c r="Q2083" i="22"/>
  <c r="R2083" i="22"/>
  <c r="L2084" i="22"/>
  <c r="C2084" i="22"/>
  <c r="K2084" i="22" s="1"/>
  <c r="E2084" i="22"/>
  <c r="F2084" i="22"/>
  <c r="O2084" i="22" s="1"/>
  <c r="G2084" i="22"/>
  <c r="I2084" i="22"/>
  <c r="B2085" i="22"/>
  <c r="M2029" i="22"/>
  <c r="D2029" i="22"/>
  <c r="J2029" i="22"/>
  <c r="N2029" i="22" s="1"/>
  <c r="U2029" i="22" s="1"/>
  <c r="P2029" i="22"/>
  <c r="Q2029" i="22"/>
  <c r="R2029" i="22"/>
  <c r="L2030" i="22"/>
  <c r="C2030" i="22"/>
  <c r="K2030" i="22" s="1"/>
  <c r="E2030" i="22"/>
  <c r="F2030" i="22"/>
  <c r="O2030" i="22" s="1"/>
  <c r="G2030" i="22"/>
  <c r="I2030" i="22"/>
  <c r="B2031" i="22"/>
  <c r="M1975" i="22"/>
  <c r="D1975" i="22"/>
  <c r="J1975" i="22"/>
  <c r="N1975" i="22" s="1"/>
  <c r="U1975" i="22" s="1"/>
  <c r="P1975" i="22"/>
  <c r="Q1975" i="22"/>
  <c r="R1975" i="22"/>
  <c r="L1976" i="22"/>
  <c r="C1976" i="22"/>
  <c r="K1976" i="22" s="1"/>
  <c r="E1976" i="22"/>
  <c r="F1976" i="22"/>
  <c r="O1976" i="22" s="1"/>
  <c r="G1976" i="22"/>
  <c r="I1976" i="22"/>
  <c r="B1977" i="22"/>
  <c r="M1921" i="22"/>
  <c r="D1921" i="22"/>
  <c r="J1921" i="22"/>
  <c r="N1921" i="22" s="1"/>
  <c r="U1921" i="22" s="1"/>
  <c r="P1921" i="22"/>
  <c r="Q1921" i="22"/>
  <c r="R1921" i="22"/>
  <c r="L1922" i="22"/>
  <c r="C1922" i="22"/>
  <c r="E1922" i="22"/>
  <c r="G1922" i="22"/>
  <c r="I1922" i="22"/>
  <c r="B1923" i="22"/>
  <c r="M1867" i="22"/>
  <c r="D1867" i="22"/>
  <c r="J1867" i="22"/>
  <c r="N1867" i="22" s="1"/>
  <c r="U1867" i="22" s="1"/>
  <c r="P1867" i="22"/>
  <c r="Q1867" i="22"/>
  <c r="R1867" i="22"/>
  <c r="L1868" i="22"/>
  <c r="C1868" i="22"/>
  <c r="E1868" i="22"/>
  <c r="G1868" i="22"/>
  <c r="I1868" i="22"/>
  <c r="B1869" i="22"/>
  <c r="M1813" i="22"/>
  <c r="D1813" i="22"/>
  <c r="J1813" i="22"/>
  <c r="N1813" i="22" s="1"/>
  <c r="U1813" i="22" s="1"/>
  <c r="P1813" i="22"/>
  <c r="Q1813" i="22"/>
  <c r="R1813" i="22"/>
  <c r="L1814" i="22"/>
  <c r="C1814" i="22"/>
  <c r="E1814" i="22"/>
  <c r="G1814" i="22"/>
  <c r="I1814" i="22"/>
  <c r="B1815" i="22"/>
  <c r="D1759" i="22"/>
  <c r="J1759" i="22"/>
  <c r="P1759" i="22"/>
  <c r="Q1759" i="22"/>
  <c r="R1759" i="22"/>
  <c r="L1760" i="22"/>
  <c r="C1760" i="22"/>
  <c r="K1760" i="22" s="1"/>
  <c r="E1760" i="22"/>
  <c r="F1760" i="22"/>
  <c r="O1760" i="22" s="1"/>
  <c r="G1760" i="22"/>
  <c r="I1760" i="22"/>
  <c r="B1761" i="22"/>
  <c r="D1705" i="22"/>
  <c r="J1705" i="22"/>
  <c r="P1705" i="22"/>
  <c r="Q1705" i="22"/>
  <c r="R1705" i="22"/>
  <c r="L1706" i="22"/>
  <c r="C1706" i="22"/>
  <c r="E1706" i="22"/>
  <c r="G1706" i="22"/>
  <c r="I1706" i="22"/>
  <c r="B1707" i="22"/>
  <c r="M1651" i="22"/>
  <c r="D1651" i="22"/>
  <c r="J1651" i="22"/>
  <c r="N1651" i="22" s="1"/>
  <c r="U1651" i="22" s="1"/>
  <c r="P1651" i="22"/>
  <c r="Q1651" i="22"/>
  <c r="R1651" i="22"/>
  <c r="L1652" i="22"/>
  <c r="C1652" i="22"/>
  <c r="E1652" i="22"/>
  <c r="G1652" i="22"/>
  <c r="I1652" i="22"/>
  <c r="B1653" i="22"/>
  <c r="M1597" i="22"/>
  <c r="D1597" i="22"/>
  <c r="J1597" i="22"/>
  <c r="N1597" i="22" s="1"/>
  <c r="U1597" i="22" s="1"/>
  <c r="P1597" i="22"/>
  <c r="Q1597" i="22"/>
  <c r="R1597" i="22"/>
  <c r="L1598" i="22"/>
  <c r="C1598" i="22"/>
  <c r="K1598" i="22" s="1"/>
  <c r="E1598" i="22"/>
  <c r="F1598" i="22"/>
  <c r="O1598" i="22" s="1"/>
  <c r="G1598" i="22"/>
  <c r="I1598" i="22"/>
  <c r="B1599" i="22"/>
  <c r="M1543" i="22"/>
  <c r="D1543" i="22"/>
  <c r="J1543" i="22"/>
  <c r="N1543" i="22" s="1"/>
  <c r="U1543" i="22" s="1"/>
  <c r="P1543" i="22"/>
  <c r="Q1543" i="22"/>
  <c r="R1543" i="22"/>
  <c r="L1544" i="22"/>
  <c r="C1544" i="22"/>
  <c r="E1544" i="22"/>
  <c r="G1544" i="22"/>
  <c r="I1544" i="22"/>
  <c r="B1545" i="22"/>
  <c r="M1489" i="22"/>
  <c r="D1489" i="22"/>
  <c r="J1489" i="22"/>
  <c r="N1489" i="22" s="1"/>
  <c r="U1489" i="22" s="1"/>
  <c r="P1489" i="22"/>
  <c r="Q1489" i="22"/>
  <c r="R1489" i="22"/>
  <c r="L1490" i="22"/>
  <c r="C1490" i="22"/>
  <c r="E1490" i="22"/>
  <c r="G1490" i="22"/>
  <c r="I1490" i="22"/>
  <c r="B1491" i="22"/>
  <c r="M1435" i="22"/>
  <c r="D1435" i="22"/>
  <c r="J1435" i="22"/>
  <c r="N1435" i="22" s="1"/>
  <c r="U1435" i="22" s="1"/>
  <c r="P1435" i="22"/>
  <c r="Q1435" i="22"/>
  <c r="R1435" i="22"/>
  <c r="L1436" i="22"/>
  <c r="C1436" i="22"/>
  <c r="E1436" i="22"/>
  <c r="G1436" i="22"/>
  <c r="I1436" i="22"/>
  <c r="B1437" i="22"/>
  <c r="D1381" i="22"/>
  <c r="J1381" i="22"/>
  <c r="P1381" i="22"/>
  <c r="Q1381" i="22"/>
  <c r="R1381" i="22"/>
  <c r="L1382" i="22"/>
  <c r="C1382" i="22"/>
  <c r="K1382" i="22" s="1"/>
  <c r="E1382" i="22"/>
  <c r="F1382" i="22"/>
  <c r="O1382" i="22" s="1"/>
  <c r="G1382" i="22"/>
  <c r="I1382" i="22"/>
  <c r="B1383" i="22"/>
  <c r="D1327" i="22"/>
  <c r="J1327" i="22"/>
  <c r="P1327" i="22"/>
  <c r="Q1327" i="22"/>
  <c r="R1327" i="22"/>
  <c r="L1328" i="22"/>
  <c r="C1328" i="22"/>
  <c r="K1328" i="22" s="1"/>
  <c r="E1328" i="22"/>
  <c r="F1328" i="22"/>
  <c r="O1328" i="22" s="1"/>
  <c r="G1328" i="22"/>
  <c r="I1328" i="22"/>
  <c r="B1329" i="22"/>
  <c r="D1273" i="22"/>
  <c r="J1273" i="22"/>
  <c r="P1273" i="22"/>
  <c r="Q1273" i="22"/>
  <c r="R1273" i="22"/>
  <c r="L1274" i="22"/>
  <c r="C1274" i="22"/>
  <c r="K1274" i="22" s="1"/>
  <c r="E1274" i="22"/>
  <c r="F1274" i="22"/>
  <c r="O1274" i="22" s="1"/>
  <c r="G1274" i="22"/>
  <c r="I1274" i="22"/>
  <c r="B1275" i="22"/>
  <c r="M1219" i="22"/>
  <c r="D1219" i="22"/>
  <c r="J1219" i="22"/>
  <c r="N1219" i="22" s="1"/>
  <c r="U1219" i="22" s="1"/>
  <c r="P1219" i="22"/>
  <c r="Q1219" i="22"/>
  <c r="R1219" i="22"/>
  <c r="L1220" i="22"/>
  <c r="C1220" i="22"/>
  <c r="E1220" i="22"/>
  <c r="G1220" i="22"/>
  <c r="I1220" i="22"/>
  <c r="B1221" i="22"/>
  <c r="M1165" i="22"/>
  <c r="D1165" i="22"/>
  <c r="J1165" i="22"/>
  <c r="N1165" i="22" s="1"/>
  <c r="U1165" i="22" s="1"/>
  <c r="P1165" i="22"/>
  <c r="Q1165" i="22"/>
  <c r="R1165" i="22"/>
  <c r="L1166" i="22"/>
  <c r="C1166" i="22"/>
  <c r="E1166" i="22"/>
  <c r="G1166" i="22"/>
  <c r="I1166" i="22"/>
  <c r="B1167" i="22"/>
  <c r="M1111" i="22"/>
  <c r="D1111" i="22"/>
  <c r="J1111" i="22"/>
  <c r="N1111" i="22" s="1"/>
  <c r="U1111" i="22" s="1"/>
  <c r="P1111" i="22"/>
  <c r="Q1111" i="22"/>
  <c r="R1111" i="22"/>
  <c r="L1112" i="22"/>
  <c r="C1112" i="22"/>
  <c r="E1112" i="22"/>
  <c r="G1112" i="22"/>
  <c r="I1112" i="22"/>
  <c r="B1113" i="22"/>
  <c r="D1057" i="22"/>
  <c r="J1057" i="22"/>
  <c r="P1057" i="22"/>
  <c r="Q1057" i="22"/>
  <c r="R1057" i="22"/>
  <c r="L1058" i="22"/>
  <c r="C1058" i="22"/>
  <c r="E1058" i="22"/>
  <c r="G1058" i="22"/>
  <c r="I1058" i="22"/>
  <c r="B1059" i="22"/>
  <c r="D1003" i="22"/>
  <c r="J1003" i="22"/>
  <c r="P1003" i="22"/>
  <c r="Q1003" i="22"/>
  <c r="R1003" i="22"/>
  <c r="L1004" i="22"/>
  <c r="C1004" i="22"/>
  <c r="K1004" i="22" s="1"/>
  <c r="E1004" i="22"/>
  <c r="F1004" i="22"/>
  <c r="O1004" i="22" s="1"/>
  <c r="G1004" i="22"/>
  <c r="I1004" i="22"/>
  <c r="B1005" i="22"/>
  <c r="M949" i="22"/>
  <c r="D949" i="22"/>
  <c r="J949" i="22"/>
  <c r="N949" i="22" s="1"/>
  <c r="U949" i="22" s="1"/>
  <c r="P949" i="22"/>
  <c r="Q949" i="22"/>
  <c r="R949" i="22"/>
  <c r="L950" i="22"/>
  <c r="C950" i="22"/>
  <c r="K950" i="22" s="1"/>
  <c r="E950" i="22"/>
  <c r="F950" i="22"/>
  <c r="O950" i="22" s="1"/>
  <c r="G950" i="22"/>
  <c r="I950" i="22"/>
  <c r="B951" i="22"/>
  <c r="M895" i="22"/>
  <c r="D895" i="22"/>
  <c r="J895" i="22"/>
  <c r="N895" i="22" s="1"/>
  <c r="U895" i="22" s="1"/>
  <c r="P895" i="22"/>
  <c r="Q895" i="22"/>
  <c r="R895" i="22"/>
  <c r="L896" i="22"/>
  <c r="C896" i="22"/>
  <c r="E896" i="22"/>
  <c r="G896" i="22"/>
  <c r="I896" i="22"/>
  <c r="B897" i="22"/>
  <c r="M841" i="22"/>
  <c r="D841" i="22"/>
  <c r="J841" i="22"/>
  <c r="N841" i="22" s="1"/>
  <c r="U841" i="22" s="1"/>
  <c r="P841" i="22"/>
  <c r="Q841" i="22"/>
  <c r="R841" i="22"/>
  <c r="L842" i="22"/>
  <c r="C842" i="22"/>
  <c r="K842" i="22" s="1"/>
  <c r="E842" i="22"/>
  <c r="F842" i="22"/>
  <c r="O842" i="22" s="1"/>
  <c r="G842" i="22"/>
  <c r="I842" i="22"/>
  <c r="B843" i="22"/>
  <c r="M787" i="22"/>
  <c r="D787" i="22"/>
  <c r="J787" i="22"/>
  <c r="N787" i="22" s="1"/>
  <c r="U787" i="22" s="1"/>
  <c r="P787" i="22"/>
  <c r="Q787" i="22"/>
  <c r="R787" i="22"/>
  <c r="L788" i="22"/>
  <c r="C788" i="22"/>
  <c r="K788" i="22" s="1"/>
  <c r="E788" i="22"/>
  <c r="F788" i="22"/>
  <c r="O788" i="22" s="1"/>
  <c r="G788" i="22"/>
  <c r="I788" i="22"/>
  <c r="B789" i="22"/>
  <c r="M733" i="22"/>
  <c r="D733" i="22"/>
  <c r="J733" i="22"/>
  <c r="N733" i="22" s="1"/>
  <c r="U733" i="22" s="1"/>
  <c r="P733" i="22"/>
  <c r="Q733" i="22"/>
  <c r="R733" i="22"/>
  <c r="L734" i="22"/>
  <c r="C734" i="22"/>
  <c r="E734" i="22"/>
  <c r="G734" i="22"/>
  <c r="I734" i="22"/>
  <c r="B735" i="22"/>
  <c r="M679" i="22"/>
  <c r="D679" i="22"/>
  <c r="J679" i="22"/>
  <c r="N679" i="22" s="1"/>
  <c r="U679" i="22" s="1"/>
  <c r="P679" i="22"/>
  <c r="Q679" i="22"/>
  <c r="R679" i="22"/>
  <c r="L680" i="22"/>
  <c r="C680" i="22"/>
  <c r="E680" i="22"/>
  <c r="G680" i="22"/>
  <c r="I680" i="22"/>
  <c r="B681" i="22"/>
  <c r="D625" i="22"/>
  <c r="J625" i="22"/>
  <c r="P625" i="22"/>
  <c r="Q625" i="22"/>
  <c r="R625" i="22"/>
  <c r="L626" i="22"/>
  <c r="C626" i="22"/>
  <c r="K626" i="22" s="1"/>
  <c r="E626" i="22"/>
  <c r="F626" i="22"/>
  <c r="O626" i="22" s="1"/>
  <c r="G626" i="22"/>
  <c r="I626" i="22"/>
  <c r="B627" i="22"/>
  <c r="D571" i="22"/>
  <c r="J571" i="22"/>
  <c r="P571" i="22"/>
  <c r="Q571" i="22"/>
  <c r="R571" i="22"/>
  <c r="L572" i="22"/>
  <c r="C572" i="22"/>
  <c r="K572" i="22" s="1"/>
  <c r="E572" i="22"/>
  <c r="F572" i="22"/>
  <c r="O572" i="22" s="1"/>
  <c r="G572" i="22"/>
  <c r="I572" i="22"/>
  <c r="B573" i="22"/>
  <c r="D517" i="22"/>
  <c r="J517" i="22"/>
  <c r="P517" i="22"/>
  <c r="Q517" i="22"/>
  <c r="R517" i="22"/>
  <c r="L518" i="22"/>
  <c r="C518" i="22"/>
  <c r="K518" i="22" s="1"/>
  <c r="E518" i="22"/>
  <c r="F518" i="22"/>
  <c r="O518" i="22" s="1"/>
  <c r="G518" i="22"/>
  <c r="I518" i="22"/>
  <c r="B519" i="22"/>
  <c r="M463" i="22"/>
  <c r="D463" i="22"/>
  <c r="J463" i="22"/>
  <c r="N463" i="22" s="1"/>
  <c r="U463" i="22" s="1"/>
  <c r="P463" i="22"/>
  <c r="Q463" i="22"/>
  <c r="R463" i="22"/>
  <c r="L464" i="22"/>
  <c r="C464" i="22"/>
  <c r="K464" i="22" s="1"/>
  <c r="E464" i="22"/>
  <c r="F464" i="22"/>
  <c r="O464" i="22" s="1"/>
  <c r="G464" i="22"/>
  <c r="I464" i="22"/>
  <c r="B465" i="22"/>
  <c r="M409" i="22"/>
  <c r="D409" i="22"/>
  <c r="J409" i="22"/>
  <c r="N409" i="22" s="1"/>
  <c r="U409" i="22" s="1"/>
  <c r="P409" i="22"/>
  <c r="Q409" i="22"/>
  <c r="R409" i="22"/>
  <c r="L410" i="22"/>
  <c r="C410" i="22"/>
  <c r="E410" i="22"/>
  <c r="G410" i="22"/>
  <c r="I410" i="22"/>
  <c r="B411" i="22"/>
  <c r="M355" i="22"/>
  <c r="D355" i="22"/>
  <c r="J355" i="22"/>
  <c r="N355" i="22" s="1"/>
  <c r="U355" i="22" s="1"/>
  <c r="P355" i="22"/>
  <c r="Q355" i="22"/>
  <c r="R355" i="22"/>
  <c r="L356" i="22"/>
  <c r="C356" i="22"/>
  <c r="K356" i="22" s="1"/>
  <c r="E356" i="22"/>
  <c r="F356" i="22"/>
  <c r="O356" i="22" s="1"/>
  <c r="G356" i="22"/>
  <c r="I356" i="22"/>
  <c r="B357" i="22"/>
  <c r="M301" i="22"/>
  <c r="D301" i="22"/>
  <c r="J301" i="22"/>
  <c r="N301" i="22" s="1"/>
  <c r="U301" i="22" s="1"/>
  <c r="P301" i="22"/>
  <c r="Q301" i="22"/>
  <c r="R301" i="22"/>
  <c r="L302" i="22"/>
  <c r="C302" i="22"/>
  <c r="E302" i="22"/>
  <c r="G302" i="22"/>
  <c r="I302" i="22"/>
  <c r="B303" i="22"/>
  <c r="M247" i="22"/>
  <c r="D247" i="22"/>
  <c r="J247" i="22"/>
  <c r="N247" i="22" s="1"/>
  <c r="U247" i="22" s="1"/>
  <c r="P247" i="22"/>
  <c r="Q247" i="22"/>
  <c r="R247" i="22"/>
  <c r="L248" i="22"/>
  <c r="C248" i="22"/>
  <c r="K248" i="22" s="1"/>
  <c r="E248" i="22"/>
  <c r="F248" i="22"/>
  <c r="O248" i="22" s="1"/>
  <c r="G248" i="22"/>
  <c r="I248" i="22"/>
  <c r="B249" i="22"/>
  <c r="M193" i="22"/>
  <c r="D193" i="22"/>
  <c r="J193" i="22"/>
  <c r="N193" i="22" s="1"/>
  <c r="U193" i="22" s="1"/>
  <c r="P193" i="22"/>
  <c r="Q193" i="22"/>
  <c r="R193" i="22"/>
  <c r="L194" i="22"/>
  <c r="C194" i="22"/>
  <c r="K194" i="22" s="1"/>
  <c r="E194" i="22"/>
  <c r="F194" i="22"/>
  <c r="O194" i="22" s="1"/>
  <c r="G194" i="22"/>
  <c r="I194" i="22"/>
  <c r="B195" i="22"/>
  <c r="M139" i="22"/>
  <c r="D139" i="22"/>
  <c r="J139" i="22"/>
  <c r="N139" i="22" s="1"/>
  <c r="U139" i="22" s="1"/>
  <c r="P139" i="22"/>
  <c r="Q139" i="22"/>
  <c r="R139" i="22"/>
  <c r="L140" i="22"/>
  <c r="C140" i="22"/>
  <c r="K140" i="22" s="1"/>
  <c r="E140" i="22"/>
  <c r="F140" i="22"/>
  <c r="O140" i="22" s="1"/>
  <c r="G140" i="22"/>
  <c r="B141" i="22"/>
  <c r="I140" i="22"/>
  <c r="D85" i="22"/>
  <c r="M85" i="22" s="1"/>
  <c r="J85" i="22"/>
  <c r="P85" i="22"/>
  <c r="Q85" i="22"/>
  <c r="R85" i="22"/>
  <c r="L86" i="22"/>
  <c r="C86" i="22"/>
  <c r="E86" i="22"/>
  <c r="G86" i="22"/>
  <c r="I86" i="22"/>
  <c r="B87" i="22"/>
  <c r="I864" i="23"/>
  <c r="O871" i="23" s="1"/>
  <c r="AE871" i="23" s="1"/>
  <c r="I976" i="23"/>
  <c r="AI1058" i="23"/>
  <c r="B85" i="8"/>
  <c r="AI1059" i="23"/>
  <c r="C85" i="8"/>
  <c r="AI1060" i="23"/>
  <c r="D85" i="8"/>
  <c r="AI1061" i="23"/>
  <c r="E85" i="8"/>
  <c r="AI1062" i="23"/>
  <c r="F85" i="8"/>
  <c r="AI1063" i="23"/>
  <c r="G85" i="8"/>
  <c r="AI1064" i="23"/>
  <c r="H85" i="8"/>
  <c r="AI1065" i="23"/>
  <c r="I85" i="8"/>
  <c r="I1144" i="23"/>
  <c r="I1424" i="23"/>
  <c r="O1431" i="23" s="1"/>
  <c r="B91" i="8"/>
  <c r="AI1394" i="23"/>
  <c r="AI1395" i="23"/>
  <c r="C91" i="8"/>
  <c r="AI1396" i="23"/>
  <c r="D91" i="8"/>
  <c r="AI1397" i="23"/>
  <c r="E91" i="8"/>
  <c r="AI1398" i="23"/>
  <c r="F91" i="8"/>
  <c r="AI1399" i="23"/>
  <c r="G91" i="8"/>
  <c r="AI1400" i="23"/>
  <c r="H91" i="8"/>
  <c r="AI1401" i="23"/>
  <c r="I91" i="8"/>
  <c r="AI1402" i="23"/>
  <c r="J91" i="8"/>
  <c r="AI1403" i="23"/>
  <c r="K91" i="8"/>
  <c r="AI1404" i="23"/>
  <c r="L91" i="8"/>
  <c r="AI1405" i="23"/>
  <c r="M91" i="8"/>
  <c r="I248" i="23"/>
  <c r="I304" i="23"/>
  <c r="O311" i="23" s="1"/>
  <c r="AE311" i="23" s="1"/>
  <c r="I360" i="23"/>
  <c r="O367" i="23" s="1"/>
  <c r="AE367" i="23" s="1"/>
  <c r="I528" i="23"/>
  <c r="O535" i="23" s="1"/>
  <c r="AE535" i="23" s="1"/>
  <c r="I584" i="23"/>
  <c r="O591" i="23" s="1"/>
  <c r="AE591" i="23" s="1"/>
  <c r="I752" i="23"/>
  <c r="O759" i="23" s="1"/>
  <c r="AE759" i="23" s="1"/>
  <c r="D23" i="17"/>
  <c r="M23" i="17" s="1"/>
  <c r="J23" i="17"/>
  <c r="AA23" i="17"/>
  <c r="Z23" i="17"/>
  <c r="Y23" i="17"/>
  <c r="X23" i="17"/>
  <c r="W23" i="17"/>
  <c r="P23" i="17"/>
  <c r="F23" i="18" s="1"/>
  <c r="Q23" i="17"/>
  <c r="G23" i="18" s="1"/>
  <c r="R23" i="17"/>
  <c r="H23" i="18" s="1"/>
  <c r="V23" i="17"/>
  <c r="L24" i="17"/>
  <c r="C24" i="17"/>
  <c r="K24" i="17" s="1"/>
  <c r="E24" i="17"/>
  <c r="F24" i="17"/>
  <c r="C24" i="18" s="1"/>
  <c r="E24" i="18" s="1"/>
  <c r="O24" i="17" s="1"/>
  <c r="G24" i="17"/>
  <c r="I24" i="17"/>
  <c r="B25" i="17"/>
  <c r="B24" i="18"/>
  <c r="AE16" i="17"/>
  <c r="B89" i="12"/>
  <c r="I89" i="12" s="1"/>
  <c r="AD15" i="17"/>
  <c r="AC17" i="17"/>
  <c r="AC18" i="17"/>
  <c r="AC19" i="17"/>
  <c r="AC20" i="17"/>
  <c r="AC21" i="17"/>
  <c r="AC22" i="17"/>
  <c r="AC23" i="17"/>
  <c r="AC24" i="17"/>
  <c r="M1543" i="23"/>
  <c r="N1543" i="23"/>
  <c r="AE1543" i="23" s="1"/>
  <c r="M1487" i="23"/>
  <c r="N1487" i="23"/>
  <c r="AE1487" i="23" s="1"/>
  <c r="M1375" i="23"/>
  <c r="N1375" i="23"/>
  <c r="M1319" i="23"/>
  <c r="N1319" i="23"/>
  <c r="M1263" i="23"/>
  <c r="N1263" i="23"/>
  <c r="AE1263" i="23" s="1"/>
  <c r="M1207" i="23"/>
  <c r="N1207" i="23"/>
  <c r="M1095" i="23"/>
  <c r="N1095" i="23"/>
  <c r="M1039" i="23"/>
  <c r="N1039" i="23"/>
  <c r="AE1039" i="23" s="1"/>
  <c r="M703" i="23"/>
  <c r="N703" i="23"/>
  <c r="AE703" i="23" s="1"/>
  <c r="N479" i="23"/>
  <c r="M479" i="23"/>
  <c r="N423" i="23"/>
  <c r="AE423" i="23" s="1"/>
  <c r="M423" i="23"/>
  <c r="N4734" i="22"/>
  <c r="M4734" i="22"/>
  <c r="M4572" i="22"/>
  <c r="N4572" i="22"/>
  <c r="M4218" i="22"/>
  <c r="N4218" i="22"/>
  <c r="U4218" i="22" s="1"/>
  <c r="M4164" i="22"/>
  <c r="N4164" i="22"/>
  <c r="U4164" i="22" s="1"/>
  <c r="M3756" i="22"/>
  <c r="N3756" i="22"/>
  <c r="U3756" i="22" s="1"/>
  <c r="M3702" i="22"/>
  <c r="N3702" i="22"/>
  <c r="U3702" i="22" s="1"/>
  <c r="M3540" i="22"/>
  <c r="N3540" i="22"/>
  <c r="U3540" i="22" s="1"/>
  <c r="M3432" i="22"/>
  <c r="N3432" i="22"/>
  <c r="U3432" i="22" s="1"/>
  <c r="M3378" i="22"/>
  <c r="N3378" i="22"/>
  <c r="U3378" i="22" s="1"/>
  <c r="M3216" i="22"/>
  <c r="N3216" i="22"/>
  <c r="U3216" i="22" s="1"/>
  <c r="N3108" i="22"/>
  <c r="U3108" i="22" s="1"/>
  <c r="M3108" i="22"/>
  <c r="M3054" i="22"/>
  <c r="N3054" i="22"/>
  <c r="U3054" i="22" s="1"/>
  <c r="N3000" i="22"/>
  <c r="U3000" i="22" s="1"/>
  <c r="M3000" i="22"/>
  <c r="M2622" i="22"/>
  <c r="N2622" i="22"/>
  <c r="U2622" i="22" s="1"/>
  <c r="M2568" i="22"/>
  <c r="N2568" i="22"/>
  <c r="U2568" i="22" s="1"/>
  <c r="M2298" i="22"/>
  <c r="N2298" i="22"/>
  <c r="U2298" i="22" s="1"/>
  <c r="M2244" i="22"/>
  <c r="N2244" i="22"/>
  <c r="U2244" i="22" s="1"/>
  <c r="M1866" i="22"/>
  <c r="N1866" i="22"/>
  <c r="U1866" i="22" s="1"/>
  <c r="M1812" i="22"/>
  <c r="N1812" i="22"/>
  <c r="U1812" i="22" s="1"/>
  <c r="M1758" i="22"/>
  <c r="N1758" i="22"/>
  <c r="U1758" i="22" s="1"/>
  <c r="M1488" i="22"/>
  <c r="N1488" i="22"/>
  <c r="U1488" i="22" s="1"/>
  <c r="M1434" i="22"/>
  <c r="N1434" i="22"/>
  <c r="U1434" i="22" s="1"/>
  <c r="M1110" i="22"/>
  <c r="N1110" i="22"/>
  <c r="U1110" i="22" s="1"/>
  <c r="M1056" i="22"/>
  <c r="N1056" i="22"/>
  <c r="U1056" i="22" s="1"/>
  <c r="M786" i="22"/>
  <c r="N786" i="22"/>
  <c r="U786" i="22" s="1"/>
  <c r="M408" i="22"/>
  <c r="N408" i="22"/>
  <c r="U408" i="22" s="1"/>
  <c r="D51" i="8"/>
  <c r="AH836" i="23"/>
  <c r="K51" i="8"/>
  <c r="AH843" i="23"/>
  <c r="B51" i="8"/>
  <c r="AH834" i="23"/>
  <c r="L51" i="8"/>
  <c r="AH844" i="23"/>
  <c r="G51" i="8"/>
  <c r="AH839" i="23"/>
  <c r="E51" i="8"/>
  <c r="AH837" i="23"/>
  <c r="J51" i="8"/>
  <c r="AH842" i="23"/>
  <c r="C51" i="8"/>
  <c r="AH835" i="23"/>
  <c r="I51" i="8"/>
  <c r="AH841" i="23"/>
  <c r="F51" i="8"/>
  <c r="AH838" i="23"/>
  <c r="M51" i="8"/>
  <c r="AH845" i="23"/>
  <c r="H51" i="8"/>
  <c r="AH840" i="23"/>
  <c r="K52" i="8"/>
  <c r="AH899" i="23"/>
  <c r="J52" i="8"/>
  <c r="AH898" i="23"/>
  <c r="I52" i="8"/>
  <c r="AH897" i="23"/>
  <c r="H52" i="8"/>
  <c r="AH896" i="23"/>
  <c r="C52" i="8"/>
  <c r="AH891" i="23"/>
  <c r="F52" i="8"/>
  <c r="AH894" i="23"/>
  <c r="G52" i="8"/>
  <c r="AH895" i="23"/>
  <c r="E52" i="8"/>
  <c r="AH893" i="23"/>
  <c r="M52" i="8"/>
  <c r="AH901" i="23"/>
  <c r="L52" i="8"/>
  <c r="AH900" i="23"/>
  <c r="D52" i="8"/>
  <c r="AH892" i="23"/>
  <c r="B52" i="8"/>
  <c r="AH890" i="23"/>
  <c r="C53" i="8"/>
  <c r="AH947" i="23"/>
  <c r="E53" i="8"/>
  <c r="AH949" i="23"/>
  <c r="F53" i="8"/>
  <c r="AH950" i="23"/>
  <c r="G53" i="8"/>
  <c r="AH951" i="23"/>
  <c r="H53" i="8"/>
  <c r="AH952" i="23"/>
  <c r="I53" i="8"/>
  <c r="AH953" i="23"/>
  <c r="M53" i="8"/>
  <c r="AH957" i="23"/>
  <c r="L53" i="8"/>
  <c r="AH956" i="23"/>
  <c r="D53" i="8"/>
  <c r="AH948" i="23"/>
  <c r="K53" i="8"/>
  <c r="AH955" i="23"/>
  <c r="J53" i="8"/>
  <c r="AH954" i="23"/>
  <c r="B53" i="8"/>
  <c r="AH946" i="23"/>
  <c r="J54" i="8"/>
  <c r="AH1010" i="23"/>
  <c r="E54" i="8"/>
  <c r="AH1005" i="23"/>
  <c r="I54" i="8"/>
  <c r="AH1009" i="23"/>
  <c r="H54" i="8"/>
  <c r="AH1008" i="23"/>
  <c r="F54" i="8"/>
  <c r="AH1006" i="23"/>
  <c r="D54" i="8"/>
  <c r="AH1004" i="23"/>
  <c r="G54" i="8"/>
  <c r="AH1007" i="23"/>
  <c r="B54" i="8"/>
  <c r="AH1002" i="23"/>
  <c r="C54" i="8"/>
  <c r="AH1003" i="23"/>
  <c r="L54" i="8"/>
  <c r="AH1012" i="23"/>
  <c r="K54" i="8"/>
  <c r="AH1011" i="23"/>
  <c r="M54" i="8"/>
  <c r="AH1013" i="23"/>
  <c r="K55" i="8"/>
  <c r="AH1067" i="23"/>
  <c r="L55" i="8"/>
  <c r="AH1068" i="23"/>
  <c r="M55" i="8"/>
  <c r="AH1069" i="23"/>
  <c r="J55" i="8"/>
  <c r="AH1066" i="23"/>
  <c r="J56" i="8"/>
  <c r="AH1122" i="23"/>
  <c r="I56" i="8"/>
  <c r="AH1121" i="23"/>
  <c r="H56" i="8"/>
  <c r="AH1120" i="23"/>
  <c r="G56" i="8"/>
  <c r="AH1119" i="23"/>
  <c r="F56" i="8"/>
  <c r="AH1118" i="23"/>
  <c r="E56" i="8"/>
  <c r="AH1117" i="23"/>
  <c r="D56" i="8"/>
  <c r="AH1116" i="23"/>
  <c r="C56" i="8"/>
  <c r="AH1115" i="23"/>
  <c r="B56" i="8"/>
  <c r="AH1114" i="23"/>
  <c r="M56" i="8"/>
  <c r="AH1125" i="23"/>
  <c r="L56" i="8"/>
  <c r="AH1124" i="23"/>
  <c r="K56" i="8"/>
  <c r="AH1123" i="23"/>
  <c r="M57" i="8"/>
  <c r="AH1181" i="23"/>
  <c r="C57" i="8"/>
  <c r="AH1171" i="23"/>
  <c r="B57" i="8"/>
  <c r="AH1170" i="23"/>
  <c r="J57" i="8"/>
  <c r="AH1178" i="23"/>
  <c r="I57" i="8"/>
  <c r="AH1177" i="23"/>
  <c r="H57" i="8"/>
  <c r="AH1176" i="23"/>
  <c r="G57" i="8"/>
  <c r="AH1175" i="23"/>
  <c r="D57" i="8"/>
  <c r="AH1172" i="23"/>
  <c r="F57" i="8"/>
  <c r="AH1174" i="23"/>
  <c r="E57" i="8"/>
  <c r="AH1173" i="23"/>
  <c r="K57" i="8"/>
  <c r="AH1179" i="23"/>
  <c r="L57" i="8"/>
  <c r="AH1180" i="23"/>
  <c r="G58" i="8"/>
  <c r="AH1231" i="23"/>
  <c r="F58" i="8"/>
  <c r="AH1230" i="23"/>
  <c r="E58" i="8"/>
  <c r="AH1229" i="23"/>
  <c r="D58" i="8"/>
  <c r="AH1228" i="23"/>
  <c r="C58" i="8"/>
  <c r="AH1227" i="23"/>
  <c r="B58" i="8"/>
  <c r="AH1226" i="23"/>
  <c r="H58" i="8"/>
  <c r="AH1232" i="23"/>
  <c r="J58" i="8"/>
  <c r="AH1234" i="23"/>
  <c r="I58" i="8"/>
  <c r="AH1233" i="23"/>
  <c r="M58" i="8"/>
  <c r="AH1237" i="23"/>
  <c r="L58" i="8"/>
  <c r="AH1236" i="23"/>
  <c r="K58" i="8"/>
  <c r="AH1235" i="23"/>
  <c r="K59" i="8"/>
  <c r="AH1291" i="23"/>
  <c r="L59" i="8"/>
  <c r="AH1292" i="23"/>
  <c r="M59" i="8"/>
  <c r="AH1293" i="23"/>
  <c r="F64" i="8"/>
  <c r="AH1566" i="23"/>
  <c r="E64" i="8"/>
  <c r="AH1565" i="23"/>
  <c r="D64" i="8"/>
  <c r="AH1564" i="23"/>
  <c r="B64" i="8"/>
  <c r="AH1562" i="23"/>
  <c r="M64" i="8"/>
  <c r="AH1573" i="23"/>
  <c r="L64" i="8"/>
  <c r="AH1572" i="23"/>
  <c r="I64" i="8"/>
  <c r="AH1569" i="23"/>
  <c r="K64" i="8"/>
  <c r="AH1571" i="23"/>
  <c r="J64" i="8"/>
  <c r="AH1570" i="23"/>
  <c r="H64" i="8"/>
  <c r="AH1568" i="23"/>
  <c r="G64" i="8"/>
  <c r="AH1567" i="23"/>
  <c r="C64" i="8"/>
  <c r="AH1563" i="23"/>
  <c r="B63" i="8"/>
  <c r="AH1506" i="23"/>
  <c r="C63" i="8"/>
  <c r="AH1507" i="23"/>
  <c r="D63" i="8"/>
  <c r="AH1508" i="23"/>
  <c r="E63" i="8"/>
  <c r="AH1509" i="23"/>
  <c r="G63" i="8"/>
  <c r="AH1511" i="23"/>
  <c r="H63" i="8"/>
  <c r="AH1512" i="23"/>
  <c r="I63" i="8"/>
  <c r="AH1513" i="23"/>
  <c r="J63" i="8"/>
  <c r="AH1514" i="23"/>
  <c r="K63" i="8"/>
  <c r="AH1515" i="23"/>
  <c r="L63" i="8"/>
  <c r="AH1516" i="23"/>
  <c r="F63" i="8"/>
  <c r="AH1510" i="23"/>
  <c r="M63" i="8"/>
  <c r="AH1517" i="23"/>
  <c r="B62" i="8"/>
  <c r="AH1450" i="23"/>
  <c r="C62" i="8"/>
  <c r="AH1451" i="23"/>
  <c r="D62" i="8"/>
  <c r="AH1452" i="23"/>
  <c r="E62" i="8"/>
  <c r="AH1453" i="23"/>
  <c r="F62" i="8"/>
  <c r="AH1454" i="23"/>
  <c r="G62" i="8"/>
  <c r="AH1455" i="23"/>
  <c r="H62" i="8"/>
  <c r="AH1456" i="23"/>
  <c r="I62" i="8"/>
  <c r="AH1457" i="23"/>
  <c r="J62" i="8"/>
  <c r="AH1458" i="23"/>
  <c r="K62" i="8"/>
  <c r="AH1459" i="23"/>
  <c r="L62" i="8"/>
  <c r="AH1460" i="23"/>
  <c r="M62" i="8"/>
  <c r="AH1461" i="23"/>
  <c r="J60" i="8"/>
  <c r="AH1346" i="23"/>
  <c r="C60" i="8"/>
  <c r="AH1339" i="23"/>
  <c r="K60" i="8"/>
  <c r="AH1347" i="23"/>
  <c r="G60" i="8"/>
  <c r="AH1343" i="23"/>
  <c r="L60" i="8"/>
  <c r="AH1348" i="23"/>
  <c r="D60" i="8"/>
  <c r="AH1340" i="23"/>
  <c r="F60" i="8"/>
  <c r="AH1342" i="23"/>
  <c r="AH1349" i="23"/>
  <c r="M60" i="8"/>
  <c r="E60" i="8"/>
  <c r="AH1341" i="23"/>
  <c r="B60" i="8"/>
  <c r="AH1338" i="23"/>
  <c r="I60" i="8"/>
  <c r="AH1345" i="23"/>
  <c r="H60" i="8"/>
  <c r="AH1344" i="23"/>
  <c r="E41" i="8"/>
  <c r="AH277" i="23"/>
  <c r="B41" i="8"/>
  <c r="AH274" i="23"/>
  <c r="C41" i="8"/>
  <c r="AH275" i="23"/>
  <c r="D41" i="8"/>
  <c r="AH276" i="23"/>
  <c r="M41" i="8"/>
  <c r="AH285" i="23"/>
  <c r="L41" i="8"/>
  <c r="AH284" i="23"/>
  <c r="J41" i="8"/>
  <c r="AH282" i="23"/>
  <c r="K41" i="8"/>
  <c r="AH283" i="23"/>
  <c r="I41" i="8"/>
  <c r="AH281" i="23"/>
  <c r="H41" i="8"/>
  <c r="AH280" i="23"/>
  <c r="G41" i="8"/>
  <c r="AH279" i="23"/>
  <c r="F41" i="8"/>
  <c r="AH278" i="23"/>
  <c r="B42" i="8"/>
  <c r="AH330" i="23"/>
  <c r="C42" i="8"/>
  <c r="AH331" i="23"/>
  <c r="M42" i="8"/>
  <c r="AH341" i="23"/>
  <c r="E42" i="8"/>
  <c r="AH333" i="23"/>
  <c r="F42" i="8"/>
  <c r="AH334" i="23"/>
  <c r="G42" i="8"/>
  <c r="AH335" i="23"/>
  <c r="H42" i="8"/>
  <c r="AH336" i="23"/>
  <c r="I42" i="8"/>
  <c r="AH337" i="23"/>
  <c r="J42" i="8"/>
  <c r="AH338" i="23"/>
  <c r="D42" i="8"/>
  <c r="AH332" i="23"/>
  <c r="L42" i="8"/>
  <c r="AH340" i="23"/>
  <c r="K42" i="8"/>
  <c r="AH339" i="23"/>
  <c r="AH443" i="23"/>
  <c r="C44" i="8"/>
  <c r="AH448" i="23"/>
  <c r="H44" i="8"/>
  <c r="L44" i="8"/>
  <c r="AH452" i="23"/>
  <c r="AH442" i="23"/>
  <c r="B44" i="8"/>
  <c r="AH445" i="23"/>
  <c r="E44" i="8"/>
  <c r="D44" i="8"/>
  <c r="AH444" i="23"/>
  <c r="M44" i="8"/>
  <c r="AH453" i="23"/>
  <c r="G44" i="8"/>
  <c r="AH447" i="23"/>
  <c r="K44" i="8"/>
  <c r="AH451" i="23"/>
  <c r="AH449" i="23"/>
  <c r="I44" i="8"/>
  <c r="AH450" i="23"/>
  <c r="J44" i="8"/>
  <c r="F44" i="8"/>
  <c r="AH446" i="23"/>
  <c r="F46" i="8"/>
  <c r="AH558" i="23"/>
  <c r="C46" i="8"/>
  <c r="AH555" i="23"/>
  <c r="G46" i="8"/>
  <c r="AH559" i="23"/>
  <c r="J46" i="8"/>
  <c r="AH562" i="23"/>
  <c r="I46" i="8"/>
  <c r="AH561" i="23"/>
  <c r="B46" i="8"/>
  <c r="AH554" i="23"/>
  <c r="L46" i="8"/>
  <c r="AH564" i="23"/>
  <c r="H46" i="8"/>
  <c r="AH560" i="23"/>
  <c r="E46" i="8"/>
  <c r="AH557" i="23"/>
  <c r="M46" i="8"/>
  <c r="AH565" i="23"/>
  <c r="D46" i="8"/>
  <c r="AH556" i="23"/>
  <c r="K46" i="8"/>
  <c r="AH563" i="23"/>
  <c r="H47" i="8"/>
  <c r="AH616" i="23"/>
  <c r="I47" i="8"/>
  <c r="AH617" i="23"/>
  <c r="K47" i="8"/>
  <c r="AH619" i="23"/>
  <c r="G47" i="8"/>
  <c r="AH615" i="23"/>
  <c r="J47" i="8"/>
  <c r="AH618" i="23"/>
  <c r="L47" i="8"/>
  <c r="AH620" i="23"/>
  <c r="M47" i="8"/>
  <c r="AH621" i="23"/>
  <c r="G48" i="8"/>
  <c r="AH671" i="23"/>
  <c r="H48" i="8"/>
  <c r="AH672" i="23"/>
  <c r="I48" i="8"/>
  <c r="AH673" i="23"/>
  <c r="J48" i="8"/>
  <c r="AH674" i="23"/>
  <c r="D48" i="8"/>
  <c r="AH668" i="23"/>
  <c r="M48" i="8"/>
  <c r="AH677" i="23"/>
  <c r="L48" i="8"/>
  <c r="AH676" i="23"/>
  <c r="K48" i="8"/>
  <c r="AH675" i="23"/>
  <c r="B48" i="8"/>
  <c r="AH666" i="23"/>
  <c r="C48" i="8"/>
  <c r="AH667" i="23"/>
  <c r="E48" i="8"/>
  <c r="AH669" i="23"/>
  <c r="F48" i="8"/>
  <c r="AH670" i="23"/>
  <c r="E50" i="8"/>
  <c r="AH781" i="23"/>
  <c r="L50" i="8"/>
  <c r="AH788" i="23"/>
  <c r="H50" i="8"/>
  <c r="AH784" i="23"/>
  <c r="F50" i="8"/>
  <c r="AH782" i="23"/>
  <c r="B50" i="8"/>
  <c r="AH778" i="23"/>
  <c r="K50" i="8"/>
  <c r="AH787" i="23"/>
  <c r="I50" i="8"/>
  <c r="AH785" i="23"/>
  <c r="D50" i="8"/>
  <c r="AH780" i="23"/>
  <c r="G50" i="8"/>
  <c r="AH783" i="23"/>
  <c r="C50" i="8"/>
  <c r="AH779" i="23"/>
  <c r="J50" i="8"/>
  <c r="AH786" i="23"/>
  <c r="M50" i="8"/>
  <c r="AH789" i="23"/>
  <c r="K1320" i="23"/>
  <c r="F1320" i="23"/>
  <c r="F1264" i="23"/>
  <c r="O1264" i="23" s="1"/>
  <c r="K1264" i="23"/>
  <c r="F1208" i="23"/>
  <c r="K1208" i="23"/>
  <c r="K1040" i="23"/>
  <c r="F1040" i="23"/>
  <c r="O1040" i="23" s="1"/>
  <c r="F872" i="23"/>
  <c r="K872" i="23"/>
  <c r="F480" i="23"/>
  <c r="K480" i="23"/>
  <c r="F4735" i="22"/>
  <c r="K4735" i="22"/>
  <c r="T4679" i="22"/>
  <c r="F4681" i="22"/>
  <c r="K4681" i="22"/>
  <c r="D4627" i="22"/>
  <c r="F4627" i="22"/>
  <c r="O4627" i="22" s="1"/>
  <c r="F4111" i="22"/>
  <c r="O4111" i="22" s="1"/>
  <c r="K4111" i="22"/>
  <c r="K3595" i="22"/>
  <c r="F3595" i="22"/>
  <c r="O3595" i="22" s="1"/>
  <c r="F3541" i="22"/>
  <c r="O3541" i="22" s="1"/>
  <c r="K3541" i="22"/>
  <c r="F3325" i="22"/>
  <c r="O3325" i="22" s="1"/>
  <c r="K3325" i="22"/>
  <c r="F3271" i="22"/>
  <c r="O3271" i="22" s="1"/>
  <c r="K3271" i="22"/>
  <c r="F3109" i="22"/>
  <c r="O3109" i="22" s="1"/>
  <c r="K3109" i="22"/>
  <c r="F3001" i="22"/>
  <c r="O3001" i="22" s="1"/>
  <c r="K3001" i="22"/>
  <c r="K2947" i="22"/>
  <c r="F2947" i="22"/>
  <c r="O2947" i="22" s="1"/>
  <c r="K2893" i="22"/>
  <c r="F2893" i="22"/>
  <c r="O2893" i="22" s="1"/>
  <c r="F2623" i="22"/>
  <c r="O2623" i="22" s="1"/>
  <c r="K2623" i="22"/>
  <c r="K2569" i="22"/>
  <c r="F2569" i="22"/>
  <c r="O2569" i="22" s="1"/>
  <c r="K2515" i="22"/>
  <c r="F2515" i="22"/>
  <c r="O2515" i="22" s="1"/>
  <c r="F2461" i="22"/>
  <c r="O2461" i="22" s="1"/>
  <c r="K2461" i="22"/>
  <c r="K2299" i="22"/>
  <c r="F2299" i="22"/>
  <c r="O2299" i="22" s="1"/>
  <c r="K2137" i="22"/>
  <c r="F2137" i="22"/>
  <c r="O2137" i="22" s="1"/>
  <c r="F1759" i="22"/>
  <c r="O1759" i="22" s="1"/>
  <c r="K1759" i="22"/>
  <c r="K1705" i="22"/>
  <c r="F1705" i="22"/>
  <c r="O1705" i="22" s="1"/>
  <c r="F1381" i="22"/>
  <c r="O1381" i="22" s="1"/>
  <c r="K1381" i="22"/>
  <c r="F1327" i="22"/>
  <c r="O1327" i="22" s="1"/>
  <c r="K1327" i="22"/>
  <c r="K1273" i="22"/>
  <c r="F1273" i="22"/>
  <c r="O1273" i="22" s="1"/>
  <c r="F1057" i="22"/>
  <c r="O1057" i="22" s="1"/>
  <c r="K1057" i="22"/>
  <c r="K1003" i="22"/>
  <c r="F1003" i="22"/>
  <c r="O1003" i="22" s="1"/>
  <c r="F625" i="22"/>
  <c r="O625" i="22" s="1"/>
  <c r="K625" i="22"/>
  <c r="K571" i="22"/>
  <c r="F571" i="22"/>
  <c r="O571" i="22" s="1"/>
  <c r="F517" i="22"/>
  <c r="O517" i="22" s="1"/>
  <c r="K517" i="22"/>
  <c r="I808" i="23"/>
  <c r="O815" i="23"/>
  <c r="AE815" i="23" s="1"/>
  <c r="I920" i="23"/>
  <c r="O927" i="23"/>
  <c r="AE927" i="23" s="1"/>
  <c r="I1088" i="23"/>
  <c r="O1094" i="23"/>
  <c r="AE1094" i="23" s="1"/>
  <c r="I1200" i="23"/>
  <c r="O1206" i="23"/>
  <c r="AE1206" i="23" s="1"/>
  <c r="I1536" i="23"/>
  <c r="O1543" i="23" s="1"/>
  <c r="O1542" i="23"/>
  <c r="O1541" i="23"/>
  <c r="O1540" i="23"/>
  <c r="O1538" i="23"/>
  <c r="O1539" i="23"/>
  <c r="I1480" i="23"/>
  <c r="O1486" i="23"/>
  <c r="I1368" i="23"/>
  <c r="O1374" i="23"/>
  <c r="AE1374" i="23" s="1"/>
  <c r="I1312" i="23"/>
  <c r="O1318" i="23"/>
  <c r="AE1318" i="23" s="1"/>
  <c r="I472" i="23"/>
  <c r="O478" i="23"/>
  <c r="AE478" i="23" s="1"/>
  <c r="F22" i="18"/>
  <c r="G22" i="18"/>
  <c r="H22" i="18"/>
  <c r="O645" i="23"/>
  <c r="AE645" i="23" s="1"/>
  <c r="O644" i="23"/>
  <c r="AE644" i="23" s="1"/>
  <c r="O643" i="23"/>
  <c r="AE643" i="23" s="1"/>
  <c r="O642" i="23"/>
  <c r="AE642" i="23" s="1"/>
  <c r="O646" i="23"/>
  <c r="AE646" i="23" s="1"/>
  <c r="O647" i="23"/>
  <c r="AE647" i="23" s="1"/>
  <c r="AE1600" i="23" l="1"/>
  <c r="N4573" i="22"/>
  <c r="N85" i="22"/>
  <c r="U85" i="22" s="1"/>
  <c r="N4057" i="22"/>
  <c r="U4057" i="22" s="1"/>
  <c r="N4219" i="22"/>
  <c r="U4219" i="22" s="1"/>
  <c r="N23" i="17"/>
  <c r="U23" i="17" s="1"/>
  <c r="N4519" i="22"/>
  <c r="N4165" i="22"/>
  <c r="U4165" i="22" s="1"/>
  <c r="AE1096" i="23"/>
  <c r="O1320" i="23"/>
  <c r="O1208" i="23"/>
  <c r="O480" i="23"/>
  <c r="AI1282" i="23"/>
  <c r="B89" i="8"/>
  <c r="C89" i="8"/>
  <c r="AI1283" i="23"/>
  <c r="AI1284" i="23"/>
  <c r="D89" i="8"/>
  <c r="AI1285" i="23"/>
  <c r="E89" i="8"/>
  <c r="AI1286" i="23"/>
  <c r="F89" i="8"/>
  <c r="AI1287" i="23"/>
  <c r="G89" i="8"/>
  <c r="AI1288" i="23"/>
  <c r="H89" i="8"/>
  <c r="AI1289" i="23"/>
  <c r="I89" i="8"/>
  <c r="J89" i="8"/>
  <c r="AI1290" i="23"/>
  <c r="AI393" i="23"/>
  <c r="I73" i="8"/>
  <c r="B73" i="8"/>
  <c r="AI386" i="23"/>
  <c r="D73" i="8"/>
  <c r="AI388" i="23"/>
  <c r="F73" i="8"/>
  <c r="AI390" i="23"/>
  <c r="AI392" i="23"/>
  <c r="H73" i="8"/>
  <c r="AI394" i="23"/>
  <c r="J73" i="8"/>
  <c r="AI396" i="23"/>
  <c r="L73" i="8"/>
  <c r="AI395" i="23"/>
  <c r="K73" i="8"/>
  <c r="AI387" i="23"/>
  <c r="C73" i="8"/>
  <c r="G73" i="8"/>
  <c r="AI391" i="23"/>
  <c r="M73" i="8"/>
  <c r="AI397" i="23"/>
  <c r="E73" i="8"/>
  <c r="AI389" i="23"/>
  <c r="B75" i="8"/>
  <c r="AI498" i="23"/>
  <c r="E75" i="8"/>
  <c r="AI501" i="23"/>
  <c r="F75" i="8"/>
  <c r="AI502" i="23"/>
  <c r="AI503" i="23"/>
  <c r="G75" i="8"/>
  <c r="H75" i="8"/>
  <c r="AI504" i="23"/>
  <c r="AI505" i="23"/>
  <c r="I75" i="8"/>
  <c r="J75" i="8"/>
  <c r="AI506" i="23"/>
  <c r="AI507" i="23"/>
  <c r="K75" i="8"/>
  <c r="AI500" i="23"/>
  <c r="D75" i="8"/>
  <c r="M75" i="8"/>
  <c r="AI509" i="23"/>
  <c r="AI499" i="23"/>
  <c r="C75" i="8"/>
  <c r="L75" i="8"/>
  <c r="AI508" i="23"/>
  <c r="AI610" i="23"/>
  <c r="B77" i="8"/>
  <c r="AI611" i="23"/>
  <c r="C77" i="8"/>
  <c r="AI612" i="23"/>
  <c r="D77" i="8"/>
  <c r="AI613" i="23"/>
  <c r="E77" i="8"/>
  <c r="AI614" i="23"/>
  <c r="F77" i="8"/>
  <c r="K1545" i="23"/>
  <c r="F1545" i="23"/>
  <c r="O1545" i="23" s="1"/>
  <c r="K1321" i="23"/>
  <c r="F1321" i="23"/>
  <c r="O1321" i="23" s="1"/>
  <c r="K1097" i="23"/>
  <c r="F1097" i="23"/>
  <c r="O1097" i="23" s="1"/>
  <c r="K761" i="23"/>
  <c r="F761" i="23"/>
  <c r="O761" i="23" s="1"/>
  <c r="K649" i="23"/>
  <c r="F649" i="23"/>
  <c r="O649" i="23" s="1"/>
  <c r="K369" i="23"/>
  <c r="F369" i="23"/>
  <c r="O369" i="23" s="1"/>
  <c r="K4220" i="22"/>
  <c r="F4220" i="22"/>
  <c r="O4220" i="22" s="1"/>
  <c r="K3542" i="22"/>
  <c r="F3542" i="22"/>
  <c r="O3542" i="22" s="1"/>
  <c r="K3272" i="22"/>
  <c r="F3272" i="22"/>
  <c r="O3272" i="22" s="1"/>
  <c r="K3164" i="22"/>
  <c r="F3164" i="22"/>
  <c r="O3164" i="22" s="1"/>
  <c r="K2732" i="22"/>
  <c r="F2732" i="22"/>
  <c r="O2732" i="22" s="1"/>
  <c r="K2408" i="22"/>
  <c r="F2408" i="22"/>
  <c r="O2408" i="22" s="1"/>
  <c r="K1706" i="22"/>
  <c r="F1706" i="22"/>
  <c r="O1706" i="22" s="1"/>
  <c r="K1652" i="22"/>
  <c r="F1652" i="22"/>
  <c r="O1652" i="22" s="1"/>
  <c r="K1220" i="22"/>
  <c r="F1220" i="22"/>
  <c r="O1220" i="22" s="1"/>
  <c r="K896" i="22"/>
  <c r="F896" i="22"/>
  <c r="O896" i="22" s="1"/>
  <c r="K410" i="22"/>
  <c r="F410" i="22"/>
  <c r="O410" i="22" s="1"/>
  <c r="K86" i="22"/>
  <c r="F86" i="22"/>
  <c r="O86" i="22" s="1"/>
  <c r="O810" i="23"/>
  <c r="AE810" i="23" s="1"/>
  <c r="O816" i="23"/>
  <c r="AE816" i="23" s="1"/>
  <c r="O811" i="23"/>
  <c r="AE811" i="23" s="1"/>
  <c r="O814" i="23"/>
  <c r="AE814" i="23" s="1"/>
  <c r="O813" i="23"/>
  <c r="AE813" i="23" s="1"/>
  <c r="O812" i="23"/>
  <c r="AE812" i="23" s="1"/>
  <c r="O928" i="23"/>
  <c r="AE928" i="23" s="1"/>
  <c r="O926" i="23"/>
  <c r="AE926" i="23" s="1"/>
  <c r="O925" i="23"/>
  <c r="AE925" i="23" s="1"/>
  <c r="O924" i="23"/>
  <c r="AE924" i="23" s="1"/>
  <c r="O922" i="23"/>
  <c r="AE922" i="23" s="1"/>
  <c r="O923" i="23"/>
  <c r="AE923" i="23" s="1"/>
  <c r="O1092" i="23"/>
  <c r="AE1092" i="23" s="1"/>
  <c r="O1090" i="23"/>
  <c r="AE1090" i="23" s="1"/>
  <c r="O1095" i="23"/>
  <c r="O1091" i="23"/>
  <c r="AE1091" i="23" s="1"/>
  <c r="O1093" i="23"/>
  <c r="AE1093" i="23" s="1"/>
  <c r="O1207" i="23"/>
  <c r="O1205" i="23"/>
  <c r="AE1205" i="23" s="1"/>
  <c r="O1204" i="23"/>
  <c r="AE1204" i="23" s="1"/>
  <c r="O1202" i="23"/>
  <c r="AE1202" i="23" s="1"/>
  <c r="O1203" i="23"/>
  <c r="AE1203" i="23" s="1"/>
  <c r="O1485" i="23"/>
  <c r="O1484" i="23"/>
  <c r="O1483" i="23"/>
  <c r="O1482" i="23"/>
  <c r="O1488" i="23"/>
  <c r="O1487" i="23"/>
  <c r="O1372" i="23"/>
  <c r="AE1372" i="23" s="1"/>
  <c r="O1370" i="23"/>
  <c r="AE1370" i="23" s="1"/>
  <c r="O1373" i="23"/>
  <c r="AE1373" i="23" s="1"/>
  <c r="O1371" i="23"/>
  <c r="AE1371" i="23" s="1"/>
  <c r="O1376" i="23"/>
  <c r="AE1376" i="23" s="1"/>
  <c r="O1375" i="23"/>
  <c r="AE1375" i="23" s="1"/>
  <c r="O1317" i="23"/>
  <c r="AE1317" i="23" s="1"/>
  <c r="O1316" i="23"/>
  <c r="AE1316" i="23" s="1"/>
  <c r="O1315" i="23"/>
  <c r="AE1315" i="23" s="1"/>
  <c r="O1319" i="23"/>
  <c r="AE1319" i="23" s="1"/>
  <c r="O1314" i="23"/>
  <c r="AE1314" i="23" s="1"/>
  <c r="O477" i="23"/>
  <c r="AE477" i="23" s="1"/>
  <c r="O476" i="23"/>
  <c r="AE476" i="23" s="1"/>
  <c r="O475" i="23"/>
  <c r="AE475" i="23" s="1"/>
  <c r="O474" i="23"/>
  <c r="AE474" i="23" s="1"/>
  <c r="O479" i="23"/>
  <c r="AE479" i="23" s="1"/>
  <c r="M1601" i="23"/>
  <c r="J1601" i="23"/>
  <c r="N1601" i="23" s="1"/>
  <c r="AE1601" i="23" s="1"/>
  <c r="D1601" i="23"/>
  <c r="P1601" i="23"/>
  <c r="Q1601" i="23"/>
  <c r="R1601" i="23"/>
  <c r="I1602" i="23"/>
  <c r="L1602" i="23"/>
  <c r="C1602" i="23"/>
  <c r="K1602" i="23" s="1"/>
  <c r="E1602" i="23"/>
  <c r="F1602" i="23"/>
  <c r="O1602" i="23" s="1"/>
  <c r="G1602" i="23"/>
  <c r="B1603" i="23"/>
  <c r="M1545" i="23"/>
  <c r="J1545" i="23"/>
  <c r="N1545" i="23" s="1"/>
  <c r="AE1545" i="23" s="1"/>
  <c r="D1545" i="23"/>
  <c r="P1545" i="23"/>
  <c r="Q1545" i="23"/>
  <c r="R1545" i="23"/>
  <c r="L1546" i="23"/>
  <c r="I1546" i="23"/>
  <c r="C1546" i="23"/>
  <c r="E1546" i="23"/>
  <c r="G1546" i="23"/>
  <c r="B1547" i="23"/>
  <c r="J1489" i="23"/>
  <c r="D1489" i="23"/>
  <c r="P1489" i="23"/>
  <c r="Q1489" i="23"/>
  <c r="R1489" i="23"/>
  <c r="L1490" i="23"/>
  <c r="I1490" i="23"/>
  <c r="C1490" i="23"/>
  <c r="E1490" i="23"/>
  <c r="G1490" i="23"/>
  <c r="B1491" i="23"/>
  <c r="J1433" i="23"/>
  <c r="D1433" i="23"/>
  <c r="P1433" i="23"/>
  <c r="Q1433" i="23"/>
  <c r="R1433" i="23"/>
  <c r="L1434" i="23"/>
  <c r="I1434" i="23"/>
  <c r="C1434" i="23"/>
  <c r="E1434" i="23"/>
  <c r="G1434" i="23"/>
  <c r="B1435" i="23"/>
  <c r="P1377" i="23"/>
  <c r="Q1377" i="23"/>
  <c r="R1377" i="23"/>
  <c r="L1378" i="23"/>
  <c r="I1378" i="23"/>
  <c r="E1378" i="23"/>
  <c r="C1378" i="23"/>
  <c r="G1378" i="23"/>
  <c r="B1379" i="23"/>
  <c r="J1377" i="23"/>
  <c r="D1377" i="23"/>
  <c r="M1321" i="23"/>
  <c r="J1321" i="23"/>
  <c r="N1321" i="23" s="1"/>
  <c r="AE1321" i="23" s="1"/>
  <c r="D1321" i="23"/>
  <c r="P1321" i="23"/>
  <c r="Q1321" i="23"/>
  <c r="R1321" i="23"/>
  <c r="L1322" i="23"/>
  <c r="I1322" i="23"/>
  <c r="C1322" i="23"/>
  <c r="K1322" i="23" s="1"/>
  <c r="E1322" i="23"/>
  <c r="F1322" i="23"/>
  <c r="O1322" i="23" s="1"/>
  <c r="G1322" i="23"/>
  <c r="B1323" i="23"/>
  <c r="M1265" i="23"/>
  <c r="J1265" i="23"/>
  <c r="N1265" i="23" s="1"/>
  <c r="AE1265" i="23" s="1"/>
  <c r="D1265" i="23"/>
  <c r="P1265" i="23"/>
  <c r="Q1265" i="23"/>
  <c r="R1265" i="23"/>
  <c r="L1266" i="23"/>
  <c r="I1266" i="23"/>
  <c r="C1266" i="23"/>
  <c r="K1266" i="23" s="1"/>
  <c r="E1266" i="23"/>
  <c r="F1266" i="23"/>
  <c r="O1266" i="23" s="1"/>
  <c r="G1266" i="23"/>
  <c r="B1267" i="23"/>
  <c r="M1209" i="23"/>
  <c r="J1209" i="23"/>
  <c r="N1209" i="23" s="1"/>
  <c r="AE1209" i="23" s="1"/>
  <c r="D1209" i="23"/>
  <c r="P1209" i="23"/>
  <c r="Q1209" i="23"/>
  <c r="R1209" i="23"/>
  <c r="L1210" i="23"/>
  <c r="I1210" i="23"/>
  <c r="C1210" i="23"/>
  <c r="E1210" i="23"/>
  <c r="G1210" i="23"/>
  <c r="B1211" i="23"/>
  <c r="M1153" i="23"/>
  <c r="J1153" i="23"/>
  <c r="N1153" i="23" s="1"/>
  <c r="AE1153" i="23" s="1"/>
  <c r="D1153" i="23"/>
  <c r="P1153" i="23"/>
  <c r="Q1153" i="23"/>
  <c r="R1153" i="23"/>
  <c r="L1154" i="23"/>
  <c r="I1154" i="23"/>
  <c r="C1154" i="23"/>
  <c r="E1154" i="23"/>
  <c r="G1154" i="23"/>
  <c r="B1155" i="23"/>
  <c r="M1097" i="23"/>
  <c r="J1097" i="23"/>
  <c r="N1097" i="23" s="1"/>
  <c r="AE1097" i="23" s="1"/>
  <c r="D1097" i="23"/>
  <c r="P1097" i="23"/>
  <c r="Q1097" i="23"/>
  <c r="R1097" i="23"/>
  <c r="L1098" i="23"/>
  <c r="I1098" i="23"/>
  <c r="C1098" i="23"/>
  <c r="K1098" i="23" s="1"/>
  <c r="E1098" i="23"/>
  <c r="F1098" i="23"/>
  <c r="O1098" i="23" s="1"/>
  <c r="G1098" i="23"/>
  <c r="B1099" i="23"/>
  <c r="M1041" i="23"/>
  <c r="P1041" i="23"/>
  <c r="Q1041" i="23"/>
  <c r="R1041" i="23"/>
  <c r="L1042" i="23"/>
  <c r="I1042" i="23"/>
  <c r="E1042" i="23"/>
  <c r="C1042" i="23"/>
  <c r="K1042" i="23" s="1"/>
  <c r="F1042" i="23"/>
  <c r="O1042" i="23" s="1"/>
  <c r="G1042" i="23"/>
  <c r="B1043" i="23"/>
  <c r="J1041" i="23"/>
  <c r="N1041" i="23" s="1"/>
  <c r="AE1041" i="23" s="1"/>
  <c r="D1041" i="23"/>
  <c r="J985" i="23"/>
  <c r="D985" i="23"/>
  <c r="P985" i="23"/>
  <c r="Q985" i="23"/>
  <c r="R985" i="23"/>
  <c r="L986" i="23"/>
  <c r="I986" i="23"/>
  <c r="C986" i="23"/>
  <c r="K986" i="23" s="1"/>
  <c r="E986" i="23"/>
  <c r="F986" i="23"/>
  <c r="O986" i="23" s="1"/>
  <c r="G986" i="23"/>
  <c r="B987" i="23"/>
  <c r="M929" i="23"/>
  <c r="J929" i="23"/>
  <c r="N929" i="23" s="1"/>
  <c r="AE929" i="23" s="1"/>
  <c r="D929" i="23"/>
  <c r="P929" i="23"/>
  <c r="Q929" i="23"/>
  <c r="R929" i="23"/>
  <c r="L930" i="23"/>
  <c r="I930" i="23"/>
  <c r="C930" i="23"/>
  <c r="E930" i="23"/>
  <c r="G930" i="23"/>
  <c r="B931" i="23"/>
  <c r="M873" i="23"/>
  <c r="J873" i="23"/>
  <c r="N873" i="23" s="1"/>
  <c r="AE873" i="23" s="1"/>
  <c r="D873" i="23"/>
  <c r="P873" i="23"/>
  <c r="Q873" i="23"/>
  <c r="R873" i="23"/>
  <c r="L874" i="23"/>
  <c r="I874" i="23"/>
  <c r="C874" i="23"/>
  <c r="K874" i="23" s="1"/>
  <c r="E874" i="23"/>
  <c r="F874" i="23"/>
  <c r="O874" i="23" s="1"/>
  <c r="G874" i="23"/>
  <c r="B875" i="23"/>
  <c r="M817" i="23"/>
  <c r="J817" i="23"/>
  <c r="N817" i="23" s="1"/>
  <c r="AE817" i="23" s="1"/>
  <c r="D817" i="23"/>
  <c r="P817" i="23"/>
  <c r="Q817" i="23"/>
  <c r="R817" i="23"/>
  <c r="L818" i="23"/>
  <c r="I818" i="23"/>
  <c r="C818" i="23"/>
  <c r="K818" i="23" s="1"/>
  <c r="E818" i="23"/>
  <c r="F818" i="23"/>
  <c r="O818" i="23" s="1"/>
  <c r="G818" i="23"/>
  <c r="B819" i="23"/>
  <c r="M761" i="23"/>
  <c r="J761" i="23"/>
  <c r="N761" i="23" s="1"/>
  <c r="AE761" i="23" s="1"/>
  <c r="D761" i="23"/>
  <c r="P761" i="23"/>
  <c r="Q761" i="23"/>
  <c r="R761" i="23"/>
  <c r="L762" i="23"/>
  <c r="I762" i="23"/>
  <c r="C762" i="23"/>
  <c r="K762" i="23" s="1"/>
  <c r="E762" i="23"/>
  <c r="F762" i="23"/>
  <c r="O762" i="23" s="1"/>
  <c r="G762" i="23"/>
  <c r="B763" i="23"/>
  <c r="M705" i="23"/>
  <c r="J705" i="23"/>
  <c r="N705" i="23" s="1"/>
  <c r="AE705" i="23" s="1"/>
  <c r="D705" i="23"/>
  <c r="P705" i="23"/>
  <c r="Q705" i="23"/>
  <c r="R705" i="23"/>
  <c r="L706" i="23"/>
  <c r="I706" i="23"/>
  <c r="C706" i="23"/>
  <c r="E706" i="23"/>
  <c r="G706" i="23"/>
  <c r="B707" i="23"/>
  <c r="M649" i="23"/>
  <c r="J649" i="23"/>
  <c r="N649" i="23" s="1"/>
  <c r="AE649" i="23" s="1"/>
  <c r="D649" i="23"/>
  <c r="P649" i="23"/>
  <c r="Q649" i="23"/>
  <c r="R649" i="23"/>
  <c r="L650" i="23"/>
  <c r="I650" i="23"/>
  <c r="C650" i="23"/>
  <c r="K650" i="23" s="1"/>
  <c r="E650" i="23"/>
  <c r="F650" i="23"/>
  <c r="O650" i="23" s="1"/>
  <c r="G650" i="23"/>
  <c r="B651" i="23"/>
  <c r="M593" i="23"/>
  <c r="J593" i="23"/>
  <c r="N593" i="23" s="1"/>
  <c r="AE593" i="23" s="1"/>
  <c r="D593" i="23"/>
  <c r="P593" i="23"/>
  <c r="Q593" i="23"/>
  <c r="R593" i="23"/>
  <c r="L594" i="23"/>
  <c r="I594" i="23"/>
  <c r="C594" i="23"/>
  <c r="K594" i="23" s="1"/>
  <c r="E594" i="23"/>
  <c r="F594" i="23"/>
  <c r="O594" i="23" s="1"/>
  <c r="G594" i="23"/>
  <c r="B595" i="23"/>
  <c r="M537" i="23"/>
  <c r="J537" i="23"/>
  <c r="N537" i="23" s="1"/>
  <c r="AE537" i="23" s="1"/>
  <c r="D537" i="23"/>
  <c r="P537" i="23"/>
  <c r="Q537" i="23"/>
  <c r="R537" i="23"/>
  <c r="L538" i="23"/>
  <c r="I538" i="23"/>
  <c r="C538" i="23"/>
  <c r="K538" i="23" s="1"/>
  <c r="E538" i="23"/>
  <c r="F538" i="23"/>
  <c r="O538" i="23" s="1"/>
  <c r="G538" i="23"/>
  <c r="B539" i="23"/>
  <c r="L482" i="23"/>
  <c r="I482" i="23"/>
  <c r="G482" i="23"/>
  <c r="C482" i="23"/>
  <c r="K482" i="23" s="1"/>
  <c r="F482" i="23"/>
  <c r="O482" i="23" s="1"/>
  <c r="E482" i="23"/>
  <c r="B483" i="23"/>
  <c r="J481" i="23"/>
  <c r="D481" i="23"/>
  <c r="P481" i="23"/>
  <c r="Q481" i="23"/>
  <c r="R481" i="23"/>
  <c r="M425" i="23"/>
  <c r="J425" i="23"/>
  <c r="N425" i="23" s="1"/>
  <c r="AE425" i="23" s="1"/>
  <c r="D425" i="23"/>
  <c r="P425" i="23"/>
  <c r="Q425" i="23"/>
  <c r="R425" i="23"/>
  <c r="L426" i="23"/>
  <c r="I426" i="23"/>
  <c r="G426" i="23"/>
  <c r="C426" i="23"/>
  <c r="E426" i="23"/>
  <c r="B427" i="23"/>
  <c r="M369" i="23"/>
  <c r="J369" i="23"/>
  <c r="N369" i="23" s="1"/>
  <c r="AE369" i="23" s="1"/>
  <c r="D369" i="23"/>
  <c r="P369" i="23"/>
  <c r="Q369" i="23"/>
  <c r="R369" i="23"/>
  <c r="L370" i="23"/>
  <c r="I370" i="23"/>
  <c r="C370" i="23"/>
  <c r="K370" i="23" s="1"/>
  <c r="E370" i="23"/>
  <c r="F370" i="23"/>
  <c r="O370" i="23" s="1"/>
  <c r="G370" i="23"/>
  <c r="B371" i="23"/>
  <c r="J313" i="23"/>
  <c r="D313" i="23"/>
  <c r="P313" i="23"/>
  <c r="Q313" i="23"/>
  <c r="R313" i="23"/>
  <c r="L314" i="23"/>
  <c r="I314" i="23"/>
  <c r="C314" i="23"/>
  <c r="K314" i="23" s="1"/>
  <c r="E314" i="23"/>
  <c r="F314" i="23"/>
  <c r="O314" i="23" s="1"/>
  <c r="G314" i="23"/>
  <c r="B315" i="23"/>
  <c r="M257" i="23"/>
  <c r="J257" i="23"/>
  <c r="N257" i="23" s="1"/>
  <c r="AE257" i="23" s="1"/>
  <c r="D257" i="23"/>
  <c r="P257" i="23"/>
  <c r="Q257" i="23"/>
  <c r="R257" i="23"/>
  <c r="L258" i="23"/>
  <c r="I258" i="23"/>
  <c r="C258" i="23"/>
  <c r="K258" i="23" s="1"/>
  <c r="E258" i="23"/>
  <c r="F258" i="23"/>
  <c r="O258" i="23" s="1"/>
  <c r="G258" i="23"/>
  <c r="B259" i="23"/>
  <c r="D4736" i="22"/>
  <c r="J4736" i="22"/>
  <c r="N4736" i="22" s="1"/>
  <c r="P4736" i="22"/>
  <c r="Q4736" i="22"/>
  <c r="R4736" i="22"/>
  <c r="M4736" i="22"/>
  <c r="C4737" i="22"/>
  <c r="F4737" i="22" s="1"/>
  <c r="E4737" i="22"/>
  <c r="G4737" i="22"/>
  <c r="I4737" i="22"/>
  <c r="K4737" i="22"/>
  <c r="L4737" i="22"/>
  <c r="B4738" i="22"/>
  <c r="S4681" i="22"/>
  <c r="U4681" i="22"/>
  <c r="D4682" i="22"/>
  <c r="J4682" i="22"/>
  <c r="P4682" i="22"/>
  <c r="Q4682" i="22"/>
  <c r="R4682" i="22"/>
  <c r="L4683" i="22"/>
  <c r="C4683" i="22"/>
  <c r="K4683" i="22" s="1"/>
  <c r="E4683" i="22"/>
  <c r="F4683" i="22"/>
  <c r="G4683" i="22"/>
  <c r="I4683" i="22"/>
  <c r="B4684" i="22"/>
  <c r="P4628" i="22"/>
  <c r="Q4628" i="22"/>
  <c r="R4628" i="22"/>
  <c r="C4629" i="22"/>
  <c r="E4629" i="22"/>
  <c r="G4629" i="22"/>
  <c r="B4630" i="22"/>
  <c r="M4574" i="22"/>
  <c r="J4574" i="22"/>
  <c r="N4574" i="22" s="1"/>
  <c r="D4574" i="22"/>
  <c r="P4574" i="22"/>
  <c r="Q4574" i="22"/>
  <c r="R4574" i="22"/>
  <c r="I4575" i="22"/>
  <c r="L4575" i="22"/>
  <c r="C4575" i="22"/>
  <c r="K4575" i="22" s="1"/>
  <c r="E4575" i="22"/>
  <c r="F4575" i="22"/>
  <c r="G4575" i="22"/>
  <c r="B4576" i="22"/>
  <c r="M4520" i="22"/>
  <c r="D4520" i="22"/>
  <c r="J4520" i="22"/>
  <c r="N4520" i="22" s="1"/>
  <c r="P4520" i="22"/>
  <c r="Q4520" i="22"/>
  <c r="R4520" i="22"/>
  <c r="L4521" i="22"/>
  <c r="C4521" i="22"/>
  <c r="K4521" i="22" s="1"/>
  <c r="E4521" i="22"/>
  <c r="F4521" i="22"/>
  <c r="G4521" i="22"/>
  <c r="I4521" i="22"/>
  <c r="B4522" i="22"/>
  <c r="M4220" i="22"/>
  <c r="D4220" i="22"/>
  <c r="J4220" i="22"/>
  <c r="N4220" i="22" s="1"/>
  <c r="U4220" i="22" s="1"/>
  <c r="P4220" i="22"/>
  <c r="Q4220" i="22"/>
  <c r="R4220" i="22"/>
  <c r="L4221" i="22"/>
  <c r="C4221" i="22"/>
  <c r="K4221" i="22" s="1"/>
  <c r="E4221" i="22"/>
  <c r="F4221" i="22"/>
  <c r="O4221" i="22" s="1"/>
  <c r="G4221" i="22"/>
  <c r="I4221" i="22"/>
  <c r="B4222" i="22"/>
  <c r="M4166" i="22"/>
  <c r="D4166" i="22"/>
  <c r="J4166" i="22"/>
  <c r="N4166" i="22" s="1"/>
  <c r="U4166" i="22" s="1"/>
  <c r="P4166" i="22"/>
  <c r="Q4166" i="22"/>
  <c r="R4166" i="22"/>
  <c r="L4167" i="22"/>
  <c r="C4167" i="22"/>
  <c r="E4167" i="22"/>
  <c r="G4167" i="22"/>
  <c r="I4167" i="22"/>
  <c r="B4168" i="22"/>
  <c r="M4112" i="22"/>
  <c r="D4112" i="22"/>
  <c r="J4112" i="22"/>
  <c r="N4112" i="22" s="1"/>
  <c r="U4112" i="22" s="1"/>
  <c r="P4112" i="22"/>
  <c r="Q4112" i="22"/>
  <c r="R4112" i="22"/>
  <c r="L4113" i="22"/>
  <c r="C4113" i="22"/>
  <c r="E4113" i="22"/>
  <c r="G4113" i="22"/>
  <c r="I4113" i="22"/>
  <c r="B4114" i="22"/>
  <c r="D4058" i="22"/>
  <c r="J4058" i="22"/>
  <c r="P4058" i="22"/>
  <c r="Q4058" i="22"/>
  <c r="R4058" i="22"/>
  <c r="L4059" i="22"/>
  <c r="C4059" i="22"/>
  <c r="E4059" i="22"/>
  <c r="G4059" i="22"/>
  <c r="I4059" i="22"/>
  <c r="B4060" i="22"/>
  <c r="D3758" i="22"/>
  <c r="J3758" i="22"/>
  <c r="P3758" i="22"/>
  <c r="Q3758" i="22"/>
  <c r="R3758" i="22"/>
  <c r="L3759" i="22"/>
  <c r="C3759" i="22"/>
  <c r="K3759" i="22" s="1"/>
  <c r="E3759" i="22"/>
  <c r="F3759" i="22"/>
  <c r="O3759" i="22" s="1"/>
  <c r="G3759" i="22"/>
  <c r="I3759" i="22"/>
  <c r="B3760" i="22"/>
  <c r="M3704" i="22"/>
  <c r="D3704" i="22"/>
  <c r="J3704" i="22"/>
  <c r="N3704" i="22" s="1"/>
  <c r="U3704" i="22" s="1"/>
  <c r="P3704" i="22"/>
  <c r="Q3704" i="22"/>
  <c r="R3704" i="22"/>
  <c r="L3705" i="22"/>
  <c r="C3705" i="22"/>
  <c r="K3705" i="22" s="1"/>
  <c r="E3705" i="22"/>
  <c r="F3705" i="22"/>
  <c r="O3705" i="22" s="1"/>
  <c r="G3705" i="22"/>
  <c r="I3705" i="22"/>
  <c r="B3706" i="22"/>
  <c r="M3650" i="22"/>
  <c r="D3650" i="22"/>
  <c r="J3650" i="22"/>
  <c r="N3650" i="22" s="1"/>
  <c r="U3650" i="22" s="1"/>
  <c r="P3650" i="22"/>
  <c r="Q3650" i="22"/>
  <c r="R3650" i="22"/>
  <c r="L3651" i="22"/>
  <c r="C3651" i="22"/>
  <c r="K3651" i="22" s="1"/>
  <c r="E3651" i="22"/>
  <c r="F3651" i="22"/>
  <c r="O3651" i="22" s="1"/>
  <c r="G3651" i="22"/>
  <c r="I3651" i="22"/>
  <c r="B3652" i="22"/>
  <c r="M3596" i="22"/>
  <c r="L3597" i="22"/>
  <c r="C3597" i="22"/>
  <c r="K3597" i="22" s="1"/>
  <c r="E3597" i="22"/>
  <c r="F3597" i="22"/>
  <c r="O3597" i="22" s="1"/>
  <c r="G3597" i="22"/>
  <c r="B3598" i="22"/>
  <c r="I3597" i="22"/>
  <c r="D3596" i="22"/>
  <c r="J3596" i="22"/>
  <c r="N3596" i="22" s="1"/>
  <c r="U3596" i="22" s="1"/>
  <c r="P3596" i="22"/>
  <c r="Q3596" i="22"/>
  <c r="R3596" i="22"/>
  <c r="M3542" i="22"/>
  <c r="L3543" i="22"/>
  <c r="G3543" i="22"/>
  <c r="I3543" i="22"/>
  <c r="C3543" i="22"/>
  <c r="K3543" i="22" s="1"/>
  <c r="E3543" i="22"/>
  <c r="F3543" i="22"/>
  <c r="O3543" i="22" s="1"/>
  <c r="B3544" i="22"/>
  <c r="D3542" i="22"/>
  <c r="J3542" i="22"/>
  <c r="N3542" i="22" s="1"/>
  <c r="U3542" i="22" s="1"/>
  <c r="P3542" i="22"/>
  <c r="Q3542" i="22"/>
  <c r="R3542" i="22"/>
  <c r="D3488" i="22"/>
  <c r="J3488" i="22"/>
  <c r="P3488" i="22"/>
  <c r="Q3488" i="22"/>
  <c r="R3488" i="22"/>
  <c r="L3489" i="22"/>
  <c r="C3489" i="22"/>
  <c r="E3489" i="22"/>
  <c r="G3489" i="22"/>
  <c r="I3489" i="22"/>
  <c r="B3490" i="22"/>
  <c r="M3434" i="22"/>
  <c r="D3434" i="22"/>
  <c r="J3434" i="22"/>
  <c r="N3434" i="22" s="1"/>
  <c r="U3434" i="22" s="1"/>
  <c r="P3434" i="22"/>
  <c r="Q3434" i="22"/>
  <c r="R3434" i="22"/>
  <c r="L3435" i="22"/>
  <c r="C3435" i="22"/>
  <c r="E3435" i="22"/>
  <c r="G3435" i="22"/>
  <c r="I3435" i="22"/>
  <c r="B3436" i="22"/>
  <c r="M3380" i="22"/>
  <c r="D3380" i="22"/>
  <c r="J3380" i="22"/>
  <c r="N3380" i="22" s="1"/>
  <c r="U3380" i="22" s="1"/>
  <c r="P3380" i="22"/>
  <c r="Q3380" i="22"/>
  <c r="R3380" i="22"/>
  <c r="L3381" i="22"/>
  <c r="C3381" i="22"/>
  <c r="E3381" i="22"/>
  <c r="G3381" i="22"/>
  <c r="I3381" i="22"/>
  <c r="B3382" i="22"/>
  <c r="D3326" i="22"/>
  <c r="J3326" i="22"/>
  <c r="P3326" i="22"/>
  <c r="Q3326" i="22"/>
  <c r="R3326" i="22"/>
  <c r="L3327" i="22"/>
  <c r="C3327" i="22"/>
  <c r="K3327" i="22" s="1"/>
  <c r="E3327" i="22"/>
  <c r="F3327" i="22"/>
  <c r="O3327" i="22" s="1"/>
  <c r="G3327" i="22"/>
  <c r="I3327" i="22"/>
  <c r="B3328" i="22"/>
  <c r="M3272" i="22"/>
  <c r="D3272" i="22"/>
  <c r="J3272" i="22"/>
  <c r="N3272" i="22" s="1"/>
  <c r="U3272" i="22" s="1"/>
  <c r="P3272" i="22"/>
  <c r="Q3272" i="22"/>
  <c r="R3272" i="22"/>
  <c r="L3273" i="22"/>
  <c r="C3273" i="22"/>
  <c r="K3273" i="22" s="1"/>
  <c r="E3273" i="22"/>
  <c r="F3273" i="22"/>
  <c r="O3273" i="22" s="1"/>
  <c r="G3273" i="22"/>
  <c r="I3273" i="22"/>
  <c r="B3274" i="22"/>
  <c r="M3218" i="22"/>
  <c r="D3218" i="22"/>
  <c r="J3218" i="22"/>
  <c r="N3218" i="22" s="1"/>
  <c r="U3218" i="22" s="1"/>
  <c r="P3218" i="22"/>
  <c r="Q3218" i="22"/>
  <c r="R3218" i="22"/>
  <c r="L3219" i="22"/>
  <c r="C3219" i="22"/>
  <c r="K3219" i="22" s="1"/>
  <c r="E3219" i="22"/>
  <c r="F3219" i="22"/>
  <c r="O3219" i="22" s="1"/>
  <c r="G3219" i="22"/>
  <c r="B3220" i="22"/>
  <c r="I3219" i="22"/>
  <c r="M3164" i="22"/>
  <c r="D3164" i="22"/>
  <c r="J3164" i="22"/>
  <c r="N3164" i="22" s="1"/>
  <c r="U3164" i="22" s="1"/>
  <c r="P3164" i="22"/>
  <c r="Q3164" i="22"/>
  <c r="R3164" i="22"/>
  <c r="L3165" i="22"/>
  <c r="C3165" i="22"/>
  <c r="K3165" i="22" s="1"/>
  <c r="E3165" i="22"/>
  <c r="F3165" i="22"/>
  <c r="O3165" i="22" s="1"/>
  <c r="G3165" i="22"/>
  <c r="I3165" i="22"/>
  <c r="B3166" i="22"/>
  <c r="M3110" i="22"/>
  <c r="D3110" i="22"/>
  <c r="J3110" i="22"/>
  <c r="N3110" i="22" s="1"/>
  <c r="U3110" i="22" s="1"/>
  <c r="P3110" i="22"/>
  <c r="Q3110" i="22"/>
  <c r="R3110" i="22"/>
  <c r="L3111" i="22"/>
  <c r="G3111" i="22"/>
  <c r="B3112" i="22"/>
  <c r="I3111" i="22"/>
  <c r="C3111" i="22"/>
  <c r="E3111" i="22"/>
  <c r="M3056" i="22"/>
  <c r="J3056" i="22"/>
  <c r="N3056" i="22" s="1"/>
  <c r="U3056" i="22" s="1"/>
  <c r="D3056" i="22"/>
  <c r="P3056" i="22"/>
  <c r="Q3056" i="22"/>
  <c r="R3056" i="22"/>
  <c r="L3057" i="22"/>
  <c r="B3058" i="22"/>
  <c r="I3057" i="22"/>
  <c r="C3057" i="22"/>
  <c r="E3057" i="22"/>
  <c r="G3057" i="22"/>
  <c r="L3003" i="22"/>
  <c r="C3003" i="22"/>
  <c r="E3003" i="22"/>
  <c r="G3003" i="22"/>
  <c r="I3003" i="22"/>
  <c r="B3004" i="22"/>
  <c r="J3002" i="22"/>
  <c r="D3002" i="22"/>
  <c r="P3002" i="22"/>
  <c r="Q3002" i="22"/>
  <c r="R3002" i="22"/>
  <c r="P2948" i="22"/>
  <c r="Q2948" i="22"/>
  <c r="R2948" i="22"/>
  <c r="D2948" i="22"/>
  <c r="J2948" i="22"/>
  <c r="L2949" i="22"/>
  <c r="G2949" i="22"/>
  <c r="C2949" i="22"/>
  <c r="K2949" i="22" s="1"/>
  <c r="E2949" i="22"/>
  <c r="F2949" i="22"/>
  <c r="O2949" i="22" s="1"/>
  <c r="I2949" i="22"/>
  <c r="B2950" i="22"/>
  <c r="D2894" i="22"/>
  <c r="J2894" i="22"/>
  <c r="P2894" i="22"/>
  <c r="Q2894" i="22"/>
  <c r="R2894" i="22"/>
  <c r="L2895" i="22"/>
  <c r="C2895" i="22"/>
  <c r="K2895" i="22" s="1"/>
  <c r="E2895" i="22"/>
  <c r="F2895" i="22"/>
  <c r="O2895" i="22" s="1"/>
  <c r="G2895" i="22"/>
  <c r="I2895" i="22"/>
  <c r="B2896" i="22"/>
  <c r="M2840" i="22"/>
  <c r="D2840" i="22"/>
  <c r="J2840" i="22"/>
  <c r="N2840" i="22" s="1"/>
  <c r="U2840" i="22" s="1"/>
  <c r="P2840" i="22"/>
  <c r="Q2840" i="22"/>
  <c r="R2840" i="22"/>
  <c r="L2841" i="22"/>
  <c r="C2841" i="22"/>
  <c r="K2841" i="22" s="1"/>
  <c r="E2841" i="22"/>
  <c r="F2841" i="22"/>
  <c r="O2841" i="22" s="1"/>
  <c r="G2841" i="22"/>
  <c r="I2841" i="22"/>
  <c r="B2842" i="22"/>
  <c r="M2786" i="22"/>
  <c r="D2786" i="22"/>
  <c r="J2786" i="22"/>
  <c r="N2786" i="22" s="1"/>
  <c r="S2786" i="22" s="1"/>
  <c r="T2786" i="22" s="1"/>
  <c r="U2786" i="22" s="1"/>
  <c r="Q2786" i="22"/>
  <c r="P2786" i="22"/>
  <c r="R2786" i="22"/>
  <c r="L2787" i="22"/>
  <c r="C2787" i="22"/>
  <c r="E2787" i="22"/>
  <c r="G2787" i="22"/>
  <c r="I2787" i="22"/>
  <c r="B2788" i="22"/>
  <c r="M2732" i="22"/>
  <c r="D2732" i="22"/>
  <c r="J2732" i="22"/>
  <c r="N2732" i="22" s="1"/>
  <c r="U2732" i="22" s="1"/>
  <c r="P2732" i="22"/>
  <c r="Q2732" i="22"/>
  <c r="R2732" i="22"/>
  <c r="L2733" i="22"/>
  <c r="C2733" i="22"/>
  <c r="E2733" i="22"/>
  <c r="G2733" i="22"/>
  <c r="I2733" i="22"/>
  <c r="B2734" i="22"/>
  <c r="D2678" i="22"/>
  <c r="J2678" i="22"/>
  <c r="P2678" i="22"/>
  <c r="Q2678" i="22"/>
  <c r="R2678" i="22"/>
  <c r="L2679" i="22"/>
  <c r="C2679" i="22"/>
  <c r="E2679" i="22"/>
  <c r="G2679" i="22"/>
  <c r="I2679" i="22"/>
  <c r="B2680" i="22"/>
  <c r="D2624" i="22"/>
  <c r="J2624" i="22"/>
  <c r="P2624" i="22"/>
  <c r="Q2624" i="22"/>
  <c r="R2624" i="22"/>
  <c r="L2625" i="22"/>
  <c r="C2625" i="22"/>
  <c r="E2625" i="22"/>
  <c r="G2625" i="22"/>
  <c r="I2625" i="22"/>
  <c r="B2626" i="22"/>
  <c r="M2570" i="22"/>
  <c r="D2570" i="22"/>
  <c r="J2570" i="22"/>
  <c r="N2570" i="22" s="1"/>
  <c r="U2570" i="22" s="1"/>
  <c r="P2570" i="22"/>
  <c r="Q2570" i="22"/>
  <c r="R2570" i="22"/>
  <c r="L2571" i="22"/>
  <c r="C2571" i="22"/>
  <c r="K2571" i="22" s="1"/>
  <c r="E2571" i="22"/>
  <c r="F2571" i="22"/>
  <c r="O2571" i="22" s="1"/>
  <c r="G2571" i="22"/>
  <c r="I2571" i="22"/>
  <c r="B2572" i="22"/>
  <c r="M2516" i="22"/>
  <c r="D2516" i="22"/>
  <c r="J2516" i="22"/>
  <c r="N2516" i="22" s="1"/>
  <c r="U2516" i="22" s="1"/>
  <c r="P2516" i="22"/>
  <c r="Q2516" i="22"/>
  <c r="R2516" i="22"/>
  <c r="L2517" i="22"/>
  <c r="C2517" i="22"/>
  <c r="K2517" i="22" s="1"/>
  <c r="E2517" i="22"/>
  <c r="F2517" i="22"/>
  <c r="O2517" i="22" s="1"/>
  <c r="G2517" i="22"/>
  <c r="I2517" i="22"/>
  <c r="B2518" i="22"/>
  <c r="M2462" i="22"/>
  <c r="D2462" i="22"/>
  <c r="J2462" i="22"/>
  <c r="N2462" i="22" s="1"/>
  <c r="U2462" i="22" s="1"/>
  <c r="P2462" i="22"/>
  <c r="Q2462" i="22"/>
  <c r="R2462" i="22"/>
  <c r="L2463" i="22"/>
  <c r="C2463" i="22"/>
  <c r="K2463" i="22" s="1"/>
  <c r="E2463" i="22"/>
  <c r="F2463" i="22"/>
  <c r="O2463" i="22" s="1"/>
  <c r="G2463" i="22"/>
  <c r="I2463" i="22"/>
  <c r="B2464" i="22"/>
  <c r="M2408" i="22"/>
  <c r="D2408" i="22"/>
  <c r="J2408" i="22"/>
  <c r="N2408" i="22" s="1"/>
  <c r="U2408" i="22" s="1"/>
  <c r="P2408" i="22"/>
  <c r="Q2408" i="22"/>
  <c r="R2408" i="22"/>
  <c r="L2409" i="22"/>
  <c r="C2409" i="22"/>
  <c r="K2409" i="22" s="1"/>
  <c r="E2409" i="22"/>
  <c r="F2409" i="22"/>
  <c r="O2409" i="22" s="1"/>
  <c r="G2409" i="22"/>
  <c r="I2409" i="22"/>
  <c r="B2410" i="22"/>
  <c r="D2354" i="22"/>
  <c r="J2354" i="22"/>
  <c r="P2354" i="22"/>
  <c r="Q2354" i="22"/>
  <c r="R2354" i="22"/>
  <c r="L2355" i="22"/>
  <c r="C2355" i="22"/>
  <c r="K2355" i="22" s="1"/>
  <c r="E2355" i="22"/>
  <c r="F2355" i="22"/>
  <c r="O2355" i="22" s="1"/>
  <c r="G2355" i="22"/>
  <c r="I2355" i="22"/>
  <c r="B2356" i="22"/>
  <c r="L2301" i="22"/>
  <c r="C2301" i="22"/>
  <c r="K2301" i="22" s="1"/>
  <c r="I2301" i="22"/>
  <c r="G2301" i="22"/>
  <c r="B2302" i="22"/>
  <c r="E2301" i="22"/>
  <c r="F2301" i="22"/>
  <c r="O2301" i="22" s="1"/>
  <c r="P2300" i="22"/>
  <c r="Q2300" i="22"/>
  <c r="R2300" i="22"/>
  <c r="J2300" i="22"/>
  <c r="D2300" i="22"/>
  <c r="D2246" i="22"/>
  <c r="J2246" i="22"/>
  <c r="P2246" i="22"/>
  <c r="Q2246" i="22"/>
  <c r="R2246" i="22"/>
  <c r="L2247" i="22"/>
  <c r="C2247" i="22"/>
  <c r="E2247" i="22"/>
  <c r="G2247" i="22"/>
  <c r="I2247" i="22"/>
  <c r="B2248" i="22"/>
  <c r="M2192" i="22"/>
  <c r="D2192" i="22"/>
  <c r="J2192" i="22"/>
  <c r="N2192" i="22" s="1"/>
  <c r="U2192" i="22" s="1"/>
  <c r="P2192" i="22"/>
  <c r="Q2192" i="22"/>
  <c r="R2192" i="22"/>
  <c r="L2193" i="22"/>
  <c r="C2193" i="22"/>
  <c r="K2193" i="22" s="1"/>
  <c r="E2193" i="22"/>
  <c r="F2193" i="22"/>
  <c r="O2193" i="22" s="1"/>
  <c r="G2193" i="22"/>
  <c r="I2193" i="22"/>
  <c r="B2194" i="22"/>
  <c r="M2138" i="22"/>
  <c r="D2138" i="22"/>
  <c r="J2138" i="22"/>
  <c r="N2138" i="22" s="1"/>
  <c r="U2138" i="22" s="1"/>
  <c r="P2138" i="22"/>
  <c r="Q2138" i="22"/>
  <c r="R2138" i="22"/>
  <c r="L2139" i="22"/>
  <c r="C2139" i="22"/>
  <c r="K2139" i="22" s="1"/>
  <c r="E2139" i="22"/>
  <c r="F2139" i="22"/>
  <c r="O2139" i="22" s="1"/>
  <c r="G2139" i="22"/>
  <c r="I2139" i="22"/>
  <c r="B2140" i="22"/>
  <c r="M2084" i="22"/>
  <c r="D2084" i="22"/>
  <c r="J2084" i="22"/>
  <c r="N2084" i="22" s="1"/>
  <c r="U2084" i="22" s="1"/>
  <c r="P2084" i="22"/>
  <c r="Q2084" i="22"/>
  <c r="R2084" i="22"/>
  <c r="L2085" i="22"/>
  <c r="C2085" i="22"/>
  <c r="K2085" i="22" s="1"/>
  <c r="E2085" i="22"/>
  <c r="F2085" i="22"/>
  <c r="O2085" i="22" s="1"/>
  <c r="G2085" i="22"/>
  <c r="I2085" i="22"/>
  <c r="B2086" i="22"/>
  <c r="M2030" i="22"/>
  <c r="D2030" i="22"/>
  <c r="J2030" i="22"/>
  <c r="N2030" i="22" s="1"/>
  <c r="U2030" i="22" s="1"/>
  <c r="P2030" i="22"/>
  <c r="Q2030" i="22"/>
  <c r="R2030" i="22"/>
  <c r="L2031" i="22"/>
  <c r="C2031" i="22"/>
  <c r="K2031" i="22" s="1"/>
  <c r="E2031" i="22"/>
  <c r="F2031" i="22"/>
  <c r="O2031" i="22" s="1"/>
  <c r="G2031" i="22"/>
  <c r="I2031" i="22"/>
  <c r="B2032" i="22"/>
  <c r="M1976" i="22"/>
  <c r="D1976" i="22"/>
  <c r="J1976" i="22"/>
  <c r="N1976" i="22" s="1"/>
  <c r="U1976" i="22" s="1"/>
  <c r="P1976" i="22"/>
  <c r="Q1976" i="22"/>
  <c r="R1976" i="22"/>
  <c r="L1977" i="22"/>
  <c r="C1977" i="22"/>
  <c r="E1977" i="22"/>
  <c r="G1977" i="22"/>
  <c r="I1977" i="22"/>
  <c r="B1978" i="22"/>
  <c r="D1922" i="22"/>
  <c r="J1922" i="22"/>
  <c r="P1922" i="22"/>
  <c r="Q1922" i="22"/>
  <c r="R1922" i="22"/>
  <c r="L1923" i="22"/>
  <c r="C1923" i="22"/>
  <c r="E1923" i="22"/>
  <c r="G1923" i="22"/>
  <c r="I1923" i="22"/>
  <c r="B1924" i="22"/>
  <c r="D1868" i="22"/>
  <c r="J1868" i="22"/>
  <c r="P1868" i="22"/>
  <c r="Q1868" i="22"/>
  <c r="R1868" i="22"/>
  <c r="L1869" i="22"/>
  <c r="C1869" i="22"/>
  <c r="E1869" i="22"/>
  <c r="G1869" i="22"/>
  <c r="I1869" i="22"/>
  <c r="B1870" i="22"/>
  <c r="D1814" i="22"/>
  <c r="J1814" i="22"/>
  <c r="P1814" i="22"/>
  <c r="Q1814" i="22"/>
  <c r="R1814" i="22"/>
  <c r="L1815" i="22"/>
  <c r="C1815" i="22"/>
  <c r="K1815" i="22" s="1"/>
  <c r="E1815" i="22"/>
  <c r="F1815" i="22"/>
  <c r="O1815" i="22" s="1"/>
  <c r="G1815" i="22"/>
  <c r="I1815" i="22"/>
  <c r="B1816" i="22"/>
  <c r="M1760" i="22"/>
  <c r="D1760" i="22"/>
  <c r="J1760" i="22"/>
  <c r="N1760" i="22" s="1"/>
  <c r="U1760" i="22" s="1"/>
  <c r="P1760" i="22"/>
  <c r="Q1760" i="22"/>
  <c r="R1760" i="22"/>
  <c r="L1761" i="22"/>
  <c r="C1761" i="22"/>
  <c r="K1761" i="22" s="1"/>
  <c r="E1761" i="22"/>
  <c r="F1761" i="22"/>
  <c r="O1761" i="22" s="1"/>
  <c r="G1761" i="22"/>
  <c r="I1761" i="22"/>
  <c r="B1762" i="22"/>
  <c r="M1706" i="22"/>
  <c r="D1706" i="22"/>
  <c r="J1706" i="22"/>
  <c r="N1706" i="22" s="1"/>
  <c r="U1706" i="22" s="1"/>
  <c r="P1706" i="22"/>
  <c r="Q1706" i="22"/>
  <c r="R1706" i="22"/>
  <c r="L1707" i="22"/>
  <c r="C1707" i="22"/>
  <c r="K1707" i="22" s="1"/>
  <c r="E1707" i="22"/>
  <c r="F1707" i="22"/>
  <c r="O1707" i="22" s="1"/>
  <c r="G1707" i="22"/>
  <c r="I1707" i="22"/>
  <c r="B1708" i="22"/>
  <c r="M1652" i="22"/>
  <c r="D1652" i="22"/>
  <c r="J1652" i="22"/>
  <c r="N1652" i="22" s="1"/>
  <c r="U1652" i="22" s="1"/>
  <c r="P1652" i="22"/>
  <c r="Q1652" i="22"/>
  <c r="R1652" i="22"/>
  <c r="L1653" i="22"/>
  <c r="C1653" i="22"/>
  <c r="E1653" i="22"/>
  <c r="G1653" i="22"/>
  <c r="I1653" i="22"/>
  <c r="B1654" i="22"/>
  <c r="M1598" i="22"/>
  <c r="D1598" i="22"/>
  <c r="J1598" i="22"/>
  <c r="N1598" i="22" s="1"/>
  <c r="U1598" i="22" s="1"/>
  <c r="P1598" i="22"/>
  <c r="Q1598" i="22"/>
  <c r="R1598" i="22"/>
  <c r="L1599" i="22"/>
  <c r="C1599" i="22"/>
  <c r="E1599" i="22"/>
  <c r="G1599" i="22"/>
  <c r="I1599" i="22"/>
  <c r="B1600" i="22"/>
  <c r="D1544" i="22"/>
  <c r="J1544" i="22"/>
  <c r="P1544" i="22"/>
  <c r="Q1544" i="22"/>
  <c r="R1544" i="22"/>
  <c r="L1545" i="22"/>
  <c r="C1545" i="22"/>
  <c r="K1545" i="22" s="1"/>
  <c r="E1545" i="22"/>
  <c r="F1545" i="22"/>
  <c r="O1545" i="22" s="1"/>
  <c r="G1545" i="22"/>
  <c r="I1545" i="22"/>
  <c r="B1546" i="22"/>
  <c r="D1490" i="22"/>
  <c r="J1490" i="22"/>
  <c r="P1490" i="22"/>
  <c r="Q1490" i="22"/>
  <c r="R1490" i="22"/>
  <c r="L1491" i="22"/>
  <c r="C1491" i="22"/>
  <c r="K1491" i="22" s="1"/>
  <c r="E1491" i="22"/>
  <c r="F1491" i="22"/>
  <c r="O1491" i="22" s="1"/>
  <c r="G1491" i="22"/>
  <c r="I1491" i="22"/>
  <c r="B1492" i="22"/>
  <c r="D1436" i="22"/>
  <c r="J1436" i="22"/>
  <c r="P1436" i="22"/>
  <c r="Q1436" i="22"/>
  <c r="R1436" i="22"/>
  <c r="L1437" i="22"/>
  <c r="C1437" i="22"/>
  <c r="K1437" i="22" s="1"/>
  <c r="E1437" i="22"/>
  <c r="F1437" i="22"/>
  <c r="O1437" i="22" s="1"/>
  <c r="G1437" i="22"/>
  <c r="I1437" i="22"/>
  <c r="B1438" i="22"/>
  <c r="M1382" i="22"/>
  <c r="D1382" i="22"/>
  <c r="J1382" i="22"/>
  <c r="N1382" i="22" s="1"/>
  <c r="U1382" i="22" s="1"/>
  <c r="P1382" i="22"/>
  <c r="Q1382" i="22"/>
  <c r="R1382" i="22"/>
  <c r="L1383" i="22"/>
  <c r="C1383" i="22"/>
  <c r="K1383" i="22" s="1"/>
  <c r="E1383" i="22"/>
  <c r="F1383" i="22"/>
  <c r="O1383" i="22" s="1"/>
  <c r="G1383" i="22"/>
  <c r="I1383" i="22"/>
  <c r="B1384" i="22"/>
  <c r="M1328" i="22"/>
  <c r="D1328" i="22"/>
  <c r="J1328" i="22"/>
  <c r="N1328" i="22" s="1"/>
  <c r="U1328" i="22" s="1"/>
  <c r="P1328" i="22"/>
  <c r="Q1328" i="22"/>
  <c r="R1328" i="22"/>
  <c r="L1329" i="22"/>
  <c r="C1329" i="22"/>
  <c r="K1329" i="22" s="1"/>
  <c r="E1329" i="22"/>
  <c r="F1329" i="22"/>
  <c r="O1329" i="22" s="1"/>
  <c r="G1329" i="22"/>
  <c r="I1329" i="22"/>
  <c r="B1330" i="22"/>
  <c r="M1274" i="22"/>
  <c r="D1274" i="22"/>
  <c r="J1274" i="22"/>
  <c r="N1274" i="22" s="1"/>
  <c r="U1274" i="22" s="1"/>
  <c r="P1274" i="22"/>
  <c r="Q1274" i="22"/>
  <c r="R1274" i="22"/>
  <c r="L1275" i="22"/>
  <c r="C1275" i="22"/>
  <c r="E1275" i="22"/>
  <c r="G1275" i="22"/>
  <c r="I1275" i="22"/>
  <c r="B1276" i="22"/>
  <c r="M1220" i="22"/>
  <c r="D1220" i="22"/>
  <c r="J1220" i="22"/>
  <c r="N1220" i="22" s="1"/>
  <c r="U1220" i="22" s="1"/>
  <c r="P1220" i="22"/>
  <c r="Q1220" i="22"/>
  <c r="R1220" i="22"/>
  <c r="L1221" i="22"/>
  <c r="C1221" i="22"/>
  <c r="E1221" i="22"/>
  <c r="G1221" i="22"/>
  <c r="I1221" i="22"/>
  <c r="B1222" i="22"/>
  <c r="D1166" i="22"/>
  <c r="J1166" i="22"/>
  <c r="P1166" i="22"/>
  <c r="Q1166" i="22"/>
  <c r="R1166" i="22"/>
  <c r="L1167" i="22"/>
  <c r="C1167" i="22"/>
  <c r="K1167" i="22" s="1"/>
  <c r="E1167" i="22"/>
  <c r="F1167" i="22"/>
  <c r="O1167" i="22" s="1"/>
  <c r="G1167" i="22"/>
  <c r="I1167" i="22"/>
  <c r="B1168" i="22"/>
  <c r="D1112" i="22"/>
  <c r="J1112" i="22"/>
  <c r="P1112" i="22"/>
  <c r="Q1112" i="22"/>
  <c r="R1112" i="22"/>
  <c r="L1113" i="22"/>
  <c r="C1113" i="22"/>
  <c r="E1113" i="22"/>
  <c r="G1113" i="22"/>
  <c r="I1113" i="22"/>
  <c r="B1114" i="22"/>
  <c r="D1058" i="22"/>
  <c r="J1058" i="22"/>
  <c r="P1058" i="22"/>
  <c r="Q1058" i="22"/>
  <c r="R1058" i="22"/>
  <c r="L1059" i="22"/>
  <c r="C1059" i="22"/>
  <c r="E1059" i="22"/>
  <c r="G1059" i="22"/>
  <c r="I1059" i="22"/>
  <c r="B1060" i="22"/>
  <c r="M1004" i="22"/>
  <c r="D1004" i="22"/>
  <c r="J1004" i="22"/>
  <c r="N1004" i="22" s="1"/>
  <c r="U1004" i="22" s="1"/>
  <c r="P1004" i="22"/>
  <c r="Q1004" i="22"/>
  <c r="R1004" i="22"/>
  <c r="L1005" i="22"/>
  <c r="C1005" i="22"/>
  <c r="K1005" i="22" s="1"/>
  <c r="E1005" i="22"/>
  <c r="F1005" i="22"/>
  <c r="O1005" i="22" s="1"/>
  <c r="G1005" i="22"/>
  <c r="I1005" i="22"/>
  <c r="B1006" i="22"/>
  <c r="M950" i="22"/>
  <c r="D950" i="22"/>
  <c r="J950" i="22"/>
  <c r="N950" i="22" s="1"/>
  <c r="U950" i="22" s="1"/>
  <c r="P950" i="22"/>
  <c r="Q950" i="22"/>
  <c r="R950" i="22"/>
  <c r="L951" i="22"/>
  <c r="C951" i="22"/>
  <c r="E951" i="22"/>
  <c r="G951" i="22"/>
  <c r="I951" i="22"/>
  <c r="B952" i="22"/>
  <c r="M896" i="22"/>
  <c r="D896" i="22"/>
  <c r="J896" i="22"/>
  <c r="N896" i="22" s="1"/>
  <c r="U896" i="22" s="1"/>
  <c r="P896" i="22"/>
  <c r="Q896" i="22"/>
  <c r="R896" i="22"/>
  <c r="L897" i="22"/>
  <c r="C897" i="22"/>
  <c r="E897" i="22"/>
  <c r="G897" i="22"/>
  <c r="I897" i="22"/>
  <c r="B898" i="22"/>
  <c r="M842" i="22"/>
  <c r="D842" i="22"/>
  <c r="J842" i="22"/>
  <c r="N842" i="22" s="1"/>
  <c r="U842" i="22" s="1"/>
  <c r="P842" i="22"/>
  <c r="Q842" i="22"/>
  <c r="R842" i="22"/>
  <c r="L843" i="22"/>
  <c r="C843" i="22"/>
  <c r="E843" i="22"/>
  <c r="G843" i="22"/>
  <c r="I843" i="22"/>
  <c r="B844" i="22"/>
  <c r="M788" i="22"/>
  <c r="D788" i="22"/>
  <c r="J788" i="22"/>
  <c r="N788" i="22" s="1"/>
  <c r="U788" i="22" s="1"/>
  <c r="P788" i="22"/>
  <c r="Q788" i="22"/>
  <c r="R788" i="22"/>
  <c r="L789" i="22"/>
  <c r="C789" i="22"/>
  <c r="K789" i="22" s="1"/>
  <c r="E789" i="22"/>
  <c r="F789" i="22"/>
  <c r="O789" i="22" s="1"/>
  <c r="G789" i="22"/>
  <c r="I789" i="22"/>
  <c r="B790" i="22"/>
  <c r="D734" i="22"/>
  <c r="J734" i="22"/>
  <c r="P734" i="22"/>
  <c r="Q734" i="22"/>
  <c r="R734" i="22"/>
  <c r="L735" i="22"/>
  <c r="C735" i="22"/>
  <c r="E735" i="22"/>
  <c r="G735" i="22"/>
  <c r="I735" i="22"/>
  <c r="B736" i="22"/>
  <c r="D680" i="22"/>
  <c r="J680" i="22"/>
  <c r="P680" i="22"/>
  <c r="Q680" i="22"/>
  <c r="R680" i="22"/>
  <c r="L681" i="22"/>
  <c r="C681" i="22"/>
  <c r="K681" i="22" s="1"/>
  <c r="E681" i="22"/>
  <c r="F681" i="22"/>
  <c r="O681" i="22" s="1"/>
  <c r="G681" i="22"/>
  <c r="I681" i="22"/>
  <c r="B682" i="22"/>
  <c r="M626" i="22"/>
  <c r="D626" i="22"/>
  <c r="J626" i="22"/>
  <c r="N626" i="22" s="1"/>
  <c r="U626" i="22" s="1"/>
  <c r="P626" i="22"/>
  <c r="Q626" i="22"/>
  <c r="R626" i="22"/>
  <c r="L627" i="22"/>
  <c r="C627" i="22"/>
  <c r="K627" i="22" s="1"/>
  <c r="E627" i="22"/>
  <c r="F627" i="22"/>
  <c r="O627" i="22" s="1"/>
  <c r="G627" i="22"/>
  <c r="I627" i="22"/>
  <c r="B628" i="22"/>
  <c r="M572" i="22"/>
  <c r="D572" i="22"/>
  <c r="J572" i="22"/>
  <c r="N572" i="22" s="1"/>
  <c r="U572" i="22" s="1"/>
  <c r="P572" i="22"/>
  <c r="Q572" i="22"/>
  <c r="R572" i="22"/>
  <c r="L573" i="22"/>
  <c r="C573" i="22"/>
  <c r="E573" i="22"/>
  <c r="G573" i="22"/>
  <c r="I573" i="22"/>
  <c r="B574" i="22"/>
  <c r="M518" i="22"/>
  <c r="D518" i="22"/>
  <c r="J518" i="22"/>
  <c r="N518" i="22" s="1"/>
  <c r="U518" i="22" s="1"/>
  <c r="P518" i="22"/>
  <c r="Q518" i="22"/>
  <c r="R518" i="22"/>
  <c r="L519" i="22"/>
  <c r="C519" i="22"/>
  <c r="E519" i="22"/>
  <c r="G519" i="22"/>
  <c r="I519" i="22"/>
  <c r="B520" i="22"/>
  <c r="M464" i="22"/>
  <c r="D464" i="22"/>
  <c r="J464" i="22"/>
  <c r="N464" i="22" s="1"/>
  <c r="U464" i="22" s="1"/>
  <c r="P464" i="22"/>
  <c r="Q464" i="22"/>
  <c r="R464" i="22"/>
  <c r="L465" i="22"/>
  <c r="C465" i="22"/>
  <c r="K465" i="22" s="1"/>
  <c r="E465" i="22"/>
  <c r="F465" i="22"/>
  <c r="O465" i="22" s="1"/>
  <c r="G465" i="22"/>
  <c r="I465" i="22"/>
  <c r="B466" i="22"/>
  <c r="M410" i="22"/>
  <c r="D410" i="22"/>
  <c r="J410" i="22"/>
  <c r="N410" i="22" s="1"/>
  <c r="U410" i="22" s="1"/>
  <c r="P410" i="22"/>
  <c r="Q410" i="22"/>
  <c r="R410" i="22"/>
  <c r="L411" i="22"/>
  <c r="C411" i="22"/>
  <c r="K411" i="22" s="1"/>
  <c r="E411" i="22"/>
  <c r="F411" i="22"/>
  <c r="O411" i="22" s="1"/>
  <c r="G411" i="22"/>
  <c r="I411" i="22"/>
  <c r="B412" i="22"/>
  <c r="M356" i="22"/>
  <c r="D356" i="22"/>
  <c r="J356" i="22"/>
  <c r="N356" i="22" s="1"/>
  <c r="U356" i="22" s="1"/>
  <c r="P356" i="22"/>
  <c r="Q356" i="22"/>
  <c r="R356" i="22"/>
  <c r="L357" i="22"/>
  <c r="C357" i="22"/>
  <c r="E357" i="22"/>
  <c r="G357" i="22"/>
  <c r="I357" i="22"/>
  <c r="B358" i="22"/>
  <c r="D302" i="22"/>
  <c r="J302" i="22"/>
  <c r="P302" i="22"/>
  <c r="Q302" i="22"/>
  <c r="R302" i="22"/>
  <c r="L303" i="22"/>
  <c r="C303" i="22"/>
  <c r="K303" i="22" s="1"/>
  <c r="E303" i="22"/>
  <c r="F303" i="22"/>
  <c r="O303" i="22" s="1"/>
  <c r="G303" i="22"/>
  <c r="I303" i="22"/>
  <c r="B304" i="22"/>
  <c r="M248" i="22"/>
  <c r="D248" i="22"/>
  <c r="J248" i="22"/>
  <c r="N248" i="22" s="1"/>
  <c r="U248" i="22" s="1"/>
  <c r="P248" i="22"/>
  <c r="Q248" i="22"/>
  <c r="R248" i="22"/>
  <c r="L249" i="22"/>
  <c r="C249" i="22"/>
  <c r="K249" i="22" s="1"/>
  <c r="E249" i="22"/>
  <c r="F249" i="22"/>
  <c r="O249" i="22" s="1"/>
  <c r="G249" i="22"/>
  <c r="I249" i="22"/>
  <c r="B250" i="22"/>
  <c r="M194" i="22"/>
  <c r="D194" i="22"/>
  <c r="J194" i="22"/>
  <c r="N194" i="22" s="1"/>
  <c r="U194" i="22" s="1"/>
  <c r="P194" i="22"/>
  <c r="Q194" i="22"/>
  <c r="R194" i="22"/>
  <c r="L195" i="22"/>
  <c r="C195" i="22"/>
  <c r="K195" i="22" s="1"/>
  <c r="E195" i="22"/>
  <c r="F195" i="22"/>
  <c r="O195" i="22" s="1"/>
  <c r="G195" i="22"/>
  <c r="B196" i="22"/>
  <c r="I195" i="22"/>
  <c r="M140" i="22"/>
  <c r="D140" i="22"/>
  <c r="J140" i="22"/>
  <c r="N140" i="22" s="1"/>
  <c r="U140" i="22" s="1"/>
  <c r="P140" i="22"/>
  <c r="Q140" i="22"/>
  <c r="R140" i="22"/>
  <c r="L141" i="22"/>
  <c r="C141" i="22"/>
  <c r="K141" i="22" s="1"/>
  <c r="E141" i="22"/>
  <c r="F141" i="22"/>
  <c r="O141" i="22" s="1"/>
  <c r="G141" i="22"/>
  <c r="B142" i="22"/>
  <c r="I141" i="22"/>
  <c r="M86" i="22"/>
  <c r="D86" i="22"/>
  <c r="J86" i="22"/>
  <c r="N86" i="22" s="1"/>
  <c r="U86" i="22" s="1"/>
  <c r="P86" i="22"/>
  <c r="Q86" i="22"/>
  <c r="R86" i="22"/>
  <c r="L87" i="22"/>
  <c r="C87" i="22"/>
  <c r="K87" i="22" s="1"/>
  <c r="E87" i="22"/>
  <c r="F87" i="22"/>
  <c r="O87" i="22" s="1"/>
  <c r="G87" i="22"/>
  <c r="I87" i="22"/>
  <c r="B88" i="22"/>
  <c r="O867" i="23"/>
  <c r="AE867" i="23" s="1"/>
  <c r="O866" i="23"/>
  <c r="AE866" i="23" s="1"/>
  <c r="O868" i="23"/>
  <c r="AE868" i="23" s="1"/>
  <c r="O869" i="23"/>
  <c r="AE869" i="23" s="1"/>
  <c r="O870" i="23"/>
  <c r="AE870" i="23" s="1"/>
  <c r="O978" i="23"/>
  <c r="AE978" i="23" s="1"/>
  <c r="O979" i="23"/>
  <c r="AE979" i="23" s="1"/>
  <c r="O980" i="23"/>
  <c r="AE980" i="23" s="1"/>
  <c r="O981" i="23"/>
  <c r="AE981" i="23" s="1"/>
  <c r="O982" i="23"/>
  <c r="AE982" i="23" s="1"/>
  <c r="O1147" i="23"/>
  <c r="AE1147" i="23" s="1"/>
  <c r="O1146" i="23"/>
  <c r="AE1146" i="23" s="1"/>
  <c r="O1148" i="23"/>
  <c r="AE1148" i="23" s="1"/>
  <c r="O1432" i="23"/>
  <c r="O1426" i="23"/>
  <c r="O1427" i="23"/>
  <c r="O1428" i="23"/>
  <c r="O1429" i="23"/>
  <c r="O1430" i="23"/>
  <c r="O256" i="23"/>
  <c r="AE256" i="23" s="1"/>
  <c r="O250" i="23"/>
  <c r="AE250" i="23" s="1"/>
  <c r="O251" i="23"/>
  <c r="AE251" i="23" s="1"/>
  <c r="O252" i="23"/>
  <c r="AE252" i="23" s="1"/>
  <c r="O253" i="23"/>
  <c r="AE253" i="23" s="1"/>
  <c r="O312" i="23"/>
  <c r="AE312" i="23" s="1"/>
  <c r="O306" i="23"/>
  <c r="AE306" i="23" s="1"/>
  <c r="O307" i="23"/>
  <c r="AE307" i="23" s="1"/>
  <c r="O308" i="23"/>
  <c r="AE308" i="23" s="1"/>
  <c r="O309" i="23"/>
  <c r="AE309" i="23" s="1"/>
  <c r="O310" i="23"/>
  <c r="AE310" i="23" s="1"/>
  <c r="O362" i="23"/>
  <c r="AE362" i="23" s="1"/>
  <c r="O363" i="23"/>
  <c r="AE363" i="23" s="1"/>
  <c r="O364" i="23"/>
  <c r="AE364" i="23" s="1"/>
  <c r="O365" i="23"/>
  <c r="AE365" i="23" s="1"/>
  <c r="O366" i="23"/>
  <c r="AE366" i="23" s="1"/>
  <c r="O368" i="23"/>
  <c r="AE368" i="23" s="1"/>
  <c r="O534" i="23"/>
  <c r="AE534" i="23" s="1"/>
  <c r="O530" i="23"/>
  <c r="AE530" i="23" s="1"/>
  <c r="O531" i="23"/>
  <c r="AE531" i="23" s="1"/>
  <c r="O532" i="23"/>
  <c r="AE532" i="23" s="1"/>
  <c r="O533" i="23"/>
  <c r="AE533" i="23" s="1"/>
  <c r="O536" i="23"/>
  <c r="AE536" i="23" s="1"/>
  <c r="O590" i="23"/>
  <c r="AE590" i="23" s="1"/>
  <c r="O587" i="23"/>
  <c r="AE587" i="23" s="1"/>
  <c r="O586" i="23"/>
  <c r="AE586" i="23" s="1"/>
  <c r="O588" i="23"/>
  <c r="AE588" i="23" s="1"/>
  <c r="O589" i="23"/>
  <c r="AE589" i="23" s="1"/>
  <c r="O592" i="23"/>
  <c r="AE592" i="23" s="1"/>
  <c r="O758" i="23"/>
  <c r="AE758" i="23" s="1"/>
  <c r="O760" i="23"/>
  <c r="AE760" i="23" s="1"/>
  <c r="O755" i="23"/>
  <c r="AE755" i="23" s="1"/>
  <c r="O754" i="23"/>
  <c r="AE754" i="23" s="1"/>
  <c r="O756" i="23"/>
  <c r="AE756" i="23" s="1"/>
  <c r="O757" i="23"/>
  <c r="AE757" i="23" s="1"/>
  <c r="M24" i="17"/>
  <c r="D24" i="17"/>
  <c r="J24" i="17"/>
  <c r="N24" i="17" s="1"/>
  <c r="U24" i="17" s="1"/>
  <c r="AB24" i="17"/>
  <c r="AA24" i="17"/>
  <c r="Z24" i="17"/>
  <c r="Y24" i="17"/>
  <c r="X24" i="17"/>
  <c r="W24" i="17"/>
  <c r="P24" i="17"/>
  <c r="Q24" i="17"/>
  <c r="R24" i="17"/>
  <c r="V24" i="17"/>
  <c r="L25" i="17"/>
  <c r="C25" i="17"/>
  <c r="K25" i="17" s="1"/>
  <c r="E25" i="17"/>
  <c r="F25" i="17"/>
  <c r="C25" i="18" s="1"/>
  <c r="E25" i="18" s="1"/>
  <c r="O25" i="17" s="1"/>
  <c r="G25" i="17"/>
  <c r="I25" i="17"/>
  <c r="B26" i="17"/>
  <c r="B25" i="18"/>
  <c r="AF16" i="17"/>
  <c r="B90" i="12"/>
  <c r="I90" i="12" s="1"/>
  <c r="AE15" i="17"/>
  <c r="AD17" i="17"/>
  <c r="AD18" i="17"/>
  <c r="AD19" i="17"/>
  <c r="AD20" i="17"/>
  <c r="AD21" i="17"/>
  <c r="AD22" i="17"/>
  <c r="AD23" i="17"/>
  <c r="AD24" i="17"/>
  <c r="AD25" i="17"/>
  <c r="AI836" i="23"/>
  <c r="D81" i="8"/>
  <c r="AI843" i="23"/>
  <c r="K81" i="8"/>
  <c r="AI834" i="23"/>
  <c r="B81" i="8"/>
  <c r="AI844" i="23"/>
  <c r="L81" i="8"/>
  <c r="AI839" i="23"/>
  <c r="G81" i="8"/>
  <c r="AI837" i="23"/>
  <c r="E81" i="8"/>
  <c r="AI842" i="23"/>
  <c r="J81" i="8"/>
  <c r="AI835" i="23"/>
  <c r="C81" i="8"/>
  <c r="AI841" i="23"/>
  <c r="I81" i="8"/>
  <c r="AI838" i="23"/>
  <c r="F81" i="8"/>
  <c r="AI845" i="23"/>
  <c r="M81" i="8"/>
  <c r="AI840" i="23"/>
  <c r="H81" i="8"/>
  <c r="AI899" i="23"/>
  <c r="K82" i="8"/>
  <c r="AI898" i="23"/>
  <c r="J82" i="8"/>
  <c r="AI897" i="23"/>
  <c r="I82" i="8"/>
  <c r="AI896" i="23"/>
  <c r="H82" i="8"/>
  <c r="AI891" i="23"/>
  <c r="C82" i="8"/>
  <c r="AI894" i="23"/>
  <c r="F82" i="8"/>
  <c r="AI895" i="23"/>
  <c r="G82" i="8"/>
  <c r="AI893" i="23"/>
  <c r="E82" i="8"/>
  <c r="AI901" i="23"/>
  <c r="M82" i="8"/>
  <c r="AI900" i="23"/>
  <c r="L82" i="8"/>
  <c r="AI892" i="23"/>
  <c r="D82" i="8"/>
  <c r="AI890" i="23"/>
  <c r="B82" i="8"/>
  <c r="AI947" i="23"/>
  <c r="C83" i="8"/>
  <c r="AI949" i="23"/>
  <c r="E83" i="8"/>
  <c r="AI950" i="23"/>
  <c r="F83" i="8"/>
  <c r="AI951" i="23"/>
  <c r="G83" i="8"/>
  <c r="AI952" i="23"/>
  <c r="H83" i="8"/>
  <c r="AI953" i="23"/>
  <c r="I83" i="8"/>
  <c r="AI957" i="23"/>
  <c r="M83" i="8"/>
  <c r="AI956" i="23"/>
  <c r="L83" i="8"/>
  <c r="AI948" i="23"/>
  <c r="D83" i="8"/>
  <c r="AI955" i="23"/>
  <c r="K83" i="8"/>
  <c r="AI954" i="23"/>
  <c r="J83" i="8"/>
  <c r="AI946" i="23"/>
  <c r="B83" i="8"/>
  <c r="AI1010" i="23"/>
  <c r="J84" i="8"/>
  <c r="AI1005" i="23"/>
  <c r="E84" i="8"/>
  <c r="AI1009" i="23"/>
  <c r="I84" i="8"/>
  <c r="AI1008" i="23"/>
  <c r="H84" i="8"/>
  <c r="AI1006" i="23"/>
  <c r="F84" i="8"/>
  <c r="AI1004" i="23"/>
  <c r="D84" i="8"/>
  <c r="AI1007" i="23"/>
  <c r="G84" i="8"/>
  <c r="AI1002" i="23"/>
  <c r="B84" i="8"/>
  <c r="AI1003" i="23"/>
  <c r="C84" i="8"/>
  <c r="AI1012" i="23"/>
  <c r="L84" i="8"/>
  <c r="AI1011" i="23"/>
  <c r="K84" i="8"/>
  <c r="AI1013" i="23"/>
  <c r="M84" i="8"/>
  <c r="AI1067" i="23"/>
  <c r="K85" i="8"/>
  <c r="AI1068" i="23"/>
  <c r="L85" i="8"/>
  <c r="AI1069" i="23"/>
  <c r="M85" i="8"/>
  <c r="AI1066" i="23"/>
  <c r="J85" i="8"/>
  <c r="AI1122" i="23"/>
  <c r="J86" i="8"/>
  <c r="AI1121" i="23"/>
  <c r="I86" i="8"/>
  <c r="AI1120" i="23"/>
  <c r="H86" i="8"/>
  <c r="AI1119" i="23"/>
  <c r="G86" i="8"/>
  <c r="AI1118" i="23"/>
  <c r="F86" i="8"/>
  <c r="AI1117" i="23"/>
  <c r="E86" i="8"/>
  <c r="AI1116" i="23"/>
  <c r="D86" i="8"/>
  <c r="AI1115" i="23"/>
  <c r="C86" i="8"/>
  <c r="AI1114" i="23"/>
  <c r="B86" i="8"/>
  <c r="AI1125" i="23"/>
  <c r="M86" i="8"/>
  <c r="AI1124" i="23"/>
  <c r="L86" i="8"/>
  <c r="AI1123" i="23"/>
  <c r="K86" i="8"/>
  <c r="AI1181" i="23"/>
  <c r="M87" i="8"/>
  <c r="AI1171" i="23"/>
  <c r="C87" i="8"/>
  <c r="AI1170" i="23"/>
  <c r="B87" i="8"/>
  <c r="AI1178" i="23"/>
  <c r="J87" i="8"/>
  <c r="AI1177" i="23"/>
  <c r="I87" i="8"/>
  <c r="AI1176" i="23"/>
  <c r="H87" i="8"/>
  <c r="AI1175" i="23"/>
  <c r="G87" i="8"/>
  <c r="AI1172" i="23"/>
  <c r="D87" i="8"/>
  <c r="AI1174" i="23"/>
  <c r="F87" i="8"/>
  <c r="AI1173" i="23"/>
  <c r="E87" i="8"/>
  <c r="AI1179" i="23"/>
  <c r="K87" i="8"/>
  <c r="AI1180" i="23"/>
  <c r="L87" i="8"/>
  <c r="AI1231" i="23"/>
  <c r="G88" i="8"/>
  <c r="AI1230" i="23"/>
  <c r="F88" i="8"/>
  <c r="AI1229" i="23"/>
  <c r="E88" i="8"/>
  <c r="AI1228" i="23"/>
  <c r="D88" i="8"/>
  <c r="AI1227" i="23"/>
  <c r="C88" i="8"/>
  <c r="AI1226" i="23"/>
  <c r="B88" i="8"/>
  <c r="AI1232" i="23"/>
  <c r="H88" i="8"/>
  <c r="AI1234" i="23"/>
  <c r="J88" i="8"/>
  <c r="AI1233" i="23"/>
  <c r="I88" i="8"/>
  <c r="AI1237" i="23"/>
  <c r="M88" i="8"/>
  <c r="AI1236" i="23"/>
  <c r="L88" i="8"/>
  <c r="AI1235" i="23"/>
  <c r="K88" i="8"/>
  <c r="AI1291" i="23"/>
  <c r="K89" i="8"/>
  <c r="AI1292" i="23"/>
  <c r="L89" i="8"/>
  <c r="AI1293" i="23"/>
  <c r="M89" i="8"/>
  <c r="AI1566" i="23"/>
  <c r="F94" i="8"/>
  <c r="AI1565" i="23"/>
  <c r="E94" i="8"/>
  <c r="AI1564" i="23"/>
  <c r="D94" i="8"/>
  <c r="AI1562" i="23"/>
  <c r="B94" i="8"/>
  <c r="AI1573" i="23"/>
  <c r="M94" i="8"/>
  <c r="AI1572" i="23"/>
  <c r="L94" i="8"/>
  <c r="AI1569" i="23"/>
  <c r="I94" i="8"/>
  <c r="AI1571" i="23"/>
  <c r="K94" i="8"/>
  <c r="AI1570" i="23"/>
  <c r="J94" i="8"/>
  <c r="AI1568" i="23"/>
  <c r="H94" i="8"/>
  <c r="AI1567" i="23"/>
  <c r="G94" i="8"/>
  <c r="AI1563" i="23"/>
  <c r="C94" i="8"/>
  <c r="AI1506" i="23"/>
  <c r="B93" i="8"/>
  <c r="AI1507" i="23"/>
  <c r="C93" i="8"/>
  <c r="AI1508" i="23"/>
  <c r="D93" i="8"/>
  <c r="AI1509" i="23"/>
  <c r="E93" i="8"/>
  <c r="AI1511" i="23"/>
  <c r="G93" i="8"/>
  <c r="AI1512" i="23"/>
  <c r="H93" i="8"/>
  <c r="AI1513" i="23"/>
  <c r="I93" i="8"/>
  <c r="AI1514" i="23"/>
  <c r="J93" i="8"/>
  <c r="AI1515" i="23"/>
  <c r="K93" i="8"/>
  <c r="AI1516" i="23"/>
  <c r="L93" i="8"/>
  <c r="AI1510" i="23"/>
  <c r="F93" i="8"/>
  <c r="AI1517" i="23"/>
  <c r="M93" i="8"/>
  <c r="AI1450" i="23"/>
  <c r="B92" i="8"/>
  <c r="AI1451" i="23"/>
  <c r="C92" i="8"/>
  <c r="AI1452" i="23"/>
  <c r="D92" i="8"/>
  <c r="AI1453" i="23"/>
  <c r="E92" i="8"/>
  <c r="AI1454" i="23"/>
  <c r="F92" i="8"/>
  <c r="AI1455" i="23"/>
  <c r="G92" i="8"/>
  <c r="AI1456" i="23"/>
  <c r="H92" i="8"/>
  <c r="AI1457" i="23"/>
  <c r="I92" i="8"/>
  <c r="AI1458" i="23"/>
  <c r="J92" i="8"/>
  <c r="AI1459" i="23"/>
  <c r="K92" i="8"/>
  <c r="AI1460" i="23"/>
  <c r="L92" i="8"/>
  <c r="AI1461" i="23"/>
  <c r="M92" i="8"/>
  <c r="AI1346" i="23"/>
  <c r="J90" i="8"/>
  <c r="AI1339" i="23"/>
  <c r="C90" i="8"/>
  <c r="K90" i="8"/>
  <c r="AI1347" i="23"/>
  <c r="AI1343" i="23"/>
  <c r="G90" i="8"/>
  <c r="AI1348" i="23"/>
  <c r="L90" i="8"/>
  <c r="AI1340" i="23"/>
  <c r="D90" i="8"/>
  <c r="AI1342" i="23"/>
  <c r="F90" i="8"/>
  <c r="AI1349" i="23"/>
  <c r="M90" i="8"/>
  <c r="E90" i="8"/>
  <c r="AI1341" i="23"/>
  <c r="AI1338" i="23"/>
  <c r="B90" i="8"/>
  <c r="AI1345" i="23"/>
  <c r="I90" i="8"/>
  <c r="H90" i="8"/>
  <c r="AI1344" i="23"/>
  <c r="AI277" i="23"/>
  <c r="E71" i="8"/>
  <c r="AI274" i="23"/>
  <c r="B71" i="8"/>
  <c r="AI275" i="23"/>
  <c r="C71" i="8"/>
  <c r="AI276" i="23"/>
  <c r="D71" i="8"/>
  <c r="AI285" i="23"/>
  <c r="M71" i="8"/>
  <c r="AI284" i="23"/>
  <c r="L71" i="8"/>
  <c r="AI282" i="23"/>
  <c r="J71" i="8"/>
  <c r="AI283" i="23"/>
  <c r="K71" i="8"/>
  <c r="AI281" i="23"/>
  <c r="I71" i="8"/>
  <c r="AI280" i="23"/>
  <c r="H71" i="8"/>
  <c r="AI279" i="23"/>
  <c r="G71" i="8"/>
  <c r="AI278" i="23"/>
  <c r="F71" i="8"/>
  <c r="AI330" i="23"/>
  <c r="B72" i="8"/>
  <c r="AI331" i="23"/>
  <c r="C72" i="8"/>
  <c r="AI341" i="23"/>
  <c r="M72" i="8"/>
  <c r="AI333" i="23"/>
  <c r="E72" i="8"/>
  <c r="AI334" i="23"/>
  <c r="F72" i="8"/>
  <c r="AI335" i="23"/>
  <c r="G72" i="8"/>
  <c r="AI336" i="23"/>
  <c r="H72" i="8"/>
  <c r="AI337" i="23"/>
  <c r="I72" i="8"/>
  <c r="AI338" i="23"/>
  <c r="J72" i="8"/>
  <c r="AI332" i="23"/>
  <c r="D72" i="8"/>
  <c r="AI340" i="23"/>
  <c r="L72" i="8"/>
  <c r="AI339" i="23"/>
  <c r="K72" i="8"/>
  <c r="AI443" i="23"/>
  <c r="C74" i="8"/>
  <c r="H74" i="8"/>
  <c r="AI448" i="23"/>
  <c r="L74" i="8"/>
  <c r="AI452" i="23"/>
  <c r="B74" i="8"/>
  <c r="AI442" i="23"/>
  <c r="AI445" i="23"/>
  <c r="E74" i="8"/>
  <c r="D74" i="8"/>
  <c r="AI444" i="23"/>
  <c r="M74" i="8"/>
  <c r="AI453" i="23"/>
  <c r="G74" i="8"/>
  <c r="AI447" i="23"/>
  <c r="K74" i="8"/>
  <c r="AI451" i="23"/>
  <c r="AI449" i="23"/>
  <c r="I74" i="8"/>
  <c r="J74" i="8"/>
  <c r="AI450" i="23"/>
  <c r="F74" i="8"/>
  <c r="AI446" i="23"/>
  <c r="AI558" i="23"/>
  <c r="F76" i="8"/>
  <c r="AI555" i="23"/>
  <c r="C76" i="8"/>
  <c r="AI559" i="23"/>
  <c r="G76" i="8"/>
  <c r="AI562" i="23"/>
  <c r="J76" i="8"/>
  <c r="AI561" i="23"/>
  <c r="I76" i="8"/>
  <c r="AI554" i="23"/>
  <c r="B76" i="8"/>
  <c r="AI564" i="23"/>
  <c r="L76" i="8"/>
  <c r="AI560" i="23"/>
  <c r="H76" i="8"/>
  <c r="AI557" i="23"/>
  <c r="E76" i="8"/>
  <c r="AI565" i="23"/>
  <c r="M76" i="8"/>
  <c r="AI556" i="23"/>
  <c r="D76" i="8"/>
  <c r="AI563" i="23"/>
  <c r="K76" i="8"/>
  <c r="AI616" i="23"/>
  <c r="H77" i="8"/>
  <c r="AI617" i="23"/>
  <c r="I77" i="8"/>
  <c r="AI619" i="23"/>
  <c r="K77" i="8"/>
  <c r="AI615" i="23"/>
  <c r="G77" i="8"/>
  <c r="AI618" i="23"/>
  <c r="J77" i="8"/>
  <c r="AI620" i="23"/>
  <c r="L77" i="8"/>
  <c r="AI621" i="23"/>
  <c r="M77" i="8"/>
  <c r="AI671" i="23"/>
  <c r="G78" i="8"/>
  <c r="AI672" i="23"/>
  <c r="H78" i="8"/>
  <c r="AI673" i="23"/>
  <c r="I78" i="8"/>
  <c r="AI674" i="23"/>
  <c r="J78" i="8"/>
  <c r="AI668" i="23"/>
  <c r="D78" i="8"/>
  <c r="AI677" i="23"/>
  <c r="M78" i="8"/>
  <c r="AI676" i="23"/>
  <c r="L78" i="8"/>
  <c r="AI675" i="23"/>
  <c r="K78" i="8"/>
  <c r="AI666" i="23"/>
  <c r="B78" i="8"/>
  <c r="AI667" i="23"/>
  <c r="C78" i="8"/>
  <c r="AI669" i="23"/>
  <c r="E78" i="8"/>
  <c r="AI670" i="23"/>
  <c r="F78" i="8"/>
  <c r="AI781" i="23"/>
  <c r="E80" i="8"/>
  <c r="AI788" i="23"/>
  <c r="L80" i="8"/>
  <c r="AI784" i="23"/>
  <c r="H80" i="8"/>
  <c r="AI782" i="23"/>
  <c r="F80" i="8"/>
  <c r="AI778" i="23"/>
  <c r="B80" i="8"/>
  <c r="AI787" i="23"/>
  <c r="K80" i="8"/>
  <c r="AI785" i="23"/>
  <c r="I80" i="8"/>
  <c r="AI780" i="23"/>
  <c r="D80" i="8"/>
  <c r="AI783" i="23"/>
  <c r="G80" i="8"/>
  <c r="AI779" i="23"/>
  <c r="C80" i="8"/>
  <c r="AI786" i="23"/>
  <c r="J80" i="8"/>
  <c r="AI789" i="23"/>
  <c r="M80" i="8"/>
  <c r="M1320" i="23"/>
  <c r="N1320" i="23"/>
  <c r="AE1320" i="23" s="1"/>
  <c r="M1264" i="23"/>
  <c r="N1264" i="23"/>
  <c r="AE1264" i="23" s="1"/>
  <c r="M1208" i="23"/>
  <c r="N1208" i="23"/>
  <c r="AE1208" i="23" s="1"/>
  <c r="M1040" i="23"/>
  <c r="N1040" i="23"/>
  <c r="AE1040" i="23" s="1"/>
  <c r="M872" i="23"/>
  <c r="N872" i="23"/>
  <c r="N480" i="23"/>
  <c r="AE480" i="23" s="1"/>
  <c r="M480" i="23"/>
  <c r="M4735" i="22"/>
  <c r="N4735" i="22" s="1"/>
  <c r="M4681" i="22"/>
  <c r="N4681" i="22"/>
  <c r="M4111" i="22"/>
  <c r="N4111" i="22"/>
  <c r="U4111" i="22" s="1"/>
  <c r="N3595" i="22"/>
  <c r="U3595" i="22" s="1"/>
  <c r="M3595" i="22"/>
  <c r="M3541" i="22"/>
  <c r="N3541" i="22"/>
  <c r="U3541" i="22" s="1"/>
  <c r="M3325" i="22"/>
  <c r="N3325" i="22"/>
  <c r="U3325" i="22" s="1"/>
  <c r="M3271" i="22"/>
  <c r="N3271" i="22"/>
  <c r="U3271" i="22" s="1"/>
  <c r="M3109" i="22"/>
  <c r="N3109" i="22"/>
  <c r="U3109" i="22" s="1"/>
  <c r="N3001" i="22"/>
  <c r="U3001" i="22" s="1"/>
  <c r="M3001" i="22"/>
  <c r="M2947" i="22"/>
  <c r="N2947" i="22"/>
  <c r="U2947" i="22" s="1"/>
  <c r="M2893" i="22"/>
  <c r="N2893" i="22"/>
  <c r="U2893" i="22" s="1"/>
  <c r="M2623" i="22"/>
  <c r="N2623" i="22"/>
  <c r="U2623" i="22" s="1"/>
  <c r="M2569" i="22"/>
  <c r="N2569" i="22"/>
  <c r="U2569" i="22" s="1"/>
  <c r="M2515" i="22"/>
  <c r="N2515" i="22"/>
  <c r="U2515" i="22" s="1"/>
  <c r="M2461" i="22"/>
  <c r="N2461" i="22"/>
  <c r="U2461" i="22" s="1"/>
  <c r="M2299" i="22"/>
  <c r="N2299" i="22"/>
  <c r="U2299" i="22" s="1"/>
  <c r="M2137" i="22"/>
  <c r="N2137" i="22"/>
  <c r="U2137" i="22" s="1"/>
  <c r="M1759" i="22"/>
  <c r="N1759" i="22"/>
  <c r="U1759" i="22" s="1"/>
  <c r="M1705" i="22"/>
  <c r="N1705" i="22"/>
  <c r="U1705" i="22" s="1"/>
  <c r="M1381" i="22"/>
  <c r="N1381" i="22"/>
  <c r="U1381" i="22" s="1"/>
  <c r="M1327" i="22"/>
  <c r="N1327" i="22"/>
  <c r="U1327" i="22" s="1"/>
  <c r="M1273" i="22"/>
  <c r="N1273" i="22"/>
  <c r="U1273" i="22" s="1"/>
  <c r="M1057" i="22"/>
  <c r="N1057" i="22"/>
  <c r="U1057" i="22" s="1"/>
  <c r="M1003" i="22"/>
  <c r="N1003" i="22"/>
  <c r="U1003" i="22" s="1"/>
  <c r="M625" i="22"/>
  <c r="N625" i="22"/>
  <c r="U625" i="22" s="1"/>
  <c r="M571" i="22"/>
  <c r="N571" i="22"/>
  <c r="U571" i="22" s="1"/>
  <c r="M517" i="22"/>
  <c r="N517" i="22"/>
  <c r="U517" i="22" s="1"/>
  <c r="O257" i="23"/>
  <c r="O593" i="23"/>
  <c r="O1153" i="23"/>
  <c r="AE1207" i="23"/>
  <c r="AE1095" i="23"/>
  <c r="O872" i="23"/>
  <c r="O873" i="23"/>
  <c r="F1489" i="23"/>
  <c r="O1489" i="23" s="1"/>
  <c r="K1489" i="23"/>
  <c r="F1433" i="23"/>
  <c r="O1433" i="23" s="1"/>
  <c r="K1433" i="23"/>
  <c r="F1377" i="23"/>
  <c r="O1377" i="23" s="1"/>
  <c r="K1377" i="23"/>
  <c r="F985" i="23"/>
  <c r="O985" i="23" s="1"/>
  <c r="K985" i="23"/>
  <c r="F481" i="23"/>
  <c r="O481" i="23" s="1"/>
  <c r="K481" i="23"/>
  <c r="F313" i="23"/>
  <c r="O313" i="23" s="1"/>
  <c r="K313" i="23"/>
  <c r="F4682" i="22"/>
  <c r="K4682" i="22"/>
  <c r="F4058" i="22"/>
  <c r="O4058" i="22" s="1"/>
  <c r="K4058" i="22"/>
  <c r="K3758" i="22"/>
  <c r="F3758" i="22"/>
  <c r="O3758" i="22" s="1"/>
  <c r="F3488" i="22"/>
  <c r="O3488" i="22" s="1"/>
  <c r="K3488" i="22"/>
  <c r="K3326" i="22"/>
  <c r="F3326" i="22"/>
  <c r="O3326" i="22" s="1"/>
  <c r="K3002" i="22"/>
  <c r="F3002" i="22"/>
  <c r="O3002" i="22" s="1"/>
  <c r="K2948" i="22"/>
  <c r="F2948" i="22"/>
  <c r="O2948" i="22" s="1"/>
  <c r="K2894" i="22"/>
  <c r="F2894" i="22"/>
  <c r="O2894" i="22" s="1"/>
  <c r="F2678" i="22"/>
  <c r="O2678" i="22" s="1"/>
  <c r="K2678" i="22"/>
  <c r="K2624" i="22"/>
  <c r="F2624" i="22"/>
  <c r="O2624" i="22" s="1"/>
  <c r="K2354" i="22"/>
  <c r="F2354" i="22"/>
  <c r="O2354" i="22" s="1"/>
  <c r="K2300" i="22"/>
  <c r="F2300" i="22"/>
  <c r="O2300" i="22" s="1"/>
  <c r="K2246" i="22"/>
  <c r="F2246" i="22"/>
  <c r="O2246" i="22" s="1"/>
  <c r="F1922" i="22"/>
  <c r="O1922" i="22" s="1"/>
  <c r="K1922" i="22"/>
  <c r="K1868" i="22"/>
  <c r="F1868" i="22"/>
  <c r="O1868" i="22" s="1"/>
  <c r="K1814" i="22"/>
  <c r="F1814" i="22"/>
  <c r="O1814" i="22" s="1"/>
  <c r="F1544" i="22"/>
  <c r="O1544" i="22" s="1"/>
  <c r="K1544" i="22"/>
  <c r="K1490" i="22"/>
  <c r="F1490" i="22"/>
  <c r="O1490" i="22" s="1"/>
  <c r="K1436" i="22"/>
  <c r="F1436" i="22"/>
  <c r="O1436" i="22" s="1"/>
  <c r="K1166" i="22"/>
  <c r="F1166" i="22"/>
  <c r="O1166" i="22" s="1"/>
  <c r="F1112" i="22"/>
  <c r="O1112" i="22" s="1"/>
  <c r="K1112" i="22"/>
  <c r="K1058" i="22"/>
  <c r="F1058" i="22"/>
  <c r="O1058" i="22" s="1"/>
  <c r="F734" i="22"/>
  <c r="O734" i="22" s="1"/>
  <c r="K734" i="22"/>
  <c r="K680" i="22"/>
  <c r="F680" i="22"/>
  <c r="O680" i="22" s="1"/>
  <c r="K302" i="22"/>
  <c r="F302" i="22"/>
  <c r="O302" i="22" s="1"/>
  <c r="O983" i="23"/>
  <c r="AE983" i="23" s="1"/>
  <c r="O984" i="23"/>
  <c r="AE984" i="23" s="1"/>
  <c r="O1151" i="23"/>
  <c r="AE1151" i="23" s="1"/>
  <c r="O1149" i="23"/>
  <c r="AE1149" i="23" s="1"/>
  <c r="O1150" i="23"/>
  <c r="AE1150" i="23" s="1"/>
  <c r="O1152" i="23"/>
  <c r="AE1152" i="23" s="1"/>
  <c r="O254" i="23"/>
  <c r="AE254" i="23" s="1"/>
  <c r="O255" i="23"/>
  <c r="AE255" i="23" s="1"/>
  <c r="AE872" i="23" l="1"/>
  <c r="K1154" i="23"/>
  <c r="F1154" i="23"/>
  <c r="O1154" i="23" s="1"/>
  <c r="K930" i="23"/>
  <c r="F930" i="23"/>
  <c r="O930" i="23" s="1"/>
  <c r="K706" i="23"/>
  <c r="F706" i="23"/>
  <c r="O706" i="23" s="1"/>
  <c r="K4167" i="22"/>
  <c r="F4167" i="22"/>
  <c r="O4167" i="22" s="1"/>
  <c r="K3381" i="22"/>
  <c r="F3381" i="22"/>
  <c r="O3381" i="22" s="1"/>
  <c r="K2247" i="22"/>
  <c r="F2247" i="22"/>
  <c r="O2247" i="22" s="1"/>
  <c r="K1923" i="22"/>
  <c r="F1923" i="22"/>
  <c r="O1923" i="22" s="1"/>
  <c r="K1869" i="22"/>
  <c r="F1869" i="22"/>
  <c r="O1869" i="22" s="1"/>
  <c r="K1599" i="22"/>
  <c r="F1599" i="22"/>
  <c r="O1599" i="22" s="1"/>
  <c r="K1113" i="22"/>
  <c r="F1113" i="22"/>
  <c r="O1113" i="22" s="1"/>
  <c r="K1059" i="22"/>
  <c r="F1059" i="22"/>
  <c r="O1059" i="22" s="1"/>
  <c r="K735" i="22"/>
  <c r="F735" i="22"/>
  <c r="O735" i="22" s="1"/>
  <c r="K357" i="22"/>
  <c r="F357" i="22"/>
  <c r="O357" i="22" s="1"/>
  <c r="M1602" i="23"/>
  <c r="J1602" i="23"/>
  <c r="N1602" i="23" s="1"/>
  <c r="AE1602" i="23" s="1"/>
  <c r="D1602" i="23"/>
  <c r="P1602" i="23"/>
  <c r="Q1602" i="23"/>
  <c r="R1602" i="23"/>
  <c r="I1603" i="23"/>
  <c r="L1603" i="23"/>
  <c r="C1603" i="23"/>
  <c r="K1603" i="23" s="1"/>
  <c r="E1603" i="23"/>
  <c r="F1603" i="23"/>
  <c r="O1603" i="23" s="1"/>
  <c r="G1603" i="23"/>
  <c r="B1604" i="23"/>
  <c r="J1546" i="23"/>
  <c r="D1546" i="23"/>
  <c r="P1546" i="23"/>
  <c r="Q1546" i="23"/>
  <c r="R1546" i="23"/>
  <c r="L1547" i="23"/>
  <c r="I1547" i="23"/>
  <c r="C1547" i="23"/>
  <c r="K1547" i="23" s="1"/>
  <c r="E1547" i="23"/>
  <c r="F1547" i="23"/>
  <c r="O1547" i="23" s="1"/>
  <c r="G1547" i="23"/>
  <c r="B1548" i="23"/>
  <c r="J1490" i="23"/>
  <c r="D1490" i="23"/>
  <c r="P1490" i="23"/>
  <c r="Q1490" i="23"/>
  <c r="R1490" i="23"/>
  <c r="L1491" i="23"/>
  <c r="I1491" i="23"/>
  <c r="C1491" i="23"/>
  <c r="K1491" i="23" s="1"/>
  <c r="E1491" i="23"/>
  <c r="F1491" i="23"/>
  <c r="O1491" i="23" s="1"/>
  <c r="G1491" i="23"/>
  <c r="B1492" i="23"/>
  <c r="J1434" i="23"/>
  <c r="D1434" i="23"/>
  <c r="P1434" i="23"/>
  <c r="Q1434" i="23"/>
  <c r="R1434" i="23"/>
  <c r="L1435" i="23"/>
  <c r="I1435" i="23"/>
  <c r="C1435" i="23"/>
  <c r="E1435" i="23"/>
  <c r="G1435" i="23"/>
  <c r="B1436" i="23"/>
  <c r="J1378" i="23"/>
  <c r="D1378" i="23"/>
  <c r="P1378" i="23"/>
  <c r="Q1378" i="23"/>
  <c r="R1378" i="23"/>
  <c r="L1379" i="23"/>
  <c r="I1379" i="23"/>
  <c r="E1379" i="23"/>
  <c r="G1379" i="23"/>
  <c r="C1379" i="23"/>
  <c r="B1380" i="23"/>
  <c r="M1322" i="23"/>
  <c r="J1322" i="23"/>
  <c r="N1322" i="23" s="1"/>
  <c r="AE1322" i="23" s="1"/>
  <c r="D1322" i="23"/>
  <c r="P1322" i="23"/>
  <c r="Q1322" i="23"/>
  <c r="R1322" i="23"/>
  <c r="L1323" i="23"/>
  <c r="I1323" i="23"/>
  <c r="C1323" i="23"/>
  <c r="K1323" i="23" s="1"/>
  <c r="E1323" i="23"/>
  <c r="F1323" i="23"/>
  <c r="O1323" i="23" s="1"/>
  <c r="G1323" i="23"/>
  <c r="B1324" i="23"/>
  <c r="M1266" i="23"/>
  <c r="J1266" i="23"/>
  <c r="N1266" i="23" s="1"/>
  <c r="AE1266" i="23" s="1"/>
  <c r="D1266" i="23"/>
  <c r="P1266" i="23"/>
  <c r="Q1266" i="23"/>
  <c r="R1266" i="23"/>
  <c r="L1267" i="23"/>
  <c r="I1267" i="23"/>
  <c r="C1267" i="23"/>
  <c r="K1267" i="23" s="1"/>
  <c r="E1267" i="23"/>
  <c r="F1267" i="23"/>
  <c r="O1267" i="23" s="1"/>
  <c r="G1267" i="23"/>
  <c r="B1268" i="23"/>
  <c r="J1210" i="23"/>
  <c r="D1210" i="23"/>
  <c r="P1210" i="23"/>
  <c r="Q1210" i="23"/>
  <c r="R1210" i="23"/>
  <c r="L1211" i="23"/>
  <c r="I1211" i="23"/>
  <c r="C1211" i="23"/>
  <c r="K1211" i="23" s="1"/>
  <c r="E1211" i="23"/>
  <c r="F1211" i="23"/>
  <c r="O1211" i="23" s="1"/>
  <c r="G1211" i="23"/>
  <c r="B1212" i="23"/>
  <c r="M1154" i="23"/>
  <c r="J1154" i="23"/>
  <c r="N1154" i="23" s="1"/>
  <c r="AE1154" i="23" s="1"/>
  <c r="D1154" i="23"/>
  <c r="P1154" i="23"/>
  <c r="Q1154" i="23"/>
  <c r="R1154" i="23"/>
  <c r="L1155" i="23"/>
  <c r="I1155" i="23"/>
  <c r="C1155" i="23"/>
  <c r="K1155" i="23" s="1"/>
  <c r="E1155" i="23"/>
  <c r="F1155" i="23"/>
  <c r="O1155" i="23" s="1"/>
  <c r="G1155" i="23"/>
  <c r="B1156" i="23"/>
  <c r="M1098" i="23"/>
  <c r="J1098" i="23"/>
  <c r="N1098" i="23" s="1"/>
  <c r="AE1098" i="23" s="1"/>
  <c r="D1098" i="23"/>
  <c r="P1098" i="23"/>
  <c r="Q1098" i="23"/>
  <c r="R1098" i="23"/>
  <c r="L1099" i="23"/>
  <c r="I1099" i="23"/>
  <c r="C1099" i="23"/>
  <c r="K1099" i="23" s="1"/>
  <c r="E1099" i="23"/>
  <c r="F1099" i="23"/>
  <c r="O1099" i="23" s="1"/>
  <c r="G1099" i="23"/>
  <c r="B1100" i="23"/>
  <c r="M1042" i="23"/>
  <c r="J1042" i="23"/>
  <c r="N1042" i="23" s="1"/>
  <c r="AE1042" i="23" s="1"/>
  <c r="D1042" i="23"/>
  <c r="P1042" i="23"/>
  <c r="Q1042" i="23"/>
  <c r="R1042" i="23"/>
  <c r="L1043" i="23"/>
  <c r="I1043" i="23"/>
  <c r="C1043" i="23"/>
  <c r="G1043" i="23"/>
  <c r="B1044" i="23"/>
  <c r="E1043" i="23"/>
  <c r="M986" i="23"/>
  <c r="J986" i="23"/>
  <c r="N986" i="23" s="1"/>
  <c r="AE986" i="23" s="1"/>
  <c r="D986" i="23"/>
  <c r="P986" i="23"/>
  <c r="Q986" i="23"/>
  <c r="R986" i="23"/>
  <c r="L987" i="23"/>
  <c r="I987" i="23"/>
  <c r="C987" i="23"/>
  <c r="K987" i="23" s="1"/>
  <c r="E987" i="23"/>
  <c r="F987" i="23"/>
  <c r="O987" i="23" s="1"/>
  <c r="G987" i="23"/>
  <c r="B988" i="23"/>
  <c r="M930" i="23"/>
  <c r="J930" i="23"/>
  <c r="N930" i="23" s="1"/>
  <c r="AE930" i="23" s="1"/>
  <c r="D930" i="23"/>
  <c r="Q930" i="23"/>
  <c r="P930" i="23"/>
  <c r="R930" i="23"/>
  <c r="L931" i="23"/>
  <c r="I931" i="23"/>
  <c r="C931" i="23"/>
  <c r="E931" i="23"/>
  <c r="G931" i="23"/>
  <c r="B932" i="23"/>
  <c r="M874" i="23"/>
  <c r="J874" i="23"/>
  <c r="N874" i="23" s="1"/>
  <c r="AE874" i="23" s="1"/>
  <c r="D874" i="23"/>
  <c r="P874" i="23"/>
  <c r="Q874" i="23"/>
  <c r="R874" i="23"/>
  <c r="L875" i="23"/>
  <c r="I875" i="23"/>
  <c r="C875" i="23"/>
  <c r="K875" i="23" s="1"/>
  <c r="E875" i="23"/>
  <c r="F875" i="23"/>
  <c r="O875" i="23" s="1"/>
  <c r="G875" i="23"/>
  <c r="B876" i="23"/>
  <c r="M818" i="23"/>
  <c r="J818" i="23"/>
  <c r="N818" i="23" s="1"/>
  <c r="AE818" i="23" s="1"/>
  <c r="D818" i="23"/>
  <c r="P818" i="23"/>
  <c r="Q818" i="23"/>
  <c r="R818" i="23"/>
  <c r="L819" i="23"/>
  <c r="I819" i="23"/>
  <c r="C819" i="23"/>
  <c r="E819" i="23"/>
  <c r="G819" i="23"/>
  <c r="B820" i="23"/>
  <c r="M762" i="23"/>
  <c r="J762" i="23"/>
  <c r="N762" i="23" s="1"/>
  <c r="AE762" i="23" s="1"/>
  <c r="D762" i="23"/>
  <c r="P762" i="23"/>
  <c r="Q762" i="23"/>
  <c r="R762" i="23"/>
  <c r="L763" i="23"/>
  <c r="I763" i="23"/>
  <c r="C763" i="23"/>
  <c r="K763" i="23" s="1"/>
  <c r="E763" i="23"/>
  <c r="F763" i="23"/>
  <c r="O763" i="23" s="1"/>
  <c r="G763" i="23"/>
  <c r="B764" i="23"/>
  <c r="M706" i="23"/>
  <c r="J706" i="23"/>
  <c r="N706" i="23" s="1"/>
  <c r="AE706" i="23" s="1"/>
  <c r="D706" i="23"/>
  <c r="P706" i="23"/>
  <c r="Q706" i="23"/>
  <c r="R706" i="23"/>
  <c r="L707" i="23"/>
  <c r="I707" i="23"/>
  <c r="C707" i="23"/>
  <c r="K707" i="23" s="1"/>
  <c r="E707" i="23"/>
  <c r="F707" i="23"/>
  <c r="O707" i="23" s="1"/>
  <c r="G707" i="23"/>
  <c r="B708" i="23"/>
  <c r="M650" i="23"/>
  <c r="J650" i="23"/>
  <c r="N650" i="23" s="1"/>
  <c r="AE650" i="23" s="1"/>
  <c r="D650" i="23"/>
  <c r="P650" i="23"/>
  <c r="Q650" i="23"/>
  <c r="R650" i="23"/>
  <c r="L651" i="23"/>
  <c r="I651" i="23"/>
  <c r="C651" i="23"/>
  <c r="K651" i="23" s="1"/>
  <c r="E651" i="23"/>
  <c r="F651" i="23"/>
  <c r="O651" i="23" s="1"/>
  <c r="G651" i="23"/>
  <c r="B652" i="23"/>
  <c r="M594" i="23"/>
  <c r="J594" i="23"/>
  <c r="N594" i="23" s="1"/>
  <c r="AE594" i="23" s="1"/>
  <c r="D594" i="23"/>
  <c r="P594" i="23"/>
  <c r="Q594" i="23"/>
  <c r="R594" i="23"/>
  <c r="L595" i="23"/>
  <c r="I595" i="23"/>
  <c r="C595" i="23"/>
  <c r="K595" i="23" s="1"/>
  <c r="E595" i="23"/>
  <c r="F595" i="23"/>
  <c r="O595" i="23" s="1"/>
  <c r="G595" i="23"/>
  <c r="B596" i="23"/>
  <c r="M538" i="23"/>
  <c r="J538" i="23"/>
  <c r="N538" i="23" s="1"/>
  <c r="AE538" i="23" s="1"/>
  <c r="D538" i="23"/>
  <c r="P538" i="23"/>
  <c r="Q538" i="23"/>
  <c r="R538" i="23"/>
  <c r="L539" i="23"/>
  <c r="I539" i="23"/>
  <c r="C539" i="23"/>
  <c r="K539" i="23" s="1"/>
  <c r="E539" i="23"/>
  <c r="F539" i="23"/>
  <c r="O539" i="23" s="1"/>
  <c r="G539" i="23"/>
  <c r="B540" i="23"/>
  <c r="M482" i="23"/>
  <c r="P482" i="23"/>
  <c r="Q482" i="23"/>
  <c r="R482" i="23"/>
  <c r="J482" i="23"/>
  <c r="N482" i="23" s="1"/>
  <c r="AE482" i="23" s="1"/>
  <c r="D482" i="23"/>
  <c r="L483" i="23"/>
  <c r="I483" i="23"/>
  <c r="G483" i="23"/>
  <c r="B484" i="23"/>
  <c r="E483" i="23"/>
  <c r="C483" i="23"/>
  <c r="K483" i="23" s="1"/>
  <c r="F483" i="23"/>
  <c r="O483" i="23" s="1"/>
  <c r="P426" i="23"/>
  <c r="Q426" i="23"/>
  <c r="R426" i="23"/>
  <c r="J426" i="23"/>
  <c r="D426" i="23"/>
  <c r="L427" i="23"/>
  <c r="I427" i="23"/>
  <c r="E427" i="23"/>
  <c r="G427" i="23"/>
  <c r="B428" i="23"/>
  <c r="C427" i="23"/>
  <c r="M370" i="23"/>
  <c r="J370" i="23"/>
  <c r="N370" i="23" s="1"/>
  <c r="AE370" i="23" s="1"/>
  <c r="D370" i="23"/>
  <c r="P370" i="23"/>
  <c r="Q370" i="23"/>
  <c r="R370" i="23"/>
  <c r="L371" i="23"/>
  <c r="I371" i="23"/>
  <c r="C371" i="23"/>
  <c r="K371" i="23" s="1"/>
  <c r="E371" i="23"/>
  <c r="F371" i="23"/>
  <c r="O371" i="23" s="1"/>
  <c r="G371" i="23"/>
  <c r="B372" i="23"/>
  <c r="M314" i="23"/>
  <c r="J314" i="23"/>
  <c r="N314" i="23" s="1"/>
  <c r="AE314" i="23" s="1"/>
  <c r="D314" i="23"/>
  <c r="P314" i="23"/>
  <c r="Q314" i="23"/>
  <c r="R314" i="23"/>
  <c r="L315" i="23"/>
  <c r="I315" i="23"/>
  <c r="C315" i="23"/>
  <c r="K315" i="23" s="1"/>
  <c r="E315" i="23"/>
  <c r="F315" i="23"/>
  <c r="O315" i="23" s="1"/>
  <c r="G315" i="23"/>
  <c r="B316" i="23"/>
  <c r="M258" i="23"/>
  <c r="J258" i="23"/>
  <c r="N258" i="23" s="1"/>
  <c r="AE258" i="23" s="1"/>
  <c r="D258" i="23"/>
  <c r="P258" i="23"/>
  <c r="R258" i="23"/>
  <c r="Q258" i="23"/>
  <c r="L259" i="23"/>
  <c r="I259" i="23"/>
  <c r="C259" i="23"/>
  <c r="K259" i="23" s="1"/>
  <c r="E259" i="23"/>
  <c r="F259" i="23"/>
  <c r="O259" i="23" s="1"/>
  <c r="G259" i="23"/>
  <c r="B260" i="23"/>
  <c r="D4737" i="22"/>
  <c r="J4737" i="22"/>
  <c r="N4737" i="22" s="1"/>
  <c r="P4737" i="22"/>
  <c r="Q4737" i="22"/>
  <c r="R4737" i="22"/>
  <c r="M4737" i="22"/>
  <c r="C4738" i="22"/>
  <c r="F4738" i="22" s="1"/>
  <c r="E4738" i="22"/>
  <c r="G4738" i="22"/>
  <c r="I4738" i="22"/>
  <c r="K4738" i="22"/>
  <c r="L4738" i="22"/>
  <c r="B4739" i="22"/>
  <c r="T4681" i="22"/>
  <c r="S4682" i="22"/>
  <c r="T4682" i="22" s="1"/>
  <c r="U4682" i="22"/>
  <c r="M4683" i="22"/>
  <c r="D4683" i="22"/>
  <c r="J4683" i="22"/>
  <c r="N4683" i="22" s="1"/>
  <c r="P4683" i="22"/>
  <c r="Q4683" i="22"/>
  <c r="R4683" i="22"/>
  <c r="L4684" i="22"/>
  <c r="C4684" i="22"/>
  <c r="K4684" i="22" s="1"/>
  <c r="E4684" i="22"/>
  <c r="F4684" i="22"/>
  <c r="G4684" i="22"/>
  <c r="I4684" i="22"/>
  <c r="B4685" i="22"/>
  <c r="P4629" i="22"/>
  <c r="Q4629" i="22"/>
  <c r="R4629" i="22"/>
  <c r="C4630" i="22"/>
  <c r="D4630" i="22" s="1"/>
  <c r="E4630" i="22"/>
  <c r="F4630" i="22"/>
  <c r="O4630" i="22" s="1"/>
  <c r="G4630" i="22"/>
  <c r="B4631" i="22"/>
  <c r="M4575" i="22"/>
  <c r="J4575" i="22"/>
  <c r="N4575" i="22" s="1"/>
  <c r="D4575" i="22"/>
  <c r="P4575" i="22"/>
  <c r="Q4575" i="22"/>
  <c r="R4575" i="22"/>
  <c r="I4576" i="22"/>
  <c r="L4576" i="22"/>
  <c r="C4576" i="22"/>
  <c r="K4576" i="22" s="1"/>
  <c r="E4576" i="22"/>
  <c r="F4576" i="22"/>
  <c r="G4576" i="22"/>
  <c r="B4577" i="22"/>
  <c r="M4521" i="22"/>
  <c r="D4521" i="22"/>
  <c r="J4521" i="22"/>
  <c r="N4521" i="22" s="1"/>
  <c r="P4521" i="22"/>
  <c r="Q4521" i="22"/>
  <c r="R4521" i="22"/>
  <c r="L4522" i="22"/>
  <c r="C4522" i="22"/>
  <c r="K4522" i="22" s="1"/>
  <c r="E4522" i="22"/>
  <c r="F4522" i="22"/>
  <c r="G4522" i="22"/>
  <c r="I4522" i="22"/>
  <c r="B4523" i="22"/>
  <c r="M4221" i="22"/>
  <c r="D4221" i="22"/>
  <c r="J4221" i="22"/>
  <c r="N4221" i="22" s="1"/>
  <c r="U4221" i="22" s="1"/>
  <c r="P4221" i="22"/>
  <c r="Q4221" i="22"/>
  <c r="R4221" i="22"/>
  <c r="L4222" i="22"/>
  <c r="C4222" i="22"/>
  <c r="K4222" i="22" s="1"/>
  <c r="E4222" i="22"/>
  <c r="F4222" i="22"/>
  <c r="O4222" i="22" s="1"/>
  <c r="G4222" i="22"/>
  <c r="I4222" i="22"/>
  <c r="B4223" i="22"/>
  <c r="M4167" i="22"/>
  <c r="D4167" i="22"/>
  <c r="J4167" i="22"/>
  <c r="N4167" i="22" s="1"/>
  <c r="U4167" i="22" s="1"/>
  <c r="P4167" i="22"/>
  <c r="Q4167" i="22"/>
  <c r="R4167" i="22"/>
  <c r="L4168" i="22"/>
  <c r="C4168" i="22"/>
  <c r="K4168" i="22" s="1"/>
  <c r="E4168" i="22"/>
  <c r="F4168" i="22"/>
  <c r="O4168" i="22" s="1"/>
  <c r="G4168" i="22"/>
  <c r="I4168" i="22"/>
  <c r="B4169" i="22"/>
  <c r="D4113" i="22"/>
  <c r="J4113" i="22"/>
  <c r="P4113" i="22"/>
  <c r="Q4113" i="22"/>
  <c r="R4113" i="22"/>
  <c r="L4114" i="22"/>
  <c r="C4114" i="22"/>
  <c r="K4114" i="22" s="1"/>
  <c r="E4114" i="22"/>
  <c r="F4114" i="22"/>
  <c r="O4114" i="22" s="1"/>
  <c r="G4114" i="22"/>
  <c r="I4114" i="22"/>
  <c r="B4115" i="22"/>
  <c r="D4059" i="22"/>
  <c r="J4059" i="22"/>
  <c r="P4059" i="22"/>
  <c r="Q4059" i="22"/>
  <c r="R4059" i="22"/>
  <c r="L4060" i="22"/>
  <c r="C4060" i="22"/>
  <c r="K4060" i="22" s="1"/>
  <c r="E4060" i="22"/>
  <c r="F4060" i="22"/>
  <c r="O4060" i="22" s="1"/>
  <c r="G4060" i="22"/>
  <c r="I4060" i="22"/>
  <c r="B4061" i="22"/>
  <c r="M3759" i="22"/>
  <c r="D3759" i="22"/>
  <c r="J3759" i="22"/>
  <c r="N3759" i="22" s="1"/>
  <c r="U3759" i="22" s="1"/>
  <c r="P3759" i="22"/>
  <c r="Q3759" i="22"/>
  <c r="R3759" i="22"/>
  <c r="L3760" i="22"/>
  <c r="C3760" i="22"/>
  <c r="K3760" i="22" s="1"/>
  <c r="E3760" i="22"/>
  <c r="F3760" i="22"/>
  <c r="O3760" i="22" s="1"/>
  <c r="G3760" i="22"/>
  <c r="I3760" i="22"/>
  <c r="B3761" i="22"/>
  <c r="M3705" i="22"/>
  <c r="D3705" i="22"/>
  <c r="J3705" i="22"/>
  <c r="N3705" i="22" s="1"/>
  <c r="U3705" i="22" s="1"/>
  <c r="P3705" i="22"/>
  <c r="Q3705" i="22"/>
  <c r="R3705" i="22"/>
  <c r="L3706" i="22"/>
  <c r="C3706" i="22"/>
  <c r="K3706" i="22" s="1"/>
  <c r="E3706" i="22"/>
  <c r="F3706" i="22"/>
  <c r="O3706" i="22" s="1"/>
  <c r="G3706" i="22"/>
  <c r="I3706" i="22"/>
  <c r="B3707" i="22"/>
  <c r="M3651" i="22"/>
  <c r="D3651" i="22"/>
  <c r="J3651" i="22"/>
  <c r="N3651" i="22" s="1"/>
  <c r="U3651" i="22" s="1"/>
  <c r="P3651" i="22"/>
  <c r="Q3651" i="22"/>
  <c r="R3651" i="22"/>
  <c r="L3652" i="22"/>
  <c r="C3652" i="22"/>
  <c r="E3652" i="22"/>
  <c r="G3652" i="22"/>
  <c r="I3652" i="22"/>
  <c r="B3653" i="22"/>
  <c r="M3597" i="22"/>
  <c r="D3597" i="22"/>
  <c r="J3597" i="22"/>
  <c r="N3597" i="22" s="1"/>
  <c r="U3597" i="22" s="1"/>
  <c r="P3597" i="22"/>
  <c r="Q3597" i="22"/>
  <c r="R3597" i="22"/>
  <c r="L3598" i="22"/>
  <c r="E3598" i="22"/>
  <c r="G3598" i="22"/>
  <c r="B3599" i="22"/>
  <c r="C3598" i="22"/>
  <c r="I3598" i="22"/>
  <c r="M3543" i="22"/>
  <c r="P3543" i="22"/>
  <c r="Q3543" i="22"/>
  <c r="R3543" i="22"/>
  <c r="J3543" i="22"/>
  <c r="N3543" i="22" s="1"/>
  <c r="U3543" i="22" s="1"/>
  <c r="D3543" i="22"/>
  <c r="L3544" i="22"/>
  <c r="G3544" i="22"/>
  <c r="C3544" i="22"/>
  <c r="E3544" i="22"/>
  <c r="I3544" i="22"/>
  <c r="B3545" i="22"/>
  <c r="D3489" i="22"/>
  <c r="J3489" i="22"/>
  <c r="P3489" i="22"/>
  <c r="Q3489" i="22"/>
  <c r="R3489" i="22"/>
  <c r="L3490" i="22"/>
  <c r="C3490" i="22"/>
  <c r="K3490" i="22" s="1"/>
  <c r="E3490" i="22"/>
  <c r="F3490" i="22"/>
  <c r="O3490" i="22" s="1"/>
  <c r="G3490" i="22"/>
  <c r="I3490" i="22"/>
  <c r="B3491" i="22"/>
  <c r="D3435" i="22"/>
  <c r="J3435" i="22"/>
  <c r="P3435" i="22"/>
  <c r="Q3435" i="22"/>
  <c r="R3435" i="22"/>
  <c r="L3436" i="22"/>
  <c r="C3436" i="22"/>
  <c r="K3436" i="22" s="1"/>
  <c r="E3436" i="22"/>
  <c r="F3436" i="22"/>
  <c r="O3436" i="22" s="1"/>
  <c r="G3436" i="22"/>
  <c r="I3436" i="22"/>
  <c r="B3437" i="22"/>
  <c r="M3381" i="22"/>
  <c r="D3381" i="22"/>
  <c r="J3381" i="22"/>
  <c r="N3381" i="22" s="1"/>
  <c r="U3381" i="22" s="1"/>
  <c r="P3381" i="22"/>
  <c r="Q3381" i="22"/>
  <c r="R3381" i="22"/>
  <c r="L3382" i="22"/>
  <c r="C3382" i="22"/>
  <c r="K3382" i="22" s="1"/>
  <c r="E3382" i="22"/>
  <c r="F3382" i="22"/>
  <c r="O3382" i="22" s="1"/>
  <c r="G3382" i="22"/>
  <c r="I3382" i="22"/>
  <c r="B3383" i="22"/>
  <c r="M3327" i="22"/>
  <c r="D3327" i="22"/>
  <c r="J3327" i="22"/>
  <c r="N3327" i="22" s="1"/>
  <c r="U3327" i="22" s="1"/>
  <c r="P3327" i="22"/>
  <c r="Q3327" i="22"/>
  <c r="R3327" i="22"/>
  <c r="L3328" i="22"/>
  <c r="C3328" i="22"/>
  <c r="E3328" i="22"/>
  <c r="G3328" i="22"/>
  <c r="I3328" i="22"/>
  <c r="B3329" i="22"/>
  <c r="M3273" i="22"/>
  <c r="D3273" i="22"/>
  <c r="J3273" i="22"/>
  <c r="N3273" i="22" s="1"/>
  <c r="U3273" i="22" s="1"/>
  <c r="P3273" i="22"/>
  <c r="Q3273" i="22"/>
  <c r="R3273" i="22"/>
  <c r="L3274" i="22"/>
  <c r="C3274" i="22"/>
  <c r="K3274" i="22" s="1"/>
  <c r="E3274" i="22"/>
  <c r="F3274" i="22"/>
  <c r="O3274" i="22" s="1"/>
  <c r="G3274" i="22"/>
  <c r="I3274" i="22"/>
  <c r="B3275" i="22"/>
  <c r="M3219" i="22"/>
  <c r="D3219" i="22"/>
  <c r="J3219" i="22"/>
  <c r="N3219" i="22" s="1"/>
  <c r="U3219" i="22" s="1"/>
  <c r="P3219" i="22"/>
  <c r="Q3219" i="22"/>
  <c r="R3219" i="22"/>
  <c r="L3220" i="22"/>
  <c r="C3220" i="22"/>
  <c r="K3220" i="22" s="1"/>
  <c r="E3220" i="22"/>
  <c r="F3220" i="22"/>
  <c r="O3220" i="22" s="1"/>
  <c r="G3220" i="22"/>
  <c r="B3221" i="22"/>
  <c r="I3220" i="22"/>
  <c r="M3165" i="22"/>
  <c r="D3165" i="22"/>
  <c r="J3165" i="22"/>
  <c r="N3165" i="22" s="1"/>
  <c r="U3165" i="22" s="1"/>
  <c r="P3165" i="22"/>
  <c r="Q3165" i="22"/>
  <c r="R3165" i="22"/>
  <c r="L3166" i="22"/>
  <c r="C3166" i="22"/>
  <c r="K3166" i="22" s="1"/>
  <c r="E3166" i="22"/>
  <c r="F3166" i="22"/>
  <c r="O3166" i="22" s="1"/>
  <c r="G3166" i="22"/>
  <c r="I3166" i="22"/>
  <c r="B3167" i="22"/>
  <c r="P3111" i="22"/>
  <c r="Q3111" i="22"/>
  <c r="R3111" i="22"/>
  <c r="L3112" i="22"/>
  <c r="B3113" i="22"/>
  <c r="I3112" i="22"/>
  <c r="C3112" i="22"/>
  <c r="E3112" i="22"/>
  <c r="G3112" i="22"/>
  <c r="D3111" i="22"/>
  <c r="J3111" i="22"/>
  <c r="L3058" i="22"/>
  <c r="E3058" i="22"/>
  <c r="G3058" i="22"/>
  <c r="I3058" i="22"/>
  <c r="C3058" i="22"/>
  <c r="B3059" i="22"/>
  <c r="D3057" i="22"/>
  <c r="J3057" i="22"/>
  <c r="P3057" i="22"/>
  <c r="Q3057" i="22"/>
  <c r="R3057" i="22"/>
  <c r="J3003" i="22"/>
  <c r="D3003" i="22"/>
  <c r="P3003" i="22"/>
  <c r="Q3003" i="22"/>
  <c r="R3003" i="22"/>
  <c r="L3004" i="22"/>
  <c r="E3004" i="22"/>
  <c r="G3004" i="22"/>
  <c r="B3005" i="22"/>
  <c r="I3004" i="22"/>
  <c r="C3004" i="22"/>
  <c r="M2949" i="22"/>
  <c r="P2949" i="22"/>
  <c r="Q2949" i="22"/>
  <c r="R2949" i="22"/>
  <c r="J2949" i="22"/>
  <c r="N2949" i="22" s="1"/>
  <c r="U2949" i="22" s="1"/>
  <c r="D2949" i="22"/>
  <c r="L2950" i="22"/>
  <c r="B2951" i="22"/>
  <c r="I2950" i="22"/>
  <c r="C2950" i="22"/>
  <c r="E2950" i="22"/>
  <c r="G2950" i="22"/>
  <c r="M2895" i="22"/>
  <c r="D2895" i="22"/>
  <c r="J2895" i="22"/>
  <c r="N2895" i="22" s="1"/>
  <c r="U2895" i="22" s="1"/>
  <c r="P2895" i="22"/>
  <c r="Q2895" i="22"/>
  <c r="R2895" i="22"/>
  <c r="L2896" i="22"/>
  <c r="C2896" i="22"/>
  <c r="K2896" i="22" s="1"/>
  <c r="E2896" i="22"/>
  <c r="F2896" i="22"/>
  <c r="O2896" i="22" s="1"/>
  <c r="G2896" i="22"/>
  <c r="I2896" i="22"/>
  <c r="B2897" i="22"/>
  <c r="M2841" i="22"/>
  <c r="D2841" i="22"/>
  <c r="J2841" i="22"/>
  <c r="N2841" i="22" s="1"/>
  <c r="U2841" i="22" s="1"/>
  <c r="P2841" i="22"/>
  <c r="Q2841" i="22"/>
  <c r="R2841" i="22"/>
  <c r="L2842" i="22"/>
  <c r="C2842" i="22"/>
  <c r="E2842" i="22"/>
  <c r="G2842" i="22"/>
  <c r="I2842" i="22"/>
  <c r="B2843" i="22"/>
  <c r="D2787" i="22"/>
  <c r="J2787" i="22"/>
  <c r="P2787" i="22"/>
  <c r="Q2787" i="22"/>
  <c r="R2787" i="22"/>
  <c r="L2788" i="22"/>
  <c r="C2788" i="22"/>
  <c r="E2788" i="22"/>
  <c r="G2788" i="22"/>
  <c r="I2788" i="22"/>
  <c r="B2789" i="22"/>
  <c r="D2733" i="22"/>
  <c r="J2733" i="22"/>
  <c r="P2733" i="22"/>
  <c r="Q2733" i="22"/>
  <c r="R2733" i="22"/>
  <c r="L2734" i="22"/>
  <c r="C2734" i="22"/>
  <c r="K2734" i="22" s="1"/>
  <c r="E2734" i="22"/>
  <c r="F2734" i="22"/>
  <c r="O2734" i="22" s="1"/>
  <c r="G2734" i="22"/>
  <c r="I2734" i="22"/>
  <c r="B2735" i="22"/>
  <c r="D2679" i="22"/>
  <c r="J2679" i="22"/>
  <c r="P2679" i="22"/>
  <c r="Q2679" i="22"/>
  <c r="R2679" i="22"/>
  <c r="L2680" i="22"/>
  <c r="C2680" i="22"/>
  <c r="E2680" i="22"/>
  <c r="G2680" i="22"/>
  <c r="I2680" i="22"/>
  <c r="B2681" i="22"/>
  <c r="D2625" i="22"/>
  <c r="J2625" i="22"/>
  <c r="P2625" i="22"/>
  <c r="Q2625" i="22"/>
  <c r="R2625" i="22"/>
  <c r="L2626" i="22"/>
  <c r="C2626" i="22"/>
  <c r="K2626" i="22" s="1"/>
  <c r="E2626" i="22"/>
  <c r="F2626" i="22"/>
  <c r="O2626" i="22" s="1"/>
  <c r="G2626" i="22"/>
  <c r="I2626" i="22"/>
  <c r="B2627" i="22"/>
  <c r="M2571" i="22"/>
  <c r="D2571" i="22"/>
  <c r="J2571" i="22"/>
  <c r="N2571" i="22" s="1"/>
  <c r="U2571" i="22" s="1"/>
  <c r="P2571" i="22"/>
  <c r="Q2571" i="22"/>
  <c r="R2571" i="22"/>
  <c r="L2572" i="22"/>
  <c r="C2572" i="22"/>
  <c r="K2572" i="22" s="1"/>
  <c r="E2572" i="22"/>
  <c r="F2572" i="22"/>
  <c r="O2572" i="22" s="1"/>
  <c r="G2572" i="22"/>
  <c r="I2572" i="22"/>
  <c r="B2573" i="22"/>
  <c r="M2517" i="22"/>
  <c r="D2517" i="22"/>
  <c r="J2517" i="22"/>
  <c r="N2517" i="22" s="1"/>
  <c r="U2517" i="22" s="1"/>
  <c r="P2517" i="22"/>
  <c r="Q2517" i="22"/>
  <c r="R2517" i="22"/>
  <c r="L2518" i="22"/>
  <c r="C2518" i="22"/>
  <c r="E2518" i="22"/>
  <c r="G2518" i="22"/>
  <c r="I2518" i="22"/>
  <c r="B2519" i="22"/>
  <c r="M2463" i="22"/>
  <c r="D2463" i="22"/>
  <c r="J2463" i="22"/>
  <c r="N2463" i="22" s="1"/>
  <c r="U2463" i="22" s="1"/>
  <c r="P2463" i="22"/>
  <c r="Q2463" i="22"/>
  <c r="R2463" i="22"/>
  <c r="L2464" i="22"/>
  <c r="C2464" i="22"/>
  <c r="K2464" i="22" s="1"/>
  <c r="E2464" i="22"/>
  <c r="F2464" i="22"/>
  <c r="O2464" i="22" s="1"/>
  <c r="G2464" i="22"/>
  <c r="I2464" i="22"/>
  <c r="B2465" i="22"/>
  <c r="M2409" i="22"/>
  <c r="D2409" i="22"/>
  <c r="J2409" i="22"/>
  <c r="N2409" i="22" s="1"/>
  <c r="U2409" i="22" s="1"/>
  <c r="P2409" i="22"/>
  <c r="Q2409" i="22"/>
  <c r="R2409" i="22"/>
  <c r="L2410" i="22"/>
  <c r="C2410" i="22"/>
  <c r="K2410" i="22" s="1"/>
  <c r="E2410" i="22"/>
  <c r="F2410" i="22"/>
  <c r="O2410" i="22" s="1"/>
  <c r="G2410" i="22"/>
  <c r="I2410" i="22"/>
  <c r="B2411" i="22"/>
  <c r="M2355" i="22"/>
  <c r="D2355" i="22"/>
  <c r="J2355" i="22"/>
  <c r="N2355" i="22" s="1"/>
  <c r="U2355" i="22" s="1"/>
  <c r="P2355" i="22"/>
  <c r="Q2355" i="22"/>
  <c r="R2355" i="22"/>
  <c r="L2356" i="22"/>
  <c r="C2356" i="22"/>
  <c r="K2356" i="22" s="1"/>
  <c r="E2356" i="22"/>
  <c r="F2356" i="22"/>
  <c r="O2356" i="22" s="1"/>
  <c r="G2356" i="22"/>
  <c r="I2356" i="22"/>
  <c r="B2357" i="22"/>
  <c r="M2301" i="22"/>
  <c r="J2301" i="22"/>
  <c r="N2301" i="22" s="1"/>
  <c r="U2301" i="22" s="1"/>
  <c r="D2301" i="22"/>
  <c r="P2301" i="22"/>
  <c r="Q2301" i="22"/>
  <c r="R2301" i="22"/>
  <c r="L2302" i="22"/>
  <c r="C2302" i="22"/>
  <c r="E2302" i="22"/>
  <c r="G2302" i="22"/>
  <c r="I2302" i="22"/>
  <c r="B2303" i="22"/>
  <c r="M2247" i="22"/>
  <c r="D2247" i="22"/>
  <c r="J2247" i="22"/>
  <c r="N2247" i="22" s="1"/>
  <c r="U2247" i="22" s="1"/>
  <c r="P2247" i="22"/>
  <c r="Q2247" i="22"/>
  <c r="R2247" i="22"/>
  <c r="L2248" i="22"/>
  <c r="C2248" i="22"/>
  <c r="E2248" i="22"/>
  <c r="G2248" i="22"/>
  <c r="I2248" i="22"/>
  <c r="B2249" i="22"/>
  <c r="M2193" i="22"/>
  <c r="D2193" i="22"/>
  <c r="J2193" i="22"/>
  <c r="N2193" i="22" s="1"/>
  <c r="U2193" i="22" s="1"/>
  <c r="P2193" i="22"/>
  <c r="Q2193" i="22"/>
  <c r="R2193" i="22"/>
  <c r="L2194" i="22"/>
  <c r="C2194" i="22"/>
  <c r="K2194" i="22" s="1"/>
  <c r="E2194" i="22"/>
  <c r="F2194" i="22"/>
  <c r="O2194" i="22" s="1"/>
  <c r="G2194" i="22"/>
  <c r="I2194" i="22"/>
  <c r="B2195" i="22"/>
  <c r="M2139" i="22"/>
  <c r="D2139" i="22"/>
  <c r="J2139" i="22"/>
  <c r="N2139" i="22" s="1"/>
  <c r="U2139" i="22" s="1"/>
  <c r="P2139" i="22"/>
  <c r="Q2139" i="22"/>
  <c r="R2139" i="22"/>
  <c r="L2140" i="22"/>
  <c r="C2140" i="22"/>
  <c r="K2140" i="22" s="1"/>
  <c r="E2140" i="22"/>
  <c r="F2140" i="22"/>
  <c r="O2140" i="22" s="1"/>
  <c r="G2140" i="22"/>
  <c r="I2140" i="22"/>
  <c r="B2141" i="22"/>
  <c r="M2085" i="22"/>
  <c r="D2085" i="22"/>
  <c r="J2085" i="22"/>
  <c r="N2085" i="22" s="1"/>
  <c r="U2085" i="22" s="1"/>
  <c r="P2085" i="22"/>
  <c r="Q2085" i="22"/>
  <c r="R2085" i="22"/>
  <c r="L2086" i="22"/>
  <c r="C2086" i="22"/>
  <c r="E2086" i="22"/>
  <c r="G2086" i="22"/>
  <c r="I2086" i="22"/>
  <c r="B2087" i="22"/>
  <c r="M2031" i="22"/>
  <c r="D2031" i="22"/>
  <c r="J2031" i="22"/>
  <c r="N2031" i="22" s="1"/>
  <c r="U2031" i="22" s="1"/>
  <c r="P2031" i="22"/>
  <c r="Q2031" i="22"/>
  <c r="R2031" i="22"/>
  <c r="L2032" i="22"/>
  <c r="C2032" i="22"/>
  <c r="E2032" i="22"/>
  <c r="G2032" i="22"/>
  <c r="I2032" i="22"/>
  <c r="B2033" i="22"/>
  <c r="D1977" i="22"/>
  <c r="J1977" i="22"/>
  <c r="P1977" i="22"/>
  <c r="Q1977" i="22"/>
  <c r="R1977" i="22"/>
  <c r="L1978" i="22"/>
  <c r="C1978" i="22"/>
  <c r="K1978" i="22" s="1"/>
  <c r="E1978" i="22"/>
  <c r="F1978" i="22"/>
  <c r="O1978" i="22" s="1"/>
  <c r="G1978" i="22"/>
  <c r="I1978" i="22"/>
  <c r="B1979" i="22"/>
  <c r="M1923" i="22"/>
  <c r="D1923" i="22"/>
  <c r="J1923" i="22"/>
  <c r="N1923" i="22" s="1"/>
  <c r="U1923" i="22" s="1"/>
  <c r="P1923" i="22"/>
  <c r="Q1923" i="22"/>
  <c r="R1923" i="22"/>
  <c r="L1924" i="22"/>
  <c r="C1924" i="22"/>
  <c r="K1924" i="22" s="1"/>
  <c r="E1924" i="22"/>
  <c r="F1924" i="22"/>
  <c r="O1924" i="22" s="1"/>
  <c r="G1924" i="22"/>
  <c r="I1924" i="22"/>
  <c r="B1925" i="22"/>
  <c r="M1869" i="22"/>
  <c r="D1869" i="22"/>
  <c r="J1869" i="22"/>
  <c r="N1869" i="22" s="1"/>
  <c r="U1869" i="22" s="1"/>
  <c r="P1869" i="22"/>
  <c r="Q1869" i="22"/>
  <c r="R1869" i="22"/>
  <c r="L1870" i="22"/>
  <c r="C1870" i="22"/>
  <c r="K1870" i="22" s="1"/>
  <c r="E1870" i="22"/>
  <c r="F1870" i="22"/>
  <c r="O1870" i="22" s="1"/>
  <c r="G1870" i="22"/>
  <c r="I1870" i="22"/>
  <c r="B1871" i="22"/>
  <c r="M1815" i="22"/>
  <c r="D1815" i="22"/>
  <c r="J1815" i="22"/>
  <c r="N1815" i="22" s="1"/>
  <c r="U1815" i="22" s="1"/>
  <c r="P1815" i="22"/>
  <c r="Q1815" i="22"/>
  <c r="R1815" i="22"/>
  <c r="L1816" i="22"/>
  <c r="C1816" i="22"/>
  <c r="K1816" i="22" s="1"/>
  <c r="E1816" i="22"/>
  <c r="F1816" i="22"/>
  <c r="O1816" i="22" s="1"/>
  <c r="G1816" i="22"/>
  <c r="I1816" i="22"/>
  <c r="B1817" i="22"/>
  <c r="M1761" i="22"/>
  <c r="D1761" i="22"/>
  <c r="J1761" i="22"/>
  <c r="N1761" i="22" s="1"/>
  <c r="U1761" i="22" s="1"/>
  <c r="P1761" i="22"/>
  <c r="Q1761" i="22"/>
  <c r="R1761" i="22"/>
  <c r="L1762" i="22"/>
  <c r="C1762" i="22"/>
  <c r="K1762" i="22" s="1"/>
  <c r="E1762" i="22"/>
  <c r="F1762" i="22"/>
  <c r="O1762" i="22" s="1"/>
  <c r="G1762" i="22"/>
  <c r="I1762" i="22"/>
  <c r="B1763" i="22"/>
  <c r="M1707" i="22"/>
  <c r="D1707" i="22"/>
  <c r="J1707" i="22"/>
  <c r="N1707" i="22" s="1"/>
  <c r="U1707" i="22" s="1"/>
  <c r="P1707" i="22"/>
  <c r="Q1707" i="22"/>
  <c r="R1707" i="22"/>
  <c r="L1708" i="22"/>
  <c r="C1708" i="22"/>
  <c r="E1708" i="22"/>
  <c r="G1708" i="22"/>
  <c r="I1708" i="22"/>
  <c r="B1709" i="22"/>
  <c r="D1653" i="22"/>
  <c r="J1653" i="22"/>
  <c r="P1653" i="22"/>
  <c r="Q1653" i="22"/>
  <c r="R1653" i="22"/>
  <c r="L1654" i="22"/>
  <c r="C1654" i="22"/>
  <c r="K1654" i="22" s="1"/>
  <c r="E1654" i="22"/>
  <c r="F1654" i="22"/>
  <c r="O1654" i="22" s="1"/>
  <c r="G1654" i="22"/>
  <c r="I1654" i="22"/>
  <c r="B1655" i="22"/>
  <c r="M1599" i="22"/>
  <c r="D1599" i="22"/>
  <c r="J1599" i="22"/>
  <c r="N1599" i="22" s="1"/>
  <c r="U1599" i="22" s="1"/>
  <c r="P1599" i="22"/>
  <c r="Q1599" i="22"/>
  <c r="R1599" i="22"/>
  <c r="L1600" i="22"/>
  <c r="C1600" i="22"/>
  <c r="K1600" i="22" s="1"/>
  <c r="E1600" i="22"/>
  <c r="F1600" i="22"/>
  <c r="O1600" i="22" s="1"/>
  <c r="G1600" i="22"/>
  <c r="I1600" i="22"/>
  <c r="B1601" i="22"/>
  <c r="M1545" i="22"/>
  <c r="D1545" i="22"/>
  <c r="J1545" i="22"/>
  <c r="N1545" i="22" s="1"/>
  <c r="U1545" i="22" s="1"/>
  <c r="P1545" i="22"/>
  <c r="Q1545" i="22"/>
  <c r="R1545" i="22"/>
  <c r="L1546" i="22"/>
  <c r="C1546" i="22"/>
  <c r="K1546" i="22" s="1"/>
  <c r="E1546" i="22"/>
  <c r="F1546" i="22"/>
  <c r="O1546" i="22" s="1"/>
  <c r="G1546" i="22"/>
  <c r="I1546" i="22"/>
  <c r="B1547" i="22"/>
  <c r="M1491" i="22"/>
  <c r="D1491" i="22"/>
  <c r="J1491" i="22"/>
  <c r="N1491" i="22" s="1"/>
  <c r="U1491" i="22" s="1"/>
  <c r="P1491" i="22"/>
  <c r="Q1491" i="22"/>
  <c r="R1491" i="22"/>
  <c r="L1492" i="22"/>
  <c r="C1492" i="22"/>
  <c r="E1492" i="22"/>
  <c r="G1492" i="22"/>
  <c r="I1492" i="22"/>
  <c r="B1493" i="22"/>
  <c r="M1437" i="22"/>
  <c r="D1437" i="22"/>
  <c r="J1437" i="22"/>
  <c r="N1437" i="22" s="1"/>
  <c r="U1437" i="22" s="1"/>
  <c r="P1437" i="22"/>
  <c r="Q1437" i="22"/>
  <c r="R1437" i="22"/>
  <c r="L1438" i="22"/>
  <c r="C1438" i="22"/>
  <c r="K1438" i="22" s="1"/>
  <c r="E1438" i="22"/>
  <c r="F1438" i="22"/>
  <c r="O1438" i="22" s="1"/>
  <c r="G1438" i="22"/>
  <c r="I1438" i="22"/>
  <c r="B1439" i="22"/>
  <c r="M1383" i="22"/>
  <c r="D1383" i="22"/>
  <c r="J1383" i="22"/>
  <c r="N1383" i="22" s="1"/>
  <c r="U1383" i="22" s="1"/>
  <c r="P1383" i="22"/>
  <c r="Q1383" i="22"/>
  <c r="R1383" i="22"/>
  <c r="L1384" i="22"/>
  <c r="C1384" i="22"/>
  <c r="E1384" i="22"/>
  <c r="G1384" i="22"/>
  <c r="I1384" i="22"/>
  <c r="B1385" i="22"/>
  <c r="M1329" i="22"/>
  <c r="D1329" i="22"/>
  <c r="J1329" i="22"/>
  <c r="N1329" i="22" s="1"/>
  <c r="U1329" i="22" s="1"/>
  <c r="P1329" i="22"/>
  <c r="Q1329" i="22"/>
  <c r="R1329" i="22"/>
  <c r="L1330" i="22"/>
  <c r="C1330" i="22"/>
  <c r="K1330" i="22" s="1"/>
  <c r="E1330" i="22"/>
  <c r="F1330" i="22"/>
  <c r="O1330" i="22" s="1"/>
  <c r="G1330" i="22"/>
  <c r="I1330" i="22"/>
  <c r="B1331" i="22"/>
  <c r="D1275" i="22"/>
  <c r="J1275" i="22"/>
  <c r="P1275" i="22"/>
  <c r="Q1275" i="22"/>
  <c r="R1275" i="22"/>
  <c r="L1276" i="22"/>
  <c r="C1276" i="22"/>
  <c r="K1276" i="22" s="1"/>
  <c r="E1276" i="22"/>
  <c r="F1276" i="22"/>
  <c r="O1276" i="22" s="1"/>
  <c r="G1276" i="22"/>
  <c r="I1276" i="22"/>
  <c r="B1277" i="22"/>
  <c r="D1221" i="22"/>
  <c r="J1221" i="22"/>
  <c r="P1221" i="22"/>
  <c r="Q1221" i="22"/>
  <c r="R1221" i="22"/>
  <c r="L1222" i="22"/>
  <c r="C1222" i="22"/>
  <c r="K1222" i="22" s="1"/>
  <c r="E1222" i="22"/>
  <c r="F1222" i="22"/>
  <c r="O1222" i="22" s="1"/>
  <c r="G1222" i="22"/>
  <c r="I1222" i="22"/>
  <c r="B1223" i="22"/>
  <c r="M1167" i="22"/>
  <c r="D1167" i="22"/>
  <c r="J1167" i="22"/>
  <c r="N1167" i="22" s="1"/>
  <c r="U1167" i="22" s="1"/>
  <c r="P1167" i="22"/>
  <c r="Q1167" i="22"/>
  <c r="R1167" i="22"/>
  <c r="L1168" i="22"/>
  <c r="C1168" i="22"/>
  <c r="K1168" i="22" s="1"/>
  <c r="E1168" i="22"/>
  <c r="F1168" i="22"/>
  <c r="O1168" i="22" s="1"/>
  <c r="G1168" i="22"/>
  <c r="I1168" i="22"/>
  <c r="B1169" i="22"/>
  <c r="M1113" i="22"/>
  <c r="D1113" i="22"/>
  <c r="J1113" i="22"/>
  <c r="N1113" i="22" s="1"/>
  <c r="U1113" i="22" s="1"/>
  <c r="P1113" i="22"/>
  <c r="Q1113" i="22"/>
  <c r="R1113" i="22"/>
  <c r="L1114" i="22"/>
  <c r="C1114" i="22"/>
  <c r="E1114" i="22"/>
  <c r="G1114" i="22"/>
  <c r="I1114" i="22"/>
  <c r="B1115" i="22"/>
  <c r="M1059" i="22"/>
  <c r="D1059" i="22"/>
  <c r="J1059" i="22"/>
  <c r="N1059" i="22" s="1"/>
  <c r="U1059" i="22" s="1"/>
  <c r="P1059" i="22"/>
  <c r="Q1059" i="22"/>
  <c r="R1059" i="22"/>
  <c r="L1060" i="22"/>
  <c r="C1060" i="22"/>
  <c r="E1060" i="22"/>
  <c r="G1060" i="22"/>
  <c r="I1060" i="22"/>
  <c r="B1061" i="22"/>
  <c r="M1005" i="22"/>
  <c r="D1005" i="22"/>
  <c r="J1005" i="22"/>
  <c r="N1005" i="22" s="1"/>
  <c r="U1005" i="22" s="1"/>
  <c r="P1005" i="22"/>
  <c r="Q1005" i="22"/>
  <c r="R1005" i="22"/>
  <c r="L1006" i="22"/>
  <c r="C1006" i="22"/>
  <c r="K1006" i="22" s="1"/>
  <c r="E1006" i="22"/>
  <c r="F1006" i="22"/>
  <c r="O1006" i="22" s="1"/>
  <c r="G1006" i="22"/>
  <c r="I1006" i="22"/>
  <c r="B1007" i="22"/>
  <c r="D951" i="22"/>
  <c r="J951" i="22"/>
  <c r="P951" i="22"/>
  <c r="Q951" i="22"/>
  <c r="R951" i="22"/>
  <c r="L952" i="22"/>
  <c r="C952" i="22"/>
  <c r="E952" i="22"/>
  <c r="G952" i="22"/>
  <c r="I952" i="22"/>
  <c r="B953" i="22"/>
  <c r="D897" i="22"/>
  <c r="J897" i="22"/>
  <c r="P897" i="22"/>
  <c r="Q897" i="22"/>
  <c r="R897" i="22"/>
  <c r="L898" i="22"/>
  <c r="C898" i="22"/>
  <c r="E898" i="22"/>
  <c r="G898" i="22"/>
  <c r="I898" i="22"/>
  <c r="B899" i="22"/>
  <c r="D843" i="22"/>
  <c r="J843" i="22"/>
  <c r="P843" i="22"/>
  <c r="Q843" i="22"/>
  <c r="R843" i="22"/>
  <c r="L844" i="22"/>
  <c r="C844" i="22"/>
  <c r="K844" i="22" s="1"/>
  <c r="E844" i="22"/>
  <c r="F844" i="22"/>
  <c r="O844" i="22" s="1"/>
  <c r="G844" i="22"/>
  <c r="I844" i="22"/>
  <c r="B845" i="22"/>
  <c r="M789" i="22"/>
  <c r="D789" i="22"/>
  <c r="J789" i="22"/>
  <c r="N789" i="22" s="1"/>
  <c r="U789" i="22" s="1"/>
  <c r="P789" i="22"/>
  <c r="Q789" i="22"/>
  <c r="R789" i="22"/>
  <c r="L790" i="22"/>
  <c r="C790" i="22"/>
  <c r="E790" i="22"/>
  <c r="G790" i="22"/>
  <c r="I790" i="22"/>
  <c r="B791" i="22"/>
  <c r="M735" i="22"/>
  <c r="D735" i="22"/>
  <c r="J735" i="22"/>
  <c r="N735" i="22" s="1"/>
  <c r="U735" i="22" s="1"/>
  <c r="P735" i="22"/>
  <c r="Q735" i="22"/>
  <c r="R735" i="22"/>
  <c r="L736" i="22"/>
  <c r="C736" i="22"/>
  <c r="K736" i="22" s="1"/>
  <c r="E736" i="22"/>
  <c r="F736" i="22"/>
  <c r="O736" i="22" s="1"/>
  <c r="G736" i="22"/>
  <c r="I736" i="22"/>
  <c r="B737" i="22"/>
  <c r="M681" i="22"/>
  <c r="D681" i="22"/>
  <c r="J681" i="22"/>
  <c r="N681" i="22" s="1"/>
  <c r="U681" i="22" s="1"/>
  <c r="P681" i="22"/>
  <c r="Q681" i="22"/>
  <c r="R681" i="22"/>
  <c r="L682" i="22"/>
  <c r="C682" i="22"/>
  <c r="K682" i="22" s="1"/>
  <c r="E682" i="22"/>
  <c r="F682" i="22"/>
  <c r="O682" i="22" s="1"/>
  <c r="G682" i="22"/>
  <c r="I682" i="22"/>
  <c r="B683" i="22"/>
  <c r="M627" i="22"/>
  <c r="D627" i="22"/>
  <c r="J627" i="22"/>
  <c r="N627" i="22" s="1"/>
  <c r="U627" i="22" s="1"/>
  <c r="P627" i="22"/>
  <c r="Q627" i="22"/>
  <c r="R627" i="22"/>
  <c r="L628" i="22"/>
  <c r="C628" i="22"/>
  <c r="E628" i="22"/>
  <c r="G628" i="22"/>
  <c r="I628" i="22"/>
  <c r="B629" i="22"/>
  <c r="D573" i="22"/>
  <c r="J573" i="22"/>
  <c r="P573" i="22"/>
  <c r="Q573" i="22"/>
  <c r="R573" i="22"/>
  <c r="L574" i="22"/>
  <c r="C574" i="22"/>
  <c r="K574" i="22" s="1"/>
  <c r="E574" i="22"/>
  <c r="F574" i="22"/>
  <c r="O574" i="22" s="1"/>
  <c r="G574" i="22"/>
  <c r="I574" i="22"/>
  <c r="B575" i="22"/>
  <c r="D519" i="22"/>
  <c r="J519" i="22"/>
  <c r="P519" i="22"/>
  <c r="Q519" i="22"/>
  <c r="R519" i="22"/>
  <c r="L520" i="22"/>
  <c r="C520" i="22"/>
  <c r="K520" i="22" s="1"/>
  <c r="E520" i="22"/>
  <c r="F520" i="22"/>
  <c r="O520" i="22" s="1"/>
  <c r="G520" i="22"/>
  <c r="I520" i="22"/>
  <c r="B521" i="22"/>
  <c r="M465" i="22"/>
  <c r="D465" i="22"/>
  <c r="J465" i="22"/>
  <c r="N465" i="22" s="1"/>
  <c r="U465" i="22" s="1"/>
  <c r="P465" i="22"/>
  <c r="Q465" i="22"/>
  <c r="R465" i="22"/>
  <c r="L466" i="22"/>
  <c r="C466" i="22"/>
  <c r="K466" i="22" s="1"/>
  <c r="E466" i="22"/>
  <c r="F466" i="22"/>
  <c r="O466" i="22" s="1"/>
  <c r="G466" i="22"/>
  <c r="I466" i="22"/>
  <c r="B467" i="22"/>
  <c r="M411" i="22"/>
  <c r="D411" i="22"/>
  <c r="J411" i="22"/>
  <c r="N411" i="22" s="1"/>
  <c r="U411" i="22" s="1"/>
  <c r="P411" i="22"/>
  <c r="Q411" i="22"/>
  <c r="R411" i="22"/>
  <c r="L412" i="22"/>
  <c r="E412" i="22"/>
  <c r="I412" i="22"/>
  <c r="B413" i="22"/>
  <c r="C412" i="22"/>
  <c r="K412" i="22" s="1"/>
  <c r="F412" i="22"/>
  <c r="O412" i="22" s="1"/>
  <c r="G412" i="22"/>
  <c r="M357" i="22"/>
  <c r="D357" i="22"/>
  <c r="J357" i="22"/>
  <c r="N357" i="22" s="1"/>
  <c r="U357" i="22" s="1"/>
  <c r="P357" i="22"/>
  <c r="Q357" i="22"/>
  <c r="R357" i="22"/>
  <c r="L358" i="22"/>
  <c r="C358" i="22"/>
  <c r="E358" i="22"/>
  <c r="G358" i="22"/>
  <c r="I358" i="22"/>
  <c r="B359" i="22"/>
  <c r="M303" i="22"/>
  <c r="D303" i="22"/>
  <c r="J303" i="22"/>
  <c r="N303" i="22" s="1"/>
  <c r="U303" i="22" s="1"/>
  <c r="P303" i="22"/>
  <c r="Q303" i="22"/>
  <c r="R303" i="22"/>
  <c r="L304" i="22"/>
  <c r="C304" i="22"/>
  <c r="K304" i="22" s="1"/>
  <c r="E304" i="22"/>
  <c r="F304" i="22"/>
  <c r="O304" i="22" s="1"/>
  <c r="G304" i="22"/>
  <c r="I304" i="22"/>
  <c r="B305" i="22"/>
  <c r="M249" i="22"/>
  <c r="D249" i="22"/>
  <c r="J249" i="22"/>
  <c r="N249" i="22" s="1"/>
  <c r="U249" i="22" s="1"/>
  <c r="P249" i="22"/>
  <c r="Q249" i="22"/>
  <c r="R249" i="22"/>
  <c r="L250" i="22"/>
  <c r="C250" i="22"/>
  <c r="K250" i="22" s="1"/>
  <c r="E250" i="22"/>
  <c r="F250" i="22"/>
  <c r="O250" i="22" s="1"/>
  <c r="G250" i="22"/>
  <c r="I250" i="22"/>
  <c r="B251" i="22"/>
  <c r="M195" i="22"/>
  <c r="D195" i="22"/>
  <c r="J195" i="22"/>
  <c r="N195" i="22" s="1"/>
  <c r="U195" i="22" s="1"/>
  <c r="P195" i="22"/>
  <c r="Q195" i="22"/>
  <c r="R195" i="22"/>
  <c r="L196" i="22"/>
  <c r="I196" i="22"/>
  <c r="C196" i="22"/>
  <c r="K196" i="22" s="1"/>
  <c r="E196" i="22"/>
  <c r="F196" i="22"/>
  <c r="O196" i="22" s="1"/>
  <c r="G196" i="22"/>
  <c r="B197" i="22"/>
  <c r="M141" i="22"/>
  <c r="D141" i="22"/>
  <c r="J141" i="22"/>
  <c r="N141" i="22" s="1"/>
  <c r="U141" i="22" s="1"/>
  <c r="P141" i="22"/>
  <c r="Q141" i="22"/>
  <c r="R141" i="22"/>
  <c r="L142" i="22"/>
  <c r="C142" i="22"/>
  <c r="K142" i="22" s="1"/>
  <c r="E142" i="22"/>
  <c r="F142" i="22"/>
  <c r="O142" i="22" s="1"/>
  <c r="G142" i="22"/>
  <c r="I142" i="22"/>
  <c r="B143" i="22"/>
  <c r="M87" i="22"/>
  <c r="D87" i="22"/>
  <c r="J87" i="22"/>
  <c r="N87" i="22" s="1"/>
  <c r="U87" i="22" s="1"/>
  <c r="P87" i="22"/>
  <c r="Q87" i="22"/>
  <c r="R87" i="22"/>
  <c r="L88" i="22"/>
  <c r="C88" i="22"/>
  <c r="K88" i="22" s="1"/>
  <c r="E88" i="22"/>
  <c r="F88" i="22"/>
  <c r="O88" i="22" s="1"/>
  <c r="G88" i="22"/>
  <c r="I88" i="22"/>
  <c r="B89" i="22"/>
  <c r="F24" i="18"/>
  <c r="G24" i="18"/>
  <c r="H24" i="18"/>
  <c r="M25" i="17"/>
  <c r="D25" i="17"/>
  <c r="J25" i="17"/>
  <c r="N25" i="17" s="1"/>
  <c r="U25" i="17" s="1"/>
  <c r="AC25" i="17"/>
  <c r="AB25" i="17"/>
  <c r="AA25" i="17"/>
  <c r="Z25" i="17"/>
  <c r="Y25" i="17"/>
  <c r="X25" i="17"/>
  <c r="W25" i="17"/>
  <c r="P25" i="17"/>
  <c r="Q25" i="17"/>
  <c r="R25" i="17"/>
  <c r="V25" i="17"/>
  <c r="L26" i="17"/>
  <c r="C26" i="17"/>
  <c r="K26" i="17" s="1"/>
  <c r="E26" i="17"/>
  <c r="F26" i="17"/>
  <c r="C26" i="18" s="1"/>
  <c r="E26" i="18" s="1"/>
  <c r="O26" i="17" s="1"/>
  <c r="G26" i="17"/>
  <c r="I26" i="17"/>
  <c r="B27" i="17"/>
  <c r="B26" i="18"/>
  <c r="AG16" i="17"/>
  <c r="B91" i="12"/>
  <c r="I91" i="12" s="1"/>
  <c r="AF15" i="17"/>
  <c r="AE17" i="17"/>
  <c r="AE18" i="17"/>
  <c r="AE19" i="17"/>
  <c r="AE20" i="17"/>
  <c r="AE21" i="17"/>
  <c r="AE22" i="17"/>
  <c r="AE23" i="17"/>
  <c r="AE24" i="17"/>
  <c r="AE25" i="17"/>
  <c r="AE26" i="17"/>
  <c r="M1489" i="23"/>
  <c r="N1489" i="23"/>
  <c r="AE1489" i="23" s="1"/>
  <c r="M1433" i="23"/>
  <c r="N1433" i="23"/>
  <c r="AE1433" i="23" s="1"/>
  <c r="N1377" i="23"/>
  <c r="AE1377" i="23" s="1"/>
  <c r="M1377" i="23"/>
  <c r="M985" i="23"/>
  <c r="N985" i="23"/>
  <c r="AE985" i="23" s="1"/>
  <c r="M481" i="23"/>
  <c r="N481" i="23"/>
  <c r="AE481" i="23" s="1"/>
  <c r="M313" i="23"/>
  <c r="N313" i="23"/>
  <c r="AE313" i="23" s="1"/>
  <c r="M4682" i="22"/>
  <c r="N4682" i="22"/>
  <c r="M4058" i="22"/>
  <c r="N4058" i="22"/>
  <c r="U4058" i="22" s="1"/>
  <c r="M3758" i="22"/>
  <c r="N3758" i="22"/>
  <c r="U3758" i="22" s="1"/>
  <c r="M3488" i="22"/>
  <c r="N3488" i="22"/>
  <c r="U3488" i="22" s="1"/>
  <c r="M3326" i="22"/>
  <c r="N3326" i="22"/>
  <c r="U3326" i="22" s="1"/>
  <c r="M3002" i="22"/>
  <c r="N3002" i="22"/>
  <c r="U3002" i="22" s="1"/>
  <c r="M2948" i="22"/>
  <c r="N2948" i="22"/>
  <c r="U2948" i="22" s="1"/>
  <c r="M2894" i="22"/>
  <c r="N2894" i="22"/>
  <c r="U2894" i="22" s="1"/>
  <c r="M2678" i="22"/>
  <c r="N2678" i="22"/>
  <c r="U2678" i="22" s="1"/>
  <c r="M2624" i="22"/>
  <c r="N2624" i="22"/>
  <c r="U2624" i="22" s="1"/>
  <c r="M2354" i="22"/>
  <c r="N2354" i="22"/>
  <c r="U2354" i="22" s="1"/>
  <c r="M2300" i="22"/>
  <c r="N2300" i="22"/>
  <c r="U2300" i="22" s="1"/>
  <c r="M2246" i="22"/>
  <c r="N2246" i="22"/>
  <c r="U2246" i="22" s="1"/>
  <c r="M1922" i="22"/>
  <c r="N1922" i="22"/>
  <c r="U1922" i="22" s="1"/>
  <c r="M1868" i="22"/>
  <c r="N1868" i="22"/>
  <c r="U1868" i="22" s="1"/>
  <c r="M1814" i="22"/>
  <c r="N1814" i="22"/>
  <c r="U1814" i="22" s="1"/>
  <c r="M1544" i="22"/>
  <c r="N1544" i="22"/>
  <c r="U1544" i="22" s="1"/>
  <c r="M1490" i="22"/>
  <c r="N1490" i="22"/>
  <c r="U1490" i="22" s="1"/>
  <c r="M1436" i="22"/>
  <c r="N1436" i="22"/>
  <c r="U1436" i="22" s="1"/>
  <c r="M1166" i="22"/>
  <c r="N1166" i="22"/>
  <c r="U1166" i="22" s="1"/>
  <c r="M1112" i="22"/>
  <c r="N1112" i="22"/>
  <c r="U1112" i="22" s="1"/>
  <c r="M1058" i="22"/>
  <c r="N1058" i="22"/>
  <c r="U1058" i="22" s="1"/>
  <c r="M734" i="22"/>
  <c r="N734" i="22"/>
  <c r="U734" i="22" s="1"/>
  <c r="M680" i="22"/>
  <c r="N680" i="22"/>
  <c r="U680" i="22" s="1"/>
  <c r="M302" i="22"/>
  <c r="N302" i="22"/>
  <c r="U302" i="22" s="1"/>
  <c r="K1546" i="23"/>
  <c r="F1546" i="23"/>
  <c r="O1546" i="23" s="1"/>
  <c r="K1490" i="23"/>
  <c r="F1490" i="23"/>
  <c r="O1490" i="23" s="1"/>
  <c r="F1434" i="23"/>
  <c r="O1434" i="23" s="1"/>
  <c r="K1434" i="23"/>
  <c r="F1378" i="23"/>
  <c r="O1378" i="23" s="1"/>
  <c r="K1378" i="23"/>
  <c r="K1210" i="23"/>
  <c r="F1210" i="23"/>
  <c r="O1210" i="23" s="1"/>
  <c r="F426" i="23"/>
  <c r="O426" i="23" s="1"/>
  <c r="K426" i="23"/>
  <c r="D4629" i="22"/>
  <c r="F4629" i="22"/>
  <c r="O4629" i="22" s="1"/>
  <c r="K4113" i="22"/>
  <c r="F4113" i="22"/>
  <c r="O4113" i="22" s="1"/>
  <c r="F4059" i="22"/>
  <c r="O4059" i="22" s="1"/>
  <c r="K4059" i="22"/>
  <c r="K3489" i="22"/>
  <c r="F3489" i="22"/>
  <c r="O3489" i="22" s="1"/>
  <c r="K3435" i="22"/>
  <c r="F3435" i="22"/>
  <c r="O3435" i="22" s="1"/>
  <c r="K3111" i="22"/>
  <c r="F3111" i="22"/>
  <c r="O3111" i="22" s="1"/>
  <c r="K3057" i="22"/>
  <c r="F3057" i="22"/>
  <c r="O3057" i="22" s="1"/>
  <c r="K3003" i="22"/>
  <c r="F3003" i="22"/>
  <c r="O3003" i="22" s="1"/>
  <c r="F2787" i="22"/>
  <c r="O2787" i="22" s="1"/>
  <c r="K2787" i="22"/>
  <c r="F2733" i="22"/>
  <c r="O2733" i="22" s="1"/>
  <c r="K2733" i="22"/>
  <c r="F2679" i="22"/>
  <c r="O2679" i="22" s="1"/>
  <c r="K2679" i="22"/>
  <c r="K2625" i="22"/>
  <c r="F2625" i="22"/>
  <c r="O2625" i="22" s="1"/>
  <c r="K1977" i="22"/>
  <c r="F1977" i="22"/>
  <c r="O1977" i="22" s="1"/>
  <c r="K1653" i="22"/>
  <c r="F1653" i="22"/>
  <c r="O1653" i="22" s="1"/>
  <c r="F1275" i="22"/>
  <c r="O1275" i="22" s="1"/>
  <c r="K1275" i="22"/>
  <c r="K1221" i="22"/>
  <c r="F1221" i="22"/>
  <c r="O1221" i="22" s="1"/>
  <c r="F951" i="22"/>
  <c r="O951" i="22" s="1"/>
  <c r="K951" i="22"/>
  <c r="F897" i="22"/>
  <c r="O897" i="22" s="1"/>
  <c r="K897" i="22"/>
  <c r="F843" i="22"/>
  <c r="O843" i="22" s="1"/>
  <c r="K843" i="22"/>
  <c r="F573" i="22"/>
  <c r="O573" i="22" s="1"/>
  <c r="K573" i="22"/>
  <c r="F519" i="22"/>
  <c r="O519" i="22" s="1"/>
  <c r="K519" i="22"/>
  <c r="K2842" i="22" l="1"/>
  <c r="F2842" i="22"/>
  <c r="O2842" i="22" s="1"/>
  <c r="K2788" i="22"/>
  <c r="F2788" i="22"/>
  <c r="O2788" i="22" s="1"/>
  <c r="K2518" i="22"/>
  <c r="F2518" i="22"/>
  <c r="O2518" i="22" s="1"/>
  <c r="K2302" i="22"/>
  <c r="F2302" i="22"/>
  <c r="O2302" i="22" s="1"/>
  <c r="K2248" i="22"/>
  <c r="F2248" i="22"/>
  <c r="O2248" i="22" s="1"/>
  <c r="K2032" i="22"/>
  <c r="F2032" i="22"/>
  <c r="O2032" i="22" s="1"/>
  <c r="K1492" i="22"/>
  <c r="F1492" i="22"/>
  <c r="O1492" i="22" s="1"/>
  <c r="K952" i="22"/>
  <c r="F952" i="22"/>
  <c r="O952" i="22" s="1"/>
  <c r="K898" i="22"/>
  <c r="F898" i="22"/>
  <c r="O898" i="22" s="1"/>
  <c r="K628" i="22"/>
  <c r="F628" i="22"/>
  <c r="O628" i="22" s="1"/>
  <c r="K358" i="22"/>
  <c r="F358" i="22"/>
  <c r="O358" i="22" s="1"/>
  <c r="M1603" i="23"/>
  <c r="J1603" i="23"/>
  <c r="N1603" i="23" s="1"/>
  <c r="AE1603" i="23" s="1"/>
  <c r="D1603" i="23"/>
  <c r="P1603" i="23"/>
  <c r="Q1603" i="23"/>
  <c r="R1603" i="23"/>
  <c r="I1604" i="23"/>
  <c r="L1604" i="23"/>
  <c r="C1604" i="23"/>
  <c r="K1604" i="23" s="1"/>
  <c r="E1604" i="23"/>
  <c r="F1604" i="23"/>
  <c r="O1604" i="23" s="1"/>
  <c r="G1604" i="23"/>
  <c r="B1605" i="23"/>
  <c r="M1547" i="23"/>
  <c r="J1547" i="23"/>
  <c r="N1547" i="23" s="1"/>
  <c r="AE1547" i="23" s="1"/>
  <c r="D1547" i="23"/>
  <c r="P1547" i="23"/>
  <c r="Q1547" i="23"/>
  <c r="R1547" i="23"/>
  <c r="L1548" i="23"/>
  <c r="I1548" i="23"/>
  <c r="C1548" i="23"/>
  <c r="E1548" i="23"/>
  <c r="G1548" i="23"/>
  <c r="B1549" i="23"/>
  <c r="M1491" i="23"/>
  <c r="J1491" i="23"/>
  <c r="N1491" i="23" s="1"/>
  <c r="AE1491" i="23" s="1"/>
  <c r="D1491" i="23"/>
  <c r="P1491" i="23"/>
  <c r="Q1491" i="23"/>
  <c r="R1491" i="23"/>
  <c r="L1492" i="23"/>
  <c r="I1492" i="23"/>
  <c r="C1492" i="23"/>
  <c r="E1492" i="23"/>
  <c r="G1492" i="23"/>
  <c r="B1493" i="23"/>
  <c r="J1435" i="23"/>
  <c r="D1435" i="23"/>
  <c r="P1435" i="23"/>
  <c r="Q1435" i="23"/>
  <c r="R1435" i="23"/>
  <c r="L1436" i="23"/>
  <c r="I1436" i="23"/>
  <c r="C1436" i="23"/>
  <c r="K1436" i="23" s="1"/>
  <c r="E1436" i="23"/>
  <c r="F1436" i="23"/>
  <c r="O1436" i="23" s="1"/>
  <c r="G1436" i="23"/>
  <c r="B1437" i="23"/>
  <c r="P1379" i="23"/>
  <c r="Q1379" i="23"/>
  <c r="R1379" i="23"/>
  <c r="J1379" i="23"/>
  <c r="D1379" i="23"/>
  <c r="L1380" i="23"/>
  <c r="I1380" i="23"/>
  <c r="C1380" i="23"/>
  <c r="E1380" i="23"/>
  <c r="G1380" i="23"/>
  <c r="B1381" i="23"/>
  <c r="M1323" i="23"/>
  <c r="J1323" i="23"/>
  <c r="N1323" i="23" s="1"/>
  <c r="AE1323" i="23" s="1"/>
  <c r="D1323" i="23"/>
  <c r="P1323" i="23"/>
  <c r="Q1323" i="23"/>
  <c r="R1323" i="23"/>
  <c r="L1324" i="23"/>
  <c r="I1324" i="23"/>
  <c r="C1324" i="23"/>
  <c r="K1324" i="23" s="1"/>
  <c r="E1324" i="23"/>
  <c r="F1324" i="23"/>
  <c r="O1324" i="23" s="1"/>
  <c r="G1324" i="23"/>
  <c r="B1325" i="23"/>
  <c r="M1267" i="23"/>
  <c r="J1267" i="23"/>
  <c r="N1267" i="23" s="1"/>
  <c r="AE1267" i="23" s="1"/>
  <c r="D1267" i="23"/>
  <c r="P1267" i="23"/>
  <c r="Q1267" i="23"/>
  <c r="R1267" i="23"/>
  <c r="L1268" i="23"/>
  <c r="I1268" i="23"/>
  <c r="C1268" i="23"/>
  <c r="K1268" i="23" s="1"/>
  <c r="E1268" i="23"/>
  <c r="F1268" i="23"/>
  <c r="O1268" i="23" s="1"/>
  <c r="G1268" i="23"/>
  <c r="B1269" i="23"/>
  <c r="M1211" i="23"/>
  <c r="J1211" i="23"/>
  <c r="N1211" i="23" s="1"/>
  <c r="AE1211" i="23" s="1"/>
  <c r="D1211" i="23"/>
  <c r="P1211" i="23"/>
  <c r="Q1211" i="23"/>
  <c r="R1211" i="23"/>
  <c r="L1212" i="23"/>
  <c r="I1212" i="23"/>
  <c r="C1212" i="23"/>
  <c r="K1212" i="23" s="1"/>
  <c r="E1212" i="23"/>
  <c r="F1212" i="23"/>
  <c r="O1212" i="23" s="1"/>
  <c r="G1212" i="23"/>
  <c r="B1213" i="23"/>
  <c r="M1155" i="23"/>
  <c r="J1155" i="23"/>
  <c r="N1155" i="23" s="1"/>
  <c r="AE1155" i="23" s="1"/>
  <c r="D1155" i="23"/>
  <c r="P1155" i="23"/>
  <c r="Q1155" i="23"/>
  <c r="R1155" i="23"/>
  <c r="L1156" i="23"/>
  <c r="I1156" i="23"/>
  <c r="C1156" i="23"/>
  <c r="K1156" i="23" s="1"/>
  <c r="E1156" i="23"/>
  <c r="F1156" i="23"/>
  <c r="O1156" i="23" s="1"/>
  <c r="G1156" i="23"/>
  <c r="B1157" i="23"/>
  <c r="M1099" i="23"/>
  <c r="J1099" i="23"/>
  <c r="N1099" i="23" s="1"/>
  <c r="AE1099" i="23" s="1"/>
  <c r="D1099" i="23"/>
  <c r="P1099" i="23"/>
  <c r="Q1099" i="23"/>
  <c r="R1099" i="23"/>
  <c r="L1100" i="23"/>
  <c r="I1100" i="23"/>
  <c r="C1100" i="23"/>
  <c r="K1100" i="23" s="1"/>
  <c r="E1100" i="23"/>
  <c r="F1100" i="23"/>
  <c r="O1100" i="23" s="1"/>
  <c r="G1100" i="23"/>
  <c r="B1101" i="23"/>
  <c r="J1043" i="23"/>
  <c r="D1043" i="23"/>
  <c r="P1043" i="23"/>
  <c r="Q1043" i="23"/>
  <c r="R1043" i="23"/>
  <c r="L1044" i="23"/>
  <c r="I1044" i="23"/>
  <c r="E1044" i="23"/>
  <c r="G1044" i="23"/>
  <c r="C1044" i="23"/>
  <c r="K1044" i="23" s="1"/>
  <c r="B1045" i="23"/>
  <c r="F1044" i="23"/>
  <c r="O1044" i="23" s="1"/>
  <c r="M987" i="23"/>
  <c r="J987" i="23"/>
  <c r="N987" i="23" s="1"/>
  <c r="AE987" i="23" s="1"/>
  <c r="D987" i="23"/>
  <c r="P987" i="23"/>
  <c r="Q987" i="23"/>
  <c r="R987" i="23"/>
  <c r="L988" i="23"/>
  <c r="I988" i="23"/>
  <c r="C988" i="23"/>
  <c r="K988" i="23" s="1"/>
  <c r="E988" i="23"/>
  <c r="F988" i="23"/>
  <c r="O988" i="23" s="1"/>
  <c r="G988" i="23"/>
  <c r="B989" i="23"/>
  <c r="J931" i="23"/>
  <c r="D931" i="23"/>
  <c r="P931" i="23"/>
  <c r="Q931" i="23"/>
  <c r="R931" i="23"/>
  <c r="L932" i="23"/>
  <c r="I932" i="23"/>
  <c r="C932" i="23"/>
  <c r="E932" i="23"/>
  <c r="G932" i="23"/>
  <c r="B933" i="23"/>
  <c r="M875" i="23"/>
  <c r="J875" i="23"/>
  <c r="N875" i="23" s="1"/>
  <c r="AE875" i="23" s="1"/>
  <c r="D875" i="23"/>
  <c r="P875" i="23"/>
  <c r="Q875" i="23"/>
  <c r="R875" i="23"/>
  <c r="L876" i="23"/>
  <c r="I876" i="23"/>
  <c r="C876" i="23"/>
  <c r="K876" i="23" s="1"/>
  <c r="E876" i="23"/>
  <c r="F876" i="23"/>
  <c r="O876" i="23" s="1"/>
  <c r="G876" i="23"/>
  <c r="B877" i="23"/>
  <c r="J819" i="23"/>
  <c r="D819" i="23"/>
  <c r="P819" i="23"/>
  <c r="Q819" i="23"/>
  <c r="R819" i="23"/>
  <c r="L820" i="23"/>
  <c r="I820" i="23"/>
  <c r="C820" i="23"/>
  <c r="K820" i="23" s="1"/>
  <c r="E820" i="23"/>
  <c r="F820" i="23"/>
  <c r="O820" i="23" s="1"/>
  <c r="G820" i="23"/>
  <c r="B821" i="23"/>
  <c r="M763" i="23"/>
  <c r="J763" i="23"/>
  <c r="N763" i="23" s="1"/>
  <c r="AE763" i="23" s="1"/>
  <c r="D763" i="23"/>
  <c r="P763" i="23"/>
  <c r="Q763" i="23"/>
  <c r="R763" i="23"/>
  <c r="L764" i="23"/>
  <c r="I764" i="23"/>
  <c r="C764" i="23"/>
  <c r="K764" i="23" s="1"/>
  <c r="E764" i="23"/>
  <c r="F764" i="23"/>
  <c r="O764" i="23" s="1"/>
  <c r="G764" i="23"/>
  <c r="B765" i="23"/>
  <c r="M707" i="23"/>
  <c r="J707" i="23"/>
  <c r="N707" i="23" s="1"/>
  <c r="AE707" i="23" s="1"/>
  <c r="D707" i="23"/>
  <c r="P707" i="23"/>
  <c r="Q707" i="23"/>
  <c r="R707" i="23"/>
  <c r="L708" i="23"/>
  <c r="I708" i="23"/>
  <c r="C708" i="23"/>
  <c r="K708" i="23" s="1"/>
  <c r="E708" i="23"/>
  <c r="F708" i="23"/>
  <c r="O708" i="23" s="1"/>
  <c r="G708" i="23"/>
  <c r="B709" i="23"/>
  <c r="M651" i="23"/>
  <c r="J651" i="23"/>
  <c r="N651" i="23" s="1"/>
  <c r="AE651" i="23" s="1"/>
  <c r="D651" i="23"/>
  <c r="P651" i="23"/>
  <c r="Q651" i="23"/>
  <c r="R651" i="23"/>
  <c r="L652" i="23"/>
  <c r="I652" i="23"/>
  <c r="C652" i="23"/>
  <c r="K652" i="23" s="1"/>
  <c r="E652" i="23"/>
  <c r="F652" i="23"/>
  <c r="O652" i="23" s="1"/>
  <c r="G652" i="23"/>
  <c r="B653" i="23"/>
  <c r="M595" i="23"/>
  <c r="J595" i="23"/>
  <c r="N595" i="23" s="1"/>
  <c r="AE595" i="23" s="1"/>
  <c r="D595" i="23"/>
  <c r="P595" i="23"/>
  <c r="Q595" i="23"/>
  <c r="R595" i="23"/>
  <c r="L596" i="23"/>
  <c r="I596" i="23"/>
  <c r="C596" i="23"/>
  <c r="E596" i="23"/>
  <c r="G596" i="23"/>
  <c r="B597" i="23"/>
  <c r="M539" i="23"/>
  <c r="J539" i="23"/>
  <c r="N539" i="23" s="1"/>
  <c r="AE539" i="23" s="1"/>
  <c r="D539" i="23"/>
  <c r="P539" i="23"/>
  <c r="Q539" i="23"/>
  <c r="R539" i="23"/>
  <c r="L540" i="23"/>
  <c r="I540" i="23"/>
  <c r="C540" i="23"/>
  <c r="E540" i="23"/>
  <c r="G540" i="23"/>
  <c r="B541" i="23"/>
  <c r="M483" i="23"/>
  <c r="P483" i="23"/>
  <c r="Q483" i="23"/>
  <c r="R483" i="23"/>
  <c r="L484" i="23"/>
  <c r="I484" i="23"/>
  <c r="G484" i="23"/>
  <c r="C484" i="23"/>
  <c r="E484" i="23"/>
  <c r="B485" i="23"/>
  <c r="J483" i="23"/>
  <c r="N483" i="23" s="1"/>
  <c r="AE483" i="23" s="1"/>
  <c r="D483" i="23"/>
  <c r="P427" i="23"/>
  <c r="Q427" i="23"/>
  <c r="R427" i="23"/>
  <c r="L428" i="23"/>
  <c r="I428" i="23"/>
  <c r="E428" i="23"/>
  <c r="C428" i="23"/>
  <c r="G428" i="23"/>
  <c r="B429" i="23"/>
  <c r="J427" i="23"/>
  <c r="D427" i="23"/>
  <c r="M371" i="23"/>
  <c r="J371" i="23"/>
  <c r="N371" i="23" s="1"/>
  <c r="AE371" i="23" s="1"/>
  <c r="D371" i="23"/>
  <c r="P371" i="23"/>
  <c r="Q371" i="23"/>
  <c r="R371" i="23"/>
  <c r="L372" i="23"/>
  <c r="I372" i="23"/>
  <c r="C372" i="23"/>
  <c r="E372" i="23"/>
  <c r="G372" i="23"/>
  <c r="B373" i="23"/>
  <c r="M315" i="23"/>
  <c r="J315" i="23"/>
  <c r="N315" i="23" s="1"/>
  <c r="AE315" i="23" s="1"/>
  <c r="D315" i="23"/>
  <c r="P315" i="23"/>
  <c r="Q315" i="23"/>
  <c r="R315" i="23"/>
  <c r="L316" i="23"/>
  <c r="I316" i="23"/>
  <c r="C316" i="23"/>
  <c r="K316" i="23" s="1"/>
  <c r="E316" i="23"/>
  <c r="F316" i="23"/>
  <c r="O316" i="23" s="1"/>
  <c r="G316" i="23"/>
  <c r="B317" i="23"/>
  <c r="M259" i="23"/>
  <c r="J259" i="23"/>
  <c r="N259" i="23" s="1"/>
  <c r="AE259" i="23" s="1"/>
  <c r="D259" i="23"/>
  <c r="P259" i="23"/>
  <c r="Q259" i="23"/>
  <c r="R259" i="23"/>
  <c r="L260" i="23"/>
  <c r="I260" i="23"/>
  <c r="C260" i="23"/>
  <c r="K260" i="23" s="1"/>
  <c r="E260" i="23"/>
  <c r="F260" i="23"/>
  <c r="O260" i="23" s="1"/>
  <c r="G260" i="23"/>
  <c r="B261" i="23"/>
  <c r="D4738" i="22"/>
  <c r="J4738" i="22"/>
  <c r="P4738" i="22"/>
  <c r="Q4738" i="22"/>
  <c r="R4738" i="22"/>
  <c r="M4738" i="22"/>
  <c r="N4738" i="22"/>
  <c r="C4739" i="22"/>
  <c r="E4739" i="22"/>
  <c r="F4739" i="22"/>
  <c r="G4739" i="22"/>
  <c r="I4739" i="22"/>
  <c r="K4739" i="22"/>
  <c r="L4739" i="22"/>
  <c r="B4740" i="22"/>
  <c r="S4683" i="22"/>
  <c r="U4683" i="22"/>
  <c r="M4684" i="22"/>
  <c r="D4684" i="22"/>
  <c r="J4684" i="22"/>
  <c r="N4684" i="22" s="1"/>
  <c r="P4684" i="22"/>
  <c r="Q4684" i="22"/>
  <c r="R4684" i="22"/>
  <c r="L4685" i="22"/>
  <c r="C4685" i="22"/>
  <c r="K4685" i="22" s="1"/>
  <c r="E4685" i="22"/>
  <c r="F4685" i="22"/>
  <c r="G4685" i="22"/>
  <c r="I4685" i="22"/>
  <c r="B4686" i="22"/>
  <c r="P4630" i="22"/>
  <c r="Q4630" i="22"/>
  <c r="R4630" i="22"/>
  <c r="C4631" i="22"/>
  <c r="E4631" i="22"/>
  <c r="G4631" i="22"/>
  <c r="B4632" i="22"/>
  <c r="M4576" i="22"/>
  <c r="J4576" i="22"/>
  <c r="N4576" i="22" s="1"/>
  <c r="D4576" i="22"/>
  <c r="P4576" i="22"/>
  <c r="Q4576" i="22"/>
  <c r="R4576" i="22"/>
  <c r="I4577" i="22"/>
  <c r="L4577" i="22"/>
  <c r="C4577" i="22"/>
  <c r="K4577" i="22" s="1"/>
  <c r="E4577" i="22"/>
  <c r="F4577" i="22"/>
  <c r="G4577" i="22"/>
  <c r="B4578" i="22"/>
  <c r="M4522" i="22"/>
  <c r="D4522" i="22"/>
  <c r="J4522" i="22"/>
  <c r="N4522" i="22" s="1"/>
  <c r="P4522" i="22"/>
  <c r="Q4522" i="22"/>
  <c r="R4522" i="22"/>
  <c r="L4523" i="22"/>
  <c r="C4523" i="22"/>
  <c r="K4523" i="22" s="1"/>
  <c r="E4523" i="22"/>
  <c r="F4523" i="22"/>
  <c r="G4523" i="22"/>
  <c r="I4523" i="22"/>
  <c r="B4524" i="22"/>
  <c r="M4222" i="22"/>
  <c r="D4222" i="22"/>
  <c r="J4222" i="22"/>
  <c r="N4222" i="22" s="1"/>
  <c r="U4222" i="22" s="1"/>
  <c r="P4222" i="22"/>
  <c r="Q4222" i="22"/>
  <c r="R4222" i="22"/>
  <c r="L4223" i="22"/>
  <c r="C4223" i="22"/>
  <c r="E4223" i="22"/>
  <c r="G4223" i="22"/>
  <c r="I4223" i="22"/>
  <c r="B4224" i="22"/>
  <c r="M4168" i="22"/>
  <c r="D4168" i="22"/>
  <c r="J4168" i="22"/>
  <c r="N4168" i="22" s="1"/>
  <c r="U4168" i="22" s="1"/>
  <c r="P4168" i="22"/>
  <c r="Q4168" i="22"/>
  <c r="R4168" i="22"/>
  <c r="L4169" i="22"/>
  <c r="C4169" i="22"/>
  <c r="K4169" i="22" s="1"/>
  <c r="E4169" i="22"/>
  <c r="F4169" i="22"/>
  <c r="O4169" i="22" s="1"/>
  <c r="G4169" i="22"/>
  <c r="I4169" i="22"/>
  <c r="B4170" i="22"/>
  <c r="M4114" i="22"/>
  <c r="D4114" i="22"/>
  <c r="J4114" i="22"/>
  <c r="N4114" i="22" s="1"/>
  <c r="U4114" i="22" s="1"/>
  <c r="P4114" i="22"/>
  <c r="Q4114" i="22"/>
  <c r="R4114" i="22"/>
  <c r="L4115" i="22"/>
  <c r="C4115" i="22"/>
  <c r="E4115" i="22"/>
  <c r="G4115" i="22"/>
  <c r="I4115" i="22"/>
  <c r="B4116" i="22"/>
  <c r="M4060" i="22"/>
  <c r="D4060" i="22"/>
  <c r="J4060" i="22"/>
  <c r="N4060" i="22" s="1"/>
  <c r="U4060" i="22" s="1"/>
  <c r="P4060" i="22"/>
  <c r="Q4060" i="22"/>
  <c r="R4060" i="22"/>
  <c r="L4061" i="22"/>
  <c r="C4061" i="22"/>
  <c r="K4061" i="22" s="1"/>
  <c r="E4061" i="22"/>
  <c r="F4061" i="22"/>
  <c r="O4061" i="22" s="1"/>
  <c r="G4061" i="22"/>
  <c r="I4061" i="22"/>
  <c r="B4062" i="22"/>
  <c r="M3760" i="22"/>
  <c r="D3760" i="22"/>
  <c r="J3760" i="22"/>
  <c r="N3760" i="22" s="1"/>
  <c r="U3760" i="22" s="1"/>
  <c r="P3760" i="22"/>
  <c r="Q3760" i="22"/>
  <c r="R3760" i="22"/>
  <c r="L3761" i="22"/>
  <c r="C3761" i="22"/>
  <c r="K3761" i="22" s="1"/>
  <c r="E3761" i="22"/>
  <c r="F3761" i="22"/>
  <c r="O3761" i="22" s="1"/>
  <c r="G3761" i="22"/>
  <c r="I3761" i="22"/>
  <c r="B3762" i="22"/>
  <c r="M3706" i="22"/>
  <c r="D3706" i="22"/>
  <c r="J3706" i="22"/>
  <c r="N3706" i="22" s="1"/>
  <c r="U3706" i="22" s="1"/>
  <c r="P3706" i="22"/>
  <c r="Q3706" i="22"/>
  <c r="R3706" i="22"/>
  <c r="L3707" i="22"/>
  <c r="C3707" i="22"/>
  <c r="K3707" i="22" s="1"/>
  <c r="E3707" i="22"/>
  <c r="F3707" i="22"/>
  <c r="O3707" i="22" s="1"/>
  <c r="G3707" i="22"/>
  <c r="I3707" i="22"/>
  <c r="B3708" i="22"/>
  <c r="D3652" i="22"/>
  <c r="J3652" i="22"/>
  <c r="P3652" i="22"/>
  <c r="Q3652" i="22"/>
  <c r="R3652" i="22"/>
  <c r="L3653" i="22"/>
  <c r="C3653" i="22"/>
  <c r="K3653" i="22" s="1"/>
  <c r="E3653" i="22"/>
  <c r="F3653" i="22"/>
  <c r="O3653" i="22" s="1"/>
  <c r="G3653" i="22"/>
  <c r="I3653" i="22"/>
  <c r="B3654" i="22"/>
  <c r="P3598" i="22"/>
  <c r="Q3598" i="22"/>
  <c r="R3598" i="22"/>
  <c r="L3599" i="22"/>
  <c r="C3599" i="22"/>
  <c r="E3599" i="22"/>
  <c r="G3599" i="22"/>
  <c r="B3600" i="22"/>
  <c r="I3599" i="22"/>
  <c r="D3598" i="22"/>
  <c r="J3598" i="22"/>
  <c r="P3544" i="22"/>
  <c r="Q3544" i="22"/>
  <c r="R3544" i="22"/>
  <c r="D3544" i="22"/>
  <c r="J3544" i="22"/>
  <c r="L3545" i="22"/>
  <c r="I3545" i="22"/>
  <c r="C3545" i="22"/>
  <c r="E3545" i="22"/>
  <c r="G3545" i="22"/>
  <c r="B3546" i="22"/>
  <c r="M3490" i="22"/>
  <c r="D3490" i="22"/>
  <c r="J3490" i="22"/>
  <c r="N3490" i="22" s="1"/>
  <c r="U3490" i="22" s="1"/>
  <c r="P3490" i="22"/>
  <c r="Q3490" i="22"/>
  <c r="R3490" i="22"/>
  <c r="L3491" i="22"/>
  <c r="C3491" i="22"/>
  <c r="K3491" i="22" s="1"/>
  <c r="E3491" i="22"/>
  <c r="F3491" i="22"/>
  <c r="O3491" i="22" s="1"/>
  <c r="G3491" i="22"/>
  <c r="I3491" i="22"/>
  <c r="B3492" i="22"/>
  <c r="M3436" i="22"/>
  <c r="D3436" i="22"/>
  <c r="J3436" i="22"/>
  <c r="N3436" i="22" s="1"/>
  <c r="U3436" i="22" s="1"/>
  <c r="P3436" i="22"/>
  <c r="Q3436" i="22"/>
  <c r="R3436" i="22"/>
  <c r="L3437" i="22"/>
  <c r="C3437" i="22"/>
  <c r="K3437" i="22" s="1"/>
  <c r="E3437" i="22"/>
  <c r="F3437" i="22"/>
  <c r="O3437" i="22" s="1"/>
  <c r="G3437" i="22"/>
  <c r="I3437" i="22"/>
  <c r="B3438" i="22"/>
  <c r="M3382" i="22"/>
  <c r="D3382" i="22"/>
  <c r="J3382" i="22"/>
  <c r="N3382" i="22" s="1"/>
  <c r="U3382" i="22" s="1"/>
  <c r="P3382" i="22"/>
  <c r="Q3382" i="22"/>
  <c r="R3382" i="22"/>
  <c r="L3383" i="22"/>
  <c r="C3383" i="22"/>
  <c r="K3383" i="22" s="1"/>
  <c r="E3383" i="22"/>
  <c r="F3383" i="22"/>
  <c r="O3383" i="22" s="1"/>
  <c r="G3383" i="22"/>
  <c r="I3383" i="22"/>
  <c r="B3384" i="22"/>
  <c r="D3328" i="22"/>
  <c r="J3328" i="22"/>
  <c r="P3328" i="22"/>
  <c r="Q3328" i="22"/>
  <c r="R3328" i="22"/>
  <c r="L3329" i="22"/>
  <c r="C3329" i="22"/>
  <c r="E3329" i="22"/>
  <c r="G3329" i="22"/>
  <c r="I3329" i="22"/>
  <c r="B3330" i="22"/>
  <c r="M3274" i="22"/>
  <c r="D3274" i="22"/>
  <c r="J3274" i="22"/>
  <c r="N3274" i="22" s="1"/>
  <c r="U3274" i="22" s="1"/>
  <c r="P3274" i="22"/>
  <c r="Q3274" i="22"/>
  <c r="R3274" i="22"/>
  <c r="L3275" i="22"/>
  <c r="C3275" i="22"/>
  <c r="K3275" i="22" s="1"/>
  <c r="E3275" i="22"/>
  <c r="F3275" i="22"/>
  <c r="O3275" i="22" s="1"/>
  <c r="G3275" i="22"/>
  <c r="I3275" i="22"/>
  <c r="B3276" i="22"/>
  <c r="M3220" i="22"/>
  <c r="D3220" i="22"/>
  <c r="J3220" i="22"/>
  <c r="N3220" i="22" s="1"/>
  <c r="U3220" i="22" s="1"/>
  <c r="P3220" i="22"/>
  <c r="Q3220" i="22"/>
  <c r="R3220" i="22"/>
  <c r="L3221" i="22"/>
  <c r="C3221" i="22"/>
  <c r="K3221" i="22" s="1"/>
  <c r="E3221" i="22"/>
  <c r="F3221" i="22"/>
  <c r="O3221" i="22" s="1"/>
  <c r="G3221" i="22"/>
  <c r="B3222" i="22"/>
  <c r="I3221" i="22"/>
  <c r="M3166" i="22"/>
  <c r="D3166" i="22"/>
  <c r="J3166" i="22"/>
  <c r="N3166" i="22" s="1"/>
  <c r="U3166" i="22" s="1"/>
  <c r="P3166" i="22"/>
  <c r="Q3166" i="22"/>
  <c r="R3166" i="22"/>
  <c r="L3167" i="22"/>
  <c r="C3167" i="22"/>
  <c r="K3167" i="22" s="1"/>
  <c r="E3167" i="22"/>
  <c r="F3167" i="22"/>
  <c r="O3167" i="22" s="1"/>
  <c r="G3167" i="22"/>
  <c r="I3167" i="22"/>
  <c r="B3168" i="22"/>
  <c r="L3113" i="22"/>
  <c r="G3113" i="22"/>
  <c r="B3114" i="22"/>
  <c r="C3113" i="22"/>
  <c r="E3113" i="22"/>
  <c r="I3113" i="22"/>
  <c r="J3112" i="22"/>
  <c r="D3112" i="22"/>
  <c r="P3112" i="22"/>
  <c r="Q3112" i="22"/>
  <c r="R3112" i="22"/>
  <c r="P3058" i="22"/>
  <c r="Q3058" i="22"/>
  <c r="R3058" i="22"/>
  <c r="D3058" i="22"/>
  <c r="J3058" i="22"/>
  <c r="L3059" i="22"/>
  <c r="C3059" i="22"/>
  <c r="E3059" i="22"/>
  <c r="G3059" i="22"/>
  <c r="I3059" i="22"/>
  <c r="B3060" i="22"/>
  <c r="P3004" i="22"/>
  <c r="Q3004" i="22"/>
  <c r="R3004" i="22"/>
  <c r="L3005" i="22"/>
  <c r="E3005" i="22"/>
  <c r="C3005" i="22"/>
  <c r="K3005" i="22" s="1"/>
  <c r="F3005" i="22"/>
  <c r="O3005" i="22" s="1"/>
  <c r="G3005" i="22"/>
  <c r="I3005" i="22"/>
  <c r="B3006" i="22"/>
  <c r="D3004" i="22"/>
  <c r="J3004" i="22"/>
  <c r="L2951" i="22"/>
  <c r="B2952" i="22"/>
  <c r="C2951" i="22"/>
  <c r="E2951" i="22"/>
  <c r="G2951" i="22"/>
  <c r="I2951" i="22"/>
  <c r="D2950" i="22"/>
  <c r="J2950" i="22"/>
  <c r="P2950" i="22"/>
  <c r="Q2950" i="22"/>
  <c r="R2950" i="22"/>
  <c r="M2896" i="22"/>
  <c r="D2896" i="22"/>
  <c r="J2896" i="22"/>
  <c r="N2896" i="22" s="1"/>
  <c r="U2896" i="22" s="1"/>
  <c r="P2896" i="22"/>
  <c r="Q2896" i="22"/>
  <c r="R2896" i="22"/>
  <c r="L2897" i="22"/>
  <c r="E2897" i="22"/>
  <c r="C2897" i="22"/>
  <c r="G2897" i="22"/>
  <c r="I2897" i="22"/>
  <c r="B2898" i="22"/>
  <c r="M2842" i="22"/>
  <c r="D2842" i="22"/>
  <c r="J2842" i="22"/>
  <c r="N2842" i="22" s="1"/>
  <c r="U2842" i="22" s="1"/>
  <c r="P2842" i="22"/>
  <c r="Q2842" i="22"/>
  <c r="R2842" i="22"/>
  <c r="L2843" i="22"/>
  <c r="C2843" i="22"/>
  <c r="K2843" i="22" s="1"/>
  <c r="E2843" i="22"/>
  <c r="F2843" i="22"/>
  <c r="O2843" i="22" s="1"/>
  <c r="G2843" i="22"/>
  <c r="I2843" i="22"/>
  <c r="B2844" i="22"/>
  <c r="M2788" i="22"/>
  <c r="D2788" i="22"/>
  <c r="J2788" i="22"/>
  <c r="N2788" i="22" s="1"/>
  <c r="S2788" i="22" s="1"/>
  <c r="T2788" i="22" s="1"/>
  <c r="U2788" i="22" s="1"/>
  <c r="P2788" i="22"/>
  <c r="Q2788" i="22"/>
  <c r="R2788" i="22"/>
  <c r="L2789" i="22"/>
  <c r="C2789" i="22"/>
  <c r="E2789" i="22"/>
  <c r="G2789" i="22"/>
  <c r="I2789" i="22"/>
  <c r="B2790" i="22"/>
  <c r="M2734" i="22"/>
  <c r="D2734" i="22"/>
  <c r="J2734" i="22"/>
  <c r="N2734" i="22" s="1"/>
  <c r="U2734" i="22" s="1"/>
  <c r="P2734" i="22"/>
  <c r="Q2734" i="22"/>
  <c r="R2734" i="22"/>
  <c r="L2735" i="22"/>
  <c r="C2735" i="22"/>
  <c r="E2735" i="22"/>
  <c r="G2735" i="22"/>
  <c r="I2735" i="22"/>
  <c r="B2736" i="22"/>
  <c r="D2680" i="22"/>
  <c r="J2680" i="22"/>
  <c r="P2680" i="22"/>
  <c r="Q2680" i="22"/>
  <c r="R2680" i="22"/>
  <c r="L2681" i="22"/>
  <c r="C2681" i="22"/>
  <c r="K2681" i="22" s="1"/>
  <c r="E2681" i="22"/>
  <c r="F2681" i="22"/>
  <c r="O2681" i="22" s="1"/>
  <c r="G2681" i="22"/>
  <c r="I2681" i="22"/>
  <c r="B2682" i="22"/>
  <c r="M2626" i="22"/>
  <c r="D2626" i="22"/>
  <c r="J2626" i="22"/>
  <c r="N2626" i="22" s="1"/>
  <c r="U2626" i="22" s="1"/>
  <c r="P2626" i="22"/>
  <c r="Q2626" i="22"/>
  <c r="R2626" i="22"/>
  <c r="L2627" i="22"/>
  <c r="C2627" i="22"/>
  <c r="K2627" i="22" s="1"/>
  <c r="E2627" i="22"/>
  <c r="F2627" i="22"/>
  <c r="O2627" i="22" s="1"/>
  <c r="G2627" i="22"/>
  <c r="I2627" i="22"/>
  <c r="B2628" i="22"/>
  <c r="M2572" i="22"/>
  <c r="D2572" i="22"/>
  <c r="J2572" i="22"/>
  <c r="N2572" i="22" s="1"/>
  <c r="U2572" i="22" s="1"/>
  <c r="P2572" i="22"/>
  <c r="Q2572" i="22"/>
  <c r="R2572" i="22"/>
  <c r="L2573" i="22"/>
  <c r="C2573" i="22"/>
  <c r="E2573" i="22"/>
  <c r="G2573" i="22"/>
  <c r="I2573" i="22"/>
  <c r="B2574" i="22"/>
  <c r="M2518" i="22"/>
  <c r="D2518" i="22"/>
  <c r="J2518" i="22"/>
  <c r="N2518" i="22" s="1"/>
  <c r="U2518" i="22" s="1"/>
  <c r="P2518" i="22"/>
  <c r="Q2518" i="22"/>
  <c r="R2518" i="22"/>
  <c r="L2519" i="22"/>
  <c r="C2519" i="22"/>
  <c r="E2519" i="22"/>
  <c r="G2519" i="22"/>
  <c r="I2519" i="22"/>
  <c r="B2520" i="22"/>
  <c r="M2464" i="22"/>
  <c r="D2464" i="22"/>
  <c r="J2464" i="22"/>
  <c r="N2464" i="22" s="1"/>
  <c r="U2464" i="22" s="1"/>
  <c r="P2464" i="22"/>
  <c r="Q2464" i="22"/>
  <c r="R2464" i="22"/>
  <c r="L2465" i="22"/>
  <c r="C2465" i="22"/>
  <c r="K2465" i="22" s="1"/>
  <c r="E2465" i="22"/>
  <c r="F2465" i="22"/>
  <c r="O2465" i="22" s="1"/>
  <c r="G2465" i="22"/>
  <c r="I2465" i="22"/>
  <c r="B2466" i="22"/>
  <c r="M2410" i="22"/>
  <c r="D2410" i="22"/>
  <c r="J2410" i="22"/>
  <c r="N2410" i="22" s="1"/>
  <c r="U2410" i="22" s="1"/>
  <c r="P2410" i="22"/>
  <c r="Q2410" i="22"/>
  <c r="R2410" i="22"/>
  <c r="L2411" i="22"/>
  <c r="C2411" i="22"/>
  <c r="K2411" i="22" s="1"/>
  <c r="E2411" i="22"/>
  <c r="F2411" i="22"/>
  <c r="O2411" i="22" s="1"/>
  <c r="G2411" i="22"/>
  <c r="I2411" i="22"/>
  <c r="B2412" i="22"/>
  <c r="M2356" i="22"/>
  <c r="D2356" i="22"/>
  <c r="J2356" i="22"/>
  <c r="N2356" i="22" s="1"/>
  <c r="U2356" i="22" s="1"/>
  <c r="P2356" i="22"/>
  <c r="Q2356" i="22"/>
  <c r="R2356" i="22"/>
  <c r="L2357" i="22"/>
  <c r="C2357" i="22"/>
  <c r="K2357" i="22" s="1"/>
  <c r="E2357" i="22"/>
  <c r="F2357" i="22"/>
  <c r="O2357" i="22" s="1"/>
  <c r="G2357" i="22"/>
  <c r="I2357" i="22"/>
  <c r="B2358" i="22"/>
  <c r="M2302" i="22"/>
  <c r="D2302" i="22"/>
  <c r="J2302" i="22"/>
  <c r="N2302" i="22" s="1"/>
  <c r="U2302" i="22" s="1"/>
  <c r="P2302" i="22"/>
  <c r="Q2302" i="22"/>
  <c r="R2302" i="22"/>
  <c r="L2303" i="22"/>
  <c r="C2303" i="22"/>
  <c r="K2303" i="22" s="1"/>
  <c r="E2303" i="22"/>
  <c r="F2303" i="22"/>
  <c r="O2303" i="22" s="1"/>
  <c r="G2303" i="22"/>
  <c r="I2303" i="22"/>
  <c r="B2304" i="22"/>
  <c r="M2248" i="22"/>
  <c r="D2248" i="22"/>
  <c r="J2248" i="22"/>
  <c r="N2248" i="22" s="1"/>
  <c r="U2248" i="22" s="1"/>
  <c r="P2248" i="22"/>
  <c r="Q2248" i="22"/>
  <c r="R2248" i="22"/>
  <c r="L2249" i="22"/>
  <c r="C2249" i="22"/>
  <c r="K2249" i="22" s="1"/>
  <c r="E2249" i="22"/>
  <c r="F2249" i="22"/>
  <c r="O2249" i="22" s="1"/>
  <c r="G2249" i="22"/>
  <c r="I2249" i="22"/>
  <c r="B2250" i="22"/>
  <c r="M2194" i="22"/>
  <c r="D2194" i="22"/>
  <c r="J2194" i="22"/>
  <c r="N2194" i="22" s="1"/>
  <c r="U2194" i="22" s="1"/>
  <c r="P2194" i="22"/>
  <c r="Q2194" i="22"/>
  <c r="R2194" i="22"/>
  <c r="L2195" i="22"/>
  <c r="C2195" i="22"/>
  <c r="K2195" i="22" s="1"/>
  <c r="E2195" i="22"/>
  <c r="F2195" i="22"/>
  <c r="O2195" i="22" s="1"/>
  <c r="G2195" i="22"/>
  <c r="I2195" i="22"/>
  <c r="B2196" i="22"/>
  <c r="M2140" i="22"/>
  <c r="D2140" i="22"/>
  <c r="J2140" i="22"/>
  <c r="N2140" i="22" s="1"/>
  <c r="U2140" i="22" s="1"/>
  <c r="P2140" i="22"/>
  <c r="Q2140" i="22"/>
  <c r="R2140" i="22"/>
  <c r="L2141" i="22"/>
  <c r="C2141" i="22"/>
  <c r="K2141" i="22" s="1"/>
  <c r="E2141" i="22"/>
  <c r="F2141" i="22"/>
  <c r="O2141" i="22" s="1"/>
  <c r="G2141" i="22"/>
  <c r="I2141" i="22"/>
  <c r="B2142" i="22"/>
  <c r="D2086" i="22"/>
  <c r="J2086" i="22"/>
  <c r="P2086" i="22"/>
  <c r="Q2086" i="22"/>
  <c r="R2086" i="22"/>
  <c r="L2087" i="22"/>
  <c r="C2087" i="22"/>
  <c r="K2087" i="22" s="1"/>
  <c r="E2087" i="22"/>
  <c r="F2087" i="22"/>
  <c r="O2087" i="22" s="1"/>
  <c r="G2087" i="22"/>
  <c r="I2087" i="22"/>
  <c r="B2088" i="22"/>
  <c r="M2032" i="22"/>
  <c r="D2032" i="22"/>
  <c r="J2032" i="22"/>
  <c r="N2032" i="22" s="1"/>
  <c r="U2032" i="22" s="1"/>
  <c r="P2032" i="22"/>
  <c r="Q2032" i="22"/>
  <c r="R2032" i="22"/>
  <c r="L2033" i="22"/>
  <c r="C2033" i="22"/>
  <c r="K2033" i="22" s="1"/>
  <c r="E2033" i="22"/>
  <c r="F2033" i="22"/>
  <c r="O2033" i="22" s="1"/>
  <c r="G2033" i="22"/>
  <c r="I2033" i="22"/>
  <c r="B2034" i="22"/>
  <c r="M1978" i="22"/>
  <c r="D1978" i="22"/>
  <c r="J1978" i="22"/>
  <c r="N1978" i="22" s="1"/>
  <c r="U1978" i="22" s="1"/>
  <c r="P1978" i="22"/>
  <c r="Q1978" i="22"/>
  <c r="R1978" i="22"/>
  <c r="L1979" i="22"/>
  <c r="C1979" i="22"/>
  <c r="K1979" i="22" s="1"/>
  <c r="E1979" i="22"/>
  <c r="F1979" i="22"/>
  <c r="O1979" i="22" s="1"/>
  <c r="G1979" i="22"/>
  <c r="I1979" i="22"/>
  <c r="B1980" i="22"/>
  <c r="M1924" i="22"/>
  <c r="D1924" i="22"/>
  <c r="J1924" i="22"/>
  <c r="N1924" i="22" s="1"/>
  <c r="U1924" i="22" s="1"/>
  <c r="P1924" i="22"/>
  <c r="Q1924" i="22"/>
  <c r="R1924" i="22"/>
  <c r="L1925" i="22"/>
  <c r="C1925" i="22"/>
  <c r="K1925" i="22" s="1"/>
  <c r="E1925" i="22"/>
  <c r="F1925" i="22"/>
  <c r="O1925" i="22" s="1"/>
  <c r="G1925" i="22"/>
  <c r="I1925" i="22"/>
  <c r="B1926" i="22"/>
  <c r="M1870" i="22"/>
  <c r="D1870" i="22"/>
  <c r="J1870" i="22"/>
  <c r="N1870" i="22" s="1"/>
  <c r="U1870" i="22" s="1"/>
  <c r="P1870" i="22"/>
  <c r="Q1870" i="22"/>
  <c r="R1870" i="22"/>
  <c r="L1871" i="22"/>
  <c r="C1871" i="22"/>
  <c r="K1871" i="22" s="1"/>
  <c r="E1871" i="22"/>
  <c r="F1871" i="22"/>
  <c r="O1871" i="22" s="1"/>
  <c r="G1871" i="22"/>
  <c r="I1871" i="22"/>
  <c r="B1872" i="22"/>
  <c r="M1816" i="22"/>
  <c r="D1816" i="22"/>
  <c r="J1816" i="22"/>
  <c r="N1816" i="22" s="1"/>
  <c r="U1816" i="22" s="1"/>
  <c r="P1816" i="22"/>
  <c r="Q1816" i="22"/>
  <c r="R1816" i="22"/>
  <c r="L1817" i="22"/>
  <c r="C1817" i="22"/>
  <c r="E1817" i="22"/>
  <c r="G1817" i="22"/>
  <c r="I1817" i="22"/>
  <c r="B1818" i="22"/>
  <c r="M1762" i="22"/>
  <c r="D1762" i="22"/>
  <c r="J1762" i="22"/>
  <c r="N1762" i="22" s="1"/>
  <c r="U1762" i="22" s="1"/>
  <c r="P1762" i="22"/>
  <c r="Q1762" i="22"/>
  <c r="R1762" i="22"/>
  <c r="L1763" i="22"/>
  <c r="C1763" i="22"/>
  <c r="K1763" i="22" s="1"/>
  <c r="E1763" i="22"/>
  <c r="F1763" i="22"/>
  <c r="O1763" i="22" s="1"/>
  <c r="G1763" i="22"/>
  <c r="I1763" i="22"/>
  <c r="B1764" i="22"/>
  <c r="D1708" i="22"/>
  <c r="J1708" i="22"/>
  <c r="P1708" i="22"/>
  <c r="Q1708" i="22"/>
  <c r="R1708" i="22"/>
  <c r="L1709" i="22"/>
  <c r="C1709" i="22"/>
  <c r="K1709" i="22" s="1"/>
  <c r="E1709" i="22"/>
  <c r="F1709" i="22"/>
  <c r="O1709" i="22" s="1"/>
  <c r="G1709" i="22"/>
  <c r="I1709" i="22"/>
  <c r="B1710" i="22"/>
  <c r="M1654" i="22"/>
  <c r="D1654" i="22"/>
  <c r="J1654" i="22"/>
  <c r="N1654" i="22" s="1"/>
  <c r="U1654" i="22" s="1"/>
  <c r="P1654" i="22"/>
  <c r="Q1654" i="22"/>
  <c r="R1654" i="22"/>
  <c r="L1655" i="22"/>
  <c r="C1655" i="22"/>
  <c r="K1655" i="22" s="1"/>
  <c r="E1655" i="22"/>
  <c r="F1655" i="22"/>
  <c r="O1655" i="22" s="1"/>
  <c r="G1655" i="22"/>
  <c r="I1655" i="22"/>
  <c r="B1656" i="22"/>
  <c r="M1600" i="22"/>
  <c r="D1600" i="22"/>
  <c r="J1600" i="22"/>
  <c r="N1600" i="22" s="1"/>
  <c r="U1600" i="22" s="1"/>
  <c r="P1600" i="22"/>
  <c r="Q1600" i="22"/>
  <c r="R1600" i="22"/>
  <c r="L1601" i="22"/>
  <c r="C1601" i="22"/>
  <c r="K1601" i="22" s="1"/>
  <c r="E1601" i="22"/>
  <c r="F1601" i="22"/>
  <c r="O1601" i="22" s="1"/>
  <c r="G1601" i="22"/>
  <c r="I1601" i="22"/>
  <c r="B1602" i="22"/>
  <c r="M1546" i="22"/>
  <c r="D1546" i="22"/>
  <c r="J1546" i="22"/>
  <c r="N1546" i="22" s="1"/>
  <c r="U1546" i="22" s="1"/>
  <c r="P1546" i="22"/>
  <c r="Q1546" i="22"/>
  <c r="R1546" i="22"/>
  <c r="L1547" i="22"/>
  <c r="C1547" i="22"/>
  <c r="K1547" i="22" s="1"/>
  <c r="E1547" i="22"/>
  <c r="F1547" i="22"/>
  <c r="O1547" i="22" s="1"/>
  <c r="G1547" i="22"/>
  <c r="I1547" i="22"/>
  <c r="B1548" i="22"/>
  <c r="M1492" i="22"/>
  <c r="D1492" i="22"/>
  <c r="J1492" i="22"/>
  <c r="N1492" i="22" s="1"/>
  <c r="U1492" i="22" s="1"/>
  <c r="P1492" i="22"/>
  <c r="Q1492" i="22"/>
  <c r="R1492" i="22"/>
  <c r="L1493" i="22"/>
  <c r="C1493" i="22"/>
  <c r="E1493" i="22"/>
  <c r="G1493" i="22"/>
  <c r="I1493" i="22"/>
  <c r="B1494" i="22"/>
  <c r="M1438" i="22"/>
  <c r="D1438" i="22"/>
  <c r="J1438" i="22"/>
  <c r="N1438" i="22" s="1"/>
  <c r="U1438" i="22" s="1"/>
  <c r="P1438" i="22"/>
  <c r="Q1438" i="22"/>
  <c r="R1438" i="22"/>
  <c r="L1439" i="22"/>
  <c r="C1439" i="22"/>
  <c r="K1439" i="22" s="1"/>
  <c r="E1439" i="22"/>
  <c r="F1439" i="22"/>
  <c r="O1439" i="22" s="1"/>
  <c r="G1439" i="22"/>
  <c r="I1439" i="22"/>
  <c r="B1440" i="22"/>
  <c r="D1384" i="22"/>
  <c r="J1384" i="22"/>
  <c r="P1384" i="22"/>
  <c r="Q1384" i="22"/>
  <c r="R1384" i="22"/>
  <c r="L1385" i="22"/>
  <c r="C1385" i="22"/>
  <c r="K1385" i="22" s="1"/>
  <c r="E1385" i="22"/>
  <c r="F1385" i="22"/>
  <c r="O1385" i="22" s="1"/>
  <c r="G1385" i="22"/>
  <c r="I1385" i="22"/>
  <c r="B1386" i="22"/>
  <c r="M1330" i="22"/>
  <c r="D1330" i="22"/>
  <c r="J1330" i="22"/>
  <c r="N1330" i="22" s="1"/>
  <c r="U1330" i="22" s="1"/>
  <c r="P1330" i="22"/>
  <c r="Q1330" i="22"/>
  <c r="R1330" i="22"/>
  <c r="L1331" i="22"/>
  <c r="C1331" i="22"/>
  <c r="K1331" i="22" s="1"/>
  <c r="E1331" i="22"/>
  <c r="F1331" i="22"/>
  <c r="O1331" i="22" s="1"/>
  <c r="G1331" i="22"/>
  <c r="I1331" i="22"/>
  <c r="B1332" i="22"/>
  <c r="M1276" i="22"/>
  <c r="D1276" i="22"/>
  <c r="J1276" i="22"/>
  <c r="N1276" i="22" s="1"/>
  <c r="U1276" i="22" s="1"/>
  <c r="P1276" i="22"/>
  <c r="Q1276" i="22"/>
  <c r="R1276" i="22"/>
  <c r="L1277" i="22"/>
  <c r="C1277" i="22"/>
  <c r="K1277" i="22" s="1"/>
  <c r="E1277" i="22"/>
  <c r="F1277" i="22"/>
  <c r="O1277" i="22" s="1"/>
  <c r="G1277" i="22"/>
  <c r="I1277" i="22"/>
  <c r="B1278" i="22"/>
  <c r="M1222" i="22"/>
  <c r="D1222" i="22"/>
  <c r="J1222" i="22"/>
  <c r="N1222" i="22" s="1"/>
  <c r="U1222" i="22" s="1"/>
  <c r="P1222" i="22"/>
  <c r="Q1222" i="22"/>
  <c r="R1222" i="22"/>
  <c r="L1223" i="22"/>
  <c r="C1223" i="22"/>
  <c r="K1223" i="22" s="1"/>
  <c r="E1223" i="22"/>
  <c r="F1223" i="22"/>
  <c r="O1223" i="22" s="1"/>
  <c r="G1223" i="22"/>
  <c r="I1223" i="22"/>
  <c r="B1224" i="22"/>
  <c r="M1168" i="22"/>
  <c r="D1168" i="22"/>
  <c r="J1168" i="22"/>
  <c r="N1168" i="22" s="1"/>
  <c r="U1168" i="22" s="1"/>
  <c r="P1168" i="22"/>
  <c r="Q1168" i="22"/>
  <c r="R1168" i="22"/>
  <c r="L1169" i="22"/>
  <c r="C1169" i="22"/>
  <c r="K1169" i="22" s="1"/>
  <c r="E1169" i="22"/>
  <c r="F1169" i="22"/>
  <c r="O1169" i="22" s="1"/>
  <c r="G1169" i="22"/>
  <c r="I1169" i="22"/>
  <c r="B1170" i="22"/>
  <c r="D1114" i="22"/>
  <c r="J1114" i="22"/>
  <c r="P1114" i="22"/>
  <c r="Q1114" i="22"/>
  <c r="R1114" i="22"/>
  <c r="L1115" i="22"/>
  <c r="C1115" i="22"/>
  <c r="K1115" i="22" s="1"/>
  <c r="E1115" i="22"/>
  <c r="F1115" i="22"/>
  <c r="O1115" i="22" s="1"/>
  <c r="G1115" i="22"/>
  <c r="I1115" i="22"/>
  <c r="B1116" i="22"/>
  <c r="D1060" i="22"/>
  <c r="J1060" i="22"/>
  <c r="P1060" i="22"/>
  <c r="Q1060" i="22"/>
  <c r="R1060" i="22"/>
  <c r="L1061" i="22"/>
  <c r="C1061" i="22"/>
  <c r="K1061" i="22" s="1"/>
  <c r="E1061" i="22"/>
  <c r="F1061" i="22"/>
  <c r="O1061" i="22" s="1"/>
  <c r="G1061" i="22"/>
  <c r="I1061" i="22"/>
  <c r="B1062" i="22"/>
  <c r="M1006" i="22"/>
  <c r="D1006" i="22"/>
  <c r="J1006" i="22"/>
  <c r="N1006" i="22" s="1"/>
  <c r="U1006" i="22" s="1"/>
  <c r="P1006" i="22"/>
  <c r="Q1006" i="22"/>
  <c r="R1006" i="22"/>
  <c r="L1007" i="22"/>
  <c r="C1007" i="22"/>
  <c r="K1007" i="22" s="1"/>
  <c r="E1007" i="22"/>
  <c r="F1007" i="22"/>
  <c r="O1007" i="22" s="1"/>
  <c r="G1007" i="22"/>
  <c r="I1007" i="22"/>
  <c r="B1008" i="22"/>
  <c r="M952" i="22"/>
  <c r="D952" i="22"/>
  <c r="J952" i="22"/>
  <c r="N952" i="22" s="1"/>
  <c r="U952" i="22" s="1"/>
  <c r="P952" i="22"/>
  <c r="Q952" i="22"/>
  <c r="R952" i="22"/>
  <c r="L953" i="22"/>
  <c r="C953" i="22"/>
  <c r="K953" i="22" s="1"/>
  <c r="E953" i="22"/>
  <c r="F953" i="22"/>
  <c r="O953" i="22" s="1"/>
  <c r="G953" i="22"/>
  <c r="I953" i="22"/>
  <c r="B954" i="22"/>
  <c r="M898" i="22"/>
  <c r="D898" i="22"/>
  <c r="J898" i="22"/>
  <c r="N898" i="22" s="1"/>
  <c r="U898" i="22" s="1"/>
  <c r="P898" i="22"/>
  <c r="Q898" i="22"/>
  <c r="R898" i="22"/>
  <c r="L899" i="22"/>
  <c r="C899" i="22"/>
  <c r="K899" i="22" s="1"/>
  <c r="E899" i="22"/>
  <c r="F899" i="22"/>
  <c r="O899" i="22" s="1"/>
  <c r="G899" i="22"/>
  <c r="I899" i="22"/>
  <c r="B900" i="22"/>
  <c r="M844" i="22"/>
  <c r="D844" i="22"/>
  <c r="J844" i="22"/>
  <c r="N844" i="22" s="1"/>
  <c r="U844" i="22" s="1"/>
  <c r="P844" i="22"/>
  <c r="Q844" i="22"/>
  <c r="R844" i="22"/>
  <c r="L845" i="22"/>
  <c r="C845" i="22"/>
  <c r="E845" i="22"/>
  <c r="G845" i="22"/>
  <c r="I845" i="22"/>
  <c r="B846" i="22"/>
  <c r="D790" i="22"/>
  <c r="J790" i="22"/>
  <c r="P790" i="22"/>
  <c r="Q790" i="22"/>
  <c r="R790" i="22"/>
  <c r="L791" i="22"/>
  <c r="C791" i="22"/>
  <c r="K791" i="22" s="1"/>
  <c r="E791" i="22"/>
  <c r="F791" i="22"/>
  <c r="O791" i="22" s="1"/>
  <c r="G791" i="22"/>
  <c r="I791" i="22"/>
  <c r="B792" i="22"/>
  <c r="M736" i="22"/>
  <c r="D736" i="22"/>
  <c r="J736" i="22"/>
  <c r="N736" i="22" s="1"/>
  <c r="U736" i="22" s="1"/>
  <c r="P736" i="22"/>
  <c r="Q736" i="22"/>
  <c r="R736" i="22"/>
  <c r="L737" i="22"/>
  <c r="C737" i="22"/>
  <c r="K737" i="22" s="1"/>
  <c r="E737" i="22"/>
  <c r="F737" i="22"/>
  <c r="O737" i="22" s="1"/>
  <c r="G737" i="22"/>
  <c r="I737" i="22"/>
  <c r="B738" i="22"/>
  <c r="M682" i="22"/>
  <c r="D682" i="22"/>
  <c r="J682" i="22"/>
  <c r="N682" i="22" s="1"/>
  <c r="U682" i="22" s="1"/>
  <c r="P682" i="22"/>
  <c r="Q682" i="22"/>
  <c r="R682" i="22"/>
  <c r="L683" i="22"/>
  <c r="C683" i="22"/>
  <c r="K683" i="22" s="1"/>
  <c r="E683" i="22"/>
  <c r="F683" i="22"/>
  <c r="O683" i="22" s="1"/>
  <c r="G683" i="22"/>
  <c r="I683" i="22"/>
  <c r="B684" i="22"/>
  <c r="M628" i="22"/>
  <c r="D628" i="22"/>
  <c r="J628" i="22"/>
  <c r="N628" i="22" s="1"/>
  <c r="U628" i="22" s="1"/>
  <c r="P628" i="22"/>
  <c r="Q628" i="22"/>
  <c r="R628" i="22"/>
  <c r="L629" i="22"/>
  <c r="C629" i="22"/>
  <c r="K629" i="22" s="1"/>
  <c r="E629" i="22"/>
  <c r="F629" i="22"/>
  <c r="O629" i="22" s="1"/>
  <c r="G629" i="22"/>
  <c r="I629" i="22"/>
  <c r="B630" i="22"/>
  <c r="M574" i="22"/>
  <c r="D574" i="22"/>
  <c r="J574" i="22"/>
  <c r="N574" i="22" s="1"/>
  <c r="U574" i="22" s="1"/>
  <c r="P574" i="22"/>
  <c r="Q574" i="22"/>
  <c r="R574" i="22"/>
  <c r="L575" i="22"/>
  <c r="C575" i="22"/>
  <c r="K575" i="22" s="1"/>
  <c r="E575" i="22"/>
  <c r="F575" i="22"/>
  <c r="O575" i="22" s="1"/>
  <c r="G575" i="22"/>
  <c r="I575" i="22"/>
  <c r="B576" i="22"/>
  <c r="M520" i="22"/>
  <c r="D520" i="22"/>
  <c r="J520" i="22"/>
  <c r="N520" i="22" s="1"/>
  <c r="U520" i="22" s="1"/>
  <c r="P520" i="22"/>
  <c r="Q520" i="22"/>
  <c r="R520" i="22"/>
  <c r="L521" i="22"/>
  <c r="C521" i="22"/>
  <c r="K521" i="22" s="1"/>
  <c r="E521" i="22"/>
  <c r="F521" i="22"/>
  <c r="O521" i="22" s="1"/>
  <c r="G521" i="22"/>
  <c r="I521" i="22"/>
  <c r="B522" i="22"/>
  <c r="M466" i="22"/>
  <c r="D466" i="22"/>
  <c r="J466" i="22"/>
  <c r="N466" i="22" s="1"/>
  <c r="U466" i="22" s="1"/>
  <c r="P466" i="22"/>
  <c r="Q466" i="22"/>
  <c r="R466" i="22"/>
  <c r="L467" i="22"/>
  <c r="C467" i="22"/>
  <c r="K467" i="22" s="1"/>
  <c r="E467" i="22"/>
  <c r="F467" i="22"/>
  <c r="O467" i="22" s="1"/>
  <c r="G467" i="22"/>
  <c r="I467" i="22"/>
  <c r="B468" i="22"/>
  <c r="M412" i="22"/>
  <c r="L413" i="22"/>
  <c r="I413" i="22"/>
  <c r="B414" i="22"/>
  <c r="C413" i="22"/>
  <c r="K413" i="22" s="1"/>
  <c r="E413" i="22"/>
  <c r="F413" i="22"/>
  <c r="O413" i="22" s="1"/>
  <c r="G413" i="22"/>
  <c r="D412" i="22"/>
  <c r="J412" i="22"/>
  <c r="N412" i="22" s="1"/>
  <c r="U412" i="22" s="1"/>
  <c r="P412" i="22"/>
  <c r="Q412" i="22"/>
  <c r="R412" i="22"/>
  <c r="M358" i="22"/>
  <c r="D358" i="22"/>
  <c r="J358" i="22"/>
  <c r="N358" i="22" s="1"/>
  <c r="U358" i="22" s="1"/>
  <c r="P358" i="22"/>
  <c r="Q358" i="22"/>
  <c r="R358" i="22"/>
  <c r="L359" i="22"/>
  <c r="C359" i="22"/>
  <c r="K359" i="22" s="1"/>
  <c r="E359" i="22"/>
  <c r="F359" i="22"/>
  <c r="O359" i="22" s="1"/>
  <c r="G359" i="22"/>
  <c r="I359" i="22"/>
  <c r="B360" i="22"/>
  <c r="M304" i="22"/>
  <c r="D304" i="22"/>
  <c r="J304" i="22"/>
  <c r="N304" i="22" s="1"/>
  <c r="U304" i="22" s="1"/>
  <c r="P304" i="22"/>
  <c r="Q304" i="22"/>
  <c r="R304" i="22"/>
  <c r="L305" i="22"/>
  <c r="C305" i="22"/>
  <c r="K305" i="22" s="1"/>
  <c r="E305" i="22"/>
  <c r="F305" i="22"/>
  <c r="O305" i="22" s="1"/>
  <c r="G305" i="22"/>
  <c r="I305" i="22"/>
  <c r="B306" i="22"/>
  <c r="M250" i="22"/>
  <c r="D250" i="22"/>
  <c r="J250" i="22"/>
  <c r="N250" i="22" s="1"/>
  <c r="U250" i="22" s="1"/>
  <c r="P250" i="22"/>
  <c r="Q250" i="22"/>
  <c r="R250" i="22"/>
  <c r="L251" i="22"/>
  <c r="C251" i="22"/>
  <c r="K251" i="22" s="1"/>
  <c r="E251" i="22"/>
  <c r="F251" i="22"/>
  <c r="O251" i="22" s="1"/>
  <c r="G251" i="22"/>
  <c r="I251" i="22"/>
  <c r="B252" i="22"/>
  <c r="M196" i="22"/>
  <c r="D196" i="22"/>
  <c r="J196" i="22"/>
  <c r="N196" i="22" s="1"/>
  <c r="U196" i="22" s="1"/>
  <c r="P196" i="22"/>
  <c r="Q196" i="22"/>
  <c r="R196" i="22"/>
  <c r="L197" i="22"/>
  <c r="C197" i="22"/>
  <c r="E197" i="22"/>
  <c r="G197" i="22"/>
  <c r="I197" i="22"/>
  <c r="B198" i="22"/>
  <c r="M142" i="22"/>
  <c r="D142" i="22"/>
  <c r="J142" i="22"/>
  <c r="N142" i="22" s="1"/>
  <c r="U142" i="22" s="1"/>
  <c r="P142" i="22"/>
  <c r="Q142" i="22"/>
  <c r="R142" i="22"/>
  <c r="L143" i="22"/>
  <c r="C143" i="22"/>
  <c r="K143" i="22" s="1"/>
  <c r="E143" i="22"/>
  <c r="F143" i="22"/>
  <c r="O143" i="22" s="1"/>
  <c r="G143" i="22"/>
  <c r="I143" i="22"/>
  <c r="B144" i="22"/>
  <c r="M88" i="22"/>
  <c r="D88" i="22"/>
  <c r="J88" i="22"/>
  <c r="N88" i="22" s="1"/>
  <c r="U88" i="22" s="1"/>
  <c r="P88" i="22"/>
  <c r="Q88" i="22"/>
  <c r="R88" i="22"/>
  <c r="L89" i="22"/>
  <c r="C89" i="22"/>
  <c r="K89" i="22" s="1"/>
  <c r="E89" i="22"/>
  <c r="F89" i="22"/>
  <c r="O89" i="22" s="1"/>
  <c r="G89" i="22"/>
  <c r="I89" i="22"/>
  <c r="B90" i="22"/>
  <c r="M26" i="17"/>
  <c r="D26" i="17"/>
  <c r="J26" i="17"/>
  <c r="N26" i="17" s="1"/>
  <c r="U26" i="17" s="1"/>
  <c r="AD26" i="17"/>
  <c r="AC26" i="17"/>
  <c r="AB26" i="17"/>
  <c r="AA26" i="17"/>
  <c r="Z26" i="17"/>
  <c r="Y26" i="17"/>
  <c r="X26" i="17"/>
  <c r="W26" i="17"/>
  <c r="P26" i="17"/>
  <c r="Q26" i="17"/>
  <c r="R26" i="17"/>
  <c r="V26" i="17"/>
  <c r="L27" i="17"/>
  <c r="C27" i="17"/>
  <c r="K27" i="17" s="1"/>
  <c r="E27" i="17"/>
  <c r="F27" i="17"/>
  <c r="C27" i="18" s="1"/>
  <c r="E27" i="18" s="1"/>
  <c r="O27" i="17" s="1"/>
  <c r="G27" i="17"/>
  <c r="AF27" i="17" s="1"/>
  <c r="I27" i="17"/>
  <c r="B28" i="17"/>
  <c r="B27" i="18"/>
  <c r="AH16" i="17"/>
  <c r="B92" i="12"/>
  <c r="I92" i="12" s="1"/>
  <c r="AG15" i="17"/>
  <c r="AF17" i="17"/>
  <c r="AF18" i="17"/>
  <c r="AF19" i="17"/>
  <c r="AF20" i="17"/>
  <c r="AF21" i="17"/>
  <c r="AF22" i="17"/>
  <c r="AF23" i="17"/>
  <c r="AF24" i="17"/>
  <c r="AF25" i="17"/>
  <c r="AF26" i="17"/>
  <c r="M1546" i="23"/>
  <c r="N1546" i="23"/>
  <c r="AE1546" i="23" s="1"/>
  <c r="M1490" i="23"/>
  <c r="N1490" i="23"/>
  <c r="AE1490" i="23" s="1"/>
  <c r="M1434" i="23"/>
  <c r="N1434" i="23"/>
  <c r="AE1434" i="23" s="1"/>
  <c r="M1378" i="23"/>
  <c r="N1378" i="23"/>
  <c r="AE1378" i="23" s="1"/>
  <c r="M1210" i="23"/>
  <c r="N1210" i="23"/>
  <c r="AE1210" i="23" s="1"/>
  <c r="M426" i="23"/>
  <c r="N426" i="23"/>
  <c r="AE426" i="23" s="1"/>
  <c r="M4113" i="22"/>
  <c r="N4113" i="22"/>
  <c r="U4113" i="22" s="1"/>
  <c r="M4059" i="22"/>
  <c r="N4059" i="22"/>
  <c r="U4059" i="22" s="1"/>
  <c r="M3489" i="22"/>
  <c r="N3489" i="22"/>
  <c r="U3489" i="22" s="1"/>
  <c r="M3435" i="22"/>
  <c r="N3435" i="22"/>
  <c r="U3435" i="22" s="1"/>
  <c r="M3111" i="22"/>
  <c r="N3111" i="22"/>
  <c r="U3111" i="22" s="1"/>
  <c r="N3057" i="22"/>
  <c r="U3057" i="22" s="1"/>
  <c r="M3057" i="22"/>
  <c r="M3003" i="22"/>
  <c r="N3003" i="22"/>
  <c r="U3003" i="22" s="1"/>
  <c r="M2787" i="22"/>
  <c r="N2787" i="22"/>
  <c r="S2787" i="22" s="1"/>
  <c r="T2787" i="22" s="1"/>
  <c r="U2787" i="22" s="1"/>
  <c r="M2733" i="22"/>
  <c r="N2733" i="22"/>
  <c r="U2733" i="22" s="1"/>
  <c r="M2679" i="22"/>
  <c r="N2679" i="22"/>
  <c r="U2679" i="22" s="1"/>
  <c r="M2625" i="22"/>
  <c r="N2625" i="22"/>
  <c r="U2625" i="22" s="1"/>
  <c r="M1977" i="22"/>
  <c r="N1977" i="22"/>
  <c r="U1977" i="22" s="1"/>
  <c r="M1653" i="22"/>
  <c r="N1653" i="22"/>
  <c r="U1653" i="22" s="1"/>
  <c r="M1275" i="22"/>
  <c r="N1275" i="22"/>
  <c r="U1275" i="22" s="1"/>
  <c r="M1221" i="22"/>
  <c r="N1221" i="22"/>
  <c r="U1221" i="22" s="1"/>
  <c r="M951" i="22"/>
  <c r="N951" i="22"/>
  <c r="U951" i="22" s="1"/>
  <c r="M897" i="22"/>
  <c r="N897" i="22"/>
  <c r="U897" i="22" s="1"/>
  <c r="M843" i="22"/>
  <c r="N843" i="22"/>
  <c r="U843" i="22" s="1"/>
  <c r="M573" i="22"/>
  <c r="N573" i="22"/>
  <c r="U573" i="22" s="1"/>
  <c r="M519" i="22"/>
  <c r="N519" i="22"/>
  <c r="U519" i="22" s="1"/>
  <c r="K1435" i="23"/>
  <c r="F1435" i="23"/>
  <c r="O1435" i="23" s="1"/>
  <c r="F1379" i="23"/>
  <c r="O1379" i="23" s="1"/>
  <c r="K1379" i="23"/>
  <c r="K1043" i="23"/>
  <c r="F1043" i="23"/>
  <c r="O1043" i="23" s="1"/>
  <c r="F931" i="23"/>
  <c r="O931" i="23" s="1"/>
  <c r="K931" i="23"/>
  <c r="K819" i="23"/>
  <c r="F819" i="23"/>
  <c r="O819" i="23" s="1"/>
  <c r="F427" i="23"/>
  <c r="O427" i="23" s="1"/>
  <c r="K427" i="23"/>
  <c r="F3652" i="22"/>
  <c r="O3652" i="22" s="1"/>
  <c r="K3652" i="22"/>
  <c r="F3598" i="22"/>
  <c r="O3598" i="22" s="1"/>
  <c r="K3598" i="22"/>
  <c r="F3544" i="22"/>
  <c r="O3544" i="22" s="1"/>
  <c r="K3544" i="22"/>
  <c r="K3328" i="22"/>
  <c r="F3328" i="22"/>
  <c r="O3328" i="22" s="1"/>
  <c r="F3112" i="22"/>
  <c r="O3112" i="22" s="1"/>
  <c r="K3112" i="22"/>
  <c r="F3058" i="22"/>
  <c r="O3058" i="22" s="1"/>
  <c r="K3058" i="22"/>
  <c r="F3004" i="22"/>
  <c r="O3004" i="22" s="1"/>
  <c r="K3004" i="22"/>
  <c r="K2950" i="22"/>
  <c r="F2950" i="22"/>
  <c r="O2950" i="22" s="1"/>
  <c r="F2680" i="22"/>
  <c r="O2680" i="22" s="1"/>
  <c r="K2680" i="22"/>
  <c r="K2086" i="22"/>
  <c r="F2086" i="22"/>
  <c r="O2086" i="22" s="1"/>
  <c r="F1708" i="22"/>
  <c r="O1708" i="22" s="1"/>
  <c r="K1708" i="22"/>
  <c r="K1384" i="22"/>
  <c r="F1384" i="22"/>
  <c r="O1384" i="22" s="1"/>
  <c r="F1114" i="22"/>
  <c r="O1114" i="22" s="1"/>
  <c r="K1114" i="22"/>
  <c r="F1060" i="22"/>
  <c r="O1060" i="22" s="1"/>
  <c r="K1060" i="22"/>
  <c r="F790" i="22"/>
  <c r="O790" i="22" s="1"/>
  <c r="K790" i="22"/>
  <c r="F25" i="18"/>
  <c r="G25" i="18"/>
  <c r="H25" i="18"/>
  <c r="K1492" i="23" l="1"/>
  <c r="F1492" i="23"/>
  <c r="O1492" i="23" s="1"/>
  <c r="K932" i="23"/>
  <c r="F932" i="23"/>
  <c r="O932" i="23" s="1"/>
  <c r="K428" i="23"/>
  <c r="F428" i="23"/>
  <c r="O428" i="23" s="1"/>
  <c r="K372" i="23"/>
  <c r="F372" i="23"/>
  <c r="O372" i="23" s="1"/>
  <c r="D4631" i="22"/>
  <c r="F4631" i="22"/>
  <c r="O4631" i="22" s="1"/>
  <c r="K4115" i="22"/>
  <c r="F4115" i="22"/>
  <c r="O4115" i="22" s="1"/>
  <c r="K3599" i="22"/>
  <c r="F3599" i="22"/>
  <c r="O3599" i="22" s="1"/>
  <c r="F2951" i="22"/>
  <c r="O2951" i="22" s="1"/>
  <c r="K2951" i="22"/>
  <c r="K2789" i="22"/>
  <c r="F2789" i="22"/>
  <c r="O2789" i="22" s="1"/>
  <c r="K2573" i="22"/>
  <c r="F2573" i="22"/>
  <c r="O2573" i="22" s="1"/>
  <c r="K2519" i="22"/>
  <c r="F2519" i="22"/>
  <c r="O2519" i="22" s="1"/>
  <c r="M1604" i="23"/>
  <c r="J1604" i="23"/>
  <c r="N1604" i="23" s="1"/>
  <c r="AE1604" i="23" s="1"/>
  <c r="D1604" i="23"/>
  <c r="P1604" i="23"/>
  <c r="Q1604" i="23"/>
  <c r="R1604" i="23"/>
  <c r="I1605" i="23"/>
  <c r="L1605" i="23"/>
  <c r="C1605" i="23"/>
  <c r="K1605" i="23" s="1"/>
  <c r="E1605" i="23"/>
  <c r="F1605" i="23"/>
  <c r="O1605" i="23" s="1"/>
  <c r="G1605" i="23"/>
  <c r="B1606" i="23"/>
  <c r="J1548" i="23"/>
  <c r="D1548" i="23"/>
  <c r="P1548" i="23"/>
  <c r="Q1548" i="23"/>
  <c r="R1548" i="23"/>
  <c r="L1549" i="23"/>
  <c r="I1549" i="23"/>
  <c r="C1549" i="23"/>
  <c r="K1549" i="23" s="1"/>
  <c r="E1549" i="23"/>
  <c r="F1549" i="23"/>
  <c r="O1549" i="23" s="1"/>
  <c r="G1549" i="23"/>
  <c r="B1550" i="23"/>
  <c r="M1492" i="23"/>
  <c r="J1492" i="23"/>
  <c r="N1492" i="23" s="1"/>
  <c r="AE1492" i="23" s="1"/>
  <c r="D1492" i="23"/>
  <c r="P1492" i="23"/>
  <c r="Q1492" i="23"/>
  <c r="R1492" i="23"/>
  <c r="L1493" i="23"/>
  <c r="I1493" i="23"/>
  <c r="C1493" i="23"/>
  <c r="E1493" i="23"/>
  <c r="G1493" i="23"/>
  <c r="B1494" i="23"/>
  <c r="M1436" i="23"/>
  <c r="J1436" i="23"/>
  <c r="N1436" i="23" s="1"/>
  <c r="AE1436" i="23" s="1"/>
  <c r="D1436" i="23"/>
  <c r="P1436" i="23"/>
  <c r="Q1436" i="23"/>
  <c r="R1436" i="23"/>
  <c r="L1437" i="23"/>
  <c r="I1437" i="23"/>
  <c r="C1437" i="23"/>
  <c r="E1437" i="23"/>
  <c r="G1437" i="23"/>
  <c r="B1438" i="23"/>
  <c r="J1380" i="23"/>
  <c r="D1380" i="23"/>
  <c r="P1380" i="23"/>
  <c r="Q1380" i="23"/>
  <c r="R1380" i="23"/>
  <c r="L1381" i="23"/>
  <c r="I1381" i="23"/>
  <c r="C1381" i="23"/>
  <c r="K1381" i="23" s="1"/>
  <c r="E1381" i="23"/>
  <c r="F1381" i="23"/>
  <c r="O1381" i="23" s="1"/>
  <c r="G1381" i="23"/>
  <c r="B1382" i="23"/>
  <c r="M1324" i="23"/>
  <c r="J1324" i="23"/>
  <c r="N1324" i="23" s="1"/>
  <c r="AE1324" i="23" s="1"/>
  <c r="D1324" i="23"/>
  <c r="P1324" i="23"/>
  <c r="Q1324" i="23"/>
  <c r="R1324" i="23"/>
  <c r="L1325" i="23"/>
  <c r="I1325" i="23"/>
  <c r="C1325" i="23"/>
  <c r="K1325" i="23" s="1"/>
  <c r="E1325" i="23"/>
  <c r="F1325" i="23"/>
  <c r="O1325" i="23" s="1"/>
  <c r="G1325" i="23"/>
  <c r="B1326" i="23"/>
  <c r="M1268" i="23"/>
  <c r="J1268" i="23"/>
  <c r="N1268" i="23" s="1"/>
  <c r="AE1268" i="23" s="1"/>
  <c r="D1268" i="23"/>
  <c r="P1268" i="23"/>
  <c r="Q1268" i="23"/>
  <c r="R1268" i="23"/>
  <c r="L1269" i="23"/>
  <c r="I1269" i="23"/>
  <c r="C1269" i="23"/>
  <c r="E1269" i="23"/>
  <c r="G1269" i="23"/>
  <c r="B1270" i="23"/>
  <c r="M1212" i="23"/>
  <c r="J1212" i="23"/>
  <c r="N1212" i="23" s="1"/>
  <c r="AE1212" i="23" s="1"/>
  <c r="D1212" i="23"/>
  <c r="P1212" i="23"/>
  <c r="Q1212" i="23"/>
  <c r="R1212" i="23"/>
  <c r="L1213" i="23"/>
  <c r="I1213" i="23"/>
  <c r="C1213" i="23"/>
  <c r="E1213" i="23"/>
  <c r="G1213" i="23"/>
  <c r="B1214" i="23"/>
  <c r="M1156" i="23"/>
  <c r="J1156" i="23"/>
  <c r="N1156" i="23" s="1"/>
  <c r="AE1156" i="23" s="1"/>
  <c r="D1156" i="23"/>
  <c r="P1156" i="23"/>
  <c r="Q1156" i="23"/>
  <c r="R1156" i="23"/>
  <c r="L1157" i="23"/>
  <c r="I1157" i="23"/>
  <c r="C1157" i="23"/>
  <c r="K1157" i="23" s="1"/>
  <c r="E1157" i="23"/>
  <c r="F1157" i="23"/>
  <c r="O1157" i="23" s="1"/>
  <c r="G1157" i="23"/>
  <c r="B1158" i="23"/>
  <c r="M1100" i="23"/>
  <c r="J1100" i="23"/>
  <c r="N1100" i="23" s="1"/>
  <c r="AE1100" i="23" s="1"/>
  <c r="D1100" i="23"/>
  <c r="P1100" i="23"/>
  <c r="Q1100" i="23"/>
  <c r="R1100" i="23"/>
  <c r="L1101" i="23"/>
  <c r="I1101" i="23"/>
  <c r="C1101" i="23"/>
  <c r="K1101" i="23" s="1"/>
  <c r="E1101" i="23"/>
  <c r="F1101" i="23"/>
  <c r="O1101" i="23" s="1"/>
  <c r="G1101" i="23"/>
  <c r="B1102" i="23"/>
  <c r="M1044" i="23"/>
  <c r="P1044" i="23"/>
  <c r="Q1044" i="23"/>
  <c r="R1044" i="23"/>
  <c r="J1044" i="23"/>
  <c r="N1044" i="23" s="1"/>
  <c r="AE1044" i="23" s="1"/>
  <c r="D1044" i="23"/>
  <c r="L1045" i="23"/>
  <c r="I1045" i="23"/>
  <c r="E1045" i="23"/>
  <c r="G1045" i="23"/>
  <c r="C1045" i="23"/>
  <c r="B1046" i="23"/>
  <c r="M988" i="23"/>
  <c r="J988" i="23"/>
  <c r="N988" i="23" s="1"/>
  <c r="AE988" i="23" s="1"/>
  <c r="D988" i="23"/>
  <c r="P988" i="23"/>
  <c r="Q988" i="23"/>
  <c r="R988" i="23"/>
  <c r="L989" i="23"/>
  <c r="I989" i="23"/>
  <c r="C989" i="23"/>
  <c r="K989" i="23" s="1"/>
  <c r="E989" i="23"/>
  <c r="F989" i="23"/>
  <c r="O989" i="23" s="1"/>
  <c r="G989" i="23"/>
  <c r="B990" i="23"/>
  <c r="M932" i="23"/>
  <c r="J932" i="23"/>
  <c r="N932" i="23" s="1"/>
  <c r="AE932" i="23" s="1"/>
  <c r="D932" i="23"/>
  <c r="P932" i="23"/>
  <c r="Q932" i="23"/>
  <c r="R932" i="23"/>
  <c r="L933" i="23"/>
  <c r="I933" i="23"/>
  <c r="C933" i="23"/>
  <c r="K933" i="23" s="1"/>
  <c r="E933" i="23"/>
  <c r="F933" i="23"/>
  <c r="O933" i="23" s="1"/>
  <c r="G933" i="23"/>
  <c r="B934" i="23"/>
  <c r="M876" i="23"/>
  <c r="J876" i="23"/>
  <c r="N876" i="23" s="1"/>
  <c r="AE876" i="23" s="1"/>
  <c r="D876" i="23"/>
  <c r="P876" i="23"/>
  <c r="Q876" i="23"/>
  <c r="R876" i="23"/>
  <c r="L877" i="23"/>
  <c r="I877" i="23"/>
  <c r="C877" i="23"/>
  <c r="K877" i="23" s="1"/>
  <c r="E877" i="23"/>
  <c r="F877" i="23"/>
  <c r="O877" i="23" s="1"/>
  <c r="G877" i="23"/>
  <c r="B878" i="23"/>
  <c r="M820" i="23"/>
  <c r="J820" i="23"/>
  <c r="N820" i="23" s="1"/>
  <c r="AE820" i="23" s="1"/>
  <c r="D820" i="23"/>
  <c r="P820" i="23"/>
  <c r="Q820" i="23"/>
  <c r="R820" i="23"/>
  <c r="L821" i="23"/>
  <c r="I821" i="23"/>
  <c r="C821" i="23"/>
  <c r="E821" i="23"/>
  <c r="G821" i="23"/>
  <c r="B822" i="23"/>
  <c r="M764" i="23"/>
  <c r="J764" i="23"/>
  <c r="N764" i="23" s="1"/>
  <c r="AE764" i="23" s="1"/>
  <c r="D764" i="23"/>
  <c r="P764" i="23"/>
  <c r="Q764" i="23"/>
  <c r="R764" i="23"/>
  <c r="L765" i="23"/>
  <c r="I765" i="23"/>
  <c r="C765" i="23"/>
  <c r="K765" i="23" s="1"/>
  <c r="E765" i="23"/>
  <c r="F765" i="23"/>
  <c r="O765" i="23" s="1"/>
  <c r="G765" i="23"/>
  <c r="B766" i="23"/>
  <c r="M708" i="23"/>
  <c r="J708" i="23"/>
  <c r="N708" i="23" s="1"/>
  <c r="AE708" i="23" s="1"/>
  <c r="D708" i="23"/>
  <c r="P708" i="23"/>
  <c r="Q708" i="23"/>
  <c r="R708" i="23"/>
  <c r="L709" i="23"/>
  <c r="I709" i="23"/>
  <c r="C709" i="23"/>
  <c r="K709" i="23" s="1"/>
  <c r="E709" i="23"/>
  <c r="F709" i="23"/>
  <c r="O709" i="23" s="1"/>
  <c r="G709" i="23"/>
  <c r="B710" i="23"/>
  <c r="M652" i="23"/>
  <c r="J652" i="23"/>
  <c r="N652" i="23" s="1"/>
  <c r="AE652" i="23" s="1"/>
  <c r="D652" i="23"/>
  <c r="P652" i="23"/>
  <c r="Q652" i="23"/>
  <c r="R652" i="23"/>
  <c r="L653" i="23"/>
  <c r="I653" i="23"/>
  <c r="C653" i="23"/>
  <c r="K653" i="23" s="1"/>
  <c r="E653" i="23"/>
  <c r="F653" i="23"/>
  <c r="O653" i="23" s="1"/>
  <c r="G653" i="23"/>
  <c r="B654" i="23"/>
  <c r="J596" i="23"/>
  <c r="D596" i="23"/>
  <c r="P596" i="23"/>
  <c r="Q596" i="23"/>
  <c r="R596" i="23"/>
  <c r="L597" i="23"/>
  <c r="I597" i="23"/>
  <c r="C597" i="23"/>
  <c r="K597" i="23" s="1"/>
  <c r="E597" i="23"/>
  <c r="F597" i="23"/>
  <c r="O597" i="23" s="1"/>
  <c r="G597" i="23"/>
  <c r="B598" i="23"/>
  <c r="J540" i="23"/>
  <c r="D540" i="23"/>
  <c r="P540" i="23"/>
  <c r="Q540" i="23"/>
  <c r="R540" i="23"/>
  <c r="L541" i="23"/>
  <c r="I541" i="23"/>
  <c r="C541" i="23"/>
  <c r="E541" i="23"/>
  <c r="G541" i="23"/>
  <c r="B542" i="23"/>
  <c r="P484" i="23"/>
  <c r="Q484" i="23"/>
  <c r="R484" i="23"/>
  <c r="J484" i="23"/>
  <c r="D484" i="23"/>
  <c r="L485" i="23"/>
  <c r="I485" i="23"/>
  <c r="C485" i="23"/>
  <c r="K485" i="23" s="1"/>
  <c r="F485" i="23"/>
  <c r="O485" i="23" s="1"/>
  <c r="E485" i="23"/>
  <c r="G485" i="23"/>
  <c r="B486" i="23"/>
  <c r="M428" i="23"/>
  <c r="J428" i="23"/>
  <c r="N428" i="23" s="1"/>
  <c r="AE428" i="23" s="1"/>
  <c r="D428" i="23"/>
  <c r="P428" i="23"/>
  <c r="R428" i="23"/>
  <c r="Q428" i="23"/>
  <c r="L429" i="23"/>
  <c r="I429" i="23"/>
  <c r="C429" i="23"/>
  <c r="K429" i="23" s="1"/>
  <c r="G429" i="23"/>
  <c r="F429" i="23"/>
  <c r="O429" i="23" s="1"/>
  <c r="B430" i="23"/>
  <c r="E429" i="23"/>
  <c r="M372" i="23"/>
  <c r="J372" i="23"/>
  <c r="N372" i="23" s="1"/>
  <c r="AE372" i="23" s="1"/>
  <c r="D372" i="23"/>
  <c r="P372" i="23"/>
  <c r="Q372" i="23"/>
  <c r="R372" i="23"/>
  <c r="L373" i="23"/>
  <c r="I373" i="23"/>
  <c r="C373" i="23"/>
  <c r="E373" i="23"/>
  <c r="G373" i="23"/>
  <c r="B374" i="23"/>
  <c r="M316" i="23"/>
  <c r="J316" i="23"/>
  <c r="N316" i="23" s="1"/>
  <c r="AE316" i="23" s="1"/>
  <c r="D316" i="23"/>
  <c r="P316" i="23"/>
  <c r="Q316" i="23"/>
  <c r="R316" i="23"/>
  <c r="L317" i="23"/>
  <c r="I317" i="23"/>
  <c r="C317" i="23"/>
  <c r="K317" i="23" s="1"/>
  <c r="E317" i="23"/>
  <c r="F317" i="23"/>
  <c r="O317" i="23" s="1"/>
  <c r="G317" i="23"/>
  <c r="B318" i="23"/>
  <c r="M260" i="23"/>
  <c r="J260" i="23"/>
  <c r="N260" i="23" s="1"/>
  <c r="AE260" i="23" s="1"/>
  <c r="D260" i="23"/>
  <c r="P260" i="23"/>
  <c r="Q260" i="23"/>
  <c r="R260" i="23"/>
  <c r="L261" i="23"/>
  <c r="I261" i="23"/>
  <c r="C261" i="23"/>
  <c r="K261" i="23" s="1"/>
  <c r="E261" i="23"/>
  <c r="F261" i="23"/>
  <c r="O261" i="23" s="1"/>
  <c r="G261" i="23"/>
  <c r="B262" i="23"/>
  <c r="D4739" i="22"/>
  <c r="J4739" i="22"/>
  <c r="P4739" i="22"/>
  <c r="Q4739" i="22"/>
  <c r="R4739" i="22"/>
  <c r="M4739" i="22"/>
  <c r="N4739" i="22"/>
  <c r="C4740" i="22"/>
  <c r="E4740" i="22"/>
  <c r="F4740" i="22"/>
  <c r="G4740" i="22"/>
  <c r="I4740" i="22"/>
  <c r="K4740" i="22"/>
  <c r="L4740" i="22"/>
  <c r="B4741" i="22"/>
  <c r="T4683" i="22"/>
  <c r="S4684" i="22"/>
  <c r="T4684" i="22" s="1"/>
  <c r="U4684" i="22"/>
  <c r="M4685" i="22"/>
  <c r="D4685" i="22"/>
  <c r="J4685" i="22"/>
  <c r="N4685" i="22" s="1"/>
  <c r="P4685" i="22"/>
  <c r="Q4685" i="22"/>
  <c r="R4685" i="22"/>
  <c r="L4686" i="22"/>
  <c r="C4686" i="22"/>
  <c r="K4686" i="22" s="1"/>
  <c r="E4686" i="22"/>
  <c r="F4686" i="22"/>
  <c r="G4686" i="22"/>
  <c r="I4686" i="22"/>
  <c r="B4687" i="22"/>
  <c r="P4631" i="22"/>
  <c r="Q4631" i="22"/>
  <c r="R4631" i="22"/>
  <c r="C4632" i="22"/>
  <c r="E4632" i="22"/>
  <c r="G4632" i="22"/>
  <c r="B4633" i="22"/>
  <c r="M4577" i="22"/>
  <c r="J4577" i="22"/>
  <c r="N4577" i="22" s="1"/>
  <c r="D4577" i="22"/>
  <c r="P4577" i="22"/>
  <c r="Q4577" i="22"/>
  <c r="R4577" i="22"/>
  <c r="I4578" i="22"/>
  <c r="L4578" i="22"/>
  <c r="C4578" i="22"/>
  <c r="K4578" i="22" s="1"/>
  <c r="E4578" i="22"/>
  <c r="F4578" i="22"/>
  <c r="G4578" i="22"/>
  <c r="B4579" i="22"/>
  <c r="M4523" i="22"/>
  <c r="D4523" i="22"/>
  <c r="J4523" i="22"/>
  <c r="N4523" i="22" s="1"/>
  <c r="P4523" i="22"/>
  <c r="Q4523" i="22"/>
  <c r="R4523" i="22"/>
  <c r="L4524" i="22"/>
  <c r="C4524" i="22"/>
  <c r="K4524" i="22" s="1"/>
  <c r="E4524" i="22"/>
  <c r="F4524" i="22"/>
  <c r="G4524" i="22"/>
  <c r="I4524" i="22"/>
  <c r="B4525" i="22"/>
  <c r="D4223" i="22"/>
  <c r="J4223" i="22"/>
  <c r="P4223" i="22"/>
  <c r="Q4223" i="22"/>
  <c r="R4223" i="22"/>
  <c r="L4224" i="22"/>
  <c r="C4224" i="22"/>
  <c r="K4224" i="22" s="1"/>
  <c r="E4224" i="22"/>
  <c r="F4224" i="22"/>
  <c r="O4224" i="22" s="1"/>
  <c r="G4224" i="22"/>
  <c r="I4224" i="22"/>
  <c r="B4225" i="22"/>
  <c r="M4169" i="22"/>
  <c r="D4169" i="22"/>
  <c r="J4169" i="22"/>
  <c r="N4169" i="22" s="1"/>
  <c r="U4169" i="22" s="1"/>
  <c r="P4169" i="22"/>
  <c r="Q4169" i="22"/>
  <c r="R4169" i="22"/>
  <c r="L4170" i="22"/>
  <c r="C4170" i="22"/>
  <c r="K4170" i="22" s="1"/>
  <c r="E4170" i="22"/>
  <c r="F4170" i="22"/>
  <c r="O4170" i="22" s="1"/>
  <c r="G4170" i="22"/>
  <c r="I4170" i="22"/>
  <c r="B4171" i="22"/>
  <c r="M4115" i="22"/>
  <c r="D4115" i="22"/>
  <c r="J4115" i="22"/>
  <c r="N4115" i="22" s="1"/>
  <c r="U4115" i="22" s="1"/>
  <c r="P4115" i="22"/>
  <c r="Q4115" i="22"/>
  <c r="R4115" i="22"/>
  <c r="L4116" i="22"/>
  <c r="C4116" i="22"/>
  <c r="E4116" i="22"/>
  <c r="G4116" i="22"/>
  <c r="I4116" i="22"/>
  <c r="B4117" i="22"/>
  <c r="M4061" i="22"/>
  <c r="D4061" i="22"/>
  <c r="J4061" i="22"/>
  <c r="N4061" i="22" s="1"/>
  <c r="U4061" i="22" s="1"/>
  <c r="P4061" i="22"/>
  <c r="Q4061" i="22"/>
  <c r="R4061" i="22"/>
  <c r="L4062" i="22"/>
  <c r="C4062" i="22"/>
  <c r="K4062" i="22" s="1"/>
  <c r="E4062" i="22"/>
  <c r="F4062" i="22"/>
  <c r="O4062" i="22" s="1"/>
  <c r="G4062" i="22"/>
  <c r="I4062" i="22"/>
  <c r="B4063" i="22"/>
  <c r="M3761" i="22"/>
  <c r="D3761" i="22"/>
  <c r="J3761" i="22"/>
  <c r="N3761" i="22" s="1"/>
  <c r="U3761" i="22" s="1"/>
  <c r="P3761" i="22"/>
  <c r="Q3761" i="22"/>
  <c r="R3761" i="22"/>
  <c r="L3762" i="22"/>
  <c r="C3762" i="22"/>
  <c r="K3762" i="22" s="1"/>
  <c r="E3762" i="22"/>
  <c r="F3762" i="22"/>
  <c r="O3762" i="22" s="1"/>
  <c r="G3762" i="22"/>
  <c r="I3762" i="22"/>
  <c r="B3763" i="22"/>
  <c r="M3707" i="22"/>
  <c r="D3707" i="22"/>
  <c r="J3707" i="22"/>
  <c r="N3707" i="22" s="1"/>
  <c r="U3707" i="22" s="1"/>
  <c r="P3707" i="22"/>
  <c r="Q3707" i="22"/>
  <c r="R3707" i="22"/>
  <c r="L3708" i="22"/>
  <c r="C3708" i="22"/>
  <c r="E3708" i="22"/>
  <c r="G3708" i="22"/>
  <c r="I3708" i="22"/>
  <c r="B3709" i="22"/>
  <c r="M3653" i="22"/>
  <c r="D3653" i="22"/>
  <c r="J3653" i="22"/>
  <c r="N3653" i="22" s="1"/>
  <c r="U3653" i="22" s="1"/>
  <c r="P3653" i="22"/>
  <c r="Q3653" i="22"/>
  <c r="R3653" i="22"/>
  <c r="L3654" i="22"/>
  <c r="C3654" i="22"/>
  <c r="K3654" i="22" s="1"/>
  <c r="E3654" i="22"/>
  <c r="F3654" i="22"/>
  <c r="O3654" i="22" s="1"/>
  <c r="G3654" i="22"/>
  <c r="I3654" i="22"/>
  <c r="B3655" i="22"/>
  <c r="M3599" i="22"/>
  <c r="D3599" i="22"/>
  <c r="J3599" i="22"/>
  <c r="N3599" i="22" s="1"/>
  <c r="U3599" i="22" s="1"/>
  <c r="P3599" i="22"/>
  <c r="Q3599" i="22"/>
  <c r="R3599" i="22"/>
  <c r="L3600" i="22"/>
  <c r="C3600" i="22"/>
  <c r="K3600" i="22" s="1"/>
  <c r="E3600" i="22"/>
  <c r="F3600" i="22"/>
  <c r="O3600" i="22" s="1"/>
  <c r="G3600" i="22"/>
  <c r="I3600" i="22"/>
  <c r="B3601" i="22"/>
  <c r="J3545" i="22"/>
  <c r="D3545" i="22"/>
  <c r="P3545" i="22"/>
  <c r="Q3545" i="22"/>
  <c r="R3545" i="22"/>
  <c r="L3546" i="22"/>
  <c r="E3546" i="22"/>
  <c r="G3546" i="22"/>
  <c r="B3547" i="22"/>
  <c r="C3546" i="22"/>
  <c r="K3546" i="22" s="1"/>
  <c r="F3546" i="22"/>
  <c r="O3546" i="22" s="1"/>
  <c r="I3546" i="22"/>
  <c r="M3491" i="22"/>
  <c r="D3491" i="22"/>
  <c r="J3491" i="22"/>
  <c r="N3491" i="22" s="1"/>
  <c r="U3491" i="22" s="1"/>
  <c r="P3491" i="22"/>
  <c r="Q3491" i="22"/>
  <c r="R3491" i="22"/>
  <c r="L3492" i="22"/>
  <c r="C3492" i="22"/>
  <c r="K3492" i="22" s="1"/>
  <c r="E3492" i="22"/>
  <c r="F3492" i="22"/>
  <c r="O3492" i="22" s="1"/>
  <c r="G3492" i="22"/>
  <c r="I3492" i="22"/>
  <c r="B3493" i="22"/>
  <c r="M3437" i="22"/>
  <c r="D3437" i="22"/>
  <c r="J3437" i="22"/>
  <c r="N3437" i="22" s="1"/>
  <c r="U3437" i="22" s="1"/>
  <c r="P3437" i="22"/>
  <c r="Q3437" i="22"/>
  <c r="R3437" i="22"/>
  <c r="L3438" i="22"/>
  <c r="C3438" i="22"/>
  <c r="K3438" i="22" s="1"/>
  <c r="E3438" i="22"/>
  <c r="F3438" i="22"/>
  <c r="O3438" i="22" s="1"/>
  <c r="G3438" i="22"/>
  <c r="I3438" i="22"/>
  <c r="B3439" i="22"/>
  <c r="M3383" i="22"/>
  <c r="D3383" i="22"/>
  <c r="J3383" i="22"/>
  <c r="N3383" i="22" s="1"/>
  <c r="U3383" i="22" s="1"/>
  <c r="P3383" i="22"/>
  <c r="Q3383" i="22"/>
  <c r="R3383" i="22"/>
  <c r="L3384" i="22"/>
  <c r="C3384" i="22"/>
  <c r="K3384" i="22" s="1"/>
  <c r="E3384" i="22"/>
  <c r="F3384" i="22"/>
  <c r="O3384" i="22" s="1"/>
  <c r="G3384" i="22"/>
  <c r="I3384" i="22"/>
  <c r="B3385" i="22"/>
  <c r="D3329" i="22"/>
  <c r="J3329" i="22"/>
  <c r="P3329" i="22"/>
  <c r="Q3329" i="22"/>
  <c r="R3329" i="22"/>
  <c r="L3330" i="22"/>
  <c r="C3330" i="22"/>
  <c r="K3330" i="22" s="1"/>
  <c r="E3330" i="22"/>
  <c r="F3330" i="22"/>
  <c r="O3330" i="22" s="1"/>
  <c r="G3330" i="22"/>
  <c r="I3330" i="22"/>
  <c r="B3331" i="22"/>
  <c r="M3275" i="22"/>
  <c r="D3275" i="22"/>
  <c r="J3275" i="22"/>
  <c r="N3275" i="22" s="1"/>
  <c r="U3275" i="22" s="1"/>
  <c r="P3275" i="22"/>
  <c r="Q3275" i="22"/>
  <c r="R3275" i="22"/>
  <c r="L3276" i="22"/>
  <c r="C3276" i="22"/>
  <c r="K3276" i="22" s="1"/>
  <c r="E3276" i="22"/>
  <c r="F3276" i="22"/>
  <c r="O3276" i="22" s="1"/>
  <c r="G3276" i="22"/>
  <c r="I3276" i="22"/>
  <c r="B3277" i="22"/>
  <c r="M3221" i="22"/>
  <c r="D3221" i="22"/>
  <c r="J3221" i="22"/>
  <c r="N3221" i="22" s="1"/>
  <c r="U3221" i="22" s="1"/>
  <c r="P3221" i="22"/>
  <c r="Q3221" i="22"/>
  <c r="R3221" i="22"/>
  <c r="L3222" i="22"/>
  <c r="C3222" i="22"/>
  <c r="K3222" i="22" s="1"/>
  <c r="E3222" i="22"/>
  <c r="F3222" i="22"/>
  <c r="O3222" i="22" s="1"/>
  <c r="G3222" i="22"/>
  <c r="B3223" i="22"/>
  <c r="I3222" i="22"/>
  <c r="M3167" i="22"/>
  <c r="D3167" i="22"/>
  <c r="J3167" i="22"/>
  <c r="N3167" i="22" s="1"/>
  <c r="U3167" i="22" s="1"/>
  <c r="P3167" i="22"/>
  <c r="Q3167" i="22"/>
  <c r="R3167" i="22"/>
  <c r="L3168" i="22"/>
  <c r="C3168" i="22"/>
  <c r="K3168" i="22" s="1"/>
  <c r="E3168" i="22"/>
  <c r="F3168" i="22"/>
  <c r="O3168" i="22" s="1"/>
  <c r="G3168" i="22"/>
  <c r="I3168" i="22"/>
  <c r="B3169" i="22"/>
  <c r="P3113" i="22"/>
  <c r="Q3113" i="22"/>
  <c r="R3113" i="22"/>
  <c r="L3114" i="22"/>
  <c r="G3114" i="22"/>
  <c r="C3114" i="22"/>
  <c r="E3114" i="22"/>
  <c r="I3114" i="22"/>
  <c r="B3115" i="22"/>
  <c r="D3113" i="22"/>
  <c r="J3113" i="22"/>
  <c r="J3059" i="22"/>
  <c r="D3059" i="22"/>
  <c r="P3059" i="22"/>
  <c r="Q3059" i="22"/>
  <c r="R3059" i="22"/>
  <c r="L3060" i="22"/>
  <c r="E3060" i="22"/>
  <c r="G3060" i="22"/>
  <c r="I3060" i="22"/>
  <c r="B3061" i="22"/>
  <c r="C3060" i="22"/>
  <c r="M3005" i="22"/>
  <c r="D3005" i="22"/>
  <c r="J3005" i="22"/>
  <c r="N3005" i="22" s="1"/>
  <c r="U3005" i="22" s="1"/>
  <c r="P3005" i="22"/>
  <c r="Q3005" i="22"/>
  <c r="R3005" i="22"/>
  <c r="L3006" i="22"/>
  <c r="I3006" i="22"/>
  <c r="B3007" i="22"/>
  <c r="C3006" i="22"/>
  <c r="E3006" i="22"/>
  <c r="G3006" i="22"/>
  <c r="M2951" i="22"/>
  <c r="L2952" i="22"/>
  <c r="B2953" i="22"/>
  <c r="C2952" i="22"/>
  <c r="E2952" i="22"/>
  <c r="G2952" i="22"/>
  <c r="I2952" i="22"/>
  <c r="J2951" i="22"/>
  <c r="N2951" i="22" s="1"/>
  <c r="U2951" i="22" s="1"/>
  <c r="D2951" i="22"/>
  <c r="P2951" i="22"/>
  <c r="Q2951" i="22"/>
  <c r="R2951" i="22"/>
  <c r="D2897" i="22"/>
  <c r="J2897" i="22"/>
  <c r="P2897" i="22"/>
  <c r="Q2897" i="22"/>
  <c r="R2897" i="22"/>
  <c r="L2898" i="22"/>
  <c r="C2898" i="22"/>
  <c r="K2898" i="22" s="1"/>
  <c r="F2898" i="22"/>
  <c r="O2898" i="22" s="1"/>
  <c r="B2899" i="22"/>
  <c r="G2898" i="22"/>
  <c r="I2898" i="22"/>
  <c r="E2898" i="22"/>
  <c r="M2843" i="22"/>
  <c r="D2843" i="22"/>
  <c r="J2843" i="22"/>
  <c r="N2843" i="22" s="1"/>
  <c r="U2843" i="22" s="1"/>
  <c r="P2843" i="22"/>
  <c r="Q2843" i="22"/>
  <c r="R2843" i="22"/>
  <c r="L2844" i="22"/>
  <c r="C2844" i="22"/>
  <c r="K2844" i="22" s="1"/>
  <c r="E2844" i="22"/>
  <c r="F2844" i="22"/>
  <c r="O2844" i="22" s="1"/>
  <c r="G2844" i="22"/>
  <c r="I2844" i="22"/>
  <c r="B2845" i="22"/>
  <c r="M2789" i="22"/>
  <c r="D2789" i="22"/>
  <c r="J2789" i="22"/>
  <c r="N2789" i="22" s="1"/>
  <c r="S2789" i="22" s="1"/>
  <c r="T2789" i="22" s="1"/>
  <c r="U2789" i="22" s="1"/>
  <c r="Q2789" i="22"/>
  <c r="P2789" i="22"/>
  <c r="R2789" i="22"/>
  <c r="L2790" i="22"/>
  <c r="C2790" i="22"/>
  <c r="K2790" i="22" s="1"/>
  <c r="E2790" i="22"/>
  <c r="F2790" i="22"/>
  <c r="O2790" i="22" s="1"/>
  <c r="G2790" i="22"/>
  <c r="I2790" i="22"/>
  <c r="B2791" i="22"/>
  <c r="D2735" i="22"/>
  <c r="J2735" i="22"/>
  <c r="P2735" i="22"/>
  <c r="Q2735" i="22"/>
  <c r="R2735" i="22"/>
  <c r="L2736" i="22"/>
  <c r="C2736" i="22"/>
  <c r="K2736" i="22" s="1"/>
  <c r="E2736" i="22"/>
  <c r="F2736" i="22"/>
  <c r="O2736" i="22" s="1"/>
  <c r="G2736" i="22"/>
  <c r="I2736" i="22"/>
  <c r="B2737" i="22"/>
  <c r="M2681" i="22"/>
  <c r="D2681" i="22"/>
  <c r="J2681" i="22"/>
  <c r="N2681" i="22" s="1"/>
  <c r="U2681" i="22" s="1"/>
  <c r="P2681" i="22"/>
  <c r="Q2681" i="22"/>
  <c r="R2681" i="22"/>
  <c r="L2682" i="22"/>
  <c r="C2682" i="22"/>
  <c r="K2682" i="22" s="1"/>
  <c r="E2682" i="22"/>
  <c r="F2682" i="22"/>
  <c r="O2682" i="22" s="1"/>
  <c r="G2682" i="22"/>
  <c r="I2682" i="22"/>
  <c r="B2683" i="22"/>
  <c r="M2627" i="22"/>
  <c r="D2627" i="22"/>
  <c r="J2627" i="22"/>
  <c r="N2627" i="22" s="1"/>
  <c r="U2627" i="22" s="1"/>
  <c r="P2627" i="22"/>
  <c r="Q2627" i="22"/>
  <c r="R2627" i="22"/>
  <c r="L2628" i="22"/>
  <c r="C2628" i="22"/>
  <c r="K2628" i="22" s="1"/>
  <c r="E2628" i="22"/>
  <c r="F2628" i="22"/>
  <c r="O2628" i="22" s="1"/>
  <c r="G2628" i="22"/>
  <c r="I2628" i="22"/>
  <c r="B2629" i="22"/>
  <c r="M2573" i="22"/>
  <c r="D2573" i="22"/>
  <c r="J2573" i="22"/>
  <c r="N2573" i="22" s="1"/>
  <c r="U2573" i="22" s="1"/>
  <c r="P2573" i="22"/>
  <c r="Q2573" i="22"/>
  <c r="R2573" i="22"/>
  <c r="L2574" i="22"/>
  <c r="C2574" i="22"/>
  <c r="K2574" i="22" s="1"/>
  <c r="E2574" i="22"/>
  <c r="F2574" i="22"/>
  <c r="O2574" i="22" s="1"/>
  <c r="G2574" i="22"/>
  <c r="I2574" i="22"/>
  <c r="B2575" i="22"/>
  <c r="M2519" i="22"/>
  <c r="D2519" i="22"/>
  <c r="J2519" i="22"/>
  <c r="N2519" i="22" s="1"/>
  <c r="U2519" i="22" s="1"/>
  <c r="P2519" i="22"/>
  <c r="Q2519" i="22"/>
  <c r="R2519" i="22"/>
  <c r="L2520" i="22"/>
  <c r="C2520" i="22"/>
  <c r="E2520" i="22"/>
  <c r="G2520" i="22"/>
  <c r="I2520" i="22"/>
  <c r="B2521" i="22"/>
  <c r="M2465" i="22"/>
  <c r="D2465" i="22"/>
  <c r="J2465" i="22"/>
  <c r="N2465" i="22" s="1"/>
  <c r="U2465" i="22" s="1"/>
  <c r="P2465" i="22"/>
  <c r="Q2465" i="22"/>
  <c r="R2465" i="22"/>
  <c r="L2466" i="22"/>
  <c r="C2466" i="22"/>
  <c r="K2466" i="22" s="1"/>
  <c r="E2466" i="22"/>
  <c r="F2466" i="22"/>
  <c r="O2466" i="22" s="1"/>
  <c r="G2466" i="22"/>
  <c r="I2466" i="22"/>
  <c r="B2467" i="22"/>
  <c r="M2411" i="22"/>
  <c r="D2411" i="22"/>
  <c r="J2411" i="22"/>
  <c r="N2411" i="22" s="1"/>
  <c r="U2411" i="22" s="1"/>
  <c r="P2411" i="22"/>
  <c r="Q2411" i="22"/>
  <c r="R2411" i="22"/>
  <c r="L2412" i="22"/>
  <c r="C2412" i="22"/>
  <c r="K2412" i="22" s="1"/>
  <c r="E2412" i="22"/>
  <c r="F2412" i="22"/>
  <c r="O2412" i="22" s="1"/>
  <c r="G2412" i="22"/>
  <c r="I2412" i="22"/>
  <c r="B2413" i="22"/>
  <c r="M2357" i="22"/>
  <c r="D2357" i="22"/>
  <c r="J2357" i="22"/>
  <c r="N2357" i="22" s="1"/>
  <c r="U2357" i="22" s="1"/>
  <c r="P2357" i="22"/>
  <c r="Q2357" i="22"/>
  <c r="R2357" i="22"/>
  <c r="L2358" i="22"/>
  <c r="C2358" i="22"/>
  <c r="E2358" i="22"/>
  <c r="G2358" i="22"/>
  <c r="I2358" i="22"/>
  <c r="B2359" i="22"/>
  <c r="M2303" i="22"/>
  <c r="D2303" i="22"/>
  <c r="J2303" i="22"/>
  <c r="N2303" i="22" s="1"/>
  <c r="U2303" i="22" s="1"/>
  <c r="P2303" i="22"/>
  <c r="Q2303" i="22"/>
  <c r="R2303" i="22"/>
  <c r="L2304" i="22"/>
  <c r="C2304" i="22"/>
  <c r="E2304" i="22"/>
  <c r="G2304" i="22"/>
  <c r="I2304" i="22"/>
  <c r="B2305" i="22"/>
  <c r="M2249" i="22"/>
  <c r="D2249" i="22"/>
  <c r="J2249" i="22"/>
  <c r="N2249" i="22" s="1"/>
  <c r="U2249" i="22" s="1"/>
  <c r="P2249" i="22"/>
  <c r="Q2249" i="22"/>
  <c r="R2249" i="22"/>
  <c r="L2250" i="22"/>
  <c r="C2250" i="22"/>
  <c r="K2250" i="22" s="1"/>
  <c r="E2250" i="22"/>
  <c r="F2250" i="22"/>
  <c r="O2250" i="22" s="1"/>
  <c r="G2250" i="22"/>
  <c r="I2250" i="22"/>
  <c r="B2251" i="22"/>
  <c r="M2195" i="22"/>
  <c r="D2195" i="22"/>
  <c r="J2195" i="22"/>
  <c r="N2195" i="22" s="1"/>
  <c r="U2195" i="22" s="1"/>
  <c r="P2195" i="22"/>
  <c r="Q2195" i="22"/>
  <c r="R2195" i="22"/>
  <c r="L2196" i="22"/>
  <c r="C2196" i="22"/>
  <c r="K2196" i="22" s="1"/>
  <c r="E2196" i="22"/>
  <c r="F2196" i="22"/>
  <c r="O2196" i="22" s="1"/>
  <c r="G2196" i="22"/>
  <c r="I2196" i="22"/>
  <c r="B2197" i="22"/>
  <c r="M2141" i="22"/>
  <c r="D2141" i="22"/>
  <c r="J2141" i="22"/>
  <c r="N2141" i="22" s="1"/>
  <c r="U2141" i="22" s="1"/>
  <c r="P2141" i="22"/>
  <c r="Q2141" i="22"/>
  <c r="R2141" i="22"/>
  <c r="L2142" i="22"/>
  <c r="C2142" i="22"/>
  <c r="K2142" i="22" s="1"/>
  <c r="E2142" i="22"/>
  <c r="F2142" i="22"/>
  <c r="O2142" i="22" s="1"/>
  <c r="G2142" i="22"/>
  <c r="I2142" i="22"/>
  <c r="B2143" i="22"/>
  <c r="M2087" i="22"/>
  <c r="D2087" i="22"/>
  <c r="J2087" i="22"/>
  <c r="N2087" i="22" s="1"/>
  <c r="U2087" i="22" s="1"/>
  <c r="P2087" i="22"/>
  <c r="Q2087" i="22"/>
  <c r="R2087" i="22"/>
  <c r="L2088" i="22"/>
  <c r="C2088" i="22"/>
  <c r="E2088" i="22"/>
  <c r="G2088" i="22"/>
  <c r="I2088" i="22"/>
  <c r="B2089" i="22"/>
  <c r="M2033" i="22"/>
  <c r="D2033" i="22"/>
  <c r="J2033" i="22"/>
  <c r="N2033" i="22" s="1"/>
  <c r="U2033" i="22" s="1"/>
  <c r="P2033" i="22"/>
  <c r="Q2033" i="22"/>
  <c r="R2033" i="22"/>
  <c r="L2034" i="22"/>
  <c r="C2034" i="22"/>
  <c r="K2034" i="22" s="1"/>
  <c r="E2034" i="22"/>
  <c r="F2034" i="22"/>
  <c r="O2034" i="22" s="1"/>
  <c r="G2034" i="22"/>
  <c r="I2034" i="22"/>
  <c r="B2035" i="22"/>
  <c r="M1979" i="22"/>
  <c r="D1979" i="22"/>
  <c r="J1979" i="22"/>
  <c r="N1979" i="22" s="1"/>
  <c r="U1979" i="22" s="1"/>
  <c r="P1979" i="22"/>
  <c r="Q1979" i="22"/>
  <c r="R1979" i="22"/>
  <c r="L1980" i="22"/>
  <c r="C1980" i="22"/>
  <c r="K1980" i="22" s="1"/>
  <c r="E1980" i="22"/>
  <c r="F1980" i="22"/>
  <c r="O1980" i="22" s="1"/>
  <c r="G1980" i="22"/>
  <c r="I1980" i="22"/>
  <c r="B1981" i="22"/>
  <c r="M1925" i="22"/>
  <c r="D1925" i="22"/>
  <c r="J1925" i="22"/>
  <c r="N1925" i="22" s="1"/>
  <c r="U1925" i="22" s="1"/>
  <c r="P1925" i="22"/>
  <c r="Q1925" i="22"/>
  <c r="R1925" i="22"/>
  <c r="L1926" i="22"/>
  <c r="C1926" i="22"/>
  <c r="K1926" i="22" s="1"/>
  <c r="E1926" i="22"/>
  <c r="F1926" i="22"/>
  <c r="O1926" i="22" s="1"/>
  <c r="G1926" i="22"/>
  <c r="I1926" i="22"/>
  <c r="B1927" i="22"/>
  <c r="M1871" i="22"/>
  <c r="D1871" i="22"/>
  <c r="J1871" i="22"/>
  <c r="N1871" i="22" s="1"/>
  <c r="U1871" i="22" s="1"/>
  <c r="P1871" i="22"/>
  <c r="Q1871" i="22"/>
  <c r="R1871" i="22"/>
  <c r="L1872" i="22"/>
  <c r="C1872" i="22"/>
  <c r="K1872" i="22" s="1"/>
  <c r="E1872" i="22"/>
  <c r="F1872" i="22"/>
  <c r="O1872" i="22" s="1"/>
  <c r="G1872" i="22"/>
  <c r="I1872" i="22"/>
  <c r="B1873" i="22"/>
  <c r="D1817" i="22"/>
  <c r="J1817" i="22"/>
  <c r="P1817" i="22"/>
  <c r="Q1817" i="22"/>
  <c r="R1817" i="22"/>
  <c r="L1818" i="22"/>
  <c r="C1818" i="22"/>
  <c r="E1818" i="22"/>
  <c r="G1818" i="22"/>
  <c r="I1818" i="22"/>
  <c r="B1819" i="22"/>
  <c r="M1763" i="22"/>
  <c r="D1763" i="22"/>
  <c r="J1763" i="22"/>
  <c r="N1763" i="22" s="1"/>
  <c r="U1763" i="22" s="1"/>
  <c r="P1763" i="22"/>
  <c r="Q1763" i="22"/>
  <c r="R1763" i="22"/>
  <c r="L1764" i="22"/>
  <c r="C1764" i="22"/>
  <c r="K1764" i="22" s="1"/>
  <c r="E1764" i="22"/>
  <c r="F1764" i="22"/>
  <c r="O1764" i="22" s="1"/>
  <c r="G1764" i="22"/>
  <c r="I1764" i="22"/>
  <c r="B1765" i="22"/>
  <c r="M1709" i="22"/>
  <c r="D1709" i="22"/>
  <c r="J1709" i="22"/>
  <c r="N1709" i="22" s="1"/>
  <c r="U1709" i="22" s="1"/>
  <c r="P1709" i="22"/>
  <c r="Q1709" i="22"/>
  <c r="R1709" i="22"/>
  <c r="L1710" i="22"/>
  <c r="C1710" i="22"/>
  <c r="K1710" i="22" s="1"/>
  <c r="E1710" i="22"/>
  <c r="F1710" i="22"/>
  <c r="O1710" i="22" s="1"/>
  <c r="G1710" i="22"/>
  <c r="I1710" i="22"/>
  <c r="B1711" i="22"/>
  <c r="M1655" i="22"/>
  <c r="D1655" i="22"/>
  <c r="J1655" i="22"/>
  <c r="N1655" i="22" s="1"/>
  <c r="U1655" i="22" s="1"/>
  <c r="P1655" i="22"/>
  <c r="Q1655" i="22"/>
  <c r="R1655" i="22"/>
  <c r="L1656" i="22"/>
  <c r="C1656" i="22"/>
  <c r="K1656" i="22" s="1"/>
  <c r="E1656" i="22"/>
  <c r="F1656" i="22"/>
  <c r="O1656" i="22" s="1"/>
  <c r="G1656" i="22"/>
  <c r="I1656" i="22"/>
  <c r="B1657" i="22"/>
  <c r="M1601" i="22"/>
  <c r="D1601" i="22"/>
  <c r="J1601" i="22"/>
  <c r="N1601" i="22" s="1"/>
  <c r="U1601" i="22" s="1"/>
  <c r="P1601" i="22"/>
  <c r="Q1601" i="22"/>
  <c r="R1601" i="22"/>
  <c r="L1602" i="22"/>
  <c r="C1602" i="22"/>
  <c r="K1602" i="22" s="1"/>
  <c r="E1602" i="22"/>
  <c r="F1602" i="22"/>
  <c r="O1602" i="22" s="1"/>
  <c r="G1602" i="22"/>
  <c r="I1602" i="22"/>
  <c r="B1603" i="22"/>
  <c r="M1547" i="22"/>
  <c r="D1547" i="22"/>
  <c r="J1547" i="22"/>
  <c r="N1547" i="22" s="1"/>
  <c r="U1547" i="22" s="1"/>
  <c r="P1547" i="22"/>
  <c r="Q1547" i="22"/>
  <c r="R1547" i="22"/>
  <c r="L1548" i="22"/>
  <c r="C1548" i="22"/>
  <c r="E1548" i="22"/>
  <c r="G1548" i="22"/>
  <c r="I1548" i="22"/>
  <c r="B1549" i="22"/>
  <c r="D1493" i="22"/>
  <c r="J1493" i="22"/>
  <c r="P1493" i="22"/>
  <c r="Q1493" i="22"/>
  <c r="R1493" i="22"/>
  <c r="L1494" i="22"/>
  <c r="C1494" i="22"/>
  <c r="K1494" i="22" s="1"/>
  <c r="E1494" i="22"/>
  <c r="F1494" i="22"/>
  <c r="O1494" i="22" s="1"/>
  <c r="G1494" i="22"/>
  <c r="I1494" i="22"/>
  <c r="B1495" i="22"/>
  <c r="M1439" i="22"/>
  <c r="D1439" i="22"/>
  <c r="J1439" i="22"/>
  <c r="N1439" i="22" s="1"/>
  <c r="U1439" i="22" s="1"/>
  <c r="P1439" i="22"/>
  <c r="Q1439" i="22"/>
  <c r="R1439" i="22"/>
  <c r="L1440" i="22"/>
  <c r="C1440" i="22"/>
  <c r="K1440" i="22" s="1"/>
  <c r="E1440" i="22"/>
  <c r="F1440" i="22"/>
  <c r="O1440" i="22" s="1"/>
  <c r="G1440" i="22"/>
  <c r="I1440" i="22"/>
  <c r="B1441" i="22"/>
  <c r="M1385" i="22"/>
  <c r="D1385" i="22"/>
  <c r="J1385" i="22"/>
  <c r="N1385" i="22" s="1"/>
  <c r="U1385" i="22" s="1"/>
  <c r="P1385" i="22"/>
  <c r="Q1385" i="22"/>
  <c r="R1385" i="22"/>
  <c r="L1386" i="22"/>
  <c r="C1386" i="22"/>
  <c r="K1386" i="22" s="1"/>
  <c r="E1386" i="22"/>
  <c r="F1386" i="22"/>
  <c r="O1386" i="22" s="1"/>
  <c r="G1386" i="22"/>
  <c r="I1386" i="22"/>
  <c r="B1387" i="22"/>
  <c r="M1331" i="22"/>
  <c r="D1331" i="22"/>
  <c r="J1331" i="22"/>
  <c r="N1331" i="22" s="1"/>
  <c r="U1331" i="22" s="1"/>
  <c r="P1331" i="22"/>
  <c r="Q1331" i="22"/>
  <c r="R1331" i="22"/>
  <c r="L1332" i="22"/>
  <c r="C1332" i="22"/>
  <c r="K1332" i="22" s="1"/>
  <c r="E1332" i="22"/>
  <c r="F1332" i="22"/>
  <c r="O1332" i="22" s="1"/>
  <c r="G1332" i="22"/>
  <c r="I1332" i="22"/>
  <c r="B1333" i="22"/>
  <c r="M1277" i="22"/>
  <c r="D1277" i="22"/>
  <c r="J1277" i="22"/>
  <c r="N1277" i="22" s="1"/>
  <c r="U1277" i="22" s="1"/>
  <c r="P1277" i="22"/>
  <c r="Q1277" i="22"/>
  <c r="R1277" i="22"/>
  <c r="L1278" i="22"/>
  <c r="C1278" i="22"/>
  <c r="K1278" i="22" s="1"/>
  <c r="E1278" i="22"/>
  <c r="F1278" i="22"/>
  <c r="O1278" i="22" s="1"/>
  <c r="G1278" i="22"/>
  <c r="I1278" i="22"/>
  <c r="B1279" i="22"/>
  <c r="M1223" i="22"/>
  <c r="D1223" i="22"/>
  <c r="J1223" i="22"/>
  <c r="N1223" i="22" s="1"/>
  <c r="U1223" i="22" s="1"/>
  <c r="P1223" i="22"/>
  <c r="Q1223" i="22"/>
  <c r="R1223" i="22"/>
  <c r="L1224" i="22"/>
  <c r="C1224" i="22"/>
  <c r="K1224" i="22" s="1"/>
  <c r="E1224" i="22"/>
  <c r="F1224" i="22"/>
  <c r="O1224" i="22" s="1"/>
  <c r="G1224" i="22"/>
  <c r="I1224" i="22"/>
  <c r="B1225" i="22"/>
  <c r="M1169" i="22"/>
  <c r="D1169" i="22"/>
  <c r="J1169" i="22"/>
  <c r="N1169" i="22" s="1"/>
  <c r="U1169" i="22" s="1"/>
  <c r="P1169" i="22"/>
  <c r="Q1169" i="22"/>
  <c r="R1169" i="22"/>
  <c r="L1170" i="22"/>
  <c r="C1170" i="22"/>
  <c r="K1170" i="22" s="1"/>
  <c r="E1170" i="22"/>
  <c r="F1170" i="22"/>
  <c r="O1170" i="22" s="1"/>
  <c r="G1170" i="22"/>
  <c r="I1170" i="22"/>
  <c r="B1171" i="22"/>
  <c r="M1115" i="22"/>
  <c r="D1115" i="22"/>
  <c r="J1115" i="22"/>
  <c r="N1115" i="22" s="1"/>
  <c r="U1115" i="22" s="1"/>
  <c r="P1115" i="22"/>
  <c r="Q1115" i="22"/>
  <c r="R1115" i="22"/>
  <c r="L1116" i="22"/>
  <c r="C1116" i="22"/>
  <c r="K1116" i="22" s="1"/>
  <c r="E1116" i="22"/>
  <c r="F1116" i="22"/>
  <c r="O1116" i="22" s="1"/>
  <c r="G1116" i="22"/>
  <c r="I1116" i="22"/>
  <c r="B1117" i="22"/>
  <c r="M1061" i="22"/>
  <c r="D1061" i="22"/>
  <c r="J1061" i="22"/>
  <c r="N1061" i="22" s="1"/>
  <c r="U1061" i="22" s="1"/>
  <c r="P1061" i="22"/>
  <c r="Q1061" i="22"/>
  <c r="R1061" i="22"/>
  <c r="L1062" i="22"/>
  <c r="C1062" i="22"/>
  <c r="E1062" i="22"/>
  <c r="G1062" i="22"/>
  <c r="I1062" i="22"/>
  <c r="B1063" i="22"/>
  <c r="M1007" i="22"/>
  <c r="D1007" i="22"/>
  <c r="J1007" i="22"/>
  <c r="N1007" i="22" s="1"/>
  <c r="U1007" i="22" s="1"/>
  <c r="P1007" i="22"/>
  <c r="Q1007" i="22"/>
  <c r="R1007" i="22"/>
  <c r="L1008" i="22"/>
  <c r="C1008" i="22"/>
  <c r="K1008" i="22" s="1"/>
  <c r="E1008" i="22"/>
  <c r="F1008" i="22"/>
  <c r="O1008" i="22" s="1"/>
  <c r="G1008" i="22"/>
  <c r="I1008" i="22"/>
  <c r="B1009" i="22"/>
  <c r="M953" i="22"/>
  <c r="D953" i="22"/>
  <c r="J953" i="22"/>
  <c r="N953" i="22" s="1"/>
  <c r="U953" i="22" s="1"/>
  <c r="P953" i="22"/>
  <c r="Q953" i="22"/>
  <c r="R953" i="22"/>
  <c r="L954" i="22"/>
  <c r="C954" i="22"/>
  <c r="K954" i="22" s="1"/>
  <c r="E954" i="22"/>
  <c r="F954" i="22"/>
  <c r="O954" i="22" s="1"/>
  <c r="G954" i="22"/>
  <c r="I954" i="22"/>
  <c r="B955" i="22"/>
  <c r="M899" i="22"/>
  <c r="D899" i="22"/>
  <c r="J899" i="22"/>
  <c r="N899" i="22" s="1"/>
  <c r="U899" i="22" s="1"/>
  <c r="P899" i="22"/>
  <c r="Q899" i="22"/>
  <c r="R899" i="22"/>
  <c r="L900" i="22"/>
  <c r="C900" i="22"/>
  <c r="K900" i="22" s="1"/>
  <c r="E900" i="22"/>
  <c r="F900" i="22"/>
  <c r="O900" i="22" s="1"/>
  <c r="G900" i="22"/>
  <c r="I900" i="22"/>
  <c r="B901" i="22"/>
  <c r="D845" i="22"/>
  <c r="J845" i="22"/>
  <c r="P845" i="22"/>
  <c r="Q845" i="22"/>
  <c r="R845" i="22"/>
  <c r="L846" i="22"/>
  <c r="C846" i="22"/>
  <c r="K846" i="22" s="1"/>
  <c r="E846" i="22"/>
  <c r="F846" i="22"/>
  <c r="O846" i="22" s="1"/>
  <c r="G846" i="22"/>
  <c r="I846" i="22"/>
  <c r="B847" i="22"/>
  <c r="M791" i="22"/>
  <c r="D791" i="22"/>
  <c r="J791" i="22"/>
  <c r="N791" i="22" s="1"/>
  <c r="U791" i="22" s="1"/>
  <c r="P791" i="22"/>
  <c r="Q791" i="22"/>
  <c r="R791" i="22"/>
  <c r="L792" i="22"/>
  <c r="C792" i="22"/>
  <c r="K792" i="22" s="1"/>
  <c r="E792" i="22"/>
  <c r="F792" i="22"/>
  <c r="O792" i="22" s="1"/>
  <c r="G792" i="22"/>
  <c r="I792" i="22"/>
  <c r="B793" i="22"/>
  <c r="M737" i="22"/>
  <c r="D737" i="22"/>
  <c r="J737" i="22"/>
  <c r="N737" i="22" s="1"/>
  <c r="U737" i="22" s="1"/>
  <c r="P737" i="22"/>
  <c r="Q737" i="22"/>
  <c r="R737" i="22"/>
  <c r="L738" i="22"/>
  <c r="C738" i="22"/>
  <c r="K738" i="22" s="1"/>
  <c r="E738" i="22"/>
  <c r="F738" i="22"/>
  <c r="O738" i="22" s="1"/>
  <c r="G738" i="22"/>
  <c r="I738" i="22"/>
  <c r="B739" i="22"/>
  <c r="M683" i="22"/>
  <c r="D683" i="22"/>
  <c r="J683" i="22"/>
  <c r="N683" i="22" s="1"/>
  <c r="U683" i="22" s="1"/>
  <c r="P683" i="22"/>
  <c r="Q683" i="22"/>
  <c r="R683" i="22"/>
  <c r="L684" i="22"/>
  <c r="C684" i="22"/>
  <c r="K684" i="22" s="1"/>
  <c r="E684" i="22"/>
  <c r="F684" i="22"/>
  <c r="O684" i="22" s="1"/>
  <c r="G684" i="22"/>
  <c r="I684" i="22"/>
  <c r="B685" i="22"/>
  <c r="M629" i="22"/>
  <c r="D629" i="22"/>
  <c r="J629" i="22"/>
  <c r="N629" i="22" s="1"/>
  <c r="U629" i="22" s="1"/>
  <c r="P629" i="22"/>
  <c r="Q629" i="22"/>
  <c r="R629" i="22"/>
  <c r="L630" i="22"/>
  <c r="C630" i="22"/>
  <c r="K630" i="22" s="1"/>
  <c r="E630" i="22"/>
  <c r="F630" i="22"/>
  <c r="O630" i="22" s="1"/>
  <c r="G630" i="22"/>
  <c r="I630" i="22"/>
  <c r="B631" i="22"/>
  <c r="M575" i="22"/>
  <c r="D575" i="22"/>
  <c r="J575" i="22"/>
  <c r="N575" i="22" s="1"/>
  <c r="U575" i="22" s="1"/>
  <c r="P575" i="22"/>
  <c r="Q575" i="22"/>
  <c r="R575" i="22"/>
  <c r="L576" i="22"/>
  <c r="C576" i="22"/>
  <c r="K576" i="22" s="1"/>
  <c r="E576" i="22"/>
  <c r="F576" i="22"/>
  <c r="O576" i="22" s="1"/>
  <c r="G576" i="22"/>
  <c r="I576" i="22"/>
  <c r="B577" i="22"/>
  <c r="M521" i="22"/>
  <c r="D521" i="22"/>
  <c r="J521" i="22"/>
  <c r="N521" i="22" s="1"/>
  <c r="U521" i="22" s="1"/>
  <c r="P521" i="22"/>
  <c r="Q521" i="22"/>
  <c r="R521" i="22"/>
  <c r="L522" i="22"/>
  <c r="C522" i="22"/>
  <c r="K522" i="22" s="1"/>
  <c r="E522" i="22"/>
  <c r="F522" i="22"/>
  <c r="O522" i="22" s="1"/>
  <c r="G522" i="22"/>
  <c r="I522" i="22"/>
  <c r="B523" i="22"/>
  <c r="M467" i="22"/>
  <c r="D467" i="22"/>
  <c r="J467" i="22"/>
  <c r="N467" i="22" s="1"/>
  <c r="U467" i="22" s="1"/>
  <c r="P467" i="22"/>
  <c r="Q467" i="22"/>
  <c r="R467" i="22"/>
  <c r="L468" i="22"/>
  <c r="C468" i="22"/>
  <c r="K468" i="22" s="1"/>
  <c r="E468" i="22"/>
  <c r="F468" i="22"/>
  <c r="O468" i="22" s="1"/>
  <c r="G468" i="22"/>
  <c r="I468" i="22"/>
  <c r="B469" i="22"/>
  <c r="M413" i="22"/>
  <c r="L414" i="22"/>
  <c r="I414" i="22"/>
  <c r="B415" i="22"/>
  <c r="C414" i="22"/>
  <c r="E414" i="22"/>
  <c r="G414" i="22"/>
  <c r="J413" i="22"/>
  <c r="N413" i="22" s="1"/>
  <c r="U413" i="22" s="1"/>
  <c r="D413" i="22"/>
  <c r="P413" i="22"/>
  <c r="Q413" i="22"/>
  <c r="R413" i="22"/>
  <c r="M359" i="22"/>
  <c r="D359" i="22"/>
  <c r="J359" i="22"/>
  <c r="N359" i="22" s="1"/>
  <c r="U359" i="22" s="1"/>
  <c r="P359" i="22"/>
  <c r="Q359" i="22"/>
  <c r="R359" i="22"/>
  <c r="L360" i="22"/>
  <c r="C360" i="22"/>
  <c r="K360" i="22" s="1"/>
  <c r="E360" i="22"/>
  <c r="F360" i="22"/>
  <c r="O360" i="22" s="1"/>
  <c r="G360" i="22"/>
  <c r="I360" i="22"/>
  <c r="B361" i="22"/>
  <c r="M305" i="22"/>
  <c r="D305" i="22"/>
  <c r="J305" i="22"/>
  <c r="N305" i="22" s="1"/>
  <c r="U305" i="22" s="1"/>
  <c r="P305" i="22"/>
  <c r="Q305" i="22"/>
  <c r="R305" i="22"/>
  <c r="L306" i="22"/>
  <c r="C306" i="22"/>
  <c r="E306" i="22"/>
  <c r="G306" i="22"/>
  <c r="I306" i="22"/>
  <c r="B307" i="22"/>
  <c r="M251" i="22"/>
  <c r="D251" i="22"/>
  <c r="J251" i="22"/>
  <c r="N251" i="22" s="1"/>
  <c r="U251" i="22" s="1"/>
  <c r="P251" i="22"/>
  <c r="Q251" i="22"/>
  <c r="R251" i="22"/>
  <c r="L252" i="22"/>
  <c r="C252" i="22"/>
  <c r="K252" i="22" s="1"/>
  <c r="E252" i="22"/>
  <c r="F252" i="22"/>
  <c r="O252" i="22" s="1"/>
  <c r="G252" i="22"/>
  <c r="I252" i="22"/>
  <c r="B253" i="22"/>
  <c r="D197" i="22"/>
  <c r="J197" i="22"/>
  <c r="P197" i="22"/>
  <c r="Q197" i="22"/>
  <c r="R197" i="22"/>
  <c r="L198" i="22"/>
  <c r="C198" i="22"/>
  <c r="K198" i="22" s="1"/>
  <c r="E198" i="22"/>
  <c r="F198" i="22"/>
  <c r="O198" i="22" s="1"/>
  <c r="G198" i="22"/>
  <c r="I198" i="22"/>
  <c r="B199" i="22"/>
  <c r="M143" i="22"/>
  <c r="D143" i="22"/>
  <c r="J143" i="22"/>
  <c r="N143" i="22" s="1"/>
  <c r="U143" i="22" s="1"/>
  <c r="P143" i="22"/>
  <c r="Q143" i="22"/>
  <c r="R143" i="22"/>
  <c r="L144" i="22"/>
  <c r="C144" i="22"/>
  <c r="K144" i="22" s="1"/>
  <c r="E144" i="22"/>
  <c r="F144" i="22"/>
  <c r="O144" i="22" s="1"/>
  <c r="G144" i="22"/>
  <c r="B145" i="22"/>
  <c r="I144" i="22"/>
  <c r="M89" i="22"/>
  <c r="D89" i="22"/>
  <c r="J89" i="22"/>
  <c r="N89" i="22" s="1"/>
  <c r="U89" i="22" s="1"/>
  <c r="P89" i="22"/>
  <c r="Q89" i="22"/>
  <c r="R89" i="22"/>
  <c r="L90" i="22"/>
  <c r="C90" i="22"/>
  <c r="K90" i="22" s="1"/>
  <c r="E90" i="22"/>
  <c r="F90" i="22"/>
  <c r="O90" i="22" s="1"/>
  <c r="G90" i="22"/>
  <c r="I90" i="22"/>
  <c r="B91" i="22"/>
  <c r="M27" i="17"/>
  <c r="D27" i="17"/>
  <c r="J27" i="17"/>
  <c r="N27" i="17" s="1"/>
  <c r="U27" i="17" s="1"/>
  <c r="AE27" i="17"/>
  <c r="AD27" i="17"/>
  <c r="AC27" i="17"/>
  <c r="AB27" i="17"/>
  <c r="AA27" i="17"/>
  <c r="Z27" i="17"/>
  <c r="Y27" i="17"/>
  <c r="X27" i="17"/>
  <c r="W27" i="17"/>
  <c r="P27" i="17"/>
  <c r="Q27" i="17"/>
  <c r="R27" i="17"/>
  <c r="V27" i="17"/>
  <c r="L28" i="17"/>
  <c r="C28" i="17"/>
  <c r="K28" i="17" s="1"/>
  <c r="E28" i="17"/>
  <c r="F28" i="17"/>
  <c r="C28" i="18" s="1"/>
  <c r="E28" i="18" s="1"/>
  <c r="O28" i="17" s="1"/>
  <c r="G28" i="17"/>
  <c r="I28" i="17"/>
  <c r="B29" i="17"/>
  <c r="B28" i="18"/>
  <c r="AI16" i="17"/>
  <c r="B93" i="12"/>
  <c r="I93" i="12" s="1"/>
  <c r="AH15" i="17"/>
  <c r="AG17" i="17"/>
  <c r="AG18" i="17"/>
  <c r="AG19" i="17"/>
  <c r="AG20" i="17"/>
  <c r="AG21" i="17"/>
  <c r="AG22" i="17"/>
  <c r="AG23" i="17"/>
  <c r="AG24" i="17"/>
  <c r="AG25" i="17"/>
  <c r="AG26" i="17"/>
  <c r="AG27" i="17"/>
  <c r="AG28" i="17"/>
  <c r="M1435" i="23"/>
  <c r="N1435" i="23"/>
  <c r="AE1435" i="23" s="1"/>
  <c r="M1379" i="23"/>
  <c r="N1379" i="23"/>
  <c r="AE1379" i="23" s="1"/>
  <c r="N1043" i="23"/>
  <c r="AE1043" i="23" s="1"/>
  <c r="M1043" i="23"/>
  <c r="M931" i="23"/>
  <c r="N931" i="23"/>
  <c r="AE931" i="23" s="1"/>
  <c r="M819" i="23"/>
  <c r="N819" i="23"/>
  <c r="AE819" i="23" s="1"/>
  <c r="M427" i="23"/>
  <c r="N427" i="23"/>
  <c r="AE427" i="23" s="1"/>
  <c r="M3652" i="22"/>
  <c r="N3652" i="22"/>
  <c r="U3652" i="22" s="1"/>
  <c r="M3598" i="22"/>
  <c r="N3598" i="22"/>
  <c r="U3598" i="22" s="1"/>
  <c r="M3544" i="22"/>
  <c r="N3544" i="22"/>
  <c r="U3544" i="22" s="1"/>
  <c r="M3328" i="22"/>
  <c r="N3328" i="22"/>
  <c r="U3328" i="22" s="1"/>
  <c r="M3112" i="22"/>
  <c r="N3112" i="22"/>
  <c r="U3112" i="22" s="1"/>
  <c r="N3058" i="22"/>
  <c r="U3058" i="22" s="1"/>
  <c r="M3058" i="22"/>
  <c r="N3004" i="22"/>
  <c r="U3004" i="22" s="1"/>
  <c r="M3004" i="22"/>
  <c r="M2950" i="22"/>
  <c r="N2950" i="22"/>
  <c r="U2950" i="22" s="1"/>
  <c r="M2680" i="22"/>
  <c r="N2680" i="22"/>
  <c r="U2680" i="22" s="1"/>
  <c r="M2086" i="22"/>
  <c r="N2086" i="22"/>
  <c r="U2086" i="22" s="1"/>
  <c r="M1708" i="22"/>
  <c r="N1708" i="22"/>
  <c r="U1708" i="22" s="1"/>
  <c r="M1384" i="22"/>
  <c r="N1384" i="22"/>
  <c r="U1384" i="22" s="1"/>
  <c r="M1114" i="22"/>
  <c r="N1114" i="22"/>
  <c r="U1114" i="22" s="1"/>
  <c r="M1060" i="22"/>
  <c r="N1060" i="22"/>
  <c r="U1060" i="22" s="1"/>
  <c r="M790" i="22"/>
  <c r="N790" i="22"/>
  <c r="U790" i="22" s="1"/>
  <c r="K1548" i="23"/>
  <c r="F1548" i="23"/>
  <c r="O1548" i="23" s="1"/>
  <c r="K1380" i="23"/>
  <c r="F1380" i="23"/>
  <c r="O1380" i="23" s="1"/>
  <c r="K596" i="23"/>
  <c r="F596" i="23"/>
  <c r="O596" i="23" s="1"/>
  <c r="K540" i="23"/>
  <c r="F540" i="23"/>
  <c r="O540" i="23" s="1"/>
  <c r="K484" i="23"/>
  <c r="F484" i="23"/>
  <c r="O484" i="23" s="1"/>
  <c r="F4223" i="22"/>
  <c r="O4223" i="22" s="1"/>
  <c r="K4223" i="22"/>
  <c r="K3545" i="22"/>
  <c r="F3545" i="22"/>
  <c r="O3545" i="22" s="1"/>
  <c r="K3329" i="22"/>
  <c r="F3329" i="22"/>
  <c r="O3329" i="22" s="1"/>
  <c r="F3113" i="22"/>
  <c r="O3113" i="22" s="1"/>
  <c r="K3113" i="22"/>
  <c r="F3059" i="22"/>
  <c r="O3059" i="22" s="1"/>
  <c r="K3059" i="22"/>
  <c r="F2897" i="22"/>
  <c r="O2897" i="22" s="1"/>
  <c r="K2897" i="22"/>
  <c r="F2735" i="22"/>
  <c r="O2735" i="22" s="1"/>
  <c r="K2735" i="22"/>
  <c r="F1817" i="22"/>
  <c r="O1817" i="22" s="1"/>
  <c r="K1817" i="22"/>
  <c r="K1493" i="22"/>
  <c r="F1493" i="22"/>
  <c r="O1493" i="22" s="1"/>
  <c r="K845" i="22"/>
  <c r="F845" i="22"/>
  <c r="O845" i="22" s="1"/>
  <c r="K197" i="22"/>
  <c r="F197" i="22"/>
  <c r="O197" i="22" s="1"/>
  <c r="F26" i="18"/>
  <c r="G26" i="18"/>
  <c r="H26" i="18"/>
  <c r="K373" i="23" l="1"/>
  <c r="F373" i="23"/>
  <c r="O373" i="23" s="1"/>
  <c r="D4632" i="22"/>
  <c r="F4632" i="22"/>
  <c r="O4632" i="22" s="1"/>
  <c r="K4116" i="22"/>
  <c r="F4116" i="22"/>
  <c r="O4116" i="22" s="1"/>
  <c r="K2358" i="22"/>
  <c r="F2358" i="22"/>
  <c r="O2358" i="22" s="1"/>
  <c r="K2304" i="22"/>
  <c r="F2304" i="22"/>
  <c r="O2304" i="22" s="1"/>
  <c r="K2088" i="22"/>
  <c r="F2088" i="22"/>
  <c r="O2088" i="22" s="1"/>
  <c r="K1548" i="22"/>
  <c r="F1548" i="22"/>
  <c r="O1548" i="22" s="1"/>
  <c r="K1062" i="22"/>
  <c r="F1062" i="22"/>
  <c r="O1062" i="22" s="1"/>
  <c r="K306" i="22"/>
  <c r="F306" i="22"/>
  <c r="O306" i="22" s="1"/>
  <c r="M1605" i="23"/>
  <c r="J1605" i="23"/>
  <c r="N1605" i="23" s="1"/>
  <c r="AE1605" i="23" s="1"/>
  <c r="D1605" i="23"/>
  <c r="P1605" i="23"/>
  <c r="Q1605" i="23"/>
  <c r="R1605" i="23"/>
  <c r="I1606" i="23"/>
  <c r="L1606" i="23"/>
  <c r="C1606" i="23"/>
  <c r="K1606" i="23" s="1"/>
  <c r="E1606" i="23"/>
  <c r="F1606" i="23"/>
  <c r="O1606" i="23" s="1"/>
  <c r="G1606" i="23"/>
  <c r="B1607" i="23"/>
  <c r="M1549" i="23"/>
  <c r="J1549" i="23"/>
  <c r="N1549" i="23" s="1"/>
  <c r="AE1549" i="23" s="1"/>
  <c r="D1549" i="23"/>
  <c r="P1549" i="23"/>
  <c r="Q1549" i="23"/>
  <c r="R1549" i="23"/>
  <c r="L1550" i="23"/>
  <c r="I1550" i="23"/>
  <c r="C1550" i="23"/>
  <c r="K1550" i="23" s="1"/>
  <c r="E1550" i="23"/>
  <c r="F1550" i="23"/>
  <c r="O1550" i="23" s="1"/>
  <c r="G1550" i="23"/>
  <c r="B1551" i="23"/>
  <c r="J1493" i="23"/>
  <c r="D1493" i="23"/>
  <c r="P1493" i="23"/>
  <c r="Q1493" i="23"/>
  <c r="R1493" i="23"/>
  <c r="L1494" i="23"/>
  <c r="I1494" i="23"/>
  <c r="C1494" i="23"/>
  <c r="E1494" i="23"/>
  <c r="G1494" i="23"/>
  <c r="B1495" i="23"/>
  <c r="J1437" i="23"/>
  <c r="D1437" i="23"/>
  <c r="P1437" i="23"/>
  <c r="Q1437" i="23"/>
  <c r="R1437" i="23"/>
  <c r="L1438" i="23"/>
  <c r="I1438" i="23"/>
  <c r="C1438" i="23"/>
  <c r="E1438" i="23"/>
  <c r="G1438" i="23"/>
  <c r="B1439" i="23"/>
  <c r="M1381" i="23"/>
  <c r="J1381" i="23"/>
  <c r="N1381" i="23" s="1"/>
  <c r="AE1381" i="23" s="1"/>
  <c r="D1381" i="23"/>
  <c r="P1381" i="23"/>
  <c r="Q1381" i="23"/>
  <c r="R1381" i="23"/>
  <c r="L1382" i="23"/>
  <c r="I1382" i="23"/>
  <c r="E1382" i="23"/>
  <c r="C1382" i="23"/>
  <c r="G1382" i="23"/>
  <c r="B1383" i="23"/>
  <c r="M1325" i="23"/>
  <c r="J1325" i="23"/>
  <c r="N1325" i="23" s="1"/>
  <c r="AE1325" i="23" s="1"/>
  <c r="D1325" i="23"/>
  <c r="P1325" i="23"/>
  <c r="Q1325" i="23"/>
  <c r="R1325" i="23"/>
  <c r="L1326" i="23"/>
  <c r="I1326" i="23"/>
  <c r="C1326" i="23"/>
  <c r="K1326" i="23" s="1"/>
  <c r="E1326" i="23"/>
  <c r="F1326" i="23"/>
  <c r="O1326" i="23" s="1"/>
  <c r="G1326" i="23"/>
  <c r="B1327" i="23"/>
  <c r="J1269" i="23"/>
  <c r="D1269" i="23"/>
  <c r="P1269" i="23"/>
  <c r="Q1269" i="23"/>
  <c r="R1269" i="23"/>
  <c r="L1270" i="23"/>
  <c r="I1270" i="23"/>
  <c r="C1270" i="23"/>
  <c r="K1270" i="23" s="1"/>
  <c r="E1270" i="23"/>
  <c r="F1270" i="23"/>
  <c r="O1270" i="23" s="1"/>
  <c r="G1270" i="23"/>
  <c r="B1271" i="23"/>
  <c r="J1213" i="23"/>
  <c r="D1213" i="23"/>
  <c r="P1213" i="23"/>
  <c r="Q1213" i="23"/>
  <c r="R1213" i="23"/>
  <c r="L1214" i="23"/>
  <c r="I1214" i="23"/>
  <c r="C1214" i="23"/>
  <c r="E1214" i="23"/>
  <c r="G1214" i="23"/>
  <c r="B1215" i="23"/>
  <c r="M1157" i="23"/>
  <c r="J1157" i="23"/>
  <c r="N1157" i="23" s="1"/>
  <c r="AE1157" i="23" s="1"/>
  <c r="D1157" i="23"/>
  <c r="P1157" i="23"/>
  <c r="Q1157" i="23"/>
  <c r="R1157" i="23"/>
  <c r="L1158" i="23"/>
  <c r="I1158" i="23"/>
  <c r="C1158" i="23"/>
  <c r="K1158" i="23" s="1"/>
  <c r="E1158" i="23"/>
  <c r="F1158" i="23"/>
  <c r="O1158" i="23" s="1"/>
  <c r="G1158" i="23"/>
  <c r="B1159" i="23"/>
  <c r="M1101" i="23"/>
  <c r="J1101" i="23"/>
  <c r="N1101" i="23" s="1"/>
  <c r="AE1101" i="23" s="1"/>
  <c r="D1101" i="23"/>
  <c r="P1101" i="23"/>
  <c r="Q1101" i="23"/>
  <c r="R1101" i="23"/>
  <c r="L1102" i="23"/>
  <c r="I1102" i="23"/>
  <c r="C1102" i="23"/>
  <c r="K1102" i="23" s="1"/>
  <c r="E1102" i="23"/>
  <c r="F1102" i="23"/>
  <c r="O1102" i="23" s="1"/>
  <c r="G1102" i="23"/>
  <c r="B1103" i="23"/>
  <c r="P1045" i="23"/>
  <c r="Q1045" i="23"/>
  <c r="R1045" i="23"/>
  <c r="J1045" i="23"/>
  <c r="D1045" i="23"/>
  <c r="L1046" i="23"/>
  <c r="I1046" i="23"/>
  <c r="B1047" i="23"/>
  <c r="C1046" i="23"/>
  <c r="E1046" i="23"/>
  <c r="G1046" i="23"/>
  <c r="M989" i="23"/>
  <c r="J989" i="23"/>
  <c r="N989" i="23" s="1"/>
  <c r="AE989" i="23" s="1"/>
  <c r="D989" i="23"/>
  <c r="P989" i="23"/>
  <c r="Q989" i="23"/>
  <c r="R989" i="23"/>
  <c r="L990" i="23"/>
  <c r="I990" i="23"/>
  <c r="C990" i="23"/>
  <c r="K990" i="23" s="1"/>
  <c r="E990" i="23"/>
  <c r="F990" i="23"/>
  <c r="O990" i="23" s="1"/>
  <c r="G990" i="23"/>
  <c r="B991" i="23"/>
  <c r="M933" i="23"/>
  <c r="J933" i="23"/>
  <c r="N933" i="23" s="1"/>
  <c r="AE933" i="23" s="1"/>
  <c r="D933" i="23"/>
  <c r="Q933" i="23"/>
  <c r="P933" i="23"/>
  <c r="R933" i="23"/>
  <c r="L934" i="23"/>
  <c r="I934" i="23"/>
  <c r="C934" i="23"/>
  <c r="K934" i="23" s="1"/>
  <c r="E934" i="23"/>
  <c r="F934" i="23"/>
  <c r="O934" i="23" s="1"/>
  <c r="G934" i="23"/>
  <c r="B935" i="23"/>
  <c r="M877" i="23"/>
  <c r="J877" i="23"/>
  <c r="N877" i="23" s="1"/>
  <c r="AE877" i="23" s="1"/>
  <c r="D877" i="23"/>
  <c r="P877" i="23"/>
  <c r="Q877" i="23"/>
  <c r="R877" i="23"/>
  <c r="L878" i="23"/>
  <c r="I878" i="23"/>
  <c r="C878" i="23"/>
  <c r="K878" i="23" s="1"/>
  <c r="E878" i="23"/>
  <c r="F878" i="23"/>
  <c r="O878" i="23" s="1"/>
  <c r="G878" i="23"/>
  <c r="B879" i="23"/>
  <c r="J821" i="23"/>
  <c r="D821" i="23"/>
  <c r="P821" i="23"/>
  <c r="Q821" i="23"/>
  <c r="R821" i="23"/>
  <c r="L822" i="23"/>
  <c r="I822" i="23"/>
  <c r="C822" i="23"/>
  <c r="K822" i="23" s="1"/>
  <c r="E822" i="23"/>
  <c r="F822" i="23"/>
  <c r="O822" i="23" s="1"/>
  <c r="G822" i="23"/>
  <c r="B823" i="23"/>
  <c r="M765" i="23"/>
  <c r="J765" i="23"/>
  <c r="N765" i="23" s="1"/>
  <c r="AE765" i="23" s="1"/>
  <c r="D765" i="23"/>
  <c r="P765" i="23"/>
  <c r="Q765" i="23"/>
  <c r="R765" i="23"/>
  <c r="L766" i="23"/>
  <c r="I766" i="23"/>
  <c r="C766" i="23"/>
  <c r="K766" i="23" s="1"/>
  <c r="E766" i="23"/>
  <c r="F766" i="23"/>
  <c r="O766" i="23" s="1"/>
  <c r="G766" i="23"/>
  <c r="B767" i="23"/>
  <c r="M709" i="23"/>
  <c r="J709" i="23"/>
  <c r="N709" i="23" s="1"/>
  <c r="AE709" i="23" s="1"/>
  <c r="D709" i="23"/>
  <c r="P709" i="23"/>
  <c r="Q709" i="23"/>
  <c r="R709" i="23"/>
  <c r="L710" i="23"/>
  <c r="I710" i="23"/>
  <c r="C710" i="23"/>
  <c r="K710" i="23" s="1"/>
  <c r="E710" i="23"/>
  <c r="F710" i="23"/>
  <c r="O710" i="23" s="1"/>
  <c r="G710" i="23"/>
  <c r="B711" i="23"/>
  <c r="M653" i="23"/>
  <c r="J653" i="23"/>
  <c r="N653" i="23" s="1"/>
  <c r="AE653" i="23" s="1"/>
  <c r="D653" i="23"/>
  <c r="P653" i="23"/>
  <c r="Q653" i="23"/>
  <c r="R653" i="23"/>
  <c r="L654" i="23"/>
  <c r="I654" i="23"/>
  <c r="C654" i="23"/>
  <c r="K654" i="23" s="1"/>
  <c r="E654" i="23"/>
  <c r="F654" i="23"/>
  <c r="O654" i="23" s="1"/>
  <c r="G654" i="23"/>
  <c r="B655" i="23"/>
  <c r="M597" i="23"/>
  <c r="J597" i="23"/>
  <c r="N597" i="23" s="1"/>
  <c r="AE597" i="23" s="1"/>
  <c r="D597" i="23"/>
  <c r="P597" i="23"/>
  <c r="Q597" i="23"/>
  <c r="R597" i="23"/>
  <c r="L598" i="23"/>
  <c r="I598" i="23"/>
  <c r="C598" i="23"/>
  <c r="K598" i="23" s="1"/>
  <c r="E598" i="23"/>
  <c r="F598" i="23"/>
  <c r="O598" i="23" s="1"/>
  <c r="G598" i="23"/>
  <c r="B599" i="23"/>
  <c r="J541" i="23"/>
  <c r="D541" i="23"/>
  <c r="P541" i="23"/>
  <c r="Q541" i="23"/>
  <c r="R541" i="23"/>
  <c r="L542" i="23"/>
  <c r="I542" i="23"/>
  <c r="C542" i="23"/>
  <c r="K542" i="23" s="1"/>
  <c r="E542" i="23"/>
  <c r="F542" i="23"/>
  <c r="O542" i="23" s="1"/>
  <c r="G542" i="23"/>
  <c r="B543" i="23"/>
  <c r="M485" i="23"/>
  <c r="J485" i="23"/>
  <c r="N485" i="23" s="1"/>
  <c r="AE485" i="23" s="1"/>
  <c r="D485" i="23"/>
  <c r="P485" i="23"/>
  <c r="Q485" i="23"/>
  <c r="R485" i="23"/>
  <c r="L486" i="23"/>
  <c r="I486" i="23"/>
  <c r="B487" i="23"/>
  <c r="C486" i="23"/>
  <c r="K486" i="23" s="1"/>
  <c r="E486" i="23"/>
  <c r="G486" i="23"/>
  <c r="F486" i="23"/>
  <c r="O486" i="23" s="1"/>
  <c r="M429" i="23"/>
  <c r="J429" i="23"/>
  <c r="N429" i="23" s="1"/>
  <c r="AE429" i="23" s="1"/>
  <c r="D429" i="23"/>
  <c r="P429" i="23"/>
  <c r="Q429" i="23"/>
  <c r="R429" i="23"/>
  <c r="L430" i="23"/>
  <c r="I430" i="23"/>
  <c r="E430" i="23"/>
  <c r="B431" i="23"/>
  <c r="C430" i="23"/>
  <c r="G430" i="23"/>
  <c r="M373" i="23"/>
  <c r="J373" i="23"/>
  <c r="N373" i="23" s="1"/>
  <c r="AE373" i="23" s="1"/>
  <c r="D373" i="23"/>
  <c r="P373" i="23"/>
  <c r="Q373" i="23"/>
  <c r="R373" i="23"/>
  <c r="L374" i="23"/>
  <c r="I374" i="23"/>
  <c r="C374" i="23"/>
  <c r="E374" i="23"/>
  <c r="G374" i="23"/>
  <c r="B375" i="23"/>
  <c r="M317" i="23"/>
  <c r="J317" i="23"/>
  <c r="N317" i="23" s="1"/>
  <c r="AE317" i="23" s="1"/>
  <c r="D317" i="23"/>
  <c r="P317" i="23"/>
  <c r="Q317" i="23"/>
  <c r="R317" i="23"/>
  <c r="L318" i="23"/>
  <c r="I318" i="23"/>
  <c r="C318" i="23"/>
  <c r="K318" i="23" s="1"/>
  <c r="E318" i="23"/>
  <c r="F318" i="23"/>
  <c r="O318" i="23" s="1"/>
  <c r="G318" i="23"/>
  <c r="B319" i="23"/>
  <c r="M261" i="23"/>
  <c r="J261" i="23"/>
  <c r="N261" i="23" s="1"/>
  <c r="AE261" i="23" s="1"/>
  <c r="D261" i="23"/>
  <c r="P261" i="23"/>
  <c r="Q261" i="23"/>
  <c r="R261" i="23"/>
  <c r="L262" i="23"/>
  <c r="I262" i="23"/>
  <c r="C262" i="23"/>
  <c r="K262" i="23" s="1"/>
  <c r="E262" i="23"/>
  <c r="F262" i="23"/>
  <c r="O262" i="23" s="1"/>
  <c r="G262" i="23"/>
  <c r="B263" i="23"/>
  <c r="D4740" i="22"/>
  <c r="J4740" i="22"/>
  <c r="P4740" i="22"/>
  <c r="Q4740" i="22"/>
  <c r="R4740" i="22"/>
  <c r="M4740" i="22"/>
  <c r="N4740" i="22"/>
  <c r="C4741" i="22"/>
  <c r="E4741" i="22"/>
  <c r="F4741" i="22"/>
  <c r="G4741" i="22"/>
  <c r="I4741" i="22"/>
  <c r="K4741" i="22"/>
  <c r="L4741" i="22"/>
  <c r="B4742" i="22"/>
  <c r="S4685" i="22"/>
  <c r="U4685" i="22"/>
  <c r="M4686" i="22"/>
  <c r="D4686" i="22"/>
  <c r="J4686" i="22"/>
  <c r="N4686" i="22" s="1"/>
  <c r="P4686" i="22"/>
  <c r="Q4686" i="22"/>
  <c r="R4686" i="22"/>
  <c r="L4687" i="22"/>
  <c r="C4687" i="22"/>
  <c r="E4687" i="22"/>
  <c r="G4687" i="22"/>
  <c r="I4687" i="22"/>
  <c r="B4688" i="22"/>
  <c r="P4632" i="22"/>
  <c r="Q4632" i="22"/>
  <c r="R4632" i="22"/>
  <c r="C4633" i="22"/>
  <c r="E4633" i="22"/>
  <c r="G4633" i="22"/>
  <c r="B4634" i="22"/>
  <c r="M4578" i="22"/>
  <c r="J4578" i="22"/>
  <c r="N4578" i="22" s="1"/>
  <c r="D4578" i="22"/>
  <c r="P4578" i="22"/>
  <c r="Q4578" i="22"/>
  <c r="R4578" i="22"/>
  <c r="I4579" i="22"/>
  <c r="L4579" i="22"/>
  <c r="C4579" i="22"/>
  <c r="K4579" i="22" s="1"/>
  <c r="E4579" i="22"/>
  <c r="F4579" i="22"/>
  <c r="G4579" i="22"/>
  <c r="B4580" i="22"/>
  <c r="M4524" i="22"/>
  <c r="D4524" i="22"/>
  <c r="J4524" i="22"/>
  <c r="N4524" i="22" s="1"/>
  <c r="P4524" i="22"/>
  <c r="Q4524" i="22"/>
  <c r="R4524" i="22"/>
  <c r="L4525" i="22"/>
  <c r="C4525" i="22"/>
  <c r="E4525" i="22"/>
  <c r="G4525" i="22"/>
  <c r="I4525" i="22"/>
  <c r="B4526" i="22"/>
  <c r="M4224" i="22"/>
  <c r="D4224" i="22"/>
  <c r="J4224" i="22"/>
  <c r="N4224" i="22" s="1"/>
  <c r="U4224" i="22" s="1"/>
  <c r="P4224" i="22"/>
  <c r="Q4224" i="22"/>
  <c r="R4224" i="22"/>
  <c r="L4225" i="22"/>
  <c r="C4225" i="22"/>
  <c r="K4225" i="22" s="1"/>
  <c r="E4225" i="22"/>
  <c r="F4225" i="22"/>
  <c r="O4225" i="22" s="1"/>
  <c r="G4225" i="22"/>
  <c r="I4225" i="22"/>
  <c r="B4226" i="22"/>
  <c r="M4170" i="22"/>
  <c r="D4170" i="22"/>
  <c r="J4170" i="22"/>
  <c r="N4170" i="22" s="1"/>
  <c r="U4170" i="22" s="1"/>
  <c r="P4170" i="22"/>
  <c r="Q4170" i="22"/>
  <c r="R4170" i="22"/>
  <c r="L4171" i="22"/>
  <c r="C4171" i="22"/>
  <c r="E4171" i="22"/>
  <c r="G4171" i="22"/>
  <c r="I4171" i="22"/>
  <c r="B4172" i="22"/>
  <c r="M4116" i="22"/>
  <c r="D4116" i="22"/>
  <c r="J4116" i="22"/>
  <c r="N4116" i="22" s="1"/>
  <c r="U4116" i="22" s="1"/>
  <c r="P4116" i="22"/>
  <c r="Q4116" i="22"/>
  <c r="R4116" i="22"/>
  <c r="L4117" i="22"/>
  <c r="C4117" i="22"/>
  <c r="K4117" i="22" s="1"/>
  <c r="E4117" i="22"/>
  <c r="F4117" i="22"/>
  <c r="O4117" i="22" s="1"/>
  <c r="G4117" i="22"/>
  <c r="I4117" i="22"/>
  <c r="B4118" i="22"/>
  <c r="M4062" i="22"/>
  <c r="D4062" i="22"/>
  <c r="J4062" i="22"/>
  <c r="N4062" i="22" s="1"/>
  <c r="U4062" i="22" s="1"/>
  <c r="P4062" i="22"/>
  <c r="Q4062" i="22"/>
  <c r="R4062" i="22"/>
  <c r="L4063" i="22"/>
  <c r="C4063" i="22"/>
  <c r="K4063" i="22" s="1"/>
  <c r="E4063" i="22"/>
  <c r="F4063" i="22"/>
  <c r="O4063" i="22" s="1"/>
  <c r="G4063" i="22"/>
  <c r="I4063" i="22"/>
  <c r="B4064" i="22"/>
  <c r="M3762" i="22"/>
  <c r="D3762" i="22"/>
  <c r="J3762" i="22"/>
  <c r="N3762" i="22" s="1"/>
  <c r="U3762" i="22" s="1"/>
  <c r="P3762" i="22"/>
  <c r="Q3762" i="22"/>
  <c r="R3762" i="22"/>
  <c r="L3763" i="22"/>
  <c r="C3763" i="22"/>
  <c r="K3763" i="22" s="1"/>
  <c r="E3763" i="22"/>
  <c r="F3763" i="22"/>
  <c r="O3763" i="22" s="1"/>
  <c r="G3763" i="22"/>
  <c r="I3763" i="22"/>
  <c r="B3764" i="22"/>
  <c r="D3708" i="22"/>
  <c r="J3708" i="22"/>
  <c r="P3708" i="22"/>
  <c r="Q3708" i="22"/>
  <c r="R3708" i="22"/>
  <c r="L3709" i="22"/>
  <c r="C3709" i="22"/>
  <c r="K3709" i="22" s="1"/>
  <c r="E3709" i="22"/>
  <c r="F3709" i="22"/>
  <c r="O3709" i="22" s="1"/>
  <c r="G3709" i="22"/>
  <c r="I3709" i="22"/>
  <c r="B3710" i="22"/>
  <c r="M3654" i="22"/>
  <c r="D3654" i="22"/>
  <c r="J3654" i="22"/>
  <c r="N3654" i="22" s="1"/>
  <c r="U3654" i="22" s="1"/>
  <c r="P3654" i="22"/>
  <c r="Q3654" i="22"/>
  <c r="R3654" i="22"/>
  <c r="L3655" i="22"/>
  <c r="C3655" i="22"/>
  <c r="E3655" i="22"/>
  <c r="G3655" i="22"/>
  <c r="I3655" i="22"/>
  <c r="B3656" i="22"/>
  <c r="M3600" i="22"/>
  <c r="D3600" i="22"/>
  <c r="J3600" i="22"/>
  <c r="N3600" i="22" s="1"/>
  <c r="U3600" i="22" s="1"/>
  <c r="P3600" i="22"/>
  <c r="Q3600" i="22"/>
  <c r="R3600" i="22"/>
  <c r="L3601" i="22"/>
  <c r="C3601" i="22"/>
  <c r="K3601" i="22" s="1"/>
  <c r="E3601" i="22"/>
  <c r="F3601" i="22"/>
  <c r="O3601" i="22" s="1"/>
  <c r="G3601" i="22"/>
  <c r="I3601" i="22"/>
  <c r="B3602" i="22"/>
  <c r="M3546" i="22"/>
  <c r="P3546" i="22"/>
  <c r="Q3546" i="22"/>
  <c r="R3546" i="22"/>
  <c r="L3547" i="22"/>
  <c r="C3547" i="22"/>
  <c r="K3547" i="22" s="1"/>
  <c r="F3547" i="22"/>
  <c r="O3547" i="22" s="1"/>
  <c r="G3547" i="22"/>
  <c r="B3548" i="22"/>
  <c r="E3547" i="22"/>
  <c r="I3547" i="22"/>
  <c r="D3546" i="22"/>
  <c r="J3546" i="22"/>
  <c r="N3546" i="22" s="1"/>
  <c r="U3546" i="22" s="1"/>
  <c r="M3492" i="22"/>
  <c r="D3492" i="22"/>
  <c r="J3492" i="22"/>
  <c r="N3492" i="22" s="1"/>
  <c r="U3492" i="22" s="1"/>
  <c r="P3492" i="22"/>
  <c r="Q3492" i="22"/>
  <c r="R3492" i="22"/>
  <c r="L3493" i="22"/>
  <c r="C3493" i="22"/>
  <c r="K3493" i="22" s="1"/>
  <c r="E3493" i="22"/>
  <c r="F3493" i="22"/>
  <c r="O3493" i="22" s="1"/>
  <c r="G3493" i="22"/>
  <c r="I3493" i="22"/>
  <c r="B3494" i="22"/>
  <c r="M3438" i="22"/>
  <c r="D3438" i="22"/>
  <c r="J3438" i="22"/>
  <c r="N3438" i="22" s="1"/>
  <c r="U3438" i="22" s="1"/>
  <c r="P3438" i="22"/>
  <c r="Q3438" i="22"/>
  <c r="R3438" i="22"/>
  <c r="L3439" i="22"/>
  <c r="C3439" i="22"/>
  <c r="E3439" i="22"/>
  <c r="G3439" i="22"/>
  <c r="I3439" i="22"/>
  <c r="B3440" i="22"/>
  <c r="M3384" i="22"/>
  <c r="D3384" i="22"/>
  <c r="J3384" i="22"/>
  <c r="N3384" i="22" s="1"/>
  <c r="U3384" i="22" s="1"/>
  <c r="P3384" i="22"/>
  <c r="Q3384" i="22"/>
  <c r="R3384" i="22"/>
  <c r="L3385" i="22"/>
  <c r="C3385" i="22"/>
  <c r="E3385" i="22"/>
  <c r="G3385" i="22"/>
  <c r="I3385" i="22"/>
  <c r="B3386" i="22"/>
  <c r="M3330" i="22"/>
  <c r="D3330" i="22"/>
  <c r="J3330" i="22"/>
  <c r="N3330" i="22" s="1"/>
  <c r="U3330" i="22" s="1"/>
  <c r="P3330" i="22"/>
  <c r="Q3330" i="22"/>
  <c r="R3330" i="22"/>
  <c r="L3331" i="22"/>
  <c r="C3331" i="22"/>
  <c r="K3331" i="22" s="1"/>
  <c r="E3331" i="22"/>
  <c r="F3331" i="22"/>
  <c r="O3331" i="22" s="1"/>
  <c r="G3331" i="22"/>
  <c r="I3331" i="22"/>
  <c r="B3332" i="22"/>
  <c r="M3276" i="22"/>
  <c r="D3276" i="22"/>
  <c r="J3276" i="22"/>
  <c r="N3276" i="22" s="1"/>
  <c r="U3276" i="22" s="1"/>
  <c r="P3276" i="22"/>
  <c r="Q3276" i="22"/>
  <c r="R3276" i="22"/>
  <c r="L3277" i="22"/>
  <c r="C3277" i="22"/>
  <c r="K3277" i="22" s="1"/>
  <c r="E3277" i="22"/>
  <c r="F3277" i="22"/>
  <c r="O3277" i="22" s="1"/>
  <c r="G3277" i="22"/>
  <c r="I3277" i="22"/>
  <c r="B3278" i="22"/>
  <c r="M3222" i="22"/>
  <c r="D3222" i="22"/>
  <c r="J3222" i="22"/>
  <c r="N3222" i="22" s="1"/>
  <c r="U3222" i="22" s="1"/>
  <c r="P3222" i="22"/>
  <c r="Q3222" i="22"/>
  <c r="R3222" i="22"/>
  <c r="L3223" i="22"/>
  <c r="C3223" i="22"/>
  <c r="K3223" i="22" s="1"/>
  <c r="E3223" i="22"/>
  <c r="F3223" i="22"/>
  <c r="O3223" i="22" s="1"/>
  <c r="G3223" i="22"/>
  <c r="I3223" i="22"/>
  <c r="B3224" i="22"/>
  <c r="M3168" i="22"/>
  <c r="D3168" i="22"/>
  <c r="J3168" i="22"/>
  <c r="N3168" i="22" s="1"/>
  <c r="U3168" i="22" s="1"/>
  <c r="P3168" i="22"/>
  <c r="Q3168" i="22"/>
  <c r="R3168" i="22"/>
  <c r="L3169" i="22"/>
  <c r="C3169" i="22"/>
  <c r="E3169" i="22"/>
  <c r="G3169" i="22"/>
  <c r="I3169" i="22"/>
  <c r="B3170" i="22"/>
  <c r="P3114" i="22"/>
  <c r="Q3114" i="22"/>
  <c r="R3114" i="22"/>
  <c r="J3114" i="22"/>
  <c r="D3114" i="22"/>
  <c r="L3115" i="22"/>
  <c r="C3115" i="22"/>
  <c r="E3115" i="22"/>
  <c r="G3115" i="22"/>
  <c r="I3115" i="22"/>
  <c r="B3116" i="22"/>
  <c r="P3060" i="22"/>
  <c r="Q3060" i="22"/>
  <c r="R3060" i="22"/>
  <c r="L3061" i="22"/>
  <c r="E3061" i="22"/>
  <c r="G3061" i="22"/>
  <c r="C3061" i="22"/>
  <c r="I3061" i="22"/>
  <c r="B3062" i="22"/>
  <c r="D3060" i="22"/>
  <c r="J3060" i="22"/>
  <c r="L3007" i="22"/>
  <c r="I3007" i="22"/>
  <c r="C3007" i="22"/>
  <c r="E3007" i="22"/>
  <c r="G3007" i="22"/>
  <c r="B3008" i="22"/>
  <c r="J3006" i="22"/>
  <c r="D3006" i="22"/>
  <c r="P3006" i="22"/>
  <c r="Q3006" i="22"/>
  <c r="R3006" i="22"/>
  <c r="L2953" i="22"/>
  <c r="C2953" i="22"/>
  <c r="E2953" i="22"/>
  <c r="G2953" i="22"/>
  <c r="B2954" i="22"/>
  <c r="I2953" i="22"/>
  <c r="J2952" i="22"/>
  <c r="D2952" i="22"/>
  <c r="P2952" i="22"/>
  <c r="Q2952" i="22"/>
  <c r="R2952" i="22"/>
  <c r="M2898" i="22"/>
  <c r="J2898" i="22"/>
  <c r="N2898" i="22" s="1"/>
  <c r="U2898" i="22" s="1"/>
  <c r="D2898" i="22"/>
  <c r="L2899" i="22"/>
  <c r="B2900" i="22"/>
  <c r="C2899" i="22"/>
  <c r="K2899" i="22" s="1"/>
  <c r="F2899" i="22"/>
  <c r="O2899" i="22" s="1"/>
  <c r="I2899" i="22"/>
  <c r="G2899" i="22"/>
  <c r="E2899" i="22"/>
  <c r="P2898" i="22"/>
  <c r="Q2898" i="22"/>
  <c r="R2898" i="22"/>
  <c r="M2844" i="22"/>
  <c r="D2844" i="22"/>
  <c r="J2844" i="22"/>
  <c r="N2844" i="22" s="1"/>
  <c r="U2844" i="22" s="1"/>
  <c r="P2844" i="22"/>
  <c r="Q2844" i="22"/>
  <c r="R2844" i="22"/>
  <c r="L2845" i="22"/>
  <c r="C2845" i="22"/>
  <c r="K2845" i="22" s="1"/>
  <c r="E2845" i="22"/>
  <c r="F2845" i="22"/>
  <c r="O2845" i="22" s="1"/>
  <c r="G2845" i="22"/>
  <c r="I2845" i="22"/>
  <c r="B2846" i="22"/>
  <c r="M2790" i="22"/>
  <c r="D2790" i="22"/>
  <c r="J2790" i="22"/>
  <c r="N2790" i="22" s="1"/>
  <c r="S2790" i="22" s="1"/>
  <c r="T2790" i="22" s="1"/>
  <c r="U2790" i="22" s="1"/>
  <c r="Q2790" i="22"/>
  <c r="P2790" i="22"/>
  <c r="R2790" i="22"/>
  <c r="L2791" i="22"/>
  <c r="C2791" i="22"/>
  <c r="K2791" i="22" s="1"/>
  <c r="E2791" i="22"/>
  <c r="F2791" i="22"/>
  <c r="O2791" i="22" s="1"/>
  <c r="G2791" i="22"/>
  <c r="I2791" i="22"/>
  <c r="B2792" i="22"/>
  <c r="M2736" i="22"/>
  <c r="D2736" i="22"/>
  <c r="J2736" i="22"/>
  <c r="N2736" i="22" s="1"/>
  <c r="U2736" i="22" s="1"/>
  <c r="P2736" i="22"/>
  <c r="Q2736" i="22"/>
  <c r="R2736" i="22"/>
  <c r="L2737" i="22"/>
  <c r="C2737" i="22"/>
  <c r="E2737" i="22"/>
  <c r="G2737" i="22"/>
  <c r="I2737" i="22"/>
  <c r="B2738" i="22"/>
  <c r="M2682" i="22"/>
  <c r="D2682" i="22"/>
  <c r="J2682" i="22"/>
  <c r="N2682" i="22" s="1"/>
  <c r="U2682" i="22" s="1"/>
  <c r="P2682" i="22"/>
  <c r="Q2682" i="22"/>
  <c r="R2682" i="22"/>
  <c r="L2683" i="22"/>
  <c r="C2683" i="22"/>
  <c r="E2683" i="22"/>
  <c r="G2683" i="22"/>
  <c r="I2683" i="22"/>
  <c r="B2684" i="22"/>
  <c r="M2628" i="22"/>
  <c r="D2628" i="22"/>
  <c r="J2628" i="22"/>
  <c r="N2628" i="22" s="1"/>
  <c r="U2628" i="22" s="1"/>
  <c r="P2628" i="22"/>
  <c r="Q2628" i="22"/>
  <c r="R2628" i="22"/>
  <c r="L2629" i="22"/>
  <c r="C2629" i="22"/>
  <c r="K2629" i="22" s="1"/>
  <c r="E2629" i="22"/>
  <c r="F2629" i="22"/>
  <c r="O2629" i="22" s="1"/>
  <c r="G2629" i="22"/>
  <c r="I2629" i="22"/>
  <c r="B2630" i="22"/>
  <c r="M2574" i="22"/>
  <c r="D2574" i="22"/>
  <c r="J2574" i="22"/>
  <c r="N2574" i="22" s="1"/>
  <c r="U2574" i="22" s="1"/>
  <c r="P2574" i="22"/>
  <c r="Q2574" i="22"/>
  <c r="R2574" i="22"/>
  <c r="L2575" i="22"/>
  <c r="C2575" i="22"/>
  <c r="K2575" i="22" s="1"/>
  <c r="E2575" i="22"/>
  <c r="F2575" i="22"/>
  <c r="O2575" i="22" s="1"/>
  <c r="G2575" i="22"/>
  <c r="I2575" i="22"/>
  <c r="B2576" i="22"/>
  <c r="D2520" i="22"/>
  <c r="J2520" i="22"/>
  <c r="P2520" i="22"/>
  <c r="Q2520" i="22"/>
  <c r="R2520" i="22"/>
  <c r="L2521" i="22"/>
  <c r="C2521" i="22"/>
  <c r="K2521" i="22" s="1"/>
  <c r="E2521" i="22"/>
  <c r="F2521" i="22"/>
  <c r="O2521" i="22" s="1"/>
  <c r="G2521" i="22"/>
  <c r="I2521" i="22"/>
  <c r="B2522" i="22"/>
  <c r="M2466" i="22"/>
  <c r="D2466" i="22"/>
  <c r="J2466" i="22"/>
  <c r="N2466" i="22" s="1"/>
  <c r="U2466" i="22" s="1"/>
  <c r="P2466" i="22"/>
  <c r="Q2466" i="22"/>
  <c r="R2466" i="22"/>
  <c r="L2467" i="22"/>
  <c r="C2467" i="22"/>
  <c r="K2467" i="22" s="1"/>
  <c r="E2467" i="22"/>
  <c r="F2467" i="22"/>
  <c r="O2467" i="22" s="1"/>
  <c r="G2467" i="22"/>
  <c r="I2467" i="22"/>
  <c r="B2468" i="22"/>
  <c r="M2412" i="22"/>
  <c r="D2412" i="22"/>
  <c r="J2412" i="22"/>
  <c r="N2412" i="22" s="1"/>
  <c r="U2412" i="22" s="1"/>
  <c r="P2412" i="22"/>
  <c r="Q2412" i="22"/>
  <c r="R2412" i="22"/>
  <c r="L2413" i="22"/>
  <c r="C2413" i="22"/>
  <c r="K2413" i="22" s="1"/>
  <c r="E2413" i="22"/>
  <c r="F2413" i="22"/>
  <c r="O2413" i="22" s="1"/>
  <c r="G2413" i="22"/>
  <c r="I2413" i="22"/>
  <c r="B2414" i="22"/>
  <c r="M2358" i="22"/>
  <c r="D2358" i="22"/>
  <c r="J2358" i="22"/>
  <c r="N2358" i="22" s="1"/>
  <c r="U2358" i="22" s="1"/>
  <c r="P2358" i="22"/>
  <c r="Q2358" i="22"/>
  <c r="R2358" i="22"/>
  <c r="L2359" i="22"/>
  <c r="C2359" i="22"/>
  <c r="K2359" i="22" s="1"/>
  <c r="E2359" i="22"/>
  <c r="F2359" i="22"/>
  <c r="O2359" i="22" s="1"/>
  <c r="G2359" i="22"/>
  <c r="I2359" i="22"/>
  <c r="B2360" i="22"/>
  <c r="M2304" i="22"/>
  <c r="D2304" i="22"/>
  <c r="J2304" i="22"/>
  <c r="N2304" i="22" s="1"/>
  <c r="U2304" i="22" s="1"/>
  <c r="P2304" i="22"/>
  <c r="Q2304" i="22"/>
  <c r="R2304" i="22"/>
  <c r="L2305" i="22"/>
  <c r="C2305" i="22"/>
  <c r="K2305" i="22" s="1"/>
  <c r="E2305" i="22"/>
  <c r="F2305" i="22"/>
  <c r="O2305" i="22" s="1"/>
  <c r="G2305" i="22"/>
  <c r="I2305" i="22"/>
  <c r="B2306" i="22"/>
  <c r="M2250" i="22"/>
  <c r="D2250" i="22"/>
  <c r="J2250" i="22"/>
  <c r="N2250" i="22" s="1"/>
  <c r="U2250" i="22" s="1"/>
  <c r="P2250" i="22"/>
  <c r="Q2250" i="22"/>
  <c r="R2250" i="22"/>
  <c r="L2251" i="22"/>
  <c r="C2251" i="22"/>
  <c r="K2251" i="22" s="1"/>
  <c r="E2251" i="22"/>
  <c r="F2251" i="22"/>
  <c r="O2251" i="22" s="1"/>
  <c r="G2251" i="22"/>
  <c r="I2251" i="22"/>
  <c r="B2252" i="22"/>
  <c r="M2196" i="22"/>
  <c r="D2196" i="22"/>
  <c r="J2196" i="22"/>
  <c r="N2196" i="22" s="1"/>
  <c r="U2196" i="22" s="1"/>
  <c r="P2196" i="22"/>
  <c r="Q2196" i="22"/>
  <c r="R2196" i="22"/>
  <c r="L2197" i="22"/>
  <c r="C2197" i="22"/>
  <c r="K2197" i="22" s="1"/>
  <c r="E2197" i="22"/>
  <c r="F2197" i="22"/>
  <c r="O2197" i="22" s="1"/>
  <c r="G2197" i="22"/>
  <c r="I2197" i="22"/>
  <c r="B2198" i="22"/>
  <c r="M2142" i="22"/>
  <c r="D2142" i="22"/>
  <c r="J2142" i="22"/>
  <c r="N2142" i="22" s="1"/>
  <c r="U2142" i="22" s="1"/>
  <c r="P2142" i="22"/>
  <c r="Q2142" i="22"/>
  <c r="R2142" i="22"/>
  <c r="L2143" i="22"/>
  <c r="C2143" i="22"/>
  <c r="K2143" i="22" s="1"/>
  <c r="E2143" i="22"/>
  <c r="F2143" i="22"/>
  <c r="O2143" i="22" s="1"/>
  <c r="G2143" i="22"/>
  <c r="I2143" i="22"/>
  <c r="B2144" i="22"/>
  <c r="M2088" i="22"/>
  <c r="D2088" i="22"/>
  <c r="J2088" i="22"/>
  <c r="N2088" i="22" s="1"/>
  <c r="U2088" i="22" s="1"/>
  <c r="P2088" i="22"/>
  <c r="Q2088" i="22"/>
  <c r="R2088" i="22"/>
  <c r="L2089" i="22"/>
  <c r="C2089" i="22"/>
  <c r="E2089" i="22"/>
  <c r="G2089" i="22"/>
  <c r="I2089" i="22"/>
  <c r="B2090" i="22"/>
  <c r="M2034" i="22"/>
  <c r="D2034" i="22"/>
  <c r="J2034" i="22"/>
  <c r="N2034" i="22" s="1"/>
  <c r="U2034" i="22" s="1"/>
  <c r="P2034" i="22"/>
  <c r="Q2034" i="22"/>
  <c r="R2034" i="22"/>
  <c r="L2035" i="22"/>
  <c r="C2035" i="22"/>
  <c r="K2035" i="22" s="1"/>
  <c r="E2035" i="22"/>
  <c r="F2035" i="22"/>
  <c r="O2035" i="22" s="1"/>
  <c r="G2035" i="22"/>
  <c r="I2035" i="22"/>
  <c r="B2036" i="22"/>
  <c r="M1980" i="22"/>
  <c r="D1980" i="22"/>
  <c r="J1980" i="22"/>
  <c r="N1980" i="22" s="1"/>
  <c r="U1980" i="22" s="1"/>
  <c r="P1980" i="22"/>
  <c r="Q1980" i="22"/>
  <c r="R1980" i="22"/>
  <c r="L1981" i="22"/>
  <c r="C1981" i="22"/>
  <c r="K1981" i="22" s="1"/>
  <c r="E1981" i="22"/>
  <c r="F1981" i="22"/>
  <c r="O1981" i="22" s="1"/>
  <c r="G1981" i="22"/>
  <c r="I1981" i="22"/>
  <c r="B1982" i="22"/>
  <c r="M1926" i="22"/>
  <c r="D1926" i="22"/>
  <c r="J1926" i="22"/>
  <c r="N1926" i="22" s="1"/>
  <c r="U1926" i="22" s="1"/>
  <c r="P1926" i="22"/>
  <c r="Q1926" i="22"/>
  <c r="R1926" i="22"/>
  <c r="L1927" i="22"/>
  <c r="C1927" i="22"/>
  <c r="K1927" i="22" s="1"/>
  <c r="E1927" i="22"/>
  <c r="F1927" i="22"/>
  <c r="O1927" i="22" s="1"/>
  <c r="G1927" i="22"/>
  <c r="I1927" i="22"/>
  <c r="B1928" i="22"/>
  <c r="M1872" i="22"/>
  <c r="D1872" i="22"/>
  <c r="J1872" i="22"/>
  <c r="N1872" i="22" s="1"/>
  <c r="U1872" i="22" s="1"/>
  <c r="P1872" i="22"/>
  <c r="Q1872" i="22"/>
  <c r="R1872" i="22"/>
  <c r="L1873" i="22"/>
  <c r="C1873" i="22"/>
  <c r="K1873" i="22" s="1"/>
  <c r="E1873" i="22"/>
  <c r="F1873" i="22"/>
  <c r="O1873" i="22" s="1"/>
  <c r="G1873" i="22"/>
  <c r="I1873" i="22"/>
  <c r="B1874" i="22"/>
  <c r="D1818" i="22"/>
  <c r="J1818" i="22"/>
  <c r="P1818" i="22"/>
  <c r="Q1818" i="22"/>
  <c r="R1818" i="22"/>
  <c r="L1819" i="22"/>
  <c r="C1819" i="22"/>
  <c r="K1819" i="22" s="1"/>
  <c r="E1819" i="22"/>
  <c r="F1819" i="22"/>
  <c r="O1819" i="22" s="1"/>
  <c r="G1819" i="22"/>
  <c r="I1819" i="22"/>
  <c r="B1820" i="22"/>
  <c r="M1764" i="22"/>
  <c r="D1764" i="22"/>
  <c r="J1764" i="22"/>
  <c r="N1764" i="22" s="1"/>
  <c r="U1764" i="22" s="1"/>
  <c r="P1764" i="22"/>
  <c r="Q1764" i="22"/>
  <c r="R1764" i="22"/>
  <c r="L1765" i="22"/>
  <c r="C1765" i="22"/>
  <c r="E1765" i="22"/>
  <c r="G1765" i="22"/>
  <c r="I1765" i="22"/>
  <c r="B1766" i="22"/>
  <c r="M1710" i="22"/>
  <c r="D1710" i="22"/>
  <c r="J1710" i="22"/>
  <c r="N1710" i="22" s="1"/>
  <c r="U1710" i="22" s="1"/>
  <c r="P1710" i="22"/>
  <c r="Q1710" i="22"/>
  <c r="R1710" i="22"/>
  <c r="L1711" i="22"/>
  <c r="C1711" i="22"/>
  <c r="K1711" i="22" s="1"/>
  <c r="E1711" i="22"/>
  <c r="F1711" i="22"/>
  <c r="O1711" i="22" s="1"/>
  <c r="G1711" i="22"/>
  <c r="I1711" i="22"/>
  <c r="B1712" i="22"/>
  <c r="M1656" i="22"/>
  <c r="D1656" i="22"/>
  <c r="J1656" i="22"/>
  <c r="N1656" i="22" s="1"/>
  <c r="U1656" i="22" s="1"/>
  <c r="P1656" i="22"/>
  <c r="Q1656" i="22"/>
  <c r="R1656" i="22"/>
  <c r="L1657" i="22"/>
  <c r="C1657" i="22"/>
  <c r="K1657" i="22" s="1"/>
  <c r="E1657" i="22"/>
  <c r="F1657" i="22"/>
  <c r="O1657" i="22" s="1"/>
  <c r="G1657" i="22"/>
  <c r="I1657" i="22"/>
  <c r="B1658" i="22"/>
  <c r="M1602" i="22"/>
  <c r="D1602" i="22"/>
  <c r="J1602" i="22"/>
  <c r="N1602" i="22" s="1"/>
  <c r="U1602" i="22" s="1"/>
  <c r="P1602" i="22"/>
  <c r="Q1602" i="22"/>
  <c r="R1602" i="22"/>
  <c r="L1603" i="22"/>
  <c r="C1603" i="22"/>
  <c r="K1603" i="22" s="1"/>
  <c r="E1603" i="22"/>
  <c r="F1603" i="22"/>
  <c r="O1603" i="22" s="1"/>
  <c r="G1603" i="22"/>
  <c r="I1603" i="22"/>
  <c r="B1604" i="22"/>
  <c r="M1548" i="22"/>
  <c r="D1548" i="22"/>
  <c r="J1548" i="22"/>
  <c r="N1548" i="22" s="1"/>
  <c r="U1548" i="22" s="1"/>
  <c r="P1548" i="22"/>
  <c r="Q1548" i="22"/>
  <c r="R1548" i="22"/>
  <c r="L1549" i="22"/>
  <c r="C1549" i="22"/>
  <c r="K1549" i="22" s="1"/>
  <c r="E1549" i="22"/>
  <c r="F1549" i="22"/>
  <c r="O1549" i="22" s="1"/>
  <c r="G1549" i="22"/>
  <c r="I1549" i="22"/>
  <c r="B1550" i="22"/>
  <c r="M1494" i="22"/>
  <c r="D1494" i="22"/>
  <c r="J1494" i="22"/>
  <c r="N1494" i="22" s="1"/>
  <c r="U1494" i="22" s="1"/>
  <c r="P1494" i="22"/>
  <c r="Q1494" i="22"/>
  <c r="R1494" i="22"/>
  <c r="L1495" i="22"/>
  <c r="C1495" i="22"/>
  <c r="E1495" i="22"/>
  <c r="G1495" i="22"/>
  <c r="I1495" i="22"/>
  <c r="B1496" i="22"/>
  <c r="M1440" i="22"/>
  <c r="D1440" i="22"/>
  <c r="J1440" i="22"/>
  <c r="N1440" i="22" s="1"/>
  <c r="U1440" i="22" s="1"/>
  <c r="P1440" i="22"/>
  <c r="Q1440" i="22"/>
  <c r="R1440" i="22"/>
  <c r="L1441" i="22"/>
  <c r="C1441" i="22"/>
  <c r="E1441" i="22"/>
  <c r="G1441" i="22"/>
  <c r="I1441" i="22"/>
  <c r="B1442" i="22"/>
  <c r="M1386" i="22"/>
  <c r="D1386" i="22"/>
  <c r="J1386" i="22"/>
  <c r="N1386" i="22" s="1"/>
  <c r="U1386" i="22" s="1"/>
  <c r="P1386" i="22"/>
  <c r="Q1386" i="22"/>
  <c r="R1386" i="22"/>
  <c r="L1387" i="22"/>
  <c r="C1387" i="22"/>
  <c r="K1387" i="22" s="1"/>
  <c r="E1387" i="22"/>
  <c r="F1387" i="22"/>
  <c r="O1387" i="22" s="1"/>
  <c r="G1387" i="22"/>
  <c r="I1387" i="22"/>
  <c r="B1388" i="22"/>
  <c r="M1332" i="22"/>
  <c r="D1332" i="22"/>
  <c r="J1332" i="22"/>
  <c r="N1332" i="22" s="1"/>
  <c r="U1332" i="22" s="1"/>
  <c r="P1332" i="22"/>
  <c r="Q1332" i="22"/>
  <c r="R1332" i="22"/>
  <c r="L1333" i="22"/>
  <c r="C1333" i="22"/>
  <c r="K1333" i="22" s="1"/>
  <c r="E1333" i="22"/>
  <c r="F1333" i="22"/>
  <c r="O1333" i="22" s="1"/>
  <c r="G1333" i="22"/>
  <c r="I1333" i="22"/>
  <c r="B1334" i="22"/>
  <c r="M1278" i="22"/>
  <c r="D1278" i="22"/>
  <c r="J1278" i="22"/>
  <c r="N1278" i="22" s="1"/>
  <c r="U1278" i="22" s="1"/>
  <c r="P1278" i="22"/>
  <c r="Q1278" i="22"/>
  <c r="R1278" i="22"/>
  <c r="L1279" i="22"/>
  <c r="C1279" i="22"/>
  <c r="K1279" i="22" s="1"/>
  <c r="E1279" i="22"/>
  <c r="F1279" i="22"/>
  <c r="O1279" i="22" s="1"/>
  <c r="G1279" i="22"/>
  <c r="I1279" i="22"/>
  <c r="B1280" i="22"/>
  <c r="M1224" i="22"/>
  <c r="D1224" i="22"/>
  <c r="J1224" i="22"/>
  <c r="N1224" i="22" s="1"/>
  <c r="U1224" i="22" s="1"/>
  <c r="P1224" i="22"/>
  <c r="Q1224" i="22"/>
  <c r="R1224" i="22"/>
  <c r="L1225" i="22"/>
  <c r="C1225" i="22"/>
  <c r="E1225" i="22"/>
  <c r="G1225" i="22"/>
  <c r="I1225" i="22"/>
  <c r="B1226" i="22"/>
  <c r="M1170" i="22"/>
  <c r="D1170" i="22"/>
  <c r="J1170" i="22"/>
  <c r="N1170" i="22" s="1"/>
  <c r="U1170" i="22" s="1"/>
  <c r="P1170" i="22"/>
  <c r="Q1170" i="22"/>
  <c r="R1170" i="22"/>
  <c r="L1171" i="22"/>
  <c r="C1171" i="22"/>
  <c r="E1171" i="22"/>
  <c r="G1171" i="22"/>
  <c r="I1171" i="22"/>
  <c r="B1172" i="22"/>
  <c r="M1116" i="22"/>
  <c r="D1116" i="22"/>
  <c r="J1116" i="22"/>
  <c r="N1116" i="22" s="1"/>
  <c r="U1116" i="22" s="1"/>
  <c r="P1116" i="22"/>
  <c r="Q1116" i="22"/>
  <c r="R1116" i="22"/>
  <c r="L1117" i="22"/>
  <c r="C1117" i="22"/>
  <c r="K1117" i="22" s="1"/>
  <c r="E1117" i="22"/>
  <c r="F1117" i="22"/>
  <c r="O1117" i="22" s="1"/>
  <c r="G1117" i="22"/>
  <c r="I1117" i="22"/>
  <c r="B1118" i="22"/>
  <c r="M1062" i="22"/>
  <c r="D1062" i="22"/>
  <c r="J1062" i="22"/>
  <c r="N1062" i="22" s="1"/>
  <c r="U1062" i="22" s="1"/>
  <c r="P1062" i="22"/>
  <c r="Q1062" i="22"/>
  <c r="R1062" i="22"/>
  <c r="L1063" i="22"/>
  <c r="C1063" i="22"/>
  <c r="K1063" i="22" s="1"/>
  <c r="E1063" i="22"/>
  <c r="F1063" i="22"/>
  <c r="O1063" i="22" s="1"/>
  <c r="G1063" i="22"/>
  <c r="I1063" i="22"/>
  <c r="B1064" i="22"/>
  <c r="M1008" i="22"/>
  <c r="D1008" i="22"/>
  <c r="J1008" i="22"/>
  <c r="N1008" i="22" s="1"/>
  <c r="U1008" i="22" s="1"/>
  <c r="P1008" i="22"/>
  <c r="Q1008" i="22"/>
  <c r="R1008" i="22"/>
  <c r="L1009" i="22"/>
  <c r="C1009" i="22"/>
  <c r="K1009" i="22" s="1"/>
  <c r="E1009" i="22"/>
  <c r="F1009" i="22"/>
  <c r="O1009" i="22" s="1"/>
  <c r="G1009" i="22"/>
  <c r="I1009" i="22"/>
  <c r="B1010" i="22"/>
  <c r="M954" i="22"/>
  <c r="D954" i="22"/>
  <c r="J954" i="22"/>
  <c r="N954" i="22" s="1"/>
  <c r="U954" i="22" s="1"/>
  <c r="P954" i="22"/>
  <c r="Q954" i="22"/>
  <c r="R954" i="22"/>
  <c r="L955" i="22"/>
  <c r="C955" i="22"/>
  <c r="K955" i="22" s="1"/>
  <c r="E955" i="22"/>
  <c r="F955" i="22"/>
  <c r="O955" i="22" s="1"/>
  <c r="G955" i="22"/>
  <c r="I955" i="22"/>
  <c r="B956" i="22"/>
  <c r="M900" i="22"/>
  <c r="D900" i="22"/>
  <c r="J900" i="22"/>
  <c r="N900" i="22" s="1"/>
  <c r="U900" i="22" s="1"/>
  <c r="P900" i="22"/>
  <c r="Q900" i="22"/>
  <c r="R900" i="22"/>
  <c r="L901" i="22"/>
  <c r="C901" i="22"/>
  <c r="K901" i="22" s="1"/>
  <c r="E901" i="22"/>
  <c r="F901" i="22"/>
  <c r="O901" i="22" s="1"/>
  <c r="G901" i="22"/>
  <c r="I901" i="22"/>
  <c r="B902" i="22"/>
  <c r="M846" i="22"/>
  <c r="D846" i="22"/>
  <c r="J846" i="22"/>
  <c r="N846" i="22" s="1"/>
  <c r="U846" i="22" s="1"/>
  <c r="P846" i="22"/>
  <c r="Q846" i="22"/>
  <c r="R846" i="22"/>
  <c r="L847" i="22"/>
  <c r="C847" i="22"/>
  <c r="K847" i="22" s="1"/>
  <c r="E847" i="22"/>
  <c r="F847" i="22"/>
  <c r="O847" i="22" s="1"/>
  <c r="G847" i="22"/>
  <c r="I847" i="22"/>
  <c r="B848" i="22"/>
  <c r="M792" i="22"/>
  <c r="D792" i="22"/>
  <c r="J792" i="22"/>
  <c r="N792" i="22" s="1"/>
  <c r="U792" i="22" s="1"/>
  <c r="P792" i="22"/>
  <c r="Q792" i="22"/>
  <c r="R792" i="22"/>
  <c r="L793" i="22"/>
  <c r="C793" i="22"/>
  <c r="K793" i="22" s="1"/>
  <c r="E793" i="22"/>
  <c r="F793" i="22"/>
  <c r="O793" i="22" s="1"/>
  <c r="G793" i="22"/>
  <c r="I793" i="22"/>
  <c r="B794" i="22"/>
  <c r="M738" i="22"/>
  <c r="D738" i="22"/>
  <c r="J738" i="22"/>
  <c r="N738" i="22" s="1"/>
  <c r="U738" i="22" s="1"/>
  <c r="P738" i="22"/>
  <c r="Q738" i="22"/>
  <c r="R738" i="22"/>
  <c r="L739" i="22"/>
  <c r="C739" i="22"/>
  <c r="K739" i="22" s="1"/>
  <c r="E739" i="22"/>
  <c r="F739" i="22"/>
  <c r="O739" i="22" s="1"/>
  <c r="G739" i="22"/>
  <c r="I739" i="22"/>
  <c r="B740" i="22"/>
  <c r="M684" i="22"/>
  <c r="D684" i="22"/>
  <c r="J684" i="22"/>
  <c r="N684" i="22" s="1"/>
  <c r="U684" i="22" s="1"/>
  <c r="P684" i="22"/>
  <c r="Q684" i="22"/>
  <c r="R684" i="22"/>
  <c r="L685" i="22"/>
  <c r="C685" i="22"/>
  <c r="K685" i="22" s="1"/>
  <c r="E685" i="22"/>
  <c r="F685" i="22"/>
  <c r="O685" i="22" s="1"/>
  <c r="G685" i="22"/>
  <c r="I685" i="22"/>
  <c r="B686" i="22"/>
  <c r="M630" i="22"/>
  <c r="D630" i="22"/>
  <c r="J630" i="22"/>
  <c r="N630" i="22" s="1"/>
  <c r="U630" i="22" s="1"/>
  <c r="P630" i="22"/>
  <c r="Q630" i="22"/>
  <c r="R630" i="22"/>
  <c r="L631" i="22"/>
  <c r="C631" i="22"/>
  <c r="K631" i="22" s="1"/>
  <c r="E631" i="22"/>
  <c r="F631" i="22"/>
  <c r="O631" i="22" s="1"/>
  <c r="G631" i="22"/>
  <c r="I631" i="22"/>
  <c r="B632" i="22"/>
  <c r="M576" i="22"/>
  <c r="D576" i="22"/>
  <c r="J576" i="22"/>
  <c r="N576" i="22" s="1"/>
  <c r="U576" i="22" s="1"/>
  <c r="P576" i="22"/>
  <c r="Q576" i="22"/>
  <c r="R576" i="22"/>
  <c r="L577" i="22"/>
  <c r="C577" i="22"/>
  <c r="E577" i="22"/>
  <c r="G577" i="22"/>
  <c r="I577" i="22"/>
  <c r="B578" i="22"/>
  <c r="M522" i="22"/>
  <c r="D522" i="22"/>
  <c r="J522" i="22"/>
  <c r="N522" i="22" s="1"/>
  <c r="U522" i="22" s="1"/>
  <c r="P522" i="22"/>
  <c r="Q522" i="22"/>
  <c r="R522" i="22"/>
  <c r="L523" i="22"/>
  <c r="C523" i="22"/>
  <c r="K523" i="22" s="1"/>
  <c r="E523" i="22"/>
  <c r="F523" i="22"/>
  <c r="O523" i="22" s="1"/>
  <c r="G523" i="22"/>
  <c r="I523" i="22"/>
  <c r="B524" i="22"/>
  <c r="M468" i="22"/>
  <c r="D468" i="22"/>
  <c r="J468" i="22"/>
  <c r="N468" i="22" s="1"/>
  <c r="U468" i="22" s="1"/>
  <c r="P468" i="22"/>
  <c r="Q468" i="22"/>
  <c r="R468" i="22"/>
  <c r="L469" i="22"/>
  <c r="C469" i="22"/>
  <c r="K469" i="22" s="1"/>
  <c r="E469" i="22"/>
  <c r="F469" i="22"/>
  <c r="O469" i="22" s="1"/>
  <c r="G469" i="22"/>
  <c r="I469" i="22"/>
  <c r="B470" i="22"/>
  <c r="L415" i="22"/>
  <c r="E415" i="22"/>
  <c r="G415" i="22"/>
  <c r="C415" i="22"/>
  <c r="K415" i="22" s="1"/>
  <c r="F415" i="22"/>
  <c r="O415" i="22" s="1"/>
  <c r="I415" i="22"/>
  <c r="B416" i="22"/>
  <c r="J414" i="22"/>
  <c r="D414" i="22"/>
  <c r="P414" i="22"/>
  <c r="Q414" i="22"/>
  <c r="R414" i="22"/>
  <c r="M360" i="22"/>
  <c r="D360" i="22"/>
  <c r="J360" i="22"/>
  <c r="N360" i="22" s="1"/>
  <c r="U360" i="22" s="1"/>
  <c r="P360" i="22"/>
  <c r="Q360" i="22"/>
  <c r="R360" i="22"/>
  <c r="L361" i="22"/>
  <c r="C361" i="22"/>
  <c r="E361" i="22"/>
  <c r="G361" i="22"/>
  <c r="I361" i="22"/>
  <c r="B362" i="22"/>
  <c r="M306" i="22"/>
  <c r="D306" i="22"/>
  <c r="J306" i="22"/>
  <c r="N306" i="22" s="1"/>
  <c r="U306" i="22" s="1"/>
  <c r="P306" i="22"/>
  <c r="Q306" i="22"/>
  <c r="R306" i="22"/>
  <c r="L307" i="22"/>
  <c r="C307" i="22"/>
  <c r="K307" i="22" s="1"/>
  <c r="E307" i="22"/>
  <c r="F307" i="22"/>
  <c r="O307" i="22" s="1"/>
  <c r="G307" i="22"/>
  <c r="I307" i="22"/>
  <c r="B308" i="22"/>
  <c r="M252" i="22"/>
  <c r="D252" i="22"/>
  <c r="J252" i="22"/>
  <c r="N252" i="22" s="1"/>
  <c r="U252" i="22" s="1"/>
  <c r="P252" i="22"/>
  <c r="Q252" i="22"/>
  <c r="R252" i="22"/>
  <c r="L253" i="22"/>
  <c r="C253" i="22"/>
  <c r="E253" i="22"/>
  <c r="G253" i="22"/>
  <c r="I253" i="22"/>
  <c r="B254" i="22"/>
  <c r="M198" i="22"/>
  <c r="D198" i="22"/>
  <c r="J198" i="22"/>
  <c r="N198" i="22" s="1"/>
  <c r="U198" i="22" s="1"/>
  <c r="P198" i="22"/>
  <c r="Q198" i="22"/>
  <c r="R198" i="22"/>
  <c r="L199" i="22"/>
  <c r="C199" i="22"/>
  <c r="K199" i="22" s="1"/>
  <c r="E199" i="22"/>
  <c r="F199" i="22"/>
  <c r="O199" i="22" s="1"/>
  <c r="G199" i="22"/>
  <c r="I199" i="22"/>
  <c r="B200" i="22"/>
  <c r="M144" i="22"/>
  <c r="D144" i="22"/>
  <c r="J144" i="22"/>
  <c r="N144" i="22" s="1"/>
  <c r="U144" i="22" s="1"/>
  <c r="P144" i="22"/>
  <c r="Q144" i="22"/>
  <c r="R144" i="22"/>
  <c r="L145" i="22"/>
  <c r="C145" i="22"/>
  <c r="K145" i="22" s="1"/>
  <c r="E145" i="22"/>
  <c r="F145" i="22"/>
  <c r="O145" i="22" s="1"/>
  <c r="G145" i="22"/>
  <c r="B146" i="22"/>
  <c r="I145" i="22"/>
  <c r="M90" i="22"/>
  <c r="D90" i="22"/>
  <c r="J90" i="22"/>
  <c r="N90" i="22" s="1"/>
  <c r="U90" i="22" s="1"/>
  <c r="P90" i="22"/>
  <c r="Q90" i="22"/>
  <c r="R90" i="22"/>
  <c r="L91" i="22"/>
  <c r="C91" i="22"/>
  <c r="E91" i="22"/>
  <c r="G91" i="22"/>
  <c r="I91" i="22"/>
  <c r="B92" i="22"/>
  <c r="M28" i="17"/>
  <c r="D28" i="17"/>
  <c r="J28" i="17"/>
  <c r="N28" i="17" s="1"/>
  <c r="U28" i="17" s="1"/>
  <c r="AF28" i="17"/>
  <c r="AE28" i="17"/>
  <c r="AD28" i="17"/>
  <c r="AC28" i="17"/>
  <c r="AB28" i="17"/>
  <c r="AA28" i="17"/>
  <c r="Z28" i="17"/>
  <c r="Y28" i="17"/>
  <c r="X28" i="17"/>
  <c r="W28" i="17"/>
  <c r="P28" i="17"/>
  <c r="Q28" i="17"/>
  <c r="R28" i="17"/>
  <c r="V28" i="17"/>
  <c r="L29" i="17"/>
  <c r="C29" i="17"/>
  <c r="K29" i="17" s="1"/>
  <c r="E29" i="17"/>
  <c r="F29" i="17"/>
  <c r="C29" i="18" s="1"/>
  <c r="E29" i="18" s="1"/>
  <c r="G29" i="17"/>
  <c r="I29" i="17"/>
  <c r="B30" i="17"/>
  <c r="B29" i="18"/>
  <c r="AJ16" i="17"/>
  <c r="B94" i="12"/>
  <c r="I94" i="12" s="1"/>
  <c r="AI15" i="17"/>
  <c r="AH17" i="17"/>
  <c r="AH18" i="17"/>
  <c r="AH19" i="17"/>
  <c r="AH20" i="17"/>
  <c r="AH21" i="17"/>
  <c r="AH22" i="17"/>
  <c r="AH23" i="17"/>
  <c r="AH24" i="17"/>
  <c r="AH25" i="17"/>
  <c r="AH26" i="17"/>
  <c r="AH27" i="17"/>
  <c r="AH28" i="17"/>
  <c r="AH29" i="17"/>
  <c r="M1548" i="23"/>
  <c r="N1548" i="23"/>
  <c r="AE1548" i="23" s="1"/>
  <c r="N1380" i="23"/>
  <c r="AE1380" i="23" s="1"/>
  <c r="M1380" i="23"/>
  <c r="M596" i="23"/>
  <c r="N596" i="23"/>
  <c r="AE596" i="23" s="1"/>
  <c r="M540" i="23"/>
  <c r="N540" i="23"/>
  <c r="AE540" i="23" s="1"/>
  <c r="M484" i="23"/>
  <c r="N484" i="23"/>
  <c r="AE484" i="23" s="1"/>
  <c r="M4223" i="22"/>
  <c r="N4223" i="22"/>
  <c r="U4223" i="22" s="1"/>
  <c r="M3545" i="22"/>
  <c r="N3545" i="22"/>
  <c r="U3545" i="22" s="1"/>
  <c r="M3329" i="22"/>
  <c r="N3329" i="22"/>
  <c r="U3329" i="22" s="1"/>
  <c r="N3113" i="22"/>
  <c r="U3113" i="22" s="1"/>
  <c r="M3113" i="22"/>
  <c r="M3059" i="22"/>
  <c r="N3059" i="22"/>
  <c r="U3059" i="22" s="1"/>
  <c r="N2897" i="22"/>
  <c r="U2897" i="22" s="1"/>
  <c r="M2897" i="22"/>
  <c r="M2735" i="22"/>
  <c r="N2735" i="22"/>
  <c r="U2735" i="22" s="1"/>
  <c r="M1817" i="22"/>
  <c r="N1817" i="22"/>
  <c r="U1817" i="22" s="1"/>
  <c r="M1493" i="22"/>
  <c r="N1493" i="22"/>
  <c r="U1493" i="22" s="1"/>
  <c r="M845" i="22"/>
  <c r="N845" i="22"/>
  <c r="U845" i="22" s="1"/>
  <c r="M197" i="22"/>
  <c r="N197" i="22"/>
  <c r="U197" i="22" s="1"/>
  <c r="F1493" i="23"/>
  <c r="O1493" i="23" s="1"/>
  <c r="K1493" i="23"/>
  <c r="K1437" i="23"/>
  <c r="F1437" i="23"/>
  <c r="O1437" i="23" s="1"/>
  <c r="K1269" i="23"/>
  <c r="F1269" i="23"/>
  <c r="O1269" i="23" s="1"/>
  <c r="F1213" i="23"/>
  <c r="O1213" i="23" s="1"/>
  <c r="K1213" i="23"/>
  <c r="K1045" i="23"/>
  <c r="F1045" i="23"/>
  <c r="O1045" i="23" s="1"/>
  <c r="K821" i="23"/>
  <c r="F821" i="23"/>
  <c r="O821" i="23" s="1"/>
  <c r="K541" i="23"/>
  <c r="F541" i="23"/>
  <c r="O541" i="23" s="1"/>
  <c r="F3708" i="22"/>
  <c r="O3708" i="22" s="1"/>
  <c r="K3708" i="22"/>
  <c r="F3114" i="22"/>
  <c r="O3114" i="22" s="1"/>
  <c r="K3114" i="22"/>
  <c r="K3060" i="22"/>
  <c r="F3060" i="22"/>
  <c r="O3060" i="22" s="1"/>
  <c r="F3006" i="22"/>
  <c r="O3006" i="22" s="1"/>
  <c r="K3006" i="22"/>
  <c r="K2952" i="22"/>
  <c r="F2952" i="22"/>
  <c r="O2952" i="22" s="1"/>
  <c r="K2520" i="22"/>
  <c r="F2520" i="22"/>
  <c r="O2520" i="22" s="1"/>
  <c r="F1818" i="22"/>
  <c r="O1818" i="22" s="1"/>
  <c r="K1818" i="22"/>
  <c r="F414" i="22"/>
  <c r="O414" i="22" s="1"/>
  <c r="K414" i="22"/>
  <c r="F27" i="18"/>
  <c r="G27" i="18"/>
  <c r="H27" i="18"/>
  <c r="D4633" i="22" l="1"/>
  <c r="F4633" i="22"/>
  <c r="O4633" i="22" s="1"/>
  <c r="K4171" i="22"/>
  <c r="F4171" i="22"/>
  <c r="O4171" i="22" s="1"/>
  <c r="K3169" i="22"/>
  <c r="F3169" i="22"/>
  <c r="O3169" i="22" s="1"/>
  <c r="K361" i="22"/>
  <c r="F361" i="22"/>
  <c r="O361" i="22" s="1"/>
  <c r="K91" i="22"/>
  <c r="F91" i="22"/>
  <c r="O91" i="22" s="1"/>
  <c r="M1606" i="23"/>
  <c r="J1606" i="23"/>
  <c r="N1606" i="23" s="1"/>
  <c r="D1606" i="23"/>
  <c r="P1606" i="23"/>
  <c r="Q1606" i="23"/>
  <c r="R1606" i="23"/>
  <c r="I1607" i="23"/>
  <c r="L1607" i="23"/>
  <c r="C1607" i="23"/>
  <c r="K1607" i="23" s="1"/>
  <c r="E1607" i="23"/>
  <c r="F1607" i="23"/>
  <c r="O1607" i="23" s="1"/>
  <c r="G1607" i="23"/>
  <c r="B1608" i="23"/>
  <c r="M1550" i="23"/>
  <c r="J1550" i="23"/>
  <c r="N1550" i="23" s="1"/>
  <c r="AE1550" i="23" s="1"/>
  <c r="D1550" i="23"/>
  <c r="P1550" i="23"/>
  <c r="Q1550" i="23"/>
  <c r="R1550" i="23"/>
  <c r="L1551" i="23"/>
  <c r="I1551" i="23"/>
  <c r="C1551" i="23"/>
  <c r="K1551" i="23" s="1"/>
  <c r="E1551" i="23"/>
  <c r="F1551" i="23"/>
  <c r="O1551" i="23" s="1"/>
  <c r="G1551" i="23"/>
  <c r="B1552" i="23"/>
  <c r="J1494" i="23"/>
  <c r="D1494" i="23"/>
  <c r="P1494" i="23"/>
  <c r="Q1494" i="23"/>
  <c r="R1494" i="23"/>
  <c r="L1495" i="23"/>
  <c r="I1495" i="23"/>
  <c r="C1495" i="23"/>
  <c r="K1495" i="23" s="1"/>
  <c r="E1495" i="23"/>
  <c r="F1495" i="23"/>
  <c r="O1495" i="23" s="1"/>
  <c r="G1495" i="23"/>
  <c r="B1496" i="23"/>
  <c r="J1438" i="23"/>
  <c r="D1438" i="23"/>
  <c r="P1438" i="23"/>
  <c r="Q1438" i="23"/>
  <c r="R1438" i="23"/>
  <c r="L1439" i="23"/>
  <c r="I1439" i="23"/>
  <c r="C1439" i="23"/>
  <c r="E1439" i="23"/>
  <c r="G1439" i="23"/>
  <c r="B1440" i="23"/>
  <c r="J1382" i="23"/>
  <c r="D1382" i="23"/>
  <c r="P1382" i="23"/>
  <c r="Q1382" i="23"/>
  <c r="R1382" i="23"/>
  <c r="L1383" i="23"/>
  <c r="I1383" i="23"/>
  <c r="C1383" i="23"/>
  <c r="E1383" i="23"/>
  <c r="G1383" i="23"/>
  <c r="B1384" i="23"/>
  <c r="M1326" i="23"/>
  <c r="J1326" i="23"/>
  <c r="N1326" i="23" s="1"/>
  <c r="AE1326" i="23" s="1"/>
  <c r="D1326" i="23"/>
  <c r="P1326" i="23"/>
  <c r="Q1326" i="23"/>
  <c r="R1326" i="23"/>
  <c r="L1327" i="23"/>
  <c r="I1327" i="23"/>
  <c r="C1327" i="23"/>
  <c r="K1327" i="23" s="1"/>
  <c r="E1327" i="23"/>
  <c r="F1327" i="23"/>
  <c r="O1327" i="23" s="1"/>
  <c r="G1327" i="23"/>
  <c r="B1328" i="23"/>
  <c r="J1270" i="23"/>
  <c r="D1270" i="23"/>
  <c r="M1270" i="23" s="1"/>
  <c r="N1270" i="23" s="1"/>
  <c r="AE1270" i="23" s="1"/>
  <c r="P1270" i="23"/>
  <c r="Q1270" i="23"/>
  <c r="R1270" i="23"/>
  <c r="L1271" i="23"/>
  <c r="I1271" i="23"/>
  <c r="C1271" i="23"/>
  <c r="K1271" i="23" s="1"/>
  <c r="E1271" i="23"/>
  <c r="F1271" i="23"/>
  <c r="O1271" i="23" s="1"/>
  <c r="G1271" i="23"/>
  <c r="B1272" i="23"/>
  <c r="J1214" i="23"/>
  <c r="D1214" i="23"/>
  <c r="P1214" i="23"/>
  <c r="Q1214" i="23"/>
  <c r="R1214" i="23"/>
  <c r="L1215" i="23"/>
  <c r="I1215" i="23"/>
  <c r="C1215" i="23"/>
  <c r="E1215" i="23"/>
  <c r="G1215" i="23"/>
  <c r="B1216" i="23"/>
  <c r="M1158" i="23"/>
  <c r="J1158" i="23"/>
  <c r="N1158" i="23" s="1"/>
  <c r="AE1158" i="23" s="1"/>
  <c r="D1158" i="23"/>
  <c r="P1158" i="23"/>
  <c r="Q1158" i="23"/>
  <c r="R1158" i="23"/>
  <c r="L1159" i="23"/>
  <c r="I1159" i="23"/>
  <c r="C1159" i="23"/>
  <c r="K1159" i="23" s="1"/>
  <c r="E1159" i="23"/>
  <c r="F1159" i="23"/>
  <c r="O1159" i="23" s="1"/>
  <c r="G1159" i="23"/>
  <c r="B1160" i="23"/>
  <c r="M1102" i="23"/>
  <c r="J1102" i="23"/>
  <c r="N1102" i="23" s="1"/>
  <c r="AE1102" i="23" s="1"/>
  <c r="D1102" i="23"/>
  <c r="P1102" i="23"/>
  <c r="Q1102" i="23"/>
  <c r="R1102" i="23"/>
  <c r="L1103" i="23"/>
  <c r="I1103" i="23"/>
  <c r="C1103" i="23"/>
  <c r="K1103" i="23" s="1"/>
  <c r="E1103" i="23"/>
  <c r="F1103" i="23"/>
  <c r="O1103" i="23" s="1"/>
  <c r="G1103" i="23"/>
  <c r="B1104" i="23"/>
  <c r="L1047" i="23"/>
  <c r="I1047" i="23"/>
  <c r="G1047" i="23"/>
  <c r="C1047" i="23"/>
  <c r="K1047" i="23" s="1"/>
  <c r="E1047" i="23"/>
  <c r="F1047" i="23"/>
  <c r="O1047" i="23" s="1"/>
  <c r="B1048" i="23"/>
  <c r="J1046" i="23"/>
  <c r="D1046" i="23"/>
  <c r="P1046" i="23"/>
  <c r="Q1046" i="23"/>
  <c r="R1046" i="23"/>
  <c r="M990" i="23"/>
  <c r="J990" i="23"/>
  <c r="N990" i="23" s="1"/>
  <c r="AE990" i="23" s="1"/>
  <c r="D990" i="23"/>
  <c r="P990" i="23"/>
  <c r="Q990" i="23"/>
  <c r="R990" i="23"/>
  <c r="L991" i="23"/>
  <c r="I991" i="23"/>
  <c r="C991" i="23"/>
  <c r="K991" i="23" s="1"/>
  <c r="E991" i="23"/>
  <c r="F991" i="23"/>
  <c r="O991" i="23" s="1"/>
  <c r="G991" i="23"/>
  <c r="B992" i="23"/>
  <c r="M934" i="23"/>
  <c r="J934" i="23"/>
  <c r="N934" i="23" s="1"/>
  <c r="AE934" i="23" s="1"/>
  <c r="D934" i="23"/>
  <c r="P934" i="23"/>
  <c r="Q934" i="23"/>
  <c r="R934" i="23"/>
  <c r="L935" i="23"/>
  <c r="I935" i="23"/>
  <c r="C935" i="23"/>
  <c r="E935" i="23"/>
  <c r="G935" i="23"/>
  <c r="B936" i="23"/>
  <c r="M878" i="23"/>
  <c r="J878" i="23"/>
  <c r="N878" i="23" s="1"/>
  <c r="AE878" i="23" s="1"/>
  <c r="D878" i="23"/>
  <c r="P878" i="23"/>
  <c r="Q878" i="23"/>
  <c r="R878" i="23"/>
  <c r="L879" i="23"/>
  <c r="I879" i="23"/>
  <c r="C879" i="23"/>
  <c r="K879" i="23" s="1"/>
  <c r="E879" i="23"/>
  <c r="F879" i="23"/>
  <c r="O879" i="23" s="1"/>
  <c r="G879" i="23"/>
  <c r="B880" i="23"/>
  <c r="M822" i="23"/>
  <c r="J822" i="23"/>
  <c r="N822" i="23" s="1"/>
  <c r="AE822" i="23" s="1"/>
  <c r="D822" i="23"/>
  <c r="P822" i="23"/>
  <c r="Q822" i="23"/>
  <c r="R822" i="23"/>
  <c r="L823" i="23"/>
  <c r="I823" i="23"/>
  <c r="C823" i="23"/>
  <c r="K823" i="23" s="1"/>
  <c r="E823" i="23"/>
  <c r="F823" i="23"/>
  <c r="O823" i="23" s="1"/>
  <c r="G823" i="23"/>
  <c r="B824" i="23"/>
  <c r="M766" i="23"/>
  <c r="J766" i="23"/>
  <c r="N766" i="23" s="1"/>
  <c r="AE766" i="23" s="1"/>
  <c r="D766" i="23"/>
  <c r="P766" i="23"/>
  <c r="Q766" i="23"/>
  <c r="R766" i="23"/>
  <c r="L767" i="23"/>
  <c r="I767" i="23"/>
  <c r="C767" i="23"/>
  <c r="K767" i="23" s="1"/>
  <c r="E767" i="23"/>
  <c r="F767" i="23"/>
  <c r="O767" i="23" s="1"/>
  <c r="G767" i="23"/>
  <c r="B768" i="23"/>
  <c r="M710" i="23"/>
  <c r="J710" i="23"/>
  <c r="N710" i="23" s="1"/>
  <c r="AE710" i="23" s="1"/>
  <c r="D710" i="23"/>
  <c r="P710" i="23"/>
  <c r="Q710" i="23"/>
  <c r="R710" i="23"/>
  <c r="L711" i="23"/>
  <c r="I711" i="23"/>
  <c r="C711" i="23"/>
  <c r="K711" i="23" s="1"/>
  <c r="E711" i="23"/>
  <c r="F711" i="23"/>
  <c r="O711" i="23" s="1"/>
  <c r="G711" i="23"/>
  <c r="B712" i="23"/>
  <c r="M654" i="23"/>
  <c r="J654" i="23"/>
  <c r="N654" i="23" s="1"/>
  <c r="AE654" i="23" s="1"/>
  <c r="D654" i="23"/>
  <c r="P654" i="23"/>
  <c r="Q654" i="23"/>
  <c r="R654" i="23"/>
  <c r="L655" i="23"/>
  <c r="I655" i="23"/>
  <c r="C655" i="23"/>
  <c r="K655" i="23" s="1"/>
  <c r="E655" i="23"/>
  <c r="F655" i="23"/>
  <c r="O655" i="23" s="1"/>
  <c r="G655" i="23"/>
  <c r="B656" i="23"/>
  <c r="M598" i="23"/>
  <c r="J598" i="23"/>
  <c r="N598" i="23" s="1"/>
  <c r="AE598" i="23" s="1"/>
  <c r="D598" i="23"/>
  <c r="P598" i="23"/>
  <c r="Q598" i="23"/>
  <c r="R598" i="23"/>
  <c r="L599" i="23"/>
  <c r="I599" i="23"/>
  <c r="C599" i="23"/>
  <c r="K599" i="23" s="1"/>
  <c r="E599" i="23"/>
  <c r="F599" i="23"/>
  <c r="O599" i="23" s="1"/>
  <c r="G599" i="23"/>
  <c r="B600" i="23"/>
  <c r="M542" i="23"/>
  <c r="J542" i="23"/>
  <c r="N542" i="23" s="1"/>
  <c r="AE542" i="23" s="1"/>
  <c r="D542" i="23"/>
  <c r="P542" i="23"/>
  <c r="Q542" i="23"/>
  <c r="R542" i="23"/>
  <c r="L543" i="23"/>
  <c r="I543" i="23"/>
  <c r="C543" i="23"/>
  <c r="K543" i="23" s="1"/>
  <c r="E543" i="23"/>
  <c r="F543" i="23"/>
  <c r="O543" i="23" s="1"/>
  <c r="G543" i="23"/>
  <c r="B544" i="23"/>
  <c r="M486" i="23"/>
  <c r="L487" i="23"/>
  <c r="I487" i="23"/>
  <c r="C487" i="23"/>
  <c r="K487" i="23" s="1"/>
  <c r="E487" i="23"/>
  <c r="F487" i="23"/>
  <c r="O487" i="23" s="1"/>
  <c r="G487" i="23"/>
  <c r="B488" i="23"/>
  <c r="J486" i="23"/>
  <c r="N486" i="23" s="1"/>
  <c r="AE486" i="23" s="1"/>
  <c r="D486" i="23"/>
  <c r="P486" i="23"/>
  <c r="Q486" i="23"/>
  <c r="R486" i="23"/>
  <c r="L431" i="23"/>
  <c r="I431" i="23"/>
  <c r="E431" i="23"/>
  <c r="G431" i="23"/>
  <c r="B432" i="23"/>
  <c r="C431" i="23"/>
  <c r="J430" i="23"/>
  <c r="D430" i="23"/>
  <c r="P430" i="23"/>
  <c r="Q430" i="23"/>
  <c r="R430" i="23"/>
  <c r="J374" i="23"/>
  <c r="D374" i="23"/>
  <c r="P374" i="23"/>
  <c r="Q374" i="23"/>
  <c r="R374" i="23"/>
  <c r="L375" i="23"/>
  <c r="I375" i="23"/>
  <c r="C375" i="23"/>
  <c r="K375" i="23" s="1"/>
  <c r="E375" i="23"/>
  <c r="F375" i="23"/>
  <c r="O375" i="23" s="1"/>
  <c r="G375" i="23"/>
  <c r="B376" i="23"/>
  <c r="M318" i="23"/>
  <c r="J318" i="23"/>
  <c r="N318" i="23" s="1"/>
  <c r="AE318" i="23" s="1"/>
  <c r="D318" i="23"/>
  <c r="P318" i="23"/>
  <c r="Q318" i="23"/>
  <c r="R318" i="23"/>
  <c r="L319" i="23"/>
  <c r="I319" i="23"/>
  <c r="C319" i="23"/>
  <c r="K319" i="23" s="1"/>
  <c r="E319" i="23"/>
  <c r="F319" i="23"/>
  <c r="O319" i="23" s="1"/>
  <c r="G319" i="23"/>
  <c r="B320" i="23"/>
  <c r="M262" i="23"/>
  <c r="J262" i="23"/>
  <c r="N262" i="23" s="1"/>
  <c r="AE262" i="23" s="1"/>
  <c r="D262" i="23"/>
  <c r="P262" i="23"/>
  <c r="R262" i="23"/>
  <c r="Q262" i="23"/>
  <c r="L263" i="23"/>
  <c r="I263" i="23"/>
  <c r="C263" i="23"/>
  <c r="K263" i="23" s="1"/>
  <c r="E263" i="23"/>
  <c r="F263" i="23"/>
  <c r="O263" i="23" s="1"/>
  <c r="G263" i="23"/>
  <c r="B264" i="23"/>
  <c r="D4741" i="22"/>
  <c r="J4741" i="22"/>
  <c r="P4741" i="22"/>
  <c r="Q4741" i="22"/>
  <c r="R4741" i="22"/>
  <c r="M4741" i="22"/>
  <c r="N4741" i="22"/>
  <c r="C4742" i="22"/>
  <c r="E4742" i="22"/>
  <c r="F4742" i="22"/>
  <c r="G4742" i="22"/>
  <c r="I4742" i="22"/>
  <c r="K4742" i="22"/>
  <c r="L4742" i="22"/>
  <c r="B4743" i="22"/>
  <c r="T4685" i="22"/>
  <c r="S4686" i="22"/>
  <c r="T4686" i="22" s="1"/>
  <c r="U4686" i="22"/>
  <c r="D4687" i="22"/>
  <c r="J4687" i="22"/>
  <c r="P4687" i="22"/>
  <c r="Q4687" i="22"/>
  <c r="R4687" i="22"/>
  <c r="L4688" i="22"/>
  <c r="C4688" i="22"/>
  <c r="K4688" i="22" s="1"/>
  <c r="E4688" i="22"/>
  <c r="F4688" i="22"/>
  <c r="G4688" i="22"/>
  <c r="I4688" i="22"/>
  <c r="B4689" i="22"/>
  <c r="P4633" i="22"/>
  <c r="Q4633" i="22"/>
  <c r="R4633" i="22"/>
  <c r="C4634" i="22"/>
  <c r="D4634" i="22" s="1"/>
  <c r="E4634" i="22"/>
  <c r="F4634" i="22"/>
  <c r="O4634" i="22" s="1"/>
  <c r="G4634" i="22"/>
  <c r="B4635" i="22"/>
  <c r="M4579" i="22"/>
  <c r="J4579" i="22"/>
  <c r="N4579" i="22" s="1"/>
  <c r="D4579" i="22"/>
  <c r="P4579" i="22"/>
  <c r="Q4579" i="22"/>
  <c r="R4579" i="22"/>
  <c r="I4580" i="22"/>
  <c r="L4580" i="22"/>
  <c r="C4580" i="22"/>
  <c r="K4580" i="22" s="1"/>
  <c r="E4580" i="22"/>
  <c r="F4580" i="22"/>
  <c r="G4580" i="22"/>
  <c r="B4581" i="22"/>
  <c r="D4525" i="22"/>
  <c r="J4525" i="22"/>
  <c r="P4525" i="22"/>
  <c r="Q4525" i="22"/>
  <c r="R4525" i="22"/>
  <c r="L4526" i="22"/>
  <c r="C4526" i="22"/>
  <c r="K4526" i="22" s="1"/>
  <c r="E4526" i="22"/>
  <c r="F4526" i="22"/>
  <c r="G4526" i="22"/>
  <c r="I4526" i="22"/>
  <c r="B4527" i="22"/>
  <c r="M4225" i="22"/>
  <c r="D4225" i="22"/>
  <c r="J4225" i="22"/>
  <c r="N4225" i="22" s="1"/>
  <c r="U4225" i="22" s="1"/>
  <c r="P4225" i="22"/>
  <c r="Q4225" i="22"/>
  <c r="R4225" i="22"/>
  <c r="L4226" i="22"/>
  <c r="C4226" i="22"/>
  <c r="K4226" i="22" s="1"/>
  <c r="E4226" i="22"/>
  <c r="F4226" i="22"/>
  <c r="O4226" i="22" s="1"/>
  <c r="G4226" i="22"/>
  <c r="I4226" i="22"/>
  <c r="B4227" i="22"/>
  <c r="M4171" i="22"/>
  <c r="D4171" i="22"/>
  <c r="J4171" i="22"/>
  <c r="N4171" i="22" s="1"/>
  <c r="U4171" i="22" s="1"/>
  <c r="P4171" i="22"/>
  <c r="Q4171" i="22"/>
  <c r="R4171" i="22"/>
  <c r="L4172" i="22"/>
  <c r="C4172" i="22"/>
  <c r="K4172" i="22" s="1"/>
  <c r="E4172" i="22"/>
  <c r="F4172" i="22"/>
  <c r="O4172" i="22" s="1"/>
  <c r="G4172" i="22"/>
  <c r="I4172" i="22"/>
  <c r="B4173" i="22"/>
  <c r="M4117" i="22"/>
  <c r="D4117" i="22"/>
  <c r="J4117" i="22"/>
  <c r="N4117" i="22" s="1"/>
  <c r="U4117" i="22" s="1"/>
  <c r="P4117" i="22"/>
  <c r="Q4117" i="22"/>
  <c r="R4117" i="22"/>
  <c r="L4118" i="22"/>
  <c r="C4118" i="22"/>
  <c r="K4118" i="22" s="1"/>
  <c r="E4118" i="22"/>
  <c r="F4118" i="22"/>
  <c r="O4118" i="22" s="1"/>
  <c r="G4118" i="22"/>
  <c r="I4118" i="22"/>
  <c r="B4119" i="22"/>
  <c r="M4063" i="22"/>
  <c r="D4063" i="22"/>
  <c r="J4063" i="22"/>
  <c r="N4063" i="22" s="1"/>
  <c r="U4063" i="22" s="1"/>
  <c r="P4063" i="22"/>
  <c r="Q4063" i="22"/>
  <c r="R4063" i="22"/>
  <c r="L4064" i="22"/>
  <c r="C4064" i="22"/>
  <c r="K4064" i="22" s="1"/>
  <c r="E4064" i="22"/>
  <c r="F4064" i="22"/>
  <c r="O4064" i="22" s="1"/>
  <c r="G4064" i="22"/>
  <c r="I4064" i="22"/>
  <c r="B4065" i="22"/>
  <c r="M3763" i="22"/>
  <c r="D3763" i="22"/>
  <c r="J3763" i="22"/>
  <c r="N3763" i="22" s="1"/>
  <c r="U3763" i="22" s="1"/>
  <c r="P3763" i="22"/>
  <c r="Q3763" i="22"/>
  <c r="R3763" i="22"/>
  <c r="L3764" i="22"/>
  <c r="C3764" i="22"/>
  <c r="K3764" i="22" s="1"/>
  <c r="E3764" i="22"/>
  <c r="F3764" i="22"/>
  <c r="O3764" i="22" s="1"/>
  <c r="G3764" i="22"/>
  <c r="I3764" i="22"/>
  <c r="B3765" i="22"/>
  <c r="M3709" i="22"/>
  <c r="D3709" i="22"/>
  <c r="J3709" i="22"/>
  <c r="N3709" i="22" s="1"/>
  <c r="U3709" i="22" s="1"/>
  <c r="P3709" i="22"/>
  <c r="Q3709" i="22"/>
  <c r="R3709" i="22"/>
  <c r="L3710" i="22"/>
  <c r="C3710" i="22"/>
  <c r="E3710" i="22"/>
  <c r="G3710" i="22"/>
  <c r="I3710" i="22"/>
  <c r="B3711" i="22"/>
  <c r="D3655" i="22"/>
  <c r="J3655" i="22"/>
  <c r="P3655" i="22"/>
  <c r="Q3655" i="22"/>
  <c r="R3655" i="22"/>
  <c r="L3656" i="22"/>
  <c r="C3656" i="22"/>
  <c r="K3656" i="22" s="1"/>
  <c r="E3656" i="22"/>
  <c r="F3656" i="22"/>
  <c r="O3656" i="22" s="1"/>
  <c r="G3656" i="22"/>
  <c r="I3656" i="22"/>
  <c r="B3657" i="22"/>
  <c r="M3601" i="22"/>
  <c r="D3601" i="22"/>
  <c r="J3601" i="22"/>
  <c r="N3601" i="22" s="1"/>
  <c r="U3601" i="22" s="1"/>
  <c r="P3601" i="22"/>
  <c r="Q3601" i="22"/>
  <c r="R3601" i="22"/>
  <c r="L3602" i="22"/>
  <c r="C3602" i="22"/>
  <c r="K3602" i="22" s="1"/>
  <c r="E3602" i="22"/>
  <c r="F3602" i="22"/>
  <c r="O3602" i="22" s="1"/>
  <c r="G3602" i="22"/>
  <c r="I3602" i="22"/>
  <c r="B3603" i="22"/>
  <c r="M3547" i="22"/>
  <c r="D3547" i="22"/>
  <c r="J3547" i="22"/>
  <c r="N3547" i="22" s="1"/>
  <c r="U3547" i="22" s="1"/>
  <c r="P3547" i="22"/>
  <c r="Q3547" i="22"/>
  <c r="R3547" i="22"/>
  <c r="L3548" i="22"/>
  <c r="G3548" i="22"/>
  <c r="C3548" i="22"/>
  <c r="E3548" i="22"/>
  <c r="I3548" i="22"/>
  <c r="B3549" i="22"/>
  <c r="M3493" i="22"/>
  <c r="D3493" i="22"/>
  <c r="J3493" i="22"/>
  <c r="N3493" i="22" s="1"/>
  <c r="U3493" i="22" s="1"/>
  <c r="P3493" i="22"/>
  <c r="Q3493" i="22"/>
  <c r="R3493" i="22"/>
  <c r="L3494" i="22"/>
  <c r="C3494" i="22"/>
  <c r="K3494" i="22" s="1"/>
  <c r="E3494" i="22"/>
  <c r="F3494" i="22"/>
  <c r="O3494" i="22" s="1"/>
  <c r="G3494" i="22"/>
  <c r="I3494" i="22"/>
  <c r="B3495" i="22"/>
  <c r="D3439" i="22"/>
  <c r="J3439" i="22"/>
  <c r="P3439" i="22"/>
  <c r="Q3439" i="22"/>
  <c r="R3439" i="22"/>
  <c r="L3440" i="22"/>
  <c r="C3440" i="22"/>
  <c r="K3440" i="22" s="1"/>
  <c r="E3440" i="22"/>
  <c r="F3440" i="22"/>
  <c r="O3440" i="22" s="1"/>
  <c r="G3440" i="22"/>
  <c r="I3440" i="22"/>
  <c r="B3441" i="22"/>
  <c r="D3385" i="22"/>
  <c r="J3385" i="22"/>
  <c r="P3385" i="22"/>
  <c r="Q3385" i="22"/>
  <c r="R3385" i="22"/>
  <c r="L3386" i="22"/>
  <c r="C3386" i="22"/>
  <c r="E3386" i="22"/>
  <c r="G3386" i="22"/>
  <c r="I3386" i="22"/>
  <c r="B3387" i="22"/>
  <c r="D3331" i="22"/>
  <c r="M3331" i="22" s="1"/>
  <c r="J3331" i="22"/>
  <c r="P3331" i="22"/>
  <c r="Q3331" i="22"/>
  <c r="R3331" i="22"/>
  <c r="L3332" i="22"/>
  <c r="C3332" i="22"/>
  <c r="E3332" i="22"/>
  <c r="G3332" i="22"/>
  <c r="I3332" i="22"/>
  <c r="B3333" i="22"/>
  <c r="N3277" i="22"/>
  <c r="U3277" i="22" s="1"/>
  <c r="M3277" i="22"/>
  <c r="D3277" i="22"/>
  <c r="J3277" i="22"/>
  <c r="P3277" i="22"/>
  <c r="Q3277" i="22"/>
  <c r="R3277" i="22"/>
  <c r="L3278" i="22"/>
  <c r="C3278" i="22"/>
  <c r="K3278" i="22" s="1"/>
  <c r="E3278" i="22"/>
  <c r="F3278" i="22"/>
  <c r="O3278" i="22" s="1"/>
  <c r="G3278" i="22"/>
  <c r="I3278" i="22"/>
  <c r="B3279" i="22"/>
  <c r="M3223" i="22"/>
  <c r="D3223" i="22"/>
  <c r="J3223" i="22"/>
  <c r="N3223" i="22" s="1"/>
  <c r="U3223" i="22" s="1"/>
  <c r="P3223" i="22"/>
  <c r="Q3223" i="22"/>
  <c r="R3223" i="22"/>
  <c r="L3224" i="22"/>
  <c r="E3224" i="22"/>
  <c r="G3224" i="22"/>
  <c r="C3224" i="22"/>
  <c r="K3224" i="22" s="1"/>
  <c r="F3224" i="22"/>
  <c r="O3224" i="22" s="1"/>
  <c r="I3224" i="22"/>
  <c r="B3225" i="22"/>
  <c r="M3169" i="22"/>
  <c r="D3169" i="22"/>
  <c r="J3169" i="22"/>
  <c r="N3169" i="22" s="1"/>
  <c r="U3169" i="22" s="1"/>
  <c r="P3169" i="22"/>
  <c r="Q3169" i="22"/>
  <c r="R3169" i="22"/>
  <c r="L3170" i="22"/>
  <c r="C3170" i="22"/>
  <c r="K3170" i="22" s="1"/>
  <c r="E3170" i="22"/>
  <c r="F3170" i="22"/>
  <c r="O3170" i="22" s="1"/>
  <c r="G3170" i="22"/>
  <c r="I3170" i="22"/>
  <c r="B3171" i="22"/>
  <c r="D3115" i="22"/>
  <c r="J3115" i="22"/>
  <c r="P3115" i="22"/>
  <c r="Q3115" i="22"/>
  <c r="R3115" i="22"/>
  <c r="L3116" i="22"/>
  <c r="C3116" i="22"/>
  <c r="K3116" i="22" s="1"/>
  <c r="E3116" i="22"/>
  <c r="F3116" i="22"/>
  <c r="O3116" i="22" s="1"/>
  <c r="G3116" i="22"/>
  <c r="I3116" i="22"/>
  <c r="B3117" i="22"/>
  <c r="P3061" i="22"/>
  <c r="Q3061" i="22"/>
  <c r="R3061" i="22"/>
  <c r="J3061" i="22"/>
  <c r="D3061" i="22"/>
  <c r="L3062" i="22"/>
  <c r="B3063" i="22"/>
  <c r="C3062" i="22"/>
  <c r="E3062" i="22"/>
  <c r="G3062" i="22"/>
  <c r="I3062" i="22"/>
  <c r="J3007" i="22"/>
  <c r="D3007" i="22"/>
  <c r="P3007" i="22"/>
  <c r="Q3007" i="22"/>
  <c r="R3007" i="22"/>
  <c r="L3008" i="22"/>
  <c r="E3008" i="22"/>
  <c r="G3008" i="22"/>
  <c r="B3009" i="22"/>
  <c r="I3008" i="22"/>
  <c r="C3008" i="22"/>
  <c r="J2953" i="22"/>
  <c r="D2953" i="22"/>
  <c r="P2953" i="22"/>
  <c r="Q2953" i="22"/>
  <c r="R2953" i="22"/>
  <c r="L2954" i="22"/>
  <c r="G2954" i="22"/>
  <c r="B2955" i="22"/>
  <c r="I2954" i="22"/>
  <c r="C2954" i="22"/>
  <c r="E2954" i="22"/>
  <c r="M2899" i="22"/>
  <c r="L2900" i="22"/>
  <c r="I2900" i="22"/>
  <c r="G2900" i="22"/>
  <c r="B2901" i="22"/>
  <c r="C2900" i="22"/>
  <c r="K2900" i="22" s="1"/>
  <c r="F2900" i="22"/>
  <c r="O2900" i="22" s="1"/>
  <c r="E2900" i="22"/>
  <c r="J2899" i="22"/>
  <c r="N2899" i="22" s="1"/>
  <c r="U2899" i="22" s="1"/>
  <c r="D2899" i="22"/>
  <c r="P2899" i="22"/>
  <c r="Q2899" i="22"/>
  <c r="R2899" i="22"/>
  <c r="M2845" i="22"/>
  <c r="D2845" i="22"/>
  <c r="J2845" i="22"/>
  <c r="N2845" i="22" s="1"/>
  <c r="U2845" i="22" s="1"/>
  <c r="P2845" i="22"/>
  <c r="Q2845" i="22"/>
  <c r="R2845" i="22"/>
  <c r="L2846" i="22"/>
  <c r="C2846" i="22"/>
  <c r="K2846" i="22" s="1"/>
  <c r="E2846" i="22"/>
  <c r="F2846" i="22"/>
  <c r="O2846" i="22" s="1"/>
  <c r="G2846" i="22"/>
  <c r="I2846" i="22"/>
  <c r="B2847" i="22"/>
  <c r="M2791" i="22"/>
  <c r="D2791" i="22"/>
  <c r="J2791" i="22"/>
  <c r="N2791" i="22" s="1"/>
  <c r="S2791" i="22" s="1"/>
  <c r="T2791" i="22" s="1"/>
  <c r="U2791" i="22" s="1"/>
  <c r="Q2791" i="22"/>
  <c r="P2791" i="22"/>
  <c r="R2791" i="22"/>
  <c r="L2792" i="22"/>
  <c r="C2792" i="22"/>
  <c r="K2792" i="22" s="1"/>
  <c r="E2792" i="22"/>
  <c r="F2792" i="22"/>
  <c r="O2792" i="22" s="1"/>
  <c r="G2792" i="22"/>
  <c r="I2792" i="22"/>
  <c r="B2793" i="22"/>
  <c r="D2737" i="22"/>
  <c r="J2737" i="22"/>
  <c r="P2737" i="22"/>
  <c r="Q2737" i="22"/>
  <c r="R2737" i="22"/>
  <c r="L2738" i="22"/>
  <c r="C2738" i="22"/>
  <c r="K2738" i="22" s="1"/>
  <c r="E2738" i="22"/>
  <c r="F2738" i="22"/>
  <c r="O2738" i="22" s="1"/>
  <c r="G2738" i="22"/>
  <c r="I2738" i="22"/>
  <c r="B2739" i="22"/>
  <c r="D2683" i="22"/>
  <c r="J2683" i="22"/>
  <c r="P2683" i="22"/>
  <c r="Q2683" i="22"/>
  <c r="R2683" i="22"/>
  <c r="L2684" i="22"/>
  <c r="C2684" i="22"/>
  <c r="K2684" i="22" s="1"/>
  <c r="E2684" i="22"/>
  <c r="F2684" i="22"/>
  <c r="O2684" i="22" s="1"/>
  <c r="G2684" i="22"/>
  <c r="I2684" i="22"/>
  <c r="B2685" i="22"/>
  <c r="M2629" i="22"/>
  <c r="D2629" i="22"/>
  <c r="J2629" i="22"/>
  <c r="N2629" i="22" s="1"/>
  <c r="U2629" i="22" s="1"/>
  <c r="P2629" i="22"/>
  <c r="Q2629" i="22"/>
  <c r="R2629" i="22"/>
  <c r="L2630" i="22"/>
  <c r="C2630" i="22"/>
  <c r="K2630" i="22" s="1"/>
  <c r="E2630" i="22"/>
  <c r="F2630" i="22"/>
  <c r="O2630" i="22" s="1"/>
  <c r="G2630" i="22"/>
  <c r="I2630" i="22"/>
  <c r="B2631" i="22"/>
  <c r="M2575" i="22"/>
  <c r="D2575" i="22"/>
  <c r="J2575" i="22"/>
  <c r="N2575" i="22" s="1"/>
  <c r="U2575" i="22" s="1"/>
  <c r="P2575" i="22"/>
  <c r="Q2575" i="22"/>
  <c r="R2575" i="22"/>
  <c r="L2576" i="22"/>
  <c r="C2576" i="22"/>
  <c r="K2576" i="22" s="1"/>
  <c r="E2576" i="22"/>
  <c r="F2576" i="22"/>
  <c r="O2576" i="22" s="1"/>
  <c r="G2576" i="22"/>
  <c r="I2576" i="22"/>
  <c r="B2577" i="22"/>
  <c r="M2521" i="22"/>
  <c r="D2521" i="22"/>
  <c r="J2521" i="22"/>
  <c r="N2521" i="22" s="1"/>
  <c r="U2521" i="22" s="1"/>
  <c r="P2521" i="22"/>
  <c r="Q2521" i="22"/>
  <c r="R2521" i="22"/>
  <c r="L2522" i="22"/>
  <c r="C2522" i="22"/>
  <c r="K2522" i="22" s="1"/>
  <c r="E2522" i="22"/>
  <c r="F2522" i="22"/>
  <c r="O2522" i="22" s="1"/>
  <c r="G2522" i="22"/>
  <c r="I2522" i="22"/>
  <c r="B2523" i="22"/>
  <c r="M2467" i="22"/>
  <c r="D2467" i="22"/>
  <c r="J2467" i="22"/>
  <c r="N2467" i="22" s="1"/>
  <c r="U2467" i="22" s="1"/>
  <c r="P2467" i="22"/>
  <c r="Q2467" i="22"/>
  <c r="R2467" i="22"/>
  <c r="L2468" i="22"/>
  <c r="C2468" i="22"/>
  <c r="K2468" i="22" s="1"/>
  <c r="E2468" i="22"/>
  <c r="F2468" i="22"/>
  <c r="O2468" i="22" s="1"/>
  <c r="G2468" i="22"/>
  <c r="I2468" i="22"/>
  <c r="B2469" i="22"/>
  <c r="M2413" i="22"/>
  <c r="D2413" i="22"/>
  <c r="J2413" i="22"/>
  <c r="N2413" i="22" s="1"/>
  <c r="U2413" i="22" s="1"/>
  <c r="P2413" i="22"/>
  <c r="Q2413" i="22"/>
  <c r="R2413" i="22"/>
  <c r="L2414" i="22"/>
  <c r="C2414" i="22"/>
  <c r="K2414" i="22" s="1"/>
  <c r="E2414" i="22"/>
  <c r="F2414" i="22"/>
  <c r="O2414" i="22" s="1"/>
  <c r="G2414" i="22"/>
  <c r="I2414" i="22"/>
  <c r="B2415" i="22"/>
  <c r="M2359" i="22"/>
  <c r="D2359" i="22"/>
  <c r="J2359" i="22"/>
  <c r="N2359" i="22" s="1"/>
  <c r="U2359" i="22" s="1"/>
  <c r="P2359" i="22"/>
  <c r="Q2359" i="22"/>
  <c r="R2359" i="22"/>
  <c r="L2360" i="22"/>
  <c r="C2360" i="22"/>
  <c r="K2360" i="22" s="1"/>
  <c r="E2360" i="22"/>
  <c r="F2360" i="22"/>
  <c r="O2360" i="22" s="1"/>
  <c r="G2360" i="22"/>
  <c r="I2360" i="22"/>
  <c r="B2361" i="22"/>
  <c r="M2305" i="22"/>
  <c r="D2305" i="22"/>
  <c r="J2305" i="22"/>
  <c r="N2305" i="22" s="1"/>
  <c r="U2305" i="22" s="1"/>
  <c r="P2305" i="22"/>
  <c r="Q2305" i="22"/>
  <c r="R2305" i="22"/>
  <c r="L2306" i="22"/>
  <c r="C2306" i="22"/>
  <c r="E2306" i="22"/>
  <c r="G2306" i="22"/>
  <c r="I2306" i="22"/>
  <c r="B2307" i="22"/>
  <c r="M2251" i="22"/>
  <c r="D2251" i="22"/>
  <c r="J2251" i="22"/>
  <c r="N2251" i="22" s="1"/>
  <c r="U2251" i="22" s="1"/>
  <c r="P2251" i="22"/>
  <c r="Q2251" i="22"/>
  <c r="R2251" i="22"/>
  <c r="L2252" i="22"/>
  <c r="C2252" i="22"/>
  <c r="K2252" i="22" s="1"/>
  <c r="E2252" i="22"/>
  <c r="F2252" i="22"/>
  <c r="O2252" i="22" s="1"/>
  <c r="G2252" i="22"/>
  <c r="I2252" i="22"/>
  <c r="B2253" i="22"/>
  <c r="M2197" i="22"/>
  <c r="D2197" i="22"/>
  <c r="J2197" i="22"/>
  <c r="N2197" i="22" s="1"/>
  <c r="U2197" i="22" s="1"/>
  <c r="P2197" i="22"/>
  <c r="Q2197" i="22"/>
  <c r="R2197" i="22"/>
  <c r="L2198" i="22"/>
  <c r="C2198" i="22"/>
  <c r="K2198" i="22" s="1"/>
  <c r="E2198" i="22"/>
  <c r="F2198" i="22"/>
  <c r="O2198" i="22" s="1"/>
  <c r="G2198" i="22"/>
  <c r="I2198" i="22"/>
  <c r="B2199" i="22"/>
  <c r="M2143" i="22"/>
  <c r="D2143" i="22"/>
  <c r="J2143" i="22"/>
  <c r="N2143" i="22" s="1"/>
  <c r="U2143" i="22" s="1"/>
  <c r="P2143" i="22"/>
  <c r="Q2143" i="22"/>
  <c r="R2143" i="22"/>
  <c r="L2144" i="22"/>
  <c r="C2144" i="22"/>
  <c r="K2144" i="22" s="1"/>
  <c r="E2144" i="22"/>
  <c r="F2144" i="22"/>
  <c r="O2144" i="22" s="1"/>
  <c r="G2144" i="22"/>
  <c r="I2144" i="22"/>
  <c r="B2145" i="22"/>
  <c r="D2089" i="22"/>
  <c r="J2089" i="22"/>
  <c r="P2089" i="22"/>
  <c r="Q2089" i="22"/>
  <c r="R2089" i="22"/>
  <c r="L2090" i="22"/>
  <c r="C2090" i="22"/>
  <c r="E2090" i="22"/>
  <c r="G2090" i="22"/>
  <c r="I2090" i="22"/>
  <c r="B2091" i="22"/>
  <c r="D2035" i="22"/>
  <c r="M2035" i="22" s="1"/>
  <c r="J2035" i="22"/>
  <c r="P2035" i="22"/>
  <c r="Q2035" i="22"/>
  <c r="R2035" i="22"/>
  <c r="L2036" i="22"/>
  <c r="C2036" i="22"/>
  <c r="E2036" i="22"/>
  <c r="G2036" i="22"/>
  <c r="I2036" i="22"/>
  <c r="B2037" i="22"/>
  <c r="M1981" i="22"/>
  <c r="D1981" i="22"/>
  <c r="J1981" i="22"/>
  <c r="N1981" i="22" s="1"/>
  <c r="U1981" i="22" s="1"/>
  <c r="P1981" i="22"/>
  <c r="Q1981" i="22"/>
  <c r="R1981" i="22"/>
  <c r="L1982" i="22"/>
  <c r="C1982" i="22"/>
  <c r="K1982" i="22" s="1"/>
  <c r="E1982" i="22"/>
  <c r="F1982" i="22"/>
  <c r="O1982" i="22" s="1"/>
  <c r="G1982" i="22"/>
  <c r="I1982" i="22"/>
  <c r="B1983" i="22"/>
  <c r="M1927" i="22"/>
  <c r="D1927" i="22"/>
  <c r="J1927" i="22"/>
  <c r="N1927" i="22" s="1"/>
  <c r="U1927" i="22" s="1"/>
  <c r="P1927" i="22"/>
  <c r="Q1927" i="22"/>
  <c r="R1927" i="22"/>
  <c r="L1928" i="22"/>
  <c r="C1928" i="22"/>
  <c r="K1928" i="22" s="1"/>
  <c r="E1928" i="22"/>
  <c r="F1928" i="22"/>
  <c r="O1928" i="22" s="1"/>
  <c r="G1928" i="22"/>
  <c r="I1928" i="22"/>
  <c r="B1929" i="22"/>
  <c r="M1873" i="22"/>
  <c r="D1873" i="22"/>
  <c r="J1873" i="22"/>
  <c r="N1873" i="22" s="1"/>
  <c r="U1873" i="22" s="1"/>
  <c r="P1873" i="22"/>
  <c r="Q1873" i="22"/>
  <c r="R1873" i="22"/>
  <c r="L1874" i="22"/>
  <c r="C1874" i="22"/>
  <c r="K1874" i="22" s="1"/>
  <c r="E1874" i="22"/>
  <c r="F1874" i="22"/>
  <c r="O1874" i="22" s="1"/>
  <c r="G1874" i="22"/>
  <c r="I1874" i="22"/>
  <c r="B1875" i="22"/>
  <c r="M1819" i="22"/>
  <c r="D1819" i="22"/>
  <c r="J1819" i="22"/>
  <c r="N1819" i="22" s="1"/>
  <c r="U1819" i="22" s="1"/>
  <c r="P1819" i="22"/>
  <c r="Q1819" i="22"/>
  <c r="R1819" i="22"/>
  <c r="L1820" i="22"/>
  <c r="C1820" i="22"/>
  <c r="K1820" i="22" s="1"/>
  <c r="E1820" i="22"/>
  <c r="F1820" i="22"/>
  <c r="O1820" i="22" s="1"/>
  <c r="G1820" i="22"/>
  <c r="I1820" i="22"/>
  <c r="B1821" i="22"/>
  <c r="D1765" i="22"/>
  <c r="J1765" i="22"/>
  <c r="P1765" i="22"/>
  <c r="Q1765" i="22"/>
  <c r="R1765" i="22"/>
  <c r="L1766" i="22"/>
  <c r="C1766" i="22"/>
  <c r="K1766" i="22" s="1"/>
  <c r="E1766" i="22"/>
  <c r="F1766" i="22"/>
  <c r="O1766" i="22" s="1"/>
  <c r="G1766" i="22"/>
  <c r="I1766" i="22"/>
  <c r="B1767" i="22"/>
  <c r="M1711" i="22"/>
  <c r="D1711" i="22"/>
  <c r="J1711" i="22"/>
  <c r="N1711" i="22" s="1"/>
  <c r="U1711" i="22" s="1"/>
  <c r="P1711" i="22"/>
  <c r="Q1711" i="22"/>
  <c r="R1711" i="22"/>
  <c r="L1712" i="22"/>
  <c r="C1712" i="22"/>
  <c r="K1712" i="22" s="1"/>
  <c r="E1712" i="22"/>
  <c r="F1712" i="22"/>
  <c r="O1712" i="22" s="1"/>
  <c r="G1712" i="22"/>
  <c r="I1712" i="22"/>
  <c r="B1713" i="22"/>
  <c r="M1657" i="22"/>
  <c r="D1657" i="22"/>
  <c r="J1657" i="22"/>
  <c r="N1657" i="22" s="1"/>
  <c r="U1657" i="22" s="1"/>
  <c r="P1657" i="22"/>
  <c r="Q1657" i="22"/>
  <c r="R1657" i="22"/>
  <c r="L1658" i="22"/>
  <c r="C1658" i="22"/>
  <c r="K1658" i="22" s="1"/>
  <c r="E1658" i="22"/>
  <c r="F1658" i="22"/>
  <c r="O1658" i="22" s="1"/>
  <c r="G1658" i="22"/>
  <c r="I1658" i="22"/>
  <c r="B1659" i="22"/>
  <c r="M1603" i="22"/>
  <c r="D1603" i="22"/>
  <c r="J1603" i="22"/>
  <c r="N1603" i="22" s="1"/>
  <c r="U1603" i="22" s="1"/>
  <c r="P1603" i="22"/>
  <c r="Q1603" i="22"/>
  <c r="R1603" i="22"/>
  <c r="L1604" i="22"/>
  <c r="C1604" i="22"/>
  <c r="K1604" i="22" s="1"/>
  <c r="E1604" i="22"/>
  <c r="F1604" i="22"/>
  <c r="O1604" i="22" s="1"/>
  <c r="G1604" i="22"/>
  <c r="I1604" i="22"/>
  <c r="B1605" i="22"/>
  <c r="M1549" i="22"/>
  <c r="D1549" i="22"/>
  <c r="J1549" i="22"/>
  <c r="N1549" i="22" s="1"/>
  <c r="U1549" i="22" s="1"/>
  <c r="P1549" i="22"/>
  <c r="Q1549" i="22"/>
  <c r="R1549" i="22"/>
  <c r="L1550" i="22"/>
  <c r="C1550" i="22"/>
  <c r="K1550" i="22" s="1"/>
  <c r="E1550" i="22"/>
  <c r="F1550" i="22"/>
  <c r="O1550" i="22" s="1"/>
  <c r="G1550" i="22"/>
  <c r="I1550" i="22"/>
  <c r="B1551" i="22"/>
  <c r="D1495" i="22"/>
  <c r="J1495" i="22"/>
  <c r="P1495" i="22"/>
  <c r="Q1495" i="22"/>
  <c r="R1495" i="22"/>
  <c r="L1496" i="22"/>
  <c r="C1496" i="22"/>
  <c r="E1496" i="22"/>
  <c r="G1496" i="22"/>
  <c r="I1496" i="22"/>
  <c r="B1497" i="22"/>
  <c r="D1441" i="22"/>
  <c r="J1441" i="22"/>
  <c r="P1441" i="22"/>
  <c r="Q1441" i="22"/>
  <c r="R1441" i="22"/>
  <c r="L1442" i="22"/>
  <c r="C1442" i="22"/>
  <c r="K1442" i="22" s="1"/>
  <c r="E1442" i="22"/>
  <c r="F1442" i="22"/>
  <c r="O1442" i="22" s="1"/>
  <c r="G1442" i="22"/>
  <c r="I1442" i="22"/>
  <c r="B1443" i="22"/>
  <c r="M1387" i="22"/>
  <c r="D1387" i="22"/>
  <c r="J1387" i="22"/>
  <c r="N1387" i="22" s="1"/>
  <c r="U1387" i="22" s="1"/>
  <c r="P1387" i="22"/>
  <c r="Q1387" i="22"/>
  <c r="R1387" i="22"/>
  <c r="L1388" i="22"/>
  <c r="C1388" i="22"/>
  <c r="K1388" i="22" s="1"/>
  <c r="E1388" i="22"/>
  <c r="F1388" i="22"/>
  <c r="O1388" i="22" s="1"/>
  <c r="G1388" i="22"/>
  <c r="I1388" i="22"/>
  <c r="B1389" i="22"/>
  <c r="M1333" i="22"/>
  <c r="D1333" i="22"/>
  <c r="J1333" i="22"/>
  <c r="N1333" i="22" s="1"/>
  <c r="U1333" i="22" s="1"/>
  <c r="P1333" i="22"/>
  <c r="Q1333" i="22"/>
  <c r="R1333" i="22"/>
  <c r="L1334" i="22"/>
  <c r="C1334" i="22"/>
  <c r="K1334" i="22" s="1"/>
  <c r="E1334" i="22"/>
  <c r="F1334" i="22"/>
  <c r="O1334" i="22" s="1"/>
  <c r="G1334" i="22"/>
  <c r="I1334" i="22"/>
  <c r="B1335" i="22"/>
  <c r="M1279" i="22"/>
  <c r="D1279" i="22"/>
  <c r="J1279" i="22"/>
  <c r="N1279" i="22" s="1"/>
  <c r="U1279" i="22" s="1"/>
  <c r="P1279" i="22"/>
  <c r="Q1279" i="22"/>
  <c r="R1279" i="22"/>
  <c r="L1280" i="22"/>
  <c r="C1280" i="22"/>
  <c r="E1280" i="22"/>
  <c r="G1280" i="22"/>
  <c r="I1280" i="22"/>
  <c r="B1281" i="22"/>
  <c r="D1225" i="22"/>
  <c r="J1225" i="22"/>
  <c r="P1225" i="22"/>
  <c r="Q1225" i="22"/>
  <c r="R1225" i="22"/>
  <c r="L1226" i="22"/>
  <c r="C1226" i="22"/>
  <c r="K1226" i="22" s="1"/>
  <c r="E1226" i="22"/>
  <c r="F1226" i="22"/>
  <c r="O1226" i="22" s="1"/>
  <c r="G1226" i="22"/>
  <c r="I1226" i="22"/>
  <c r="B1227" i="22"/>
  <c r="D1171" i="22"/>
  <c r="J1171" i="22"/>
  <c r="P1171" i="22"/>
  <c r="Q1171" i="22"/>
  <c r="R1171" i="22"/>
  <c r="L1172" i="22"/>
  <c r="C1172" i="22"/>
  <c r="K1172" i="22" s="1"/>
  <c r="E1172" i="22"/>
  <c r="F1172" i="22"/>
  <c r="O1172" i="22" s="1"/>
  <c r="G1172" i="22"/>
  <c r="I1172" i="22"/>
  <c r="B1173" i="22"/>
  <c r="M1117" i="22"/>
  <c r="D1117" i="22"/>
  <c r="J1117" i="22"/>
  <c r="N1117" i="22" s="1"/>
  <c r="U1117" i="22" s="1"/>
  <c r="P1117" i="22"/>
  <c r="Q1117" i="22"/>
  <c r="R1117" i="22"/>
  <c r="L1118" i="22"/>
  <c r="C1118" i="22"/>
  <c r="E1118" i="22"/>
  <c r="G1118" i="22"/>
  <c r="I1118" i="22"/>
  <c r="B1119" i="22"/>
  <c r="M1063" i="22"/>
  <c r="D1063" i="22"/>
  <c r="J1063" i="22"/>
  <c r="N1063" i="22" s="1"/>
  <c r="U1063" i="22" s="1"/>
  <c r="P1063" i="22"/>
  <c r="Q1063" i="22"/>
  <c r="R1063" i="22"/>
  <c r="L1064" i="22"/>
  <c r="C1064" i="22"/>
  <c r="K1064" i="22" s="1"/>
  <c r="E1064" i="22"/>
  <c r="F1064" i="22"/>
  <c r="O1064" i="22" s="1"/>
  <c r="G1064" i="22"/>
  <c r="I1064" i="22"/>
  <c r="B1065" i="22"/>
  <c r="M1009" i="22"/>
  <c r="D1009" i="22"/>
  <c r="J1009" i="22"/>
  <c r="N1009" i="22" s="1"/>
  <c r="U1009" i="22" s="1"/>
  <c r="P1009" i="22"/>
  <c r="Q1009" i="22"/>
  <c r="R1009" i="22"/>
  <c r="L1010" i="22"/>
  <c r="C1010" i="22"/>
  <c r="K1010" i="22" s="1"/>
  <c r="E1010" i="22"/>
  <c r="F1010" i="22"/>
  <c r="O1010" i="22" s="1"/>
  <c r="G1010" i="22"/>
  <c r="I1010" i="22"/>
  <c r="B1011" i="22"/>
  <c r="M955" i="22"/>
  <c r="D955" i="22"/>
  <c r="J955" i="22"/>
  <c r="N955" i="22" s="1"/>
  <c r="U955" i="22" s="1"/>
  <c r="P955" i="22"/>
  <c r="Q955" i="22"/>
  <c r="R955" i="22"/>
  <c r="L956" i="22"/>
  <c r="C956" i="22"/>
  <c r="K956" i="22" s="1"/>
  <c r="E956" i="22"/>
  <c r="F956" i="22"/>
  <c r="O956" i="22" s="1"/>
  <c r="G956" i="22"/>
  <c r="I956" i="22"/>
  <c r="B957" i="22"/>
  <c r="M901" i="22"/>
  <c r="D901" i="22"/>
  <c r="J901" i="22"/>
  <c r="N901" i="22" s="1"/>
  <c r="U901" i="22" s="1"/>
  <c r="P901" i="22"/>
  <c r="Q901" i="22"/>
  <c r="R901" i="22"/>
  <c r="L902" i="22"/>
  <c r="C902" i="22"/>
  <c r="K902" i="22" s="1"/>
  <c r="E902" i="22"/>
  <c r="F902" i="22"/>
  <c r="O902" i="22" s="1"/>
  <c r="G902" i="22"/>
  <c r="I902" i="22"/>
  <c r="B903" i="22"/>
  <c r="M847" i="22"/>
  <c r="D847" i="22"/>
  <c r="J847" i="22"/>
  <c r="N847" i="22" s="1"/>
  <c r="U847" i="22" s="1"/>
  <c r="P847" i="22"/>
  <c r="Q847" i="22"/>
  <c r="R847" i="22"/>
  <c r="L848" i="22"/>
  <c r="C848" i="22"/>
  <c r="E848" i="22"/>
  <c r="G848" i="22"/>
  <c r="I848" i="22"/>
  <c r="B849" i="22"/>
  <c r="M793" i="22"/>
  <c r="D793" i="22"/>
  <c r="J793" i="22"/>
  <c r="N793" i="22" s="1"/>
  <c r="U793" i="22" s="1"/>
  <c r="P793" i="22"/>
  <c r="Q793" i="22"/>
  <c r="R793" i="22"/>
  <c r="L794" i="22"/>
  <c r="C794" i="22"/>
  <c r="K794" i="22" s="1"/>
  <c r="E794" i="22"/>
  <c r="F794" i="22"/>
  <c r="O794" i="22" s="1"/>
  <c r="G794" i="22"/>
  <c r="I794" i="22"/>
  <c r="B795" i="22"/>
  <c r="D739" i="22"/>
  <c r="M739" i="22" s="1"/>
  <c r="J739" i="22"/>
  <c r="P739" i="22"/>
  <c r="Q739" i="22"/>
  <c r="R739" i="22"/>
  <c r="L740" i="22"/>
  <c r="C740" i="22"/>
  <c r="K740" i="22" s="1"/>
  <c r="E740" i="22"/>
  <c r="F740" i="22"/>
  <c r="O740" i="22" s="1"/>
  <c r="G740" i="22"/>
  <c r="I740" i="22"/>
  <c r="B741" i="22"/>
  <c r="M685" i="22"/>
  <c r="D685" i="22"/>
  <c r="J685" i="22"/>
  <c r="N685" i="22" s="1"/>
  <c r="U685" i="22" s="1"/>
  <c r="P685" i="22"/>
  <c r="Q685" i="22"/>
  <c r="R685" i="22"/>
  <c r="L686" i="22"/>
  <c r="C686" i="22"/>
  <c r="K686" i="22" s="1"/>
  <c r="E686" i="22"/>
  <c r="F686" i="22"/>
  <c r="O686" i="22" s="1"/>
  <c r="G686" i="22"/>
  <c r="I686" i="22"/>
  <c r="B687" i="22"/>
  <c r="M631" i="22"/>
  <c r="D631" i="22"/>
  <c r="J631" i="22"/>
  <c r="N631" i="22" s="1"/>
  <c r="U631" i="22" s="1"/>
  <c r="P631" i="22"/>
  <c r="Q631" i="22"/>
  <c r="R631" i="22"/>
  <c r="L632" i="22"/>
  <c r="C632" i="22"/>
  <c r="K632" i="22" s="1"/>
  <c r="E632" i="22"/>
  <c r="F632" i="22"/>
  <c r="O632" i="22" s="1"/>
  <c r="G632" i="22"/>
  <c r="I632" i="22"/>
  <c r="B633" i="22"/>
  <c r="D577" i="22"/>
  <c r="J577" i="22"/>
  <c r="P577" i="22"/>
  <c r="Q577" i="22"/>
  <c r="R577" i="22"/>
  <c r="L578" i="22"/>
  <c r="C578" i="22"/>
  <c r="K578" i="22" s="1"/>
  <c r="E578" i="22"/>
  <c r="F578" i="22"/>
  <c r="O578" i="22" s="1"/>
  <c r="G578" i="22"/>
  <c r="I578" i="22"/>
  <c r="B579" i="22"/>
  <c r="M523" i="22"/>
  <c r="D523" i="22"/>
  <c r="J523" i="22"/>
  <c r="N523" i="22" s="1"/>
  <c r="U523" i="22" s="1"/>
  <c r="P523" i="22"/>
  <c r="Q523" i="22"/>
  <c r="R523" i="22"/>
  <c r="L524" i="22"/>
  <c r="C524" i="22"/>
  <c r="E524" i="22"/>
  <c r="G524" i="22"/>
  <c r="I524" i="22"/>
  <c r="B525" i="22"/>
  <c r="M469" i="22"/>
  <c r="D469" i="22"/>
  <c r="J469" i="22"/>
  <c r="N469" i="22" s="1"/>
  <c r="U469" i="22" s="1"/>
  <c r="P469" i="22"/>
  <c r="Q469" i="22"/>
  <c r="R469" i="22"/>
  <c r="L470" i="22"/>
  <c r="C470" i="22"/>
  <c r="K470" i="22" s="1"/>
  <c r="E470" i="22"/>
  <c r="F470" i="22"/>
  <c r="O470" i="22" s="1"/>
  <c r="G470" i="22"/>
  <c r="I470" i="22"/>
  <c r="B471" i="22"/>
  <c r="M415" i="22"/>
  <c r="P415" i="22"/>
  <c r="Q415" i="22"/>
  <c r="R415" i="22"/>
  <c r="D415" i="22"/>
  <c r="J415" i="22"/>
  <c r="N415" i="22" s="1"/>
  <c r="U415" i="22" s="1"/>
  <c r="L416" i="22"/>
  <c r="E416" i="22"/>
  <c r="C416" i="22"/>
  <c r="K416" i="22" s="1"/>
  <c r="F416" i="22"/>
  <c r="O416" i="22" s="1"/>
  <c r="G416" i="22"/>
  <c r="I416" i="22"/>
  <c r="B417" i="22"/>
  <c r="M361" i="22"/>
  <c r="D361" i="22"/>
  <c r="J361" i="22"/>
  <c r="N361" i="22" s="1"/>
  <c r="U361" i="22" s="1"/>
  <c r="P361" i="22"/>
  <c r="Q361" i="22"/>
  <c r="R361" i="22"/>
  <c r="L362" i="22"/>
  <c r="C362" i="22"/>
  <c r="K362" i="22" s="1"/>
  <c r="E362" i="22"/>
  <c r="F362" i="22"/>
  <c r="O362" i="22" s="1"/>
  <c r="G362" i="22"/>
  <c r="I362" i="22"/>
  <c r="B363" i="22"/>
  <c r="M307" i="22"/>
  <c r="D307" i="22"/>
  <c r="J307" i="22"/>
  <c r="N307" i="22" s="1"/>
  <c r="U307" i="22" s="1"/>
  <c r="P307" i="22"/>
  <c r="Q307" i="22"/>
  <c r="R307" i="22"/>
  <c r="L308" i="22"/>
  <c r="C308" i="22"/>
  <c r="K308" i="22" s="1"/>
  <c r="E308" i="22"/>
  <c r="F308" i="22"/>
  <c r="O308" i="22" s="1"/>
  <c r="G308" i="22"/>
  <c r="I308" i="22"/>
  <c r="B309" i="22"/>
  <c r="D253" i="22"/>
  <c r="J253" i="22"/>
  <c r="P253" i="22"/>
  <c r="Q253" i="22"/>
  <c r="R253" i="22"/>
  <c r="L254" i="22"/>
  <c r="C254" i="22"/>
  <c r="K254" i="22" s="1"/>
  <c r="E254" i="22"/>
  <c r="F254" i="22"/>
  <c r="O254" i="22" s="1"/>
  <c r="G254" i="22"/>
  <c r="I254" i="22"/>
  <c r="B255" i="22"/>
  <c r="M199" i="22"/>
  <c r="D199" i="22"/>
  <c r="J199" i="22"/>
  <c r="N199" i="22" s="1"/>
  <c r="U199" i="22" s="1"/>
  <c r="P199" i="22"/>
  <c r="Q199" i="22"/>
  <c r="R199" i="22"/>
  <c r="L200" i="22"/>
  <c r="C200" i="22"/>
  <c r="E200" i="22"/>
  <c r="G200" i="22"/>
  <c r="B201" i="22"/>
  <c r="I200" i="22"/>
  <c r="M145" i="22"/>
  <c r="D145" i="22"/>
  <c r="J145" i="22"/>
  <c r="N145" i="22" s="1"/>
  <c r="U145" i="22" s="1"/>
  <c r="P145" i="22"/>
  <c r="Q145" i="22"/>
  <c r="R145" i="22"/>
  <c r="L146" i="22"/>
  <c r="C146" i="22"/>
  <c r="K146" i="22" s="1"/>
  <c r="E146" i="22"/>
  <c r="F146" i="22"/>
  <c r="O146" i="22" s="1"/>
  <c r="G146" i="22"/>
  <c r="I146" i="22"/>
  <c r="B147" i="22"/>
  <c r="M91" i="22"/>
  <c r="D91" i="22"/>
  <c r="J91" i="22"/>
  <c r="N91" i="22" s="1"/>
  <c r="U91" i="22" s="1"/>
  <c r="P91" i="22"/>
  <c r="Q91" i="22"/>
  <c r="R91" i="22"/>
  <c r="L92" i="22"/>
  <c r="C92" i="22"/>
  <c r="K92" i="22" s="1"/>
  <c r="E92" i="22"/>
  <c r="F92" i="22"/>
  <c r="O92" i="22" s="1"/>
  <c r="G92" i="22"/>
  <c r="I92" i="22"/>
  <c r="B93" i="22"/>
  <c r="M29" i="17"/>
  <c r="D29" i="17"/>
  <c r="J29" i="17"/>
  <c r="N29" i="17" s="1"/>
  <c r="U29" i="17" s="1"/>
  <c r="E81" i="12"/>
  <c r="O29" i="17"/>
  <c r="AG29" i="17"/>
  <c r="AF29" i="17"/>
  <c r="AE29" i="17"/>
  <c r="AD29" i="17"/>
  <c r="AC29" i="17"/>
  <c r="AB29" i="17"/>
  <c r="AA29" i="17"/>
  <c r="Z29" i="17"/>
  <c r="Y29" i="17"/>
  <c r="X29" i="17"/>
  <c r="W29" i="17"/>
  <c r="P29" i="17"/>
  <c r="Q29" i="17"/>
  <c r="R29" i="17"/>
  <c r="V29" i="17"/>
  <c r="L30" i="17"/>
  <c r="C30" i="17"/>
  <c r="E30" i="17"/>
  <c r="G30" i="17"/>
  <c r="I30" i="17"/>
  <c r="B31" i="17"/>
  <c r="B30" i="18"/>
  <c r="AK16" i="17"/>
  <c r="B95" i="12"/>
  <c r="I95" i="12" s="1"/>
  <c r="AJ15" i="17"/>
  <c r="AI17" i="17"/>
  <c r="AI18" i="17"/>
  <c r="AI19" i="17"/>
  <c r="AI20" i="17"/>
  <c r="AI21" i="17"/>
  <c r="AI22" i="17"/>
  <c r="AI23" i="17"/>
  <c r="AI24" i="17"/>
  <c r="AI25" i="17"/>
  <c r="AI26" i="17"/>
  <c r="AI27" i="17"/>
  <c r="AI28" i="17"/>
  <c r="AI29" i="17"/>
  <c r="AI30" i="17"/>
  <c r="M1493" i="23"/>
  <c r="N1493" i="23"/>
  <c r="AE1493" i="23" s="1"/>
  <c r="M1437" i="23"/>
  <c r="N1437" i="23"/>
  <c r="AE1437" i="23" s="1"/>
  <c r="M1269" i="23"/>
  <c r="N1269" i="23"/>
  <c r="AE1269" i="23" s="1"/>
  <c r="M1213" i="23"/>
  <c r="N1213" i="23"/>
  <c r="AE1213" i="23" s="1"/>
  <c r="M1045" i="23"/>
  <c r="N1045" i="23"/>
  <c r="AE1045" i="23" s="1"/>
  <c r="M821" i="23"/>
  <c r="N821" i="23"/>
  <c r="AE821" i="23" s="1"/>
  <c r="M541" i="23"/>
  <c r="N541" i="23"/>
  <c r="AE541" i="23" s="1"/>
  <c r="M3708" i="22"/>
  <c r="N3708" i="22"/>
  <c r="U3708" i="22" s="1"/>
  <c r="M3114" i="22"/>
  <c r="N3114" i="22"/>
  <c r="U3114" i="22" s="1"/>
  <c r="N3060" i="22"/>
  <c r="U3060" i="22" s="1"/>
  <c r="M3060" i="22"/>
  <c r="N3006" i="22"/>
  <c r="U3006" i="22" s="1"/>
  <c r="M3006" i="22"/>
  <c r="N2952" i="22"/>
  <c r="U2952" i="22" s="1"/>
  <c r="M2952" i="22"/>
  <c r="M2520" i="22"/>
  <c r="N2520" i="22"/>
  <c r="U2520" i="22" s="1"/>
  <c r="M1818" i="22"/>
  <c r="N1818" i="22"/>
  <c r="U1818" i="22" s="1"/>
  <c r="M414" i="22"/>
  <c r="N414" i="22"/>
  <c r="U414" i="22" s="1"/>
  <c r="K1494" i="23"/>
  <c r="F1494" i="23"/>
  <c r="O1494" i="23" s="1"/>
  <c r="K1438" i="23"/>
  <c r="F1438" i="23"/>
  <c r="O1438" i="23" s="1"/>
  <c r="K1382" i="23"/>
  <c r="F1382" i="23"/>
  <c r="O1382" i="23" s="1"/>
  <c r="F1214" i="23"/>
  <c r="O1214" i="23" s="1"/>
  <c r="K1214" i="23"/>
  <c r="K1046" i="23"/>
  <c r="F1046" i="23"/>
  <c r="O1046" i="23" s="1"/>
  <c r="K430" i="23"/>
  <c r="F430" i="23"/>
  <c r="O430" i="23" s="1"/>
  <c r="F374" i="23"/>
  <c r="O374" i="23" s="1"/>
  <c r="K374" i="23"/>
  <c r="F4687" i="22"/>
  <c r="K4687" i="22"/>
  <c r="K4525" i="22"/>
  <c r="F4525" i="22"/>
  <c r="F3655" i="22"/>
  <c r="O3655" i="22" s="1"/>
  <c r="K3655" i="22"/>
  <c r="K3439" i="22"/>
  <c r="F3439" i="22"/>
  <c r="O3439" i="22" s="1"/>
  <c r="K3385" i="22"/>
  <c r="F3385" i="22"/>
  <c r="O3385" i="22" s="1"/>
  <c r="F3115" i="22"/>
  <c r="O3115" i="22" s="1"/>
  <c r="K3115" i="22"/>
  <c r="K3061" i="22"/>
  <c r="F3061" i="22"/>
  <c r="O3061" i="22" s="1"/>
  <c r="F3007" i="22"/>
  <c r="O3007" i="22" s="1"/>
  <c r="K3007" i="22"/>
  <c r="K2953" i="22"/>
  <c r="F2953" i="22"/>
  <c r="O2953" i="22" s="1"/>
  <c r="F2737" i="22"/>
  <c r="O2737" i="22" s="1"/>
  <c r="K2737" i="22"/>
  <c r="K2683" i="22"/>
  <c r="F2683" i="22"/>
  <c r="O2683" i="22" s="1"/>
  <c r="K2089" i="22"/>
  <c r="F2089" i="22"/>
  <c r="O2089" i="22" s="1"/>
  <c r="K1765" i="22"/>
  <c r="F1765" i="22"/>
  <c r="O1765" i="22" s="1"/>
  <c r="F1495" i="22"/>
  <c r="O1495" i="22" s="1"/>
  <c r="K1495" i="22"/>
  <c r="F1441" i="22"/>
  <c r="O1441" i="22" s="1"/>
  <c r="K1441" i="22"/>
  <c r="K1225" i="22"/>
  <c r="F1225" i="22"/>
  <c r="O1225" i="22" s="1"/>
  <c r="K1171" i="22"/>
  <c r="F1171" i="22"/>
  <c r="O1171" i="22" s="1"/>
  <c r="F577" i="22"/>
  <c r="O577" i="22" s="1"/>
  <c r="K577" i="22"/>
  <c r="F253" i="22"/>
  <c r="O253" i="22" s="1"/>
  <c r="K253" i="22"/>
  <c r="F28" i="18"/>
  <c r="G28" i="18"/>
  <c r="H28" i="18"/>
  <c r="N2035" i="22" l="1"/>
  <c r="U2035" i="22" s="1"/>
  <c r="N3331" i="22"/>
  <c r="U3331" i="22" s="1"/>
  <c r="N739" i="22"/>
  <c r="U739" i="22" s="1"/>
  <c r="F2954" i="22"/>
  <c r="O2954" i="22" s="1"/>
  <c r="K2954" i="22"/>
  <c r="K2306" i="22"/>
  <c r="F2306" i="22"/>
  <c r="O2306" i="22" s="1"/>
  <c r="K2036" i="22"/>
  <c r="F2036" i="22"/>
  <c r="O2036" i="22" s="1"/>
  <c r="K1280" i="22"/>
  <c r="F1280" i="22"/>
  <c r="O1280" i="22" s="1"/>
  <c r="K30" i="17"/>
  <c r="F30" i="17"/>
  <c r="C30" i="18" s="1"/>
  <c r="E30" i="18" s="1"/>
  <c r="M1607" i="23"/>
  <c r="J1607" i="23"/>
  <c r="N1607" i="23" s="1"/>
  <c r="D1607" i="23"/>
  <c r="P1607" i="23"/>
  <c r="Q1607" i="23"/>
  <c r="R1607" i="23"/>
  <c r="I1608" i="23"/>
  <c r="L1608" i="23"/>
  <c r="C1608" i="23"/>
  <c r="K1608" i="23" s="1"/>
  <c r="E1608" i="23"/>
  <c r="F1608" i="23"/>
  <c r="O1608" i="23" s="1"/>
  <c r="G1608" i="23"/>
  <c r="B1609" i="23"/>
  <c r="M1551" i="23"/>
  <c r="J1551" i="23"/>
  <c r="N1551" i="23" s="1"/>
  <c r="AE1551" i="23" s="1"/>
  <c r="D1551" i="23"/>
  <c r="P1551" i="23"/>
  <c r="Q1551" i="23"/>
  <c r="R1551" i="23"/>
  <c r="L1552" i="23"/>
  <c r="I1552" i="23"/>
  <c r="C1552" i="23"/>
  <c r="K1552" i="23" s="1"/>
  <c r="E1552" i="23"/>
  <c r="F1552" i="23"/>
  <c r="O1552" i="23" s="1"/>
  <c r="G1552" i="23"/>
  <c r="B1553" i="23"/>
  <c r="M1495" i="23"/>
  <c r="J1495" i="23"/>
  <c r="N1495" i="23" s="1"/>
  <c r="AE1495" i="23" s="1"/>
  <c r="D1495" i="23"/>
  <c r="P1495" i="23"/>
  <c r="Q1495" i="23"/>
  <c r="R1495" i="23"/>
  <c r="L1496" i="23"/>
  <c r="I1496" i="23"/>
  <c r="C1496" i="23"/>
  <c r="K1496" i="23" s="1"/>
  <c r="E1496" i="23"/>
  <c r="F1496" i="23"/>
  <c r="O1496" i="23" s="1"/>
  <c r="G1496" i="23"/>
  <c r="B1497" i="23"/>
  <c r="J1439" i="23"/>
  <c r="D1439" i="23"/>
  <c r="P1439" i="23"/>
  <c r="Q1439" i="23"/>
  <c r="R1439" i="23"/>
  <c r="L1440" i="23"/>
  <c r="I1440" i="23"/>
  <c r="C1440" i="23"/>
  <c r="E1440" i="23"/>
  <c r="G1440" i="23"/>
  <c r="B1441" i="23"/>
  <c r="J1383" i="23"/>
  <c r="D1383" i="23"/>
  <c r="P1383" i="23"/>
  <c r="Q1383" i="23"/>
  <c r="R1383" i="23"/>
  <c r="L1384" i="23"/>
  <c r="I1384" i="23"/>
  <c r="E1384" i="23"/>
  <c r="G1384" i="23"/>
  <c r="B1385" i="23"/>
  <c r="C1384" i="23"/>
  <c r="J1327" i="23"/>
  <c r="D1327" i="23"/>
  <c r="M1327" i="23" s="1"/>
  <c r="P1327" i="23"/>
  <c r="Q1327" i="23"/>
  <c r="R1327" i="23"/>
  <c r="L1328" i="23"/>
  <c r="I1328" i="23"/>
  <c r="C1328" i="23"/>
  <c r="K1328" i="23" s="1"/>
  <c r="E1328" i="23"/>
  <c r="F1328" i="23"/>
  <c r="O1328" i="23" s="1"/>
  <c r="G1328" i="23"/>
  <c r="B1329" i="23"/>
  <c r="M1271" i="23"/>
  <c r="J1271" i="23"/>
  <c r="N1271" i="23" s="1"/>
  <c r="AE1271" i="23" s="1"/>
  <c r="D1271" i="23"/>
  <c r="P1271" i="23"/>
  <c r="Q1271" i="23"/>
  <c r="R1271" i="23"/>
  <c r="L1272" i="23"/>
  <c r="I1272" i="23"/>
  <c r="C1272" i="23"/>
  <c r="K1272" i="23" s="1"/>
  <c r="E1272" i="23"/>
  <c r="F1272" i="23"/>
  <c r="O1272" i="23" s="1"/>
  <c r="G1272" i="23"/>
  <c r="B1273" i="23"/>
  <c r="J1215" i="23"/>
  <c r="D1215" i="23"/>
  <c r="P1215" i="23"/>
  <c r="Q1215" i="23"/>
  <c r="R1215" i="23"/>
  <c r="L1216" i="23"/>
  <c r="I1216" i="23"/>
  <c r="C1216" i="23"/>
  <c r="K1216" i="23" s="1"/>
  <c r="E1216" i="23"/>
  <c r="F1216" i="23"/>
  <c r="O1216" i="23" s="1"/>
  <c r="G1216" i="23"/>
  <c r="B1217" i="23"/>
  <c r="M1159" i="23"/>
  <c r="J1159" i="23"/>
  <c r="N1159" i="23" s="1"/>
  <c r="AE1159" i="23" s="1"/>
  <c r="D1159" i="23"/>
  <c r="P1159" i="23"/>
  <c r="Q1159" i="23"/>
  <c r="R1159" i="23"/>
  <c r="L1160" i="23"/>
  <c r="I1160" i="23"/>
  <c r="C1160" i="23"/>
  <c r="K1160" i="23" s="1"/>
  <c r="E1160" i="23"/>
  <c r="F1160" i="23"/>
  <c r="O1160" i="23" s="1"/>
  <c r="G1160" i="23"/>
  <c r="B1161" i="23"/>
  <c r="M1103" i="23"/>
  <c r="J1103" i="23"/>
  <c r="N1103" i="23" s="1"/>
  <c r="AE1103" i="23" s="1"/>
  <c r="D1103" i="23"/>
  <c r="P1103" i="23"/>
  <c r="Q1103" i="23"/>
  <c r="R1103" i="23"/>
  <c r="L1104" i="23"/>
  <c r="I1104" i="23"/>
  <c r="C1104" i="23"/>
  <c r="K1104" i="23" s="1"/>
  <c r="E1104" i="23"/>
  <c r="F1104" i="23"/>
  <c r="O1104" i="23" s="1"/>
  <c r="G1104" i="23"/>
  <c r="B1105" i="23"/>
  <c r="M1047" i="23"/>
  <c r="P1047" i="23"/>
  <c r="Q1047" i="23"/>
  <c r="R1047" i="23"/>
  <c r="J1047" i="23"/>
  <c r="N1047" i="23" s="1"/>
  <c r="AE1047" i="23" s="1"/>
  <c r="D1047" i="23"/>
  <c r="L1048" i="23"/>
  <c r="I1048" i="23"/>
  <c r="E1048" i="23"/>
  <c r="C1048" i="23"/>
  <c r="K1048" i="23" s="1"/>
  <c r="F1048" i="23"/>
  <c r="O1048" i="23" s="1"/>
  <c r="G1048" i="23"/>
  <c r="B1049" i="23"/>
  <c r="M991" i="23"/>
  <c r="J991" i="23"/>
  <c r="N991" i="23" s="1"/>
  <c r="AE991" i="23" s="1"/>
  <c r="D991" i="23"/>
  <c r="P991" i="23"/>
  <c r="Q991" i="23"/>
  <c r="R991" i="23"/>
  <c r="L992" i="23"/>
  <c r="I992" i="23"/>
  <c r="C992" i="23"/>
  <c r="E992" i="23"/>
  <c r="G992" i="23"/>
  <c r="B993" i="23"/>
  <c r="J935" i="23"/>
  <c r="D935" i="23"/>
  <c r="Q935" i="23"/>
  <c r="R935" i="23"/>
  <c r="P935" i="23"/>
  <c r="L936" i="23"/>
  <c r="I936" i="23"/>
  <c r="C936" i="23"/>
  <c r="K936" i="23" s="1"/>
  <c r="E936" i="23"/>
  <c r="F936" i="23"/>
  <c r="O936" i="23" s="1"/>
  <c r="G936" i="23"/>
  <c r="B937" i="23"/>
  <c r="M879" i="23"/>
  <c r="J879" i="23"/>
  <c r="N879" i="23" s="1"/>
  <c r="AE879" i="23" s="1"/>
  <c r="D879" i="23"/>
  <c r="P879" i="23"/>
  <c r="Q879" i="23"/>
  <c r="R879" i="23"/>
  <c r="L880" i="23"/>
  <c r="I880" i="23"/>
  <c r="C880" i="23"/>
  <c r="K880" i="23" s="1"/>
  <c r="E880" i="23"/>
  <c r="F880" i="23"/>
  <c r="O880" i="23" s="1"/>
  <c r="G880" i="23"/>
  <c r="B881" i="23"/>
  <c r="M823" i="23"/>
  <c r="J823" i="23"/>
  <c r="N823" i="23" s="1"/>
  <c r="AE823" i="23" s="1"/>
  <c r="D823" i="23"/>
  <c r="P823" i="23"/>
  <c r="Q823" i="23"/>
  <c r="R823" i="23"/>
  <c r="L824" i="23"/>
  <c r="I824" i="23"/>
  <c r="C824" i="23"/>
  <c r="K824" i="23" s="1"/>
  <c r="E824" i="23"/>
  <c r="F824" i="23"/>
  <c r="O824" i="23" s="1"/>
  <c r="G824" i="23"/>
  <c r="B825" i="23"/>
  <c r="M767" i="23"/>
  <c r="J767" i="23"/>
  <c r="N767" i="23" s="1"/>
  <c r="AE767" i="23" s="1"/>
  <c r="D767" i="23"/>
  <c r="P767" i="23"/>
  <c r="Q767" i="23"/>
  <c r="R767" i="23"/>
  <c r="L768" i="23"/>
  <c r="I768" i="23"/>
  <c r="C768" i="23"/>
  <c r="K768" i="23" s="1"/>
  <c r="E768" i="23"/>
  <c r="F768" i="23"/>
  <c r="O768" i="23" s="1"/>
  <c r="G768" i="23"/>
  <c r="B769" i="23"/>
  <c r="M711" i="23"/>
  <c r="J711" i="23"/>
  <c r="N711" i="23" s="1"/>
  <c r="AE711" i="23" s="1"/>
  <c r="D711" i="23"/>
  <c r="P711" i="23"/>
  <c r="Q711" i="23"/>
  <c r="R711" i="23"/>
  <c r="L712" i="23"/>
  <c r="I712" i="23"/>
  <c r="C712" i="23"/>
  <c r="K712" i="23" s="1"/>
  <c r="E712" i="23"/>
  <c r="F712" i="23"/>
  <c r="O712" i="23" s="1"/>
  <c r="G712" i="23"/>
  <c r="B713" i="23"/>
  <c r="J655" i="23"/>
  <c r="D655" i="23"/>
  <c r="M655" i="23" s="1"/>
  <c r="P655" i="23"/>
  <c r="Q655" i="23"/>
  <c r="R655" i="23"/>
  <c r="L656" i="23"/>
  <c r="I656" i="23"/>
  <c r="C656" i="23"/>
  <c r="E656" i="23"/>
  <c r="G656" i="23"/>
  <c r="B657" i="23"/>
  <c r="M599" i="23"/>
  <c r="J599" i="23"/>
  <c r="N599" i="23" s="1"/>
  <c r="AE599" i="23" s="1"/>
  <c r="D599" i="23"/>
  <c r="P599" i="23"/>
  <c r="Q599" i="23"/>
  <c r="R599" i="23"/>
  <c r="L600" i="23"/>
  <c r="I600" i="23"/>
  <c r="C600" i="23"/>
  <c r="K600" i="23" s="1"/>
  <c r="E600" i="23"/>
  <c r="F600" i="23"/>
  <c r="O600" i="23" s="1"/>
  <c r="G600" i="23"/>
  <c r="B601" i="23"/>
  <c r="M543" i="23"/>
  <c r="J543" i="23"/>
  <c r="N543" i="23" s="1"/>
  <c r="AE543" i="23" s="1"/>
  <c r="D543" i="23"/>
  <c r="P543" i="23"/>
  <c r="Q543" i="23"/>
  <c r="R543" i="23"/>
  <c r="L544" i="23"/>
  <c r="I544" i="23"/>
  <c r="C544" i="23"/>
  <c r="K544" i="23" s="1"/>
  <c r="E544" i="23"/>
  <c r="F544" i="23"/>
  <c r="O544" i="23" s="1"/>
  <c r="G544" i="23"/>
  <c r="B545" i="23"/>
  <c r="M487" i="23"/>
  <c r="J487" i="23"/>
  <c r="N487" i="23" s="1"/>
  <c r="AE487" i="23" s="1"/>
  <c r="D487" i="23"/>
  <c r="P487" i="23"/>
  <c r="Q487" i="23"/>
  <c r="R487" i="23"/>
  <c r="L488" i="23"/>
  <c r="I488" i="23"/>
  <c r="C488" i="23"/>
  <c r="K488" i="23" s="1"/>
  <c r="E488" i="23"/>
  <c r="F488" i="23"/>
  <c r="O488" i="23" s="1"/>
  <c r="G488" i="23"/>
  <c r="B489" i="23"/>
  <c r="P431" i="23"/>
  <c r="Q431" i="23"/>
  <c r="R431" i="23"/>
  <c r="L432" i="23"/>
  <c r="I432" i="23"/>
  <c r="E432" i="23"/>
  <c r="C432" i="23"/>
  <c r="G432" i="23"/>
  <c r="B433" i="23"/>
  <c r="J431" i="23"/>
  <c r="D431" i="23"/>
  <c r="M375" i="23"/>
  <c r="J375" i="23"/>
  <c r="N375" i="23" s="1"/>
  <c r="AE375" i="23" s="1"/>
  <c r="D375" i="23"/>
  <c r="P375" i="23"/>
  <c r="Q375" i="23"/>
  <c r="R375" i="23"/>
  <c r="L376" i="23"/>
  <c r="I376" i="23"/>
  <c r="C376" i="23"/>
  <c r="K376" i="23" s="1"/>
  <c r="E376" i="23"/>
  <c r="F376" i="23"/>
  <c r="O376" i="23" s="1"/>
  <c r="G376" i="23"/>
  <c r="B377" i="23"/>
  <c r="M319" i="23"/>
  <c r="J319" i="23"/>
  <c r="N319" i="23" s="1"/>
  <c r="AE319" i="23" s="1"/>
  <c r="D319" i="23"/>
  <c r="P319" i="23"/>
  <c r="Q319" i="23"/>
  <c r="R319" i="23"/>
  <c r="L320" i="23"/>
  <c r="I320" i="23"/>
  <c r="C320" i="23"/>
  <c r="K320" i="23" s="1"/>
  <c r="E320" i="23"/>
  <c r="F320" i="23"/>
  <c r="O320" i="23" s="1"/>
  <c r="G320" i="23"/>
  <c r="B321" i="23"/>
  <c r="M263" i="23"/>
  <c r="J263" i="23"/>
  <c r="N263" i="23" s="1"/>
  <c r="AE263" i="23" s="1"/>
  <c r="D263" i="23"/>
  <c r="P263" i="23"/>
  <c r="Q263" i="23"/>
  <c r="R263" i="23"/>
  <c r="L264" i="23"/>
  <c r="I264" i="23"/>
  <c r="C264" i="23"/>
  <c r="K264" i="23" s="1"/>
  <c r="E264" i="23"/>
  <c r="F264" i="23"/>
  <c r="O264" i="23" s="1"/>
  <c r="G264" i="23"/>
  <c r="B265" i="23"/>
  <c r="D4742" i="22"/>
  <c r="J4742" i="22"/>
  <c r="N4742" i="22" s="1"/>
  <c r="P4742" i="22"/>
  <c r="Q4742" i="22"/>
  <c r="R4742" i="22"/>
  <c r="M4742" i="22"/>
  <c r="C4743" i="22"/>
  <c r="E4743" i="22"/>
  <c r="F4743" i="22"/>
  <c r="G4743" i="22"/>
  <c r="I4743" i="22"/>
  <c r="K4743" i="22"/>
  <c r="L4743" i="22"/>
  <c r="B4744" i="22"/>
  <c r="S4687" i="22"/>
  <c r="U4687" i="22"/>
  <c r="M4688" i="22"/>
  <c r="D4688" i="22"/>
  <c r="J4688" i="22"/>
  <c r="N4688" i="22" s="1"/>
  <c r="P4688" i="22"/>
  <c r="Q4688" i="22"/>
  <c r="R4688" i="22"/>
  <c r="L4689" i="22"/>
  <c r="C4689" i="22"/>
  <c r="K4689" i="22" s="1"/>
  <c r="E4689" i="22"/>
  <c r="F4689" i="22"/>
  <c r="G4689" i="22"/>
  <c r="I4689" i="22"/>
  <c r="B4690" i="22"/>
  <c r="P4634" i="22"/>
  <c r="Q4634" i="22"/>
  <c r="R4634" i="22"/>
  <c r="C4635" i="22"/>
  <c r="E4635" i="22"/>
  <c r="G4635" i="22"/>
  <c r="B4636" i="22"/>
  <c r="M4580" i="22"/>
  <c r="J4580" i="22"/>
  <c r="N4580" i="22" s="1"/>
  <c r="D4580" i="22"/>
  <c r="P4580" i="22"/>
  <c r="Q4580" i="22"/>
  <c r="R4580" i="22"/>
  <c r="I4581" i="22"/>
  <c r="L4581" i="22"/>
  <c r="C4581" i="22"/>
  <c r="E4581" i="22"/>
  <c r="G4581" i="22"/>
  <c r="B4582" i="22"/>
  <c r="M4526" i="22"/>
  <c r="D4526" i="22"/>
  <c r="J4526" i="22"/>
  <c r="N4526" i="22" s="1"/>
  <c r="P4526" i="22"/>
  <c r="Q4526" i="22"/>
  <c r="R4526" i="22"/>
  <c r="L4527" i="22"/>
  <c r="C4527" i="22"/>
  <c r="K4527" i="22" s="1"/>
  <c r="E4527" i="22"/>
  <c r="F4527" i="22"/>
  <c r="G4527" i="22"/>
  <c r="I4527" i="22"/>
  <c r="B4528" i="22"/>
  <c r="M4226" i="22"/>
  <c r="D4226" i="22"/>
  <c r="J4226" i="22"/>
  <c r="N4226" i="22" s="1"/>
  <c r="U4226" i="22" s="1"/>
  <c r="P4226" i="22"/>
  <c r="Q4226" i="22"/>
  <c r="R4226" i="22"/>
  <c r="L4227" i="22"/>
  <c r="C4227" i="22"/>
  <c r="K4227" i="22" s="1"/>
  <c r="E4227" i="22"/>
  <c r="F4227" i="22"/>
  <c r="O4227" i="22" s="1"/>
  <c r="G4227" i="22"/>
  <c r="I4227" i="22"/>
  <c r="B4228" i="22"/>
  <c r="M4172" i="22"/>
  <c r="D4172" i="22"/>
  <c r="J4172" i="22"/>
  <c r="N4172" i="22" s="1"/>
  <c r="U4172" i="22" s="1"/>
  <c r="P4172" i="22"/>
  <c r="Q4172" i="22"/>
  <c r="R4172" i="22"/>
  <c r="L4173" i="22"/>
  <c r="C4173" i="22"/>
  <c r="K4173" i="22" s="1"/>
  <c r="E4173" i="22"/>
  <c r="F4173" i="22"/>
  <c r="O4173" i="22" s="1"/>
  <c r="G4173" i="22"/>
  <c r="I4173" i="22"/>
  <c r="B4174" i="22"/>
  <c r="M4118" i="22"/>
  <c r="D4118" i="22"/>
  <c r="J4118" i="22"/>
  <c r="N4118" i="22" s="1"/>
  <c r="U4118" i="22" s="1"/>
  <c r="P4118" i="22"/>
  <c r="Q4118" i="22"/>
  <c r="R4118" i="22"/>
  <c r="L4119" i="22"/>
  <c r="C4119" i="22"/>
  <c r="K4119" i="22" s="1"/>
  <c r="E4119" i="22"/>
  <c r="F4119" i="22"/>
  <c r="O4119" i="22" s="1"/>
  <c r="G4119" i="22"/>
  <c r="I4119" i="22"/>
  <c r="B4120" i="22"/>
  <c r="M4064" i="22"/>
  <c r="D4064" i="22"/>
  <c r="J4064" i="22"/>
  <c r="N4064" i="22" s="1"/>
  <c r="U4064" i="22" s="1"/>
  <c r="P4064" i="22"/>
  <c r="Q4064" i="22"/>
  <c r="R4064" i="22"/>
  <c r="L4065" i="22"/>
  <c r="C4065" i="22"/>
  <c r="K4065" i="22" s="1"/>
  <c r="E4065" i="22"/>
  <c r="F4065" i="22"/>
  <c r="O4065" i="22" s="1"/>
  <c r="G4065" i="22"/>
  <c r="I4065" i="22"/>
  <c r="B4066" i="22"/>
  <c r="M3764" i="22"/>
  <c r="D3764" i="22"/>
  <c r="J3764" i="22"/>
  <c r="N3764" i="22" s="1"/>
  <c r="U3764" i="22" s="1"/>
  <c r="P3764" i="22"/>
  <c r="Q3764" i="22"/>
  <c r="R3764" i="22"/>
  <c r="L3765" i="22"/>
  <c r="C3765" i="22"/>
  <c r="K3765" i="22" s="1"/>
  <c r="E3765" i="22"/>
  <c r="F3765" i="22"/>
  <c r="O3765" i="22" s="1"/>
  <c r="G3765" i="22"/>
  <c r="I3765" i="22"/>
  <c r="B3766" i="22"/>
  <c r="D3710" i="22"/>
  <c r="J3710" i="22"/>
  <c r="P3710" i="22"/>
  <c r="Q3710" i="22"/>
  <c r="R3710" i="22"/>
  <c r="L3711" i="22"/>
  <c r="C3711" i="22"/>
  <c r="E3711" i="22"/>
  <c r="G3711" i="22"/>
  <c r="I3711" i="22"/>
  <c r="B3712" i="22"/>
  <c r="M3656" i="22"/>
  <c r="D3656" i="22"/>
  <c r="J3656" i="22"/>
  <c r="N3656" i="22" s="1"/>
  <c r="U3656" i="22" s="1"/>
  <c r="P3656" i="22"/>
  <c r="Q3656" i="22"/>
  <c r="R3656" i="22"/>
  <c r="L3657" i="22"/>
  <c r="C3657" i="22"/>
  <c r="E3657" i="22"/>
  <c r="G3657" i="22"/>
  <c r="I3657" i="22"/>
  <c r="B3658" i="22"/>
  <c r="M3602" i="22"/>
  <c r="D3602" i="22"/>
  <c r="J3602" i="22"/>
  <c r="N3602" i="22" s="1"/>
  <c r="U3602" i="22" s="1"/>
  <c r="P3602" i="22"/>
  <c r="Q3602" i="22"/>
  <c r="R3602" i="22"/>
  <c r="L3603" i="22"/>
  <c r="C3603" i="22"/>
  <c r="K3603" i="22" s="1"/>
  <c r="E3603" i="22"/>
  <c r="F3603" i="22"/>
  <c r="O3603" i="22" s="1"/>
  <c r="G3603" i="22"/>
  <c r="I3603" i="22"/>
  <c r="B3604" i="22"/>
  <c r="P3548" i="22"/>
  <c r="Q3548" i="22"/>
  <c r="R3548" i="22"/>
  <c r="D3548" i="22"/>
  <c r="J3548" i="22"/>
  <c r="L3549" i="22"/>
  <c r="G3549" i="22"/>
  <c r="I3549" i="22"/>
  <c r="B3550" i="22"/>
  <c r="C3549" i="22"/>
  <c r="E3549" i="22"/>
  <c r="M3494" i="22"/>
  <c r="D3494" i="22"/>
  <c r="J3494" i="22"/>
  <c r="N3494" i="22" s="1"/>
  <c r="U3494" i="22" s="1"/>
  <c r="P3494" i="22"/>
  <c r="Q3494" i="22"/>
  <c r="R3494" i="22"/>
  <c r="L3495" i="22"/>
  <c r="C3495" i="22"/>
  <c r="K3495" i="22" s="1"/>
  <c r="E3495" i="22"/>
  <c r="F3495" i="22"/>
  <c r="O3495" i="22" s="1"/>
  <c r="G3495" i="22"/>
  <c r="I3495" i="22"/>
  <c r="B3496" i="22"/>
  <c r="M3440" i="22"/>
  <c r="D3440" i="22"/>
  <c r="J3440" i="22"/>
  <c r="N3440" i="22" s="1"/>
  <c r="U3440" i="22" s="1"/>
  <c r="P3440" i="22"/>
  <c r="Q3440" i="22"/>
  <c r="R3440" i="22"/>
  <c r="L3441" i="22"/>
  <c r="C3441" i="22"/>
  <c r="K3441" i="22" s="1"/>
  <c r="E3441" i="22"/>
  <c r="F3441" i="22"/>
  <c r="O3441" i="22" s="1"/>
  <c r="G3441" i="22"/>
  <c r="I3441" i="22"/>
  <c r="B3442" i="22"/>
  <c r="D3386" i="22"/>
  <c r="J3386" i="22"/>
  <c r="P3386" i="22"/>
  <c r="Q3386" i="22"/>
  <c r="R3386" i="22"/>
  <c r="L3387" i="22"/>
  <c r="C3387" i="22"/>
  <c r="K3387" i="22" s="1"/>
  <c r="E3387" i="22"/>
  <c r="F3387" i="22"/>
  <c r="O3387" i="22" s="1"/>
  <c r="G3387" i="22"/>
  <c r="I3387" i="22"/>
  <c r="B3388" i="22"/>
  <c r="D3332" i="22"/>
  <c r="J3332" i="22"/>
  <c r="P3332" i="22"/>
  <c r="Q3332" i="22"/>
  <c r="R3332" i="22"/>
  <c r="L3333" i="22"/>
  <c r="C3333" i="22"/>
  <c r="E3333" i="22"/>
  <c r="G3333" i="22"/>
  <c r="I3333" i="22"/>
  <c r="B3334" i="22"/>
  <c r="M3278" i="22"/>
  <c r="D3278" i="22"/>
  <c r="J3278" i="22"/>
  <c r="N3278" i="22" s="1"/>
  <c r="U3278" i="22" s="1"/>
  <c r="P3278" i="22"/>
  <c r="Q3278" i="22"/>
  <c r="R3278" i="22"/>
  <c r="L3279" i="22"/>
  <c r="C3279" i="22"/>
  <c r="K3279" i="22" s="1"/>
  <c r="E3279" i="22"/>
  <c r="F3279" i="22"/>
  <c r="O3279" i="22" s="1"/>
  <c r="G3279" i="22"/>
  <c r="I3279" i="22"/>
  <c r="B3280" i="22"/>
  <c r="M3224" i="22"/>
  <c r="P3224" i="22"/>
  <c r="Q3224" i="22"/>
  <c r="R3224" i="22"/>
  <c r="J3224" i="22"/>
  <c r="N3224" i="22" s="1"/>
  <c r="U3224" i="22" s="1"/>
  <c r="D3224" i="22"/>
  <c r="L3225" i="22"/>
  <c r="C3225" i="22"/>
  <c r="K3225" i="22" s="1"/>
  <c r="E3225" i="22"/>
  <c r="F3225" i="22"/>
  <c r="O3225" i="22" s="1"/>
  <c r="G3225" i="22"/>
  <c r="B3226" i="22"/>
  <c r="I3225" i="22"/>
  <c r="M3170" i="22"/>
  <c r="D3170" i="22"/>
  <c r="J3170" i="22"/>
  <c r="N3170" i="22" s="1"/>
  <c r="U3170" i="22" s="1"/>
  <c r="P3170" i="22"/>
  <c r="Q3170" i="22"/>
  <c r="R3170" i="22"/>
  <c r="L3171" i="22"/>
  <c r="C3171" i="22"/>
  <c r="K3171" i="22" s="1"/>
  <c r="E3171" i="22"/>
  <c r="F3171" i="22"/>
  <c r="O3171" i="22" s="1"/>
  <c r="G3171" i="22"/>
  <c r="I3171" i="22"/>
  <c r="B3172" i="22"/>
  <c r="M3116" i="22"/>
  <c r="J3116" i="22"/>
  <c r="N3116" i="22" s="1"/>
  <c r="U3116" i="22" s="1"/>
  <c r="D3116" i="22"/>
  <c r="P3116" i="22"/>
  <c r="Q3116" i="22"/>
  <c r="R3116" i="22"/>
  <c r="L3117" i="22"/>
  <c r="B3118" i="22"/>
  <c r="C3117" i="22"/>
  <c r="E3117" i="22"/>
  <c r="G3117" i="22"/>
  <c r="I3117" i="22"/>
  <c r="L3063" i="22"/>
  <c r="B3064" i="22"/>
  <c r="C3063" i="22"/>
  <c r="E3063" i="22"/>
  <c r="G3063" i="22"/>
  <c r="I3063" i="22"/>
  <c r="D3062" i="22"/>
  <c r="J3062" i="22"/>
  <c r="P3062" i="22"/>
  <c r="Q3062" i="22"/>
  <c r="R3062" i="22"/>
  <c r="P3008" i="22"/>
  <c r="Q3008" i="22"/>
  <c r="R3008" i="22"/>
  <c r="L3009" i="22"/>
  <c r="E3009" i="22"/>
  <c r="G3009" i="22"/>
  <c r="C3009" i="22"/>
  <c r="B3010" i="22"/>
  <c r="I3009" i="22"/>
  <c r="D3008" i="22"/>
  <c r="J3008" i="22"/>
  <c r="M2954" i="22"/>
  <c r="P2954" i="22"/>
  <c r="Q2954" i="22"/>
  <c r="R2954" i="22"/>
  <c r="L2955" i="22"/>
  <c r="C2955" i="22"/>
  <c r="K2955" i="22" s="1"/>
  <c r="E2955" i="22"/>
  <c r="F2955" i="22"/>
  <c r="O2955" i="22" s="1"/>
  <c r="G2955" i="22"/>
  <c r="I2955" i="22"/>
  <c r="B2956" i="22"/>
  <c r="J2954" i="22"/>
  <c r="N2954" i="22" s="1"/>
  <c r="U2954" i="22" s="1"/>
  <c r="D2954" i="22"/>
  <c r="M2900" i="22"/>
  <c r="P2900" i="22"/>
  <c r="Q2900" i="22"/>
  <c r="R2900" i="22"/>
  <c r="L2901" i="22"/>
  <c r="G2901" i="22"/>
  <c r="I2901" i="22"/>
  <c r="E2901" i="22"/>
  <c r="C2901" i="22"/>
  <c r="B2902" i="22"/>
  <c r="D2900" i="22"/>
  <c r="J2900" i="22"/>
  <c r="N2900" i="22" s="1"/>
  <c r="U2900" i="22" s="1"/>
  <c r="M2846" i="22"/>
  <c r="D2846" i="22"/>
  <c r="J2846" i="22"/>
  <c r="N2846" i="22" s="1"/>
  <c r="U2846" i="22" s="1"/>
  <c r="P2846" i="22"/>
  <c r="Q2846" i="22"/>
  <c r="R2846" i="22"/>
  <c r="L2847" i="22"/>
  <c r="C2847" i="22"/>
  <c r="E2847" i="22"/>
  <c r="G2847" i="22"/>
  <c r="I2847" i="22"/>
  <c r="B2848" i="22"/>
  <c r="M2792" i="22"/>
  <c r="D2792" i="22"/>
  <c r="J2792" i="22"/>
  <c r="N2792" i="22" s="1"/>
  <c r="S2792" i="22" s="1"/>
  <c r="T2792" i="22" s="1"/>
  <c r="U2792" i="22" s="1"/>
  <c r="P2792" i="22"/>
  <c r="Q2792" i="22"/>
  <c r="R2792" i="22"/>
  <c r="L2793" i="22"/>
  <c r="C2793" i="22"/>
  <c r="E2793" i="22"/>
  <c r="G2793" i="22"/>
  <c r="I2793" i="22"/>
  <c r="B2794" i="22"/>
  <c r="D2738" i="22"/>
  <c r="M2738" i="22" s="1"/>
  <c r="J2738" i="22"/>
  <c r="P2738" i="22"/>
  <c r="Q2738" i="22"/>
  <c r="R2738" i="22"/>
  <c r="L2739" i="22"/>
  <c r="C2739" i="22"/>
  <c r="K2739" i="22" s="1"/>
  <c r="E2739" i="22"/>
  <c r="F2739" i="22"/>
  <c r="O2739" i="22" s="1"/>
  <c r="G2739" i="22"/>
  <c r="I2739" i="22"/>
  <c r="B2740" i="22"/>
  <c r="M2684" i="22"/>
  <c r="D2684" i="22"/>
  <c r="J2684" i="22"/>
  <c r="N2684" i="22" s="1"/>
  <c r="U2684" i="22" s="1"/>
  <c r="P2684" i="22"/>
  <c r="Q2684" i="22"/>
  <c r="R2684" i="22"/>
  <c r="L2685" i="22"/>
  <c r="C2685" i="22"/>
  <c r="E2685" i="22"/>
  <c r="G2685" i="22"/>
  <c r="I2685" i="22"/>
  <c r="B2686" i="22"/>
  <c r="M2630" i="22"/>
  <c r="D2630" i="22"/>
  <c r="J2630" i="22"/>
  <c r="N2630" i="22" s="1"/>
  <c r="U2630" i="22" s="1"/>
  <c r="P2630" i="22"/>
  <c r="Q2630" i="22"/>
  <c r="R2630" i="22"/>
  <c r="L2631" i="22"/>
  <c r="C2631" i="22"/>
  <c r="K2631" i="22" s="1"/>
  <c r="E2631" i="22"/>
  <c r="F2631" i="22"/>
  <c r="O2631" i="22" s="1"/>
  <c r="G2631" i="22"/>
  <c r="I2631" i="22"/>
  <c r="B2632" i="22"/>
  <c r="M2576" i="22"/>
  <c r="D2576" i="22"/>
  <c r="J2576" i="22"/>
  <c r="N2576" i="22" s="1"/>
  <c r="U2576" i="22" s="1"/>
  <c r="P2576" i="22"/>
  <c r="Q2576" i="22"/>
  <c r="R2576" i="22"/>
  <c r="L2577" i="22"/>
  <c r="C2577" i="22"/>
  <c r="K2577" i="22" s="1"/>
  <c r="E2577" i="22"/>
  <c r="F2577" i="22"/>
  <c r="O2577" i="22" s="1"/>
  <c r="G2577" i="22"/>
  <c r="I2577" i="22"/>
  <c r="B2578" i="22"/>
  <c r="M2522" i="22"/>
  <c r="D2522" i="22"/>
  <c r="J2522" i="22"/>
  <c r="N2522" i="22" s="1"/>
  <c r="U2522" i="22" s="1"/>
  <c r="P2522" i="22"/>
  <c r="Q2522" i="22"/>
  <c r="R2522" i="22"/>
  <c r="L2523" i="22"/>
  <c r="C2523" i="22"/>
  <c r="K2523" i="22" s="1"/>
  <c r="E2523" i="22"/>
  <c r="F2523" i="22"/>
  <c r="O2523" i="22" s="1"/>
  <c r="G2523" i="22"/>
  <c r="I2523" i="22"/>
  <c r="B2524" i="22"/>
  <c r="M2468" i="22"/>
  <c r="D2468" i="22"/>
  <c r="J2468" i="22"/>
  <c r="N2468" i="22" s="1"/>
  <c r="U2468" i="22" s="1"/>
  <c r="P2468" i="22"/>
  <c r="Q2468" i="22"/>
  <c r="R2468" i="22"/>
  <c r="L2469" i="22"/>
  <c r="C2469" i="22"/>
  <c r="K2469" i="22" s="1"/>
  <c r="E2469" i="22"/>
  <c r="F2469" i="22"/>
  <c r="O2469" i="22" s="1"/>
  <c r="G2469" i="22"/>
  <c r="I2469" i="22"/>
  <c r="B2470" i="22"/>
  <c r="M2414" i="22"/>
  <c r="D2414" i="22"/>
  <c r="J2414" i="22"/>
  <c r="N2414" i="22" s="1"/>
  <c r="U2414" i="22" s="1"/>
  <c r="P2414" i="22"/>
  <c r="Q2414" i="22"/>
  <c r="R2414" i="22"/>
  <c r="L2415" i="22"/>
  <c r="C2415" i="22"/>
  <c r="E2415" i="22"/>
  <c r="G2415" i="22"/>
  <c r="I2415" i="22"/>
  <c r="B2416" i="22"/>
  <c r="M2360" i="22"/>
  <c r="D2360" i="22"/>
  <c r="J2360" i="22"/>
  <c r="N2360" i="22" s="1"/>
  <c r="U2360" i="22" s="1"/>
  <c r="P2360" i="22"/>
  <c r="Q2360" i="22"/>
  <c r="R2360" i="22"/>
  <c r="L2361" i="22"/>
  <c r="C2361" i="22"/>
  <c r="E2361" i="22"/>
  <c r="G2361" i="22"/>
  <c r="I2361" i="22"/>
  <c r="B2362" i="22"/>
  <c r="M2306" i="22"/>
  <c r="D2306" i="22"/>
  <c r="J2306" i="22"/>
  <c r="N2306" i="22" s="1"/>
  <c r="U2306" i="22" s="1"/>
  <c r="P2306" i="22"/>
  <c r="Q2306" i="22"/>
  <c r="R2306" i="22"/>
  <c r="L2307" i="22"/>
  <c r="C2307" i="22"/>
  <c r="E2307" i="22"/>
  <c r="G2307" i="22"/>
  <c r="I2307" i="22"/>
  <c r="B2308" i="22"/>
  <c r="M2252" i="22"/>
  <c r="D2252" i="22"/>
  <c r="J2252" i="22"/>
  <c r="N2252" i="22" s="1"/>
  <c r="U2252" i="22" s="1"/>
  <c r="P2252" i="22"/>
  <c r="Q2252" i="22"/>
  <c r="R2252" i="22"/>
  <c r="L2253" i="22"/>
  <c r="C2253" i="22"/>
  <c r="K2253" i="22" s="1"/>
  <c r="E2253" i="22"/>
  <c r="F2253" i="22"/>
  <c r="O2253" i="22" s="1"/>
  <c r="G2253" i="22"/>
  <c r="I2253" i="22"/>
  <c r="B2254" i="22"/>
  <c r="M2198" i="22"/>
  <c r="D2198" i="22"/>
  <c r="J2198" i="22"/>
  <c r="N2198" i="22" s="1"/>
  <c r="U2198" i="22" s="1"/>
  <c r="P2198" i="22"/>
  <c r="Q2198" i="22"/>
  <c r="R2198" i="22"/>
  <c r="L2199" i="22"/>
  <c r="C2199" i="22"/>
  <c r="K2199" i="22" s="1"/>
  <c r="E2199" i="22"/>
  <c r="F2199" i="22"/>
  <c r="O2199" i="22" s="1"/>
  <c r="G2199" i="22"/>
  <c r="I2199" i="22"/>
  <c r="B2200" i="22"/>
  <c r="M2144" i="22"/>
  <c r="D2144" i="22"/>
  <c r="J2144" i="22"/>
  <c r="N2144" i="22" s="1"/>
  <c r="U2144" i="22" s="1"/>
  <c r="P2144" i="22"/>
  <c r="Q2144" i="22"/>
  <c r="R2144" i="22"/>
  <c r="L2145" i="22"/>
  <c r="C2145" i="22"/>
  <c r="K2145" i="22" s="1"/>
  <c r="E2145" i="22"/>
  <c r="F2145" i="22"/>
  <c r="O2145" i="22" s="1"/>
  <c r="G2145" i="22"/>
  <c r="I2145" i="22"/>
  <c r="B2146" i="22"/>
  <c r="D2090" i="22"/>
  <c r="J2090" i="22"/>
  <c r="P2090" i="22"/>
  <c r="Q2090" i="22"/>
  <c r="R2090" i="22"/>
  <c r="L2091" i="22"/>
  <c r="C2091" i="22"/>
  <c r="K2091" i="22" s="1"/>
  <c r="E2091" i="22"/>
  <c r="F2091" i="22"/>
  <c r="O2091" i="22" s="1"/>
  <c r="G2091" i="22"/>
  <c r="I2091" i="22"/>
  <c r="B2092" i="22"/>
  <c r="M2036" i="22"/>
  <c r="D2036" i="22"/>
  <c r="J2036" i="22"/>
  <c r="N2036" i="22" s="1"/>
  <c r="U2036" i="22" s="1"/>
  <c r="P2036" i="22"/>
  <c r="Q2036" i="22"/>
  <c r="R2036" i="22"/>
  <c r="L2037" i="22"/>
  <c r="C2037" i="22"/>
  <c r="E2037" i="22"/>
  <c r="G2037" i="22"/>
  <c r="I2037" i="22"/>
  <c r="B2038" i="22"/>
  <c r="M1982" i="22"/>
  <c r="D1982" i="22"/>
  <c r="J1982" i="22"/>
  <c r="N1982" i="22" s="1"/>
  <c r="U1982" i="22" s="1"/>
  <c r="P1982" i="22"/>
  <c r="Q1982" i="22"/>
  <c r="R1982" i="22"/>
  <c r="L1983" i="22"/>
  <c r="C1983" i="22"/>
  <c r="E1983" i="22"/>
  <c r="G1983" i="22"/>
  <c r="I1983" i="22"/>
  <c r="B1984" i="22"/>
  <c r="M1928" i="22"/>
  <c r="D1928" i="22"/>
  <c r="J1928" i="22"/>
  <c r="N1928" i="22" s="1"/>
  <c r="U1928" i="22" s="1"/>
  <c r="P1928" i="22"/>
  <c r="Q1928" i="22"/>
  <c r="R1928" i="22"/>
  <c r="L1929" i="22"/>
  <c r="C1929" i="22"/>
  <c r="K1929" i="22" s="1"/>
  <c r="E1929" i="22"/>
  <c r="F1929" i="22"/>
  <c r="O1929" i="22" s="1"/>
  <c r="G1929" i="22"/>
  <c r="I1929" i="22"/>
  <c r="B1930" i="22"/>
  <c r="M1874" i="22"/>
  <c r="D1874" i="22"/>
  <c r="J1874" i="22"/>
  <c r="N1874" i="22" s="1"/>
  <c r="U1874" i="22" s="1"/>
  <c r="P1874" i="22"/>
  <c r="Q1874" i="22"/>
  <c r="R1874" i="22"/>
  <c r="L1875" i="22"/>
  <c r="C1875" i="22"/>
  <c r="K1875" i="22" s="1"/>
  <c r="E1875" i="22"/>
  <c r="F1875" i="22"/>
  <c r="O1875" i="22" s="1"/>
  <c r="G1875" i="22"/>
  <c r="I1875" i="22"/>
  <c r="B1876" i="22"/>
  <c r="M1820" i="22"/>
  <c r="D1820" i="22"/>
  <c r="J1820" i="22"/>
  <c r="N1820" i="22" s="1"/>
  <c r="U1820" i="22" s="1"/>
  <c r="P1820" i="22"/>
  <c r="Q1820" i="22"/>
  <c r="R1820" i="22"/>
  <c r="L1821" i="22"/>
  <c r="C1821" i="22"/>
  <c r="K1821" i="22" s="1"/>
  <c r="E1821" i="22"/>
  <c r="F1821" i="22"/>
  <c r="O1821" i="22" s="1"/>
  <c r="G1821" i="22"/>
  <c r="I1821" i="22"/>
  <c r="B1822" i="22"/>
  <c r="M1766" i="22"/>
  <c r="D1766" i="22"/>
  <c r="J1766" i="22"/>
  <c r="N1766" i="22" s="1"/>
  <c r="U1766" i="22" s="1"/>
  <c r="P1766" i="22"/>
  <c r="Q1766" i="22"/>
  <c r="R1766" i="22"/>
  <c r="L1767" i="22"/>
  <c r="C1767" i="22"/>
  <c r="E1767" i="22"/>
  <c r="G1767" i="22"/>
  <c r="I1767" i="22"/>
  <c r="B1768" i="22"/>
  <c r="M1712" i="22"/>
  <c r="D1712" i="22"/>
  <c r="J1712" i="22"/>
  <c r="N1712" i="22" s="1"/>
  <c r="U1712" i="22" s="1"/>
  <c r="P1712" i="22"/>
  <c r="Q1712" i="22"/>
  <c r="R1712" i="22"/>
  <c r="L1713" i="22"/>
  <c r="C1713" i="22"/>
  <c r="E1713" i="22"/>
  <c r="G1713" i="22"/>
  <c r="I1713" i="22"/>
  <c r="B1714" i="22"/>
  <c r="M1658" i="22"/>
  <c r="D1658" i="22"/>
  <c r="J1658" i="22"/>
  <c r="N1658" i="22" s="1"/>
  <c r="U1658" i="22" s="1"/>
  <c r="P1658" i="22"/>
  <c r="Q1658" i="22"/>
  <c r="R1658" i="22"/>
  <c r="L1659" i="22"/>
  <c r="C1659" i="22"/>
  <c r="K1659" i="22" s="1"/>
  <c r="E1659" i="22"/>
  <c r="F1659" i="22"/>
  <c r="O1659" i="22" s="1"/>
  <c r="G1659" i="22"/>
  <c r="I1659" i="22"/>
  <c r="B1660" i="22"/>
  <c r="M1604" i="22"/>
  <c r="D1604" i="22"/>
  <c r="J1604" i="22"/>
  <c r="N1604" i="22" s="1"/>
  <c r="U1604" i="22" s="1"/>
  <c r="P1604" i="22"/>
  <c r="Q1604" i="22"/>
  <c r="R1604" i="22"/>
  <c r="L1605" i="22"/>
  <c r="C1605" i="22"/>
  <c r="K1605" i="22" s="1"/>
  <c r="E1605" i="22"/>
  <c r="F1605" i="22"/>
  <c r="O1605" i="22" s="1"/>
  <c r="G1605" i="22"/>
  <c r="I1605" i="22"/>
  <c r="B1606" i="22"/>
  <c r="M1550" i="22"/>
  <c r="D1550" i="22"/>
  <c r="J1550" i="22"/>
  <c r="N1550" i="22" s="1"/>
  <c r="U1550" i="22" s="1"/>
  <c r="P1550" i="22"/>
  <c r="Q1550" i="22"/>
  <c r="R1550" i="22"/>
  <c r="L1551" i="22"/>
  <c r="C1551" i="22"/>
  <c r="K1551" i="22" s="1"/>
  <c r="E1551" i="22"/>
  <c r="F1551" i="22"/>
  <c r="O1551" i="22" s="1"/>
  <c r="G1551" i="22"/>
  <c r="I1551" i="22"/>
  <c r="B1552" i="22"/>
  <c r="D1496" i="22"/>
  <c r="J1496" i="22"/>
  <c r="P1496" i="22"/>
  <c r="Q1496" i="22"/>
  <c r="R1496" i="22"/>
  <c r="L1497" i="22"/>
  <c r="C1497" i="22"/>
  <c r="K1497" i="22" s="1"/>
  <c r="E1497" i="22"/>
  <c r="F1497" i="22"/>
  <c r="O1497" i="22" s="1"/>
  <c r="G1497" i="22"/>
  <c r="I1497" i="22"/>
  <c r="B1498" i="22"/>
  <c r="D1442" i="22"/>
  <c r="M1442" i="22" s="1"/>
  <c r="J1442" i="22"/>
  <c r="P1442" i="22"/>
  <c r="Q1442" i="22"/>
  <c r="R1442" i="22"/>
  <c r="L1443" i="22"/>
  <c r="C1443" i="22"/>
  <c r="E1443" i="22"/>
  <c r="G1443" i="22"/>
  <c r="I1443" i="22"/>
  <c r="B1444" i="22"/>
  <c r="M1388" i="22"/>
  <c r="D1388" i="22"/>
  <c r="J1388" i="22"/>
  <c r="N1388" i="22" s="1"/>
  <c r="U1388" i="22" s="1"/>
  <c r="P1388" i="22"/>
  <c r="Q1388" i="22"/>
  <c r="R1388" i="22"/>
  <c r="L1389" i="22"/>
  <c r="C1389" i="22"/>
  <c r="E1389" i="22"/>
  <c r="G1389" i="22"/>
  <c r="I1389" i="22"/>
  <c r="B1390" i="22"/>
  <c r="M1334" i="22"/>
  <c r="D1334" i="22"/>
  <c r="J1334" i="22"/>
  <c r="N1334" i="22" s="1"/>
  <c r="U1334" i="22" s="1"/>
  <c r="P1334" i="22"/>
  <c r="Q1334" i="22"/>
  <c r="R1334" i="22"/>
  <c r="L1335" i="22"/>
  <c r="C1335" i="22"/>
  <c r="E1335" i="22"/>
  <c r="G1335" i="22"/>
  <c r="I1335" i="22"/>
  <c r="B1336" i="22"/>
  <c r="M1280" i="22"/>
  <c r="D1280" i="22"/>
  <c r="J1280" i="22"/>
  <c r="N1280" i="22" s="1"/>
  <c r="U1280" i="22" s="1"/>
  <c r="P1280" i="22"/>
  <c r="Q1280" i="22"/>
  <c r="R1280" i="22"/>
  <c r="L1281" i="22"/>
  <c r="C1281" i="22"/>
  <c r="K1281" i="22" s="1"/>
  <c r="E1281" i="22"/>
  <c r="F1281" i="22"/>
  <c r="O1281" i="22" s="1"/>
  <c r="G1281" i="22"/>
  <c r="I1281" i="22"/>
  <c r="B1282" i="22"/>
  <c r="M1226" i="22"/>
  <c r="D1226" i="22"/>
  <c r="J1226" i="22"/>
  <c r="N1226" i="22" s="1"/>
  <c r="U1226" i="22" s="1"/>
  <c r="P1226" i="22"/>
  <c r="Q1226" i="22"/>
  <c r="R1226" i="22"/>
  <c r="L1227" i="22"/>
  <c r="C1227" i="22"/>
  <c r="K1227" i="22" s="1"/>
  <c r="E1227" i="22"/>
  <c r="F1227" i="22"/>
  <c r="O1227" i="22" s="1"/>
  <c r="G1227" i="22"/>
  <c r="I1227" i="22"/>
  <c r="B1228" i="22"/>
  <c r="M1172" i="22"/>
  <c r="D1172" i="22"/>
  <c r="J1172" i="22"/>
  <c r="N1172" i="22" s="1"/>
  <c r="U1172" i="22" s="1"/>
  <c r="P1172" i="22"/>
  <c r="Q1172" i="22"/>
  <c r="R1172" i="22"/>
  <c r="L1173" i="22"/>
  <c r="C1173" i="22"/>
  <c r="K1173" i="22" s="1"/>
  <c r="E1173" i="22"/>
  <c r="F1173" i="22"/>
  <c r="O1173" i="22" s="1"/>
  <c r="G1173" i="22"/>
  <c r="I1173" i="22"/>
  <c r="B1174" i="22"/>
  <c r="D1118" i="22"/>
  <c r="J1118" i="22"/>
  <c r="P1118" i="22"/>
  <c r="Q1118" i="22"/>
  <c r="R1118" i="22"/>
  <c r="L1119" i="22"/>
  <c r="C1119" i="22"/>
  <c r="K1119" i="22" s="1"/>
  <c r="E1119" i="22"/>
  <c r="F1119" i="22"/>
  <c r="O1119" i="22" s="1"/>
  <c r="G1119" i="22"/>
  <c r="I1119" i="22"/>
  <c r="B1120" i="22"/>
  <c r="M1064" i="22"/>
  <c r="D1064" i="22"/>
  <c r="J1064" i="22"/>
  <c r="N1064" i="22" s="1"/>
  <c r="U1064" i="22" s="1"/>
  <c r="P1064" i="22"/>
  <c r="Q1064" i="22"/>
  <c r="R1064" i="22"/>
  <c r="L1065" i="22"/>
  <c r="C1065" i="22"/>
  <c r="E1065" i="22"/>
  <c r="G1065" i="22"/>
  <c r="I1065" i="22"/>
  <c r="B1066" i="22"/>
  <c r="M1010" i="22"/>
  <c r="D1010" i="22"/>
  <c r="J1010" i="22"/>
  <c r="N1010" i="22" s="1"/>
  <c r="U1010" i="22" s="1"/>
  <c r="P1010" i="22"/>
  <c r="Q1010" i="22"/>
  <c r="R1010" i="22"/>
  <c r="L1011" i="22"/>
  <c r="C1011" i="22"/>
  <c r="K1011" i="22" s="1"/>
  <c r="E1011" i="22"/>
  <c r="F1011" i="22"/>
  <c r="O1011" i="22" s="1"/>
  <c r="G1011" i="22"/>
  <c r="I1011" i="22"/>
  <c r="B1012" i="22"/>
  <c r="M956" i="22"/>
  <c r="D956" i="22"/>
  <c r="J956" i="22"/>
  <c r="N956" i="22" s="1"/>
  <c r="U956" i="22" s="1"/>
  <c r="P956" i="22"/>
  <c r="Q956" i="22"/>
  <c r="R956" i="22"/>
  <c r="L957" i="22"/>
  <c r="C957" i="22"/>
  <c r="K957" i="22" s="1"/>
  <c r="E957" i="22"/>
  <c r="F957" i="22"/>
  <c r="O957" i="22" s="1"/>
  <c r="G957" i="22"/>
  <c r="I957" i="22"/>
  <c r="B958" i="22"/>
  <c r="M902" i="22"/>
  <c r="D902" i="22"/>
  <c r="J902" i="22"/>
  <c r="N902" i="22" s="1"/>
  <c r="U902" i="22" s="1"/>
  <c r="P902" i="22"/>
  <c r="Q902" i="22"/>
  <c r="R902" i="22"/>
  <c r="L903" i="22"/>
  <c r="C903" i="22"/>
  <c r="K903" i="22" s="1"/>
  <c r="E903" i="22"/>
  <c r="F903" i="22"/>
  <c r="O903" i="22" s="1"/>
  <c r="G903" i="22"/>
  <c r="I903" i="22"/>
  <c r="B904" i="22"/>
  <c r="D848" i="22"/>
  <c r="J848" i="22"/>
  <c r="P848" i="22"/>
  <c r="Q848" i="22"/>
  <c r="R848" i="22"/>
  <c r="L849" i="22"/>
  <c r="C849" i="22"/>
  <c r="K849" i="22" s="1"/>
  <c r="E849" i="22"/>
  <c r="F849" i="22"/>
  <c r="O849" i="22" s="1"/>
  <c r="G849" i="22"/>
  <c r="I849" i="22"/>
  <c r="B850" i="22"/>
  <c r="D794" i="22"/>
  <c r="M794" i="22" s="1"/>
  <c r="J794" i="22"/>
  <c r="P794" i="22"/>
  <c r="Q794" i="22"/>
  <c r="R794" i="22"/>
  <c r="L795" i="22"/>
  <c r="C795" i="22"/>
  <c r="K795" i="22" s="1"/>
  <c r="E795" i="22"/>
  <c r="F795" i="22"/>
  <c r="O795" i="22" s="1"/>
  <c r="G795" i="22"/>
  <c r="I795" i="22"/>
  <c r="B796" i="22"/>
  <c r="M740" i="22"/>
  <c r="D740" i="22"/>
  <c r="J740" i="22"/>
  <c r="N740" i="22" s="1"/>
  <c r="U740" i="22" s="1"/>
  <c r="P740" i="22"/>
  <c r="Q740" i="22"/>
  <c r="R740" i="22"/>
  <c r="L741" i="22"/>
  <c r="C741" i="22"/>
  <c r="E741" i="22"/>
  <c r="G741" i="22"/>
  <c r="I741" i="22"/>
  <c r="B742" i="22"/>
  <c r="M686" i="22"/>
  <c r="D686" i="22"/>
  <c r="J686" i="22"/>
  <c r="N686" i="22" s="1"/>
  <c r="U686" i="22" s="1"/>
  <c r="P686" i="22"/>
  <c r="Q686" i="22"/>
  <c r="R686" i="22"/>
  <c r="L687" i="22"/>
  <c r="C687" i="22"/>
  <c r="K687" i="22" s="1"/>
  <c r="E687" i="22"/>
  <c r="F687" i="22"/>
  <c r="O687" i="22" s="1"/>
  <c r="G687" i="22"/>
  <c r="I687" i="22"/>
  <c r="B688" i="22"/>
  <c r="M632" i="22"/>
  <c r="D632" i="22"/>
  <c r="J632" i="22"/>
  <c r="N632" i="22" s="1"/>
  <c r="U632" i="22" s="1"/>
  <c r="P632" i="22"/>
  <c r="Q632" i="22"/>
  <c r="R632" i="22"/>
  <c r="L633" i="22"/>
  <c r="C633" i="22"/>
  <c r="K633" i="22" s="1"/>
  <c r="E633" i="22"/>
  <c r="F633" i="22"/>
  <c r="O633" i="22" s="1"/>
  <c r="G633" i="22"/>
  <c r="I633" i="22"/>
  <c r="B634" i="22"/>
  <c r="M578" i="22"/>
  <c r="D578" i="22"/>
  <c r="J578" i="22"/>
  <c r="N578" i="22" s="1"/>
  <c r="U578" i="22" s="1"/>
  <c r="P578" i="22"/>
  <c r="Q578" i="22"/>
  <c r="R578" i="22"/>
  <c r="L579" i="22"/>
  <c r="C579" i="22"/>
  <c r="K579" i="22" s="1"/>
  <c r="E579" i="22"/>
  <c r="F579" i="22"/>
  <c r="O579" i="22" s="1"/>
  <c r="G579" i="22"/>
  <c r="I579" i="22"/>
  <c r="B580" i="22"/>
  <c r="D524" i="22"/>
  <c r="J524" i="22"/>
  <c r="P524" i="22"/>
  <c r="Q524" i="22"/>
  <c r="R524" i="22"/>
  <c r="L525" i="22"/>
  <c r="C525" i="22"/>
  <c r="K525" i="22" s="1"/>
  <c r="E525" i="22"/>
  <c r="F525" i="22"/>
  <c r="O525" i="22" s="1"/>
  <c r="G525" i="22"/>
  <c r="I525" i="22"/>
  <c r="B526" i="22"/>
  <c r="M470" i="22"/>
  <c r="D470" i="22"/>
  <c r="J470" i="22"/>
  <c r="N470" i="22" s="1"/>
  <c r="U470" i="22" s="1"/>
  <c r="P470" i="22"/>
  <c r="Q470" i="22"/>
  <c r="R470" i="22"/>
  <c r="L471" i="22"/>
  <c r="C471" i="22"/>
  <c r="E471" i="22"/>
  <c r="G471" i="22"/>
  <c r="I471" i="22"/>
  <c r="B472" i="22"/>
  <c r="M416" i="22"/>
  <c r="D416" i="22"/>
  <c r="J416" i="22"/>
  <c r="N416" i="22" s="1"/>
  <c r="U416" i="22" s="1"/>
  <c r="P416" i="22"/>
  <c r="Q416" i="22"/>
  <c r="R416" i="22"/>
  <c r="L417" i="22"/>
  <c r="G417" i="22"/>
  <c r="C417" i="22"/>
  <c r="K417" i="22" s="1"/>
  <c r="E417" i="22"/>
  <c r="F417" i="22"/>
  <c r="O417" i="22" s="1"/>
  <c r="I417" i="22"/>
  <c r="B418" i="22"/>
  <c r="M362" i="22"/>
  <c r="D362" i="22"/>
  <c r="J362" i="22"/>
  <c r="N362" i="22" s="1"/>
  <c r="U362" i="22" s="1"/>
  <c r="P362" i="22"/>
  <c r="Q362" i="22"/>
  <c r="R362" i="22"/>
  <c r="L363" i="22"/>
  <c r="C363" i="22"/>
  <c r="K363" i="22" s="1"/>
  <c r="E363" i="22"/>
  <c r="F363" i="22"/>
  <c r="O363" i="22" s="1"/>
  <c r="G363" i="22"/>
  <c r="I363" i="22"/>
  <c r="B364" i="22"/>
  <c r="M308" i="22"/>
  <c r="D308" i="22"/>
  <c r="J308" i="22"/>
  <c r="N308" i="22" s="1"/>
  <c r="U308" i="22" s="1"/>
  <c r="P308" i="22"/>
  <c r="Q308" i="22"/>
  <c r="R308" i="22"/>
  <c r="L309" i="22"/>
  <c r="C309" i="22"/>
  <c r="K309" i="22" s="1"/>
  <c r="E309" i="22"/>
  <c r="F309" i="22"/>
  <c r="O309" i="22" s="1"/>
  <c r="G309" i="22"/>
  <c r="I309" i="22"/>
  <c r="B310" i="22"/>
  <c r="M254" i="22"/>
  <c r="D254" i="22"/>
  <c r="J254" i="22"/>
  <c r="N254" i="22" s="1"/>
  <c r="U254" i="22" s="1"/>
  <c r="P254" i="22"/>
  <c r="Q254" i="22"/>
  <c r="R254" i="22"/>
  <c r="L255" i="22"/>
  <c r="C255" i="22"/>
  <c r="K255" i="22" s="1"/>
  <c r="E255" i="22"/>
  <c r="F255" i="22"/>
  <c r="O255" i="22" s="1"/>
  <c r="G255" i="22"/>
  <c r="I255" i="22"/>
  <c r="B256" i="22"/>
  <c r="D200" i="22"/>
  <c r="J200" i="22"/>
  <c r="P200" i="22"/>
  <c r="Q200" i="22"/>
  <c r="R200" i="22"/>
  <c r="L201" i="22"/>
  <c r="E201" i="22"/>
  <c r="G201" i="22"/>
  <c r="C201" i="22"/>
  <c r="I201" i="22"/>
  <c r="B202" i="22"/>
  <c r="D146" i="22"/>
  <c r="M146" i="22" s="1"/>
  <c r="J146" i="22"/>
  <c r="P146" i="22"/>
  <c r="Q146" i="22"/>
  <c r="R146" i="22"/>
  <c r="L147" i="22"/>
  <c r="C147" i="22"/>
  <c r="E147" i="22"/>
  <c r="G147" i="22"/>
  <c r="I147" i="22"/>
  <c r="B148" i="22"/>
  <c r="M92" i="22"/>
  <c r="D92" i="22"/>
  <c r="J92" i="22"/>
  <c r="N92" i="22" s="1"/>
  <c r="U92" i="22" s="1"/>
  <c r="P92" i="22"/>
  <c r="Q92" i="22"/>
  <c r="R92" i="22"/>
  <c r="L93" i="22"/>
  <c r="C93" i="22"/>
  <c r="E93" i="22"/>
  <c r="G93" i="22"/>
  <c r="I93" i="22"/>
  <c r="B94" i="22"/>
  <c r="C81" i="12"/>
  <c r="M30" i="17"/>
  <c r="D30" i="17"/>
  <c r="J30" i="17"/>
  <c r="N30" i="17" s="1"/>
  <c r="U30" i="17" s="1"/>
  <c r="E82" i="12"/>
  <c r="O30" i="17"/>
  <c r="AH30" i="17"/>
  <c r="AG30" i="17"/>
  <c r="AF30" i="17"/>
  <c r="AE30" i="17"/>
  <c r="AD30" i="17"/>
  <c r="AC30" i="17"/>
  <c r="AB30" i="17"/>
  <c r="AA30" i="17"/>
  <c r="Z30" i="17"/>
  <c r="Y30" i="17"/>
  <c r="X30" i="17"/>
  <c r="W30" i="17"/>
  <c r="P30" i="17"/>
  <c r="F30" i="18" s="1"/>
  <c r="Q30" i="17"/>
  <c r="G30" i="18" s="1"/>
  <c r="R30" i="17"/>
  <c r="H30" i="18" s="1"/>
  <c r="V30" i="17"/>
  <c r="L31" i="17"/>
  <c r="C31" i="17"/>
  <c r="K31" i="17" s="1"/>
  <c r="E31" i="17"/>
  <c r="F31" i="17"/>
  <c r="C31" i="18" s="1"/>
  <c r="E31" i="18" s="1"/>
  <c r="G31" i="17"/>
  <c r="AJ31" i="17" s="1"/>
  <c r="I31" i="17"/>
  <c r="B32" i="17"/>
  <c r="B31" i="18"/>
  <c r="AL16" i="17"/>
  <c r="B96" i="12"/>
  <c r="I96" i="12" s="1"/>
  <c r="AK15" i="17"/>
  <c r="AJ17" i="17"/>
  <c r="AJ18" i="17"/>
  <c r="AJ19" i="17"/>
  <c r="AJ20" i="17"/>
  <c r="AJ21" i="17"/>
  <c r="AJ22" i="17"/>
  <c r="AJ23" i="17"/>
  <c r="AJ24" i="17"/>
  <c r="AJ25" i="17"/>
  <c r="AJ26" i="17"/>
  <c r="AJ27" i="17"/>
  <c r="AJ28" i="17"/>
  <c r="AJ29" i="17"/>
  <c r="AJ30" i="17"/>
  <c r="M1494" i="23"/>
  <c r="N1494" i="23"/>
  <c r="AE1494" i="23" s="1"/>
  <c r="M1438" i="23"/>
  <c r="N1438" i="23"/>
  <c r="AE1438" i="23" s="1"/>
  <c r="N1382" i="23"/>
  <c r="AE1382" i="23" s="1"/>
  <c r="M1382" i="23"/>
  <c r="M1214" i="23"/>
  <c r="N1214" i="23"/>
  <c r="AE1214" i="23" s="1"/>
  <c r="M1046" i="23"/>
  <c r="N1046" i="23"/>
  <c r="AE1046" i="23" s="1"/>
  <c r="N430" i="23"/>
  <c r="AE430" i="23" s="1"/>
  <c r="M430" i="23"/>
  <c r="M374" i="23"/>
  <c r="N374" i="23"/>
  <c r="AE374" i="23" s="1"/>
  <c r="M4687" i="22"/>
  <c r="N4687" i="22"/>
  <c r="M4525" i="22"/>
  <c r="N4525" i="22"/>
  <c r="M3655" i="22"/>
  <c r="N3655" i="22"/>
  <c r="U3655" i="22" s="1"/>
  <c r="M3439" i="22"/>
  <c r="N3439" i="22"/>
  <c r="U3439" i="22" s="1"/>
  <c r="M3385" i="22"/>
  <c r="N3385" i="22"/>
  <c r="U3385" i="22" s="1"/>
  <c r="N3115" i="22"/>
  <c r="U3115" i="22" s="1"/>
  <c r="M3115" i="22"/>
  <c r="M3061" i="22"/>
  <c r="N3061" i="22"/>
  <c r="U3061" i="22" s="1"/>
  <c r="M3007" i="22"/>
  <c r="N3007" i="22"/>
  <c r="U3007" i="22" s="1"/>
  <c r="M2953" i="22"/>
  <c r="N2953" i="22"/>
  <c r="U2953" i="22" s="1"/>
  <c r="M2737" i="22"/>
  <c r="N2737" i="22"/>
  <c r="U2737" i="22" s="1"/>
  <c r="M2683" i="22"/>
  <c r="N2683" i="22"/>
  <c r="U2683" i="22" s="1"/>
  <c r="M2089" i="22"/>
  <c r="N2089" i="22"/>
  <c r="U2089" i="22" s="1"/>
  <c r="M1765" i="22"/>
  <c r="N1765" i="22"/>
  <c r="U1765" i="22" s="1"/>
  <c r="M1495" i="22"/>
  <c r="N1495" i="22"/>
  <c r="U1495" i="22" s="1"/>
  <c r="M1441" i="22"/>
  <c r="N1441" i="22"/>
  <c r="U1441" i="22" s="1"/>
  <c r="M1225" i="22"/>
  <c r="N1225" i="22"/>
  <c r="U1225" i="22" s="1"/>
  <c r="M1171" i="22"/>
  <c r="N1171" i="22"/>
  <c r="U1171" i="22" s="1"/>
  <c r="M577" i="22"/>
  <c r="N577" i="22"/>
  <c r="U577" i="22" s="1"/>
  <c r="M253" i="22"/>
  <c r="N253" i="22"/>
  <c r="U253" i="22" s="1"/>
  <c r="AE1606" i="23"/>
  <c r="AK1606" i="23"/>
  <c r="F1439" i="23"/>
  <c r="O1439" i="23" s="1"/>
  <c r="K1439" i="23"/>
  <c r="K1383" i="23"/>
  <c r="F1383" i="23"/>
  <c r="O1383" i="23" s="1"/>
  <c r="K1215" i="23"/>
  <c r="F1215" i="23"/>
  <c r="O1215" i="23" s="1"/>
  <c r="F935" i="23"/>
  <c r="O935" i="23" s="1"/>
  <c r="K935" i="23"/>
  <c r="K431" i="23"/>
  <c r="F431" i="23"/>
  <c r="O431" i="23" s="1"/>
  <c r="K3710" i="22"/>
  <c r="F3710" i="22"/>
  <c r="O3710" i="22" s="1"/>
  <c r="K3548" i="22"/>
  <c r="F3548" i="22"/>
  <c r="O3548" i="22" s="1"/>
  <c r="F3386" i="22"/>
  <c r="O3386" i="22" s="1"/>
  <c r="K3386" i="22"/>
  <c r="K3332" i="22"/>
  <c r="F3332" i="22"/>
  <c r="O3332" i="22" s="1"/>
  <c r="K3062" i="22"/>
  <c r="F3062" i="22"/>
  <c r="O3062" i="22" s="1"/>
  <c r="F3008" i="22"/>
  <c r="O3008" i="22" s="1"/>
  <c r="K3008" i="22"/>
  <c r="K2090" i="22"/>
  <c r="F2090" i="22"/>
  <c r="O2090" i="22" s="1"/>
  <c r="F1496" i="22"/>
  <c r="O1496" i="22" s="1"/>
  <c r="K1496" i="22"/>
  <c r="K1118" i="22"/>
  <c r="F1118" i="22"/>
  <c r="O1118" i="22" s="1"/>
  <c r="K848" i="22"/>
  <c r="F848" i="22"/>
  <c r="O848" i="22" s="1"/>
  <c r="F524" i="22"/>
  <c r="O524" i="22" s="1"/>
  <c r="K524" i="22"/>
  <c r="F200" i="22"/>
  <c r="O200" i="22" s="1"/>
  <c r="K200" i="22"/>
  <c r="F29" i="18"/>
  <c r="G29" i="18"/>
  <c r="H29" i="18"/>
  <c r="N655" i="23" l="1"/>
  <c r="AE655" i="23" s="1"/>
  <c r="N2738" i="22"/>
  <c r="U2738" i="22" s="1"/>
  <c r="N1442" i="22"/>
  <c r="U1442" i="22" s="1"/>
  <c r="N794" i="22"/>
  <c r="U794" i="22" s="1"/>
  <c r="N146" i="22"/>
  <c r="U146" i="22" s="1"/>
  <c r="N1327" i="23"/>
  <c r="AE1327" i="23" s="1"/>
  <c r="K656" i="23"/>
  <c r="F656" i="23"/>
  <c r="O656" i="23" s="1"/>
  <c r="K2847" i="22"/>
  <c r="F2847" i="22"/>
  <c r="O2847" i="22" s="1"/>
  <c r="K2793" i="22"/>
  <c r="F2793" i="22"/>
  <c r="O2793" i="22" s="1"/>
  <c r="K1767" i="22"/>
  <c r="F1767" i="22"/>
  <c r="O1767" i="22" s="1"/>
  <c r="K471" i="22"/>
  <c r="F471" i="22"/>
  <c r="O471" i="22" s="1"/>
  <c r="M1608" i="23"/>
  <c r="J1608" i="23"/>
  <c r="N1608" i="23" s="1"/>
  <c r="D1608" i="23"/>
  <c r="P1608" i="23"/>
  <c r="Q1608" i="23"/>
  <c r="R1608" i="23"/>
  <c r="I1609" i="23"/>
  <c r="L1609" i="23"/>
  <c r="C1609" i="23"/>
  <c r="E1609" i="23"/>
  <c r="G1609" i="23"/>
  <c r="B1610" i="23"/>
  <c r="M1552" i="23"/>
  <c r="J1552" i="23"/>
  <c r="N1552" i="23" s="1"/>
  <c r="AE1552" i="23" s="1"/>
  <c r="D1552" i="23"/>
  <c r="P1552" i="23"/>
  <c r="Q1552" i="23"/>
  <c r="R1552" i="23"/>
  <c r="L1553" i="23"/>
  <c r="I1553" i="23"/>
  <c r="C1553" i="23"/>
  <c r="E1553" i="23"/>
  <c r="G1553" i="23"/>
  <c r="B1554" i="23"/>
  <c r="M1496" i="23"/>
  <c r="J1496" i="23"/>
  <c r="N1496" i="23" s="1"/>
  <c r="AE1496" i="23" s="1"/>
  <c r="D1496" i="23"/>
  <c r="P1496" i="23"/>
  <c r="Q1496" i="23"/>
  <c r="R1496" i="23"/>
  <c r="L1497" i="23"/>
  <c r="I1497" i="23"/>
  <c r="C1497" i="23"/>
  <c r="K1497" i="23" s="1"/>
  <c r="E1497" i="23"/>
  <c r="F1497" i="23"/>
  <c r="O1497" i="23" s="1"/>
  <c r="G1497" i="23"/>
  <c r="B1498" i="23"/>
  <c r="J1440" i="23"/>
  <c r="D1440" i="23"/>
  <c r="P1440" i="23"/>
  <c r="Q1440" i="23"/>
  <c r="R1440" i="23"/>
  <c r="L1441" i="23"/>
  <c r="I1441" i="23"/>
  <c r="C1441" i="23"/>
  <c r="K1441" i="23" s="1"/>
  <c r="E1441" i="23"/>
  <c r="F1441" i="23"/>
  <c r="O1441" i="23" s="1"/>
  <c r="G1441" i="23"/>
  <c r="B1442" i="23"/>
  <c r="P1384" i="23"/>
  <c r="Q1384" i="23"/>
  <c r="R1384" i="23"/>
  <c r="L1385" i="23"/>
  <c r="I1385" i="23"/>
  <c r="G1385" i="23"/>
  <c r="C1385" i="23"/>
  <c r="E1385" i="23"/>
  <c r="B1386" i="23"/>
  <c r="J1384" i="23"/>
  <c r="D1384" i="23"/>
  <c r="M1328" i="23"/>
  <c r="J1328" i="23"/>
  <c r="N1328" i="23" s="1"/>
  <c r="AE1328" i="23" s="1"/>
  <c r="D1328" i="23"/>
  <c r="P1328" i="23"/>
  <c r="Q1328" i="23"/>
  <c r="R1328" i="23"/>
  <c r="L1329" i="23"/>
  <c r="I1329" i="23"/>
  <c r="C1329" i="23"/>
  <c r="K1329" i="23" s="1"/>
  <c r="E1329" i="23"/>
  <c r="F1329" i="23"/>
  <c r="O1329" i="23" s="1"/>
  <c r="G1329" i="23"/>
  <c r="B1330" i="23"/>
  <c r="M1272" i="23"/>
  <c r="J1272" i="23"/>
  <c r="N1272" i="23" s="1"/>
  <c r="AE1272" i="23" s="1"/>
  <c r="D1272" i="23"/>
  <c r="P1272" i="23"/>
  <c r="Q1272" i="23"/>
  <c r="R1272" i="23"/>
  <c r="L1273" i="23"/>
  <c r="I1273" i="23"/>
  <c r="C1273" i="23"/>
  <c r="K1273" i="23" s="1"/>
  <c r="E1273" i="23"/>
  <c r="F1273" i="23"/>
  <c r="O1273" i="23" s="1"/>
  <c r="G1273" i="23"/>
  <c r="B1274" i="23"/>
  <c r="M1216" i="23"/>
  <c r="J1216" i="23"/>
  <c r="N1216" i="23" s="1"/>
  <c r="AE1216" i="23" s="1"/>
  <c r="D1216" i="23"/>
  <c r="P1216" i="23"/>
  <c r="Q1216" i="23"/>
  <c r="R1216" i="23"/>
  <c r="L1217" i="23"/>
  <c r="I1217" i="23"/>
  <c r="C1217" i="23"/>
  <c r="K1217" i="23" s="1"/>
  <c r="E1217" i="23"/>
  <c r="F1217" i="23"/>
  <c r="O1217" i="23" s="1"/>
  <c r="G1217" i="23"/>
  <c r="B1218" i="23"/>
  <c r="M1160" i="23"/>
  <c r="J1160" i="23"/>
  <c r="N1160" i="23" s="1"/>
  <c r="AE1160" i="23" s="1"/>
  <c r="D1160" i="23"/>
  <c r="P1160" i="23"/>
  <c r="Q1160" i="23"/>
  <c r="R1160" i="23"/>
  <c r="L1161" i="23"/>
  <c r="I1161" i="23"/>
  <c r="C1161" i="23"/>
  <c r="K1161" i="23" s="1"/>
  <c r="E1161" i="23"/>
  <c r="F1161" i="23"/>
  <c r="O1161" i="23" s="1"/>
  <c r="G1161" i="23"/>
  <c r="B1162" i="23"/>
  <c r="M1104" i="23"/>
  <c r="J1104" i="23"/>
  <c r="N1104" i="23" s="1"/>
  <c r="AE1104" i="23" s="1"/>
  <c r="D1104" i="23"/>
  <c r="P1104" i="23"/>
  <c r="Q1104" i="23"/>
  <c r="R1104" i="23"/>
  <c r="L1105" i="23"/>
  <c r="I1105" i="23"/>
  <c r="C1105" i="23"/>
  <c r="K1105" i="23" s="1"/>
  <c r="E1105" i="23"/>
  <c r="F1105" i="23"/>
  <c r="O1105" i="23" s="1"/>
  <c r="G1105" i="23"/>
  <c r="B1106" i="23"/>
  <c r="M1048" i="23"/>
  <c r="J1048" i="23"/>
  <c r="N1048" i="23" s="1"/>
  <c r="AE1048" i="23" s="1"/>
  <c r="D1048" i="23"/>
  <c r="P1048" i="23"/>
  <c r="Q1048" i="23"/>
  <c r="R1048" i="23"/>
  <c r="L1049" i="23"/>
  <c r="I1049" i="23"/>
  <c r="E1049" i="23"/>
  <c r="C1049" i="23"/>
  <c r="K1049" i="23" s="1"/>
  <c r="F1049" i="23"/>
  <c r="O1049" i="23" s="1"/>
  <c r="G1049" i="23"/>
  <c r="B1050" i="23"/>
  <c r="J992" i="23"/>
  <c r="D992" i="23"/>
  <c r="P992" i="23"/>
  <c r="Q992" i="23"/>
  <c r="R992" i="23"/>
  <c r="L993" i="23"/>
  <c r="I993" i="23"/>
  <c r="C993" i="23"/>
  <c r="K993" i="23" s="1"/>
  <c r="E993" i="23"/>
  <c r="F993" i="23"/>
  <c r="O993" i="23" s="1"/>
  <c r="G993" i="23"/>
  <c r="B994" i="23"/>
  <c r="M936" i="23"/>
  <c r="J936" i="23"/>
  <c r="N936" i="23" s="1"/>
  <c r="AE936" i="23" s="1"/>
  <c r="D936" i="23"/>
  <c r="Q936" i="23"/>
  <c r="P936" i="23"/>
  <c r="R936" i="23"/>
  <c r="L937" i="23"/>
  <c r="I937" i="23"/>
  <c r="C937" i="23"/>
  <c r="K937" i="23" s="1"/>
  <c r="E937" i="23"/>
  <c r="F937" i="23"/>
  <c r="O937" i="23" s="1"/>
  <c r="G937" i="23"/>
  <c r="B938" i="23"/>
  <c r="M880" i="23"/>
  <c r="J880" i="23"/>
  <c r="N880" i="23" s="1"/>
  <c r="AE880" i="23" s="1"/>
  <c r="D880" i="23"/>
  <c r="P880" i="23"/>
  <c r="Q880" i="23"/>
  <c r="R880" i="23"/>
  <c r="L881" i="23"/>
  <c r="I881" i="23"/>
  <c r="C881" i="23"/>
  <c r="K881" i="23" s="1"/>
  <c r="E881" i="23"/>
  <c r="F881" i="23"/>
  <c r="O881" i="23" s="1"/>
  <c r="G881" i="23"/>
  <c r="B882" i="23"/>
  <c r="M824" i="23"/>
  <c r="J824" i="23"/>
  <c r="N824" i="23" s="1"/>
  <c r="AE824" i="23" s="1"/>
  <c r="D824" i="23"/>
  <c r="P824" i="23"/>
  <c r="Q824" i="23"/>
  <c r="R824" i="23"/>
  <c r="L825" i="23"/>
  <c r="I825" i="23"/>
  <c r="C825" i="23"/>
  <c r="K825" i="23" s="1"/>
  <c r="E825" i="23"/>
  <c r="F825" i="23"/>
  <c r="O825" i="23" s="1"/>
  <c r="G825" i="23"/>
  <c r="B826" i="23"/>
  <c r="M768" i="23"/>
  <c r="J768" i="23"/>
  <c r="N768" i="23" s="1"/>
  <c r="AE768" i="23" s="1"/>
  <c r="D768" i="23"/>
  <c r="P768" i="23"/>
  <c r="Q768" i="23"/>
  <c r="R768" i="23"/>
  <c r="L769" i="23"/>
  <c r="I769" i="23"/>
  <c r="C769" i="23"/>
  <c r="K769" i="23" s="1"/>
  <c r="E769" i="23"/>
  <c r="F769" i="23"/>
  <c r="O769" i="23" s="1"/>
  <c r="G769" i="23"/>
  <c r="B770" i="23"/>
  <c r="M712" i="23"/>
  <c r="J712" i="23"/>
  <c r="N712" i="23" s="1"/>
  <c r="AE712" i="23" s="1"/>
  <c r="D712" i="23"/>
  <c r="P712" i="23"/>
  <c r="Q712" i="23"/>
  <c r="R712" i="23"/>
  <c r="L713" i="23"/>
  <c r="I713" i="23"/>
  <c r="C713" i="23"/>
  <c r="K713" i="23" s="1"/>
  <c r="E713" i="23"/>
  <c r="F713" i="23"/>
  <c r="O713" i="23" s="1"/>
  <c r="G713" i="23"/>
  <c r="B714" i="23"/>
  <c r="M656" i="23"/>
  <c r="J656" i="23"/>
  <c r="N656" i="23" s="1"/>
  <c r="AE656" i="23" s="1"/>
  <c r="D656" i="23"/>
  <c r="P656" i="23"/>
  <c r="Q656" i="23"/>
  <c r="R656" i="23"/>
  <c r="L657" i="23"/>
  <c r="I657" i="23"/>
  <c r="C657" i="23"/>
  <c r="K657" i="23" s="1"/>
  <c r="E657" i="23"/>
  <c r="F657" i="23"/>
  <c r="O657" i="23" s="1"/>
  <c r="G657" i="23"/>
  <c r="B658" i="23"/>
  <c r="M600" i="23"/>
  <c r="J600" i="23"/>
  <c r="N600" i="23" s="1"/>
  <c r="AE600" i="23" s="1"/>
  <c r="D600" i="23"/>
  <c r="P600" i="23"/>
  <c r="Q600" i="23"/>
  <c r="R600" i="23"/>
  <c r="L601" i="23"/>
  <c r="I601" i="23"/>
  <c r="C601" i="23"/>
  <c r="K601" i="23" s="1"/>
  <c r="E601" i="23"/>
  <c r="F601" i="23"/>
  <c r="O601" i="23" s="1"/>
  <c r="G601" i="23"/>
  <c r="B602" i="23"/>
  <c r="M544" i="23"/>
  <c r="J544" i="23"/>
  <c r="N544" i="23" s="1"/>
  <c r="AE544" i="23" s="1"/>
  <c r="D544" i="23"/>
  <c r="P544" i="23"/>
  <c r="Q544" i="23"/>
  <c r="R544" i="23"/>
  <c r="L545" i="23"/>
  <c r="I545" i="23"/>
  <c r="C545" i="23"/>
  <c r="K545" i="23" s="1"/>
  <c r="E545" i="23"/>
  <c r="F545" i="23"/>
  <c r="O545" i="23" s="1"/>
  <c r="G545" i="23"/>
  <c r="B546" i="23"/>
  <c r="M488" i="23"/>
  <c r="J488" i="23"/>
  <c r="N488" i="23" s="1"/>
  <c r="AE488" i="23" s="1"/>
  <c r="D488" i="23"/>
  <c r="P488" i="23"/>
  <c r="Q488" i="23"/>
  <c r="R488" i="23"/>
  <c r="L489" i="23"/>
  <c r="I489" i="23"/>
  <c r="C489" i="23"/>
  <c r="K489" i="23" s="1"/>
  <c r="E489" i="23"/>
  <c r="F489" i="23"/>
  <c r="O489" i="23" s="1"/>
  <c r="G489" i="23"/>
  <c r="B490" i="23"/>
  <c r="J432" i="23"/>
  <c r="D432" i="23"/>
  <c r="P432" i="23"/>
  <c r="Q432" i="23"/>
  <c r="R432" i="23"/>
  <c r="L433" i="23"/>
  <c r="I433" i="23"/>
  <c r="E433" i="23"/>
  <c r="G433" i="23"/>
  <c r="B434" i="23"/>
  <c r="C433" i="23"/>
  <c r="M376" i="23"/>
  <c r="J376" i="23"/>
  <c r="N376" i="23" s="1"/>
  <c r="AE376" i="23" s="1"/>
  <c r="D376" i="23"/>
  <c r="P376" i="23"/>
  <c r="Q376" i="23"/>
  <c r="R376" i="23"/>
  <c r="L377" i="23"/>
  <c r="I377" i="23"/>
  <c r="C377" i="23"/>
  <c r="K377" i="23" s="1"/>
  <c r="E377" i="23"/>
  <c r="F377" i="23"/>
  <c r="O377" i="23" s="1"/>
  <c r="G377" i="23"/>
  <c r="B378" i="23"/>
  <c r="M320" i="23"/>
  <c r="J320" i="23"/>
  <c r="N320" i="23" s="1"/>
  <c r="AE320" i="23" s="1"/>
  <c r="D320" i="23"/>
  <c r="P320" i="23"/>
  <c r="Q320" i="23"/>
  <c r="R320" i="23"/>
  <c r="L321" i="23"/>
  <c r="I321" i="23"/>
  <c r="C321" i="23"/>
  <c r="K321" i="23" s="1"/>
  <c r="E321" i="23"/>
  <c r="F321" i="23"/>
  <c r="O321" i="23" s="1"/>
  <c r="G321" i="23"/>
  <c r="B322" i="23"/>
  <c r="M264" i="23"/>
  <c r="J264" i="23"/>
  <c r="N264" i="23" s="1"/>
  <c r="AE264" i="23" s="1"/>
  <c r="D264" i="23"/>
  <c r="P264" i="23"/>
  <c r="R264" i="23"/>
  <c r="Q264" i="23"/>
  <c r="L265" i="23"/>
  <c r="I265" i="23"/>
  <c r="C265" i="23"/>
  <c r="K265" i="23" s="1"/>
  <c r="E265" i="23"/>
  <c r="F265" i="23"/>
  <c r="O265" i="23" s="1"/>
  <c r="G265" i="23"/>
  <c r="B266" i="23"/>
  <c r="D4743" i="22"/>
  <c r="J4743" i="22"/>
  <c r="P4743" i="22"/>
  <c r="Q4743" i="22"/>
  <c r="R4743" i="22"/>
  <c r="M4743" i="22"/>
  <c r="N4743" i="22"/>
  <c r="C4744" i="22"/>
  <c r="E4744" i="22"/>
  <c r="F4744" i="22"/>
  <c r="G4744" i="22"/>
  <c r="I4744" i="22"/>
  <c r="K4744" i="22"/>
  <c r="L4744" i="22"/>
  <c r="B4745" i="22"/>
  <c r="T4687" i="22"/>
  <c r="S4688" i="22"/>
  <c r="T4688" i="22" s="1"/>
  <c r="U4688" i="22"/>
  <c r="M4689" i="22"/>
  <c r="D4689" i="22"/>
  <c r="J4689" i="22"/>
  <c r="N4689" i="22" s="1"/>
  <c r="P4689" i="22"/>
  <c r="Q4689" i="22"/>
  <c r="R4689" i="22"/>
  <c r="L4690" i="22"/>
  <c r="C4690" i="22"/>
  <c r="E4690" i="22"/>
  <c r="G4690" i="22"/>
  <c r="I4690" i="22"/>
  <c r="B4691" i="22"/>
  <c r="P4635" i="22"/>
  <c r="Q4635" i="22"/>
  <c r="R4635" i="22"/>
  <c r="C4636" i="22"/>
  <c r="E4636" i="22"/>
  <c r="G4636" i="22"/>
  <c r="B4637" i="22"/>
  <c r="J4581" i="22"/>
  <c r="D4581" i="22"/>
  <c r="P4581" i="22"/>
  <c r="Q4581" i="22"/>
  <c r="R4581" i="22"/>
  <c r="I4582" i="22"/>
  <c r="L4582" i="22"/>
  <c r="C4582" i="22"/>
  <c r="K4582" i="22" s="1"/>
  <c r="E4582" i="22"/>
  <c r="F4582" i="22"/>
  <c r="G4582" i="22"/>
  <c r="B4583" i="22"/>
  <c r="M4527" i="22"/>
  <c r="D4527" i="22"/>
  <c r="J4527" i="22"/>
  <c r="N4527" i="22" s="1"/>
  <c r="P4527" i="22"/>
  <c r="Q4527" i="22"/>
  <c r="R4527" i="22"/>
  <c r="L4528" i="22"/>
  <c r="C4528" i="22"/>
  <c r="K4528" i="22" s="1"/>
  <c r="E4528" i="22"/>
  <c r="F4528" i="22"/>
  <c r="G4528" i="22"/>
  <c r="I4528" i="22"/>
  <c r="B4529" i="22"/>
  <c r="M4227" i="22"/>
  <c r="D4227" i="22"/>
  <c r="J4227" i="22"/>
  <c r="N4227" i="22" s="1"/>
  <c r="U4227" i="22" s="1"/>
  <c r="P4227" i="22"/>
  <c r="Q4227" i="22"/>
  <c r="R4227" i="22"/>
  <c r="L4228" i="22"/>
  <c r="C4228" i="22"/>
  <c r="K4228" i="22" s="1"/>
  <c r="E4228" i="22"/>
  <c r="F4228" i="22"/>
  <c r="O4228" i="22" s="1"/>
  <c r="G4228" i="22"/>
  <c r="I4228" i="22"/>
  <c r="B4229" i="22"/>
  <c r="M4173" i="22"/>
  <c r="D4173" i="22"/>
  <c r="J4173" i="22"/>
  <c r="N4173" i="22" s="1"/>
  <c r="U4173" i="22" s="1"/>
  <c r="P4173" i="22"/>
  <c r="Q4173" i="22"/>
  <c r="R4173" i="22"/>
  <c r="L4174" i="22"/>
  <c r="C4174" i="22"/>
  <c r="K4174" i="22" s="1"/>
  <c r="E4174" i="22"/>
  <c r="F4174" i="22"/>
  <c r="O4174" i="22" s="1"/>
  <c r="G4174" i="22"/>
  <c r="I4174" i="22"/>
  <c r="B4175" i="22"/>
  <c r="M4119" i="22"/>
  <c r="D4119" i="22"/>
  <c r="J4119" i="22"/>
  <c r="N4119" i="22" s="1"/>
  <c r="U4119" i="22" s="1"/>
  <c r="P4119" i="22"/>
  <c r="Q4119" i="22"/>
  <c r="R4119" i="22"/>
  <c r="L4120" i="22"/>
  <c r="C4120" i="22"/>
  <c r="K4120" i="22" s="1"/>
  <c r="E4120" i="22"/>
  <c r="F4120" i="22"/>
  <c r="O4120" i="22" s="1"/>
  <c r="G4120" i="22"/>
  <c r="I4120" i="22"/>
  <c r="B4121" i="22"/>
  <c r="M4065" i="22"/>
  <c r="D4065" i="22"/>
  <c r="J4065" i="22"/>
  <c r="N4065" i="22" s="1"/>
  <c r="U4065" i="22" s="1"/>
  <c r="P4065" i="22"/>
  <c r="Q4065" i="22"/>
  <c r="R4065" i="22"/>
  <c r="L4066" i="22"/>
  <c r="C4066" i="22"/>
  <c r="K4066" i="22" s="1"/>
  <c r="E4066" i="22"/>
  <c r="F4066" i="22"/>
  <c r="O4066" i="22" s="1"/>
  <c r="G4066" i="22"/>
  <c r="I4066" i="22"/>
  <c r="B4067" i="22"/>
  <c r="M3765" i="22"/>
  <c r="D3765" i="22"/>
  <c r="J3765" i="22"/>
  <c r="N3765" i="22" s="1"/>
  <c r="U3765" i="22" s="1"/>
  <c r="P3765" i="22"/>
  <c r="Q3765" i="22"/>
  <c r="R3765" i="22"/>
  <c r="L3766" i="22"/>
  <c r="C3766" i="22"/>
  <c r="E3766" i="22"/>
  <c r="G3766" i="22"/>
  <c r="I3766" i="22"/>
  <c r="B3767" i="22"/>
  <c r="D3711" i="22"/>
  <c r="J3711" i="22"/>
  <c r="P3711" i="22"/>
  <c r="Q3711" i="22"/>
  <c r="R3711" i="22"/>
  <c r="L3712" i="22"/>
  <c r="C3712" i="22"/>
  <c r="E3712" i="22"/>
  <c r="G3712" i="22"/>
  <c r="I3712" i="22"/>
  <c r="B3713" i="22"/>
  <c r="D3657" i="22"/>
  <c r="J3657" i="22"/>
  <c r="P3657" i="22"/>
  <c r="Q3657" i="22"/>
  <c r="R3657" i="22"/>
  <c r="L3658" i="22"/>
  <c r="C3658" i="22"/>
  <c r="K3658" i="22" s="1"/>
  <c r="E3658" i="22"/>
  <c r="F3658" i="22"/>
  <c r="O3658" i="22" s="1"/>
  <c r="G3658" i="22"/>
  <c r="I3658" i="22"/>
  <c r="B3659" i="22"/>
  <c r="M3603" i="22"/>
  <c r="D3603" i="22"/>
  <c r="J3603" i="22"/>
  <c r="N3603" i="22" s="1"/>
  <c r="U3603" i="22" s="1"/>
  <c r="P3603" i="22"/>
  <c r="Q3603" i="22"/>
  <c r="R3603" i="22"/>
  <c r="L3604" i="22"/>
  <c r="C3604" i="22"/>
  <c r="K3604" i="22" s="1"/>
  <c r="E3604" i="22"/>
  <c r="F3604" i="22"/>
  <c r="O3604" i="22" s="1"/>
  <c r="G3604" i="22"/>
  <c r="I3604" i="22"/>
  <c r="B3605" i="22"/>
  <c r="P3549" i="22"/>
  <c r="Q3549" i="22"/>
  <c r="R3549" i="22"/>
  <c r="L3550" i="22"/>
  <c r="I3550" i="22"/>
  <c r="B3551" i="22"/>
  <c r="C3550" i="22"/>
  <c r="E3550" i="22"/>
  <c r="G3550" i="22"/>
  <c r="J3549" i="22"/>
  <c r="D3549" i="22"/>
  <c r="M3495" i="22"/>
  <c r="D3495" i="22"/>
  <c r="J3495" i="22"/>
  <c r="N3495" i="22" s="1"/>
  <c r="U3495" i="22" s="1"/>
  <c r="P3495" i="22"/>
  <c r="Q3495" i="22"/>
  <c r="R3495" i="22"/>
  <c r="L3496" i="22"/>
  <c r="C3496" i="22"/>
  <c r="E3496" i="22"/>
  <c r="G3496" i="22"/>
  <c r="I3496" i="22"/>
  <c r="B3497" i="22"/>
  <c r="M3441" i="22"/>
  <c r="D3441" i="22"/>
  <c r="J3441" i="22"/>
  <c r="N3441" i="22" s="1"/>
  <c r="U3441" i="22" s="1"/>
  <c r="P3441" i="22"/>
  <c r="Q3441" i="22"/>
  <c r="R3441" i="22"/>
  <c r="L3442" i="22"/>
  <c r="C3442" i="22"/>
  <c r="E3442" i="22"/>
  <c r="G3442" i="22"/>
  <c r="I3442" i="22"/>
  <c r="B3443" i="22"/>
  <c r="M3387" i="22"/>
  <c r="D3387" i="22"/>
  <c r="J3387" i="22"/>
  <c r="N3387" i="22" s="1"/>
  <c r="U3387" i="22" s="1"/>
  <c r="P3387" i="22"/>
  <c r="Q3387" i="22"/>
  <c r="R3387" i="22"/>
  <c r="L3388" i="22"/>
  <c r="C3388" i="22"/>
  <c r="K3388" i="22" s="1"/>
  <c r="E3388" i="22"/>
  <c r="F3388" i="22"/>
  <c r="O3388" i="22" s="1"/>
  <c r="G3388" i="22"/>
  <c r="I3388" i="22"/>
  <c r="B3389" i="22"/>
  <c r="D3333" i="22"/>
  <c r="J3333" i="22"/>
  <c r="P3333" i="22"/>
  <c r="Q3333" i="22"/>
  <c r="R3333" i="22"/>
  <c r="L3334" i="22"/>
  <c r="C3334" i="22"/>
  <c r="K3334" i="22" s="1"/>
  <c r="E3334" i="22"/>
  <c r="F3334" i="22"/>
  <c r="O3334" i="22" s="1"/>
  <c r="G3334" i="22"/>
  <c r="I3334" i="22"/>
  <c r="B3335" i="22"/>
  <c r="M3279" i="22"/>
  <c r="D3279" i="22"/>
  <c r="J3279" i="22"/>
  <c r="N3279" i="22" s="1"/>
  <c r="U3279" i="22" s="1"/>
  <c r="P3279" i="22"/>
  <c r="Q3279" i="22"/>
  <c r="R3279" i="22"/>
  <c r="L3280" i="22"/>
  <c r="C3280" i="22"/>
  <c r="K3280" i="22" s="1"/>
  <c r="E3280" i="22"/>
  <c r="F3280" i="22"/>
  <c r="O3280" i="22" s="1"/>
  <c r="G3280" i="22"/>
  <c r="I3280" i="22"/>
  <c r="B3281" i="22"/>
  <c r="M3225" i="22"/>
  <c r="D3225" i="22"/>
  <c r="J3225" i="22"/>
  <c r="N3225" i="22" s="1"/>
  <c r="U3225" i="22" s="1"/>
  <c r="P3225" i="22"/>
  <c r="Q3225" i="22"/>
  <c r="R3225" i="22"/>
  <c r="L3226" i="22"/>
  <c r="C3226" i="22"/>
  <c r="K3226" i="22" s="1"/>
  <c r="E3226" i="22"/>
  <c r="F3226" i="22"/>
  <c r="O3226" i="22" s="1"/>
  <c r="G3226" i="22"/>
  <c r="B3227" i="22"/>
  <c r="I3226" i="22"/>
  <c r="M3171" i="22"/>
  <c r="D3171" i="22"/>
  <c r="J3171" i="22"/>
  <c r="N3171" i="22" s="1"/>
  <c r="U3171" i="22" s="1"/>
  <c r="P3171" i="22"/>
  <c r="Q3171" i="22"/>
  <c r="R3171" i="22"/>
  <c r="L3172" i="22"/>
  <c r="C3172" i="22"/>
  <c r="E3172" i="22"/>
  <c r="G3172" i="22"/>
  <c r="I3172" i="22"/>
  <c r="B3173" i="22"/>
  <c r="L3118" i="22"/>
  <c r="G3118" i="22"/>
  <c r="C3118" i="22"/>
  <c r="E3118" i="22"/>
  <c r="B3119" i="22"/>
  <c r="I3118" i="22"/>
  <c r="J3117" i="22"/>
  <c r="D3117" i="22"/>
  <c r="P3117" i="22"/>
  <c r="Q3117" i="22"/>
  <c r="R3117" i="22"/>
  <c r="L3064" i="22"/>
  <c r="C3064" i="22"/>
  <c r="E3064" i="22"/>
  <c r="G3064" i="22"/>
  <c r="I3064" i="22"/>
  <c r="B3065" i="22"/>
  <c r="D3063" i="22"/>
  <c r="J3063" i="22"/>
  <c r="P3063" i="22"/>
  <c r="Q3063" i="22"/>
  <c r="R3063" i="22"/>
  <c r="P3009" i="22"/>
  <c r="Q3009" i="22"/>
  <c r="R3009" i="22"/>
  <c r="D3009" i="22"/>
  <c r="J3009" i="22"/>
  <c r="L3010" i="22"/>
  <c r="E3010" i="22"/>
  <c r="G3010" i="22"/>
  <c r="I3010" i="22"/>
  <c r="C3010" i="22"/>
  <c r="K3010" i="22" s="1"/>
  <c r="F3010" i="22"/>
  <c r="O3010" i="22" s="1"/>
  <c r="B3011" i="22"/>
  <c r="M2955" i="22"/>
  <c r="D2955" i="22"/>
  <c r="J2955" i="22"/>
  <c r="N2955" i="22" s="1"/>
  <c r="U2955" i="22" s="1"/>
  <c r="P2955" i="22"/>
  <c r="Q2955" i="22"/>
  <c r="R2955" i="22"/>
  <c r="L2956" i="22"/>
  <c r="E2956" i="22"/>
  <c r="C2956" i="22"/>
  <c r="K2956" i="22" s="1"/>
  <c r="F2956" i="22"/>
  <c r="O2956" i="22" s="1"/>
  <c r="G2956" i="22"/>
  <c r="B2957" i="22"/>
  <c r="I2956" i="22"/>
  <c r="P2901" i="22"/>
  <c r="Q2901" i="22"/>
  <c r="R2901" i="22"/>
  <c r="J2901" i="22"/>
  <c r="D2901" i="22"/>
  <c r="L2902" i="22"/>
  <c r="E2902" i="22"/>
  <c r="G2902" i="22"/>
  <c r="B2903" i="22"/>
  <c r="C2902" i="22"/>
  <c r="I2902" i="22"/>
  <c r="M2847" i="22"/>
  <c r="D2847" i="22"/>
  <c r="J2847" i="22"/>
  <c r="N2847" i="22" s="1"/>
  <c r="U2847" i="22" s="1"/>
  <c r="P2847" i="22"/>
  <c r="Q2847" i="22"/>
  <c r="R2847" i="22"/>
  <c r="L2848" i="22"/>
  <c r="C2848" i="22"/>
  <c r="E2848" i="22"/>
  <c r="G2848" i="22"/>
  <c r="I2848" i="22"/>
  <c r="B2849" i="22"/>
  <c r="M2793" i="22"/>
  <c r="D2793" i="22"/>
  <c r="J2793" i="22"/>
  <c r="N2793" i="22" s="1"/>
  <c r="S2793" i="22" s="1"/>
  <c r="T2793" i="22" s="1"/>
  <c r="U2793" i="22" s="1"/>
  <c r="P2793" i="22"/>
  <c r="Q2793" i="22"/>
  <c r="R2793" i="22"/>
  <c r="L2794" i="22"/>
  <c r="C2794" i="22"/>
  <c r="K2794" i="22" s="1"/>
  <c r="E2794" i="22"/>
  <c r="F2794" i="22"/>
  <c r="O2794" i="22" s="1"/>
  <c r="G2794" i="22"/>
  <c r="I2794" i="22"/>
  <c r="B2795" i="22"/>
  <c r="M2739" i="22"/>
  <c r="D2739" i="22"/>
  <c r="J2739" i="22"/>
  <c r="N2739" i="22" s="1"/>
  <c r="U2739" i="22" s="1"/>
  <c r="P2739" i="22"/>
  <c r="Q2739" i="22"/>
  <c r="R2739" i="22"/>
  <c r="L2740" i="22"/>
  <c r="C2740" i="22"/>
  <c r="K2740" i="22" s="1"/>
  <c r="E2740" i="22"/>
  <c r="F2740" i="22"/>
  <c r="O2740" i="22" s="1"/>
  <c r="G2740" i="22"/>
  <c r="I2740" i="22"/>
  <c r="B2741" i="22"/>
  <c r="D2685" i="22"/>
  <c r="J2685" i="22"/>
  <c r="P2685" i="22"/>
  <c r="Q2685" i="22"/>
  <c r="R2685" i="22"/>
  <c r="L2686" i="22"/>
  <c r="C2686" i="22"/>
  <c r="K2686" i="22" s="1"/>
  <c r="E2686" i="22"/>
  <c r="F2686" i="22"/>
  <c r="O2686" i="22" s="1"/>
  <c r="G2686" i="22"/>
  <c r="I2686" i="22"/>
  <c r="B2687" i="22"/>
  <c r="M2631" i="22"/>
  <c r="D2631" i="22"/>
  <c r="J2631" i="22"/>
  <c r="N2631" i="22" s="1"/>
  <c r="U2631" i="22" s="1"/>
  <c r="P2631" i="22"/>
  <c r="Q2631" i="22"/>
  <c r="R2631" i="22"/>
  <c r="L2632" i="22"/>
  <c r="C2632" i="22"/>
  <c r="K2632" i="22" s="1"/>
  <c r="E2632" i="22"/>
  <c r="F2632" i="22"/>
  <c r="O2632" i="22" s="1"/>
  <c r="G2632" i="22"/>
  <c r="I2632" i="22"/>
  <c r="B2633" i="22"/>
  <c r="M2577" i="22"/>
  <c r="D2577" i="22"/>
  <c r="J2577" i="22"/>
  <c r="N2577" i="22" s="1"/>
  <c r="U2577" i="22" s="1"/>
  <c r="P2577" i="22"/>
  <c r="Q2577" i="22"/>
  <c r="R2577" i="22"/>
  <c r="L2578" i="22"/>
  <c r="C2578" i="22"/>
  <c r="K2578" i="22" s="1"/>
  <c r="E2578" i="22"/>
  <c r="F2578" i="22"/>
  <c r="O2578" i="22" s="1"/>
  <c r="G2578" i="22"/>
  <c r="I2578" i="22"/>
  <c r="B2579" i="22"/>
  <c r="M2523" i="22"/>
  <c r="D2523" i="22"/>
  <c r="J2523" i="22"/>
  <c r="N2523" i="22" s="1"/>
  <c r="U2523" i="22" s="1"/>
  <c r="P2523" i="22"/>
  <c r="Q2523" i="22"/>
  <c r="R2523" i="22"/>
  <c r="L2524" i="22"/>
  <c r="C2524" i="22"/>
  <c r="K2524" i="22" s="1"/>
  <c r="E2524" i="22"/>
  <c r="F2524" i="22"/>
  <c r="O2524" i="22" s="1"/>
  <c r="G2524" i="22"/>
  <c r="I2524" i="22"/>
  <c r="B2525" i="22"/>
  <c r="M2469" i="22"/>
  <c r="D2469" i="22"/>
  <c r="J2469" i="22"/>
  <c r="N2469" i="22" s="1"/>
  <c r="U2469" i="22" s="1"/>
  <c r="P2469" i="22"/>
  <c r="Q2469" i="22"/>
  <c r="R2469" i="22"/>
  <c r="L2470" i="22"/>
  <c r="C2470" i="22"/>
  <c r="K2470" i="22" s="1"/>
  <c r="E2470" i="22"/>
  <c r="F2470" i="22"/>
  <c r="O2470" i="22" s="1"/>
  <c r="G2470" i="22"/>
  <c r="I2470" i="22"/>
  <c r="B2471" i="22"/>
  <c r="D2415" i="22"/>
  <c r="J2415" i="22"/>
  <c r="P2415" i="22"/>
  <c r="Q2415" i="22"/>
  <c r="R2415" i="22"/>
  <c r="L2416" i="22"/>
  <c r="C2416" i="22"/>
  <c r="K2416" i="22" s="1"/>
  <c r="E2416" i="22"/>
  <c r="F2416" i="22"/>
  <c r="O2416" i="22" s="1"/>
  <c r="G2416" i="22"/>
  <c r="I2416" i="22"/>
  <c r="B2417" i="22"/>
  <c r="D2361" i="22"/>
  <c r="J2361" i="22"/>
  <c r="P2361" i="22"/>
  <c r="Q2361" i="22"/>
  <c r="R2361" i="22"/>
  <c r="L2362" i="22"/>
  <c r="C2362" i="22"/>
  <c r="K2362" i="22" s="1"/>
  <c r="E2362" i="22"/>
  <c r="F2362" i="22"/>
  <c r="O2362" i="22" s="1"/>
  <c r="G2362" i="22"/>
  <c r="I2362" i="22"/>
  <c r="B2363" i="22"/>
  <c r="D2307" i="22"/>
  <c r="J2307" i="22"/>
  <c r="P2307" i="22"/>
  <c r="Q2307" i="22"/>
  <c r="R2307" i="22"/>
  <c r="L2308" i="22"/>
  <c r="C2308" i="22"/>
  <c r="E2308" i="22"/>
  <c r="G2308" i="22"/>
  <c r="I2308" i="22"/>
  <c r="B2309" i="22"/>
  <c r="M2253" i="22"/>
  <c r="D2253" i="22"/>
  <c r="J2253" i="22"/>
  <c r="N2253" i="22" s="1"/>
  <c r="U2253" i="22" s="1"/>
  <c r="P2253" i="22"/>
  <c r="Q2253" i="22"/>
  <c r="R2253" i="22"/>
  <c r="L2254" i="22"/>
  <c r="C2254" i="22"/>
  <c r="K2254" i="22" s="1"/>
  <c r="E2254" i="22"/>
  <c r="F2254" i="22"/>
  <c r="O2254" i="22" s="1"/>
  <c r="G2254" i="22"/>
  <c r="I2254" i="22"/>
  <c r="B2255" i="22"/>
  <c r="M2199" i="22"/>
  <c r="D2199" i="22"/>
  <c r="J2199" i="22"/>
  <c r="N2199" i="22" s="1"/>
  <c r="U2199" i="22" s="1"/>
  <c r="P2199" i="22"/>
  <c r="Q2199" i="22"/>
  <c r="R2199" i="22"/>
  <c r="L2200" i="22"/>
  <c r="C2200" i="22"/>
  <c r="K2200" i="22" s="1"/>
  <c r="E2200" i="22"/>
  <c r="F2200" i="22"/>
  <c r="O2200" i="22" s="1"/>
  <c r="G2200" i="22"/>
  <c r="I2200" i="22"/>
  <c r="B2201" i="22"/>
  <c r="M2145" i="22"/>
  <c r="D2145" i="22"/>
  <c r="J2145" i="22"/>
  <c r="N2145" i="22" s="1"/>
  <c r="U2145" i="22" s="1"/>
  <c r="P2145" i="22"/>
  <c r="Q2145" i="22"/>
  <c r="R2145" i="22"/>
  <c r="L2146" i="22"/>
  <c r="C2146" i="22"/>
  <c r="K2146" i="22" s="1"/>
  <c r="E2146" i="22"/>
  <c r="F2146" i="22"/>
  <c r="O2146" i="22" s="1"/>
  <c r="G2146" i="22"/>
  <c r="I2146" i="22"/>
  <c r="B2147" i="22"/>
  <c r="M2091" i="22"/>
  <c r="D2091" i="22"/>
  <c r="J2091" i="22"/>
  <c r="N2091" i="22" s="1"/>
  <c r="U2091" i="22" s="1"/>
  <c r="P2091" i="22"/>
  <c r="Q2091" i="22"/>
  <c r="R2091" i="22"/>
  <c r="L2092" i="22"/>
  <c r="C2092" i="22"/>
  <c r="K2092" i="22" s="1"/>
  <c r="E2092" i="22"/>
  <c r="F2092" i="22"/>
  <c r="O2092" i="22" s="1"/>
  <c r="G2092" i="22"/>
  <c r="I2092" i="22"/>
  <c r="B2093" i="22"/>
  <c r="D2037" i="22"/>
  <c r="J2037" i="22"/>
  <c r="P2037" i="22"/>
  <c r="Q2037" i="22"/>
  <c r="R2037" i="22"/>
  <c r="L2038" i="22"/>
  <c r="C2038" i="22"/>
  <c r="E2038" i="22"/>
  <c r="G2038" i="22"/>
  <c r="I2038" i="22"/>
  <c r="B2039" i="22"/>
  <c r="D1983" i="22"/>
  <c r="J1983" i="22"/>
  <c r="P1983" i="22"/>
  <c r="Q1983" i="22"/>
  <c r="R1983" i="22"/>
  <c r="L1984" i="22"/>
  <c r="C1984" i="22"/>
  <c r="E1984" i="22"/>
  <c r="G1984" i="22"/>
  <c r="I1984" i="22"/>
  <c r="B1985" i="22"/>
  <c r="M1929" i="22"/>
  <c r="D1929" i="22"/>
  <c r="J1929" i="22"/>
  <c r="N1929" i="22" s="1"/>
  <c r="U1929" i="22" s="1"/>
  <c r="P1929" i="22"/>
  <c r="Q1929" i="22"/>
  <c r="R1929" i="22"/>
  <c r="L1930" i="22"/>
  <c r="C1930" i="22"/>
  <c r="K1930" i="22" s="1"/>
  <c r="E1930" i="22"/>
  <c r="F1930" i="22"/>
  <c r="O1930" i="22" s="1"/>
  <c r="G1930" i="22"/>
  <c r="I1930" i="22"/>
  <c r="B1931" i="22"/>
  <c r="M1875" i="22"/>
  <c r="D1875" i="22"/>
  <c r="J1875" i="22"/>
  <c r="N1875" i="22" s="1"/>
  <c r="U1875" i="22" s="1"/>
  <c r="P1875" i="22"/>
  <c r="Q1875" i="22"/>
  <c r="R1875" i="22"/>
  <c r="L1876" i="22"/>
  <c r="C1876" i="22"/>
  <c r="K1876" i="22" s="1"/>
  <c r="E1876" i="22"/>
  <c r="F1876" i="22"/>
  <c r="O1876" i="22" s="1"/>
  <c r="G1876" i="22"/>
  <c r="I1876" i="22"/>
  <c r="B1877" i="22"/>
  <c r="M1821" i="22"/>
  <c r="D1821" i="22"/>
  <c r="J1821" i="22"/>
  <c r="N1821" i="22" s="1"/>
  <c r="U1821" i="22" s="1"/>
  <c r="P1821" i="22"/>
  <c r="Q1821" i="22"/>
  <c r="R1821" i="22"/>
  <c r="L1822" i="22"/>
  <c r="C1822" i="22"/>
  <c r="K1822" i="22" s="1"/>
  <c r="E1822" i="22"/>
  <c r="F1822" i="22"/>
  <c r="O1822" i="22" s="1"/>
  <c r="G1822" i="22"/>
  <c r="I1822" i="22"/>
  <c r="B1823" i="22"/>
  <c r="M1767" i="22"/>
  <c r="D1767" i="22"/>
  <c r="J1767" i="22"/>
  <c r="N1767" i="22" s="1"/>
  <c r="U1767" i="22" s="1"/>
  <c r="P1767" i="22"/>
  <c r="Q1767" i="22"/>
  <c r="R1767" i="22"/>
  <c r="L1768" i="22"/>
  <c r="C1768" i="22"/>
  <c r="E1768" i="22"/>
  <c r="G1768" i="22"/>
  <c r="I1768" i="22"/>
  <c r="B1769" i="22"/>
  <c r="D1713" i="22"/>
  <c r="J1713" i="22"/>
  <c r="P1713" i="22"/>
  <c r="Q1713" i="22"/>
  <c r="R1713" i="22"/>
  <c r="L1714" i="22"/>
  <c r="C1714" i="22"/>
  <c r="E1714" i="22"/>
  <c r="G1714" i="22"/>
  <c r="I1714" i="22"/>
  <c r="B1715" i="22"/>
  <c r="M1659" i="22"/>
  <c r="D1659" i="22"/>
  <c r="J1659" i="22"/>
  <c r="N1659" i="22" s="1"/>
  <c r="U1659" i="22" s="1"/>
  <c r="P1659" i="22"/>
  <c r="Q1659" i="22"/>
  <c r="R1659" i="22"/>
  <c r="L1660" i="22"/>
  <c r="C1660" i="22"/>
  <c r="K1660" i="22" s="1"/>
  <c r="E1660" i="22"/>
  <c r="F1660" i="22"/>
  <c r="O1660" i="22" s="1"/>
  <c r="G1660" i="22"/>
  <c r="I1660" i="22"/>
  <c r="B1661" i="22"/>
  <c r="M1605" i="22"/>
  <c r="D1605" i="22"/>
  <c r="J1605" i="22"/>
  <c r="N1605" i="22" s="1"/>
  <c r="U1605" i="22" s="1"/>
  <c r="P1605" i="22"/>
  <c r="Q1605" i="22"/>
  <c r="R1605" i="22"/>
  <c r="L1606" i="22"/>
  <c r="C1606" i="22"/>
  <c r="K1606" i="22" s="1"/>
  <c r="E1606" i="22"/>
  <c r="F1606" i="22"/>
  <c r="O1606" i="22" s="1"/>
  <c r="G1606" i="22"/>
  <c r="I1606" i="22"/>
  <c r="B1607" i="22"/>
  <c r="M1551" i="22"/>
  <c r="D1551" i="22"/>
  <c r="J1551" i="22"/>
  <c r="N1551" i="22" s="1"/>
  <c r="U1551" i="22" s="1"/>
  <c r="P1551" i="22"/>
  <c r="Q1551" i="22"/>
  <c r="R1551" i="22"/>
  <c r="L1552" i="22"/>
  <c r="C1552" i="22"/>
  <c r="E1552" i="22"/>
  <c r="G1552" i="22"/>
  <c r="I1552" i="22"/>
  <c r="B1553" i="22"/>
  <c r="M1497" i="22"/>
  <c r="D1497" i="22"/>
  <c r="J1497" i="22"/>
  <c r="N1497" i="22" s="1"/>
  <c r="U1497" i="22" s="1"/>
  <c r="P1497" i="22"/>
  <c r="Q1497" i="22"/>
  <c r="R1497" i="22"/>
  <c r="L1498" i="22"/>
  <c r="C1498" i="22"/>
  <c r="E1498" i="22"/>
  <c r="G1498" i="22"/>
  <c r="I1498" i="22"/>
  <c r="B1499" i="22"/>
  <c r="D1443" i="22"/>
  <c r="J1443" i="22"/>
  <c r="P1443" i="22"/>
  <c r="Q1443" i="22"/>
  <c r="R1443" i="22"/>
  <c r="L1444" i="22"/>
  <c r="C1444" i="22"/>
  <c r="E1444" i="22"/>
  <c r="G1444" i="22"/>
  <c r="I1444" i="22"/>
  <c r="B1445" i="22"/>
  <c r="D1389" i="22"/>
  <c r="J1389" i="22"/>
  <c r="P1389" i="22"/>
  <c r="Q1389" i="22"/>
  <c r="R1389" i="22"/>
  <c r="L1390" i="22"/>
  <c r="C1390" i="22"/>
  <c r="E1390" i="22"/>
  <c r="G1390" i="22"/>
  <c r="I1390" i="22"/>
  <c r="B1391" i="22"/>
  <c r="D1335" i="22"/>
  <c r="J1335" i="22"/>
  <c r="P1335" i="22"/>
  <c r="Q1335" i="22"/>
  <c r="R1335" i="22"/>
  <c r="L1336" i="22"/>
  <c r="C1336" i="22"/>
  <c r="K1336" i="22" s="1"/>
  <c r="E1336" i="22"/>
  <c r="F1336" i="22"/>
  <c r="O1336" i="22" s="1"/>
  <c r="G1336" i="22"/>
  <c r="I1336" i="22"/>
  <c r="B1337" i="22"/>
  <c r="M1281" i="22"/>
  <c r="D1281" i="22"/>
  <c r="J1281" i="22"/>
  <c r="N1281" i="22" s="1"/>
  <c r="U1281" i="22" s="1"/>
  <c r="P1281" i="22"/>
  <c r="Q1281" i="22"/>
  <c r="R1281" i="22"/>
  <c r="L1282" i="22"/>
  <c r="C1282" i="22"/>
  <c r="K1282" i="22" s="1"/>
  <c r="E1282" i="22"/>
  <c r="F1282" i="22"/>
  <c r="O1282" i="22" s="1"/>
  <c r="G1282" i="22"/>
  <c r="I1282" i="22"/>
  <c r="B1283" i="22"/>
  <c r="M1227" i="22"/>
  <c r="D1227" i="22"/>
  <c r="J1227" i="22"/>
  <c r="N1227" i="22" s="1"/>
  <c r="U1227" i="22" s="1"/>
  <c r="P1227" i="22"/>
  <c r="Q1227" i="22"/>
  <c r="R1227" i="22"/>
  <c r="L1228" i="22"/>
  <c r="C1228" i="22"/>
  <c r="E1228" i="22"/>
  <c r="G1228" i="22"/>
  <c r="I1228" i="22"/>
  <c r="B1229" i="22"/>
  <c r="M1173" i="22"/>
  <c r="D1173" i="22"/>
  <c r="J1173" i="22"/>
  <c r="N1173" i="22" s="1"/>
  <c r="U1173" i="22" s="1"/>
  <c r="P1173" i="22"/>
  <c r="Q1173" i="22"/>
  <c r="R1173" i="22"/>
  <c r="L1174" i="22"/>
  <c r="C1174" i="22"/>
  <c r="K1174" i="22" s="1"/>
  <c r="E1174" i="22"/>
  <c r="F1174" i="22"/>
  <c r="O1174" i="22" s="1"/>
  <c r="G1174" i="22"/>
  <c r="I1174" i="22"/>
  <c r="B1175" i="22"/>
  <c r="M1119" i="22"/>
  <c r="D1119" i="22"/>
  <c r="J1119" i="22"/>
  <c r="N1119" i="22" s="1"/>
  <c r="U1119" i="22" s="1"/>
  <c r="P1119" i="22"/>
  <c r="Q1119" i="22"/>
  <c r="R1119" i="22"/>
  <c r="L1120" i="22"/>
  <c r="C1120" i="22"/>
  <c r="K1120" i="22" s="1"/>
  <c r="E1120" i="22"/>
  <c r="F1120" i="22"/>
  <c r="O1120" i="22" s="1"/>
  <c r="G1120" i="22"/>
  <c r="I1120" i="22"/>
  <c r="B1121" i="22"/>
  <c r="D1065" i="22"/>
  <c r="J1065" i="22"/>
  <c r="P1065" i="22"/>
  <c r="Q1065" i="22"/>
  <c r="R1065" i="22"/>
  <c r="L1066" i="22"/>
  <c r="C1066" i="22"/>
  <c r="K1066" i="22" s="1"/>
  <c r="E1066" i="22"/>
  <c r="F1066" i="22"/>
  <c r="O1066" i="22" s="1"/>
  <c r="G1066" i="22"/>
  <c r="I1066" i="22"/>
  <c r="B1067" i="22"/>
  <c r="M1011" i="22"/>
  <c r="D1011" i="22"/>
  <c r="J1011" i="22"/>
  <c r="N1011" i="22" s="1"/>
  <c r="U1011" i="22" s="1"/>
  <c r="P1011" i="22"/>
  <c r="Q1011" i="22"/>
  <c r="R1011" i="22"/>
  <c r="L1012" i="22"/>
  <c r="C1012" i="22"/>
  <c r="E1012" i="22"/>
  <c r="G1012" i="22"/>
  <c r="I1012" i="22"/>
  <c r="B1013" i="22"/>
  <c r="M957" i="22"/>
  <c r="D957" i="22"/>
  <c r="J957" i="22"/>
  <c r="N957" i="22" s="1"/>
  <c r="U957" i="22" s="1"/>
  <c r="P957" i="22"/>
  <c r="Q957" i="22"/>
  <c r="R957" i="22"/>
  <c r="L958" i="22"/>
  <c r="C958" i="22"/>
  <c r="E958" i="22"/>
  <c r="G958" i="22"/>
  <c r="I958" i="22"/>
  <c r="B959" i="22"/>
  <c r="M903" i="22"/>
  <c r="D903" i="22"/>
  <c r="J903" i="22"/>
  <c r="N903" i="22" s="1"/>
  <c r="U903" i="22" s="1"/>
  <c r="P903" i="22"/>
  <c r="Q903" i="22"/>
  <c r="R903" i="22"/>
  <c r="L904" i="22"/>
  <c r="C904" i="22"/>
  <c r="K904" i="22" s="1"/>
  <c r="E904" i="22"/>
  <c r="F904" i="22"/>
  <c r="O904" i="22" s="1"/>
  <c r="G904" i="22"/>
  <c r="I904" i="22"/>
  <c r="B905" i="22"/>
  <c r="M849" i="22"/>
  <c r="D849" i="22"/>
  <c r="J849" i="22"/>
  <c r="N849" i="22" s="1"/>
  <c r="U849" i="22" s="1"/>
  <c r="P849" i="22"/>
  <c r="Q849" i="22"/>
  <c r="R849" i="22"/>
  <c r="L850" i="22"/>
  <c r="C850" i="22"/>
  <c r="K850" i="22" s="1"/>
  <c r="E850" i="22"/>
  <c r="F850" i="22"/>
  <c r="O850" i="22" s="1"/>
  <c r="G850" i="22"/>
  <c r="I850" i="22"/>
  <c r="B851" i="22"/>
  <c r="M795" i="22"/>
  <c r="D795" i="22"/>
  <c r="J795" i="22"/>
  <c r="N795" i="22" s="1"/>
  <c r="U795" i="22" s="1"/>
  <c r="P795" i="22"/>
  <c r="Q795" i="22"/>
  <c r="R795" i="22"/>
  <c r="L796" i="22"/>
  <c r="C796" i="22"/>
  <c r="K796" i="22" s="1"/>
  <c r="E796" i="22"/>
  <c r="F796" i="22"/>
  <c r="O796" i="22" s="1"/>
  <c r="G796" i="22"/>
  <c r="I796" i="22"/>
  <c r="B797" i="22"/>
  <c r="D741" i="22"/>
  <c r="J741" i="22"/>
  <c r="P741" i="22"/>
  <c r="Q741" i="22"/>
  <c r="R741" i="22"/>
  <c r="L742" i="22"/>
  <c r="C742" i="22"/>
  <c r="K742" i="22" s="1"/>
  <c r="E742" i="22"/>
  <c r="F742" i="22"/>
  <c r="O742" i="22" s="1"/>
  <c r="G742" i="22"/>
  <c r="I742" i="22"/>
  <c r="B743" i="22"/>
  <c r="M687" i="22"/>
  <c r="D687" i="22"/>
  <c r="J687" i="22"/>
  <c r="N687" i="22" s="1"/>
  <c r="U687" i="22" s="1"/>
  <c r="P687" i="22"/>
  <c r="Q687" i="22"/>
  <c r="R687" i="22"/>
  <c r="L688" i="22"/>
  <c r="C688" i="22"/>
  <c r="K688" i="22" s="1"/>
  <c r="E688" i="22"/>
  <c r="F688" i="22"/>
  <c r="O688" i="22" s="1"/>
  <c r="G688" i="22"/>
  <c r="I688" i="22"/>
  <c r="B689" i="22"/>
  <c r="M633" i="22"/>
  <c r="D633" i="22"/>
  <c r="J633" i="22"/>
  <c r="N633" i="22" s="1"/>
  <c r="U633" i="22" s="1"/>
  <c r="P633" i="22"/>
  <c r="Q633" i="22"/>
  <c r="R633" i="22"/>
  <c r="L634" i="22"/>
  <c r="C634" i="22"/>
  <c r="K634" i="22" s="1"/>
  <c r="E634" i="22"/>
  <c r="F634" i="22"/>
  <c r="O634" i="22" s="1"/>
  <c r="G634" i="22"/>
  <c r="I634" i="22"/>
  <c r="B635" i="22"/>
  <c r="M579" i="22"/>
  <c r="D579" i="22"/>
  <c r="J579" i="22"/>
  <c r="N579" i="22" s="1"/>
  <c r="U579" i="22" s="1"/>
  <c r="P579" i="22"/>
  <c r="Q579" i="22"/>
  <c r="R579" i="22"/>
  <c r="L580" i="22"/>
  <c r="C580" i="22"/>
  <c r="K580" i="22" s="1"/>
  <c r="E580" i="22"/>
  <c r="F580" i="22"/>
  <c r="O580" i="22" s="1"/>
  <c r="G580" i="22"/>
  <c r="I580" i="22"/>
  <c r="B581" i="22"/>
  <c r="M525" i="22"/>
  <c r="D525" i="22"/>
  <c r="J525" i="22"/>
  <c r="N525" i="22" s="1"/>
  <c r="U525" i="22" s="1"/>
  <c r="P525" i="22"/>
  <c r="Q525" i="22"/>
  <c r="R525" i="22"/>
  <c r="L526" i="22"/>
  <c r="C526" i="22"/>
  <c r="K526" i="22" s="1"/>
  <c r="E526" i="22"/>
  <c r="F526" i="22"/>
  <c r="O526" i="22" s="1"/>
  <c r="G526" i="22"/>
  <c r="I526" i="22"/>
  <c r="B527" i="22"/>
  <c r="M471" i="22"/>
  <c r="D471" i="22"/>
  <c r="J471" i="22"/>
  <c r="N471" i="22" s="1"/>
  <c r="U471" i="22" s="1"/>
  <c r="P471" i="22"/>
  <c r="Q471" i="22"/>
  <c r="R471" i="22"/>
  <c r="L472" i="22"/>
  <c r="C472" i="22"/>
  <c r="K472" i="22" s="1"/>
  <c r="E472" i="22"/>
  <c r="F472" i="22"/>
  <c r="O472" i="22" s="1"/>
  <c r="G472" i="22"/>
  <c r="I472" i="22"/>
  <c r="B473" i="22"/>
  <c r="M417" i="22"/>
  <c r="P417" i="22"/>
  <c r="Q417" i="22"/>
  <c r="R417" i="22"/>
  <c r="D417" i="22"/>
  <c r="J417" i="22"/>
  <c r="N417" i="22" s="1"/>
  <c r="U417" i="22" s="1"/>
  <c r="L418" i="22"/>
  <c r="E418" i="22"/>
  <c r="G418" i="22"/>
  <c r="B419" i="22"/>
  <c r="C418" i="22"/>
  <c r="I418" i="22"/>
  <c r="M363" i="22"/>
  <c r="D363" i="22"/>
  <c r="J363" i="22"/>
  <c r="N363" i="22" s="1"/>
  <c r="U363" i="22" s="1"/>
  <c r="P363" i="22"/>
  <c r="Q363" i="22"/>
  <c r="R363" i="22"/>
  <c r="L364" i="22"/>
  <c r="C364" i="22"/>
  <c r="K364" i="22" s="1"/>
  <c r="E364" i="22"/>
  <c r="F364" i="22"/>
  <c r="O364" i="22" s="1"/>
  <c r="G364" i="22"/>
  <c r="I364" i="22"/>
  <c r="B365" i="22"/>
  <c r="M309" i="22"/>
  <c r="D309" i="22"/>
  <c r="J309" i="22"/>
  <c r="N309" i="22" s="1"/>
  <c r="U309" i="22" s="1"/>
  <c r="P309" i="22"/>
  <c r="Q309" i="22"/>
  <c r="R309" i="22"/>
  <c r="L310" i="22"/>
  <c r="C310" i="22"/>
  <c r="K310" i="22" s="1"/>
  <c r="E310" i="22"/>
  <c r="F310" i="22"/>
  <c r="O310" i="22" s="1"/>
  <c r="G310" i="22"/>
  <c r="I310" i="22"/>
  <c r="B311" i="22"/>
  <c r="M255" i="22"/>
  <c r="D255" i="22"/>
  <c r="J255" i="22"/>
  <c r="N255" i="22" s="1"/>
  <c r="U255" i="22" s="1"/>
  <c r="P255" i="22"/>
  <c r="Q255" i="22"/>
  <c r="R255" i="22"/>
  <c r="L256" i="22"/>
  <c r="C256" i="22"/>
  <c r="K256" i="22" s="1"/>
  <c r="E256" i="22"/>
  <c r="F256" i="22"/>
  <c r="O256" i="22" s="1"/>
  <c r="G256" i="22"/>
  <c r="I256" i="22"/>
  <c r="B257" i="22"/>
  <c r="P201" i="22"/>
  <c r="Q201" i="22"/>
  <c r="R201" i="22"/>
  <c r="J201" i="22"/>
  <c r="D201" i="22"/>
  <c r="L202" i="22"/>
  <c r="B203" i="22"/>
  <c r="I202" i="22"/>
  <c r="C202" i="22"/>
  <c r="K202" i="22" s="1"/>
  <c r="E202" i="22"/>
  <c r="F202" i="22"/>
  <c r="O202" i="22" s="1"/>
  <c r="G202" i="22"/>
  <c r="D147" i="22"/>
  <c r="J147" i="22"/>
  <c r="P147" i="22"/>
  <c r="Q147" i="22"/>
  <c r="R147" i="22"/>
  <c r="L148" i="22"/>
  <c r="C148" i="22"/>
  <c r="E148" i="22"/>
  <c r="G148" i="22"/>
  <c r="B149" i="22"/>
  <c r="I148" i="22"/>
  <c r="D93" i="22"/>
  <c r="J93" i="22"/>
  <c r="P93" i="22"/>
  <c r="Q93" i="22"/>
  <c r="R93" i="22"/>
  <c r="L94" i="22"/>
  <c r="C94" i="22"/>
  <c r="E94" i="22"/>
  <c r="G94" i="22"/>
  <c r="I94" i="22"/>
  <c r="B95" i="22"/>
  <c r="G81" i="12"/>
  <c r="C82" i="12"/>
  <c r="M31" i="17"/>
  <c r="D31" i="17"/>
  <c r="J31" i="17"/>
  <c r="N31" i="17" s="1"/>
  <c r="U31" i="17" s="1"/>
  <c r="E83" i="12"/>
  <c r="O31" i="17"/>
  <c r="AI31" i="17"/>
  <c r="AH31" i="17"/>
  <c r="AG31" i="17"/>
  <c r="AF31" i="17"/>
  <c r="AE31" i="17"/>
  <c r="AD31" i="17"/>
  <c r="AC31" i="17"/>
  <c r="AB31" i="17"/>
  <c r="AA31" i="17"/>
  <c r="Z31" i="17"/>
  <c r="Y31" i="17"/>
  <c r="X31" i="17"/>
  <c r="W31" i="17"/>
  <c r="P31" i="17"/>
  <c r="Q31" i="17"/>
  <c r="R31" i="17"/>
  <c r="V31" i="17"/>
  <c r="L32" i="17"/>
  <c r="C32" i="17"/>
  <c r="K32" i="17" s="1"/>
  <c r="E32" i="17"/>
  <c r="F32" i="17"/>
  <c r="C32" i="18" s="1"/>
  <c r="E32" i="18" s="1"/>
  <c r="G32" i="17"/>
  <c r="AK32" i="17" s="1"/>
  <c r="I32" i="17"/>
  <c r="B33" i="17"/>
  <c r="B32" i="18"/>
  <c r="AM16" i="17"/>
  <c r="B97" i="12"/>
  <c r="I97" i="12" s="1"/>
  <c r="AL15" i="17"/>
  <c r="AK17" i="17"/>
  <c r="AK18" i="17"/>
  <c r="AK19" i="17"/>
  <c r="AK20" i="17"/>
  <c r="AK21" i="17"/>
  <c r="AK22" i="17"/>
  <c r="AK23" i="17"/>
  <c r="AK24" i="17"/>
  <c r="AK25" i="17"/>
  <c r="AK26" i="17"/>
  <c r="AK27" i="17"/>
  <c r="AK28" i="17"/>
  <c r="AK29" i="17"/>
  <c r="AK30" i="17"/>
  <c r="AK31" i="17"/>
  <c r="M1439" i="23"/>
  <c r="N1439" i="23"/>
  <c r="AE1439" i="23" s="1"/>
  <c r="M1383" i="23"/>
  <c r="N1383" i="23"/>
  <c r="AE1383" i="23" s="1"/>
  <c r="M1215" i="23"/>
  <c r="N1215" i="23"/>
  <c r="AE1215" i="23" s="1"/>
  <c r="M935" i="23"/>
  <c r="N935" i="23"/>
  <c r="AE935" i="23" s="1"/>
  <c r="N431" i="23"/>
  <c r="AE431" i="23" s="1"/>
  <c r="M431" i="23"/>
  <c r="M3710" i="22"/>
  <c r="N3710" i="22"/>
  <c r="U3710" i="22" s="1"/>
  <c r="M3548" i="22"/>
  <c r="N3548" i="22"/>
  <c r="U3548" i="22" s="1"/>
  <c r="M3386" i="22"/>
  <c r="N3386" i="22"/>
  <c r="U3386" i="22" s="1"/>
  <c r="M3332" i="22"/>
  <c r="N3332" i="22"/>
  <c r="U3332" i="22" s="1"/>
  <c r="M3062" i="22"/>
  <c r="N3062" i="22"/>
  <c r="U3062" i="22" s="1"/>
  <c r="N3008" i="22"/>
  <c r="U3008" i="22" s="1"/>
  <c r="M3008" i="22"/>
  <c r="M2090" i="22"/>
  <c r="N2090" i="22"/>
  <c r="U2090" i="22" s="1"/>
  <c r="M1496" i="22"/>
  <c r="N1496" i="22"/>
  <c r="U1496" i="22" s="1"/>
  <c r="M1118" i="22"/>
  <c r="N1118" i="22"/>
  <c r="U1118" i="22" s="1"/>
  <c r="M848" i="22"/>
  <c r="N848" i="22"/>
  <c r="U848" i="22" s="1"/>
  <c r="M524" i="22"/>
  <c r="N524" i="22"/>
  <c r="U524" i="22" s="1"/>
  <c r="N200" i="22"/>
  <c r="U200" i="22" s="1"/>
  <c r="M200" i="22"/>
  <c r="AE1607" i="23"/>
  <c r="AK1607" i="23"/>
  <c r="K1440" i="23"/>
  <c r="F1440" i="23"/>
  <c r="O1440" i="23" s="1"/>
  <c r="F1384" i="23"/>
  <c r="O1384" i="23" s="1"/>
  <c r="K1384" i="23"/>
  <c r="F992" i="23"/>
  <c r="O992" i="23" s="1"/>
  <c r="K992" i="23"/>
  <c r="K432" i="23"/>
  <c r="F432" i="23"/>
  <c r="O432" i="23" s="1"/>
  <c r="D4635" i="22"/>
  <c r="F4635" i="22"/>
  <c r="O4635" i="22" s="1"/>
  <c r="K4581" i="22"/>
  <c r="F4581" i="22"/>
  <c r="K3711" i="22"/>
  <c r="F3711" i="22"/>
  <c r="O3711" i="22" s="1"/>
  <c r="F3657" i="22"/>
  <c r="O3657" i="22" s="1"/>
  <c r="K3657" i="22"/>
  <c r="K3549" i="22"/>
  <c r="F3549" i="22"/>
  <c r="O3549" i="22" s="1"/>
  <c r="F3333" i="22"/>
  <c r="O3333" i="22" s="1"/>
  <c r="K3333" i="22"/>
  <c r="F3117" i="22"/>
  <c r="O3117" i="22" s="1"/>
  <c r="K3117" i="22"/>
  <c r="F3063" i="22"/>
  <c r="O3063" i="22" s="1"/>
  <c r="K3063" i="22"/>
  <c r="K3009" i="22"/>
  <c r="F3009" i="22"/>
  <c r="O3009" i="22" s="1"/>
  <c r="K2901" i="22"/>
  <c r="F2901" i="22"/>
  <c r="O2901" i="22" s="1"/>
  <c r="K2685" i="22"/>
  <c r="F2685" i="22"/>
  <c r="O2685" i="22" s="1"/>
  <c r="K2415" i="22"/>
  <c r="F2415" i="22"/>
  <c r="O2415" i="22" s="1"/>
  <c r="K2361" i="22"/>
  <c r="F2361" i="22"/>
  <c r="O2361" i="22" s="1"/>
  <c r="F2307" i="22"/>
  <c r="O2307" i="22" s="1"/>
  <c r="K2307" i="22"/>
  <c r="K2037" i="22"/>
  <c r="F2037" i="22"/>
  <c r="O2037" i="22" s="1"/>
  <c r="F1983" i="22"/>
  <c r="O1983" i="22" s="1"/>
  <c r="K1983" i="22"/>
  <c r="K1713" i="22"/>
  <c r="F1713" i="22"/>
  <c r="O1713" i="22" s="1"/>
  <c r="F1443" i="22"/>
  <c r="O1443" i="22" s="1"/>
  <c r="K1443" i="22"/>
  <c r="F1389" i="22"/>
  <c r="O1389" i="22" s="1"/>
  <c r="K1389" i="22"/>
  <c r="K1335" i="22"/>
  <c r="F1335" i="22"/>
  <c r="O1335" i="22" s="1"/>
  <c r="F1065" i="22"/>
  <c r="O1065" i="22" s="1"/>
  <c r="K1065" i="22"/>
  <c r="K741" i="22"/>
  <c r="F741" i="22"/>
  <c r="O741" i="22" s="1"/>
  <c r="K201" i="22"/>
  <c r="F201" i="22"/>
  <c r="O201" i="22" s="1"/>
  <c r="K147" i="22"/>
  <c r="F147" i="22"/>
  <c r="O147" i="22" s="1"/>
  <c r="F93" i="22"/>
  <c r="O93" i="22" s="1"/>
  <c r="K93" i="22"/>
  <c r="K2308" i="22" l="1"/>
  <c r="F2308" i="22"/>
  <c r="O2308" i="22" s="1"/>
  <c r="K2038" i="22"/>
  <c r="F2038" i="22"/>
  <c r="O2038" i="22" s="1"/>
  <c r="K1768" i="22"/>
  <c r="F1768" i="22"/>
  <c r="O1768" i="22" s="1"/>
  <c r="K1552" i="22"/>
  <c r="F1552" i="22"/>
  <c r="O1552" i="22" s="1"/>
  <c r="K1498" i="22"/>
  <c r="F1498" i="22"/>
  <c r="O1498" i="22" s="1"/>
  <c r="K1228" i="22"/>
  <c r="F1228" i="22"/>
  <c r="O1228" i="22" s="1"/>
  <c r="K958" i="22"/>
  <c r="F958" i="22"/>
  <c r="O958" i="22" s="1"/>
  <c r="K418" i="22"/>
  <c r="F418" i="22"/>
  <c r="O418" i="22" s="1"/>
  <c r="J1609" i="23"/>
  <c r="D1609" i="23"/>
  <c r="P1609" i="23"/>
  <c r="Q1609" i="23"/>
  <c r="R1609" i="23"/>
  <c r="I1610" i="23"/>
  <c r="L1610" i="23"/>
  <c r="C1610" i="23"/>
  <c r="K1610" i="23" s="1"/>
  <c r="E1610" i="23"/>
  <c r="F1610" i="23"/>
  <c r="O1610" i="23" s="1"/>
  <c r="G1610" i="23"/>
  <c r="B1611" i="23"/>
  <c r="J1553" i="23"/>
  <c r="D1553" i="23"/>
  <c r="P1553" i="23"/>
  <c r="Q1553" i="23"/>
  <c r="R1553" i="23"/>
  <c r="L1554" i="23"/>
  <c r="I1554" i="23"/>
  <c r="C1554" i="23"/>
  <c r="E1554" i="23"/>
  <c r="G1554" i="23"/>
  <c r="B1555" i="23"/>
  <c r="M1497" i="23"/>
  <c r="J1497" i="23"/>
  <c r="N1497" i="23" s="1"/>
  <c r="AE1497" i="23" s="1"/>
  <c r="D1497" i="23"/>
  <c r="P1497" i="23"/>
  <c r="Q1497" i="23"/>
  <c r="R1497" i="23"/>
  <c r="L1498" i="23"/>
  <c r="I1498" i="23"/>
  <c r="C1498" i="23"/>
  <c r="E1498" i="23"/>
  <c r="G1498" i="23"/>
  <c r="B1499" i="23"/>
  <c r="M1441" i="23"/>
  <c r="J1441" i="23"/>
  <c r="N1441" i="23" s="1"/>
  <c r="AE1441" i="23" s="1"/>
  <c r="D1441" i="23"/>
  <c r="P1441" i="23"/>
  <c r="Q1441" i="23"/>
  <c r="R1441" i="23"/>
  <c r="L1442" i="23"/>
  <c r="I1442" i="23"/>
  <c r="C1442" i="23"/>
  <c r="E1442" i="23"/>
  <c r="G1442" i="23"/>
  <c r="B1443" i="23"/>
  <c r="P1385" i="23"/>
  <c r="Q1385" i="23"/>
  <c r="R1385" i="23"/>
  <c r="J1385" i="23"/>
  <c r="D1385" i="23"/>
  <c r="L1386" i="23"/>
  <c r="I1386" i="23"/>
  <c r="E1386" i="23"/>
  <c r="G1386" i="23"/>
  <c r="B1387" i="23"/>
  <c r="C1386" i="23"/>
  <c r="K1386" i="23" s="1"/>
  <c r="F1386" i="23"/>
  <c r="O1386" i="23" s="1"/>
  <c r="M1329" i="23"/>
  <c r="J1329" i="23"/>
  <c r="N1329" i="23" s="1"/>
  <c r="AE1329" i="23" s="1"/>
  <c r="D1329" i="23"/>
  <c r="P1329" i="23"/>
  <c r="Q1329" i="23"/>
  <c r="R1329" i="23"/>
  <c r="L1330" i="23"/>
  <c r="I1330" i="23"/>
  <c r="C1330" i="23"/>
  <c r="K1330" i="23" s="1"/>
  <c r="E1330" i="23"/>
  <c r="F1330" i="23"/>
  <c r="O1330" i="23" s="1"/>
  <c r="G1330" i="23"/>
  <c r="B1331" i="23"/>
  <c r="M1273" i="23"/>
  <c r="J1273" i="23"/>
  <c r="N1273" i="23" s="1"/>
  <c r="AE1273" i="23" s="1"/>
  <c r="D1273" i="23"/>
  <c r="P1273" i="23"/>
  <c r="Q1273" i="23"/>
  <c r="R1273" i="23"/>
  <c r="L1274" i="23"/>
  <c r="I1274" i="23"/>
  <c r="C1274" i="23"/>
  <c r="K1274" i="23" s="1"/>
  <c r="E1274" i="23"/>
  <c r="F1274" i="23"/>
  <c r="O1274" i="23" s="1"/>
  <c r="G1274" i="23"/>
  <c r="B1275" i="23"/>
  <c r="M1217" i="23"/>
  <c r="J1217" i="23"/>
  <c r="N1217" i="23" s="1"/>
  <c r="AE1217" i="23" s="1"/>
  <c r="D1217" i="23"/>
  <c r="P1217" i="23"/>
  <c r="Q1217" i="23"/>
  <c r="R1217" i="23"/>
  <c r="L1218" i="23"/>
  <c r="I1218" i="23"/>
  <c r="C1218" i="23"/>
  <c r="E1218" i="23"/>
  <c r="G1218" i="23"/>
  <c r="B1219" i="23"/>
  <c r="M1161" i="23"/>
  <c r="J1161" i="23"/>
  <c r="N1161" i="23" s="1"/>
  <c r="AE1161" i="23" s="1"/>
  <c r="D1161" i="23"/>
  <c r="P1161" i="23"/>
  <c r="Q1161" i="23"/>
  <c r="R1161" i="23"/>
  <c r="L1162" i="23"/>
  <c r="I1162" i="23"/>
  <c r="C1162" i="23"/>
  <c r="E1162" i="23"/>
  <c r="G1162" i="23"/>
  <c r="B1163" i="23"/>
  <c r="M1105" i="23"/>
  <c r="J1105" i="23"/>
  <c r="N1105" i="23" s="1"/>
  <c r="AE1105" i="23" s="1"/>
  <c r="D1105" i="23"/>
  <c r="P1105" i="23"/>
  <c r="Q1105" i="23"/>
  <c r="R1105" i="23"/>
  <c r="L1106" i="23"/>
  <c r="I1106" i="23"/>
  <c r="C1106" i="23"/>
  <c r="K1106" i="23" s="1"/>
  <c r="E1106" i="23"/>
  <c r="F1106" i="23"/>
  <c r="O1106" i="23" s="1"/>
  <c r="G1106" i="23"/>
  <c r="B1107" i="23"/>
  <c r="M1049" i="23"/>
  <c r="J1049" i="23"/>
  <c r="N1049" i="23" s="1"/>
  <c r="AE1049" i="23" s="1"/>
  <c r="D1049" i="23"/>
  <c r="P1049" i="23"/>
  <c r="Q1049" i="23"/>
  <c r="R1049" i="23"/>
  <c r="L1050" i="23"/>
  <c r="I1050" i="23"/>
  <c r="C1050" i="23"/>
  <c r="E1050" i="23"/>
  <c r="B1051" i="23"/>
  <c r="G1050" i="23"/>
  <c r="M993" i="23"/>
  <c r="J993" i="23"/>
  <c r="N993" i="23" s="1"/>
  <c r="AE993" i="23" s="1"/>
  <c r="D993" i="23"/>
  <c r="P993" i="23"/>
  <c r="Q993" i="23"/>
  <c r="R993" i="23"/>
  <c r="L994" i="23"/>
  <c r="I994" i="23"/>
  <c r="C994" i="23"/>
  <c r="K994" i="23" s="1"/>
  <c r="E994" i="23"/>
  <c r="F994" i="23"/>
  <c r="O994" i="23" s="1"/>
  <c r="G994" i="23"/>
  <c r="B995" i="23"/>
  <c r="M937" i="23"/>
  <c r="J937" i="23"/>
  <c r="N937" i="23" s="1"/>
  <c r="AE937" i="23" s="1"/>
  <c r="D937" i="23"/>
  <c r="P937" i="23"/>
  <c r="Q937" i="23"/>
  <c r="R937" i="23"/>
  <c r="L938" i="23"/>
  <c r="I938" i="23"/>
  <c r="C938" i="23"/>
  <c r="K938" i="23" s="1"/>
  <c r="E938" i="23"/>
  <c r="F938" i="23"/>
  <c r="O938" i="23" s="1"/>
  <c r="G938" i="23"/>
  <c r="B939" i="23"/>
  <c r="M881" i="23"/>
  <c r="J881" i="23"/>
  <c r="N881" i="23" s="1"/>
  <c r="AE881" i="23" s="1"/>
  <c r="D881" i="23"/>
  <c r="P881" i="23"/>
  <c r="Q881" i="23"/>
  <c r="R881" i="23"/>
  <c r="L882" i="23"/>
  <c r="I882" i="23"/>
  <c r="C882" i="23"/>
  <c r="K882" i="23" s="1"/>
  <c r="E882" i="23"/>
  <c r="F882" i="23"/>
  <c r="O882" i="23" s="1"/>
  <c r="G882" i="23"/>
  <c r="B883" i="23"/>
  <c r="M825" i="23"/>
  <c r="J825" i="23"/>
  <c r="N825" i="23" s="1"/>
  <c r="AE825" i="23" s="1"/>
  <c r="D825" i="23"/>
  <c r="P825" i="23"/>
  <c r="Q825" i="23"/>
  <c r="R825" i="23"/>
  <c r="L826" i="23"/>
  <c r="I826" i="23"/>
  <c r="C826" i="23"/>
  <c r="K826" i="23" s="1"/>
  <c r="E826" i="23"/>
  <c r="F826" i="23"/>
  <c r="O826" i="23" s="1"/>
  <c r="G826" i="23"/>
  <c r="B827" i="23"/>
  <c r="J769" i="23"/>
  <c r="D769" i="23"/>
  <c r="M769" i="23" s="1"/>
  <c r="N769" i="23" s="1"/>
  <c r="AE769" i="23" s="1"/>
  <c r="P769" i="23"/>
  <c r="Q769" i="23"/>
  <c r="R769" i="23"/>
  <c r="L770" i="23"/>
  <c r="I770" i="23"/>
  <c r="C770" i="23"/>
  <c r="E770" i="23"/>
  <c r="G770" i="23"/>
  <c r="B771" i="23"/>
  <c r="M713" i="23"/>
  <c r="J713" i="23"/>
  <c r="N713" i="23" s="1"/>
  <c r="AE713" i="23" s="1"/>
  <c r="D713" i="23"/>
  <c r="P713" i="23"/>
  <c r="Q713" i="23"/>
  <c r="R713" i="23"/>
  <c r="L714" i="23"/>
  <c r="I714" i="23"/>
  <c r="C714" i="23"/>
  <c r="K714" i="23" s="1"/>
  <c r="E714" i="23"/>
  <c r="F714" i="23"/>
  <c r="O714" i="23" s="1"/>
  <c r="G714" i="23"/>
  <c r="B715" i="23"/>
  <c r="M657" i="23"/>
  <c r="J657" i="23"/>
  <c r="N657" i="23" s="1"/>
  <c r="AE657" i="23" s="1"/>
  <c r="D657" i="23"/>
  <c r="P657" i="23"/>
  <c r="Q657" i="23"/>
  <c r="R657" i="23"/>
  <c r="L658" i="23"/>
  <c r="I658" i="23"/>
  <c r="C658" i="23"/>
  <c r="K658" i="23" s="1"/>
  <c r="E658" i="23"/>
  <c r="F658" i="23"/>
  <c r="O658" i="23" s="1"/>
  <c r="G658" i="23"/>
  <c r="B659" i="23"/>
  <c r="M601" i="23"/>
  <c r="J601" i="23"/>
  <c r="N601" i="23" s="1"/>
  <c r="AE601" i="23" s="1"/>
  <c r="D601" i="23"/>
  <c r="P601" i="23"/>
  <c r="Q601" i="23"/>
  <c r="R601" i="23"/>
  <c r="L602" i="23"/>
  <c r="I602" i="23"/>
  <c r="C602" i="23"/>
  <c r="K602" i="23" s="1"/>
  <c r="E602" i="23"/>
  <c r="F602" i="23"/>
  <c r="O602" i="23" s="1"/>
  <c r="G602" i="23"/>
  <c r="B603" i="23"/>
  <c r="M545" i="23"/>
  <c r="J545" i="23"/>
  <c r="N545" i="23" s="1"/>
  <c r="AE545" i="23" s="1"/>
  <c r="D545" i="23"/>
  <c r="P545" i="23"/>
  <c r="Q545" i="23"/>
  <c r="R545" i="23"/>
  <c r="L546" i="23"/>
  <c r="I546" i="23"/>
  <c r="C546" i="23"/>
  <c r="K546" i="23" s="1"/>
  <c r="E546" i="23"/>
  <c r="F546" i="23"/>
  <c r="O546" i="23" s="1"/>
  <c r="G546" i="23"/>
  <c r="B547" i="23"/>
  <c r="M489" i="23"/>
  <c r="J489" i="23"/>
  <c r="N489" i="23" s="1"/>
  <c r="AE489" i="23" s="1"/>
  <c r="D489" i="23"/>
  <c r="P489" i="23"/>
  <c r="Q489" i="23"/>
  <c r="R489" i="23"/>
  <c r="L490" i="23"/>
  <c r="I490" i="23"/>
  <c r="C490" i="23"/>
  <c r="K490" i="23" s="1"/>
  <c r="E490" i="23"/>
  <c r="F490" i="23"/>
  <c r="O490" i="23" s="1"/>
  <c r="G490" i="23"/>
  <c r="B491" i="23"/>
  <c r="P433" i="23"/>
  <c r="Q433" i="23"/>
  <c r="R433" i="23"/>
  <c r="L434" i="23"/>
  <c r="I434" i="23"/>
  <c r="G434" i="23"/>
  <c r="B435" i="23"/>
  <c r="C434" i="23"/>
  <c r="K434" i="23" s="1"/>
  <c r="E434" i="23"/>
  <c r="F434" i="23"/>
  <c r="O434" i="23" s="1"/>
  <c r="J433" i="23"/>
  <c r="D433" i="23"/>
  <c r="M377" i="23"/>
  <c r="J377" i="23"/>
  <c r="N377" i="23" s="1"/>
  <c r="AE377" i="23" s="1"/>
  <c r="D377" i="23"/>
  <c r="P377" i="23"/>
  <c r="Q377" i="23"/>
  <c r="R377" i="23"/>
  <c r="L378" i="23"/>
  <c r="I378" i="23"/>
  <c r="C378" i="23"/>
  <c r="E378" i="23"/>
  <c r="G378" i="23"/>
  <c r="B379" i="23"/>
  <c r="M321" i="23"/>
  <c r="J321" i="23"/>
  <c r="N321" i="23" s="1"/>
  <c r="AE321" i="23" s="1"/>
  <c r="D321" i="23"/>
  <c r="P321" i="23"/>
  <c r="Q321" i="23"/>
  <c r="R321" i="23"/>
  <c r="L322" i="23"/>
  <c r="I322" i="23"/>
  <c r="C322" i="23"/>
  <c r="K322" i="23" s="1"/>
  <c r="E322" i="23"/>
  <c r="F322" i="23"/>
  <c r="O322" i="23" s="1"/>
  <c r="G322" i="23"/>
  <c r="B323" i="23"/>
  <c r="M265" i="23"/>
  <c r="J265" i="23"/>
  <c r="N265" i="23" s="1"/>
  <c r="AE265" i="23" s="1"/>
  <c r="D265" i="23"/>
  <c r="P265" i="23"/>
  <c r="Q265" i="23"/>
  <c r="R265" i="23"/>
  <c r="L266" i="23"/>
  <c r="I266" i="23"/>
  <c r="C266" i="23"/>
  <c r="K266" i="23" s="1"/>
  <c r="E266" i="23"/>
  <c r="F266" i="23"/>
  <c r="O266" i="23" s="1"/>
  <c r="G266" i="23"/>
  <c r="B267" i="23"/>
  <c r="D4744" i="22"/>
  <c r="J4744" i="22"/>
  <c r="P4744" i="22"/>
  <c r="Q4744" i="22"/>
  <c r="R4744" i="22"/>
  <c r="M4744" i="22"/>
  <c r="N4744" i="22"/>
  <c r="C4745" i="22"/>
  <c r="E4745" i="22"/>
  <c r="F4745" i="22"/>
  <c r="G4745" i="22"/>
  <c r="I4745" i="22"/>
  <c r="K4745" i="22"/>
  <c r="L4745" i="22"/>
  <c r="B4746" i="22"/>
  <c r="S4689" i="22"/>
  <c r="U4689" i="22"/>
  <c r="D4690" i="22"/>
  <c r="J4690" i="22"/>
  <c r="P4690" i="22"/>
  <c r="Q4690" i="22"/>
  <c r="R4690" i="22"/>
  <c r="L4691" i="22"/>
  <c r="C4691" i="22"/>
  <c r="K4691" i="22" s="1"/>
  <c r="E4691" i="22"/>
  <c r="F4691" i="22"/>
  <c r="G4691" i="22"/>
  <c r="I4691" i="22"/>
  <c r="B4692" i="22"/>
  <c r="P4636" i="22"/>
  <c r="Q4636" i="22"/>
  <c r="R4636" i="22"/>
  <c r="C4637" i="22"/>
  <c r="E4637" i="22"/>
  <c r="G4637" i="22"/>
  <c r="B4638" i="22"/>
  <c r="M4582" i="22"/>
  <c r="J4582" i="22"/>
  <c r="N4582" i="22" s="1"/>
  <c r="D4582" i="22"/>
  <c r="P4582" i="22"/>
  <c r="Q4582" i="22"/>
  <c r="R4582" i="22"/>
  <c r="I4583" i="22"/>
  <c r="L4583" i="22"/>
  <c r="C4583" i="22"/>
  <c r="K4583" i="22" s="1"/>
  <c r="E4583" i="22"/>
  <c r="F4583" i="22"/>
  <c r="G4583" i="22"/>
  <c r="B4584" i="22"/>
  <c r="M4528" i="22"/>
  <c r="D4528" i="22"/>
  <c r="J4528" i="22"/>
  <c r="N4528" i="22" s="1"/>
  <c r="P4528" i="22"/>
  <c r="Q4528" i="22"/>
  <c r="R4528" i="22"/>
  <c r="L4529" i="22"/>
  <c r="C4529" i="22"/>
  <c r="K4529" i="22" s="1"/>
  <c r="E4529" i="22"/>
  <c r="F4529" i="22"/>
  <c r="G4529" i="22"/>
  <c r="I4529" i="22"/>
  <c r="B4530" i="22"/>
  <c r="M4228" i="22"/>
  <c r="D4228" i="22"/>
  <c r="J4228" i="22"/>
  <c r="N4228" i="22" s="1"/>
  <c r="U4228" i="22" s="1"/>
  <c r="P4228" i="22"/>
  <c r="Q4228" i="22"/>
  <c r="R4228" i="22"/>
  <c r="L4229" i="22"/>
  <c r="C4229" i="22"/>
  <c r="K4229" i="22" s="1"/>
  <c r="E4229" i="22"/>
  <c r="F4229" i="22"/>
  <c r="O4229" i="22" s="1"/>
  <c r="G4229" i="22"/>
  <c r="I4229" i="22"/>
  <c r="B4230" i="22"/>
  <c r="M4174" i="22"/>
  <c r="D4174" i="22"/>
  <c r="J4174" i="22"/>
  <c r="N4174" i="22" s="1"/>
  <c r="U4174" i="22" s="1"/>
  <c r="P4174" i="22"/>
  <c r="Q4174" i="22"/>
  <c r="R4174" i="22"/>
  <c r="L4175" i="22"/>
  <c r="C4175" i="22"/>
  <c r="E4175" i="22"/>
  <c r="G4175" i="22"/>
  <c r="I4175" i="22"/>
  <c r="B4176" i="22"/>
  <c r="M4120" i="22"/>
  <c r="D4120" i="22"/>
  <c r="J4120" i="22"/>
  <c r="N4120" i="22" s="1"/>
  <c r="U4120" i="22" s="1"/>
  <c r="P4120" i="22"/>
  <c r="Q4120" i="22"/>
  <c r="R4120" i="22"/>
  <c r="L4121" i="22"/>
  <c r="C4121" i="22"/>
  <c r="K4121" i="22" s="1"/>
  <c r="E4121" i="22"/>
  <c r="F4121" i="22"/>
  <c r="O4121" i="22" s="1"/>
  <c r="G4121" i="22"/>
  <c r="I4121" i="22"/>
  <c r="B4122" i="22"/>
  <c r="M4066" i="22"/>
  <c r="D4066" i="22"/>
  <c r="J4066" i="22"/>
  <c r="N4066" i="22" s="1"/>
  <c r="U4066" i="22" s="1"/>
  <c r="P4066" i="22"/>
  <c r="Q4066" i="22"/>
  <c r="R4066" i="22"/>
  <c r="L4067" i="22"/>
  <c r="C4067" i="22"/>
  <c r="K4067" i="22" s="1"/>
  <c r="E4067" i="22"/>
  <c r="F4067" i="22"/>
  <c r="O4067" i="22" s="1"/>
  <c r="G4067" i="22"/>
  <c r="I4067" i="22"/>
  <c r="B4068" i="22"/>
  <c r="D3766" i="22"/>
  <c r="J3766" i="22"/>
  <c r="P3766" i="22"/>
  <c r="Q3766" i="22"/>
  <c r="R3766" i="22"/>
  <c r="L3767" i="22"/>
  <c r="C3767" i="22"/>
  <c r="K3767" i="22" s="1"/>
  <c r="E3767" i="22"/>
  <c r="F3767" i="22"/>
  <c r="O3767" i="22" s="1"/>
  <c r="G3767" i="22"/>
  <c r="I3767" i="22"/>
  <c r="B3768" i="22"/>
  <c r="D3712" i="22"/>
  <c r="J3712" i="22"/>
  <c r="P3712" i="22"/>
  <c r="Q3712" i="22"/>
  <c r="R3712" i="22"/>
  <c r="L3713" i="22"/>
  <c r="C3713" i="22"/>
  <c r="E3713" i="22"/>
  <c r="G3713" i="22"/>
  <c r="I3713" i="22"/>
  <c r="B3714" i="22"/>
  <c r="M3658" i="22"/>
  <c r="D3658" i="22"/>
  <c r="J3658" i="22"/>
  <c r="N3658" i="22" s="1"/>
  <c r="U3658" i="22" s="1"/>
  <c r="P3658" i="22"/>
  <c r="Q3658" i="22"/>
  <c r="R3658" i="22"/>
  <c r="L3659" i="22"/>
  <c r="C3659" i="22"/>
  <c r="K3659" i="22" s="1"/>
  <c r="E3659" i="22"/>
  <c r="F3659" i="22"/>
  <c r="O3659" i="22" s="1"/>
  <c r="G3659" i="22"/>
  <c r="I3659" i="22"/>
  <c r="B3660" i="22"/>
  <c r="M3604" i="22"/>
  <c r="D3604" i="22"/>
  <c r="J3604" i="22"/>
  <c r="N3604" i="22" s="1"/>
  <c r="U3604" i="22" s="1"/>
  <c r="P3604" i="22"/>
  <c r="Q3604" i="22"/>
  <c r="R3604" i="22"/>
  <c r="L3605" i="22"/>
  <c r="C3605" i="22"/>
  <c r="E3605" i="22"/>
  <c r="G3605" i="22"/>
  <c r="I3605" i="22"/>
  <c r="B3606" i="22"/>
  <c r="K3551" i="22"/>
  <c r="L3551" i="22"/>
  <c r="G3551" i="22"/>
  <c r="B3552" i="22"/>
  <c r="C3551" i="22"/>
  <c r="F3551" i="22" s="1"/>
  <c r="O3551" i="22" s="1"/>
  <c r="E3551" i="22"/>
  <c r="I3551" i="22"/>
  <c r="J3550" i="22"/>
  <c r="D3550" i="22"/>
  <c r="P3550" i="22"/>
  <c r="Q3550" i="22"/>
  <c r="R3550" i="22"/>
  <c r="D3496" i="22"/>
  <c r="J3496" i="22"/>
  <c r="P3496" i="22"/>
  <c r="Q3496" i="22"/>
  <c r="R3496" i="22"/>
  <c r="L3497" i="22"/>
  <c r="C3497" i="22"/>
  <c r="K3497" i="22" s="1"/>
  <c r="E3497" i="22"/>
  <c r="F3497" i="22"/>
  <c r="O3497" i="22" s="1"/>
  <c r="G3497" i="22"/>
  <c r="I3497" i="22"/>
  <c r="B3498" i="22"/>
  <c r="D3442" i="22"/>
  <c r="J3442" i="22"/>
  <c r="P3442" i="22"/>
  <c r="Q3442" i="22"/>
  <c r="R3442" i="22"/>
  <c r="L3443" i="22"/>
  <c r="C3443" i="22"/>
  <c r="K3443" i="22" s="1"/>
  <c r="E3443" i="22"/>
  <c r="F3443" i="22"/>
  <c r="O3443" i="22" s="1"/>
  <c r="G3443" i="22"/>
  <c r="I3443" i="22"/>
  <c r="B3444" i="22"/>
  <c r="M3388" i="22"/>
  <c r="D3388" i="22"/>
  <c r="J3388" i="22"/>
  <c r="N3388" i="22" s="1"/>
  <c r="U3388" i="22" s="1"/>
  <c r="P3388" i="22"/>
  <c r="Q3388" i="22"/>
  <c r="R3388" i="22"/>
  <c r="L3389" i="22"/>
  <c r="C3389" i="22"/>
  <c r="K3389" i="22" s="1"/>
  <c r="E3389" i="22"/>
  <c r="F3389" i="22"/>
  <c r="O3389" i="22" s="1"/>
  <c r="G3389" i="22"/>
  <c r="I3389" i="22"/>
  <c r="B3390" i="22"/>
  <c r="M3334" i="22"/>
  <c r="D3334" i="22"/>
  <c r="J3334" i="22"/>
  <c r="N3334" i="22" s="1"/>
  <c r="U3334" i="22" s="1"/>
  <c r="P3334" i="22"/>
  <c r="Q3334" i="22"/>
  <c r="R3334" i="22"/>
  <c r="L3335" i="22"/>
  <c r="C3335" i="22"/>
  <c r="E3335" i="22"/>
  <c r="G3335" i="22"/>
  <c r="I3335" i="22"/>
  <c r="B3336" i="22"/>
  <c r="M3280" i="22"/>
  <c r="D3280" i="22"/>
  <c r="J3280" i="22"/>
  <c r="N3280" i="22" s="1"/>
  <c r="U3280" i="22" s="1"/>
  <c r="P3280" i="22"/>
  <c r="Q3280" i="22"/>
  <c r="R3280" i="22"/>
  <c r="L3281" i="22"/>
  <c r="C3281" i="22"/>
  <c r="E3281" i="22"/>
  <c r="G3281" i="22"/>
  <c r="I3281" i="22"/>
  <c r="B3282" i="22"/>
  <c r="M3226" i="22"/>
  <c r="D3226" i="22"/>
  <c r="J3226" i="22"/>
  <c r="N3226" i="22" s="1"/>
  <c r="U3226" i="22" s="1"/>
  <c r="P3226" i="22"/>
  <c r="Q3226" i="22"/>
  <c r="R3226" i="22"/>
  <c r="L3227" i="22"/>
  <c r="C3227" i="22"/>
  <c r="E3227" i="22"/>
  <c r="G3227" i="22"/>
  <c r="B3228" i="22"/>
  <c r="I3227" i="22"/>
  <c r="D3172" i="22"/>
  <c r="J3172" i="22"/>
  <c r="P3172" i="22"/>
  <c r="Q3172" i="22"/>
  <c r="R3172" i="22"/>
  <c r="L3173" i="22"/>
  <c r="C3173" i="22"/>
  <c r="K3173" i="22" s="1"/>
  <c r="E3173" i="22"/>
  <c r="F3173" i="22"/>
  <c r="O3173" i="22" s="1"/>
  <c r="G3173" i="22"/>
  <c r="I3173" i="22"/>
  <c r="B3174" i="22"/>
  <c r="P3118" i="22"/>
  <c r="Q3118" i="22"/>
  <c r="R3118" i="22"/>
  <c r="J3118" i="22"/>
  <c r="D3118" i="22"/>
  <c r="L3119" i="22"/>
  <c r="G3119" i="22"/>
  <c r="I3119" i="22"/>
  <c r="C3119" i="22"/>
  <c r="E3119" i="22"/>
  <c r="B3120" i="22"/>
  <c r="D3064" i="22"/>
  <c r="J3064" i="22"/>
  <c r="P3064" i="22"/>
  <c r="Q3064" i="22"/>
  <c r="R3064" i="22"/>
  <c r="L3065" i="22"/>
  <c r="C3065" i="22"/>
  <c r="E3065" i="22"/>
  <c r="G3065" i="22"/>
  <c r="B3066" i="22"/>
  <c r="I3065" i="22"/>
  <c r="M3010" i="22"/>
  <c r="P3010" i="22"/>
  <c r="Q3010" i="22"/>
  <c r="R3010" i="22"/>
  <c r="D3010" i="22"/>
  <c r="J3010" i="22"/>
  <c r="N3010" i="22" s="1"/>
  <c r="U3010" i="22" s="1"/>
  <c r="L3011" i="22"/>
  <c r="G3011" i="22"/>
  <c r="I3011" i="22"/>
  <c r="C3011" i="22"/>
  <c r="E3011" i="22"/>
  <c r="B3012" i="22"/>
  <c r="M2956" i="22"/>
  <c r="D2956" i="22"/>
  <c r="J2956" i="22"/>
  <c r="N2956" i="22" s="1"/>
  <c r="U2956" i="22" s="1"/>
  <c r="P2956" i="22"/>
  <c r="Q2956" i="22"/>
  <c r="R2956" i="22"/>
  <c r="L2957" i="22"/>
  <c r="C2957" i="22"/>
  <c r="E2957" i="22"/>
  <c r="G2957" i="22"/>
  <c r="B2958" i="22"/>
  <c r="I2957" i="22"/>
  <c r="P2902" i="22"/>
  <c r="Q2902" i="22"/>
  <c r="R2902" i="22"/>
  <c r="L2903" i="22"/>
  <c r="B2904" i="22"/>
  <c r="E2903" i="22"/>
  <c r="I2903" i="22"/>
  <c r="C2903" i="22"/>
  <c r="G2903" i="22"/>
  <c r="D2902" i="22"/>
  <c r="J2902" i="22"/>
  <c r="D2848" i="22"/>
  <c r="J2848" i="22"/>
  <c r="P2848" i="22"/>
  <c r="Q2848" i="22"/>
  <c r="R2848" i="22"/>
  <c r="L2849" i="22"/>
  <c r="C2849" i="22"/>
  <c r="K2849" i="22" s="1"/>
  <c r="E2849" i="22"/>
  <c r="F2849" i="22"/>
  <c r="O2849" i="22" s="1"/>
  <c r="G2849" i="22"/>
  <c r="I2849" i="22"/>
  <c r="B2850" i="22"/>
  <c r="M2794" i="22"/>
  <c r="D2794" i="22"/>
  <c r="J2794" i="22"/>
  <c r="N2794" i="22" s="1"/>
  <c r="S2794" i="22" s="1"/>
  <c r="T2794" i="22" s="1"/>
  <c r="U2794" i="22" s="1"/>
  <c r="Q2794" i="22"/>
  <c r="P2794" i="22"/>
  <c r="R2794" i="22"/>
  <c r="L2795" i="22"/>
  <c r="C2795" i="22"/>
  <c r="K2795" i="22" s="1"/>
  <c r="E2795" i="22"/>
  <c r="F2795" i="22"/>
  <c r="O2795" i="22" s="1"/>
  <c r="G2795" i="22"/>
  <c r="I2795" i="22"/>
  <c r="B2796" i="22"/>
  <c r="M2740" i="22"/>
  <c r="D2740" i="22"/>
  <c r="J2740" i="22"/>
  <c r="N2740" i="22" s="1"/>
  <c r="U2740" i="22" s="1"/>
  <c r="P2740" i="22"/>
  <c r="Q2740" i="22"/>
  <c r="R2740" i="22"/>
  <c r="L2741" i="22"/>
  <c r="C2741" i="22"/>
  <c r="E2741" i="22"/>
  <c r="G2741" i="22"/>
  <c r="I2741" i="22"/>
  <c r="B2742" i="22"/>
  <c r="M2686" i="22"/>
  <c r="D2686" i="22"/>
  <c r="J2686" i="22"/>
  <c r="N2686" i="22" s="1"/>
  <c r="U2686" i="22" s="1"/>
  <c r="P2686" i="22"/>
  <c r="Q2686" i="22"/>
  <c r="R2686" i="22"/>
  <c r="L2687" i="22"/>
  <c r="C2687" i="22"/>
  <c r="K2687" i="22" s="1"/>
  <c r="E2687" i="22"/>
  <c r="F2687" i="22"/>
  <c r="O2687" i="22" s="1"/>
  <c r="G2687" i="22"/>
  <c r="I2687" i="22"/>
  <c r="B2688" i="22"/>
  <c r="M2632" i="22"/>
  <c r="D2632" i="22"/>
  <c r="J2632" i="22"/>
  <c r="N2632" i="22" s="1"/>
  <c r="U2632" i="22" s="1"/>
  <c r="P2632" i="22"/>
  <c r="Q2632" i="22"/>
  <c r="R2632" i="22"/>
  <c r="L2633" i="22"/>
  <c r="C2633" i="22"/>
  <c r="K2633" i="22" s="1"/>
  <c r="E2633" i="22"/>
  <c r="F2633" i="22"/>
  <c r="O2633" i="22" s="1"/>
  <c r="G2633" i="22"/>
  <c r="I2633" i="22"/>
  <c r="B2634" i="22"/>
  <c r="M2578" i="22"/>
  <c r="D2578" i="22"/>
  <c r="J2578" i="22"/>
  <c r="N2578" i="22" s="1"/>
  <c r="U2578" i="22" s="1"/>
  <c r="P2578" i="22"/>
  <c r="Q2578" i="22"/>
  <c r="R2578" i="22"/>
  <c r="L2579" i="22"/>
  <c r="C2579" i="22"/>
  <c r="E2579" i="22"/>
  <c r="G2579" i="22"/>
  <c r="I2579" i="22"/>
  <c r="B2580" i="22"/>
  <c r="M2524" i="22"/>
  <c r="D2524" i="22"/>
  <c r="J2524" i="22"/>
  <c r="N2524" i="22" s="1"/>
  <c r="U2524" i="22" s="1"/>
  <c r="P2524" i="22"/>
  <c r="Q2524" i="22"/>
  <c r="R2524" i="22"/>
  <c r="L2525" i="22"/>
  <c r="C2525" i="22"/>
  <c r="E2525" i="22"/>
  <c r="G2525" i="22"/>
  <c r="I2525" i="22"/>
  <c r="B2526" i="22"/>
  <c r="M2470" i="22"/>
  <c r="D2470" i="22"/>
  <c r="J2470" i="22"/>
  <c r="N2470" i="22" s="1"/>
  <c r="U2470" i="22" s="1"/>
  <c r="P2470" i="22"/>
  <c r="Q2470" i="22"/>
  <c r="R2470" i="22"/>
  <c r="L2471" i="22"/>
  <c r="C2471" i="22"/>
  <c r="E2471" i="22"/>
  <c r="G2471" i="22"/>
  <c r="I2471" i="22"/>
  <c r="B2472" i="22"/>
  <c r="M2416" i="22"/>
  <c r="D2416" i="22"/>
  <c r="J2416" i="22"/>
  <c r="N2416" i="22" s="1"/>
  <c r="U2416" i="22" s="1"/>
  <c r="P2416" i="22"/>
  <c r="Q2416" i="22"/>
  <c r="R2416" i="22"/>
  <c r="L2417" i="22"/>
  <c r="C2417" i="22"/>
  <c r="K2417" i="22" s="1"/>
  <c r="E2417" i="22"/>
  <c r="F2417" i="22"/>
  <c r="O2417" i="22" s="1"/>
  <c r="G2417" i="22"/>
  <c r="I2417" i="22"/>
  <c r="B2418" i="22"/>
  <c r="M2362" i="22"/>
  <c r="D2362" i="22"/>
  <c r="J2362" i="22"/>
  <c r="N2362" i="22" s="1"/>
  <c r="U2362" i="22" s="1"/>
  <c r="P2362" i="22"/>
  <c r="Q2362" i="22"/>
  <c r="R2362" i="22"/>
  <c r="L2363" i="22"/>
  <c r="C2363" i="22"/>
  <c r="K2363" i="22" s="1"/>
  <c r="E2363" i="22"/>
  <c r="F2363" i="22"/>
  <c r="O2363" i="22" s="1"/>
  <c r="G2363" i="22"/>
  <c r="I2363" i="22"/>
  <c r="B2364" i="22"/>
  <c r="M2308" i="22"/>
  <c r="D2308" i="22"/>
  <c r="J2308" i="22"/>
  <c r="N2308" i="22" s="1"/>
  <c r="U2308" i="22" s="1"/>
  <c r="P2308" i="22"/>
  <c r="Q2308" i="22"/>
  <c r="R2308" i="22"/>
  <c r="L2309" i="22"/>
  <c r="C2309" i="22"/>
  <c r="K2309" i="22" s="1"/>
  <c r="E2309" i="22"/>
  <c r="F2309" i="22"/>
  <c r="O2309" i="22" s="1"/>
  <c r="G2309" i="22"/>
  <c r="I2309" i="22"/>
  <c r="B2310" i="22"/>
  <c r="M2254" i="22"/>
  <c r="D2254" i="22"/>
  <c r="J2254" i="22"/>
  <c r="N2254" i="22" s="1"/>
  <c r="U2254" i="22" s="1"/>
  <c r="P2254" i="22"/>
  <c r="Q2254" i="22"/>
  <c r="R2254" i="22"/>
  <c r="L2255" i="22"/>
  <c r="C2255" i="22"/>
  <c r="K2255" i="22" s="1"/>
  <c r="E2255" i="22"/>
  <c r="F2255" i="22"/>
  <c r="O2255" i="22" s="1"/>
  <c r="G2255" i="22"/>
  <c r="I2255" i="22"/>
  <c r="B2256" i="22"/>
  <c r="D2200" i="22"/>
  <c r="M2200" i="22" s="1"/>
  <c r="J2200" i="22"/>
  <c r="P2200" i="22"/>
  <c r="Q2200" i="22"/>
  <c r="R2200" i="22"/>
  <c r="L2201" i="22"/>
  <c r="C2201" i="22"/>
  <c r="E2201" i="22"/>
  <c r="G2201" i="22"/>
  <c r="I2201" i="22"/>
  <c r="B2202" i="22"/>
  <c r="M2146" i="22"/>
  <c r="D2146" i="22"/>
  <c r="J2146" i="22"/>
  <c r="N2146" i="22" s="1"/>
  <c r="U2146" i="22" s="1"/>
  <c r="P2146" i="22"/>
  <c r="Q2146" i="22"/>
  <c r="R2146" i="22"/>
  <c r="L2147" i="22"/>
  <c r="C2147" i="22"/>
  <c r="K2147" i="22" s="1"/>
  <c r="E2147" i="22"/>
  <c r="F2147" i="22"/>
  <c r="O2147" i="22" s="1"/>
  <c r="G2147" i="22"/>
  <c r="I2147" i="22"/>
  <c r="B2148" i="22"/>
  <c r="M2092" i="22"/>
  <c r="D2092" i="22"/>
  <c r="J2092" i="22"/>
  <c r="N2092" i="22" s="1"/>
  <c r="U2092" i="22" s="1"/>
  <c r="P2092" i="22"/>
  <c r="Q2092" i="22"/>
  <c r="R2092" i="22"/>
  <c r="L2093" i="22"/>
  <c r="C2093" i="22"/>
  <c r="K2093" i="22" s="1"/>
  <c r="E2093" i="22"/>
  <c r="F2093" i="22"/>
  <c r="O2093" i="22" s="1"/>
  <c r="G2093" i="22"/>
  <c r="I2093" i="22"/>
  <c r="B2094" i="22"/>
  <c r="M2038" i="22"/>
  <c r="D2038" i="22"/>
  <c r="J2038" i="22"/>
  <c r="N2038" i="22" s="1"/>
  <c r="U2038" i="22" s="1"/>
  <c r="P2038" i="22"/>
  <c r="Q2038" i="22"/>
  <c r="R2038" i="22"/>
  <c r="L2039" i="22"/>
  <c r="C2039" i="22"/>
  <c r="K2039" i="22" s="1"/>
  <c r="E2039" i="22"/>
  <c r="F2039" i="22"/>
  <c r="O2039" i="22" s="1"/>
  <c r="G2039" i="22"/>
  <c r="I2039" i="22"/>
  <c r="B2040" i="22"/>
  <c r="D1984" i="22"/>
  <c r="J1984" i="22"/>
  <c r="P1984" i="22"/>
  <c r="Q1984" i="22"/>
  <c r="R1984" i="22"/>
  <c r="L1985" i="22"/>
  <c r="C1985" i="22"/>
  <c r="K1985" i="22" s="1"/>
  <c r="E1985" i="22"/>
  <c r="F1985" i="22"/>
  <c r="O1985" i="22" s="1"/>
  <c r="G1985" i="22"/>
  <c r="I1985" i="22"/>
  <c r="B1986" i="22"/>
  <c r="M1930" i="22"/>
  <c r="D1930" i="22"/>
  <c r="J1930" i="22"/>
  <c r="N1930" i="22" s="1"/>
  <c r="U1930" i="22" s="1"/>
  <c r="P1930" i="22"/>
  <c r="Q1930" i="22"/>
  <c r="R1930" i="22"/>
  <c r="L1931" i="22"/>
  <c r="C1931" i="22"/>
  <c r="K1931" i="22" s="1"/>
  <c r="E1931" i="22"/>
  <c r="F1931" i="22"/>
  <c r="O1931" i="22" s="1"/>
  <c r="G1931" i="22"/>
  <c r="I1931" i="22"/>
  <c r="B1932" i="22"/>
  <c r="M1876" i="22"/>
  <c r="D1876" i="22"/>
  <c r="J1876" i="22"/>
  <c r="N1876" i="22" s="1"/>
  <c r="U1876" i="22" s="1"/>
  <c r="P1876" i="22"/>
  <c r="Q1876" i="22"/>
  <c r="R1876" i="22"/>
  <c r="L1877" i="22"/>
  <c r="C1877" i="22"/>
  <c r="E1877" i="22"/>
  <c r="G1877" i="22"/>
  <c r="I1877" i="22"/>
  <c r="B1878" i="22"/>
  <c r="M1822" i="22"/>
  <c r="D1822" i="22"/>
  <c r="J1822" i="22"/>
  <c r="N1822" i="22" s="1"/>
  <c r="U1822" i="22" s="1"/>
  <c r="P1822" i="22"/>
  <c r="Q1822" i="22"/>
  <c r="R1822" i="22"/>
  <c r="L1823" i="22"/>
  <c r="C1823" i="22"/>
  <c r="K1823" i="22" s="1"/>
  <c r="E1823" i="22"/>
  <c r="F1823" i="22"/>
  <c r="O1823" i="22" s="1"/>
  <c r="G1823" i="22"/>
  <c r="I1823" i="22"/>
  <c r="B1824" i="22"/>
  <c r="M1768" i="22"/>
  <c r="D1768" i="22"/>
  <c r="J1768" i="22"/>
  <c r="N1768" i="22" s="1"/>
  <c r="U1768" i="22" s="1"/>
  <c r="P1768" i="22"/>
  <c r="Q1768" i="22"/>
  <c r="R1768" i="22"/>
  <c r="L1769" i="22"/>
  <c r="C1769" i="22"/>
  <c r="K1769" i="22" s="1"/>
  <c r="E1769" i="22"/>
  <c r="F1769" i="22"/>
  <c r="O1769" i="22" s="1"/>
  <c r="G1769" i="22"/>
  <c r="I1769" i="22"/>
  <c r="B1770" i="22"/>
  <c r="D1714" i="22"/>
  <c r="J1714" i="22"/>
  <c r="P1714" i="22"/>
  <c r="Q1714" i="22"/>
  <c r="R1714" i="22"/>
  <c r="L1715" i="22"/>
  <c r="C1715" i="22"/>
  <c r="K1715" i="22" s="1"/>
  <c r="E1715" i="22"/>
  <c r="F1715" i="22"/>
  <c r="O1715" i="22" s="1"/>
  <c r="G1715" i="22"/>
  <c r="I1715" i="22"/>
  <c r="B1716" i="22"/>
  <c r="M1660" i="22"/>
  <c r="D1660" i="22"/>
  <c r="J1660" i="22"/>
  <c r="N1660" i="22" s="1"/>
  <c r="U1660" i="22" s="1"/>
  <c r="P1660" i="22"/>
  <c r="Q1660" i="22"/>
  <c r="R1660" i="22"/>
  <c r="L1661" i="22"/>
  <c r="C1661" i="22"/>
  <c r="K1661" i="22" s="1"/>
  <c r="E1661" i="22"/>
  <c r="F1661" i="22"/>
  <c r="O1661" i="22" s="1"/>
  <c r="G1661" i="22"/>
  <c r="I1661" i="22"/>
  <c r="B1662" i="22"/>
  <c r="M1606" i="22"/>
  <c r="D1606" i="22"/>
  <c r="J1606" i="22"/>
  <c r="N1606" i="22" s="1"/>
  <c r="U1606" i="22" s="1"/>
  <c r="P1606" i="22"/>
  <c r="Q1606" i="22"/>
  <c r="R1606" i="22"/>
  <c r="L1607" i="22"/>
  <c r="C1607" i="22"/>
  <c r="E1607" i="22"/>
  <c r="G1607" i="22"/>
  <c r="I1607" i="22"/>
  <c r="B1608" i="22"/>
  <c r="D1552" i="22"/>
  <c r="M1552" i="22" s="1"/>
  <c r="N1552" i="22" s="1"/>
  <c r="U1552" i="22" s="1"/>
  <c r="J1552" i="22"/>
  <c r="P1552" i="22"/>
  <c r="Q1552" i="22"/>
  <c r="R1552" i="22"/>
  <c r="L1553" i="22"/>
  <c r="C1553" i="22"/>
  <c r="K1553" i="22" s="1"/>
  <c r="E1553" i="22"/>
  <c r="F1553" i="22"/>
  <c r="O1553" i="22" s="1"/>
  <c r="G1553" i="22"/>
  <c r="I1553" i="22"/>
  <c r="B1554" i="22"/>
  <c r="M1498" i="22"/>
  <c r="D1498" i="22"/>
  <c r="J1498" i="22"/>
  <c r="N1498" i="22" s="1"/>
  <c r="U1498" i="22" s="1"/>
  <c r="P1498" i="22"/>
  <c r="Q1498" i="22"/>
  <c r="R1498" i="22"/>
  <c r="L1499" i="22"/>
  <c r="C1499" i="22"/>
  <c r="K1499" i="22" s="1"/>
  <c r="E1499" i="22"/>
  <c r="F1499" i="22"/>
  <c r="O1499" i="22" s="1"/>
  <c r="G1499" i="22"/>
  <c r="I1499" i="22"/>
  <c r="B1500" i="22"/>
  <c r="D1444" i="22"/>
  <c r="J1444" i="22"/>
  <c r="P1444" i="22"/>
  <c r="Q1444" i="22"/>
  <c r="R1444" i="22"/>
  <c r="L1445" i="22"/>
  <c r="C1445" i="22"/>
  <c r="K1445" i="22" s="1"/>
  <c r="E1445" i="22"/>
  <c r="F1445" i="22"/>
  <c r="O1445" i="22" s="1"/>
  <c r="G1445" i="22"/>
  <c r="I1445" i="22"/>
  <c r="B1446" i="22"/>
  <c r="D1390" i="22"/>
  <c r="J1390" i="22"/>
  <c r="P1390" i="22"/>
  <c r="Q1390" i="22"/>
  <c r="R1390" i="22"/>
  <c r="L1391" i="22"/>
  <c r="C1391" i="22"/>
  <c r="K1391" i="22" s="1"/>
  <c r="E1391" i="22"/>
  <c r="F1391" i="22"/>
  <c r="O1391" i="22" s="1"/>
  <c r="G1391" i="22"/>
  <c r="I1391" i="22"/>
  <c r="B1392" i="22"/>
  <c r="D1336" i="22"/>
  <c r="M1336" i="22" s="1"/>
  <c r="J1336" i="22"/>
  <c r="P1336" i="22"/>
  <c r="Q1336" i="22"/>
  <c r="R1336" i="22"/>
  <c r="L1337" i="22"/>
  <c r="C1337" i="22"/>
  <c r="K1337" i="22" s="1"/>
  <c r="E1337" i="22"/>
  <c r="F1337" i="22"/>
  <c r="O1337" i="22" s="1"/>
  <c r="G1337" i="22"/>
  <c r="I1337" i="22"/>
  <c r="B1338" i="22"/>
  <c r="M1282" i="22"/>
  <c r="D1282" i="22"/>
  <c r="J1282" i="22"/>
  <c r="N1282" i="22" s="1"/>
  <c r="U1282" i="22" s="1"/>
  <c r="P1282" i="22"/>
  <c r="Q1282" i="22"/>
  <c r="R1282" i="22"/>
  <c r="L1283" i="22"/>
  <c r="C1283" i="22"/>
  <c r="E1283" i="22"/>
  <c r="G1283" i="22"/>
  <c r="I1283" i="22"/>
  <c r="B1284" i="22"/>
  <c r="M1228" i="22"/>
  <c r="D1228" i="22"/>
  <c r="J1228" i="22"/>
  <c r="N1228" i="22" s="1"/>
  <c r="U1228" i="22" s="1"/>
  <c r="P1228" i="22"/>
  <c r="Q1228" i="22"/>
  <c r="R1228" i="22"/>
  <c r="L1229" i="22"/>
  <c r="C1229" i="22"/>
  <c r="K1229" i="22" s="1"/>
  <c r="E1229" i="22"/>
  <c r="F1229" i="22"/>
  <c r="O1229" i="22" s="1"/>
  <c r="G1229" i="22"/>
  <c r="I1229" i="22"/>
  <c r="B1230" i="22"/>
  <c r="M1174" i="22"/>
  <c r="D1174" i="22"/>
  <c r="J1174" i="22"/>
  <c r="N1174" i="22" s="1"/>
  <c r="U1174" i="22" s="1"/>
  <c r="P1174" i="22"/>
  <c r="Q1174" i="22"/>
  <c r="R1174" i="22"/>
  <c r="L1175" i="22"/>
  <c r="C1175" i="22"/>
  <c r="E1175" i="22"/>
  <c r="G1175" i="22"/>
  <c r="I1175" i="22"/>
  <c r="B1176" i="22"/>
  <c r="M1120" i="22"/>
  <c r="D1120" i="22"/>
  <c r="J1120" i="22"/>
  <c r="N1120" i="22" s="1"/>
  <c r="U1120" i="22" s="1"/>
  <c r="P1120" i="22"/>
  <c r="Q1120" i="22"/>
  <c r="R1120" i="22"/>
  <c r="L1121" i="22"/>
  <c r="C1121" i="22"/>
  <c r="K1121" i="22" s="1"/>
  <c r="E1121" i="22"/>
  <c r="F1121" i="22"/>
  <c r="O1121" i="22" s="1"/>
  <c r="G1121" i="22"/>
  <c r="I1121" i="22"/>
  <c r="B1122" i="22"/>
  <c r="M1066" i="22"/>
  <c r="D1066" i="22"/>
  <c r="J1066" i="22"/>
  <c r="N1066" i="22" s="1"/>
  <c r="U1066" i="22" s="1"/>
  <c r="P1066" i="22"/>
  <c r="Q1066" i="22"/>
  <c r="R1066" i="22"/>
  <c r="L1067" i="22"/>
  <c r="C1067" i="22"/>
  <c r="K1067" i="22" s="1"/>
  <c r="E1067" i="22"/>
  <c r="F1067" i="22"/>
  <c r="O1067" i="22" s="1"/>
  <c r="G1067" i="22"/>
  <c r="I1067" i="22"/>
  <c r="B1068" i="22"/>
  <c r="D1012" i="22"/>
  <c r="J1012" i="22"/>
  <c r="P1012" i="22"/>
  <c r="Q1012" i="22"/>
  <c r="R1012" i="22"/>
  <c r="L1013" i="22"/>
  <c r="C1013" i="22"/>
  <c r="K1013" i="22" s="1"/>
  <c r="E1013" i="22"/>
  <c r="F1013" i="22"/>
  <c r="O1013" i="22" s="1"/>
  <c r="G1013" i="22"/>
  <c r="I1013" i="22"/>
  <c r="B1014" i="22"/>
  <c r="M958" i="22"/>
  <c r="D958" i="22"/>
  <c r="J958" i="22"/>
  <c r="N958" i="22" s="1"/>
  <c r="U958" i="22" s="1"/>
  <c r="P958" i="22"/>
  <c r="Q958" i="22"/>
  <c r="R958" i="22"/>
  <c r="L959" i="22"/>
  <c r="C959" i="22"/>
  <c r="E959" i="22"/>
  <c r="G959" i="22"/>
  <c r="I959" i="22"/>
  <c r="B960" i="22"/>
  <c r="D904" i="22"/>
  <c r="M904" i="22" s="1"/>
  <c r="J904" i="22"/>
  <c r="P904" i="22"/>
  <c r="Q904" i="22"/>
  <c r="R904" i="22"/>
  <c r="L905" i="22"/>
  <c r="C905" i="22"/>
  <c r="E905" i="22"/>
  <c r="G905" i="22"/>
  <c r="I905" i="22"/>
  <c r="B906" i="22"/>
  <c r="M850" i="22"/>
  <c r="D850" i="22"/>
  <c r="J850" i="22"/>
  <c r="N850" i="22" s="1"/>
  <c r="U850" i="22" s="1"/>
  <c r="P850" i="22"/>
  <c r="Q850" i="22"/>
  <c r="R850" i="22"/>
  <c r="L851" i="22"/>
  <c r="C851" i="22"/>
  <c r="K851" i="22" s="1"/>
  <c r="E851" i="22"/>
  <c r="F851" i="22"/>
  <c r="O851" i="22" s="1"/>
  <c r="G851" i="22"/>
  <c r="I851" i="22"/>
  <c r="B852" i="22"/>
  <c r="M796" i="22"/>
  <c r="D796" i="22"/>
  <c r="J796" i="22"/>
  <c r="N796" i="22" s="1"/>
  <c r="U796" i="22" s="1"/>
  <c r="P796" i="22"/>
  <c r="Q796" i="22"/>
  <c r="R796" i="22"/>
  <c r="L797" i="22"/>
  <c r="C797" i="22"/>
  <c r="K797" i="22" s="1"/>
  <c r="E797" i="22"/>
  <c r="F797" i="22"/>
  <c r="O797" i="22" s="1"/>
  <c r="G797" i="22"/>
  <c r="I797" i="22"/>
  <c r="B798" i="22"/>
  <c r="M742" i="22"/>
  <c r="D742" i="22"/>
  <c r="J742" i="22"/>
  <c r="N742" i="22" s="1"/>
  <c r="U742" i="22" s="1"/>
  <c r="P742" i="22"/>
  <c r="Q742" i="22"/>
  <c r="R742" i="22"/>
  <c r="L743" i="22"/>
  <c r="C743" i="22"/>
  <c r="K743" i="22" s="1"/>
  <c r="E743" i="22"/>
  <c r="F743" i="22"/>
  <c r="O743" i="22" s="1"/>
  <c r="G743" i="22"/>
  <c r="I743" i="22"/>
  <c r="B744" i="22"/>
  <c r="M688" i="22"/>
  <c r="D688" i="22"/>
  <c r="J688" i="22"/>
  <c r="N688" i="22" s="1"/>
  <c r="U688" i="22" s="1"/>
  <c r="P688" i="22"/>
  <c r="Q688" i="22"/>
  <c r="R688" i="22"/>
  <c r="L689" i="22"/>
  <c r="C689" i="22"/>
  <c r="K689" i="22" s="1"/>
  <c r="E689" i="22"/>
  <c r="F689" i="22"/>
  <c r="O689" i="22" s="1"/>
  <c r="G689" i="22"/>
  <c r="I689" i="22"/>
  <c r="B690" i="22"/>
  <c r="M634" i="22"/>
  <c r="D634" i="22"/>
  <c r="J634" i="22"/>
  <c r="N634" i="22" s="1"/>
  <c r="U634" i="22" s="1"/>
  <c r="P634" i="22"/>
  <c r="Q634" i="22"/>
  <c r="R634" i="22"/>
  <c r="L635" i="22"/>
  <c r="C635" i="22"/>
  <c r="K635" i="22" s="1"/>
  <c r="E635" i="22"/>
  <c r="F635" i="22"/>
  <c r="O635" i="22" s="1"/>
  <c r="G635" i="22"/>
  <c r="I635" i="22"/>
  <c r="B636" i="22"/>
  <c r="M580" i="22"/>
  <c r="D580" i="22"/>
  <c r="J580" i="22"/>
  <c r="N580" i="22" s="1"/>
  <c r="U580" i="22" s="1"/>
  <c r="P580" i="22"/>
  <c r="Q580" i="22"/>
  <c r="R580" i="22"/>
  <c r="L581" i="22"/>
  <c r="C581" i="22"/>
  <c r="K581" i="22" s="1"/>
  <c r="E581" i="22"/>
  <c r="F581" i="22"/>
  <c r="O581" i="22" s="1"/>
  <c r="G581" i="22"/>
  <c r="I581" i="22"/>
  <c r="B582" i="22"/>
  <c r="M526" i="22"/>
  <c r="D526" i="22"/>
  <c r="J526" i="22"/>
  <c r="N526" i="22" s="1"/>
  <c r="U526" i="22" s="1"/>
  <c r="P526" i="22"/>
  <c r="Q526" i="22"/>
  <c r="R526" i="22"/>
  <c r="L527" i="22"/>
  <c r="C527" i="22"/>
  <c r="K527" i="22" s="1"/>
  <c r="E527" i="22"/>
  <c r="F527" i="22"/>
  <c r="O527" i="22" s="1"/>
  <c r="G527" i="22"/>
  <c r="I527" i="22"/>
  <c r="B528" i="22"/>
  <c r="M472" i="22"/>
  <c r="D472" i="22"/>
  <c r="J472" i="22"/>
  <c r="N472" i="22" s="1"/>
  <c r="U472" i="22" s="1"/>
  <c r="P472" i="22"/>
  <c r="Q472" i="22"/>
  <c r="R472" i="22"/>
  <c r="L473" i="22"/>
  <c r="C473" i="22"/>
  <c r="K473" i="22" s="1"/>
  <c r="E473" i="22"/>
  <c r="F473" i="22"/>
  <c r="O473" i="22" s="1"/>
  <c r="G473" i="22"/>
  <c r="I473" i="22"/>
  <c r="B474" i="22"/>
  <c r="M418" i="22"/>
  <c r="P418" i="22"/>
  <c r="Q418" i="22"/>
  <c r="R418" i="22"/>
  <c r="L419" i="22"/>
  <c r="G419" i="22"/>
  <c r="I419" i="22"/>
  <c r="C419" i="22"/>
  <c r="E419" i="22"/>
  <c r="B420" i="22"/>
  <c r="D418" i="22"/>
  <c r="J418" i="22"/>
  <c r="N418" i="22" s="1"/>
  <c r="U418" i="22" s="1"/>
  <c r="M364" i="22"/>
  <c r="D364" i="22"/>
  <c r="J364" i="22"/>
  <c r="N364" i="22" s="1"/>
  <c r="U364" i="22" s="1"/>
  <c r="P364" i="22"/>
  <c r="Q364" i="22"/>
  <c r="R364" i="22"/>
  <c r="L365" i="22"/>
  <c r="C365" i="22"/>
  <c r="E365" i="22"/>
  <c r="G365" i="22"/>
  <c r="I365" i="22"/>
  <c r="B366" i="22"/>
  <c r="M310" i="22"/>
  <c r="D310" i="22"/>
  <c r="J310" i="22"/>
  <c r="N310" i="22" s="1"/>
  <c r="U310" i="22" s="1"/>
  <c r="P310" i="22"/>
  <c r="Q310" i="22"/>
  <c r="R310" i="22"/>
  <c r="L311" i="22"/>
  <c r="C311" i="22"/>
  <c r="K311" i="22" s="1"/>
  <c r="E311" i="22"/>
  <c r="F311" i="22"/>
  <c r="O311" i="22" s="1"/>
  <c r="G311" i="22"/>
  <c r="I311" i="22"/>
  <c r="B312" i="22"/>
  <c r="D256" i="22"/>
  <c r="M256" i="22" s="1"/>
  <c r="J256" i="22"/>
  <c r="P256" i="22"/>
  <c r="Q256" i="22"/>
  <c r="R256" i="22"/>
  <c r="L257" i="22"/>
  <c r="C257" i="22"/>
  <c r="K257" i="22" s="1"/>
  <c r="E257" i="22"/>
  <c r="F257" i="22"/>
  <c r="O257" i="22" s="1"/>
  <c r="G257" i="22"/>
  <c r="I257" i="22"/>
  <c r="B258" i="22"/>
  <c r="M202" i="22"/>
  <c r="L203" i="22"/>
  <c r="C203" i="22"/>
  <c r="K203" i="22" s="1"/>
  <c r="E203" i="22"/>
  <c r="F203" i="22"/>
  <c r="O203" i="22" s="1"/>
  <c r="G203" i="22"/>
  <c r="I203" i="22"/>
  <c r="B204" i="22"/>
  <c r="D202" i="22"/>
  <c r="J202" i="22"/>
  <c r="N202" i="22" s="1"/>
  <c r="U202" i="22" s="1"/>
  <c r="P202" i="22"/>
  <c r="Q202" i="22"/>
  <c r="R202" i="22"/>
  <c r="D148" i="22"/>
  <c r="J148" i="22"/>
  <c r="P148" i="22"/>
  <c r="Q148" i="22"/>
  <c r="R148" i="22"/>
  <c r="L149" i="22"/>
  <c r="C149" i="22"/>
  <c r="K149" i="22" s="1"/>
  <c r="E149" i="22"/>
  <c r="F149" i="22"/>
  <c r="O149" i="22" s="1"/>
  <c r="G149" i="22"/>
  <c r="B150" i="22"/>
  <c r="I149" i="22"/>
  <c r="D94" i="22"/>
  <c r="J94" i="22"/>
  <c r="P94" i="22"/>
  <c r="Q94" i="22"/>
  <c r="R94" i="22"/>
  <c r="L95" i="22"/>
  <c r="C95" i="22"/>
  <c r="K95" i="22" s="1"/>
  <c r="E95" i="22"/>
  <c r="F95" i="22"/>
  <c r="O95" i="22" s="1"/>
  <c r="G95" i="22"/>
  <c r="I95" i="22"/>
  <c r="B96" i="22"/>
  <c r="G82" i="12"/>
  <c r="C83" i="12"/>
  <c r="F31" i="18"/>
  <c r="G31" i="18"/>
  <c r="H31" i="18"/>
  <c r="M32" i="17"/>
  <c r="D32" i="17"/>
  <c r="J32" i="17"/>
  <c r="N32" i="17" s="1"/>
  <c r="U32" i="17" s="1"/>
  <c r="E84" i="12"/>
  <c r="O32" i="17"/>
  <c r="AJ32" i="17"/>
  <c r="AI32" i="17"/>
  <c r="AH32" i="17"/>
  <c r="AG32" i="17"/>
  <c r="AF32" i="17"/>
  <c r="AE32" i="17"/>
  <c r="AD32" i="17"/>
  <c r="AC32" i="17"/>
  <c r="AB32" i="17"/>
  <c r="AA32" i="17"/>
  <c r="Z32" i="17"/>
  <c r="Y32" i="17"/>
  <c r="X32" i="17"/>
  <c r="W32" i="17"/>
  <c r="P32" i="17"/>
  <c r="F32" i="18" s="1"/>
  <c r="Q32" i="17"/>
  <c r="G32" i="18" s="1"/>
  <c r="R32" i="17"/>
  <c r="V32" i="17"/>
  <c r="C33" i="17"/>
  <c r="F33" i="17"/>
  <c r="C33" i="18" s="1"/>
  <c r="E33" i="18" s="1"/>
  <c r="L33" i="17"/>
  <c r="B34" i="17"/>
  <c r="B33" i="18"/>
  <c r="E33" i="17"/>
  <c r="G33" i="17"/>
  <c r="I33" i="17"/>
  <c r="K33" i="17"/>
  <c r="AN16" i="17"/>
  <c r="B98" i="12"/>
  <c r="I98" i="12" s="1"/>
  <c r="AM15" i="17"/>
  <c r="AL17" i="17"/>
  <c r="AL18" i="17"/>
  <c r="AL19" i="17"/>
  <c r="AL20" i="17"/>
  <c r="AL21" i="17"/>
  <c r="AL22" i="17"/>
  <c r="AL23" i="17"/>
  <c r="AL24" i="17"/>
  <c r="AL25" i="17"/>
  <c r="AL26" i="17"/>
  <c r="AL27" i="17"/>
  <c r="AL28" i="17"/>
  <c r="AL29" i="17"/>
  <c r="AL30" i="17"/>
  <c r="AL31" i="17"/>
  <c r="AL33" i="17"/>
  <c r="AL32" i="17"/>
  <c r="M1440" i="23"/>
  <c r="N1440" i="23"/>
  <c r="AE1440" i="23" s="1"/>
  <c r="M1384" i="23"/>
  <c r="N1384" i="23"/>
  <c r="AE1384" i="23" s="1"/>
  <c r="M992" i="23"/>
  <c r="N992" i="23"/>
  <c r="AE992" i="23" s="1"/>
  <c r="N432" i="23"/>
  <c r="AE432" i="23" s="1"/>
  <c r="M432" i="23"/>
  <c r="M4581" i="22"/>
  <c r="N4581" i="22"/>
  <c r="M3711" i="22"/>
  <c r="N3711" i="22"/>
  <c r="U3711" i="22" s="1"/>
  <c r="M3657" i="22"/>
  <c r="N3657" i="22"/>
  <c r="U3657" i="22" s="1"/>
  <c r="M3549" i="22"/>
  <c r="N3549" i="22"/>
  <c r="U3549" i="22" s="1"/>
  <c r="M3333" i="22"/>
  <c r="N3333" i="22"/>
  <c r="U3333" i="22" s="1"/>
  <c r="M3117" i="22"/>
  <c r="N3117" i="22"/>
  <c r="U3117" i="22" s="1"/>
  <c r="N3063" i="22"/>
  <c r="U3063" i="22" s="1"/>
  <c r="M3063" i="22"/>
  <c r="N3009" i="22"/>
  <c r="U3009" i="22" s="1"/>
  <c r="M3009" i="22"/>
  <c r="N2901" i="22"/>
  <c r="U2901" i="22" s="1"/>
  <c r="M2901" i="22"/>
  <c r="M2685" i="22"/>
  <c r="N2685" i="22"/>
  <c r="U2685" i="22" s="1"/>
  <c r="M2415" i="22"/>
  <c r="N2415" i="22"/>
  <c r="U2415" i="22" s="1"/>
  <c r="M2361" i="22"/>
  <c r="N2361" i="22"/>
  <c r="U2361" i="22" s="1"/>
  <c r="M2307" i="22"/>
  <c r="N2307" i="22"/>
  <c r="U2307" i="22" s="1"/>
  <c r="M2037" i="22"/>
  <c r="N2037" i="22"/>
  <c r="U2037" i="22" s="1"/>
  <c r="M1983" i="22"/>
  <c r="N1983" i="22"/>
  <c r="U1983" i="22" s="1"/>
  <c r="M1713" i="22"/>
  <c r="N1713" i="22"/>
  <c r="U1713" i="22" s="1"/>
  <c r="M1443" i="22"/>
  <c r="N1443" i="22"/>
  <c r="U1443" i="22" s="1"/>
  <c r="M1389" i="22"/>
  <c r="N1389" i="22"/>
  <c r="U1389" i="22" s="1"/>
  <c r="M1335" i="22"/>
  <c r="N1335" i="22"/>
  <c r="U1335" i="22" s="1"/>
  <c r="M1065" i="22"/>
  <c r="N1065" i="22"/>
  <c r="U1065" i="22" s="1"/>
  <c r="M741" i="22"/>
  <c r="N741" i="22"/>
  <c r="U741" i="22" s="1"/>
  <c r="M201" i="22"/>
  <c r="N201" i="22"/>
  <c r="U201" i="22" s="1"/>
  <c r="N147" i="22"/>
  <c r="U147" i="22" s="1"/>
  <c r="M147" i="22"/>
  <c r="M93" i="22"/>
  <c r="N93" i="22"/>
  <c r="U93" i="22" s="1"/>
  <c r="AE1608" i="23"/>
  <c r="AK1608" i="23"/>
  <c r="F1609" i="23"/>
  <c r="O1609" i="23" s="1"/>
  <c r="K1609" i="23"/>
  <c r="K1553" i="23"/>
  <c r="F1553" i="23"/>
  <c r="O1553" i="23" s="1"/>
  <c r="K1385" i="23"/>
  <c r="F1385" i="23"/>
  <c r="O1385" i="23" s="1"/>
  <c r="F433" i="23"/>
  <c r="O433" i="23" s="1"/>
  <c r="K433" i="23"/>
  <c r="F4690" i="22"/>
  <c r="K4690" i="22"/>
  <c r="D4636" i="22"/>
  <c r="F4636" i="22"/>
  <c r="O4636" i="22" s="1"/>
  <c r="K3766" i="22"/>
  <c r="F3766" i="22"/>
  <c r="O3766" i="22" s="1"/>
  <c r="F3712" i="22"/>
  <c r="O3712" i="22" s="1"/>
  <c r="K3712" i="22"/>
  <c r="F3550" i="22"/>
  <c r="O3550" i="22" s="1"/>
  <c r="K3550" i="22"/>
  <c r="F3496" i="22"/>
  <c r="O3496" i="22" s="1"/>
  <c r="K3496" i="22"/>
  <c r="K3442" i="22"/>
  <c r="F3442" i="22"/>
  <c r="O3442" i="22" s="1"/>
  <c r="K3172" i="22"/>
  <c r="F3172" i="22"/>
  <c r="O3172" i="22" s="1"/>
  <c r="K3118" i="22"/>
  <c r="F3118" i="22"/>
  <c r="O3118" i="22" s="1"/>
  <c r="K3064" i="22"/>
  <c r="F3064" i="22"/>
  <c r="O3064" i="22" s="1"/>
  <c r="F2902" i="22"/>
  <c r="O2902" i="22" s="1"/>
  <c r="K2902" i="22"/>
  <c r="F2848" i="22"/>
  <c r="O2848" i="22" s="1"/>
  <c r="K2848" i="22"/>
  <c r="F1984" i="22"/>
  <c r="O1984" i="22" s="1"/>
  <c r="K1984" i="22"/>
  <c r="F1714" i="22"/>
  <c r="O1714" i="22" s="1"/>
  <c r="K1714" i="22"/>
  <c r="F1444" i="22"/>
  <c r="O1444" i="22" s="1"/>
  <c r="K1444" i="22"/>
  <c r="K1390" i="22"/>
  <c r="F1390" i="22"/>
  <c r="O1390" i="22" s="1"/>
  <c r="K1012" i="22"/>
  <c r="F1012" i="22"/>
  <c r="O1012" i="22" s="1"/>
  <c r="F148" i="22"/>
  <c r="O148" i="22" s="1"/>
  <c r="K148" i="22"/>
  <c r="K94" i="22"/>
  <c r="F94" i="22"/>
  <c r="O94" i="22" s="1"/>
  <c r="N904" i="22" l="1"/>
  <c r="U904" i="22" s="1"/>
  <c r="N2200" i="22"/>
  <c r="U2200" i="22" s="1"/>
  <c r="N1336" i="22"/>
  <c r="U1336" i="22" s="1"/>
  <c r="N256" i="22"/>
  <c r="U256" i="22" s="1"/>
  <c r="K1442" i="23"/>
  <c r="F1442" i="23"/>
  <c r="O1442" i="23" s="1"/>
  <c r="K1162" i="23"/>
  <c r="F1162" i="23"/>
  <c r="O1162" i="23" s="1"/>
  <c r="K378" i="23"/>
  <c r="F378" i="23"/>
  <c r="O378" i="23" s="1"/>
  <c r="K3011" i="22"/>
  <c r="F3011" i="22"/>
  <c r="O3011" i="22" s="1"/>
  <c r="K2741" i="22"/>
  <c r="F2741" i="22"/>
  <c r="O2741" i="22" s="1"/>
  <c r="K2471" i="22"/>
  <c r="F2471" i="22"/>
  <c r="O2471" i="22" s="1"/>
  <c r="K1175" i="22"/>
  <c r="F1175" i="22"/>
  <c r="O1175" i="22" s="1"/>
  <c r="K905" i="22"/>
  <c r="F905" i="22"/>
  <c r="O905" i="22" s="1"/>
  <c r="M1610" i="23"/>
  <c r="J1610" i="23"/>
  <c r="N1610" i="23" s="1"/>
  <c r="D1610" i="23"/>
  <c r="P1610" i="23"/>
  <c r="Q1610" i="23"/>
  <c r="R1610" i="23"/>
  <c r="I1611" i="23"/>
  <c r="L1611" i="23"/>
  <c r="C1611" i="23"/>
  <c r="K1611" i="23" s="1"/>
  <c r="E1611" i="23"/>
  <c r="F1611" i="23"/>
  <c r="O1611" i="23" s="1"/>
  <c r="G1611" i="23"/>
  <c r="B1612" i="23"/>
  <c r="J1554" i="23"/>
  <c r="D1554" i="23"/>
  <c r="P1554" i="23"/>
  <c r="Q1554" i="23"/>
  <c r="R1554" i="23"/>
  <c r="L1555" i="23"/>
  <c r="I1555" i="23"/>
  <c r="C1555" i="23"/>
  <c r="K1555" i="23" s="1"/>
  <c r="E1555" i="23"/>
  <c r="F1555" i="23"/>
  <c r="O1555" i="23" s="1"/>
  <c r="G1555" i="23"/>
  <c r="B1556" i="23"/>
  <c r="J1498" i="23"/>
  <c r="D1498" i="23"/>
  <c r="P1498" i="23"/>
  <c r="Q1498" i="23"/>
  <c r="R1498" i="23"/>
  <c r="L1499" i="23"/>
  <c r="I1499" i="23"/>
  <c r="C1499" i="23"/>
  <c r="K1499" i="23" s="1"/>
  <c r="E1499" i="23"/>
  <c r="F1499" i="23"/>
  <c r="O1499" i="23" s="1"/>
  <c r="G1499" i="23"/>
  <c r="B1500" i="23"/>
  <c r="M1442" i="23"/>
  <c r="J1442" i="23"/>
  <c r="N1442" i="23" s="1"/>
  <c r="AE1442" i="23" s="1"/>
  <c r="D1442" i="23"/>
  <c r="P1442" i="23"/>
  <c r="Q1442" i="23"/>
  <c r="R1442" i="23"/>
  <c r="L1443" i="23"/>
  <c r="I1443" i="23"/>
  <c r="C1443" i="23"/>
  <c r="K1443" i="23" s="1"/>
  <c r="E1443" i="23"/>
  <c r="F1443" i="23"/>
  <c r="O1443" i="23" s="1"/>
  <c r="G1443" i="23"/>
  <c r="B1444" i="23"/>
  <c r="M1386" i="23"/>
  <c r="P1386" i="23"/>
  <c r="Q1386" i="23"/>
  <c r="R1386" i="23"/>
  <c r="L1387" i="23"/>
  <c r="I1387" i="23"/>
  <c r="C1387" i="23"/>
  <c r="K1387" i="23" s="1"/>
  <c r="E1387" i="23"/>
  <c r="F1387" i="23"/>
  <c r="O1387" i="23" s="1"/>
  <c r="G1387" i="23"/>
  <c r="B1388" i="23"/>
  <c r="J1386" i="23"/>
  <c r="N1386" i="23" s="1"/>
  <c r="AE1386" i="23" s="1"/>
  <c r="D1386" i="23"/>
  <c r="M1330" i="23"/>
  <c r="J1330" i="23"/>
  <c r="N1330" i="23" s="1"/>
  <c r="AE1330" i="23" s="1"/>
  <c r="D1330" i="23"/>
  <c r="P1330" i="23"/>
  <c r="Q1330" i="23"/>
  <c r="R1330" i="23"/>
  <c r="L1331" i="23"/>
  <c r="I1331" i="23"/>
  <c r="C1331" i="23"/>
  <c r="K1331" i="23" s="1"/>
  <c r="E1331" i="23"/>
  <c r="F1331" i="23"/>
  <c r="O1331" i="23" s="1"/>
  <c r="G1331" i="23"/>
  <c r="B1332" i="23"/>
  <c r="M1274" i="23"/>
  <c r="J1274" i="23"/>
  <c r="N1274" i="23" s="1"/>
  <c r="AE1274" i="23" s="1"/>
  <c r="D1274" i="23"/>
  <c r="P1274" i="23"/>
  <c r="Q1274" i="23"/>
  <c r="R1274" i="23"/>
  <c r="L1275" i="23"/>
  <c r="I1275" i="23"/>
  <c r="C1275" i="23"/>
  <c r="K1275" i="23" s="1"/>
  <c r="E1275" i="23"/>
  <c r="F1275" i="23"/>
  <c r="O1275" i="23" s="1"/>
  <c r="G1275" i="23"/>
  <c r="B1276" i="23"/>
  <c r="J1218" i="23"/>
  <c r="D1218" i="23"/>
  <c r="P1218" i="23"/>
  <c r="Q1218" i="23"/>
  <c r="R1218" i="23"/>
  <c r="L1219" i="23"/>
  <c r="I1219" i="23"/>
  <c r="C1219" i="23"/>
  <c r="E1219" i="23"/>
  <c r="G1219" i="23"/>
  <c r="B1220" i="23"/>
  <c r="M1162" i="23"/>
  <c r="J1162" i="23"/>
  <c r="N1162" i="23" s="1"/>
  <c r="D1162" i="23"/>
  <c r="P1162" i="23"/>
  <c r="Q1162" i="23"/>
  <c r="R1162" i="23"/>
  <c r="L1163" i="23"/>
  <c r="I1163" i="23"/>
  <c r="C1163" i="23"/>
  <c r="K1163" i="23" s="1"/>
  <c r="E1163" i="23"/>
  <c r="F1163" i="23"/>
  <c r="O1163" i="23" s="1"/>
  <c r="G1163" i="23"/>
  <c r="B1164" i="23"/>
  <c r="M1106" i="23"/>
  <c r="J1106" i="23"/>
  <c r="N1106" i="23" s="1"/>
  <c r="AE1106" i="23" s="1"/>
  <c r="D1106" i="23"/>
  <c r="P1106" i="23"/>
  <c r="Q1106" i="23"/>
  <c r="R1106" i="23"/>
  <c r="L1107" i="23"/>
  <c r="I1107" i="23"/>
  <c r="C1107" i="23"/>
  <c r="K1107" i="23" s="1"/>
  <c r="E1107" i="23"/>
  <c r="F1107" i="23"/>
  <c r="O1107" i="23" s="1"/>
  <c r="G1107" i="23"/>
  <c r="B1108" i="23"/>
  <c r="J1050" i="23"/>
  <c r="D1050" i="23"/>
  <c r="L1051" i="23"/>
  <c r="I1051" i="23"/>
  <c r="E1051" i="23"/>
  <c r="B1052" i="23"/>
  <c r="C1051" i="23"/>
  <c r="G1051" i="23"/>
  <c r="P1050" i="23"/>
  <c r="Q1050" i="23"/>
  <c r="R1050" i="23"/>
  <c r="M994" i="23"/>
  <c r="J994" i="23"/>
  <c r="N994" i="23" s="1"/>
  <c r="AE994" i="23" s="1"/>
  <c r="D994" i="23"/>
  <c r="P994" i="23"/>
  <c r="Q994" i="23"/>
  <c r="R994" i="23"/>
  <c r="L995" i="23"/>
  <c r="I995" i="23"/>
  <c r="C995" i="23"/>
  <c r="K995" i="23" s="1"/>
  <c r="E995" i="23"/>
  <c r="F995" i="23"/>
  <c r="O995" i="23" s="1"/>
  <c r="G995" i="23"/>
  <c r="B996" i="23"/>
  <c r="M938" i="23"/>
  <c r="J938" i="23"/>
  <c r="N938" i="23" s="1"/>
  <c r="AE938" i="23" s="1"/>
  <c r="D938" i="23"/>
  <c r="P938" i="23"/>
  <c r="Q938" i="23"/>
  <c r="R938" i="23"/>
  <c r="L939" i="23"/>
  <c r="I939" i="23"/>
  <c r="C939" i="23"/>
  <c r="E939" i="23"/>
  <c r="G939" i="23"/>
  <c r="B940" i="23"/>
  <c r="M882" i="23"/>
  <c r="J882" i="23"/>
  <c r="N882" i="23" s="1"/>
  <c r="AE882" i="23" s="1"/>
  <c r="D882" i="23"/>
  <c r="P882" i="23"/>
  <c r="Q882" i="23"/>
  <c r="R882" i="23"/>
  <c r="L883" i="23"/>
  <c r="I883" i="23"/>
  <c r="C883" i="23"/>
  <c r="K883" i="23" s="1"/>
  <c r="E883" i="23"/>
  <c r="F883" i="23"/>
  <c r="O883" i="23" s="1"/>
  <c r="G883" i="23"/>
  <c r="B884" i="23"/>
  <c r="J826" i="23"/>
  <c r="D826" i="23"/>
  <c r="M826" i="23" s="1"/>
  <c r="N826" i="23" s="1"/>
  <c r="AE826" i="23" s="1"/>
  <c r="P826" i="23"/>
  <c r="Q826" i="23"/>
  <c r="R826" i="23"/>
  <c r="L827" i="23"/>
  <c r="I827" i="23"/>
  <c r="C827" i="23"/>
  <c r="K827" i="23" s="1"/>
  <c r="E827" i="23"/>
  <c r="F827" i="23"/>
  <c r="O827" i="23" s="1"/>
  <c r="G827" i="23"/>
  <c r="B828" i="23"/>
  <c r="J770" i="23"/>
  <c r="D770" i="23"/>
  <c r="P770" i="23"/>
  <c r="Q770" i="23"/>
  <c r="R770" i="23"/>
  <c r="L771" i="23"/>
  <c r="I771" i="23"/>
  <c r="C771" i="23"/>
  <c r="K771" i="23" s="1"/>
  <c r="E771" i="23"/>
  <c r="F771" i="23"/>
  <c r="O771" i="23" s="1"/>
  <c r="G771" i="23"/>
  <c r="B772" i="23"/>
  <c r="M714" i="23"/>
  <c r="J714" i="23"/>
  <c r="N714" i="23" s="1"/>
  <c r="AE714" i="23" s="1"/>
  <c r="D714" i="23"/>
  <c r="P714" i="23"/>
  <c r="Q714" i="23"/>
  <c r="R714" i="23"/>
  <c r="L715" i="23"/>
  <c r="I715" i="23"/>
  <c r="C715" i="23"/>
  <c r="K715" i="23" s="1"/>
  <c r="E715" i="23"/>
  <c r="F715" i="23"/>
  <c r="O715" i="23" s="1"/>
  <c r="G715" i="23"/>
  <c r="B716" i="23"/>
  <c r="M658" i="23"/>
  <c r="J658" i="23"/>
  <c r="N658" i="23" s="1"/>
  <c r="AE658" i="23" s="1"/>
  <c r="D658" i="23"/>
  <c r="P658" i="23"/>
  <c r="Q658" i="23"/>
  <c r="R658" i="23"/>
  <c r="L659" i="23"/>
  <c r="I659" i="23"/>
  <c r="C659" i="23"/>
  <c r="K659" i="23" s="1"/>
  <c r="E659" i="23"/>
  <c r="F659" i="23"/>
  <c r="O659" i="23" s="1"/>
  <c r="G659" i="23"/>
  <c r="B660" i="23"/>
  <c r="M602" i="23"/>
  <c r="J602" i="23"/>
  <c r="N602" i="23" s="1"/>
  <c r="AE602" i="23" s="1"/>
  <c r="D602" i="23"/>
  <c r="P602" i="23"/>
  <c r="Q602" i="23"/>
  <c r="R602" i="23"/>
  <c r="L603" i="23"/>
  <c r="I603" i="23"/>
  <c r="C603" i="23"/>
  <c r="K603" i="23" s="1"/>
  <c r="E603" i="23"/>
  <c r="F603" i="23"/>
  <c r="O603" i="23" s="1"/>
  <c r="G603" i="23"/>
  <c r="B604" i="23"/>
  <c r="M546" i="23"/>
  <c r="J546" i="23"/>
  <c r="N546" i="23" s="1"/>
  <c r="AE546" i="23" s="1"/>
  <c r="D546" i="23"/>
  <c r="P546" i="23"/>
  <c r="Q546" i="23"/>
  <c r="R546" i="23"/>
  <c r="L547" i="23"/>
  <c r="I547" i="23"/>
  <c r="C547" i="23"/>
  <c r="K547" i="23" s="1"/>
  <c r="E547" i="23"/>
  <c r="F547" i="23"/>
  <c r="O547" i="23" s="1"/>
  <c r="G547" i="23"/>
  <c r="B548" i="23"/>
  <c r="M490" i="23"/>
  <c r="J490" i="23"/>
  <c r="N490" i="23" s="1"/>
  <c r="AE490" i="23" s="1"/>
  <c r="D490" i="23"/>
  <c r="P490" i="23"/>
  <c r="Q490" i="23"/>
  <c r="R490" i="23"/>
  <c r="L491" i="23"/>
  <c r="I491" i="23"/>
  <c r="C491" i="23"/>
  <c r="K491" i="23" s="1"/>
  <c r="E491" i="23"/>
  <c r="F491" i="23"/>
  <c r="O491" i="23" s="1"/>
  <c r="G491" i="23"/>
  <c r="B492" i="23"/>
  <c r="M434" i="23"/>
  <c r="P434" i="23"/>
  <c r="R434" i="23"/>
  <c r="Q434" i="23"/>
  <c r="L435" i="23"/>
  <c r="I435" i="23"/>
  <c r="E435" i="23"/>
  <c r="C435" i="23"/>
  <c r="B436" i="23"/>
  <c r="G435" i="23"/>
  <c r="J434" i="23"/>
  <c r="N434" i="23" s="1"/>
  <c r="AE434" i="23" s="1"/>
  <c r="D434" i="23"/>
  <c r="M378" i="23"/>
  <c r="J378" i="23"/>
  <c r="N378" i="23" s="1"/>
  <c r="AE378" i="23" s="1"/>
  <c r="D378" i="23"/>
  <c r="P378" i="23"/>
  <c r="Q378" i="23"/>
  <c r="R378" i="23"/>
  <c r="L379" i="23"/>
  <c r="I379" i="23"/>
  <c r="C379" i="23"/>
  <c r="K379" i="23" s="1"/>
  <c r="E379" i="23"/>
  <c r="F379" i="23"/>
  <c r="O379" i="23" s="1"/>
  <c r="G379" i="23"/>
  <c r="B380" i="23"/>
  <c r="M322" i="23"/>
  <c r="J322" i="23"/>
  <c r="N322" i="23" s="1"/>
  <c r="AE322" i="23" s="1"/>
  <c r="D322" i="23"/>
  <c r="P322" i="23"/>
  <c r="Q322" i="23"/>
  <c r="R322" i="23"/>
  <c r="L323" i="23"/>
  <c r="I323" i="23"/>
  <c r="C323" i="23"/>
  <c r="K323" i="23" s="1"/>
  <c r="E323" i="23"/>
  <c r="F323" i="23"/>
  <c r="O323" i="23" s="1"/>
  <c r="G323" i="23"/>
  <c r="B324" i="23"/>
  <c r="M266" i="23"/>
  <c r="J266" i="23"/>
  <c r="N266" i="23" s="1"/>
  <c r="AE266" i="23" s="1"/>
  <c r="D266" i="23"/>
  <c r="P266" i="23"/>
  <c r="Q266" i="23"/>
  <c r="R266" i="23"/>
  <c r="L267" i="23"/>
  <c r="I267" i="23"/>
  <c r="C267" i="23"/>
  <c r="K267" i="23" s="1"/>
  <c r="E267" i="23"/>
  <c r="F267" i="23"/>
  <c r="O267" i="23" s="1"/>
  <c r="G267" i="23"/>
  <c r="B268" i="23"/>
  <c r="D4745" i="22"/>
  <c r="J4745" i="22"/>
  <c r="N4745" i="22" s="1"/>
  <c r="P4745" i="22"/>
  <c r="Q4745" i="22"/>
  <c r="R4745" i="22"/>
  <c r="M4745" i="22"/>
  <c r="C4746" i="22"/>
  <c r="E4746" i="22"/>
  <c r="F4746" i="22"/>
  <c r="G4746" i="22"/>
  <c r="I4746" i="22"/>
  <c r="K4746" i="22"/>
  <c r="L4746" i="22"/>
  <c r="B4747" i="22"/>
  <c r="T4689" i="22"/>
  <c r="S4690" i="22"/>
  <c r="T4690" i="22" s="1"/>
  <c r="U4690" i="22"/>
  <c r="M4691" i="22"/>
  <c r="D4691" i="22"/>
  <c r="J4691" i="22"/>
  <c r="N4691" i="22" s="1"/>
  <c r="P4691" i="22"/>
  <c r="Q4691" i="22"/>
  <c r="R4691" i="22"/>
  <c r="L4692" i="22"/>
  <c r="C4692" i="22"/>
  <c r="E4692" i="22"/>
  <c r="G4692" i="22"/>
  <c r="I4692" i="22"/>
  <c r="B4693" i="22"/>
  <c r="P4637" i="22"/>
  <c r="Q4637" i="22"/>
  <c r="R4637" i="22"/>
  <c r="C4638" i="22"/>
  <c r="D4638" i="22" s="1"/>
  <c r="E4638" i="22"/>
  <c r="F4638" i="22"/>
  <c r="O4638" i="22" s="1"/>
  <c r="G4638" i="22"/>
  <c r="B4639" i="22"/>
  <c r="M4583" i="22"/>
  <c r="J4583" i="22"/>
  <c r="N4583" i="22" s="1"/>
  <c r="D4583" i="22"/>
  <c r="P4583" i="22"/>
  <c r="Q4583" i="22"/>
  <c r="R4583" i="22"/>
  <c r="I4584" i="22"/>
  <c r="L4584" i="22"/>
  <c r="C4584" i="22"/>
  <c r="E4584" i="22"/>
  <c r="G4584" i="22"/>
  <c r="B4585" i="22"/>
  <c r="M4529" i="22"/>
  <c r="D4529" i="22"/>
  <c r="J4529" i="22"/>
  <c r="N4529" i="22" s="1"/>
  <c r="P4529" i="22"/>
  <c r="Q4529" i="22"/>
  <c r="R4529" i="22"/>
  <c r="L4530" i="22"/>
  <c r="C4530" i="22"/>
  <c r="E4530" i="22"/>
  <c r="G4530" i="22"/>
  <c r="I4530" i="22"/>
  <c r="B4531" i="22"/>
  <c r="M4229" i="22"/>
  <c r="D4229" i="22"/>
  <c r="J4229" i="22"/>
  <c r="N4229" i="22" s="1"/>
  <c r="U4229" i="22" s="1"/>
  <c r="P4229" i="22"/>
  <c r="Q4229" i="22"/>
  <c r="R4229" i="22"/>
  <c r="L4230" i="22"/>
  <c r="C4230" i="22"/>
  <c r="K4230" i="22" s="1"/>
  <c r="E4230" i="22"/>
  <c r="F4230" i="22"/>
  <c r="O4230" i="22" s="1"/>
  <c r="G4230" i="22"/>
  <c r="I4230" i="22"/>
  <c r="B4231" i="22"/>
  <c r="D4175" i="22"/>
  <c r="J4175" i="22"/>
  <c r="P4175" i="22"/>
  <c r="Q4175" i="22"/>
  <c r="R4175" i="22"/>
  <c r="L4176" i="22"/>
  <c r="C4176" i="22"/>
  <c r="E4176" i="22"/>
  <c r="G4176" i="22"/>
  <c r="I4176" i="22"/>
  <c r="B4177" i="22"/>
  <c r="M4121" i="22"/>
  <c r="D4121" i="22"/>
  <c r="J4121" i="22"/>
  <c r="N4121" i="22" s="1"/>
  <c r="U4121" i="22" s="1"/>
  <c r="P4121" i="22"/>
  <c r="Q4121" i="22"/>
  <c r="R4121" i="22"/>
  <c r="L4122" i="22"/>
  <c r="C4122" i="22"/>
  <c r="K4122" i="22" s="1"/>
  <c r="E4122" i="22"/>
  <c r="F4122" i="22"/>
  <c r="O4122" i="22" s="1"/>
  <c r="G4122" i="22"/>
  <c r="I4122" i="22"/>
  <c r="B4123" i="22"/>
  <c r="M4067" i="22"/>
  <c r="D4067" i="22"/>
  <c r="J4067" i="22"/>
  <c r="N4067" i="22" s="1"/>
  <c r="U4067" i="22" s="1"/>
  <c r="P4067" i="22"/>
  <c r="Q4067" i="22"/>
  <c r="R4067" i="22"/>
  <c r="L4068" i="22"/>
  <c r="C4068" i="22"/>
  <c r="K4068" i="22" s="1"/>
  <c r="E4068" i="22"/>
  <c r="F4068" i="22"/>
  <c r="O4068" i="22" s="1"/>
  <c r="G4068" i="22"/>
  <c r="I4068" i="22"/>
  <c r="B4069" i="22"/>
  <c r="M3767" i="22"/>
  <c r="D3767" i="22"/>
  <c r="J3767" i="22"/>
  <c r="N3767" i="22" s="1"/>
  <c r="U3767" i="22" s="1"/>
  <c r="P3767" i="22"/>
  <c r="Q3767" i="22"/>
  <c r="R3767" i="22"/>
  <c r="L3768" i="22"/>
  <c r="C3768" i="22"/>
  <c r="K3768" i="22" s="1"/>
  <c r="E3768" i="22"/>
  <c r="F3768" i="22"/>
  <c r="O3768" i="22" s="1"/>
  <c r="G3768" i="22"/>
  <c r="I3768" i="22"/>
  <c r="B3769" i="22"/>
  <c r="D3713" i="22"/>
  <c r="J3713" i="22"/>
  <c r="P3713" i="22"/>
  <c r="Q3713" i="22"/>
  <c r="R3713" i="22"/>
  <c r="L3714" i="22"/>
  <c r="C3714" i="22"/>
  <c r="K3714" i="22" s="1"/>
  <c r="E3714" i="22"/>
  <c r="F3714" i="22"/>
  <c r="O3714" i="22" s="1"/>
  <c r="G3714" i="22"/>
  <c r="I3714" i="22"/>
  <c r="B3715" i="22"/>
  <c r="M3659" i="22"/>
  <c r="D3659" i="22"/>
  <c r="J3659" i="22"/>
  <c r="N3659" i="22" s="1"/>
  <c r="U3659" i="22" s="1"/>
  <c r="P3659" i="22"/>
  <c r="Q3659" i="22"/>
  <c r="R3659" i="22"/>
  <c r="L3660" i="22"/>
  <c r="C3660" i="22"/>
  <c r="K3660" i="22" s="1"/>
  <c r="E3660" i="22"/>
  <c r="F3660" i="22"/>
  <c r="O3660" i="22" s="1"/>
  <c r="G3660" i="22"/>
  <c r="I3660" i="22"/>
  <c r="B3661" i="22"/>
  <c r="D3605" i="22"/>
  <c r="J3605" i="22"/>
  <c r="P3605" i="22"/>
  <c r="Q3605" i="22"/>
  <c r="R3605" i="22"/>
  <c r="L3606" i="22"/>
  <c r="C3606" i="22"/>
  <c r="K3606" i="22" s="1"/>
  <c r="E3606" i="22"/>
  <c r="F3606" i="22"/>
  <c r="O3606" i="22" s="1"/>
  <c r="G3606" i="22"/>
  <c r="I3606" i="22"/>
  <c r="B3607" i="22"/>
  <c r="M3551" i="22"/>
  <c r="P3551" i="22"/>
  <c r="Q3551" i="22"/>
  <c r="R3551" i="22"/>
  <c r="L3552" i="22"/>
  <c r="I3552" i="22"/>
  <c r="B3553" i="22"/>
  <c r="C3552" i="22"/>
  <c r="E3552" i="22"/>
  <c r="G3552" i="22"/>
  <c r="D3551" i="22"/>
  <c r="J3551" i="22"/>
  <c r="N3551" i="22" s="1"/>
  <c r="U3551" i="22" s="1"/>
  <c r="M3497" i="22"/>
  <c r="D3497" i="22"/>
  <c r="J3497" i="22"/>
  <c r="N3497" i="22" s="1"/>
  <c r="U3497" i="22" s="1"/>
  <c r="P3497" i="22"/>
  <c r="Q3497" i="22"/>
  <c r="R3497" i="22"/>
  <c r="L3498" i="22"/>
  <c r="C3498" i="22"/>
  <c r="K3498" i="22" s="1"/>
  <c r="E3498" i="22"/>
  <c r="F3498" i="22"/>
  <c r="O3498" i="22" s="1"/>
  <c r="G3498" i="22"/>
  <c r="I3498" i="22"/>
  <c r="B3499" i="22"/>
  <c r="M3443" i="22"/>
  <c r="D3443" i="22"/>
  <c r="J3443" i="22"/>
  <c r="N3443" i="22" s="1"/>
  <c r="U3443" i="22" s="1"/>
  <c r="P3443" i="22"/>
  <c r="Q3443" i="22"/>
  <c r="R3443" i="22"/>
  <c r="L3444" i="22"/>
  <c r="C3444" i="22"/>
  <c r="K3444" i="22" s="1"/>
  <c r="E3444" i="22"/>
  <c r="F3444" i="22"/>
  <c r="O3444" i="22" s="1"/>
  <c r="G3444" i="22"/>
  <c r="I3444" i="22"/>
  <c r="B3445" i="22"/>
  <c r="M3389" i="22"/>
  <c r="D3389" i="22"/>
  <c r="J3389" i="22"/>
  <c r="N3389" i="22" s="1"/>
  <c r="U3389" i="22" s="1"/>
  <c r="P3389" i="22"/>
  <c r="Q3389" i="22"/>
  <c r="R3389" i="22"/>
  <c r="L3390" i="22"/>
  <c r="C3390" i="22"/>
  <c r="E3390" i="22"/>
  <c r="G3390" i="22"/>
  <c r="I3390" i="22"/>
  <c r="B3391" i="22"/>
  <c r="D3335" i="22"/>
  <c r="J3335" i="22"/>
  <c r="P3335" i="22"/>
  <c r="Q3335" i="22"/>
  <c r="R3335" i="22"/>
  <c r="L3336" i="22"/>
  <c r="C3336" i="22"/>
  <c r="E3336" i="22"/>
  <c r="G3336" i="22"/>
  <c r="I3336" i="22"/>
  <c r="B3337" i="22"/>
  <c r="D3281" i="22"/>
  <c r="J3281" i="22"/>
  <c r="P3281" i="22"/>
  <c r="Q3281" i="22"/>
  <c r="R3281" i="22"/>
  <c r="L3282" i="22"/>
  <c r="C3282" i="22"/>
  <c r="K3282" i="22" s="1"/>
  <c r="E3282" i="22"/>
  <c r="F3282" i="22"/>
  <c r="O3282" i="22" s="1"/>
  <c r="G3282" i="22"/>
  <c r="I3282" i="22"/>
  <c r="B3283" i="22"/>
  <c r="D3227" i="22"/>
  <c r="J3227" i="22"/>
  <c r="P3227" i="22"/>
  <c r="Q3227" i="22"/>
  <c r="R3227" i="22"/>
  <c r="L3228" i="22"/>
  <c r="C3228" i="22"/>
  <c r="K3228" i="22" s="1"/>
  <c r="E3228" i="22"/>
  <c r="F3228" i="22"/>
  <c r="O3228" i="22" s="1"/>
  <c r="G3228" i="22"/>
  <c r="I3228" i="22"/>
  <c r="B3229" i="22"/>
  <c r="M3173" i="22"/>
  <c r="D3173" i="22"/>
  <c r="J3173" i="22"/>
  <c r="N3173" i="22" s="1"/>
  <c r="U3173" i="22" s="1"/>
  <c r="P3173" i="22"/>
  <c r="Q3173" i="22"/>
  <c r="R3173" i="22"/>
  <c r="L3174" i="22"/>
  <c r="C3174" i="22"/>
  <c r="K3174" i="22" s="1"/>
  <c r="E3174" i="22"/>
  <c r="F3174" i="22"/>
  <c r="O3174" i="22" s="1"/>
  <c r="G3174" i="22"/>
  <c r="I3174" i="22"/>
  <c r="B3175" i="22"/>
  <c r="P3119" i="22"/>
  <c r="Q3119" i="22"/>
  <c r="R3119" i="22"/>
  <c r="D3119" i="22"/>
  <c r="J3119" i="22"/>
  <c r="L3120" i="22"/>
  <c r="C3120" i="22"/>
  <c r="K3120" i="22" s="1"/>
  <c r="E3120" i="22"/>
  <c r="F3120" i="22"/>
  <c r="O3120" i="22" s="1"/>
  <c r="G3120" i="22"/>
  <c r="I3120" i="22"/>
  <c r="B3121" i="22"/>
  <c r="D3065" i="22"/>
  <c r="J3065" i="22"/>
  <c r="P3065" i="22"/>
  <c r="Q3065" i="22"/>
  <c r="R3065" i="22"/>
  <c r="L3066" i="22"/>
  <c r="I3066" i="22"/>
  <c r="B3067" i="22"/>
  <c r="C3066" i="22"/>
  <c r="E3066" i="22"/>
  <c r="G3066" i="22"/>
  <c r="M3011" i="22"/>
  <c r="P3011" i="22"/>
  <c r="Q3011" i="22"/>
  <c r="R3011" i="22"/>
  <c r="J3011" i="22"/>
  <c r="N3011" i="22" s="1"/>
  <c r="U3011" i="22" s="1"/>
  <c r="D3011" i="22"/>
  <c r="L3012" i="22"/>
  <c r="G3012" i="22"/>
  <c r="I3012" i="22"/>
  <c r="C3012" i="22"/>
  <c r="E3012" i="22"/>
  <c r="B3013" i="22"/>
  <c r="J2957" i="22"/>
  <c r="D2957" i="22"/>
  <c r="P2957" i="22"/>
  <c r="Q2957" i="22"/>
  <c r="R2957" i="22"/>
  <c r="L2958" i="22"/>
  <c r="I2958" i="22"/>
  <c r="C2958" i="22"/>
  <c r="E2958" i="22"/>
  <c r="G2958" i="22"/>
  <c r="B2959" i="22"/>
  <c r="L2904" i="22"/>
  <c r="B2905" i="22"/>
  <c r="E2904" i="22"/>
  <c r="C2904" i="22"/>
  <c r="G2904" i="22"/>
  <c r="I2904" i="22"/>
  <c r="D2903" i="22"/>
  <c r="J2903" i="22"/>
  <c r="P2903" i="22"/>
  <c r="Q2903" i="22"/>
  <c r="R2903" i="22"/>
  <c r="M2849" i="22"/>
  <c r="D2849" i="22"/>
  <c r="J2849" i="22"/>
  <c r="N2849" i="22" s="1"/>
  <c r="U2849" i="22" s="1"/>
  <c r="P2849" i="22"/>
  <c r="Q2849" i="22"/>
  <c r="R2849" i="22"/>
  <c r="L2850" i="22"/>
  <c r="C2850" i="22"/>
  <c r="K2850" i="22" s="1"/>
  <c r="E2850" i="22"/>
  <c r="F2850" i="22"/>
  <c r="O2850" i="22" s="1"/>
  <c r="G2850" i="22"/>
  <c r="I2850" i="22"/>
  <c r="B2851" i="22"/>
  <c r="M2795" i="22"/>
  <c r="D2795" i="22"/>
  <c r="J2795" i="22"/>
  <c r="N2795" i="22" s="1"/>
  <c r="S2795" i="22" s="1"/>
  <c r="T2795" i="22" s="1"/>
  <c r="U2795" i="22" s="1"/>
  <c r="P2795" i="22"/>
  <c r="Q2795" i="22"/>
  <c r="R2795" i="22"/>
  <c r="L2796" i="22"/>
  <c r="C2796" i="22"/>
  <c r="K2796" i="22" s="1"/>
  <c r="E2796" i="22"/>
  <c r="F2796" i="22"/>
  <c r="O2796" i="22" s="1"/>
  <c r="G2796" i="22"/>
  <c r="I2796" i="22"/>
  <c r="B2797" i="22"/>
  <c r="M2741" i="22"/>
  <c r="D2741" i="22"/>
  <c r="J2741" i="22"/>
  <c r="N2741" i="22" s="1"/>
  <c r="U2741" i="22" s="1"/>
  <c r="P2741" i="22"/>
  <c r="Q2741" i="22"/>
  <c r="R2741" i="22"/>
  <c r="L2742" i="22"/>
  <c r="C2742" i="22"/>
  <c r="K2742" i="22" s="1"/>
  <c r="E2742" i="22"/>
  <c r="F2742" i="22"/>
  <c r="O2742" i="22" s="1"/>
  <c r="G2742" i="22"/>
  <c r="I2742" i="22"/>
  <c r="B2743" i="22"/>
  <c r="M2687" i="22"/>
  <c r="D2687" i="22"/>
  <c r="J2687" i="22"/>
  <c r="N2687" i="22" s="1"/>
  <c r="U2687" i="22" s="1"/>
  <c r="P2687" i="22"/>
  <c r="Q2687" i="22"/>
  <c r="R2687" i="22"/>
  <c r="L2688" i="22"/>
  <c r="C2688" i="22"/>
  <c r="K2688" i="22" s="1"/>
  <c r="E2688" i="22"/>
  <c r="F2688" i="22"/>
  <c r="O2688" i="22" s="1"/>
  <c r="G2688" i="22"/>
  <c r="I2688" i="22"/>
  <c r="B2689" i="22"/>
  <c r="M2633" i="22"/>
  <c r="D2633" i="22"/>
  <c r="J2633" i="22"/>
  <c r="N2633" i="22" s="1"/>
  <c r="U2633" i="22" s="1"/>
  <c r="P2633" i="22"/>
  <c r="Q2633" i="22"/>
  <c r="R2633" i="22"/>
  <c r="L2634" i="22"/>
  <c r="C2634" i="22"/>
  <c r="E2634" i="22"/>
  <c r="G2634" i="22"/>
  <c r="I2634" i="22"/>
  <c r="B2635" i="22"/>
  <c r="D2579" i="22"/>
  <c r="J2579" i="22"/>
  <c r="P2579" i="22"/>
  <c r="Q2579" i="22"/>
  <c r="R2579" i="22"/>
  <c r="L2580" i="22"/>
  <c r="C2580" i="22"/>
  <c r="K2580" i="22" s="1"/>
  <c r="E2580" i="22"/>
  <c r="F2580" i="22"/>
  <c r="O2580" i="22" s="1"/>
  <c r="G2580" i="22"/>
  <c r="I2580" i="22"/>
  <c r="B2581" i="22"/>
  <c r="D2525" i="22"/>
  <c r="J2525" i="22"/>
  <c r="P2525" i="22"/>
  <c r="Q2525" i="22"/>
  <c r="R2525" i="22"/>
  <c r="L2526" i="22"/>
  <c r="C2526" i="22"/>
  <c r="E2526" i="22"/>
  <c r="G2526" i="22"/>
  <c r="I2526" i="22"/>
  <c r="B2527" i="22"/>
  <c r="M2471" i="22"/>
  <c r="D2471" i="22"/>
  <c r="J2471" i="22"/>
  <c r="N2471" i="22" s="1"/>
  <c r="U2471" i="22" s="1"/>
  <c r="P2471" i="22"/>
  <c r="Q2471" i="22"/>
  <c r="R2471" i="22"/>
  <c r="L2472" i="22"/>
  <c r="C2472" i="22"/>
  <c r="K2472" i="22" s="1"/>
  <c r="E2472" i="22"/>
  <c r="F2472" i="22"/>
  <c r="O2472" i="22" s="1"/>
  <c r="G2472" i="22"/>
  <c r="I2472" i="22"/>
  <c r="B2473" i="22"/>
  <c r="M2417" i="22"/>
  <c r="D2417" i="22"/>
  <c r="J2417" i="22"/>
  <c r="N2417" i="22" s="1"/>
  <c r="U2417" i="22" s="1"/>
  <c r="P2417" i="22"/>
  <c r="Q2417" i="22"/>
  <c r="R2417" i="22"/>
  <c r="L2418" i="22"/>
  <c r="C2418" i="22"/>
  <c r="K2418" i="22" s="1"/>
  <c r="E2418" i="22"/>
  <c r="F2418" i="22"/>
  <c r="O2418" i="22" s="1"/>
  <c r="G2418" i="22"/>
  <c r="I2418" i="22"/>
  <c r="B2419" i="22"/>
  <c r="M2363" i="22"/>
  <c r="D2363" i="22"/>
  <c r="J2363" i="22"/>
  <c r="N2363" i="22" s="1"/>
  <c r="U2363" i="22" s="1"/>
  <c r="P2363" i="22"/>
  <c r="Q2363" i="22"/>
  <c r="R2363" i="22"/>
  <c r="L2364" i="22"/>
  <c r="C2364" i="22"/>
  <c r="E2364" i="22"/>
  <c r="G2364" i="22"/>
  <c r="I2364" i="22"/>
  <c r="B2365" i="22"/>
  <c r="M2309" i="22"/>
  <c r="D2309" i="22"/>
  <c r="J2309" i="22"/>
  <c r="N2309" i="22" s="1"/>
  <c r="U2309" i="22" s="1"/>
  <c r="P2309" i="22"/>
  <c r="Q2309" i="22"/>
  <c r="R2309" i="22"/>
  <c r="L2310" i="22"/>
  <c r="C2310" i="22"/>
  <c r="K2310" i="22" s="1"/>
  <c r="E2310" i="22"/>
  <c r="F2310" i="22"/>
  <c r="O2310" i="22" s="1"/>
  <c r="G2310" i="22"/>
  <c r="I2310" i="22"/>
  <c r="B2311" i="22"/>
  <c r="D2255" i="22"/>
  <c r="M2255" i="22" s="1"/>
  <c r="J2255" i="22"/>
  <c r="P2255" i="22"/>
  <c r="Q2255" i="22"/>
  <c r="R2255" i="22"/>
  <c r="L2256" i="22"/>
  <c r="C2256" i="22"/>
  <c r="K2256" i="22" s="1"/>
  <c r="E2256" i="22"/>
  <c r="F2256" i="22"/>
  <c r="O2256" i="22" s="1"/>
  <c r="G2256" i="22"/>
  <c r="I2256" i="22"/>
  <c r="B2257" i="22"/>
  <c r="D2201" i="22"/>
  <c r="J2201" i="22"/>
  <c r="P2201" i="22"/>
  <c r="Q2201" i="22"/>
  <c r="R2201" i="22"/>
  <c r="L2202" i="22"/>
  <c r="C2202" i="22"/>
  <c r="K2202" i="22" s="1"/>
  <c r="E2202" i="22"/>
  <c r="F2202" i="22"/>
  <c r="O2202" i="22" s="1"/>
  <c r="G2202" i="22"/>
  <c r="I2202" i="22"/>
  <c r="B2203" i="22"/>
  <c r="M2147" i="22"/>
  <c r="D2147" i="22"/>
  <c r="J2147" i="22"/>
  <c r="N2147" i="22" s="1"/>
  <c r="U2147" i="22" s="1"/>
  <c r="P2147" i="22"/>
  <c r="Q2147" i="22"/>
  <c r="R2147" i="22"/>
  <c r="L2148" i="22"/>
  <c r="C2148" i="22"/>
  <c r="K2148" i="22" s="1"/>
  <c r="E2148" i="22"/>
  <c r="F2148" i="22"/>
  <c r="O2148" i="22" s="1"/>
  <c r="G2148" i="22"/>
  <c r="I2148" i="22"/>
  <c r="B2149" i="22"/>
  <c r="M2093" i="22"/>
  <c r="D2093" i="22"/>
  <c r="J2093" i="22"/>
  <c r="N2093" i="22" s="1"/>
  <c r="U2093" i="22" s="1"/>
  <c r="P2093" i="22"/>
  <c r="Q2093" i="22"/>
  <c r="R2093" i="22"/>
  <c r="L2094" i="22"/>
  <c r="C2094" i="22"/>
  <c r="E2094" i="22"/>
  <c r="G2094" i="22"/>
  <c r="I2094" i="22"/>
  <c r="B2095" i="22"/>
  <c r="M2039" i="22"/>
  <c r="D2039" i="22"/>
  <c r="J2039" i="22"/>
  <c r="N2039" i="22" s="1"/>
  <c r="U2039" i="22" s="1"/>
  <c r="P2039" i="22"/>
  <c r="Q2039" i="22"/>
  <c r="R2039" i="22"/>
  <c r="L2040" i="22"/>
  <c r="C2040" i="22"/>
  <c r="E2040" i="22"/>
  <c r="G2040" i="22"/>
  <c r="I2040" i="22"/>
  <c r="B2041" i="22"/>
  <c r="M1985" i="22"/>
  <c r="D1985" i="22"/>
  <c r="J1985" i="22"/>
  <c r="N1985" i="22" s="1"/>
  <c r="U1985" i="22" s="1"/>
  <c r="P1985" i="22"/>
  <c r="Q1985" i="22"/>
  <c r="R1985" i="22"/>
  <c r="L1986" i="22"/>
  <c r="C1986" i="22"/>
  <c r="E1986" i="22"/>
  <c r="G1986" i="22"/>
  <c r="I1986" i="22"/>
  <c r="B1987" i="22"/>
  <c r="M1931" i="22"/>
  <c r="D1931" i="22"/>
  <c r="J1931" i="22"/>
  <c r="N1931" i="22" s="1"/>
  <c r="U1931" i="22" s="1"/>
  <c r="P1931" i="22"/>
  <c r="Q1931" i="22"/>
  <c r="R1931" i="22"/>
  <c r="L1932" i="22"/>
  <c r="C1932" i="22"/>
  <c r="K1932" i="22" s="1"/>
  <c r="E1932" i="22"/>
  <c r="F1932" i="22"/>
  <c r="O1932" i="22" s="1"/>
  <c r="G1932" i="22"/>
  <c r="I1932" i="22"/>
  <c r="B1933" i="22"/>
  <c r="D1877" i="22"/>
  <c r="J1877" i="22"/>
  <c r="P1877" i="22"/>
  <c r="Q1877" i="22"/>
  <c r="R1877" i="22"/>
  <c r="L1878" i="22"/>
  <c r="C1878" i="22"/>
  <c r="K1878" i="22" s="1"/>
  <c r="E1878" i="22"/>
  <c r="F1878" i="22"/>
  <c r="O1878" i="22" s="1"/>
  <c r="G1878" i="22"/>
  <c r="I1878" i="22"/>
  <c r="B1879" i="22"/>
  <c r="M1823" i="22"/>
  <c r="D1823" i="22"/>
  <c r="J1823" i="22"/>
  <c r="N1823" i="22" s="1"/>
  <c r="U1823" i="22" s="1"/>
  <c r="P1823" i="22"/>
  <c r="Q1823" i="22"/>
  <c r="R1823" i="22"/>
  <c r="L1824" i="22"/>
  <c r="C1824" i="22"/>
  <c r="K1824" i="22" s="1"/>
  <c r="E1824" i="22"/>
  <c r="F1824" i="22"/>
  <c r="O1824" i="22" s="1"/>
  <c r="G1824" i="22"/>
  <c r="I1824" i="22"/>
  <c r="B1825" i="22"/>
  <c r="M1769" i="22"/>
  <c r="D1769" i="22"/>
  <c r="J1769" i="22"/>
  <c r="N1769" i="22" s="1"/>
  <c r="U1769" i="22" s="1"/>
  <c r="P1769" i="22"/>
  <c r="Q1769" i="22"/>
  <c r="R1769" i="22"/>
  <c r="L1770" i="22"/>
  <c r="C1770" i="22"/>
  <c r="K1770" i="22" s="1"/>
  <c r="E1770" i="22"/>
  <c r="F1770" i="22"/>
  <c r="O1770" i="22" s="1"/>
  <c r="G1770" i="22"/>
  <c r="I1770" i="22"/>
  <c r="B1771" i="22"/>
  <c r="M1715" i="22"/>
  <c r="D1715" i="22"/>
  <c r="J1715" i="22"/>
  <c r="N1715" i="22" s="1"/>
  <c r="U1715" i="22" s="1"/>
  <c r="P1715" i="22"/>
  <c r="Q1715" i="22"/>
  <c r="R1715" i="22"/>
  <c r="L1716" i="22"/>
  <c r="C1716" i="22"/>
  <c r="E1716" i="22"/>
  <c r="G1716" i="22"/>
  <c r="I1716" i="22"/>
  <c r="B1717" i="22"/>
  <c r="M1661" i="22"/>
  <c r="D1661" i="22"/>
  <c r="J1661" i="22"/>
  <c r="N1661" i="22" s="1"/>
  <c r="U1661" i="22" s="1"/>
  <c r="P1661" i="22"/>
  <c r="Q1661" i="22"/>
  <c r="R1661" i="22"/>
  <c r="L1662" i="22"/>
  <c r="C1662" i="22"/>
  <c r="K1662" i="22" s="1"/>
  <c r="E1662" i="22"/>
  <c r="F1662" i="22"/>
  <c r="O1662" i="22" s="1"/>
  <c r="G1662" i="22"/>
  <c r="I1662" i="22"/>
  <c r="B1663" i="22"/>
  <c r="D1607" i="22"/>
  <c r="J1607" i="22"/>
  <c r="P1607" i="22"/>
  <c r="Q1607" i="22"/>
  <c r="R1607" i="22"/>
  <c r="L1608" i="22"/>
  <c r="C1608" i="22"/>
  <c r="E1608" i="22"/>
  <c r="G1608" i="22"/>
  <c r="I1608" i="22"/>
  <c r="B1609" i="22"/>
  <c r="M1553" i="22"/>
  <c r="D1553" i="22"/>
  <c r="J1553" i="22"/>
  <c r="N1553" i="22" s="1"/>
  <c r="U1553" i="22" s="1"/>
  <c r="P1553" i="22"/>
  <c r="Q1553" i="22"/>
  <c r="R1553" i="22"/>
  <c r="L1554" i="22"/>
  <c r="C1554" i="22"/>
  <c r="K1554" i="22" s="1"/>
  <c r="E1554" i="22"/>
  <c r="F1554" i="22"/>
  <c r="O1554" i="22" s="1"/>
  <c r="G1554" i="22"/>
  <c r="I1554" i="22"/>
  <c r="B1555" i="22"/>
  <c r="M1499" i="22"/>
  <c r="D1499" i="22"/>
  <c r="J1499" i="22"/>
  <c r="N1499" i="22" s="1"/>
  <c r="U1499" i="22" s="1"/>
  <c r="P1499" i="22"/>
  <c r="Q1499" i="22"/>
  <c r="R1499" i="22"/>
  <c r="L1500" i="22"/>
  <c r="C1500" i="22"/>
  <c r="K1500" i="22" s="1"/>
  <c r="E1500" i="22"/>
  <c r="F1500" i="22"/>
  <c r="O1500" i="22" s="1"/>
  <c r="G1500" i="22"/>
  <c r="I1500" i="22"/>
  <c r="B1501" i="22"/>
  <c r="M1445" i="22"/>
  <c r="D1445" i="22"/>
  <c r="J1445" i="22"/>
  <c r="N1445" i="22" s="1"/>
  <c r="U1445" i="22" s="1"/>
  <c r="P1445" i="22"/>
  <c r="Q1445" i="22"/>
  <c r="R1445" i="22"/>
  <c r="L1446" i="22"/>
  <c r="C1446" i="22"/>
  <c r="K1446" i="22" s="1"/>
  <c r="E1446" i="22"/>
  <c r="F1446" i="22"/>
  <c r="O1446" i="22" s="1"/>
  <c r="G1446" i="22"/>
  <c r="I1446" i="22"/>
  <c r="B1447" i="22"/>
  <c r="M1391" i="22"/>
  <c r="D1391" i="22"/>
  <c r="J1391" i="22"/>
  <c r="N1391" i="22" s="1"/>
  <c r="U1391" i="22" s="1"/>
  <c r="P1391" i="22"/>
  <c r="Q1391" i="22"/>
  <c r="R1391" i="22"/>
  <c r="L1392" i="22"/>
  <c r="C1392" i="22"/>
  <c r="K1392" i="22" s="1"/>
  <c r="E1392" i="22"/>
  <c r="F1392" i="22"/>
  <c r="O1392" i="22" s="1"/>
  <c r="G1392" i="22"/>
  <c r="I1392" i="22"/>
  <c r="B1393" i="22"/>
  <c r="M1337" i="22"/>
  <c r="D1337" i="22"/>
  <c r="J1337" i="22"/>
  <c r="N1337" i="22" s="1"/>
  <c r="U1337" i="22" s="1"/>
  <c r="P1337" i="22"/>
  <c r="Q1337" i="22"/>
  <c r="R1337" i="22"/>
  <c r="L1338" i="22"/>
  <c r="C1338" i="22"/>
  <c r="K1338" i="22" s="1"/>
  <c r="E1338" i="22"/>
  <c r="F1338" i="22"/>
  <c r="O1338" i="22" s="1"/>
  <c r="G1338" i="22"/>
  <c r="I1338" i="22"/>
  <c r="B1339" i="22"/>
  <c r="D1283" i="22"/>
  <c r="J1283" i="22"/>
  <c r="P1283" i="22"/>
  <c r="Q1283" i="22"/>
  <c r="R1283" i="22"/>
  <c r="L1284" i="22"/>
  <c r="C1284" i="22"/>
  <c r="K1284" i="22" s="1"/>
  <c r="E1284" i="22"/>
  <c r="F1284" i="22"/>
  <c r="O1284" i="22" s="1"/>
  <c r="G1284" i="22"/>
  <c r="I1284" i="22"/>
  <c r="B1285" i="22"/>
  <c r="M1229" i="22"/>
  <c r="D1229" i="22"/>
  <c r="J1229" i="22"/>
  <c r="N1229" i="22" s="1"/>
  <c r="U1229" i="22" s="1"/>
  <c r="P1229" i="22"/>
  <c r="Q1229" i="22"/>
  <c r="R1229" i="22"/>
  <c r="L1230" i="22"/>
  <c r="C1230" i="22"/>
  <c r="E1230" i="22"/>
  <c r="G1230" i="22"/>
  <c r="I1230" i="22"/>
  <c r="B1231" i="22"/>
  <c r="M1175" i="22"/>
  <c r="D1175" i="22"/>
  <c r="J1175" i="22"/>
  <c r="N1175" i="22" s="1"/>
  <c r="U1175" i="22" s="1"/>
  <c r="P1175" i="22"/>
  <c r="Q1175" i="22"/>
  <c r="R1175" i="22"/>
  <c r="L1176" i="22"/>
  <c r="C1176" i="22"/>
  <c r="K1176" i="22" s="1"/>
  <c r="E1176" i="22"/>
  <c r="F1176" i="22"/>
  <c r="O1176" i="22" s="1"/>
  <c r="G1176" i="22"/>
  <c r="I1176" i="22"/>
  <c r="B1177" i="22"/>
  <c r="M1121" i="22"/>
  <c r="D1121" i="22"/>
  <c r="J1121" i="22"/>
  <c r="N1121" i="22" s="1"/>
  <c r="U1121" i="22" s="1"/>
  <c r="P1121" i="22"/>
  <c r="Q1121" i="22"/>
  <c r="R1121" i="22"/>
  <c r="L1122" i="22"/>
  <c r="C1122" i="22"/>
  <c r="K1122" i="22" s="1"/>
  <c r="E1122" i="22"/>
  <c r="F1122" i="22"/>
  <c r="O1122" i="22" s="1"/>
  <c r="G1122" i="22"/>
  <c r="I1122" i="22"/>
  <c r="B1123" i="22"/>
  <c r="M1067" i="22"/>
  <c r="D1067" i="22"/>
  <c r="J1067" i="22"/>
  <c r="N1067" i="22" s="1"/>
  <c r="U1067" i="22" s="1"/>
  <c r="P1067" i="22"/>
  <c r="Q1067" i="22"/>
  <c r="R1067" i="22"/>
  <c r="L1068" i="22"/>
  <c r="C1068" i="22"/>
  <c r="K1068" i="22" s="1"/>
  <c r="E1068" i="22"/>
  <c r="F1068" i="22"/>
  <c r="O1068" i="22" s="1"/>
  <c r="G1068" i="22"/>
  <c r="I1068" i="22"/>
  <c r="B1069" i="22"/>
  <c r="M1013" i="22"/>
  <c r="D1013" i="22"/>
  <c r="J1013" i="22"/>
  <c r="N1013" i="22" s="1"/>
  <c r="U1013" i="22" s="1"/>
  <c r="P1013" i="22"/>
  <c r="Q1013" i="22"/>
  <c r="R1013" i="22"/>
  <c r="L1014" i="22"/>
  <c r="C1014" i="22"/>
  <c r="E1014" i="22"/>
  <c r="G1014" i="22"/>
  <c r="I1014" i="22"/>
  <c r="B1015" i="22"/>
  <c r="D959" i="22"/>
  <c r="J959" i="22"/>
  <c r="P959" i="22"/>
  <c r="Q959" i="22"/>
  <c r="R959" i="22"/>
  <c r="L960" i="22"/>
  <c r="C960" i="22"/>
  <c r="E960" i="22"/>
  <c r="G960" i="22"/>
  <c r="I960" i="22"/>
  <c r="B961" i="22"/>
  <c r="M905" i="22"/>
  <c r="D905" i="22"/>
  <c r="J905" i="22"/>
  <c r="N905" i="22" s="1"/>
  <c r="U905" i="22" s="1"/>
  <c r="P905" i="22"/>
  <c r="Q905" i="22"/>
  <c r="R905" i="22"/>
  <c r="L906" i="22"/>
  <c r="C906" i="22"/>
  <c r="E906" i="22"/>
  <c r="G906" i="22"/>
  <c r="I906" i="22"/>
  <c r="B907" i="22"/>
  <c r="M851" i="22"/>
  <c r="D851" i="22"/>
  <c r="J851" i="22"/>
  <c r="N851" i="22" s="1"/>
  <c r="U851" i="22" s="1"/>
  <c r="P851" i="22"/>
  <c r="Q851" i="22"/>
  <c r="R851" i="22"/>
  <c r="L852" i="22"/>
  <c r="C852" i="22"/>
  <c r="K852" i="22" s="1"/>
  <c r="E852" i="22"/>
  <c r="F852" i="22"/>
  <c r="O852" i="22" s="1"/>
  <c r="G852" i="22"/>
  <c r="I852" i="22"/>
  <c r="B853" i="22"/>
  <c r="M797" i="22"/>
  <c r="D797" i="22"/>
  <c r="J797" i="22"/>
  <c r="N797" i="22" s="1"/>
  <c r="U797" i="22" s="1"/>
  <c r="P797" i="22"/>
  <c r="Q797" i="22"/>
  <c r="R797" i="22"/>
  <c r="L798" i="22"/>
  <c r="C798" i="22"/>
  <c r="K798" i="22" s="1"/>
  <c r="E798" i="22"/>
  <c r="F798" i="22"/>
  <c r="O798" i="22" s="1"/>
  <c r="G798" i="22"/>
  <c r="I798" i="22"/>
  <c r="B799" i="22"/>
  <c r="M743" i="22"/>
  <c r="D743" i="22"/>
  <c r="J743" i="22"/>
  <c r="N743" i="22" s="1"/>
  <c r="U743" i="22" s="1"/>
  <c r="P743" i="22"/>
  <c r="Q743" i="22"/>
  <c r="R743" i="22"/>
  <c r="L744" i="22"/>
  <c r="C744" i="22"/>
  <c r="K744" i="22" s="1"/>
  <c r="E744" i="22"/>
  <c r="F744" i="22"/>
  <c r="O744" i="22" s="1"/>
  <c r="G744" i="22"/>
  <c r="I744" i="22"/>
  <c r="B745" i="22"/>
  <c r="M689" i="22"/>
  <c r="D689" i="22"/>
  <c r="J689" i="22"/>
  <c r="N689" i="22" s="1"/>
  <c r="U689" i="22" s="1"/>
  <c r="P689" i="22"/>
  <c r="Q689" i="22"/>
  <c r="R689" i="22"/>
  <c r="L690" i="22"/>
  <c r="C690" i="22"/>
  <c r="K690" i="22" s="1"/>
  <c r="E690" i="22"/>
  <c r="F690" i="22"/>
  <c r="O690" i="22" s="1"/>
  <c r="G690" i="22"/>
  <c r="I690" i="22"/>
  <c r="B691" i="22"/>
  <c r="M635" i="22"/>
  <c r="D635" i="22"/>
  <c r="J635" i="22"/>
  <c r="N635" i="22" s="1"/>
  <c r="U635" i="22" s="1"/>
  <c r="P635" i="22"/>
  <c r="Q635" i="22"/>
  <c r="R635" i="22"/>
  <c r="L636" i="22"/>
  <c r="C636" i="22"/>
  <c r="K636" i="22" s="1"/>
  <c r="E636" i="22"/>
  <c r="F636" i="22"/>
  <c r="O636" i="22" s="1"/>
  <c r="G636" i="22"/>
  <c r="I636" i="22"/>
  <c r="B637" i="22"/>
  <c r="M581" i="22"/>
  <c r="D581" i="22"/>
  <c r="J581" i="22"/>
  <c r="N581" i="22" s="1"/>
  <c r="U581" i="22" s="1"/>
  <c r="P581" i="22"/>
  <c r="Q581" i="22"/>
  <c r="R581" i="22"/>
  <c r="L582" i="22"/>
  <c r="C582" i="22"/>
  <c r="E582" i="22"/>
  <c r="G582" i="22"/>
  <c r="I582" i="22"/>
  <c r="B583" i="22"/>
  <c r="M527" i="22"/>
  <c r="D527" i="22"/>
  <c r="J527" i="22"/>
  <c r="N527" i="22" s="1"/>
  <c r="U527" i="22" s="1"/>
  <c r="P527" i="22"/>
  <c r="Q527" i="22"/>
  <c r="R527" i="22"/>
  <c r="L528" i="22"/>
  <c r="C528" i="22"/>
  <c r="K528" i="22" s="1"/>
  <c r="E528" i="22"/>
  <c r="F528" i="22"/>
  <c r="O528" i="22" s="1"/>
  <c r="G528" i="22"/>
  <c r="I528" i="22"/>
  <c r="B529" i="22"/>
  <c r="M473" i="22"/>
  <c r="D473" i="22"/>
  <c r="J473" i="22"/>
  <c r="N473" i="22" s="1"/>
  <c r="U473" i="22" s="1"/>
  <c r="P473" i="22"/>
  <c r="Q473" i="22"/>
  <c r="R473" i="22"/>
  <c r="L474" i="22"/>
  <c r="C474" i="22"/>
  <c r="E474" i="22"/>
  <c r="G474" i="22"/>
  <c r="I474" i="22"/>
  <c r="B475" i="22"/>
  <c r="P419" i="22"/>
  <c r="Q419" i="22"/>
  <c r="R419" i="22"/>
  <c r="J419" i="22"/>
  <c r="D419" i="22"/>
  <c r="L420" i="22"/>
  <c r="G420" i="22"/>
  <c r="I420" i="22"/>
  <c r="C420" i="22"/>
  <c r="E420" i="22"/>
  <c r="B421" i="22"/>
  <c r="D365" i="22"/>
  <c r="J365" i="22"/>
  <c r="P365" i="22"/>
  <c r="Q365" i="22"/>
  <c r="R365" i="22"/>
  <c r="L366" i="22"/>
  <c r="C366" i="22"/>
  <c r="K366" i="22" s="1"/>
  <c r="E366" i="22"/>
  <c r="F366" i="22"/>
  <c r="O366" i="22" s="1"/>
  <c r="G366" i="22"/>
  <c r="I366" i="22"/>
  <c r="B367" i="22"/>
  <c r="D311" i="22"/>
  <c r="M311" i="22" s="1"/>
  <c r="J311" i="22"/>
  <c r="P311" i="22"/>
  <c r="Q311" i="22"/>
  <c r="R311" i="22"/>
  <c r="L312" i="22"/>
  <c r="C312" i="22"/>
  <c r="K312" i="22" s="1"/>
  <c r="E312" i="22"/>
  <c r="F312" i="22"/>
  <c r="O312" i="22" s="1"/>
  <c r="G312" i="22"/>
  <c r="I312" i="22"/>
  <c r="B313" i="22"/>
  <c r="M257" i="22"/>
  <c r="D257" i="22"/>
  <c r="J257" i="22"/>
  <c r="N257" i="22" s="1"/>
  <c r="U257" i="22" s="1"/>
  <c r="P257" i="22"/>
  <c r="Q257" i="22"/>
  <c r="R257" i="22"/>
  <c r="L258" i="22"/>
  <c r="C258" i="22"/>
  <c r="E258" i="22"/>
  <c r="G258" i="22"/>
  <c r="I258" i="22"/>
  <c r="B259" i="22"/>
  <c r="M203" i="22"/>
  <c r="D203" i="22"/>
  <c r="J203" i="22"/>
  <c r="N203" i="22" s="1"/>
  <c r="U203" i="22" s="1"/>
  <c r="P203" i="22"/>
  <c r="Q203" i="22"/>
  <c r="R203" i="22"/>
  <c r="L204" i="22"/>
  <c r="C204" i="22"/>
  <c r="E204" i="22"/>
  <c r="G204" i="22"/>
  <c r="I204" i="22"/>
  <c r="B205" i="22"/>
  <c r="M149" i="22"/>
  <c r="D149" i="22"/>
  <c r="J149" i="22"/>
  <c r="N149" i="22" s="1"/>
  <c r="U149" i="22" s="1"/>
  <c r="P149" i="22"/>
  <c r="Q149" i="22"/>
  <c r="R149" i="22"/>
  <c r="L150" i="22"/>
  <c r="C150" i="22"/>
  <c r="K150" i="22" s="1"/>
  <c r="E150" i="22"/>
  <c r="F150" i="22"/>
  <c r="O150" i="22" s="1"/>
  <c r="G150" i="22"/>
  <c r="B151" i="22"/>
  <c r="I150" i="22"/>
  <c r="M95" i="22"/>
  <c r="D95" i="22"/>
  <c r="J95" i="22"/>
  <c r="N95" i="22" s="1"/>
  <c r="U95" i="22" s="1"/>
  <c r="P95" i="22"/>
  <c r="Q95" i="22"/>
  <c r="R95" i="22"/>
  <c r="L96" i="22"/>
  <c r="C96" i="22"/>
  <c r="K96" i="22" s="1"/>
  <c r="E96" i="22"/>
  <c r="F96" i="22"/>
  <c r="O96" i="22" s="1"/>
  <c r="G96" i="22"/>
  <c r="I96" i="22"/>
  <c r="B97" i="22"/>
  <c r="G83" i="12"/>
  <c r="C84" i="12"/>
  <c r="J33" i="17"/>
  <c r="D33" i="17"/>
  <c r="O33" i="17"/>
  <c r="E85" i="12"/>
  <c r="I34" i="17"/>
  <c r="L34" i="17"/>
  <c r="B35" i="17"/>
  <c r="B34" i="18"/>
  <c r="C34" i="17"/>
  <c r="F34" i="17" s="1"/>
  <c r="C34" i="18" s="1"/>
  <c r="E34" i="18" s="1"/>
  <c r="E34" i="17"/>
  <c r="G34" i="17"/>
  <c r="K34" i="17"/>
  <c r="AK33" i="17"/>
  <c r="AJ33" i="17"/>
  <c r="AI33" i="17"/>
  <c r="AH33" i="17"/>
  <c r="AG33" i="17"/>
  <c r="AF33" i="17"/>
  <c r="AE33" i="17"/>
  <c r="AD33" i="17"/>
  <c r="AC33" i="17"/>
  <c r="AB33" i="17"/>
  <c r="AA33" i="17"/>
  <c r="Z33" i="17"/>
  <c r="Y33" i="17"/>
  <c r="X33" i="17"/>
  <c r="W33" i="17"/>
  <c r="P33" i="17"/>
  <c r="Q33" i="17"/>
  <c r="R33" i="17"/>
  <c r="V33" i="17"/>
  <c r="M33" i="17"/>
  <c r="N33" i="17"/>
  <c r="U33" i="17" s="1"/>
  <c r="AO16" i="17"/>
  <c r="B99" i="12"/>
  <c r="I99" i="12" s="1"/>
  <c r="AN15" i="17"/>
  <c r="AM17" i="17"/>
  <c r="AM18" i="17"/>
  <c r="AM19" i="17"/>
  <c r="AM20" i="17"/>
  <c r="AM21" i="17"/>
  <c r="AM22" i="17"/>
  <c r="AM23" i="17"/>
  <c r="AM24" i="17"/>
  <c r="AM25" i="17"/>
  <c r="AM26" i="17"/>
  <c r="AM27" i="17"/>
  <c r="AM28" i="17"/>
  <c r="AM29" i="17"/>
  <c r="AM30" i="17"/>
  <c r="AM31" i="17"/>
  <c r="AM32" i="17"/>
  <c r="AM33" i="17"/>
  <c r="M1609" i="23"/>
  <c r="N1609" i="23"/>
  <c r="M1553" i="23"/>
  <c r="N1553" i="23"/>
  <c r="AE1553" i="23" s="1"/>
  <c r="M1385" i="23"/>
  <c r="N1385" i="23"/>
  <c r="AE1385" i="23" s="1"/>
  <c r="M433" i="23"/>
  <c r="N433" i="23"/>
  <c r="AE433" i="23" s="1"/>
  <c r="M4690" i="22"/>
  <c r="N4690" i="22"/>
  <c r="M3766" i="22"/>
  <c r="N3766" i="22"/>
  <c r="U3766" i="22" s="1"/>
  <c r="M3712" i="22"/>
  <c r="N3712" i="22"/>
  <c r="U3712" i="22" s="1"/>
  <c r="N3550" i="22"/>
  <c r="U3550" i="22" s="1"/>
  <c r="M3550" i="22"/>
  <c r="M3496" i="22"/>
  <c r="N3496" i="22"/>
  <c r="U3496" i="22" s="1"/>
  <c r="M3442" i="22"/>
  <c r="N3442" i="22"/>
  <c r="U3442" i="22" s="1"/>
  <c r="M3172" i="22"/>
  <c r="N3172" i="22"/>
  <c r="U3172" i="22" s="1"/>
  <c r="N3118" i="22"/>
  <c r="U3118" i="22" s="1"/>
  <c r="M3118" i="22"/>
  <c r="M3064" i="22"/>
  <c r="N3064" i="22"/>
  <c r="U3064" i="22" s="1"/>
  <c r="N2902" i="22"/>
  <c r="U2902" i="22" s="1"/>
  <c r="M2902" i="22"/>
  <c r="M2848" i="22"/>
  <c r="N2848" i="22"/>
  <c r="U2848" i="22" s="1"/>
  <c r="M1984" i="22"/>
  <c r="N1984" i="22"/>
  <c r="U1984" i="22" s="1"/>
  <c r="M1714" i="22"/>
  <c r="N1714" i="22"/>
  <c r="U1714" i="22" s="1"/>
  <c r="M1444" i="22"/>
  <c r="N1444" i="22"/>
  <c r="U1444" i="22" s="1"/>
  <c r="M1390" i="22"/>
  <c r="N1390" i="22"/>
  <c r="U1390" i="22" s="1"/>
  <c r="M1012" i="22"/>
  <c r="N1012" i="22"/>
  <c r="U1012" i="22" s="1"/>
  <c r="M148" i="22"/>
  <c r="N148" i="22"/>
  <c r="U148" i="22" s="1"/>
  <c r="M94" i="22"/>
  <c r="N94" i="22"/>
  <c r="U94" i="22" s="1"/>
  <c r="F1554" i="23"/>
  <c r="O1554" i="23" s="1"/>
  <c r="K1554" i="23"/>
  <c r="K1498" i="23"/>
  <c r="F1498" i="23"/>
  <c r="O1498" i="23" s="1"/>
  <c r="K1218" i="23"/>
  <c r="F1218" i="23"/>
  <c r="O1218" i="23" s="1"/>
  <c r="K1050" i="23"/>
  <c r="F1050" i="23"/>
  <c r="O1050" i="23" s="1"/>
  <c r="F770" i="23"/>
  <c r="O770" i="23" s="1"/>
  <c r="K770" i="23"/>
  <c r="D4637" i="22"/>
  <c r="F4637" i="22"/>
  <c r="O4637" i="22" s="1"/>
  <c r="F4175" i="22"/>
  <c r="O4175" i="22" s="1"/>
  <c r="K4175" i="22"/>
  <c r="F3713" i="22"/>
  <c r="O3713" i="22" s="1"/>
  <c r="K3713" i="22"/>
  <c r="K3605" i="22"/>
  <c r="F3605" i="22"/>
  <c r="O3605" i="22" s="1"/>
  <c r="F3335" i="22"/>
  <c r="O3335" i="22" s="1"/>
  <c r="K3335" i="22"/>
  <c r="F3281" i="22"/>
  <c r="O3281" i="22" s="1"/>
  <c r="K3281" i="22"/>
  <c r="K3227" i="22"/>
  <c r="F3227" i="22"/>
  <c r="O3227" i="22" s="1"/>
  <c r="F3119" i="22"/>
  <c r="O3119" i="22" s="1"/>
  <c r="K3119" i="22"/>
  <c r="K3065" i="22"/>
  <c r="F3065" i="22"/>
  <c r="O3065" i="22" s="1"/>
  <c r="K2957" i="22"/>
  <c r="F2957" i="22"/>
  <c r="O2957" i="22" s="1"/>
  <c r="F2903" i="22"/>
  <c r="O2903" i="22" s="1"/>
  <c r="K2903" i="22"/>
  <c r="K2579" i="22"/>
  <c r="F2579" i="22"/>
  <c r="O2579" i="22" s="1"/>
  <c r="F2525" i="22"/>
  <c r="O2525" i="22" s="1"/>
  <c r="K2525" i="22"/>
  <c r="F2201" i="22"/>
  <c r="O2201" i="22" s="1"/>
  <c r="K2201" i="22"/>
  <c r="K1877" i="22"/>
  <c r="F1877" i="22"/>
  <c r="O1877" i="22" s="1"/>
  <c r="K1607" i="22"/>
  <c r="F1607" i="22"/>
  <c r="O1607" i="22" s="1"/>
  <c r="F1283" i="22"/>
  <c r="O1283" i="22" s="1"/>
  <c r="K1283" i="22"/>
  <c r="K959" i="22"/>
  <c r="F959" i="22"/>
  <c r="O959" i="22" s="1"/>
  <c r="F419" i="22"/>
  <c r="O419" i="22" s="1"/>
  <c r="K419" i="22"/>
  <c r="F365" i="22"/>
  <c r="O365" i="22" s="1"/>
  <c r="K365" i="22"/>
  <c r="H32" i="18"/>
  <c r="N2255" i="22" l="1"/>
  <c r="U2255" i="22" s="1"/>
  <c r="AE1162" i="23"/>
  <c r="N311" i="22"/>
  <c r="U311" i="22" s="1"/>
  <c r="K939" i="23"/>
  <c r="F939" i="23"/>
  <c r="O939" i="23" s="1"/>
  <c r="K4176" i="22"/>
  <c r="F4176" i="22"/>
  <c r="O4176" i="22" s="1"/>
  <c r="K2526" i="22"/>
  <c r="F2526" i="22"/>
  <c r="O2526" i="22" s="1"/>
  <c r="K2364" i="22"/>
  <c r="F2364" i="22"/>
  <c r="O2364" i="22" s="1"/>
  <c r="K2094" i="22"/>
  <c r="F2094" i="22"/>
  <c r="O2094" i="22" s="1"/>
  <c r="K1230" i="22"/>
  <c r="F1230" i="22"/>
  <c r="O1230" i="22" s="1"/>
  <c r="K1014" i="22"/>
  <c r="F1014" i="22"/>
  <c r="O1014" i="22" s="1"/>
  <c r="K474" i="22"/>
  <c r="F474" i="22"/>
  <c r="O474" i="22" s="1"/>
  <c r="M1611" i="23"/>
  <c r="J1611" i="23"/>
  <c r="N1611" i="23" s="1"/>
  <c r="D1611" i="23"/>
  <c r="P1611" i="23"/>
  <c r="Q1611" i="23"/>
  <c r="R1611" i="23"/>
  <c r="I1612" i="23"/>
  <c r="L1612" i="23"/>
  <c r="C1612" i="23"/>
  <c r="K1612" i="23" s="1"/>
  <c r="E1612" i="23"/>
  <c r="F1612" i="23"/>
  <c r="O1612" i="23" s="1"/>
  <c r="G1612" i="23"/>
  <c r="B1613" i="23"/>
  <c r="M1555" i="23"/>
  <c r="J1555" i="23"/>
  <c r="N1555" i="23" s="1"/>
  <c r="AE1555" i="23" s="1"/>
  <c r="D1555" i="23"/>
  <c r="P1555" i="23"/>
  <c r="Q1555" i="23"/>
  <c r="R1555" i="23"/>
  <c r="L1556" i="23"/>
  <c r="I1556" i="23"/>
  <c r="C1556" i="23"/>
  <c r="K1556" i="23" s="1"/>
  <c r="E1556" i="23"/>
  <c r="F1556" i="23"/>
  <c r="O1556" i="23" s="1"/>
  <c r="G1556" i="23"/>
  <c r="B1557" i="23"/>
  <c r="M1499" i="23"/>
  <c r="J1499" i="23"/>
  <c r="N1499" i="23" s="1"/>
  <c r="AE1499" i="23" s="1"/>
  <c r="D1499" i="23"/>
  <c r="P1499" i="23"/>
  <c r="Q1499" i="23"/>
  <c r="R1499" i="23"/>
  <c r="L1500" i="23"/>
  <c r="I1500" i="23"/>
  <c r="C1500" i="23"/>
  <c r="E1500" i="23"/>
  <c r="G1500" i="23"/>
  <c r="B1501" i="23"/>
  <c r="M1443" i="23"/>
  <c r="J1443" i="23"/>
  <c r="N1443" i="23" s="1"/>
  <c r="AE1443" i="23" s="1"/>
  <c r="D1443" i="23"/>
  <c r="P1443" i="23"/>
  <c r="Q1443" i="23"/>
  <c r="R1443" i="23"/>
  <c r="L1444" i="23"/>
  <c r="I1444" i="23"/>
  <c r="C1444" i="23"/>
  <c r="E1444" i="23"/>
  <c r="G1444" i="23"/>
  <c r="B1445" i="23"/>
  <c r="M1387" i="23"/>
  <c r="J1387" i="23"/>
  <c r="N1387" i="23" s="1"/>
  <c r="AE1387" i="23" s="1"/>
  <c r="D1387" i="23"/>
  <c r="P1387" i="23"/>
  <c r="Q1387" i="23"/>
  <c r="R1387" i="23"/>
  <c r="L1388" i="23"/>
  <c r="I1388" i="23"/>
  <c r="B1389" i="23"/>
  <c r="C1388" i="23"/>
  <c r="E1388" i="23"/>
  <c r="G1388" i="23"/>
  <c r="M1331" i="23"/>
  <c r="J1331" i="23"/>
  <c r="N1331" i="23" s="1"/>
  <c r="AE1331" i="23" s="1"/>
  <c r="D1331" i="23"/>
  <c r="P1331" i="23"/>
  <c r="Q1331" i="23"/>
  <c r="R1331" i="23"/>
  <c r="L1332" i="23"/>
  <c r="I1332" i="23"/>
  <c r="C1332" i="23"/>
  <c r="K1332" i="23" s="1"/>
  <c r="E1332" i="23"/>
  <c r="F1332" i="23"/>
  <c r="O1332" i="23" s="1"/>
  <c r="G1332" i="23"/>
  <c r="B1333" i="23"/>
  <c r="M1275" i="23"/>
  <c r="J1275" i="23"/>
  <c r="N1275" i="23" s="1"/>
  <c r="AE1275" i="23" s="1"/>
  <c r="D1275" i="23"/>
  <c r="P1275" i="23"/>
  <c r="Q1275" i="23"/>
  <c r="R1275" i="23"/>
  <c r="L1276" i="23"/>
  <c r="I1276" i="23"/>
  <c r="C1276" i="23"/>
  <c r="K1276" i="23" s="1"/>
  <c r="E1276" i="23"/>
  <c r="F1276" i="23"/>
  <c r="O1276" i="23" s="1"/>
  <c r="G1276" i="23"/>
  <c r="B1277" i="23"/>
  <c r="J1219" i="23"/>
  <c r="D1219" i="23"/>
  <c r="P1219" i="23"/>
  <c r="Q1219" i="23"/>
  <c r="R1219" i="23"/>
  <c r="L1220" i="23"/>
  <c r="I1220" i="23"/>
  <c r="C1220" i="23"/>
  <c r="K1220" i="23" s="1"/>
  <c r="E1220" i="23"/>
  <c r="F1220" i="23"/>
  <c r="O1220" i="23" s="1"/>
  <c r="G1220" i="23"/>
  <c r="B1221" i="23"/>
  <c r="M1163" i="23"/>
  <c r="J1163" i="23"/>
  <c r="N1163" i="23" s="1"/>
  <c r="AE1163" i="23" s="1"/>
  <c r="D1163" i="23"/>
  <c r="P1163" i="23"/>
  <c r="Q1163" i="23"/>
  <c r="R1163" i="23"/>
  <c r="L1164" i="23"/>
  <c r="I1164" i="23"/>
  <c r="C1164" i="23"/>
  <c r="K1164" i="23" s="1"/>
  <c r="E1164" i="23"/>
  <c r="F1164" i="23"/>
  <c r="O1164" i="23" s="1"/>
  <c r="G1164" i="23"/>
  <c r="B1165" i="23"/>
  <c r="M1107" i="23"/>
  <c r="J1107" i="23"/>
  <c r="N1107" i="23" s="1"/>
  <c r="AE1107" i="23" s="1"/>
  <c r="D1107" i="23"/>
  <c r="P1107" i="23"/>
  <c r="Q1107" i="23"/>
  <c r="R1107" i="23"/>
  <c r="L1108" i="23"/>
  <c r="I1108" i="23"/>
  <c r="C1108" i="23"/>
  <c r="K1108" i="23" s="1"/>
  <c r="E1108" i="23"/>
  <c r="F1108" i="23"/>
  <c r="O1108" i="23" s="1"/>
  <c r="G1108" i="23"/>
  <c r="B1109" i="23"/>
  <c r="L1052" i="23"/>
  <c r="I1052" i="23"/>
  <c r="C1052" i="23"/>
  <c r="K1052" i="23" s="1"/>
  <c r="E1052" i="23"/>
  <c r="G1052" i="23"/>
  <c r="F1052" i="23"/>
  <c r="O1052" i="23" s="1"/>
  <c r="B1053" i="23"/>
  <c r="J1051" i="23"/>
  <c r="D1051" i="23"/>
  <c r="P1051" i="23"/>
  <c r="Q1051" i="23"/>
  <c r="R1051" i="23"/>
  <c r="M995" i="23"/>
  <c r="J995" i="23"/>
  <c r="N995" i="23" s="1"/>
  <c r="AE995" i="23" s="1"/>
  <c r="D995" i="23"/>
  <c r="P995" i="23"/>
  <c r="Q995" i="23"/>
  <c r="R995" i="23"/>
  <c r="L996" i="23"/>
  <c r="I996" i="23"/>
  <c r="C996" i="23"/>
  <c r="K996" i="23" s="1"/>
  <c r="E996" i="23"/>
  <c r="F996" i="23"/>
  <c r="O996" i="23" s="1"/>
  <c r="G996" i="23"/>
  <c r="B997" i="23"/>
  <c r="M939" i="23"/>
  <c r="J939" i="23"/>
  <c r="N939" i="23" s="1"/>
  <c r="AE939" i="23" s="1"/>
  <c r="D939" i="23"/>
  <c r="P939" i="23"/>
  <c r="Q939" i="23"/>
  <c r="R939" i="23"/>
  <c r="L940" i="23"/>
  <c r="I940" i="23"/>
  <c r="C940" i="23"/>
  <c r="K940" i="23" s="1"/>
  <c r="E940" i="23"/>
  <c r="F940" i="23"/>
  <c r="O940" i="23" s="1"/>
  <c r="G940" i="23"/>
  <c r="B941" i="23"/>
  <c r="M883" i="23"/>
  <c r="J883" i="23"/>
  <c r="N883" i="23" s="1"/>
  <c r="AE883" i="23" s="1"/>
  <c r="D883" i="23"/>
  <c r="P883" i="23"/>
  <c r="Q883" i="23"/>
  <c r="R883" i="23"/>
  <c r="L884" i="23"/>
  <c r="I884" i="23"/>
  <c r="C884" i="23"/>
  <c r="E884" i="23"/>
  <c r="G884" i="23"/>
  <c r="B885" i="23"/>
  <c r="M827" i="23"/>
  <c r="J827" i="23"/>
  <c r="N827" i="23" s="1"/>
  <c r="AE827" i="23" s="1"/>
  <c r="D827" i="23"/>
  <c r="P827" i="23"/>
  <c r="Q827" i="23"/>
  <c r="R827" i="23"/>
  <c r="L828" i="23"/>
  <c r="I828" i="23"/>
  <c r="C828" i="23"/>
  <c r="K828" i="23" s="1"/>
  <c r="E828" i="23"/>
  <c r="F828" i="23"/>
  <c r="O828" i="23" s="1"/>
  <c r="G828" i="23"/>
  <c r="B829" i="23"/>
  <c r="M771" i="23"/>
  <c r="J771" i="23"/>
  <c r="N771" i="23" s="1"/>
  <c r="AE771" i="23" s="1"/>
  <c r="D771" i="23"/>
  <c r="P771" i="23"/>
  <c r="Q771" i="23"/>
  <c r="R771" i="23"/>
  <c r="L772" i="23"/>
  <c r="I772" i="23"/>
  <c r="C772" i="23"/>
  <c r="K772" i="23" s="1"/>
  <c r="E772" i="23"/>
  <c r="F772" i="23"/>
  <c r="O772" i="23" s="1"/>
  <c r="G772" i="23"/>
  <c r="B773" i="23"/>
  <c r="M715" i="23"/>
  <c r="J715" i="23"/>
  <c r="N715" i="23" s="1"/>
  <c r="AE715" i="23" s="1"/>
  <c r="D715" i="23"/>
  <c r="P715" i="23"/>
  <c r="Q715" i="23"/>
  <c r="R715" i="23"/>
  <c r="L716" i="23"/>
  <c r="I716" i="23"/>
  <c r="C716" i="23"/>
  <c r="K716" i="23" s="1"/>
  <c r="E716" i="23"/>
  <c r="F716" i="23"/>
  <c r="O716" i="23" s="1"/>
  <c r="G716" i="23"/>
  <c r="B717" i="23"/>
  <c r="M659" i="23"/>
  <c r="J659" i="23"/>
  <c r="N659" i="23" s="1"/>
  <c r="AE659" i="23" s="1"/>
  <c r="D659" i="23"/>
  <c r="P659" i="23"/>
  <c r="Q659" i="23"/>
  <c r="R659" i="23"/>
  <c r="L660" i="23"/>
  <c r="I660" i="23"/>
  <c r="C660" i="23"/>
  <c r="K660" i="23" s="1"/>
  <c r="E660" i="23"/>
  <c r="F660" i="23"/>
  <c r="O660" i="23" s="1"/>
  <c r="G660" i="23"/>
  <c r="B661" i="23"/>
  <c r="M603" i="23"/>
  <c r="J603" i="23"/>
  <c r="N603" i="23" s="1"/>
  <c r="AE603" i="23" s="1"/>
  <c r="D603" i="23"/>
  <c r="P603" i="23"/>
  <c r="Q603" i="23"/>
  <c r="R603" i="23"/>
  <c r="L604" i="23"/>
  <c r="I604" i="23"/>
  <c r="C604" i="23"/>
  <c r="K604" i="23" s="1"/>
  <c r="E604" i="23"/>
  <c r="F604" i="23"/>
  <c r="O604" i="23" s="1"/>
  <c r="G604" i="23"/>
  <c r="B605" i="23"/>
  <c r="M547" i="23"/>
  <c r="J547" i="23"/>
  <c r="N547" i="23" s="1"/>
  <c r="AE547" i="23" s="1"/>
  <c r="D547" i="23"/>
  <c r="P547" i="23"/>
  <c r="Q547" i="23"/>
  <c r="R547" i="23"/>
  <c r="L548" i="23"/>
  <c r="I548" i="23"/>
  <c r="C548" i="23"/>
  <c r="K548" i="23" s="1"/>
  <c r="E548" i="23"/>
  <c r="F548" i="23"/>
  <c r="O548" i="23" s="1"/>
  <c r="G548" i="23"/>
  <c r="B549" i="23"/>
  <c r="M491" i="23"/>
  <c r="J491" i="23"/>
  <c r="N491" i="23" s="1"/>
  <c r="AE491" i="23" s="1"/>
  <c r="D491" i="23"/>
  <c r="P491" i="23"/>
  <c r="Q491" i="23"/>
  <c r="R491" i="23"/>
  <c r="L492" i="23"/>
  <c r="I492" i="23"/>
  <c r="C492" i="23"/>
  <c r="K492" i="23" s="1"/>
  <c r="E492" i="23"/>
  <c r="F492" i="23"/>
  <c r="O492" i="23" s="1"/>
  <c r="G492" i="23"/>
  <c r="B493" i="23"/>
  <c r="J435" i="23"/>
  <c r="D435" i="23"/>
  <c r="L436" i="23"/>
  <c r="I436" i="23"/>
  <c r="E436" i="23"/>
  <c r="G436" i="23"/>
  <c r="C436" i="23"/>
  <c r="B437" i="23"/>
  <c r="P435" i="23"/>
  <c r="Q435" i="23"/>
  <c r="R435" i="23"/>
  <c r="M379" i="23"/>
  <c r="J379" i="23"/>
  <c r="N379" i="23" s="1"/>
  <c r="AE379" i="23" s="1"/>
  <c r="D379" i="23"/>
  <c r="P379" i="23"/>
  <c r="Q379" i="23"/>
  <c r="R379" i="23"/>
  <c r="L380" i="23"/>
  <c r="I380" i="23"/>
  <c r="C380" i="23"/>
  <c r="K380" i="23" s="1"/>
  <c r="E380" i="23"/>
  <c r="F380" i="23"/>
  <c r="O380" i="23" s="1"/>
  <c r="G380" i="23"/>
  <c r="B381" i="23"/>
  <c r="M323" i="23"/>
  <c r="J323" i="23"/>
  <c r="N323" i="23" s="1"/>
  <c r="AE323" i="23" s="1"/>
  <c r="D323" i="23"/>
  <c r="P323" i="23"/>
  <c r="Q323" i="23"/>
  <c r="R323" i="23"/>
  <c r="L324" i="23"/>
  <c r="I324" i="23"/>
  <c r="C324" i="23"/>
  <c r="K324" i="23" s="1"/>
  <c r="E324" i="23"/>
  <c r="F324" i="23"/>
  <c r="O324" i="23" s="1"/>
  <c r="G324" i="23"/>
  <c r="B325" i="23"/>
  <c r="M267" i="23"/>
  <c r="J267" i="23"/>
  <c r="N267" i="23" s="1"/>
  <c r="AE267" i="23" s="1"/>
  <c r="D267" i="23"/>
  <c r="P267" i="23"/>
  <c r="R267" i="23"/>
  <c r="Q267" i="23"/>
  <c r="L268" i="23"/>
  <c r="I268" i="23"/>
  <c r="C268" i="23"/>
  <c r="K268" i="23" s="1"/>
  <c r="E268" i="23"/>
  <c r="F268" i="23"/>
  <c r="O268" i="23" s="1"/>
  <c r="G268" i="23"/>
  <c r="B269" i="23"/>
  <c r="D4746" i="22"/>
  <c r="J4746" i="22"/>
  <c r="N4746" i="22" s="1"/>
  <c r="P4746" i="22"/>
  <c r="Q4746" i="22"/>
  <c r="R4746" i="22"/>
  <c r="M4746" i="22"/>
  <c r="C4747" i="22"/>
  <c r="F4747" i="22" s="1"/>
  <c r="E4747" i="22"/>
  <c r="G4747" i="22"/>
  <c r="I4747" i="22"/>
  <c r="K4747" i="22"/>
  <c r="L4747" i="22"/>
  <c r="B4748" i="22"/>
  <c r="S4691" i="22"/>
  <c r="U4691" i="22"/>
  <c r="D4692" i="22"/>
  <c r="J4692" i="22"/>
  <c r="P4692" i="22"/>
  <c r="Q4692" i="22"/>
  <c r="R4692" i="22"/>
  <c r="L4693" i="22"/>
  <c r="C4693" i="22"/>
  <c r="K4693" i="22" s="1"/>
  <c r="E4693" i="22"/>
  <c r="F4693" i="22"/>
  <c r="G4693" i="22"/>
  <c r="I4693" i="22"/>
  <c r="B4694" i="22"/>
  <c r="P4638" i="22"/>
  <c r="Q4638" i="22"/>
  <c r="R4638" i="22"/>
  <c r="C4639" i="22"/>
  <c r="E4639" i="22"/>
  <c r="G4639" i="22"/>
  <c r="B4640" i="22"/>
  <c r="J4584" i="22"/>
  <c r="D4584" i="22"/>
  <c r="P4584" i="22"/>
  <c r="Q4584" i="22"/>
  <c r="R4584" i="22"/>
  <c r="I4585" i="22"/>
  <c r="L4585" i="22"/>
  <c r="C4585" i="22"/>
  <c r="E4585" i="22"/>
  <c r="G4585" i="22"/>
  <c r="B4586" i="22"/>
  <c r="D4530" i="22"/>
  <c r="J4530" i="22"/>
  <c r="P4530" i="22"/>
  <c r="Q4530" i="22"/>
  <c r="R4530" i="22"/>
  <c r="L4531" i="22"/>
  <c r="C4531" i="22"/>
  <c r="K4531" i="22" s="1"/>
  <c r="E4531" i="22"/>
  <c r="F4531" i="22"/>
  <c r="G4531" i="22"/>
  <c r="I4531" i="22"/>
  <c r="B4532" i="22"/>
  <c r="M4230" i="22"/>
  <c r="D4230" i="22"/>
  <c r="J4230" i="22"/>
  <c r="N4230" i="22" s="1"/>
  <c r="U4230" i="22" s="1"/>
  <c r="P4230" i="22"/>
  <c r="Q4230" i="22"/>
  <c r="R4230" i="22"/>
  <c r="L4231" i="22"/>
  <c r="C4231" i="22"/>
  <c r="K4231" i="22" s="1"/>
  <c r="E4231" i="22"/>
  <c r="F4231" i="22"/>
  <c r="O4231" i="22" s="1"/>
  <c r="G4231" i="22"/>
  <c r="I4231" i="22"/>
  <c r="B4232" i="22"/>
  <c r="M4176" i="22"/>
  <c r="D4176" i="22"/>
  <c r="J4176" i="22"/>
  <c r="N4176" i="22" s="1"/>
  <c r="U4176" i="22" s="1"/>
  <c r="P4176" i="22"/>
  <c r="Q4176" i="22"/>
  <c r="R4176" i="22"/>
  <c r="L4177" i="22"/>
  <c r="C4177" i="22"/>
  <c r="K4177" i="22" s="1"/>
  <c r="E4177" i="22"/>
  <c r="F4177" i="22"/>
  <c r="O4177" i="22" s="1"/>
  <c r="G4177" i="22"/>
  <c r="I4177" i="22"/>
  <c r="B4178" i="22"/>
  <c r="M4122" i="22"/>
  <c r="D4122" i="22"/>
  <c r="J4122" i="22"/>
  <c r="N4122" i="22" s="1"/>
  <c r="U4122" i="22" s="1"/>
  <c r="P4122" i="22"/>
  <c r="Q4122" i="22"/>
  <c r="R4122" i="22"/>
  <c r="L4123" i="22"/>
  <c r="C4123" i="22"/>
  <c r="K4123" i="22" s="1"/>
  <c r="E4123" i="22"/>
  <c r="F4123" i="22"/>
  <c r="O4123" i="22" s="1"/>
  <c r="G4123" i="22"/>
  <c r="I4123" i="22"/>
  <c r="B4124" i="22"/>
  <c r="M4068" i="22"/>
  <c r="D4068" i="22"/>
  <c r="J4068" i="22"/>
  <c r="N4068" i="22" s="1"/>
  <c r="U4068" i="22" s="1"/>
  <c r="P4068" i="22"/>
  <c r="Q4068" i="22"/>
  <c r="R4068" i="22"/>
  <c r="L4069" i="22"/>
  <c r="C4069" i="22"/>
  <c r="K4069" i="22" s="1"/>
  <c r="E4069" i="22"/>
  <c r="F4069" i="22"/>
  <c r="O4069" i="22" s="1"/>
  <c r="G4069" i="22"/>
  <c r="I4069" i="22"/>
  <c r="B4070" i="22"/>
  <c r="M3768" i="22"/>
  <c r="D3768" i="22"/>
  <c r="J3768" i="22"/>
  <c r="N3768" i="22" s="1"/>
  <c r="U3768" i="22" s="1"/>
  <c r="P3768" i="22"/>
  <c r="Q3768" i="22"/>
  <c r="R3768" i="22"/>
  <c r="L3769" i="22"/>
  <c r="C3769" i="22"/>
  <c r="K3769" i="22" s="1"/>
  <c r="E3769" i="22"/>
  <c r="F3769" i="22"/>
  <c r="O3769" i="22" s="1"/>
  <c r="G3769" i="22"/>
  <c r="I3769" i="22"/>
  <c r="B3770" i="22"/>
  <c r="M3714" i="22"/>
  <c r="D3714" i="22"/>
  <c r="J3714" i="22"/>
  <c r="N3714" i="22" s="1"/>
  <c r="U3714" i="22" s="1"/>
  <c r="P3714" i="22"/>
  <c r="Q3714" i="22"/>
  <c r="R3714" i="22"/>
  <c r="L3715" i="22"/>
  <c r="C3715" i="22"/>
  <c r="K3715" i="22" s="1"/>
  <c r="E3715" i="22"/>
  <c r="F3715" i="22"/>
  <c r="O3715" i="22" s="1"/>
  <c r="G3715" i="22"/>
  <c r="I3715" i="22"/>
  <c r="B3716" i="22"/>
  <c r="M3660" i="22"/>
  <c r="D3660" i="22"/>
  <c r="J3660" i="22"/>
  <c r="N3660" i="22" s="1"/>
  <c r="U3660" i="22" s="1"/>
  <c r="P3660" i="22"/>
  <c r="Q3660" i="22"/>
  <c r="R3660" i="22"/>
  <c r="L3661" i="22"/>
  <c r="C3661" i="22"/>
  <c r="E3661" i="22"/>
  <c r="G3661" i="22"/>
  <c r="I3661" i="22"/>
  <c r="B3662" i="22"/>
  <c r="M3606" i="22"/>
  <c r="D3606" i="22"/>
  <c r="J3606" i="22"/>
  <c r="N3606" i="22" s="1"/>
  <c r="U3606" i="22" s="1"/>
  <c r="P3606" i="22"/>
  <c r="Q3606" i="22"/>
  <c r="R3606" i="22"/>
  <c r="L3607" i="22"/>
  <c r="C3607" i="22"/>
  <c r="K3607" i="22" s="1"/>
  <c r="E3607" i="22"/>
  <c r="F3607" i="22"/>
  <c r="O3607" i="22" s="1"/>
  <c r="G3607" i="22"/>
  <c r="I3607" i="22"/>
  <c r="B3608" i="22"/>
  <c r="L3553" i="22"/>
  <c r="G3553" i="22"/>
  <c r="I3553" i="22"/>
  <c r="B3554" i="22"/>
  <c r="C3553" i="22"/>
  <c r="K3553" i="22" s="1"/>
  <c r="E3553" i="22"/>
  <c r="F3553" i="22"/>
  <c r="O3553" i="22" s="1"/>
  <c r="J3552" i="22"/>
  <c r="D3552" i="22"/>
  <c r="P3552" i="22"/>
  <c r="Q3552" i="22"/>
  <c r="R3552" i="22"/>
  <c r="M3498" i="22"/>
  <c r="D3498" i="22"/>
  <c r="J3498" i="22"/>
  <c r="N3498" i="22" s="1"/>
  <c r="U3498" i="22" s="1"/>
  <c r="P3498" i="22"/>
  <c r="Q3498" i="22"/>
  <c r="R3498" i="22"/>
  <c r="L3499" i="22"/>
  <c r="C3499" i="22"/>
  <c r="K3499" i="22" s="1"/>
  <c r="E3499" i="22"/>
  <c r="F3499" i="22"/>
  <c r="O3499" i="22" s="1"/>
  <c r="G3499" i="22"/>
  <c r="I3499" i="22"/>
  <c r="B3500" i="22"/>
  <c r="M3444" i="22"/>
  <c r="D3444" i="22"/>
  <c r="J3444" i="22"/>
  <c r="N3444" i="22" s="1"/>
  <c r="U3444" i="22" s="1"/>
  <c r="P3444" i="22"/>
  <c r="Q3444" i="22"/>
  <c r="R3444" i="22"/>
  <c r="L3445" i="22"/>
  <c r="C3445" i="22"/>
  <c r="K3445" i="22" s="1"/>
  <c r="E3445" i="22"/>
  <c r="F3445" i="22"/>
  <c r="O3445" i="22" s="1"/>
  <c r="G3445" i="22"/>
  <c r="I3445" i="22"/>
  <c r="B3446" i="22"/>
  <c r="D3390" i="22"/>
  <c r="J3390" i="22"/>
  <c r="P3390" i="22"/>
  <c r="Q3390" i="22"/>
  <c r="R3390" i="22"/>
  <c r="L3391" i="22"/>
  <c r="C3391" i="22"/>
  <c r="E3391" i="22"/>
  <c r="G3391" i="22"/>
  <c r="I3391" i="22"/>
  <c r="B3392" i="22"/>
  <c r="D3336" i="22"/>
  <c r="J3336" i="22"/>
  <c r="P3336" i="22"/>
  <c r="Q3336" i="22"/>
  <c r="R3336" i="22"/>
  <c r="L3337" i="22"/>
  <c r="C3337" i="22"/>
  <c r="K3337" i="22" s="1"/>
  <c r="E3337" i="22"/>
  <c r="F3337" i="22"/>
  <c r="O3337" i="22" s="1"/>
  <c r="G3337" i="22"/>
  <c r="I3337" i="22"/>
  <c r="B3338" i="22"/>
  <c r="M3282" i="22"/>
  <c r="D3282" i="22"/>
  <c r="J3282" i="22"/>
  <c r="N3282" i="22" s="1"/>
  <c r="U3282" i="22" s="1"/>
  <c r="P3282" i="22"/>
  <c r="Q3282" i="22"/>
  <c r="R3282" i="22"/>
  <c r="L3283" i="22"/>
  <c r="C3283" i="22"/>
  <c r="K3283" i="22" s="1"/>
  <c r="E3283" i="22"/>
  <c r="F3283" i="22"/>
  <c r="O3283" i="22" s="1"/>
  <c r="G3283" i="22"/>
  <c r="I3283" i="22"/>
  <c r="B3284" i="22"/>
  <c r="M3228" i="22"/>
  <c r="D3228" i="22"/>
  <c r="J3228" i="22"/>
  <c r="N3228" i="22" s="1"/>
  <c r="U3228" i="22" s="1"/>
  <c r="P3228" i="22"/>
  <c r="Q3228" i="22"/>
  <c r="R3228" i="22"/>
  <c r="L3229" i="22"/>
  <c r="C3229" i="22"/>
  <c r="K3229" i="22" s="1"/>
  <c r="E3229" i="22"/>
  <c r="F3229" i="22"/>
  <c r="O3229" i="22" s="1"/>
  <c r="G3229" i="22"/>
  <c r="I3229" i="22"/>
  <c r="B3230" i="22"/>
  <c r="M3174" i="22"/>
  <c r="D3174" i="22"/>
  <c r="J3174" i="22"/>
  <c r="N3174" i="22" s="1"/>
  <c r="U3174" i="22" s="1"/>
  <c r="P3174" i="22"/>
  <c r="Q3174" i="22"/>
  <c r="R3174" i="22"/>
  <c r="L3175" i="22"/>
  <c r="C3175" i="22"/>
  <c r="K3175" i="22" s="1"/>
  <c r="E3175" i="22"/>
  <c r="F3175" i="22"/>
  <c r="O3175" i="22" s="1"/>
  <c r="G3175" i="22"/>
  <c r="I3175" i="22"/>
  <c r="B3176" i="22"/>
  <c r="M3120" i="22"/>
  <c r="D3120" i="22"/>
  <c r="J3120" i="22"/>
  <c r="N3120" i="22" s="1"/>
  <c r="U3120" i="22" s="1"/>
  <c r="P3120" i="22"/>
  <c r="Q3120" i="22"/>
  <c r="R3120" i="22"/>
  <c r="L3121" i="22"/>
  <c r="C3121" i="22"/>
  <c r="K3121" i="22" s="1"/>
  <c r="E3121" i="22"/>
  <c r="F3121" i="22"/>
  <c r="O3121" i="22" s="1"/>
  <c r="G3121" i="22"/>
  <c r="I3121" i="22"/>
  <c r="B3122" i="22"/>
  <c r="L3067" i="22"/>
  <c r="C3067" i="22"/>
  <c r="E3067" i="22"/>
  <c r="G3067" i="22"/>
  <c r="B3068" i="22"/>
  <c r="I3067" i="22"/>
  <c r="D3066" i="22"/>
  <c r="J3066" i="22"/>
  <c r="P3066" i="22"/>
  <c r="Q3066" i="22"/>
  <c r="R3066" i="22"/>
  <c r="P3012" i="22"/>
  <c r="Q3012" i="22"/>
  <c r="R3012" i="22"/>
  <c r="D3012" i="22"/>
  <c r="J3012" i="22"/>
  <c r="L3013" i="22"/>
  <c r="E3013" i="22"/>
  <c r="G3013" i="22"/>
  <c r="B3014" i="22"/>
  <c r="I3013" i="22"/>
  <c r="C3013" i="22"/>
  <c r="D2958" i="22"/>
  <c r="J2958" i="22"/>
  <c r="P2958" i="22"/>
  <c r="Q2958" i="22"/>
  <c r="R2958" i="22"/>
  <c r="L2959" i="22"/>
  <c r="I2959" i="22"/>
  <c r="C2959" i="22"/>
  <c r="E2959" i="22"/>
  <c r="G2959" i="22"/>
  <c r="B2960" i="22"/>
  <c r="L2905" i="22"/>
  <c r="B2906" i="22"/>
  <c r="C2905" i="22"/>
  <c r="I2905" i="22"/>
  <c r="E2905" i="22"/>
  <c r="G2905" i="22"/>
  <c r="J2904" i="22"/>
  <c r="D2904" i="22"/>
  <c r="P2904" i="22"/>
  <c r="Q2904" i="22"/>
  <c r="R2904" i="22"/>
  <c r="M2850" i="22"/>
  <c r="D2850" i="22"/>
  <c r="J2850" i="22"/>
  <c r="N2850" i="22" s="1"/>
  <c r="U2850" i="22" s="1"/>
  <c r="P2850" i="22"/>
  <c r="Q2850" i="22"/>
  <c r="R2850" i="22"/>
  <c r="L2851" i="22"/>
  <c r="C2851" i="22"/>
  <c r="K2851" i="22" s="1"/>
  <c r="E2851" i="22"/>
  <c r="F2851" i="22"/>
  <c r="O2851" i="22" s="1"/>
  <c r="G2851" i="22"/>
  <c r="I2851" i="22"/>
  <c r="B2852" i="22"/>
  <c r="M2796" i="22"/>
  <c r="D2796" i="22"/>
  <c r="J2796" i="22"/>
  <c r="N2796" i="22" s="1"/>
  <c r="S2796" i="22" s="1"/>
  <c r="T2796" i="22" s="1"/>
  <c r="U2796" i="22" s="1"/>
  <c r="Q2796" i="22"/>
  <c r="P2796" i="22"/>
  <c r="R2796" i="22"/>
  <c r="L2797" i="22"/>
  <c r="C2797" i="22"/>
  <c r="E2797" i="22"/>
  <c r="G2797" i="22"/>
  <c r="I2797" i="22"/>
  <c r="B2798" i="22"/>
  <c r="M2742" i="22"/>
  <c r="D2742" i="22"/>
  <c r="J2742" i="22"/>
  <c r="N2742" i="22" s="1"/>
  <c r="U2742" i="22" s="1"/>
  <c r="P2742" i="22"/>
  <c r="Q2742" i="22"/>
  <c r="R2742" i="22"/>
  <c r="L2743" i="22"/>
  <c r="C2743" i="22"/>
  <c r="K2743" i="22" s="1"/>
  <c r="E2743" i="22"/>
  <c r="F2743" i="22"/>
  <c r="O2743" i="22" s="1"/>
  <c r="G2743" i="22"/>
  <c r="I2743" i="22"/>
  <c r="B2744" i="22"/>
  <c r="M2688" i="22"/>
  <c r="D2688" i="22"/>
  <c r="J2688" i="22"/>
  <c r="N2688" i="22" s="1"/>
  <c r="U2688" i="22" s="1"/>
  <c r="P2688" i="22"/>
  <c r="Q2688" i="22"/>
  <c r="R2688" i="22"/>
  <c r="L2689" i="22"/>
  <c r="C2689" i="22"/>
  <c r="E2689" i="22"/>
  <c r="G2689" i="22"/>
  <c r="I2689" i="22"/>
  <c r="B2690" i="22"/>
  <c r="D2634" i="22"/>
  <c r="J2634" i="22"/>
  <c r="P2634" i="22"/>
  <c r="Q2634" i="22"/>
  <c r="R2634" i="22"/>
  <c r="L2635" i="22"/>
  <c r="C2635" i="22"/>
  <c r="E2635" i="22"/>
  <c r="G2635" i="22"/>
  <c r="I2635" i="22"/>
  <c r="B2636" i="22"/>
  <c r="M2580" i="22"/>
  <c r="D2580" i="22"/>
  <c r="J2580" i="22"/>
  <c r="N2580" i="22" s="1"/>
  <c r="U2580" i="22" s="1"/>
  <c r="P2580" i="22"/>
  <c r="Q2580" i="22"/>
  <c r="R2580" i="22"/>
  <c r="L2581" i="22"/>
  <c r="C2581" i="22"/>
  <c r="K2581" i="22" s="1"/>
  <c r="E2581" i="22"/>
  <c r="F2581" i="22"/>
  <c r="O2581" i="22" s="1"/>
  <c r="G2581" i="22"/>
  <c r="I2581" i="22"/>
  <c r="B2582" i="22"/>
  <c r="M2526" i="22"/>
  <c r="D2526" i="22"/>
  <c r="J2526" i="22"/>
  <c r="N2526" i="22" s="1"/>
  <c r="U2526" i="22" s="1"/>
  <c r="P2526" i="22"/>
  <c r="Q2526" i="22"/>
  <c r="R2526" i="22"/>
  <c r="L2527" i="22"/>
  <c r="C2527" i="22"/>
  <c r="E2527" i="22"/>
  <c r="G2527" i="22"/>
  <c r="I2527" i="22"/>
  <c r="B2528" i="22"/>
  <c r="M2472" i="22"/>
  <c r="D2472" i="22"/>
  <c r="J2472" i="22"/>
  <c r="N2472" i="22" s="1"/>
  <c r="U2472" i="22" s="1"/>
  <c r="P2472" i="22"/>
  <c r="Q2472" i="22"/>
  <c r="R2472" i="22"/>
  <c r="L2473" i="22"/>
  <c r="C2473" i="22"/>
  <c r="K2473" i="22" s="1"/>
  <c r="E2473" i="22"/>
  <c r="F2473" i="22"/>
  <c r="O2473" i="22" s="1"/>
  <c r="G2473" i="22"/>
  <c r="I2473" i="22"/>
  <c r="B2474" i="22"/>
  <c r="M2418" i="22"/>
  <c r="D2418" i="22"/>
  <c r="J2418" i="22"/>
  <c r="N2418" i="22" s="1"/>
  <c r="U2418" i="22" s="1"/>
  <c r="P2418" i="22"/>
  <c r="Q2418" i="22"/>
  <c r="R2418" i="22"/>
  <c r="L2419" i="22"/>
  <c r="C2419" i="22"/>
  <c r="K2419" i="22" s="1"/>
  <c r="E2419" i="22"/>
  <c r="F2419" i="22"/>
  <c r="O2419" i="22" s="1"/>
  <c r="G2419" i="22"/>
  <c r="I2419" i="22"/>
  <c r="B2420" i="22"/>
  <c r="M2364" i="22"/>
  <c r="D2364" i="22"/>
  <c r="J2364" i="22"/>
  <c r="N2364" i="22" s="1"/>
  <c r="U2364" i="22" s="1"/>
  <c r="P2364" i="22"/>
  <c r="Q2364" i="22"/>
  <c r="R2364" i="22"/>
  <c r="L2365" i="22"/>
  <c r="C2365" i="22"/>
  <c r="E2365" i="22"/>
  <c r="G2365" i="22"/>
  <c r="I2365" i="22"/>
  <c r="B2366" i="22"/>
  <c r="M2310" i="22"/>
  <c r="D2310" i="22"/>
  <c r="J2310" i="22"/>
  <c r="N2310" i="22" s="1"/>
  <c r="U2310" i="22" s="1"/>
  <c r="P2310" i="22"/>
  <c r="Q2310" i="22"/>
  <c r="R2310" i="22"/>
  <c r="L2311" i="22"/>
  <c r="C2311" i="22"/>
  <c r="E2311" i="22"/>
  <c r="G2311" i="22"/>
  <c r="I2311" i="22"/>
  <c r="B2312" i="22"/>
  <c r="M2256" i="22"/>
  <c r="D2256" i="22"/>
  <c r="J2256" i="22"/>
  <c r="N2256" i="22" s="1"/>
  <c r="U2256" i="22" s="1"/>
  <c r="P2256" i="22"/>
  <c r="Q2256" i="22"/>
  <c r="R2256" i="22"/>
  <c r="L2257" i="22"/>
  <c r="C2257" i="22"/>
  <c r="K2257" i="22" s="1"/>
  <c r="E2257" i="22"/>
  <c r="F2257" i="22"/>
  <c r="O2257" i="22" s="1"/>
  <c r="G2257" i="22"/>
  <c r="I2257" i="22"/>
  <c r="B2258" i="22"/>
  <c r="M2202" i="22"/>
  <c r="D2202" i="22"/>
  <c r="J2202" i="22"/>
  <c r="N2202" i="22" s="1"/>
  <c r="U2202" i="22" s="1"/>
  <c r="P2202" i="22"/>
  <c r="Q2202" i="22"/>
  <c r="R2202" i="22"/>
  <c r="L2203" i="22"/>
  <c r="C2203" i="22"/>
  <c r="K2203" i="22" s="1"/>
  <c r="E2203" i="22"/>
  <c r="F2203" i="22"/>
  <c r="O2203" i="22" s="1"/>
  <c r="G2203" i="22"/>
  <c r="I2203" i="22"/>
  <c r="B2204" i="22"/>
  <c r="M2148" i="22"/>
  <c r="D2148" i="22"/>
  <c r="J2148" i="22"/>
  <c r="N2148" i="22" s="1"/>
  <c r="U2148" i="22" s="1"/>
  <c r="P2148" i="22"/>
  <c r="Q2148" i="22"/>
  <c r="R2148" i="22"/>
  <c r="L2149" i="22"/>
  <c r="C2149" i="22"/>
  <c r="K2149" i="22" s="1"/>
  <c r="E2149" i="22"/>
  <c r="F2149" i="22"/>
  <c r="O2149" i="22" s="1"/>
  <c r="G2149" i="22"/>
  <c r="I2149" i="22"/>
  <c r="B2150" i="22"/>
  <c r="M2094" i="22"/>
  <c r="D2094" i="22"/>
  <c r="J2094" i="22"/>
  <c r="N2094" i="22" s="1"/>
  <c r="U2094" i="22" s="1"/>
  <c r="P2094" i="22"/>
  <c r="Q2094" i="22"/>
  <c r="R2094" i="22"/>
  <c r="L2095" i="22"/>
  <c r="C2095" i="22"/>
  <c r="K2095" i="22" s="1"/>
  <c r="E2095" i="22"/>
  <c r="F2095" i="22"/>
  <c r="O2095" i="22" s="1"/>
  <c r="G2095" i="22"/>
  <c r="I2095" i="22"/>
  <c r="B2096" i="22"/>
  <c r="D2040" i="22"/>
  <c r="J2040" i="22"/>
  <c r="P2040" i="22"/>
  <c r="Q2040" i="22"/>
  <c r="R2040" i="22"/>
  <c r="L2041" i="22"/>
  <c r="C2041" i="22"/>
  <c r="K2041" i="22" s="1"/>
  <c r="E2041" i="22"/>
  <c r="F2041" i="22"/>
  <c r="O2041" i="22" s="1"/>
  <c r="G2041" i="22"/>
  <c r="I2041" i="22"/>
  <c r="B2042" i="22"/>
  <c r="D1986" i="22"/>
  <c r="J1986" i="22"/>
  <c r="P1986" i="22"/>
  <c r="Q1986" i="22"/>
  <c r="R1986" i="22"/>
  <c r="L1987" i="22"/>
  <c r="C1987" i="22"/>
  <c r="E1987" i="22"/>
  <c r="G1987" i="22"/>
  <c r="I1987" i="22"/>
  <c r="B1988" i="22"/>
  <c r="M1932" i="22"/>
  <c r="D1932" i="22"/>
  <c r="J1932" i="22"/>
  <c r="N1932" i="22" s="1"/>
  <c r="U1932" i="22" s="1"/>
  <c r="P1932" i="22"/>
  <c r="Q1932" i="22"/>
  <c r="R1932" i="22"/>
  <c r="L1933" i="22"/>
  <c r="C1933" i="22"/>
  <c r="K1933" i="22" s="1"/>
  <c r="E1933" i="22"/>
  <c r="F1933" i="22"/>
  <c r="O1933" i="22" s="1"/>
  <c r="G1933" i="22"/>
  <c r="I1933" i="22"/>
  <c r="B1934" i="22"/>
  <c r="M1878" i="22"/>
  <c r="D1878" i="22"/>
  <c r="J1878" i="22"/>
  <c r="N1878" i="22" s="1"/>
  <c r="U1878" i="22" s="1"/>
  <c r="P1878" i="22"/>
  <c r="Q1878" i="22"/>
  <c r="R1878" i="22"/>
  <c r="L1879" i="22"/>
  <c r="C1879" i="22"/>
  <c r="K1879" i="22" s="1"/>
  <c r="E1879" i="22"/>
  <c r="F1879" i="22"/>
  <c r="O1879" i="22" s="1"/>
  <c r="G1879" i="22"/>
  <c r="I1879" i="22"/>
  <c r="B1880" i="22"/>
  <c r="M1824" i="22"/>
  <c r="D1824" i="22"/>
  <c r="J1824" i="22"/>
  <c r="N1824" i="22" s="1"/>
  <c r="U1824" i="22" s="1"/>
  <c r="P1824" i="22"/>
  <c r="Q1824" i="22"/>
  <c r="R1824" i="22"/>
  <c r="L1825" i="22"/>
  <c r="C1825" i="22"/>
  <c r="K1825" i="22" s="1"/>
  <c r="E1825" i="22"/>
  <c r="F1825" i="22"/>
  <c r="O1825" i="22" s="1"/>
  <c r="G1825" i="22"/>
  <c r="I1825" i="22"/>
  <c r="B1826" i="22"/>
  <c r="M1770" i="22"/>
  <c r="D1770" i="22"/>
  <c r="J1770" i="22"/>
  <c r="N1770" i="22" s="1"/>
  <c r="U1770" i="22" s="1"/>
  <c r="P1770" i="22"/>
  <c r="Q1770" i="22"/>
  <c r="R1770" i="22"/>
  <c r="L1771" i="22"/>
  <c r="C1771" i="22"/>
  <c r="K1771" i="22" s="1"/>
  <c r="E1771" i="22"/>
  <c r="F1771" i="22"/>
  <c r="O1771" i="22" s="1"/>
  <c r="G1771" i="22"/>
  <c r="I1771" i="22"/>
  <c r="B1772" i="22"/>
  <c r="D1716" i="22"/>
  <c r="J1716" i="22"/>
  <c r="P1716" i="22"/>
  <c r="Q1716" i="22"/>
  <c r="R1716" i="22"/>
  <c r="L1717" i="22"/>
  <c r="C1717" i="22"/>
  <c r="K1717" i="22" s="1"/>
  <c r="E1717" i="22"/>
  <c r="F1717" i="22"/>
  <c r="O1717" i="22" s="1"/>
  <c r="G1717" i="22"/>
  <c r="I1717" i="22"/>
  <c r="B1718" i="22"/>
  <c r="M1662" i="22"/>
  <c r="D1662" i="22"/>
  <c r="J1662" i="22"/>
  <c r="N1662" i="22" s="1"/>
  <c r="U1662" i="22" s="1"/>
  <c r="P1662" i="22"/>
  <c r="Q1662" i="22"/>
  <c r="R1662" i="22"/>
  <c r="L1663" i="22"/>
  <c r="C1663" i="22"/>
  <c r="E1663" i="22"/>
  <c r="G1663" i="22"/>
  <c r="I1663" i="22"/>
  <c r="B1664" i="22"/>
  <c r="D1608" i="22"/>
  <c r="J1608" i="22"/>
  <c r="P1608" i="22"/>
  <c r="Q1608" i="22"/>
  <c r="R1608" i="22"/>
  <c r="L1609" i="22"/>
  <c r="C1609" i="22"/>
  <c r="K1609" i="22" s="1"/>
  <c r="E1609" i="22"/>
  <c r="F1609" i="22"/>
  <c r="O1609" i="22" s="1"/>
  <c r="G1609" i="22"/>
  <c r="I1609" i="22"/>
  <c r="B1610" i="22"/>
  <c r="M1554" i="22"/>
  <c r="D1554" i="22"/>
  <c r="J1554" i="22"/>
  <c r="N1554" i="22" s="1"/>
  <c r="U1554" i="22" s="1"/>
  <c r="P1554" i="22"/>
  <c r="Q1554" i="22"/>
  <c r="R1554" i="22"/>
  <c r="L1555" i="22"/>
  <c r="C1555" i="22"/>
  <c r="K1555" i="22" s="1"/>
  <c r="E1555" i="22"/>
  <c r="F1555" i="22"/>
  <c r="O1555" i="22" s="1"/>
  <c r="G1555" i="22"/>
  <c r="I1555" i="22"/>
  <c r="B1556" i="22"/>
  <c r="M1500" i="22"/>
  <c r="D1500" i="22"/>
  <c r="J1500" i="22"/>
  <c r="N1500" i="22" s="1"/>
  <c r="U1500" i="22" s="1"/>
  <c r="P1500" i="22"/>
  <c r="Q1500" i="22"/>
  <c r="R1500" i="22"/>
  <c r="L1501" i="22"/>
  <c r="C1501" i="22"/>
  <c r="K1501" i="22" s="1"/>
  <c r="E1501" i="22"/>
  <c r="F1501" i="22"/>
  <c r="O1501" i="22" s="1"/>
  <c r="G1501" i="22"/>
  <c r="I1501" i="22"/>
  <c r="B1502" i="22"/>
  <c r="M1446" i="22"/>
  <c r="D1446" i="22"/>
  <c r="J1446" i="22"/>
  <c r="N1446" i="22" s="1"/>
  <c r="U1446" i="22" s="1"/>
  <c r="P1446" i="22"/>
  <c r="Q1446" i="22"/>
  <c r="R1446" i="22"/>
  <c r="L1447" i="22"/>
  <c r="C1447" i="22"/>
  <c r="E1447" i="22"/>
  <c r="G1447" i="22"/>
  <c r="I1447" i="22"/>
  <c r="B1448" i="22"/>
  <c r="M1392" i="22"/>
  <c r="D1392" i="22"/>
  <c r="J1392" i="22"/>
  <c r="N1392" i="22" s="1"/>
  <c r="U1392" i="22" s="1"/>
  <c r="P1392" i="22"/>
  <c r="Q1392" i="22"/>
  <c r="R1392" i="22"/>
  <c r="L1393" i="22"/>
  <c r="C1393" i="22"/>
  <c r="K1393" i="22" s="1"/>
  <c r="E1393" i="22"/>
  <c r="F1393" i="22"/>
  <c r="O1393" i="22" s="1"/>
  <c r="G1393" i="22"/>
  <c r="I1393" i="22"/>
  <c r="B1394" i="22"/>
  <c r="M1338" i="22"/>
  <c r="D1338" i="22"/>
  <c r="J1338" i="22"/>
  <c r="N1338" i="22" s="1"/>
  <c r="U1338" i="22" s="1"/>
  <c r="P1338" i="22"/>
  <c r="Q1338" i="22"/>
  <c r="R1338" i="22"/>
  <c r="L1339" i="22"/>
  <c r="C1339" i="22"/>
  <c r="K1339" i="22" s="1"/>
  <c r="E1339" i="22"/>
  <c r="F1339" i="22"/>
  <c r="O1339" i="22" s="1"/>
  <c r="G1339" i="22"/>
  <c r="I1339" i="22"/>
  <c r="B1340" i="22"/>
  <c r="M1284" i="22"/>
  <c r="D1284" i="22"/>
  <c r="J1284" i="22"/>
  <c r="N1284" i="22" s="1"/>
  <c r="U1284" i="22" s="1"/>
  <c r="P1284" i="22"/>
  <c r="Q1284" i="22"/>
  <c r="R1284" i="22"/>
  <c r="L1285" i="22"/>
  <c r="C1285" i="22"/>
  <c r="E1285" i="22"/>
  <c r="G1285" i="22"/>
  <c r="I1285" i="22"/>
  <c r="B1286" i="22"/>
  <c r="M1230" i="22"/>
  <c r="D1230" i="22"/>
  <c r="J1230" i="22"/>
  <c r="N1230" i="22" s="1"/>
  <c r="U1230" i="22" s="1"/>
  <c r="P1230" i="22"/>
  <c r="Q1230" i="22"/>
  <c r="R1230" i="22"/>
  <c r="L1231" i="22"/>
  <c r="C1231" i="22"/>
  <c r="K1231" i="22" s="1"/>
  <c r="E1231" i="22"/>
  <c r="F1231" i="22"/>
  <c r="O1231" i="22" s="1"/>
  <c r="G1231" i="22"/>
  <c r="I1231" i="22"/>
  <c r="B1232" i="22"/>
  <c r="M1176" i="22"/>
  <c r="D1176" i="22"/>
  <c r="J1176" i="22"/>
  <c r="N1176" i="22" s="1"/>
  <c r="U1176" i="22" s="1"/>
  <c r="P1176" i="22"/>
  <c r="Q1176" i="22"/>
  <c r="R1176" i="22"/>
  <c r="L1177" i="22"/>
  <c r="C1177" i="22"/>
  <c r="K1177" i="22" s="1"/>
  <c r="E1177" i="22"/>
  <c r="F1177" i="22"/>
  <c r="O1177" i="22" s="1"/>
  <c r="G1177" i="22"/>
  <c r="I1177" i="22"/>
  <c r="B1178" i="22"/>
  <c r="M1122" i="22"/>
  <c r="D1122" i="22"/>
  <c r="J1122" i="22"/>
  <c r="N1122" i="22" s="1"/>
  <c r="U1122" i="22" s="1"/>
  <c r="P1122" i="22"/>
  <c r="Q1122" i="22"/>
  <c r="R1122" i="22"/>
  <c r="L1123" i="22"/>
  <c r="C1123" i="22"/>
  <c r="K1123" i="22" s="1"/>
  <c r="E1123" i="22"/>
  <c r="F1123" i="22"/>
  <c r="O1123" i="22" s="1"/>
  <c r="G1123" i="22"/>
  <c r="I1123" i="22"/>
  <c r="B1124" i="22"/>
  <c r="M1068" i="22"/>
  <c r="D1068" i="22"/>
  <c r="J1068" i="22"/>
  <c r="N1068" i="22" s="1"/>
  <c r="U1068" i="22" s="1"/>
  <c r="P1068" i="22"/>
  <c r="Q1068" i="22"/>
  <c r="R1068" i="22"/>
  <c r="L1069" i="22"/>
  <c r="C1069" i="22"/>
  <c r="K1069" i="22" s="1"/>
  <c r="E1069" i="22"/>
  <c r="F1069" i="22"/>
  <c r="O1069" i="22" s="1"/>
  <c r="G1069" i="22"/>
  <c r="I1069" i="22"/>
  <c r="B1070" i="22"/>
  <c r="M1014" i="22"/>
  <c r="D1014" i="22"/>
  <c r="J1014" i="22"/>
  <c r="N1014" i="22" s="1"/>
  <c r="U1014" i="22" s="1"/>
  <c r="P1014" i="22"/>
  <c r="Q1014" i="22"/>
  <c r="R1014" i="22"/>
  <c r="L1015" i="22"/>
  <c r="C1015" i="22"/>
  <c r="K1015" i="22" s="1"/>
  <c r="E1015" i="22"/>
  <c r="F1015" i="22"/>
  <c r="O1015" i="22" s="1"/>
  <c r="G1015" i="22"/>
  <c r="I1015" i="22"/>
  <c r="B1016" i="22"/>
  <c r="D960" i="22"/>
  <c r="J960" i="22"/>
  <c r="P960" i="22"/>
  <c r="Q960" i="22"/>
  <c r="R960" i="22"/>
  <c r="L961" i="22"/>
  <c r="C961" i="22"/>
  <c r="K961" i="22" s="1"/>
  <c r="E961" i="22"/>
  <c r="F961" i="22"/>
  <c r="O961" i="22" s="1"/>
  <c r="G961" i="22"/>
  <c r="I961" i="22"/>
  <c r="B962" i="22"/>
  <c r="D906" i="22"/>
  <c r="J906" i="22"/>
  <c r="P906" i="22"/>
  <c r="Q906" i="22"/>
  <c r="R906" i="22"/>
  <c r="L907" i="22"/>
  <c r="C907" i="22"/>
  <c r="K907" i="22" s="1"/>
  <c r="E907" i="22"/>
  <c r="F907" i="22"/>
  <c r="O907" i="22" s="1"/>
  <c r="G907" i="22"/>
  <c r="I907" i="22"/>
  <c r="B908" i="22"/>
  <c r="M852" i="22"/>
  <c r="D852" i="22"/>
  <c r="J852" i="22"/>
  <c r="N852" i="22" s="1"/>
  <c r="U852" i="22" s="1"/>
  <c r="P852" i="22"/>
  <c r="Q852" i="22"/>
  <c r="R852" i="22"/>
  <c r="L853" i="22"/>
  <c r="C853" i="22"/>
  <c r="K853" i="22" s="1"/>
  <c r="E853" i="22"/>
  <c r="F853" i="22"/>
  <c r="O853" i="22" s="1"/>
  <c r="G853" i="22"/>
  <c r="I853" i="22"/>
  <c r="B854" i="22"/>
  <c r="M798" i="22"/>
  <c r="D798" i="22"/>
  <c r="J798" i="22"/>
  <c r="N798" i="22" s="1"/>
  <c r="U798" i="22" s="1"/>
  <c r="P798" i="22"/>
  <c r="Q798" i="22"/>
  <c r="R798" i="22"/>
  <c r="L799" i="22"/>
  <c r="C799" i="22"/>
  <c r="K799" i="22" s="1"/>
  <c r="E799" i="22"/>
  <c r="F799" i="22"/>
  <c r="O799" i="22" s="1"/>
  <c r="G799" i="22"/>
  <c r="I799" i="22"/>
  <c r="B800" i="22"/>
  <c r="M744" i="22"/>
  <c r="D744" i="22"/>
  <c r="J744" i="22"/>
  <c r="N744" i="22" s="1"/>
  <c r="U744" i="22" s="1"/>
  <c r="P744" i="22"/>
  <c r="Q744" i="22"/>
  <c r="R744" i="22"/>
  <c r="L745" i="22"/>
  <c r="C745" i="22"/>
  <c r="K745" i="22" s="1"/>
  <c r="E745" i="22"/>
  <c r="F745" i="22"/>
  <c r="O745" i="22" s="1"/>
  <c r="G745" i="22"/>
  <c r="I745" i="22"/>
  <c r="B746" i="22"/>
  <c r="M690" i="22"/>
  <c r="D690" i="22"/>
  <c r="J690" i="22"/>
  <c r="N690" i="22" s="1"/>
  <c r="U690" i="22" s="1"/>
  <c r="P690" i="22"/>
  <c r="Q690" i="22"/>
  <c r="R690" i="22"/>
  <c r="L691" i="22"/>
  <c r="C691" i="22"/>
  <c r="E691" i="22"/>
  <c r="G691" i="22"/>
  <c r="I691" i="22"/>
  <c r="B692" i="22"/>
  <c r="M636" i="22"/>
  <c r="D636" i="22"/>
  <c r="J636" i="22"/>
  <c r="N636" i="22" s="1"/>
  <c r="U636" i="22" s="1"/>
  <c r="P636" i="22"/>
  <c r="Q636" i="22"/>
  <c r="R636" i="22"/>
  <c r="L637" i="22"/>
  <c r="C637" i="22"/>
  <c r="K637" i="22" s="1"/>
  <c r="E637" i="22"/>
  <c r="F637" i="22"/>
  <c r="O637" i="22" s="1"/>
  <c r="G637" i="22"/>
  <c r="I637" i="22"/>
  <c r="B638" i="22"/>
  <c r="D582" i="22"/>
  <c r="J582" i="22"/>
  <c r="P582" i="22"/>
  <c r="Q582" i="22"/>
  <c r="R582" i="22"/>
  <c r="L583" i="22"/>
  <c r="C583" i="22"/>
  <c r="K583" i="22" s="1"/>
  <c r="E583" i="22"/>
  <c r="F583" i="22"/>
  <c r="O583" i="22" s="1"/>
  <c r="G583" i="22"/>
  <c r="I583" i="22"/>
  <c r="B584" i="22"/>
  <c r="M528" i="22"/>
  <c r="D528" i="22"/>
  <c r="J528" i="22"/>
  <c r="N528" i="22" s="1"/>
  <c r="U528" i="22" s="1"/>
  <c r="P528" i="22"/>
  <c r="Q528" i="22"/>
  <c r="R528" i="22"/>
  <c r="L529" i="22"/>
  <c r="C529" i="22"/>
  <c r="K529" i="22" s="1"/>
  <c r="E529" i="22"/>
  <c r="F529" i="22"/>
  <c r="O529" i="22" s="1"/>
  <c r="G529" i="22"/>
  <c r="I529" i="22"/>
  <c r="B530" i="22"/>
  <c r="M474" i="22"/>
  <c r="D474" i="22"/>
  <c r="J474" i="22"/>
  <c r="N474" i="22" s="1"/>
  <c r="U474" i="22" s="1"/>
  <c r="P474" i="22"/>
  <c r="Q474" i="22"/>
  <c r="R474" i="22"/>
  <c r="L475" i="22"/>
  <c r="C475" i="22"/>
  <c r="K475" i="22" s="1"/>
  <c r="E475" i="22"/>
  <c r="F475" i="22"/>
  <c r="O475" i="22" s="1"/>
  <c r="G475" i="22"/>
  <c r="I475" i="22"/>
  <c r="B476" i="22"/>
  <c r="P420" i="22"/>
  <c r="Q420" i="22"/>
  <c r="R420" i="22"/>
  <c r="J420" i="22"/>
  <c r="D420" i="22"/>
  <c r="L421" i="22"/>
  <c r="E421" i="22"/>
  <c r="G421" i="22"/>
  <c r="I421" i="22"/>
  <c r="B422" i="22"/>
  <c r="C421" i="22"/>
  <c r="D366" i="22"/>
  <c r="M366" i="22" s="1"/>
  <c r="J366" i="22"/>
  <c r="P366" i="22"/>
  <c r="Q366" i="22"/>
  <c r="R366" i="22"/>
  <c r="L367" i="22"/>
  <c r="C367" i="22"/>
  <c r="K367" i="22" s="1"/>
  <c r="E367" i="22"/>
  <c r="F367" i="22"/>
  <c r="O367" i="22" s="1"/>
  <c r="G367" i="22"/>
  <c r="I367" i="22"/>
  <c r="B368" i="22"/>
  <c r="M312" i="22"/>
  <c r="D312" i="22"/>
  <c r="J312" i="22"/>
  <c r="N312" i="22" s="1"/>
  <c r="U312" i="22" s="1"/>
  <c r="P312" i="22"/>
  <c r="Q312" i="22"/>
  <c r="R312" i="22"/>
  <c r="L313" i="22"/>
  <c r="C313" i="22"/>
  <c r="K313" i="22" s="1"/>
  <c r="E313" i="22"/>
  <c r="F313" i="22"/>
  <c r="O313" i="22" s="1"/>
  <c r="G313" i="22"/>
  <c r="I313" i="22"/>
  <c r="B314" i="22"/>
  <c r="D258" i="22"/>
  <c r="J258" i="22"/>
  <c r="P258" i="22"/>
  <c r="Q258" i="22"/>
  <c r="R258" i="22"/>
  <c r="L259" i="22"/>
  <c r="C259" i="22"/>
  <c r="K259" i="22" s="1"/>
  <c r="E259" i="22"/>
  <c r="F259" i="22"/>
  <c r="O259" i="22" s="1"/>
  <c r="G259" i="22"/>
  <c r="I259" i="22"/>
  <c r="B260" i="22"/>
  <c r="D204" i="22"/>
  <c r="J204" i="22"/>
  <c r="P204" i="22"/>
  <c r="Q204" i="22"/>
  <c r="R204" i="22"/>
  <c r="L205" i="22"/>
  <c r="I205" i="22"/>
  <c r="B206" i="22"/>
  <c r="C205" i="22"/>
  <c r="E205" i="22"/>
  <c r="G205" i="22"/>
  <c r="M150" i="22"/>
  <c r="D150" i="22"/>
  <c r="J150" i="22"/>
  <c r="N150" i="22" s="1"/>
  <c r="U150" i="22" s="1"/>
  <c r="P150" i="22"/>
  <c r="Q150" i="22"/>
  <c r="R150" i="22"/>
  <c r="L151" i="22"/>
  <c r="C151" i="22"/>
  <c r="K151" i="22" s="1"/>
  <c r="E151" i="22"/>
  <c r="F151" i="22"/>
  <c r="O151" i="22" s="1"/>
  <c r="G151" i="22"/>
  <c r="I151" i="22"/>
  <c r="B152" i="22"/>
  <c r="M96" i="22"/>
  <c r="D96" i="22"/>
  <c r="J96" i="22"/>
  <c r="N96" i="22" s="1"/>
  <c r="U96" i="22" s="1"/>
  <c r="P96" i="22"/>
  <c r="Q96" i="22"/>
  <c r="R96" i="22"/>
  <c r="L97" i="22"/>
  <c r="C97" i="22"/>
  <c r="K97" i="22" s="1"/>
  <c r="E97" i="22"/>
  <c r="F97" i="22"/>
  <c r="O97" i="22" s="1"/>
  <c r="G97" i="22"/>
  <c r="I97" i="22"/>
  <c r="B98" i="22"/>
  <c r="G84" i="12"/>
  <c r="O34" i="17"/>
  <c r="E86" i="12"/>
  <c r="L35" i="17"/>
  <c r="B35" i="18"/>
  <c r="C35" i="17"/>
  <c r="F35" i="17" s="1"/>
  <c r="C35" i="18" s="1"/>
  <c r="E35" i="18" s="1"/>
  <c r="E35" i="17"/>
  <c r="G35" i="17"/>
  <c r="I35" i="17"/>
  <c r="K35" i="17"/>
  <c r="B36" i="17"/>
  <c r="D34" i="17"/>
  <c r="J34" i="17"/>
  <c r="AL34" i="17"/>
  <c r="AK34" i="17"/>
  <c r="AJ34" i="17"/>
  <c r="AI34" i="17"/>
  <c r="AH34" i="17"/>
  <c r="AG34" i="17"/>
  <c r="AF34" i="17"/>
  <c r="AE34" i="17"/>
  <c r="AD34" i="17"/>
  <c r="AC34" i="17"/>
  <c r="AB34" i="17"/>
  <c r="AA34" i="17"/>
  <c r="Z34" i="17"/>
  <c r="Y34" i="17"/>
  <c r="X34" i="17"/>
  <c r="W34" i="17"/>
  <c r="P34" i="17"/>
  <c r="Q34" i="17"/>
  <c r="R34" i="17"/>
  <c r="V34" i="17"/>
  <c r="M34" i="17"/>
  <c r="N34" i="17"/>
  <c r="U34" i="17" s="1"/>
  <c r="F33" i="18"/>
  <c r="G33" i="18"/>
  <c r="C85" i="12"/>
  <c r="AP16" i="17"/>
  <c r="B100" i="12"/>
  <c r="I100" i="12" s="1"/>
  <c r="AO15" i="17"/>
  <c r="AN17" i="17"/>
  <c r="AN18" i="17"/>
  <c r="AN19" i="17"/>
  <c r="AN20" i="17"/>
  <c r="AN21" i="17"/>
  <c r="AN22" i="17"/>
  <c r="AN23" i="17"/>
  <c r="AN24" i="17"/>
  <c r="AN25" i="17"/>
  <c r="AN26" i="17"/>
  <c r="AN27" i="17"/>
  <c r="AN28" i="17"/>
  <c r="AN29" i="17"/>
  <c r="AN30" i="17"/>
  <c r="AN31" i="17"/>
  <c r="AN32" i="17"/>
  <c r="AN33" i="17"/>
  <c r="AN34" i="17"/>
  <c r="AE1609" i="23"/>
  <c r="AK1609" i="23"/>
  <c r="M1554" i="23"/>
  <c r="N1554" i="23"/>
  <c r="AE1554" i="23" s="1"/>
  <c r="M1498" i="23"/>
  <c r="N1498" i="23"/>
  <c r="AE1498" i="23" s="1"/>
  <c r="M1218" i="23"/>
  <c r="N1218" i="23"/>
  <c r="AE1218" i="23" s="1"/>
  <c r="N1050" i="23"/>
  <c r="AE1050" i="23" s="1"/>
  <c r="M1050" i="23"/>
  <c r="M770" i="23"/>
  <c r="N770" i="23"/>
  <c r="AE770" i="23" s="1"/>
  <c r="M4175" i="22"/>
  <c r="N4175" i="22"/>
  <c r="U4175" i="22" s="1"/>
  <c r="M3713" i="22"/>
  <c r="N3713" i="22"/>
  <c r="U3713" i="22" s="1"/>
  <c r="M3605" i="22"/>
  <c r="N3605" i="22"/>
  <c r="U3605" i="22" s="1"/>
  <c r="M3335" i="22"/>
  <c r="N3335" i="22"/>
  <c r="U3335" i="22" s="1"/>
  <c r="M3281" i="22"/>
  <c r="N3281" i="22"/>
  <c r="U3281" i="22" s="1"/>
  <c r="N3227" i="22"/>
  <c r="U3227" i="22" s="1"/>
  <c r="M3227" i="22"/>
  <c r="M3119" i="22"/>
  <c r="N3119" i="22"/>
  <c r="U3119" i="22" s="1"/>
  <c r="N3065" i="22"/>
  <c r="U3065" i="22" s="1"/>
  <c r="M3065" i="22"/>
  <c r="N2957" i="22"/>
  <c r="U2957" i="22" s="1"/>
  <c r="M2957" i="22"/>
  <c r="M2903" i="22"/>
  <c r="N2903" i="22" s="1"/>
  <c r="U2903" i="22" s="1"/>
  <c r="M2579" i="22"/>
  <c r="N2579" i="22"/>
  <c r="U2579" i="22" s="1"/>
  <c r="M2525" i="22"/>
  <c r="N2525" i="22"/>
  <c r="U2525" i="22" s="1"/>
  <c r="M2201" i="22"/>
  <c r="N2201" i="22"/>
  <c r="U2201" i="22" s="1"/>
  <c r="M1877" i="22"/>
  <c r="N1877" i="22"/>
  <c r="U1877" i="22" s="1"/>
  <c r="M1607" i="22"/>
  <c r="N1607" i="22"/>
  <c r="U1607" i="22" s="1"/>
  <c r="M1283" i="22"/>
  <c r="N1283" i="22"/>
  <c r="U1283" i="22" s="1"/>
  <c r="M959" i="22"/>
  <c r="N959" i="22"/>
  <c r="U959" i="22" s="1"/>
  <c r="M419" i="22"/>
  <c r="N419" i="22"/>
  <c r="U419" i="22" s="1"/>
  <c r="M365" i="22"/>
  <c r="N365" i="22"/>
  <c r="U365" i="22" s="1"/>
  <c r="AE1610" i="23"/>
  <c r="AK1610" i="23"/>
  <c r="K1219" i="23"/>
  <c r="F1219" i="23"/>
  <c r="O1219" i="23" s="1"/>
  <c r="F1051" i="23"/>
  <c r="O1051" i="23" s="1"/>
  <c r="K1051" i="23"/>
  <c r="F435" i="23"/>
  <c r="O435" i="23" s="1"/>
  <c r="K435" i="23"/>
  <c r="K4692" i="22"/>
  <c r="F4692" i="22"/>
  <c r="K4584" i="22"/>
  <c r="F4584" i="22"/>
  <c r="K4530" i="22"/>
  <c r="F4530" i="22"/>
  <c r="F3552" i="22"/>
  <c r="O3552" i="22" s="1"/>
  <c r="K3552" i="22"/>
  <c r="K3390" i="22"/>
  <c r="F3390" i="22"/>
  <c r="O3390" i="22" s="1"/>
  <c r="K3336" i="22"/>
  <c r="F3336" i="22"/>
  <c r="O3336" i="22" s="1"/>
  <c r="K3066" i="22"/>
  <c r="F3066" i="22"/>
  <c r="O3066" i="22" s="1"/>
  <c r="F3012" i="22"/>
  <c r="O3012" i="22" s="1"/>
  <c r="K3012" i="22"/>
  <c r="K2958" i="22"/>
  <c r="F2958" i="22"/>
  <c r="O2958" i="22" s="1"/>
  <c r="K2904" i="22"/>
  <c r="F2904" i="22"/>
  <c r="O2904" i="22" s="1"/>
  <c r="F2634" i="22"/>
  <c r="O2634" i="22" s="1"/>
  <c r="K2634" i="22"/>
  <c r="K2040" i="22"/>
  <c r="F2040" i="22"/>
  <c r="O2040" i="22" s="1"/>
  <c r="K1986" i="22"/>
  <c r="F1986" i="22"/>
  <c r="O1986" i="22" s="1"/>
  <c r="K1716" i="22"/>
  <c r="F1716" i="22"/>
  <c r="O1716" i="22" s="1"/>
  <c r="K1608" i="22"/>
  <c r="F1608" i="22"/>
  <c r="O1608" i="22" s="1"/>
  <c r="F960" i="22"/>
  <c r="O960" i="22" s="1"/>
  <c r="K960" i="22"/>
  <c r="F906" i="22"/>
  <c r="O906" i="22" s="1"/>
  <c r="K906" i="22"/>
  <c r="K582" i="22"/>
  <c r="F582" i="22"/>
  <c r="O582" i="22" s="1"/>
  <c r="F420" i="22"/>
  <c r="O420" i="22" s="1"/>
  <c r="K420" i="22"/>
  <c r="K258" i="22"/>
  <c r="F258" i="22"/>
  <c r="O258" i="22" s="1"/>
  <c r="F204" i="22"/>
  <c r="O204" i="22" s="1"/>
  <c r="K204" i="22"/>
  <c r="AM34" i="17"/>
  <c r="H33" i="18"/>
  <c r="N366" i="22" l="1"/>
  <c r="U366" i="22" s="1"/>
  <c r="K436" i="23"/>
  <c r="F436" i="23"/>
  <c r="O436" i="23" s="1"/>
  <c r="K2797" i="22"/>
  <c r="F2797" i="22"/>
  <c r="O2797" i="22" s="1"/>
  <c r="K2527" i="22"/>
  <c r="F2527" i="22"/>
  <c r="O2527" i="22" s="1"/>
  <c r="K1447" i="22"/>
  <c r="F1447" i="22"/>
  <c r="O1447" i="22" s="1"/>
  <c r="K691" i="22"/>
  <c r="F691" i="22"/>
  <c r="O691" i="22" s="1"/>
  <c r="K421" i="22"/>
  <c r="F421" i="22"/>
  <c r="O421" i="22" s="1"/>
  <c r="K205" i="22"/>
  <c r="F205" i="22"/>
  <c r="O205" i="22" s="1"/>
  <c r="M1612" i="23"/>
  <c r="J1612" i="23"/>
  <c r="N1612" i="23" s="1"/>
  <c r="D1612" i="23"/>
  <c r="P1612" i="23"/>
  <c r="Q1612" i="23"/>
  <c r="R1612" i="23"/>
  <c r="I1613" i="23"/>
  <c r="L1613" i="23"/>
  <c r="C1613" i="23"/>
  <c r="K1613" i="23" s="1"/>
  <c r="E1613" i="23"/>
  <c r="F1613" i="23"/>
  <c r="O1613" i="23" s="1"/>
  <c r="G1613" i="23"/>
  <c r="B1614" i="23"/>
  <c r="M1556" i="23"/>
  <c r="J1556" i="23"/>
  <c r="N1556" i="23" s="1"/>
  <c r="AE1556" i="23" s="1"/>
  <c r="D1556" i="23"/>
  <c r="P1556" i="23"/>
  <c r="Q1556" i="23"/>
  <c r="R1556" i="23"/>
  <c r="L1557" i="23"/>
  <c r="I1557" i="23"/>
  <c r="C1557" i="23"/>
  <c r="K1557" i="23" s="1"/>
  <c r="E1557" i="23"/>
  <c r="F1557" i="23"/>
  <c r="O1557" i="23" s="1"/>
  <c r="G1557" i="23"/>
  <c r="B1558" i="23"/>
  <c r="J1500" i="23"/>
  <c r="D1500" i="23"/>
  <c r="P1500" i="23"/>
  <c r="Q1500" i="23"/>
  <c r="R1500" i="23"/>
  <c r="L1501" i="23"/>
  <c r="I1501" i="23"/>
  <c r="C1501" i="23"/>
  <c r="K1501" i="23" s="1"/>
  <c r="E1501" i="23"/>
  <c r="F1501" i="23"/>
  <c r="O1501" i="23" s="1"/>
  <c r="G1501" i="23"/>
  <c r="B1502" i="23"/>
  <c r="J1444" i="23"/>
  <c r="D1444" i="23"/>
  <c r="P1444" i="23"/>
  <c r="Q1444" i="23"/>
  <c r="R1444" i="23"/>
  <c r="L1445" i="23"/>
  <c r="I1445" i="23"/>
  <c r="C1445" i="23"/>
  <c r="K1445" i="23" s="1"/>
  <c r="E1445" i="23"/>
  <c r="F1445" i="23"/>
  <c r="O1445" i="23" s="1"/>
  <c r="G1445" i="23"/>
  <c r="B1446" i="23"/>
  <c r="L1389" i="23"/>
  <c r="I1389" i="23"/>
  <c r="C1389" i="23"/>
  <c r="E1389" i="23"/>
  <c r="G1389" i="23"/>
  <c r="B1390" i="23"/>
  <c r="J1388" i="23"/>
  <c r="D1388" i="23"/>
  <c r="P1388" i="23"/>
  <c r="Q1388" i="23"/>
  <c r="R1388" i="23"/>
  <c r="M1332" i="23"/>
  <c r="J1332" i="23"/>
  <c r="N1332" i="23" s="1"/>
  <c r="AE1332" i="23" s="1"/>
  <c r="D1332" i="23"/>
  <c r="P1332" i="23"/>
  <c r="Q1332" i="23"/>
  <c r="R1332" i="23"/>
  <c r="L1333" i="23"/>
  <c r="I1333" i="23"/>
  <c r="C1333" i="23"/>
  <c r="K1333" i="23" s="1"/>
  <c r="E1333" i="23"/>
  <c r="F1333" i="23"/>
  <c r="O1333" i="23" s="1"/>
  <c r="G1333" i="23"/>
  <c r="B1334" i="23"/>
  <c r="M1276" i="23"/>
  <c r="J1276" i="23"/>
  <c r="N1276" i="23" s="1"/>
  <c r="AE1276" i="23" s="1"/>
  <c r="D1276" i="23"/>
  <c r="P1276" i="23"/>
  <c r="Q1276" i="23"/>
  <c r="R1276" i="23"/>
  <c r="L1277" i="23"/>
  <c r="I1277" i="23"/>
  <c r="C1277" i="23"/>
  <c r="K1277" i="23" s="1"/>
  <c r="E1277" i="23"/>
  <c r="F1277" i="23"/>
  <c r="O1277" i="23" s="1"/>
  <c r="G1277" i="23"/>
  <c r="B1278" i="23"/>
  <c r="M1220" i="23"/>
  <c r="J1220" i="23"/>
  <c r="N1220" i="23" s="1"/>
  <c r="AE1220" i="23" s="1"/>
  <c r="D1220" i="23"/>
  <c r="P1220" i="23"/>
  <c r="Q1220" i="23"/>
  <c r="R1220" i="23"/>
  <c r="L1221" i="23"/>
  <c r="I1221" i="23"/>
  <c r="C1221" i="23"/>
  <c r="E1221" i="23"/>
  <c r="G1221" i="23"/>
  <c r="B1222" i="23"/>
  <c r="M1164" i="23"/>
  <c r="J1164" i="23"/>
  <c r="N1164" i="23" s="1"/>
  <c r="AE1164" i="23" s="1"/>
  <c r="D1164" i="23"/>
  <c r="P1164" i="23"/>
  <c r="Q1164" i="23"/>
  <c r="R1164" i="23"/>
  <c r="L1165" i="23"/>
  <c r="I1165" i="23"/>
  <c r="C1165" i="23"/>
  <c r="K1165" i="23" s="1"/>
  <c r="E1165" i="23"/>
  <c r="F1165" i="23"/>
  <c r="O1165" i="23" s="1"/>
  <c r="G1165" i="23"/>
  <c r="B1166" i="23"/>
  <c r="M1108" i="23"/>
  <c r="J1108" i="23"/>
  <c r="N1108" i="23" s="1"/>
  <c r="AE1108" i="23" s="1"/>
  <c r="D1108" i="23"/>
  <c r="P1108" i="23"/>
  <c r="Q1108" i="23"/>
  <c r="R1108" i="23"/>
  <c r="L1109" i="23"/>
  <c r="I1109" i="23"/>
  <c r="C1109" i="23"/>
  <c r="K1109" i="23" s="1"/>
  <c r="E1109" i="23"/>
  <c r="F1109" i="23"/>
  <c r="O1109" i="23" s="1"/>
  <c r="G1109" i="23"/>
  <c r="B1110" i="23"/>
  <c r="M1052" i="23"/>
  <c r="J1052" i="23"/>
  <c r="N1052" i="23" s="1"/>
  <c r="AE1052" i="23" s="1"/>
  <c r="D1052" i="23"/>
  <c r="P1052" i="23"/>
  <c r="Q1052" i="23"/>
  <c r="R1052" i="23"/>
  <c r="L1053" i="23"/>
  <c r="I1053" i="23"/>
  <c r="G1053" i="23"/>
  <c r="B1054" i="23"/>
  <c r="C1053" i="23"/>
  <c r="K1053" i="23" s="1"/>
  <c r="F1053" i="23"/>
  <c r="O1053" i="23" s="1"/>
  <c r="E1053" i="23"/>
  <c r="M996" i="23"/>
  <c r="J996" i="23"/>
  <c r="N996" i="23" s="1"/>
  <c r="AE996" i="23" s="1"/>
  <c r="D996" i="23"/>
  <c r="P996" i="23"/>
  <c r="Q996" i="23"/>
  <c r="R996" i="23"/>
  <c r="L997" i="23"/>
  <c r="I997" i="23"/>
  <c r="C997" i="23"/>
  <c r="K997" i="23" s="1"/>
  <c r="E997" i="23"/>
  <c r="F997" i="23"/>
  <c r="O997" i="23" s="1"/>
  <c r="G997" i="23"/>
  <c r="B998" i="23"/>
  <c r="J940" i="23"/>
  <c r="D940" i="23"/>
  <c r="M940" i="23" s="1"/>
  <c r="P940" i="23"/>
  <c r="Q940" i="23"/>
  <c r="R940" i="23"/>
  <c r="L941" i="23"/>
  <c r="I941" i="23"/>
  <c r="C941" i="23"/>
  <c r="E941" i="23"/>
  <c r="G941" i="23"/>
  <c r="B942" i="23"/>
  <c r="J884" i="23"/>
  <c r="D884" i="23"/>
  <c r="P884" i="23"/>
  <c r="Q884" i="23"/>
  <c r="R884" i="23"/>
  <c r="L885" i="23"/>
  <c r="I885" i="23"/>
  <c r="C885" i="23"/>
  <c r="K885" i="23" s="1"/>
  <c r="E885" i="23"/>
  <c r="F885" i="23"/>
  <c r="O885" i="23" s="1"/>
  <c r="G885" i="23"/>
  <c r="B886" i="23"/>
  <c r="M828" i="23"/>
  <c r="J828" i="23"/>
  <c r="N828" i="23" s="1"/>
  <c r="AE828" i="23" s="1"/>
  <c r="D828" i="23"/>
  <c r="P828" i="23"/>
  <c r="Q828" i="23"/>
  <c r="R828" i="23"/>
  <c r="L829" i="23"/>
  <c r="I829" i="23"/>
  <c r="C829" i="23"/>
  <c r="K829" i="23" s="1"/>
  <c r="E829" i="23"/>
  <c r="F829" i="23"/>
  <c r="O829" i="23" s="1"/>
  <c r="G829" i="23"/>
  <c r="B830" i="23"/>
  <c r="M772" i="23"/>
  <c r="J772" i="23"/>
  <c r="N772" i="23" s="1"/>
  <c r="AE772" i="23" s="1"/>
  <c r="D772" i="23"/>
  <c r="P772" i="23"/>
  <c r="Q772" i="23"/>
  <c r="R772" i="23"/>
  <c r="L773" i="23"/>
  <c r="I773" i="23"/>
  <c r="C773" i="23"/>
  <c r="K773" i="23" s="1"/>
  <c r="E773" i="23"/>
  <c r="F773" i="23"/>
  <c r="O773" i="23" s="1"/>
  <c r="G773" i="23"/>
  <c r="B774" i="23"/>
  <c r="M716" i="23"/>
  <c r="J716" i="23"/>
  <c r="N716" i="23" s="1"/>
  <c r="AE716" i="23" s="1"/>
  <c r="D716" i="23"/>
  <c r="P716" i="23"/>
  <c r="Q716" i="23"/>
  <c r="R716" i="23"/>
  <c r="L717" i="23"/>
  <c r="I717" i="23"/>
  <c r="C717" i="23"/>
  <c r="K717" i="23" s="1"/>
  <c r="E717" i="23"/>
  <c r="F717" i="23"/>
  <c r="O717" i="23" s="1"/>
  <c r="G717" i="23"/>
  <c r="B718" i="23"/>
  <c r="M660" i="23"/>
  <c r="J660" i="23"/>
  <c r="N660" i="23" s="1"/>
  <c r="AE660" i="23" s="1"/>
  <c r="D660" i="23"/>
  <c r="P660" i="23"/>
  <c r="Q660" i="23"/>
  <c r="R660" i="23"/>
  <c r="L661" i="23"/>
  <c r="I661" i="23"/>
  <c r="C661" i="23"/>
  <c r="K661" i="23" s="1"/>
  <c r="E661" i="23"/>
  <c r="F661" i="23"/>
  <c r="O661" i="23" s="1"/>
  <c r="G661" i="23"/>
  <c r="B662" i="23"/>
  <c r="J604" i="23"/>
  <c r="D604" i="23"/>
  <c r="M604" i="23" s="1"/>
  <c r="N604" i="23" s="1"/>
  <c r="AE604" i="23" s="1"/>
  <c r="P604" i="23"/>
  <c r="Q604" i="23"/>
  <c r="R604" i="23"/>
  <c r="L605" i="23"/>
  <c r="I605" i="23"/>
  <c r="C605" i="23"/>
  <c r="K605" i="23" s="1"/>
  <c r="E605" i="23"/>
  <c r="F605" i="23"/>
  <c r="O605" i="23" s="1"/>
  <c r="G605" i="23"/>
  <c r="B606" i="23"/>
  <c r="M548" i="23"/>
  <c r="J548" i="23"/>
  <c r="N548" i="23" s="1"/>
  <c r="AE548" i="23" s="1"/>
  <c r="D548" i="23"/>
  <c r="P548" i="23"/>
  <c r="Q548" i="23"/>
  <c r="R548" i="23"/>
  <c r="L549" i="23"/>
  <c r="I549" i="23"/>
  <c r="C549" i="23"/>
  <c r="K549" i="23" s="1"/>
  <c r="E549" i="23"/>
  <c r="F549" i="23"/>
  <c r="O549" i="23" s="1"/>
  <c r="G549" i="23"/>
  <c r="B550" i="23"/>
  <c r="M492" i="23"/>
  <c r="J492" i="23"/>
  <c r="N492" i="23" s="1"/>
  <c r="AE492" i="23" s="1"/>
  <c r="D492" i="23"/>
  <c r="P492" i="23"/>
  <c r="Q492" i="23"/>
  <c r="R492" i="23"/>
  <c r="L493" i="23"/>
  <c r="I493" i="23"/>
  <c r="C493" i="23"/>
  <c r="K493" i="23" s="1"/>
  <c r="E493" i="23"/>
  <c r="F493" i="23"/>
  <c r="O493" i="23" s="1"/>
  <c r="G493" i="23"/>
  <c r="B494" i="23"/>
  <c r="M436" i="23"/>
  <c r="P436" i="23"/>
  <c r="Q436" i="23"/>
  <c r="R436" i="23"/>
  <c r="J436" i="23"/>
  <c r="N436" i="23" s="1"/>
  <c r="AE436" i="23" s="1"/>
  <c r="D436" i="23"/>
  <c r="L437" i="23"/>
  <c r="I437" i="23"/>
  <c r="C437" i="23"/>
  <c r="K437" i="23" s="1"/>
  <c r="F437" i="23"/>
  <c r="O437" i="23" s="1"/>
  <c r="E437" i="23"/>
  <c r="G437" i="23"/>
  <c r="B438" i="23"/>
  <c r="M380" i="23"/>
  <c r="J380" i="23"/>
  <c r="N380" i="23" s="1"/>
  <c r="AE380" i="23" s="1"/>
  <c r="D380" i="23"/>
  <c r="P380" i="23"/>
  <c r="Q380" i="23"/>
  <c r="R380" i="23"/>
  <c r="L381" i="23"/>
  <c r="I381" i="23"/>
  <c r="C381" i="23"/>
  <c r="K381" i="23" s="1"/>
  <c r="E381" i="23"/>
  <c r="F381" i="23"/>
  <c r="O381" i="23" s="1"/>
  <c r="G381" i="23"/>
  <c r="B382" i="23"/>
  <c r="M324" i="23"/>
  <c r="J324" i="23"/>
  <c r="N324" i="23" s="1"/>
  <c r="AE324" i="23" s="1"/>
  <c r="D324" i="23"/>
  <c r="P324" i="23"/>
  <c r="Q324" i="23"/>
  <c r="R324" i="23"/>
  <c r="L325" i="23"/>
  <c r="I325" i="23"/>
  <c r="C325" i="23"/>
  <c r="K325" i="23" s="1"/>
  <c r="E325" i="23"/>
  <c r="F325" i="23"/>
  <c r="O325" i="23" s="1"/>
  <c r="G325" i="23"/>
  <c r="B326" i="23"/>
  <c r="J268" i="23"/>
  <c r="D268" i="23"/>
  <c r="M268" i="23" s="1"/>
  <c r="N268" i="23" s="1"/>
  <c r="AE268" i="23" s="1"/>
  <c r="P268" i="23"/>
  <c r="Q268" i="23"/>
  <c r="R268" i="23"/>
  <c r="L269" i="23"/>
  <c r="I269" i="23"/>
  <c r="C269" i="23"/>
  <c r="K269" i="23" s="1"/>
  <c r="E269" i="23"/>
  <c r="F269" i="23"/>
  <c r="O269" i="23" s="1"/>
  <c r="G269" i="23"/>
  <c r="B270" i="23"/>
  <c r="D4747" i="22"/>
  <c r="J4747" i="22"/>
  <c r="P4747" i="22"/>
  <c r="Q4747" i="22"/>
  <c r="R4747" i="22"/>
  <c r="M4747" i="22"/>
  <c r="N4747" i="22"/>
  <c r="C4748" i="22"/>
  <c r="E4748" i="22"/>
  <c r="F4748" i="22"/>
  <c r="G4748" i="22"/>
  <c r="I4748" i="22"/>
  <c r="K4748" i="22"/>
  <c r="L4748" i="22"/>
  <c r="B4749" i="22"/>
  <c r="T4691" i="22"/>
  <c r="S4692" i="22"/>
  <c r="T4692" i="22" s="1"/>
  <c r="U4692" i="22"/>
  <c r="D4693" i="22"/>
  <c r="M4693" i="22" s="1"/>
  <c r="J4693" i="22"/>
  <c r="P4693" i="22"/>
  <c r="Q4693" i="22"/>
  <c r="R4693" i="22"/>
  <c r="L4694" i="22"/>
  <c r="C4694" i="22"/>
  <c r="E4694" i="22"/>
  <c r="G4694" i="22"/>
  <c r="I4694" i="22"/>
  <c r="B4695" i="22"/>
  <c r="P4639" i="22"/>
  <c r="Q4639" i="22"/>
  <c r="R4639" i="22"/>
  <c r="C4640" i="22"/>
  <c r="E4640" i="22"/>
  <c r="G4640" i="22"/>
  <c r="B4641" i="22"/>
  <c r="J4585" i="22"/>
  <c r="D4585" i="22"/>
  <c r="P4585" i="22"/>
  <c r="Q4585" i="22"/>
  <c r="R4585" i="22"/>
  <c r="I4586" i="22"/>
  <c r="L4586" i="22"/>
  <c r="C4586" i="22"/>
  <c r="K4586" i="22" s="1"/>
  <c r="E4586" i="22"/>
  <c r="F4586" i="22"/>
  <c r="G4586" i="22"/>
  <c r="B4587" i="22"/>
  <c r="D4531" i="22"/>
  <c r="M4531" i="22" s="1"/>
  <c r="J4531" i="22"/>
  <c r="P4531" i="22"/>
  <c r="Q4531" i="22"/>
  <c r="R4531" i="22"/>
  <c r="L4532" i="22"/>
  <c r="C4532" i="22"/>
  <c r="E4532" i="22"/>
  <c r="G4532" i="22"/>
  <c r="I4532" i="22"/>
  <c r="B4533" i="22"/>
  <c r="J4231" i="22"/>
  <c r="D4231" i="22"/>
  <c r="M4231" i="22" s="1"/>
  <c r="N4231" i="22" s="1"/>
  <c r="U4231" i="22" s="1"/>
  <c r="P4231" i="22"/>
  <c r="Q4231" i="22"/>
  <c r="R4231" i="22"/>
  <c r="C4232" i="22"/>
  <c r="E4232" i="22"/>
  <c r="G4232" i="22"/>
  <c r="I4232" i="22"/>
  <c r="L4232" i="22"/>
  <c r="B4233" i="22"/>
  <c r="D4177" i="22"/>
  <c r="M4177" i="22" s="1"/>
  <c r="J4177" i="22"/>
  <c r="P4177" i="22"/>
  <c r="Q4177" i="22"/>
  <c r="R4177" i="22"/>
  <c r="L4178" i="22"/>
  <c r="C4178" i="22"/>
  <c r="E4178" i="22"/>
  <c r="G4178" i="22"/>
  <c r="I4178" i="22"/>
  <c r="B4179" i="22"/>
  <c r="D4123" i="22"/>
  <c r="M4123" i="22" s="1"/>
  <c r="J4123" i="22"/>
  <c r="P4123" i="22"/>
  <c r="Q4123" i="22"/>
  <c r="R4123" i="22"/>
  <c r="L4124" i="22"/>
  <c r="C4124" i="22"/>
  <c r="E4124" i="22"/>
  <c r="G4124" i="22"/>
  <c r="I4124" i="22"/>
  <c r="B4125" i="22"/>
  <c r="D4069" i="22"/>
  <c r="M4069" i="22" s="1"/>
  <c r="J4069" i="22"/>
  <c r="P4069" i="22"/>
  <c r="Q4069" i="22"/>
  <c r="R4069" i="22"/>
  <c r="L4070" i="22"/>
  <c r="C4070" i="22"/>
  <c r="E4070" i="22"/>
  <c r="G4070" i="22"/>
  <c r="I4070" i="22"/>
  <c r="B4071" i="22"/>
  <c r="M3769" i="22"/>
  <c r="D3769" i="22"/>
  <c r="J3769" i="22"/>
  <c r="N3769" i="22" s="1"/>
  <c r="U3769" i="22" s="1"/>
  <c r="P3769" i="22"/>
  <c r="Q3769" i="22"/>
  <c r="R3769" i="22"/>
  <c r="L3770" i="22"/>
  <c r="C3770" i="22"/>
  <c r="K3770" i="22" s="1"/>
  <c r="E3770" i="22"/>
  <c r="F3770" i="22"/>
  <c r="O3770" i="22" s="1"/>
  <c r="G3770" i="22"/>
  <c r="I3770" i="22"/>
  <c r="B3771" i="22"/>
  <c r="M3715" i="22"/>
  <c r="D3715" i="22"/>
  <c r="J3715" i="22"/>
  <c r="N3715" i="22" s="1"/>
  <c r="U3715" i="22" s="1"/>
  <c r="P3715" i="22"/>
  <c r="Q3715" i="22"/>
  <c r="R3715" i="22"/>
  <c r="L3716" i="22"/>
  <c r="C3716" i="22"/>
  <c r="E3716" i="22"/>
  <c r="G3716" i="22"/>
  <c r="I3716" i="22"/>
  <c r="B3717" i="22"/>
  <c r="D3661" i="22"/>
  <c r="J3661" i="22"/>
  <c r="P3661" i="22"/>
  <c r="Q3661" i="22"/>
  <c r="R3661" i="22"/>
  <c r="L3662" i="22"/>
  <c r="C3662" i="22"/>
  <c r="K3662" i="22" s="1"/>
  <c r="E3662" i="22"/>
  <c r="F3662" i="22"/>
  <c r="O3662" i="22" s="1"/>
  <c r="G3662" i="22"/>
  <c r="I3662" i="22"/>
  <c r="B3663" i="22"/>
  <c r="M3607" i="22"/>
  <c r="D3607" i="22"/>
  <c r="J3607" i="22"/>
  <c r="N3607" i="22" s="1"/>
  <c r="U3607" i="22" s="1"/>
  <c r="P3607" i="22"/>
  <c r="Q3607" i="22"/>
  <c r="R3607" i="22"/>
  <c r="L3608" i="22"/>
  <c r="C3608" i="22"/>
  <c r="E3608" i="22"/>
  <c r="G3608" i="22"/>
  <c r="I3608" i="22"/>
  <c r="B3609" i="22"/>
  <c r="M3553" i="22"/>
  <c r="P3553" i="22"/>
  <c r="Q3553" i="22"/>
  <c r="R3553" i="22"/>
  <c r="L3554" i="22"/>
  <c r="G3554" i="22"/>
  <c r="I3554" i="22"/>
  <c r="C3554" i="22"/>
  <c r="E3554" i="22"/>
  <c r="B3555" i="22"/>
  <c r="J3553" i="22"/>
  <c r="N3553" i="22" s="1"/>
  <c r="U3553" i="22" s="1"/>
  <c r="D3553" i="22"/>
  <c r="M3499" i="22"/>
  <c r="D3499" i="22"/>
  <c r="J3499" i="22"/>
  <c r="N3499" i="22" s="1"/>
  <c r="U3499" i="22" s="1"/>
  <c r="P3499" i="22"/>
  <c r="Q3499" i="22"/>
  <c r="R3499" i="22"/>
  <c r="L3500" i="22"/>
  <c r="C3500" i="22"/>
  <c r="K3500" i="22" s="1"/>
  <c r="E3500" i="22"/>
  <c r="F3500" i="22"/>
  <c r="O3500" i="22" s="1"/>
  <c r="G3500" i="22"/>
  <c r="I3500" i="22"/>
  <c r="B3501" i="22"/>
  <c r="M3445" i="22"/>
  <c r="D3445" i="22"/>
  <c r="J3445" i="22"/>
  <c r="N3445" i="22" s="1"/>
  <c r="U3445" i="22" s="1"/>
  <c r="P3445" i="22"/>
  <c r="Q3445" i="22"/>
  <c r="R3445" i="22"/>
  <c r="L3446" i="22"/>
  <c r="C3446" i="22"/>
  <c r="K3446" i="22" s="1"/>
  <c r="E3446" i="22"/>
  <c r="F3446" i="22"/>
  <c r="O3446" i="22" s="1"/>
  <c r="G3446" i="22"/>
  <c r="I3446" i="22"/>
  <c r="B3447" i="22"/>
  <c r="D3391" i="22"/>
  <c r="J3391" i="22"/>
  <c r="P3391" i="22"/>
  <c r="Q3391" i="22"/>
  <c r="R3391" i="22"/>
  <c r="L3392" i="22"/>
  <c r="C3392" i="22"/>
  <c r="E3392" i="22"/>
  <c r="G3392" i="22"/>
  <c r="I3392" i="22"/>
  <c r="B3393" i="22"/>
  <c r="M3337" i="22"/>
  <c r="D3337" i="22"/>
  <c r="J3337" i="22"/>
  <c r="N3337" i="22" s="1"/>
  <c r="U3337" i="22" s="1"/>
  <c r="P3337" i="22"/>
  <c r="Q3337" i="22"/>
  <c r="R3337" i="22"/>
  <c r="L3338" i="22"/>
  <c r="C3338" i="22"/>
  <c r="K3338" i="22" s="1"/>
  <c r="E3338" i="22"/>
  <c r="F3338" i="22"/>
  <c r="O3338" i="22" s="1"/>
  <c r="G3338" i="22"/>
  <c r="I3338" i="22"/>
  <c r="B3339" i="22"/>
  <c r="M3283" i="22"/>
  <c r="D3283" i="22"/>
  <c r="J3283" i="22"/>
  <c r="N3283" i="22" s="1"/>
  <c r="U3283" i="22" s="1"/>
  <c r="P3283" i="22"/>
  <c r="Q3283" i="22"/>
  <c r="R3283" i="22"/>
  <c r="L3284" i="22"/>
  <c r="C3284" i="22"/>
  <c r="K3284" i="22" s="1"/>
  <c r="E3284" i="22"/>
  <c r="F3284" i="22"/>
  <c r="O3284" i="22" s="1"/>
  <c r="G3284" i="22"/>
  <c r="I3284" i="22"/>
  <c r="B3285" i="22"/>
  <c r="M3229" i="22"/>
  <c r="D3229" i="22"/>
  <c r="J3229" i="22"/>
  <c r="N3229" i="22" s="1"/>
  <c r="U3229" i="22" s="1"/>
  <c r="P3229" i="22"/>
  <c r="Q3229" i="22"/>
  <c r="R3229" i="22"/>
  <c r="L3230" i="22"/>
  <c r="C3230" i="22"/>
  <c r="K3230" i="22" s="1"/>
  <c r="E3230" i="22"/>
  <c r="F3230" i="22"/>
  <c r="O3230" i="22" s="1"/>
  <c r="G3230" i="22"/>
  <c r="I3230" i="22"/>
  <c r="B3231" i="22"/>
  <c r="M3175" i="22"/>
  <c r="D3175" i="22"/>
  <c r="J3175" i="22"/>
  <c r="N3175" i="22" s="1"/>
  <c r="U3175" i="22" s="1"/>
  <c r="P3175" i="22"/>
  <c r="Q3175" i="22"/>
  <c r="R3175" i="22"/>
  <c r="L3176" i="22"/>
  <c r="C3176" i="22"/>
  <c r="K3176" i="22" s="1"/>
  <c r="E3176" i="22"/>
  <c r="F3176" i="22"/>
  <c r="O3176" i="22" s="1"/>
  <c r="G3176" i="22"/>
  <c r="I3176" i="22"/>
  <c r="B3177" i="22"/>
  <c r="M3121" i="22"/>
  <c r="D3121" i="22"/>
  <c r="J3121" i="22"/>
  <c r="N3121" i="22" s="1"/>
  <c r="U3121" i="22" s="1"/>
  <c r="P3121" i="22"/>
  <c r="Q3121" i="22"/>
  <c r="R3121" i="22"/>
  <c r="L3122" i="22"/>
  <c r="C3122" i="22"/>
  <c r="E3122" i="22"/>
  <c r="G3122" i="22"/>
  <c r="B3123" i="22"/>
  <c r="I3122" i="22"/>
  <c r="D3067" i="22"/>
  <c r="J3067" i="22"/>
  <c r="P3067" i="22"/>
  <c r="Q3067" i="22"/>
  <c r="R3067" i="22"/>
  <c r="K3068" i="22"/>
  <c r="L3068" i="22"/>
  <c r="E3068" i="22"/>
  <c r="G3068" i="22"/>
  <c r="I3068" i="22"/>
  <c r="B3069" i="22"/>
  <c r="C3068" i="22"/>
  <c r="F3068" i="22"/>
  <c r="O3068" i="22" s="1"/>
  <c r="P3013" i="22"/>
  <c r="Q3013" i="22"/>
  <c r="R3013" i="22"/>
  <c r="L3014" i="22"/>
  <c r="E3014" i="22"/>
  <c r="C3014" i="22"/>
  <c r="K3014" i="22" s="1"/>
  <c r="F3014" i="22"/>
  <c r="O3014" i="22" s="1"/>
  <c r="G3014" i="22"/>
  <c r="B3015" i="22"/>
  <c r="I3014" i="22"/>
  <c r="D3013" i="22"/>
  <c r="J3013" i="22"/>
  <c r="D2959" i="22"/>
  <c r="J2959" i="22"/>
  <c r="P2959" i="22"/>
  <c r="Q2959" i="22"/>
  <c r="R2959" i="22"/>
  <c r="L2960" i="22"/>
  <c r="C2960" i="22"/>
  <c r="K2960" i="22" s="1"/>
  <c r="E2960" i="22"/>
  <c r="F2960" i="22"/>
  <c r="O2960" i="22" s="1"/>
  <c r="G2960" i="22"/>
  <c r="B2961" i="22"/>
  <c r="I2960" i="22"/>
  <c r="L2906" i="22"/>
  <c r="E2906" i="22"/>
  <c r="G2906" i="22"/>
  <c r="I2906" i="22"/>
  <c r="C2906" i="22"/>
  <c r="B2907" i="22"/>
  <c r="D2905" i="22"/>
  <c r="J2905" i="22"/>
  <c r="P2905" i="22"/>
  <c r="Q2905" i="22"/>
  <c r="R2905" i="22"/>
  <c r="M2851" i="22"/>
  <c r="D2851" i="22"/>
  <c r="J2851" i="22"/>
  <c r="N2851" i="22" s="1"/>
  <c r="U2851" i="22" s="1"/>
  <c r="P2851" i="22"/>
  <c r="Q2851" i="22"/>
  <c r="R2851" i="22"/>
  <c r="L2852" i="22"/>
  <c r="C2852" i="22"/>
  <c r="E2852" i="22"/>
  <c r="G2852" i="22"/>
  <c r="I2852" i="22"/>
  <c r="B2853" i="22"/>
  <c r="M2797" i="22"/>
  <c r="D2797" i="22"/>
  <c r="J2797" i="22"/>
  <c r="N2797" i="22" s="1"/>
  <c r="S2797" i="22" s="1"/>
  <c r="T2797" i="22" s="1"/>
  <c r="U2797" i="22" s="1"/>
  <c r="Q2797" i="22"/>
  <c r="P2797" i="22"/>
  <c r="R2797" i="22"/>
  <c r="L2798" i="22"/>
  <c r="C2798" i="22"/>
  <c r="E2798" i="22"/>
  <c r="G2798" i="22"/>
  <c r="I2798" i="22"/>
  <c r="B2799" i="22"/>
  <c r="M2743" i="22"/>
  <c r="D2743" i="22"/>
  <c r="J2743" i="22"/>
  <c r="N2743" i="22" s="1"/>
  <c r="U2743" i="22" s="1"/>
  <c r="P2743" i="22"/>
  <c r="Q2743" i="22"/>
  <c r="R2743" i="22"/>
  <c r="L2744" i="22"/>
  <c r="C2744" i="22"/>
  <c r="K2744" i="22" s="1"/>
  <c r="E2744" i="22"/>
  <c r="F2744" i="22"/>
  <c r="O2744" i="22" s="1"/>
  <c r="G2744" i="22"/>
  <c r="I2744" i="22"/>
  <c r="B2745" i="22"/>
  <c r="D2689" i="22"/>
  <c r="J2689" i="22"/>
  <c r="P2689" i="22"/>
  <c r="Q2689" i="22"/>
  <c r="R2689" i="22"/>
  <c r="L2690" i="22"/>
  <c r="C2690" i="22"/>
  <c r="K2690" i="22" s="1"/>
  <c r="E2690" i="22"/>
  <c r="F2690" i="22"/>
  <c r="O2690" i="22" s="1"/>
  <c r="G2690" i="22"/>
  <c r="I2690" i="22"/>
  <c r="B2691" i="22"/>
  <c r="D2635" i="22"/>
  <c r="J2635" i="22"/>
  <c r="P2635" i="22"/>
  <c r="Q2635" i="22"/>
  <c r="R2635" i="22"/>
  <c r="L2636" i="22"/>
  <c r="C2636" i="22"/>
  <c r="K2636" i="22" s="1"/>
  <c r="E2636" i="22"/>
  <c r="F2636" i="22"/>
  <c r="O2636" i="22" s="1"/>
  <c r="G2636" i="22"/>
  <c r="I2636" i="22"/>
  <c r="B2637" i="22"/>
  <c r="M2581" i="22"/>
  <c r="D2581" i="22"/>
  <c r="J2581" i="22"/>
  <c r="N2581" i="22" s="1"/>
  <c r="U2581" i="22" s="1"/>
  <c r="P2581" i="22"/>
  <c r="Q2581" i="22"/>
  <c r="R2581" i="22"/>
  <c r="L2582" i="22"/>
  <c r="C2582" i="22"/>
  <c r="E2582" i="22"/>
  <c r="G2582" i="22"/>
  <c r="I2582" i="22"/>
  <c r="B2583" i="22"/>
  <c r="M2527" i="22"/>
  <c r="D2527" i="22"/>
  <c r="J2527" i="22"/>
  <c r="N2527" i="22" s="1"/>
  <c r="U2527" i="22" s="1"/>
  <c r="P2527" i="22"/>
  <c r="Q2527" i="22"/>
  <c r="R2527" i="22"/>
  <c r="L2528" i="22"/>
  <c r="C2528" i="22"/>
  <c r="E2528" i="22"/>
  <c r="G2528" i="22"/>
  <c r="I2528" i="22"/>
  <c r="B2529" i="22"/>
  <c r="M2473" i="22"/>
  <c r="D2473" i="22"/>
  <c r="J2473" i="22"/>
  <c r="N2473" i="22" s="1"/>
  <c r="U2473" i="22" s="1"/>
  <c r="P2473" i="22"/>
  <c r="Q2473" i="22"/>
  <c r="R2473" i="22"/>
  <c r="L2474" i="22"/>
  <c r="C2474" i="22"/>
  <c r="E2474" i="22"/>
  <c r="G2474" i="22"/>
  <c r="I2474" i="22"/>
  <c r="B2475" i="22"/>
  <c r="M2419" i="22"/>
  <c r="D2419" i="22"/>
  <c r="J2419" i="22"/>
  <c r="N2419" i="22" s="1"/>
  <c r="U2419" i="22" s="1"/>
  <c r="P2419" i="22"/>
  <c r="Q2419" i="22"/>
  <c r="R2419" i="22"/>
  <c r="L2420" i="22"/>
  <c r="C2420" i="22"/>
  <c r="K2420" i="22" s="1"/>
  <c r="E2420" i="22"/>
  <c r="F2420" i="22"/>
  <c r="O2420" i="22" s="1"/>
  <c r="G2420" i="22"/>
  <c r="I2420" i="22"/>
  <c r="B2421" i="22"/>
  <c r="D2365" i="22"/>
  <c r="J2365" i="22"/>
  <c r="P2365" i="22"/>
  <c r="Q2365" i="22"/>
  <c r="R2365" i="22"/>
  <c r="L2366" i="22"/>
  <c r="C2366" i="22"/>
  <c r="K2366" i="22" s="1"/>
  <c r="E2366" i="22"/>
  <c r="F2366" i="22"/>
  <c r="O2366" i="22" s="1"/>
  <c r="G2366" i="22"/>
  <c r="I2366" i="22"/>
  <c r="B2367" i="22"/>
  <c r="D2311" i="22"/>
  <c r="J2311" i="22"/>
  <c r="P2311" i="22"/>
  <c r="Q2311" i="22"/>
  <c r="R2311" i="22"/>
  <c r="L2312" i="22"/>
  <c r="C2312" i="22"/>
  <c r="K2312" i="22" s="1"/>
  <c r="E2312" i="22"/>
  <c r="F2312" i="22"/>
  <c r="O2312" i="22" s="1"/>
  <c r="G2312" i="22"/>
  <c r="I2312" i="22"/>
  <c r="B2313" i="22"/>
  <c r="M2257" i="22"/>
  <c r="D2257" i="22"/>
  <c r="J2257" i="22"/>
  <c r="N2257" i="22" s="1"/>
  <c r="U2257" i="22" s="1"/>
  <c r="P2257" i="22"/>
  <c r="Q2257" i="22"/>
  <c r="R2257" i="22"/>
  <c r="L2258" i="22"/>
  <c r="C2258" i="22"/>
  <c r="K2258" i="22" s="1"/>
  <c r="E2258" i="22"/>
  <c r="F2258" i="22"/>
  <c r="O2258" i="22" s="1"/>
  <c r="G2258" i="22"/>
  <c r="I2258" i="22"/>
  <c r="B2259" i="22"/>
  <c r="M2203" i="22"/>
  <c r="D2203" i="22"/>
  <c r="J2203" i="22"/>
  <c r="N2203" i="22" s="1"/>
  <c r="U2203" i="22" s="1"/>
  <c r="P2203" i="22"/>
  <c r="Q2203" i="22"/>
  <c r="R2203" i="22"/>
  <c r="L2204" i="22"/>
  <c r="C2204" i="22"/>
  <c r="K2204" i="22" s="1"/>
  <c r="E2204" i="22"/>
  <c r="F2204" i="22"/>
  <c r="O2204" i="22" s="1"/>
  <c r="G2204" i="22"/>
  <c r="I2204" i="22"/>
  <c r="B2205" i="22"/>
  <c r="M2149" i="22"/>
  <c r="D2149" i="22"/>
  <c r="J2149" i="22"/>
  <c r="N2149" i="22" s="1"/>
  <c r="U2149" i="22" s="1"/>
  <c r="P2149" i="22"/>
  <c r="Q2149" i="22"/>
  <c r="R2149" i="22"/>
  <c r="L2150" i="22"/>
  <c r="C2150" i="22"/>
  <c r="K2150" i="22" s="1"/>
  <c r="E2150" i="22"/>
  <c r="F2150" i="22"/>
  <c r="O2150" i="22" s="1"/>
  <c r="G2150" i="22"/>
  <c r="I2150" i="22"/>
  <c r="B2151" i="22"/>
  <c r="M2095" i="22"/>
  <c r="D2095" i="22"/>
  <c r="J2095" i="22"/>
  <c r="N2095" i="22" s="1"/>
  <c r="U2095" i="22" s="1"/>
  <c r="P2095" i="22"/>
  <c r="Q2095" i="22"/>
  <c r="R2095" i="22"/>
  <c r="L2096" i="22"/>
  <c r="C2096" i="22"/>
  <c r="E2096" i="22"/>
  <c r="G2096" i="22"/>
  <c r="I2096" i="22"/>
  <c r="B2097" i="22"/>
  <c r="M2041" i="22"/>
  <c r="D2041" i="22"/>
  <c r="J2041" i="22"/>
  <c r="N2041" i="22" s="1"/>
  <c r="U2041" i="22" s="1"/>
  <c r="P2041" i="22"/>
  <c r="Q2041" i="22"/>
  <c r="R2041" i="22"/>
  <c r="L2042" i="22"/>
  <c r="C2042" i="22"/>
  <c r="K2042" i="22" s="1"/>
  <c r="E2042" i="22"/>
  <c r="F2042" i="22"/>
  <c r="O2042" i="22" s="1"/>
  <c r="G2042" i="22"/>
  <c r="I2042" i="22"/>
  <c r="B2043" i="22"/>
  <c r="D1987" i="22"/>
  <c r="J1987" i="22"/>
  <c r="P1987" i="22"/>
  <c r="Q1987" i="22"/>
  <c r="R1987" i="22"/>
  <c r="L1988" i="22"/>
  <c r="C1988" i="22"/>
  <c r="K1988" i="22" s="1"/>
  <c r="E1988" i="22"/>
  <c r="F1988" i="22"/>
  <c r="O1988" i="22" s="1"/>
  <c r="G1988" i="22"/>
  <c r="I1988" i="22"/>
  <c r="B1989" i="22"/>
  <c r="M1933" i="22"/>
  <c r="D1933" i="22"/>
  <c r="J1933" i="22"/>
  <c r="N1933" i="22" s="1"/>
  <c r="U1933" i="22" s="1"/>
  <c r="P1933" i="22"/>
  <c r="Q1933" i="22"/>
  <c r="R1933" i="22"/>
  <c r="L1934" i="22"/>
  <c r="C1934" i="22"/>
  <c r="K1934" i="22" s="1"/>
  <c r="E1934" i="22"/>
  <c r="F1934" i="22"/>
  <c r="O1934" i="22" s="1"/>
  <c r="G1934" i="22"/>
  <c r="I1934" i="22"/>
  <c r="B1935" i="22"/>
  <c r="M1879" i="22"/>
  <c r="D1879" i="22"/>
  <c r="J1879" i="22"/>
  <c r="N1879" i="22" s="1"/>
  <c r="U1879" i="22" s="1"/>
  <c r="P1879" i="22"/>
  <c r="Q1879" i="22"/>
  <c r="R1879" i="22"/>
  <c r="L1880" i="22"/>
  <c r="C1880" i="22"/>
  <c r="E1880" i="22"/>
  <c r="G1880" i="22"/>
  <c r="I1880" i="22"/>
  <c r="B1881" i="22"/>
  <c r="M1825" i="22"/>
  <c r="D1825" i="22"/>
  <c r="J1825" i="22"/>
  <c r="N1825" i="22" s="1"/>
  <c r="U1825" i="22" s="1"/>
  <c r="P1825" i="22"/>
  <c r="Q1825" i="22"/>
  <c r="R1825" i="22"/>
  <c r="L1826" i="22"/>
  <c r="C1826" i="22"/>
  <c r="K1826" i="22" s="1"/>
  <c r="E1826" i="22"/>
  <c r="F1826" i="22"/>
  <c r="O1826" i="22" s="1"/>
  <c r="G1826" i="22"/>
  <c r="I1826" i="22"/>
  <c r="B1827" i="22"/>
  <c r="M1771" i="22"/>
  <c r="D1771" i="22"/>
  <c r="J1771" i="22"/>
  <c r="N1771" i="22" s="1"/>
  <c r="U1771" i="22" s="1"/>
  <c r="P1771" i="22"/>
  <c r="Q1771" i="22"/>
  <c r="R1771" i="22"/>
  <c r="L1772" i="22"/>
  <c r="C1772" i="22"/>
  <c r="E1772" i="22"/>
  <c r="G1772" i="22"/>
  <c r="I1772" i="22"/>
  <c r="B1773" i="22"/>
  <c r="D1717" i="22"/>
  <c r="M1717" i="22" s="1"/>
  <c r="N1717" i="22" s="1"/>
  <c r="U1717" i="22" s="1"/>
  <c r="J1717" i="22"/>
  <c r="P1717" i="22"/>
  <c r="Q1717" i="22"/>
  <c r="R1717" i="22"/>
  <c r="L1718" i="22"/>
  <c r="C1718" i="22"/>
  <c r="E1718" i="22"/>
  <c r="G1718" i="22"/>
  <c r="I1718" i="22"/>
  <c r="B1719" i="22"/>
  <c r="D1663" i="22"/>
  <c r="J1663" i="22"/>
  <c r="P1663" i="22"/>
  <c r="Q1663" i="22"/>
  <c r="R1663" i="22"/>
  <c r="L1664" i="22"/>
  <c r="C1664" i="22"/>
  <c r="K1664" i="22" s="1"/>
  <c r="E1664" i="22"/>
  <c r="F1664" i="22"/>
  <c r="O1664" i="22" s="1"/>
  <c r="G1664" i="22"/>
  <c r="I1664" i="22"/>
  <c r="B1665" i="22"/>
  <c r="M1609" i="22"/>
  <c r="D1609" i="22"/>
  <c r="J1609" i="22"/>
  <c r="N1609" i="22" s="1"/>
  <c r="U1609" i="22" s="1"/>
  <c r="P1609" i="22"/>
  <c r="Q1609" i="22"/>
  <c r="R1609" i="22"/>
  <c r="L1610" i="22"/>
  <c r="C1610" i="22"/>
  <c r="K1610" i="22" s="1"/>
  <c r="E1610" i="22"/>
  <c r="F1610" i="22"/>
  <c r="O1610" i="22" s="1"/>
  <c r="G1610" i="22"/>
  <c r="I1610" i="22"/>
  <c r="B1611" i="22"/>
  <c r="M1555" i="22"/>
  <c r="D1555" i="22"/>
  <c r="J1555" i="22"/>
  <c r="N1555" i="22" s="1"/>
  <c r="U1555" i="22" s="1"/>
  <c r="P1555" i="22"/>
  <c r="Q1555" i="22"/>
  <c r="R1555" i="22"/>
  <c r="L1556" i="22"/>
  <c r="C1556" i="22"/>
  <c r="K1556" i="22" s="1"/>
  <c r="E1556" i="22"/>
  <c r="F1556" i="22"/>
  <c r="O1556" i="22" s="1"/>
  <c r="G1556" i="22"/>
  <c r="I1556" i="22"/>
  <c r="B1557" i="22"/>
  <c r="M1501" i="22"/>
  <c r="D1501" i="22"/>
  <c r="J1501" i="22"/>
  <c r="N1501" i="22" s="1"/>
  <c r="U1501" i="22" s="1"/>
  <c r="P1501" i="22"/>
  <c r="Q1501" i="22"/>
  <c r="R1501" i="22"/>
  <c r="L1502" i="22"/>
  <c r="C1502" i="22"/>
  <c r="K1502" i="22" s="1"/>
  <c r="E1502" i="22"/>
  <c r="F1502" i="22"/>
  <c r="O1502" i="22" s="1"/>
  <c r="G1502" i="22"/>
  <c r="I1502" i="22"/>
  <c r="B1503" i="22"/>
  <c r="M1447" i="22"/>
  <c r="D1447" i="22"/>
  <c r="J1447" i="22"/>
  <c r="N1447" i="22" s="1"/>
  <c r="U1447" i="22" s="1"/>
  <c r="P1447" i="22"/>
  <c r="Q1447" i="22"/>
  <c r="R1447" i="22"/>
  <c r="L1448" i="22"/>
  <c r="C1448" i="22"/>
  <c r="E1448" i="22"/>
  <c r="G1448" i="22"/>
  <c r="I1448" i="22"/>
  <c r="B1449" i="22"/>
  <c r="M1393" i="22"/>
  <c r="D1393" i="22"/>
  <c r="J1393" i="22"/>
  <c r="N1393" i="22" s="1"/>
  <c r="U1393" i="22" s="1"/>
  <c r="P1393" i="22"/>
  <c r="Q1393" i="22"/>
  <c r="R1393" i="22"/>
  <c r="L1394" i="22"/>
  <c r="C1394" i="22"/>
  <c r="K1394" i="22" s="1"/>
  <c r="E1394" i="22"/>
  <c r="F1394" i="22"/>
  <c r="O1394" i="22" s="1"/>
  <c r="G1394" i="22"/>
  <c r="I1394" i="22"/>
  <c r="B1395" i="22"/>
  <c r="M1339" i="22"/>
  <c r="D1339" i="22"/>
  <c r="J1339" i="22"/>
  <c r="N1339" i="22" s="1"/>
  <c r="U1339" i="22" s="1"/>
  <c r="P1339" i="22"/>
  <c r="Q1339" i="22"/>
  <c r="R1339" i="22"/>
  <c r="L1340" i="22"/>
  <c r="C1340" i="22"/>
  <c r="K1340" i="22" s="1"/>
  <c r="E1340" i="22"/>
  <c r="F1340" i="22"/>
  <c r="O1340" i="22" s="1"/>
  <c r="G1340" i="22"/>
  <c r="I1340" i="22"/>
  <c r="B1341" i="22"/>
  <c r="D1285" i="22"/>
  <c r="J1285" i="22"/>
  <c r="P1285" i="22"/>
  <c r="Q1285" i="22"/>
  <c r="R1285" i="22"/>
  <c r="L1286" i="22"/>
  <c r="C1286" i="22"/>
  <c r="K1286" i="22" s="1"/>
  <c r="E1286" i="22"/>
  <c r="F1286" i="22"/>
  <c r="O1286" i="22" s="1"/>
  <c r="G1286" i="22"/>
  <c r="I1286" i="22"/>
  <c r="B1287" i="22"/>
  <c r="M1231" i="22"/>
  <c r="D1231" i="22"/>
  <c r="J1231" i="22"/>
  <c r="N1231" i="22" s="1"/>
  <c r="U1231" i="22" s="1"/>
  <c r="P1231" i="22"/>
  <c r="Q1231" i="22"/>
  <c r="R1231" i="22"/>
  <c r="L1232" i="22"/>
  <c r="C1232" i="22"/>
  <c r="E1232" i="22"/>
  <c r="G1232" i="22"/>
  <c r="I1232" i="22"/>
  <c r="B1233" i="22"/>
  <c r="M1177" i="22"/>
  <c r="D1177" i="22"/>
  <c r="J1177" i="22"/>
  <c r="N1177" i="22" s="1"/>
  <c r="U1177" i="22" s="1"/>
  <c r="P1177" i="22"/>
  <c r="Q1177" i="22"/>
  <c r="R1177" i="22"/>
  <c r="L1178" i="22"/>
  <c r="C1178" i="22"/>
  <c r="E1178" i="22"/>
  <c r="G1178" i="22"/>
  <c r="I1178" i="22"/>
  <c r="B1179" i="22"/>
  <c r="M1123" i="22"/>
  <c r="D1123" i="22"/>
  <c r="J1123" i="22"/>
  <c r="N1123" i="22" s="1"/>
  <c r="U1123" i="22" s="1"/>
  <c r="P1123" i="22"/>
  <c r="Q1123" i="22"/>
  <c r="R1123" i="22"/>
  <c r="L1124" i="22"/>
  <c r="C1124" i="22"/>
  <c r="K1124" i="22" s="1"/>
  <c r="E1124" i="22"/>
  <c r="F1124" i="22"/>
  <c r="O1124" i="22" s="1"/>
  <c r="G1124" i="22"/>
  <c r="I1124" i="22"/>
  <c r="B1125" i="22"/>
  <c r="D1069" i="22"/>
  <c r="M1069" i="22" s="1"/>
  <c r="N1069" i="22" s="1"/>
  <c r="U1069" i="22" s="1"/>
  <c r="J1069" i="22"/>
  <c r="P1069" i="22"/>
  <c r="Q1069" i="22"/>
  <c r="R1069" i="22"/>
  <c r="L1070" i="22"/>
  <c r="C1070" i="22"/>
  <c r="K1070" i="22" s="1"/>
  <c r="E1070" i="22"/>
  <c r="F1070" i="22"/>
  <c r="O1070" i="22" s="1"/>
  <c r="G1070" i="22"/>
  <c r="I1070" i="22"/>
  <c r="B1071" i="22"/>
  <c r="M1015" i="22"/>
  <c r="D1015" i="22"/>
  <c r="J1015" i="22"/>
  <c r="N1015" i="22" s="1"/>
  <c r="U1015" i="22" s="1"/>
  <c r="P1015" i="22"/>
  <c r="Q1015" i="22"/>
  <c r="R1015" i="22"/>
  <c r="L1016" i="22"/>
  <c r="C1016" i="22"/>
  <c r="K1016" i="22" s="1"/>
  <c r="E1016" i="22"/>
  <c r="F1016" i="22"/>
  <c r="O1016" i="22" s="1"/>
  <c r="G1016" i="22"/>
  <c r="I1016" i="22"/>
  <c r="B1017" i="22"/>
  <c r="M961" i="22"/>
  <c r="D961" i="22"/>
  <c r="J961" i="22"/>
  <c r="N961" i="22" s="1"/>
  <c r="U961" i="22" s="1"/>
  <c r="P961" i="22"/>
  <c r="Q961" i="22"/>
  <c r="R961" i="22"/>
  <c r="L962" i="22"/>
  <c r="C962" i="22"/>
  <c r="K962" i="22" s="1"/>
  <c r="E962" i="22"/>
  <c r="F962" i="22"/>
  <c r="O962" i="22" s="1"/>
  <c r="G962" i="22"/>
  <c r="I962" i="22"/>
  <c r="B963" i="22"/>
  <c r="M907" i="22"/>
  <c r="D907" i="22"/>
  <c r="J907" i="22"/>
  <c r="N907" i="22" s="1"/>
  <c r="U907" i="22" s="1"/>
  <c r="P907" i="22"/>
  <c r="Q907" i="22"/>
  <c r="R907" i="22"/>
  <c r="L908" i="22"/>
  <c r="C908" i="22"/>
  <c r="K908" i="22" s="1"/>
  <c r="E908" i="22"/>
  <c r="F908" i="22"/>
  <c r="O908" i="22" s="1"/>
  <c r="G908" i="22"/>
  <c r="I908" i="22"/>
  <c r="B909" i="22"/>
  <c r="M853" i="22"/>
  <c r="D853" i="22"/>
  <c r="J853" i="22"/>
  <c r="N853" i="22" s="1"/>
  <c r="U853" i="22" s="1"/>
  <c r="P853" i="22"/>
  <c r="Q853" i="22"/>
  <c r="R853" i="22"/>
  <c r="L854" i="22"/>
  <c r="C854" i="22"/>
  <c r="K854" i="22" s="1"/>
  <c r="E854" i="22"/>
  <c r="F854" i="22"/>
  <c r="O854" i="22" s="1"/>
  <c r="G854" i="22"/>
  <c r="I854" i="22"/>
  <c r="B855" i="22"/>
  <c r="M799" i="22"/>
  <c r="D799" i="22"/>
  <c r="J799" i="22"/>
  <c r="N799" i="22" s="1"/>
  <c r="U799" i="22" s="1"/>
  <c r="P799" i="22"/>
  <c r="Q799" i="22"/>
  <c r="R799" i="22"/>
  <c r="L800" i="22"/>
  <c r="C800" i="22"/>
  <c r="E800" i="22"/>
  <c r="G800" i="22"/>
  <c r="I800" i="22"/>
  <c r="B801" i="22"/>
  <c r="M745" i="22"/>
  <c r="D745" i="22"/>
  <c r="J745" i="22"/>
  <c r="N745" i="22" s="1"/>
  <c r="U745" i="22" s="1"/>
  <c r="P745" i="22"/>
  <c r="Q745" i="22"/>
  <c r="R745" i="22"/>
  <c r="L746" i="22"/>
  <c r="C746" i="22"/>
  <c r="K746" i="22" s="1"/>
  <c r="E746" i="22"/>
  <c r="F746" i="22"/>
  <c r="O746" i="22" s="1"/>
  <c r="G746" i="22"/>
  <c r="I746" i="22"/>
  <c r="B747" i="22"/>
  <c r="M691" i="22"/>
  <c r="D691" i="22"/>
  <c r="J691" i="22"/>
  <c r="N691" i="22" s="1"/>
  <c r="U691" i="22" s="1"/>
  <c r="P691" i="22"/>
  <c r="Q691" i="22"/>
  <c r="R691" i="22"/>
  <c r="L692" i="22"/>
  <c r="C692" i="22"/>
  <c r="E692" i="22"/>
  <c r="G692" i="22"/>
  <c r="I692" i="22"/>
  <c r="B693" i="22"/>
  <c r="M637" i="22"/>
  <c r="D637" i="22"/>
  <c r="J637" i="22"/>
  <c r="N637" i="22" s="1"/>
  <c r="U637" i="22" s="1"/>
  <c r="P637" i="22"/>
  <c r="Q637" i="22"/>
  <c r="R637" i="22"/>
  <c r="L638" i="22"/>
  <c r="C638" i="22"/>
  <c r="K638" i="22" s="1"/>
  <c r="E638" i="22"/>
  <c r="F638" i="22"/>
  <c r="O638" i="22" s="1"/>
  <c r="G638" i="22"/>
  <c r="I638" i="22"/>
  <c r="B639" i="22"/>
  <c r="M583" i="22"/>
  <c r="D583" i="22"/>
  <c r="J583" i="22"/>
  <c r="N583" i="22" s="1"/>
  <c r="U583" i="22" s="1"/>
  <c r="P583" i="22"/>
  <c r="Q583" i="22"/>
  <c r="R583" i="22"/>
  <c r="L584" i="22"/>
  <c r="C584" i="22"/>
  <c r="K584" i="22" s="1"/>
  <c r="E584" i="22"/>
  <c r="F584" i="22"/>
  <c r="O584" i="22" s="1"/>
  <c r="G584" i="22"/>
  <c r="I584" i="22"/>
  <c r="B585" i="22"/>
  <c r="M529" i="22"/>
  <c r="D529" i="22"/>
  <c r="J529" i="22"/>
  <c r="N529" i="22" s="1"/>
  <c r="U529" i="22" s="1"/>
  <c r="P529" i="22"/>
  <c r="Q529" i="22"/>
  <c r="R529" i="22"/>
  <c r="L530" i="22"/>
  <c r="C530" i="22"/>
  <c r="E530" i="22"/>
  <c r="G530" i="22"/>
  <c r="I530" i="22"/>
  <c r="B531" i="22"/>
  <c r="M475" i="22"/>
  <c r="D475" i="22"/>
  <c r="J475" i="22"/>
  <c r="N475" i="22" s="1"/>
  <c r="U475" i="22" s="1"/>
  <c r="P475" i="22"/>
  <c r="Q475" i="22"/>
  <c r="R475" i="22"/>
  <c r="L476" i="22"/>
  <c r="C476" i="22"/>
  <c r="K476" i="22" s="1"/>
  <c r="E476" i="22"/>
  <c r="F476" i="22"/>
  <c r="O476" i="22" s="1"/>
  <c r="G476" i="22"/>
  <c r="I476" i="22"/>
  <c r="B477" i="22"/>
  <c r="P421" i="22"/>
  <c r="Q421" i="22"/>
  <c r="R421" i="22"/>
  <c r="L422" i="22"/>
  <c r="E422" i="22"/>
  <c r="G422" i="22"/>
  <c r="I422" i="22"/>
  <c r="B423" i="22"/>
  <c r="C422" i="22"/>
  <c r="K422" i="22" s="1"/>
  <c r="F422" i="22"/>
  <c r="O422" i="22" s="1"/>
  <c r="D421" i="22"/>
  <c r="M421" i="22" s="1"/>
  <c r="J421" i="22"/>
  <c r="M367" i="22"/>
  <c r="D367" i="22"/>
  <c r="J367" i="22"/>
  <c r="N367" i="22" s="1"/>
  <c r="U367" i="22" s="1"/>
  <c r="P367" i="22"/>
  <c r="Q367" i="22"/>
  <c r="R367" i="22"/>
  <c r="L368" i="22"/>
  <c r="C368" i="22"/>
  <c r="K368" i="22" s="1"/>
  <c r="E368" i="22"/>
  <c r="F368" i="22"/>
  <c r="O368" i="22" s="1"/>
  <c r="G368" i="22"/>
  <c r="I368" i="22"/>
  <c r="B369" i="22"/>
  <c r="M313" i="22"/>
  <c r="D313" i="22"/>
  <c r="J313" i="22"/>
  <c r="N313" i="22" s="1"/>
  <c r="U313" i="22" s="1"/>
  <c r="P313" i="22"/>
  <c r="Q313" i="22"/>
  <c r="R313" i="22"/>
  <c r="L314" i="22"/>
  <c r="C314" i="22"/>
  <c r="K314" i="22" s="1"/>
  <c r="E314" i="22"/>
  <c r="F314" i="22"/>
  <c r="O314" i="22" s="1"/>
  <c r="G314" i="22"/>
  <c r="I314" i="22"/>
  <c r="B315" i="22"/>
  <c r="M259" i="22"/>
  <c r="D259" i="22"/>
  <c r="J259" i="22"/>
  <c r="N259" i="22" s="1"/>
  <c r="U259" i="22" s="1"/>
  <c r="P259" i="22"/>
  <c r="Q259" i="22"/>
  <c r="R259" i="22"/>
  <c r="L260" i="22"/>
  <c r="C260" i="22"/>
  <c r="K260" i="22" s="1"/>
  <c r="E260" i="22"/>
  <c r="F260" i="22"/>
  <c r="O260" i="22" s="1"/>
  <c r="G260" i="22"/>
  <c r="I260" i="22"/>
  <c r="B261" i="22"/>
  <c r="M205" i="22"/>
  <c r="L206" i="22"/>
  <c r="C206" i="22"/>
  <c r="E206" i="22"/>
  <c r="G206" i="22"/>
  <c r="I206" i="22"/>
  <c r="B207" i="22"/>
  <c r="D205" i="22"/>
  <c r="J205" i="22"/>
  <c r="N205" i="22" s="1"/>
  <c r="U205" i="22" s="1"/>
  <c r="P205" i="22"/>
  <c r="Q205" i="22"/>
  <c r="R205" i="22"/>
  <c r="M151" i="22"/>
  <c r="D151" i="22"/>
  <c r="J151" i="22"/>
  <c r="N151" i="22" s="1"/>
  <c r="U151" i="22" s="1"/>
  <c r="P151" i="22"/>
  <c r="Q151" i="22"/>
  <c r="R151" i="22"/>
  <c r="L152" i="22"/>
  <c r="C152" i="22"/>
  <c r="K152" i="22" s="1"/>
  <c r="E152" i="22"/>
  <c r="F152" i="22"/>
  <c r="O152" i="22" s="1"/>
  <c r="G152" i="22"/>
  <c r="B153" i="22"/>
  <c r="I152" i="22"/>
  <c r="D97" i="22"/>
  <c r="M97" i="22" s="1"/>
  <c r="J97" i="22"/>
  <c r="P97" i="22"/>
  <c r="Q97" i="22"/>
  <c r="R97" i="22"/>
  <c r="L98" i="22"/>
  <c r="C98" i="22"/>
  <c r="K98" i="22" s="1"/>
  <c r="E98" i="22"/>
  <c r="F98" i="22"/>
  <c r="O98" i="22" s="1"/>
  <c r="G98" i="22"/>
  <c r="I98" i="22"/>
  <c r="B99" i="22"/>
  <c r="O35" i="17"/>
  <c r="E87" i="12"/>
  <c r="D35" i="17"/>
  <c r="J35" i="17"/>
  <c r="AM35" i="17"/>
  <c r="AL35" i="17"/>
  <c r="AK35" i="17"/>
  <c r="AJ35" i="17"/>
  <c r="AI35" i="17"/>
  <c r="AH35" i="17"/>
  <c r="AG35" i="17"/>
  <c r="AF35" i="17"/>
  <c r="AE35" i="17"/>
  <c r="AD35" i="17"/>
  <c r="AC35" i="17"/>
  <c r="AB35" i="17"/>
  <c r="AA35" i="17"/>
  <c r="Z35" i="17"/>
  <c r="Y35" i="17"/>
  <c r="X35" i="17"/>
  <c r="W35" i="17"/>
  <c r="P35" i="17"/>
  <c r="Q35" i="17"/>
  <c r="R35" i="17"/>
  <c r="V35" i="17"/>
  <c r="M35" i="17"/>
  <c r="N35" i="17"/>
  <c r="U35" i="17" s="1"/>
  <c r="E36" i="17"/>
  <c r="G36" i="17"/>
  <c r="AO36" i="17" s="1"/>
  <c r="C36" i="17"/>
  <c r="I36" i="17"/>
  <c r="L36" i="17"/>
  <c r="B37" i="17"/>
  <c r="B36" i="18"/>
  <c r="C86" i="12"/>
  <c r="G85" i="12"/>
  <c r="AQ16" i="17"/>
  <c r="B101" i="12"/>
  <c r="I101" i="12" s="1"/>
  <c r="AP15" i="17"/>
  <c r="AO17" i="17"/>
  <c r="AO18" i="17"/>
  <c r="AO19" i="17"/>
  <c r="AO20" i="17"/>
  <c r="AO21" i="17"/>
  <c r="AO22" i="17"/>
  <c r="AO23" i="17"/>
  <c r="AO24" i="17"/>
  <c r="AO25" i="17"/>
  <c r="AO26" i="17"/>
  <c r="AO27" i="17"/>
  <c r="AO28" i="17"/>
  <c r="AO29" i="17"/>
  <c r="AO30" i="17"/>
  <c r="AO31" i="17"/>
  <c r="AO34" i="17"/>
  <c r="AO35" i="17"/>
  <c r="AO32" i="17"/>
  <c r="AO33" i="17"/>
  <c r="M1219" i="23"/>
  <c r="N1219" i="23"/>
  <c r="AE1219" i="23" s="1"/>
  <c r="N1051" i="23"/>
  <c r="AE1051" i="23" s="1"/>
  <c r="M1051" i="23"/>
  <c r="N435" i="23"/>
  <c r="AE435" i="23" s="1"/>
  <c r="M435" i="23"/>
  <c r="M4692" i="22"/>
  <c r="N4692" i="22"/>
  <c r="M4584" i="22"/>
  <c r="N4584" i="22"/>
  <c r="M4530" i="22"/>
  <c r="N4530" i="22"/>
  <c r="M3552" i="22"/>
  <c r="N3552" i="22"/>
  <c r="U3552" i="22" s="1"/>
  <c r="M3390" i="22"/>
  <c r="N3390" i="22"/>
  <c r="U3390" i="22" s="1"/>
  <c r="M3336" i="22"/>
  <c r="N3336" i="22"/>
  <c r="U3336" i="22" s="1"/>
  <c r="M3066" i="22"/>
  <c r="N3066" i="22"/>
  <c r="U3066" i="22" s="1"/>
  <c r="N3012" i="22"/>
  <c r="U3012" i="22" s="1"/>
  <c r="M3012" i="22"/>
  <c r="N2958" i="22"/>
  <c r="U2958" i="22" s="1"/>
  <c r="M2958" i="22"/>
  <c r="N2904" i="22"/>
  <c r="U2904" i="22" s="1"/>
  <c r="M2904" i="22"/>
  <c r="M2634" i="22"/>
  <c r="N2634" i="22"/>
  <c r="U2634" i="22" s="1"/>
  <c r="M2040" i="22"/>
  <c r="N2040" i="22"/>
  <c r="U2040" i="22" s="1"/>
  <c r="M1986" i="22"/>
  <c r="N1986" i="22"/>
  <c r="U1986" i="22" s="1"/>
  <c r="M1716" i="22"/>
  <c r="N1716" i="22"/>
  <c r="U1716" i="22" s="1"/>
  <c r="M1608" i="22"/>
  <c r="N1608" i="22"/>
  <c r="U1608" i="22" s="1"/>
  <c r="M960" i="22"/>
  <c r="N960" i="22"/>
  <c r="U960" i="22" s="1"/>
  <c r="M906" i="22"/>
  <c r="N906" i="22"/>
  <c r="U906" i="22" s="1"/>
  <c r="M582" i="22"/>
  <c r="N582" i="22"/>
  <c r="U582" i="22" s="1"/>
  <c r="M420" i="22"/>
  <c r="N420" i="22"/>
  <c r="U420" i="22" s="1"/>
  <c r="M258" i="22"/>
  <c r="N258" i="22"/>
  <c r="U258" i="22" s="1"/>
  <c r="M204" i="22"/>
  <c r="N204" i="22"/>
  <c r="U204" i="22" s="1"/>
  <c r="AE1611" i="23"/>
  <c r="AK1611" i="23"/>
  <c r="K1500" i="23"/>
  <c r="F1500" i="23"/>
  <c r="O1500" i="23" s="1"/>
  <c r="K1444" i="23"/>
  <c r="F1444" i="23"/>
  <c r="O1444" i="23" s="1"/>
  <c r="K1388" i="23"/>
  <c r="F1388" i="23"/>
  <c r="O1388" i="23" s="1"/>
  <c r="K884" i="23"/>
  <c r="F884" i="23"/>
  <c r="O884" i="23" s="1"/>
  <c r="D4639" i="22"/>
  <c r="F4639" i="22"/>
  <c r="O4639" i="22" s="1"/>
  <c r="F4585" i="22"/>
  <c r="K4585" i="22"/>
  <c r="F3661" i="22"/>
  <c r="O3661" i="22" s="1"/>
  <c r="K3661" i="22"/>
  <c r="K3391" i="22"/>
  <c r="F3391" i="22"/>
  <c r="O3391" i="22" s="1"/>
  <c r="F3067" i="22"/>
  <c r="O3067" i="22" s="1"/>
  <c r="K3067" i="22"/>
  <c r="K3013" i="22"/>
  <c r="F3013" i="22"/>
  <c r="O3013" i="22" s="1"/>
  <c r="F2959" i="22"/>
  <c r="O2959" i="22" s="1"/>
  <c r="K2959" i="22"/>
  <c r="K2905" i="22"/>
  <c r="F2905" i="22"/>
  <c r="O2905" i="22" s="1"/>
  <c r="F2689" i="22"/>
  <c r="O2689" i="22" s="1"/>
  <c r="K2689" i="22"/>
  <c r="F2635" i="22"/>
  <c r="O2635" i="22" s="1"/>
  <c r="K2635" i="22"/>
  <c r="K2365" i="22"/>
  <c r="F2365" i="22"/>
  <c r="O2365" i="22" s="1"/>
  <c r="F2311" i="22"/>
  <c r="O2311" i="22" s="1"/>
  <c r="K2311" i="22"/>
  <c r="K1987" i="22"/>
  <c r="F1987" i="22"/>
  <c r="O1987" i="22" s="1"/>
  <c r="K1663" i="22"/>
  <c r="F1663" i="22"/>
  <c r="O1663" i="22" s="1"/>
  <c r="K1285" i="22"/>
  <c r="F1285" i="22"/>
  <c r="O1285" i="22" s="1"/>
  <c r="AN35" i="17"/>
  <c r="F34" i="18"/>
  <c r="G34" i="18"/>
  <c r="H34" i="18"/>
  <c r="N940" i="23" l="1"/>
  <c r="AE940" i="23" s="1"/>
  <c r="N4123" i="22"/>
  <c r="U4123" i="22" s="1"/>
  <c r="N4693" i="22"/>
  <c r="N4177" i="22"/>
  <c r="U4177" i="22" s="1"/>
  <c r="N4531" i="22"/>
  <c r="N4069" i="22"/>
  <c r="U4069" i="22" s="1"/>
  <c r="N421" i="22"/>
  <c r="U421" i="22" s="1"/>
  <c r="N97" i="22"/>
  <c r="U97" i="22" s="1"/>
  <c r="K4178" i="22"/>
  <c r="F4178" i="22"/>
  <c r="O4178" i="22" s="1"/>
  <c r="K4124" i="22"/>
  <c r="F4124" i="22"/>
  <c r="O4124" i="22" s="1"/>
  <c r="K3608" i="22"/>
  <c r="F3608" i="22"/>
  <c r="O3608" i="22" s="1"/>
  <c r="K3122" i="22"/>
  <c r="F3122" i="22"/>
  <c r="O3122" i="22" s="1"/>
  <c r="K2582" i="22"/>
  <c r="F2582" i="22"/>
  <c r="O2582" i="22" s="1"/>
  <c r="K1718" i="22"/>
  <c r="F1718" i="22"/>
  <c r="O1718" i="22" s="1"/>
  <c r="K1232" i="22"/>
  <c r="F1232" i="22"/>
  <c r="O1232" i="22" s="1"/>
  <c r="K692" i="22"/>
  <c r="F692" i="22"/>
  <c r="O692" i="22" s="1"/>
  <c r="K206" i="22"/>
  <c r="F206" i="22"/>
  <c r="O206" i="22" s="1"/>
  <c r="M1613" i="23"/>
  <c r="J1613" i="23"/>
  <c r="N1613" i="23" s="1"/>
  <c r="D1613" i="23"/>
  <c r="P1613" i="23"/>
  <c r="Q1613" i="23"/>
  <c r="R1613" i="23"/>
  <c r="I1614" i="23"/>
  <c r="L1614" i="23"/>
  <c r="C1614" i="23"/>
  <c r="K1614" i="23" s="1"/>
  <c r="E1614" i="23"/>
  <c r="F1614" i="23"/>
  <c r="O1614" i="23" s="1"/>
  <c r="G1614" i="23"/>
  <c r="B1615" i="23"/>
  <c r="M1557" i="23"/>
  <c r="J1557" i="23"/>
  <c r="N1557" i="23" s="1"/>
  <c r="AE1557" i="23" s="1"/>
  <c r="D1557" i="23"/>
  <c r="P1557" i="23"/>
  <c r="Q1557" i="23"/>
  <c r="R1557" i="23"/>
  <c r="L1558" i="23"/>
  <c r="I1558" i="23"/>
  <c r="C1558" i="23"/>
  <c r="K1558" i="23" s="1"/>
  <c r="E1558" i="23"/>
  <c r="F1558" i="23"/>
  <c r="O1558" i="23" s="1"/>
  <c r="G1558" i="23"/>
  <c r="B1559" i="23"/>
  <c r="M1501" i="23"/>
  <c r="J1501" i="23"/>
  <c r="N1501" i="23" s="1"/>
  <c r="AE1501" i="23" s="1"/>
  <c r="D1501" i="23"/>
  <c r="P1501" i="23"/>
  <c r="Q1501" i="23"/>
  <c r="R1501" i="23"/>
  <c r="L1502" i="23"/>
  <c r="I1502" i="23"/>
  <c r="C1502" i="23"/>
  <c r="E1502" i="23"/>
  <c r="G1502" i="23"/>
  <c r="B1503" i="23"/>
  <c r="M1445" i="23"/>
  <c r="J1445" i="23"/>
  <c r="N1445" i="23" s="1"/>
  <c r="AE1445" i="23" s="1"/>
  <c r="D1445" i="23"/>
  <c r="P1445" i="23"/>
  <c r="Q1445" i="23"/>
  <c r="R1445" i="23"/>
  <c r="L1446" i="23"/>
  <c r="I1446" i="23"/>
  <c r="C1446" i="23"/>
  <c r="E1446" i="23"/>
  <c r="G1446" i="23"/>
  <c r="B1447" i="23"/>
  <c r="J1389" i="23"/>
  <c r="D1389" i="23"/>
  <c r="P1389" i="23"/>
  <c r="Q1389" i="23"/>
  <c r="R1389" i="23"/>
  <c r="L1390" i="23"/>
  <c r="I1390" i="23"/>
  <c r="E1390" i="23"/>
  <c r="C1390" i="23"/>
  <c r="G1390" i="23"/>
  <c r="B1391" i="23"/>
  <c r="M1333" i="23"/>
  <c r="J1333" i="23"/>
  <c r="N1333" i="23" s="1"/>
  <c r="AE1333" i="23" s="1"/>
  <c r="D1333" i="23"/>
  <c r="P1333" i="23"/>
  <c r="Q1333" i="23"/>
  <c r="R1333" i="23"/>
  <c r="L1334" i="23"/>
  <c r="I1334" i="23"/>
  <c r="C1334" i="23"/>
  <c r="K1334" i="23" s="1"/>
  <c r="E1334" i="23"/>
  <c r="F1334" i="23"/>
  <c r="O1334" i="23" s="1"/>
  <c r="G1334" i="23"/>
  <c r="B1335" i="23"/>
  <c r="M1277" i="23"/>
  <c r="J1277" i="23"/>
  <c r="N1277" i="23" s="1"/>
  <c r="AE1277" i="23" s="1"/>
  <c r="D1277" i="23"/>
  <c r="P1277" i="23"/>
  <c r="Q1277" i="23"/>
  <c r="R1277" i="23"/>
  <c r="L1278" i="23"/>
  <c r="I1278" i="23"/>
  <c r="C1278" i="23"/>
  <c r="E1278" i="23"/>
  <c r="G1278" i="23"/>
  <c r="B1279" i="23"/>
  <c r="J1221" i="23"/>
  <c r="D1221" i="23"/>
  <c r="P1221" i="23"/>
  <c r="Q1221" i="23"/>
  <c r="R1221" i="23"/>
  <c r="L1222" i="23"/>
  <c r="I1222" i="23"/>
  <c r="C1222" i="23"/>
  <c r="E1222" i="23"/>
  <c r="G1222" i="23"/>
  <c r="B1223" i="23"/>
  <c r="M1165" i="23"/>
  <c r="J1165" i="23"/>
  <c r="N1165" i="23" s="1"/>
  <c r="AE1165" i="23" s="1"/>
  <c r="D1165" i="23"/>
  <c r="P1165" i="23"/>
  <c r="Q1165" i="23"/>
  <c r="R1165" i="23"/>
  <c r="L1166" i="23"/>
  <c r="I1166" i="23"/>
  <c r="C1166" i="23"/>
  <c r="K1166" i="23" s="1"/>
  <c r="E1166" i="23"/>
  <c r="F1166" i="23"/>
  <c r="O1166" i="23" s="1"/>
  <c r="G1166" i="23"/>
  <c r="B1167" i="23"/>
  <c r="M1109" i="23"/>
  <c r="J1109" i="23"/>
  <c r="N1109" i="23" s="1"/>
  <c r="AE1109" i="23" s="1"/>
  <c r="D1109" i="23"/>
  <c r="P1109" i="23"/>
  <c r="Q1109" i="23"/>
  <c r="R1109" i="23"/>
  <c r="L1110" i="23"/>
  <c r="I1110" i="23"/>
  <c r="C1110" i="23"/>
  <c r="K1110" i="23" s="1"/>
  <c r="E1110" i="23"/>
  <c r="F1110" i="23"/>
  <c r="O1110" i="23" s="1"/>
  <c r="G1110" i="23"/>
  <c r="B1111" i="23"/>
  <c r="M1053" i="23"/>
  <c r="P1053" i="23"/>
  <c r="Q1053" i="23"/>
  <c r="R1053" i="23"/>
  <c r="L1054" i="23"/>
  <c r="I1054" i="23"/>
  <c r="G1054" i="23"/>
  <c r="C1054" i="23"/>
  <c r="E1054" i="23"/>
  <c r="B1055" i="23"/>
  <c r="J1053" i="23"/>
  <c r="N1053" i="23" s="1"/>
  <c r="AE1053" i="23" s="1"/>
  <c r="D1053" i="23"/>
  <c r="J997" i="23"/>
  <c r="D997" i="23"/>
  <c r="M997" i="23" s="1"/>
  <c r="P997" i="23"/>
  <c r="Q997" i="23"/>
  <c r="R997" i="23"/>
  <c r="L998" i="23"/>
  <c r="I998" i="23"/>
  <c r="C998" i="23"/>
  <c r="K998" i="23" s="1"/>
  <c r="E998" i="23"/>
  <c r="F998" i="23"/>
  <c r="O998" i="23" s="1"/>
  <c r="G998" i="23"/>
  <c r="B999" i="23"/>
  <c r="J941" i="23"/>
  <c r="D941" i="23"/>
  <c r="P941" i="23"/>
  <c r="Q941" i="23"/>
  <c r="R941" i="23"/>
  <c r="L942" i="23"/>
  <c r="I942" i="23"/>
  <c r="C942" i="23"/>
  <c r="E942" i="23"/>
  <c r="G942" i="23"/>
  <c r="B943" i="23"/>
  <c r="M885" i="23"/>
  <c r="J885" i="23"/>
  <c r="N885" i="23" s="1"/>
  <c r="AE885" i="23" s="1"/>
  <c r="D885" i="23"/>
  <c r="P885" i="23"/>
  <c r="Q885" i="23"/>
  <c r="R885" i="23"/>
  <c r="L886" i="23"/>
  <c r="I886" i="23"/>
  <c r="C886" i="23"/>
  <c r="K886" i="23" s="1"/>
  <c r="E886" i="23"/>
  <c r="F886" i="23"/>
  <c r="O886" i="23" s="1"/>
  <c r="G886" i="23"/>
  <c r="B887" i="23"/>
  <c r="M829" i="23"/>
  <c r="J829" i="23"/>
  <c r="N829" i="23" s="1"/>
  <c r="AE829" i="23" s="1"/>
  <c r="D829" i="23"/>
  <c r="P829" i="23"/>
  <c r="Q829" i="23"/>
  <c r="R829" i="23"/>
  <c r="L830" i="23"/>
  <c r="I830" i="23"/>
  <c r="C830" i="23"/>
  <c r="K830" i="23" s="1"/>
  <c r="E830" i="23"/>
  <c r="F830" i="23"/>
  <c r="O830" i="23" s="1"/>
  <c r="G830" i="23"/>
  <c r="B831" i="23"/>
  <c r="M773" i="23"/>
  <c r="J773" i="23"/>
  <c r="N773" i="23" s="1"/>
  <c r="AE773" i="23" s="1"/>
  <c r="D773" i="23"/>
  <c r="P773" i="23"/>
  <c r="Q773" i="23"/>
  <c r="R773" i="23"/>
  <c r="L774" i="23"/>
  <c r="I774" i="23"/>
  <c r="C774" i="23"/>
  <c r="K774" i="23" s="1"/>
  <c r="E774" i="23"/>
  <c r="F774" i="23"/>
  <c r="O774" i="23" s="1"/>
  <c r="G774" i="23"/>
  <c r="B775" i="23"/>
  <c r="M717" i="23"/>
  <c r="J717" i="23"/>
  <c r="N717" i="23" s="1"/>
  <c r="AE717" i="23" s="1"/>
  <c r="D717" i="23"/>
  <c r="P717" i="23"/>
  <c r="Q717" i="23"/>
  <c r="R717" i="23"/>
  <c r="L718" i="23"/>
  <c r="I718" i="23"/>
  <c r="C718" i="23"/>
  <c r="K718" i="23" s="1"/>
  <c r="E718" i="23"/>
  <c r="F718" i="23"/>
  <c r="O718" i="23" s="1"/>
  <c r="G718" i="23"/>
  <c r="B719" i="23"/>
  <c r="M661" i="23"/>
  <c r="J661" i="23"/>
  <c r="N661" i="23" s="1"/>
  <c r="AE661" i="23" s="1"/>
  <c r="D661" i="23"/>
  <c r="P661" i="23"/>
  <c r="Q661" i="23"/>
  <c r="R661" i="23"/>
  <c r="L662" i="23"/>
  <c r="I662" i="23"/>
  <c r="C662" i="23"/>
  <c r="K662" i="23" s="1"/>
  <c r="E662" i="23"/>
  <c r="F662" i="23"/>
  <c r="O662" i="23" s="1"/>
  <c r="G662" i="23"/>
  <c r="B663" i="23"/>
  <c r="M605" i="23"/>
  <c r="J605" i="23"/>
  <c r="N605" i="23" s="1"/>
  <c r="AE605" i="23" s="1"/>
  <c r="D605" i="23"/>
  <c r="P605" i="23"/>
  <c r="Q605" i="23"/>
  <c r="R605" i="23"/>
  <c r="L606" i="23"/>
  <c r="I606" i="23"/>
  <c r="C606" i="23"/>
  <c r="K606" i="23" s="1"/>
  <c r="E606" i="23"/>
  <c r="F606" i="23"/>
  <c r="O606" i="23" s="1"/>
  <c r="G606" i="23"/>
  <c r="B607" i="23"/>
  <c r="M549" i="23"/>
  <c r="J549" i="23"/>
  <c r="N549" i="23" s="1"/>
  <c r="AE549" i="23" s="1"/>
  <c r="D549" i="23"/>
  <c r="P549" i="23"/>
  <c r="Q549" i="23"/>
  <c r="R549" i="23"/>
  <c r="L550" i="23"/>
  <c r="I550" i="23"/>
  <c r="C550" i="23"/>
  <c r="K550" i="23" s="1"/>
  <c r="E550" i="23"/>
  <c r="F550" i="23"/>
  <c r="O550" i="23" s="1"/>
  <c r="G550" i="23"/>
  <c r="B551" i="23"/>
  <c r="M493" i="23"/>
  <c r="J493" i="23"/>
  <c r="N493" i="23" s="1"/>
  <c r="AE493" i="23" s="1"/>
  <c r="D493" i="23"/>
  <c r="P493" i="23"/>
  <c r="Q493" i="23"/>
  <c r="R493" i="23"/>
  <c r="L494" i="23"/>
  <c r="I494" i="23"/>
  <c r="C494" i="23"/>
  <c r="E494" i="23"/>
  <c r="G494" i="23"/>
  <c r="B495" i="23"/>
  <c r="M437" i="23"/>
  <c r="J437" i="23"/>
  <c r="N437" i="23" s="1"/>
  <c r="AE437" i="23" s="1"/>
  <c r="D437" i="23"/>
  <c r="P437" i="23"/>
  <c r="Q437" i="23"/>
  <c r="R437" i="23"/>
  <c r="L438" i="23"/>
  <c r="I438" i="23"/>
  <c r="B439" i="23"/>
  <c r="E438" i="23"/>
  <c r="C438" i="23"/>
  <c r="G438" i="23"/>
  <c r="M381" i="23"/>
  <c r="J381" i="23"/>
  <c r="N381" i="23" s="1"/>
  <c r="AE381" i="23" s="1"/>
  <c r="D381" i="23"/>
  <c r="P381" i="23"/>
  <c r="Q381" i="23"/>
  <c r="R381" i="23"/>
  <c r="L382" i="23"/>
  <c r="I382" i="23"/>
  <c r="C382" i="23"/>
  <c r="K382" i="23" s="1"/>
  <c r="E382" i="23"/>
  <c r="F382" i="23"/>
  <c r="O382" i="23" s="1"/>
  <c r="G382" i="23"/>
  <c r="B383" i="23"/>
  <c r="J325" i="23"/>
  <c r="D325" i="23"/>
  <c r="M325" i="23" s="1"/>
  <c r="N325" i="23" s="1"/>
  <c r="AE325" i="23" s="1"/>
  <c r="P325" i="23"/>
  <c r="Q325" i="23"/>
  <c r="R325" i="23"/>
  <c r="L326" i="23"/>
  <c r="I326" i="23"/>
  <c r="C326" i="23"/>
  <c r="K326" i="23" s="1"/>
  <c r="E326" i="23"/>
  <c r="F326" i="23"/>
  <c r="O326" i="23" s="1"/>
  <c r="G326" i="23"/>
  <c r="B327" i="23"/>
  <c r="M269" i="23"/>
  <c r="J269" i="23"/>
  <c r="N269" i="23" s="1"/>
  <c r="AE269" i="23" s="1"/>
  <c r="D269" i="23"/>
  <c r="P269" i="23"/>
  <c r="Q269" i="23"/>
  <c r="R269" i="23"/>
  <c r="L270" i="23"/>
  <c r="I270" i="23"/>
  <c r="C270" i="23"/>
  <c r="K270" i="23" s="1"/>
  <c r="E270" i="23"/>
  <c r="F270" i="23"/>
  <c r="O270" i="23" s="1"/>
  <c r="G270" i="23"/>
  <c r="B271" i="23"/>
  <c r="D4748" i="22"/>
  <c r="J4748" i="22"/>
  <c r="N4748" i="22" s="1"/>
  <c r="P4748" i="22"/>
  <c r="Q4748" i="22"/>
  <c r="R4748" i="22"/>
  <c r="M4748" i="22"/>
  <c r="C4749" i="22"/>
  <c r="E4749" i="22"/>
  <c r="F4749" i="22"/>
  <c r="G4749" i="22"/>
  <c r="I4749" i="22"/>
  <c r="K4749" i="22"/>
  <c r="L4749" i="22"/>
  <c r="B4750" i="22"/>
  <c r="S4693" i="22"/>
  <c r="U4693" i="22"/>
  <c r="D4694" i="22"/>
  <c r="J4694" i="22"/>
  <c r="P4694" i="22"/>
  <c r="Q4694" i="22"/>
  <c r="R4694" i="22"/>
  <c r="L4695" i="22"/>
  <c r="C4695" i="22"/>
  <c r="E4695" i="22"/>
  <c r="G4695" i="22"/>
  <c r="I4695" i="22"/>
  <c r="B4696" i="22"/>
  <c r="P4640" i="22"/>
  <c r="Q4640" i="22"/>
  <c r="R4640" i="22"/>
  <c r="C4641" i="22"/>
  <c r="D4641" i="22" s="1"/>
  <c r="E4641" i="22"/>
  <c r="F4641" i="22"/>
  <c r="O4641" i="22" s="1"/>
  <c r="G4641" i="22"/>
  <c r="B4642" i="22"/>
  <c r="M4586" i="22"/>
  <c r="J4586" i="22"/>
  <c r="N4586" i="22" s="1"/>
  <c r="D4586" i="22"/>
  <c r="P4586" i="22"/>
  <c r="Q4586" i="22"/>
  <c r="R4586" i="22"/>
  <c r="I4587" i="22"/>
  <c r="L4587" i="22"/>
  <c r="C4587" i="22"/>
  <c r="K4587" i="22" s="1"/>
  <c r="E4587" i="22"/>
  <c r="F4587" i="22"/>
  <c r="G4587" i="22"/>
  <c r="B4588" i="22"/>
  <c r="D4532" i="22"/>
  <c r="J4532" i="22"/>
  <c r="P4532" i="22"/>
  <c r="Q4532" i="22"/>
  <c r="R4532" i="22"/>
  <c r="L4533" i="22"/>
  <c r="C4533" i="22"/>
  <c r="K4533" i="22" s="1"/>
  <c r="E4533" i="22"/>
  <c r="F4533" i="22"/>
  <c r="G4533" i="22"/>
  <c r="I4533" i="22"/>
  <c r="B4534" i="22"/>
  <c r="D4232" i="22"/>
  <c r="J4232" i="22"/>
  <c r="P4232" i="22"/>
  <c r="Q4232" i="22"/>
  <c r="R4232" i="22"/>
  <c r="C4233" i="22"/>
  <c r="E4233" i="22"/>
  <c r="F4233" i="22"/>
  <c r="O4233" i="22" s="1"/>
  <c r="G4233" i="22"/>
  <c r="I4233" i="22"/>
  <c r="K4233" i="22"/>
  <c r="L4233" i="22"/>
  <c r="B4234" i="22"/>
  <c r="M4178" i="22"/>
  <c r="D4178" i="22"/>
  <c r="J4178" i="22"/>
  <c r="N4178" i="22" s="1"/>
  <c r="U4178" i="22" s="1"/>
  <c r="P4178" i="22"/>
  <c r="Q4178" i="22"/>
  <c r="R4178" i="22"/>
  <c r="L4179" i="22"/>
  <c r="C4179" i="22"/>
  <c r="E4179" i="22"/>
  <c r="G4179" i="22"/>
  <c r="I4179" i="22"/>
  <c r="B4180" i="22"/>
  <c r="M4124" i="22"/>
  <c r="D4124" i="22"/>
  <c r="J4124" i="22"/>
  <c r="N4124" i="22" s="1"/>
  <c r="U4124" i="22" s="1"/>
  <c r="P4124" i="22"/>
  <c r="Q4124" i="22"/>
  <c r="R4124" i="22"/>
  <c r="L4125" i="22"/>
  <c r="C4125" i="22"/>
  <c r="K4125" i="22" s="1"/>
  <c r="E4125" i="22"/>
  <c r="F4125" i="22"/>
  <c r="O4125" i="22" s="1"/>
  <c r="G4125" i="22"/>
  <c r="I4125" i="22"/>
  <c r="B4126" i="22"/>
  <c r="D4070" i="22"/>
  <c r="J4070" i="22"/>
  <c r="P4070" i="22"/>
  <c r="Q4070" i="22"/>
  <c r="R4070" i="22"/>
  <c r="L4071" i="22"/>
  <c r="C4071" i="22"/>
  <c r="K4071" i="22" s="1"/>
  <c r="E4071" i="22"/>
  <c r="F4071" i="22"/>
  <c r="O4071" i="22" s="1"/>
  <c r="G4071" i="22"/>
  <c r="I4071" i="22"/>
  <c r="B4072" i="22"/>
  <c r="M3770" i="22"/>
  <c r="D3770" i="22"/>
  <c r="J3770" i="22"/>
  <c r="N3770" i="22" s="1"/>
  <c r="U3770" i="22" s="1"/>
  <c r="P3770" i="22"/>
  <c r="Q3770" i="22"/>
  <c r="R3770" i="22"/>
  <c r="L3771" i="22"/>
  <c r="C3771" i="22"/>
  <c r="K3771" i="22" s="1"/>
  <c r="E3771" i="22"/>
  <c r="F3771" i="22"/>
  <c r="O3771" i="22" s="1"/>
  <c r="G3771" i="22"/>
  <c r="I3771" i="22"/>
  <c r="B3772" i="22"/>
  <c r="D3716" i="22"/>
  <c r="J3716" i="22"/>
  <c r="P3716" i="22"/>
  <c r="Q3716" i="22"/>
  <c r="R3716" i="22"/>
  <c r="L3717" i="22"/>
  <c r="C3717" i="22"/>
  <c r="E3717" i="22"/>
  <c r="G3717" i="22"/>
  <c r="I3717" i="22"/>
  <c r="B3718" i="22"/>
  <c r="M3662" i="22"/>
  <c r="D3662" i="22"/>
  <c r="J3662" i="22"/>
  <c r="N3662" i="22" s="1"/>
  <c r="U3662" i="22" s="1"/>
  <c r="P3662" i="22"/>
  <c r="Q3662" i="22"/>
  <c r="R3662" i="22"/>
  <c r="L3663" i="22"/>
  <c r="C3663" i="22"/>
  <c r="E3663" i="22"/>
  <c r="G3663" i="22"/>
  <c r="I3663" i="22"/>
  <c r="B3664" i="22"/>
  <c r="M3608" i="22"/>
  <c r="D3608" i="22"/>
  <c r="J3608" i="22"/>
  <c r="N3608" i="22" s="1"/>
  <c r="U3608" i="22" s="1"/>
  <c r="P3608" i="22"/>
  <c r="Q3608" i="22"/>
  <c r="R3608" i="22"/>
  <c r="L3609" i="22"/>
  <c r="C3609" i="22"/>
  <c r="E3609" i="22"/>
  <c r="G3609" i="22"/>
  <c r="I3609" i="22"/>
  <c r="B3610" i="22"/>
  <c r="P3554" i="22"/>
  <c r="Q3554" i="22"/>
  <c r="R3554" i="22"/>
  <c r="J3554" i="22"/>
  <c r="D3554" i="22"/>
  <c r="L3555" i="22"/>
  <c r="I3555" i="22"/>
  <c r="B3556" i="22"/>
  <c r="C3555" i="22"/>
  <c r="E3555" i="22"/>
  <c r="G3555" i="22"/>
  <c r="M3500" i="22"/>
  <c r="D3500" i="22"/>
  <c r="J3500" i="22"/>
  <c r="N3500" i="22" s="1"/>
  <c r="U3500" i="22" s="1"/>
  <c r="P3500" i="22"/>
  <c r="Q3500" i="22"/>
  <c r="R3500" i="22"/>
  <c r="L3501" i="22"/>
  <c r="C3501" i="22"/>
  <c r="K3501" i="22" s="1"/>
  <c r="E3501" i="22"/>
  <c r="F3501" i="22"/>
  <c r="O3501" i="22" s="1"/>
  <c r="G3501" i="22"/>
  <c r="I3501" i="22"/>
  <c r="B3502" i="22"/>
  <c r="M3446" i="22"/>
  <c r="D3446" i="22"/>
  <c r="J3446" i="22"/>
  <c r="N3446" i="22" s="1"/>
  <c r="U3446" i="22" s="1"/>
  <c r="P3446" i="22"/>
  <c r="Q3446" i="22"/>
  <c r="R3446" i="22"/>
  <c r="L3447" i="22"/>
  <c r="C3447" i="22"/>
  <c r="K3447" i="22" s="1"/>
  <c r="E3447" i="22"/>
  <c r="F3447" i="22"/>
  <c r="O3447" i="22" s="1"/>
  <c r="G3447" i="22"/>
  <c r="I3447" i="22"/>
  <c r="B3448" i="22"/>
  <c r="D3392" i="22"/>
  <c r="J3392" i="22"/>
  <c r="P3392" i="22"/>
  <c r="Q3392" i="22"/>
  <c r="R3392" i="22"/>
  <c r="L3393" i="22"/>
  <c r="C3393" i="22"/>
  <c r="K3393" i="22" s="1"/>
  <c r="E3393" i="22"/>
  <c r="F3393" i="22"/>
  <c r="O3393" i="22" s="1"/>
  <c r="G3393" i="22"/>
  <c r="I3393" i="22"/>
  <c r="B3394" i="22"/>
  <c r="M3338" i="22"/>
  <c r="D3338" i="22"/>
  <c r="J3338" i="22"/>
  <c r="N3338" i="22" s="1"/>
  <c r="U3338" i="22" s="1"/>
  <c r="P3338" i="22"/>
  <c r="Q3338" i="22"/>
  <c r="R3338" i="22"/>
  <c r="L3339" i="22"/>
  <c r="C3339" i="22"/>
  <c r="E3339" i="22"/>
  <c r="G3339" i="22"/>
  <c r="I3339" i="22"/>
  <c r="B3340" i="22"/>
  <c r="M3284" i="22"/>
  <c r="D3284" i="22"/>
  <c r="J3284" i="22"/>
  <c r="N3284" i="22" s="1"/>
  <c r="U3284" i="22" s="1"/>
  <c r="P3284" i="22"/>
  <c r="Q3284" i="22"/>
  <c r="R3284" i="22"/>
  <c r="L3285" i="22"/>
  <c r="C3285" i="22"/>
  <c r="E3285" i="22"/>
  <c r="G3285" i="22"/>
  <c r="I3285" i="22"/>
  <c r="B3286" i="22"/>
  <c r="M3230" i="22"/>
  <c r="D3230" i="22"/>
  <c r="J3230" i="22"/>
  <c r="N3230" i="22" s="1"/>
  <c r="U3230" i="22" s="1"/>
  <c r="P3230" i="22"/>
  <c r="Q3230" i="22"/>
  <c r="R3230" i="22"/>
  <c r="L3231" i="22"/>
  <c r="C3231" i="22"/>
  <c r="K3231" i="22" s="1"/>
  <c r="E3231" i="22"/>
  <c r="F3231" i="22"/>
  <c r="O3231" i="22" s="1"/>
  <c r="G3231" i="22"/>
  <c r="I3231" i="22"/>
  <c r="B3232" i="22"/>
  <c r="M3176" i="22"/>
  <c r="D3176" i="22"/>
  <c r="J3176" i="22"/>
  <c r="N3176" i="22" s="1"/>
  <c r="U3176" i="22" s="1"/>
  <c r="P3176" i="22"/>
  <c r="Q3176" i="22"/>
  <c r="R3176" i="22"/>
  <c r="L3177" i="22"/>
  <c r="C3177" i="22"/>
  <c r="K3177" i="22" s="1"/>
  <c r="E3177" i="22"/>
  <c r="F3177" i="22"/>
  <c r="O3177" i="22" s="1"/>
  <c r="G3177" i="22"/>
  <c r="I3177" i="22"/>
  <c r="B3178" i="22"/>
  <c r="M3122" i="22"/>
  <c r="D3122" i="22"/>
  <c r="J3122" i="22"/>
  <c r="N3122" i="22" s="1"/>
  <c r="U3122" i="22" s="1"/>
  <c r="P3122" i="22"/>
  <c r="Q3122" i="22"/>
  <c r="R3122" i="22"/>
  <c r="L3123" i="22"/>
  <c r="C3123" i="22"/>
  <c r="K3123" i="22" s="1"/>
  <c r="E3123" i="22"/>
  <c r="F3123" i="22"/>
  <c r="O3123" i="22" s="1"/>
  <c r="G3123" i="22"/>
  <c r="I3123" i="22"/>
  <c r="B3124" i="22"/>
  <c r="P3068" i="22"/>
  <c r="Q3068" i="22"/>
  <c r="R3068" i="22"/>
  <c r="L3069" i="22"/>
  <c r="C3069" i="22"/>
  <c r="E3069" i="22"/>
  <c r="G3069" i="22"/>
  <c r="B3070" i="22"/>
  <c r="I3069" i="22"/>
  <c r="D3068" i="22"/>
  <c r="M3068" i="22" s="1"/>
  <c r="J3068" i="22"/>
  <c r="M3014" i="22"/>
  <c r="J3014" i="22"/>
  <c r="N3014" i="22" s="1"/>
  <c r="U3014" i="22" s="1"/>
  <c r="D3014" i="22"/>
  <c r="P3014" i="22"/>
  <c r="Q3014" i="22"/>
  <c r="R3014" i="22"/>
  <c r="L3015" i="22"/>
  <c r="E3015" i="22"/>
  <c r="I3015" i="22"/>
  <c r="C3015" i="22"/>
  <c r="K3015" i="22" s="1"/>
  <c r="F3015" i="22"/>
  <c r="O3015" i="22" s="1"/>
  <c r="G3015" i="22"/>
  <c r="B3016" i="22"/>
  <c r="M2960" i="22"/>
  <c r="D2960" i="22"/>
  <c r="J2960" i="22"/>
  <c r="N2960" i="22" s="1"/>
  <c r="U2960" i="22" s="1"/>
  <c r="P2960" i="22"/>
  <c r="Q2960" i="22"/>
  <c r="R2960" i="22"/>
  <c r="L2961" i="22"/>
  <c r="B2962" i="22"/>
  <c r="I2961" i="22"/>
  <c r="C2961" i="22"/>
  <c r="E2961" i="22"/>
  <c r="G2961" i="22"/>
  <c r="P2906" i="22"/>
  <c r="Q2906" i="22"/>
  <c r="R2906" i="22"/>
  <c r="J2906" i="22"/>
  <c r="D2906" i="22"/>
  <c r="L2907" i="22"/>
  <c r="B2908" i="22"/>
  <c r="G2907" i="22"/>
  <c r="I2907" i="22"/>
  <c r="C2907" i="22"/>
  <c r="K2907" i="22" s="1"/>
  <c r="E2907" i="22"/>
  <c r="F2907" i="22"/>
  <c r="O2907" i="22" s="1"/>
  <c r="D2852" i="22"/>
  <c r="J2852" i="22"/>
  <c r="P2852" i="22"/>
  <c r="Q2852" i="22"/>
  <c r="R2852" i="22"/>
  <c r="L2853" i="22"/>
  <c r="C2853" i="22"/>
  <c r="K2853" i="22" s="1"/>
  <c r="E2853" i="22"/>
  <c r="F2853" i="22"/>
  <c r="O2853" i="22" s="1"/>
  <c r="G2853" i="22"/>
  <c r="I2853" i="22"/>
  <c r="B2854" i="22"/>
  <c r="D2798" i="22"/>
  <c r="J2798" i="22"/>
  <c r="Q2798" i="22"/>
  <c r="P2798" i="22"/>
  <c r="R2798" i="22"/>
  <c r="L2799" i="22"/>
  <c r="C2799" i="22"/>
  <c r="E2799" i="22"/>
  <c r="G2799" i="22"/>
  <c r="I2799" i="22"/>
  <c r="B2800" i="22"/>
  <c r="M2744" i="22"/>
  <c r="D2744" i="22"/>
  <c r="J2744" i="22"/>
  <c r="N2744" i="22" s="1"/>
  <c r="U2744" i="22" s="1"/>
  <c r="P2744" i="22"/>
  <c r="Q2744" i="22"/>
  <c r="R2744" i="22"/>
  <c r="L2745" i="22"/>
  <c r="C2745" i="22"/>
  <c r="K2745" i="22" s="1"/>
  <c r="E2745" i="22"/>
  <c r="F2745" i="22"/>
  <c r="O2745" i="22" s="1"/>
  <c r="G2745" i="22"/>
  <c r="I2745" i="22"/>
  <c r="B2746" i="22"/>
  <c r="M2690" i="22"/>
  <c r="D2690" i="22"/>
  <c r="J2690" i="22"/>
  <c r="N2690" i="22" s="1"/>
  <c r="U2690" i="22" s="1"/>
  <c r="P2690" i="22"/>
  <c r="Q2690" i="22"/>
  <c r="R2690" i="22"/>
  <c r="L2691" i="22"/>
  <c r="C2691" i="22"/>
  <c r="K2691" i="22" s="1"/>
  <c r="E2691" i="22"/>
  <c r="F2691" i="22"/>
  <c r="O2691" i="22" s="1"/>
  <c r="G2691" i="22"/>
  <c r="I2691" i="22"/>
  <c r="B2692" i="22"/>
  <c r="M2636" i="22"/>
  <c r="D2636" i="22"/>
  <c r="J2636" i="22"/>
  <c r="N2636" i="22" s="1"/>
  <c r="U2636" i="22" s="1"/>
  <c r="P2636" i="22"/>
  <c r="Q2636" i="22"/>
  <c r="R2636" i="22"/>
  <c r="L2637" i="22"/>
  <c r="C2637" i="22"/>
  <c r="E2637" i="22"/>
  <c r="G2637" i="22"/>
  <c r="I2637" i="22"/>
  <c r="B2638" i="22"/>
  <c r="M2582" i="22"/>
  <c r="D2582" i="22"/>
  <c r="J2582" i="22"/>
  <c r="N2582" i="22" s="1"/>
  <c r="U2582" i="22" s="1"/>
  <c r="P2582" i="22"/>
  <c r="Q2582" i="22"/>
  <c r="R2582" i="22"/>
  <c r="L2583" i="22"/>
  <c r="C2583" i="22"/>
  <c r="E2583" i="22"/>
  <c r="G2583" i="22"/>
  <c r="I2583" i="22"/>
  <c r="B2584" i="22"/>
  <c r="D2528" i="22"/>
  <c r="J2528" i="22"/>
  <c r="P2528" i="22"/>
  <c r="Q2528" i="22"/>
  <c r="R2528" i="22"/>
  <c r="L2529" i="22"/>
  <c r="C2529" i="22"/>
  <c r="E2529" i="22"/>
  <c r="G2529" i="22"/>
  <c r="I2529" i="22"/>
  <c r="B2530" i="22"/>
  <c r="D2474" i="22"/>
  <c r="J2474" i="22"/>
  <c r="P2474" i="22"/>
  <c r="Q2474" i="22"/>
  <c r="R2474" i="22"/>
  <c r="L2475" i="22"/>
  <c r="C2475" i="22"/>
  <c r="K2475" i="22" s="1"/>
  <c r="E2475" i="22"/>
  <c r="F2475" i="22"/>
  <c r="O2475" i="22" s="1"/>
  <c r="G2475" i="22"/>
  <c r="I2475" i="22"/>
  <c r="B2476" i="22"/>
  <c r="D2420" i="22"/>
  <c r="M2420" i="22" s="1"/>
  <c r="J2420" i="22"/>
  <c r="P2420" i="22"/>
  <c r="Q2420" i="22"/>
  <c r="R2420" i="22"/>
  <c r="L2421" i="22"/>
  <c r="C2421" i="22"/>
  <c r="K2421" i="22" s="1"/>
  <c r="E2421" i="22"/>
  <c r="F2421" i="22"/>
  <c r="O2421" i="22" s="1"/>
  <c r="G2421" i="22"/>
  <c r="I2421" i="22"/>
  <c r="B2422" i="22"/>
  <c r="M2366" i="22"/>
  <c r="D2366" i="22"/>
  <c r="J2366" i="22"/>
  <c r="N2366" i="22" s="1"/>
  <c r="U2366" i="22" s="1"/>
  <c r="P2366" i="22"/>
  <c r="Q2366" i="22"/>
  <c r="R2366" i="22"/>
  <c r="L2367" i="22"/>
  <c r="C2367" i="22"/>
  <c r="K2367" i="22" s="1"/>
  <c r="E2367" i="22"/>
  <c r="F2367" i="22"/>
  <c r="O2367" i="22" s="1"/>
  <c r="G2367" i="22"/>
  <c r="I2367" i="22"/>
  <c r="B2368" i="22"/>
  <c r="M2312" i="22"/>
  <c r="D2312" i="22"/>
  <c r="J2312" i="22"/>
  <c r="N2312" i="22" s="1"/>
  <c r="U2312" i="22" s="1"/>
  <c r="P2312" i="22"/>
  <c r="Q2312" i="22"/>
  <c r="R2312" i="22"/>
  <c r="L2313" i="22"/>
  <c r="C2313" i="22"/>
  <c r="K2313" i="22" s="1"/>
  <c r="E2313" i="22"/>
  <c r="F2313" i="22"/>
  <c r="O2313" i="22" s="1"/>
  <c r="G2313" i="22"/>
  <c r="I2313" i="22"/>
  <c r="B2314" i="22"/>
  <c r="N2258" i="22"/>
  <c r="U2258" i="22" s="1"/>
  <c r="M2258" i="22"/>
  <c r="D2258" i="22"/>
  <c r="J2258" i="22"/>
  <c r="P2258" i="22"/>
  <c r="Q2258" i="22"/>
  <c r="R2258" i="22"/>
  <c r="L2259" i="22"/>
  <c r="C2259" i="22"/>
  <c r="K2259" i="22" s="1"/>
  <c r="E2259" i="22"/>
  <c r="F2259" i="22"/>
  <c r="O2259" i="22" s="1"/>
  <c r="G2259" i="22"/>
  <c r="I2259" i="22"/>
  <c r="B2260" i="22"/>
  <c r="M2204" i="22"/>
  <c r="D2204" i="22"/>
  <c r="J2204" i="22"/>
  <c r="N2204" i="22" s="1"/>
  <c r="U2204" i="22" s="1"/>
  <c r="P2204" i="22"/>
  <c r="Q2204" i="22"/>
  <c r="R2204" i="22"/>
  <c r="L2205" i="22"/>
  <c r="C2205" i="22"/>
  <c r="K2205" i="22" s="1"/>
  <c r="E2205" i="22"/>
  <c r="F2205" i="22"/>
  <c r="O2205" i="22" s="1"/>
  <c r="G2205" i="22"/>
  <c r="I2205" i="22"/>
  <c r="B2206" i="22"/>
  <c r="M2150" i="22"/>
  <c r="D2150" i="22"/>
  <c r="J2150" i="22"/>
  <c r="N2150" i="22" s="1"/>
  <c r="U2150" i="22" s="1"/>
  <c r="P2150" i="22"/>
  <c r="Q2150" i="22"/>
  <c r="R2150" i="22"/>
  <c r="L2151" i="22"/>
  <c r="C2151" i="22"/>
  <c r="K2151" i="22" s="1"/>
  <c r="E2151" i="22"/>
  <c r="F2151" i="22"/>
  <c r="O2151" i="22" s="1"/>
  <c r="G2151" i="22"/>
  <c r="I2151" i="22"/>
  <c r="B2152" i="22"/>
  <c r="D2096" i="22"/>
  <c r="J2096" i="22"/>
  <c r="P2096" i="22"/>
  <c r="Q2096" i="22"/>
  <c r="R2096" i="22"/>
  <c r="L2097" i="22"/>
  <c r="C2097" i="22"/>
  <c r="K2097" i="22" s="1"/>
  <c r="E2097" i="22"/>
  <c r="F2097" i="22"/>
  <c r="O2097" i="22" s="1"/>
  <c r="G2097" i="22"/>
  <c r="I2097" i="22"/>
  <c r="B2098" i="22"/>
  <c r="M2042" i="22"/>
  <c r="D2042" i="22"/>
  <c r="J2042" i="22"/>
  <c r="N2042" i="22" s="1"/>
  <c r="U2042" i="22" s="1"/>
  <c r="P2042" i="22"/>
  <c r="Q2042" i="22"/>
  <c r="R2042" i="22"/>
  <c r="L2043" i="22"/>
  <c r="C2043" i="22"/>
  <c r="K2043" i="22" s="1"/>
  <c r="E2043" i="22"/>
  <c r="F2043" i="22"/>
  <c r="O2043" i="22" s="1"/>
  <c r="G2043" i="22"/>
  <c r="I2043" i="22"/>
  <c r="B2044" i="22"/>
  <c r="M1988" i="22"/>
  <c r="D1988" i="22"/>
  <c r="J1988" i="22"/>
  <c r="N1988" i="22" s="1"/>
  <c r="U1988" i="22" s="1"/>
  <c r="P1988" i="22"/>
  <c r="Q1988" i="22"/>
  <c r="R1988" i="22"/>
  <c r="L1989" i="22"/>
  <c r="C1989" i="22"/>
  <c r="E1989" i="22"/>
  <c r="G1989" i="22"/>
  <c r="I1989" i="22"/>
  <c r="B1990" i="22"/>
  <c r="M1934" i="22"/>
  <c r="D1934" i="22"/>
  <c r="J1934" i="22"/>
  <c r="N1934" i="22" s="1"/>
  <c r="U1934" i="22" s="1"/>
  <c r="P1934" i="22"/>
  <c r="Q1934" i="22"/>
  <c r="R1934" i="22"/>
  <c r="L1935" i="22"/>
  <c r="C1935" i="22"/>
  <c r="K1935" i="22" s="1"/>
  <c r="E1935" i="22"/>
  <c r="F1935" i="22"/>
  <c r="O1935" i="22" s="1"/>
  <c r="G1935" i="22"/>
  <c r="I1935" i="22"/>
  <c r="B1936" i="22"/>
  <c r="D1880" i="22"/>
  <c r="J1880" i="22"/>
  <c r="P1880" i="22"/>
  <c r="Q1880" i="22"/>
  <c r="R1880" i="22"/>
  <c r="L1881" i="22"/>
  <c r="C1881" i="22"/>
  <c r="K1881" i="22" s="1"/>
  <c r="E1881" i="22"/>
  <c r="F1881" i="22"/>
  <c r="O1881" i="22" s="1"/>
  <c r="G1881" i="22"/>
  <c r="I1881" i="22"/>
  <c r="B1882" i="22"/>
  <c r="M1826" i="22"/>
  <c r="D1826" i="22"/>
  <c r="J1826" i="22"/>
  <c r="N1826" i="22" s="1"/>
  <c r="U1826" i="22" s="1"/>
  <c r="P1826" i="22"/>
  <c r="Q1826" i="22"/>
  <c r="R1826" i="22"/>
  <c r="L1827" i="22"/>
  <c r="C1827" i="22"/>
  <c r="K1827" i="22" s="1"/>
  <c r="E1827" i="22"/>
  <c r="F1827" i="22"/>
  <c r="O1827" i="22" s="1"/>
  <c r="G1827" i="22"/>
  <c r="I1827" i="22"/>
  <c r="B1828" i="22"/>
  <c r="D1772" i="22"/>
  <c r="J1772" i="22"/>
  <c r="P1772" i="22"/>
  <c r="Q1772" i="22"/>
  <c r="R1772" i="22"/>
  <c r="L1773" i="22"/>
  <c r="C1773" i="22"/>
  <c r="E1773" i="22"/>
  <c r="G1773" i="22"/>
  <c r="I1773" i="22"/>
  <c r="B1774" i="22"/>
  <c r="M1718" i="22"/>
  <c r="D1718" i="22"/>
  <c r="J1718" i="22"/>
  <c r="N1718" i="22" s="1"/>
  <c r="U1718" i="22" s="1"/>
  <c r="P1718" i="22"/>
  <c r="Q1718" i="22"/>
  <c r="R1718" i="22"/>
  <c r="L1719" i="22"/>
  <c r="C1719" i="22"/>
  <c r="E1719" i="22"/>
  <c r="G1719" i="22"/>
  <c r="I1719" i="22"/>
  <c r="B1720" i="22"/>
  <c r="M1664" i="22"/>
  <c r="D1664" i="22"/>
  <c r="J1664" i="22"/>
  <c r="N1664" i="22" s="1"/>
  <c r="U1664" i="22" s="1"/>
  <c r="P1664" i="22"/>
  <c r="Q1664" i="22"/>
  <c r="R1664" i="22"/>
  <c r="L1665" i="22"/>
  <c r="C1665" i="22"/>
  <c r="E1665" i="22"/>
  <c r="G1665" i="22"/>
  <c r="I1665" i="22"/>
  <c r="B1666" i="22"/>
  <c r="M1610" i="22"/>
  <c r="D1610" i="22"/>
  <c r="J1610" i="22"/>
  <c r="N1610" i="22" s="1"/>
  <c r="U1610" i="22" s="1"/>
  <c r="P1610" i="22"/>
  <c r="Q1610" i="22"/>
  <c r="R1610" i="22"/>
  <c r="L1611" i="22"/>
  <c r="C1611" i="22"/>
  <c r="K1611" i="22" s="1"/>
  <c r="E1611" i="22"/>
  <c r="F1611" i="22"/>
  <c r="O1611" i="22" s="1"/>
  <c r="G1611" i="22"/>
  <c r="I1611" i="22"/>
  <c r="B1612" i="22"/>
  <c r="M1556" i="22"/>
  <c r="D1556" i="22"/>
  <c r="J1556" i="22"/>
  <c r="N1556" i="22" s="1"/>
  <c r="U1556" i="22" s="1"/>
  <c r="P1556" i="22"/>
  <c r="Q1556" i="22"/>
  <c r="R1556" i="22"/>
  <c r="L1557" i="22"/>
  <c r="C1557" i="22"/>
  <c r="K1557" i="22" s="1"/>
  <c r="E1557" i="22"/>
  <c r="F1557" i="22"/>
  <c r="O1557" i="22" s="1"/>
  <c r="G1557" i="22"/>
  <c r="I1557" i="22"/>
  <c r="B1558" i="22"/>
  <c r="M1502" i="22"/>
  <c r="D1502" i="22"/>
  <c r="J1502" i="22"/>
  <c r="N1502" i="22" s="1"/>
  <c r="U1502" i="22" s="1"/>
  <c r="P1502" i="22"/>
  <c r="Q1502" i="22"/>
  <c r="R1502" i="22"/>
  <c r="L1503" i="22"/>
  <c r="C1503" i="22"/>
  <c r="E1503" i="22"/>
  <c r="G1503" i="22"/>
  <c r="I1503" i="22"/>
  <c r="B1504" i="22"/>
  <c r="D1448" i="22"/>
  <c r="J1448" i="22"/>
  <c r="P1448" i="22"/>
  <c r="Q1448" i="22"/>
  <c r="R1448" i="22"/>
  <c r="L1449" i="22"/>
  <c r="C1449" i="22"/>
  <c r="K1449" i="22" s="1"/>
  <c r="E1449" i="22"/>
  <c r="F1449" i="22"/>
  <c r="O1449" i="22" s="1"/>
  <c r="G1449" i="22"/>
  <c r="I1449" i="22"/>
  <c r="B1450" i="22"/>
  <c r="M1394" i="22"/>
  <c r="D1394" i="22"/>
  <c r="J1394" i="22"/>
  <c r="N1394" i="22" s="1"/>
  <c r="U1394" i="22" s="1"/>
  <c r="P1394" i="22"/>
  <c r="Q1394" i="22"/>
  <c r="R1394" i="22"/>
  <c r="L1395" i="22"/>
  <c r="C1395" i="22"/>
  <c r="K1395" i="22" s="1"/>
  <c r="E1395" i="22"/>
  <c r="F1395" i="22"/>
  <c r="O1395" i="22" s="1"/>
  <c r="G1395" i="22"/>
  <c r="I1395" i="22"/>
  <c r="B1396" i="22"/>
  <c r="M1340" i="22"/>
  <c r="D1340" i="22"/>
  <c r="J1340" i="22"/>
  <c r="N1340" i="22" s="1"/>
  <c r="U1340" i="22" s="1"/>
  <c r="P1340" i="22"/>
  <c r="Q1340" i="22"/>
  <c r="R1340" i="22"/>
  <c r="L1341" i="22"/>
  <c r="C1341" i="22"/>
  <c r="E1341" i="22"/>
  <c r="G1341" i="22"/>
  <c r="I1341" i="22"/>
  <c r="B1342" i="22"/>
  <c r="M1286" i="22"/>
  <c r="D1286" i="22"/>
  <c r="J1286" i="22"/>
  <c r="N1286" i="22" s="1"/>
  <c r="U1286" i="22" s="1"/>
  <c r="P1286" i="22"/>
  <c r="Q1286" i="22"/>
  <c r="R1286" i="22"/>
  <c r="L1287" i="22"/>
  <c r="C1287" i="22"/>
  <c r="E1287" i="22"/>
  <c r="G1287" i="22"/>
  <c r="I1287" i="22"/>
  <c r="B1288" i="22"/>
  <c r="M1232" i="22"/>
  <c r="D1232" i="22"/>
  <c r="J1232" i="22"/>
  <c r="N1232" i="22" s="1"/>
  <c r="U1232" i="22" s="1"/>
  <c r="P1232" i="22"/>
  <c r="Q1232" i="22"/>
  <c r="R1232" i="22"/>
  <c r="L1233" i="22"/>
  <c r="C1233" i="22"/>
  <c r="E1233" i="22"/>
  <c r="G1233" i="22"/>
  <c r="I1233" i="22"/>
  <c r="B1234" i="22"/>
  <c r="D1178" i="22"/>
  <c r="J1178" i="22"/>
  <c r="P1178" i="22"/>
  <c r="Q1178" i="22"/>
  <c r="R1178" i="22"/>
  <c r="L1179" i="22"/>
  <c r="C1179" i="22"/>
  <c r="K1179" i="22" s="1"/>
  <c r="E1179" i="22"/>
  <c r="F1179" i="22"/>
  <c r="O1179" i="22" s="1"/>
  <c r="G1179" i="22"/>
  <c r="I1179" i="22"/>
  <c r="B1180" i="22"/>
  <c r="D1124" i="22"/>
  <c r="M1124" i="22" s="1"/>
  <c r="J1124" i="22"/>
  <c r="P1124" i="22"/>
  <c r="Q1124" i="22"/>
  <c r="R1124" i="22"/>
  <c r="L1125" i="22"/>
  <c r="C1125" i="22"/>
  <c r="K1125" i="22" s="1"/>
  <c r="E1125" i="22"/>
  <c r="F1125" i="22"/>
  <c r="O1125" i="22" s="1"/>
  <c r="G1125" i="22"/>
  <c r="I1125" i="22"/>
  <c r="B1126" i="22"/>
  <c r="M1070" i="22"/>
  <c r="D1070" i="22"/>
  <c r="J1070" i="22"/>
  <c r="N1070" i="22" s="1"/>
  <c r="U1070" i="22" s="1"/>
  <c r="P1070" i="22"/>
  <c r="Q1070" i="22"/>
  <c r="R1070" i="22"/>
  <c r="L1071" i="22"/>
  <c r="C1071" i="22"/>
  <c r="K1071" i="22" s="1"/>
  <c r="E1071" i="22"/>
  <c r="F1071" i="22"/>
  <c r="O1071" i="22" s="1"/>
  <c r="G1071" i="22"/>
  <c r="I1071" i="22"/>
  <c r="B1072" i="22"/>
  <c r="M1016" i="22"/>
  <c r="D1016" i="22"/>
  <c r="J1016" i="22"/>
  <c r="N1016" i="22" s="1"/>
  <c r="U1016" i="22" s="1"/>
  <c r="P1016" i="22"/>
  <c r="Q1016" i="22"/>
  <c r="R1016" i="22"/>
  <c r="L1017" i="22"/>
  <c r="C1017" i="22"/>
  <c r="E1017" i="22"/>
  <c r="G1017" i="22"/>
  <c r="I1017" i="22"/>
  <c r="B1018" i="22"/>
  <c r="M962" i="22"/>
  <c r="D962" i="22"/>
  <c r="J962" i="22"/>
  <c r="N962" i="22" s="1"/>
  <c r="U962" i="22" s="1"/>
  <c r="P962" i="22"/>
  <c r="Q962" i="22"/>
  <c r="R962" i="22"/>
  <c r="L963" i="22"/>
  <c r="C963" i="22"/>
  <c r="E963" i="22"/>
  <c r="G963" i="22"/>
  <c r="I963" i="22"/>
  <c r="B964" i="22"/>
  <c r="M908" i="22"/>
  <c r="D908" i="22"/>
  <c r="J908" i="22"/>
  <c r="N908" i="22" s="1"/>
  <c r="U908" i="22" s="1"/>
  <c r="P908" i="22"/>
  <c r="Q908" i="22"/>
  <c r="R908" i="22"/>
  <c r="L909" i="22"/>
  <c r="C909" i="22"/>
  <c r="K909" i="22" s="1"/>
  <c r="E909" i="22"/>
  <c r="F909" i="22"/>
  <c r="O909" i="22" s="1"/>
  <c r="G909" i="22"/>
  <c r="I909" i="22"/>
  <c r="B910" i="22"/>
  <c r="M854" i="22"/>
  <c r="D854" i="22"/>
  <c r="J854" i="22"/>
  <c r="N854" i="22" s="1"/>
  <c r="U854" i="22" s="1"/>
  <c r="P854" i="22"/>
  <c r="Q854" i="22"/>
  <c r="R854" i="22"/>
  <c r="L855" i="22"/>
  <c r="C855" i="22"/>
  <c r="K855" i="22" s="1"/>
  <c r="E855" i="22"/>
  <c r="F855" i="22"/>
  <c r="O855" i="22" s="1"/>
  <c r="G855" i="22"/>
  <c r="I855" i="22"/>
  <c r="B856" i="22"/>
  <c r="D800" i="22"/>
  <c r="J800" i="22"/>
  <c r="P800" i="22"/>
  <c r="Q800" i="22"/>
  <c r="R800" i="22"/>
  <c r="L801" i="22"/>
  <c r="C801" i="22"/>
  <c r="K801" i="22" s="1"/>
  <c r="E801" i="22"/>
  <c r="F801" i="22"/>
  <c r="O801" i="22" s="1"/>
  <c r="G801" i="22"/>
  <c r="I801" i="22"/>
  <c r="B802" i="22"/>
  <c r="M746" i="22"/>
  <c r="D746" i="22"/>
  <c r="J746" i="22"/>
  <c r="N746" i="22" s="1"/>
  <c r="U746" i="22" s="1"/>
  <c r="P746" i="22"/>
  <c r="Q746" i="22"/>
  <c r="R746" i="22"/>
  <c r="L747" i="22"/>
  <c r="C747" i="22"/>
  <c r="E747" i="22"/>
  <c r="G747" i="22"/>
  <c r="I747" i="22"/>
  <c r="B748" i="22"/>
  <c r="M692" i="22"/>
  <c r="D692" i="22"/>
  <c r="J692" i="22"/>
  <c r="N692" i="22" s="1"/>
  <c r="U692" i="22" s="1"/>
  <c r="P692" i="22"/>
  <c r="Q692" i="22"/>
  <c r="R692" i="22"/>
  <c r="L693" i="22"/>
  <c r="C693" i="22"/>
  <c r="K693" i="22" s="1"/>
  <c r="E693" i="22"/>
  <c r="F693" i="22"/>
  <c r="O693" i="22" s="1"/>
  <c r="G693" i="22"/>
  <c r="I693" i="22"/>
  <c r="B694" i="22"/>
  <c r="M638" i="22"/>
  <c r="D638" i="22"/>
  <c r="J638" i="22"/>
  <c r="N638" i="22" s="1"/>
  <c r="U638" i="22" s="1"/>
  <c r="P638" i="22"/>
  <c r="Q638" i="22"/>
  <c r="R638" i="22"/>
  <c r="L639" i="22"/>
  <c r="C639" i="22"/>
  <c r="E639" i="22"/>
  <c r="G639" i="22"/>
  <c r="I639" i="22"/>
  <c r="B640" i="22"/>
  <c r="M584" i="22"/>
  <c r="D584" i="22"/>
  <c r="J584" i="22"/>
  <c r="N584" i="22" s="1"/>
  <c r="U584" i="22" s="1"/>
  <c r="P584" i="22"/>
  <c r="Q584" i="22"/>
  <c r="R584" i="22"/>
  <c r="L585" i="22"/>
  <c r="C585" i="22"/>
  <c r="K585" i="22" s="1"/>
  <c r="E585" i="22"/>
  <c r="F585" i="22"/>
  <c r="O585" i="22" s="1"/>
  <c r="G585" i="22"/>
  <c r="I585" i="22"/>
  <c r="B586" i="22"/>
  <c r="D530" i="22"/>
  <c r="J530" i="22"/>
  <c r="P530" i="22"/>
  <c r="Q530" i="22"/>
  <c r="R530" i="22"/>
  <c r="L531" i="22"/>
  <c r="C531" i="22"/>
  <c r="K531" i="22" s="1"/>
  <c r="E531" i="22"/>
  <c r="F531" i="22"/>
  <c r="O531" i="22" s="1"/>
  <c r="G531" i="22"/>
  <c r="I531" i="22"/>
  <c r="B532" i="22"/>
  <c r="D476" i="22"/>
  <c r="M476" i="22" s="1"/>
  <c r="J476" i="22"/>
  <c r="P476" i="22"/>
  <c r="Q476" i="22"/>
  <c r="R476" i="22"/>
  <c r="L477" i="22"/>
  <c r="C477" i="22"/>
  <c r="K477" i="22" s="1"/>
  <c r="E477" i="22"/>
  <c r="F477" i="22"/>
  <c r="O477" i="22" s="1"/>
  <c r="G477" i="22"/>
  <c r="I477" i="22"/>
  <c r="B478" i="22"/>
  <c r="M422" i="22"/>
  <c r="P422" i="22"/>
  <c r="Q422" i="22"/>
  <c r="R422" i="22"/>
  <c r="L423" i="22"/>
  <c r="E423" i="22"/>
  <c r="G423" i="22"/>
  <c r="B424" i="22"/>
  <c r="C423" i="22"/>
  <c r="K423" i="22" s="1"/>
  <c r="F423" i="22"/>
  <c r="O423" i="22" s="1"/>
  <c r="I423" i="22"/>
  <c r="D422" i="22"/>
  <c r="J422" i="22"/>
  <c r="N422" i="22" s="1"/>
  <c r="U422" i="22" s="1"/>
  <c r="M368" i="22"/>
  <c r="D368" i="22"/>
  <c r="J368" i="22"/>
  <c r="N368" i="22" s="1"/>
  <c r="U368" i="22" s="1"/>
  <c r="P368" i="22"/>
  <c r="Q368" i="22"/>
  <c r="R368" i="22"/>
  <c r="L369" i="22"/>
  <c r="C369" i="22"/>
  <c r="K369" i="22" s="1"/>
  <c r="E369" i="22"/>
  <c r="F369" i="22"/>
  <c r="O369" i="22" s="1"/>
  <c r="G369" i="22"/>
  <c r="I369" i="22"/>
  <c r="B370" i="22"/>
  <c r="M314" i="22"/>
  <c r="D314" i="22"/>
  <c r="J314" i="22"/>
  <c r="N314" i="22" s="1"/>
  <c r="U314" i="22" s="1"/>
  <c r="P314" i="22"/>
  <c r="Q314" i="22"/>
  <c r="R314" i="22"/>
  <c r="L315" i="22"/>
  <c r="C315" i="22"/>
  <c r="E315" i="22"/>
  <c r="G315" i="22"/>
  <c r="I315" i="22"/>
  <c r="B316" i="22"/>
  <c r="M260" i="22"/>
  <c r="D260" i="22"/>
  <c r="J260" i="22"/>
  <c r="N260" i="22" s="1"/>
  <c r="U260" i="22" s="1"/>
  <c r="P260" i="22"/>
  <c r="Q260" i="22"/>
  <c r="R260" i="22"/>
  <c r="L261" i="22"/>
  <c r="C261" i="22"/>
  <c r="K261" i="22" s="1"/>
  <c r="E261" i="22"/>
  <c r="F261" i="22"/>
  <c r="O261" i="22" s="1"/>
  <c r="G261" i="22"/>
  <c r="I261" i="22"/>
  <c r="B262" i="22"/>
  <c r="M206" i="22"/>
  <c r="D206" i="22"/>
  <c r="J206" i="22"/>
  <c r="N206" i="22" s="1"/>
  <c r="U206" i="22" s="1"/>
  <c r="P206" i="22"/>
  <c r="Q206" i="22"/>
  <c r="R206" i="22"/>
  <c r="L207" i="22"/>
  <c r="C207" i="22"/>
  <c r="K207" i="22" s="1"/>
  <c r="E207" i="22"/>
  <c r="F207" i="22"/>
  <c r="O207" i="22" s="1"/>
  <c r="G207" i="22"/>
  <c r="I207" i="22"/>
  <c r="B208" i="22"/>
  <c r="M152" i="22"/>
  <c r="D152" i="22"/>
  <c r="J152" i="22"/>
  <c r="N152" i="22" s="1"/>
  <c r="U152" i="22" s="1"/>
  <c r="P152" i="22"/>
  <c r="Q152" i="22"/>
  <c r="R152" i="22"/>
  <c r="L153" i="22"/>
  <c r="C153" i="22"/>
  <c r="K153" i="22" s="1"/>
  <c r="E153" i="22"/>
  <c r="F153" i="22"/>
  <c r="O153" i="22" s="1"/>
  <c r="G153" i="22"/>
  <c r="B154" i="22"/>
  <c r="I153" i="22"/>
  <c r="M98" i="22"/>
  <c r="D98" i="22"/>
  <c r="J98" i="22"/>
  <c r="N98" i="22" s="1"/>
  <c r="U98" i="22" s="1"/>
  <c r="P98" i="22"/>
  <c r="Q98" i="22"/>
  <c r="R98" i="22"/>
  <c r="L99" i="22"/>
  <c r="C99" i="22"/>
  <c r="K99" i="22" s="1"/>
  <c r="E99" i="22"/>
  <c r="F99" i="22"/>
  <c r="O99" i="22" s="1"/>
  <c r="G99" i="22"/>
  <c r="I99" i="22"/>
  <c r="B100" i="22"/>
  <c r="C87" i="12"/>
  <c r="AN36" i="17"/>
  <c r="AM36" i="17"/>
  <c r="AL36" i="17"/>
  <c r="AK36" i="17"/>
  <c r="AJ36" i="17"/>
  <c r="AI36" i="17"/>
  <c r="AH36" i="17"/>
  <c r="AG36" i="17"/>
  <c r="AF36" i="17"/>
  <c r="AE36" i="17"/>
  <c r="AD36" i="17"/>
  <c r="AC36" i="17"/>
  <c r="AB36" i="17"/>
  <c r="AA36" i="17"/>
  <c r="Z36" i="17"/>
  <c r="Y36" i="17"/>
  <c r="X36" i="17"/>
  <c r="W36" i="17"/>
  <c r="P36" i="17"/>
  <c r="F36" i="18" s="1"/>
  <c r="Q36" i="17"/>
  <c r="G36" i="18" s="1"/>
  <c r="R36" i="17"/>
  <c r="H36" i="18" s="1"/>
  <c r="V36" i="17"/>
  <c r="D36" i="17"/>
  <c r="J36" i="17"/>
  <c r="I37" i="17"/>
  <c r="L37" i="17"/>
  <c r="B38" i="17"/>
  <c r="C37" i="17"/>
  <c r="F37" i="17" s="1"/>
  <c r="C37" i="18" s="1"/>
  <c r="E37" i="18" s="1"/>
  <c r="E37" i="17"/>
  <c r="G37" i="17"/>
  <c r="AP37" i="17" s="1"/>
  <c r="K37" i="17"/>
  <c r="B37" i="18"/>
  <c r="G86" i="12"/>
  <c r="AR16" i="17"/>
  <c r="B102" i="12"/>
  <c r="I102" i="12" s="1"/>
  <c r="AQ15" i="17"/>
  <c r="AP17" i="17"/>
  <c r="AP18" i="17"/>
  <c r="AP19" i="17"/>
  <c r="AP20" i="17"/>
  <c r="AP21" i="17"/>
  <c r="AP22" i="17"/>
  <c r="AP23" i="17"/>
  <c r="AP24" i="17"/>
  <c r="AP25" i="17"/>
  <c r="AP26" i="17"/>
  <c r="AP27" i="17"/>
  <c r="AP28" i="17"/>
  <c r="AP29" i="17"/>
  <c r="AP30" i="17"/>
  <c r="AP31" i="17"/>
  <c r="AP32" i="17"/>
  <c r="AP33" i="17"/>
  <c r="AP35" i="17"/>
  <c r="AP36" i="17"/>
  <c r="AP34" i="17"/>
  <c r="M1500" i="23"/>
  <c r="N1500" i="23"/>
  <c r="AE1500" i="23" s="1"/>
  <c r="M1444" i="23"/>
  <c r="N1444" i="23"/>
  <c r="AE1444" i="23" s="1"/>
  <c r="M1388" i="23"/>
  <c r="N1388" i="23"/>
  <c r="AE1388" i="23" s="1"/>
  <c r="M884" i="23"/>
  <c r="N884" i="23"/>
  <c r="AE884" i="23" s="1"/>
  <c r="M4585" i="22"/>
  <c r="N4585" i="22"/>
  <c r="M3661" i="22"/>
  <c r="N3661" i="22"/>
  <c r="U3661" i="22" s="1"/>
  <c r="M3391" i="22"/>
  <c r="N3391" i="22"/>
  <c r="U3391" i="22" s="1"/>
  <c r="M3067" i="22"/>
  <c r="N3067" i="22"/>
  <c r="U3067" i="22" s="1"/>
  <c r="M3013" i="22"/>
  <c r="N3013" i="22"/>
  <c r="U3013" i="22" s="1"/>
  <c r="M2959" i="22"/>
  <c r="N2959" i="22"/>
  <c r="U2959" i="22" s="1"/>
  <c r="N2905" i="22"/>
  <c r="U2905" i="22" s="1"/>
  <c r="M2905" i="22"/>
  <c r="M2689" i="22"/>
  <c r="N2689" i="22"/>
  <c r="U2689" i="22" s="1"/>
  <c r="M2635" i="22"/>
  <c r="N2635" i="22"/>
  <c r="U2635" i="22" s="1"/>
  <c r="M2365" i="22"/>
  <c r="N2365" i="22"/>
  <c r="U2365" i="22" s="1"/>
  <c r="M2311" i="22"/>
  <c r="N2311" i="22"/>
  <c r="U2311" i="22" s="1"/>
  <c r="M1987" i="22"/>
  <c r="N1987" i="22"/>
  <c r="U1987" i="22" s="1"/>
  <c r="M1663" i="22"/>
  <c r="N1663" i="22"/>
  <c r="U1663" i="22" s="1"/>
  <c r="M1285" i="22"/>
  <c r="N1285" i="22"/>
  <c r="U1285" i="22" s="1"/>
  <c r="AE1612" i="23"/>
  <c r="AK1612" i="23"/>
  <c r="F1389" i="23"/>
  <c r="O1389" i="23" s="1"/>
  <c r="K1389" i="23"/>
  <c r="F1221" i="23"/>
  <c r="O1221" i="23" s="1"/>
  <c r="K1221" i="23"/>
  <c r="F941" i="23"/>
  <c r="O941" i="23" s="1"/>
  <c r="K941" i="23"/>
  <c r="K4694" i="22"/>
  <c r="F4694" i="22"/>
  <c r="D4640" i="22"/>
  <c r="F4640" i="22"/>
  <c r="O4640" i="22" s="1"/>
  <c r="F4532" i="22"/>
  <c r="K4532" i="22"/>
  <c r="K4232" i="22"/>
  <c r="F4232" i="22"/>
  <c r="O4232" i="22" s="1"/>
  <c r="F4070" i="22"/>
  <c r="O4070" i="22" s="1"/>
  <c r="K4070" i="22"/>
  <c r="K3716" i="22"/>
  <c r="F3716" i="22"/>
  <c r="O3716" i="22" s="1"/>
  <c r="F3554" i="22"/>
  <c r="O3554" i="22" s="1"/>
  <c r="K3554" i="22"/>
  <c r="F3392" i="22"/>
  <c r="O3392" i="22" s="1"/>
  <c r="K3392" i="22"/>
  <c r="K2906" i="22"/>
  <c r="F2906" i="22"/>
  <c r="O2906" i="22" s="1"/>
  <c r="F2852" i="22"/>
  <c r="O2852" i="22" s="1"/>
  <c r="K2852" i="22"/>
  <c r="K2798" i="22"/>
  <c r="F2798" i="22"/>
  <c r="O2798" i="22" s="1"/>
  <c r="F2528" i="22"/>
  <c r="O2528" i="22" s="1"/>
  <c r="K2528" i="22"/>
  <c r="K2474" i="22"/>
  <c r="F2474" i="22"/>
  <c r="O2474" i="22" s="1"/>
  <c r="K2096" i="22"/>
  <c r="F2096" i="22"/>
  <c r="O2096" i="22" s="1"/>
  <c r="F1880" i="22"/>
  <c r="O1880" i="22" s="1"/>
  <c r="K1880" i="22"/>
  <c r="F1772" i="22"/>
  <c r="O1772" i="22" s="1"/>
  <c r="K1772" i="22"/>
  <c r="K1448" i="22"/>
  <c r="F1448" i="22"/>
  <c r="O1448" i="22" s="1"/>
  <c r="F1178" i="22"/>
  <c r="O1178" i="22" s="1"/>
  <c r="K1178" i="22"/>
  <c r="F800" i="22"/>
  <c r="O800" i="22" s="1"/>
  <c r="K800" i="22"/>
  <c r="K530" i="22"/>
  <c r="F530" i="22"/>
  <c r="O530" i="22" s="1"/>
  <c r="F35" i="18"/>
  <c r="G35" i="18"/>
  <c r="H35" i="18"/>
  <c r="K36" i="17"/>
  <c r="F36" i="17"/>
  <c r="C36" i="18" s="1"/>
  <c r="E36" i="18" s="1"/>
  <c r="N3068" i="22" l="1"/>
  <c r="U3068" i="22" s="1"/>
  <c r="N2420" i="22"/>
  <c r="U2420" i="22" s="1"/>
  <c r="N1124" i="22"/>
  <c r="U1124" i="22" s="1"/>
  <c r="N476" i="22"/>
  <c r="U476" i="22" s="1"/>
  <c r="N997" i="23"/>
  <c r="AE997" i="23" s="1"/>
  <c r="K942" i="23"/>
  <c r="F942" i="23"/>
  <c r="O942" i="23" s="1"/>
  <c r="K4695" i="22"/>
  <c r="F4695" i="22"/>
  <c r="K4179" i="22"/>
  <c r="F4179" i="22"/>
  <c r="O4179" i="22" s="1"/>
  <c r="K2799" i="22"/>
  <c r="F2799" i="22"/>
  <c r="O2799" i="22" s="1"/>
  <c r="K2583" i="22"/>
  <c r="F2583" i="22"/>
  <c r="O2583" i="22" s="1"/>
  <c r="K2529" i="22"/>
  <c r="F2529" i="22"/>
  <c r="O2529" i="22" s="1"/>
  <c r="K1773" i="22"/>
  <c r="F1773" i="22"/>
  <c r="O1773" i="22" s="1"/>
  <c r="K1503" i="22"/>
  <c r="F1503" i="22"/>
  <c r="O1503" i="22" s="1"/>
  <c r="K1233" i="22"/>
  <c r="F1233" i="22"/>
  <c r="O1233" i="22" s="1"/>
  <c r="K747" i="22"/>
  <c r="F747" i="22"/>
  <c r="O747" i="22" s="1"/>
  <c r="M1614" i="23"/>
  <c r="J1614" i="23"/>
  <c r="N1614" i="23" s="1"/>
  <c r="D1614" i="23"/>
  <c r="P1614" i="23"/>
  <c r="Q1614" i="23"/>
  <c r="R1614" i="23"/>
  <c r="I1615" i="23"/>
  <c r="L1615" i="23"/>
  <c r="C1615" i="23"/>
  <c r="K1615" i="23" s="1"/>
  <c r="E1615" i="23"/>
  <c r="F1615" i="23"/>
  <c r="O1615" i="23" s="1"/>
  <c r="G1615" i="23"/>
  <c r="B1616" i="23"/>
  <c r="M1558" i="23"/>
  <c r="J1558" i="23"/>
  <c r="N1558" i="23" s="1"/>
  <c r="AE1558" i="23" s="1"/>
  <c r="D1558" i="23"/>
  <c r="P1558" i="23"/>
  <c r="Q1558" i="23"/>
  <c r="R1558" i="23"/>
  <c r="L1559" i="23"/>
  <c r="I1559" i="23"/>
  <c r="C1559" i="23"/>
  <c r="K1559" i="23" s="1"/>
  <c r="E1559" i="23"/>
  <c r="F1559" i="23"/>
  <c r="O1559" i="23" s="1"/>
  <c r="G1559" i="23"/>
  <c r="B1560" i="23"/>
  <c r="J1502" i="23"/>
  <c r="D1502" i="23"/>
  <c r="P1502" i="23"/>
  <c r="Q1502" i="23"/>
  <c r="R1502" i="23"/>
  <c r="L1503" i="23"/>
  <c r="I1503" i="23"/>
  <c r="C1503" i="23"/>
  <c r="E1503" i="23"/>
  <c r="G1503" i="23"/>
  <c r="B1504" i="23"/>
  <c r="J1446" i="23"/>
  <c r="D1446" i="23"/>
  <c r="P1446" i="23"/>
  <c r="Q1446" i="23"/>
  <c r="R1446" i="23"/>
  <c r="L1447" i="23"/>
  <c r="I1447" i="23"/>
  <c r="C1447" i="23"/>
  <c r="K1447" i="23" s="1"/>
  <c r="E1447" i="23"/>
  <c r="F1447" i="23"/>
  <c r="O1447" i="23" s="1"/>
  <c r="G1447" i="23"/>
  <c r="B1448" i="23"/>
  <c r="J1390" i="23"/>
  <c r="D1390" i="23"/>
  <c r="P1390" i="23"/>
  <c r="Q1390" i="23"/>
  <c r="R1390" i="23"/>
  <c r="L1391" i="23"/>
  <c r="I1391" i="23"/>
  <c r="E1391" i="23"/>
  <c r="G1391" i="23"/>
  <c r="B1392" i="23"/>
  <c r="C1391" i="23"/>
  <c r="K1391" i="23" s="1"/>
  <c r="F1391" i="23"/>
  <c r="O1391" i="23" s="1"/>
  <c r="M1334" i="23"/>
  <c r="J1334" i="23"/>
  <c r="N1334" i="23" s="1"/>
  <c r="AE1334" i="23" s="1"/>
  <c r="D1334" i="23"/>
  <c r="P1334" i="23"/>
  <c r="Q1334" i="23"/>
  <c r="R1334" i="23"/>
  <c r="L1335" i="23"/>
  <c r="I1335" i="23"/>
  <c r="C1335" i="23"/>
  <c r="K1335" i="23" s="1"/>
  <c r="E1335" i="23"/>
  <c r="F1335" i="23"/>
  <c r="O1335" i="23" s="1"/>
  <c r="G1335" i="23"/>
  <c r="B1336" i="23"/>
  <c r="J1278" i="23"/>
  <c r="D1278" i="23"/>
  <c r="P1278" i="23"/>
  <c r="Q1278" i="23"/>
  <c r="R1278" i="23"/>
  <c r="L1279" i="23"/>
  <c r="I1279" i="23"/>
  <c r="C1279" i="23"/>
  <c r="K1279" i="23" s="1"/>
  <c r="E1279" i="23"/>
  <c r="F1279" i="23"/>
  <c r="O1279" i="23" s="1"/>
  <c r="G1279" i="23"/>
  <c r="B1280" i="23"/>
  <c r="J1222" i="23"/>
  <c r="D1222" i="23"/>
  <c r="P1222" i="23"/>
  <c r="Q1222" i="23"/>
  <c r="R1222" i="23"/>
  <c r="L1223" i="23"/>
  <c r="I1223" i="23"/>
  <c r="C1223" i="23"/>
  <c r="E1223" i="23"/>
  <c r="G1223" i="23"/>
  <c r="B1224" i="23"/>
  <c r="M1166" i="23"/>
  <c r="J1166" i="23"/>
  <c r="N1166" i="23" s="1"/>
  <c r="AE1166" i="23" s="1"/>
  <c r="D1166" i="23"/>
  <c r="P1166" i="23"/>
  <c r="Q1166" i="23"/>
  <c r="R1166" i="23"/>
  <c r="L1167" i="23"/>
  <c r="I1167" i="23"/>
  <c r="C1167" i="23"/>
  <c r="K1167" i="23" s="1"/>
  <c r="E1167" i="23"/>
  <c r="F1167" i="23"/>
  <c r="O1167" i="23" s="1"/>
  <c r="G1167" i="23"/>
  <c r="B1168" i="23"/>
  <c r="M1110" i="23"/>
  <c r="J1110" i="23"/>
  <c r="N1110" i="23" s="1"/>
  <c r="AE1110" i="23" s="1"/>
  <c r="D1110" i="23"/>
  <c r="P1110" i="23"/>
  <c r="Q1110" i="23"/>
  <c r="R1110" i="23"/>
  <c r="L1111" i="23"/>
  <c r="I1111" i="23"/>
  <c r="C1111" i="23"/>
  <c r="K1111" i="23" s="1"/>
  <c r="E1111" i="23"/>
  <c r="F1111" i="23"/>
  <c r="O1111" i="23" s="1"/>
  <c r="G1111" i="23"/>
  <c r="B1112" i="23"/>
  <c r="P1054" i="23"/>
  <c r="Q1054" i="23"/>
  <c r="R1054" i="23"/>
  <c r="J1054" i="23"/>
  <c r="D1054" i="23"/>
  <c r="L1055" i="23"/>
  <c r="I1055" i="23"/>
  <c r="E1055" i="23"/>
  <c r="C1055" i="23"/>
  <c r="G1055" i="23"/>
  <c r="B1056" i="23"/>
  <c r="M998" i="23"/>
  <c r="J998" i="23"/>
  <c r="N998" i="23" s="1"/>
  <c r="AE998" i="23" s="1"/>
  <c r="D998" i="23"/>
  <c r="P998" i="23"/>
  <c r="Q998" i="23"/>
  <c r="R998" i="23"/>
  <c r="L999" i="23"/>
  <c r="I999" i="23"/>
  <c r="C999" i="23"/>
  <c r="E999" i="23"/>
  <c r="G999" i="23"/>
  <c r="B1000" i="23"/>
  <c r="M942" i="23"/>
  <c r="J942" i="23"/>
  <c r="N942" i="23" s="1"/>
  <c r="AE942" i="23" s="1"/>
  <c r="D942" i="23"/>
  <c r="P942" i="23"/>
  <c r="Q942" i="23"/>
  <c r="R942" i="23"/>
  <c r="L943" i="23"/>
  <c r="I943" i="23"/>
  <c r="C943" i="23"/>
  <c r="K943" i="23" s="1"/>
  <c r="E943" i="23"/>
  <c r="F943" i="23"/>
  <c r="O943" i="23" s="1"/>
  <c r="G943" i="23"/>
  <c r="B944" i="23"/>
  <c r="M886" i="23"/>
  <c r="J886" i="23"/>
  <c r="N886" i="23" s="1"/>
  <c r="AE886" i="23" s="1"/>
  <c r="D886" i="23"/>
  <c r="P886" i="23"/>
  <c r="Q886" i="23"/>
  <c r="R886" i="23"/>
  <c r="L887" i="23"/>
  <c r="I887" i="23"/>
  <c r="C887" i="23"/>
  <c r="K887" i="23" s="1"/>
  <c r="E887" i="23"/>
  <c r="F887" i="23"/>
  <c r="O887" i="23" s="1"/>
  <c r="G887" i="23"/>
  <c r="B888" i="23"/>
  <c r="M830" i="23"/>
  <c r="J830" i="23"/>
  <c r="N830" i="23" s="1"/>
  <c r="AE830" i="23" s="1"/>
  <c r="D830" i="23"/>
  <c r="P830" i="23"/>
  <c r="Q830" i="23"/>
  <c r="R830" i="23"/>
  <c r="L831" i="23"/>
  <c r="I831" i="23"/>
  <c r="C831" i="23"/>
  <c r="K831" i="23" s="1"/>
  <c r="E831" i="23"/>
  <c r="F831" i="23"/>
  <c r="O831" i="23" s="1"/>
  <c r="G831" i="23"/>
  <c r="B832" i="23"/>
  <c r="M774" i="23"/>
  <c r="J774" i="23"/>
  <c r="N774" i="23" s="1"/>
  <c r="AE774" i="23" s="1"/>
  <c r="D774" i="23"/>
  <c r="P774" i="23"/>
  <c r="Q774" i="23"/>
  <c r="R774" i="23"/>
  <c r="L775" i="23"/>
  <c r="I775" i="23"/>
  <c r="C775" i="23"/>
  <c r="K775" i="23" s="1"/>
  <c r="E775" i="23"/>
  <c r="F775" i="23"/>
  <c r="O775" i="23" s="1"/>
  <c r="G775" i="23"/>
  <c r="B776" i="23"/>
  <c r="M718" i="23"/>
  <c r="J718" i="23"/>
  <c r="N718" i="23" s="1"/>
  <c r="AE718" i="23" s="1"/>
  <c r="D718" i="23"/>
  <c r="P718" i="23"/>
  <c r="Q718" i="23"/>
  <c r="R718" i="23"/>
  <c r="L719" i="23"/>
  <c r="I719" i="23"/>
  <c r="C719" i="23"/>
  <c r="K719" i="23" s="1"/>
  <c r="E719" i="23"/>
  <c r="F719" i="23"/>
  <c r="O719" i="23" s="1"/>
  <c r="G719" i="23"/>
  <c r="B720" i="23"/>
  <c r="M662" i="23"/>
  <c r="J662" i="23"/>
  <c r="N662" i="23" s="1"/>
  <c r="AE662" i="23" s="1"/>
  <c r="D662" i="23"/>
  <c r="P662" i="23"/>
  <c r="Q662" i="23"/>
  <c r="R662" i="23"/>
  <c r="L663" i="23"/>
  <c r="I663" i="23"/>
  <c r="C663" i="23"/>
  <c r="K663" i="23" s="1"/>
  <c r="E663" i="23"/>
  <c r="F663" i="23"/>
  <c r="O663" i="23" s="1"/>
  <c r="G663" i="23"/>
  <c r="B664" i="23"/>
  <c r="M606" i="23"/>
  <c r="J606" i="23"/>
  <c r="N606" i="23" s="1"/>
  <c r="AE606" i="23" s="1"/>
  <c r="D606" i="23"/>
  <c r="P606" i="23"/>
  <c r="Q606" i="23"/>
  <c r="R606" i="23"/>
  <c r="L607" i="23"/>
  <c r="I607" i="23"/>
  <c r="C607" i="23"/>
  <c r="K607" i="23" s="1"/>
  <c r="E607" i="23"/>
  <c r="F607" i="23"/>
  <c r="O607" i="23" s="1"/>
  <c r="G607" i="23"/>
  <c r="B608" i="23"/>
  <c r="M550" i="23"/>
  <c r="J550" i="23"/>
  <c r="N550" i="23" s="1"/>
  <c r="AE550" i="23" s="1"/>
  <c r="D550" i="23"/>
  <c r="P550" i="23"/>
  <c r="Q550" i="23"/>
  <c r="R550" i="23"/>
  <c r="L551" i="23"/>
  <c r="I551" i="23"/>
  <c r="C551" i="23"/>
  <c r="K551" i="23" s="1"/>
  <c r="E551" i="23"/>
  <c r="F551" i="23"/>
  <c r="O551" i="23" s="1"/>
  <c r="G551" i="23"/>
  <c r="B552" i="23"/>
  <c r="J494" i="23"/>
  <c r="D494" i="23"/>
  <c r="P494" i="23"/>
  <c r="Q494" i="23"/>
  <c r="R494" i="23"/>
  <c r="L495" i="23"/>
  <c r="I495" i="23"/>
  <c r="C495" i="23"/>
  <c r="K495" i="23" s="1"/>
  <c r="E495" i="23"/>
  <c r="F495" i="23"/>
  <c r="O495" i="23" s="1"/>
  <c r="G495" i="23"/>
  <c r="B496" i="23"/>
  <c r="L439" i="23"/>
  <c r="I439" i="23"/>
  <c r="G439" i="23"/>
  <c r="C439" i="23"/>
  <c r="E439" i="23"/>
  <c r="B440" i="23"/>
  <c r="J438" i="23"/>
  <c r="D438" i="23"/>
  <c r="P438" i="23"/>
  <c r="Q438" i="23"/>
  <c r="R438" i="23"/>
  <c r="M382" i="23"/>
  <c r="J382" i="23"/>
  <c r="N382" i="23" s="1"/>
  <c r="AE382" i="23" s="1"/>
  <c r="D382" i="23"/>
  <c r="P382" i="23"/>
  <c r="Q382" i="23"/>
  <c r="R382" i="23"/>
  <c r="L383" i="23"/>
  <c r="I383" i="23"/>
  <c r="C383" i="23"/>
  <c r="E383" i="23"/>
  <c r="G383" i="23"/>
  <c r="B384" i="23"/>
  <c r="M326" i="23"/>
  <c r="J326" i="23"/>
  <c r="N326" i="23" s="1"/>
  <c r="AE326" i="23" s="1"/>
  <c r="D326" i="23"/>
  <c r="P326" i="23"/>
  <c r="Q326" i="23"/>
  <c r="R326" i="23"/>
  <c r="L327" i="23"/>
  <c r="I327" i="23"/>
  <c r="C327" i="23"/>
  <c r="K327" i="23" s="1"/>
  <c r="E327" i="23"/>
  <c r="F327" i="23"/>
  <c r="O327" i="23" s="1"/>
  <c r="G327" i="23"/>
  <c r="B328" i="23"/>
  <c r="M270" i="23"/>
  <c r="J270" i="23"/>
  <c r="N270" i="23" s="1"/>
  <c r="AE270" i="23" s="1"/>
  <c r="D270" i="23"/>
  <c r="P270" i="23"/>
  <c r="Q270" i="23"/>
  <c r="R270" i="23"/>
  <c r="L271" i="23"/>
  <c r="I271" i="23"/>
  <c r="C271" i="23"/>
  <c r="K271" i="23" s="1"/>
  <c r="E271" i="23"/>
  <c r="F271" i="23"/>
  <c r="O271" i="23" s="1"/>
  <c r="G271" i="23"/>
  <c r="B272" i="23"/>
  <c r="D4749" i="22"/>
  <c r="J4749" i="22"/>
  <c r="P4749" i="22"/>
  <c r="Q4749" i="22"/>
  <c r="R4749" i="22"/>
  <c r="M4749" i="22"/>
  <c r="N4749" i="22"/>
  <c r="C4750" i="22"/>
  <c r="E4750" i="22"/>
  <c r="F4750" i="22"/>
  <c r="G4750" i="22"/>
  <c r="I4750" i="22"/>
  <c r="K4750" i="22"/>
  <c r="L4750" i="22"/>
  <c r="B4751" i="22"/>
  <c r="T4693" i="22"/>
  <c r="S4694" i="22"/>
  <c r="T4694" i="22" s="1"/>
  <c r="U4694" i="22"/>
  <c r="M4695" i="22"/>
  <c r="D4695" i="22"/>
  <c r="J4695" i="22"/>
  <c r="N4695" i="22" s="1"/>
  <c r="P4695" i="22"/>
  <c r="Q4695" i="22"/>
  <c r="R4695" i="22"/>
  <c r="L4696" i="22"/>
  <c r="C4696" i="22"/>
  <c r="K4696" i="22" s="1"/>
  <c r="E4696" i="22"/>
  <c r="F4696" i="22"/>
  <c r="G4696" i="22"/>
  <c r="I4696" i="22"/>
  <c r="B4697" i="22"/>
  <c r="P4641" i="22"/>
  <c r="Q4641" i="22"/>
  <c r="R4641" i="22"/>
  <c r="C4642" i="22"/>
  <c r="E4642" i="22"/>
  <c r="G4642" i="22"/>
  <c r="B4643" i="22"/>
  <c r="M4587" i="22"/>
  <c r="J4587" i="22"/>
  <c r="N4587" i="22" s="1"/>
  <c r="D4587" i="22"/>
  <c r="P4587" i="22"/>
  <c r="Q4587" i="22"/>
  <c r="R4587" i="22"/>
  <c r="I4588" i="22"/>
  <c r="L4588" i="22"/>
  <c r="C4588" i="22"/>
  <c r="K4588" i="22" s="1"/>
  <c r="E4588" i="22"/>
  <c r="F4588" i="22"/>
  <c r="G4588" i="22"/>
  <c r="B4589" i="22"/>
  <c r="M4533" i="22"/>
  <c r="D4533" i="22"/>
  <c r="J4533" i="22"/>
  <c r="N4533" i="22" s="1"/>
  <c r="P4533" i="22"/>
  <c r="Q4533" i="22"/>
  <c r="R4533" i="22"/>
  <c r="L4534" i="22"/>
  <c r="C4534" i="22"/>
  <c r="E4534" i="22"/>
  <c r="G4534" i="22"/>
  <c r="I4534" i="22"/>
  <c r="B4535" i="22"/>
  <c r="D4233" i="22"/>
  <c r="J4233" i="22"/>
  <c r="N4233" i="22" s="1"/>
  <c r="U4233" i="22" s="1"/>
  <c r="P4233" i="22"/>
  <c r="Q4233" i="22"/>
  <c r="R4233" i="22"/>
  <c r="M4233" i="22"/>
  <c r="C4234" i="22"/>
  <c r="E4234" i="22"/>
  <c r="F4234" i="22"/>
  <c r="O4234" i="22" s="1"/>
  <c r="G4234" i="22"/>
  <c r="I4234" i="22"/>
  <c r="K4234" i="22"/>
  <c r="L4234" i="22"/>
  <c r="B4235" i="22"/>
  <c r="M4179" i="22"/>
  <c r="D4179" i="22"/>
  <c r="J4179" i="22"/>
  <c r="N4179" i="22" s="1"/>
  <c r="U4179" i="22" s="1"/>
  <c r="P4179" i="22"/>
  <c r="Q4179" i="22"/>
  <c r="R4179" i="22"/>
  <c r="L4180" i="22"/>
  <c r="C4180" i="22"/>
  <c r="K4180" i="22" s="1"/>
  <c r="E4180" i="22"/>
  <c r="F4180" i="22"/>
  <c r="O4180" i="22" s="1"/>
  <c r="G4180" i="22"/>
  <c r="I4180" i="22"/>
  <c r="B4181" i="22"/>
  <c r="M4125" i="22"/>
  <c r="D4125" i="22"/>
  <c r="J4125" i="22"/>
  <c r="N4125" i="22" s="1"/>
  <c r="U4125" i="22" s="1"/>
  <c r="P4125" i="22"/>
  <c r="Q4125" i="22"/>
  <c r="R4125" i="22"/>
  <c r="L4126" i="22"/>
  <c r="C4126" i="22"/>
  <c r="E4126" i="22"/>
  <c r="G4126" i="22"/>
  <c r="I4126" i="22"/>
  <c r="B4127" i="22"/>
  <c r="M4071" i="22"/>
  <c r="D4071" i="22"/>
  <c r="J4071" i="22"/>
  <c r="N4071" i="22" s="1"/>
  <c r="U4071" i="22" s="1"/>
  <c r="P4071" i="22"/>
  <c r="Q4071" i="22"/>
  <c r="R4071" i="22"/>
  <c r="L4072" i="22"/>
  <c r="C4072" i="22"/>
  <c r="K4072" i="22" s="1"/>
  <c r="E4072" i="22"/>
  <c r="F4072" i="22"/>
  <c r="O4072" i="22" s="1"/>
  <c r="G4072" i="22"/>
  <c r="I4072" i="22"/>
  <c r="B4073" i="22"/>
  <c r="M3771" i="22"/>
  <c r="D3771" i="22"/>
  <c r="J3771" i="22"/>
  <c r="N3771" i="22" s="1"/>
  <c r="U3771" i="22" s="1"/>
  <c r="P3771" i="22"/>
  <c r="Q3771" i="22"/>
  <c r="R3771" i="22"/>
  <c r="L3772" i="22"/>
  <c r="C3772" i="22"/>
  <c r="K3772" i="22" s="1"/>
  <c r="E3772" i="22"/>
  <c r="F3772" i="22"/>
  <c r="O3772" i="22" s="1"/>
  <c r="G3772" i="22"/>
  <c r="I3772" i="22"/>
  <c r="B3773" i="22"/>
  <c r="D3717" i="22"/>
  <c r="J3717" i="22"/>
  <c r="P3717" i="22"/>
  <c r="Q3717" i="22"/>
  <c r="R3717" i="22"/>
  <c r="L3718" i="22"/>
  <c r="C3718" i="22"/>
  <c r="E3718" i="22"/>
  <c r="G3718" i="22"/>
  <c r="I3718" i="22"/>
  <c r="B3719" i="22"/>
  <c r="D3663" i="22"/>
  <c r="J3663" i="22"/>
  <c r="P3663" i="22"/>
  <c r="Q3663" i="22"/>
  <c r="R3663" i="22"/>
  <c r="L3664" i="22"/>
  <c r="C3664" i="22"/>
  <c r="K3664" i="22" s="1"/>
  <c r="E3664" i="22"/>
  <c r="F3664" i="22"/>
  <c r="O3664" i="22" s="1"/>
  <c r="G3664" i="22"/>
  <c r="I3664" i="22"/>
  <c r="B3665" i="22"/>
  <c r="D3609" i="22"/>
  <c r="J3609" i="22"/>
  <c r="P3609" i="22"/>
  <c r="Q3609" i="22"/>
  <c r="R3609" i="22"/>
  <c r="L3610" i="22"/>
  <c r="C3610" i="22"/>
  <c r="E3610" i="22"/>
  <c r="G3610" i="22"/>
  <c r="I3610" i="22"/>
  <c r="B3611" i="22"/>
  <c r="L3556" i="22"/>
  <c r="I3556" i="22"/>
  <c r="C3556" i="22"/>
  <c r="K3556" i="22" s="1"/>
  <c r="E3556" i="22"/>
  <c r="F3556" i="22"/>
  <c r="O3556" i="22" s="1"/>
  <c r="G3556" i="22"/>
  <c r="B3557" i="22"/>
  <c r="J3555" i="22"/>
  <c r="D3555" i="22"/>
  <c r="P3555" i="22"/>
  <c r="Q3555" i="22"/>
  <c r="R3555" i="22"/>
  <c r="M3501" i="22"/>
  <c r="D3501" i="22"/>
  <c r="J3501" i="22"/>
  <c r="N3501" i="22" s="1"/>
  <c r="U3501" i="22" s="1"/>
  <c r="P3501" i="22"/>
  <c r="Q3501" i="22"/>
  <c r="R3501" i="22"/>
  <c r="L3502" i="22"/>
  <c r="C3502" i="22"/>
  <c r="K3502" i="22" s="1"/>
  <c r="E3502" i="22"/>
  <c r="F3502" i="22"/>
  <c r="O3502" i="22" s="1"/>
  <c r="G3502" i="22"/>
  <c r="I3502" i="22"/>
  <c r="B3503" i="22"/>
  <c r="M3447" i="22"/>
  <c r="D3447" i="22"/>
  <c r="J3447" i="22"/>
  <c r="N3447" i="22" s="1"/>
  <c r="U3447" i="22" s="1"/>
  <c r="P3447" i="22"/>
  <c r="Q3447" i="22"/>
  <c r="R3447" i="22"/>
  <c r="L3448" i="22"/>
  <c r="C3448" i="22"/>
  <c r="K3448" i="22" s="1"/>
  <c r="E3448" i="22"/>
  <c r="F3448" i="22"/>
  <c r="O3448" i="22" s="1"/>
  <c r="G3448" i="22"/>
  <c r="I3448" i="22"/>
  <c r="B3449" i="22"/>
  <c r="M3393" i="22"/>
  <c r="D3393" i="22"/>
  <c r="J3393" i="22"/>
  <c r="N3393" i="22" s="1"/>
  <c r="U3393" i="22" s="1"/>
  <c r="P3393" i="22"/>
  <c r="Q3393" i="22"/>
  <c r="R3393" i="22"/>
  <c r="L3394" i="22"/>
  <c r="C3394" i="22"/>
  <c r="K3394" i="22" s="1"/>
  <c r="E3394" i="22"/>
  <c r="F3394" i="22"/>
  <c r="O3394" i="22" s="1"/>
  <c r="G3394" i="22"/>
  <c r="I3394" i="22"/>
  <c r="B3395" i="22"/>
  <c r="D3339" i="22"/>
  <c r="J3339" i="22"/>
  <c r="P3339" i="22"/>
  <c r="Q3339" i="22"/>
  <c r="R3339" i="22"/>
  <c r="L3340" i="22"/>
  <c r="C3340" i="22"/>
  <c r="E3340" i="22"/>
  <c r="G3340" i="22"/>
  <c r="I3340" i="22"/>
  <c r="B3341" i="22"/>
  <c r="D3285" i="22"/>
  <c r="J3285" i="22"/>
  <c r="P3285" i="22"/>
  <c r="Q3285" i="22"/>
  <c r="R3285" i="22"/>
  <c r="L3286" i="22"/>
  <c r="C3286" i="22"/>
  <c r="K3286" i="22" s="1"/>
  <c r="E3286" i="22"/>
  <c r="F3286" i="22"/>
  <c r="O3286" i="22" s="1"/>
  <c r="G3286" i="22"/>
  <c r="I3286" i="22"/>
  <c r="B3287" i="22"/>
  <c r="M3231" i="22"/>
  <c r="D3231" i="22"/>
  <c r="J3231" i="22"/>
  <c r="N3231" i="22" s="1"/>
  <c r="U3231" i="22" s="1"/>
  <c r="P3231" i="22"/>
  <c r="Q3231" i="22"/>
  <c r="R3231" i="22"/>
  <c r="L3232" i="22"/>
  <c r="C3232" i="22"/>
  <c r="K3232" i="22" s="1"/>
  <c r="E3232" i="22"/>
  <c r="F3232" i="22"/>
  <c r="O3232" i="22" s="1"/>
  <c r="G3232" i="22"/>
  <c r="I3232" i="22"/>
  <c r="B3233" i="22"/>
  <c r="M3177" i="22"/>
  <c r="D3177" i="22"/>
  <c r="J3177" i="22"/>
  <c r="N3177" i="22" s="1"/>
  <c r="U3177" i="22" s="1"/>
  <c r="P3177" i="22"/>
  <c r="Q3177" i="22"/>
  <c r="R3177" i="22"/>
  <c r="L3178" i="22"/>
  <c r="C3178" i="22"/>
  <c r="K3178" i="22" s="1"/>
  <c r="E3178" i="22"/>
  <c r="F3178" i="22"/>
  <c r="O3178" i="22" s="1"/>
  <c r="G3178" i="22"/>
  <c r="I3178" i="22"/>
  <c r="B3179" i="22"/>
  <c r="M3123" i="22"/>
  <c r="D3123" i="22"/>
  <c r="J3123" i="22"/>
  <c r="N3123" i="22" s="1"/>
  <c r="U3123" i="22" s="1"/>
  <c r="P3123" i="22"/>
  <c r="Q3123" i="22"/>
  <c r="R3123" i="22"/>
  <c r="L3124" i="22"/>
  <c r="C3124" i="22"/>
  <c r="E3124" i="22"/>
  <c r="G3124" i="22"/>
  <c r="I3124" i="22"/>
  <c r="B3125" i="22"/>
  <c r="J3069" i="22"/>
  <c r="D3069" i="22"/>
  <c r="P3069" i="22"/>
  <c r="Q3069" i="22"/>
  <c r="R3069" i="22"/>
  <c r="L3070" i="22"/>
  <c r="G3070" i="22"/>
  <c r="C3070" i="22"/>
  <c r="E3070" i="22"/>
  <c r="B3071" i="22"/>
  <c r="I3070" i="22"/>
  <c r="M3015" i="22"/>
  <c r="D3015" i="22"/>
  <c r="J3015" i="22"/>
  <c r="N3015" i="22" s="1"/>
  <c r="U3015" i="22" s="1"/>
  <c r="P3015" i="22"/>
  <c r="Q3015" i="22"/>
  <c r="R3015" i="22"/>
  <c r="L3016" i="22"/>
  <c r="C3016" i="22"/>
  <c r="K3016" i="22" s="1"/>
  <c r="E3016" i="22"/>
  <c r="F3016" i="22"/>
  <c r="O3016" i="22" s="1"/>
  <c r="G3016" i="22"/>
  <c r="B3017" i="22"/>
  <c r="I3016" i="22"/>
  <c r="L2962" i="22"/>
  <c r="C2962" i="22"/>
  <c r="K2962" i="22" s="1"/>
  <c r="E2962" i="22"/>
  <c r="F2962" i="22"/>
  <c r="O2962" i="22" s="1"/>
  <c r="G2962" i="22"/>
  <c r="I2962" i="22"/>
  <c r="B2963" i="22"/>
  <c r="D2961" i="22"/>
  <c r="J2961" i="22"/>
  <c r="P2961" i="22"/>
  <c r="Q2961" i="22"/>
  <c r="R2961" i="22"/>
  <c r="M2907" i="22"/>
  <c r="L2908" i="22"/>
  <c r="E2908" i="22"/>
  <c r="B2909" i="22"/>
  <c r="C2908" i="22"/>
  <c r="I2908" i="22"/>
  <c r="G2908" i="22"/>
  <c r="P2907" i="22"/>
  <c r="Q2907" i="22"/>
  <c r="R2907" i="22"/>
  <c r="J2907" i="22"/>
  <c r="N2907" i="22" s="1"/>
  <c r="U2907" i="22" s="1"/>
  <c r="D2907" i="22"/>
  <c r="M2853" i="22"/>
  <c r="D2853" i="22"/>
  <c r="J2853" i="22"/>
  <c r="N2853" i="22" s="1"/>
  <c r="U2853" i="22" s="1"/>
  <c r="P2853" i="22"/>
  <c r="Q2853" i="22"/>
  <c r="R2853" i="22"/>
  <c r="L2854" i="22"/>
  <c r="C2854" i="22"/>
  <c r="K2854" i="22" s="1"/>
  <c r="E2854" i="22"/>
  <c r="F2854" i="22"/>
  <c r="O2854" i="22" s="1"/>
  <c r="G2854" i="22"/>
  <c r="I2854" i="22"/>
  <c r="B2855" i="22"/>
  <c r="M2799" i="22"/>
  <c r="D2799" i="22"/>
  <c r="J2799" i="22"/>
  <c r="N2799" i="22" s="1"/>
  <c r="S2799" i="22" s="1"/>
  <c r="T2799" i="22" s="1"/>
  <c r="U2799" i="22" s="1"/>
  <c r="Q2799" i="22"/>
  <c r="P2799" i="22"/>
  <c r="R2799" i="22"/>
  <c r="L2800" i="22"/>
  <c r="C2800" i="22"/>
  <c r="E2800" i="22"/>
  <c r="G2800" i="22"/>
  <c r="I2800" i="22"/>
  <c r="B2801" i="22"/>
  <c r="M2745" i="22"/>
  <c r="D2745" i="22"/>
  <c r="J2745" i="22"/>
  <c r="N2745" i="22" s="1"/>
  <c r="U2745" i="22" s="1"/>
  <c r="P2745" i="22"/>
  <c r="Q2745" i="22"/>
  <c r="R2745" i="22"/>
  <c r="L2746" i="22"/>
  <c r="C2746" i="22"/>
  <c r="E2746" i="22"/>
  <c r="G2746" i="22"/>
  <c r="I2746" i="22"/>
  <c r="B2747" i="22"/>
  <c r="M2691" i="22"/>
  <c r="D2691" i="22"/>
  <c r="J2691" i="22"/>
  <c r="N2691" i="22" s="1"/>
  <c r="U2691" i="22" s="1"/>
  <c r="P2691" i="22"/>
  <c r="Q2691" i="22"/>
  <c r="R2691" i="22"/>
  <c r="L2692" i="22"/>
  <c r="C2692" i="22"/>
  <c r="K2692" i="22" s="1"/>
  <c r="E2692" i="22"/>
  <c r="F2692" i="22"/>
  <c r="O2692" i="22" s="1"/>
  <c r="G2692" i="22"/>
  <c r="I2692" i="22"/>
  <c r="B2693" i="22"/>
  <c r="D2637" i="22"/>
  <c r="J2637" i="22"/>
  <c r="P2637" i="22"/>
  <c r="Q2637" i="22"/>
  <c r="R2637" i="22"/>
  <c r="L2638" i="22"/>
  <c r="C2638" i="22"/>
  <c r="K2638" i="22" s="1"/>
  <c r="E2638" i="22"/>
  <c r="F2638" i="22"/>
  <c r="O2638" i="22" s="1"/>
  <c r="G2638" i="22"/>
  <c r="I2638" i="22"/>
  <c r="B2639" i="22"/>
  <c r="M2583" i="22"/>
  <c r="D2583" i="22"/>
  <c r="J2583" i="22"/>
  <c r="N2583" i="22" s="1"/>
  <c r="U2583" i="22" s="1"/>
  <c r="P2583" i="22"/>
  <c r="Q2583" i="22"/>
  <c r="R2583" i="22"/>
  <c r="L2584" i="22"/>
  <c r="C2584" i="22"/>
  <c r="K2584" i="22" s="1"/>
  <c r="E2584" i="22"/>
  <c r="F2584" i="22"/>
  <c r="O2584" i="22" s="1"/>
  <c r="G2584" i="22"/>
  <c r="I2584" i="22"/>
  <c r="B2585" i="22"/>
  <c r="M2529" i="22"/>
  <c r="D2529" i="22"/>
  <c r="J2529" i="22"/>
  <c r="N2529" i="22" s="1"/>
  <c r="U2529" i="22" s="1"/>
  <c r="P2529" i="22"/>
  <c r="Q2529" i="22"/>
  <c r="R2529" i="22"/>
  <c r="L2530" i="22"/>
  <c r="C2530" i="22"/>
  <c r="K2530" i="22" s="1"/>
  <c r="E2530" i="22"/>
  <c r="F2530" i="22"/>
  <c r="O2530" i="22" s="1"/>
  <c r="G2530" i="22"/>
  <c r="I2530" i="22"/>
  <c r="B2531" i="22"/>
  <c r="M2475" i="22"/>
  <c r="D2475" i="22"/>
  <c r="J2475" i="22"/>
  <c r="N2475" i="22" s="1"/>
  <c r="U2475" i="22" s="1"/>
  <c r="P2475" i="22"/>
  <c r="Q2475" i="22"/>
  <c r="R2475" i="22"/>
  <c r="L2476" i="22"/>
  <c r="C2476" i="22"/>
  <c r="E2476" i="22"/>
  <c r="G2476" i="22"/>
  <c r="I2476" i="22"/>
  <c r="B2477" i="22"/>
  <c r="M2421" i="22"/>
  <c r="D2421" i="22"/>
  <c r="J2421" i="22"/>
  <c r="N2421" i="22" s="1"/>
  <c r="U2421" i="22" s="1"/>
  <c r="P2421" i="22"/>
  <c r="Q2421" i="22"/>
  <c r="R2421" i="22"/>
  <c r="L2422" i="22"/>
  <c r="C2422" i="22"/>
  <c r="E2422" i="22"/>
  <c r="G2422" i="22"/>
  <c r="I2422" i="22"/>
  <c r="B2423" i="22"/>
  <c r="M2367" i="22"/>
  <c r="D2367" i="22"/>
  <c r="J2367" i="22"/>
  <c r="N2367" i="22" s="1"/>
  <c r="U2367" i="22" s="1"/>
  <c r="P2367" i="22"/>
  <c r="Q2367" i="22"/>
  <c r="R2367" i="22"/>
  <c r="L2368" i="22"/>
  <c r="C2368" i="22"/>
  <c r="K2368" i="22" s="1"/>
  <c r="E2368" i="22"/>
  <c r="F2368" i="22"/>
  <c r="O2368" i="22" s="1"/>
  <c r="G2368" i="22"/>
  <c r="I2368" i="22"/>
  <c r="B2369" i="22"/>
  <c r="M2313" i="22"/>
  <c r="D2313" i="22"/>
  <c r="J2313" i="22"/>
  <c r="N2313" i="22" s="1"/>
  <c r="U2313" i="22" s="1"/>
  <c r="P2313" i="22"/>
  <c r="Q2313" i="22"/>
  <c r="R2313" i="22"/>
  <c r="L2314" i="22"/>
  <c r="C2314" i="22"/>
  <c r="K2314" i="22" s="1"/>
  <c r="E2314" i="22"/>
  <c r="F2314" i="22"/>
  <c r="O2314" i="22" s="1"/>
  <c r="G2314" i="22"/>
  <c r="I2314" i="22"/>
  <c r="B2315" i="22"/>
  <c r="M2259" i="22"/>
  <c r="D2259" i="22"/>
  <c r="J2259" i="22"/>
  <c r="N2259" i="22" s="1"/>
  <c r="U2259" i="22" s="1"/>
  <c r="P2259" i="22"/>
  <c r="Q2259" i="22"/>
  <c r="R2259" i="22"/>
  <c r="L2260" i="22"/>
  <c r="C2260" i="22"/>
  <c r="K2260" i="22" s="1"/>
  <c r="E2260" i="22"/>
  <c r="F2260" i="22"/>
  <c r="O2260" i="22" s="1"/>
  <c r="G2260" i="22"/>
  <c r="I2260" i="22"/>
  <c r="B2261" i="22"/>
  <c r="M2205" i="22"/>
  <c r="D2205" i="22"/>
  <c r="J2205" i="22"/>
  <c r="N2205" i="22" s="1"/>
  <c r="U2205" i="22" s="1"/>
  <c r="P2205" i="22"/>
  <c r="Q2205" i="22"/>
  <c r="R2205" i="22"/>
  <c r="L2206" i="22"/>
  <c r="C2206" i="22"/>
  <c r="E2206" i="22"/>
  <c r="G2206" i="22"/>
  <c r="I2206" i="22"/>
  <c r="B2207" i="22"/>
  <c r="M2151" i="22"/>
  <c r="D2151" i="22"/>
  <c r="J2151" i="22"/>
  <c r="N2151" i="22" s="1"/>
  <c r="U2151" i="22" s="1"/>
  <c r="P2151" i="22"/>
  <c r="Q2151" i="22"/>
  <c r="R2151" i="22"/>
  <c r="L2152" i="22"/>
  <c r="C2152" i="22"/>
  <c r="K2152" i="22" s="1"/>
  <c r="E2152" i="22"/>
  <c r="F2152" i="22"/>
  <c r="O2152" i="22" s="1"/>
  <c r="G2152" i="22"/>
  <c r="I2152" i="22"/>
  <c r="B2153" i="22"/>
  <c r="M2097" i="22"/>
  <c r="D2097" i="22"/>
  <c r="J2097" i="22"/>
  <c r="N2097" i="22" s="1"/>
  <c r="U2097" i="22" s="1"/>
  <c r="P2097" i="22"/>
  <c r="Q2097" i="22"/>
  <c r="R2097" i="22"/>
  <c r="L2098" i="22"/>
  <c r="C2098" i="22"/>
  <c r="K2098" i="22" s="1"/>
  <c r="E2098" i="22"/>
  <c r="F2098" i="22"/>
  <c r="O2098" i="22" s="1"/>
  <c r="G2098" i="22"/>
  <c r="I2098" i="22"/>
  <c r="B2099" i="22"/>
  <c r="M2043" i="22"/>
  <c r="D2043" i="22"/>
  <c r="J2043" i="22"/>
  <c r="N2043" i="22" s="1"/>
  <c r="U2043" i="22" s="1"/>
  <c r="P2043" i="22"/>
  <c r="Q2043" i="22"/>
  <c r="R2043" i="22"/>
  <c r="L2044" i="22"/>
  <c r="C2044" i="22"/>
  <c r="E2044" i="22"/>
  <c r="G2044" i="22"/>
  <c r="I2044" i="22"/>
  <c r="B2045" i="22"/>
  <c r="D1989" i="22"/>
  <c r="J1989" i="22"/>
  <c r="P1989" i="22"/>
  <c r="Q1989" i="22"/>
  <c r="R1989" i="22"/>
  <c r="L1990" i="22"/>
  <c r="C1990" i="22"/>
  <c r="E1990" i="22"/>
  <c r="G1990" i="22"/>
  <c r="I1990" i="22"/>
  <c r="B1991" i="22"/>
  <c r="M1935" i="22"/>
  <c r="D1935" i="22"/>
  <c r="J1935" i="22"/>
  <c r="N1935" i="22" s="1"/>
  <c r="U1935" i="22" s="1"/>
  <c r="P1935" i="22"/>
  <c r="Q1935" i="22"/>
  <c r="R1935" i="22"/>
  <c r="L1936" i="22"/>
  <c r="C1936" i="22"/>
  <c r="K1936" i="22" s="1"/>
  <c r="E1936" i="22"/>
  <c r="F1936" i="22"/>
  <c r="O1936" i="22" s="1"/>
  <c r="G1936" i="22"/>
  <c r="I1936" i="22"/>
  <c r="B1937" i="22"/>
  <c r="M1881" i="22"/>
  <c r="D1881" i="22"/>
  <c r="J1881" i="22"/>
  <c r="N1881" i="22" s="1"/>
  <c r="U1881" i="22" s="1"/>
  <c r="P1881" i="22"/>
  <c r="Q1881" i="22"/>
  <c r="R1881" i="22"/>
  <c r="L1882" i="22"/>
  <c r="C1882" i="22"/>
  <c r="K1882" i="22" s="1"/>
  <c r="E1882" i="22"/>
  <c r="F1882" i="22"/>
  <c r="O1882" i="22" s="1"/>
  <c r="G1882" i="22"/>
  <c r="I1882" i="22"/>
  <c r="B1883" i="22"/>
  <c r="M1827" i="22"/>
  <c r="D1827" i="22"/>
  <c r="J1827" i="22"/>
  <c r="N1827" i="22" s="1"/>
  <c r="U1827" i="22" s="1"/>
  <c r="P1827" i="22"/>
  <c r="Q1827" i="22"/>
  <c r="R1827" i="22"/>
  <c r="L1828" i="22"/>
  <c r="C1828" i="22"/>
  <c r="K1828" i="22" s="1"/>
  <c r="E1828" i="22"/>
  <c r="F1828" i="22"/>
  <c r="O1828" i="22" s="1"/>
  <c r="G1828" i="22"/>
  <c r="I1828" i="22"/>
  <c r="B1829" i="22"/>
  <c r="M1773" i="22"/>
  <c r="D1773" i="22"/>
  <c r="J1773" i="22"/>
  <c r="N1773" i="22" s="1"/>
  <c r="U1773" i="22" s="1"/>
  <c r="P1773" i="22"/>
  <c r="Q1773" i="22"/>
  <c r="R1773" i="22"/>
  <c r="L1774" i="22"/>
  <c r="C1774" i="22"/>
  <c r="E1774" i="22"/>
  <c r="G1774" i="22"/>
  <c r="I1774" i="22"/>
  <c r="B1775" i="22"/>
  <c r="D1719" i="22"/>
  <c r="J1719" i="22"/>
  <c r="P1719" i="22"/>
  <c r="Q1719" i="22"/>
  <c r="R1719" i="22"/>
  <c r="L1720" i="22"/>
  <c r="C1720" i="22"/>
  <c r="E1720" i="22"/>
  <c r="G1720" i="22"/>
  <c r="I1720" i="22"/>
  <c r="B1721" i="22"/>
  <c r="D1665" i="22"/>
  <c r="J1665" i="22"/>
  <c r="P1665" i="22"/>
  <c r="Q1665" i="22"/>
  <c r="R1665" i="22"/>
  <c r="L1666" i="22"/>
  <c r="C1666" i="22"/>
  <c r="K1666" i="22" s="1"/>
  <c r="E1666" i="22"/>
  <c r="F1666" i="22"/>
  <c r="O1666" i="22" s="1"/>
  <c r="G1666" i="22"/>
  <c r="I1666" i="22"/>
  <c r="B1667" i="22"/>
  <c r="M1611" i="22"/>
  <c r="D1611" i="22"/>
  <c r="J1611" i="22"/>
  <c r="N1611" i="22" s="1"/>
  <c r="U1611" i="22" s="1"/>
  <c r="P1611" i="22"/>
  <c r="Q1611" i="22"/>
  <c r="R1611" i="22"/>
  <c r="L1612" i="22"/>
  <c r="C1612" i="22"/>
  <c r="K1612" i="22" s="1"/>
  <c r="E1612" i="22"/>
  <c r="F1612" i="22"/>
  <c r="O1612" i="22" s="1"/>
  <c r="G1612" i="22"/>
  <c r="I1612" i="22"/>
  <c r="B1613" i="22"/>
  <c r="M1557" i="22"/>
  <c r="D1557" i="22"/>
  <c r="J1557" i="22"/>
  <c r="N1557" i="22" s="1"/>
  <c r="U1557" i="22" s="1"/>
  <c r="P1557" i="22"/>
  <c r="Q1557" i="22"/>
  <c r="R1557" i="22"/>
  <c r="L1558" i="22"/>
  <c r="C1558" i="22"/>
  <c r="K1558" i="22" s="1"/>
  <c r="E1558" i="22"/>
  <c r="F1558" i="22"/>
  <c r="O1558" i="22" s="1"/>
  <c r="G1558" i="22"/>
  <c r="I1558" i="22"/>
  <c r="B1559" i="22"/>
  <c r="M1503" i="22"/>
  <c r="D1503" i="22"/>
  <c r="J1503" i="22"/>
  <c r="N1503" i="22" s="1"/>
  <c r="U1503" i="22" s="1"/>
  <c r="P1503" i="22"/>
  <c r="Q1503" i="22"/>
  <c r="R1503" i="22"/>
  <c r="L1504" i="22"/>
  <c r="C1504" i="22"/>
  <c r="E1504" i="22"/>
  <c r="G1504" i="22"/>
  <c r="I1504" i="22"/>
  <c r="B1505" i="22"/>
  <c r="M1449" i="22"/>
  <c r="D1449" i="22"/>
  <c r="J1449" i="22"/>
  <c r="N1449" i="22" s="1"/>
  <c r="U1449" i="22" s="1"/>
  <c r="P1449" i="22"/>
  <c r="Q1449" i="22"/>
  <c r="R1449" i="22"/>
  <c r="L1450" i="22"/>
  <c r="C1450" i="22"/>
  <c r="E1450" i="22"/>
  <c r="G1450" i="22"/>
  <c r="I1450" i="22"/>
  <c r="B1451" i="22"/>
  <c r="M1395" i="22"/>
  <c r="D1395" i="22"/>
  <c r="J1395" i="22"/>
  <c r="N1395" i="22" s="1"/>
  <c r="U1395" i="22" s="1"/>
  <c r="P1395" i="22"/>
  <c r="Q1395" i="22"/>
  <c r="R1395" i="22"/>
  <c r="L1396" i="22"/>
  <c r="C1396" i="22"/>
  <c r="K1396" i="22" s="1"/>
  <c r="E1396" i="22"/>
  <c r="F1396" i="22"/>
  <c r="O1396" i="22" s="1"/>
  <c r="G1396" i="22"/>
  <c r="I1396" i="22"/>
  <c r="B1397" i="22"/>
  <c r="D1341" i="22"/>
  <c r="J1341" i="22"/>
  <c r="P1341" i="22"/>
  <c r="Q1341" i="22"/>
  <c r="R1341" i="22"/>
  <c r="L1342" i="22"/>
  <c r="C1342" i="22"/>
  <c r="K1342" i="22" s="1"/>
  <c r="E1342" i="22"/>
  <c r="F1342" i="22"/>
  <c r="O1342" i="22" s="1"/>
  <c r="G1342" i="22"/>
  <c r="I1342" i="22"/>
  <c r="B1343" i="22"/>
  <c r="D1287" i="22"/>
  <c r="J1287" i="22"/>
  <c r="P1287" i="22"/>
  <c r="Q1287" i="22"/>
  <c r="R1287" i="22"/>
  <c r="L1288" i="22"/>
  <c r="C1288" i="22"/>
  <c r="K1288" i="22" s="1"/>
  <c r="E1288" i="22"/>
  <c r="F1288" i="22"/>
  <c r="O1288" i="22" s="1"/>
  <c r="G1288" i="22"/>
  <c r="I1288" i="22"/>
  <c r="B1289" i="22"/>
  <c r="M1233" i="22"/>
  <c r="D1233" i="22"/>
  <c r="J1233" i="22"/>
  <c r="N1233" i="22" s="1"/>
  <c r="U1233" i="22" s="1"/>
  <c r="P1233" i="22"/>
  <c r="Q1233" i="22"/>
  <c r="R1233" i="22"/>
  <c r="L1234" i="22"/>
  <c r="C1234" i="22"/>
  <c r="E1234" i="22"/>
  <c r="G1234" i="22"/>
  <c r="I1234" i="22"/>
  <c r="B1235" i="22"/>
  <c r="M1179" i="22"/>
  <c r="D1179" i="22"/>
  <c r="J1179" i="22"/>
  <c r="N1179" i="22" s="1"/>
  <c r="U1179" i="22" s="1"/>
  <c r="P1179" i="22"/>
  <c r="Q1179" i="22"/>
  <c r="R1179" i="22"/>
  <c r="L1180" i="22"/>
  <c r="C1180" i="22"/>
  <c r="E1180" i="22"/>
  <c r="G1180" i="22"/>
  <c r="I1180" i="22"/>
  <c r="B1181" i="22"/>
  <c r="M1125" i="22"/>
  <c r="D1125" i="22"/>
  <c r="J1125" i="22"/>
  <c r="N1125" i="22" s="1"/>
  <c r="U1125" i="22" s="1"/>
  <c r="P1125" i="22"/>
  <c r="Q1125" i="22"/>
  <c r="R1125" i="22"/>
  <c r="L1126" i="22"/>
  <c r="C1126" i="22"/>
  <c r="E1126" i="22"/>
  <c r="G1126" i="22"/>
  <c r="I1126" i="22"/>
  <c r="B1127" i="22"/>
  <c r="M1071" i="22"/>
  <c r="D1071" i="22"/>
  <c r="J1071" i="22"/>
  <c r="N1071" i="22" s="1"/>
  <c r="U1071" i="22" s="1"/>
  <c r="P1071" i="22"/>
  <c r="Q1071" i="22"/>
  <c r="R1071" i="22"/>
  <c r="L1072" i="22"/>
  <c r="C1072" i="22"/>
  <c r="K1072" i="22" s="1"/>
  <c r="E1072" i="22"/>
  <c r="F1072" i="22"/>
  <c r="O1072" i="22" s="1"/>
  <c r="G1072" i="22"/>
  <c r="I1072" i="22"/>
  <c r="B1073" i="22"/>
  <c r="D1017" i="22"/>
  <c r="J1017" i="22"/>
  <c r="P1017" i="22"/>
  <c r="Q1017" i="22"/>
  <c r="R1017" i="22"/>
  <c r="L1018" i="22"/>
  <c r="C1018" i="22"/>
  <c r="K1018" i="22" s="1"/>
  <c r="E1018" i="22"/>
  <c r="F1018" i="22"/>
  <c r="O1018" i="22" s="1"/>
  <c r="G1018" i="22"/>
  <c r="I1018" i="22"/>
  <c r="B1019" i="22"/>
  <c r="D963" i="22"/>
  <c r="J963" i="22"/>
  <c r="P963" i="22"/>
  <c r="Q963" i="22"/>
  <c r="R963" i="22"/>
  <c r="L964" i="22"/>
  <c r="C964" i="22"/>
  <c r="K964" i="22" s="1"/>
  <c r="E964" i="22"/>
  <c r="F964" i="22"/>
  <c r="O964" i="22" s="1"/>
  <c r="G964" i="22"/>
  <c r="I964" i="22"/>
  <c r="B965" i="22"/>
  <c r="M909" i="22"/>
  <c r="D909" i="22"/>
  <c r="J909" i="22"/>
  <c r="N909" i="22" s="1"/>
  <c r="U909" i="22" s="1"/>
  <c r="P909" i="22"/>
  <c r="Q909" i="22"/>
  <c r="R909" i="22"/>
  <c r="L910" i="22"/>
  <c r="C910" i="22"/>
  <c r="E910" i="22"/>
  <c r="G910" i="22"/>
  <c r="I910" i="22"/>
  <c r="B911" i="22"/>
  <c r="M855" i="22"/>
  <c r="D855" i="22"/>
  <c r="J855" i="22"/>
  <c r="N855" i="22" s="1"/>
  <c r="U855" i="22" s="1"/>
  <c r="P855" i="22"/>
  <c r="Q855" i="22"/>
  <c r="R855" i="22"/>
  <c r="L856" i="22"/>
  <c r="C856" i="22"/>
  <c r="K856" i="22" s="1"/>
  <c r="E856" i="22"/>
  <c r="F856" i="22"/>
  <c r="O856" i="22" s="1"/>
  <c r="G856" i="22"/>
  <c r="I856" i="22"/>
  <c r="B857" i="22"/>
  <c r="M801" i="22"/>
  <c r="D801" i="22"/>
  <c r="J801" i="22"/>
  <c r="N801" i="22" s="1"/>
  <c r="U801" i="22" s="1"/>
  <c r="P801" i="22"/>
  <c r="Q801" i="22"/>
  <c r="R801" i="22"/>
  <c r="L802" i="22"/>
  <c r="C802" i="22"/>
  <c r="E802" i="22"/>
  <c r="G802" i="22"/>
  <c r="I802" i="22"/>
  <c r="B803" i="22"/>
  <c r="M747" i="22"/>
  <c r="D747" i="22"/>
  <c r="J747" i="22"/>
  <c r="N747" i="22" s="1"/>
  <c r="U747" i="22" s="1"/>
  <c r="P747" i="22"/>
  <c r="Q747" i="22"/>
  <c r="R747" i="22"/>
  <c r="L748" i="22"/>
  <c r="C748" i="22"/>
  <c r="K748" i="22" s="1"/>
  <c r="E748" i="22"/>
  <c r="F748" i="22"/>
  <c r="O748" i="22" s="1"/>
  <c r="G748" i="22"/>
  <c r="I748" i="22"/>
  <c r="B749" i="22"/>
  <c r="M693" i="22"/>
  <c r="D693" i="22"/>
  <c r="J693" i="22"/>
  <c r="N693" i="22" s="1"/>
  <c r="U693" i="22" s="1"/>
  <c r="P693" i="22"/>
  <c r="Q693" i="22"/>
  <c r="R693" i="22"/>
  <c r="L694" i="22"/>
  <c r="C694" i="22"/>
  <c r="K694" i="22" s="1"/>
  <c r="E694" i="22"/>
  <c r="F694" i="22"/>
  <c r="O694" i="22" s="1"/>
  <c r="G694" i="22"/>
  <c r="I694" i="22"/>
  <c r="B695" i="22"/>
  <c r="D639" i="22"/>
  <c r="J639" i="22"/>
  <c r="P639" i="22"/>
  <c r="Q639" i="22"/>
  <c r="R639" i="22"/>
  <c r="L640" i="22"/>
  <c r="C640" i="22"/>
  <c r="E640" i="22"/>
  <c r="G640" i="22"/>
  <c r="I640" i="22"/>
  <c r="B641" i="22"/>
  <c r="M585" i="22"/>
  <c r="D585" i="22"/>
  <c r="J585" i="22"/>
  <c r="N585" i="22" s="1"/>
  <c r="U585" i="22" s="1"/>
  <c r="P585" i="22"/>
  <c r="Q585" i="22"/>
  <c r="R585" i="22"/>
  <c r="L586" i="22"/>
  <c r="C586" i="22"/>
  <c r="K586" i="22" s="1"/>
  <c r="E586" i="22"/>
  <c r="F586" i="22"/>
  <c r="O586" i="22" s="1"/>
  <c r="G586" i="22"/>
  <c r="I586" i="22"/>
  <c r="B587" i="22"/>
  <c r="M531" i="22"/>
  <c r="D531" i="22"/>
  <c r="J531" i="22"/>
  <c r="N531" i="22" s="1"/>
  <c r="U531" i="22" s="1"/>
  <c r="P531" i="22"/>
  <c r="Q531" i="22"/>
  <c r="R531" i="22"/>
  <c r="L532" i="22"/>
  <c r="C532" i="22"/>
  <c r="K532" i="22" s="1"/>
  <c r="E532" i="22"/>
  <c r="F532" i="22"/>
  <c r="O532" i="22" s="1"/>
  <c r="G532" i="22"/>
  <c r="I532" i="22"/>
  <c r="B533" i="22"/>
  <c r="M477" i="22"/>
  <c r="D477" i="22"/>
  <c r="J477" i="22"/>
  <c r="N477" i="22" s="1"/>
  <c r="U477" i="22" s="1"/>
  <c r="P477" i="22"/>
  <c r="Q477" i="22"/>
  <c r="R477" i="22"/>
  <c r="L478" i="22"/>
  <c r="C478" i="22"/>
  <c r="E478" i="22"/>
  <c r="G478" i="22"/>
  <c r="I478" i="22"/>
  <c r="B479" i="22"/>
  <c r="M423" i="22"/>
  <c r="P423" i="22"/>
  <c r="Q423" i="22"/>
  <c r="R423" i="22"/>
  <c r="L424" i="22"/>
  <c r="B425" i="22"/>
  <c r="C424" i="22"/>
  <c r="E424" i="22"/>
  <c r="G424" i="22"/>
  <c r="I424" i="22"/>
  <c r="D423" i="22"/>
  <c r="J423" i="22"/>
  <c r="N423" i="22" s="1"/>
  <c r="U423" i="22" s="1"/>
  <c r="M369" i="22"/>
  <c r="D369" i="22"/>
  <c r="J369" i="22"/>
  <c r="N369" i="22" s="1"/>
  <c r="U369" i="22" s="1"/>
  <c r="P369" i="22"/>
  <c r="Q369" i="22"/>
  <c r="R369" i="22"/>
  <c r="L370" i="22"/>
  <c r="C370" i="22"/>
  <c r="K370" i="22" s="1"/>
  <c r="E370" i="22"/>
  <c r="F370" i="22"/>
  <c r="O370" i="22" s="1"/>
  <c r="G370" i="22"/>
  <c r="I370" i="22"/>
  <c r="B371" i="22"/>
  <c r="D315" i="22"/>
  <c r="J315" i="22"/>
  <c r="P315" i="22"/>
  <c r="Q315" i="22"/>
  <c r="R315" i="22"/>
  <c r="L316" i="22"/>
  <c r="C316" i="22"/>
  <c r="K316" i="22" s="1"/>
  <c r="E316" i="22"/>
  <c r="F316" i="22"/>
  <c r="O316" i="22" s="1"/>
  <c r="G316" i="22"/>
  <c r="I316" i="22"/>
  <c r="B317" i="22"/>
  <c r="M261" i="22"/>
  <c r="D261" i="22"/>
  <c r="J261" i="22"/>
  <c r="N261" i="22" s="1"/>
  <c r="U261" i="22" s="1"/>
  <c r="P261" i="22"/>
  <c r="Q261" i="22"/>
  <c r="R261" i="22"/>
  <c r="L262" i="22"/>
  <c r="C262" i="22"/>
  <c r="K262" i="22" s="1"/>
  <c r="E262" i="22"/>
  <c r="F262" i="22"/>
  <c r="O262" i="22" s="1"/>
  <c r="G262" i="22"/>
  <c r="I262" i="22"/>
  <c r="B263" i="22"/>
  <c r="M207" i="22"/>
  <c r="D207" i="22"/>
  <c r="J207" i="22"/>
  <c r="N207" i="22" s="1"/>
  <c r="U207" i="22" s="1"/>
  <c r="P207" i="22"/>
  <c r="Q207" i="22"/>
  <c r="R207" i="22"/>
  <c r="L208" i="22"/>
  <c r="C208" i="22"/>
  <c r="K208" i="22" s="1"/>
  <c r="E208" i="22"/>
  <c r="F208" i="22"/>
  <c r="O208" i="22" s="1"/>
  <c r="G208" i="22"/>
  <c r="B209" i="22"/>
  <c r="I208" i="22"/>
  <c r="M153" i="22"/>
  <c r="D153" i="22"/>
  <c r="J153" i="22"/>
  <c r="N153" i="22" s="1"/>
  <c r="U153" i="22" s="1"/>
  <c r="P153" i="22"/>
  <c r="Q153" i="22"/>
  <c r="R153" i="22"/>
  <c r="L154" i="22"/>
  <c r="C154" i="22"/>
  <c r="E154" i="22"/>
  <c r="G154" i="22"/>
  <c r="I154" i="22"/>
  <c r="B155" i="22"/>
  <c r="M99" i="22"/>
  <c r="D99" i="22"/>
  <c r="J99" i="22"/>
  <c r="N99" i="22" s="1"/>
  <c r="U99" i="22" s="1"/>
  <c r="P99" i="22"/>
  <c r="Q99" i="22"/>
  <c r="R99" i="22"/>
  <c r="L100" i="22"/>
  <c r="C100" i="22"/>
  <c r="E100" i="22"/>
  <c r="G100" i="22"/>
  <c r="I100" i="22"/>
  <c r="B101" i="22"/>
  <c r="G87" i="12"/>
  <c r="E89" i="12"/>
  <c r="O37" i="17"/>
  <c r="E38" i="17"/>
  <c r="I38" i="17"/>
  <c r="C39" i="10" s="1"/>
  <c r="L38" i="17"/>
  <c r="C42" i="10" s="1"/>
  <c r="B38" i="18"/>
  <c r="C38" i="17"/>
  <c r="F38" i="17"/>
  <c r="C38" i="18" s="1"/>
  <c r="E38" i="18" s="1"/>
  <c r="G38" i="17"/>
  <c r="AQ38" i="17" s="1"/>
  <c r="K38" i="17"/>
  <c r="B39" i="17"/>
  <c r="C37" i="10"/>
  <c r="J37" i="17"/>
  <c r="D37" i="17"/>
  <c r="AO37" i="17"/>
  <c r="AN37" i="17"/>
  <c r="AM37" i="17"/>
  <c r="AL37" i="17"/>
  <c r="AK37" i="17"/>
  <c r="AJ37" i="17"/>
  <c r="AI37" i="17"/>
  <c r="AH37" i="17"/>
  <c r="AG37" i="17"/>
  <c r="AF37" i="17"/>
  <c r="AE37" i="17"/>
  <c r="AD37" i="17"/>
  <c r="AC37" i="17"/>
  <c r="AB37" i="17"/>
  <c r="AA37" i="17"/>
  <c r="Z37" i="17"/>
  <c r="Y37" i="17"/>
  <c r="X37" i="17"/>
  <c r="W37" i="17"/>
  <c r="P37" i="17"/>
  <c r="Q37" i="17"/>
  <c r="R37" i="17"/>
  <c r="V37" i="17"/>
  <c r="M37" i="17"/>
  <c r="N37" i="17"/>
  <c r="U37" i="17" s="1"/>
  <c r="AS16" i="17"/>
  <c r="B103" i="12"/>
  <c r="I103" i="12" s="1"/>
  <c r="AR15" i="17"/>
  <c r="AQ17" i="17"/>
  <c r="AQ18" i="17"/>
  <c r="AQ19" i="17"/>
  <c r="AQ20" i="17"/>
  <c r="AQ21" i="17"/>
  <c r="AQ22" i="17"/>
  <c r="AQ23" i="17"/>
  <c r="AQ24" i="17"/>
  <c r="AQ25" i="17"/>
  <c r="AQ26" i="17"/>
  <c r="AQ27" i="17"/>
  <c r="AQ28" i="17"/>
  <c r="AQ29" i="17"/>
  <c r="AQ30" i="17"/>
  <c r="AQ31" i="17"/>
  <c r="AQ34" i="17"/>
  <c r="AQ32" i="17"/>
  <c r="AQ33" i="17"/>
  <c r="AQ35" i="17"/>
  <c r="AQ36" i="17"/>
  <c r="AQ37" i="17"/>
  <c r="M1389" i="23"/>
  <c r="N1389" i="23"/>
  <c r="AE1389" i="23" s="1"/>
  <c r="M1221" i="23"/>
  <c r="N1221" i="23"/>
  <c r="AE1221" i="23" s="1"/>
  <c r="M941" i="23"/>
  <c r="N941" i="23"/>
  <c r="AE941" i="23" s="1"/>
  <c r="M4694" i="22"/>
  <c r="N4694" i="22"/>
  <c r="M4532" i="22"/>
  <c r="N4532" i="22"/>
  <c r="N4232" i="22"/>
  <c r="U4232" i="22" s="1"/>
  <c r="M4232" i="22"/>
  <c r="M4070" i="22"/>
  <c r="N4070" i="22"/>
  <c r="U4070" i="22" s="1"/>
  <c r="M3716" i="22"/>
  <c r="N3716" i="22"/>
  <c r="U3716" i="22" s="1"/>
  <c r="M3554" i="22"/>
  <c r="N3554" i="22"/>
  <c r="U3554" i="22" s="1"/>
  <c r="M3392" i="22"/>
  <c r="N3392" i="22"/>
  <c r="U3392" i="22" s="1"/>
  <c r="M2906" i="22"/>
  <c r="N2906" i="22"/>
  <c r="U2906" i="22" s="1"/>
  <c r="M2852" i="22"/>
  <c r="N2852" i="22"/>
  <c r="U2852" i="22" s="1"/>
  <c r="M2798" i="22"/>
  <c r="N2798" i="22"/>
  <c r="S2798" i="22" s="1"/>
  <c r="T2798" i="22" s="1"/>
  <c r="U2798" i="22" s="1"/>
  <c r="M2528" i="22"/>
  <c r="N2528" i="22"/>
  <c r="U2528" i="22" s="1"/>
  <c r="M2474" i="22"/>
  <c r="N2474" i="22"/>
  <c r="U2474" i="22" s="1"/>
  <c r="M2096" i="22"/>
  <c r="N2096" i="22"/>
  <c r="U2096" i="22" s="1"/>
  <c r="M1880" i="22"/>
  <c r="N1880" i="22"/>
  <c r="U1880" i="22" s="1"/>
  <c r="M1772" i="22"/>
  <c r="N1772" i="22"/>
  <c r="U1772" i="22" s="1"/>
  <c r="M1448" i="22"/>
  <c r="N1448" i="22"/>
  <c r="U1448" i="22" s="1"/>
  <c r="M1178" i="22"/>
  <c r="N1178" i="22"/>
  <c r="U1178" i="22" s="1"/>
  <c r="M800" i="22"/>
  <c r="N800" i="22"/>
  <c r="U800" i="22" s="1"/>
  <c r="M530" i="22"/>
  <c r="N530" i="22"/>
  <c r="U530" i="22" s="1"/>
  <c r="N36" i="17"/>
  <c r="U36" i="17" s="1"/>
  <c r="M36" i="17"/>
  <c r="E88" i="12"/>
  <c r="O36" i="17"/>
  <c r="AE1613" i="23"/>
  <c r="AK1613" i="23"/>
  <c r="F1502" i="23"/>
  <c r="O1502" i="23" s="1"/>
  <c r="K1502" i="23"/>
  <c r="F1446" i="23"/>
  <c r="O1446" i="23" s="1"/>
  <c r="K1446" i="23"/>
  <c r="K1390" i="23"/>
  <c r="F1390" i="23"/>
  <c r="O1390" i="23" s="1"/>
  <c r="K1278" i="23"/>
  <c r="F1278" i="23"/>
  <c r="O1278" i="23" s="1"/>
  <c r="F1222" i="23"/>
  <c r="O1222" i="23" s="1"/>
  <c r="K1222" i="23"/>
  <c r="K1054" i="23"/>
  <c r="F1054" i="23"/>
  <c r="O1054" i="23" s="1"/>
  <c r="K494" i="23"/>
  <c r="F494" i="23"/>
  <c r="O494" i="23" s="1"/>
  <c r="F438" i="23"/>
  <c r="O438" i="23" s="1"/>
  <c r="K438" i="23"/>
  <c r="F3717" i="22"/>
  <c r="O3717" i="22" s="1"/>
  <c r="K3717" i="22"/>
  <c r="K3663" i="22"/>
  <c r="F3663" i="22"/>
  <c r="O3663" i="22" s="1"/>
  <c r="F3609" i="22"/>
  <c r="O3609" i="22" s="1"/>
  <c r="K3609" i="22"/>
  <c r="K3555" i="22"/>
  <c r="F3555" i="22"/>
  <c r="O3555" i="22" s="1"/>
  <c r="K3339" i="22"/>
  <c r="F3339" i="22"/>
  <c r="O3339" i="22" s="1"/>
  <c r="K3285" i="22"/>
  <c r="F3285" i="22"/>
  <c r="O3285" i="22" s="1"/>
  <c r="F3069" i="22"/>
  <c r="O3069" i="22" s="1"/>
  <c r="K3069" i="22"/>
  <c r="F2961" i="22"/>
  <c r="O2961" i="22" s="1"/>
  <c r="K2961" i="22"/>
  <c r="K2637" i="22"/>
  <c r="F2637" i="22"/>
  <c r="O2637" i="22" s="1"/>
  <c r="F1989" i="22"/>
  <c r="O1989" i="22" s="1"/>
  <c r="K1989" i="22"/>
  <c r="K1719" i="22"/>
  <c r="F1719" i="22"/>
  <c r="O1719" i="22" s="1"/>
  <c r="F1665" i="22"/>
  <c r="O1665" i="22" s="1"/>
  <c r="K1665" i="22"/>
  <c r="F1341" i="22"/>
  <c r="O1341" i="22" s="1"/>
  <c r="K1341" i="22"/>
  <c r="F1287" i="22"/>
  <c r="O1287" i="22" s="1"/>
  <c r="K1287" i="22"/>
  <c r="K1017" i="22"/>
  <c r="F1017" i="22"/>
  <c r="O1017" i="22" s="1"/>
  <c r="K963" i="22"/>
  <c r="F963" i="22"/>
  <c r="O963" i="22" s="1"/>
  <c r="K639" i="22"/>
  <c r="F639" i="22"/>
  <c r="O639" i="22" s="1"/>
  <c r="K315" i="22"/>
  <c r="F315" i="22"/>
  <c r="O315" i="22" s="1"/>
  <c r="K999" i="23" l="1"/>
  <c r="F999" i="23"/>
  <c r="O999" i="23" s="1"/>
  <c r="D4642" i="22"/>
  <c r="F4642" i="22"/>
  <c r="O4642" i="22" s="1"/>
  <c r="K4126" i="22"/>
  <c r="F4126" i="22"/>
  <c r="O4126" i="22" s="1"/>
  <c r="K3610" i="22"/>
  <c r="F3610" i="22"/>
  <c r="O3610" i="22" s="1"/>
  <c r="K3340" i="22"/>
  <c r="F3340" i="22"/>
  <c r="O3340" i="22" s="1"/>
  <c r="K2044" i="22"/>
  <c r="F2044" i="22"/>
  <c r="O2044" i="22" s="1"/>
  <c r="K1990" i="22"/>
  <c r="F1990" i="22"/>
  <c r="O1990" i="22" s="1"/>
  <c r="K1720" i="22"/>
  <c r="F1720" i="22"/>
  <c r="O1720" i="22" s="1"/>
  <c r="K1234" i="22"/>
  <c r="F1234" i="22"/>
  <c r="O1234" i="22" s="1"/>
  <c r="K1180" i="22"/>
  <c r="F1180" i="22"/>
  <c r="O1180" i="22" s="1"/>
  <c r="K910" i="22"/>
  <c r="F910" i="22"/>
  <c r="O910" i="22" s="1"/>
  <c r="K640" i="22"/>
  <c r="F640" i="22"/>
  <c r="O640" i="22" s="1"/>
  <c r="K424" i="22"/>
  <c r="F424" i="22"/>
  <c r="O424" i="22" s="1"/>
  <c r="J1615" i="23"/>
  <c r="D1615" i="23"/>
  <c r="M1615" i="23" s="1"/>
  <c r="N1615" i="23" s="1"/>
  <c r="P1615" i="23"/>
  <c r="Q1615" i="23"/>
  <c r="R1615" i="23"/>
  <c r="I1616" i="23"/>
  <c r="L1616" i="23"/>
  <c r="C1616" i="23"/>
  <c r="K1616" i="23" s="1"/>
  <c r="E1616" i="23"/>
  <c r="F1616" i="23"/>
  <c r="O1616" i="23" s="1"/>
  <c r="G1616" i="23"/>
  <c r="B1617" i="23"/>
  <c r="M1559" i="23"/>
  <c r="J1559" i="23"/>
  <c r="N1559" i="23" s="1"/>
  <c r="AE1559" i="23" s="1"/>
  <c r="D1559" i="23"/>
  <c r="P1559" i="23"/>
  <c r="Q1559" i="23"/>
  <c r="R1559" i="23"/>
  <c r="L1560" i="23"/>
  <c r="I1560" i="23"/>
  <c r="C1560" i="23"/>
  <c r="E1560" i="23"/>
  <c r="G1560" i="23"/>
  <c r="B1561" i="23"/>
  <c r="J1503" i="23"/>
  <c r="D1503" i="23"/>
  <c r="P1503" i="23"/>
  <c r="Q1503" i="23"/>
  <c r="R1503" i="23"/>
  <c r="L1504" i="23"/>
  <c r="I1504" i="23"/>
  <c r="C1504" i="23"/>
  <c r="E1504" i="23"/>
  <c r="G1504" i="23"/>
  <c r="B1505" i="23"/>
  <c r="M1447" i="23"/>
  <c r="J1447" i="23"/>
  <c r="N1447" i="23" s="1"/>
  <c r="AE1447" i="23" s="1"/>
  <c r="D1447" i="23"/>
  <c r="P1447" i="23"/>
  <c r="Q1447" i="23"/>
  <c r="R1447" i="23"/>
  <c r="L1448" i="23"/>
  <c r="I1448" i="23"/>
  <c r="C1448" i="23"/>
  <c r="K1448" i="23" s="1"/>
  <c r="E1448" i="23"/>
  <c r="F1448" i="23"/>
  <c r="O1448" i="23" s="1"/>
  <c r="G1448" i="23"/>
  <c r="B1449" i="23"/>
  <c r="M1391" i="23"/>
  <c r="P1391" i="23"/>
  <c r="Q1391" i="23"/>
  <c r="R1391" i="23"/>
  <c r="L1392" i="23"/>
  <c r="I1392" i="23"/>
  <c r="E1392" i="23"/>
  <c r="G1392" i="23"/>
  <c r="C1392" i="23"/>
  <c r="K1392" i="23" s="1"/>
  <c r="F1392" i="23"/>
  <c r="O1392" i="23" s="1"/>
  <c r="B1393" i="23"/>
  <c r="J1391" i="23"/>
  <c r="N1391" i="23" s="1"/>
  <c r="AE1391" i="23" s="1"/>
  <c r="D1391" i="23"/>
  <c r="M1335" i="23"/>
  <c r="J1335" i="23"/>
  <c r="N1335" i="23" s="1"/>
  <c r="AE1335" i="23" s="1"/>
  <c r="D1335" i="23"/>
  <c r="P1335" i="23"/>
  <c r="Q1335" i="23"/>
  <c r="R1335" i="23"/>
  <c r="L1336" i="23"/>
  <c r="I1336" i="23"/>
  <c r="C1336" i="23"/>
  <c r="K1336" i="23" s="1"/>
  <c r="E1336" i="23"/>
  <c r="F1336" i="23"/>
  <c r="O1336" i="23" s="1"/>
  <c r="G1336" i="23"/>
  <c r="B1337" i="23"/>
  <c r="M1279" i="23"/>
  <c r="J1279" i="23"/>
  <c r="N1279" i="23" s="1"/>
  <c r="AE1279" i="23" s="1"/>
  <c r="D1279" i="23"/>
  <c r="P1279" i="23"/>
  <c r="Q1279" i="23"/>
  <c r="R1279" i="23"/>
  <c r="L1280" i="23"/>
  <c r="I1280" i="23"/>
  <c r="C1280" i="23"/>
  <c r="K1280" i="23" s="1"/>
  <c r="E1280" i="23"/>
  <c r="F1280" i="23"/>
  <c r="O1280" i="23" s="1"/>
  <c r="G1280" i="23"/>
  <c r="B1281" i="23"/>
  <c r="J1223" i="23"/>
  <c r="D1223" i="23"/>
  <c r="P1223" i="23"/>
  <c r="Q1223" i="23"/>
  <c r="R1223" i="23"/>
  <c r="L1224" i="23"/>
  <c r="I1224" i="23"/>
  <c r="C1224" i="23"/>
  <c r="E1224" i="23"/>
  <c r="G1224" i="23"/>
  <c r="B1225" i="23"/>
  <c r="M1167" i="23"/>
  <c r="J1167" i="23"/>
  <c r="N1167" i="23" s="1"/>
  <c r="AE1167" i="23" s="1"/>
  <c r="D1167" i="23"/>
  <c r="P1167" i="23"/>
  <c r="Q1167" i="23"/>
  <c r="R1167" i="23"/>
  <c r="L1168" i="23"/>
  <c r="I1168" i="23"/>
  <c r="C1168" i="23"/>
  <c r="K1168" i="23" s="1"/>
  <c r="E1168" i="23"/>
  <c r="F1168" i="23"/>
  <c r="O1168" i="23" s="1"/>
  <c r="G1168" i="23"/>
  <c r="B1169" i="23"/>
  <c r="J1111" i="23"/>
  <c r="D1111" i="23"/>
  <c r="M1111" i="23" s="1"/>
  <c r="N1111" i="23" s="1"/>
  <c r="AE1111" i="23" s="1"/>
  <c r="P1111" i="23"/>
  <c r="Q1111" i="23"/>
  <c r="R1111" i="23"/>
  <c r="L1112" i="23"/>
  <c r="I1112" i="23"/>
  <c r="C1112" i="23"/>
  <c r="K1112" i="23" s="1"/>
  <c r="E1112" i="23"/>
  <c r="F1112" i="23"/>
  <c r="O1112" i="23" s="1"/>
  <c r="G1112" i="23"/>
  <c r="B1113" i="23"/>
  <c r="J1055" i="23"/>
  <c r="D1055" i="23"/>
  <c r="P1055" i="23"/>
  <c r="Q1055" i="23"/>
  <c r="R1055" i="23"/>
  <c r="L1056" i="23"/>
  <c r="I1056" i="23"/>
  <c r="C1056" i="23"/>
  <c r="K1056" i="23" s="1"/>
  <c r="E1056" i="23"/>
  <c r="F1056" i="23"/>
  <c r="O1056" i="23" s="1"/>
  <c r="G1056" i="23"/>
  <c r="B1057" i="23"/>
  <c r="M999" i="23"/>
  <c r="J999" i="23"/>
  <c r="N999" i="23" s="1"/>
  <c r="AE999" i="23" s="1"/>
  <c r="D999" i="23"/>
  <c r="P999" i="23"/>
  <c r="Q999" i="23"/>
  <c r="R999" i="23"/>
  <c r="L1000" i="23"/>
  <c r="I1000" i="23"/>
  <c r="C1000" i="23"/>
  <c r="E1000" i="23"/>
  <c r="G1000" i="23"/>
  <c r="B1001" i="23"/>
  <c r="M943" i="23"/>
  <c r="J943" i="23"/>
  <c r="N943" i="23" s="1"/>
  <c r="AE943" i="23" s="1"/>
  <c r="D943" i="23"/>
  <c r="P943" i="23"/>
  <c r="Q943" i="23"/>
  <c r="R943" i="23"/>
  <c r="L944" i="23"/>
  <c r="I944" i="23"/>
  <c r="C944" i="23"/>
  <c r="K944" i="23" s="1"/>
  <c r="E944" i="23"/>
  <c r="F944" i="23"/>
  <c r="O944" i="23" s="1"/>
  <c r="G944" i="23"/>
  <c r="B945" i="23"/>
  <c r="M887" i="23"/>
  <c r="J887" i="23"/>
  <c r="N887" i="23" s="1"/>
  <c r="AE887" i="23" s="1"/>
  <c r="D887" i="23"/>
  <c r="P887" i="23"/>
  <c r="Q887" i="23"/>
  <c r="R887" i="23"/>
  <c r="L888" i="23"/>
  <c r="I888" i="23"/>
  <c r="C888" i="23"/>
  <c r="K888" i="23" s="1"/>
  <c r="E888" i="23"/>
  <c r="F888" i="23"/>
  <c r="O888" i="23" s="1"/>
  <c r="G888" i="23"/>
  <c r="B889" i="23"/>
  <c r="M831" i="23"/>
  <c r="J831" i="23"/>
  <c r="N831" i="23" s="1"/>
  <c r="AE831" i="23" s="1"/>
  <c r="D831" i="23"/>
  <c r="P831" i="23"/>
  <c r="Q831" i="23"/>
  <c r="R831" i="23"/>
  <c r="L832" i="23"/>
  <c r="I832" i="23"/>
  <c r="C832" i="23"/>
  <c r="K832" i="23" s="1"/>
  <c r="E832" i="23"/>
  <c r="F832" i="23"/>
  <c r="O832" i="23" s="1"/>
  <c r="G832" i="23"/>
  <c r="B833" i="23"/>
  <c r="M775" i="23"/>
  <c r="J775" i="23"/>
  <c r="N775" i="23" s="1"/>
  <c r="AE775" i="23" s="1"/>
  <c r="D775" i="23"/>
  <c r="P775" i="23"/>
  <c r="Q775" i="23"/>
  <c r="R775" i="23"/>
  <c r="L776" i="23"/>
  <c r="I776" i="23"/>
  <c r="C776" i="23"/>
  <c r="K776" i="23" s="1"/>
  <c r="E776" i="23"/>
  <c r="F776" i="23"/>
  <c r="O776" i="23" s="1"/>
  <c r="G776" i="23"/>
  <c r="B777" i="23"/>
  <c r="J719" i="23"/>
  <c r="D719" i="23"/>
  <c r="M719" i="23" s="1"/>
  <c r="P719" i="23"/>
  <c r="Q719" i="23"/>
  <c r="R719" i="23"/>
  <c r="L720" i="23"/>
  <c r="I720" i="23"/>
  <c r="C720" i="23"/>
  <c r="K720" i="23" s="1"/>
  <c r="E720" i="23"/>
  <c r="F720" i="23"/>
  <c r="O720" i="23" s="1"/>
  <c r="G720" i="23"/>
  <c r="B721" i="23"/>
  <c r="M663" i="23"/>
  <c r="J663" i="23"/>
  <c r="N663" i="23" s="1"/>
  <c r="AE663" i="23" s="1"/>
  <c r="D663" i="23"/>
  <c r="P663" i="23"/>
  <c r="Q663" i="23"/>
  <c r="R663" i="23"/>
  <c r="L664" i="23"/>
  <c r="I664" i="23"/>
  <c r="C664" i="23"/>
  <c r="K664" i="23" s="1"/>
  <c r="E664" i="23"/>
  <c r="F664" i="23"/>
  <c r="O664" i="23" s="1"/>
  <c r="G664" i="23"/>
  <c r="B665" i="23"/>
  <c r="M607" i="23"/>
  <c r="J607" i="23"/>
  <c r="N607" i="23" s="1"/>
  <c r="AE607" i="23" s="1"/>
  <c r="D607" i="23"/>
  <c r="P607" i="23"/>
  <c r="Q607" i="23"/>
  <c r="R607" i="23"/>
  <c r="L608" i="23"/>
  <c r="I608" i="23"/>
  <c r="C608" i="23"/>
  <c r="E608" i="23"/>
  <c r="G608" i="23"/>
  <c r="B609" i="23"/>
  <c r="M551" i="23"/>
  <c r="J551" i="23"/>
  <c r="N551" i="23" s="1"/>
  <c r="AE551" i="23" s="1"/>
  <c r="D551" i="23"/>
  <c r="P551" i="23"/>
  <c r="Q551" i="23"/>
  <c r="R551" i="23"/>
  <c r="L552" i="23"/>
  <c r="I552" i="23"/>
  <c r="C552" i="23"/>
  <c r="K552" i="23" s="1"/>
  <c r="E552" i="23"/>
  <c r="F552" i="23"/>
  <c r="O552" i="23" s="1"/>
  <c r="G552" i="23"/>
  <c r="B553" i="23"/>
  <c r="M495" i="23"/>
  <c r="J495" i="23"/>
  <c r="N495" i="23" s="1"/>
  <c r="AE495" i="23" s="1"/>
  <c r="D495" i="23"/>
  <c r="P495" i="23"/>
  <c r="Q495" i="23"/>
  <c r="R495" i="23"/>
  <c r="L496" i="23"/>
  <c r="I496" i="23"/>
  <c r="C496" i="23"/>
  <c r="K496" i="23" s="1"/>
  <c r="E496" i="23"/>
  <c r="F496" i="23"/>
  <c r="O496" i="23" s="1"/>
  <c r="G496" i="23"/>
  <c r="B497" i="23"/>
  <c r="P439" i="23"/>
  <c r="Q439" i="23"/>
  <c r="R439" i="23"/>
  <c r="J439" i="23"/>
  <c r="D439" i="23"/>
  <c r="L440" i="23"/>
  <c r="I440" i="23"/>
  <c r="C440" i="23"/>
  <c r="E440" i="23"/>
  <c r="G440" i="23"/>
  <c r="B441" i="23"/>
  <c r="J383" i="23"/>
  <c r="D383" i="23"/>
  <c r="P383" i="23"/>
  <c r="Q383" i="23"/>
  <c r="R383" i="23"/>
  <c r="L384" i="23"/>
  <c r="I384" i="23"/>
  <c r="C384" i="23"/>
  <c r="K384" i="23" s="1"/>
  <c r="E384" i="23"/>
  <c r="F384" i="23"/>
  <c r="O384" i="23" s="1"/>
  <c r="G384" i="23"/>
  <c r="B385" i="23"/>
  <c r="M327" i="23"/>
  <c r="J327" i="23"/>
  <c r="N327" i="23" s="1"/>
  <c r="AE327" i="23" s="1"/>
  <c r="D327" i="23"/>
  <c r="P327" i="23"/>
  <c r="Q327" i="23"/>
  <c r="R327" i="23"/>
  <c r="L328" i="23"/>
  <c r="I328" i="23"/>
  <c r="C328" i="23"/>
  <c r="K328" i="23" s="1"/>
  <c r="E328" i="23"/>
  <c r="F328" i="23"/>
  <c r="O328" i="23" s="1"/>
  <c r="G328" i="23"/>
  <c r="B329" i="23"/>
  <c r="M271" i="23"/>
  <c r="J271" i="23"/>
  <c r="N271" i="23" s="1"/>
  <c r="AE271" i="23" s="1"/>
  <c r="D271" i="23"/>
  <c r="P271" i="23"/>
  <c r="Q271" i="23"/>
  <c r="R271" i="23"/>
  <c r="L272" i="23"/>
  <c r="I272" i="23"/>
  <c r="C272" i="23"/>
  <c r="K272" i="23" s="1"/>
  <c r="E272" i="23"/>
  <c r="F272" i="23"/>
  <c r="O272" i="23" s="1"/>
  <c r="G272" i="23"/>
  <c r="B273" i="23"/>
  <c r="D4750" i="22"/>
  <c r="J4750" i="22"/>
  <c r="P4750" i="22"/>
  <c r="Q4750" i="22"/>
  <c r="R4750" i="22"/>
  <c r="M4750" i="22"/>
  <c r="N4750" i="22"/>
  <c r="C4751" i="22"/>
  <c r="E4751" i="22"/>
  <c r="F4751" i="22"/>
  <c r="G4751" i="22"/>
  <c r="I4751" i="22"/>
  <c r="K4751" i="22"/>
  <c r="L4751" i="22"/>
  <c r="B4752" i="22"/>
  <c r="S4695" i="22"/>
  <c r="U4695" i="22"/>
  <c r="M4696" i="22"/>
  <c r="D4696" i="22"/>
  <c r="J4696" i="22"/>
  <c r="N4696" i="22" s="1"/>
  <c r="P4696" i="22"/>
  <c r="Q4696" i="22"/>
  <c r="R4696" i="22"/>
  <c r="L4697" i="22"/>
  <c r="C4697" i="22"/>
  <c r="K4697" i="22" s="1"/>
  <c r="E4697" i="22"/>
  <c r="F4697" i="22"/>
  <c r="G4697" i="22"/>
  <c r="I4697" i="22"/>
  <c r="B4698" i="22"/>
  <c r="P4642" i="22"/>
  <c r="Q4642" i="22"/>
  <c r="R4642" i="22"/>
  <c r="C4643" i="22"/>
  <c r="D4643" i="22" s="1"/>
  <c r="E4643" i="22"/>
  <c r="F4643" i="22"/>
  <c r="O4643" i="22" s="1"/>
  <c r="G4643" i="22"/>
  <c r="B4644" i="22"/>
  <c r="M4588" i="22"/>
  <c r="J4588" i="22"/>
  <c r="N4588" i="22" s="1"/>
  <c r="D4588" i="22"/>
  <c r="P4588" i="22"/>
  <c r="Q4588" i="22"/>
  <c r="R4588" i="22"/>
  <c r="I4589" i="22"/>
  <c r="L4589" i="22"/>
  <c r="C4589" i="22"/>
  <c r="K4589" i="22" s="1"/>
  <c r="E4589" i="22"/>
  <c r="F4589" i="22"/>
  <c r="G4589" i="22"/>
  <c r="B4590" i="22"/>
  <c r="D4534" i="22"/>
  <c r="J4534" i="22"/>
  <c r="P4534" i="22"/>
  <c r="Q4534" i="22"/>
  <c r="R4534" i="22"/>
  <c r="L4535" i="22"/>
  <c r="C4535" i="22"/>
  <c r="E4535" i="22"/>
  <c r="G4535" i="22"/>
  <c r="I4535" i="22"/>
  <c r="B4536" i="22"/>
  <c r="D4234" i="22"/>
  <c r="J4234" i="22"/>
  <c r="N4234" i="22" s="1"/>
  <c r="U4234" i="22" s="1"/>
  <c r="P4234" i="22"/>
  <c r="Q4234" i="22"/>
  <c r="R4234" i="22"/>
  <c r="M4234" i="22"/>
  <c r="C4235" i="22"/>
  <c r="E4235" i="22"/>
  <c r="F4235" i="22"/>
  <c r="O4235" i="22" s="1"/>
  <c r="G4235" i="22"/>
  <c r="I4235" i="22"/>
  <c r="K4235" i="22"/>
  <c r="L4235" i="22"/>
  <c r="B4236" i="22"/>
  <c r="M4180" i="22"/>
  <c r="D4180" i="22"/>
  <c r="J4180" i="22"/>
  <c r="N4180" i="22" s="1"/>
  <c r="U4180" i="22" s="1"/>
  <c r="P4180" i="22"/>
  <c r="Q4180" i="22"/>
  <c r="R4180" i="22"/>
  <c r="L4181" i="22"/>
  <c r="C4181" i="22"/>
  <c r="K4181" i="22" s="1"/>
  <c r="E4181" i="22"/>
  <c r="F4181" i="22"/>
  <c r="O4181" i="22" s="1"/>
  <c r="G4181" i="22"/>
  <c r="I4181" i="22"/>
  <c r="B4182" i="22"/>
  <c r="M4126" i="22"/>
  <c r="D4126" i="22"/>
  <c r="J4126" i="22"/>
  <c r="N4126" i="22" s="1"/>
  <c r="U4126" i="22" s="1"/>
  <c r="P4126" i="22"/>
  <c r="Q4126" i="22"/>
  <c r="R4126" i="22"/>
  <c r="L4127" i="22"/>
  <c r="C4127" i="22"/>
  <c r="K4127" i="22" s="1"/>
  <c r="E4127" i="22"/>
  <c r="F4127" i="22"/>
  <c r="O4127" i="22" s="1"/>
  <c r="G4127" i="22"/>
  <c r="I4127" i="22"/>
  <c r="B4128" i="22"/>
  <c r="M4072" i="22"/>
  <c r="D4072" i="22"/>
  <c r="J4072" i="22"/>
  <c r="N4072" i="22" s="1"/>
  <c r="U4072" i="22" s="1"/>
  <c r="P4072" i="22"/>
  <c r="Q4072" i="22"/>
  <c r="R4072" i="22"/>
  <c r="L4073" i="22"/>
  <c r="C4073" i="22"/>
  <c r="K4073" i="22" s="1"/>
  <c r="E4073" i="22"/>
  <c r="F4073" i="22"/>
  <c r="O4073" i="22" s="1"/>
  <c r="G4073" i="22"/>
  <c r="I4073" i="22"/>
  <c r="B4074" i="22"/>
  <c r="M3772" i="22"/>
  <c r="D3772" i="22"/>
  <c r="J3772" i="22"/>
  <c r="N3772" i="22" s="1"/>
  <c r="U3772" i="22" s="1"/>
  <c r="P3772" i="22"/>
  <c r="Q3772" i="22"/>
  <c r="R3772" i="22"/>
  <c r="L3773" i="22"/>
  <c r="C3773" i="22"/>
  <c r="K3773" i="22" s="1"/>
  <c r="E3773" i="22"/>
  <c r="F3773" i="22"/>
  <c r="O3773" i="22" s="1"/>
  <c r="G3773" i="22"/>
  <c r="I3773" i="22"/>
  <c r="B3774" i="22"/>
  <c r="D3718" i="22"/>
  <c r="J3718" i="22"/>
  <c r="P3718" i="22"/>
  <c r="Q3718" i="22"/>
  <c r="R3718" i="22"/>
  <c r="L3719" i="22"/>
  <c r="C3719" i="22"/>
  <c r="K3719" i="22" s="1"/>
  <c r="E3719" i="22"/>
  <c r="F3719" i="22"/>
  <c r="O3719" i="22" s="1"/>
  <c r="G3719" i="22"/>
  <c r="I3719" i="22"/>
  <c r="B3720" i="22"/>
  <c r="M3664" i="22"/>
  <c r="D3664" i="22"/>
  <c r="J3664" i="22"/>
  <c r="N3664" i="22" s="1"/>
  <c r="U3664" i="22" s="1"/>
  <c r="P3664" i="22"/>
  <c r="Q3664" i="22"/>
  <c r="R3664" i="22"/>
  <c r="L3665" i="22"/>
  <c r="C3665" i="22"/>
  <c r="K3665" i="22" s="1"/>
  <c r="E3665" i="22"/>
  <c r="F3665" i="22"/>
  <c r="O3665" i="22" s="1"/>
  <c r="G3665" i="22"/>
  <c r="I3665" i="22"/>
  <c r="B3666" i="22"/>
  <c r="M3610" i="22"/>
  <c r="D3610" i="22"/>
  <c r="J3610" i="22"/>
  <c r="N3610" i="22" s="1"/>
  <c r="U3610" i="22" s="1"/>
  <c r="P3610" i="22"/>
  <c r="Q3610" i="22"/>
  <c r="R3610" i="22"/>
  <c r="L3611" i="22"/>
  <c r="C3611" i="22"/>
  <c r="E3611" i="22"/>
  <c r="G3611" i="22"/>
  <c r="I3611" i="22"/>
  <c r="B3612" i="22"/>
  <c r="M3556" i="22"/>
  <c r="D3556" i="22"/>
  <c r="J3556" i="22"/>
  <c r="N3556" i="22" s="1"/>
  <c r="U3556" i="22" s="1"/>
  <c r="P3556" i="22"/>
  <c r="Q3556" i="22"/>
  <c r="R3556" i="22"/>
  <c r="L3557" i="22"/>
  <c r="G3557" i="22"/>
  <c r="B3558" i="22"/>
  <c r="C3557" i="22"/>
  <c r="E3557" i="22"/>
  <c r="I3557" i="22"/>
  <c r="M3502" i="22"/>
  <c r="D3502" i="22"/>
  <c r="J3502" i="22"/>
  <c r="N3502" i="22" s="1"/>
  <c r="U3502" i="22" s="1"/>
  <c r="P3502" i="22"/>
  <c r="Q3502" i="22"/>
  <c r="R3502" i="22"/>
  <c r="L3503" i="22"/>
  <c r="C3503" i="22"/>
  <c r="K3503" i="22" s="1"/>
  <c r="E3503" i="22"/>
  <c r="F3503" i="22"/>
  <c r="O3503" i="22" s="1"/>
  <c r="G3503" i="22"/>
  <c r="I3503" i="22"/>
  <c r="B3504" i="22"/>
  <c r="M3448" i="22"/>
  <c r="D3448" i="22"/>
  <c r="J3448" i="22"/>
  <c r="N3448" i="22" s="1"/>
  <c r="U3448" i="22" s="1"/>
  <c r="P3448" i="22"/>
  <c r="Q3448" i="22"/>
  <c r="R3448" i="22"/>
  <c r="L3449" i="22"/>
  <c r="C3449" i="22"/>
  <c r="K3449" i="22" s="1"/>
  <c r="E3449" i="22"/>
  <c r="F3449" i="22"/>
  <c r="O3449" i="22" s="1"/>
  <c r="G3449" i="22"/>
  <c r="I3449" i="22"/>
  <c r="B3450" i="22"/>
  <c r="M3394" i="22"/>
  <c r="D3394" i="22"/>
  <c r="J3394" i="22"/>
  <c r="N3394" i="22" s="1"/>
  <c r="U3394" i="22" s="1"/>
  <c r="P3394" i="22"/>
  <c r="Q3394" i="22"/>
  <c r="R3394" i="22"/>
  <c r="L3395" i="22"/>
  <c r="C3395" i="22"/>
  <c r="E3395" i="22"/>
  <c r="G3395" i="22"/>
  <c r="I3395" i="22"/>
  <c r="B3396" i="22"/>
  <c r="M3340" i="22"/>
  <c r="D3340" i="22"/>
  <c r="J3340" i="22"/>
  <c r="N3340" i="22" s="1"/>
  <c r="U3340" i="22" s="1"/>
  <c r="P3340" i="22"/>
  <c r="Q3340" i="22"/>
  <c r="R3340" i="22"/>
  <c r="L3341" i="22"/>
  <c r="C3341" i="22"/>
  <c r="K3341" i="22" s="1"/>
  <c r="E3341" i="22"/>
  <c r="F3341" i="22"/>
  <c r="O3341" i="22" s="1"/>
  <c r="G3341" i="22"/>
  <c r="I3341" i="22"/>
  <c r="B3342" i="22"/>
  <c r="M3286" i="22"/>
  <c r="D3286" i="22"/>
  <c r="J3286" i="22"/>
  <c r="N3286" i="22" s="1"/>
  <c r="U3286" i="22" s="1"/>
  <c r="P3286" i="22"/>
  <c r="Q3286" i="22"/>
  <c r="R3286" i="22"/>
  <c r="L3287" i="22"/>
  <c r="C3287" i="22"/>
  <c r="K3287" i="22" s="1"/>
  <c r="E3287" i="22"/>
  <c r="F3287" i="22"/>
  <c r="O3287" i="22" s="1"/>
  <c r="G3287" i="22"/>
  <c r="I3287" i="22"/>
  <c r="B3288" i="22"/>
  <c r="M3232" i="22"/>
  <c r="D3232" i="22"/>
  <c r="J3232" i="22"/>
  <c r="N3232" i="22" s="1"/>
  <c r="U3232" i="22" s="1"/>
  <c r="P3232" i="22"/>
  <c r="Q3232" i="22"/>
  <c r="R3232" i="22"/>
  <c r="L3233" i="22"/>
  <c r="C3233" i="22"/>
  <c r="K3233" i="22" s="1"/>
  <c r="E3233" i="22"/>
  <c r="F3233" i="22"/>
  <c r="O3233" i="22" s="1"/>
  <c r="G3233" i="22"/>
  <c r="I3233" i="22"/>
  <c r="B3234" i="22"/>
  <c r="D3178" i="22"/>
  <c r="M3178" i="22" s="1"/>
  <c r="J3178" i="22"/>
  <c r="P3178" i="22"/>
  <c r="Q3178" i="22"/>
  <c r="R3178" i="22"/>
  <c r="L3179" i="22"/>
  <c r="C3179" i="22"/>
  <c r="K3179" i="22" s="1"/>
  <c r="E3179" i="22"/>
  <c r="F3179" i="22"/>
  <c r="O3179" i="22" s="1"/>
  <c r="G3179" i="22"/>
  <c r="I3179" i="22"/>
  <c r="B3180" i="22"/>
  <c r="D3124" i="22"/>
  <c r="J3124" i="22"/>
  <c r="P3124" i="22"/>
  <c r="Q3124" i="22"/>
  <c r="R3124" i="22"/>
  <c r="L3125" i="22"/>
  <c r="C3125" i="22"/>
  <c r="E3125" i="22"/>
  <c r="G3125" i="22"/>
  <c r="B3126" i="22"/>
  <c r="I3125" i="22"/>
  <c r="P3070" i="22"/>
  <c r="Q3070" i="22"/>
  <c r="R3070" i="22"/>
  <c r="J3070" i="22"/>
  <c r="D3070" i="22"/>
  <c r="L3071" i="22"/>
  <c r="E3071" i="22"/>
  <c r="I3071" i="22"/>
  <c r="B3072" i="22"/>
  <c r="C3071" i="22"/>
  <c r="G3071" i="22"/>
  <c r="M3016" i="22"/>
  <c r="D3016" i="22"/>
  <c r="J3016" i="22"/>
  <c r="N3016" i="22" s="1"/>
  <c r="U3016" i="22" s="1"/>
  <c r="P3016" i="22"/>
  <c r="Q3016" i="22"/>
  <c r="R3016" i="22"/>
  <c r="L3017" i="22"/>
  <c r="I3017" i="22"/>
  <c r="B3018" i="22"/>
  <c r="C3017" i="22"/>
  <c r="E3017" i="22"/>
  <c r="G3017" i="22"/>
  <c r="M2962" i="22"/>
  <c r="J2962" i="22"/>
  <c r="N2962" i="22" s="1"/>
  <c r="U2962" i="22" s="1"/>
  <c r="D2962" i="22"/>
  <c r="P2962" i="22"/>
  <c r="Q2962" i="22"/>
  <c r="R2962" i="22"/>
  <c r="L2963" i="22"/>
  <c r="B2964" i="22"/>
  <c r="I2963" i="22"/>
  <c r="C2963" i="22"/>
  <c r="E2963" i="22"/>
  <c r="G2963" i="22"/>
  <c r="L2909" i="22"/>
  <c r="E2909" i="22"/>
  <c r="G2909" i="22"/>
  <c r="I2909" i="22"/>
  <c r="B2910" i="22"/>
  <c r="C2909" i="22"/>
  <c r="D2908" i="22"/>
  <c r="J2908" i="22"/>
  <c r="P2908" i="22"/>
  <c r="Q2908" i="22"/>
  <c r="R2908" i="22"/>
  <c r="M2854" i="22"/>
  <c r="D2854" i="22"/>
  <c r="J2854" i="22"/>
  <c r="N2854" i="22" s="1"/>
  <c r="U2854" i="22" s="1"/>
  <c r="P2854" i="22"/>
  <c r="Q2854" i="22"/>
  <c r="R2854" i="22"/>
  <c r="L2855" i="22"/>
  <c r="C2855" i="22"/>
  <c r="K2855" i="22" s="1"/>
  <c r="E2855" i="22"/>
  <c r="F2855" i="22"/>
  <c r="O2855" i="22" s="1"/>
  <c r="G2855" i="22"/>
  <c r="I2855" i="22"/>
  <c r="B2856" i="22"/>
  <c r="D2800" i="22"/>
  <c r="J2800" i="22"/>
  <c r="P2800" i="22"/>
  <c r="Q2800" i="22"/>
  <c r="R2800" i="22"/>
  <c r="L2801" i="22"/>
  <c r="C2801" i="22"/>
  <c r="K2801" i="22" s="1"/>
  <c r="E2801" i="22"/>
  <c r="F2801" i="22"/>
  <c r="O2801" i="22" s="1"/>
  <c r="G2801" i="22"/>
  <c r="I2801" i="22"/>
  <c r="B2802" i="22"/>
  <c r="D2746" i="22"/>
  <c r="J2746" i="22"/>
  <c r="P2746" i="22"/>
  <c r="Q2746" i="22"/>
  <c r="R2746" i="22"/>
  <c r="L2747" i="22"/>
  <c r="C2747" i="22"/>
  <c r="K2747" i="22" s="1"/>
  <c r="E2747" i="22"/>
  <c r="F2747" i="22"/>
  <c r="O2747" i="22" s="1"/>
  <c r="G2747" i="22"/>
  <c r="I2747" i="22"/>
  <c r="B2748" i="22"/>
  <c r="M2692" i="22"/>
  <c r="D2692" i="22"/>
  <c r="J2692" i="22"/>
  <c r="N2692" i="22" s="1"/>
  <c r="U2692" i="22" s="1"/>
  <c r="P2692" i="22"/>
  <c r="Q2692" i="22"/>
  <c r="R2692" i="22"/>
  <c r="L2693" i="22"/>
  <c r="C2693" i="22"/>
  <c r="K2693" i="22" s="1"/>
  <c r="E2693" i="22"/>
  <c r="F2693" i="22"/>
  <c r="O2693" i="22" s="1"/>
  <c r="G2693" i="22"/>
  <c r="I2693" i="22"/>
  <c r="B2694" i="22"/>
  <c r="M2638" i="22"/>
  <c r="D2638" i="22"/>
  <c r="J2638" i="22"/>
  <c r="N2638" i="22" s="1"/>
  <c r="U2638" i="22" s="1"/>
  <c r="P2638" i="22"/>
  <c r="Q2638" i="22"/>
  <c r="R2638" i="22"/>
  <c r="L2639" i="22"/>
  <c r="C2639" i="22"/>
  <c r="E2639" i="22"/>
  <c r="G2639" i="22"/>
  <c r="I2639" i="22"/>
  <c r="B2640" i="22"/>
  <c r="M2584" i="22"/>
  <c r="D2584" i="22"/>
  <c r="J2584" i="22"/>
  <c r="N2584" i="22" s="1"/>
  <c r="U2584" i="22" s="1"/>
  <c r="P2584" i="22"/>
  <c r="Q2584" i="22"/>
  <c r="R2584" i="22"/>
  <c r="L2585" i="22"/>
  <c r="E2585" i="22"/>
  <c r="C2585" i="22"/>
  <c r="K2585" i="22" s="1"/>
  <c r="I2585" i="22"/>
  <c r="B2586" i="22"/>
  <c r="G2585" i="22"/>
  <c r="F2585" i="22"/>
  <c r="O2585" i="22" s="1"/>
  <c r="D2530" i="22"/>
  <c r="M2530" i="22" s="1"/>
  <c r="J2530" i="22"/>
  <c r="P2530" i="22"/>
  <c r="Q2530" i="22"/>
  <c r="R2530" i="22"/>
  <c r="L2531" i="22"/>
  <c r="C2531" i="22"/>
  <c r="K2531" i="22" s="1"/>
  <c r="E2531" i="22"/>
  <c r="F2531" i="22"/>
  <c r="O2531" i="22" s="1"/>
  <c r="G2531" i="22"/>
  <c r="I2531" i="22"/>
  <c r="B2532" i="22"/>
  <c r="D2476" i="22"/>
  <c r="J2476" i="22"/>
  <c r="P2476" i="22"/>
  <c r="Q2476" i="22"/>
  <c r="R2476" i="22"/>
  <c r="L2477" i="22"/>
  <c r="C2477" i="22"/>
  <c r="K2477" i="22" s="1"/>
  <c r="E2477" i="22"/>
  <c r="F2477" i="22"/>
  <c r="O2477" i="22" s="1"/>
  <c r="G2477" i="22"/>
  <c r="I2477" i="22"/>
  <c r="B2478" i="22"/>
  <c r="D2422" i="22"/>
  <c r="J2422" i="22"/>
  <c r="P2422" i="22"/>
  <c r="Q2422" i="22"/>
  <c r="R2422" i="22"/>
  <c r="L2423" i="22"/>
  <c r="C2423" i="22"/>
  <c r="K2423" i="22" s="1"/>
  <c r="E2423" i="22"/>
  <c r="F2423" i="22"/>
  <c r="O2423" i="22" s="1"/>
  <c r="G2423" i="22"/>
  <c r="I2423" i="22"/>
  <c r="B2424" i="22"/>
  <c r="M2368" i="22"/>
  <c r="D2368" i="22"/>
  <c r="J2368" i="22"/>
  <c r="N2368" i="22" s="1"/>
  <c r="U2368" i="22" s="1"/>
  <c r="P2368" i="22"/>
  <c r="Q2368" i="22"/>
  <c r="R2368" i="22"/>
  <c r="L2369" i="22"/>
  <c r="C2369" i="22"/>
  <c r="K2369" i="22" s="1"/>
  <c r="E2369" i="22"/>
  <c r="F2369" i="22"/>
  <c r="O2369" i="22" s="1"/>
  <c r="G2369" i="22"/>
  <c r="I2369" i="22"/>
  <c r="B2370" i="22"/>
  <c r="M2314" i="22"/>
  <c r="D2314" i="22"/>
  <c r="J2314" i="22"/>
  <c r="N2314" i="22" s="1"/>
  <c r="U2314" i="22" s="1"/>
  <c r="P2314" i="22"/>
  <c r="Q2314" i="22"/>
  <c r="R2314" i="22"/>
  <c r="L2315" i="22"/>
  <c r="C2315" i="22"/>
  <c r="E2315" i="22"/>
  <c r="G2315" i="22"/>
  <c r="I2315" i="22"/>
  <c r="B2316" i="22"/>
  <c r="M2260" i="22"/>
  <c r="D2260" i="22"/>
  <c r="J2260" i="22"/>
  <c r="N2260" i="22" s="1"/>
  <c r="U2260" i="22" s="1"/>
  <c r="P2260" i="22"/>
  <c r="Q2260" i="22"/>
  <c r="R2260" i="22"/>
  <c r="L2261" i="22"/>
  <c r="C2261" i="22"/>
  <c r="K2261" i="22" s="1"/>
  <c r="E2261" i="22"/>
  <c r="F2261" i="22"/>
  <c r="O2261" i="22" s="1"/>
  <c r="G2261" i="22"/>
  <c r="I2261" i="22"/>
  <c r="B2262" i="22"/>
  <c r="D2206" i="22"/>
  <c r="J2206" i="22"/>
  <c r="P2206" i="22"/>
  <c r="Q2206" i="22"/>
  <c r="R2206" i="22"/>
  <c r="L2207" i="22"/>
  <c r="C2207" i="22"/>
  <c r="K2207" i="22" s="1"/>
  <c r="E2207" i="22"/>
  <c r="F2207" i="22"/>
  <c r="O2207" i="22" s="1"/>
  <c r="G2207" i="22"/>
  <c r="I2207" i="22"/>
  <c r="B2208" i="22"/>
  <c r="M2152" i="22"/>
  <c r="D2152" i="22"/>
  <c r="J2152" i="22"/>
  <c r="N2152" i="22" s="1"/>
  <c r="U2152" i="22" s="1"/>
  <c r="P2152" i="22"/>
  <c r="Q2152" i="22"/>
  <c r="R2152" i="22"/>
  <c r="L2153" i="22"/>
  <c r="C2153" i="22"/>
  <c r="K2153" i="22" s="1"/>
  <c r="E2153" i="22"/>
  <c r="F2153" i="22"/>
  <c r="O2153" i="22" s="1"/>
  <c r="G2153" i="22"/>
  <c r="I2153" i="22"/>
  <c r="B2154" i="22"/>
  <c r="M2098" i="22"/>
  <c r="D2098" i="22"/>
  <c r="J2098" i="22"/>
  <c r="N2098" i="22" s="1"/>
  <c r="U2098" i="22" s="1"/>
  <c r="P2098" i="22"/>
  <c r="Q2098" i="22"/>
  <c r="R2098" i="22"/>
  <c r="L2099" i="22"/>
  <c r="C2099" i="22"/>
  <c r="K2099" i="22" s="1"/>
  <c r="E2099" i="22"/>
  <c r="F2099" i="22"/>
  <c r="O2099" i="22" s="1"/>
  <c r="G2099" i="22"/>
  <c r="I2099" i="22"/>
  <c r="B2100" i="22"/>
  <c r="M2044" i="22"/>
  <c r="D2044" i="22"/>
  <c r="J2044" i="22"/>
  <c r="N2044" i="22" s="1"/>
  <c r="U2044" i="22" s="1"/>
  <c r="P2044" i="22"/>
  <c r="Q2044" i="22"/>
  <c r="R2044" i="22"/>
  <c r="L2045" i="22"/>
  <c r="C2045" i="22"/>
  <c r="E2045" i="22"/>
  <c r="G2045" i="22"/>
  <c r="I2045" i="22"/>
  <c r="B2046" i="22"/>
  <c r="M1990" i="22"/>
  <c r="D1990" i="22"/>
  <c r="J1990" i="22"/>
  <c r="N1990" i="22" s="1"/>
  <c r="U1990" i="22" s="1"/>
  <c r="P1990" i="22"/>
  <c r="Q1990" i="22"/>
  <c r="R1990" i="22"/>
  <c r="L1991" i="22"/>
  <c r="C1991" i="22"/>
  <c r="E1991" i="22"/>
  <c r="G1991" i="22"/>
  <c r="I1991" i="22"/>
  <c r="B1992" i="22"/>
  <c r="M1936" i="22"/>
  <c r="D1936" i="22"/>
  <c r="J1936" i="22"/>
  <c r="N1936" i="22" s="1"/>
  <c r="U1936" i="22" s="1"/>
  <c r="P1936" i="22"/>
  <c r="Q1936" i="22"/>
  <c r="R1936" i="22"/>
  <c r="L1937" i="22"/>
  <c r="C1937" i="22"/>
  <c r="K1937" i="22" s="1"/>
  <c r="E1937" i="22"/>
  <c r="F1937" i="22"/>
  <c r="O1937" i="22" s="1"/>
  <c r="G1937" i="22"/>
  <c r="I1937" i="22"/>
  <c r="B1938" i="22"/>
  <c r="D1882" i="22"/>
  <c r="M1882" i="22" s="1"/>
  <c r="J1882" i="22"/>
  <c r="P1882" i="22"/>
  <c r="Q1882" i="22"/>
  <c r="R1882" i="22"/>
  <c r="L1883" i="22"/>
  <c r="C1883" i="22"/>
  <c r="K1883" i="22" s="1"/>
  <c r="E1883" i="22"/>
  <c r="F1883" i="22"/>
  <c r="O1883" i="22" s="1"/>
  <c r="G1883" i="22"/>
  <c r="I1883" i="22"/>
  <c r="B1884" i="22"/>
  <c r="M1828" i="22"/>
  <c r="D1828" i="22"/>
  <c r="J1828" i="22"/>
  <c r="N1828" i="22" s="1"/>
  <c r="U1828" i="22" s="1"/>
  <c r="P1828" i="22"/>
  <c r="Q1828" i="22"/>
  <c r="R1828" i="22"/>
  <c r="L1829" i="22"/>
  <c r="C1829" i="22"/>
  <c r="K1829" i="22" s="1"/>
  <c r="E1829" i="22"/>
  <c r="F1829" i="22"/>
  <c r="O1829" i="22" s="1"/>
  <c r="G1829" i="22"/>
  <c r="I1829" i="22"/>
  <c r="B1830" i="22"/>
  <c r="D1774" i="22"/>
  <c r="J1774" i="22"/>
  <c r="P1774" i="22"/>
  <c r="Q1774" i="22"/>
  <c r="R1774" i="22"/>
  <c r="L1775" i="22"/>
  <c r="C1775" i="22"/>
  <c r="K1775" i="22" s="1"/>
  <c r="E1775" i="22"/>
  <c r="F1775" i="22"/>
  <c r="O1775" i="22" s="1"/>
  <c r="G1775" i="22"/>
  <c r="I1775" i="22"/>
  <c r="B1776" i="22"/>
  <c r="M1720" i="22"/>
  <c r="D1720" i="22"/>
  <c r="J1720" i="22"/>
  <c r="N1720" i="22" s="1"/>
  <c r="U1720" i="22" s="1"/>
  <c r="P1720" i="22"/>
  <c r="Q1720" i="22"/>
  <c r="R1720" i="22"/>
  <c r="L1721" i="22"/>
  <c r="C1721" i="22"/>
  <c r="K1721" i="22" s="1"/>
  <c r="E1721" i="22"/>
  <c r="F1721" i="22"/>
  <c r="O1721" i="22" s="1"/>
  <c r="G1721" i="22"/>
  <c r="I1721" i="22"/>
  <c r="B1722" i="22"/>
  <c r="M1666" i="22"/>
  <c r="D1666" i="22"/>
  <c r="J1666" i="22"/>
  <c r="N1666" i="22" s="1"/>
  <c r="U1666" i="22" s="1"/>
  <c r="P1666" i="22"/>
  <c r="Q1666" i="22"/>
  <c r="R1666" i="22"/>
  <c r="L1667" i="22"/>
  <c r="C1667" i="22"/>
  <c r="E1667" i="22"/>
  <c r="G1667" i="22"/>
  <c r="I1667" i="22"/>
  <c r="B1668" i="22"/>
  <c r="M1612" i="22"/>
  <c r="D1612" i="22"/>
  <c r="J1612" i="22"/>
  <c r="N1612" i="22" s="1"/>
  <c r="U1612" i="22" s="1"/>
  <c r="P1612" i="22"/>
  <c r="Q1612" i="22"/>
  <c r="R1612" i="22"/>
  <c r="L1613" i="22"/>
  <c r="C1613" i="22"/>
  <c r="K1613" i="22" s="1"/>
  <c r="E1613" i="22"/>
  <c r="F1613" i="22"/>
  <c r="O1613" i="22" s="1"/>
  <c r="G1613" i="22"/>
  <c r="I1613" i="22"/>
  <c r="B1614" i="22"/>
  <c r="M1558" i="22"/>
  <c r="D1558" i="22"/>
  <c r="J1558" i="22"/>
  <c r="N1558" i="22" s="1"/>
  <c r="U1558" i="22" s="1"/>
  <c r="P1558" i="22"/>
  <c r="Q1558" i="22"/>
  <c r="R1558" i="22"/>
  <c r="L1559" i="22"/>
  <c r="C1559" i="22"/>
  <c r="K1559" i="22" s="1"/>
  <c r="E1559" i="22"/>
  <c r="F1559" i="22"/>
  <c r="O1559" i="22" s="1"/>
  <c r="G1559" i="22"/>
  <c r="I1559" i="22"/>
  <c r="B1560" i="22"/>
  <c r="D1504" i="22"/>
  <c r="J1504" i="22"/>
  <c r="P1504" i="22"/>
  <c r="Q1504" i="22"/>
  <c r="R1504" i="22"/>
  <c r="L1505" i="22"/>
  <c r="C1505" i="22"/>
  <c r="K1505" i="22" s="1"/>
  <c r="E1505" i="22"/>
  <c r="F1505" i="22"/>
  <c r="O1505" i="22" s="1"/>
  <c r="G1505" i="22"/>
  <c r="I1505" i="22"/>
  <c r="B1506" i="22"/>
  <c r="D1450" i="22"/>
  <c r="J1450" i="22"/>
  <c r="P1450" i="22"/>
  <c r="Q1450" i="22"/>
  <c r="R1450" i="22"/>
  <c r="L1451" i="22"/>
  <c r="C1451" i="22"/>
  <c r="K1451" i="22" s="1"/>
  <c r="E1451" i="22"/>
  <c r="F1451" i="22"/>
  <c r="O1451" i="22" s="1"/>
  <c r="G1451" i="22"/>
  <c r="I1451" i="22"/>
  <c r="B1452" i="22"/>
  <c r="D1396" i="22"/>
  <c r="M1396" i="22" s="1"/>
  <c r="J1396" i="22"/>
  <c r="P1396" i="22"/>
  <c r="Q1396" i="22"/>
  <c r="R1396" i="22"/>
  <c r="L1397" i="22"/>
  <c r="C1397" i="22"/>
  <c r="E1397" i="22"/>
  <c r="G1397" i="22"/>
  <c r="I1397" i="22"/>
  <c r="B1398" i="22"/>
  <c r="M1342" i="22"/>
  <c r="D1342" i="22"/>
  <c r="J1342" i="22"/>
  <c r="N1342" i="22" s="1"/>
  <c r="U1342" i="22" s="1"/>
  <c r="P1342" i="22"/>
  <c r="Q1342" i="22"/>
  <c r="R1342" i="22"/>
  <c r="L1343" i="22"/>
  <c r="G1343" i="22"/>
  <c r="I1343" i="22"/>
  <c r="B1344" i="22"/>
  <c r="C1343" i="22"/>
  <c r="K1343" i="22" s="1"/>
  <c r="E1343" i="22"/>
  <c r="F1343" i="22"/>
  <c r="O1343" i="22" s="1"/>
  <c r="M1288" i="22"/>
  <c r="D1288" i="22"/>
  <c r="J1288" i="22"/>
  <c r="N1288" i="22" s="1"/>
  <c r="U1288" i="22" s="1"/>
  <c r="P1288" i="22"/>
  <c r="Q1288" i="22"/>
  <c r="R1288" i="22"/>
  <c r="L1289" i="22"/>
  <c r="C1289" i="22"/>
  <c r="K1289" i="22" s="1"/>
  <c r="E1289" i="22"/>
  <c r="F1289" i="22"/>
  <c r="O1289" i="22" s="1"/>
  <c r="G1289" i="22"/>
  <c r="I1289" i="22"/>
  <c r="B1290" i="22"/>
  <c r="D1234" i="22"/>
  <c r="M1234" i="22" s="1"/>
  <c r="J1234" i="22"/>
  <c r="P1234" i="22"/>
  <c r="Q1234" i="22"/>
  <c r="R1234" i="22"/>
  <c r="L1235" i="22"/>
  <c r="C1235" i="22"/>
  <c r="K1235" i="22" s="1"/>
  <c r="E1235" i="22"/>
  <c r="F1235" i="22"/>
  <c r="O1235" i="22" s="1"/>
  <c r="G1235" i="22"/>
  <c r="I1235" i="22"/>
  <c r="B1236" i="22"/>
  <c r="M1180" i="22"/>
  <c r="D1180" i="22"/>
  <c r="J1180" i="22"/>
  <c r="N1180" i="22" s="1"/>
  <c r="U1180" i="22" s="1"/>
  <c r="P1180" i="22"/>
  <c r="Q1180" i="22"/>
  <c r="R1180" i="22"/>
  <c r="L1181" i="22"/>
  <c r="C1181" i="22"/>
  <c r="E1181" i="22"/>
  <c r="G1181" i="22"/>
  <c r="I1181" i="22"/>
  <c r="B1182" i="22"/>
  <c r="D1126" i="22"/>
  <c r="J1126" i="22"/>
  <c r="P1126" i="22"/>
  <c r="Q1126" i="22"/>
  <c r="R1126" i="22"/>
  <c r="L1127" i="22"/>
  <c r="C1127" i="22"/>
  <c r="K1127" i="22" s="1"/>
  <c r="E1127" i="22"/>
  <c r="F1127" i="22"/>
  <c r="O1127" i="22" s="1"/>
  <c r="G1127" i="22"/>
  <c r="I1127" i="22"/>
  <c r="B1128" i="22"/>
  <c r="M1072" i="22"/>
  <c r="D1072" i="22"/>
  <c r="J1072" i="22"/>
  <c r="N1072" i="22" s="1"/>
  <c r="U1072" i="22" s="1"/>
  <c r="P1072" i="22"/>
  <c r="Q1072" i="22"/>
  <c r="R1072" i="22"/>
  <c r="L1073" i="22"/>
  <c r="C1073" i="22"/>
  <c r="K1073" i="22" s="1"/>
  <c r="E1073" i="22"/>
  <c r="F1073" i="22"/>
  <c r="O1073" i="22" s="1"/>
  <c r="G1073" i="22"/>
  <c r="I1073" i="22"/>
  <c r="B1074" i="22"/>
  <c r="M1018" i="22"/>
  <c r="D1018" i="22"/>
  <c r="J1018" i="22"/>
  <c r="N1018" i="22" s="1"/>
  <c r="U1018" i="22" s="1"/>
  <c r="P1018" i="22"/>
  <c r="Q1018" i="22"/>
  <c r="R1018" i="22"/>
  <c r="L1019" i="22"/>
  <c r="C1019" i="22"/>
  <c r="K1019" i="22" s="1"/>
  <c r="E1019" i="22"/>
  <c r="F1019" i="22"/>
  <c r="O1019" i="22" s="1"/>
  <c r="G1019" i="22"/>
  <c r="I1019" i="22"/>
  <c r="B1020" i="22"/>
  <c r="M964" i="22"/>
  <c r="D964" i="22"/>
  <c r="J964" i="22"/>
  <c r="N964" i="22" s="1"/>
  <c r="U964" i="22" s="1"/>
  <c r="P964" i="22"/>
  <c r="Q964" i="22"/>
  <c r="R964" i="22"/>
  <c r="L965" i="22"/>
  <c r="C965" i="22"/>
  <c r="E965" i="22"/>
  <c r="G965" i="22"/>
  <c r="I965" i="22"/>
  <c r="B966" i="22"/>
  <c r="M910" i="22"/>
  <c r="D910" i="22"/>
  <c r="J910" i="22"/>
  <c r="N910" i="22" s="1"/>
  <c r="U910" i="22" s="1"/>
  <c r="P910" i="22"/>
  <c r="Q910" i="22"/>
  <c r="R910" i="22"/>
  <c r="L911" i="22"/>
  <c r="C911" i="22"/>
  <c r="K911" i="22" s="1"/>
  <c r="E911" i="22"/>
  <c r="F911" i="22"/>
  <c r="O911" i="22" s="1"/>
  <c r="G911" i="22"/>
  <c r="I911" i="22"/>
  <c r="B912" i="22"/>
  <c r="M856" i="22"/>
  <c r="D856" i="22"/>
  <c r="J856" i="22"/>
  <c r="N856" i="22" s="1"/>
  <c r="U856" i="22" s="1"/>
  <c r="P856" i="22"/>
  <c r="Q856" i="22"/>
  <c r="R856" i="22"/>
  <c r="L857" i="22"/>
  <c r="C857" i="22"/>
  <c r="K857" i="22" s="1"/>
  <c r="E857" i="22"/>
  <c r="F857" i="22"/>
  <c r="O857" i="22" s="1"/>
  <c r="G857" i="22"/>
  <c r="I857" i="22"/>
  <c r="B858" i="22"/>
  <c r="D802" i="22"/>
  <c r="J802" i="22"/>
  <c r="P802" i="22"/>
  <c r="Q802" i="22"/>
  <c r="R802" i="22"/>
  <c r="L803" i="22"/>
  <c r="C803" i="22"/>
  <c r="K803" i="22" s="1"/>
  <c r="E803" i="22"/>
  <c r="F803" i="22"/>
  <c r="O803" i="22" s="1"/>
  <c r="G803" i="22"/>
  <c r="I803" i="22"/>
  <c r="B804" i="22"/>
  <c r="M748" i="22"/>
  <c r="D748" i="22"/>
  <c r="J748" i="22"/>
  <c r="N748" i="22" s="1"/>
  <c r="U748" i="22" s="1"/>
  <c r="P748" i="22"/>
  <c r="Q748" i="22"/>
  <c r="R748" i="22"/>
  <c r="L749" i="22"/>
  <c r="C749" i="22"/>
  <c r="E749" i="22"/>
  <c r="G749" i="22"/>
  <c r="I749" i="22"/>
  <c r="B750" i="22"/>
  <c r="M694" i="22"/>
  <c r="D694" i="22"/>
  <c r="J694" i="22"/>
  <c r="N694" i="22" s="1"/>
  <c r="U694" i="22" s="1"/>
  <c r="P694" i="22"/>
  <c r="Q694" i="22"/>
  <c r="R694" i="22"/>
  <c r="L695" i="22"/>
  <c r="C695" i="22"/>
  <c r="E695" i="22"/>
  <c r="G695" i="22"/>
  <c r="I695" i="22"/>
  <c r="B696" i="22"/>
  <c r="M640" i="22"/>
  <c r="D640" i="22"/>
  <c r="J640" i="22"/>
  <c r="N640" i="22" s="1"/>
  <c r="U640" i="22" s="1"/>
  <c r="P640" i="22"/>
  <c r="Q640" i="22"/>
  <c r="R640" i="22"/>
  <c r="L641" i="22"/>
  <c r="C641" i="22"/>
  <c r="K641" i="22" s="1"/>
  <c r="E641" i="22"/>
  <c r="F641" i="22"/>
  <c r="O641" i="22" s="1"/>
  <c r="G641" i="22"/>
  <c r="I641" i="22"/>
  <c r="B642" i="22"/>
  <c r="D586" i="22"/>
  <c r="M586" i="22" s="1"/>
  <c r="J586" i="22"/>
  <c r="P586" i="22"/>
  <c r="Q586" i="22"/>
  <c r="R586" i="22"/>
  <c r="L587" i="22"/>
  <c r="C587" i="22"/>
  <c r="K587" i="22" s="1"/>
  <c r="E587" i="22"/>
  <c r="F587" i="22"/>
  <c r="O587" i="22" s="1"/>
  <c r="G587" i="22"/>
  <c r="I587" i="22"/>
  <c r="B588" i="22"/>
  <c r="M532" i="22"/>
  <c r="D532" i="22"/>
  <c r="J532" i="22"/>
  <c r="N532" i="22" s="1"/>
  <c r="U532" i="22" s="1"/>
  <c r="P532" i="22"/>
  <c r="Q532" i="22"/>
  <c r="R532" i="22"/>
  <c r="L533" i="22"/>
  <c r="C533" i="22"/>
  <c r="K533" i="22" s="1"/>
  <c r="E533" i="22"/>
  <c r="F533" i="22"/>
  <c r="O533" i="22" s="1"/>
  <c r="G533" i="22"/>
  <c r="I533" i="22"/>
  <c r="B534" i="22"/>
  <c r="D478" i="22"/>
  <c r="J478" i="22"/>
  <c r="P478" i="22"/>
  <c r="Q478" i="22"/>
  <c r="R478" i="22"/>
  <c r="L479" i="22"/>
  <c r="C479" i="22"/>
  <c r="E479" i="22"/>
  <c r="G479" i="22"/>
  <c r="I479" i="22"/>
  <c r="B480" i="22"/>
  <c r="M424" i="22"/>
  <c r="L425" i="22"/>
  <c r="E425" i="22"/>
  <c r="B426" i="22"/>
  <c r="C425" i="22"/>
  <c r="G425" i="22"/>
  <c r="I425" i="22"/>
  <c r="D424" i="22"/>
  <c r="J424" i="22"/>
  <c r="N424" i="22" s="1"/>
  <c r="U424" i="22" s="1"/>
  <c r="P424" i="22"/>
  <c r="Q424" i="22"/>
  <c r="R424" i="22"/>
  <c r="M370" i="22"/>
  <c r="D370" i="22"/>
  <c r="J370" i="22"/>
  <c r="N370" i="22" s="1"/>
  <c r="U370" i="22" s="1"/>
  <c r="P370" i="22"/>
  <c r="Q370" i="22"/>
  <c r="R370" i="22"/>
  <c r="L371" i="22"/>
  <c r="C371" i="22"/>
  <c r="K371" i="22" s="1"/>
  <c r="E371" i="22"/>
  <c r="F371" i="22"/>
  <c r="O371" i="22" s="1"/>
  <c r="G371" i="22"/>
  <c r="I371" i="22"/>
  <c r="B372" i="22"/>
  <c r="M316" i="22"/>
  <c r="D316" i="22"/>
  <c r="J316" i="22"/>
  <c r="N316" i="22" s="1"/>
  <c r="U316" i="22" s="1"/>
  <c r="P316" i="22"/>
  <c r="Q316" i="22"/>
  <c r="R316" i="22"/>
  <c r="L317" i="22"/>
  <c r="C317" i="22"/>
  <c r="K317" i="22" s="1"/>
  <c r="E317" i="22"/>
  <c r="F317" i="22"/>
  <c r="O317" i="22" s="1"/>
  <c r="G317" i="22"/>
  <c r="I317" i="22"/>
  <c r="B318" i="22"/>
  <c r="M262" i="22"/>
  <c r="D262" i="22"/>
  <c r="J262" i="22"/>
  <c r="N262" i="22" s="1"/>
  <c r="U262" i="22" s="1"/>
  <c r="P262" i="22"/>
  <c r="Q262" i="22"/>
  <c r="R262" i="22"/>
  <c r="L263" i="22"/>
  <c r="C263" i="22"/>
  <c r="K263" i="22" s="1"/>
  <c r="E263" i="22"/>
  <c r="F263" i="22"/>
  <c r="O263" i="22" s="1"/>
  <c r="G263" i="22"/>
  <c r="I263" i="22"/>
  <c r="B264" i="22"/>
  <c r="M208" i="22"/>
  <c r="D208" i="22"/>
  <c r="J208" i="22"/>
  <c r="N208" i="22" s="1"/>
  <c r="U208" i="22" s="1"/>
  <c r="P208" i="22"/>
  <c r="Q208" i="22"/>
  <c r="R208" i="22"/>
  <c r="L209" i="22"/>
  <c r="G209" i="22"/>
  <c r="C209" i="22"/>
  <c r="K209" i="22" s="1"/>
  <c r="E209" i="22"/>
  <c r="F209" i="22"/>
  <c r="O209" i="22" s="1"/>
  <c r="B210" i="22"/>
  <c r="I209" i="22"/>
  <c r="D154" i="22"/>
  <c r="J154" i="22"/>
  <c r="P154" i="22"/>
  <c r="Q154" i="22"/>
  <c r="R154" i="22"/>
  <c r="L155" i="22"/>
  <c r="E155" i="22"/>
  <c r="G155" i="22"/>
  <c r="I155" i="22"/>
  <c r="B156" i="22"/>
  <c r="C155" i="22"/>
  <c r="D100" i="22"/>
  <c r="J100" i="22"/>
  <c r="P100" i="22"/>
  <c r="Q100" i="22"/>
  <c r="R100" i="22"/>
  <c r="L101" i="22"/>
  <c r="C101" i="22"/>
  <c r="E101" i="22"/>
  <c r="G101" i="22"/>
  <c r="B102" i="22"/>
  <c r="I101" i="22"/>
  <c r="D38" i="17"/>
  <c r="J38" i="17"/>
  <c r="E90" i="12"/>
  <c r="O38" i="17"/>
  <c r="AP38" i="17"/>
  <c r="AO38" i="17"/>
  <c r="AN38" i="17"/>
  <c r="AM38" i="17"/>
  <c r="AL38" i="17"/>
  <c r="AK38" i="17"/>
  <c r="AJ38" i="17"/>
  <c r="AI38" i="17"/>
  <c r="AH38" i="17"/>
  <c r="AG38" i="17"/>
  <c r="AF38" i="17"/>
  <c r="AE38" i="17"/>
  <c r="AD38" i="17"/>
  <c r="AC38" i="17"/>
  <c r="AB38" i="17"/>
  <c r="AA38" i="17"/>
  <c r="Z38" i="17"/>
  <c r="Y38" i="17"/>
  <c r="X38" i="17"/>
  <c r="W38" i="17"/>
  <c r="P38" i="17"/>
  <c r="Q38" i="17"/>
  <c r="R38" i="17"/>
  <c r="V38" i="17"/>
  <c r="C41" i="10"/>
  <c r="M38" i="17"/>
  <c r="E39" i="17"/>
  <c r="G39" i="17"/>
  <c r="AR39" i="17" s="1"/>
  <c r="C39" i="17"/>
  <c r="I39" i="17"/>
  <c r="L39" i="17"/>
  <c r="B40" i="17"/>
  <c r="B39" i="18"/>
  <c r="F37" i="18"/>
  <c r="G37" i="18"/>
  <c r="H37" i="18"/>
  <c r="C89" i="12"/>
  <c r="AT16" i="17"/>
  <c r="B104" i="12"/>
  <c r="I104" i="12" s="1"/>
  <c r="AS15" i="17"/>
  <c r="AR17" i="17"/>
  <c r="AR18" i="17"/>
  <c r="AR19" i="17"/>
  <c r="AR20" i="17"/>
  <c r="AR21" i="17"/>
  <c r="AR22" i="17"/>
  <c r="AR23" i="17"/>
  <c r="AR24" i="17"/>
  <c r="AR25" i="17"/>
  <c r="AR26" i="17"/>
  <c r="AR27" i="17"/>
  <c r="AR28" i="17"/>
  <c r="AR29" i="17"/>
  <c r="AR30" i="17"/>
  <c r="AR31" i="17"/>
  <c r="AR32" i="17"/>
  <c r="AR33" i="17"/>
  <c r="AR36" i="17"/>
  <c r="AR37" i="17"/>
  <c r="AR34" i="17"/>
  <c r="AR35" i="17"/>
  <c r="AR38" i="17"/>
  <c r="C88" i="12"/>
  <c r="M1502" i="23"/>
  <c r="N1502" i="23"/>
  <c r="AE1502" i="23" s="1"/>
  <c r="M1446" i="23"/>
  <c r="N1446" i="23"/>
  <c r="AE1446" i="23" s="1"/>
  <c r="M1390" i="23"/>
  <c r="N1390" i="23"/>
  <c r="AE1390" i="23" s="1"/>
  <c r="M1278" i="23"/>
  <c r="N1278" i="23"/>
  <c r="AE1278" i="23" s="1"/>
  <c r="M1222" i="23"/>
  <c r="N1222" i="23"/>
  <c r="AE1222" i="23" s="1"/>
  <c r="M1054" i="23"/>
  <c r="N1054" i="23"/>
  <c r="AE1054" i="23" s="1"/>
  <c r="M494" i="23"/>
  <c r="N494" i="23"/>
  <c r="AE494" i="23" s="1"/>
  <c r="M438" i="23"/>
  <c r="N438" i="23"/>
  <c r="AE438" i="23" s="1"/>
  <c r="M3717" i="22"/>
  <c r="N3717" i="22"/>
  <c r="U3717" i="22" s="1"/>
  <c r="M3663" i="22"/>
  <c r="N3663" i="22"/>
  <c r="U3663" i="22" s="1"/>
  <c r="M3609" i="22"/>
  <c r="N3609" i="22"/>
  <c r="U3609" i="22" s="1"/>
  <c r="N3555" i="22"/>
  <c r="U3555" i="22" s="1"/>
  <c r="M3555" i="22"/>
  <c r="M3339" i="22"/>
  <c r="N3339" i="22"/>
  <c r="U3339" i="22" s="1"/>
  <c r="M3285" i="22"/>
  <c r="N3285" i="22"/>
  <c r="U3285" i="22" s="1"/>
  <c r="M3069" i="22"/>
  <c r="N3069" i="22"/>
  <c r="U3069" i="22" s="1"/>
  <c r="M2961" i="22"/>
  <c r="N2961" i="22"/>
  <c r="U2961" i="22" s="1"/>
  <c r="M2637" i="22"/>
  <c r="N2637" i="22"/>
  <c r="U2637" i="22" s="1"/>
  <c r="M1989" i="22"/>
  <c r="N1989" i="22"/>
  <c r="U1989" i="22" s="1"/>
  <c r="M1719" i="22"/>
  <c r="N1719" i="22"/>
  <c r="U1719" i="22" s="1"/>
  <c r="M1665" i="22"/>
  <c r="N1665" i="22"/>
  <c r="U1665" i="22" s="1"/>
  <c r="M1341" i="22"/>
  <c r="N1341" i="22"/>
  <c r="U1341" i="22" s="1"/>
  <c r="M1287" i="22"/>
  <c r="N1287" i="22"/>
  <c r="U1287" i="22" s="1"/>
  <c r="M1017" i="22"/>
  <c r="N1017" i="22"/>
  <c r="U1017" i="22" s="1"/>
  <c r="M963" i="22"/>
  <c r="N963" i="22"/>
  <c r="U963" i="22" s="1"/>
  <c r="M639" i="22"/>
  <c r="N639" i="22"/>
  <c r="U639" i="22" s="1"/>
  <c r="M315" i="22"/>
  <c r="N315" i="22"/>
  <c r="U315" i="22" s="1"/>
  <c r="AE1614" i="23"/>
  <c r="AK1614" i="23"/>
  <c r="K1503" i="23"/>
  <c r="F1503" i="23"/>
  <c r="O1503" i="23" s="1"/>
  <c r="F1223" i="23"/>
  <c r="O1223" i="23" s="1"/>
  <c r="K1223" i="23"/>
  <c r="K1055" i="23"/>
  <c r="F1055" i="23"/>
  <c r="O1055" i="23" s="1"/>
  <c r="K439" i="23"/>
  <c r="F439" i="23"/>
  <c r="O439" i="23" s="1"/>
  <c r="F383" i="23"/>
  <c r="O383" i="23" s="1"/>
  <c r="K383" i="23"/>
  <c r="K4534" i="22"/>
  <c r="F4534" i="22"/>
  <c r="K3718" i="22"/>
  <c r="F3718" i="22"/>
  <c r="O3718" i="22" s="1"/>
  <c r="K3124" i="22"/>
  <c r="F3124" i="22"/>
  <c r="O3124" i="22" s="1"/>
  <c r="K3070" i="22"/>
  <c r="F3070" i="22"/>
  <c r="O3070" i="22" s="1"/>
  <c r="K2908" i="22"/>
  <c r="F2908" i="22"/>
  <c r="O2908" i="22" s="1"/>
  <c r="F2800" i="22"/>
  <c r="O2800" i="22" s="1"/>
  <c r="K2800" i="22"/>
  <c r="F2746" i="22"/>
  <c r="O2746" i="22" s="1"/>
  <c r="K2746" i="22"/>
  <c r="K2476" i="22"/>
  <c r="F2476" i="22"/>
  <c r="O2476" i="22" s="1"/>
  <c r="F2422" i="22"/>
  <c r="O2422" i="22" s="1"/>
  <c r="K2422" i="22"/>
  <c r="K2206" i="22"/>
  <c r="F2206" i="22"/>
  <c r="O2206" i="22" s="1"/>
  <c r="F1774" i="22"/>
  <c r="O1774" i="22" s="1"/>
  <c r="K1774" i="22"/>
  <c r="F1504" i="22"/>
  <c r="O1504" i="22" s="1"/>
  <c r="K1504" i="22"/>
  <c r="F1450" i="22"/>
  <c r="O1450" i="22" s="1"/>
  <c r="K1450" i="22"/>
  <c r="F1126" i="22"/>
  <c r="O1126" i="22" s="1"/>
  <c r="K1126" i="22"/>
  <c r="K802" i="22"/>
  <c r="F802" i="22"/>
  <c r="O802" i="22" s="1"/>
  <c r="F478" i="22"/>
  <c r="O478" i="22" s="1"/>
  <c r="K478" i="22"/>
  <c r="K154" i="22"/>
  <c r="F154" i="22"/>
  <c r="O154" i="22" s="1"/>
  <c r="F100" i="22"/>
  <c r="O100" i="22" s="1"/>
  <c r="K100" i="22"/>
  <c r="N719" i="23" l="1"/>
  <c r="AE719" i="23" s="1"/>
  <c r="N3178" i="22"/>
  <c r="U3178" i="22" s="1"/>
  <c r="N2530" i="22"/>
  <c r="U2530" i="22" s="1"/>
  <c r="N1882" i="22"/>
  <c r="U1882" i="22" s="1"/>
  <c r="N1396" i="22"/>
  <c r="U1396" i="22" s="1"/>
  <c r="N1234" i="22"/>
  <c r="U1234" i="22" s="1"/>
  <c r="N586" i="22"/>
  <c r="U586" i="22" s="1"/>
  <c r="K1000" i="23"/>
  <c r="F1000" i="23"/>
  <c r="O1000" i="23" s="1"/>
  <c r="K3125" i="22"/>
  <c r="F3125" i="22"/>
  <c r="O3125" i="22" s="1"/>
  <c r="K965" i="22"/>
  <c r="F965" i="22"/>
  <c r="O965" i="22" s="1"/>
  <c r="M1616" i="23"/>
  <c r="J1616" i="23"/>
  <c r="N1616" i="23" s="1"/>
  <c r="D1616" i="23"/>
  <c r="P1616" i="23"/>
  <c r="Q1616" i="23"/>
  <c r="R1616" i="23"/>
  <c r="I1617" i="23"/>
  <c r="L1617" i="23"/>
  <c r="C1617" i="23"/>
  <c r="K1617" i="23" s="1"/>
  <c r="E1617" i="23"/>
  <c r="F1617" i="23"/>
  <c r="O1617" i="23" s="1"/>
  <c r="G1617" i="23"/>
  <c r="B1618" i="23"/>
  <c r="J1560" i="23"/>
  <c r="D1560" i="23"/>
  <c r="P1560" i="23"/>
  <c r="Q1560" i="23"/>
  <c r="R1560" i="23"/>
  <c r="L1561" i="23"/>
  <c r="I1561" i="23"/>
  <c r="C1561" i="23"/>
  <c r="E1561" i="23"/>
  <c r="G1561" i="23"/>
  <c r="B1562" i="23"/>
  <c r="J1504" i="23"/>
  <c r="D1504" i="23"/>
  <c r="P1504" i="23"/>
  <c r="Q1504" i="23"/>
  <c r="R1504" i="23"/>
  <c r="L1505" i="23"/>
  <c r="I1505" i="23"/>
  <c r="C1505" i="23"/>
  <c r="E1505" i="23"/>
  <c r="G1505" i="23"/>
  <c r="B1506" i="23"/>
  <c r="M1448" i="23"/>
  <c r="J1448" i="23"/>
  <c r="N1448" i="23" s="1"/>
  <c r="AE1448" i="23" s="1"/>
  <c r="D1448" i="23"/>
  <c r="P1448" i="23"/>
  <c r="Q1448" i="23"/>
  <c r="R1448" i="23"/>
  <c r="L1449" i="23"/>
  <c r="I1449" i="23"/>
  <c r="C1449" i="23"/>
  <c r="E1449" i="23"/>
  <c r="G1449" i="23"/>
  <c r="B1450" i="23"/>
  <c r="M1392" i="23"/>
  <c r="P1392" i="23"/>
  <c r="Q1392" i="23"/>
  <c r="R1392" i="23"/>
  <c r="J1392" i="23"/>
  <c r="N1392" i="23" s="1"/>
  <c r="AE1392" i="23" s="1"/>
  <c r="D1392" i="23"/>
  <c r="L1393" i="23"/>
  <c r="I1393" i="23"/>
  <c r="C1393" i="23"/>
  <c r="E1393" i="23"/>
  <c r="G1393" i="23"/>
  <c r="B1394" i="23"/>
  <c r="M1336" i="23"/>
  <c r="J1336" i="23"/>
  <c r="N1336" i="23" s="1"/>
  <c r="AE1336" i="23" s="1"/>
  <c r="D1336" i="23"/>
  <c r="P1336" i="23"/>
  <c r="Q1336" i="23"/>
  <c r="R1336" i="23"/>
  <c r="L1337" i="23"/>
  <c r="I1337" i="23"/>
  <c r="C1337" i="23"/>
  <c r="K1337" i="23" s="1"/>
  <c r="E1337" i="23"/>
  <c r="F1337" i="23"/>
  <c r="O1337" i="23" s="1"/>
  <c r="G1337" i="23"/>
  <c r="B1338" i="23"/>
  <c r="M1280" i="23"/>
  <c r="J1280" i="23"/>
  <c r="N1280" i="23" s="1"/>
  <c r="AE1280" i="23" s="1"/>
  <c r="D1280" i="23"/>
  <c r="P1280" i="23"/>
  <c r="Q1280" i="23"/>
  <c r="R1280" i="23"/>
  <c r="L1281" i="23"/>
  <c r="I1281" i="23"/>
  <c r="C1281" i="23"/>
  <c r="K1281" i="23" s="1"/>
  <c r="E1281" i="23"/>
  <c r="F1281" i="23"/>
  <c r="O1281" i="23" s="1"/>
  <c r="G1281" i="23"/>
  <c r="B1282" i="23"/>
  <c r="J1224" i="23"/>
  <c r="D1224" i="23"/>
  <c r="P1224" i="23"/>
  <c r="Q1224" i="23"/>
  <c r="R1224" i="23"/>
  <c r="L1225" i="23"/>
  <c r="I1225" i="23"/>
  <c r="C1225" i="23"/>
  <c r="E1225" i="23"/>
  <c r="G1225" i="23"/>
  <c r="B1226" i="23"/>
  <c r="J1168" i="23"/>
  <c r="D1168" i="23"/>
  <c r="M1168" i="23" s="1"/>
  <c r="P1168" i="23"/>
  <c r="Q1168" i="23"/>
  <c r="R1168" i="23"/>
  <c r="L1169" i="23"/>
  <c r="I1169" i="23"/>
  <c r="C1169" i="23"/>
  <c r="K1169" i="23" s="1"/>
  <c r="E1169" i="23"/>
  <c r="F1169" i="23"/>
  <c r="O1169" i="23" s="1"/>
  <c r="G1169" i="23"/>
  <c r="B1170" i="23"/>
  <c r="M1112" i="23"/>
  <c r="J1112" i="23"/>
  <c r="N1112" i="23" s="1"/>
  <c r="AE1112" i="23" s="1"/>
  <c r="D1112" i="23"/>
  <c r="P1112" i="23"/>
  <c r="Q1112" i="23"/>
  <c r="R1112" i="23"/>
  <c r="L1113" i="23"/>
  <c r="I1113" i="23"/>
  <c r="C1113" i="23"/>
  <c r="K1113" i="23" s="1"/>
  <c r="E1113" i="23"/>
  <c r="F1113" i="23"/>
  <c r="O1113" i="23" s="1"/>
  <c r="G1113" i="23"/>
  <c r="B1114" i="23"/>
  <c r="M1056" i="23"/>
  <c r="J1056" i="23"/>
  <c r="N1056" i="23" s="1"/>
  <c r="AE1056" i="23" s="1"/>
  <c r="D1056" i="23"/>
  <c r="P1056" i="23"/>
  <c r="Q1056" i="23"/>
  <c r="R1056" i="23"/>
  <c r="L1057" i="23"/>
  <c r="I1057" i="23"/>
  <c r="C1057" i="23"/>
  <c r="K1057" i="23" s="1"/>
  <c r="E1057" i="23"/>
  <c r="F1057" i="23"/>
  <c r="O1057" i="23" s="1"/>
  <c r="G1057" i="23"/>
  <c r="B1058" i="23"/>
  <c r="M1000" i="23"/>
  <c r="J1000" i="23"/>
  <c r="N1000" i="23" s="1"/>
  <c r="AE1000" i="23" s="1"/>
  <c r="D1000" i="23"/>
  <c r="P1000" i="23"/>
  <c r="Q1000" i="23"/>
  <c r="R1000" i="23"/>
  <c r="L1001" i="23"/>
  <c r="I1001" i="23"/>
  <c r="C1001" i="23"/>
  <c r="K1001" i="23" s="1"/>
  <c r="E1001" i="23"/>
  <c r="F1001" i="23"/>
  <c r="O1001" i="23" s="1"/>
  <c r="G1001" i="23"/>
  <c r="B1002" i="23"/>
  <c r="M944" i="23"/>
  <c r="J944" i="23"/>
  <c r="N944" i="23" s="1"/>
  <c r="AE944" i="23" s="1"/>
  <c r="D944" i="23"/>
  <c r="P944" i="23"/>
  <c r="Q944" i="23"/>
  <c r="R944" i="23"/>
  <c r="L945" i="23"/>
  <c r="I945" i="23"/>
  <c r="C945" i="23"/>
  <c r="E945" i="23"/>
  <c r="G945" i="23"/>
  <c r="B946" i="23"/>
  <c r="M888" i="23"/>
  <c r="J888" i="23"/>
  <c r="N888" i="23" s="1"/>
  <c r="AE888" i="23" s="1"/>
  <c r="D888" i="23"/>
  <c r="P888" i="23"/>
  <c r="Q888" i="23"/>
  <c r="R888" i="23"/>
  <c r="L889" i="23"/>
  <c r="I889" i="23"/>
  <c r="C889" i="23"/>
  <c r="E889" i="23"/>
  <c r="G889" i="23"/>
  <c r="B890" i="23"/>
  <c r="M832" i="23"/>
  <c r="J832" i="23"/>
  <c r="N832" i="23" s="1"/>
  <c r="AE832" i="23" s="1"/>
  <c r="D832" i="23"/>
  <c r="P832" i="23"/>
  <c r="Q832" i="23"/>
  <c r="R832" i="23"/>
  <c r="L833" i="23"/>
  <c r="I833" i="23"/>
  <c r="C833" i="23"/>
  <c r="K833" i="23" s="1"/>
  <c r="E833" i="23"/>
  <c r="F833" i="23"/>
  <c r="O833" i="23" s="1"/>
  <c r="G833" i="23"/>
  <c r="B834" i="23"/>
  <c r="M776" i="23"/>
  <c r="J776" i="23"/>
  <c r="N776" i="23" s="1"/>
  <c r="AE776" i="23" s="1"/>
  <c r="D776" i="23"/>
  <c r="P776" i="23"/>
  <c r="Q776" i="23"/>
  <c r="R776" i="23"/>
  <c r="L777" i="23"/>
  <c r="I777" i="23"/>
  <c r="C777" i="23"/>
  <c r="K777" i="23" s="1"/>
  <c r="E777" i="23"/>
  <c r="F777" i="23"/>
  <c r="O777" i="23" s="1"/>
  <c r="G777" i="23"/>
  <c r="B778" i="23"/>
  <c r="M720" i="23"/>
  <c r="J720" i="23"/>
  <c r="N720" i="23" s="1"/>
  <c r="AE720" i="23" s="1"/>
  <c r="D720" i="23"/>
  <c r="P720" i="23"/>
  <c r="Q720" i="23"/>
  <c r="R720" i="23"/>
  <c r="L721" i="23"/>
  <c r="I721" i="23"/>
  <c r="C721" i="23"/>
  <c r="K721" i="23" s="1"/>
  <c r="E721" i="23"/>
  <c r="F721" i="23"/>
  <c r="O721" i="23" s="1"/>
  <c r="G721" i="23"/>
  <c r="B722" i="23"/>
  <c r="M664" i="23"/>
  <c r="J664" i="23"/>
  <c r="N664" i="23" s="1"/>
  <c r="AE664" i="23" s="1"/>
  <c r="D664" i="23"/>
  <c r="P664" i="23"/>
  <c r="Q664" i="23"/>
  <c r="R664" i="23"/>
  <c r="L665" i="23"/>
  <c r="I665" i="23"/>
  <c r="C665" i="23"/>
  <c r="K665" i="23" s="1"/>
  <c r="E665" i="23"/>
  <c r="F665" i="23"/>
  <c r="O665" i="23" s="1"/>
  <c r="G665" i="23"/>
  <c r="B666" i="23"/>
  <c r="J608" i="23"/>
  <c r="D608" i="23"/>
  <c r="P608" i="23"/>
  <c r="Q608" i="23"/>
  <c r="R608" i="23"/>
  <c r="L609" i="23"/>
  <c r="I609" i="23"/>
  <c r="C609" i="23"/>
  <c r="K609" i="23" s="1"/>
  <c r="E609" i="23"/>
  <c r="F609" i="23"/>
  <c r="O609" i="23" s="1"/>
  <c r="G609" i="23"/>
  <c r="B610" i="23"/>
  <c r="M552" i="23"/>
  <c r="J552" i="23"/>
  <c r="N552" i="23" s="1"/>
  <c r="AE552" i="23" s="1"/>
  <c r="D552" i="23"/>
  <c r="P552" i="23"/>
  <c r="Q552" i="23"/>
  <c r="R552" i="23"/>
  <c r="L553" i="23"/>
  <c r="I553" i="23"/>
  <c r="C553" i="23"/>
  <c r="K553" i="23" s="1"/>
  <c r="E553" i="23"/>
  <c r="F553" i="23"/>
  <c r="O553" i="23" s="1"/>
  <c r="G553" i="23"/>
  <c r="B554" i="23"/>
  <c r="M496" i="23"/>
  <c r="J496" i="23"/>
  <c r="N496" i="23" s="1"/>
  <c r="AE496" i="23" s="1"/>
  <c r="D496" i="23"/>
  <c r="P496" i="23"/>
  <c r="Q496" i="23"/>
  <c r="R496" i="23"/>
  <c r="L497" i="23"/>
  <c r="I497" i="23"/>
  <c r="C497" i="23"/>
  <c r="K497" i="23" s="1"/>
  <c r="E497" i="23"/>
  <c r="F497" i="23"/>
  <c r="O497" i="23" s="1"/>
  <c r="G497" i="23"/>
  <c r="B498" i="23"/>
  <c r="J440" i="23"/>
  <c r="D440" i="23"/>
  <c r="P440" i="23"/>
  <c r="Q440" i="23"/>
  <c r="R440" i="23"/>
  <c r="L441" i="23"/>
  <c r="I441" i="23"/>
  <c r="C441" i="23"/>
  <c r="B442" i="23"/>
  <c r="E441" i="23"/>
  <c r="G441" i="23"/>
  <c r="M384" i="23"/>
  <c r="J384" i="23"/>
  <c r="N384" i="23" s="1"/>
  <c r="AE384" i="23" s="1"/>
  <c r="D384" i="23"/>
  <c r="P384" i="23"/>
  <c r="Q384" i="23"/>
  <c r="R384" i="23"/>
  <c r="L385" i="23"/>
  <c r="I385" i="23"/>
  <c r="C385" i="23"/>
  <c r="K385" i="23" s="1"/>
  <c r="E385" i="23"/>
  <c r="F385" i="23"/>
  <c r="O385" i="23" s="1"/>
  <c r="G385" i="23"/>
  <c r="B386" i="23"/>
  <c r="M328" i="23"/>
  <c r="J328" i="23"/>
  <c r="N328" i="23" s="1"/>
  <c r="AE328" i="23" s="1"/>
  <c r="D328" i="23"/>
  <c r="P328" i="23"/>
  <c r="Q328" i="23"/>
  <c r="R328" i="23"/>
  <c r="L329" i="23"/>
  <c r="I329" i="23"/>
  <c r="C329" i="23"/>
  <c r="K329" i="23" s="1"/>
  <c r="E329" i="23"/>
  <c r="F329" i="23"/>
  <c r="O329" i="23" s="1"/>
  <c r="G329" i="23"/>
  <c r="B330" i="23"/>
  <c r="M272" i="23"/>
  <c r="J272" i="23"/>
  <c r="N272" i="23" s="1"/>
  <c r="AE272" i="23" s="1"/>
  <c r="D272" i="23"/>
  <c r="P272" i="23"/>
  <c r="Q272" i="23"/>
  <c r="R272" i="23"/>
  <c r="L273" i="23"/>
  <c r="I273" i="23"/>
  <c r="C273" i="23"/>
  <c r="K273" i="23" s="1"/>
  <c r="E273" i="23"/>
  <c r="F273" i="23"/>
  <c r="O273" i="23" s="1"/>
  <c r="G273" i="23"/>
  <c r="B274" i="23"/>
  <c r="D4751" i="22"/>
  <c r="J4751" i="22"/>
  <c r="P4751" i="22"/>
  <c r="Q4751" i="22"/>
  <c r="R4751" i="22"/>
  <c r="M4751" i="22"/>
  <c r="N4751" i="22"/>
  <c r="C4752" i="22"/>
  <c r="E4752" i="22"/>
  <c r="F4752" i="22"/>
  <c r="G4752" i="22"/>
  <c r="I4752" i="22"/>
  <c r="K4752" i="22"/>
  <c r="L4752" i="22"/>
  <c r="B4753" i="22"/>
  <c r="T4695" i="22"/>
  <c r="S4696" i="22"/>
  <c r="T4696" i="22" s="1"/>
  <c r="U4696" i="22"/>
  <c r="M4697" i="22"/>
  <c r="D4697" i="22"/>
  <c r="J4697" i="22"/>
  <c r="N4697" i="22" s="1"/>
  <c r="P4697" i="22"/>
  <c r="Q4697" i="22"/>
  <c r="R4697" i="22"/>
  <c r="L4698" i="22"/>
  <c r="C4698" i="22"/>
  <c r="K4698" i="22" s="1"/>
  <c r="E4698" i="22"/>
  <c r="F4698" i="22"/>
  <c r="G4698" i="22"/>
  <c r="I4698" i="22"/>
  <c r="B4699" i="22"/>
  <c r="P4643" i="22"/>
  <c r="Q4643" i="22"/>
  <c r="R4643" i="22"/>
  <c r="C4644" i="22"/>
  <c r="D4644" i="22" s="1"/>
  <c r="E4644" i="22"/>
  <c r="F4644" i="22"/>
  <c r="O4644" i="22" s="1"/>
  <c r="G4644" i="22"/>
  <c r="B4645" i="22"/>
  <c r="M4589" i="22"/>
  <c r="J4589" i="22"/>
  <c r="N4589" i="22" s="1"/>
  <c r="D4589" i="22"/>
  <c r="P4589" i="22"/>
  <c r="Q4589" i="22"/>
  <c r="R4589" i="22"/>
  <c r="I4590" i="22"/>
  <c r="L4590" i="22"/>
  <c r="C4590" i="22"/>
  <c r="K4590" i="22" s="1"/>
  <c r="E4590" i="22"/>
  <c r="F4590" i="22"/>
  <c r="G4590" i="22"/>
  <c r="B4591" i="22"/>
  <c r="D4535" i="22"/>
  <c r="J4535" i="22"/>
  <c r="P4535" i="22"/>
  <c r="Q4535" i="22"/>
  <c r="R4535" i="22"/>
  <c r="L4536" i="22"/>
  <c r="C4536" i="22"/>
  <c r="K4536" i="22" s="1"/>
  <c r="E4536" i="22"/>
  <c r="F4536" i="22"/>
  <c r="G4536" i="22"/>
  <c r="I4536" i="22"/>
  <c r="B4537" i="22"/>
  <c r="D4235" i="22"/>
  <c r="J4235" i="22"/>
  <c r="N4235" i="22" s="1"/>
  <c r="U4235" i="22" s="1"/>
  <c r="P4235" i="22"/>
  <c r="Q4235" i="22"/>
  <c r="R4235" i="22"/>
  <c r="M4235" i="22"/>
  <c r="C4236" i="22"/>
  <c r="E4236" i="22"/>
  <c r="G4236" i="22"/>
  <c r="I4236" i="22"/>
  <c r="L4236" i="22"/>
  <c r="B4237" i="22"/>
  <c r="M4181" i="22"/>
  <c r="D4181" i="22"/>
  <c r="J4181" i="22"/>
  <c r="N4181" i="22" s="1"/>
  <c r="U4181" i="22" s="1"/>
  <c r="P4181" i="22"/>
  <c r="Q4181" i="22"/>
  <c r="R4181" i="22"/>
  <c r="L4182" i="22"/>
  <c r="C4182" i="22"/>
  <c r="K4182" i="22" s="1"/>
  <c r="E4182" i="22"/>
  <c r="F4182" i="22"/>
  <c r="O4182" i="22" s="1"/>
  <c r="G4182" i="22"/>
  <c r="I4182" i="22"/>
  <c r="B4183" i="22"/>
  <c r="M4127" i="22"/>
  <c r="D4127" i="22"/>
  <c r="J4127" i="22"/>
  <c r="N4127" i="22" s="1"/>
  <c r="U4127" i="22" s="1"/>
  <c r="P4127" i="22"/>
  <c r="Q4127" i="22"/>
  <c r="R4127" i="22"/>
  <c r="L4128" i="22"/>
  <c r="C4128" i="22"/>
  <c r="K4128" i="22" s="1"/>
  <c r="E4128" i="22"/>
  <c r="F4128" i="22"/>
  <c r="O4128" i="22" s="1"/>
  <c r="G4128" i="22"/>
  <c r="I4128" i="22"/>
  <c r="B4129" i="22"/>
  <c r="M4073" i="22"/>
  <c r="D4073" i="22"/>
  <c r="J4073" i="22"/>
  <c r="N4073" i="22" s="1"/>
  <c r="U4073" i="22" s="1"/>
  <c r="P4073" i="22"/>
  <c r="Q4073" i="22"/>
  <c r="R4073" i="22"/>
  <c r="L4074" i="22"/>
  <c r="C4074" i="22"/>
  <c r="K4074" i="22" s="1"/>
  <c r="E4074" i="22"/>
  <c r="F4074" i="22"/>
  <c r="O4074" i="22" s="1"/>
  <c r="G4074" i="22"/>
  <c r="I4074" i="22"/>
  <c r="B4075" i="22"/>
  <c r="M3773" i="22"/>
  <c r="D3773" i="22"/>
  <c r="J3773" i="22"/>
  <c r="N3773" i="22" s="1"/>
  <c r="U3773" i="22" s="1"/>
  <c r="P3773" i="22"/>
  <c r="Q3773" i="22"/>
  <c r="R3773" i="22"/>
  <c r="L3774" i="22"/>
  <c r="C3774" i="22"/>
  <c r="E3774" i="22"/>
  <c r="G3774" i="22"/>
  <c r="I3774" i="22"/>
  <c r="B3775" i="22"/>
  <c r="M3719" i="22"/>
  <c r="D3719" i="22"/>
  <c r="J3719" i="22"/>
  <c r="N3719" i="22" s="1"/>
  <c r="U3719" i="22" s="1"/>
  <c r="P3719" i="22"/>
  <c r="Q3719" i="22"/>
  <c r="R3719" i="22"/>
  <c r="L3720" i="22"/>
  <c r="C3720" i="22"/>
  <c r="K3720" i="22" s="1"/>
  <c r="E3720" i="22"/>
  <c r="F3720" i="22"/>
  <c r="O3720" i="22" s="1"/>
  <c r="G3720" i="22"/>
  <c r="I3720" i="22"/>
  <c r="B3721" i="22"/>
  <c r="M3665" i="22"/>
  <c r="D3665" i="22"/>
  <c r="J3665" i="22"/>
  <c r="N3665" i="22" s="1"/>
  <c r="U3665" i="22" s="1"/>
  <c r="P3665" i="22"/>
  <c r="Q3665" i="22"/>
  <c r="R3665" i="22"/>
  <c r="L3666" i="22"/>
  <c r="C3666" i="22"/>
  <c r="K3666" i="22" s="1"/>
  <c r="E3666" i="22"/>
  <c r="F3666" i="22"/>
  <c r="O3666" i="22" s="1"/>
  <c r="G3666" i="22"/>
  <c r="I3666" i="22"/>
  <c r="B3667" i="22"/>
  <c r="D3611" i="22"/>
  <c r="J3611" i="22"/>
  <c r="P3611" i="22"/>
  <c r="Q3611" i="22"/>
  <c r="R3611" i="22"/>
  <c r="L3612" i="22"/>
  <c r="C3612" i="22"/>
  <c r="K3612" i="22" s="1"/>
  <c r="E3612" i="22"/>
  <c r="F3612" i="22"/>
  <c r="O3612" i="22" s="1"/>
  <c r="G3612" i="22"/>
  <c r="I3612" i="22"/>
  <c r="B3613" i="22"/>
  <c r="P3557" i="22"/>
  <c r="Q3557" i="22"/>
  <c r="R3557" i="22"/>
  <c r="L3558" i="22"/>
  <c r="C3558" i="22"/>
  <c r="E3558" i="22"/>
  <c r="G3558" i="22"/>
  <c r="I3558" i="22"/>
  <c r="B3559" i="22"/>
  <c r="D3557" i="22"/>
  <c r="J3557" i="22"/>
  <c r="M3503" i="22"/>
  <c r="D3503" i="22"/>
  <c r="J3503" i="22"/>
  <c r="N3503" i="22" s="1"/>
  <c r="U3503" i="22" s="1"/>
  <c r="P3503" i="22"/>
  <c r="Q3503" i="22"/>
  <c r="R3503" i="22"/>
  <c r="L3504" i="22"/>
  <c r="C3504" i="22"/>
  <c r="K3504" i="22" s="1"/>
  <c r="E3504" i="22"/>
  <c r="F3504" i="22"/>
  <c r="O3504" i="22" s="1"/>
  <c r="G3504" i="22"/>
  <c r="I3504" i="22"/>
  <c r="B3505" i="22"/>
  <c r="M3449" i="22"/>
  <c r="D3449" i="22"/>
  <c r="J3449" i="22"/>
  <c r="N3449" i="22" s="1"/>
  <c r="U3449" i="22" s="1"/>
  <c r="P3449" i="22"/>
  <c r="Q3449" i="22"/>
  <c r="R3449" i="22"/>
  <c r="L3450" i="22"/>
  <c r="C3450" i="22"/>
  <c r="E3450" i="22"/>
  <c r="G3450" i="22"/>
  <c r="I3450" i="22"/>
  <c r="B3451" i="22"/>
  <c r="D3395" i="22"/>
  <c r="J3395" i="22"/>
  <c r="P3395" i="22"/>
  <c r="Q3395" i="22"/>
  <c r="R3395" i="22"/>
  <c r="L3396" i="22"/>
  <c r="C3396" i="22"/>
  <c r="E3396" i="22"/>
  <c r="G3396" i="22"/>
  <c r="I3396" i="22"/>
  <c r="B3397" i="22"/>
  <c r="M3341" i="22"/>
  <c r="D3341" i="22"/>
  <c r="J3341" i="22"/>
  <c r="N3341" i="22" s="1"/>
  <c r="U3341" i="22" s="1"/>
  <c r="P3341" i="22"/>
  <c r="Q3341" i="22"/>
  <c r="R3341" i="22"/>
  <c r="L3342" i="22"/>
  <c r="C3342" i="22"/>
  <c r="E3342" i="22"/>
  <c r="G3342" i="22"/>
  <c r="I3342" i="22"/>
  <c r="B3343" i="22"/>
  <c r="M3287" i="22"/>
  <c r="D3287" i="22"/>
  <c r="J3287" i="22"/>
  <c r="N3287" i="22" s="1"/>
  <c r="U3287" i="22" s="1"/>
  <c r="P3287" i="22"/>
  <c r="Q3287" i="22"/>
  <c r="R3287" i="22"/>
  <c r="L3288" i="22"/>
  <c r="C3288" i="22"/>
  <c r="K3288" i="22" s="1"/>
  <c r="E3288" i="22"/>
  <c r="F3288" i="22"/>
  <c r="O3288" i="22" s="1"/>
  <c r="G3288" i="22"/>
  <c r="I3288" i="22"/>
  <c r="B3289" i="22"/>
  <c r="D3233" i="22"/>
  <c r="M3233" i="22" s="1"/>
  <c r="J3233" i="22"/>
  <c r="P3233" i="22"/>
  <c r="Q3233" i="22"/>
  <c r="R3233" i="22"/>
  <c r="L3234" i="22"/>
  <c r="C3234" i="22"/>
  <c r="K3234" i="22" s="1"/>
  <c r="E3234" i="22"/>
  <c r="F3234" i="22"/>
  <c r="O3234" i="22" s="1"/>
  <c r="G3234" i="22"/>
  <c r="I3234" i="22"/>
  <c r="B3235" i="22"/>
  <c r="M3179" i="22"/>
  <c r="D3179" i="22"/>
  <c r="J3179" i="22"/>
  <c r="N3179" i="22" s="1"/>
  <c r="U3179" i="22" s="1"/>
  <c r="P3179" i="22"/>
  <c r="Q3179" i="22"/>
  <c r="R3179" i="22"/>
  <c r="L3180" i="22"/>
  <c r="C3180" i="22"/>
  <c r="K3180" i="22" s="1"/>
  <c r="E3180" i="22"/>
  <c r="F3180" i="22"/>
  <c r="O3180" i="22" s="1"/>
  <c r="G3180" i="22"/>
  <c r="I3180" i="22"/>
  <c r="B3181" i="22"/>
  <c r="M3125" i="22"/>
  <c r="D3125" i="22"/>
  <c r="J3125" i="22"/>
  <c r="N3125" i="22" s="1"/>
  <c r="U3125" i="22" s="1"/>
  <c r="P3125" i="22"/>
  <c r="Q3125" i="22"/>
  <c r="R3125" i="22"/>
  <c r="L3126" i="22"/>
  <c r="C3126" i="22"/>
  <c r="E3126" i="22"/>
  <c r="G3126" i="22"/>
  <c r="B3127" i="22"/>
  <c r="I3126" i="22"/>
  <c r="L3072" i="22"/>
  <c r="E3072" i="22"/>
  <c r="B3073" i="22"/>
  <c r="C3072" i="22"/>
  <c r="G3072" i="22"/>
  <c r="I3072" i="22"/>
  <c r="D3071" i="22"/>
  <c r="J3071" i="22"/>
  <c r="P3071" i="22"/>
  <c r="Q3071" i="22"/>
  <c r="R3071" i="22"/>
  <c r="L3018" i="22"/>
  <c r="E3018" i="22"/>
  <c r="B3019" i="22"/>
  <c r="I3018" i="22"/>
  <c r="C3018" i="22"/>
  <c r="G3018" i="22"/>
  <c r="D3017" i="22"/>
  <c r="J3017" i="22"/>
  <c r="P3017" i="22"/>
  <c r="Q3017" i="22"/>
  <c r="R3017" i="22"/>
  <c r="L2964" i="22"/>
  <c r="E2964" i="22"/>
  <c r="C2964" i="22"/>
  <c r="K2964" i="22" s="1"/>
  <c r="F2964" i="22"/>
  <c r="O2964" i="22" s="1"/>
  <c r="G2964" i="22"/>
  <c r="I2964" i="22"/>
  <c r="B2965" i="22"/>
  <c r="D2963" i="22"/>
  <c r="J2963" i="22"/>
  <c r="P2963" i="22"/>
  <c r="Q2963" i="22"/>
  <c r="R2963" i="22"/>
  <c r="P2909" i="22"/>
  <c r="Q2909" i="22"/>
  <c r="R2909" i="22"/>
  <c r="L2910" i="22"/>
  <c r="B2911" i="22"/>
  <c r="E2910" i="22"/>
  <c r="G2910" i="22"/>
  <c r="C2910" i="22"/>
  <c r="K2910" i="22" s="1"/>
  <c r="F2910" i="22"/>
  <c r="O2910" i="22" s="1"/>
  <c r="I2910" i="22"/>
  <c r="D2909" i="22"/>
  <c r="J2909" i="22"/>
  <c r="M2855" i="22"/>
  <c r="D2855" i="22"/>
  <c r="J2855" i="22"/>
  <c r="N2855" i="22" s="1"/>
  <c r="U2855" i="22" s="1"/>
  <c r="P2855" i="22"/>
  <c r="Q2855" i="22"/>
  <c r="R2855" i="22"/>
  <c r="L2856" i="22"/>
  <c r="C2856" i="22"/>
  <c r="K2856" i="22" s="1"/>
  <c r="E2856" i="22"/>
  <c r="F2856" i="22"/>
  <c r="O2856" i="22" s="1"/>
  <c r="G2856" i="22"/>
  <c r="I2856" i="22"/>
  <c r="B2857" i="22"/>
  <c r="M2801" i="22"/>
  <c r="D2801" i="22"/>
  <c r="J2801" i="22"/>
  <c r="N2801" i="22" s="1"/>
  <c r="S2801" i="22" s="1"/>
  <c r="T2801" i="22" s="1"/>
  <c r="U2801" i="22" s="1"/>
  <c r="P2801" i="22"/>
  <c r="Q2801" i="22"/>
  <c r="R2801" i="22"/>
  <c r="L2802" i="22"/>
  <c r="C2802" i="22"/>
  <c r="K2802" i="22" s="1"/>
  <c r="E2802" i="22"/>
  <c r="F2802" i="22"/>
  <c r="O2802" i="22" s="1"/>
  <c r="G2802" i="22"/>
  <c r="I2802" i="22"/>
  <c r="B2803" i="22"/>
  <c r="M2747" i="22"/>
  <c r="D2747" i="22"/>
  <c r="J2747" i="22"/>
  <c r="N2747" i="22" s="1"/>
  <c r="U2747" i="22" s="1"/>
  <c r="P2747" i="22"/>
  <c r="Q2747" i="22"/>
  <c r="R2747" i="22"/>
  <c r="L2748" i="22"/>
  <c r="C2748" i="22"/>
  <c r="E2748" i="22"/>
  <c r="G2748" i="22"/>
  <c r="I2748" i="22"/>
  <c r="B2749" i="22"/>
  <c r="M2693" i="22"/>
  <c r="D2693" i="22"/>
  <c r="J2693" i="22"/>
  <c r="N2693" i="22" s="1"/>
  <c r="U2693" i="22" s="1"/>
  <c r="P2693" i="22"/>
  <c r="Q2693" i="22"/>
  <c r="R2693" i="22"/>
  <c r="L2694" i="22"/>
  <c r="C2694" i="22"/>
  <c r="K2694" i="22" s="1"/>
  <c r="E2694" i="22"/>
  <c r="F2694" i="22"/>
  <c r="O2694" i="22" s="1"/>
  <c r="G2694" i="22"/>
  <c r="I2694" i="22"/>
  <c r="B2695" i="22"/>
  <c r="D2639" i="22"/>
  <c r="J2639" i="22"/>
  <c r="P2639" i="22"/>
  <c r="Q2639" i="22"/>
  <c r="R2639" i="22"/>
  <c r="L2640" i="22"/>
  <c r="C2640" i="22"/>
  <c r="K2640" i="22" s="1"/>
  <c r="E2640" i="22"/>
  <c r="F2640" i="22"/>
  <c r="O2640" i="22" s="1"/>
  <c r="G2640" i="22"/>
  <c r="I2640" i="22"/>
  <c r="B2641" i="22"/>
  <c r="M2585" i="22"/>
  <c r="J2585" i="22"/>
  <c r="N2585" i="22" s="1"/>
  <c r="U2585" i="22" s="1"/>
  <c r="D2585" i="22"/>
  <c r="L2586" i="22"/>
  <c r="B2587" i="22"/>
  <c r="E2586" i="22"/>
  <c r="I2586" i="22"/>
  <c r="C2586" i="22"/>
  <c r="G2586" i="22"/>
  <c r="P2585" i="22"/>
  <c r="Q2585" i="22"/>
  <c r="R2585" i="22"/>
  <c r="M2531" i="22"/>
  <c r="D2531" i="22"/>
  <c r="J2531" i="22"/>
  <c r="N2531" i="22" s="1"/>
  <c r="U2531" i="22" s="1"/>
  <c r="P2531" i="22"/>
  <c r="Q2531" i="22"/>
  <c r="R2531" i="22"/>
  <c r="L2532" i="22"/>
  <c r="C2532" i="22"/>
  <c r="K2532" i="22" s="1"/>
  <c r="E2532" i="22"/>
  <c r="F2532" i="22"/>
  <c r="O2532" i="22" s="1"/>
  <c r="G2532" i="22"/>
  <c r="I2532" i="22"/>
  <c r="B2533" i="22"/>
  <c r="M2477" i="22"/>
  <c r="D2477" i="22"/>
  <c r="J2477" i="22"/>
  <c r="N2477" i="22" s="1"/>
  <c r="U2477" i="22" s="1"/>
  <c r="P2477" i="22"/>
  <c r="Q2477" i="22"/>
  <c r="R2477" i="22"/>
  <c r="L2478" i="22"/>
  <c r="C2478" i="22"/>
  <c r="E2478" i="22"/>
  <c r="G2478" i="22"/>
  <c r="I2478" i="22"/>
  <c r="B2479" i="22"/>
  <c r="M2423" i="22"/>
  <c r="D2423" i="22"/>
  <c r="J2423" i="22"/>
  <c r="N2423" i="22" s="1"/>
  <c r="U2423" i="22" s="1"/>
  <c r="P2423" i="22"/>
  <c r="Q2423" i="22"/>
  <c r="R2423" i="22"/>
  <c r="L2424" i="22"/>
  <c r="C2424" i="22"/>
  <c r="E2424" i="22"/>
  <c r="G2424" i="22"/>
  <c r="I2424" i="22"/>
  <c r="B2425" i="22"/>
  <c r="M2369" i="22"/>
  <c r="D2369" i="22"/>
  <c r="J2369" i="22"/>
  <c r="N2369" i="22" s="1"/>
  <c r="U2369" i="22" s="1"/>
  <c r="P2369" i="22"/>
  <c r="Q2369" i="22"/>
  <c r="R2369" i="22"/>
  <c r="L2370" i="22"/>
  <c r="C2370" i="22"/>
  <c r="K2370" i="22" s="1"/>
  <c r="E2370" i="22"/>
  <c r="F2370" i="22"/>
  <c r="O2370" i="22" s="1"/>
  <c r="G2370" i="22"/>
  <c r="I2370" i="22"/>
  <c r="B2371" i="22"/>
  <c r="D2315" i="22"/>
  <c r="J2315" i="22"/>
  <c r="P2315" i="22"/>
  <c r="Q2315" i="22"/>
  <c r="R2315" i="22"/>
  <c r="L2316" i="22"/>
  <c r="C2316" i="22"/>
  <c r="K2316" i="22" s="1"/>
  <c r="E2316" i="22"/>
  <c r="F2316" i="22"/>
  <c r="O2316" i="22" s="1"/>
  <c r="G2316" i="22"/>
  <c r="I2316" i="22"/>
  <c r="B2317" i="22"/>
  <c r="M2261" i="22"/>
  <c r="D2261" i="22"/>
  <c r="J2261" i="22"/>
  <c r="N2261" i="22" s="1"/>
  <c r="U2261" i="22" s="1"/>
  <c r="P2261" i="22"/>
  <c r="Q2261" i="22"/>
  <c r="R2261" i="22"/>
  <c r="L2262" i="22"/>
  <c r="C2262" i="22"/>
  <c r="K2262" i="22" s="1"/>
  <c r="E2262" i="22"/>
  <c r="F2262" i="22"/>
  <c r="O2262" i="22" s="1"/>
  <c r="G2262" i="22"/>
  <c r="I2262" i="22"/>
  <c r="B2263" i="22"/>
  <c r="M2207" i="22"/>
  <c r="D2207" i="22"/>
  <c r="J2207" i="22"/>
  <c r="N2207" i="22" s="1"/>
  <c r="U2207" i="22" s="1"/>
  <c r="P2207" i="22"/>
  <c r="Q2207" i="22"/>
  <c r="R2207" i="22"/>
  <c r="L2208" i="22"/>
  <c r="C2208" i="22"/>
  <c r="E2208" i="22"/>
  <c r="G2208" i="22"/>
  <c r="I2208" i="22"/>
  <c r="B2209" i="22"/>
  <c r="M2153" i="22"/>
  <c r="D2153" i="22"/>
  <c r="J2153" i="22"/>
  <c r="N2153" i="22" s="1"/>
  <c r="U2153" i="22" s="1"/>
  <c r="P2153" i="22"/>
  <c r="Q2153" i="22"/>
  <c r="R2153" i="22"/>
  <c r="L2154" i="22"/>
  <c r="C2154" i="22"/>
  <c r="K2154" i="22" s="1"/>
  <c r="E2154" i="22"/>
  <c r="F2154" i="22"/>
  <c r="O2154" i="22" s="1"/>
  <c r="G2154" i="22"/>
  <c r="I2154" i="22"/>
  <c r="B2155" i="22"/>
  <c r="M2099" i="22"/>
  <c r="D2099" i="22"/>
  <c r="J2099" i="22"/>
  <c r="N2099" i="22" s="1"/>
  <c r="U2099" i="22" s="1"/>
  <c r="P2099" i="22"/>
  <c r="Q2099" i="22"/>
  <c r="R2099" i="22"/>
  <c r="L2100" i="22"/>
  <c r="C2100" i="22"/>
  <c r="K2100" i="22" s="1"/>
  <c r="E2100" i="22"/>
  <c r="F2100" i="22"/>
  <c r="O2100" i="22" s="1"/>
  <c r="G2100" i="22"/>
  <c r="I2100" i="22"/>
  <c r="B2101" i="22"/>
  <c r="D2045" i="22"/>
  <c r="J2045" i="22"/>
  <c r="P2045" i="22"/>
  <c r="Q2045" i="22"/>
  <c r="R2045" i="22"/>
  <c r="L2046" i="22"/>
  <c r="C2046" i="22"/>
  <c r="E2046" i="22"/>
  <c r="G2046" i="22"/>
  <c r="I2046" i="22"/>
  <c r="B2047" i="22"/>
  <c r="D1991" i="22"/>
  <c r="J1991" i="22"/>
  <c r="P1991" i="22"/>
  <c r="Q1991" i="22"/>
  <c r="R1991" i="22"/>
  <c r="L1992" i="22"/>
  <c r="C1992" i="22"/>
  <c r="K1992" i="22" s="1"/>
  <c r="E1992" i="22"/>
  <c r="F1992" i="22"/>
  <c r="O1992" i="22" s="1"/>
  <c r="G1992" i="22"/>
  <c r="I1992" i="22"/>
  <c r="B1993" i="22"/>
  <c r="D1937" i="22"/>
  <c r="M1937" i="22" s="1"/>
  <c r="J1937" i="22"/>
  <c r="P1937" i="22"/>
  <c r="Q1937" i="22"/>
  <c r="R1937" i="22"/>
  <c r="L1938" i="22"/>
  <c r="C1938" i="22"/>
  <c r="E1938" i="22"/>
  <c r="G1938" i="22"/>
  <c r="I1938" i="22"/>
  <c r="B1939" i="22"/>
  <c r="M1883" i="22"/>
  <c r="D1883" i="22"/>
  <c r="J1883" i="22"/>
  <c r="N1883" i="22" s="1"/>
  <c r="U1883" i="22" s="1"/>
  <c r="P1883" i="22"/>
  <c r="Q1883" i="22"/>
  <c r="R1883" i="22"/>
  <c r="L1884" i="22"/>
  <c r="C1884" i="22"/>
  <c r="K1884" i="22" s="1"/>
  <c r="E1884" i="22"/>
  <c r="F1884" i="22"/>
  <c r="O1884" i="22" s="1"/>
  <c r="G1884" i="22"/>
  <c r="I1884" i="22"/>
  <c r="B1885" i="22"/>
  <c r="M1829" i="22"/>
  <c r="D1829" i="22"/>
  <c r="J1829" i="22"/>
  <c r="N1829" i="22" s="1"/>
  <c r="U1829" i="22" s="1"/>
  <c r="P1829" i="22"/>
  <c r="Q1829" i="22"/>
  <c r="R1829" i="22"/>
  <c r="L1830" i="22"/>
  <c r="C1830" i="22"/>
  <c r="K1830" i="22" s="1"/>
  <c r="E1830" i="22"/>
  <c r="F1830" i="22"/>
  <c r="O1830" i="22" s="1"/>
  <c r="G1830" i="22"/>
  <c r="I1830" i="22"/>
  <c r="B1831" i="22"/>
  <c r="M1775" i="22"/>
  <c r="D1775" i="22"/>
  <c r="J1775" i="22"/>
  <c r="N1775" i="22" s="1"/>
  <c r="U1775" i="22" s="1"/>
  <c r="P1775" i="22"/>
  <c r="Q1775" i="22"/>
  <c r="R1775" i="22"/>
  <c r="L1776" i="22"/>
  <c r="C1776" i="22"/>
  <c r="K1776" i="22" s="1"/>
  <c r="E1776" i="22"/>
  <c r="F1776" i="22"/>
  <c r="O1776" i="22" s="1"/>
  <c r="G1776" i="22"/>
  <c r="I1776" i="22"/>
  <c r="B1777" i="22"/>
  <c r="M1721" i="22"/>
  <c r="D1721" i="22"/>
  <c r="J1721" i="22"/>
  <c r="N1721" i="22" s="1"/>
  <c r="U1721" i="22" s="1"/>
  <c r="P1721" i="22"/>
  <c r="Q1721" i="22"/>
  <c r="R1721" i="22"/>
  <c r="L1722" i="22"/>
  <c r="C1722" i="22"/>
  <c r="E1722" i="22"/>
  <c r="G1722" i="22"/>
  <c r="I1722" i="22"/>
  <c r="B1723" i="22"/>
  <c r="D1667" i="22"/>
  <c r="J1667" i="22"/>
  <c r="P1667" i="22"/>
  <c r="Q1667" i="22"/>
  <c r="R1667" i="22"/>
  <c r="L1668" i="22"/>
  <c r="C1668" i="22"/>
  <c r="E1668" i="22"/>
  <c r="G1668" i="22"/>
  <c r="I1668" i="22"/>
  <c r="B1669" i="22"/>
  <c r="M1613" i="22"/>
  <c r="D1613" i="22"/>
  <c r="J1613" i="22"/>
  <c r="N1613" i="22" s="1"/>
  <c r="U1613" i="22" s="1"/>
  <c r="P1613" i="22"/>
  <c r="Q1613" i="22"/>
  <c r="R1613" i="22"/>
  <c r="L1614" i="22"/>
  <c r="C1614" i="22"/>
  <c r="K1614" i="22" s="1"/>
  <c r="E1614" i="22"/>
  <c r="F1614" i="22"/>
  <c r="O1614" i="22" s="1"/>
  <c r="G1614" i="22"/>
  <c r="I1614" i="22"/>
  <c r="B1615" i="22"/>
  <c r="M1559" i="22"/>
  <c r="D1559" i="22"/>
  <c r="J1559" i="22"/>
  <c r="N1559" i="22" s="1"/>
  <c r="U1559" i="22" s="1"/>
  <c r="P1559" i="22"/>
  <c r="Q1559" i="22"/>
  <c r="R1559" i="22"/>
  <c r="L1560" i="22"/>
  <c r="C1560" i="22"/>
  <c r="K1560" i="22" s="1"/>
  <c r="E1560" i="22"/>
  <c r="F1560" i="22"/>
  <c r="O1560" i="22" s="1"/>
  <c r="G1560" i="22"/>
  <c r="I1560" i="22"/>
  <c r="B1561" i="22"/>
  <c r="M1505" i="22"/>
  <c r="D1505" i="22"/>
  <c r="J1505" i="22"/>
  <c r="N1505" i="22" s="1"/>
  <c r="U1505" i="22" s="1"/>
  <c r="P1505" i="22"/>
  <c r="Q1505" i="22"/>
  <c r="R1505" i="22"/>
  <c r="L1506" i="22"/>
  <c r="C1506" i="22"/>
  <c r="K1506" i="22" s="1"/>
  <c r="E1506" i="22"/>
  <c r="F1506" i="22"/>
  <c r="O1506" i="22" s="1"/>
  <c r="G1506" i="22"/>
  <c r="I1506" i="22"/>
  <c r="B1507" i="22"/>
  <c r="M1451" i="22"/>
  <c r="D1451" i="22"/>
  <c r="J1451" i="22"/>
  <c r="N1451" i="22" s="1"/>
  <c r="U1451" i="22" s="1"/>
  <c r="P1451" i="22"/>
  <c r="Q1451" i="22"/>
  <c r="R1451" i="22"/>
  <c r="L1452" i="22"/>
  <c r="C1452" i="22"/>
  <c r="E1452" i="22"/>
  <c r="G1452" i="22"/>
  <c r="I1452" i="22"/>
  <c r="B1453" i="22"/>
  <c r="D1397" i="22"/>
  <c r="J1397" i="22"/>
  <c r="P1397" i="22"/>
  <c r="Q1397" i="22"/>
  <c r="R1397" i="22"/>
  <c r="L1398" i="22"/>
  <c r="C1398" i="22"/>
  <c r="K1398" i="22" s="1"/>
  <c r="E1398" i="22"/>
  <c r="F1398" i="22"/>
  <c r="O1398" i="22" s="1"/>
  <c r="G1398" i="22"/>
  <c r="I1398" i="22"/>
  <c r="B1399" i="22"/>
  <c r="M1343" i="22"/>
  <c r="P1343" i="22"/>
  <c r="Q1343" i="22"/>
  <c r="R1343" i="22"/>
  <c r="L1344" i="22"/>
  <c r="C1344" i="22"/>
  <c r="E1344" i="22"/>
  <c r="G1344" i="22"/>
  <c r="I1344" i="22"/>
  <c r="B1345" i="22"/>
  <c r="J1343" i="22"/>
  <c r="N1343" i="22" s="1"/>
  <c r="U1343" i="22" s="1"/>
  <c r="D1343" i="22"/>
  <c r="D1289" i="22"/>
  <c r="M1289" i="22" s="1"/>
  <c r="J1289" i="22"/>
  <c r="P1289" i="22"/>
  <c r="Q1289" i="22"/>
  <c r="R1289" i="22"/>
  <c r="L1290" i="22"/>
  <c r="C1290" i="22"/>
  <c r="K1290" i="22" s="1"/>
  <c r="E1290" i="22"/>
  <c r="F1290" i="22"/>
  <c r="O1290" i="22" s="1"/>
  <c r="G1290" i="22"/>
  <c r="I1290" i="22"/>
  <c r="B1291" i="22"/>
  <c r="M1235" i="22"/>
  <c r="D1235" i="22"/>
  <c r="J1235" i="22"/>
  <c r="N1235" i="22" s="1"/>
  <c r="U1235" i="22" s="1"/>
  <c r="P1235" i="22"/>
  <c r="Q1235" i="22"/>
  <c r="R1235" i="22"/>
  <c r="L1236" i="22"/>
  <c r="C1236" i="22"/>
  <c r="K1236" i="22" s="1"/>
  <c r="E1236" i="22"/>
  <c r="F1236" i="22"/>
  <c r="O1236" i="22" s="1"/>
  <c r="G1236" i="22"/>
  <c r="I1236" i="22"/>
  <c r="B1237" i="22"/>
  <c r="D1181" i="22"/>
  <c r="J1181" i="22"/>
  <c r="P1181" i="22"/>
  <c r="Q1181" i="22"/>
  <c r="R1181" i="22"/>
  <c r="L1182" i="22"/>
  <c r="C1182" i="22"/>
  <c r="K1182" i="22" s="1"/>
  <c r="E1182" i="22"/>
  <c r="F1182" i="22"/>
  <c r="O1182" i="22" s="1"/>
  <c r="G1182" i="22"/>
  <c r="I1182" i="22"/>
  <c r="B1183" i="22"/>
  <c r="M1127" i="22"/>
  <c r="D1127" i="22"/>
  <c r="J1127" i="22"/>
  <c r="N1127" i="22" s="1"/>
  <c r="U1127" i="22" s="1"/>
  <c r="P1127" i="22"/>
  <c r="Q1127" i="22"/>
  <c r="R1127" i="22"/>
  <c r="L1128" i="22"/>
  <c r="C1128" i="22"/>
  <c r="K1128" i="22" s="1"/>
  <c r="E1128" i="22"/>
  <c r="F1128" i="22"/>
  <c r="O1128" i="22" s="1"/>
  <c r="G1128" i="22"/>
  <c r="I1128" i="22"/>
  <c r="B1129" i="22"/>
  <c r="M1073" i="22"/>
  <c r="D1073" i="22"/>
  <c r="J1073" i="22"/>
  <c r="N1073" i="22" s="1"/>
  <c r="U1073" i="22" s="1"/>
  <c r="P1073" i="22"/>
  <c r="Q1073" i="22"/>
  <c r="R1073" i="22"/>
  <c r="L1074" i="22"/>
  <c r="C1074" i="22"/>
  <c r="K1074" i="22" s="1"/>
  <c r="E1074" i="22"/>
  <c r="F1074" i="22"/>
  <c r="O1074" i="22" s="1"/>
  <c r="G1074" i="22"/>
  <c r="I1074" i="22"/>
  <c r="B1075" i="22"/>
  <c r="M1019" i="22"/>
  <c r="D1019" i="22"/>
  <c r="J1019" i="22"/>
  <c r="N1019" i="22" s="1"/>
  <c r="U1019" i="22" s="1"/>
  <c r="P1019" i="22"/>
  <c r="Q1019" i="22"/>
  <c r="R1019" i="22"/>
  <c r="L1020" i="22"/>
  <c r="C1020" i="22"/>
  <c r="E1020" i="22"/>
  <c r="G1020" i="22"/>
  <c r="I1020" i="22"/>
  <c r="B1021" i="22"/>
  <c r="M965" i="22"/>
  <c r="D965" i="22"/>
  <c r="J965" i="22"/>
  <c r="N965" i="22" s="1"/>
  <c r="U965" i="22" s="1"/>
  <c r="P965" i="22"/>
  <c r="Q965" i="22"/>
  <c r="R965" i="22"/>
  <c r="L966" i="22"/>
  <c r="C966" i="22"/>
  <c r="K966" i="22" s="1"/>
  <c r="E966" i="22"/>
  <c r="F966" i="22"/>
  <c r="O966" i="22" s="1"/>
  <c r="G966" i="22"/>
  <c r="I966" i="22"/>
  <c r="B967" i="22"/>
  <c r="M911" i="22"/>
  <c r="D911" i="22"/>
  <c r="J911" i="22"/>
  <c r="N911" i="22" s="1"/>
  <c r="U911" i="22" s="1"/>
  <c r="P911" i="22"/>
  <c r="Q911" i="22"/>
  <c r="R911" i="22"/>
  <c r="L912" i="22"/>
  <c r="C912" i="22"/>
  <c r="K912" i="22" s="1"/>
  <c r="E912" i="22"/>
  <c r="F912" i="22"/>
  <c r="O912" i="22" s="1"/>
  <c r="G912" i="22"/>
  <c r="I912" i="22"/>
  <c r="B913" i="22"/>
  <c r="M857" i="22"/>
  <c r="D857" i="22"/>
  <c r="J857" i="22"/>
  <c r="N857" i="22" s="1"/>
  <c r="U857" i="22" s="1"/>
  <c r="P857" i="22"/>
  <c r="Q857" i="22"/>
  <c r="R857" i="22"/>
  <c r="L858" i="22"/>
  <c r="C858" i="22"/>
  <c r="K858" i="22" s="1"/>
  <c r="E858" i="22"/>
  <c r="F858" i="22"/>
  <c r="O858" i="22" s="1"/>
  <c r="G858" i="22"/>
  <c r="I858" i="22"/>
  <c r="B859" i="22"/>
  <c r="M803" i="22"/>
  <c r="D803" i="22"/>
  <c r="J803" i="22"/>
  <c r="N803" i="22" s="1"/>
  <c r="U803" i="22" s="1"/>
  <c r="P803" i="22"/>
  <c r="Q803" i="22"/>
  <c r="R803" i="22"/>
  <c r="L804" i="22"/>
  <c r="C804" i="22"/>
  <c r="K804" i="22" s="1"/>
  <c r="E804" i="22"/>
  <c r="F804" i="22"/>
  <c r="O804" i="22" s="1"/>
  <c r="G804" i="22"/>
  <c r="I804" i="22"/>
  <c r="B805" i="22"/>
  <c r="D749" i="22"/>
  <c r="J749" i="22"/>
  <c r="P749" i="22"/>
  <c r="Q749" i="22"/>
  <c r="R749" i="22"/>
  <c r="L750" i="22"/>
  <c r="C750" i="22"/>
  <c r="K750" i="22" s="1"/>
  <c r="E750" i="22"/>
  <c r="F750" i="22"/>
  <c r="O750" i="22" s="1"/>
  <c r="G750" i="22"/>
  <c r="I750" i="22"/>
  <c r="B751" i="22"/>
  <c r="D695" i="22"/>
  <c r="J695" i="22"/>
  <c r="P695" i="22"/>
  <c r="Q695" i="22"/>
  <c r="R695" i="22"/>
  <c r="L696" i="22"/>
  <c r="C696" i="22"/>
  <c r="E696" i="22"/>
  <c r="G696" i="22"/>
  <c r="I696" i="22"/>
  <c r="B697" i="22"/>
  <c r="D641" i="22"/>
  <c r="M641" i="22" s="1"/>
  <c r="J641" i="22"/>
  <c r="P641" i="22"/>
  <c r="Q641" i="22"/>
  <c r="R641" i="22"/>
  <c r="L642" i="22"/>
  <c r="C642" i="22"/>
  <c r="K642" i="22" s="1"/>
  <c r="E642" i="22"/>
  <c r="F642" i="22"/>
  <c r="O642" i="22" s="1"/>
  <c r="G642" i="22"/>
  <c r="I642" i="22"/>
  <c r="B643" i="22"/>
  <c r="M587" i="22"/>
  <c r="D587" i="22"/>
  <c r="J587" i="22"/>
  <c r="N587" i="22" s="1"/>
  <c r="U587" i="22" s="1"/>
  <c r="P587" i="22"/>
  <c r="Q587" i="22"/>
  <c r="R587" i="22"/>
  <c r="L588" i="22"/>
  <c r="C588" i="22"/>
  <c r="K588" i="22" s="1"/>
  <c r="E588" i="22"/>
  <c r="F588" i="22"/>
  <c r="O588" i="22" s="1"/>
  <c r="G588" i="22"/>
  <c r="I588" i="22"/>
  <c r="B589" i="22"/>
  <c r="M533" i="22"/>
  <c r="D533" i="22"/>
  <c r="J533" i="22"/>
  <c r="N533" i="22" s="1"/>
  <c r="U533" i="22" s="1"/>
  <c r="P533" i="22"/>
  <c r="Q533" i="22"/>
  <c r="R533" i="22"/>
  <c r="L534" i="22"/>
  <c r="C534" i="22"/>
  <c r="K534" i="22" s="1"/>
  <c r="E534" i="22"/>
  <c r="F534" i="22"/>
  <c r="O534" i="22" s="1"/>
  <c r="G534" i="22"/>
  <c r="I534" i="22"/>
  <c r="B535" i="22"/>
  <c r="D479" i="22"/>
  <c r="J479" i="22"/>
  <c r="P479" i="22"/>
  <c r="Q479" i="22"/>
  <c r="R479" i="22"/>
  <c r="L480" i="22"/>
  <c r="C480" i="22"/>
  <c r="K480" i="22" s="1"/>
  <c r="E480" i="22"/>
  <c r="F480" i="22"/>
  <c r="O480" i="22" s="1"/>
  <c r="G480" i="22"/>
  <c r="I480" i="22"/>
  <c r="B481" i="22"/>
  <c r="L426" i="22"/>
  <c r="C426" i="22"/>
  <c r="K426" i="22" s="1"/>
  <c r="F426" i="22"/>
  <c r="O426" i="22" s="1"/>
  <c r="E426" i="22"/>
  <c r="G426" i="22"/>
  <c r="I426" i="22"/>
  <c r="B427" i="22"/>
  <c r="D425" i="22"/>
  <c r="J425" i="22"/>
  <c r="P425" i="22"/>
  <c r="Q425" i="22"/>
  <c r="R425" i="22"/>
  <c r="M371" i="22"/>
  <c r="D371" i="22"/>
  <c r="J371" i="22"/>
  <c r="N371" i="22" s="1"/>
  <c r="U371" i="22" s="1"/>
  <c r="P371" i="22"/>
  <c r="Q371" i="22"/>
  <c r="R371" i="22"/>
  <c r="L372" i="22"/>
  <c r="C372" i="22"/>
  <c r="E372" i="22"/>
  <c r="G372" i="22"/>
  <c r="I372" i="22"/>
  <c r="B373" i="22"/>
  <c r="M317" i="22"/>
  <c r="D317" i="22"/>
  <c r="J317" i="22"/>
  <c r="N317" i="22" s="1"/>
  <c r="U317" i="22" s="1"/>
  <c r="P317" i="22"/>
  <c r="Q317" i="22"/>
  <c r="R317" i="22"/>
  <c r="L318" i="22"/>
  <c r="C318" i="22"/>
  <c r="E318" i="22"/>
  <c r="G318" i="22"/>
  <c r="I318" i="22"/>
  <c r="B319" i="22"/>
  <c r="M263" i="22"/>
  <c r="D263" i="22"/>
  <c r="J263" i="22"/>
  <c r="N263" i="22" s="1"/>
  <c r="U263" i="22" s="1"/>
  <c r="P263" i="22"/>
  <c r="Q263" i="22"/>
  <c r="R263" i="22"/>
  <c r="L264" i="22"/>
  <c r="C264" i="22"/>
  <c r="K264" i="22" s="1"/>
  <c r="E264" i="22"/>
  <c r="F264" i="22"/>
  <c r="O264" i="22" s="1"/>
  <c r="G264" i="22"/>
  <c r="I264" i="22"/>
  <c r="B265" i="22"/>
  <c r="M209" i="22"/>
  <c r="P209" i="22"/>
  <c r="Q209" i="22"/>
  <c r="R209" i="22"/>
  <c r="J209" i="22"/>
  <c r="N209" i="22" s="1"/>
  <c r="U209" i="22" s="1"/>
  <c r="D209" i="22"/>
  <c r="L210" i="22"/>
  <c r="C210" i="22"/>
  <c r="K210" i="22" s="1"/>
  <c r="E210" i="22"/>
  <c r="F210" i="22"/>
  <c r="O210" i="22" s="1"/>
  <c r="G210" i="22"/>
  <c r="I210" i="22"/>
  <c r="B211" i="22"/>
  <c r="P155" i="22"/>
  <c r="Q155" i="22"/>
  <c r="R155" i="22"/>
  <c r="L156" i="22"/>
  <c r="C156" i="22"/>
  <c r="K156" i="22" s="1"/>
  <c r="E156" i="22"/>
  <c r="F156" i="22"/>
  <c r="O156" i="22" s="1"/>
  <c r="G156" i="22"/>
  <c r="I156" i="22"/>
  <c r="B157" i="22"/>
  <c r="J155" i="22"/>
  <c r="D155" i="22"/>
  <c r="D101" i="22"/>
  <c r="J101" i="22"/>
  <c r="P101" i="22"/>
  <c r="Q101" i="22"/>
  <c r="R101" i="22"/>
  <c r="L102" i="22"/>
  <c r="C102" i="22"/>
  <c r="E102" i="22"/>
  <c r="G102" i="22"/>
  <c r="B103" i="22"/>
  <c r="I102" i="22"/>
  <c r="C45" i="10"/>
  <c r="F38" i="18"/>
  <c r="C46" i="10"/>
  <c r="G38" i="18"/>
  <c r="C47" i="10"/>
  <c r="H38" i="18"/>
  <c r="C43" i="10"/>
  <c r="C48" i="10"/>
  <c r="AQ39" i="17"/>
  <c r="AP39" i="17"/>
  <c r="AO39" i="17"/>
  <c r="AN39" i="17"/>
  <c r="AM39" i="17"/>
  <c r="AL39" i="17"/>
  <c r="AK39" i="17"/>
  <c r="AJ39" i="17"/>
  <c r="AI39" i="17"/>
  <c r="AH39" i="17"/>
  <c r="AG39" i="17"/>
  <c r="AF39" i="17"/>
  <c r="AE39" i="17"/>
  <c r="AD39" i="17"/>
  <c r="AC39" i="17"/>
  <c r="AB39" i="17"/>
  <c r="AA39" i="17"/>
  <c r="Z39" i="17"/>
  <c r="Y39" i="17"/>
  <c r="X39" i="17"/>
  <c r="W39" i="17"/>
  <c r="P39" i="17"/>
  <c r="Q39" i="17"/>
  <c r="R39" i="17"/>
  <c r="V39" i="17"/>
  <c r="D39" i="17"/>
  <c r="J39" i="17"/>
  <c r="I40" i="17"/>
  <c r="B41" i="17"/>
  <c r="C40" i="17"/>
  <c r="K40" i="17" s="1"/>
  <c r="E40" i="17"/>
  <c r="F40" i="17"/>
  <c r="C40" i="18" s="1"/>
  <c r="E40" i="18" s="1"/>
  <c r="G40" i="17"/>
  <c r="L40" i="17"/>
  <c r="B40" i="18"/>
  <c r="G89" i="12"/>
  <c r="AU16" i="17"/>
  <c r="B105" i="12"/>
  <c r="I105" i="12" s="1"/>
  <c r="AT15" i="17"/>
  <c r="AS17" i="17"/>
  <c r="AS18" i="17"/>
  <c r="AS19" i="17"/>
  <c r="AS20" i="17"/>
  <c r="AS21" i="17"/>
  <c r="AS22" i="17"/>
  <c r="AS23" i="17"/>
  <c r="AS24" i="17"/>
  <c r="AS25" i="17"/>
  <c r="AS26" i="17"/>
  <c r="AS27" i="17"/>
  <c r="AS28" i="17"/>
  <c r="AS29" i="17"/>
  <c r="AS30" i="17"/>
  <c r="AS31" i="17"/>
  <c r="AS34" i="17"/>
  <c r="AS35" i="17"/>
  <c r="AS38" i="17"/>
  <c r="AS39" i="17"/>
  <c r="AS40" i="17"/>
  <c r="AS32" i="17"/>
  <c r="AS33" i="17"/>
  <c r="AS36" i="17"/>
  <c r="AS37" i="17"/>
  <c r="G88" i="12"/>
  <c r="M1503" i="23"/>
  <c r="N1503" i="23"/>
  <c r="AE1503" i="23" s="1"/>
  <c r="M1223" i="23"/>
  <c r="N1223" i="23"/>
  <c r="AE1223" i="23" s="1"/>
  <c r="M1055" i="23"/>
  <c r="N1055" i="23"/>
  <c r="AE1055" i="23" s="1"/>
  <c r="M439" i="23"/>
  <c r="N439" i="23"/>
  <c r="AE439" i="23" s="1"/>
  <c r="M383" i="23"/>
  <c r="N383" i="23"/>
  <c r="AE383" i="23" s="1"/>
  <c r="M4534" i="22"/>
  <c r="N4534" i="22"/>
  <c r="M3718" i="22"/>
  <c r="N3718" i="22"/>
  <c r="U3718" i="22" s="1"/>
  <c r="M3124" i="22"/>
  <c r="N3124" i="22"/>
  <c r="U3124" i="22" s="1"/>
  <c r="M3070" i="22"/>
  <c r="N3070" i="22"/>
  <c r="U3070" i="22" s="1"/>
  <c r="N2908" i="22"/>
  <c r="U2908" i="22" s="1"/>
  <c r="M2908" i="22"/>
  <c r="M2800" i="22"/>
  <c r="N2800" i="22"/>
  <c r="M2746" i="22"/>
  <c r="N2746" i="22"/>
  <c r="U2746" i="22" s="1"/>
  <c r="M2476" i="22"/>
  <c r="N2476" i="22"/>
  <c r="U2476" i="22" s="1"/>
  <c r="M2422" i="22"/>
  <c r="N2422" i="22"/>
  <c r="U2422" i="22" s="1"/>
  <c r="M2206" i="22"/>
  <c r="N2206" i="22"/>
  <c r="U2206" i="22" s="1"/>
  <c r="M1774" i="22"/>
  <c r="N1774" i="22"/>
  <c r="U1774" i="22" s="1"/>
  <c r="M1504" i="22"/>
  <c r="N1504" i="22"/>
  <c r="U1504" i="22" s="1"/>
  <c r="M1450" i="22"/>
  <c r="N1450" i="22"/>
  <c r="U1450" i="22" s="1"/>
  <c r="M1126" i="22"/>
  <c r="N1126" i="22"/>
  <c r="U1126" i="22" s="1"/>
  <c r="M802" i="22"/>
  <c r="N802" i="22"/>
  <c r="U802" i="22" s="1"/>
  <c r="M478" i="22"/>
  <c r="N478" i="22"/>
  <c r="U478" i="22" s="1"/>
  <c r="M154" i="22"/>
  <c r="N154" i="22"/>
  <c r="U154" i="22" s="1"/>
  <c r="M100" i="22"/>
  <c r="N100" i="22"/>
  <c r="U100" i="22" s="1"/>
  <c r="AE1615" i="23"/>
  <c r="K1560" i="23"/>
  <c r="F1560" i="23"/>
  <c r="O1560" i="23" s="1"/>
  <c r="F1504" i="23"/>
  <c r="O1504" i="23" s="1"/>
  <c r="K1504" i="23"/>
  <c r="F1224" i="23"/>
  <c r="O1224" i="23" s="1"/>
  <c r="K1224" i="23"/>
  <c r="K608" i="23"/>
  <c r="F608" i="23"/>
  <c r="O608" i="23" s="1"/>
  <c r="K440" i="23"/>
  <c r="F440" i="23"/>
  <c r="O440" i="23" s="1"/>
  <c r="K4535" i="22"/>
  <c r="F4535" i="22"/>
  <c r="K3611" i="22"/>
  <c r="F3611" i="22"/>
  <c r="O3611" i="22" s="1"/>
  <c r="K3557" i="22"/>
  <c r="F3557" i="22"/>
  <c r="O3557" i="22" s="1"/>
  <c r="K3395" i="22"/>
  <c r="F3395" i="22"/>
  <c r="O3395" i="22" s="1"/>
  <c r="F3071" i="22"/>
  <c r="O3071" i="22" s="1"/>
  <c r="K3071" i="22"/>
  <c r="K3017" i="22"/>
  <c r="F3017" i="22"/>
  <c r="O3017" i="22" s="1"/>
  <c r="K2963" i="22"/>
  <c r="F2963" i="22"/>
  <c r="O2963" i="22" s="1"/>
  <c r="F2909" i="22"/>
  <c r="O2909" i="22" s="1"/>
  <c r="K2909" i="22"/>
  <c r="K2639" i="22"/>
  <c r="F2639" i="22"/>
  <c r="O2639" i="22" s="1"/>
  <c r="F2315" i="22"/>
  <c r="O2315" i="22" s="1"/>
  <c r="K2315" i="22"/>
  <c r="F2045" i="22"/>
  <c r="O2045" i="22" s="1"/>
  <c r="K2045" i="22"/>
  <c r="F1991" i="22"/>
  <c r="O1991" i="22" s="1"/>
  <c r="K1991" i="22"/>
  <c r="K1667" i="22"/>
  <c r="F1667" i="22"/>
  <c r="O1667" i="22" s="1"/>
  <c r="K1397" i="22"/>
  <c r="F1397" i="22"/>
  <c r="O1397" i="22" s="1"/>
  <c r="F1181" i="22"/>
  <c r="O1181" i="22" s="1"/>
  <c r="K1181" i="22"/>
  <c r="K749" i="22"/>
  <c r="F749" i="22"/>
  <c r="O749" i="22" s="1"/>
  <c r="K695" i="22"/>
  <c r="F695" i="22"/>
  <c r="O695" i="22" s="1"/>
  <c r="K479" i="22"/>
  <c r="F479" i="22"/>
  <c r="O479" i="22" s="1"/>
  <c r="K425" i="22"/>
  <c r="F425" i="22"/>
  <c r="O425" i="22" s="1"/>
  <c r="K155" i="22"/>
  <c r="F155" i="22"/>
  <c r="O155" i="22" s="1"/>
  <c r="K101" i="22"/>
  <c r="F101" i="22"/>
  <c r="O101" i="22" s="1"/>
  <c r="C40" i="10"/>
  <c r="N38" i="17"/>
  <c r="F39" i="17"/>
  <c r="C39" i="18" s="1"/>
  <c r="E39" i="18" s="1"/>
  <c r="K39" i="17"/>
  <c r="N3233" i="22" l="1"/>
  <c r="U3233" i="22" s="1"/>
  <c r="N1937" i="22"/>
  <c r="U1937" i="22" s="1"/>
  <c r="N1289" i="22"/>
  <c r="U1289" i="22" s="1"/>
  <c r="N641" i="22"/>
  <c r="U641" i="22" s="1"/>
  <c r="N1168" i="23"/>
  <c r="AE1168" i="23" s="1"/>
  <c r="K889" i="23"/>
  <c r="F889" i="23"/>
  <c r="O889" i="23" s="1"/>
  <c r="K3342" i="22"/>
  <c r="F3342" i="22"/>
  <c r="O3342" i="22" s="1"/>
  <c r="K2478" i="22"/>
  <c r="F2478" i="22"/>
  <c r="O2478" i="22" s="1"/>
  <c r="K2208" i="22"/>
  <c r="F2208" i="22"/>
  <c r="O2208" i="22" s="1"/>
  <c r="K1938" i="22"/>
  <c r="F1938" i="22"/>
  <c r="O1938" i="22" s="1"/>
  <c r="K1452" i="22"/>
  <c r="F1452" i="22"/>
  <c r="O1452" i="22" s="1"/>
  <c r="K372" i="22"/>
  <c r="F372" i="22"/>
  <c r="O372" i="22" s="1"/>
  <c r="K102" i="22"/>
  <c r="F102" i="22"/>
  <c r="O102" i="22" s="1"/>
  <c r="M1617" i="23"/>
  <c r="J1617" i="23"/>
  <c r="N1617" i="23" s="1"/>
  <c r="D1617" i="23"/>
  <c r="P1617" i="23"/>
  <c r="Q1617" i="23"/>
  <c r="R1617" i="23"/>
  <c r="I1618" i="23"/>
  <c r="L1618" i="23"/>
  <c r="C1618" i="23"/>
  <c r="K1618" i="23" s="1"/>
  <c r="E1618" i="23"/>
  <c r="F1618" i="23"/>
  <c r="G1618" i="23"/>
  <c r="B1619" i="23"/>
  <c r="J1561" i="23"/>
  <c r="D1561" i="23"/>
  <c r="P1561" i="23"/>
  <c r="Q1561" i="23"/>
  <c r="R1561" i="23"/>
  <c r="L1562" i="23"/>
  <c r="I1562" i="23"/>
  <c r="C1562" i="23"/>
  <c r="K1562" i="23" s="1"/>
  <c r="E1562" i="23"/>
  <c r="F1562" i="23"/>
  <c r="G1562" i="23"/>
  <c r="B1563" i="23"/>
  <c r="J1505" i="23"/>
  <c r="D1505" i="23"/>
  <c r="P1505" i="23"/>
  <c r="Q1505" i="23"/>
  <c r="R1505" i="23"/>
  <c r="L1506" i="23"/>
  <c r="I1506" i="23"/>
  <c r="C1506" i="23"/>
  <c r="E1506" i="23"/>
  <c r="G1506" i="23"/>
  <c r="B1507" i="23"/>
  <c r="J1449" i="23"/>
  <c r="D1449" i="23"/>
  <c r="P1449" i="23"/>
  <c r="Q1449" i="23"/>
  <c r="R1449" i="23"/>
  <c r="L1450" i="23"/>
  <c r="I1450" i="23"/>
  <c r="C1450" i="23"/>
  <c r="K1450" i="23" s="1"/>
  <c r="E1450" i="23"/>
  <c r="F1450" i="23"/>
  <c r="G1450" i="23"/>
  <c r="B1451" i="23"/>
  <c r="J1393" i="23"/>
  <c r="D1393" i="23"/>
  <c r="P1393" i="23"/>
  <c r="Q1393" i="23"/>
  <c r="R1393" i="23"/>
  <c r="L1394" i="23"/>
  <c r="I1394" i="23"/>
  <c r="E1394" i="23"/>
  <c r="G1394" i="23"/>
  <c r="C1394" i="23"/>
  <c r="K1394" i="23" s="1"/>
  <c r="F1394" i="23"/>
  <c r="B1395" i="23"/>
  <c r="M1337" i="23"/>
  <c r="J1337" i="23"/>
  <c r="N1337" i="23" s="1"/>
  <c r="AE1337" i="23" s="1"/>
  <c r="D1337" i="23"/>
  <c r="P1337" i="23"/>
  <c r="Q1337" i="23"/>
  <c r="R1337" i="23"/>
  <c r="L1338" i="23"/>
  <c r="I1338" i="23"/>
  <c r="C1338" i="23"/>
  <c r="K1338" i="23" s="1"/>
  <c r="E1338" i="23"/>
  <c r="F1338" i="23"/>
  <c r="G1338" i="23"/>
  <c r="B1339" i="23"/>
  <c r="M1281" i="23"/>
  <c r="J1281" i="23"/>
  <c r="N1281" i="23" s="1"/>
  <c r="AE1281" i="23" s="1"/>
  <c r="D1281" i="23"/>
  <c r="P1281" i="23"/>
  <c r="Q1281" i="23"/>
  <c r="R1281" i="23"/>
  <c r="L1282" i="23"/>
  <c r="I1282" i="23"/>
  <c r="C1282" i="23"/>
  <c r="K1282" i="23" s="1"/>
  <c r="E1282" i="23"/>
  <c r="F1282" i="23"/>
  <c r="G1282" i="23"/>
  <c r="B1283" i="23"/>
  <c r="J1225" i="23"/>
  <c r="D1225" i="23"/>
  <c r="P1225" i="23"/>
  <c r="Q1225" i="23"/>
  <c r="R1225" i="23"/>
  <c r="L1226" i="23"/>
  <c r="I1226" i="23"/>
  <c r="C1226" i="23"/>
  <c r="E1226" i="23"/>
  <c r="G1226" i="23"/>
  <c r="B1227" i="23"/>
  <c r="M1169" i="23"/>
  <c r="J1169" i="23"/>
  <c r="N1169" i="23" s="1"/>
  <c r="AE1169" i="23" s="1"/>
  <c r="D1169" i="23"/>
  <c r="P1169" i="23"/>
  <c r="Q1169" i="23"/>
  <c r="R1169" i="23"/>
  <c r="L1170" i="23"/>
  <c r="I1170" i="23"/>
  <c r="C1170" i="23"/>
  <c r="E1170" i="23"/>
  <c r="G1170" i="23"/>
  <c r="B1171" i="23"/>
  <c r="M1113" i="23"/>
  <c r="J1113" i="23"/>
  <c r="N1113" i="23" s="1"/>
  <c r="AE1113" i="23" s="1"/>
  <c r="D1113" i="23"/>
  <c r="P1113" i="23"/>
  <c r="Q1113" i="23"/>
  <c r="R1113" i="23"/>
  <c r="L1114" i="23"/>
  <c r="I1114" i="23"/>
  <c r="C1114" i="23"/>
  <c r="K1114" i="23" s="1"/>
  <c r="E1114" i="23"/>
  <c r="F1114" i="23"/>
  <c r="G1114" i="23"/>
  <c r="B1115" i="23"/>
  <c r="M1057" i="23"/>
  <c r="J1057" i="23"/>
  <c r="N1057" i="23" s="1"/>
  <c r="AE1057" i="23" s="1"/>
  <c r="D1057" i="23"/>
  <c r="P1057" i="23"/>
  <c r="Q1057" i="23"/>
  <c r="R1057" i="23"/>
  <c r="L1058" i="23"/>
  <c r="I1058" i="23"/>
  <c r="C1058" i="23"/>
  <c r="K1058" i="23" s="1"/>
  <c r="E1058" i="23"/>
  <c r="F1058" i="23"/>
  <c r="G1058" i="23"/>
  <c r="B1059" i="23"/>
  <c r="M1001" i="23"/>
  <c r="J1001" i="23"/>
  <c r="N1001" i="23" s="1"/>
  <c r="AE1001" i="23" s="1"/>
  <c r="D1001" i="23"/>
  <c r="P1001" i="23"/>
  <c r="Q1001" i="23"/>
  <c r="R1001" i="23"/>
  <c r="L1002" i="23"/>
  <c r="I1002" i="23"/>
  <c r="C1002" i="23"/>
  <c r="K1002" i="23" s="1"/>
  <c r="E1002" i="23"/>
  <c r="F1002" i="23"/>
  <c r="G1002" i="23"/>
  <c r="B1003" i="23"/>
  <c r="J945" i="23"/>
  <c r="D945" i="23"/>
  <c r="P945" i="23"/>
  <c r="Q945" i="23"/>
  <c r="R945" i="23"/>
  <c r="L946" i="23"/>
  <c r="I946" i="23"/>
  <c r="C946" i="23"/>
  <c r="K946" i="23" s="1"/>
  <c r="E946" i="23"/>
  <c r="F946" i="23"/>
  <c r="G946" i="23"/>
  <c r="B947" i="23"/>
  <c r="M889" i="23"/>
  <c r="J889" i="23"/>
  <c r="N889" i="23" s="1"/>
  <c r="AE889" i="23" s="1"/>
  <c r="D889" i="23"/>
  <c r="P889" i="23"/>
  <c r="Q889" i="23"/>
  <c r="R889" i="23"/>
  <c r="L890" i="23"/>
  <c r="I890" i="23"/>
  <c r="C890" i="23"/>
  <c r="E890" i="23"/>
  <c r="G890" i="23"/>
  <c r="B891" i="23"/>
  <c r="M833" i="23"/>
  <c r="J833" i="23"/>
  <c r="N833" i="23" s="1"/>
  <c r="AE833" i="23" s="1"/>
  <c r="D833" i="23"/>
  <c r="P833" i="23"/>
  <c r="Q833" i="23"/>
  <c r="R833" i="23"/>
  <c r="L834" i="23"/>
  <c r="I834" i="23"/>
  <c r="C834" i="23"/>
  <c r="K834" i="23" s="1"/>
  <c r="E834" i="23"/>
  <c r="F834" i="23"/>
  <c r="G834" i="23"/>
  <c r="B835" i="23"/>
  <c r="M777" i="23"/>
  <c r="J777" i="23"/>
  <c r="N777" i="23" s="1"/>
  <c r="AE777" i="23" s="1"/>
  <c r="D777" i="23"/>
  <c r="P777" i="23"/>
  <c r="Q777" i="23"/>
  <c r="R777" i="23"/>
  <c r="L778" i="23"/>
  <c r="I778" i="23"/>
  <c r="C778" i="23"/>
  <c r="K778" i="23" s="1"/>
  <c r="E778" i="23"/>
  <c r="F778" i="23"/>
  <c r="G778" i="23"/>
  <c r="B779" i="23"/>
  <c r="M721" i="23"/>
  <c r="J721" i="23"/>
  <c r="N721" i="23" s="1"/>
  <c r="AE721" i="23" s="1"/>
  <c r="D721" i="23"/>
  <c r="P721" i="23"/>
  <c r="Q721" i="23"/>
  <c r="R721" i="23"/>
  <c r="L722" i="23"/>
  <c r="I722" i="23"/>
  <c r="C722" i="23"/>
  <c r="K722" i="23" s="1"/>
  <c r="E722" i="23"/>
  <c r="F722" i="23"/>
  <c r="G722" i="23"/>
  <c r="B723" i="23"/>
  <c r="M665" i="23"/>
  <c r="J665" i="23"/>
  <c r="N665" i="23" s="1"/>
  <c r="AE665" i="23" s="1"/>
  <c r="D665" i="23"/>
  <c r="P665" i="23"/>
  <c r="Q665" i="23"/>
  <c r="R665" i="23"/>
  <c r="L666" i="23"/>
  <c r="I666" i="23"/>
  <c r="C666" i="23"/>
  <c r="K666" i="23" s="1"/>
  <c r="E666" i="23"/>
  <c r="F666" i="23"/>
  <c r="G666" i="23"/>
  <c r="B667" i="23"/>
  <c r="M609" i="23"/>
  <c r="J609" i="23"/>
  <c r="N609" i="23" s="1"/>
  <c r="AE609" i="23" s="1"/>
  <c r="D609" i="23"/>
  <c r="P609" i="23"/>
  <c r="Q609" i="23"/>
  <c r="R609" i="23"/>
  <c r="L610" i="23"/>
  <c r="I610" i="23"/>
  <c r="C610" i="23"/>
  <c r="K610" i="23" s="1"/>
  <c r="E610" i="23"/>
  <c r="F610" i="23"/>
  <c r="G610" i="23"/>
  <c r="B611" i="23"/>
  <c r="M553" i="23"/>
  <c r="J553" i="23"/>
  <c r="N553" i="23" s="1"/>
  <c r="AE553" i="23" s="1"/>
  <c r="D553" i="23"/>
  <c r="P553" i="23"/>
  <c r="Q553" i="23"/>
  <c r="R553" i="23"/>
  <c r="L554" i="23"/>
  <c r="I554" i="23"/>
  <c r="C554" i="23"/>
  <c r="K554" i="23" s="1"/>
  <c r="E554" i="23"/>
  <c r="F554" i="23"/>
  <c r="G554" i="23"/>
  <c r="B555" i="23"/>
  <c r="M497" i="23"/>
  <c r="J497" i="23"/>
  <c r="N497" i="23" s="1"/>
  <c r="AE497" i="23" s="1"/>
  <c r="D497" i="23"/>
  <c r="P497" i="23"/>
  <c r="Q497" i="23"/>
  <c r="R497" i="23"/>
  <c r="L498" i="23"/>
  <c r="I498" i="23"/>
  <c r="C498" i="23"/>
  <c r="E498" i="23"/>
  <c r="G498" i="23"/>
  <c r="B499" i="23"/>
  <c r="J441" i="23"/>
  <c r="D441" i="23"/>
  <c r="L442" i="23"/>
  <c r="I442" i="23"/>
  <c r="E442" i="23"/>
  <c r="G442" i="23"/>
  <c r="C442" i="23"/>
  <c r="B443" i="23"/>
  <c r="P441" i="23"/>
  <c r="R441" i="23"/>
  <c r="Q441" i="23"/>
  <c r="M385" i="23"/>
  <c r="J385" i="23"/>
  <c r="N385" i="23" s="1"/>
  <c r="AE385" i="23" s="1"/>
  <c r="D385" i="23"/>
  <c r="P385" i="23"/>
  <c r="Q385" i="23"/>
  <c r="R385" i="23"/>
  <c r="L386" i="23"/>
  <c r="I386" i="23"/>
  <c r="C386" i="23"/>
  <c r="K386" i="23" s="1"/>
  <c r="E386" i="23"/>
  <c r="F386" i="23"/>
  <c r="G386" i="23"/>
  <c r="B387" i="23"/>
  <c r="M329" i="23"/>
  <c r="J329" i="23"/>
  <c r="N329" i="23" s="1"/>
  <c r="AE329" i="23" s="1"/>
  <c r="D329" i="23"/>
  <c r="P329" i="23"/>
  <c r="Q329" i="23"/>
  <c r="R329" i="23"/>
  <c r="L330" i="23"/>
  <c r="I330" i="23"/>
  <c r="C330" i="23"/>
  <c r="E330" i="23"/>
  <c r="G330" i="23"/>
  <c r="B331" i="23"/>
  <c r="M273" i="23"/>
  <c r="J273" i="23"/>
  <c r="N273" i="23" s="1"/>
  <c r="AE273" i="23" s="1"/>
  <c r="D273" i="23"/>
  <c r="P273" i="23"/>
  <c r="Q273" i="23"/>
  <c r="R273" i="23"/>
  <c r="L274" i="23"/>
  <c r="I274" i="23"/>
  <c r="C274" i="23"/>
  <c r="K274" i="23" s="1"/>
  <c r="E274" i="23"/>
  <c r="F274" i="23"/>
  <c r="G274" i="23"/>
  <c r="B275" i="23"/>
  <c r="D4752" i="22"/>
  <c r="J4752" i="22"/>
  <c r="P4752" i="22"/>
  <c r="Q4752" i="22"/>
  <c r="R4752" i="22"/>
  <c r="M4752" i="22"/>
  <c r="N4752" i="22"/>
  <c r="C4753" i="22"/>
  <c r="E4753" i="22"/>
  <c r="F4753" i="22"/>
  <c r="G4753" i="22"/>
  <c r="I4753" i="22"/>
  <c r="K4753" i="22"/>
  <c r="L4753" i="22"/>
  <c r="B4754" i="22"/>
  <c r="S4697" i="22"/>
  <c r="U4697" i="22"/>
  <c r="M4698" i="22"/>
  <c r="D4698" i="22"/>
  <c r="J4698" i="22"/>
  <c r="N4698" i="22" s="1"/>
  <c r="P4698" i="22"/>
  <c r="Q4698" i="22"/>
  <c r="R4698" i="22"/>
  <c r="L4699" i="22"/>
  <c r="C4699" i="22"/>
  <c r="K4699" i="22" s="1"/>
  <c r="E4699" i="22"/>
  <c r="F4699" i="22"/>
  <c r="G4699" i="22"/>
  <c r="I4699" i="22"/>
  <c r="B4700" i="22"/>
  <c r="P4644" i="22"/>
  <c r="Q4644" i="22"/>
  <c r="R4644" i="22"/>
  <c r="C4645" i="22"/>
  <c r="E4645" i="22"/>
  <c r="G4645" i="22"/>
  <c r="B4646" i="22"/>
  <c r="M4590" i="22"/>
  <c r="J4590" i="22"/>
  <c r="N4590" i="22" s="1"/>
  <c r="D4590" i="22"/>
  <c r="P4590" i="22"/>
  <c r="Q4590" i="22"/>
  <c r="R4590" i="22"/>
  <c r="I4591" i="22"/>
  <c r="L4591" i="22"/>
  <c r="C4591" i="22"/>
  <c r="E4591" i="22"/>
  <c r="G4591" i="22"/>
  <c r="B4592" i="22"/>
  <c r="M4536" i="22"/>
  <c r="D4536" i="22"/>
  <c r="J4536" i="22"/>
  <c r="N4536" i="22" s="1"/>
  <c r="P4536" i="22"/>
  <c r="Q4536" i="22"/>
  <c r="R4536" i="22"/>
  <c r="L4537" i="22"/>
  <c r="C4537" i="22"/>
  <c r="K4537" i="22" s="1"/>
  <c r="E4537" i="22"/>
  <c r="F4537" i="22"/>
  <c r="G4537" i="22"/>
  <c r="I4537" i="22"/>
  <c r="B4538" i="22"/>
  <c r="D4236" i="22"/>
  <c r="J4236" i="22"/>
  <c r="P4236" i="22"/>
  <c r="Q4236" i="22"/>
  <c r="R4236" i="22"/>
  <c r="C4237" i="22"/>
  <c r="F4237" i="22" s="1"/>
  <c r="O4237" i="22" s="1"/>
  <c r="E4237" i="22"/>
  <c r="G4237" i="22"/>
  <c r="I4237" i="22"/>
  <c r="K4237" i="22"/>
  <c r="L4237" i="22"/>
  <c r="B4238" i="22"/>
  <c r="M4182" i="22"/>
  <c r="D4182" i="22"/>
  <c r="J4182" i="22"/>
  <c r="N4182" i="22" s="1"/>
  <c r="U4182" i="22" s="1"/>
  <c r="P4182" i="22"/>
  <c r="Q4182" i="22"/>
  <c r="R4182" i="22"/>
  <c r="L4183" i="22"/>
  <c r="C4183" i="22"/>
  <c r="E4183" i="22"/>
  <c r="G4183" i="22"/>
  <c r="I4183" i="22"/>
  <c r="B4184" i="22"/>
  <c r="M4128" i="22"/>
  <c r="D4128" i="22"/>
  <c r="J4128" i="22"/>
  <c r="N4128" i="22" s="1"/>
  <c r="U4128" i="22" s="1"/>
  <c r="P4128" i="22"/>
  <c r="Q4128" i="22"/>
  <c r="R4128" i="22"/>
  <c r="L4129" i="22"/>
  <c r="C4129" i="22"/>
  <c r="K4129" i="22" s="1"/>
  <c r="E4129" i="22"/>
  <c r="F4129" i="22"/>
  <c r="O4129" i="22" s="1"/>
  <c r="G4129" i="22"/>
  <c r="I4129" i="22"/>
  <c r="B4130" i="22"/>
  <c r="M4074" i="22"/>
  <c r="D4074" i="22"/>
  <c r="J4074" i="22"/>
  <c r="N4074" i="22" s="1"/>
  <c r="U4074" i="22" s="1"/>
  <c r="P4074" i="22"/>
  <c r="Q4074" i="22"/>
  <c r="R4074" i="22"/>
  <c r="L4075" i="22"/>
  <c r="C4075" i="22"/>
  <c r="E4075" i="22"/>
  <c r="G4075" i="22"/>
  <c r="I4075" i="22"/>
  <c r="B4076" i="22"/>
  <c r="D3774" i="22"/>
  <c r="J3774" i="22"/>
  <c r="P3774" i="22"/>
  <c r="Q3774" i="22"/>
  <c r="R3774" i="22"/>
  <c r="L3775" i="22"/>
  <c r="C3775" i="22"/>
  <c r="K3775" i="22" s="1"/>
  <c r="E3775" i="22"/>
  <c r="F3775" i="22"/>
  <c r="O3775" i="22" s="1"/>
  <c r="G3775" i="22"/>
  <c r="I3775" i="22"/>
  <c r="B3776" i="22"/>
  <c r="M3720" i="22"/>
  <c r="D3720" i="22"/>
  <c r="J3720" i="22"/>
  <c r="N3720" i="22" s="1"/>
  <c r="U3720" i="22" s="1"/>
  <c r="P3720" i="22"/>
  <c r="Q3720" i="22"/>
  <c r="R3720" i="22"/>
  <c r="L3721" i="22"/>
  <c r="C3721" i="22"/>
  <c r="K3721" i="22" s="1"/>
  <c r="E3721" i="22"/>
  <c r="F3721" i="22"/>
  <c r="O3721" i="22" s="1"/>
  <c r="G3721" i="22"/>
  <c r="I3721" i="22"/>
  <c r="B3722" i="22"/>
  <c r="M3666" i="22"/>
  <c r="D3666" i="22"/>
  <c r="J3666" i="22"/>
  <c r="N3666" i="22" s="1"/>
  <c r="U3666" i="22" s="1"/>
  <c r="P3666" i="22"/>
  <c r="Q3666" i="22"/>
  <c r="R3666" i="22"/>
  <c r="L3667" i="22"/>
  <c r="C3667" i="22"/>
  <c r="E3667" i="22"/>
  <c r="G3667" i="22"/>
  <c r="I3667" i="22"/>
  <c r="B3668" i="22"/>
  <c r="M3612" i="22"/>
  <c r="D3612" i="22"/>
  <c r="J3612" i="22"/>
  <c r="N3612" i="22" s="1"/>
  <c r="U3612" i="22" s="1"/>
  <c r="P3612" i="22"/>
  <c r="Q3612" i="22"/>
  <c r="R3612" i="22"/>
  <c r="L3613" i="22"/>
  <c r="C3613" i="22"/>
  <c r="E3613" i="22"/>
  <c r="G3613" i="22"/>
  <c r="I3613" i="22"/>
  <c r="B3614" i="22"/>
  <c r="D3558" i="22"/>
  <c r="J3558" i="22"/>
  <c r="P3558" i="22"/>
  <c r="Q3558" i="22"/>
  <c r="R3558" i="22"/>
  <c r="L3559" i="22"/>
  <c r="E3559" i="22"/>
  <c r="G3559" i="22"/>
  <c r="C3559" i="22"/>
  <c r="I3559" i="22"/>
  <c r="B3560" i="22"/>
  <c r="M3504" i="22"/>
  <c r="D3504" i="22"/>
  <c r="J3504" i="22"/>
  <c r="N3504" i="22" s="1"/>
  <c r="U3504" i="22" s="1"/>
  <c r="P3504" i="22"/>
  <c r="Q3504" i="22"/>
  <c r="R3504" i="22"/>
  <c r="L3505" i="22"/>
  <c r="C3505" i="22"/>
  <c r="K3505" i="22" s="1"/>
  <c r="E3505" i="22"/>
  <c r="F3505" i="22"/>
  <c r="O3505" i="22" s="1"/>
  <c r="G3505" i="22"/>
  <c r="I3505" i="22"/>
  <c r="B3506" i="22"/>
  <c r="D3450" i="22"/>
  <c r="J3450" i="22"/>
  <c r="P3450" i="22"/>
  <c r="Q3450" i="22"/>
  <c r="R3450" i="22"/>
  <c r="L3451" i="22"/>
  <c r="C3451" i="22"/>
  <c r="K3451" i="22" s="1"/>
  <c r="E3451" i="22"/>
  <c r="F3451" i="22"/>
  <c r="O3451" i="22" s="1"/>
  <c r="G3451" i="22"/>
  <c r="I3451" i="22"/>
  <c r="B3452" i="22"/>
  <c r="D3396" i="22"/>
  <c r="J3396" i="22"/>
  <c r="P3396" i="22"/>
  <c r="Q3396" i="22"/>
  <c r="R3396" i="22"/>
  <c r="L3397" i="22"/>
  <c r="C3397" i="22"/>
  <c r="K3397" i="22" s="1"/>
  <c r="E3397" i="22"/>
  <c r="F3397" i="22"/>
  <c r="O3397" i="22" s="1"/>
  <c r="G3397" i="22"/>
  <c r="I3397" i="22"/>
  <c r="B3398" i="22"/>
  <c r="M3342" i="22"/>
  <c r="D3342" i="22"/>
  <c r="J3342" i="22"/>
  <c r="N3342" i="22" s="1"/>
  <c r="U3342" i="22" s="1"/>
  <c r="P3342" i="22"/>
  <c r="Q3342" i="22"/>
  <c r="R3342" i="22"/>
  <c r="L3343" i="22"/>
  <c r="C3343" i="22"/>
  <c r="E3343" i="22"/>
  <c r="G3343" i="22"/>
  <c r="I3343" i="22"/>
  <c r="B3344" i="22"/>
  <c r="M3288" i="22"/>
  <c r="D3288" i="22"/>
  <c r="J3288" i="22"/>
  <c r="N3288" i="22" s="1"/>
  <c r="U3288" i="22" s="1"/>
  <c r="P3288" i="22"/>
  <c r="Q3288" i="22"/>
  <c r="R3288" i="22"/>
  <c r="L3289" i="22"/>
  <c r="C3289" i="22"/>
  <c r="E3289" i="22"/>
  <c r="G3289" i="22"/>
  <c r="I3289" i="22"/>
  <c r="B3290" i="22"/>
  <c r="M3234" i="22"/>
  <c r="D3234" i="22"/>
  <c r="J3234" i="22"/>
  <c r="N3234" i="22" s="1"/>
  <c r="U3234" i="22" s="1"/>
  <c r="P3234" i="22"/>
  <c r="Q3234" i="22"/>
  <c r="R3234" i="22"/>
  <c r="L3235" i="22"/>
  <c r="C3235" i="22"/>
  <c r="K3235" i="22" s="1"/>
  <c r="E3235" i="22"/>
  <c r="F3235" i="22"/>
  <c r="O3235" i="22" s="1"/>
  <c r="G3235" i="22"/>
  <c r="I3235" i="22"/>
  <c r="B3236" i="22"/>
  <c r="M3180" i="22"/>
  <c r="D3180" i="22"/>
  <c r="J3180" i="22"/>
  <c r="N3180" i="22" s="1"/>
  <c r="U3180" i="22" s="1"/>
  <c r="P3180" i="22"/>
  <c r="Q3180" i="22"/>
  <c r="R3180" i="22"/>
  <c r="L3181" i="22"/>
  <c r="C3181" i="22"/>
  <c r="K3181" i="22" s="1"/>
  <c r="E3181" i="22"/>
  <c r="F3181" i="22"/>
  <c r="O3181" i="22" s="1"/>
  <c r="G3181" i="22"/>
  <c r="I3181" i="22"/>
  <c r="B3182" i="22"/>
  <c r="D3126" i="22"/>
  <c r="J3126" i="22"/>
  <c r="P3126" i="22"/>
  <c r="Q3126" i="22"/>
  <c r="R3126" i="22"/>
  <c r="L3127" i="22"/>
  <c r="C3127" i="22"/>
  <c r="K3127" i="22" s="1"/>
  <c r="E3127" i="22"/>
  <c r="F3127" i="22"/>
  <c r="O3127" i="22" s="1"/>
  <c r="G3127" i="22"/>
  <c r="B3128" i="22"/>
  <c r="I3127" i="22"/>
  <c r="L3073" i="22"/>
  <c r="E3073" i="22"/>
  <c r="C3073" i="22"/>
  <c r="G3073" i="22"/>
  <c r="B3074" i="22"/>
  <c r="I3073" i="22"/>
  <c r="D3072" i="22"/>
  <c r="J3072" i="22"/>
  <c r="P3072" i="22"/>
  <c r="Q3072" i="22"/>
  <c r="R3072" i="22"/>
  <c r="L3019" i="22"/>
  <c r="I3019" i="22"/>
  <c r="B3020" i="22"/>
  <c r="C3019" i="22"/>
  <c r="K3019" i="22" s="1"/>
  <c r="E3019" i="22"/>
  <c r="F3019" i="22"/>
  <c r="O3019" i="22" s="1"/>
  <c r="G3019" i="22"/>
  <c r="D3018" i="22"/>
  <c r="J3018" i="22"/>
  <c r="P3018" i="22"/>
  <c r="Q3018" i="22"/>
  <c r="R3018" i="22"/>
  <c r="M2964" i="22"/>
  <c r="D2964" i="22"/>
  <c r="J2964" i="22"/>
  <c r="N2964" i="22" s="1"/>
  <c r="U2964" i="22" s="1"/>
  <c r="P2964" i="22"/>
  <c r="Q2964" i="22"/>
  <c r="R2964" i="22"/>
  <c r="L2965" i="22"/>
  <c r="I2965" i="22"/>
  <c r="B2966" i="22"/>
  <c r="C2965" i="22"/>
  <c r="E2965" i="22"/>
  <c r="G2965" i="22"/>
  <c r="M2910" i="22"/>
  <c r="L2911" i="22"/>
  <c r="C2911" i="22"/>
  <c r="E2911" i="22"/>
  <c r="I2911" i="22"/>
  <c r="G2911" i="22"/>
  <c r="B2912" i="22"/>
  <c r="P2910" i="22"/>
  <c r="Q2910" i="22"/>
  <c r="R2910" i="22"/>
  <c r="D2910" i="22"/>
  <c r="J2910" i="22"/>
  <c r="N2910" i="22" s="1"/>
  <c r="U2910" i="22" s="1"/>
  <c r="M2856" i="22"/>
  <c r="D2856" i="22"/>
  <c r="J2856" i="22"/>
  <c r="N2856" i="22" s="1"/>
  <c r="U2856" i="22" s="1"/>
  <c r="P2856" i="22"/>
  <c r="Q2856" i="22"/>
  <c r="R2856" i="22"/>
  <c r="L2857" i="22"/>
  <c r="C2857" i="22"/>
  <c r="K2857" i="22" s="1"/>
  <c r="E2857" i="22"/>
  <c r="F2857" i="22"/>
  <c r="O2857" i="22" s="1"/>
  <c r="G2857" i="22"/>
  <c r="I2857" i="22"/>
  <c r="B2858" i="22"/>
  <c r="M2802" i="22"/>
  <c r="D2802" i="22"/>
  <c r="J2802" i="22"/>
  <c r="N2802" i="22" s="1"/>
  <c r="S2802" i="22" s="1"/>
  <c r="T2802" i="22" s="1"/>
  <c r="U2802" i="22" s="1"/>
  <c r="Q2802" i="22"/>
  <c r="P2802" i="22"/>
  <c r="R2802" i="22"/>
  <c r="L2803" i="22"/>
  <c r="C2803" i="22"/>
  <c r="K2803" i="22" s="1"/>
  <c r="E2803" i="22"/>
  <c r="F2803" i="22"/>
  <c r="O2803" i="22" s="1"/>
  <c r="G2803" i="22"/>
  <c r="I2803" i="22"/>
  <c r="B2804" i="22"/>
  <c r="D2748" i="22"/>
  <c r="J2748" i="22"/>
  <c r="P2748" i="22"/>
  <c r="Q2748" i="22"/>
  <c r="R2748" i="22"/>
  <c r="L2749" i="22"/>
  <c r="C2749" i="22"/>
  <c r="K2749" i="22" s="1"/>
  <c r="E2749" i="22"/>
  <c r="F2749" i="22"/>
  <c r="O2749" i="22" s="1"/>
  <c r="G2749" i="22"/>
  <c r="I2749" i="22"/>
  <c r="B2750" i="22"/>
  <c r="M2694" i="22"/>
  <c r="D2694" i="22"/>
  <c r="J2694" i="22"/>
  <c r="N2694" i="22" s="1"/>
  <c r="U2694" i="22" s="1"/>
  <c r="P2694" i="22"/>
  <c r="Q2694" i="22"/>
  <c r="R2694" i="22"/>
  <c r="L2695" i="22"/>
  <c r="C2695" i="22"/>
  <c r="E2695" i="22"/>
  <c r="G2695" i="22"/>
  <c r="I2695" i="22"/>
  <c r="B2696" i="22"/>
  <c r="M2640" i="22"/>
  <c r="D2640" i="22"/>
  <c r="J2640" i="22"/>
  <c r="N2640" i="22" s="1"/>
  <c r="U2640" i="22" s="1"/>
  <c r="P2640" i="22"/>
  <c r="Q2640" i="22"/>
  <c r="R2640" i="22"/>
  <c r="L2641" i="22"/>
  <c r="C2641" i="22"/>
  <c r="K2641" i="22" s="1"/>
  <c r="E2641" i="22"/>
  <c r="F2641" i="22"/>
  <c r="O2641" i="22" s="1"/>
  <c r="G2641" i="22"/>
  <c r="I2641" i="22"/>
  <c r="B2642" i="22"/>
  <c r="L2587" i="22"/>
  <c r="B2588" i="22"/>
  <c r="I2587" i="22"/>
  <c r="C2587" i="22"/>
  <c r="E2587" i="22"/>
  <c r="G2587" i="22"/>
  <c r="D2586" i="22"/>
  <c r="J2586" i="22"/>
  <c r="P2586" i="22"/>
  <c r="Q2586" i="22"/>
  <c r="R2586" i="22"/>
  <c r="M2532" i="22"/>
  <c r="D2532" i="22"/>
  <c r="J2532" i="22"/>
  <c r="N2532" i="22" s="1"/>
  <c r="U2532" i="22" s="1"/>
  <c r="P2532" i="22"/>
  <c r="Q2532" i="22"/>
  <c r="R2532" i="22"/>
  <c r="L2533" i="22"/>
  <c r="C2533" i="22"/>
  <c r="K2533" i="22" s="1"/>
  <c r="E2533" i="22"/>
  <c r="F2533" i="22"/>
  <c r="O2533" i="22" s="1"/>
  <c r="G2533" i="22"/>
  <c r="I2533" i="22"/>
  <c r="B2534" i="22"/>
  <c r="M2478" i="22"/>
  <c r="D2478" i="22"/>
  <c r="J2478" i="22"/>
  <c r="N2478" i="22" s="1"/>
  <c r="U2478" i="22" s="1"/>
  <c r="P2478" i="22"/>
  <c r="Q2478" i="22"/>
  <c r="R2478" i="22"/>
  <c r="L2479" i="22"/>
  <c r="C2479" i="22"/>
  <c r="K2479" i="22" s="1"/>
  <c r="E2479" i="22"/>
  <c r="F2479" i="22"/>
  <c r="O2479" i="22" s="1"/>
  <c r="G2479" i="22"/>
  <c r="I2479" i="22"/>
  <c r="B2480" i="22"/>
  <c r="D2424" i="22"/>
  <c r="J2424" i="22"/>
  <c r="P2424" i="22"/>
  <c r="Q2424" i="22"/>
  <c r="R2424" i="22"/>
  <c r="L2425" i="22"/>
  <c r="C2425" i="22"/>
  <c r="E2425" i="22"/>
  <c r="G2425" i="22"/>
  <c r="I2425" i="22"/>
  <c r="B2426" i="22"/>
  <c r="M2370" i="22"/>
  <c r="D2370" i="22"/>
  <c r="J2370" i="22"/>
  <c r="N2370" i="22" s="1"/>
  <c r="U2370" i="22" s="1"/>
  <c r="P2370" i="22"/>
  <c r="Q2370" i="22"/>
  <c r="R2370" i="22"/>
  <c r="L2371" i="22"/>
  <c r="C2371" i="22"/>
  <c r="K2371" i="22" s="1"/>
  <c r="E2371" i="22"/>
  <c r="F2371" i="22"/>
  <c r="O2371" i="22" s="1"/>
  <c r="G2371" i="22"/>
  <c r="I2371" i="22"/>
  <c r="B2372" i="22"/>
  <c r="M2316" i="22"/>
  <c r="D2316" i="22"/>
  <c r="J2316" i="22"/>
  <c r="N2316" i="22" s="1"/>
  <c r="U2316" i="22" s="1"/>
  <c r="P2316" i="22"/>
  <c r="Q2316" i="22"/>
  <c r="R2316" i="22"/>
  <c r="L2317" i="22"/>
  <c r="C2317" i="22"/>
  <c r="K2317" i="22" s="1"/>
  <c r="E2317" i="22"/>
  <c r="F2317" i="22"/>
  <c r="O2317" i="22" s="1"/>
  <c r="G2317" i="22"/>
  <c r="I2317" i="22"/>
  <c r="B2318" i="22"/>
  <c r="M2262" i="22"/>
  <c r="D2262" i="22"/>
  <c r="J2262" i="22"/>
  <c r="N2262" i="22" s="1"/>
  <c r="U2262" i="22" s="1"/>
  <c r="P2262" i="22"/>
  <c r="Q2262" i="22"/>
  <c r="R2262" i="22"/>
  <c r="L2263" i="22"/>
  <c r="C2263" i="22"/>
  <c r="E2263" i="22"/>
  <c r="G2263" i="22"/>
  <c r="I2263" i="22"/>
  <c r="B2264" i="22"/>
  <c r="M2208" i="22"/>
  <c r="D2208" i="22"/>
  <c r="J2208" i="22"/>
  <c r="N2208" i="22" s="1"/>
  <c r="U2208" i="22" s="1"/>
  <c r="P2208" i="22"/>
  <c r="Q2208" i="22"/>
  <c r="R2208" i="22"/>
  <c r="L2209" i="22"/>
  <c r="C2209" i="22"/>
  <c r="K2209" i="22" s="1"/>
  <c r="E2209" i="22"/>
  <c r="F2209" i="22"/>
  <c r="O2209" i="22" s="1"/>
  <c r="G2209" i="22"/>
  <c r="I2209" i="22"/>
  <c r="B2210" i="22"/>
  <c r="M2154" i="22"/>
  <c r="D2154" i="22"/>
  <c r="J2154" i="22"/>
  <c r="N2154" i="22" s="1"/>
  <c r="U2154" i="22" s="1"/>
  <c r="P2154" i="22"/>
  <c r="Q2154" i="22"/>
  <c r="R2154" i="22"/>
  <c r="L2155" i="22"/>
  <c r="C2155" i="22"/>
  <c r="K2155" i="22" s="1"/>
  <c r="E2155" i="22"/>
  <c r="F2155" i="22"/>
  <c r="O2155" i="22" s="1"/>
  <c r="G2155" i="22"/>
  <c r="I2155" i="22"/>
  <c r="B2156" i="22"/>
  <c r="M2100" i="22"/>
  <c r="D2100" i="22"/>
  <c r="J2100" i="22"/>
  <c r="N2100" i="22" s="1"/>
  <c r="U2100" i="22" s="1"/>
  <c r="P2100" i="22"/>
  <c r="Q2100" i="22"/>
  <c r="R2100" i="22"/>
  <c r="L2101" i="22"/>
  <c r="C2101" i="22"/>
  <c r="K2101" i="22" s="1"/>
  <c r="E2101" i="22"/>
  <c r="F2101" i="22"/>
  <c r="O2101" i="22" s="1"/>
  <c r="G2101" i="22"/>
  <c r="I2101" i="22"/>
  <c r="B2102" i="22"/>
  <c r="D2046" i="22"/>
  <c r="J2046" i="22"/>
  <c r="P2046" i="22"/>
  <c r="Q2046" i="22"/>
  <c r="R2046" i="22"/>
  <c r="L2047" i="22"/>
  <c r="C2047" i="22"/>
  <c r="K2047" i="22" s="1"/>
  <c r="E2047" i="22"/>
  <c r="F2047" i="22"/>
  <c r="O2047" i="22" s="1"/>
  <c r="G2047" i="22"/>
  <c r="I2047" i="22"/>
  <c r="B2048" i="22"/>
  <c r="M1992" i="22"/>
  <c r="D1992" i="22"/>
  <c r="J1992" i="22"/>
  <c r="N1992" i="22" s="1"/>
  <c r="U1992" i="22" s="1"/>
  <c r="P1992" i="22"/>
  <c r="Q1992" i="22"/>
  <c r="R1992" i="22"/>
  <c r="L1993" i="22"/>
  <c r="C1993" i="22"/>
  <c r="K1993" i="22" s="1"/>
  <c r="E1993" i="22"/>
  <c r="F1993" i="22"/>
  <c r="O1993" i="22" s="1"/>
  <c r="G1993" i="22"/>
  <c r="I1993" i="22"/>
  <c r="B1994" i="22"/>
  <c r="M1938" i="22"/>
  <c r="D1938" i="22"/>
  <c r="J1938" i="22"/>
  <c r="N1938" i="22" s="1"/>
  <c r="U1938" i="22" s="1"/>
  <c r="P1938" i="22"/>
  <c r="Q1938" i="22"/>
  <c r="R1938" i="22"/>
  <c r="L1939" i="22"/>
  <c r="C1939" i="22"/>
  <c r="E1939" i="22"/>
  <c r="G1939" i="22"/>
  <c r="I1939" i="22"/>
  <c r="B1940" i="22"/>
  <c r="M1884" i="22"/>
  <c r="D1884" i="22"/>
  <c r="J1884" i="22"/>
  <c r="N1884" i="22" s="1"/>
  <c r="U1884" i="22" s="1"/>
  <c r="P1884" i="22"/>
  <c r="Q1884" i="22"/>
  <c r="R1884" i="22"/>
  <c r="L1885" i="22"/>
  <c r="C1885" i="22"/>
  <c r="E1885" i="22"/>
  <c r="G1885" i="22"/>
  <c r="I1885" i="22"/>
  <c r="B1886" i="22"/>
  <c r="M1830" i="22"/>
  <c r="D1830" i="22"/>
  <c r="J1830" i="22"/>
  <c r="N1830" i="22" s="1"/>
  <c r="U1830" i="22" s="1"/>
  <c r="P1830" i="22"/>
  <c r="Q1830" i="22"/>
  <c r="R1830" i="22"/>
  <c r="L1831" i="22"/>
  <c r="C1831" i="22"/>
  <c r="K1831" i="22" s="1"/>
  <c r="E1831" i="22"/>
  <c r="F1831" i="22"/>
  <c r="O1831" i="22" s="1"/>
  <c r="G1831" i="22"/>
  <c r="I1831" i="22"/>
  <c r="B1832" i="22"/>
  <c r="M1776" i="22"/>
  <c r="D1776" i="22"/>
  <c r="J1776" i="22"/>
  <c r="N1776" i="22" s="1"/>
  <c r="U1776" i="22" s="1"/>
  <c r="P1776" i="22"/>
  <c r="Q1776" i="22"/>
  <c r="R1776" i="22"/>
  <c r="L1777" i="22"/>
  <c r="C1777" i="22"/>
  <c r="K1777" i="22" s="1"/>
  <c r="E1777" i="22"/>
  <c r="F1777" i="22"/>
  <c r="O1777" i="22" s="1"/>
  <c r="G1777" i="22"/>
  <c r="I1777" i="22"/>
  <c r="B1778" i="22"/>
  <c r="D1722" i="22"/>
  <c r="J1722" i="22"/>
  <c r="P1722" i="22"/>
  <c r="Q1722" i="22"/>
  <c r="R1722" i="22"/>
  <c r="L1723" i="22"/>
  <c r="C1723" i="22"/>
  <c r="K1723" i="22" s="1"/>
  <c r="E1723" i="22"/>
  <c r="F1723" i="22"/>
  <c r="O1723" i="22" s="1"/>
  <c r="G1723" i="22"/>
  <c r="I1723" i="22"/>
  <c r="B1724" i="22"/>
  <c r="D1668" i="22"/>
  <c r="J1668" i="22"/>
  <c r="P1668" i="22"/>
  <c r="Q1668" i="22"/>
  <c r="R1668" i="22"/>
  <c r="L1669" i="22"/>
  <c r="C1669" i="22"/>
  <c r="K1669" i="22" s="1"/>
  <c r="E1669" i="22"/>
  <c r="F1669" i="22"/>
  <c r="O1669" i="22" s="1"/>
  <c r="G1669" i="22"/>
  <c r="I1669" i="22"/>
  <c r="B1670" i="22"/>
  <c r="M1614" i="22"/>
  <c r="D1614" i="22"/>
  <c r="J1614" i="22"/>
  <c r="N1614" i="22" s="1"/>
  <c r="U1614" i="22" s="1"/>
  <c r="P1614" i="22"/>
  <c r="Q1614" i="22"/>
  <c r="R1614" i="22"/>
  <c r="L1615" i="22"/>
  <c r="C1615" i="22"/>
  <c r="E1615" i="22"/>
  <c r="G1615" i="22"/>
  <c r="I1615" i="22"/>
  <c r="B1616" i="22"/>
  <c r="M1560" i="22"/>
  <c r="D1560" i="22"/>
  <c r="J1560" i="22"/>
  <c r="N1560" i="22" s="1"/>
  <c r="U1560" i="22" s="1"/>
  <c r="P1560" i="22"/>
  <c r="Q1560" i="22"/>
  <c r="R1560" i="22"/>
  <c r="L1561" i="22"/>
  <c r="C1561" i="22"/>
  <c r="E1561" i="22"/>
  <c r="G1561" i="22"/>
  <c r="I1561" i="22"/>
  <c r="B1562" i="22"/>
  <c r="M1506" i="22"/>
  <c r="D1506" i="22"/>
  <c r="J1506" i="22"/>
  <c r="N1506" i="22" s="1"/>
  <c r="U1506" i="22" s="1"/>
  <c r="P1506" i="22"/>
  <c r="Q1506" i="22"/>
  <c r="R1506" i="22"/>
  <c r="L1507" i="22"/>
  <c r="C1507" i="22"/>
  <c r="K1507" i="22" s="1"/>
  <c r="E1507" i="22"/>
  <c r="F1507" i="22"/>
  <c r="O1507" i="22" s="1"/>
  <c r="G1507" i="22"/>
  <c r="I1507" i="22"/>
  <c r="B1508" i="22"/>
  <c r="M1452" i="22"/>
  <c r="D1452" i="22"/>
  <c r="J1452" i="22"/>
  <c r="N1452" i="22" s="1"/>
  <c r="U1452" i="22" s="1"/>
  <c r="P1452" i="22"/>
  <c r="Q1452" i="22"/>
  <c r="R1452" i="22"/>
  <c r="L1453" i="22"/>
  <c r="C1453" i="22"/>
  <c r="K1453" i="22" s="1"/>
  <c r="E1453" i="22"/>
  <c r="F1453" i="22"/>
  <c r="O1453" i="22" s="1"/>
  <c r="G1453" i="22"/>
  <c r="I1453" i="22"/>
  <c r="B1454" i="22"/>
  <c r="M1398" i="22"/>
  <c r="D1398" i="22"/>
  <c r="J1398" i="22"/>
  <c r="N1398" i="22" s="1"/>
  <c r="U1398" i="22" s="1"/>
  <c r="P1398" i="22"/>
  <c r="Q1398" i="22"/>
  <c r="R1398" i="22"/>
  <c r="L1399" i="22"/>
  <c r="C1399" i="22"/>
  <c r="K1399" i="22" s="1"/>
  <c r="E1399" i="22"/>
  <c r="F1399" i="22"/>
  <c r="O1399" i="22" s="1"/>
  <c r="G1399" i="22"/>
  <c r="I1399" i="22"/>
  <c r="B1400" i="22"/>
  <c r="D1344" i="22"/>
  <c r="J1344" i="22"/>
  <c r="P1344" i="22"/>
  <c r="Q1344" i="22"/>
  <c r="R1344" i="22"/>
  <c r="L1345" i="22"/>
  <c r="I1345" i="22"/>
  <c r="B1346" i="22"/>
  <c r="C1345" i="22"/>
  <c r="K1345" i="22" s="1"/>
  <c r="E1345" i="22"/>
  <c r="F1345" i="22"/>
  <c r="O1345" i="22" s="1"/>
  <c r="G1345" i="22"/>
  <c r="M1290" i="22"/>
  <c r="D1290" i="22"/>
  <c r="J1290" i="22"/>
  <c r="N1290" i="22" s="1"/>
  <c r="U1290" i="22" s="1"/>
  <c r="P1290" i="22"/>
  <c r="Q1290" i="22"/>
  <c r="R1290" i="22"/>
  <c r="L1291" i="22"/>
  <c r="C1291" i="22"/>
  <c r="K1291" i="22" s="1"/>
  <c r="E1291" i="22"/>
  <c r="F1291" i="22"/>
  <c r="O1291" i="22" s="1"/>
  <c r="G1291" i="22"/>
  <c r="I1291" i="22"/>
  <c r="B1292" i="22"/>
  <c r="M1236" i="22"/>
  <c r="D1236" i="22"/>
  <c r="J1236" i="22"/>
  <c r="N1236" i="22" s="1"/>
  <c r="U1236" i="22" s="1"/>
  <c r="P1236" i="22"/>
  <c r="Q1236" i="22"/>
  <c r="R1236" i="22"/>
  <c r="L1237" i="22"/>
  <c r="C1237" i="22"/>
  <c r="K1237" i="22" s="1"/>
  <c r="E1237" i="22"/>
  <c r="F1237" i="22"/>
  <c r="O1237" i="22" s="1"/>
  <c r="G1237" i="22"/>
  <c r="I1237" i="22"/>
  <c r="B1238" i="22"/>
  <c r="M1182" i="22"/>
  <c r="D1182" i="22"/>
  <c r="J1182" i="22"/>
  <c r="N1182" i="22" s="1"/>
  <c r="U1182" i="22" s="1"/>
  <c r="P1182" i="22"/>
  <c r="Q1182" i="22"/>
  <c r="R1182" i="22"/>
  <c r="L1183" i="22"/>
  <c r="C1183" i="22"/>
  <c r="E1183" i="22"/>
  <c r="G1183" i="22"/>
  <c r="I1183" i="22"/>
  <c r="B1184" i="22"/>
  <c r="M1128" i="22"/>
  <c r="D1128" i="22"/>
  <c r="J1128" i="22"/>
  <c r="N1128" i="22" s="1"/>
  <c r="U1128" i="22" s="1"/>
  <c r="P1128" i="22"/>
  <c r="Q1128" i="22"/>
  <c r="R1128" i="22"/>
  <c r="L1129" i="22"/>
  <c r="C1129" i="22"/>
  <c r="K1129" i="22" s="1"/>
  <c r="E1129" i="22"/>
  <c r="F1129" i="22"/>
  <c r="O1129" i="22" s="1"/>
  <c r="G1129" i="22"/>
  <c r="I1129" i="22"/>
  <c r="B1130" i="22"/>
  <c r="M1074" i="22"/>
  <c r="D1074" i="22"/>
  <c r="J1074" i="22"/>
  <c r="N1074" i="22" s="1"/>
  <c r="U1074" i="22" s="1"/>
  <c r="P1074" i="22"/>
  <c r="Q1074" i="22"/>
  <c r="R1074" i="22"/>
  <c r="L1075" i="22"/>
  <c r="C1075" i="22"/>
  <c r="K1075" i="22" s="1"/>
  <c r="E1075" i="22"/>
  <c r="F1075" i="22"/>
  <c r="O1075" i="22" s="1"/>
  <c r="G1075" i="22"/>
  <c r="I1075" i="22"/>
  <c r="B1076" i="22"/>
  <c r="D1020" i="22"/>
  <c r="J1020" i="22"/>
  <c r="P1020" i="22"/>
  <c r="Q1020" i="22"/>
  <c r="R1020" i="22"/>
  <c r="L1021" i="22"/>
  <c r="C1021" i="22"/>
  <c r="K1021" i="22" s="1"/>
  <c r="E1021" i="22"/>
  <c r="F1021" i="22"/>
  <c r="O1021" i="22" s="1"/>
  <c r="G1021" i="22"/>
  <c r="I1021" i="22"/>
  <c r="B1022" i="22"/>
  <c r="M966" i="22"/>
  <c r="D966" i="22"/>
  <c r="J966" i="22"/>
  <c r="N966" i="22" s="1"/>
  <c r="U966" i="22" s="1"/>
  <c r="P966" i="22"/>
  <c r="Q966" i="22"/>
  <c r="R966" i="22"/>
  <c r="L967" i="22"/>
  <c r="C967" i="22"/>
  <c r="K967" i="22" s="1"/>
  <c r="E967" i="22"/>
  <c r="F967" i="22"/>
  <c r="O967" i="22" s="1"/>
  <c r="G967" i="22"/>
  <c r="I967" i="22"/>
  <c r="B968" i="22"/>
  <c r="M912" i="22"/>
  <c r="D912" i="22"/>
  <c r="J912" i="22"/>
  <c r="N912" i="22" s="1"/>
  <c r="U912" i="22" s="1"/>
  <c r="P912" i="22"/>
  <c r="Q912" i="22"/>
  <c r="R912" i="22"/>
  <c r="L913" i="22"/>
  <c r="C913" i="22"/>
  <c r="K913" i="22" s="1"/>
  <c r="E913" i="22"/>
  <c r="F913" i="22"/>
  <c r="O913" i="22" s="1"/>
  <c r="G913" i="22"/>
  <c r="I913" i="22"/>
  <c r="B914" i="22"/>
  <c r="M858" i="22"/>
  <c r="D858" i="22"/>
  <c r="J858" i="22"/>
  <c r="N858" i="22" s="1"/>
  <c r="U858" i="22" s="1"/>
  <c r="P858" i="22"/>
  <c r="Q858" i="22"/>
  <c r="R858" i="22"/>
  <c r="L859" i="22"/>
  <c r="C859" i="22"/>
  <c r="E859" i="22"/>
  <c r="G859" i="22"/>
  <c r="I859" i="22"/>
  <c r="B860" i="22"/>
  <c r="M804" i="22"/>
  <c r="D804" i="22"/>
  <c r="J804" i="22"/>
  <c r="N804" i="22" s="1"/>
  <c r="U804" i="22" s="1"/>
  <c r="P804" i="22"/>
  <c r="Q804" i="22"/>
  <c r="R804" i="22"/>
  <c r="L805" i="22"/>
  <c r="C805" i="22"/>
  <c r="K805" i="22" s="1"/>
  <c r="E805" i="22"/>
  <c r="F805" i="22"/>
  <c r="O805" i="22" s="1"/>
  <c r="G805" i="22"/>
  <c r="I805" i="22"/>
  <c r="B806" i="22"/>
  <c r="M750" i="22"/>
  <c r="D750" i="22"/>
  <c r="J750" i="22"/>
  <c r="N750" i="22" s="1"/>
  <c r="U750" i="22" s="1"/>
  <c r="P750" i="22"/>
  <c r="Q750" i="22"/>
  <c r="R750" i="22"/>
  <c r="L751" i="22"/>
  <c r="C751" i="22"/>
  <c r="K751" i="22" s="1"/>
  <c r="E751" i="22"/>
  <c r="F751" i="22"/>
  <c r="O751" i="22" s="1"/>
  <c r="G751" i="22"/>
  <c r="I751" i="22"/>
  <c r="B752" i="22"/>
  <c r="D696" i="22"/>
  <c r="J696" i="22"/>
  <c r="P696" i="22"/>
  <c r="Q696" i="22"/>
  <c r="R696" i="22"/>
  <c r="L697" i="22"/>
  <c r="C697" i="22"/>
  <c r="K697" i="22" s="1"/>
  <c r="E697" i="22"/>
  <c r="F697" i="22"/>
  <c r="O697" i="22" s="1"/>
  <c r="G697" i="22"/>
  <c r="I697" i="22"/>
  <c r="B698" i="22"/>
  <c r="M642" i="22"/>
  <c r="D642" i="22"/>
  <c r="J642" i="22"/>
  <c r="N642" i="22" s="1"/>
  <c r="U642" i="22" s="1"/>
  <c r="P642" i="22"/>
  <c r="Q642" i="22"/>
  <c r="R642" i="22"/>
  <c r="L643" i="22"/>
  <c r="C643" i="22"/>
  <c r="K643" i="22" s="1"/>
  <c r="E643" i="22"/>
  <c r="F643" i="22"/>
  <c r="O643" i="22" s="1"/>
  <c r="G643" i="22"/>
  <c r="I643" i="22"/>
  <c r="B644" i="22"/>
  <c r="M588" i="22"/>
  <c r="D588" i="22"/>
  <c r="J588" i="22"/>
  <c r="N588" i="22" s="1"/>
  <c r="U588" i="22" s="1"/>
  <c r="P588" i="22"/>
  <c r="Q588" i="22"/>
  <c r="R588" i="22"/>
  <c r="L589" i="22"/>
  <c r="C589" i="22"/>
  <c r="E589" i="22"/>
  <c r="G589" i="22"/>
  <c r="I589" i="22"/>
  <c r="B590" i="22"/>
  <c r="M534" i="22"/>
  <c r="D534" i="22"/>
  <c r="J534" i="22"/>
  <c r="N534" i="22" s="1"/>
  <c r="U534" i="22" s="1"/>
  <c r="P534" i="22"/>
  <c r="Q534" i="22"/>
  <c r="R534" i="22"/>
  <c r="L535" i="22"/>
  <c r="C535" i="22"/>
  <c r="E535" i="22"/>
  <c r="G535" i="22"/>
  <c r="I535" i="22"/>
  <c r="B536" i="22"/>
  <c r="M480" i="22"/>
  <c r="D480" i="22"/>
  <c r="J480" i="22"/>
  <c r="N480" i="22" s="1"/>
  <c r="U480" i="22" s="1"/>
  <c r="P480" i="22"/>
  <c r="Q480" i="22"/>
  <c r="R480" i="22"/>
  <c r="L481" i="22"/>
  <c r="C481" i="22"/>
  <c r="K481" i="22" s="1"/>
  <c r="E481" i="22"/>
  <c r="F481" i="22"/>
  <c r="O481" i="22" s="1"/>
  <c r="G481" i="22"/>
  <c r="I481" i="22"/>
  <c r="B482" i="22"/>
  <c r="M426" i="22"/>
  <c r="D426" i="22"/>
  <c r="J426" i="22"/>
  <c r="N426" i="22" s="1"/>
  <c r="U426" i="22" s="1"/>
  <c r="P426" i="22"/>
  <c r="Q426" i="22"/>
  <c r="R426" i="22"/>
  <c r="L427" i="22"/>
  <c r="G427" i="22"/>
  <c r="B428" i="22"/>
  <c r="C427" i="22"/>
  <c r="E427" i="22"/>
  <c r="I427" i="22"/>
  <c r="M372" i="22"/>
  <c r="D372" i="22"/>
  <c r="J372" i="22"/>
  <c r="N372" i="22" s="1"/>
  <c r="U372" i="22" s="1"/>
  <c r="P372" i="22"/>
  <c r="Q372" i="22"/>
  <c r="R372" i="22"/>
  <c r="L373" i="22"/>
  <c r="C373" i="22"/>
  <c r="K373" i="22" s="1"/>
  <c r="E373" i="22"/>
  <c r="F373" i="22"/>
  <c r="O373" i="22" s="1"/>
  <c r="G373" i="22"/>
  <c r="I373" i="22"/>
  <c r="B374" i="22"/>
  <c r="D318" i="22"/>
  <c r="J318" i="22"/>
  <c r="P318" i="22"/>
  <c r="Q318" i="22"/>
  <c r="R318" i="22"/>
  <c r="L319" i="22"/>
  <c r="C319" i="22"/>
  <c r="E319" i="22"/>
  <c r="G319" i="22"/>
  <c r="I319" i="22"/>
  <c r="B320" i="22"/>
  <c r="M264" i="22"/>
  <c r="D264" i="22"/>
  <c r="J264" i="22"/>
  <c r="N264" i="22" s="1"/>
  <c r="U264" i="22" s="1"/>
  <c r="P264" i="22"/>
  <c r="Q264" i="22"/>
  <c r="R264" i="22"/>
  <c r="L265" i="22"/>
  <c r="C265" i="22"/>
  <c r="E265" i="22"/>
  <c r="G265" i="22"/>
  <c r="I265" i="22"/>
  <c r="B266" i="22"/>
  <c r="M210" i="22"/>
  <c r="D210" i="22"/>
  <c r="J210" i="22"/>
  <c r="N210" i="22" s="1"/>
  <c r="U210" i="22" s="1"/>
  <c r="P210" i="22"/>
  <c r="Q210" i="22"/>
  <c r="R210" i="22"/>
  <c r="L211" i="22"/>
  <c r="C211" i="22"/>
  <c r="E211" i="22"/>
  <c r="G211" i="22"/>
  <c r="I211" i="22"/>
  <c r="B212" i="22"/>
  <c r="M156" i="22"/>
  <c r="D156" i="22"/>
  <c r="J156" i="22"/>
  <c r="N156" i="22" s="1"/>
  <c r="U156" i="22" s="1"/>
  <c r="P156" i="22"/>
  <c r="Q156" i="22"/>
  <c r="R156" i="22"/>
  <c r="L157" i="22"/>
  <c r="C157" i="22"/>
  <c r="K157" i="22" s="1"/>
  <c r="E157" i="22"/>
  <c r="F157" i="22"/>
  <c r="O157" i="22" s="1"/>
  <c r="G157" i="22"/>
  <c r="B158" i="22"/>
  <c r="I157" i="22"/>
  <c r="M102" i="22"/>
  <c r="D102" i="22"/>
  <c r="J102" i="22"/>
  <c r="N102" i="22" s="1"/>
  <c r="U102" i="22" s="1"/>
  <c r="P102" i="22"/>
  <c r="Q102" i="22"/>
  <c r="R102" i="22"/>
  <c r="L103" i="22"/>
  <c r="C103" i="22"/>
  <c r="K103" i="22" s="1"/>
  <c r="E103" i="22"/>
  <c r="F103" i="22"/>
  <c r="O103" i="22" s="1"/>
  <c r="G103" i="22"/>
  <c r="B104" i="22"/>
  <c r="I103" i="22"/>
  <c r="F39" i="18"/>
  <c r="G39" i="18"/>
  <c r="H39" i="18"/>
  <c r="M40" i="17"/>
  <c r="E41" i="17"/>
  <c r="G41" i="17"/>
  <c r="AT41" i="17" s="1"/>
  <c r="L41" i="17"/>
  <c r="B42" i="17"/>
  <c r="B41" i="18"/>
  <c r="C41" i="17"/>
  <c r="I41" i="17"/>
  <c r="D40" i="17"/>
  <c r="J40" i="17"/>
  <c r="N40" i="17" s="1"/>
  <c r="U40" i="17" s="1"/>
  <c r="E92" i="12"/>
  <c r="O40" i="17"/>
  <c r="AR40" i="17"/>
  <c r="AQ40" i="17"/>
  <c r="AP40" i="17"/>
  <c r="AO40" i="17"/>
  <c r="AN40" i="17"/>
  <c r="AM40" i="17"/>
  <c r="AL40" i="17"/>
  <c r="AK40" i="17"/>
  <c r="AJ40" i="17"/>
  <c r="AI40" i="17"/>
  <c r="AH40" i="17"/>
  <c r="AG40" i="17"/>
  <c r="AF40" i="17"/>
  <c r="AE40" i="17"/>
  <c r="AD40" i="17"/>
  <c r="AC40" i="17"/>
  <c r="AB40" i="17"/>
  <c r="AA40" i="17"/>
  <c r="Z40" i="17"/>
  <c r="Y40" i="17"/>
  <c r="X40" i="17"/>
  <c r="W40" i="17"/>
  <c r="P40" i="17"/>
  <c r="F40" i="18" s="1"/>
  <c r="Q40" i="17"/>
  <c r="G40" i="18" s="1"/>
  <c r="R40" i="17"/>
  <c r="H40" i="18" s="1"/>
  <c r="V40" i="17"/>
  <c r="AV16" i="17"/>
  <c r="B106" i="12"/>
  <c r="I106" i="12" s="1"/>
  <c r="AU15" i="17"/>
  <c r="AT17" i="17"/>
  <c r="AT18" i="17"/>
  <c r="AT19" i="17"/>
  <c r="AT20" i="17"/>
  <c r="AT21" i="17"/>
  <c r="AT22" i="17"/>
  <c r="AT23" i="17"/>
  <c r="AT24" i="17"/>
  <c r="AT25" i="17"/>
  <c r="AT26" i="17"/>
  <c r="AT27" i="17"/>
  <c r="AT28" i="17"/>
  <c r="AT29" i="17"/>
  <c r="AT30" i="17"/>
  <c r="AT31" i="17"/>
  <c r="AT33" i="17"/>
  <c r="AT37" i="17"/>
  <c r="AT32" i="17"/>
  <c r="AT34" i="17"/>
  <c r="AT35" i="17"/>
  <c r="AT36" i="17"/>
  <c r="AT38" i="17"/>
  <c r="AT39" i="17"/>
  <c r="AT40" i="17"/>
  <c r="M1560" i="23"/>
  <c r="N1560" i="23"/>
  <c r="AE1560" i="23" s="1"/>
  <c r="M1504" i="23"/>
  <c r="N1504" i="23"/>
  <c r="AE1504" i="23" s="1"/>
  <c r="M1224" i="23"/>
  <c r="N1224" i="23"/>
  <c r="AE1224" i="23" s="1"/>
  <c r="M608" i="23"/>
  <c r="N608" i="23"/>
  <c r="AE608" i="23" s="1"/>
  <c r="M440" i="23"/>
  <c r="N440" i="23"/>
  <c r="AE440" i="23" s="1"/>
  <c r="M4535" i="22"/>
  <c r="N4535" i="22"/>
  <c r="M3611" i="22"/>
  <c r="N3611" i="22"/>
  <c r="U3611" i="22" s="1"/>
  <c r="M3557" i="22"/>
  <c r="N3557" i="22"/>
  <c r="U3557" i="22" s="1"/>
  <c r="M3395" i="22"/>
  <c r="N3395" i="22"/>
  <c r="U3395" i="22" s="1"/>
  <c r="M3071" i="22"/>
  <c r="N3071" i="22"/>
  <c r="U3071" i="22" s="1"/>
  <c r="M3017" i="22"/>
  <c r="N3017" i="22"/>
  <c r="U3017" i="22" s="1"/>
  <c r="N2963" i="22"/>
  <c r="U2963" i="22" s="1"/>
  <c r="M2963" i="22"/>
  <c r="N2909" i="22"/>
  <c r="U2909" i="22" s="1"/>
  <c r="M2909" i="22"/>
  <c r="M2639" i="22"/>
  <c r="N2639" i="22"/>
  <c r="U2639" i="22" s="1"/>
  <c r="M2315" i="22"/>
  <c r="N2315" i="22"/>
  <c r="U2315" i="22" s="1"/>
  <c r="M2045" i="22"/>
  <c r="N2045" i="22"/>
  <c r="U2045" i="22" s="1"/>
  <c r="M1991" i="22"/>
  <c r="N1991" i="22"/>
  <c r="U1991" i="22" s="1"/>
  <c r="M1667" i="22"/>
  <c r="N1667" i="22"/>
  <c r="U1667" i="22" s="1"/>
  <c r="M1397" i="22"/>
  <c r="N1397" i="22"/>
  <c r="U1397" i="22" s="1"/>
  <c r="M1181" i="22"/>
  <c r="N1181" i="22"/>
  <c r="U1181" i="22" s="1"/>
  <c r="M749" i="22"/>
  <c r="N749" i="22"/>
  <c r="U749" i="22" s="1"/>
  <c r="M695" i="22"/>
  <c r="N695" i="22"/>
  <c r="U695" i="22" s="1"/>
  <c r="M479" i="22"/>
  <c r="N479" i="22"/>
  <c r="U479" i="22" s="1"/>
  <c r="M425" i="22"/>
  <c r="N425" i="22"/>
  <c r="U425" i="22" s="1"/>
  <c r="M155" i="22"/>
  <c r="N155" i="22"/>
  <c r="U155" i="22" s="1"/>
  <c r="M101" i="22"/>
  <c r="N101" i="22"/>
  <c r="U101" i="22" s="1"/>
  <c r="C44" i="10"/>
  <c r="U38" i="17"/>
  <c r="O39" i="17"/>
  <c r="E91" i="12"/>
  <c r="N39" i="17"/>
  <c r="U39" i="17" s="1"/>
  <c r="M39" i="17"/>
  <c r="AE1616" i="23"/>
  <c r="AK1616" i="23"/>
  <c r="K1561" i="23"/>
  <c r="F1561" i="23"/>
  <c r="O1561" i="23" s="1"/>
  <c r="K1505" i="23"/>
  <c r="F1505" i="23"/>
  <c r="O1505" i="23" s="1"/>
  <c r="F1449" i="23"/>
  <c r="O1449" i="23" s="1"/>
  <c r="K1449" i="23"/>
  <c r="K1393" i="23"/>
  <c r="F1393" i="23"/>
  <c r="O1393" i="23" s="1"/>
  <c r="F1225" i="23"/>
  <c r="O1225" i="23" s="1"/>
  <c r="K1225" i="23"/>
  <c r="K945" i="23"/>
  <c r="F945" i="23"/>
  <c r="O945" i="23" s="1"/>
  <c r="F441" i="23"/>
  <c r="O441" i="23" s="1"/>
  <c r="K441" i="23"/>
  <c r="F4236" i="22"/>
  <c r="O4236" i="22" s="1"/>
  <c r="K4236" i="22"/>
  <c r="F3774" i="22"/>
  <c r="O3774" i="22" s="1"/>
  <c r="K3774" i="22"/>
  <c r="F3558" i="22"/>
  <c r="O3558" i="22" s="1"/>
  <c r="K3558" i="22"/>
  <c r="F3450" i="22"/>
  <c r="O3450" i="22" s="1"/>
  <c r="K3450" i="22"/>
  <c r="F3396" i="22"/>
  <c r="O3396" i="22" s="1"/>
  <c r="K3396" i="22"/>
  <c r="F3126" i="22"/>
  <c r="O3126" i="22" s="1"/>
  <c r="K3126" i="22"/>
  <c r="F3072" i="22"/>
  <c r="O3072" i="22" s="1"/>
  <c r="K3072" i="22"/>
  <c r="K3018" i="22"/>
  <c r="F3018" i="22"/>
  <c r="O3018" i="22" s="1"/>
  <c r="K2748" i="22"/>
  <c r="F2748" i="22"/>
  <c r="O2748" i="22" s="1"/>
  <c r="K2586" i="22"/>
  <c r="F2586" i="22"/>
  <c r="O2586" i="22" s="1"/>
  <c r="F2424" i="22"/>
  <c r="O2424" i="22" s="1"/>
  <c r="K2424" i="22"/>
  <c r="F2046" i="22"/>
  <c r="O2046" i="22" s="1"/>
  <c r="K2046" i="22"/>
  <c r="F1722" i="22"/>
  <c r="O1722" i="22" s="1"/>
  <c r="K1722" i="22"/>
  <c r="F1668" i="22"/>
  <c r="O1668" i="22" s="1"/>
  <c r="K1668" i="22"/>
  <c r="F1344" i="22"/>
  <c r="O1344" i="22" s="1"/>
  <c r="K1344" i="22"/>
  <c r="F1020" i="22"/>
  <c r="O1020" i="22" s="1"/>
  <c r="K1020" i="22"/>
  <c r="F696" i="22"/>
  <c r="O696" i="22" s="1"/>
  <c r="K696" i="22"/>
  <c r="F318" i="22"/>
  <c r="O318" i="22" s="1"/>
  <c r="K318" i="22"/>
  <c r="S2800" i="22"/>
  <c r="T2800" i="22" s="1"/>
  <c r="U2800" i="22" s="1"/>
  <c r="AK1615" i="23"/>
  <c r="K1170" i="23" l="1"/>
  <c r="F1170" i="23"/>
  <c r="K890" i="23"/>
  <c r="F890" i="23"/>
  <c r="K330" i="23"/>
  <c r="F330" i="23"/>
  <c r="D4645" i="22"/>
  <c r="F4645" i="22"/>
  <c r="O4645" i="22" s="1"/>
  <c r="K4075" i="22"/>
  <c r="F4075" i="22"/>
  <c r="O4075" i="22" s="1"/>
  <c r="K3559" i="22"/>
  <c r="F3559" i="22"/>
  <c r="O3559" i="22" s="1"/>
  <c r="K2695" i="22"/>
  <c r="F2695" i="22"/>
  <c r="O2695" i="22" s="1"/>
  <c r="K2425" i="22"/>
  <c r="F2425" i="22"/>
  <c r="O2425" i="22" s="1"/>
  <c r="K319" i="22"/>
  <c r="F319" i="22"/>
  <c r="O319" i="22" s="1"/>
  <c r="F41" i="17"/>
  <c r="C41" i="18" s="1"/>
  <c r="E41" i="18" s="1"/>
  <c r="K41" i="17"/>
  <c r="M1618" i="23"/>
  <c r="J1618" i="23"/>
  <c r="N1618" i="23" s="1"/>
  <c r="W1618" i="23" s="1"/>
  <c r="D1618" i="23"/>
  <c r="O1618" i="23"/>
  <c r="AB1618" i="23"/>
  <c r="AC1618" i="23"/>
  <c r="P1618" i="23"/>
  <c r="Q1618" i="23"/>
  <c r="R1618" i="23"/>
  <c r="X1618" i="23"/>
  <c r="AF1618" i="23"/>
  <c r="I1619" i="23"/>
  <c r="L1619" i="23"/>
  <c r="C1619" i="23"/>
  <c r="K1619" i="23" s="1"/>
  <c r="E1619" i="23"/>
  <c r="F1619" i="23"/>
  <c r="G1619" i="23"/>
  <c r="B1620" i="23"/>
  <c r="M1562" i="23"/>
  <c r="J1562" i="23"/>
  <c r="N1562" i="23" s="1"/>
  <c r="W1562" i="23" s="1"/>
  <c r="D1562" i="23"/>
  <c r="O1562" i="23"/>
  <c r="AB1562" i="23"/>
  <c r="AC1562" i="23"/>
  <c r="P1562" i="23"/>
  <c r="Q1562" i="23"/>
  <c r="R1562" i="23"/>
  <c r="X1562" i="23"/>
  <c r="AF1562" i="23"/>
  <c r="L1563" i="23"/>
  <c r="I1563" i="23"/>
  <c r="C1563" i="23"/>
  <c r="K1563" i="23" s="1"/>
  <c r="E1563" i="23"/>
  <c r="F1563" i="23"/>
  <c r="G1563" i="23"/>
  <c r="B1564" i="23"/>
  <c r="J1506" i="23"/>
  <c r="D1506" i="23"/>
  <c r="P1506" i="23"/>
  <c r="Q1506" i="23"/>
  <c r="R1506" i="23"/>
  <c r="X1506" i="23"/>
  <c r="AF1506" i="23"/>
  <c r="L1507" i="23"/>
  <c r="I1507" i="23"/>
  <c r="C1507" i="23"/>
  <c r="E1507" i="23"/>
  <c r="G1507" i="23"/>
  <c r="B1508" i="23"/>
  <c r="M1450" i="23"/>
  <c r="J1450" i="23"/>
  <c r="N1450" i="23" s="1"/>
  <c r="W1450" i="23" s="1"/>
  <c r="D1450" i="23"/>
  <c r="O1450" i="23"/>
  <c r="AB1450" i="23"/>
  <c r="AC1450" i="23"/>
  <c r="P1450" i="23"/>
  <c r="Q1450" i="23"/>
  <c r="R1450" i="23"/>
  <c r="X1450" i="23"/>
  <c r="AF1450" i="23"/>
  <c r="L1451" i="23"/>
  <c r="I1451" i="23"/>
  <c r="C1451" i="23"/>
  <c r="K1451" i="23" s="1"/>
  <c r="E1451" i="23"/>
  <c r="F1451" i="23"/>
  <c r="G1451" i="23"/>
  <c r="B1452" i="23"/>
  <c r="M1394" i="23"/>
  <c r="P1394" i="23"/>
  <c r="Q1394" i="23"/>
  <c r="R1394" i="23"/>
  <c r="X1394" i="23"/>
  <c r="AF1394" i="23"/>
  <c r="J1394" i="23"/>
  <c r="N1394" i="23" s="1"/>
  <c r="W1394" i="23" s="1"/>
  <c r="D1394" i="23"/>
  <c r="AB1394" i="23"/>
  <c r="O1394" i="23"/>
  <c r="Y1394" i="23" s="1"/>
  <c r="AC1394" i="23"/>
  <c r="L1395" i="23"/>
  <c r="I1395" i="23"/>
  <c r="E1395" i="23"/>
  <c r="G1395" i="23"/>
  <c r="C1395" i="23"/>
  <c r="K1395" i="23" s="1"/>
  <c r="F1395" i="23"/>
  <c r="B1396" i="23"/>
  <c r="M1338" i="23"/>
  <c r="J1338" i="23"/>
  <c r="N1338" i="23" s="1"/>
  <c r="W1338" i="23" s="1"/>
  <c r="D1338" i="23"/>
  <c r="O1338" i="23"/>
  <c r="Y1338" i="23" s="1"/>
  <c r="AB1338" i="23"/>
  <c r="AC1338" i="23"/>
  <c r="P1338" i="23"/>
  <c r="Q1338" i="23"/>
  <c r="R1338" i="23"/>
  <c r="X1338" i="23"/>
  <c r="AF1338" i="23"/>
  <c r="L1339" i="23"/>
  <c r="I1339" i="23"/>
  <c r="C1339" i="23"/>
  <c r="K1339" i="23" s="1"/>
  <c r="E1339" i="23"/>
  <c r="F1339" i="23"/>
  <c r="G1339" i="23"/>
  <c r="B1340" i="23"/>
  <c r="M1282" i="23"/>
  <c r="J1282" i="23"/>
  <c r="N1282" i="23" s="1"/>
  <c r="W1282" i="23" s="1"/>
  <c r="D1282" i="23"/>
  <c r="O1282" i="23"/>
  <c r="Y1282" i="23" s="1"/>
  <c r="AB1282" i="23"/>
  <c r="AC1282" i="23"/>
  <c r="P1282" i="23"/>
  <c r="Q1282" i="23"/>
  <c r="R1282" i="23"/>
  <c r="X1282" i="23"/>
  <c r="AF1282" i="23"/>
  <c r="L1283" i="23"/>
  <c r="I1283" i="23"/>
  <c r="C1283" i="23"/>
  <c r="E1283" i="23"/>
  <c r="G1283" i="23"/>
  <c r="B1284" i="23"/>
  <c r="J1226" i="23"/>
  <c r="D1226" i="23"/>
  <c r="P1226" i="23"/>
  <c r="Q1226" i="23"/>
  <c r="R1226" i="23"/>
  <c r="X1226" i="23"/>
  <c r="AF1226" i="23"/>
  <c r="L1227" i="23"/>
  <c r="I1227" i="23"/>
  <c r="C1227" i="23"/>
  <c r="K1227" i="23" s="1"/>
  <c r="E1227" i="23"/>
  <c r="F1227" i="23"/>
  <c r="G1227" i="23"/>
  <c r="B1228" i="23"/>
  <c r="M1170" i="23"/>
  <c r="J1170" i="23"/>
  <c r="N1170" i="23" s="1"/>
  <c r="W1170" i="23" s="1"/>
  <c r="D1170" i="23"/>
  <c r="O1170" i="23"/>
  <c r="Y1170" i="23" s="1"/>
  <c r="AB1170" i="23"/>
  <c r="AC1170" i="23"/>
  <c r="P1170" i="23"/>
  <c r="Q1170" i="23"/>
  <c r="R1170" i="23"/>
  <c r="X1170" i="23"/>
  <c r="AF1170" i="23"/>
  <c r="L1171" i="23"/>
  <c r="I1171" i="23"/>
  <c r="C1171" i="23"/>
  <c r="E1171" i="23"/>
  <c r="G1171" i="23"/>
  <c r="B1172" i="23"/>
  <c r="M1114" i="23"/>
  <c r="J1114" i="23"/>
  <c r="N1114" i="23" s="1"/>
  <c r="W1114" i="23" s="1"/>
  <c r="D1114" i="23"/>
  <c r="O1114" i="23"/>
  <c r="Y1114" i="23" s="1"/>
  <c r="AB1114" i="23"/>
  <c r="AC1114" i="23"/>
  <c r="P1114" i="23"/>
  <c r="Q1114" i="23"/>
  <c r="R1114" i="23"/>
  <c r="X1114" i="23"/>
  <c r="AF1114" i="23"/>
  <c r="L1115" i="23"/>
  <c r="I1115" i="23"/>
  <c r="C1115" i="23"/>
  <c r="K1115" i="23" s="1"/>
  <c r="E1115" i="23"/>
  <c r="F1115" i="23"/>
  <c r="G1115" i="23"/>
  <c r="B1116" i="23"/>
  <c r="M1058" i="23"/>
  <c r="J1058" i="23"/>
  <c r="N1058" i="23" s="1"/>
  <c r="W1058" i="23" s="1"/>
  <c r="D1058" i="23"/>
  <c r="O1058" i="23"/>
  <c r="Y1058" i="23" s="1"/>
  <c r="AB1058" i="23"/>
  <c r="AC1058" i="23" s="1"/>
  <c r="P1058" i="23"/>
  <c r="Q1058" i="23"/>
  <c r="R1058" i="23"/>
  <c r="X1058" i="23"/>
  <c r="AF1058" i="23"/>
  <c r="L1059" i="23"/>
  <c r="I1059" i="23"/>
  <c r="C1059" i="23"/>
  <c r="K1059" i="23" s="1"/>
  <c r="E1059" i="23"/>
  <c r="F1059" i="23"/>
  <c r="G1059" i="23"/>
  <c r="B1060" i="23"/>
  <c r="M1002" i="23"/>
  <c r="J1002" i="23"/>
  <c r="N1002" i="23" s="1"/>
  <c r="W1002" i="23" s="1"/>
  <c r="D1002" i="23"/>
  <c r="O1002" i="23"/>
  <c r="Y1002" i="23" s="1"/>
  <c r="AB1002" i="23"/>
  <c r="AC1002" i="23"/>
  <c r="P1002" i="23"/>
  <c r="Q1002" i="23"/>
  <c r="R1002" i="23"/>
  <c r="X1002" i="23"/>
  <c r="AF1002" i="23"/>
  <c r="L1003" i="23"/>
  <c r="I1003" i="23"/>
  <c r="C1003" i="23"/>
  <c r="K1003" i="23" s="1"/>
  <c r="E1003" i="23"/>
  <c r="F1003" i="23"/>
  <c r="G1003" i="23"/>
  <c r="B1004" i="23"/>
  <c r="M946" i="23"/>
  <c r="J946" i="23"/>
  <c r="N946" i="23" s="1"/>
  <c r="W946" i="23" s="1"/>
  <c r="D946" i="23"/>
  <c r="O946" i="23"/>
  <c r="Y946" i="23" s="1"/>
  <c r="AB946" i="23"/>
  <c r="AC946" i="23"/>
  <c r="P946" i="23"/>
  <c r="Q946" i="23"/>
  <c r="R946" i="23"/>
  <c r="X946" i="23"/>
  <c r="AF946" i="23"/>
  <c r="L947" i="23"/>
  <c r="I947" i="23"/>
  <c r="C947" i="23"/>
  <c r="K947" i="23" s="1"/>
  <c r="E947" i="23"/>
  <c r="F947" i="23"/>
  <c r="G947" i="23"/>
  <c r="B948" i="23"/>
  <c r="M890" i="23"/>
  <c r="J890" i="23"/>
  <c r="N890" i="23" s="1"/>
  <c r="W890" i="23" s="1"/>
  <c r="D890" i="23"/>
  <c r="O890" i="23"/>
  <c r="Y890" i="23" s="1"/>
  <c r="AB890" i="23"/>
  <c r="AC890" i="23"/>
  <c r="P890" i="23"/>
  <c r="Q890" i="23"/>
  <c r="R890" i="23"/>
  <c r="X890" i="23"/>
  <c r="AF890" i="23"/>
  <c r="L891" i="23"/>
  <c r="I891" i="23"/>
  <c r="C891" i="23"/>
  <c r="K891" i="23" s="1"/>
  <c r="E891" i="23"/>
  <c r="F891" i="23"/>
  <c r="G891" i="23"/>
  <c r="B892" i="23"/>
  <c r="M834" i="23"/>
  <c r="J834" i="23"/>
  <c r="N834" i="23" s="1"/>
  <c r="W834" i="23" s="1"/>
  <c r="D834" i="23"/>
  <c r="O834" i="23"/>
  <c r="Y834" i="23" s="1"/>
  <c r="AB834" i="23"/>
  <c r="AC834" i="23"/>
  <c r="P834" i="23"/>
  <c r="Q834" i="23"/>
  <c r="R834" i="23"/>
  <c r="X834" i="23"/>
  <c r="AF834" i="23"/>
  <c r="L835" i="23"/>
  <c r="I835" i="23"/>
  <c r="C835" i="23"/>
  <c r="K835" i="23" s="1"/>
  <c r="E835" i="23"/>
  <c r="F835" i="23"/>
  <c r="G835" i="23"/>
  <c r="B836" i="23"/>
  <c r="M778" i="23"/>
  <c r="J778" i="23"/>
  <c r="N778" i="23" s="1"/>
  <c r="W778" i="23" s="1"/>
  <c r="D778" i="23"/>
  <c r="O778" i="23"/>
  <c r="Y778" i="23" s="1"/>
  <c r="AB778" i="23"/>
  <c r="AC778" i="23"/>
  <c r="P778" i="23"/>
  <c r="Q778" i="23"/>
  <c r="R778" i="23"/>
  <c r="X778" i="23"/>
  <c r="AF778" i="23"/>
  <c r="L779" i="23"/>
  <c r="I779" i="23"/>
  <c r="C779" i="23"/>
  <c r="K779" i="23" s="1"/>
  <c r="E779" i="23"/>
  <c r="F779" i="23"/>
  <c r="G779" i="23"/>
  <c r="B780" i="23"/>
  <c r="M722" i="23"/>
  <c r="J722" i="23"/>
  <c r="N722" i="23" s="1"/>
  <c r="W722" i="23" s="1"/>
  <c r="D722" i="23"/>
  <c r="O722" i="23"/>
  <c r="Y722" i="23" s="1"/>
  <c r="AB722" i="23"/>
  <c r="AC722" i="23"/>
  <c r="P722" i="23"/>
  <c r="Q722" i="23"/>
  <c r="R722" i="23"/>
  <c r="X722" i="23"/>
  <c r="AF722" i="23"/>
  <c r="L723" i="23"/>
  <c r="I723" i="23"/>
  <c r="G723" i="23"/>
  <c r="E723" i="23"/>
  <c r="B724" i="23"/>
  <c r="C723" i="23"/>
  <c r="M666" i="23"/>
  <c r="J666" i="23"/>
  <c r="N666" i="23" s="1"/>
  <c r="W666" i="23" s="1"/>
  <c r="D666" i="23"/>
  <c r="O666" i="23"/>
  <c r="Y666" i="23" s="1"/>
  <c r="AB666" i="23"/>
  <c r="AC666" i="23"/>
  <c r="P666" i="23"/>
  <c r="Q666" i="23"/>
  <c r="R666" i="23"/>
  <c r="X666" i="23"/>
  <c r="AF666" i="23"/>
  <c r="L667" i="23"/>
  <c r="I667" i="23"/>
  <c r="C667" i="23"/>
  <c r="K667" i="23" s="1"/>
  <c r="E667" i="23"/>
  <c r="F667" i="23"/>
  <c r="G667" i="23"/>
  <c r="B668" i="23"/>
  <c r="M610" i="23"/>
  <c r="J610" i="23"/>
  <c r="N610" i="23" s="1"/>
  <c r="W610" i="23" s="1"/>
  <c r="D610" i="23"/>
  <c r="O610" i="23"/>
  <c r="Y610" i="23" s="1"/>
  <c r="AB610" i="23"/>
  <c r="AC610" i="23"/>
  <c r="P610" i="23"/>
  <c r="Q610" i="23"/>
  <c r="R610" i="23"/>
  <c r="X610" i="23"/>
  <c r="AF610" i="23"/>
  <c r="L611" i="23"/>
  <c r="I611" i="23"/>
  <c r="C611" i="23"/>
  <c r="K611" i="23" s="1"/>
  <c r="E611" i="23"/>
  <c r="F611" i="23"/>
  <c r="G611" i="23"/>
  <c r="B612" i="23"/>
  <c r="M554" i="23"/>
  <c r="J554" i="23"/>
  <c r="N554" i="23" s="1"/>
  <c r="W554" i="23" s="1"/>
  <c r="D554" i="23"/>
  <c r="O554" i="23"/>
  <c r="Y554" i="23" s="1"/>
  <c r="AB554" i="23"/>
  <c r="AC554" i="23"/>
  <c r="P554" i="23"/>
  <c r="Q554" i="23"/>
  <c r="R554" i="23"/>
  <c r="X554" i="23"/>
  <c r="AF554" i="23"/>
  <c r="L555" i="23"/>
  <c r="I555" i="23"/>
  <c r="C555" i="23"/>
  <c r="K555" i="23" s="1"/>
  <c r="E555" i="23"/>
  <c r="F555" i="23"/>
  <c r="G555" i="23"/>
  <c r="B556" i="23"/>
  <c r="J498" i="23"/>
  <c r="D498" i="23"/>
  <c r="P498" i="23"/>
  <c r="Q498" i="23"/>
  <c r="R498" i="23"/>
  <c r="X498" i="23"/>
  <c r="AF498" i="23"/>
  <c r="L499" i="23"/>
  <c r="I499" i="23"/>
  <c r="C499" i="23"/>
  <c r="E499" i="23"/>
  <c r="G499" i="23"/>
  <c r="B500" i="23"/>
  <c r="P442" i="23"/>
  <c r="Q442" i="23"/>
  <c r="R442" i="23"/>
  <c r="AF442" i="23"/>
  <c r="X442" i="23"/>
  <c r="J442" i="23"/>
  <c r="D442" i="23"/>
  <c r="L443" i="23"/>
  <c r="I443" i="23"/>
  <c r="B444" i="23"/>
  <c r="E443" i="23"/>
  <c r="C443" i="23"/>
  <c r="K443" i="23" s="1"/>
  <c r="G443" i="23"/>
  <c r="F443" i="23"/>
  <c r="M386" i="23"/>
  <c r="J386" i="23"/>
  <c r="N386" i="23" s="1"/>
  <c r="W386" i="23" s="1"/>
  <c r="D386" i="23"/>
  <c r="O386" i="23"/>
  <c r="Y386" i="23" s="1"/>
  <c r="AB386" i="23"/>
  <c r="AC386" i="23"/>
  <c r="P386" i="23"/>
  <c r="Q386" i="23"/>
  <c r="R386" i="23"/>
  <c r="X386" i="23"/>
  <c r="AF386" i="23"/>
  <c r="L387" i="23"/>
  <c r="I387" i="23"/>
  <c r="C387" i="23"/>
  <c r="E387" i="23"/>
  <c r="G387" i="23"/>
  <c r="B388" i="23"/>
  <c r="M330" i="23"/>
  <c r="J330" i="23"/>
  <c r="N330" i="23" s="1"/>
  <c r="W330" i="23" s="1"/>
  <c r="D330" i="23"/>
  <c r="P330" i="23"/>
  <c r="Q330" i="23"/>
  <c r="R330" i="23"/>
  <c r="X330" i="23"/>
  <c r="AF330" i="23"/>
  <c r="L331" i="23"/>
  <c r="I331" i="23"/>
  <c r="C331" i="23"/>
  <c r="K331" i="23" s="1"/>
  <c r="E331" i="23"/>
  <c r="F331" i="23"/>
  <c r="G331" i="23"/>
  <c r="B332" i="23"/>
  <c r="M274" i="23"/>
  <c r="J274" i="23"/>
  <c r="N274" i="23" s="1"/>
  <c r="W274" i="23" s="1"/>
  <c r="D274" i="23"/>
  <c r="O274" i="23"/>
  <c r="Y274" i="23" s="1"/>
  <c r="AB274" i="23"/>
  <c r="AC274" i="23"/>
  <c r="P274" i="23"/>
  <c r="Q274" i="23"/>
  <c r="R274" i="23"/>
  <c r="X274" i="23"/>
  <c r="AF274" i="23"/>
  <c r="L275" i="23"/>
  <c r="I275" i="23"/>
  <c r="C275" i="23"/>
  <c r="K275" i="23" s="1"/>
  <c r="E275" i="23"/>
  <c r="F275" i="23"/>
  <c r="G275" i="23"/>
  <c r="B276" i="23"/>
  <c r="D4753" i="22"/>
  <c r="J4753" i="22"/>
  <c r="P4753" i="22"/>
  <c r="Q4753" i="22"/>
  <c r="R4753" i="22"/>
  <c r="M4753" i="22"/>
  <c r="N4753" i="22"/>
  <c r="C4754" i="22"/>
  <c r="F4754" i="22" s="1"/>
  <c r="E4754" i="22"/>
  <c r="G4754" i="22"/>
  <c r="I4754" i="22"/>
  <c r="K4754" i="22"/>
  <c r="L4754" i="22"/>
  <c r="B4755" i="22"/>
  <c r="T4697" i="22"/>
  <c r="S4698" i="22"/>
  <c r="T4698" i="22" s="1"/>
  <c r="D29" i="15" s="1"/>
  <c r="U4698" i="22"/>
  <c r="M4699" i="22"/>
  <c r="D4699" i="22"/>
  <c r="J4699" i="22"/>
  <c r="N4699" i="22" s="1"/>
  <c r="P4699" i="22"/>
  <c r="Q4699" i="22"/>
  <c r="R4699" i="22"/>
  <c r="L4700" i="22"/>
  <c r="C4700" i="22"/>
  <c r="E4700" i="22"/>
  <c r="G4700" i="22"/>
  <c r="I4700" i="22"/>
  <c r="B4701" i="22"/>
  <c r="P4645" i="22"/>
  <c r="Q4645" i="22"/>
  <c r="R4645" i="22"/>
  <c r="C4646" i="22"/>
  <c r="E4646" i="22"/>
  <c r="G4646" i="22"/>
  <c r="B4647" i="22"/>
  <c r="J4591" i="22"/>
  <c r="D4591" i="22"/>
  <c r="P4591" i="22"/>
  <c r="Q4591" i="22"/>
  <c r="R4591" i="22"/>
  <c r="I4592" i="22"/>
  <c r="L4592" i="22"/>
  <c r="C4592" i="22"/>
  <c r="K4592" i="22" s="1"/>
  <c r="E4592" i="22"/>
  <c r="F4592" i="22"/>
  <c r="G4592" i="22"/>
  <c r="B4593" i="22"/>
  <c r="M4537" i="22"/>
  <c r="D4537" i="22"/>
  <c r="J4537" i="22"/>
  <c r="N4537" i="22" s="1"/>
  <c r="P4537" i="22"/>
  <c r="Q4537" i="22"/>
  <c r="R4537" i="22"/>
  <c r="L4538" i="22"/>
  <c r="C4538" i="22"/>
  <c r="E4538" i="22"/>
  <c r="G4538" i="22"/>
  <c r="I4538" i="22"/>
  <c r="B4539" i="22"/>
  <c r="D4237" i="22"/>
  <c r="J4237" i="22"/>
  <c r="P4237" i="22"/>
  <c r="Q4237" i="22"/>
  <c r="R4237" i="22"/>
  <c r="M4237" i="22"/>
  <c r="N4237" i="22"/>
  <c r="U4237" i="22" s="1"/>
  <c r="C4238" i="22"/>
  <c r="E4238" i="22"/>
  <c r="F4238" i="22"/>
  <c r="O4238" i="22" s="1"/>
  <c r="G4238" i="22"/>
  <c r="I4238" i="22"/>
  <c r="K4238" i="22"/>
  <c r="L4238" i="22"/>
  <c r="B4239" i="22"/>
  <c r="D4183" i="22"/>
  <c r="J4183" i="22"/>
  <c r="P4183" i="22"/>
  <c r="Q4183" i="22"/>
  <c r="R4183" i="22"/>
  <c r="L4184" i="22"/>
  <c r="C4184" i="22"/>
  <c r="K4184" i="22" s="1"/>
  <c r="E4184" i="22"/>
  <c r="F4184" i="22"/>
  <c r="O4184" i="22" s="1"/>
  <c r="G4184" i="22"/>
  <c r="I4184" i="22"/>
  <c r="B4185" i="22"/>
  <c r="M4129" i="22"/>
  <c r="D4129" i="22"/>
  <c r="J4129" i="22"/>
  <c r="N4129" i="22" s="1"/>
  <c r="U4129" i="22" s="1"/>
  <c r="P4129" i="22"/>
  <c r="Q4129" i="22"/>
  <c r="R4129" i="22"/>
  <c r="L4130" i="22"/>
  <c r="C4130" i="22"/>
  <c r="K4130" i="22" s="1"/>
  <c r="E4130" i="22"/>
  <c r="F4130" i="22"/>
  <c r="O4130" i="22" s="1"/>
  <c r="G4130" i="22"/>
  <c r="I4130" i="22"/>
  <c r="B4131" i="22"/>
  <c r="M4075" i="22"/>
  <c r="D4075" i="22"/>
  <c r="J4075" i="22"/>
  <c r="N4075" i="22" s="1"/>
  <c r="U4075" i="22" s="1"/>
  <c r="P4075" i="22"/>
  <c r="Q4075" i="22"/>
  <c r="R4075" i="22"/>
  <c r="L4076" i="22"/>
  <c r="C4076" i="22"/>
  <c r="E4076" i="22"/>
  <c r="G4076" i="22"/>
  <c r="I4076" i="22"/>
  <c r="B4077" i="22"/>
  <c r="M3775" i="22"/>
  <c r="D3775" i="22"/>
  <c r="J3775" i="22"/>
  <c r="N3775" i="22" s="1"/>
  <c r="BK72" i="22"/>
  <c r="P3775" i="22"/>
  <c r="Q3775" i="22"/>
  <c r="R3775" i="22"/>
  <c r="L3776" i="22"/>
  <c r="C3776" i="22"/>
  <c r="E3776" i="22"/>
  <c r="G3776" i="22"/>
  <c r="I3776" i="22"/>
  <c r="B3777" i="22"/>
  <c r="M3721" i="22"/>
  <c r="D3721" i="22"/>
  <c r="J3721" i="22"/>
  <c r="N3721" i="22" s="1"/>
  <c r="BK71" i="22"/>
  <c r="P3721" i="22"/>
  <c r="Q3721" i="22"/>
  <c r="R3721" i="22"/>
  <c r="L3722" i="22"/>
  <c r="C3722" i="22"/>
  <c r="E3722" i="22"/>
  <c r="G3722" i="22"/>
  <c r="I3722" i="22"/>
  <c r="B3723" i="22"/>
  <c r="D3667" i="22"/>
  <c r="J3667" i="22"/>
  <c r="P3667" i="22"/>
  <c r="Q3667" i="22"/>
  <c r="R3667" i="22"/>
  <c r="L3668" i="22"/>
  <c r="C3668" i="22"/>
  <c r="E3668" i="22"/>
  <c r="G3668" i="22"/>
  <c r="I3668" i="22"/>
  <c r="B3669" i="22"/>
  <c r="D3613" i="22"/>
  <c r="J3613" i="22"/>
  <c r="P3613" i="22"/>
  <c r="Q3613" i="22"/>
  <c r="R3613" i="22"/>
  <c r="L3614" i="22"/>
  <c r="C3614" i="22"/>
  <c r="E3614" i="22"/>
  <c r="G3614" i="22"/>
  <c r="I3614" i="22"/>
  <c r="B3615" i="22"/>
  <c r="M3559" i="22"/>
  <c r="P3559" i="22"/>
  <c r="Q3559" i="22"/>
  <c r="R3559" i="22"/>
  <c r="D3559" i="22"/>
  <c r="J3559" i="22"/>
  <c r="N3559" i="22" s="1"/>
  <c r="BK68" i="22"/>
  <c r="L3560" i="22"/>
  <c r="G3560" i="22"/>
  <c r="C3560" i="22"/>
  <c r="E3560" i="22"/>
  <c r="I3560" i="22"/>
  <c r="B3561" i="22"/>
  <c r="M3505" i="22"/>
  <c r="D3505" i="22"/>
  <c r="J3505" i="22"/>
  <c r="N3505" i="22" s="1"/>
  <c r="BK67" i="22"/>
  <c r="P3505" i="22"/>
  <c r="Q3505" i="22"/>
  <c r="R3505" i="22"/>
  <c r="L3506" i="22"/>
  <c r="C3506" i="22"/>
  <c r="K3506" i="22" s="1"/>
  <c r="E3506" i="22"/>
  <c r="F3506" i="22"/>
  <c r="O3506" i="22" s="1"/>
  <c r="G3506" i="22"/>
  <c r="I3506" i="22"/>
  <c r="B3507" i="22"/>
  <c r="M3451" i="22"/>
  <c r="D3451" i="22"/>
  <c r="J3451" i="22"/>
  <c r="N3451" i="22" s="1"/>
  <c r="BK66" i="22"/>
  <c r="P3451" i="22"/>
  <c r="Q3451" i="22"/>
  <c r="R3451" i="22"/>
  <c r="L3452" i="22"/>
  <c r="C3452" i="22"/>
  <c r="K3452" i="22" s="1"/>
  <c r="E3452" i="22"/>
  <c r="F3452" i="22"/>
  <c r="O3452" i="22" s="1"/>
  <c r="G3452" i="22"/>
  <c r="I3452" i="22"/>
  <c r="B3453" i="22"/>
  <c r="M3397" i="22"/>
  <c r="D3397" i="22"/>
  <c r="J3397" i="22"/>
  <c r="N3397" i="22" s="1"/>
  <c r="BK65" i="22"/>
  <c r="P3397" i="22"/>
  <c r="Q3397" i="22"/>
  <c r="R3397" i="22"/>
  <c r="L3398" i="22"/>
  <c r="C3398" i="22"/>
  <c r="E3398" i="22"/>
  <c r="G3398" i="22"/>
  <c r="I3398" i="22"/>
  <c r="B3399" i="22"/>
  <c r="D3343" i="22"/>
  <c r="J3343" i="22"/>
  <c r="P3343" i="22"/>
  <c r="Q3343" i="22"/>
  <c r="R3343" i="22"/>
  <c r="L3344" i="22"/>
  <c r="C3344" i="22"/>
  <c r="K3344" i="22" s="1"/>
  <c r="E3344" i="22"/>
  <c r="F3344" i="22"/>
  <c r="O3344" i="22" s="1"/>
  <c r="BL64" i="22" s="1"/>
  <c r="G3344" i="22"/>
  <c r="I3344" i="22"/>
  <c r="B3345" i="22"/>
  <c r="D3289" i="22"/>
  <c r="J3289" i="22"/>
  <c r="P3289" i="22"/>
  <c r="Q3289" i="22"/>
  <c r="R3289" i="22"/>
  <c r="L3290" i="22"/>
  <c r="C3290" i="22"/>
  <c r="K3290" i="22" s="1"/>
  <c r="E3290" i="22"/>
  <c r="F3290" i="22"/>
  <c r="O3290" i="22" s="1"/>
  <c r="BL63" i="22" s="1"/>
  <c r="G3290" i="22"/>
  <c r="I3290" i="22"/>
  <c r="B3291" i="22"/>
  <c r="M3235" i="22"/>
  <c r="D3235" i="22"/>
  <c r="J3235" i="22"/>
  <c r="N3235" i="22" s="1"/>
  <c r="BK62" i="22"/>
  <c r="P3235" i="22"/>
  <c r="Q3235" i="22"/>
  <c r="R3235" i="22"/>
  <c r="L3236" i="22"/>
  <c r="C3236" i="22"/>
  <c r="K3236" i="22" s="1"/>
  <c r="E3236" i="22"/>
  <c r="F3236" i="22"/>
  <c r="O3236" i="22" s="1"/>
  <c r="G3236" i="22"/>
  <c r="I3236" i="22"/>
  <c r="B3237" i="22"/>
  <c r="M3181" i="22"/>
  <c r="D3181" i="22"/>
  <c r="J3181" i="22"/>
  <c r="N3181" i="22" s="1"/>
  <c r="BK61" i="22"/>
  <c r="P3181" i="22"/>
  <c r="Q3181" i="22"/>
  <c r="R3181" i="22"/>
  <c r="L3182" i="22"/>
  <c r="C3182" i="22"/>
  <c r="K3182" i="22" s="1"/>
  <c r="E3182" i="22"/>
  <c r="F3182" i="22"/>
  <c r="O3182" i="22" s="1"/>
  <c r="G3182" i="22"/>
  <c r="I3182" i="22"/>
  <c r="B3183" i="22"/>
  <c r="M3127" i="22"/>
  <c r="D3127" i="22"/>
  <c r="J3127" i="22"/>
  <c r="N3127" i="22" s="1"/>
  <c r="BK60" i="22"/>
  <c r="P3127" i="22"/>
  <c r="Q3127" i="22"/>
  <c r="R3127" i="22"/>
  <c r="L3128" i="22"/>
  <c r="C3128" i="22"/>
  <c r="E3128" i="22"/>
  <c r="G3128" i="22"/>
  <c r="I3128" i="22"/>
  <c r="B3129" i="22"/>
  <c r="D3073" i="22"/>
  <c r="J3073" i="22"/>
  <c r="P3073" i="22"/>
  <c r="Q3073" i="22"/>
  <c r="R3073" i="22"/>
  <c r="L3074" i="22"/>
  <c r="B3075" i="22"/>
  <c r="C3074" i="22"/>
  <c r="E3074" i="22"/>
  <c r="G3074" i="22"/>
  <c r="I3074" i="22"/>
  <c r="M3019" i="22"/>
  <c r="L3020" i="22"/>
  <c r="C3020" i="22"/>
  <c r="E3020" i="22"/>
  <c r="G3020" i="22"/>
  <c r="B3021" i="22"/>
  <c r="I3020" i="22"/>
  <c r="D3019" i="22"/>
  <c r="J3019" i="22"/>
  <c r="N3019" i="22" s="1"/>
  <c r="BK58" i="22"/>
  <c r="P3019" i="22"/>
  <c r="Q3019" i="22"/>
  <c r="R3019" i="22"/>
  <c r="L2966" i="22"/>
  <c r="C2966" i="22"/>
  <c r="E2966" i="22"/>
  <c r="G2966" i="22"/>
  <c r="B2967" i="22"/>
  <c r="I2966" i="22"/>
  <c r="J2965" i="22"/>
  <c r="D2965" i="22"/>
  <c r="P2965" i="22"/>
  <c r="Q2965" i="22"/>
  <c r="R2965" i="22"/>
  <c r="J2911" i="22"/>
  <c r="D2911" i="22"/>
  <c r="P2911" i="22"/>
  <c r="Q2911" i="22"/>
  <c r="R2911" i="22"/>
  <c r="L2912" i="22"/>
  <c r="B2913" i="22"/>
  <c r="E2912" i="22"/>
  <c r="G2912" i="22"/>
  <c r="C2912" i="22"/>
  <c r="I2912" i="22"/>
  <c r="M2857" i="22"/>
  <c r="D2857" i="22"/>
  <c r="J2857" i="22"/>
  <c r="N2857" i="22" s="1"/>
  <c r="BK55" i="22"/>
  <c r="P2857" i="22"/>
  <c r="Q2857" i="22"/>
  <c r="R2857" i="22"/>
  <c r="L2858" i="22"/>
  <c r="C2858" i="22"/>
  <c r="K2858" i="22" s="1"/>
  <c r="E2858" i="22"/>
  <c r="F2858" i="22"/>
  <c r="O2858" i="22" s="1"/>
  <c r="G2858" i="22"/>
  <c r="I2858" i="22"/>
  <c r="B2859" i="22"/>
  <c r="M2803" i="22"/>
  <c r="D2803" i="22"/>
  <c r="J2803" i="22"/>
  <c r="N2803" i="22" s="1"/>
  <c r="BK54" i="22"/>
  <c r="Q2803" i="22"/>
  <c r="P2803" i="22"/>
  <c r="R2803" i="22"/>
  <c r="T2803" i="22"/>
  <c r="L2804" i="22"/>
  <c r="C2804" i="22"/>
  <c r="K2804" i="22" s="1"/>
  <c r="E2804" i="22"/>
  <c r="F2804" i="22"/>
  <c r="O2804" i="22" s="1"/>
  <c r="G2804" i="22"/>
  <c r="I2804" i="22"/>
  <c r="B2805" i="22"/>
  <c r="M2749" i="22"/>
  <c r="D2749" i="22"/>
  <c r="J2749" i="22"/>
  <c r="N2749" i="22" s="1"/>
  <c r="BK53" i="22"/>
  <c r="P2749" i="22"/>
  <c r="Q2749" i="22"/>
  <c r="R2749" i="22"/>
  <c r="L2750" i="22"/>
  <c r="C2750" i="22"/>
  <c r="K2750" i="22" s="1"/>
  <c r="E2750" i="22"/>
  <c r="F2750" i="22"/>
  <c r="O2750" i="22" s="1"/>
  <c r="G2750" i="22"/>
  <c r="I2750" i="22"/>
  <c r="B2751" i="22"/>
  <c r="M2695" i="22"/>
  <c r="D2695" i="22"/>
  <c r="J2695" i="22"/>
  <c r="N2695" i="22" s="1"/>
  <c r="BK52" i="22"/>
  <c r="P2695" i="22"/>
  <c r="Q2695" i="22"/>
  <c r="R2695" i="22"/>
  <c r="L2696" i="22"/>
  <c r="C2696" i="22"/>
  <c r="K2696" i="22" s="1"/>
  <c r="E2696" i="22"/>
  <c r="F2696" i="22"/>
  <c r="O2696" i="22" s="1"/>
  <c r="G2696" i="22"/>
  <c r="I2696" i="22"/>
  <c r="B2697" i="22"/>
  <c r="M2641" i="22"/>
  <c r="D2641" i="22"/>
  <c r="J2641" i="22"/>
  <c r="N2641" i="22" s="1"/>
  <c r="BK51" i="22"/>
  <c r="P2641" i="22"/>
  <c r="Q2641" i="22"/>
  <c r="R2641" i="22"/>
  <c r="L2642" i="22"/>
  <c r="C2642" i="22"/>
  <c r="K2642" i="22" s="1"/>
  <c r="E2642" i="22"/>
  <c r="F2642" i="22"/>
  <c r="O2642" i="22" s="1"/>
  <c r="G2642" i="22"/>
  <c r="I2642" i="22"/>
  <c r="B2643" i="22"/>
  <c r="L2588" i="22"/>
  <c r="I2588" i="22"/>
  <c r="C2588" i="22"/>
  <c r="K2588" i="22" s="1"/>
  <c r="B2589" i="22"/>
  <c r="G2588" i="22"/>
  <c r="E2588" i="22"/>
  <c r="F2588" i="22"/>
  <c r="O2588" i="22" s="1"/>
  <c r="BL50" i="22" s="1"/>
  <c r="J2587" i="22"/>
  <c r="D2587" i="22"/>
  <c r="P2587" i="22"/>
  <c r="Q2587" i="22"/>
  <c r="R2587" i="22"/>
  <c r="M2533" i="22"/>
  <c r="D2533" i="22"/>
  <c r="J2533" i="22"/>
  <c r="N2533" i="22" s="1"/>
  <c r="BK49" i="22"/>
  <c r="P2533" i="22"/>
  <c r="Q2533" i="22"/>
  <c r="R2533" i="22"/>
  <c r="L2534" i="22"/>
  <c r="C2534" i="22"/>
  <c r="K2534" i="22" s="1"/>
  <c r="E2534" i="22"/>
  <c r="F2534" i="22"/>
  <c r="O2534" i="22" s="1"/>
  <c r="G2534" i="22"/>
  <c r="I2534" i="22"/>
  <c r="B2535" i="22"/>
  <c r="M2479" i="22"/>
  <c r="D2479" i="22"/>
  <c r="J2479" i="22"/>
  <c r="N2479" i="22" s="1"/>
  <c r="BK48" i="22"/>
  <c r="P2479" i="22"/>
  <c r="Q2479" i="22"/>
  <c r="R2479" i="22"/>
  <c r="L2480" i="22"/>
  <c r="C2480" i="22"/>
  <c r="K2480" i="22" s="1"/>
  <c r="E2480" i="22"/>
  <c r="F2480" i="22"/>
  <c r="O2480" i="22" s="1"/>
  <c r="G2480" i="22"/>
  <c r="I2480" i="22"/>
  <c r="B2481" i="22"/>
  <c r="M2425" i="22"/>
  <c r="D2425" i="22"/>
  <c r="J2425" i="22"/>
  <c r="N2425" i="22" s="1"/>
  <c r="BK47" i="22"/>
  <c r="P2425" i="22"/>
  <c r="Q2425" i="22"/>
  <c r="R2425" i="22"/>
  <c r="L2426" i="22"/>
  <c r="C2426" i="22"/>
  <c r="E2426" i="22"/>
  <c r="G2426" i="22"/>
  <c r="I2426" i="22"/>
  <c r="B2427" i="22"/>
  <c r="M2371" i="22"/>
  <c r="D2371" i="22"/>
  <c r="J2371" i="22"/>
  <c r="N2371" i="22" s="1"/>
  <c r="BK46" i="22"/>
  <c r="P2371" i="22"/>
  <c r="Q2371" i="22"/>
  <c r="R2371" i="22"/>
  <c r="L2372" i="22"/>
  <c r="C2372" i="22"/>
  <c r="E2372" i="22"/>
  <c r="G2372" i="22"/>
  <c r="I2372" i="22"/>
  <c r="B2373" i="22"/>
  <c r="M2317" i="22"/>
  <c r="D2317" i="22"/>
  <c r="J2317" i="22"/>
  <c r="N2317" i="22" s="1"/>
  <c r="BK45" i="22"/>
  <c r="P2317" i="22"/>
  <c r="Q2317" i="22"/>
  <c r="R2317" i="22"/>
  <c r="L2318" i="22"/>
  <c r="C2318" i="22"/>
  <c r="K2318" i="22" s="1"/>
  <c r="E2318" i="22"/>
  <c r="F2318" i="22"/>
  <c r="O2318" i="22" s="1"/>
  <c r="G2318" i="22"/>
  <c r="I2318" i="22"/>
  <c r="B2319" i="22"/>
  <c r="D2263" i="22"/>
  <c r="J2263" i="22"/>
  <c r="P2263" i="22"/>
  <c r="Q2263" i="22"/>
  <c r="R2263" i="22"/>
  <c r="L2264" i="22"/>
  <c r="C2264" i="22"/>
  <c r="K2264" i="22" s="1"/>
  <c r="E2264" i="22"/>
  <c r="F2264" i="22"/>
  <c r="O2264" i="22" s="1"/>
  <c r="BL44" i="22" s="1"/>
  <c r="G2264" i="22"/>
  <c r="I2264" i="22"/>
  <c r="B2265" i="22"/>
  <c r="M2209" i="22"/>
  <c r="D2209" i="22"/>
  <c r="J2209" i="22"/>
  <c r="N2209" i="22" s="1"/>
  <c r="BK43" i="22"/>
  <c r="P2209" i="22"/>
  <c r="Q2209" i="22"/>
  <c r="R2209" i="22"/>
  <c r="L2210" i="22"/>
  <c r="C2210" i="22"/>
  <c r="K2210" i="22" s="1"/>
  <c r="E2210" i="22"/>
  <c r="F2210" i="22"/>
  <c r="O2210" i="22" s="1"/>
  <c r="G2210" i="22"/>
  <c r="I2210" i="22"/>
  <c r="B2211" i="22"/>
  <c r="M2155" i="22"/>
  <c r="D2155" i="22"/>
  <c r="J2155" i="22"/>
  <c r="N2155" i="22" s="1"/>
  <c r="BK42" i="22"/>
  <c r="P2155" i="22"/>
  <c r="Q2155" i="22"/>
  <c r="R2155" i="22"/>
  <c r="L2156" i="22"/>
  <c r="C2156" i="22"/>
  <c r="E2156" i="22"/>
  <c r="G2156" i="22"/>
  <c r="I2156" i="22"/>
  <c r="B2157" i="22"/>
  <c r="M2101" i="22"/>
  <c r="D2101" i="22"/>
  <c r="J2101" i="22"/>
  <c r="N2101" i="22" s="1"/>
  <c r="BK41" i="22"/>
  <c r="P2101" i="22"/>
  <c r="Q2101" i="22"/>
  <c r="R2101" i="22"/>
  <c r="L2102" i="22"/>
  <c r="C2102" i="22"/>
  <c r="E2102" i="22"/>
  <c r="G2102" i="22"/>
  <c r="I2102" i="22"/>
  <c r="B2103" i="22"/>
  <c r="M2047" i="22"/>
  <c r="D2047" i="22"/>
  <c r="J2047" i="22"/>
  <c r="N2047" i="22" s="1"/>
  <c r="BK40" i="22"/>
  <c r="P2047" i="22"/>
  <c r="Q2047" i="22"/>
  <c r="R2047" i="22"/>
  <c r="L2048" i="22"/>
  <c r="C2048" i="22"/>
  <c r="E2048" i="22"/>
  <c r="G2048" i="22"/>
  <c r="I2048" i="22"/>
  <c r="B2049" i="22"/>
  <c r="M1993" i="22"/>
  <c r="D1993" i="22"/>
  <c r="J1993" i="22"/>
  <c r="N1993" i="22" s="1"/>
  <c r="BK39" i="22"/>
  <c r="P1993" i="22"/>
  <c r="Q1993" i="22"/>
  <c r="R1993" i="22"/>
  <c r="L1994" i="22"/>
  <c r="C1994" i="22"/>
  <c r="K1994" i="22" s="1"/>
  <c r="E1994" i="22"/>
  <c r="F1994" i="22"/>
  <c r="O1994" i="22" s="1"/>
  <c r="G1994" i="22"/>
  <c r="I1994" i="22"/>
  <c r="B1995" i="22"/>
  <c r="D1939" i="22"/>
  <c r="J1939" i="22"/>
  <c r="P1939" i="22"/>
  <c r="Q1939" i="22"/>
  <c r="R1939" i="22"/>
  <c r="L1940" i="22"/>
  <c r="C1940" i="22"/>
  <c r="K1940" i="22" s="1"/>
  <c r="E1940" i="22"/>
  <c r="F1940" i="22"/>
  <c r="O1940" i="22" s="1"/>
  <c r="BL38" i="22" s="1"/>
  <c r="G1940" i="22"/>
  <c r="I1940" i="22"/>
  <c r="B1941" i="22"/>
  <c r="D1885" i="22"/>
  <c r="J1885" i="22"/>
  <c r="P1885" i="22"/>
  <c r="Q1885" i="22"/>
  <c r="R1885" i="22"/>
  <c r="L1886" i="22"/>
  <c r="C1886" i="22"/>
  <c r="K1886" i="22" s="1"/>
  <c r="E1886" i="22"/>
  <c r="F1886" i="22"/>
  <c r="O1886" i="22" s="1"/>
  <c r="BL37" i="22" s="1"/>
  <c r="G1886" i="22"/>
  <c r="I1886" i="22"/>
  <c r="B1887" i="22"/>
  <c r="M1831" i="22"/>
  <c r="D1831" i="22"/>
  <c r="J1831" i="22"/>
  <c r="N1831" i="22" s="1"/>
  <c r="BK36" i="22"/>
  <c r="P1831" i="22"/>
  <c r="Q1831" i="22"/>
  <c r="R1831" i="22"/>
  <c r="L1832" i="22"/>
  <c r="C1832" i="22"/>
  <c r="E1832" i="22"/>
  <c r="G1832" i="22"/>
  <c r="I1832" i="22"/>
  <c r="B1833" i="22"/>
  <c r="M1777" i="22"/>
  <c r="D1777" i="22"/>
  <c r="J1777" i="22"/>
  <c r="N1777" i="22" s="1"/>
  <c r="BK35" i="22"/>
  <c r="P1777" i="22"/>
  <c r="Q1777" i="22"/>
  <c r="R1777" i="22"/>
  <c r="L1778" i="22"/>
  <c r="C1778" i="22"/>
  <c r="K1778" i="22" s="1"/>
  <c r="E1778" i="22"/>
  <c r="F1778" i="22"/>
  <c r="O1778" i="22" s="1"/>
  <c r="G1778" i="22"/>
  <c r="I1778" i="22"/>
  <c r="B1779" i="22"/>
  <c r="M1723" i="22"/>
  <c r="D1723" i="22"/>
  <c r="J1723" i="22"/>
  <c r="N1723" i="22" s="1"/>
  <c r="BK34" i="22"/>
  <c r="P1723" i="22"/>
  <c r="Q1723" i="22"/>
  <c r="R1723" i="22"/>
  <c r="L1724" i="22"/>
  <c r="C1724" i="22"/>
  <c r="E1724" i="22"/>
  <c r="G1724" i="22"/>
  <c r="I1724" i="22"/>
  <c r="B1725" i="22"/>
  <c r="M1669" i="22"/>
  <c r="D1669" i="22"/>
  <c r="J1669" i="22"/>
  <c r="N1669" i="22" s="1"/>
  <c r="BK33" i="22"/>
  <c r="P1669" i="22"/>
  <c r="Q1669" i="22"/>
  <c r="R1669" i="22"/>
  <c r="L1670" i="22"/>
  <c r="C1670" i="22"/>
  <c r="K1670" i="22" s="1"/>
  <c r="E1670" i="22"/>
  <c r="F1670" i="22"/>
  <c r="O1670" i="22" s="1"/>
  <c r="G1670" i="22"/>
  <c r="I1670" i="22"/>
  <c r="B1671" i="22"/>
  <c r="D1615" i="22"/>
  <c r="J1615" i="22"/>
  <c r="P1615" i="22"/>
  <c r="Q1615" i="22"/>
  <c r="R1615" i="22"/>
  <c r="L1616" i="22"/>
  <c r="C1616" i="22"/>
  <c r="K1616" i="22" s="1"/>
  <c r="E1616" i="22"/>
  <c r="F1616" i="22"/>
  <c r="O1616" i="22" s="1"/>
  <c r="BL32" i="22" s="1"/>
  <c r="G1616" i="22"/>
  <c r="I1616" i="22"/>
  <c r="B1617" i="22"/>
  <c r="D1561" i="22"/>
  <c r="J1561" i="22"/>
  <c r="P1561" i="22"/>
  <c r="Q1561" i="22"/>
  <c r="R1561" i="22"/>
  <c r="L1562" i="22"/>
  <c r="C1562" i="22"/>
  <c r="K1562" i="22" s="1"/>
  <c r="E1562" i="22"/>
  <c r="F1562" i="22"/>
  <c r="O1562" i="22" s="1"/>
  <c r="BL31" i="22" s="1"/>
  <c r="G1562" i="22"/>
  <c r="I1562" i="22"/>
  <c r="B1563" i="22"/>
  <c r="M1507" i="22"/>
  <c r="D1507" i="22"/>
  <c r="J1507" i="22"/>
  <c r="N1507" i="22" s="1"/>
  <c r="BK30" i="22"/>
  <c r="P1507" i="22"/>
  <c r="Q1507" i="22"/>
  <c r="R1507" i="22"/>
  <c r="L1508" i="22"/>
  <c r="C1508" i="22"/>
  <c r="K1508" i="22" s="1"/>
  <c r="E1508" i="22"/>
  <c r="F1508" i="22"/>
  <c r="O1508" i="22" s="1"/>
  <c r="G1508" i="22"/>
  <c r="I1508" i="22"/>
  <c r="B1509" i="22"/>
  <c r="M1453" i="22"/>
  <c r="D1453" i="22"/>
  <c r="J1453" i="22"/>
  <c r="N1453" i="22" s="1"/>
  <c r="BK29" i="22"/>
  <c r="P1453" i="22"/>
  <c r="Q1453" i="22"/>
  <c r="R1453" i="22"/>
  <c r="L1454" i="22"/>
  <c r="C1454" i="22"/>
  <c r="K1454" i="22" s="1"/>
  <c r="E1454" i="22"/>
  <c r="F1454" i="22"/>
  <c r="O1454" i="22" s="1"/>
  <c r="G1454" i="22"/>
  <c r="I1454" i="22"/>
  <c r="B1455" i="22"/>
  <c r="M1399" i="22"/>
  <c r="D1399" i="22"/>
  <c r="J1399" i="22"/>
  <c r="N1399" i="22" s="1"/>
  <c r="BK28" i="22"/>
  <c r="P1399" i="22"/>
  <c r="Q1399" i="22"/>
  <c r="R1399" i="22"/>
  <c r="L1400" i="22"/>
  <c r="C1400" i="22"/>
  <c r="K1400" i="22" s="1"/>
  <c r="E1400" i="22"/>
  <c r="F1400" i="22"/>
  <c r="O1400" i="22" s="1"/>
  <c r="G1400" i="22"/>
  <c r="I1400" i="22"/>
  <c r="B1401" i="22"/>
  <c r="M1345" i="22"/>
  <c r="L1346" i="22"/>
  <c r="C1346" i="22"/>
  <c r="E1346" i="22"/>
  <c r="G1346" i="22"/>
  <c r="I1346" i="22"/>
  <c r="B1347" i="22"/>
  <c r="D1345" i="22"/>
  <c r="J1345" i="22"/>
  <c r="N1345" i="22" s="1"/>
  <c r="BK27" i="22"/>
  <c r="P1345" i="22"/>
  <c r="Q1345" i="22"/>
  <c r="R1345" i="22"/>
  <c r="M1291" i="22"/>
  <c r="D1291" i="22"/>
  <c r="J1291" i="22"/>
  <c r="N1291" i="22" s="1"/>
  <c r="BK26" i="22"/>
  <c r="P1291" i="22"/>
  <c r="Q1291" i="22"/>
  <c r="R1291" i="22"/>
  <c r="L1292" i="22"/>
  <c r="C1292" i="22"/>
  <c r="E1292" i="22"/>
  <c r="G1292" i="22"/>
  <c r="I1292" i="22"/>
  <c r="B1293" i="22"/>
  <c r="M1237" i="22"/>
  <c r="D1237" i="22"/>
  <c r="J1237" i="22"/>
  <c r="N1237" i="22" s="1"/>
  <c r="BK25" i="22"/>
  <c r="P1237" i="22"/>
  <c r="Q1237" i="22"/>
  <c r="R1237" i="22"/>
  <c r="L1238" i="22"/>
  <c r="C1238" i="22"/>
  <c r="K1238" i="22" s="1"/>
  <c r="E1238" i="22"/>
  <c r="F1238" i="22"/>
  <c r="O1238" i="22" s="1"/>
  <c r="G1238" i="22"/>
  <c r="I1238" i="22"/>
  <c r="B1239" i="22"/>
  <c r="D1183" i="22"/>
  <c r="J1183" i="22"/>
  <c r="P1183" i="22"/>
  <c r="Q1183" i="22"/>
  <c r="R1183" i="22"/>
  <c r="L1184" i="22"/>
  <c r="C1184" i="22"/>
  <c r="K1184" i="22" s="1"/>
  <c r="E1184" i="22"/>
  <c r="F1184" i="22"/>
  <c r="O1184" i="22" s="1"/>
  <c r="G1184" i="22"/>
  <c r="I1184" i="22"/>
  <c r="B1185" i="22"/>
  <c r="M1129" i="22"/>
  <c r="D1129" i="22"/>
  <c r="J1129" i="22"/>
  <c r="N1129" i="22" s="1"/>
  <c r="B91" i="7"/>
  <c r="BK23" i="22"/>
  <c r="P1129" i="22"/>
  <c r="Q1129" i="22"/>
  <c r="R1129" i="22"/>
  <c r="L1130" i="22"/>
  <c r="C1130" i="22"/>
  <c r="K1130" i="22" s="1"/>
  <c r="E1130" i="22"/>
  <c r="F1130" i="22"/>
  <c r="O1130" i="22" s="1"/>
  <c r="G1130" i="22"/>
  <c r="I1130" i="22"/>
  <c r="B1131" i="22"/>
  <c r="M1075" i="22"/>
  <c r="D1075" i="22"/>
  <c r="J1075" i="22"/>
  <c r="N1075" i="22" s="1"/>
  <c r="B90" i="7"/>
  <c r="BK22" i="22"/>
  <c r="P1075" i="22"/>
  <c r="Q1075" i="22"/>
  <c r="R1075" i="22"/>
  <c r="L1076" i="22"/>
  <c r="C1076" i="22"/>
  <c r="K1076" i="22" s="1"/>
  <c r="E1076" i="22"/>
  <c r="F1076" i="22"/>
  <c r="O1076" i="22" s="1"/>
  <c r="G1076" i="22"/>
  <c r="I1076" i="22"/>
  <c r="B1077" i="22"/>
  <c r="M1021" i="22"/>
  <c r="D1021" i="22"/>
  <c r="J1021" i="22"/>
  <c r="N1021" i="22" s="1"/>
  <c r="B89" i="7"/>
  <c r="BK21" i="22"/>
  <c r="P1021" i="22"/>
  <c r="Q1021" i="22"/>
  <c r="R1021" i="22"/>
  <c r="L1022" i="22"/>
  <c r="C1022" i="22"/>
  <c r="E1022" i="22"/>
  <c r="G1022" i="22"/>
  <c r="I1022" i="22"/>
  <c r="B1023" i="22"/>
  <c r="M967" i="22"/>
  <c r="D967" i="22"/>
  <c r="J967" i="22"/>
  <c r="N967" i="22" s="1"/>
  <c r="B88" i="7"/>
  <c r="BK20" i="22"/>
  <c r="P967" i="22"/>
  <c r="Q967" i="22"/>
  <c r="R967" i="22"/>
  <c r="L968" i="22"/>
  <c r="C968" i="22"/>
  <c r="K968" i="22" s="1"/>
  <c r="E968" i="22"/>
  <c r="F968" i="22"/>
  <c r="O968" i="22" s="1"/>
  <c r="G968" i="22"/>
  <c r="I968" i="22"/>
  <c r="B969" i="22"/>
  <c r="M913" i="22"/>
  <c r="D913" i="22"/>
  <c r="J913" i="22"/>
  <c r="N913" i="22" s="1"/>
  <c r="B87" i="7"/>
  <c r="BK19" i="22"/>
  <c r="P913" i="22"/>
  <c r="Q913" i="22"/>
  <c r="R913" i="22"/>
  <c r="L914" i="22"/>
  <c r="C914" i="22"/>
  <c r="K914" i="22" s="1"/>
  <c r="E914" i="22"/>
  <c r="F914" i="22"/>
  <c r="O914" i="22" s="1"/>
  <c r="G914" i="22"/>
  <c r="I914" i="22"/>
  <c r="B915" i="22"/>
  <c r="D859" i="22"/>
  <c r="J859" i="22"/>
  <c r="P859" i="22"/>
  <c r="Q859" i="22"/>
  <c r="R859" i="22"/>
  <c r="L860" i="22"/>
  <c r="C860" i="22"/>
  <c r="K860" i="22" s="1"/>
  <c r="E860" i="22"/>
  <c r="F860" i="22"/>
  <c r="O860" i="22" s="1"/>
  <c r="G860" i="22"/>
  <c r="I860" i="22"/>
  <c r="B861" i="22"/>
  <c r="M805" i="22"/>
  <c r="D805" i="22"/>
  <c r="J805" i="22"/>
  <c r="N805" i="22" s="1"/>
  <c r="B85" i="7"/>
  <c r="BK17" i="22"/>
  <c r="P805" i="22"/>
  <c r="Q805" i="22"/>
  <c r="R805" i="22"/>
  <c r="L806" i="22"/>
  <c r="C806" i="22"/>
  <c r="E806" i="22"/>
  <c r="G806" i="22"/>
  <c r="I806" i="22"/>
  <c r="B807" i="22"/>
  <c r="M751" i="22"/>
  <c r="D751" i="22"/>
  <c r="J751" i="22"/>
  <c r="N751" i="22" s="1"/>
  <c r="B84" i="7"/>
  <c r="BK16" i="22"/>
  <c r="P751" i="22"/>
  <c r="Q751" i="22"/>
  <c r="R751" i="22"/>
  <c r="L752" i="22"/>
  <c r="C752" i="22"/>
  <c r="E752" i="22"/>
  <c r="G752" i="22"/>
  <c r="I752" i="22"/>
  <c r="B753" i="22"/>
  <c r="M697" i="22"/>
  <c r="D697" i="22"/>
  <c r="J697" i="22"/>
  <c r="N697" i="22" s="1"/>
  <c r="B83" i="7"/>
  <c r="BK15" i="22"/>
  <c r="P697" i="22"/>
  <c r="Q697" i="22"/>
  <c r="R697" i="22"/>
  <c r="L698" i="22"/>
  <c r="C698" i="22"/>
  <c r="K698" i="22" s="1"/>
  <c r="E698" i="22"/>
  <c r="F698" i="22"/>
  <c r="O698" i="22" s="1"/>
  <c r="G698" i="22"/>
  <c r="I698" i="22"/>
  <c r="B699" i="22"/>
  <c r="M643" i="22"/>
  <c r="D643" i="22"/>
  <c r="J643" i="22"/>
  <c r="N643" i="22" s="1"/>
  <c r="B82" i="7"/>
  <c r="BK14" i="22"/>
  <c r="P643" i="22"/>
  <c r="Q643" i="22"/>
  <c r="R643" i="22"/>
  <c r="L644" i="22"/>
  <c r="C644" i="22"/>
  <c r="K644" i="22" s="1"/>
  <c r="E644" i="22"/>
  <c r="F644" i="22"/>
  <c r="O644" i="22" s="1"/>
  <c r="G644" i="22"/>
  <c r="I644" i="22"/>
  <c r="B645" i="22"/>
  <c r="D589" i="22"/>
  <c r="J589" i="22"/>
  <c r="P589" i="22"/>
  <c r="Q589" i="22"/>
  <c r="R589" i="22"/>
  <c r="L590" i="22"/>
  <c r="C590" i="22"/>
  <c r="K590" i="22" s="1"/>
  <c r="E590" i="22"/>
  <c r="F590" i="22"/>
  <c r="O590" i="22" s="1"/>
  <c r="G590" i="22"/>
  <c r="I590" i="22"/>
  <c r="B591" i="22"/>
  <c r="D535" i="22"/>
  <c r="J535" i="22"/>
  <c r="P535" i="22"/>
  <c r="Q535" i="22"/>
  <c r="R535" i="22"/>
  <c r="L536" i="22"/>
  <c r="C536" i="22"/>
  <c r="K536" i="22" s="1"/>
  <c r="E536" i="22"/>
  <c r="F536" i="22"/>
  <c r="O536" i="22" s="1"/>
  <c r="G536" i="22"/>
  <c r="I536" i="22"/>
  <c r="B537" i="22"/>
  <c r="M481" i="22"/>
  <c r="D481" i="22"/>
  <c r="J481" i="22"/>
  <c r="N481" i="22" s="1"/>
  <c r="B79" i="7"/>
  <c r="BK11" i="22"/>
  <c r="P481" i="22"/>
  <c r="Q481" i="22"/>
  <c r="R481" i="22"/>
  <c r="L482" i="22"/>
  <c r="C482" i="22"/>
  <c r="E482" i="22"/>
  <c r="G482" i="22"/>
  <c r="I482" i="22"/>
  <c r="B483" i="22"/>
  <c r="P427" i="22"/>
  <c r="Q427" i="22"/>
  <c r="R427" i="22"/>
  <c r="L428" i="22"/>
  <c r="E428" i="22"/>
  <c r="I428" i="22"/>
  <c r="C428" i="22"/>
  <c r="G428" i="22"/>
  <c r="B429" i="22"/>
  <c r="D427" i="22"/>
  <c r="J427" i="22"/>
  <c r="M373" i="22"/>
  <c r="D373" i="22"/>
  <c r="J373" i="22"/>
  <c r="N373" i="22" s="1"/>
  <c r="B77" i="7"/>
  <c r="BK9" i="22"/>
  <c r="P373" i="22"/>
  <c r="Q373" i="22"/>
  <c r="R373" i="22"/>
  <c r="L374" i="22"/>
  <c r="C374" i="22"/>
  <c r="E374" i="22"/>
  <c r="G374" i="22"/>
  <c r="I374" i="22"/>
  <c r="B375" i="22"/>
  <c r="M319" i="22"/>
  <c r="D319" i="22"/>
  <c r="J319" i="22"/>
  <c r="N319" i="22" s="1"/>
  <c r="B76" i="7"/>
  <c r="BK8" i="22"/>
  <c r="P319" i="22"/>
  <c r="Q319" i="22"/>
  <c r="R319" i="22"/>
  <c r="L320" i="22"/>
  <c r="C320" i="22"/>
  <c r="K320" i="22" s="1"/>
  <c r="E320" i="22"/>
  <c r="F320" i="22"/>
  <c r="O320" i="22" s="1"/>
  <c r="G320" i="22"/>
  <c r="I320" i="22"/>
  <c r="B321" i="22"/>
  <c r="D265" i="22"/>
  <c r="J265" i="22"/>
  <c r="P265" i="22"/>
  <c r="Q265" i="22"/>
  <c r="R265" i="22"/>
  <c r="L266" i="22"/>
  <c r="C266" i="22"/>
  <c r="K266" i="22" s="1"/>
  <c r="E266" i="22"/>
  <c r="F266" i="22"/>
  <c r="O266" i="22" s="1"/>
  <c r="BL7" i="22" s="1"/>
  <c r="G266" i="22"/>
  <c r="I266" i="22"/>
  <c r="B267" i="22"/>
  <c r="D211" i="22"/>
  <c r="J211" i="22"/>
  <c r="P211" i="22"/>
  <c r="Q211" i="22"/>
  <c r="R211" i="22"/>
  <c r="L212" i="22"/>
  <c r="C212" i="22"/>
  <c r="E212" i="22"/>
  <c r="G212" i="22"/>
  <c r="I212" i="22"/>
  <c r="B213" i="22"/>
  <c r="M157" i="22"/>
  <c r="D157" i="22"/>
  <c r="J157" i="22"/>
  <c r="N157" i="22" s="1"/>
  <c r="B73" i="7"/>
  <c r="BK5" i="22"/>
  <c r="P157" i="22"/>
  <c r="Q157" i="22"/>
  <c r="R157" i="22"/>
  <c r="L158" i="22"/>
  <c r="I158" i="22"/>
  <c r="B159" i="22"/>
  <c r="C158" i="22"/>
  <c r="E158" i="22"/>
  <c r="G158" i="22"/>
  <c r="M103" i="22"/>
  <c r="D103" i="22"/>
  <c r="J103" i="22"/>
  <c r="N103" i="22" s="1"/>
  <c r="B72" i="7"/>
  <c r="BK4" i="22"/>
  <c r="P103" i="22"/>
  <c r="Q103" i="22"/>
  <c r="R103" i="22"/>
  <c r="L104" i="22"/>
  <c r="C104" i="22"/>
  <c r="K104" i="22" s="1"/>
  <c r="E104" i="22"/>
  <c r="F104" i="22"/>
  <c r="O104" i="22" s="1"/>
  <c r="G104" i="22"/>
  <c r="I104" i="22"/>
  <c r="B105" i="22"/>
  <c r="C92" i="12"/>
  <c r="AS41" i="17"/>
  <c r="AR41" i="17"/>
  <c r="AQ41" i="17"/>
  <c r="AP41" i="17"/>
  <c r="AO41" i="17"/>
  <c r="AN41" i="17"/>
  <c r="AM41" i="17"/>
  <c r="AL41" i="17"/>
  <c r="AK41" i="17"/>
  <c r="AJ41" i="17"/>
  <c r="AI41" i="17"/>
  <c r="AH41" i="17"/>
  <c r="AG41" i="17"/>
  <c r="AF41" i="17"/>
  <c r="AE41" i="17"/>
  <c r="AD41" i="17"/>
  <c r="AC41" i="17"/>
  <c r="AB41" i="17"/>
  <c r="AA41" i="17"/>
  <c r="Z41" i="17"/>
  <c r="Y41" i="17"/>
  <c r="X41" i="17"/>
  <c r="W41" i="17"/>
  <c r="P41" i="17"/>
  <c r="Q41" i="17"/>
  <c r="R41" i="17"/>
  <c r="V41" i="17"/>
  <c r="I42" i="17"/>
  <c r="B43" i="17"/>
  <c r="B42" i="18"/>
  <c r="C42" i="17"/>
  <c r="F42" i="17" s="1"/>
  <c r="C42" i="18" s="1"/>
  <c r="E42" i="18" s="1"/>
  <c r="E42" i="17"/>
  <c r="G42" i="17"/>
  <c r="AU42" i="17" s="1"/>
  <c r="K42" i="17"/>
  <c r="L42" i="17"/>
  <c r="D41" i="17"/>
  <c r="J41" i="17"/>
  <c r="N93" i="12"/>
  <c r="O41" i="17"/>
  <c r="E93" i="12"/>
  <c r="M41" i="17"/>
  <c r="N41" i="17"/>
  <c r="AW16" i="17"/>
  <c r="B107" i="12"/>
  <c r="I107" i="12" s="1"/>
  <c r="AV15" i="17"/>
  <c r="AU17" i="17"/>
  <c r="AU18" i="17"/>
  <c r="AU19" i="17"/>
  <c r="AU20" i="17"/>
  <c r="AU21" i="17"/>
  <c r="AU22" i="17"/>
  <c r="AU23" i="17"/>
  <c r="AU24" i="17"/>
  <c r="AU25" i="17"/>
  <c r="AU26" i="17"/>
  <c r="AU27" i="17"/>
  <c r="AU28" i="17"/>
  <c r="AU29" i="17"/>
  <c r="AU30" i="17"/>
  <c r="AU31" i="17"/>
  <c r="AU32" i="17"/>
  <c r="AU34" i="17"/>
  <c r="AU35" i="17"/>
  <c r="AU36" i="17"/>
  <c r="AU38" i="17"/>
  <c r="AU39" i="17"/>
  <c r="AU40" i="17"/>
  <c r="AU33" i="17"/>
  <c r="AU37" i="17"/>
  <c r="AU41" i="17"/>
  <c r="AG69" i="17"/>
  <c r="AG70" i="17"/>
  <c r="C90" i="12"/>
  <c r="C91" i="12"/>
  <c r="M1561" i="23"/>
  <c r="N1561" i="23"/>
  <c r="AE1561" i="23" s="1"/>
  <c r="M1505" i="23"/>
  <c r="N1505" i="23"/>
  <c r="AE1505" i="23" s="1"/>
  <c r="M1449" i="23"/>
  <c r="N1449" i="23"/>
  <c r="AE1449" i="23" s="1"/>
  <c r="M1393" i="23"/>
  <c r="N1393" i="23"/>
  <c r="AE1393" i="23" s="1"/>
  <c r="M1225" i="23"/>
  <c r="N1225" i="23"/>
  <c r="AE1225" i="23" s="1"/>
  <c r="M945" i="23"/>
  <c r="N945" i="23"/>
  <c r="AE945" i="23" s="1"/>
  <c r="N441" i="23"/>
  <c r="AE441" i="23" s="1"/>
  <c r="M441" i="23"/>
  <c r="N4236" i="22"/>
  <c r="U4236" i="22" s="1"/>
  <c r="M4236" i="22"/>
  <c r="M3774" i="22"/>
  <c r="N3774" i="22"/>
  <c r="U3774" i="22" s="1"/>
  <c r="M3558" i="22"/>
  <c r="N3558" i="22"/>
  <c r="U3558" i="22" s="1"/>
  <c r="M3450" i="22"/>
  <c r="N3450" i="22"/>
  <c r="U3450" i="22" s="1"/>
  <c r="M3396" i="22"/>
  <c r="N3396" i="22"/>
  <c r="U3396" i="22" s="1"/>
  <c r="M3126" i="22"/>
  <c r="N3126" i="22"/>
  <c r="U3126" i="22" s="1"/>
  <c r="M3072" i="22"/>
  <c r="N3072" i="22"/>
  <c r="U3072" i="22" s="1"/>
  <c r="M3018" i="22"/>
  <c r="N3018" i="22"/>
  <c r="U3018" i="22" s="1"/>
  <c r="M2748" i="22"/>
  <c r="N2748" i="22"/>
  <c r="U2748" i="22" s="1"/>
  <c r="N2586" i="22"/>
  <c r="U2586" i="22" s="1"/>
  <c r="M2586" i="22"/>
  <c r="M2424" i="22"/>
  <c r="N2424" i="22"/>
  <c r="U2424" i="22" s="1"/>
  <c r="M2046" i="22"/>
  <c r="N2046" i="22"/>
  <c r="U2046" i="22" s="1"/>
  <c r="M1722" i="22"/>
  <c r="N1722" i="22"/>
  <c r="U1722" i="22" s="1"/>
  <c r="M1668" i="22"/>
  <c r="N1668" i="22"/>
  <c r="U1668" i="22" s="1"/>
  <c r="M1344" i="22"/>
  <c r="N1344" i="22"/>
  <c r="U1344" i="22" s="1"/>
  <c r="M1020" i="22"/>
  <c r="N1020" i="22"/>
  <c r="U1020" i="22" s="1"/>
  <c r="M696" i="22"/>
  <c r="N696" i="22"/>
  <c r="U696" i="22" s="1"/>
  <c r="M318" i="22"/>
  <c r="N318" i="22"/>
  <c r="U318" i="22" s="1"/>
  <c r="AE1617" i="23"/>
  <c r="AK1617" i="23"/>
  <c r="Q1642" i="23" s="1"/>
  <c r="E53" i="19" s="1"/>
  <c r="G53" i="19" s="1"/>
  <c r="K1506" i="23"/>
  <c r="F1506" i="23"/>
  <c r="K1226" i="23"/>
  <c r="F1226" i="23"/>
  <c r="F498" i="23"/>
  <c r="K498" i="23"/>
  <c r="F442" i="23"/>
  <c r="K442" i="23"/>
  <c r="F4591" i="22"/>
  <c r="K4591" i="22"/>
  <c r="K4183" i="22"/>
  <c r="F4183" i="22"/>
  <c r="O4183" i="22" s="1"/>
  <c r="K3667" i="22"/>
  <c r="F3667" i="22"/>
  <c r="O3667" i="22" s="1"/>
  <c r="F3613" i="22"/>
  <c r="O3613" i="22" s="1"/>
  <c r="K3613" i="22"/>
  <c r="F3343" i="22"/>
  <c r="O3343" i="22" s="1"/>
  <c r="K3343" i="22"/>
  <c r="F3289" i="22"/>
  <c r="O3289" i="22" s="1"/>
  <c r="K3289" i="22"/>
  <c r="K3073" i="22"/>
  <c r="F3073" i="22"/>
  <c r="O3073" i="22" s="1"/>
  <c r="F2965" i="22"/>
  <c r="O2965" i="22" s="1"/>
  <c r="K2965" i="22"/>
  <c r="K2911" i="22"/>
  <c r="F2911" i="22"/>
  <c r="O2911" i="22" s="1"/>
  <c r="F2587" i="22"/>
  <c r="O2587" i="22" s="1"/>
  <c r="K2587" i="22"/>
  <c r="K2263" i="22"/>
  <c r="F2263" i="22"/>
  <c r="O2263" i="22" s="1"/>
  <c r="F1939" i="22"/>
  <c r="O1939" i="22" s="1"/>
  <c r="K1939" i="22"/>
  <c r="F1885" i="22"/>
  <c r="O1885" i="22" s="1"/>
  <c r="K1885" i="22"/>
  <c r="K1615" i="22"/>
  <c r="F1615" i="22"/>
  <c r="O1615" i="22" s="1"/>
  <c r="K1561" i="22"/>
  <c r="F1561" i="22"/>
  <c r="O1561" i="22" s="1"/>
  <c r="F1183" i="22"/>
  <c r="O1183" i="22" s="1"/>
  <c r="K1183" i="22"/>
  <c r="F859" i="22"/>
  <c r="O859" i="22" s="1"/>
  <c r="K859" i="22"/>
  <c r="K589" i="22"/>
  <c r="F589" i="22"/>
  <c r="O589" i="22" s="1"/>
  <c r="F535" i="22"/>
  <c r="O535" i="22" s="1"/>
  <c r="K535" i="22"/>
  <c r="F427" i="22"/>
  <c r="O427" i="22" s="1"/>
  <c r="K427" i="22"/>
  <c r="F265" i="22"/>
  <c r="O265" i="22" s="1"/>
  <c r="K265" i="22"/>
  <c r="F211" i="22"/>
  <c r="O211" i="22" s="1"/>
  <c r="K211" i="22"/>
  <c r="O330" i="23" l="1"/>
  <c r="Y330" i="23" s="1"/>
  <c r="AB330" i="23"/>
  <c r="AC330" i="23"/>
  <c r="K1283" i="23"/>
  <c r="F1283" i="23"/>
  <c r="K723" i="23"/>
  <c r="F723" i="23"/>
  <c r="K4700" i="22"/>
  <c r="F4700" i="22"/>
  <c r="D4646" i="22"/>
  <c r="F4646" i="22"/>
  <c r="O4646" i="22" s="1"/>
  <c r="K3614" i="22"/>
  <c r="F3614" i="22"/>
  <c r="O3614" i="22" s="1"/>
  <c r="BL69" i="22" s="1"/>
  <c r="K2966" i="22"/>
  <c r="F2966" i="22"/>
  <c r="O2966" i="22" s="1"/>
  <c r="BL57" i="22" s="1"/>
  <c r="K2426" i="22"/>
  <c r="F2426" i="22"/>
  <c r="O2426" i="22" s="1"/>
  <c r="K2156" i="22"/>
  <c r="F2156" i="22"/>
  <c r="O2156" i="22" s="1"/>
  <c r="K1832" i="22"/>
  <c r="F1832" i="22"/>
  <c r="O1832" i="22" s="1"/>
  <c r="K1292" i="22"/>
  <c r="F1292" i="22"/>
  <c r="O1292" i="22" s="1"/>
  <c r="K1022" i="22"/>
  <c r="F1022" i="22"/>
  <c r="O1022" i="22" s="1"/>
  <c r="K212" i="22"/>
  <c r="F212" i="22"/>
  <c r="O212" i="22" s="1"/>
  <c r="K158" i="22"/>
  <c r="F158" i="22"/>
  <c r="O158" i="22" s="1"/>
  <c r="Y1618" i="23"/>
  <c r="B106" i="8"/>
  <c r="AG1618" i="23"/>
  <c r="AD1618" i="23"/>
  <c r="M1619" i="23"/>
  <c r="J1619" i="23"/>
  <c r="N1619" i="23" s="1"/>
  <c r="W1619" i="23" s="1"/>
  <c r="D1619" i="23"/>
  <c r="O1619" i="23"/>
  <c r="AB1619" i="23"/>
  <c r="AC1619" i="23"/>
  <c r="P1619" i="23"/>
  <c r="Q1619" i="23"/>
  <c r="R1619" i="23"/>
  <c r="X1619" i="23"/>
  <c r="AF1619" i="23"/>
  <c r="I1620" i="23"/>
  <c r="L1620" i="23"/>
  <c r="C1620" i="23"/>
  <c r="K1620" i="23" s="1"/>
  <c r="E1620" i="23"/>
  <c r="F1620" i="23"/>
  <c r="G1620" i="23"/>
  <c r="B1621" i="23"/>
  <c r="M1563" i="23"/>
  <c r="J1563" i="23"/>
  <c r="N1563" i="23" s="1"/>
  <c r="W1563" i="23" s="1"/>
  <c r="D1563" i="23"/>
  <c r="O1563" i="23"/>
  <c r="AB1563" i="23"/>
  <c r="AC1563" i="23"/>
  <c r="P1563" i="23"/>
  <c r="Q1563" i="23"/>
  <c r="R1563" i="23"/>
  <c r="X1563" i="23"/>
  <c r="AF1563" i="23"/>
  <c r="L1564" i="23"/>
  <c r="I1564" i="23"/>
  <c r="C1564" i="23"/>
  <c r="K1564" i="23" s="1"/>
  <c r="E1564" i="23"/>
  <c r="F1564" i="23"/>
  <c r="G1564" i="23"/>
  <c r="B1565" i="23"/>
  <c r="J1507" i="23"/>
  <c r="D1507" i="23"/>
  <c r="P1507" i="23"/>
  <c r="Q1507" i="23"/>
  <c r="R1507" i="23"/>
  <c r="X1507" i="23"/>
  <c r="AF1507" i="23"/>
  <c r="L1508" i="23"/>
  <c r="I1508" i="23"/>
  <c r="C1508" i="23"/>
  <c r="E1508" i="23"/>
  <c r="G1508" i="23"/>
  <c r="B1509" i="23"/>
  <c r="M1451" i="23"/>
  <c r="J1451" i="23"/>
  <c r="N1451" i="23" s="1"/>
  <c r="W1451" i="23" s="1"/>
  <c r="D1451" i="23"/>
  <c r="O1451" i="23"/>
  <c r="AB1451" i="23"/>
  <c r="AC1451" i="23" s="1"/>
  <c r="P1451" i="23"/>
  <c r="Q1451" i="23"/>
  <c r="R1451" i="23"/>
  <c r="X1451" i="23"/>
  <c r="AF1451" i="23"/>
  <c r="L1452" i="23"/>
  <c r="I1452" i="23"/>
  <c r="C1452" i="23"/>
  <c r="E1452" i="23"/>
  <c r="G1452" i="23"/>
  <c r="B1453" i="23"/>
  <c r="M1395" i="23"/>
  <c r="P1395" i="23"/>
  <c r="Q1395" i="23"/>
  <c r="R1395" i="23"/>
  <c r="AF1395" i="23"/>
  <c r="X1395" i="23"/>
  <c r="J1395" i="23"/>
  <c r="N1395" i="23" s="1"/>
  <c r="W1395" i="23" s="1"/>
  <c r="D1395" i="23"/>
  <c r="O1395" i="23"/>
  <c r="Y1395" i="23" s="1"/>
  <c r="AB1395" i="23"/>
  <c r="AC1395" i="23" s="1"/>
  <c r="L1396" i="23"/>
  <c r="I1396" i="23"/>
  <c r="C1396" i="23"/>
  <c r="E1396" i="23"/>
  <c r="G1396" i="23"/>
  <c r="B1397" i="23"/>
  <c r="AD1338" i="23"/>
  <c r="M1339" i="23"/>
  <c r="J1339" i="23"/>
  <c r="D1339" i="23"/>
  <c r="O1339" i="23"/>
  <c r="Y1339" i="23" s="1"/>
  <c r="AB1339" i="23"/>
  <c r="AC1339" i="23"/>
  <c r="P1339" i="23"/>
  <c r="Q1339" i="23"/>
  <c r="R1339" i="23"/>
  <c r="AF1339" i="23"/>
  <c r="L1340" i="23"/>
  <c r="I1340" i="23"/>
  <c r="C1340" i="23"/>
  <c r="K1340" i="23" s="1"/>
  <c r="E1340" i="23"/>
  <c r="F1340" i="23"/>
  <c r="G1340" i="23"/>
  <c r="B1341" i="23"/>
  <c r="M1283" i="23"/>
  <c r="J1283" i="23"/>
  <c r="N1283" i="23" s="1"/>
  <c r="W1283" i="23" s="1"/>
  <c r="D1283" i="23"/>
  <c r="O1283" i="23"/>
  <c r="Y1283" i="23" s="1"/>
  <c r="AB1283" i="23"/>
  <c r="AC1283" i="23"/>
  <c r="P1283" i="23"/>
  <c r="Q1283" i="23"/>
  <c r="R1283" i="23"/>
  <c r="X1283" i="23"/>
  <c r="AF1283" i="23"/>
  <c r="L1284" i="23"/>
  <c r="I1284" i="23"/>
  <c r="C1284" i="23"/>
  <c r="K1284" i="23" s="1"/>
  <c r="E1284" i="23"/>
  <c r="F1284" i="23"/>
  <c r="G1284" i="23"/>
  <c r="B1285" i="23"/>
  <c r="M1227" i="23"/>
  <c r="J1227" i="23"/>
  <c r="N1227" i="23" s="1"/>
  <c r="W1227" i="23" s="1"/>
  <c r="D1227" i="23"/>
  <c r="O1227" i="23"/>
  <c r="Y1227" i="23" s="1"/>
  <c r="AB1227" i="23"/>
  <c r="AC1227" i="23"/>
  <c r="P1227" i="23"/>
  <c r="Q1227" i="23"/>
  <c r="R1227" i="23"/>
  <c r="X1227" i="23"/>
  <c r="AF1227" i="23"/>
  <c r="L1228" i="23"/>
  <c r="I1228" i="23"/>
  <c r="C1228" i="23"/>
  <c r="E1228" i="23"/>
  <c r="G1228" i="23"/>
  <c r="B1229" i="23"/>
  <c r="J1171" i="23"/>
  <c r="D1171" i="23"/>
  <c r="P1171" i="23"/>
  <c r="Q1171" i="23"/>
  <c r="R1171" i="23"/>
  <c r="X1171" i="23"/>
  <c r="AF1171" i="23"/>
  <c r="L1172" i="23"/>
  <c r="I1172" i="23"/>
  <c r="C1172" i="23"/>
  <c r="K1172" i="23" s="1"/>
  <c r="E1172" i="23"/>
  <c r="F1172" i="23"/>
  <c r="G1172" i="23"/>
  <c r="B1173" i="23"/>
  <c r="AD1114" i="23"/>
  <c r="M1115" i="23"/>
  <c r="J1115" i="23"/>
  <c r="N1115" i="23" s="1"/>
  <c r="W1115" i="23" s="1"/>
  <c r="D1115" i="23"/>
  <c r="O1115" i="23"/>
  <c r="Y1115" i="23" s="1"/>
  <c r="AB1115" i="23"/>
  <c r="AC1115" i="23" s="1"/>
  <c r="P1115" i="23"/>
  <c r="Q1115" i="23"/>
  <c r="R1115" i="23"/>
  <c r="X1115" i="23"/>
  <c r="AF1115" i="23"/>
  <c r="L1116" i="23"/>
  <c r="I1116" i="23"/>
  <c r="C1116" i="23"/>
  <c r="E1116" i="23"/>
  <c r="G1116" i="23"/>
  <c r="B1117" i="23"/>
  <c r="M1059" i="23"/>
  <c r="J1059" i="23"/>
  <c r="N1059" i="23" s="1"/>
  <c r="W1059" i="23" s="1"/>
  <c r="D1059" i="23"/>
  <c r="O1059" i="23"/>
  <c r="Y1059" i="23" s="1"/>
  <c r="AB1059" i="23"/>
  <c r="AC1059" i="23"/>
  <c r="P1059" i="23"/>
  <c r="Q1059" i="23"/>
  <c r="R1059" i="23"/>
  <c r="X1059" i="23"/>
  <c r="AF1059" i="23"/>
  <c r="L1060" i="23"/>
  <c r="I1060" i="23"/>
  <c r="C1060" i="23"/>
  <c r="K1060" i="23" s="1"/>
  <c r="E1060" i="23"/>
  <c r="F1060" i="23"/>
  <c r="G1060" i="23"/>
  <c r="B1061" i="23"/>
  <c r="M1003" i="23"/>
  <c r="J1003" i="23"/>
  <c r="N1003" i="23" s="1"/>
  <c r="W1003" i="23" s="1"/>
  <c r="D1003" i="23"/>
  <c r="O1003" i="23"/>
  <c r="Y1003" i="23" s="1"/>
  <c r="AB1003" i="23"/>
  <c r="AC1003" i="23" s="1"/>
  <c r="P1003" i="23"/>
  <c r="Q1003" i="23"/>
  <c r="R1003" i="23"/>
  <c r="X1003" i="23"/>
  <c r="AF1003" i="23"/>
  <c r="L1004" i="23"/>
  <c r="I1004" i="23"/>
  <c r="C1004" i="23"/>
  <c r="K1004" i="23" s="1"/>
  <c r="E1004" i="23"/>
  <c r="F1004" i="23"/>
  <c r="G1004" i="23"/>
  <c r="B1005" i="23"/>
  <c r="M947" i="23"/>
  <c r="J947" i="23"/>
  <c r="N947" i="23" s="1"/>
  <c r="W947" i="23" s="1"/>
  <c r="D947" i="23"/>
  <c r="O947" i="23"/>
  <c r="Y947" i="23" s="1"/>
  <c r="AB947" i="23"/>
  <c r="AC947" i="23"/>
  <c r="P947" i="23"/>
  <c r="Q947" i="23"/>
  <c r="R947" i="23"/>
  <c r="X947" i="23"/>
  <c r="AF947" i="23"/>
  <c r="L948" i="23"/>
  <c r="I948" i="23"/>
  <c r="C948" i="23"/>
  <c r="K948" i="23" s="1"/>
  <c r="E948" i="23"/>
  <c r="F948" i="23"/>
  <c r="G948" i="23"/>
  <c r="B949" i="23"/>
  <c r="AD890" i="23"/>
  <c r="M891" i="23"/>
  <c r="J891" i="23"/>
  <c r="N891" i="23" s="1"/>
  <c r="W891" i="23" s="1"/>
  <c r="D891" i="23"/>
  <c r="O891" i="23"/>
  <c r="Y891" i="23" s="1"/>
  <c r="AB891" i="23"/>
  <c r="AC891" i="23"/>
  <c r="P891" i="23"/>
  <c r="Q891" i="23"/>
  <c r="R891" i="23"/>
  <c r="X891" i="23"/>
  <c r="AF891" i="23"/>
  <c r="L892" i="23"/>
  <c r="I892" i="23"/>
  <c r="C892" i="23"/>
  <c r="K892" i="23" s="1"/>
  <c r="E892" i="23"/>
  <c r="F892" i="23"/>
  <c r="G892" i="23"/>
  <c r="B893" i="23"/>
  <c r="M835" i="23"/>
  <c r="J835" i="23"/>
  <c r="N835" i="23" s="1"/>
  <c r="W835" i="23" s="1"/>
  <c r="D835" i="23"/>
  <c r="O835" i="23"/>
  <c r="Y835" i="23" s="1"/>
  <c r="AB835" i="23"/>
  <c r="AC835" i="23"/>
  <c r="P835" i="23"/>
  <c r="Q835" i="23"/>
  <c r="R835" i="23"/>
  <c r="X835" i="23"/>
  <c r="AF835" i="23"/>
  <c r="L836" i="23"/>
  <c r="I836" i="23"/>
  <c r="C836" i="23"/>
  <c r="E836" i="23"/>
  <c r="G836" i="23"/>
  <c r="B837" i="23"/>
  <c r="M779" i="23"/>
  <c r="J779" i="23"/>
  <c r="N779" i="23" s="1"/>
  <c r="W779" i="23" s="1"/>
  <c r="D779" i="23"/>
  <c r="O779" i="23"/>
  <c r="Y779" i="23" s="1"/>
  <c r="AB779" i="23"/>
  <c r="AC779" i="23"/>
  <c r="P779" i="23"/>
  <c r="Q779" i="23"/>
  <c r="R779" i="23"/>
  <c r="X779" i="23"/>
  <c r="AF779" i="23"/>
  <c r="L780" i="23"/>
  <c r="I780" i="23"/>
  <c r="C780" i="23"/>
  <c r="K780" i="23" s="1"/>
  <c r="E780" i="23"/>
  <c r="F780" i="23"/>
  <c r="G780" i="23"/>
  <c r="B781" i="23"/>
  <c r="AG722" i="23"/>
  <c r="AD722" i="23"/>
  <c r="M723" i="23"/>
  <c r="AB723" i="23"/>
  <c r="O723" i="23"/>
  <c r="Y723" i="23" s="1"/>
  <c r="AC723" i="23"/>
  <c r="P723" i="23"/>
  <c r="Q723" i="23"/>
  <c r="R723" i="23"/>
  <c r="AF723" i="23"/>
  <c r="X723" i="23"/>
  <c r="L724" i="23"/>
  <c r="I724" i="23"/>
  <c r="E724" i="23"/>
  <c r="C724" i="23"/>
  <c r="G724" i="23"/>
  <c r="B725" i="23"/>
  <c r="J723" i="23"/>
  <c r="N723" i="23" s="1"/>
  <c r="W723" i="23" s="1"/>
  <c r="D723" i="23"/>
  <c r="AD666" i="23"/>
  <c r="M667" i="23"/>
  <c r="J667" i="23"/>
  <c r="N667" i="23" s="1"/>
  <c r="W667" i="23" s="1"/>
  <c r="D667" i="23"/>
  <c r="O667" i="23"/>
  <c r="Y667" i="23" s="1"/>
  <c r="AB667" i="23"/>
  <c r="AC667" i="23"/>
  <c r="P667" i="23"/>
  <c r="Q667" i="23"/>
  <c r="R667" i="23"/>
  <c r="X667" i="23"/>
  <c r="AF667" i="23"/>
  <c r="L668" i="23"/>
  <c r="I668" i="23"/>
  <c r="C668" i="23"/>
  <c r="K668" i="23" s="1"/>
  <c r="E668" i="23"/>
  <c r="F668" i="23"/>
  <c r="G668" i="23"/>
  <c r="B669" i="23"/>
  <c r="M611" i="23"/>
  <c r="J611" i="23"/>
  <c r="N611" i="23" s="1"/>
  <c r="W611" i="23" s="1"/>
  <c r="D611" i="23"/>
  <c r="O611" i="23"/>
  <c r="Y611" i="23" s="1"/>
  <c r="AB611" i="23"/>
  <c r="AC611" i="23"/>
  <c r="P611" i="23"/>
  <c r="Q611" i="23"/>
  <c r="R611" i="23"/>
  <c r="X611" i="23"/>
  <c r="AF611" i="23"/>
  <c r="L612" i="23"/>
  <c r="I612" i="23"/>
  <c r="C612" i="23"/>
  <c r="K612" i="23" s="1"/>
  <c r="E612" i="23"/>
  <c r="F612" i="23"/>
  <c r="G612" i="23"/>
  <c r="B613" i="23"/>
  <c r="M555" i="23"/>
  <c r="J555" i="23"/>
  <c r="N555" i="23" s="1"/>
  <c r="W555" i="23" s="1"/>
  <c r="D555" i="23"/>
  <c r="O555" i="23"/>
  <c r="Y555" i="23" s="1"/>
  <c r="AB555" i="23"/>
  <c r="AC555" i="23" s="1"/>
  <c r="P555" i="23"/>
  <c r="Q555" i="23"/>
  <c r="R555" i="23"/>
  <c r="X555" i="23"/>
  <c r="AF555" i="23"/>
  <c r="L556" i="23"/>
  <c r="I556" i="23"/>
  <c r="C556" i="23"/>
  <c r="K556" i="23" s="1"/>
  <c r="E556" i="23"/>
  <c r="F556" i="23"/>
  <c r="G556" i="23"/>
  <c r="B557" i="23"/>
  <c r="J499" i="23"/>
  <c r="D499" i="23"/>
  <c r="P499" i="23"/>
  <c r="Q499" i="23"/>
  <c r="R499" i="23"/>
  <c r="X499" i="23"/>
  <c r="AF499" i="23"/>
  <c r="L500" i="23"/>
  <c r="I500" i="23"/>
  <c r="C500" i="23"/>
  <c r="K500" i="23" s="1"/>
  <c r="E500" i="23"/>
  <c r="F500" i="23"/>
  <c r="G500" i="23"/>
  <c r="B501" i="23"/>
  <c r="M443" i="23"/>
  <c r="L444" i="23"/>
  <c r="I444" i="23"/>
  <c r="G444" i="23"/>
  <c r="C444" i="23"/>
  <c r="K444" i="23" s="1"/>
  <c r="B445" i="23"/>
  <c r="E444" i="23"/>
  <c r="F444" i="23"/>
  <c r="J443" i="23"/>
  <c r="N443" i="23" s="1"/>
  <c r="W443" i="23" s="1"/>
  <c r="D443" i="23"/>
  <c r="P443" i="23"/>
  <c r="Q443" i="23"/>
  <c r="R443" i="23"/>
  <c r="AF443" i="23"/>
  <c r="X443" i="23"/>
  <c r="AB443" i="23"/>
  <c r="O443" i="23"/>
  <c r="Y443" i="23" s="1"/>
  <c r="AC443" i="23"/>
  <c r="J387" i="23"/>
  <c r="D387" i="23"/>
  <c r="P387" i="23"/>
  <c r="Q387" i="23"/>
  <c r="R387" i="23"/>
  <c r="X387" i="23"/>
  <c r="AF387" i="23"/>
  <c r="L388" i="23"/>
  <c r="I388" i="23"/>
  <c r="C388" i="23"/>
  <c r="E388" i="23"/>
  <c r="G388" i="23"/>
  <c r="B389" i="23"/>
  <c r="M331" i="23"/>
  <c r="J331" i="23"/>
  <c r="N331" i="23" s="1"/>
  <c r="W331" i="23" s="1"/>
  <c r="D331" i="23"/>
  <c r="O331" i="23"/>
  <c r="Y331" i="23" s="1"/>
  <c r="AB331" i="23"/>
  <c r="AC331" i="23"/>
  <c r="P331" i="23"/>
  <c r="Q331" i="23"/>
  <c r="R331" i="23"/>
  <c r="X331" i="23"/>
  <c r="AF331" i="23"/>
  <c r="L332" i="23"/>
  <c r="I332" i="23"/>
  <c r="C332" i="23"/>
  <c r="K332" i="23" s="1"/>
  <c r="E332" i="23"/>
  <c r="F332" i="23"/>
  <c r="G332" i="23"/>
  <c r="B333" i="23"/>
  <c r="M275" i="23"/>
  <c r="J275" i="23"/>
  <c r="N275" i="23" s="1"/>
  <c r="W275" i="23" s="1"/>
  <c r="D275" i="23"/>
  <c r="O275" i="23"/>
  <c r="Y275" i="23" s="1"/>
  <c r="AB275" i="23"/>
  <c r="AC275" i="23" s="1"/>
  <c r="P275" i="23"/>
  <c r="Q275" i="23"/>
  <c r="R275" i="23"/>
  <c r="X275" i="23"/>
  <c r="AF275" i="23"/>
  <c r="L276" i="23"/>
  <c r="I276" i="23"/>
  <c r="C276" i="23"/>
  <c r="K276" i="23" s="1"/>
  <c r="E276" i="23"/>
  <c r="F276" i="23"/>
  <c r="G276" i="23"/>
  <c r="B277" i="23"/>
  <c r="P93" i="12"/>
  <c r="D4754" i="22"/>
  <c r="J4754" i="22"/>
  <c r="P4754" i="22"/>
  <c r="Q4754" i="22"/>
  <c r="R4754" i="22"/>
  <c r="M4754" i="22"/>
  <c r="N4754" i="22"/>
  <c r="C4755" i="22"/>
  <c r="E4755" i="22"/>
  <c r="F4755" i="22"/>
  <c r="G4755" i="22"/>
  <c r="I4755" i="22"/>
  <c r="K4755" i="22"/>
  <c r="L4755" i="22"/>
  <c r="B4756" i="22"/>
  <c r="S4699" i="22"/>
  <c r="U4699" i="22"/>
  <c r="M4700" i="22"/>
  <c r="D4700" i="22"/>
  <c r="J4700" i="22"/>
  <c r="N4700" i="22" s="1"/>
  <c r="P4700" i="22"/>
  <c r="Q4700" i="22"/>
  <c r="R4700" i="22"/>
  <c r="L4701" i="22"/>
  <c r="C4701" i="22"/>
  <c r="E4701" i="22"/>
  <c r="G4701" i="22"/>
  <c r="I4701" i="22"/>
  <c r="B4702" i="22"/>
  <c r="P4646" i="22"/>
  <c r="Q4646" i="22"/>
  <c r="R4646" i="22"/>
  <c r="C4647" i="22"/>
  <c r="D4647" i="22" s="1"/>
  <c r="E4647" i="22"/>
  <c r="F4647" i="22"/>
  <c r="O4647" i="22" s="1"/>
  <c r="G4647" i="22"/>
  <c r="B4648" i="22"/>
  <c r="M4592" i="22"/>
  <c r="J4592" i="22"/>
  <c r="N4592" i="22" s="1"/>
  <c r="D4592" i="22"/>
  <c r="P4592" i="22"/>
  <c r="Q4592" i="22"/>
  <c r="R4592" i="22"/>
  <c r="I4593" i="22"/>
  <c r="L4593" i="22"/>
  <c r="C4593" i="22"/>
  <c r="K4593" i="22" s="1"/>
  <c r="E4593" i="22"/>
  <c r="F4593" i="22"/>
  <c r="G4593" i="22"/>
  <c r="B4594" i="22"/>
  <c r="D4538" i="22"/>
  <c r="J4538" i="22"/>
  <c r="P4538" i="22"/>
  <c r="Q4538" i="22"/>
  <c r="R4538" i="22"/>
  <c r="L4539" i="22"/>
  <c r="C4539" i="22"/>
  <c r="E4539" i="22"/>
  <c r="G4539" i="22"/>
  <c r="I4539" i="22"/>
  <c r="B4540" i="22"/>
  <c r="D4238" i="22"/>
  <c r="J4238" i="22"/>
  <c r="N4238" i="22" s="1"/>
  <c r="U4238" i="22" s="1"/>
  <c r="P4238" i="22"/>
  <c r="Q4238" i="22"/>
  <c r="R4238" i="22"/>
  <c r="M4238" i="22"/>
  <c r="C4239" i="22"/>
  <c r="F4239" i="22" s="1"/>
  <c r="O4239" i="22" s="1"/>
  <c r="E4239" i="22"/>
  <c r="G4239" i="22"/>
  <c r="I4239" i="22"/>
  <c r="K4239" i="22"/>
  <c r="L4239" i="22"/>
  <c r="B4240" i="22"/>
  <c r="M4184" i="22"/>
  <c r="D4184" i="22"/>
  <c r="J4184" i="22"/>
  <c r="N4184" i="22" s="1"/>
  <c r="U4184" i="22" s="1"/>
  <c r="P4184" i="22"/>
  <c r="Q4184" i="22"/>
  <c r="R4184" i="22"/>
  <c r="L4185" i="22"/>
  <c r="C4185" i="22"/>
  <c r="K4185" i="22" s="1"/>
  <c r="E4185" i="22"/>
  <c r="F4185" i="22"/>
  <c r="O4185" i="22" s="1"/>
  <c r="G4185" i="22"/>
  <c r="I4185" i="22"/>
  <c r="B4186" i="22"/>
  <c r="M4130" i="22"/>
  <c r="D4130" i="22"/>
  <c r="J4130" i="22"/>
  <c r="N4130" i="22" s="1"/>
  <c r="U4130" i="22" s="1"/>
  <c r="P4130" i="22"/>
  <c r="Q4130" i="22"/>
  <c r="R4130" i="22"/>
  <c r="L4131" i="22"/>
  <c r="C4131" i="22"/>
  <c r="K4131" i="22" s="1"/>
  <c r="E4131" i="22"/>
  <c r="F4131" i="22"/>
  <c r="O4131" i="22" s="1"/>
  <c r="G4131" i="22"/>
  <c r="I4131" i="22"/>
  <c r="B4132" i="22"/>
  <c r="D4076" i="22"/>
  <c r="J4076" i="22"/>
  <c r="P4076" i="22"/>
  <c r="Q4076" i="22"/>
  <c r="R4076" i="22"/>
  <c r="L4077" i="22"/>
  <c r="C4077" i="22"/>
  <c r="K4077" i="22" s="1"/>
  <c r="E4077" i="22"/>
  <c r="F4077" i="22"/>
  <c r="O4077" i="22" s="1"/>
  <c r="G4077" i="22"/>
  <c r="I4077" i="22"/>
  <c r="B4078" i="22"/>
  <c r="U3775" i="22"/>
  <c r="AM72" i="22"/>
  <c r="AY72" i="22"/>
  <c r="D3776" i="22"/>
  <c r="J3776" i="22"/>
  <c r="P3776" i="22"/>
  <c r="Q3776" i="22"/>
  <c r="R3776" i="22"/>
  <c r="L3777" i="22"/>
  <c r="C3777" i="22"/>
  <c r="E3777" i="22"/>
  <c r="G3777" i="22"/>
  <c r="I3777" i="22"/>
  <c r="B3778" i="22"/>
  <c r="U3721" i="22"/>
  <c r="AM71" i="22"/>
  <c r="AY71" i="22"/>
  <c r="D3722" i="22"/>
  <c r="J3722" i="22"/>
  <c r="P3722" i="22"/>
  <c r="Q3722" i="22"/>
  <c r="R3722" i="22"/>
  <c r="L3723" i="22"/>
  <c r="C3723" i="22"/>
  <c r="K3723" i="22" s="1"/>
  <c r="E3723" i="22"/>
  <c r="F3723" i="22"/>
  <c r="O3723" i="22" s="1"/>
  <c r="BM71" i="22" s="1"/>
  <c r="G3723" i="22"/>
  <c r="I3723" i="22"/>
  <c r="B3724" i="22"/>
  <c r="D3668" i="22"/>
  <c r="J3668" i="22"/>
  <c r="P3668" i="22"/>
  <c r="Q3668" i="22"/>
  <c r="R3668" i="22"/>
  <c r="L3669" i="22"/>
  <c r="C3669" i="22"/>
  <c r="K3669" i="22" s="1"/>
  <c r="E3669" i="22"/>
  <c r="F3669" i="22"/>
  <c r="O3669" i="22" s="1"/>
  <c r="BM70" i="22" s="1"/>
  <c r="G3669" i="22"/>
  <c r="I3669" i="22"/>
  <c r="B3670" i="22"/>
  <c r="M3614" i="22"/>
  <c r="D3614" i="22"/>
  <c r="J3614" i="22"/>
  <c r="N3614" i="22" s="1"/>
  <c r="P3614" i="22"/>
  <c r="Q3614" i="22"/>
  <c r="R3614" i="22"/>
  <c r="L3615" i="22"/>
  <c r="C3615" i="22"/>
  <c r="E3615" i="22"/>
  <c r="G3615" i="22"/>
  <c r="I3615" i="22"/>
  <c r="B3616" i="22"/>
  <c r="U3559" i="22"/>
  <c r="AM68" i="22"/>
  <c r="AY68" i="22"/>
  <c r="P3560" i="22"/>
  <c r="Q3560" i="22"/>
  <c r="R3560" i="22"/>
  <c r="D3560" i="22"/>
  <c r="J3560" i="22"/>
  <c r="L3561" i="22"/>
  <c r="B3562" i="22"/>
  <c r="C3561" i="22"/>
  <c r="E3561" i="22"/>
  <c r="G3561" i="22"/>
  <c r="I3561" i="22"/>
  <c r="U3505" i="22"/>
  <c r="AM67" i="22"/>
  <c r="AY67" i="22"/>
  <c r="M3506" i="22"/>
  <c r="D3506" i="22"/>
  <c r="J3506" i="22"/>
  <c r="N3506" i="22" s="1"/>
  <c r="P3506" i="22"/>
  <c r="Q3506" i="22"/>
  <c r="R3506" i="22"/>
  <c r="L3507" i="22"/>
  <c r="C3507" i="22"/>
  <c r="K3507" i="22" s="1"/>
  <c r="E3507" i="22"/>
  <c r="F3507" i="22"/>
  <c r="O3507" i="22" s="1"/>
  <c r="G3507" i="22"/>
  <c r="I3507" i="22"/>
  <c r="B3508" i="22"/>
  <c r="U3451" i="22"/>
  <c r="AM66" i="22"/>
  <c r="AY66" i="22"/>
  <c r="M3452" i="22"/>
  <c r="D3452" i="22"/>
  <c r="J3452" i="22"/>
  <c r="N3452" i="22" s="1"/>
  <c r="P3452" i="22"/>
  <c r="Q3452" i="22"/>
  <c r="R3452" i="22"/>
  <c r="L3453" i="22"/>
  <c r="C3453" i="22"/>
  <c r="K3453" i="22" s="1"/>
  <c r="E3453" i="22"/>
  <c r="F3453" i="22"/>
  <c r="O3453" i="22" s="1"/>
  <c r="G3453" i="22"/>
  <c r="I3453" i="22"/>
  <c r="B3454" i="22"/>
  <c r="U3397" i="22"/>
  <c r="AM65" i="22"/>
  <c r="AY65" i="22"/>
  <c r="D3398" i="22"/>
  <c r="J3398" i="22"/>
  <c r="P3398" i="22"/>
  <c r="Q3398" i="22"/>
  <c r="R3398" i="22"/>
  <c r="L3399" i="22"/>
  <c r="C3399" i="22"/>
  <c r="E3399" i="22"/>
  <c r="G3399" i="22"/>
  <c r="I3399" i="22"/>
  <c r="B3400" i="22"/>
  <c r="M3344" i="22"/>
  <c r="D3344" i="22"/>
  <c r="J3344" i="22"/>
  <c r="N3344" i="22" s="1"/>
  <c r="P3344" i="22"/>
  <c r="Q3344" i="22"/>
  <c r="R3344" i="22"/>
  <c r="L3345" i="22"/>
  <c r="C3345" i="22"/>
  <c r="K3345" i="22" s="1"/>
  <c r="E3345" i="22"/>
  <c r="F3345" i="22"/>
  <c r="O3345" i="22" s="1"/>
  <c r="G3345" i="22"/>
  <c r="I3345" i="22"/>
  <c r="B3346" i="22"/>
  <c r="M3290" i="22"/>
  <c r="D3290" i="22"/>
  <c r="J3290" i="22"/>
  <c r="N3290" i="22" s="1"/>
  <c r="P3290" i="22"/>
  <c r="Q3290" i="22"/>
  <c r="R3290" i="22"/>
  <c r="L3291" i="22"/>
  <c r="C3291" i="22"/>
  <c r="E3291" i="22"/>
  <c r="G3291" i="22"/>
  <c r="I3291" i="22"/>
  <c r="B3292" i="22"/>
  <c r="U3235" i="22"/>
  <c r="AM62" i="22"/>
  <c r="AY62" i="22"/>
  <c r="M3236" i="22"/>
  <c r="D3236" i="22"/>
  <c r="J3236" i="22"/>
  <c r="N3236" i="22" s="1"/>
  <c r="P3236" i="22"/>
  <c r="Q3236" i="22"/>
  <c r="R3236" i="22"/>
  <c r="L3237" i="22"/>
  <c r="C3237" i="22"/>
  <c r="E3237" i="22"/>
  <c r="G3237" i="22"/>
  <c r="I3237" i="22"/>
  <c r="B3238" i="22"/>
  <c r="U3181" i="22"/>
  <c r="AM61" i="22"/>
  <c r="AY61" i="22"/>
  <c r="M3182" i="22"/>
  <c r="D3182" i="22"/>
  <c r="J3182" i="22"/>
  <c r="N3182" i="22" s="1"/>
  <c r="P3182" i="22"/>
  <c r="Q3182" i="22"/>
  <c r="R3182" i="22"/>
  <c r="L3183" i="22"/>
  <c r="C3183" i="22"/>
  <c r="E3183" i="22"/>
  <c r="G3183" i="22"/>
  <c r="I3183" i="22"/>
  <c r="B3184" i="22"/>
  <c r="U3127" i="22"/>
  <c r="AM60" i="22"/>
  <c r="AY60" i="22"/>
  <c r="D3128" i="22"/>
  <c r="J3128" i="22"/>
  <c r="P3128" i="22"/>
  <c r="Q3128" i="22"/>
  <c r="R3128" i="22"/>
  <c r="L3129" i="22"/>
  <c r="C3129" i="22"/>
  <c r="E3129" i="22"/>
  <c r="G3129" i="22"/>
  <c r="I3129" i="22"/>
  <c r="B3130" i="22"/>
  <c r="L3075" i="22"/>
  <c r="I3075" i="22"/>
  <c r="B3076" i="22"/>
  <c r="C3075" i="22"/>
  <c r="E3075" i="22"/>
  <c r="G3075" i="22"/>
  <c r="D3074" i="22"/>
  <c r="J3074" i="22"/>
  <c r="P3074" i="22"/>
  <c r="Q3074" i="22"/>
  <c r="R3074" i="22"/>
  <c r="U3019" i="22"/>
  <c r="AM58" i="22"/>
  <c r="AY58" i="22"/>
  <c r="D3020" i="22"/>
  <c r="J3020" i="22"/>
  <c r="P3020" i="22"/>
  <c r="Q3020" i="22"/>
  <c r="R3020" i="22"/>
  <c r="L3021" i="22"/>
  <c r="C3021" i="22"/>
  <c r="K3021" i="22" s="1"/>
  <c r="E3021" i="22"/>
  <c r="F3021" i="22"/>
  <c r="O3021" i="22" s="1"/>
  <c r="BM58" i="22" s="1"/>
  <c r="G3021" i="22"/>
  <c r="B3022" i="22"/>
  <c r="I3021" i="22"/>
  <c r="M2966" i="22"/>
  <c r="J2966" i="22"/>
  <c r="N2966" i="22" s="1"/>
  <c r="D2966" i="22"/>
  <c r="P2966" i="22"/>
  <c r="Q2966" i="22"/>
  <c r="R2966" i="22"/>
  <c r="L2967" i="22"/>
  <c r="I2967" i="22"/>
  <c r="C2967" i="22"/>
  <c r="K2967" i="22" s="1"/>
  <c r="E2967" i="22"/>
  <c r="F2967" i="22"/>
  <c r="O2967" i="22" s="1"/>
  <c r="G2967" i="22"/>
  <c r="B2968" i="22"/>
  <c r="L2913" i="22"/>
  <c r="I2913" i="22"/>
  <c r="E2913" i="22"/>
  <c r="G2913" i="22"/>
  <c r="B2914" i="22"/>
  <c r="C2913" i="22"/>
  <c r="P2912" i="22"/>
  <c r="Q2912" i="22"/>
  <c r="R2912" i="22"/>
  <c r="J2912" i="22"/>
  <c r="D2912" i="22"/>
  <c r="U2857" i="22"/>
  <c r="AM55" i="22"/>
  <c r="AY55" i="22"/>
  <c r="M2858" i="22"/>
  <c r="D2858" i="22"/>
  <c r="J2858" i="22"/>
  <c r="N2858" i="22" s="1"/>
  <c r="P2858" i="22"/>
  <c r="Q2858" i="22"/>
  <c r="R2858" i="22"/>
  <c r="L2859" i="22"/>
  <c r="C2859" i="22"/>
  <c r="E2859" i="22"/>
  <c r="G2859" i="22"/>
  <c r="I2859" i="22"/>
  <c r="B2860" i="22"/>
  <c r="S2803" i="22"/>
  <c r="AM54" i="22"/>
  <c r="AY54" i="22"/>
  <c r="AL1618" i="23"/>
  <c r="U2803" i="22"/>
  <c r="M2804" i="22"/>
  <c r="D2804" i="22"/>
  <c r="J2804" i="22"/>
  <c r="N2804" i="22" s="1"/>
  <c r="P2804" i="22"/>
  <c r="Q2804" i="22"/>
  <c r="R2804" i="22"/>
  <c r="T2804" i="22"/>
  <c r="L2805" i="22"/>
  <c r="C2805" i="22"/>
  <c r="K2805" i="22" s="1"/>
  <c r="E2805" i="22"/>
  <c r="F2805" i="22"/>
  <c r="O2805" i="22" s="1"/>
  <c r="BM54" i="22" s="1"/>
  <c r="G2805" i="22"/>
  <c r="I2805" i="22"/>
  <c r="B2806" i="22"/>
  <c r="U2749" i="22"/>
  <c r="AM53" i="22"/>
  <c r="AY53" i="22"/>
  <c r="M2750" i="22"/>
  <c r="D2750" i="22"/>
  <c r="J2750" i="22"/>
  <c r="N2750" i="22" s="1"/>
  <c r="P2750" i="22"/>
  <c r="Q2750" i="22"/>
  <c r="R2750" i="22"/>
  <c r="L2751" i="22"/>
  <c r="C2751" i="22"/>
  <c r="K2751" i="22" s="1"/>
  <c r="E2751" i="22"/>
  <c r="F2751" i="22"/>
  <c r="O2751" i="22" s="1"/>
  <c r="G2751" i="22"/>
  <c r="I2751" i="22"/>
  <c r="B2752" i="22"/>
  <c r="U2695" i="22"/>
  <c r="AM52" i="22"/>
  <c r="AY52" i="22"/>
  <c r="M2696" i="22"/>
  <c r="D2696" i="22"/>
  <c r="J2696" i="22"/>
  <c r="N2696" i="22" s="1"/>
  <c r="P2696" i="22"/>
  <c r="Q2696" i="22"/>
  <c r="R2696" i="22"/>
  <c r="L2697" i="22"/>
  <c r="C2697" i="22"/>
  <c r="K2697" i="22" s="1"/>
  <c r="E2697" i="22"/>
  <c r="F2697" i="22"/>
  <c r="O2697" i="22" s="1"/>
  <c r="G2697" i="22"/>
  <c r="I2697" i="22"/>
  <c r="B2698" i="22"/>
  <c r="U2641" i="22"/>
  <c r="AM51" i="22"/>
  <c r="AY51" i="22"/>
  <c r="M2642" i="22"/>
  <c r="D2642" i="22"/>
  <c r="J2642" i="22"/>
  <c r="N2642" i="22" s="1"/>
  <c r="P2642" i="22"/>
  <c r="Q2642" i="22"/>
  <c r="R2642" i="22"/>
  <c r="L2643" i="22"/>
  <c r="C2643" i="22"/>
  <c r="K2643" i="22" s="1"/>
  <c r="E2643" i="22"/>
  <c r="F2643" i="22"/>
  <c r="O2643" i="22" s="1"/>
  <c r="G2643" i="22"/>
  <c r="I2643" i="22"/>
  <c r="B2644" i="22"/>
  <c r="M2588" i="22"/>
  <c r="J2588" i="22"/>
  <c r="N2588" i="22" s="1"/>
  <c r="D2588" i="22"/>
  <c r="L2589" i="22"/>
  <c r="G2589" i="22"/>
  <c r="B2590" i="22"/>
  <c r="C2589" i="22"/>
  <c r="E2589" i="22"/>
  <c r="I2589" i="22"/>
  <c r="P2588" i="22"/>
  <c r="Q2588" i="22"/>
  <c r="R2588" i="22"/>
  <c r="U2533" i="22"/>
  <c r="AM49" i="22"/>
  <c r="AY49" i="22"/>
  <c r="M2534" i="22"/>
  <c r="D2534" i="22"/>
  <c r="J2534" i="22"/>
  <c r="N2534" i="22" s="1"/>
  <c r="P2534" i="22"/>
  <c r="Q2534" i="22"/>
  <c r="R2534" i="22"/>
  <c r="L2535" i="22"/>
  <c r="C2535" i="22"/>
  <c r="K2535" i="22" s="1"/>
  <c r="E2535" i="22"/>
  <c r="F2535" i="22"/>
  <c r="O2535" i="22" s="1"/>
  <c r="BM49" i="22" s="1"/>
  <c r="G2535" i="22"/>
  <c r="I2535" i="22"/>
  <c r="B2536" i="22"/>
  <c r="U2479" i="22"/>
  <c r="AM48" i="22"/>
  <c r="AY48" i="22"/>
  <c r="M2480" i="22"/>
  <c r="D2480" i="22"/>
  <c r="J2480" i="22"/>
  <c r="N2480" i="22" s="1"/>
  <c r="P2480" i="22"/>
  <c r="Q2480" i="22"/>
  <c r="R2480" i="22"/>
  <c r="L2481" i="22"/>
  <c r="C2481" i="22"/>
  <c r="K2481" i="22" s="1"/>
  <c r="E2481" i="22"/>
  <c r="F2481" i="22"/>
  <c r="O2481" i="22" s="1"/>
  <c r="G2481" i="22"/>
  <c r="I2481" i="22"/>
  <c r="B2482" i="22"/>
  <c r="U2425" i="22"/>
  <c r="AM47" i="22"/>
  <c r="AY47" i="22"/>
  <c r="M2426" i="22"/>
  <c r="D2426" i="22"/>
  <c r="J2426" i="22"/>
  <c r="N2426" i="22" s="1"/>
  <c r="P2426" i="22"/>
  <c r="Q2426" i="22"/>
  <c r="R2426" i="22"/>
  <c r="L2427" i="22"/>
  <c r="C2427" i="22"/>
  <c r="K2427" i="22" s="1"/>
  <c r="E2427" i="22"/>
  <c r="F2427" i="22"/>
  <c r="O2427" i="22" s="1"/>
  <c r="G2427" i="22"/>
  <c r="I2427" i="22"/>
  <c r="B2428" i="22"/>
  <c r="U2371" i="22"/>
  <c r="AM46" i="22"/>
  <c r="AY46" i="22"/>
  <c r="D2372" i="22"/>
  <c r="J2372" i="22"/>
  <c r="P2372" i="22"/>
  <c r="Q2372" i="22"/>
  <c r="R2372" i="22"/>
  <c r="L2373" i="22"/>
  <c r="C2373" i="22"/>
  <c r="K2373" i="22" s="1"/>
  <c r="E2373" i="22"/>
  <c r="F2373" i="22"/>
  <c r="O2373" i="22" s="1"/>
  <c r="BM46" i="22" s="1"/>
  <c r="G2373" i="22"/>
  <c r="I2373" i="22"/>
  <c r="B2374" i="22"/>
  <c r="U2317" i="22"/>
  <c r="AM45" i="22"/>
  <c r="AY45" i="22"/>
  <c r="D2318" i="22"/>
  <c r="M2318" i="22" s="1"/>
  <c r="J2318" i="22"/>
  <c r="P2318" i="22"/>
  <c r="Q2318" i="22"/>
  <c r="R2318" i="22"/>
  <c r="L2319" i="22"/>
  <c r="C2319" i="22"/>
  <c r="E2319" i="22"/>
  <c r="G2319" i="22"/>
  <c r="I2319" i="22"/>
  <c r="B2320" i="22"/>
  <c r="M2264" i="22"/>
  <c r="D2264" i="22"/>
  <c r="J2264" i="22"/>
  <c r="N2264" i="22" s="1"/>
  <c r="P2264" i="22"/>
  <c r="Q2264" i="22"/>
  <c r="R2264" i="22"/>
  <c r="L2265" i="22"/>
  <c r="C2265" i="22"/>
  <c r="K2265" i="22" s="1"/>
  <c r="E2265" i="22"/>
  <c r="F2265" i="22"/>
  <c r="O2265" i="22" s="1"/>
  <c r="G2265" i="22"/>
  <c r="I2265" i="22"/>
  <c r="B2266" i="22"/>
  <c r="U2209" i="22"/>
  <c r="AM43" i="22"/>
  <c r="AY43" i="22"/>
  <c r="M2210" i="22"/>
  <c r="D2210" i="22"/>
  <c r="J2210" i="22"/>
  <c r="N2210" i="22" s="1"/>
  <c r="P2210" i="22"/>
  <c r="Q2210" i="22"/>
  <c r="R2210" i="22"/>
  <c r="L2211" i="22"/>
  <c r="C2211" i="22"/>
  <c r="E2211" i="22"/>
  <c r="G2211" i="22"/>
  <c r="I2211" i="22"/>
  <c r="B2212" i="22"/>
  <c r="U2155" i="22"/>
  <c r="AM42" i="22"/>
  <c r="AY42" i="22"/>
  <c r="M2156" i="22"/>
  <c r="D2156" i="22"/>
  <c r="J2156" i="22"/>
  <c r="N2156" i="22" s="1"/>
  <c r="P2156" i="22"/>
  <c r="Q2156" i="22"/>
  <c r="R2156" i="22"/>
  <c r="L2157" i="22"/>
  <c r="C2157" i="22"/>
  <c r="K2157" i="22" s="1"/>
  <c r="E2157" i="22"/>
  <c r="F2157" i="22"/>
  <c r="O2157" i="22" s="1"/>
  <c r="G2157" i="22"/>
  <c r="I2157" i="22"/>
  <c r="B2158" i="22"/>
  <c r="U2101" i="22"/>
  <c r="AM41" i="22"/>
  <c r="AY41" i="22"/>
  <c r="D2102" i="22"/>
  <c r="J2102" i="22"/>
  <c r="P2102" i="22"/>
  <c r="Q2102" i="22"/>
  <c r="R2102" i="22"/>
  <c r="L2103" i="22"/>
  <c r="C2103" i="22"/>
  <c r="K2103" i="22" s="1"/>
  <c r="E2103" i="22"/>
  <c r="F2103" i="22"/>
  <c r="O2103" i="22" s="1"/>
  <c r="BM41" i="22" s="1"/>
  <c r="G2103" i="22"/>
  <c r="I2103" i="22"/>
  <c r="B2104" i="22"/>
  <c r="U2047" i="22"/>
  <c r="AM40" i="22"/>
  <c r="AY40" i="22"/>
  <c r="D2048" i="22"/>
  <c r="J2048" i="22"/>
  <c r="P2048" i="22"/>
  <c r="Q2048" i="22"/>
  <c r="R2048" i="22"/>
  <c r="L2049" i="22"/>
  <c r="C2049" i="22"/>
  <c r="K2049" i="22" s="1"/>
  <c r="E2049" i="22"/>
  <c r="F2049" i="22"/>
  <c r="O2049" i="22" s="1"/>
  <c r="BM40" i="22" s="1"/>
  <c r="G2049" i="22"/>
  <c r="I2049" i="22"/>
  <c r="B2050" i="22"/>
  <c r="U1993" i="22"/>
  <c r="AM39" i="22"/>
  <c r="AY39" i="22"/>
  <c r="M1994" i="22"/>
  <c r="D1994" i="22"/>
  <c r="J1994" i="22"/>
  <c r="N1994" i="22" s="1"/>
  <c r="P1994" i="22"/>
  <c r="Q1994" i="22"/>
  <c r="R1994" i="22"/>
  <c r="L1995" i="22"/>
  <c r="C1995" i="22"/>
  <c r="K1995" i="22" s="1"/>
  <c r="E1995" i="22"/>
  <c r="F1995" i="22"/>
  <c r="O1995" i="22" s="1"/>
  <c r="G1995" i="22"/>
  <c r="I1995" i="22"/>
  <c r="B1996" i="22"/>
  <c r="M1940" i="22"/>
  <c r="D1940" i="22"/>
  <c r="J1940" i="22"/>
  <c r="N1940" i="22" s="1"/>
  <c r="P1940" i="22"/>
  <c r="Q1940" i="22"/>
  <c r="R1940" i="22"/>
  <c r="L1941" i="22"/>
  <c r="C1941" i="22"/>
  <c r="E1941" i="22"/>
  <c r="G1941" i="22"/>
  <c r="I1941" i="22"/>
  <c r="B1942" i="22"/>
  <c r="M1886" i="22"/>
  <c r="D1886" i="22"/>
  <c r="J1886" i="22"/>
  <c r="N1886" i="22" s="1"/>
  <c r="P1886" i="22"/>
  <c r="Q1886" i="22"/>
  <c r="R1886" i="22"/>
  <c r="L1887" i="22"/>
  <c r="C1887" i="22"/>
  <c r="K1887" i="22" s="1"/>
  <c r="E1887" i="22"/>
  <c r="F1887" i="22"/>
  <c r="O1887" i="22" s="1"/>
  <c r="G1887" i="22"/>
  <c r="I1887" i="22"/>
  <c r="B1888" i="22"/>
  <c r="U1831" i="22"/>
  <c r="AM36" i="22"/>
  <c r="AY36" i="22"/>
  <c r="M1832" i="22"/>
  <c r="D1832" i="22"/>
  <c r="J1832" i="22"/>
  <c r="N1832" i="22" s="1"/>
  <c r="P1832" i="22"/>
  <c r="Q1832" i="22"/>
  <c r="R1832" i="22"/>
  <c r="L1833" i="22"/>
  <c r="C1833" i="22"/>
  <c r="K1833" i="22" s="1"/>
  <c r="E1833" i="22"/>
  <c r="F1833" i="22"/>
  <c r="O1833" i="22" s="1"/>
  <c r="G1833" i="22"/>
  <c r="I1833" i="22"/>
  <c r="B1834" i="22"/>
  <c r="U1777" i="22"/>
  <c r="AM35" i="22"/>
  <c r="AY35" i="22"/>
  <c r="M1778" i="22"/>
  <c r="D1778" i="22"/>
  <c r="J1778" i="22"/>
  <c r="N1778" i="22" s="1"/>
  <c r="P1778" i="22"/>
  <c r="Q1778" i="22"/>
  <c r="R1778" i="22"/>
  <c r="L1779" i="22"/>
  <c r="C1779" i="22"/>
  <c r="K1779" i="22" s="1"/>
  <c r="E1779" i="22"/>
  <c r="F1779" i="22"/>
  <c r="O1779" i="22" s="1"/>
  <c r="G1779" i="22"/>
  <c r="I1779" i="22"/>
  <c r="B1780" i="22"/>
  <c r="U1723" i="22"/>
  <c r="AM34" i="22"/>
  <c r="AY34" i="22"/>
  <c r="D1724" i="22"/>
  <c r="J1724" i="22"/>
  <c r="P1724" i="22"/>
  <c r="Q1724" i="22"/>
  <c r="R1724" i="22"/>
  <c r="L1725" i="22"/>
  <c r="C1725" i="22"/>
  <c r="K1725" i="22" s="1"/>
  <c r="E1725" i="22"/>
  <c r="F1725" i="22"/>
  <c r="O1725" i="22" s="1"/>
  <c r="BM34" i="22" s="1"/>
  <c r="G1725" i="22"/>
  <c r="I1725" i="22"/>
  <c r="B1726" i="22"/>
  <c r="U1669" i="22"/>
  <c r="AM33" i="22"/>
  <c r="AY33" i="22"/>
  <c r="M1670" i="22"/>
  <c r="D1670" i="22"/>
  <c r="J1670" i="22"/>
  <c r="N1670" i="22" s="1"/>
  <c r="P1670" i="22"/>
  <c r="Q1670" i="22"/>
  <c r="R1670" i="22"/>
  <c r="L1671" i="22"/>
  <c r="C1671" i="22"/>
  <c r="E1671" i="22"/>
  <c r="G1671" i="22"/>
  <c r="I1671" i="22"/>
  <c r="B1672" i="22"/>
  <c r="M1616" i="22"/>
  <c r="D1616" i="22"/>
  <c r="J1616" i="22"/>
  <c r="N1616" i="22" s="1"/>
  <c r="P1616" i="22"/>
  <c r="Q1616" i="22"/>
  <c r="R1616" i="22"/>
  <c r="L1617" i="22"/>
  <c r="C1617" i="22"/>
  <c r="E1617" i="22"/>
  <c r="G1617" i="22"/>
  <c r="I1617" i="22"/>
  <c r="B1618" i="22"/>
  <c r="M1562" i="22"/>
  <c r="D1562" i="22"/>
  <c r="J1562" i="22"/>
  <c r="N1562" i="22" s="1"/>
  <c r="P1562" i="22"/>
  <c r="Q1562" i="22"/>
  <c r="R1562" i="22"/>
  <c r="L1563" i="22"/>
  <c r="C1563" i="22"/>
  <c r="K1563" i="22" s="1"/>
  <c r="E1563" i="22"/>
  <c r="F1563" i="22"/>
  <c r="O1563" i="22" s="1"/>
  <c r="G1563" i="22"/>
  <c r="I1563" i="22"/>
  <c r="B1564" i="22"/>
  <c r="U1507" i="22"/>
  <c r="AM30" i="22"/>
  <c r="AY30" i="22"/>
  <c r="M1508" i="22"/>
  <c r="D1508" i="22"/>
  <c r="J1508" i="22"/>
  <c r="N1508" i="22" s="1"/>
  <c r="P1508" i="22"/>
  <c r="Q1508" i="22"/>
  <c r="R1508" i="22"/>
  <c r="L1509" i="22"/>
  <c r="C1509" i="22"/>
  <c r="K1509" i="22" s="1"/>
  <c r="E1509" i="22"/>
  <c r="F1509" i="22"/>
  <c r="O1509" i="22" s="1"/>
  <c r="G1509" i="22"/>
  <c r="I1509" i="22"/>
  <c r="B1510" i="22"/>
  <c r="U1453" i="22"/>
  <c r="AM29" i="22"/>
  <c r="AY29" i="22"/>
  <c r="M1454" i="22"/>
  <c r="D1454" i="22"/>
  <c r="J1454" i="22"/>
  <c r="N1454" i="22" s="1"/>
  <c r="P1454" i="22"/>
  <c r="Q1454" i="22"/>
  <c r="R1454" i="22"/>
  <c r="L1455" i="22"/>
  <c r="C1455" i="22"/>
  <c r="K1455" i="22" s="1"/>
  <c r="E1455" i="22"/>
  <c r="F1455" i="22"/>
  <c r="O1455" i="22" s="1"/>
  <c r="G1455" i="22"/>
  <c r="I1455" i="22"/>
  <c r="B1456" i="22"/>
  <c r="U1399" i="22"/>
  <c r="AM28" i="22"/>
  <c r="AY28" i="22"/>
  <c r="M1400" i="22"/>
  <c r="D1400" i="22"/>
  <c r="J1400" i="22"/>
  <c r="N1400" i="22" s="1"/>
  <c r="P1400" i="22"/>
  <c r="Q1400" i="22"/>
  <c r="R1400" i="22"/>
  <c r="L1401" i="22"/>
  <c r="C1401" i="22"/>
  <c r="E1401" i="22"/>
  <c r="G1401" i="22"/>
  <c r="I1401" i="22"/>
  <c r="B1402" i="22"/>
  <c r="U1345" i="22"/>
  <c r="AM27" i="22"/>
  <c r="AY27" i="22"/>
  <c r="D1346" i="22"/>
  <c r="J1346" i="22"/>
  <c r="P1346" i="22"/>
  <c r="Q1346" i="22"/>
  <c r="R1346" i="22"/>
  <c r="L1347" i="22"/>
  <c r="C1347" i="22"/>
  <c r="E1347" i="22"/>
  <c r="G1347" i="22"/>
  <c r="I1347" i="22"/>
  <c r="B1348" i="22"/>
  <c r="U1291" i="22"/>
  <c r="AM26" i="22"/>
  <c r="AY26" i="22"/>
  <c r="M1292" i="22"/>
  <c r="D1292" i="22"/>
  <c r="J1292" i="22"/>
  <c r="N1292" i="22" s="1"/>
  <c r="P1292" i="22"/>
  <c r="Q1292" i="22"/>
  <c r="R1292" i="22"/>
  <c r="L1293" i="22"/>
  <c r="C1293" i="22"/>
  <c r="K1293" i="22" s="1"/>
  <c r="E1293" i="22"/>
  <c r="F1293" i="22"/>
  <c r="O1293" i="22" s="1"/>
  <c r="BM26" i="22" s="1"/>
  <c r="G1293" i="22"/>
  <c r="I1293" i="22"/>
  <c r="B1294" i="22"/>
  <c r="U1237" i="22"/>
  <c r="AM25" i="22"/>
  <c r="AY25" i="22"/>
  <c r="D1238" i="22"/>
  <c r="M1238" i="22" s="1"/>
  <c r="J1238" i="22"/>
  <c r="P1238" i="22"/>
  <c r="Q1238" i="22"/>
  <c r="R1238" i="22"/>
  <c r="L1239" i="22"/>
  <c r="C1239" i="22"/>
  <c r="K1239" i="22" s="1"/>
  <c r="E1239" i="22"/>
  <c r="F1239" i="22"/>
  <c r="O1239" i="22" s="1"/>
  <c r="G1239" i="22"/>
  <c r="I1239" i="22"/>
  <c r="B1240" i="22"/>
  <c r="M1184" i="22"/>
  <c r="D1184" i="22"/>
  <c r="J1184" i="22"/>
  <c r="N1184" i="22" s="1"/>
  <c r="C92" i="7"/>
  <c r="BL24" i="22"/>
  <c r="P1184" i="22"/>
  <c r="Q1184" i="22"/>
  <c r="R1184" i="22"/>
  <c r="L1185" i="22"/>
  <c r="C1185" i="22"/>
  <c r="K1185" i="22" s="1"/>
  <c r="E1185" i="22"/>
  <c r="F1185" i="22"/>
  <c r="O1185" i="22" s="1"/>
  <c r="G1185" i="22"/>
  <c r="I1185" i="22"/>
  <c r="B1186" i="22"/>
  <c r="B122" i="7"/>
  <c r="B60" i="7"/>
  <c r="U1129" i="22"/>
  <c r="AM23" i="22"/>
  <c r="AY23" i="22"/>
  <c r="M1130" i="22"/>
  <c r="D1130" i="22"/>
  <c r="J1130" i="22"/>
  <c r="N1130" i="22" s="1"/>
  <c r="C91" i="7"/>
  <c r="BL23" i="22"/>
  <c r="P1130" i="22"/>
  <c r="Q1130" i="22"/>
  <c r="R1130" i="22"/>
  <c r="L1131" i="22"/>
  <c r="C1131" i="22"/>
  <c r="K1131" i="22" s="1"/>
  <c r="E1131" i="22"/>
  <c r="F1131" i="22"/>
  <c r="O1131" i="22" s="1"/>
  <c r="G1131" i="22"/>
  <c r="I1131" i="22"/>
  <c r="B1132" i="22"/>
  <c r="B121" i="7"/>
  <c r="B59" i="7"/>
  <c r="U1075" i="22"/>
  <c r="AM22" i="22"/>
  <c r="AY22" i="22"/>
  <c r="M1076" i="22"/>
  <c r="D1076" i="22"/>
  <c r="J1076" i="22"/>
  <c r="N1076" i="22" s="1"/>
  <c r="C90" i="7"/>
  <c r="BL22" i="22"/>
  <c r="P1076" i="22"/>
  <c r="Q1076" i="22"/>
  <c r="R1076" i="22"/>
  <c r="L1077" i="22"/>
  <c r="C1077" i="22"/>
  <c r="K1077" i="22" s="1"/>
  <c r="E1077" i="22"/>
  <c r="F1077" i="22"/>
  <c r="O1077" i="22" s="1"/>
  <c r="G1077" i="22"/>
  <c r="I1077" i="22"/>
  <c r="B1078" i="22"/>
  <c r="B120" i="7"/>
  <c r="B58" i="7"/>
  <c r="U1021" i="22"/>
  <c r="AM21" i="22"/>
  <c r="AY21" i="22"/>
  <c r="M1022" i="22"/>
  <c r="D1022" i="22"/>
  <c r="J1022" i="22"/>
  <c r="N1022" i="22" s="1"/>
  <c r="C89" i="7"/>
  <c r="BL21" i="22"/>
  <c r="P1022" i="22"/>
  <c r="Q1022" i="22"/>
  <c r="R1022" i="22"/>
  <c r="L1023" i="22"/>
  <c r="C1023" i="22"/>
  <c r="K1023" i="22" s="1"/>
  <c r="E1023" i="22"/>
  <c r="F1023" i="22"/>
  <c r="O1023" i="22" s="1"/>
  <c r="G1023" i="22"/>
  <c r="I1023" i="22"/>
  <c r="B1024" i="22"/>
  <c r="B119" i="7"/>
  <c r="B57" i="7"/>
  <c r="U967" i="22"/>
  <c r="AM20" i="22"/>
  <c r="AY20" i="22"/>
  <c r="M968" i="22"/>
  <c r="D968" i="22"/>
  <c r="J968" i="22"/>
  <c r="N968" i="22" s="1"/>
  <c r="C88" i="7"/>
  <c r="BL20" i="22"/>
  <c r="P968" i="22"/>
  <c r="Q968" i="22"/>
  <c r="R968" i="22"/>
  <c r="L969" i="22"/>
  <c r="C969" i="22"/>
  <c r="K969" i="22" s="1"/>
  <c r="E969" i="22"/>
  <c r="F969" i="22"/>
  <c r="O969" i="22" s="1"/>
  <c r="G969" i="22"/>
  <c r="I969" i="22"/>
  <c r="B970" i="22"/>
  <c r="B118" i="7"/>
  <c r="B56" i="7"/>
  <c r="U913" i="22"/>
  <c r="AM19" i="22"/>
  <c r="AY19" i="22"/>
  <c r="M914" i="22"/>
  <c r="D914" i="22"/>
  <c r="J914" i="22"/>
  <c r="N914" i="22" s="1"/>
  <c r="C87" i="7"/>
  <c r="BL19" i="22"/>
  <c r="P914" i="22"/>
  <c r="Q914" i="22"/>
  <c r="R914" i="22"/>
  <c r="L915" i="22"/>
  <c r="C915" i="22"/>
  <c r="K915" i="22" s="1"/>
  <c r="E915" i="22"/>
  <c r="F915" i="22"/>
  <c r="O915" i="22" s="1"/>
  <c r="G915" i="22"/>
  <c r="I915" i="22"/>
  <c r="B916" i="22"/>
  <c r="M860" i="22"/>
  <c r="D860" i="22"/>
  <c r="J860" i="22"/>
  <c r="N860" i="22" s="1"/>
  <c r="C86" i="7"/>
  <c r="BL18" i="22"/>
  <c r="P860" i="22"/>
  <c r="Q860" i="22"/>
  <c r="R860" i="22"/>
  <c r="L861" i="22"/>
  <c r="C861" i="22"/>
  <c r="K861" i="22" s="1"/>
  <c r="E861" i="22"/>
  <c r="F861" i="22"/>
  <c r="O861" i="22" s="1"/>
  <c r="G861" i="22"/>
  <c r="I861" i="22"/>
  <c r="B862" i="22"/>
  <c r="B116" i="7"/>
  <c r="B54" i="7"/>
  <c r="U805" i="22"/>
  <c r="AM17" i="22"/>
  <c r="AY17" i="22"/>
  <c r="D806" i="22"/>
  <c r="J806" i="22"/>
  <c r="P806" i="22"/>
  <c r="Q806" i="22"/>
  <c r="R806" i="22"/>
  <c r="L807" i="22"/>
  <c r="C807" i="22"/>
  <c r="K807" i="22" s="1"/>
  <c r="E807" i="22"/>
  <c r="F807" i="22"/>
  <c r="O807" i="22" s="1"/>
  <c r="G807" i="22"/>
  <c r="I807" i="22"/>
  <c r="B808" i="22"/>
  <c r="B115" i="7"/>
  <c r="B53" i="7"/>
  <c r="U751" i="22"/>
  <c r="AM16" i="22"/>
  <c r="AY16" i="22"/>
  <c r="D752" i="22"/>
  <c r="J752" i="22"/>
  <c r="P752" i="22"/>
  <c r="Q752" i="22"/>
  <c r="R752" i="22"/>
  <c r="L753" i="22"/>
  <c r="C753" i="22"/>
  <c r="E753" i="22"/>
  <c r="G753" i="22"/>
  <c r="I753" i="22"/>
  <c r="B754" i="22"/>
  <c r="B114" i="7"/>
  <c r="B52" i="7"/>
  <c r="U697" i="22"/>
  <c r="AM15" i="22"/>
  <c r="AY15" i="22"/>
  <c r="M698" i="22"/>
  <c r="D698" i="22"/>
  <c r="J698" i="22"/>
  <c r="N698" i="22" s="1"/>
  <c r="C83" i="7"/>
  <c r="BL15" i="22"/>
  <c r="P698" i="22"/>
  <c r="Q698" i="22"/>
  <c r="R698" i="22"/>
  <c r="L699" i="22"/>
  <c r="C699" i="22"/>
  <c r="K699" i="22" s="1"/>
  <c r="E699" i="22"/>
  <c r="F699" i="22"/>
  <c r="O699" i="22" s="1"/>
  <c r="G699" i="22"/>
  <c r="I699" i="22"/>
  <c r="B700" i="22"/>
  <c r="B113" i="7"/>
  <c r="B51" i="7"/>
  <c r="U643" i="22"/>
  <c r="AM14" i="22"/>
  <c r="AY14" i="22"/>
  <c r="M644" i="22"/>
  <c r="D644" i="22"/>
  <c r="J644" i="22"/>
  <c r="N644" i="22" s="1"/>
  <c r="C82" i="7"/>
  <c r="BL14" i="22"/>
  <c r="P644" i="22"/>
  <c r="Q644" i="22"/>
  <c r="R644" i="22"/>
  <c r="L645" i="22"/>
  <c r="C645" i="22"/>
  <c r="E645" i="22"/>
  <c r="G645" i="22"/>
  <c r="I645" i="22"/>
  <c r="B646" i="22"/>
  <c r="M590" i="22"/>
  <c r="D590" i="22"/>
  <c r="J590" i="22"/>
  <c r="N590" i="22" s="1"/>
  <c r="C81" i="7"/>
  <c r="BL13" i="22"/>
  <c r="P590" i="22"/>
  <c r="Q590" i="22"/>
  <c r="R590" i="22"/>
  <c r="L591" i="22"/>
  <c r="C591" i="22"/>
  <c r="K591" i="22" s="1"/>
  <c r="E591" i="22"/>
  <c r="F591" i="22"/>
  <c r="O591" i="22" s="1"/>
  <c r="G591" i="22"/>
  <c r="I591" i="22"/>
  <c r="B592" i="22"/>
  <c r="M536" i="22"/>
  <c r="D536" i="22"/>
  <c r="J536" i="22"/>
  <c r="N536" i="22" s="1"/>
  <c r="C80" i="7"/>
  <c r="BL12" i="22"/>
  <c r="P536" i="22"/>
  <c r="Q536" i="22"/>
  <c r="R536" i="22"/>
  <c r="L537" i="22"/>
  <c r="C537" i="22"/>
  <c r="K537" i="22" s="1"/>
  <c r="E537" i="22"/>
  <c r="F537" i="22"/>
  <c r="O537" i="22" s="1"/>
  <c r="G537" i="22"/>
  <c r="I537" i="22"/>
  <c r="B538" i="22"/>
  <c r="B110" i="7"/>
  <c r="B48" i="7"/>
  <c r="U481" i="22"/>
  <c r="AM11" i="22"/>
  <c r="AY11" i="22"/>
  <c r="D482" i="22"/>
  <c r="J482" i="22"/>
  <c r="P482" i="22"/>
  <c r="Q482" i="22"/>
  <c r="R482" i="22"/>
  <c r="L483" i="22"/>
  <c r="C483" i="22"/>
  <c r="K483" i="22" s="1"/>
  <c r="E483" i="22"/>
  <c r="F483" i="22"/>
  <c r="O483" i="22" s="1"/>
  <c r="G483" i="22"/>
  <c r="I483" i="22"/>
  <c r="B484" i="22"/>
  <c r="J428" i="22"/>
  <c r="D428" i="22"/>
  <c r="P428" i="22"/>
  <c r="Q428" i="22"/>
  <c r="R428" i="22"/>
  <c r="L429" i="22"/>
  <c r="G429" i="22"/>
  <c r="I429" i="22"/>
  <c r="C429" i="22"/>
  <c r="E429" i="22"/>
  <c r="B430" i="22"/>
  <c r="B108" i="7"/>
  <c r="B46" i="7"/>
  <c r="U373" i="22"/>
  <c r="AM9" i="22"/>
  <c r="AY9" i="22"/>
  <c r="D374" i="22"/>
  <c r="J374" i="22"/>
  <c r="P374" i="22"/>
  <c r="Q374" i="22"/>
  <c r="R374" i="22"/>
  <c r="L375" i="22"/>
  <c r="C375" i="22"/>
  <c r="E375" i="22"/>
  <c r="G375" i="22"/>
  <c r="I375" i="22"/>
  <c r="B376" i="22"/>
  <c r="B107" i="7"/>
  <c r="B45" i="7"/>
  <c r="U319" i="22"/>
  <c r="AM8" i="22"/>
  <c r="AY8" i="22"/>
  <c r="M320" i="22"/>
  <c r="D320" i="22"/>
  <c r="J320" i="22"/>
  <c r="N320" i="22" s="1"/>
  <c r="C76" i="7"/>
  <c r="BL8" i="22"/>
  <c r="P320" i="22"/>
  <c r="Q320" i="22"/>
  <c r="R320" i="22"/>
  <c r="L321" i="22"/>
  <c r="C321" i="22"/>
  <c r="K321" i="22" s="1"/>
  <c r="E321" i="22"/>
  <c r="F321" i="22"/>
  <c r="O321" i="22" s="1"/>
  <c r="G321" i="22"/>
  <c r="I321" i="22"/>
  <c r="B322" i="22"/>
  <c r="M266" i="22"/>
  <c r="D266" i="22"/>
  <c r="J266" i="22"/>
  <c r="N266" i="22" s="1"/>
  <c r="P266" i="22"/>
  <c r="Q266" i="22"/>
  <c r="R266" i="22"/>
  <c r="L267" i="22"/>
  <c r="C267" i="22"/>
  <c r="K267" i="22" s="1"/>
  <c r="E267" i="22"/>
  <c r="F267" i="22"/>
  <c r="O267" i="22" s="1"/>
  <c r="G267" i="22"/>
  <c r="I267" i="22"/>
  <c r="B268" i="22"/>
  <c r="M212" i="22"/>
  <c r="D212" i="22"/>
  <c r="J212" i="22"/>
  <c r="N212" i="22" s="1"/>
  <c r="C74" i="7"/>
  <c r="BL6" i="22"/>
  <c r="P212" i="22"/>
  <c r="Q212" i="22"/>
  <c r="R212" i="22"/>
  <c r="L213" i="22"/>
  <c r="C213" i="22"/>
  <c r="K213" i="22" s="1"/>
  <c r="E213" i="22"/>
  <c r="F213" i="22"/>
  <c r="O213" i="22" s="1"/>
  <c r="G213" i="22"/>
  <c r="I213" i="22"/>
  <c r="B214" i="22"/>
  <c r="B104" i="7"/>
  <c r="B42" i="7"/>
  <c r="U157" i="22"/>
  <c r="AM5" i="22"/>
  <c r="AY5" i="22"/>
  <c r="L159" i="22"/>
  <c r="C159" i="22"/>
  <c r="K159" i="22" s="1"/>
  <c r="E159" i="22"/>
  <c r="F159" i="22"/>
  <c r="O159" i="22" s="1"/>
  <c r="G159" i="22"/>
  <c r="I159" i="22"/>
  <c r="B160" i="22"/>
  <c r="D158" i="22"/>
  <c r="M158" i="22" s="1"/>
  <c r="J158" i="22"/>
  <c r="C73" i="7"/>
  <c r="BL5" i="22"/>
  <c r="P158" i="22"/>
  <c r="Q158" i="22"/>
  <c r="R158" i="22"/>
  <c r="B103" i="7"/>
  <c r="B41" i="7"/>
  <c r="U103" i="22"/>
  <c r="AM4" i="22"/>
  <c r="AY4" i="22"/>
  <c r="M104" i="22"/>
  <c r="D104" i="22"/>
  <c r="J104" i="22"/>
  <c r="N104" i="22" s="1"/>
  <c r="C72" i="7"/>
  <c r="BL4" i="22"/>
  <c r="P104" i="22"/>
  <c r="Q104" i="22"/>
  <c r="R104" i="22"/>
  <c r="L105" i="22"/>
  <c r="C105" i="22"/>
  <c r="E105" i="22"/>
  <c r="G105" i="22"/>
  <c r="I105" i="22"/>
  <c r="B106" i="22"/>
  <c r="G92" i="12"/>
  <c r="F41" i="18"/>
  <c r="G41" i="18"/>
  <c r="H41" i="18"/>
  <c r="N94" i="12"/>
  <c r="O42" i="17"/>
  <c r="E94" i="12"/>
  <c r="L43" i="17"/>
  <c r="B44" i="17"/>
  <c r="C43" i="17"/>
  <c r="E43" i="17"/>
  <c r="F43" i="17"/>
  <c r="C43" i="18" s="1"/>
  <c r="E43" i="18" s="1"/>
  <c r="G43" i="17"/>
  <c r="I43" i="17"/>
  <c r="K43" i="17"/>
  <c r="B43" i="18"/>
  <c r="J42" i="17"/>
  <c r="D42" i="17"/>
  <c r="AT42" i="17"/>
  <c r="AS42" i="17"/>
  <c r="AR42" i="17"/>
  <c r="AQ42" i="17"/>
  <c r="AP42" i="17"/>
  <c r="AO42" i="17"/>
  <c r="AN42" i="17"/>
  <c r="AM42" i="17"/>
  <c r="AL42" i="17"/>
  <c r="AK42" i="17"/>
  <c r="AJ42" i="17"/>
  <c r="AI42" i="17"/>
  <c r="AH42" i="17"/>
  <c r="AG42" i="17"/>
  <c r="AF42" i="17"/>
  <c r="AE42" i="17"/>
  <c r="AD42" i="17"/>
  <c r="AC42" i="17"/>
  <c r="AB42" i="17"/>
  <c r="AA42" i="17"/>
  <c r="Z42" i="17"/>
  <c r="Y42" i="17"/>
  <c r="X42" i="17"/>
  <c r="W42" i="17"/>
  <c r="P42" i="17"/>
  <c r="Q42" i="17"/>
  <c r="R42" i="17"/>
  <c r="V42" i="17"/>
  <c r="M42" i="17"/>
  <c r="N42" i="17"/>
  <c r="U41" i="17"/>
  <c r="M93" i="12"/>
  <c r="O93" i="12"/>
  <c r="AX16" i="17"/>
  <c r="B108" i="12"/>
  <c r="I108" i="12" s="1"/>
  <c r="AW15" i="17"/>
  <c r="AV17" i="17"/>
  <c r="AV18" i="17"/>
  <c r="AV19" i="17"/>
  <c r="AV20" i="17"/>
  <c r="AV21" i="17"/>
  <c r="AV22" i="17"/>
  <c r="AV23" i="17"/>
  <c r="AV24" i="17"/>
  <c r="AV25" i="17"/>
  <c r="AV26" i="17"/>
  <c r="AV27" i="17"/>
  <c r="AV28" i="17"/>
  <c r="AV29" i="17"/>
  <c r="AV30" i="17"/>
  <c r="AV31" i="17"/>
  <c r="AV33" i="17"/>
  <c r="AV37" i="17"/>
  <c r="AV41" i="17"/>
  <c r="AV43" i="17"/>
  <c r="AV32" i="17"/>
  <c r="AV34" i="17"/>
  <c r="AV35" i="17"/>
  <c r="AV36" i="17"/>
  <c r="AV38" i="17"/>
  <c r="AV39" i="17"/>
  <c r="AV40" i="17"/>
  <c r="AV42" i="17"/>
  <c r="G90" i="12"/>
  <c r="G91" i="12"/>
  <c r="M1506" i="23"/>
  <c r="N1506" i="23"/>
  <c r="W1506" i="23" s="1"/>
  <c r="AB1506" i="23"/>
  <c r="AC1506" i="23" s="1"/>
  <c r="O1506" i="23"/>
  <c r="M1226" i="23"/>
  <c r="N1226" i="23"/>
  <c r="W1226" i="23" s="1"/>
  <c r="AB1226" i="23"/>
  <c r="AC1226" i="23" s="1"/>
  <c r="O1226" i="23"/>
  <c r="Y1226" i="23" s="1"/>
  <c r="AB498" i="23"/>
  <c r="AC498" i="23" s="1"/>
  <c r="O498" i="23"/>
  <c r="Y498" i="23" s="1"/>
  <c r="M498" i="23"/>
  <c r="N498" i="23"/>
  <c r="W498" i="23" s="1"/>
  <c r="AB442" i="23"/>
  <c r="AC442" i="23"/>
  <c r="O442" i="23"/>
  <c r="Y442" i="23" s="1"/>
  <c r="N442" i="23"/>
  <c r="W442" i="23" s="1"/>
  <c r="M442" i="23"/>
  <c r="M4591" i="22"/>
  <c r="N4591" i="22"/>
  <c r="M4183" i="22"/>
  <c r="N4183" i="22"/>
  <c r="U4183" i="22" s="1"/>
  <c r="M3667" i="22"/>
  <c r="N3667" i="22"/>
  <c r="BK70" i="22"/>
  <c r="BK69" i="22"/>
  <c r="M3613" i="22"/>
  <c r="N3613" i="22"/>
  <c r="BK64" i="22"/>
  <c r="M3343" i="22"/>
  <c r="N3343" i="22"/>
  <c r="BK63" i="22"/>
  <c r="M3289" i="22"/>
  <c r="N3289" i="22"/>
  <c r="M3073" i="22"/>
  <c r="N3073" i="22"/>
  <c r="BK59" i="22"/>
  <c r="BK57" i="22"/>
  <c r="M2965" i="22"/>
  <c r="N2965" i="22"/>
  <c r="N2911" i="22"/>
  <c r="M2911" i="22"/>
  <c r="BK56" i="22"/>
  <c r="BK50" i="22"/>
  <c r="N2587" i="22"/>
  <c r="M2587" i="22"/>
  <c r="M2263" i="22"/>
  <c r="N2263" i="22"/>
  <c r="BK44" i="22"/>
  <c r="BK38" i="22"/>
  <c r="M1939" i="22"/>
  <c r="N1939" i="22"/>
  <c r="BK37" i="22"/>
  <c r="M1885" i="22"/>
  <c r="N1885" i="22"/>
  <c r="M1615" i="22"/>
  <c r="N1615" i="22"/>
  <c r="BK32" i="22"/>
  <c r="M1561" i="22"/>
  <c r="N1561" i="22"/>
  <c r="BK31" i="22"/>
  <c r="BK24" i="22"/>
  <c r="B92" i="7"/>
  <c r="M1183" i="22"/>
  <c r="N1183" i="22"/>
  <c r="BK18" i="22"/>
  <c r="B86" i="7"/>
  <c r="M859" i="22"/>
  <c r="N859" i="22"/>
  <c r="M589" i="22"/>
  <c r="N589" i="22"/>
  <c r="BK13" i="22"/>
  <c r="B81" i="7"/>
  <c r="BK12" i="22"/>
  <c r="B80" i="7"/>
  <c r="M535" i="22"/>
  <c r="N535" i="22"/>
  <c r="BK10" i="22"/>
  <c r="B78" i="7"/>
  <c r="N427" i="22"/>
  <c r="M427" i="22"/>
  <c r="BK7" i="22"/>
  <c r="M265" i="22"/>
  <c r="N265" i="22"/>
  <c r="BK6" i="22"/>
  <c r="B96" i="7" s="1"/>
  <c r="B74" i="7"/>
  <c r="M211" i="22"/>
  <c r="N211" i="22"/>
  <c r="K1507" i="23"/>
  <c r="F1507" i="23"/>
  <c r="F1171" i="23"/>
  <c r="K1171" i="23"/>
  <c r="K499" i="23"/>
  <c r="F499" i="23"/>
  <c r="K387" i="23"/>
  <c r="F387" i="23"/>
  <c r="K4538" i="22"/>
  <c r="F4538" i="22"/>
  <c r="F4076" i="22"/>
  <c r="O4076" i="22" s="1"/>
  <c r="K4076" i="22"/>
  <c r="K3776" i="22"/>
  <c r="F3776" i="22"/>
  <c r="O3776" i="22" s="1"/>
  <c r="K3722" i="22"/>
  <c r="F3722" i="22"/>
  <c r="O3722" i="22" s="1"/>
  <c r="K3668" i="22"/>
  <c r="F3668" i="22"/>
  <c r="O3668" i="22" s="1"/>
  <c r="K3560" i="22"/>
  <c r="F3560" i="22"/>
  <c r="O3560" i="22" s="1"/>
  <c r="BL67" i="22"/>
  <c r="BL66" i="22"/>
  <c r="K3398" i="22"/>
  <c r="F3398" i="22"/>
  <c r="O3398" i="22" s="1"/>
  <c r="BL62" i="22"/>
  <c r="BL61" i="22"/>
  <c r="K3128" i="22"/>
  <c r="F3128" i="22"/>
  <c r="O3128" i="22" s="1"/>
  <c r="K3074" i="22"/>
  <c r="F3074" i="22"/>
  <c r="O3074" i="22" s="1"/>
  <c r="F3020" i="22"/>
  <c r="O3020" i="22" s="1"/>
  <c r="K3020" i="22"/>
  <c r="K2912" i="22"/>
  <c r="F2912" i="22"/>
  <c r="O2912" i="22" s="1"/>
  <c r="BL55" i="22"/>
  <c r="BL54" i="22"/>
  <c r="BL53" i="22"/>
  <c r="BL52" i="22"/>
  <c r="BL51" i="22"/>
  <c r="BL49" i="22"/>
  <c r="BL48" i="22"/>
  <c r="BL47" i="22"/>
  <c r="K2372" i="22"/>
  <c r="F2372" i="22"/>
  <c r="O2372" i="22" s="1"/>
  <c r="BL45" i="22"/>
  <c r="BL43" i="22"/>
  <c r="BL42" i="22"/>
  <c r="F2102" i="22"/>
  <c r="O2102" i="22" s="1"/>
  <c r="K2102" i="22"/>
  <c r="K2048" i="22"/>
  <c r="F2048" i="22"/>
  <c r="O2048" i="22" s="1"/>
  <c r="BL39" i="22"/>
  <c r="BL36" i="22"/>
  <c r="BL35" i="22"/>
  <c r="K1724" i="22"/>
  <c r="F1724" i="22"/>
  <c r="O1724" i="22" s="1"/>
  <c r="BL33" i="22"/>
  <c r="BL30" i="22"/>
  <c r="BL29" i="22"/>
  <c r="BL28" i="22"/>
  <c r="F1346" i="22"/>
  <c r="O1346" i="22" s="1"/>
  <c r="K1346" i="22"/>
  <c r="BL26" i="22"/>
  <c r="BL25" i="22"/>
  <c r="K806" i="22"/>
  <c r="F806" i="22"/>
  <c r="O806" i="22" s="1"/>
  <c r="K752" i="22"/>
  <c r="F752" i="22"/>
  <c r="O752" i="22" s="1"/>
  <c r="K482" i="22"/>
  <c r="F482" i="22"/>
  <c r="O482" i="22" s="1"/>
  <c r="K428" i="22"/>
  <c r="F428" i="22"/>
  <c r="O428" i="22" s="1"/>
  <c r="F374" i="22"/>
  <c r="O374" i="22" s="1"/>
  <c r="K374" i="22"/>
  <c r="N2318" i="22" l="1"/>
  <c r="N1238" i="22"/>
  <c r="N158" i="22"/>
  <c r="K4539" i="22"/>
  <c r="F4539" i="22"/>
  <c r="K3777" i="22"/>
  <c r="F3777" i="22"/>
  <c r="O3777" i="22" s="1"/>
  <c r="BM72" i="22" s="1"/>
  <c r="K3561" i="22"/>
  <c r="F3561" i="22"/>
  <c r="O3561" i="22" s="1"/>
  <c r="BM68" i="22" s="1"/>
  <c r="K3399" i="22"/>
  <c r="F3399" i="22"/>
  <c r="O3399" i="22" s="1"/>
  <c r="BM65" i="22" s="1"/>
  <c r="K3183" i="22"/>
  <c r="F3183" i="22"/>
  <c r="O3183" i="22" s="1"/>
  <c r="BM61" i="22" s="1"/>
  <c r="K3129" i="22"/>
  <c r="F3129" i="22"/>
  <c r="O3129" i="22" s="1"/>
  <c r="BM60" i="22" s="1"/>
  <c r="K2211" i="22"/>
  <c r="F2211" i="22"/>
  <c r="O2211" i="22" s="1"/>
  <c r="BM43" i="22" s="1"/>
  <c r="K645" i="22"/>
  <c r="F645" i="22"/>
  <c r="O645" i="22" s="1"/>
  <c r="AH1618" i="23"/>
  <c r="B103" i="8"/>
  <c r="B130" i="8"/>
  <c r="D130" i="8"/>
  <c r="Y1619" i="23"/>
  <c r="C106" i="8"/>
  <c r="AG1619" i="23"/>
  <c r="AD1619" i="23"/>
  <c r="M1620" i="23"/>
  <c r="J1620" i="23"/>
  <c r="N1620" i="23" s="1"/>
  <c r="W1620" i="23" s="1"/>
  <c r="D1620" i="23"/>
  <c r="O1620" i="23"/>
  <c r="AB1620" i="23"/>
  <c r="AC1620" i="23"/>
  <c r="P1620" i="23"/>
  <c r="Q1620" i="23"/>
  <c r="R1620" i="23"/>
  <c r="X1620" i="23"/>
  <c r="AF1620" i="23"/>
  <c r="I1621" i="23"/>
  <c r="L1621" i="23"/>
  <c r="C1621" i="23"/>
  <c r="K1621" i="23" s="1"/>
  <c r="E1621" i="23"/>
  <c r="F1621" i="23"/>
  <c r="G1621" i="23"/>
  <c r="B1622" i="23"/>
  <c r="M1564" i="23"/>
  <c r="J1564" i="23"/>
  <c r="N1564" i="23" s="1"/>
  <c r="W1564" i="23" s="1"/>
  <c r="D1564" i="23"/>
  <c r="O1564" i="23"/>
  <c r="AB1564" i="23"/>
  <c r="AC1564" i="23"/>
  <c r="P1564" i="23"/>
  <c r="Q1564" i="23"/>
  <c r="R1564" i="23"/>
  <c r="X1564" i="23"/>
  <c r="AF1564" i="23"/>
  <c r="L1565" i="23"/>
  <c r="I1565" i="23"/>
  <c r="C1565" i="23"/>
  <c r="E1565" i="23"/>
  <c r="G1565" i="23"/>
  <c r="B1566" i="23"/>
  <c r="J1508" i="23"/>
  <c r="D1508" i="23"/>
  <c r="P1508" i="23"/>
  <c r="Q1508" i="23"/>
  <c r="R1508" i="23"/>
  <c r="X1508" i="23"/>
  <c r="AF1508" i="23"/>
  <c r="L1509" i="23"/>
  <c r="I1509" i="23"/>
  <c r="C1509" i="23"/>
  <c r="E1509" i="23"/>
  <c r="G1509" i="23"/>
  <c r="B1510" i="23"/>
  <c r="J1452" i="23"/>
  <c r="D1452" i="23"/>
  <c r="P1452" i="23"/>
  <c r="Q1452" i="23"/>
  <c r="R1452" i="23"/>
  <c r="X1452" i="23"/>
  <c r="AF1452" i="23"/>
  <c r="L1453" i="23"/>
  <c r="I1453" i="23"/>
  <c r="C1453" i="23"/>
  <c r="E1453" i="23"/>
  <c r="G1453" i="23"/>
  <c r="B1454" i="23"/>
  <c r="J1396" i="23"/>
  <c r="D1396" i="23"/>
  <c r="P1396" i="23"/>
  <c r="Q1396" i="23"/>
  <c r="R1396" i="23"/>
  <c r="X1396" i="23"/>
  <c r="AF1396" i="23"/>
  <c r="L1397" i="23"/>
  <c r="I1397" i="23"/>
  <c r="C1397" i="23"/>
  <c r="K1397" i="23" s="1"/>
  <c r="E1397" i="23"/>
  <c r="F1397" i="23"/>
  <c r="G1397" i="23"/>
  <c r="B1398" i="23"/>
  <c r="M1340" i="23"/>
  <c r="J1340" i="23"/>
  <c r="N1340" i="23" s="1"/>
  <c r="D1340" i="23"/>
  <c r="O1340" i="23"/>
  <c r="Y1340" i="23" s="1"/>
  <c r="AB1340" i="23"/>
  <c r="AC1340" i="23"/>
  <c r="P1340" i="23"/>
  <c r="Q1340" i="23"/>
  <c r="R1340" i="23"/>
  <c r="AF1340" i="23"/>
  <c r="L1341" i="23"/>
  <c r="I1341" i="23"/>
  <c r="C1341" i="23"/>
  <c r="K1341" i="23" s="1"/>
  <c r="E1341" i="23"/>
  <c r="F1341" i="23"/>
  <c r="B1342" i="23"/>
  <c r="G1341" i="23"/>
  <c r="M1284" i="23"/>
  <c r="J1284" i="23"/>
  <c r="N1284" i="23" s="1"/>
  <c r="W1284" i="23" s="1"/>
  <c r="D1284" i="23"/>
  <c r="O1284" i="23"/>
  <c r="Y1284" i="23" s="1"/>
  <c r="AB1284" i="23"/>
  <c r="AC1284" i="23"/>
  <c r="P1284" i="23"/>
  <c r="Q1284" i="23"/>
  <c r="R1284" i="23"/>
  <c r="X1284" i="23"/>
  <c r="AF1284" i="23"/>
  <c r="L1285" i="23"/>
  <c r="I1285" i="23"/>
  <c r="C1285" i="23"/>
  <c r="K1285" i="23" s="1"/>
  <c r="E1285" i="23"/>
  <c r="F1285" i="23"/>
  <c r="G1285" i="23"/>
  <c r="B1286" i="23"/>
  <c r="J1228" i="23"/>
  <c r="D1228" i="23"/>
  <c r="P1228" i="23"/>
  <c r="Q1228" i="23"/>
  <c r="R1228" i="23"/>
  <c r="X1228" i="23"/>
  <c r="AF1228" i="23"/>
  <c r="L1229" i="23"/>
  <c r="I1229" i="23"/>
  <c r="C1229" i="23"/>
  <c r="K1229" i="23" s="1"/>
  <c r="E1229" i="23"/>
  <c r="F1229" i="23"/>
  <c r="G1229" i="23"/>
  <c r="B1230" i="23"/>
  <c r="M1172" i="23"/>
  <c r="J1172" i="23"/>
  <c r="N1172" i="23" s="1"/>
  <c r="W1172" i="23" s="1"/>
  <c r="D1172" i="23"/>
  <c r="O1172" i="23"/>
  <c r="Y1172" i="23" s="1"/>
  <c r="AB1172" i="23"/>
  <c r="AC1172" i="23"/>
  <c r="P1172" i="23"/>
  <c r="Q1172" i="23"/>
  <c r="R1172" i="23"/>
  <c r="X1172" i="23"/>
  <c r="AF1172" i="23"/>
  <c r="L1173" i="23"/>
  <c r="I1173" i="23"/>
  <c r="C1173" i="23"/>
  <c r="K1173" i="23" s="1"/>
  <c r="E1173" i="23"/>
  <c r="F1173" i="23"/>
  <c r="G1173" i="23"/>
  <c r="B1174" i="23"/>
  <c r="J1116" i="23"/>
  <c r="D1116" i="23"/>
  <c r="P1116" i="23"/>
  <c r="Q1116" i="23"/>
  <c r="R1116" i="23"/>
  <c r="X1116" i="23"/>
  <c r="AF1116" i="23"/>
  <c r="L1117" i="23"/>
  <c r="I1117" i="23"/>
  <c r="C1117" i="23"/>
  <c r="K1117" i="23" s="1"/>
  <c r="E1117" i="23"/>
  <c r="F1117" i="23"/>
  <c r="G1117" i="23"/>
  <c r="B1118" i="23"/>
  <c r="M1060" i="23"/>
  <c r="J1060" i="23"/>
  <c r="N1060" i="23" s="1"/>
  <c r="W1060" i="23" s="1"/>
  <c r="D1060" i="23"/>
  <c r="O1060" i="23"/>
  <c r="Y1060" i="23" s="1"/>
  <c r="AB1060" i="23"/>
  <c r="AC1060" i="23"/>
  <c r="P1060" i="23"/>
  <c r="Q1060" i="23"/>
  <c r="R1060" i="23"/>
  <c r="X1060" i="23"/>
  <c r="AF1060" i="23"/>
  <c r="L1061" i="23"/>
  <c r="I1061" i="23"/>
  <c r="C1061" i="23"/>
  <c r="E1061" i="23"/>
  <c r="G1061" i="23"/>
  <c r="B1062" i="23"/>
  <c r="M1004" i="23"/>
  <c r="J1004" i="23"/>
  <c r="N1004" i="23" s="1"/>
  <c r="W1004" i="23" s="1"/>
  <c r="D1004" i="23"/>
  <c r="O1004" i="23"/>
  <c r="Y1004" i="23" s="1"/>
  <c r="AB1004" i="23"/>
  <c r="AC1004" i="23"/>
  <c r="P1004" i="23"/>
  <c r="Q1004" i="23"/>
  <c r="R1004" i="23"/>
  <c r="X1004" i="23"/>
  <c r="AF1004" i="23"/>
  <c r="L1005" i="23"/>
  <c r="I1005" i="23"/>
  <c r="C1005" i="23"/>
  <c r="E1005" i="23"/>
  <c r="G1005" i="23"/>
  <c r="B1006" i="23"/>
  <c r="M948" i="23"/>
  <c r="J948" i="23"/>
  <c r="N948" i="23" s="1"/>
  <c r="W948" i="23" s="1"/>
  <c r="D948" i="23"/>
  <c r="O948" i="23"/>
  <c r="Y948" i="23" s="1"/>
  <c r="AB948" i="23"/>
  <c r="AC948" i="23"/>
  <c r="P948" i="23"/>
  <c r="Q948" i="23"/>
  <c r="R948" i="23"/>
  <c r="X948" i="23"/>
  <c r="AF948" i="23"/>
  <c r="L949" i="23"/>
  <c r="I949" i="23"/>
  <c r="C949" i="23"/>
  <c r="E949" i="23"/>
  <c r="G949" i="23"/>
  <c r="B950" i="23"/>
  <c r="M892" i="23"/>
  <c r="J892" i="23"/>
  <c r="N892" i="23" s="1"/>
  <c r="W892" i="23" s="1"/>
  <c r="D892" i="23"/>
  <c r="O892" i="23"/>
  <c r="Y892" i="23" s="1"/>
  <c r="AB892" i="23"/>
  <c r="AC892" i="23" s="1"/>
  <c r="P892" i="23"/>
  <c r="Q892" i="23"/>
  <c r="R892" i="23"/>
  <c r="X892" i="23"/>
  <c r="AF892" i="23"/>
  <c r="L893" i="23"/>
  <c r="I893" i="23"/>
  <c r="C893" i="23"/>
  <c r="K893" i="23" s="1"/>
  <c r="E893" i="23"/>
  <c r="F893" i="23"/>
  <c r="G893" i="23"/>
  <c r="B894" i="23"/>
  <c r="J836" i="23"/>
  <c r="D836" i="23"/>
  <c r="P836" i="23"/>
  <c r="Q836" i="23"/>
  <c r="R836" i="23"/>
  <c r="X836" i="23"/>
  <c r="AF836" i="23"/>
  <c r="L837" i="23"/>
  <c r="I837" i="23"/>
  <c r="C837" i="23"/>
  <c r="K837" i="23" s="1"/>
  <c r="E837" i="23"/>
  <c r="F837" i="23"/>
  <c r="G837" i="23"/>
  <c r="B838" i="23"/>
  <c r="M780" i="23"/>
  <c r="J780" i="23"/>
  <c r="N780" i="23" s="1"/>
  <c r="W780" i="23" s="1"/>
  <c r="D780" i="23"/>
  <c r="O780" i="23"/>
  <c r="Y780" i="23" s="1"/>
  <c r="AB780" i="23"/>
  <c r="AC780" i="23"/>
  <c r="P780" i="23"/>
  <c r="Q780" i="23"/>
  <c r="R780" i="23"/>
  <c r="X780" i="23"/>
  <c r="AF780" i="23"/>
  <c r="L781" i="23"/>
  <c r="I781" i="23"/>
  <c r="C781" i="23"/>
  <c r="K781" i="23" s="1"/>
  <c r="E781" i="23"/>
  <c r="F781" i="23"/>
  <c r="G781" i="23"/>
  <c r="B782" i="23"/>
  <c r="B49" i="8"/>
  <c r="AH722" i="23"/>
  <c r="AG723" i="23"/>
  <c r="AD723" i="23"/>
  <c r="J724" i="23"/>
  <c r="D724" i="23"/>
  <c r="P724" i="23"/>
  <c r="Q724" i="23"/>
  <c r="R724" i="23"/>
  <c r="X724" i="23"/>
  <c r="AF724" i="23"/>
  <c r="L725" i="23"/>
  <c r="I725" i="23"/>
  <c r="G725" i="23"/>
  <c r="B726" i="23"/>
  <c r="E725" i="23"/>
  <c r="C725" i="23"/>
  <c r="M668" i="23"/>
  <c r="J668" i="23"/>
  <c r="N668" i="23" s="1"/>
  <c r="W668" i="23" s="1"/>
  <c r="D668" i="23"/>
  <c r="O668" i="23"/>
  <c r="Y668" i="23" s="1"/>
  <c r="AB668" i="23"/>
  <c r="AC668" i="23"/>
  <c r="P668" i="23"/>
  <c r="Q668" i="23"/>
  <c r="R668" i="23"/>
  <c r="X668" i="23"/>
  <c r="AF668" i="23"/>
  <c r="L669" i="23"/>
  <c r="I669" i="23"/>
  <c r="C669" i="23"/>
  <c r="E669" i="23"/>
  <c r="G669" i="23"/>
  <c r="B670" i="23"/>
  <c r="M612" i="23"/>
  <c r="J612" i="23"/>
  <c r="N612" i="23" s="1"/>
  <c r="W612" i="23" s="1"/>
  <c r="D612" i="23"/>
  <c r="O612" i="23"/>
  <c r="Y612" i="23" s="1"/>
  <c r="AB612" i="23"/>
  <c r="AC612" i="23"/>
  <c r="P612" i="23"/>
  <c r="Q612" i="23"/>
  <c r="R612" i="23"/>
  <c r="X612" i="23"/>
  <c r="AF612" i="23"/>
  <c r="L613" i="23"/>
  <c r="I613" i="23"/>
  <c r="C613" i="23"/>
  <c r="E613" i="23"/>
  <c r="G613" i="23"/>
  <c r="B614" i="23"/>
  <c r="M556" i="23"/>
  <c r="J556" i="23"/>
  <c r="N556" i="23" s="1"/>
  <c r="W556" i="23" s="1"/>
  <c r="D556" i="23"/>
  <c r="O556" i="23"/>
  <c r="Y556" i="23" s="1"/>
  <c r="AB556" i="23"/>
  <c r="AC556" i="23"/>
  <c r="P556" i="23"/>
  <c r="Q556" i="23"/>
  <c r="R556" i="23"/>
  <c r="X556" i="23"/>
  <c r="AF556" i="23"/>
  <c r="L557" i="23"/>
  <c r="I557" i="23"/>
  <c r="C557" i="23"/>
  <c r="E557" i="23"/>
  <c r="G557" i="23"/>
  <c r="B558" i="23"/>
  <c r="M500" i="23"/>
  <c r="J500" i="23"/>
  <c r="N500" i="23" s="1"/>
  <c r="W500" i="23" s="1"/>
  <c r="D500" i="23"/>
  <c r="O500" i="23"/>
  <c r="Y500" i="23" s="1"/>
  <c r="AB500" i="23"/>
  <c r="AC500" i="23"/>
  <c r="P500" i="23"/>
  <c r="Q500" i="23"/>
  <c r="R500" i="23"/>
  <c r="X500" i="23"/>
  <c r="AF500" i="23"/>
  <c r="L501" i="23"/>
  <c r="I501" i="23"/>
  <c r="C501" i="23"/>
  <c r="K501" i="23" s="1"/>
  <c r="E501" i="23"/>
  <c r="F501" i="23"/>
  <c r="G501" i="23"/>
  <c r="B502" i="23"/>
  <c r="M444" i="23"/>
  <c r="P444" i="23"/>
  <c r="Q444" i="23"/>
  <c r="R444" i="23"/>
  <c r="AF444" i="23"/>
  <c r="X444" i="23"/>
  <c r="J444" i="23"/>
  <c r="N444" i="23" s="1"/>
  <c r="W444" i="23" s="1"/>
  <c r="D444" i="23"/>
  <c r="L445" i="23"/>
  <c r="I445" i="23"/>
  <c r="E445" i="23"/>
  <c r="C445" i="23"/>
  <c r="K445" i="23" s="1"/>
  <c r="F445" i="23"/>
  <c r="G445" i="23"/>
  <c r="B446" i="23"/>
  <c r="O444" i="23"/>
  <c r="Y444" i="23" s="1"/>
  <c r="AB444" i="23"/>
  <c r="AC444" i="23" s="1"/>
  <c r="J388" i="23"/>
  <c r="D388" i="23"/>
  <c r="P388" i="23"/>
  <c r="Q388" i="23"/>
  <c r="R388" i="23"/>
  <c r="X388" i="23"/>
  <c r="AF388" i="23"/>
  <c r="L389" i="23"/>
  <c r="I389" i="23"/>
  <c r="C389" i="23"/>
  <c r="E389" i="23"/>
  <c r="G389" i="23"/>
  <c r="B390" i="23"/>
  <c r="M332" i="23"/>
  <c r="J332" i="23"/>
  <c r="N332" i="23" s="1"/>
  <c r="W332" i="23" s="1"/>
  <c r="D332" i="23"/>
  <c r="O332" i="23"/>
  <c r="Y332" i="23" s="1"/>
  <c r="AB332" i="23"/>
  <c r="AC332" i="23"/>
  <c r="P332" i="23"/>
  <c r="Q332" i="23"/>
  <c r="R332" i="23"/>
  <c r="X332" i="23"/>
  <c r="AF332" i="23"/>
  <c r="L333" i="23"/>
  <c r="I333" i="23"/>
  <c r="C333" i="23"/>
  <c r="K333" i="23" s="1"/>
  <c r="E333" i="23"/>
  <c r="F333" i="23"/>
  <c r="G333" i="23"/>
  <c r="B334" i="23"/>
  <c r="M276" i="23"/>
  <c r="J276" i="23"/>
  <c r="N276" i="23" s="1"/>
  <c r="W276" i="23" s="1"/>
  <c r="D276" i="23"/>
  <c r="O276" i="23"/>
  <c r="Y276" i="23" s="1"/>
  <c r="AB276" i="23"/>
  <c r="AC276" i="23" s="1"/>
  <c r="P276" i="23"/>
  <c r="Q276" i="23"/>
  <c r="R276" i="23"/>
  <c r="X276" i="23"/>
  <c r="AF276" i="23"/>
  <c r="L277" i="23"/>
  <c r="I277" i="23"/>
  <c r="C277" i="23"/>
  <c r="K277" i="23" s="1"/>
  <c r="E277" i="23"/>
  <c r="F277" i="23"/>
  <c r="G277" i="23"/>
  <c r="B278" i="23"/>
  <c r="D4755" i="22"/>
  <c r="J4755" i="22"/>
  <c r="N4755" i="22" s="1"/>
  <c r="P4755" i="22"/>
  <c r="Q4755" i="22"/>
  <c r="R4755" i="22"/>
  <c r="M4755" i="22"/>
  <c r="C4756" i="22"/>
  <c r="F4756" i="22" s="1"/>
  <c r="E4756" i="22"/>
  <c r="G4756" i="22"/>
  <c r="I4756" i="22"/>
  <c r="K4756" i="22"/>
  <c r="L4756" i="22"/>
  <c r="B4757" i="22"/>
  <c r="T4699" i="22"/>
  <c r="D30" i="15" s="1"/>
  <c r="S4700" i="22"/>
  <c r="T4700" i="22" s="1"/>
  <c r="D31" i="15" s="1"/>
  <c r="U4700" i="22"/>
  <c r="D4701" i="22"/>
  <c r="J4701" i="22"/>
  <c r="P4701" i="22"/>
  <c r="Q4701" i="22"/>
  <c r="R4701" i="22"/>
  <c r="L4702" i="22"/>
  <c r="G14" i="15" s="1"/>
  <c r="G15" i="15" s="1"/>
  <c r="C4702" i="22"/>
  <c r="E4702" i="22"/>
  <c r="G4702" i="22"/>
  <c r="I4702" i="22"/>
  <c r="G16" i="15" s="1"/>
  <c r="B4703" i="22"/>
  <c r="P4647" i="22"/>
  <c r="Q4647" i="22"/>
  <c r="R4647" i="22"/>
  <c r="C4648" i="22"/>
  <c r="E4648" i="22"/>
  <c r="G4648" i="22"/>
  <c r="B4649" i="22"/>
  <c r="M4593" i="22"/>
  <c r="J4593" i="22"/>
  <c r="N4593" i="22" s="1"/>
  <c r="D4593" i="22"/>
  <c r="P4593" i="22"/>
  <c r="Q4593" i="22"/>
  <c r="R4593" i="22"/>
  <c r="I4594" i="22"/>
  <c r="L4594" i="22"/>
  <c r="C4594" i="22"/>
  <c r="K4594" i="22" s="1"/>
  <c r="E4594" i="22"/>
  <c r="F4594" i="22"/>
  <c r="G4594" i="22"/>
  <c r="B4595" i="22"/>
  <c r="M4539" i="22"/>
  <c r="D4539" i="22"/>
  <c r="J4539" i="22"/>
  <c r="N4539" i="22" s="1"/>
  <c r="P4539" i="22"/>
  <c r="Q4539" i="22"/>
  <c r="R4539" i="22"/>
  <c r="L4540" i="22"/>
  <c r="C4540" i="22"/>
  <c r="K4540" i="22" s="1"/>
  <c r="E4540" i="22"/>
  <c r="F4540" i="22"/>
  <c r="G4540" i="22"/>
  <c r="I4540" i="22"/>
  <c r="B4541" i="22"/>
  <c r="D4239" i="22"/>
  <c r="J4239" i="22"/>
  <c r="P4239" i="22"/>
  <c r="Q4239" i="22"/>
  <c r="R4239" i="22"/>
  <c r="M4239" i="22"/>
  <c r="N4239" i="22"/>
  <c r="U4239" i="22" s="1"/>
  <c r="C4240" i="22"/>
  <c r="E4240" i="22"/>
  <c r="F4240" i="22"/>
  <c r="O4240" i="22" s="1"/>
  <c r="G4240" i="22"/>
  <c r="I4240" i="22"/>
  <c r="K4240" i="22"/>
  <c r="L4240" i="22"/>
  <c r="B4241" i="22"/>
  <c r="M4185" i="22"/>
  <c r="D4185" i="22"/>
  <c r="J4185" i="22"/>
  <c r="N4185" i="22" s="1"/>
  <c r="U4185" i="22" s="1"/>
  <c r="P4185" i="22"/>
  <c r="Q4185" i="22"/>
  <c r="R4185" i="22"/>
  <c r="L4186" i="22"/>
  <c r="C4186" i="22"/>
  <c r="E4186" i="22"/>
  <c r="G4186" i="22"/>
  <c r="I4186" i="22"/>
  <c r="B4187" i="22"/>
  <c r="M4131" i="22"/>
  <c r="D4131" i="22"/>
  <c r="J4131" i="22"/>
  <c r="N4131" i="22" s="1"/>
  <c r="U4131" i="22" s="1"/>
  <c r="P4131" i="22"/>
  <c r="Q4131" i="22"/>
  <c r="R4131" i="22"/>
  <c r="L4132" i="22"/>
  <c r="C4132" i="22"/>
  <c r="E4132" i="22"/>
  <c r="G4132" i="22"/>
  <c r="I4132" i="22"/>
  <c r="B4133" i="22"/>
  <c r="M4077" i="22"/>
  <c r="D4077" i="22"/>
  <c r="J4077" i="22"/>
  <c r="N4077" i="22" s="1"/>
  <c r="U4077" i="22" s="1"/>
  <c r="P4077" i="22"/>
  <c r="Q4077" i="22"/>
  <c r="R4077" i="22"/>
  <c r="L4078" i="22"/>
  <c r="C4078" i="22"/>
  <c r="K4078" i="22" s="1"/>
  <c r="E4078" i="22"/>
  <c r="F4078" i="22"/>
  <c r="O4078" i="22" s="1"/>
  <c r="G4078" i="22"/>
  <c r="I4078" i="22"/>
  <c r="B4079" i="22"/>
  <c r="M3777" i="22"/>
  <c r="D3777" i="22"/>
  <c r="J3777" i="22"/>
  <c r="N3777" i="22" s="1"/>
  <c r="P3777" i="22"/>
  <c r="Q3777" i="22"/>
  <c r="R3777" i="22"/>
  <c r="L3778" i="22"/>
  <c r="C3778" i="22"/>
  <c r="E3778" i="22"/>
  <c r="G3778" i="22"/>
  <c r="I3778" i="22"/>
  <c r="B3779" i="22"/>
  <c r="M3723" i="22"/>
  <c r="D3723" i="22"/>
  <c r="J3723" i="22"/>
  <c r="N3723" i="22" s="1"/>
  <c r="P3723" i="22"/>
  <c r="Q3723" i="22"/>
  <c r="R3723" i="22"/>
  <c r="L3724" i="22"/>
  <c r="C3724" i="22"/>
  <c r="K3724" i="22" s="1"/>
  <c r="E3724" i="22"/>
  <c r="F3724" i="22"/>
  <c r="O3724" i="22" s="1"/>
  <c r="BN71" i="22" s="1"/>
  <c r="G3724" i="22"/>
  <c r="I3724" i="22"/>
  <c r="B3725" i="22"/>
  <c r="M3669" i="22"/>
  <c r="D3669" i="22"/>
  <c r="J3669" i="22"/>
  <c r="N3669" i="22" s="1"/>
  <c r="P3669" i="22"/>
  <c r="Q3669" i="22"/>
  <c r="R3669" i="22"/>
  <c r="L3670" i="22"/>
  <c r="C3670" i="22"/>
  <c r="K3670" i="22" s="1"/>
  <c r="E3670" i="22"/>
  <c r="F3670" i="22"/>
  <c r="O3670" i="22" s="1"/>
  <c r="BN70" i="22" s="1"/>
  <c r="G3670" i="22"/>
  <c r="I3670" i="22"/>
  <c r="B3671" i="22"/>
  <c r="U3614" i="22"/>
  <c r="AN69" i="22"/>
  <c r="AZ69" i="22"/>
  <c r="D3615" i="22"/>
  <c r="J3615" i="22"/>
  <c r="P3615" i="22"/>
  <c r="Q3615" i="22"/>
  <c r="R3615" i="22"/>
  <c r="L3616" i="22"/>
  <c r="C3616" i="22"/>
  <c r="K3616" i="22" s="1"/>
  <c r="E3616" i="22"/>
  <c r="F3616" i="22"/>
  <c r="O3616" i="22" s="1"/>
  <c r="BN69" i="22" s="1"/>
  <c r="G3616" i="22"/>
  <c r="I3616" i="22"/>
  <c r="B3617" i="22"/>
  <c r="M3561" i="22"/>
  <c r="L3562" i="22"/>
  <c r="E3562" i="22"/>
  <c r="I3562" i="22"/>
  <c r="B3563" i="22"/>
  <c r="C3562" i="22"/>
  <c r="G3562" i="22"/>
  <c r="D3561" i="22"/>
  <c r="J3561" i="22"/>
  <c r="N3561" i="22" s="1"/>
  <c r="P3561" i="22"/>
  <c r="Q3561" i="22"/>
  <c r="R3561" i="22"/>
  <c r="U3506" i="22"/>
  <c r="AN67" i="22"/>
  <c r="AZ67" i="22"/>
  <c r="M3507" i="22"/>
  <c r="D3507" i="22"/>
  <c r="J3507" i="22"/>
  <c r="N3507" i="22" s="1"/>
  <c r="P3507" i="22"/>
  <c r="Q3507" i="22"/>
  <c r="R3507" i="22"/>
  <c r="L3508" i="22"/>
  <c r="C3508" i="22"/>
  <c r="E3508" i="22"/>
  <c r="G3508" i="22"/>
  <c r="I3508" i="22"/>
  <c r="B3509" i="22"/>
  <c r="U3452" i="22"/>
  <c r="AN66" i="22"/>
  <c r="AZ66" i="22"/>
  <c r="M3453" i="22"/>
  <c r="D3453" i="22"/>
  <c r="J3453" i="22"/>
  <c r="N3453" i="22" s="1"/>
  <c r="P3453" i="22"/>
  <c r="Q3453" i="22"/>
  <c r="R3453" i="22"/>
  <c r="L3454" i="22"/>
  <c r="C3454" i="22"/>
  <c r="E3454" i="22"/>
  <c r="G3454" i="22"/>
  <c r="I3454" i="22"/>
  <c r="B3455" i="22"/>
  <c r="M3399" i="22"/>
  <c r="D3399" i="22"/>
  <c r="J3399" i="22"/>
  <c r="N3399" i="22" s="1"/>
  <c r="P3399" i="22"/>
  <c r="Q3399" i="22"/>
  <c r="R3399" i="22"/>
  <c r="L3400" i="22"/>
  <c r="C3400" i="22"/>
  <c r="K3400" i="22" s="1"/>
  <c r="E3400" i="22"/>
  <c r="F3400" i="22"/>
  <c r="O3400" i="22" s="1"/>
  <c r="G3400" i="22"/>
  <c r="I3400" i="22"/>
  <c r="B3401" i="22"/>
  <c r="U3344" i="22"/>
  <c r="AN64" i="22"/>
  <c r="AZ64" i="22"/>
  <c r="M3345" i="22"/>
  <c r="D3345" i="22"/>
  <c r="J3345" i="22"/>
  <c r="N3345" i="22" s="1"/>
  <c r="P3345" i="22"/>
  <c r="Q3345" i="22"/>
  <c r="R3345" i="22"/>
  <c r="L3346" i="22"/>
  <c r="C3346" i="22"/>
  <c r="K3346" i="22" s="1"/>
  <c r="E3346" i="22"/>
  <c r="F3346" i="22"/>
  <c r="O3346" i="22" s="1"/>
  <c r="BN64" i="22" s="1"/>
  <c r="G3346" i="22"/>
  <c r="I3346" i="22"/>
  <c r="B3347" i="22"/>
  <c r="U3290" i="22"/>
  <c r="AN63" i="22"/>
  <c r="AZ63" i="22"/>
  <c r="D3291" i="22"/>
  <c r="J3291" i="22"/>
  <c r="P3291" i="22"/>
  <c r="Q3291" i="22"/>
  <c r="R3291" i="22"/>
  <c r="L3292" i="22"/>
  <c r="C3292" i="22"/>
  <c r="K3292" i="22" s="1"/>
  <c r="E3292" i="22"/>
  <c r="F3292" i="22"/>
  <c r="O3292" i="22" s="1"/>
  <c r="BN63" i="22" s="1"/>
  <c r="G3292" i="22"/>
  <c r="I3292" i="22"/>
  <c r="B3293" i="22"/>
  <c r="U3236" i="22"/>
  <c r="AN62" i="22"/>
  <c r="AZ62" i="22"/>
  <c r="D3237" i="22"/>
  <c r="J3237" i="22"/>
  <c r="P3237" i="22"/>
  <c r="Q3237" i="22"/>
  <c r="R3237" i="22"/>
  <c r="L3238" i="22"/>
  <c r="C3238" i="22"/>
  <c r="K3238" i="22" s="1"/>
  <c r="E3238" i="22"/>
  <c r="F3238" i="22"/>
  <c r="O3238" i="22" s="1"/>
  <c r="BN62" i="22" s="1"/>
  <c r="G3238" i="22"/>
  <c r="I3238" i="22"/>
  <c r="B3239" i="22"/>
  <c r="U3182" i="22"/>
  <c r="AN61" i="22"/>
  <c r="AZ61" i="22"/>
  <c r="M3183" i="22"/>
  <c r="D3183" i="22"/>
  <c r="J3183" i="22"/>
  <c r="N3183" i="22" s="1"/>
  <c r="P3183" i="22"/>
  <c r="Q3183" i="22"/>
  <c r="R3183" i="22"/>
  <c r="L3184" i="22"/>
  <c r="C3184" i="22"/>
  <c r="K3184" i="22" s="1"/>
  <c r="E3184" i="22"/>
  <c r="F3184" i="22"/>
  <c r="O3184" i="22" s="1"/>
  <c r="G3184" i="22"/>
  <c r="I3184" i="22"/>
  <c r="B3185" i="22"/>
  <c r="M3129" i="22"/>
  <c r="D3129" i="22"/>
  <c r="J3129" i="22"/>
  <c r="N3129" i="22" s="1"/>
  <c r="P3129" i="22"/>
  <c r="Q3129" i="22"/>
  <c r="R3129" i="22"/>
  <c r="L3130" i="22"/>
  <c r="C3130" i="22"/>
  <c r="K3130" i="22" s="1"/>
  <c r="E3130" i="22"/>
  <c r="F3130" i="22"/>
  <c r="O3130" i="22" s="1"/>
  <c r="G3130" i="22"/>
  <c r="I3130" i="22"/>
  <c r="B3131" i="22"/>
  <c r="L3076" i="22"/>
  <c r="I3076" i="22"/>
  <c r="C3076" i="22"/>
  <c r="E3076" i="22"/>
  <c r="G3076" i="22"/>
  <c r="B3077" i="22"/>
  <c r="D3075" i="22"/>
  <c r="J3075" i="22"/>
  <c r="P3075" i="22"/>
  <c r="Q3075" i="22"/>
  <c r="R3075" i="22"/>
  <c r="M3021" i="22"/>
  <c r="D3021" i="22"/>
  <c r="J3021" i="22"/>
  <c r="N3021" i="22" s="1"/>
  <c r="P3021" i="22"/>
  <c r="Q3021" i="22"/>
  <c r="R3021" i="22"/>
  <c r="L3022" i="22"/>
  <c r="C3022" i="22"/>
  <c r="E3022" i="22"/>
  <c r="G3022" i="22"/>
  <c r="I3022" i="22"/>
  <c r="B3023" i="22"/>
  <c r="U2966" i="22"/>
  <c r="AN57" i="22"/>
  <c r="AZ57" i="22"/>
  <c r="M2967" i="22"/>
  <c r="D2967" i="22"/>
  <c r="J2967" i="22"/>
  <c r="N2967" i="22" s="1"/>
  <c r="P2967" i="22"/>
  <c r="Q2967" i="22"/>
  <c r="R2967" i="22"/>
  <c r="L2968" i="22"/>
  <c r="B2969" i="22"/>
  <c r="I2968" i="22"/>
  <c r="C2968" i="22"/>
  <c r="E2968" i="22"/>
  <c r="G2968" i="22"/>
  <c r="P2913" i="22"/>
  <c r="Q2913" i="22"/>
  <c r="R2913" i="22"/>
  <c r="L2914" i="22"/>
  <c r="E2914" i="22"/>
  <c r="G2914" i="22"/>
  <c r="B2915" i="22"/>
  <c r="I2914" i="22"/>
  <c r="C2914" i="22"/>
  <c r="D2913" i="22"/>
  <c r="J2913" i="22"/>
  <c r="U2858" i="22"/>
  <c r="AN55" i="22"/>
  <c r="AZ55" i="22"/>
  <c r="D2859" i="22"/>
  <c r="J2859" i="22"/>
  <c r="P2859" i="22"/>
  <c r="Q2859" i="22"/>
  <c r="R2859" i="22"/>
  <c r="L2860" i="22"/>
  <c r="C2860" i="22"/>
  <c r="K2860" i="22" s="1"/>
  <c r="E2860" i="22"/>
  <c r="F2860" i="22"/>
  <c r="O2860" i="22" s="1"/>
  <c r="BN55" i="22" s="1"/>
  <c r="G2860" i="22"/>
  <c r="I2860" i="22"/>
  <c r="B2861" i="22"/>
  <c r="S2804" i="22"/>
  <c r="AN54" i="22"/>
  <c r="AZ54" i="22"/>
  <c r="AL1619" i="23"/>
  <c r="U2804" i="22"/>
  <c r="M2805" i="22"/>
  <c r="D2805" i="22"/>
  <c r="J2805" i="22"/>
  <c r="N2805" i="22" s="1"/>
  <c r="P2805" i="22"/>
  <c r="Q2805" i="22"/>
  <c r="R2805" i="22"/>
  <c r="T2805" i="22"/>
  <c r="L2806" i="22"/>
  <c r="C2806" i="22"/>
  <c r="E2806" i="22"/>
  <c r="G2806" i="22"/>
  <c r="I2806" i="22"/>
  <c r="B2807" i="22"/>
  <c r="U2750" i="22"/>
  <c r="AN53" i="22"/>
  <c r="AZ53" i="22"/>
  <c r="M2751" i="22"/>
  <c r="D2751" i="22"/>
  <c r="J2751" i="22"/>
  <c r="N2751" i="22" s="1"/>
  <c r="P2751" i="22"/>
  <c r="Q2751" i="22"/>
  <c r="R2751" i="22"/>
  <c r="L2752" i="22"/>
  <c r="C2752" i="22"/>
  <c r="E2752" i="22"/>
  <c r="G2752" i="22"/>
  <c r="I2752" i="22"/>
  <c r="B2753" i="22"/>
  <c r="U2696" i="22"/>
  <c r="AN52" i="22"/>
  <c r="AZ52" i="22"/>
  <c r="M2697" i="22"/>
  <c r="D2697" i="22"/>
  <c r="J2697" i="22"/>
  <c r="N2697" i="22" s="1"/>
  <c r="P2697" i="22"/>
  <c r="Q2697" i="22"/>
  <c r="R2697" i="22"/>
  <c r="L2698" i="22"/>
  <c r="C2698" i="22"/>
  <c r="E2698" i="22"/>
  <c r="G2698" i="22"/>
  <c r="I2698" i="22"/>
  <c r="B2699" i="22"/>
  <c r="U2642" i="22"/>
  <c r="AN51" i="22"/>
  <c r="AZ51" i="22"/>
  <c r="M2643" i="22"/>
  <c r="D2643" i="22"/>
  <c r="J2643" i="22"/>
  <c r="N2643" i="22" s="1"/>
  <c r="P2643" i="22"/>
  <c r="Q2643" i="22"/>
  <c r="R2643" i="22"/>
  <c r="L2644" i="22"/>
  <c r="C2644" i="22"/>
  <c r="E2644" i="22"/>
  <c r="G2644" i="22"/>
  <c r="I2644" i="22"/>
  <c r="B2645" i="22"/>
  <c r="AN50" i="22"/>
  <c r="AZ50" i="22"/>
  <c r="U2588" i="22"/>
  <c r="P2589" i="22"/>
  <c r="Q2589" i="22"/>
  <c r="R2589" i="22"/>
  <c r="L2590" i="22"/>
  <c r="C2590" i="22"/>
  <c r="E2590" i="22"/>
  <c r="B2591" i="22"/>
  <c r="G2590" i="22"/>
  <c r="I2590" i="22"/>
  <c r="J2589" i="22"/>
  <c r="D2589" i="22"/>
  <c r="U2534" i="22"/>
  <c r="AN49" i="22"/>
  <c r="AZ49" i="22"/>
  <c r="M2535" i="22"/>
  <c r="D2535" i="22"/>
  <c r="J2535" i="22"/>
  <c r="N2535" i="22" s="1"/>
  <c r="P2535" i="22"/>
  <c r="Q2535" i="22"/>
  <c r="R2535" i="22"/>
  <c r="L2536" i="22"/>
  <c r="C2536" i="22"/>
  <c r="K2536" i="22" s="1"/>
  <c r="E2536" i="22"/>
  <c r="F2536" i="22"/>
  <c r="O2536" i="22" s="1"/>
  <c r="G2536" i="22"/>
  <c r="I2536" i="22"/>
  <c r="B2537" i="22"/>
  <c r="U2480" i="22"/>
  <c r="AN48" i="22"/>
  <c r="AZ48" i="22"/>
  <c r="M2481" i="22"/>
  <c r="D2481" i="22"/>
  <c r="J2481" i="22"/>
  <c r="N2481" i="22" s="1"/>
  <c r="P2481" i="22"/>
  <c r="Q2481" i="22"/>
  <c r="R2481" i="22"/>
  <c r="L2482" i="22"/>
  <c r="C2482" i="22"/>
  <c r="K2482" i="22" s="1"/>
  <c r="E2482" i="22"/>
  <c r="F2482" i="22"/>
  <c r="O2482" i="22" s="1"/>
  <c r="G2482" i="22"/>
  <c r="I2482" i="22"/>
  <c r="B2483" i="22"/>
  <c r="U2426" i="22"/>
  <c r="AN47" i="22"/>
  <c r="AZ47" i="22"/>
  <c r="M2427" i="22"/>
  <c r="D2427" i="22"/>
  <c r="J2427" i="22"/>
  <c r="N2427" i="22" s="1"/>
  <c r="P2427" i="22"/>
  <c r="Q2427" i="22"/>
  <c r="R2427" i="22"/>
  <c r="L2428" i="22"/>
  <c r="C2428" i="22"/>
  <c r="E2428" i="22"/>
  <c r="G2428" i="22"/>
  <c r="I2428" i="22"/>
  <c r="B2429" i="22"/>
  <c r="M2373" i="22"/>
  <c r="D2373" i="22"/>
  <c r="J2373" i="22"/>
  <c r="N2373" i="22" s="1"/>
  <c r="P2373" i="22"/>
  <c r="Q2373" i="22"/>
  <c r="R2373" i="22"/>
  <c r="L2374" i="22"/>
  <c r="C2374" i="22"/>
  <c r="E2374" i="22"/>
  <c r="G2374" i="22"/>
  <c r="I2374" i="22"/>
  <c r="B2375" i="22"/>
  <c r="U2318" i="22"/>
  <c r="AN45" i="22"/>
  <c r="AZ45" i="22"/>
  <c r="D2319" i="22"/>
  <c r="J2319" i="22"/>
  <c r="P2319" i="22"/>
  <c r="Q2319" i="22"/>
  <c r="R2319" i="22"/>
  <c r="L2320" i="22"/>
  <c r="C2320" i="22"/>
  <c r="E2320" i="22"/>
  <c r="G2320" i="22"/>
  <c r="I2320" i="22"/>
  <c r="B2321" i="22"/>
  <c r="U2264" i="22"/>
  <c r="AN44" i="22"/>
  <c r="AZ44" i="22"/>
  <c r="M2265" i="22"/>
  <c r="D2265" i="22"/>
  <c r="J2265" i="22"/>
  <c r="N2265" i="22" s="1"/>
  <c r="P2265" i="22"/>
  <c r="Q2265" i="22"/>
  <c r="R2265" i="22"/>
  <c r="L2266" i="22"/>
  <c r="C2266" i="22"/>
  <c r="K2266" i="22" s="1"/>
  <c r="E2266" i="22"/>
  <c r="F2266" i="22"/>
  <c r="O2266" i="22" s="1"/>
  <c r="BN44" i="22" s="1"/>
  <c r="G2266" i="22"/>
  <c r="I2266" i="22"/>
  <c r="B2267" i="22"/>
  <c r="U2210" i="22"/>
  <c r="AN43" i="22"/>
  <c r="AZ43" i="22"/>
  <c r="M2211" i="22"/>
  <c r="D2211" i="22"/>
  <c r="J2211" i="22"/>
  <c r="N2211" i="22" s="1"/>
  <c r="P2211" i="22"/>
  <c r="Q2211" i="22"/>
  <c r="R2211" i="22"/>
  <c r="L2212" i="22"/>
  <c r="C2212" i="22"/>
  <c r="K2212" i="22" s="1"/>
  <c r="E2212" i="22"/>
  <c r="F2212" i="22"/>
  <c r="O2212" i="22" s="1"/>
  <c r="G2212" i="22"/>
  <c r="I2212" i="22"/>
  <c r="B2213" i="22"/>
  <c r="U2156" i="22"/>
  <c r="AN42" i="22"/>
  <c r="AZ42" i="22"/>
  <c r="M2157" i="22"/>
  <c r="D2157" i="22"/>
  <c r="J2157" i="22"/>
  <c r="N2157" i="22" s="1"/>
  <c r="P2157" i="22"/>
  <c r="Q2157" i="22"/>
  <c r="R2157" i="22"/>
  <c r="L2158" i="22"/>
  <c r="C2158" i="22"/>
  <c r="K2158" i="22" s="1"/>
  <c r="E2158" i="22"/>
  <c r="F2158" i="22"/>
  <c r="O2158" i="22" s="1"/>
  <c r="BN42" i="22" s="1"/>
  <c r="G2158" i="22"/>
  <c r="I2158" i="22"/>
  <c r="B2159" i="22"/>
  <c r="M2103" i="22"/>
  <c r="D2103" i="22"/>
  <c r="J2103" i="22"/>
  <c r="N2103" i="22" s="1"/>
  <c r="P2103" i="22"/>
  <c r="Q2103" i="22"/>
  <c r="R2103" i="22"/>
  <c r="L2104" i="22"/>
  <c r="C2104" i="22"/>
  <c r="E2104" i="22"/>
  <c r="G2104" i="22"/>
  <c r="I2104" i="22"/>
  <c r="B2105" i="22"/>
  <c r="M2049" i="22"/>
  <c r="D2049" i="22"/>
  <c r="J2049" i="22"/>
  <c r="N2049" i="22" s="1"/>
  <c r="P2049" i="22"/>
  <c r="Q2049" i="22"/>
  <c r="R2049" i="22"/>
  <c r="L2050" i="22"/>
  <c r="C2050" i="22"/>
  <c r="E2050" i="22"/>
  <c r="G2050" i="22"/>
  <c r="I2050" i="22"/>
  <c r="B2051" i="22"/>
  <c r="U1994" i="22"/>
  <c r="AN39" i="22"/>
  <c r="AZ39" i="22"/>
  <c r="M1995" i="22"/>
  <c r="D1995" i="22"/>
  <c r="J1995" i="22"/>
  <c r="N1995" i="22" s="1"/>
  <c r="P1995" i="22"/>
  <c r="Q1995" i="22"/>
  <c r="R1995" i="22"/>
  <c r="L1996" i="22"/>
  <c r="C1996" i="22"/>
  <c r="K1996" i="22" s="1"/>
  <c r="E1996" i="22"/>
  <c r="F1996" i="22"/>
  <c r="O1996" i="22" s="1"/>
  <c r="G1996" i="22"/>
  <c r="I1996" i="22"/>
  <c r="B1997" i="22"/>
  <c r="U1940" i="22"/>
  <c r="AN38" i="22"/>
  <c r="AZ38" i="22"/>
  <c r="D1941" i="22"/>
  <c r="J1941" i="22"/>
  <c r="P1941" i="22"/>
  <c r="Q1941" i="22"/>
  <c r="R1941" i="22"/>
  <c r="L1942" i="22"/>
  <c r="C1942" i="22"/>
  <c r="E1942" i="22"/>
  <c r="G1942" i="22"/>
  <c r="I1942" i="22"/>
  <c r="B1943" i="22"/>
  <c r="U1886" i="22"/>
  <c r="AN37" i="22"/>
  <c r="AZ37" i="22"/>
  <c r="M1887" i="22"/>
  <c r="D1887" i="22"/>
  <c r="J1887" i="22"/>
  <c r="N1887" i="22" s="1"/>
  <c r="P1887" i="22"/>
  <c r="Q1887" i="22"/>
  <c r="R1887" i="22"/>
  <c r="L1888" i="22"/>
  <c r="C1888" i="22"/>
  <c r="E1888" i="22"/>
  <c r="G1888" i="22"/>
  <c r="I1888" i="22"/>
  <c r="B1889" i="22"/>
  <c r="U1832" i="22"/>
  <c r="AN36" i="22"/>
  <c r="AZ36" i="22"/>
  <c r="M1833" i="22"/>
  <c r="D1833" i="22"/>
  <c r="J1833" i="22"/>
  <c r="N1833" i="22" s="1"/>
  <c r="P1833" i="22"/>
  <c r="Q1833" i="22"/>
  <c r="R1833" i="22"/>
  <c r="L1834" i="22"/>
  <c r="C1834" i="22"/>
  <c r="K1834" i="22" s="1"/>
  <c r="E1834" i="22"/>
  <c r="F1834" i="22"/>
  <c r="O1834" i="22" s="1"/>
  <c r="G1834" i="22"/>
  <c r="I1834" i="22"/>
  <c r="B1835" i="22"/>
  <c r="U1778" i="22"/>
  <c r="AN35" i="22"/>
  <c r="AZ35" i="22"/>
  <c r="M1779" i="22"/>
  <c r="D1779" i="22"/>
  <c r="J1779" i="22"/>
  <c r="N1779" i="22" s="1"/>
  <c r="P1779" i="22"/>
  <c r="Q1779" i="22"/>
  <c r="R1779" i="22"/>
  <c r="L1780" i="22"/>
  <c r="C1780" i="22"/>
  <c r="K1780" i="22" s="1"/>
  <c r="E1780" i="22"/>
  <c r="F1780" i="22"/>
  <c r="O1780" i="22" s="1"/>
  <c r="G1780" i="22"/>
  <c r="I1780" i="22"/>
  <c r="B1781" i="22"/>
  <c r="M1725" i="22"/>
  <c r="D1725" i="22"/>
  <c r="J1725" i="22"/>
  <c r="N1725" i="22" s="1"/>
  <c r="P1725" i="22"/>
  <c r="Q1725" i="22"/>
  <c r="R1725" i="22"/>
  <c r="L1726" i="22"/>
  <c r="C1726" i="22"/>
  <c r="K1726" i="22" s="1"/>
  <c r="E1726" i="22"/>
  <c r="F1726" i="22"/>
  <c r="O1726" i="22" s="1"/>
  <c r="G1726" i="22"/>
  <c r="I1726" i="22"/>
  <c r="B1727" i="22"/>
  <c r="U1670" i="22"/>
  <c r="AN33" i="22"/>
  <c r="AZ33" i="22"/>
  <c r="D1671" i="22"/>
  <c r="J1671" i="22"/>
  <c r="P1671" i="22"/>
  <c r="Q1671" i="22"/>
  <c r="R1671" i="22"/>
  <c r="L1672" i="22"/>
  <c r="C1672" i="22"/>
  <c r="K1672" i="22" s="1"/>
  <c r="E1672" i="22"/>
  <c r="F1672" i="22"/>
  <c r="O1672" i="22" s="1"/>
  <c r="BN33" i="22" s="1"/>
  <c r="G1672" i="22"/>
  <c r="I1672" i="22"/>
  <c r="B1673" i="22"/>
  <c r="U1616" i="22"/>
  <c r="AN32" i="22"/>
  <c r="AZ32" i="22"/>
  <c r="D1617" i="22"/>
  <c r="J1617" i="22"/>
  <c r="P1617" i="22"/>
  <c r="Q1617" i="22"/>
  <c r="R1617" i="22"/>
  <c r="L1618" i="22"/>
  <c r="C1618" i="22"/>
  <c r="E1618" i="22"/>
  <c r="G1618" i="22"/>
  <c r="I1618" i="22"/>
  <c r="B1619" i="22"/>
  <c r="U1562" i="22"/>
  <c r="AN31" i="22"/>
  <c r="AZ31" i="22"/>
  <c r="M1563" i="22"/>
  <c r="D1563" i="22"/>
  <c r="J1563" i="22"/>
  <c r="N1563" i="22" s="1"/>
  <c r="P1563" i="22"/>
  <c r="Q1563" i="22"/>
  <c r="R1563" i="22"/>
  <c r="L1564" i="22"/>
  <c r="C1564" i="22"/>
  <c r="E1564" i="22"/>
  <c r="G1564" i="22"/>
  <c r="I1564" i="22"/>
  <c r="B1565" i="22"/>
  <c r="U1508" i="22"/>
  <c r="AN30" i="22"/>
  <c r="AZ30" i="22"/>
  <c r="M1509" i="22"/>
  <c r="D1509" i="22"/>
  <c r="J1509" i="22"/>
  <c r="N1509" i="22" s="1"/>
  <c r="P1509" i="22"/>
  <c r="Q1509" i="22"/>
  <c r="R1509" i="22"/>
  <c r="L1510" i="22"/>
  <c r="C1510" i="22"/>
  <c r="E1510" i="22"/>
  <c r="G1510" i="22"/>
  <c r="I1510" i="22"/>
  <c r="B1511" i="22"/>
  <c r="U1454" i="22"/>
  <c r="AN29" i="22"/>
  <c r="AZ29" i="22"/>
  <c r="M1455" i="22"/>
  <c r="D1455" i="22"/>
  <c r="J1455" i="22"/>
  <c r="N1455" i="22" s="1"/>
  <c r="P1455" i="22"/>
  <c r="Q1455" i="22"/>
  <c r="R1455" i="22"/>
  <c r="L1456" i="22"/>
  <c r="C1456" i="22"/>
  <c r="E1456" i="22"/>
  <c r="G1456" i="22"/>
  <c r="I1456" i="22"/>
  <c r="B1457" i="22"/>
  <c r="U1400" i="22"/>
  <c r="AN28" i="22"/>
  <c r="AZ28" i="22"/>
  <c r="D1401" i="22"/>
  <c r="J1401" i="22"/>
  <c r="P1401" i="22"/>
  <c r="Q1401" i="22"/>
  <c r="R1401" i="22"/>
  <c r="L1402" i="22"/>
  <c r="C1402" i="22"/>
  <c r="K1402" i="22" s="1"/>
  <c r="E1402" i="22"/>
  <c r="F1402" i="22"/>
  <c r="O1402" i="22" s="1"/>
  <c r="BN28" i="22" s="1"/>
  <c r="G1402" i="22"/>
  <c r="I1402" i="22"/>
  <c r="B1403" i="22"/>
  <c r="D1347" i="22"/>
  <c r="J1347" i="22"/>
  <c r="P1347" i="22"/>
  <c r="Q1347" i="22"/>
  <c r="R1347" i="22"/>
  <c r="L1348" i="22"/>
  <c r="G1348" i="22"/>
  <c r="C1348" i="22"/>
  <c r="E1348" i="22"/>
  <c r="I1348" i="22"/>
  <c r="B1349" i="22"/>
  <c r="U1292" i="22"/>
  <c r="AN26" i="22"/>
  <c r="AZ26" i="22"/>
  <c r="M1293" i="22"/>
  <c r="D1293" i="22"/>
  <c r="J1293" i="22"/>
  <c r="N1293" i="22" s="1"/>
  <c r="P1293" i="22"/>
  <c r="Q1293" i="22"/>
  <c r="R1293" i="22"/>
  <c r="L1294" i="22"/>
  <c r="C1294" i="22"/>
  <c r="K1294" i="22" s="1"/>
  <c r="E1294" i="22"/>
  <c r="F1294" i="22"/>
  <c r="O1294" i="22" s="1"/>
  <c r="G1294" i="22"/>
  <c r="I1294" i="22"/>
  <c r="B1295" i="22"/>
  <c r="U1238" i="22"/>
  <c r="AN25" i="22"/>
  <c r="AZ25" i="22"/>
  <c r="M1239" i="22"/>
  <c r="D1239" i="22"/>
  <c r="J1239" i="22"/>
  <c r="N1239" i="22" s="1"/>
  <c r="P1239" i="22"/>
  <c r="Q1239" i="22"/>
  <c r="R1239" i="22"/>
  <c r="L1240" i="22"/>
  <c r="C1240" i="22"/>
  <c r="K1240" i="22" s="1"/>
  <c r="E1240" i="22"/>
  <c r="F1240" i="22"/>
  <c r="O1240" i="22" s="1"/>
  <c r="G1240" i="22"/>
  <c r="I1240" i="22"/>
  <c r="B1241" i="22"/>
  <c r="C123" i="7"/>
  <c r="C61" i="7"/>
  <c r="U1184" i="22"/>
  <c r="AN24" i="22"/>
  <c r="AZ24" i="22"/>
  <c r="M1185" i="22"/>
  <c r="D1185" i="22"/>
  <c r="J1185" i="22"/>
  <c r="N1185" i="22" s="1"/>
  <c r="D92" i="7"/>
  <c r="BM24" i="22"/>
  <c r="P1185" i="22"/>
  <c r="Q1185" i="22"/>
  <c r="R1185" i="22"/>
  <c r="L1186" i="22"/>
  <c r="C1186" i="22"/>
  <c r="K1186" i="22" s="1"/>
  <c r="E1186" i="22"/>
  <c r="F1186" i="22"/>
  <c r="O1186" i="22" s="1"/>
  <c r="G1186" i="22"/>
  <c r="I1186" i="22"/>
  <c r="B1187" i="22"/>
  <c r="C122" i="7"/>
  <c r="C60" i="7"/>
  <c r="U1130" i="22"/>
  <c r="AN23" i="22"/>
  <c r="AZ23" i="22"/>
  <c r="M1131" i="22"/>
  <c r="D1131" i="22"/>
  <c r="J1131" i="22"/>
  <c r="N1131" i="22" s="1"/>
  <c r="D91" i="7"/>
  <c r="BM23" i="22"/>
  <c r="P1131" i="22"/>
  <c r="Q1131" i="22"/>
  <c r="R1131" i="22"/>
  <c r="L1132" i="22"/>
  <c r="C1132" i="22"/>
  <c r="E1132" i="22"/>
  <c r="G1132" i="22"/>
  <c r="I1132" i="22"/>
  <c r="B1133" i="22"/>
  <c r="C121" i="7"/>
  <c r="C59" i="7"/>
  <c r="U1076" i="22"/>
  <c r="AN22" i="22"/>
  <c r="AZ22" i="22"/>
  <c r="M1077" i="22"/>
  <c r="D1077" i="22"/>
  <c r="J1077" i="22"/>
  <c r="N1077" i="22" s="1"/>
  <c r="D90" i="7"/>
  <c r="BM22" i="22"/>
  <c r="P1077" i="22"/>
  <c r="Q1077" i="22"/>
  <c r="R1077" i="22"/>
  <c r="L1078" i="22"/>
  <c r="C1078" i="22"/>
  <c r="K1078" i="22" s="1"/>
  <c r="E1078" i="22"/>
  <c r="F1078" i="22"/>
  <c r="O1078" i="22" s="1"/>
  <c r="G1078" i="22"/>
  <c r="I1078" i="22"/>
  <c r="B1079" i="22"/>
  <c r="C120" i="7"/>
  <c r="C58" i="7"/>
  <c r="U1022" i="22"/>
  <c r="AN21" i="22"/>
  <c r="AZ21" i="22"/>
  <c r="M1023" i="22"/>
  <c r="D1023" i="22"/>
  <c r="J1023" i="22"/>
  <c r="N1023" i="22" s="1"/>
  <c r="D89" i="7"/>
  <c r="BM21" i="22"/>
  <c r="P1023" i="22"/>
  <c r="Q1023" i="22"/>
  <c r="R1023" i="22"/>
  <c r="L1024" i="22"/>
  <c r="C1024" i="22"/>
  <c r="K1024" i="22" s="1"/>
  <c r="E1024" i="22"/>
  <c r="F1024" i="22"/>
  <c r="O1024" i="22" s="1"/>
  <c r="G1024" i="22"/>
  <c r="I1024" i="22"/>
  <c r="B1025" i="22"/>
  <c r="C119" i="7"/>
  <c r="C57" i="7"/>
  <c r="U968" i="22"/>
  <c r="AN20" i="22"/>
  <c r="AZ20" i="22"/>
  <c r="M969" i="22"/>
  <c r="D969" i="22"/>
  <c r="J969" i="22"/>
  <c r="N969" i="22" s="1"/>
  <c r="D88" i="7"/>
  <c r="BM20" i="22"/>
  <c r="P969" i="22"/>
  <c r="Q969" i="22"/>
  <c r="R969" i="22"/>
  <c r="L970" i="22"/>
  <c r="C970" i="22"/>
  <c r="K970" i="22" s="1"/>
  <c r="E970" i="22"/>
  <c r="F970" i="22"/>
  <c r="O970" i="22" s="1"/>
  <c r="G970" i="22"/>
  <c r="I970" i="22"/>
  <c r="B971" i="22"/>
  <c r="C118" i="7"/>
  <c r="C56" i="7"/>
  <c r="U914" i="22"/>
  <c r="AN19" i="22"/>
  <c r="AZ19" i="22"/>
  <c r="M915" i="22"/>
  <c r="D915" i="22"/>
  <c r="J915" i="22"/>
  <c r="N915" i="22" s="1"/>
  <c r="D87" i="7"/>
  <c r="BM19" i="22"/>
  <c r="P915" i="22"/>
  <c r="Q915" i="22"/>
  <c r="R915" i="22"/>
  <c r="L916" i="22"/>
  <c r="C916" i="22"/>
  <c r="E916" i="22"/>
  <c r="G916" i="22"/>
  <c r="I916" i="22"/>
  <c r="B917" i="22"/>
  <c r="C117" i="7"/>
  <c r="C55" i="7"/>
  <c r="U860" i="22"/>
  <c r="AN18" i="22"/>
  <c r="AZ18" i="22"/>
  <c r="M861" i="22"/>
  <c r="D861" i="22"/>
  <c r="J861" i="22"/>
  <c r="N861" i="22" s="1"/>
  <c r="D86" i="7"/>
  <c r="BM18" i="22"/>
  <c r="P861" i="22"/>
  <c r="Q861" i="22"/>
  <c r="R861" i="22"/>
  <c r="L862" i="22"/>
  <c r="C862" i="22"/>
  <c r="K862" i="22" s="1"/>
  <c r="E862" i="22"/>
  <c r="F862" i="22"/>
  <c r="O862" i="22" s="1"/>
  <c r="G862" i="22"/>
  <c r="I862" i="22"/>
  <c r="B863" i="22"/>
  <c r="M807" i="22"/>
  <c r="D807" i="22"/>
  <c r="J807" i="22"/>
  <c r="N807" i="22" s="1"/>
  <c r="D85" i="7"/>
  <c r="BM17" i="22"/>
  <c r="P807" i="22"/>
  <c r="Q807" i="22"/>
  <c r="R807" i="22"/>
  <c r="L808" i="22"/>
  <c r="C808" i="22"/>
  <c r="E808" i="22"/>
  <c r="G808" i="22"/>
  <c r="I808" i="22"/>
  <c r="B809" i="22"/>
  <c r="D753" i="22"/>
  <c r="J753" i="22"/>
  <c r="P753" i="22"/>
  <c r="Q753" i="22"/>
  <c r="R753" i="22"/>
  <c r="L754" i="22"/>
  <c r="C754" i="22"/>
  <c r="K754" i="22" s="1"/>
  <c r="E754" i="22"/>
  <c r="F754" i="22"/>
  <c r="O754" i="22" s="1"/>
  <c r="G754" i="22"/>
  <c r="I754" i="22"/>
  <c r="B755" i="22"/>
  <c r="C114" i="7"/>
  <c r="C52" i="7"/>
  <c r="U698" i="22"/>
  <c r="AN15" i="22"/>
  <c r="AZ15" i="22"/>
  <c r="M699" i="22"/>
  <c r="D699" i="22"/>
  <c r="J699" i="22"/>
  <c r="N699" i="22" s="1"/>
  <c r="D83" i="7"/>
  <c r="BM15" i="22"/>
  <c r="P699" i="22"/>
  <c r="Q699" i="22"/>
  <c r="R699" i="22"/>
  <c r="L700" i="22"/>
  <c r="C700" i="22"/>
  <c r="K700" i="22" s="1"/>
  <c r="E700" i="22"/>
  <c r="F700" i="22"/>
  <c r="O700" i="22" s="1"/>
  <c r="G700" i="22"/>
  <c r="I700" i="22"/>
  <c r="B701" i="22"/>
  <c r="C113" i="7"/>
  <c r="C51" i="7"/>
  <c r="U644" i="22"/>
  <c r="AN14" i="22"/>
  <c r="AZ14" i="22"/>
  <c r="M645" i="22"/>
  <c r="D645" i="22"/>
  <c r="J645" i="22"/>
  <c r="N645" i="22" s="1"/>
  <c r="D82" i="7"/>
  <c r="BM14" i="22"/>
  <c r="P645" i="22"/>
  <c r="Q645" i="22"/>
  <c r="R645" i="22"/>
  <c r="L646" i="22"/>
  <c r="C646" i="22"/>
  <c r="K646" i="22" s="1"/>
  <c r="E646" i="22"/>
  <c r="F646" i="22"/>
  <c r="O646" i="22" s="1"/>
  <c r="G646" i="22"/>
  <c r="I646" i="22"/>
  <c r="B647" i="22"/>
  <c r="C50" i="7"/>
  <c r="C112" i="7"/>
  <c r="U590" i="22"/>
  <c r="AN13" i="22"/>
  <c r="AZ13" i="22"/>
  <c r="M591" i="22"/>
  <c r="D591" i="22"/>
  <c r="J591" i="22"/>
  <c r="N591" i="22" s="1"/>
  <c r="D81" i="7"/>
  <c r="BM13" i="22"/>
  <c r="P591" i="22"/>
  <c r="Q591" i="22"/>
  <c r="R591" i="22"/>
  <c r="L592" i="22"/>
  <c r="C592" i="22"/>
  <c r="K592" i="22" s="1"/>
  <c r="E592" i="22"/>
  <c r="F592" i="22"/>
  <c r="O592" i="22" s="1"/>
  <c r="G592" i="22"/>
  <c r="I592" i="22"/>
  <c r="B593" i="22"/>
  <c r="C111" i="7"/>
  <c r="C49" i="7"/>
  <c r="U536" i="22"/>
  <c r="AN12" i="22"/>
  <c r="AZ12" i="22"/>
  <c r="M537" i="22"/>
  <c r="D537" i="22"/>
  <c r="J537" i="22"/>
  <c r="N537" i="22" s="1"/>
  <c r="D80" i="7"/>
  <c r="BM12" i="22"/>
  <c r="P537" i="22"/>
  <c r="Q537" i="22"/>
  <c r="R537" i="22"/>
  <c r="L538" i="22"/>
  <c r="C538" i="22"/>
  <c r="E538" i="22"/>
  <c r="G538" i="22"/>
  <c r="I538" i="22"/>
  <c r="B539" i="22"/>
  <c r="M483" i="22"/>
  <c r="D483" i="22"/>
  <c r="J483" i="22"/>
  <c r="N483" i="22" s="1"/>
  <c r="D79" i="7"/>
  <c r="BM11" i="22"/>
  <c r="P483" i="22"/>
  <c r="Q483" i="22"/>
  <c r="R483" i="22"/>
  <c r="L484" i="22"/>
  <c r="C484" i="22"/>
  <c r="E484" i="22"/>
  <c r="G484" i="22"/>
  <c r="I484" i="22"/>
  <c r="B485" i="22"/>
  <c r="P429" i="22"/>
  <c r="Q429" i="22"/>
  <c r="R429" i="22"/>
  <c r="J429" i="22"/>
  <c r="D429" i="22"/>
  <c r="L430" i="22"/>
  <c r="I430" i="22"/>
  <c r="B431" i="22"/>
  <c r="C430" i="22"/>
  <c r="E430" i="22"/>
  <c r="G430" i="22"/>
  <c r="D375" i="22"/>
  <c r="J375" i="22"/>
  <c r="P375" i="22"/>
  <c r="Q375" i="22"/>
  <c r="R375" i="22"/>
  <c r="L376" i="22"/>
  <c r="C376" i="22"/>
  <c r="E376" i="22"/>
  <c r="G376" i="22"/>
  <c r="I376" i="22"/>
  <c r="B377" i="22"/>
  <c r="C107" i="7"/>
  <c r="C45" i="7"/>
  <c r="U320" i="22"/>
  <c r="AN8" i="22"/>
  <c r="AZ8" i="22"/>
  <c r="M321" i="22"/>
  <c r="D321" i="22"/>
  <c r="J321" i="22"/>
  <c r="N321" i="22" s="1"/>
  <c r="D76" i="7"/>
  <c r="BM8" i="22"/>
  <c r="P321" i="22"/>
  <c r="Q321" i="22"/>
  <c r="R321" i="22"/>
  <c r="L322" i="22"/>
  <c r="C322" i="22"/>
  <c r="K322" i="22" s="1"/>
  <c r="E322" i="22"/>
  <c r="F322" i="22"/>
  <c r="O322" i="22" s="1"/>
  <c r="G322" i="22"/>
  <c r="I322" i="22"/>
  <c r="B323" i="22"/>
  <c r="C106" i="7"/>
  <c r="C44" i="7"/>
  <c r="U266" i="22"/>
  <c r="AN7" i="22"/>
  <c r="AZ7" i="22"/>
  <c r="M267" i="22"/>
  <c r="D267" i="22"/>
  <c r="J267" i="22"/>
  <c r="N267" i="22" s="1"/>
  <c r="P267" i="22"/>
  <c r="Q267" i="22"/>
  <c r="R267" i="22"/>
  <c r="L268" i="22"/>
  <c r="C268" i="22"/>
  <c r="K268" i="22" s="1"/>
  <c r="E268" i="22"/>
  <c r="F268" i="22"/>
  <c r="O268" i="22" s="1"/>
  <c r="G268" i="22"/>
  <c r="I268" i="22"/>
  <c r="B269" i="22"/>
  <c r="C43" i="7"/>
  <c r="C105" i="7"/>
  <c r="U212" i="22"/>
  <c r="AN6" i="22"/>
  <c r="AZ6" i="22"/>
  <c r="M213" i="22"/>
  <c r="D213" i="22"/>
  <c r="J213" i="22"/>
  <c r="N213" i="22" s="1"/>
  <c r="D74" i="7"/>
  <c r="BM6" i="22"/>
  <c r="P213" i="22"/>
  <c r="Q213" i="22"/>
  <c r="R213" i="22"/>
  <c r="L214" i="22"/>
  <c r="C214" i="22"/>
  <c r="K214" i="22" s="1"/>
  <c r="E214" i="22"/>
  <c r="F214" i="22"/>
  <c r="O214" i="22" s="1"/>
  <c r="G214" i="22"/>
  <c r="I214" i="22"/>
  <c r="B215" i="22"/>
  <c r="C104" i="7"/>
  <c r="C42" i="7"/>
  <c r="U158" i="22"/>
  <c r="AN5" i="22"/>
  <c r="AZ5" i="22"/>
  <c r="M159" i="22"/>
  <c r="D159" i="22"/>
  <c r="J159" i="22"/>
  <c r="N159" i="22" s="1"/>
  <c r="D73" i="7"/>
  <c r="BM5" i="22"/>
  <c r="P159" i="22"/>
  <c r="Q159" i="22"/>
  <c r="R159" i="22"/>
  <c r="L160" i="22"/>
  <c r="C160" i="22"/>
  <c r="E160" i="22"/>
  <c r="G160" i="22"/>
  <c r="B161" i="22"/>
  <c r="I160" i="22"/>
  <c r="C103" i="7"/>
  <c r="C41" i="7"/>
  <c r="U104" i="22"/>
  <c r="AN4" i="22"/>
  <c r="AZ4" i="22"/>
  <c r="D105" i="22"/>
  <c r="J105" i="22"/>
  <c r="P105" i="22"/>
  <c r="Q105" i="22"/>
  <c r="R105" i="22"/>
  <c r="L106" i="22"/>
  <c r="C106" i="22"/>
  <c r="E106" i="22"/>
  <c r="G106" i="22"/>
  <c r="B107" i="22"/>
  <c r="I106" i="22"/>
  <c r="I44" i="17"/>
  <c r="B45" i="17"/>
  <c r="C44" i="17"/>
  <c r="K44" i="17" s="1"/>
  <c r="E44" i="17"/>
  <c r="F44" i="17"/>
  <c r="C44" i="18" s="1"/>
  <c r="E44" i="18" s="1"/>
  <c r="G44" i="17"/>
  <c r="AW44" i="17" s="1"/>
  <c r="L44" i="17"/>
  <c r="B44" i="18"/>
  <c r="D43" i="17"/>
  <c r="J43" i="17"/>
  <c r="N95" i="12"/>
  <c r="E95" i="12"/>
  <c r="O43" i="17"/>
  <c r="AU43" i="17"/>
  <c r="AT43" i="17"/>
  <c r="AS43" i="17"/>
  <c r="AR43" i="17"/>
  <c r="AQ43" i="17"/>
  <c r="AP43" i="17"/>
  <c r="AO43" i="17"/>
  <c r="AN43" i="17"/>
  <c r="AM43" i="17"/>
  <c r="AL43" i="17"/>
  <c r="AK43" i="17"/>
  <c r="AJ43" i="17"/>
  <c r="AI43" i="17"/>
  <c r="AH43" i="17"/>
  <c r="AG43" i="17"/>
  <c r="AF43" i="17"/>
  <c r="AE43" i="17"/>
  <c r="AD43" i="17"/>
  <c r="AC43" i="17"/>
  <c r="AB43" i="17"/>
  <c r="AA43" i="17"/>
  <c r="Z43" i="17"/>
  <c r="Y43" i="17"/>
  <c r="X43" i="17"/>
  <c r="W43" i="17"/>
  <c r="P43" i="17"/>
  <c r="F43" i="18" s="1"/>
  <c r="Q43" i="17"/>
  <c r="G43" i="18" s="1"/>
  <c r="R43" i="17"/>
  <c r="H43" i="18" s="1"/>
  <c r="V43" i="17"/>
  <c r="M43" i="17"/>
  <c r="N43" i="17"/>
  <c r="U42" i="17"/>
  <c r="M94" i="12"/>
  <c r="Q94" i="12" s="1"/>
  <c r="O94" i="12"/>
  <c r="AI69" i="17"/>
  <c r="AI70" i="17"/>
  <c r="C93" i="12"/>
  <c r="AY16" i="17"/>
  <c r="B109" i="12"/>
  <c r="I109" i="12" s="1"/>
  <c r="AX15" i="17"/>
  <c r="AW17" i="17"/>
  <c r="AW18" i="17"/>
  <c r="AW19" i="17"/>
  <c r="AW20" i="17"/>
  <c r="AW21" i="17"/>
  <c r="AW22" i="17"/>
  <c r="AW23" i="17"/>
  <c r="AW24" i="17"/>
  <c r="AW25" i="17"/>
  <c r="AW26" i="17"/>
  <c r="AW27" i="17"/>
  <c r="AW28" i="17"/>
  <c r="AW29" i="17"/>
  <c r="AW30" i="17"/>
  <c r="AW31" i="17"/>
  <c r="AW32" i="17"/>
  <c r="AW33" i="17"/>
  <c r="AW34" i="17"/>
  <c r="AW35" i="17"/>
  <c r="AW36" i="17"/>
  <c r="AW39" i="17"/>
  <c r="AW40" i="17"/>
  <c r="AW42" i="17"/>
  <c r="AW37" i="17"/>
  <c r="AW38" i="17"/>
  <c r="AW41" i="17"/>
  <c r="AW43" i="17"/>
  <c r="AD442" i="23"/>
  <c r="U3667" i="22"/>
  <c r="AM70" i="22"/>
  <c r="AY70" i="22"/>
  <c r="U3613" i="22"/>
  <c r="AM69" i="22"/>
  <c r="AY69" i="22"/>
  <c r="U3343" i="22"/>
  <c r="AM64" i="22"/>
  <c r="AY64" i="22"/>
  <c r="U3289" i="22"/>
  <c r="AM63" i="22"/>
  <c r="AY63" i="22"/>
  <c r="U3073" i="22"/>
  <c r="AM59" i="22"/>
  <c r="AY59" i="22"/>
  <c r="U2965" i="22"/>
  <c r="AM57" i="22"/>
  <c r="AY57" i="22"/>
  <c r="AM56" i="22"/>
  <c r="AY56" i="22"/>
  <c r="U2911" i="22"/>
  <c r="U2587" i="22"/>
  <c r="AM50" i="22"/>
  <c r="AY50" i="22"/>
  <c r="U2263" i="22"/>
  <c r="AM44" i="22"/>
  <c r="AY44" i="22"/>
  <c r="U1939" i="22"/>
  <c r="AM38" i="22"/>
  <c r="AY38" i="22"/>
  <c r="U1885" i="22"/>
  <c r="AM37" i="22"/>
  <c r="AY37" i="22"/>
  <c r="U1615" i="22"/>
  <c r="AM32" i="22"/>
  <c r="AY32" i="22"/>
  <c r="U1561" i="22"/>
  <c r="AM31" i="22"/>
  <c r="AY31" i="22"/>
  <c r="B123" i="7"/>
  <c r="B61" i="7"/>
  <c r="U1183" i="22"/>
  <c r="AM24" i="22"/>
  <c r="AY24" i="22"/>
  <c r="B117" i="7"/>
  <c r="B55" i="7"/>
  <c r="U859" i="22"/>
  <c r="AM18" i="22"/>
  <c r="AY18" i="22"/>
  <c r="B50" i="7"/>
  <c r="B112" i="7"/>
  <c r="U589" i="22"/>
  <c r="AM13" i="22"/>
  <c r="AY13" i="22"/>
  <c r="B111" i="7"/>
  <c r="B49" i="7"/>
  <c r="U535" i="22"/>
  <c r="AM12" i="22"/>
  <c r="AY12" i="22"/>
  <c r="B47" i="7"/>
  <c r="B109" i="7"/>
  <c r="U427" i="22"/>
  <c r="AM10" i="22"/>
  <c r="AY10" i="22"/>
  <c r="B106" i="7"/>
  <c r="B44" i="7"/>
  <c r="U265" i="22"/>
  <c r="AM7" i="22"/>
  <c r="AY7" i="22"/>
  <c r="B43" i="7"/>
  <c r="B105" i="7"/>
  <c r="U211" i="22"/>
  <c r="AM6" i="22"/>
  <c r="AY6" i="22"/>
  <c r="B65" i="7" s="1"/>
  <c r="M1507" i="23"/>
  <c r="N1507" i="23"/>
  <c r="W1507" i="23" s="1"/>
  <c r="AB1507" i="23"/>
  <c r="AC1507" i="23" s="1"/>
  <c r="O1507" i="23"/>
  <c r="AB1171" i="23"/>
  <c r="AC1171" i="23" s="1"/>
  <c r="O1171" i="23"/>
  <c r="Y1171" i="23" s="1"/>
  <c r="M1171" i="23"/>
  <c r="N1171" i="23"/>
  <c r="W1171" i="23" s="1"/>
  <c r="M499" i="23"/>
  <c r="N499" i="23"/>
  <c r="W499" i="23" s="1"/>
  <c r="AB499" i="23"/>
  <c r="AC499" i="23" s="1"/>
  <c r="O499" i="23"/>
  <c r="Y499" i="23" s="1"/>
  <c r="M387" i="23"/>
  <c r="N387" i="23"/>
  <c r="W387" i="23" s="1"/>
  <c r="AB387" i="23"/>
  <c r="AC387" i="23" s="1"/>
  <c r="O387" i="23"/>
  <c r="Y387" i="23" s="1"/>
  <c r="M4538" i="22"/>
  <c r="N4538" i="22"/>
  <c r="M4076" i="22"/>
  <c r="N4076" i="22"/>
  <c r="U4076" i="22" s="1"/>
  <c r="M3776" i="22"/>
  <c r="N3776" i="22"/>
  <c r="BL72" i="22"/>
  <c r="M3722" i="22"/>
  <c r="N3722" i="22"/>
  <c r="BL71" i="22"/>
  <c r="M3668" i="22"/>
  <c r="N3668" i="22"/>
  <c r="M3560" i="22"/>
  <c r="N3560" i="22"/>
  <c r="BL68" i="22"/>
  <c r="M3398" i="22"/>
  <c r="N3398" i="22"/>
  <c r="BL65" i="22"/>
  <c r="N3128" i="22"/>
  <c r="M3128" i="22"/>
  <c r="BL60" i="22"/>
  <c r="M3074" i="22"/>
  <c r="N3074" i="22"/>
  <c r="BL58" i="22"/>
  <c r="N3020" i="22"/>
  <c r="M3020" i="22"/>
  <c r="M2912" i="22"/>
  <c r="N2912" i="22"/>
  <c r="M2372" i="22"/>
  <c r="N2372" i="22"/>
  <c r="BL46" i="22"/>
  <c r="BL41" i="22"/>
  <c r="M2102" i="22"/>
  <c r="N2102" i="22"/>
  <c r="M2048" i="22"/>
  <c r="N2048" i="22"/>
  <c r="BL40" i="22"/>
  <c r="M1724" i="22"/>
  <c r="N1724" i="22"/>
  <c r="BL34" i="22"/>
  <c r="BL27" i="22"/>
  <c r="N1346" i="22"/>
  <c r="M1346" i="22"/>
  <c r="M806" i="22"/>
  <c r="N806" i="22"/>
  <c r="BL17" i="22"/>
  <c r="C85" i="7"/>
  <c r="M752" i="22"/>
  <c r="N752" i="22"/>
  <c r="BL16" i="22"/>
  <c r="C84" i="7"/>
  <c r="M482" i="22"/>
  <c r="N482" i="22"/>
  <c r="BL11" i="22"/>
  <c r="C79" i="7"/>
  <c r="N428" i="22"/>
  <c r="M428" i="22"/>
  <c r="BL10" i="22"/>
  <c r="C78" i="7"/>
  <c r="BL9" i="22"/>
  <c r="C77" i="7"/>
  <c r="M374" i="22"/>
  <c r="N374" i="22"/>
  <c r="Q93" i="12"/>
  <c r="K1508" i="23"/>
  <c r="F1508" i="23"/>
  <c r="F1452" i="23"/>
  <c r="K1452" i="23"/>
  <c r="F1396" i="23"/>
  <c r="K1396" i="23"/>
  <c r="X1339" i="23"/>
  <c r="N1339" i="23"/>
  <c r="W1339" i="23"/>
  <c r="K1228" i="23"/>
  <c r="F1228" i="23"/>
  <c r="AD1115" i="23"/>
  <c r="F1116" i="23"/>
  <c r="K1116" i="23"/>
  <c r="AD891" i="23"/>
  <c r="K836" i="23"/>
  <c r="F836" i="23"/>
  <c r="F724" i="23"/>
  <c r="K724" i="23"/>
  <c r="AD667" i="23"/>
  <c r="AD443" i="23"/>
  <c r="K388" i="23"/>
  <c r="F388" i="23"/>
  <c r="P94" i="12"/>
  <c r="K4701" i="22"/>
  <c r="F4701" i="22"/>
  <c r="K3615" i="22"/>
  <c r="F3615" i="22"/>
  <c r="O3615" i="22" s="1"/>
  <c r="BM67" i="22"/>
  <c r="BM66" i="22"/>
  <c r="BM64" i="22"/>
  <c r="K3291" i="22"/>
  <c r="F3291" i="22"/>
  <c r="O3291" i="22" s="1"/>
  <c r="K3237" i="22"/>
  <c r="F3237" i="22"/>
  <c r="O3237" i="22" s="1"/>
  <c r="F3075" i="22"/>
  <c r="O3075" i="22" s="1"/>
  <c r="BM59" i="22" s="1"/>
  <c r="K3075" i="22"/>
  <c r="BM57" i="22"/>
  <c r="K2913" i="22"/>
  <c r="F2913" i="22"/>
  <c r="O2913" i="22" s="1"/>
  <c r="BM56" i="22" s="1"/>
  <c r="F2859" i="22"/>
  <c r="O2859" i="22" s="1"/>
  <c r="K2859" i="22"/>
  <c r="BM53" i="22"/>
  <c r="BM52" i="22"/>
  <c r="BM51" i="22"/>
  <c r="F2589" i="22"/>
  <c r="O2589" i="22" s="1"/>
  <c r="K2589" i="22"/>
  <c r="BM48" i="22"/>
  <c r="BM47" i="22"/>
  <c r="K2319" i="22"/>
  <c r="F2319" i="22"/>
  <c r="O2319" i="22" s="1"/>
  <c r="BM44" i="22"/>
  <c r="BM42" i="22"/>
  <c r="BM39" i="22"/>
  <c r="K1941" i="22"/>
  <c r="F1941" i="22"/>
  <c r="O1941" i="22" s="1"/>
  <c r="BM37" i="22"/>
  <c r="BM36" i="22"/>
  <c r="BM35" i="22"/>
  <c r="F1671" i="22"/>
  <c r="O1671" i="22" s="1"/>
  <c r="K1671" i="22"/>
  <c r="F1617" i="22"/>
  <c r="O1617" i="22" s="1"/>
  <c r="K1617" i="22"/>
  <c r="BM31" i="22"/>
  <c r="BM30" i="22"/>
  <c r="BM29" i="22"/>
  <c r="F1401" i="22"/>
  <c r="O1401" i="22" s="1"/>
  <c r="K1401" i="22"/>
  <c r="F1347" i="22"/>
  <c r="O1347" i="22" s="1"/>
  <c r="K1347" i="22"/>
  <c r="BM25" i="22"/>
  <c r="F753" i="22"/>
  <c r="O753" i="22" s="1"/>
  <c r="K753" i="22"/>
  <c r="F429" i="22"/>
  <c r="O429" i="22" s="1"/>
  <c r="K429" i="22"/>
  <c r="K375" i="22"/>
  <c r="F375" i="22"/>
  <c r="O375" i="22" s="1"/>
  <c r="BM7" i="22"/>
  <c r="F105" i="22"/>
  <c r="O105" i="22" s="1"/>
  <c r="K105" i="22"/>
  <c r="F42" i="18"/>
  <c r="G42" i="18"/>
  <c r="H42" i="18"/>
  <c r="BL70" i="22"/>
  <c r="BL59" i="22"/>
  <c r="BL56" i="22"/>
  <c r="C96" i="7" l="1"/>
  <c r="K669" i="23"/>
  <c r="F669" i="23"/>
  <c r="AC669" i="23" s="1"/>
  <c r="K389" i="23"/>
  <c r="F389" i="23"/>
  <c r="D4648" i="22"/>
  <c r="F4648" i="22"/>
  <c r="O4648" i="22" s="1"/>
  <c r="K4186" i="22"/>
  <c r="F4186" i="22"/>
  <c r="O4186" i="22" s="1"/>
  <c r="K4132" i="22"/>
  <c r="F4132" i="22"/>
  <c r="O4132" i="22" s="1"/>
  <c r="K3562" i="22"/>
  <c r="F3562" i="22"/>
  <c r="O3562" i="22" s="1"/>
  <c r="K3508" i="22"/>
  <c r="F3508" i="22"/>
  <c r="O3508" i="22" s="1"/>
  <c r="K2968" i="22"/>
  <c r="F2968" i="22"/>
  <c r="O2968" i="22" s="1"/>
  <c r="K2644" i="22"/>
  <c r="F2644" i="22"/>
  <c r="O2644" i="22" s="1"/>
  <c r="BN51" i="22" s="1"/>
  <c r="K2590" i="22"/>
  <c r="F2590" i="22"/>
  <c r="O2590" i="22" s="1"/>
  <c r="BN50" i="22" s="1"/>
  <c r="K2104" i="22"/>
  <c r="F2104" i="22"/>
  <c r="O2104" i="22" s="1"/>
  <c r="K2050" i="22"/>
  <c r="F2050" i="22"/>
  <c r="O2050" i="22" s="1"/>
  <c r="K1456" i="22"/>
  <c r="F1456" i="22"/>
  <c r="O1456" i="22" s="1"/>
  <c r="BN29" i="22" s="1"/>
  <c r="K916" i="22"/>
  <c r="F916" i="22"/>
  <c r="O916" i="22" s="1"/>
  <c r="K430" i="22"/>
  <c r="F430" i="22"/>
  <c r="O430" i="22" s="1"/>
  <c r="K376" i="22"/>
  <c r="F376" i="22"/>
  <c r="O376" i="22" s="1"/>
  <c r="K160" i="22"/>
  <c r="F160" i="22"/>
  <c r="O160" i="22" s="1"/>
  <c r="AI1618" i="23"/>
  <c r="B104" i="8"/>
  <c r="C130" i="8"/>
  <c r="AH1619" i="23"/>
  <c r="C103" i="8"/>
  <c r="B131" i="8"/>
  <c r="D131" i="8"/>
  <c r="Y1620" i="23"/>
  <c r="D106" i="8"/>
  <c r="AG1620" i="23"/>
  <c r="AD1620" i="23"/>
  <c r="M1621" i="23"/>
  <c r="J1621" i="23"/>
  <c r="N1621" i="23" s="1"/>
  <c r="D1621" i="23"/>
  <c r="O1621" i="23"/>
  <c r="AB1621" i="23"/>
  <c r="AC1621" i="23"/>
  <c r="P1621" i="23"/>
  <c r="Q1621" i="23"/>
  <c r="R1621" i="23"/>
  <c r="W1621" i="23"/>
  <c r="X1621" i="23"/>
  <c r="AF1621" i="23"/>
  <c r="I1622" i="23"/>
  <c r="L1622" i="23"/>
  <c r="C1622" i="23"/>
  <c r="K1622" i="23" s="1"/>
  <c r="E1622" i="23"/>
  <c r="F1622" i="23"/>
  <c r="G1622" i="23"/>
  <c r="B1623" i="23"/>
  <c r="J1565" i="23"/>
  <c r="D1565" i="23"/>
  <c r="P1565" i="23"/>
  <c r="Q1565" i="23"/>
  <c r="R1565" i="23"/>
  <c r="W1565" i="23"/>
  <c r="X1565" i="23"/>
  <c r="AF1565" i="23"/>
  <c r="L1566" i="23"/>
  <c r="I1566" i="23"/>
  <c r="C1566" i="23"/>
  <c r="K1566" i="23" s="1"/>
  <c r="E1566" i="23"/>
  <c r="F1566" i="23"/>
  <c r="G1566" i="23"/>
  <c r="B1567" i="23"/>
  <c r="J1509" i="23"/>
  <c r="D1509" i="23"/>
  <c r="P1509" i="23"/>
  <c r="Q1509" i="23"/>
  <c r="R1509" i="23"/>
  <c r="W1509" i="23"/>
  <c r="X1509" i="23"/>
  <c r="AF1509" i="23"/>
  <c r="L1510" i="23"/>
  <c r="I1510" i="23"/>
  <c r="C1510" i="23"/>
  <c r="E1510" i="23"/>
  <c r="G1510" i="23"/>
  <c r="B1511" i="23"/>
  <c r="J1453" i="23"/>
  <c r="D1453" i="23"/>
  <c r="P1453" i="23"/>
  <c r="Q1453" i="23"/>
  <c r="R1453" i="23"/>
  <c r="AF1453" i="23"/>
  <c r="L1454" i="23"/>
  <c r="I1454" i="23"/>
  <c r="C1454" i="23"/>
  <c r="E1454" i="23"/>
  <c r="G1454" i="23"/>
  <c r="B1455" i="23"/>
  <c r="M1397" i="23"/>
  <c r="J1397" i="23"/>
  <c r="D1397" i="23"/>
  <c r="AB1397" i="23"/>
  <c r="AC1397" i="23"/>
  <c r="O1397" i="23"/>
  <c r="Y1397" i="23" s="1"/>
  <c r="P1397" i="23"/>
  <c r="Q1397" i="23"/>
  <c r="R1397" i="23"/>
  <c r="AF1397" i="23"/>
  <c r="L1398" i="23"/>
  <c r="I1398" i="23"/>
  <c r="C1398" i="23"/>
  <c r="K1398" i="23" s="1"/>
  <c r="E1398" i="23"/>
  <c r="F1398" i="23"/>
  <c r="G1398" i="23"/>
  <c r="B1399" i="23"/>
  <c r="M1341" i="23"/>
  <c r="J1341" i="23"/>
  <c r="N1341" i="23" s="1"/>
  <c r="D1341" i="23"/>
  <c r="AB1341" i="23"/>
  <c r="AC1341" i="23" s="1"/>
  <c r="O1341" i="23"/>
  <c r="Y1341" i="23" s="1"/>
  <c r="L1342" i="23"/>
  <c r="I1342" i="23"/>
  <c r="G1342" i="23"/>
  <c r="E1342" i="23"/>
  <c r="B1343" i="23"/>
  <c r="C1342" i="23"/>
  <c r="P1341" i="23"/>
  <c r="Q1341" i="23"/>
  <c r="R1341" i="23"/>
  <c r="AF1341" i="23"/>
  <c r="M1285" i="23"/>
  <c r="J1285" i="23"/>
  <c r="D1285" i="23"/>
  <c r="O1285" i="23"/>
  <c r="Y1285" i="23" s="1"/>
  <c r="AB1285" i="23"/>
  <c r="AC1285" i="23"/>
  <c r="P1285" i="23"/>
  <c r="Q1285" i="23"/>
  <c r="R1285" i="23"/>
  <c r="AF1285" i="23"/>
  <c r="L1286" i="23"/>
  <c r="I1286" i="23"/>
  <c r="C1286" i="23"/>
  <c r="K1286" i="23" s="1"/>
  <c r="E1286" i="23"/>
  <c r="F1286" i="23"/>
  <c r="G1286" i="23"/>
  <c r="B1287" i="23"/>
  <c r="M1229" i="23"/>
  <c r="J1229" i="23"/>
  <c r="D1229" i="23"/>
  <c r="O1229" i="23"/>
  <c r="Y1229" i="23" s="1"/>
  <c r="AB1229" i="23"/>
  <c r="AC1229" i="23"/>
  <c r="P1229" i="23"/>
  <c r="Q1229" i="23"/>
  <c r="R1229" i="23"/>
  <c r="AF1229" i="23"/>
  <c r="L1230" i="23"/>
  <c r="I1230" i="23"/>
  <c r="C1230" i="23"/>
  <c r="K1230" i="23" s="1"/>
  <c r="E1230" i="23"/>
  <c r="F1230" i="23"/>
  <c r="G1230" i="23"/>
  <c r="B1231" i="23"/>
  <c r="M1173" i="23"/>
  <c r="J1173" i="23"/>
  <c r="N1173" i="23" s="1"/>
  <c r="D1173" i="23"/>
  <c r="O1173" i="23"/>
  <c r="Y1173" i="23" s="1"/>
  <c r="AB1173" i="23"/>
  <c r="AC1173" i="23"/>
  <c r="P1173" i="23"/>
  <c r="Q1173" i="23"/>
  <c r="R1173" i="23"/>
  <c r="W1173" i="23"/>
  <c r="X1173" i="23"/>
  <c r="AF1173" i="23"/>
  <c r="L1174" i="23"/>
  <c r="I1174" i="23"/>
  <c r="C1174" i="23"/>
  <c r="K1174" i="23" s="1"/>
  <c r="E1174" i="23"/>
  <c r="F1174" i="23"/>
  <c r="G1174" i="23"/>
  <c r="B1175" i="23"/>
  <c r="M1117" i="23"/>
  <c r="J1117" i="23"/>
  <c r="N1117" i="23" s="1"/>
  <c r="W1117" i="23" s="1"/>
  <c r="D1117" i="23"/>
  <c r="O1117" i="23"/>
  <c r="Y1117" i="23" s="1"/>
  <c r="AB1117" i="23"/>
  <c r="AC1117" i="23"/>
  <c r="P1117" i="23"/>
  <c r="Q1117" i="23"/>
  <c r="R1117" i="23"/>
  <c r="X1117" i="23"/>
  <c r="AF1117" i="23"/>
  <c r="L1118" i="23"/>
  <c r="I1118" i="23"/>
  <c r="C1118" i="23"/>
  <c r="K1118" i="23" s="1"/>
  <c r="E1118" i="23"/>
  <c r="F1118" i="23"/>
  <c r="G1118" i="23"/>
  <c r="B1119" i="23"/>
  <c r="J1061" i="23"/>
  <c r="D1061" i="23"/>
  <c r="P1061" i="23"/>
  <c r="Q1061" i="23"/>
  <c r="R1061" i="23"/>
  <c r="AF1061" i="23"/>
  <c r="L1062" i="23"/>
  <c r="I1062" i="23"/>
  <c r="C1062" i="23"/>
  <c r="K1062" i="23" s="1"/>
  <c r="E1062" i="23"/>
  <c r="F1062" i="23"/>
  <c r="G1062" i="23"/>
  <c r="B1063" i="23"/>
  <c r="J1005" i="23"/>
  <c r="D1005" i="23"/>
  <c r="P1005" i="23"/>
  <c r="Q1005" i="23"/>
  <c r="R1005" i="23"/>
  <c r="AF1005" i="23"/>
  <c r="L1006" i="23"/>
  <c r="I1006" i="23"/>
  <c r="C1006" i="23"/>
  <c r="E1006" i="23"/>
  <c r="G1006" i="23"/>
  <c r="B1007" i="23"/>
  <c r="J949" i="23"/>
  <c r="D949" i="23"/>
  <c r="P949" i="23"/>
  <c r="Q949" i="23"/>
  <c r="R949" i="23"/>
  <c r="AF949" i="23"/>
  <c r="L950" i="23"/>
  <c r="I950" i="23"/>
  <c r="C950" i="23"/>
  <c r="K950" i="23" s="1"/>
  <c r="E950" i="23"/>
  <c r="F950" i="23"/>
  <c r="G950" i="23"/>
  <c r="B951" i="23"/>
  <c r="M893" i="23"/>
  <c r="J893" i="23"/>
  <c r="D893" i="23"/>
  <c r="O893" i="23"/>
  <c r="Y893" i="23" s="1"/>
  <c r="AB893" i="23"/>
  <c r="AC893" i="23"/>
  <c r="P893" i="23"/>
  <c r="Q893" i="23"/>
  <c r="R893" i="23"/>
  <c r="AF893" i="23"/>
  <c r="L894" i="23"/>
  <c r="I894" i="23"/>
  <c r="C894" i="23"/>
  <c r="K894" i="23" s="1"/>
  <c r="E894" i="23"/>
  <c r="F894" i="23"/>
  <c r="G894" i="23"/>
  <c r="B895" i="23"/>
  <c r="M837" i="23"/>
  <c r="J837" i="23"/>
  <c r="N837" i="23" s="1"/>
  <c r="D837" i="23"/>
  <c r="O837" i="23"/>
  <c r="Y837" i="23" s="1"/>
  <c r="AB837" i="23"/>
  <c r="AC837" i="23"/>
  <c r="P837" i="23"/>
  <c r="Q837" i="23"/>
  <c r="R837" i="23"/>
  <c r="W837" i="23"/>
  <c r="X837" i="23"/>
  <c r="AF837" i="23"/>
  <c r="L838" i="23"/>
  <c r="I838" i="23"/>
  <c r="C838" i="23"/>
  <c r="K838" i="23" s="1"/>
  <c r="E838" i="23"/>
  <c r="F838" i="23"/>
  <c r="G838" i="23"/>
  <c r="B839" i="23"/>
  <c r="M781" i="23"/>
  <c r="J781" i="23"/>
  <c r="D781" i="23"/>
  <c r="O781" i="23"/>
  <c r="Y781" i="23" s="1"/>
  <c r="AB781" i="23"/>
  <c r="AC781" i="23"/>
  <c r="P781" i="23"/>
  <c r="Q781" i="23"/>
  <c r="R781" i="23"/>
  <c r="AF781" i="23"/>
  <c r="L782" i="23"/>
  <c r="I782" i="23"/>
  <c r="C782" i="23"/>
  <c r="K782" i="23" s="1"/>
  <c r="E782" i="23"/>
  <c r="F782" i="23"/>
  <c r="G782" i="23"/>
  <c r="B783" i="23"/>
  <c r="AI722" i="23"/>
  <c r="B79" i="8"/>
  <c r="AH723" i="23"/>
  <c r="C49" i="8"/>
  <c r="P725" i="23"/>
  <c r="Q725" i="23"/>
  <c r="R725" i="23"/>
  <c r="AF725" i="23"/>
  <c r="L726" i="23"/>
  <c r="I726" i="23"/>
  <c r="E726" i="23"/>
  <c r="B727" i="23"/>
  <c r="C726" i="23"/>
  <c r="G726" i="23"/>
  <c r="J725" i="23"/>
  <c r="D725" i="23"/>
  <c r="M669" i="23"/>
  <c r="J669" i="23"/>
  <c r="N669" i="23" s="1"/>
  <c r="W669" i="23" s="1"/>
  <c r="D669" i="23"/>
  <c r="O669" i="23"/>
  <c r="Y669" i="23" s="1"/>
  <c r="AB669" i="23"/>
  <c r="P669" i="23"/>
  <c r="Q669" i="23"/>
  <c r="R669" i="23"/>
  <c r="X669" i="23"/>
  <c r="AF669" i="23"/>
  <c r="L670" i="23"/>
  <c r="I670" i="23"/>
  <c r="C670" i="23"/>
  <c r="K670" i="23" s="1"/>
  <c r="E670" i="23"/>
  <c r="F670" i="23"/>
  <c r="G670" i="23"/>
  <c r="B671" i="23"/>
  <c r="J613" i="23"/>
  <c r="D613" i="23"/>
  <c r="P613" i="23"/>
  <c r="Q613" i="23"/>
  <c r="R613" i="23"/>
  <c r="AF613" i="23"/>
  <c r="L614" i="23"/>
  <c r="I614" i="23"/>
  <c r="C614" i="23"/>
  <c r="K614" i="23" s="1"/>
  <c r="E614" i="23"/>
  <c r="F614" i="23"/>
  <c r="G614" i="23"/>
  <c r="B615" i="23"/>
  <c r="J557" i="23"/>
  <c r="D557" i="23"/>
  <c r="P557" i="23"/>
  <c r="Q557" i="23"/>
  <c r="R557" i="23"/>
  <c r="AF557" i="23"/>
  <c r="L558" i="23"/>
  <c r="I558" i="23"/>
  <c r="C558" i="23"/>
  <c r="K558" i="23" s="1"/>
  <c r="E558" i="23"/>
  <c r="F558" i="23"/>
  <c r="G558" i="23"/>
  <c r="B559" i="23"/>
  <c r="M501" i="23"/>
  <c r="J501" i="23"/>
  <c r="N501" i="23" s="1"/>
  <c r="D501" i="23"/>
  <c r="O501" i="23"/>
  <c r="Y501" i="23" s="1"/>
  <c r="AB501" i="23"/>
  <c r="AC501" i="23"/>
  <c r="P501" i="23"/>
  <c r="Q501" i="23"/>
  <c r="R501" i="23"/>
  <c r="W501" i="23"/>
  <c r="X501" i="23"/>
  <c r="AF501" i="23"/>
  <c r="L502" i="23"/>
  <c r="I502" i="23"/>
  <c r="C502" i="23"/>
  <c r="K502" i="23" s="1"/>
  <c r="E502" i="23"/>
  <c r="F502" i="23"/>
  <c r="G502" i="23"/>
  <c r="B503" i="23"/>
  <c r="M445" i="23"/>
  <c r="J445" i="23"/>
  <c r="N445" i="23" s="1"/>
  <c r="W445" i="23" s="1"/>
  <c r="D445" i="23"/>
  <c r="O445" i="23"/>
  <c r="Y445" i="23" s="1"/>
  <c r="AB445" i="23"/>
  <c r="AC445" i="23"/>
  <c r="P445" i="23"/>
  <c r="Q445" i="23"/>
  <c r="R445" i="23"/>
  <c r="X445" i="23"/>
  <c r="AF445" i="23"/>
  <c r="L446" i="23"/>
  <c r="I446" i="23"/>
  <c r="E446" i="23"/>
  <c r="G446" i="23"/>
  <c r="C446" i="23"/>
  <c r="B447" i="23"/>
  <c r="M389" i="23"/>
  <c r="J389" i="23"/>
  <c r="D389" i="23"/>
  <c r="O389" i="23"/>
  <c r="Y389" i="23" s="1"/>
  <c r="AB389" i="23"/>
  <c r="AC389" i="23"/>
  <c r="P389" i="23"/>
  <c r="Q389" i="23"/>
  <c r="R389" i="23"/>
  <c r="AF389" i="23"/>
  <c r="L390" i="23"/>
  <c r="I390" i="23"/>
  <c r="C390" i="23"/>
  <c r="K390" i="23" s="1"/>
  <c r="E390" i="23"/>
  <c r="F390" i="23"/>
  <c r="G390" i="23"/>
  <c r="B391" i="23"/>
  <c r="M333" i="23"/>
  <c r="J333" i="23"/>
  <c r="D333" i="23"/>
  <c r="O333" i="23"/>
  <c r="Y333" i="23" s="1"/>
  <c r="AB333" i="23"/>
  <c r="AC333" i="23"/>
  <c r="P333" i="23"/>
  <c r="Q333" i="23"/>
  <c r="R333" i="23"/>
  <c r="AF333" i="23"/>
  <c r="L334" i="23"/>
  <c r="I334" i="23"/>
  <c r="C334" i="23"/>
  <c r="K334" i="23" s="1"/>
  <c r="E334" i="23"/>
  <c r="F334" i="23"/>
  <c r="G334" i="23"/>
  <c r="B335" i="23"/>
  <c r="M277" i="23"/>
  <c r="J277" i="23"/>
  <c r="D277" i="23"/>
  <c r="O277" i="23"/>
  <c r="Y277" i="23" s="1"/>
  <c r="AB277" i="23"/>
  <c r="AC277" i="23"/>
  <c r="P277" i="23"/>
  <c r="Q277" i="23"/>
  <c r="R277" i="23"/>
  <c r="AF277" i="23"/>
  <c r="L278" i="23"/>
  <c r="I278" i="23"/>
  <c r="C278" i="23"/>
  <c r="E278" i="23"/>
  <c r="G278" i="23"/>
  <c r="B279" i="23"/>
  <c r="D4756" i="22"/>
  <c r="J4756" i="22"/>
  <c r="N4756" i="22" s="1"/>
  <c r="P4756" i="22"/>
  <c r="Q4756" i="22"/>
  <c r="R4756" i="22"/>
  <c r="M4756" i="22"/>
  <c r="C4757" i="22"/>
  <c r="F4757" i="22" s="1"/>
  <c r="E4757" i="22"/>
  <c r="G4757" i="22"/>
  <c r="I4757" i="22"/>
  <c r="K4757" i="22"/>
  <c r="L4757" i="22"/>
  <c r="B4758" i="22"/>
  <c r="S4701" i="22"/>
  <c r="U4701" i="22"/>
  <c r="D4702" i="22"/>
  <c r="J4702" i="22"/>
  <c r="G17" i="15" s="1"/>
  <c r="P4702" i="22"/>
  <c r="Q4702" i="22"/>
  <c r="R4702" i="22"/>
  <c r="L4703" i="22"/>
  <c r="C4703" i="22"/>
  <c r="E4703" i="22"/>
  <c r="G4703" i="22"/>
  <c r="I4703" i="22"/>
  <c r="B4704" i="22"/>
  <c r="P4648" i="22"/>
  <c r="Q4648" i="22"/>
  <c r="R4648" i="22"/>
  <c r="C4649" i="22"/>
  <c r="E4649" i="22"/>
  <c r="G4649" i="22"/>
  <c r="B4650" i="22"/>
  <c r="J4594" i="22"/>
  <c r="D4594" i="22"/>
  <c r="M4594" i="22" s="1"/>
  <c r="P4594" i="22"/>
  <c r="Q4594" i="22"/>
  <c r="R4594" i="22"/>
  <c r="I4595" i="22"/>
  <c r="L4595" i="22"/>
  <c r="C4595" i="22"/>
  <c r="K4595" i="22" s="1"/>
  <c r="E4595" i="22"/>
  <c r="F4595" i="22"/>
  <c r="G4595" i="22"/>
  <c r="B4596" i="22"/>
  <c r="D4540" i="22"/>
  <c r="M4540" i="22" s="1"/>
  <c r="J4540" i="22"/>
  <c r="P4540" i="22"/>
  <c r="Q4540" i="22"/>
  <c r="R4540" i="22"/>
  <c r="L4541" i="22"/>
  <c r="C4541" i="22"/>
  <c r="K4541" i="22" s="1"/>
  <c r="E4541" i="22"/>
  <c r="F4541" i="22"/>
  <c r="G4541" i="22"/>
  <c r="I4541" i="22"/>
  <c r="B4542" i="22"/>
  <c r="D4240" i="22"/>
  <c r="J4240" i="22"/>
  <c r="P4240" i="22"/>
  <c r="Q4240" i="22"/>
  <c r="R4240" i="22"/>
  <c r="M4240" i="22"/>
  <c r="N4240" i="22"/>
  <c r="U4240" i="22" s="1"/>
  <c r="C4241" i="22"/>
  <c r="E4241" i="22"/>
  <c r="F4241" i="22"/>
  <c r="O4241" i="22" s="1"/>
  <c r="G4241" i="22"/>
  <c r="I4241" i="22"/>
  <c r="K4241" i="22"/>
  <c r="L4241" i="22"/>
  <c r="B4242" i="22"/>
  <c r="D4186" i="22"/>
  <c r="M4186" i="22" s="1"/>
  <c r="J4186" i="22"/>
  <c r="P4186" i="22"/>
  <c r="Q4186" i="22"/>
  <c r="R4186" i="22"/>
  <c r="L4187" i="22"/>
  <c r="C4187" i="22"/>
  <c r="K4187" i="22" s="1"/>
  <c r="E4187" i="22"/>
  <c r="F4187" i="22"/>
  <c r="O4187" i="22" s="1"/>
  <c r="G4187" i="22"/>
  <c r="I4187" i="22"/>
  <c r="B4188" i="22"/>
  <c r="D4132" i="22"/>
  <c r="M4132" i="22" s="1"/>
  <c r="J4132" i="22"/>
  <c r="P4132" i="22"/>
  <c r="Q4132" i="22"/>
  <c r="R4132" i="22"/>
  <c r="L4133" i="22"/>
  <c r="C4133" i="22"/>
  <c r="K4133" i="22" s="1"/>
  <c r="E4133" i="22"/>
  <c r="F4133" i="22"/>
  <c r="O4133" i="22" s="1"/>
  <c r="G4133" i="22"/>
  <c r="I4133" i="22"/>
  <c r="B4134" i="22"/>
  <c r="D4078" i="22"/>
  <c r="M4078" i="22" s="1"/>
  <c r="J4078" i="22"/>
  <c r="P4078" i="22"/>
  <c r="Q4078" i="22"/>
  <c r="R4078" i="22"/>
  <c r="L4079" i="22"/>
  <c r="C4079" i="22"/>
  <c r="E4079" i="22"/>
  <c r="G4079" i="22"/>
  <c r="I4079" i="22"/>
  <c r="B4080" i="22"/>
  <c r="U3777" i="22"/>
  <c r="AO72" i="22"/>
  <c r="BA72" i="22"/>
  <c r="D3778" i="22"/>
  <c r="J3778" i="22"/>
  <c r="P3778" i="22"/>
  <c r="Q3778" i="22"/>
  <c r="R3778" i="22"/>
  <c r="L3779" i="22"/>
  <c r="C3779" i="22"/>
  <c r="E3779" i="22"/>
  <c r="G3779" i="22"/>
  <c r="I3779" i="22"/>
  <c r="B3780" i="22"/>
  <c r="U3723" i="22"/>
  <c r="AO71" i="22"/>
  <c r="BA71" i="22"/>
  <c r="M3724" i="22"/>
  <c r="D3724" i="22"/>
  <c r="J3724" i="22"/>
  <c r="N3724" i="22" s="1"/>
  <c r="P3724" i="22"/>
  <c r="Q3724" i="22"/>
  <c r="R3724" i="22"/>
  <c r="L3725" i="22"/>
  <c r="C3725" i="22"/>
  <c r="K3725" i="22" s="1"/>
  <c r="E3725" i="22"/>
  <c r="F3725" i="22"/>
  <c r="O3725" i="22" s="1"/>
  <c r="G3725" i="22"/>
  <c r="I3725" i="22"/>
  <c r="B3726" i="22"/>
  <c r="U3669" i="22"/>
  <c r="AO70" i="22"/>
  <c r="BA70" i="22"/>
  <c r="M3670" i="22"/>
  <c r="D3670" i="22"/>
  <c r="J3670" i="22"/>
  <c r="N3670" i="22" s="1"/>
  <c r="P3670" i="22"/>
  <c r="Q3670" i="22"/>
  <c r="R3670" i="22"/>
  <c r="L3671" i="22"/>
  <c r="C3671" i="22"/>
  <c r="K3671" i="22" s="1"/>
  <c r="E3671" i="22"/>
  <c r="F3671" i="22"/>
  <c r="O3671" i="22" s="1"/>
  <c r="G3671" i="22"/>
  <c r="I3671" i="22"/>
  <c r="B3672" i="22"/>
  <c r="M3616" i="22"/>
  <c r="D3616" i="22"/>
  <c r="J3616" i="22"/>
  <c r="N3616" i="22" s="1"/>
  <c r="P3616" i="22"/>
  <c r="Q3616" i="22"/>
  <c r="R3616" i="22"/>
  <c r="L3617" i="22"/>
  <c r="C3617" i="22"/>
  <c r="K3617" i="22" s="1"/>
  <c r="E3617" i="22"/>
  <c r="F3617" i="22"/>
  <c r="O3617" i="22" s="1"/>
  <c r="G3617" i="22"/>
  <c r="I3617" i="22"/>
  <c r="B3618" i="22"/>
  <c r="U3561" i="22"/>
  <c r="AO68" i="22"/>
  <c r="BA68" i="22"/>
  <c r="M3562" i="22"/>
  <c r="L3563" i="22"/>
  <c r="G3563" i="22"/>
  <c r="I3563" i="22"/>
  <c r="B3564" i="22"/>
  <c r="C3563" i="22"/>
  <c r="K3563" i="22" s="1"/>
  <c r="E3563" i="22"/>
  <c r="F3563" i="22"/>
  <c r="O3563" i="22" s="1"/>
  <c r="J3562" i="22"/>
  <c r="N3562" i="22" s="1"/>
  <c r="D3562" i="22"/>
  <c r="P3562" i="22"/>
  <c r="Q3562" i="22"/>
  <c r="R3562" i="22"/>
  <c r="U3507" i="22"/>
  <c r="AO67" i="22"/>
  <c r="BA67" i="22"/>
  <c r="M3508" i="22"/>
  <c r="D3508" i="22"/>
  <c r="J3508" i="22"/>
  <c r="N3508" i="22" s="1"/>
  <c r="P3508" i="22"/>
  <c r="Q3508" i="22"/>
  <c r="R3508" i="22"/>
  <c r="L3509" i="22"/>
  <c r="C3509" i="22"/>
  <c r="K3509" i="22" s="1"/>
  <c r="E3509" i="22"/>
  <c r="F3509" i="22"/>
  <c r="O3509" i="22" s="1"/>
  <c r="G3509" i="22"/>
  <c r="I3509" i="22"/>
  <c r="B3510" i="22"/>
  <c r="U3453" i="22"/>
  <c r="AO66" i="22"/>
  <c r="BA66" i="22"/>
  <c r="D3454" i="22"/>
  <c r="J3454" i="22"/>
  <c r="P3454" i="22"/>
  <c r="Q3454" i="22"/>
  <c r="R3454" i="22"/>
  <c r="L3455" i="22"/>
  <c r="C3455" i="22"/>
  <c r="K3455" i="22" s="1"/>
  <c r="E3455" i="22"/>
  <c r="F3455" i="22"/>
  <c r="O3455" i="22" s="1"/>
  <c r="BO66" i="22" s="1"/>
  <c r="G3455" i="22"/>
  <c r="I3455" i="22"/>
  <c r="B3456" i="22"/>
  <c r="U3399" i="22"/>
  <c r="AO65" i="22"/>
  <c r="BA65" i="22"/>
  <c r="M3400" i="22"/>
  <c r="D3400" i="22"/>
  <c r="J3400" i="22"/>
  <c r="N3400" i="22" s="1"/>
  <c r="P3400" i="22"/>
  <c r="Q3400" i="22"/>
  <c r="R3400" i="22"/>
  <c r="L3401" i="22"/>
  <c r="C3401" i="22"/>
  <c r="E3401" i="22"/>
  <c r="G3401" i="22"/>
  <c r="I3401" i="22"/>
  <c r="B3402" i="22"/>
  <c r="U3345" i="22"/>
  <c r="AO64" i="22"/>
  <c r="BA64" i="22"/>
  <c r="M3346" i="22"/>
  <c r="D3346" i="22"/>
  <c r="J3346" i="22"/>
  <c r="N3346" i="22" s="1"/>
  <c r="P3346" i="22"/>
  <c r="Q3346" i="22"/>
  <c r="R3346" i="22"/>
  <c r="L3347" i="22"/>
  <c r="C3347" i="22"/>
  <c r="E3347" i="22"/>
  <c r="G3347" i="22"/>
  <c r="I3347" i="22"/>
  <c r="B3348" i="22"/>
  <c r="M3292" i="22"/>
  <c r="D3292" i="22"/>
  <c r="J3292" i="22"/>
  <c r="N3292" i="22" s="1"/>
  <c r="P3292" i="22"/>
  <c r="Q3292" i="22"/>
  <c r="R3292" i="22"/>
  <c r="L3293" i="22"/>
  <c r="C3293" i="22"/>
  <c r="K3293" i="22" s="1"/>
  <c r="E3293" i="22"/>
  <c r="F3293" i="22"/>
  <c r="O3293" i="22" s="1"/>
  <c r="G3293" i="22"/>
  <c r="I3293" i="22"/>
  <c r="B3294" i="22"/>
  <c r="M3238" i="22"/>
  <c r="D3238" i="22"/>
  <c r="J3238" i="22"/>
  <c r="N3238" i="22" s="1"/>
  <c r="P3238" i="22"/>
  <c r="Q3238" i="22"/>
  <c r="R3238" i="22"/>
  <c r="L3239" i="22"/>
  <c r="C3239" i="22"/>
  <c r="K3239" i="22" s="1"/>
  <c r="E3239" i="22"/>
  <c r="F3239" i="22"/>
  <c r="O3239" i="22" s="1"/>
  <c r="G3239" i="22"/>
  <c r="I3239" i="22"/>
  <c r="B3240" i="22"/>
  <c r="U3183" i="22"/>
  <c r="AO61" i="22"/>
  <c r="BA61" i="22"/>
  <c r="M3184" i="22"/>
  <c r="D3184" i="22"/>
  <c r="J3184" i="22"/>
  <c r="N3184" i="22" s="1"/>
  <c r="BN61" i="22"/>
  <c r="P3184" i="22"/>
  <c r="Q3184" i="22"/>
  <c r="R3184" i="22"/>
  <c r="L3185" i="22"/>
  <c r="C3185" i="22"/>
  <c r="K3185" i="22" s="1"/>
  <c r="E3185" i="22"/>
  <c r="F3185" i="22"/>
  <c r="O3185" i="22" s="1"/>
  <c r="G3185" i="22"/>
  <c r="I3185" i="22"/>
  <c r="B3186" i="22"/>
  <c r="U3129" i="22"/>
  <c r="AO60" i="22"/>
  <c r="BA60" i="22"/>
  <c r="M3130" i="22"/>
  <c r="D3130" i="22"/>
  <c r="J3130" i="22"/>
  <c r="N3130" i="22" s="1"/>
  <c r="P3130" i="22"/>
  <c r="Q3130" i="22"/>
  <c r="R3130" i="22"/>
  <c r="L3131" i="22"/>
  <c r="B3132" i="22"/>
  <c r="I3131" i="22"/>
  <c r="C3131" i="22"/>
  <c r="E3131" i="22"/>
  <c r="G3131" i="22"/>
  <c r="D3076" i="22"/>
  <c r="J3076" i="22"/>
  <c r="P3076" i="22"/>
  <c r="Q3076" i="22"/>
  <c r="R3076" i="22"/>
  <c r="L3077" i="22"/>
  <c r="G3077" i="22"/>
  <c r="I3077" i="22"/>
  <c r="B3078" i="22"/>
  <c r="C3077" i="22"/>
  <c r="E3077" i="22"/>
  <c r="U3021" i="22"/>
  <c r="AO58" i="22"/>
  <c r="BA58" i="22"/>
  <c r="D3022" i="22"/>
  <c r="J3022" i="22"/>
  <c r="P3022" i="22"/>
  <c r="Q3022" i="22"/>
  <c r="R3022" i="22"/>
  <c r="L3023" i="22"/>
  <c r="C3023" i="22"/>
  <c r="E3023" i="22"/>
  <c r="G3023" i="22"/>
  <c r="I3023" i="22"/>
  <c r="B3024" i="22"/>
  <c r="U2967" i="22"/>
  <c r="AO57" i="22"/>
  <c r="BA57" i="22"/>
  <c r="L2969" i="22"/>
  <c r="G2969" i="22"/>
  <c r="I2969" i="22"/>
  <c r="C2969" i="22"/>
  <c r="E2969" i="22"/>
  <c r="B2970" i="22"/>
  <c r="J2968" i="22"/>
  <c r="D2968" i="22"/>
  <c r="M2968" i="22" s="1"/>
  <c r="N2968" i="22" s="1"/>
  <c r="P2968" i="22"/>
  <c r="Q2968" i="22"/>
  <c r="R2968" i="22"/>
  <c r="P2914" i="22"/>
  <c r="Q2914" i="22"/>
  <c r="R2914" i="22"/>
  <c r="L2915" i="22"/>
  <c r="C2915" i="22"/>
  <c r="K2915" i="22" s="1"/>
  <c r="G2915" i="22"/>
  <c r="B2916" i="22"/>
  <c r="I2915" i="22"/>
  <c r="E2915" i="22"/>
  <c r="F2915" i="22"/>
  <c r="O2915" i="22" s="1"/>
  <c r="BO56" i="22" s="1"/>
  <c r="D2914" i="22"/>
  <c r="J2914" i="22"/>
  <c r="M2860" i="22"/>
  <c r="D2860" i="22"/>
  <c r="J2860" i="22"/>
  <c r="N2860" i="22" s="1"/>
  <c r="P2860" i="22"/>
  <c r="Q2860" i="22"/>
  <c r="R2860" i="22"/>
  <c r="L2861" i="22"/>
  <c r="C2861" i="22"/>
  <c r="E2861" i="22"/>
  <c r="G2861" i="22"/>
  <c r="I2861" i="22"/>
  <c r="B2862" i="22"/>
  <c r="S2805" i="22"/>
  <c r="AO54" i="22"/>
  <c r="BA54" i="22"/>
  <c r="AL1620" i="23"/>
  <c r="U2805" i="22"/>
  <c r="D2806" i="22"/>
  <c r="J2806" i="22"/>
  <c r="P2806" i="22"/>
  <c r="Q2806" i="22"/>
  <c r="R2806" i="22"/>
  <c r="T2806" i="22"/>
  <c r="L2807" i="22"/>
  <c r="C2807" i="22"/>
  <c r="K2807" i="22" s="1"/>
  <c r="E2807" i="22"/>
  <c r="F2807" i="22"/>
  <c r="O2807" i="22" s="1"/>
  <c r="BO54" i="22" s="1"/>
  <c r="G2807" i="22"/>
  <c r="I2807" i="22"/>
  <c r="B2808" i="22"/>
  <c r="U2751" i="22"/>
  <c r="AO53" i="22"/>
  <c r="BA53" i="22"/>
  <c r="D2752" i="22"/>
  <c r="J2752" i="22"/>
  <c r="P2752" i="22"/>
  <c r="Q2752" i="22"/>
  <c r="R2752" i="22"/>
  <c r="L2753" i="22"/>
  <c r="C2753" i="22"/>
  <c r="K2753" i="22" s="1"/>
  <c r="E2753" i="22"/>
  <c r="F2753" i="22"/>
  <c r="O2753" i="22" s="1"/>
  <c r="BO53" i="22" s="1"/>
  <c r="G2753" i="22"/>
  <c r="I2753" i="22"/>
  <c r="B2754" i="22"/>
  <c r="U2697" i="22"/>
  <c r="AO52" i="22"/>
  <c r="BA52" i="22"/>
  <c r="D2698" i="22"/>
  <c r="J2698" i="22"/>
  <c r="P2698" i="22"/>
  <c r="Q2698" i="22"/>
  <c r="R2698" i="22"/>
  <c r="L2699" i="22"/>
  <c r="C2699" i="22"/>
  <c r="E2699" i="22"/>
  <c r="G2699" i="22"/>
  <c r="I2699" i="22"/>
  <c r="B2700" i="22"/>
  <c r="U2643" i="22"/>
  <c r="AO51" i="22"/>
  <c r="BA51" i="22"/>
  <c r="M2644" i="22"/>
  <c r="D2644" i="22"/>
  <c r="J2644" i="22"/>
  <c r="N2644" i="22" s="1"/>
  <c r="P2644" i="22"/>
  <c r="Q2644" i="22"/>
  <c r="R2644" i="22"/>
  <c r="L2645" i="22"/>
  <c r="C2645" i="22"/>
  <c r="E2645" i="22"/>
  <c r="G2645" i="22"/>
  <c r="I2645" i="22"/>
  <c r="B2646" i="22"/>
  <c r="M2590" i="22"/>
  <c r="J2590" i="22"/>
  <c r="N2590" i="22" s="1"/>
  <c r="D2590" i="22"/>
  <c r="L2591" i="22"/>
  <c r="I2591" i="22"/>
  <c r="B2592" i="22"/>
  <c r="G2591" i="22"/>
  <c r="C2591" i="22"/>
  <c r="E2591" i="22"/>
  <c r="P2590" i="22"/>
  <c r="Q2590" i="22"/>
  <c r="R2590" i="22"/>
  <c r="U2535" i="22"/>
  <c r="AO49" i="22"/>
  <c r="BA49" i="22"/>
  <c r="M2536" i="22"/>
  <c r="D2536" i="22"/>
  <c r="J2536" i="22"/>
  <c r="N2536" i="22" s="1"/>
  <c r="BN49" i="22"/>
  <c r="P2536" i="22"/>
  <c r="Q2536" i="22"/>
  <c r="R2536" i="22"/>
  <c r="L2537" i="22"/>
  <c r="C2537" i="22"/>
  <c r="K2537" i="22" s="1"/>
  <c r="E2537" i="22"/>
  <c r="F2537" i="22"/>
  <c r="O2537" i="22" s="1"/>
  <c r="G2537" i="22"/>
  <c r="I2537" i="22"/>
  <c r="B2538" i="22"/>
  <c r="U2481" i="22"/>
  <c r="AO48" i="22"/>
  <c r="BA48" i="22"/>
  <c r="M2482" i="22"/>
  <c r="D2482" i="22"/>
  <c r="J2482" i="22"/>
  <c r="N2482" i="22" s="1"/>
  <c r="P2482" i="22"/>
  <c r="Q2482" i="22"/>
  <c r="R2482" i="22"/>
  <c r="L2483" i="22"/>
  <c r="C2483" i="22"/>
  <c r="K2483" i="22" s="1"/>
  <c r="E2483" i="22"/>
  <c r="F2483" i="22"/>
  <c r="O2483" i="22" s="1"/>
  <c r="G2483" i="22"/>
  <c r="I2483" i="22"/>
  <c r="B2484" i="22"/>
  <c r="U2427" i="22"/>
  <c r="AO47" i="22"/>
  <c r="BA47" i="22"/>
  <c r="D2428" i="22"/>
  <c r="J2428" i="22"/>
  <c r="P2428" i="22"/>
  <c r="Q2428" i="22"/>
  <c r="R2428" i="22"/>
  <c r="L2429" i="22"/>
  <c r="C2429" i="22"/>
  <c r="K2429" i="22" s="1"/>
  <c r="E2429" i="22"/>
  <c r="F2429" i="22"/>
  <c r="O2429" i="22" s="1"/>
  <c r="BO47" i="22" s="1"/>
  <c r="G2429" i="22"/>
  <c r="I2429" i="22"/>
  <c r="B2430" i="22"/>
  <c r="U2373" i="22"/>
  <c r="AO46" i="22"/>
  <c r="BA46" i="22"/>
  <c r="D2374" i="22"/>
  <c r="J2374" i="22"/>
  <c r="P2374" i="22"/>
  <c r="Q2374" i="22"/>
  <c r="R2374" i="22"/>
  <c r="L2375" i="22"/>
  <c r="C2375" i="22"/>
  <c r="K2375" i="22" s="1"/>
  <c r="E2375" i="22"/>
  <c r="F2375" i="22"/>
  <c r="O2375" i="22" s="1"/>
  <c r="BO46" i="22" s="1"/>
  <c r="G2375" i="22"/>
  <c r="I2375" i="22"/>
  <c r="B2376" i="22"/>
  <c r="D2320" i="22"/>
  <c r="J2320" i="22"/>
  <c r="P2320" i="22"/>
  <c r="Q2320" i="22"/>
  <c r="R2320" i="22"/>
  <c r="L2321" i="22"/>
  <c r="C2321" i="22"/>
  <c r="K2321" i="22" s="1"/>
  <c r="E2321" i="22"/>
  <c r="F2321" i="22"/>
  <c r="O2321" i="22" s="1"/>
  <c r="BO45" i="22" s="1"/>
  <c r="G2321" i="22"/>
  <c r="I2321" i="22"/>
  <c r="B2322" i="22"/>
  <c r="U2265" i="22"/>
  <c r="AO44" i="22"/>
  <c r="BA44" i="22"/>
  <c r="M2266" i="22"/>
  <c r="D2266" i="22"/>
  <c r="J2266" i="22"/>
  <c r="N2266" i="22" s="1"/>
  <c r="P2266" i="22"/>
  <c r="Q2266" i="22"/>
  <c r="R2266" i="22"/>
  <c r="L2267" i="22"/>
  <c r="C2267" i="22"/>
  <c r="E2267" i="22"/>
  <c r="G2267" i="22"/>
  <c r="I2267" i="22"/>
  <c r="B2268" i="22"/>
  <c r="U2211" i="22"/>
  <c r="AO43" i="22"/>
  <c r="BA43" i="22"/>
  <c r="M2212" i="22"/>
  <c r="D2212" i="22"/>
  <c r="J2212" i="22"/>
  <c r="N2212" i="22" s="1"/>
  <c r="BN43" i="22"/>
  <c r="P2212" i="22"/>
  <c r="Q2212" i="22"/>
  <c r="R2212" i="22"/>
  <c r="L2213" i="22"/>
  <c r="C2213" i="22"/>
  <c r="K2213" i="22" s="1"/>
  <c r="E2213" i="22"/>
  <c r="F2213" i="22"/>
  <c r="O2213" i="22" s="1"/>
  <c r="G2213" i="22"/>
  <c r="I2213" i="22"/>
  <c r="B2214" i="22"/>
  <c r="U2157" i="22"/>
  <c r="AO42" i="22"/>
  <c r="BA42" i="22"/>
  <c r="M2158" i="22"/>
  <c r="D2158" i="22"/>
  <c r="J2158" i="22"/>
  <c r="N2158" i="22" s="1"/>
  <c r="P2158" i="22"/>
  <c r="Q2158" i="22"/>
  <c r="R2158" i="22"/>
  <c r="L2159" i="22"/>
  <c r="C2159" i="22"/>
  <c r="K2159" i="22" s="1"/>
  <c r="E2159" i="22"/>
  <c r="F2159" i="22"/>
  <c r="O2159" i="22" s="1"/>
  <c r="G2159" i="22"/>
  <c r="I2159" i="22"/>
  <c r="B2160" i="22"/>
  <c r="U2103" i="22"/>
  <c r="AO41" i="22"/>
  <c r="BA41" i="22"/>
  <c r="M2104" i="22"/>
  <c r="D2104" i="22"/>
  <c r="J2104" i="22"/>
  <c r="N2104" i="22" s="1"/>
  <c r="P2104" i="22"/>
  <c r="Q2104" i="22"/>
  <c r="R2104" i="22"/>
  <c r="L2105" i="22"/>
  <c r="C2105" i="22"/>
  <c r="K2105" i="22" s="1"/>
  <c r="E2105" i="22"/>
  <c r="F2105" i="22"/>
  <c r="O2105" i="22" s="1"/>
  <c r="G2105" i="22"/>
  <c r="I2105" i="22"/>
  <c r="B2106" i="22"/>
  <c r="U2049" i="22"/>
  <c r="AO40" i="22"/>
  <c r="BA40" i="22"/>
  <c r="M2050" i="22"/>
  <c r="D2050" i="22"/>
  <c r="J2050" i="22"/>
  <c r="N2050" i="22" s="1"/>
  <c r="P2050" i="22"/>
  <c r="Q2050" i="22"/>
  <c r="R2050" i="22"/>
  <c r="L2051" i="22"/>
  <c r="C2051" i="22"/>
  <c r="K2051" i="22" s="1"/>
  <c r="E2051" i="22"/>
  <c r="F2051" i="22"/>
  <c r="O2051" i="22" s="1"/>
  <c r="G2051" i="22"/>
  <c r="I2051" i="22"/>
  <c r="B2052" i="22"/>
  <c r="U1995" i="22"/>
  <c r="AO39" i="22"/>
  <c r="BA39" i="22"/>
  <c r="M1996" i="22"/>
  <c r="D1996" i="22"/>
  <c r="J1996" i="22"/>
  <c r="N1996" i="22" s="1"/>
  <c r="P1996" i="22"/>
  <c r="Q1996" i="22"/>
  <c r="R1996" i="22"/>
  <c r="L1997" i="22"/>
  <c r="C1997" i="22"/>
  <c r="E1997" i="22"/>
  <c r="G1997" i="22"/>
  <c r="I1997" i="22"/>
  <c r="B1998" i="22"/>
  <c r="D1942" i="22"/>
  <c r="J1942" i="22"/>
  <c r="P1942" i="22"/>
  <c r="Q1942" i="22"/>
  <c r="R1942" i="22"/>
  <c r="L1943" i="22"/>
  <c r="C1943" i="22"/>
  <c r="E1943" i="22"/>
  <c r="G1943" i="22"/>
  <c r="I1943" i="22"/>
  <c r="B1944" i="22"/>
  <c r="U1887" i="22"/>
  <c r="AO37" i="22"/>
  <c r="BA37" i="22"/>
  <c r="D1888" i="22"/>
  <c r="J1888" i="22"/>
  <c r="P1888" i="22"/>
  <c r="Q1888" i="22"/>
  <c r="R1888" i="22"/>
  <c r="L1889" i="22"/>
  <c r="C1889" i="22"/>
  <c r="E1889" i="22"/>
  <c r="G1889" i="22"/>
  <c r="I1889" i="22"/>
  <c r="B1890" i="22"/>
  <c r="U1833" i="22"/>
  <c r="AO36" i="22"/>
  <c r="BA36" i="22"/>
  <c r="M1834" i="22"/>
  <c r="D1834" i="22"/>
  <c r="J1834" i="22"/>
  <c r="N1834" i="22" s="1"/>
  <c r="P1834" i="22"/>
  <c r="Q1834" i="22"/>
  <c r="R1834" i="22"/>
  <c r="L1835" i="22"/>
  <c r="C1835" i="22"/>
  <c r="K1835" i="22" s="1"/>
  <c r="E1835" i="22"/>
  <c r="F1835" i="22"/>
  <c r="O1835" i="22" s="1"/>
  <c r="BO36" i="22" s="1"/>
  <c r="G1835" i="22"/>
  <c r="I1835" i="22"/>
  <c r="B1836" i="22"/>
  <c r="U1779" i="22"/>
  <c r="AO35" i="22"/>
  <c r="BA35" i="22"/>
  <c r="M1780" i="22"/>
  <c r="D1780" i="22"/>
  <c r="J1780" i="22"/>
  <c r="N1780" i="22" s="1"/>
  <c r="P1780" i="22"/>
  <c r="Q1780" i="22"/>
  <c r="R1780" i="22"/>
  <c r="L1781" i="22"/>
  <c r="C1781" i="22"/>
  <c r="K1781" i="22" s="1"/>
  <c r="E1781" i="22"/>
  <c r="F1781" i="22"/>
  <c r="O1781" i="22" s="1"/>
  <c r="G1781" i="22"/>
  <c r="I1781" i="22"/>
  <c r="B1782" i="22"/>
  <c r="U1725" i="22"/>
  <c r="AO34" i="22"/>
  <c r="BA34" i="22"/>
  <c r="M1726" i="22"/>
  <c r="D1726" i="22"/>
  <c r="J1726" i="22"/>
  <c r="N1726" i="22" s="1"/>
  <c r="P1726" i="22"/>
  <c r="Q1726" i="22"/>
  <c r="R1726" i="22"/>
  <c r="L1727" i="22"/>
  <c r="C1727" i="22"/>
  <c r="E1727" i="22"/>
  <c r="G1727" i="22"/>
  <c r="I1727" i="22"/>
  <c r="B1728" i="22"/>
  <c r="M1672" i="22"/>
  <c r="D1672" i="22"/>
  <c r="J1672" i="22"/>
  <c r="N1672" i="22" s="1"/>
  <c r="P1672" i="22"/>
  <c r="Q1672" i="22"/>
  <c r="R1672" i="22"/>
  <c r="L1673" i="22"/>
  <c r="C1673" i="22"/>
  <c r="K1673" i="22" s="1"/>
  <c r="E1673" i="22"/>
  <c r="F1673" i="22"/>
  <c r="O1673" i="22" s="1"/>
  <c r="G1673" i="22"/>
  <c r="I1673" i="22"/>
  <c r="B1674" i="22"/>
  <c r="D1618" i="22"/>
  <c r="J1618" i="22"/>
  <c r="P1618" i="22"/>
  <c r="Q1618" i="22"/>
  <c r="R1618" i="22"/>
  <c r="L1619" i="22"/>
  <c r="C1619" i="22"/>
  <c r="K1619" i="22" s="1"/>
  <c r="E1619" i="22"/>
  <c r="F1619" i="22"/>
  <c r="O1619" i="22" s="1"/>
  <c r="BO32" i="22" s="1"/>
  <c r="G1619" i="22"/>
  <c r="I1619" i="22"/>
  <c r="B1620" i="22"/>
  <c r="U1563" i="22"/>
  <c r="AO31" i="22"/>
  <c r="BA31" i="22"/>
  <c r="D1564" i="22"/>
  <c r="J1564" i="22"/>
  <c r="P1564" i="22"/>
  <c r="Q1564" i="22"/>
  <c r="R1564" i="22"/>
  <c r="L1565" i="22"/>
  <c r="C1565" i="22"/>
  <c r="E1565" i="22"/>
  <c r="G1565" i="22"/>
  <c r="I1565" i="22"/>
  <c r="B1566" i="22"/>
  <c r="U1509" i="22"/>
  <c r="AO30" i="22"/>
  <c r="BA30" i="22"/>
  <c r="D1510" i="22"/>
  <c r="J1510" i="22"/>
  <c r="P1510" i="22"/>
  <c r="Q1510" i="22"/>
  <c r="R1510" i="22"/>
  <c r="L1511" i="22"/>
  <c r="C1511" i="22"/>
  <c r="E1511" i="22"/>
  <c r="G1511" i="22"/>
  <c r="I1511" i="22"/>
  <c r="B1512" i="22"/>
  <c r="U1455" i="22"/>
  <c r="AO29" i="22"/>
  <c r="BA29" i="22"/>
  <c r="M1456" i="22"/>
  <c r="D1456" i="22"/>
  <c r="J1456" i="22"/>
  <c r="N1456" i="22" s="1"/>
  <c r="P1456" i="22"/>
  <c r="Q1456" i="22"/>
  <c r="R1456" i="22"/>
  <c r="L1457" i="22"/>
  <c r="C1457" i="22"/>
  <c r="K1457" i="22" s="1"/>
  <c r="E1457" i="22"/>
  <c r="F1457" i="22"/>
  <c r="O1457" i="22" s="1"/>
  <c r="G1457" i="22"/>
  <c r="I1457" i="22"/>
  <c r="B1458" i="22"/>
  <c r="M1402" i="22"/>
  <c r="D1402" i="22"/>
  <c r="J1402" i="22"/>
  <c r="N1402" i="22" s="1"/>
  <c r="P1402" i="22"/>
  <c r="Q1402" i="22"/>
  <c r="R1402" i="22"/>
  <c r="L1403" i="22"/>
  <c r="C1403" i="22"/>
  <c r="E1403" i="22"/>
  <c r="G1403" i="22"/>
  <c r="I1403" i="22"/>
  <c r="B1404" i="22"/>
  <c r="P1348" i="22"/>
  <c r="Q1348" i="22"/>
  <c r="R1348" i="22"/>
  <c r="J1348" i="22"/>
  <c r="D1348" i="22"/>
  <c r="L1349" i="22"/>
  <c r="C1349" i="22"/>
  <c r="K1349" i="22" s="1"/>
  <c r="E1349" i="22"/>
  <c r="F1349" i="22"/>
  <c r="O1349" i="22" s="1"/>
  <c r="BO27" i="22" s="1"/>
  <c r="G1349" i="22"/>
  <c r="I1349" i="22"/>
  <c r="B1350" i="22"/>
  <c r="U1293" i="22"/>
  <c r="AO26" i="22"/>
  <c r="BA26" i="22"/>
  <c r="M1294" i="22"/>
  <c r="D1294" i="22"/>
  <c r="J1294" i="22"/>
  <c r="N1294" i="22" s="1"/>
  <c r="BN26" i="22"/>
  <c r="P1294" i="22"/>
  <c r="Q1294" i="22"/>
  <c r="R1294" i="22"/>
  <c r="L1295" i="22"/>
  <c r="C1295" i="22"/>
  <c r="K1295" i="22" s="1"/>
  <c r="E1295" i="22"/>
  <c r="F1295" i="22"/>
  <c r="O1295" i="22" s="1"/>
  <c r="G1295" i="22"/>
  <c r="I1295" i="22"/>
  <c r="B1296" i="22"/>
  <c r="U1239" i="22"/>
  <c r="AO25" i="22"/>
  <c r="BA25" i="22"/>
  <c r="M1240" i="22"/>
  <c r="D1240" i="22"/>
  <c r="J1240" i="22"/>
  <c r="N1240" i="22" s="1"/>
  <c r="P1240" i="22"/>
  <c r="Q1240" i="22"/>
  <c r="R1240" i="22"/>
  <c r="L1241" i="22"/>
  <c r="C1241" i="22"/>
  <c r="K1241" i="22" s="1"/>
  <c r="E1241" i="22"/>
  <c r="F1241" i="22"/>
  <c r="O1241" i="22" s="1"/>
  <c r="G1241" i="22"/>
  <c r="I1241" i="22"/>
  <c r="B1242" i="22"/>
  <c r="D123" i="7"/>
  <c r="D61" i="7"/>
  <c r="U1185" i="22"/>
  <c r="AO24" i="22"/>
  <c r="BA24" i="22"/>
  <c r="M1186" i="22"/>
  <c r="D1186" i="22"/>
  <c r="J1186" i="22"/>
  <c r="N1186" i="22" s="1"/>
  <c r="E92" i="7"/>
  <c r="BN24" i="22"/>
  <c r="P1186" i="22"/>
  <c r="Q1186" i="22"/>
  <c r="R1186" i="22"/>
  <c r="L1187" i="22"/>
  <c r="C1187" i="22"/>
  <c r="E1187" i="22"/>
  <c r="G1187" i="22"/>
  <c r="I1187" i="22"/>
  <c r="B1188" i="22"/>
  <c r="D122" i="7"/>
  <c r="D60" i="7"/>
  <c r="U1131" i="22"/>
  <c r="AO23" i="22"/>
  <c r="BA23" i="22"/>
  <c r="D1132" i="22"/>
  <c r="J1132" i="22"/>
  <c r="P1132" i="22"/>
  <c r="Q1132" i="22"/>
  <c r="R1132" i="22"/>
  <c r="L1133" i="22"/>
  <c r="C1133" i="22"/>
  <c r="E1133" i="22"/>
  <c r="G1133" i="22"/>
  <c r="I1133" i="22"/>
  <c r="B1134" i="22"/>
  <c r="D121" i="7"/>
  <c r="D59" i="7"/>
  <c r="U1077" i="22"/>
  <c r="AO22" i="22"/>
  <c r="BA22" i="22"/>
  <c r="M1078" i="22"/>
  <c r="D1078" i="22"/>
  <c r="J1078" i="22"/>
  <c r="N1078" i="22" s="1"/>
  <c r="E90" i="7"/>
  <c r="BN22" i="22"/>
  <c r="P1078" i="22"/>
  <c r="Q1078" i="22"/>
  <c r="R1078" i="22"/>
  <c r="L1079" i="22"/>
  <c r="C1079" i="22"/>
  <c r="K1079" i="22" s="1"/>
  <c r="E1079" i="22"/>
  <c r="F1079" i="22"/>
  <c r="O1079" i="22" s="1"/>
  <c r="G1079" i="22"/>
  <c r="I1079" i="22"/>
  <c r="B1080" i="22"/>
  <c r="D120" i="7"/>
  <c r="D58" i="7"/>
  <c r="U1023" i="22"/>
  <c r="AO21" i="22"/>
  <c r="BA21" i="22"/>
  <c r="M1024" i="22"/>
  <c r="D1024" i="22"/>
  <c r="J1024" i="22"/>
  <c r="N1024" i="22" s="1"/>
  <c r="E89" i="7"/>
  <c r="BN21" i="22"/>
  <c r="P1024" i="22"/>
  <c r="Q1024" i="22"/>
  <c r="R1024" i="22"/>
  <c r="L1025" i="22"/>
  <c r="C1025" i="22"/>
  <c r="K1025" i="22" s="1"/>
  <c r="E1025" i="22"/>
  <c r="F1025" i="22"/>
  <c r="O1025" i="22" s="1"/>
  <c r="G1025" i="22"/>
  <c r="I1025" i="22"/>
  <c r="B1026" i="22"/>
  <c r="D119" i="7"/>
  <c r="D57" i="7"/>
  <c r="U969" i="22"/>
  <c r="AO20" i="22"/>
  <c r="BA20" i="22"/>
  <c r="M970" i="22"/>
  <c r="D970" i="22"/>
  <c r="J970" i="22"/>
  <c r="N970" i="22" s="1"/>
  <c r="E88" i="7"/>
  <c r="BN20" i="22"/>
  <c r="P970" i="22"/>
  <c r="Q970" i="22"/>
  <c r="R970" i="22"/>
  <c r="L971" i="22"/>
  <c r="C971" i="22"/>
  <c r="K971" i="22" s="1"/>
  <c r="E971" i="22"/>
  <c r="F971" i="22"/>
  <c r="O971" i="22" s="1"/>
  <c r="G971" i="22"/>
  <c r="I971" i="22"/>
  <c r="B972" i="22"/>
  <c r="D118" i="7"/>
  <c r="D56" i="7"/>
  <c r="U915" i="22"/>
  <c r="AO19" i="22"/>
  <c r="BA19" i="22"/>
  <c r="M916" i="22"/>
  <c r="D916" i="22"/>
  <c r="J916" i="22"/>
  <c r="N916" i="22" s="1"/>
  <c r="E87" i="7"/>
  <c r="BN19" i="22"/>
  <c r="P916" i="22"/>
  <c r="Q916" i="22"/>
  <c r="R916" i="22"/>
  <c r="L917" i="22"/>
  <c r="C917" i="22"/>
  <c r="K917" i="22" s="1"/>
  <c r="E917" i="22"/>
  <c r="F917" i="22"/>
  <c r="O917" i="22" s="1"/>
  <c r="G917" i="22"/>
  <c r="I917" i="22"/>
  <c r="B918" i="22"/>
  <c r="D117" i="7"/>
  <c r="D55" i="7"/>
  <c r="U861" i="22"/>
  <c r="AO18" i="22"/>
  <c r="BA18" i="22"/>
  <c r="M862" i="22"/>
  <c r="D862" i="22"/>
  <c r="J862" i="22"/>
  <c r="N862" i="22" s="1"/>
  <c r="E86" i="7"/>
  <c r="BN18" i="22"/>
  <c r="P862" i="22"/>
  <c r="Q862" i="22"/>
  <c r="R862" i="22"/>
  <c r="L863" i="22"/>
  <c r="C863" i="22"/>
  <c r="E863" i="22"/>
  <c r="G863" i="22"/>
  <c r="I863" i="22"/>
  <c r="B864" i="22"/>
  <c r="D116" i="7"/>
  <c r="D54" i="7"/>
  <c r="U807" i="22"/>
  <c r="AO17" i="22"/>
  <c r="BA17" i="22"/>
  <c r="D808" i="22"/>
  <c r="J808" i="22"/>
  <c r="P808" i="22"/>
  <c r="Q808" i="22"/>
  <c r="R808" i="22"/>
  <c r="L809" i="22"/>
  <c r="C809" i="22"/>
  <c r="K809" i="22" s="1"/>
  <c r="E809" i="22"/>
  <c r="F809" i="22"/>
  <c r="O809" i="22" s="1"/>
  <c r="G809" i="22"/>
  <c r="I809" i="22"/>
  <c r="B810" i="22"/>
  <c r="M754" i="22"/>
  <c r="D754" i="22"/>
  <c r="J754" i="22"/>
  <c r="N754" i="22" s="1"/>
  <c r="E84" i="7"/>
  <c r="BN16" i="22"/>
  <c r="P754" i="22"/>
  <c r="Q754" i="22"/>
  <c r="R754" i="22"/>
  <c r="L755" i="22"/>
  <c r="C755" i="22"/>
  <c r="K755" i="22" s="1"/>
  <c r="E755" i="22"/>
  <c r="F755" i="22"/>
  <c r="O755" i="22" s="1"/>
  <c r="G755" i="22"/>
  <c r="I755" i="22"/>
  <c r="B756" i="22"/>
  <c r="D114" i="7"/>
  <c r="D52" i="7"/>
  <c r="U699" i="22"/>
  <c r="AO15" i="22"/>
  <c r="BA15" i="22"/>
  <c r="M700" i="22"/>
  <c r="D700" i="22"/>
  <c r="J700" i="22"/>
  <c r="N700" i="22" s="1"/>
  <c r="E83" i="7"/>
  <c r="BN15" i="22"/>
  <c r="P700" i="22"/>
  <c r="Q700" i="22"/>
  <c r="R700" i="22"/>
  <c r="L701" i="22"/>
  <c r="C701" i="22"/>
  <c r="K701" i="22" s="1"/>
  <c r="E701" i="22"/>
  <c r="F701" i="22"/>
  <c r="O701" i="22" s="1"/>
  <c r="G701" i="22"/>
  <c r="I701" i="22"/>
  <c r="B702" i="22"/>
  <c r="D113" i="7"/>
  <c r="D51" i="7"/>
  <c r="U645" i="22"/>
  <c r="AO14" i="22"/>
  <c r="BA14" i="22"/>
  <c r="M646" i="22"/>
  <c r="D646" i="22"/>
  <c r="J646" i="22"/>
  <c r="N646" i="22" s="1"/>
  <c r="E82" i="7"/>
  <c r="BN14" i="22"/>
  <c r="P646" i="22"/>
  <c r="Q646" i="22"/>
  <c r="R646" i="22"/>
  <c r="L647" i="22"/>
  <c r="C647" i="22"/>
  <c r="K647" i="22" s="1"/>
  <c r="E647" i="22"/>
  <c r="F647" i="22"/>
  <c r="O647" i="22" s="1"/>
  <c r="G647" i="22"/>
  <c r="I647" i="22"/>
  <c r="B648" i="22"/>
  <c r="D50" i="7"/>
  <c r="D112" i="7"/>
  <c r="U591" i="22"/>
  <c r="AO13" i="22"/>
  <c r="BA13" i="22"/>
  <c r="M592" i="22"/>
  <c r="D592" i="22"/>
  <c r="J592" i="22"/>
  <c r="N592" i="22" s="1"/>
  <c r="E81" i="7"/>
  <c r="BN13" i="22"/>
  <c r="P592" i="22"/>
  <c r="Q592" i="22"/>
  <c r="R592" i="22"/>
  <c r="L593" i="22"/>
  <c r="C593" i="22"/>
  <c r="K593" i="22" s="1"/>
  <c r="E593" i="22"/>
  <c r="F593" i="22"/>
  <c r="O593" i="22" s="1"/>
  <c r="G593" i="22"/>
  <c r="I593" i="22"/>
  <c r="B594" i="22"/>
  <c r="D111" i="7"/>
  <c r="D49" i="7"/>
  <c r="U537" i="22"/>
  <c r="AO12" i="22"/>
  <c r="BA12" i="22"/>
  <c r="D538" i="22"/>
  <c r="J538" i="22"/>
  <c r="P538" i="22"/>
  <c r="Q538" i="22"/>
  <c r="R538" i="22"/>
  <c r="L539" i="22"/>
  <c r="C539" i="22"/>
  <c r="K539" i="22" s="1"/>
  <c r="E539" i="22"/>
  <c r="F539" i="22"/>
  <c r="O539" i="22" s="1"/>
  <c r="G539" i="22"/>
  <c r="I539" i="22"/>
  <c r="B540" i="22"/>
  <c r="D110" i="7"/>
  <c r="D48" i="7"/>
  <c r="U483" i="22"/>
  <c r="AO11" i="22"/>
  <c r="BA11" i="22"/>
  <c r="D484" i="22"/>
  <c r="J484" i="22"/>
  <c r="P484" i="22"/>
  <c r="Q484" i="22"/>
  <c r="R484" i="22"/>
  <c r="L485" i="22"/>
  <c r="C485" i="22"/>
  <c r="E485" i="22"/>
  <c r="G485" i="22"/>
  <c r="I485" i="22"/>
  <c r="B486" i="22"/>
  <c r="M430" i="22"/>
  <c r="L431" i="22"/>
  <c r="I431" i="22"/>
  <c r="C431" i="22"/>
  <c r="K431" i="22" s="1"/>
  <c r="E431" i="22"/>
  <c r="F431" i="22"/>
  <c r="O431" i="22" s="1"/>
  <c r="G431" i="22"/>
  <c r="B432" i="22"/>
  <c r="J430" i="22"/>
  <c r="N430" i="22" s="1"/>
  <c r="D430" i="22"/>
  <c r="E78" i="7"/>
  <c r="BN10" i="22"/>
  <c r="P430" i="22"/>
  <c r="Q430" i="22"/>
  <c r="R430" i="22"/>
  <c r="M376" i="22"/>
  <c r="D376" i="22"/>
  <c r="J376" i="22"/>
  <c r="N376" i="22" s="1"/>
  <c r="E77" i="7"/>
  <c r="BN9" i="22"/>
  <c r="P376" i="22"/>
  <c r="Q376" i="22"/>
  <c r="R376" i="22"/>
  <c r="L377" i="22"/>
  <c r="C377" i="22"/>
  <c r="E377" i="22"/>
  <c r="G377" i="22"/>
  <c r="I377" i="22"/>
  <c r="B378" i="22"/>
  <c r="D107" i="7"/>
  <c r="D45" i="7"/>
  <c r="U321" i="22"/>
  <c r="AO8" i="22"/>
  <c r="BA8" i="22"/>
  <c r="M322" i="22"/>
  <c r="D322" i="22"/>
  <c r="J322" i="22"/>
  <c r="N322" i="22" s="1"/>
  <c r="E76" i="7"/>
  <c r="BN8" i="22"/>
  <c r="P322" i="22"/>
  <c r="Q322" i="22"/>
  <c r="R322" i="22"/>
  <c r="L323" i="22"/>
  <c r="C323" i="22"/>
  <c r="K323" i="22" s="1"/>
  <c r="E323" i="22"/>
  <c r="F323" i="22"/>
  <c r="O323" i="22" s="1"/>
  <c r="G323" i="22"/>
  <c r="I323" i="22"/>
  <c r="B324" i="22"/>
  <c r="D106" i="7"/>
  <c r="D44" i="7"/>
  <c r="U267" i="22"/>
  <c r="AO7" i="22"/>
  <c r="BA7" i="22"/>
  <c r="M268" i="22"/>
  <c r="D268" i="22"/>
  <c r="J268" i="22"/>
  <c r="N268" i="22" s="1"/>
  <c r="P268" i="22"/>
  <c r="Q268" i="22"/>
  <c r="R268" i="22"/>
  <c r="L269" i="22"/>
  <c r="C269" i="22"/>
  <c r="K269" i="22" s="1"/>
  <c r="E269" i="22"/>
  <c r="F269" i="22"/>
  <c r="O269" i="22" s="1"/>
  <c r="G269" i="22"/>
  <c r="I269" i="22"/>
  <c r="B270" i="22"/>
  <c r="D105" i="7"/>
  <c r="D43" i="7"/>
  <c r="U213" i="22"/>
  <c r="AO6" i="22"/>
  <c r="BA6" i="22"/>
  <c r="M214" i="22"/>
  <c r="D214" i="22"/>
  <c r="J214" i="22"/>
  <c r="N214" i="22" s="1"/>
  <c r="E74" i="7"/>
  <c r="BN6" i="22"/>
  <c r="P214" i="22"/>
  <c r="Q214" i="22"/>
  <c r="R214" i="22"/>
  <c r="L215" i="22"/>
  <c r="C215" i="22"/>
  <c r="K215" i="22" s="1"/>
  <c r="E215" i="22"/>
  <c r="F215" i="22"/>
  <c r="O215" i="22" s="1"/>
  <c r="G215" i="22"/>
  <c r="I215" i="22"/>
  <c r="B216" i="22"/>
  <c r="D104" i="7"/>
  <c r="D42" i="7"/>
  <c r="U159" i="22"/>
  <c r="AO5" i="22"/>
  <c r="BA5" i="22"/>
  <c r="M160" i="22"/>
  <c r="D160" i="22"/>
  <c r="J160" i="22"/>
  <c r="N160" i="22" s="1"/>
  <c r="E73" i="7"/>
  <c r="BN5" i="22"/>
  <c r="P160" i="22"/>
  <c r="Q160" i="22"/>
  <c r="R160" i="22"/>
  <c r="L161" i="22"/>
  <c r="B162" i="22"/>
  <c r="C161" i="22"/>
  <c r="E161" i="22"/>
  <c r="G161" i="22"/>
  <c r="I161" i="22"/>
  <c r="D106" i="22"/>
  <c r="J106" i="22"/>
  <c r="P106" i="22"/>
  <c r="Q106" i="22"/>
  <c r="R106" i="22"/>
  <c r="L107" i="22"/>
  <c r="C107" i="22"/>
  <c r="E107" i="22"/>
  <c r="G107" i="22"/>
  <c r="B108" i="22"/>
  <c r="I107" i="22"/>
  <c r="I45" i="17"/>
  <c r="B46" i="17"/>
  <c r="C45" i="17"/>
  <c r="K45" i="17" s="1"/>
  <c r="E45" i="17"/>
  <c r="F45" i="17"/>
  <c r="C45" i="18" s="1"/>
  <c r="E45" i="18" s="1"/>
  <c r="G45" i="17"/>
  <c r="AX45" i="17" s="1"/>
  <c r="L45" i="17"/>
  <c r="B45" i="18"/>
  <c r="D44" i="17"/>
  <c r="M44" i="17" s="1"/>
  <c r="J44" i="17"/>
  <c r="N96" i="12"/>
  <c r="E96" i="12"/>
  <c r="O44" i="17"/>
  <c r="AV44" i="17"/>
  <c r="AU44" i="17"/>
  <c r="AT44" i="17"/>
  <c r="AS44" i="17"/>
  <c r="AR44" i="17"/>
  <c r="AQ44" i="17"/>
  <c r="AP44" i="17"/>
  <c r="AO44" i="17"/>
  <c r="AN44" i="17"/>
  <c r="AM44" i="17"/>
  <c r="AL44" i="17"/>
  <c r="AK44" i="17"/>
  <c r="AJ44" i="17"/>
  <c r="AI44" i="17"/>
  <c r="AH44" i="17"/>
  <c r="AG44" i="17"/>
  <c r="AF44" i="17"/>
  <c r="AE44" i="17"/>
  <c r="AD44" i="17"/>
  <c r="AC44" i="17"/>
  <c r="AB44" i="17"/>
  <c r="AA44" i="17"/>
  <c r="Z44" i="17"/>
  <c r="Y44" i="17"/>
  <c r="X44" i="17"/>
  <c r="W44" i="17"/>
  <c r="P44" i="17"/>
  <c r="Q44" i="17"/>
  <c r="R44" i="17"/>
  <c r="V44" i="17"/>
  <c r="U43" i="17"/>
  <c r="F49" i="12"/>
  <c r="M95" i="12"/>
  <c r="Q95" i="12" s="1"/>
  <c r="O95" i="12"/>
  <c r="C94" i="12"/>
  <c r="G93" i="12"/>
  <c r="AZ16" i="17"/>
  <c r="B110" i="12"/>
  <c r="I110" i="12" s="1"/>
  <c r="AY15" i="17"/>
  <c r="AX17" i="17"/>
  <c r="AX18" i="17"/>
  <c r="AX19" i="17"/>
  <c r="AX20" i="17"/>
  <c r="AX21" i="17"/>
  <c r="AX22" i="17"/>
  <c r="AX23" i="17"/>
  <c r="AX24" i="17"/>
  <c r="AX25" i="17"/>
  <c r="AX26" i="17"/>
  <c r="AX27" i="17"/>
  <c r="AX28" i="17"/>
  <c r="AX29" i="17"/>
  <c r="AX30" i="17"/>
  <c r="AX31" i="17"/>
  <c r="AX35" i="17"/>
  <c r="AX37" i="17"/>
  <c r="AX38" i="17"/>
  <c r="AX40" i="17"/>
  <c r="AX41" i="17"/>
  <c r="AX42" i="17"/>
  <c r="AX32" i="17"/>
  <c r="AX33" i="17"/>
  <c r="AX34" i="17"/>
  <c r="AX36" i="17"/>
  <c r="AX39" i="17"/>
  <c r="AX43" i="17"/>
  <c r="AX44" i="17"/>
  <c r="U3776" i="22"/>
  <c r="AN72" i="22"/>
  <c r="AZ72" i="22"/>
  <c r="U3722" i="22"/>
  <c r="AN71" i="22"/>
  <c r="AZ71" i="22"/>
  <c r="U3668" i="22"/>
  <c r="AN70" i="22"/>
  <c r="AZ70" i="22"/>
  <c r="U3560" i="22"/>
  <c r="AN68" i="22"/>
  <c r="AZ68" i="22"/>
  <c r="U3398" i="22"/>
  <c r="AN65" i="22"/>
  <c r="AZ65" i="22"/>
  <c r="U3128" i="22"/>
  <c r="AN60" i="22"/>
  <c r="AZ60" i="22"/>
  <c r="U3074" i="22"/>
  <c r="AN59" i="22"/>
  <c r="AZ59" i="22"/>
  <c r="U3020" i="22"/>
  <c r="AN58" i="22"/>
  <c r="AZ58" i="22"/>
  <c r="AN56" i="22"/>
  <c r="AZ56" i="22"/>
  <c r="U2912" i="22"/>
  <c r="U2372" i="22"/>
  <c r="AN46" i="22"/>
  <c r="AZ46" i="22"/>
  <c r="U2102" i="22"/>
  <c r="AN41" i="22"/>
  <c r="AZ41" i="22"/>
  <c r="U2048" i="22"/>
  <c r="AN40" i="22"/>
  <c r="AZ40" i="22"/>
  <c r="U1724" i="22"/>
  <c r="AN34" i="22"/>
  <c r="AZ34" i="22"/>
  <c r="U1346" i="22"/>
  <c r="AN27" i="22"/>
  <c r="AZ27" i="22"/>
  <c r="C116" i="7"/>
  <c r="C54" i="7"/>
  <c r="U806" i="22"/>
  <c r="AN17" i="22"/>
  <c r="AZ17" i="22"/>
  <c r="C115" i="7"/>
  <c r="C53" i="7"/>
  <c r="U752" i="22"/>
  <c r="AN16" i="22"/>
  <c r="AZ16" i="22"/>
  <c r="C110" i="7"/>
  <c r="C48" i="7"/>
  <c r="U482" i="22"/>
  <c r="AN11" i="22"/>
  <c r="AZ11" i="22"/>
  <c r="C109" i="7"/>
  <c r="C47" i="7"/>
  <c r="U428" i="22"/>
  <c r="AN10" i="22"/>
  <c r="AZ10" i="22"/>
  <c r="C108" i="7"/>
  <c r="C46" i="7"/>
  <c r="U374" i="22"/>
  <c r="AN9" i="22"/>
  <c r="AZ9" i="22"/>
  <c r="M1508" i="23"/>
  <c r="N1508" i="23"/>
  <c r="W1508" i="23" s="1"/>
  <c r="AB1508" i="23"/>
  <c r="AC1508" i="23" s="1"/>
  <c r="O1508" i="23"/>
  <c r="AB1452" i="23"/>
  <c r="AC1452" i="23" s="1"/>
  <c r="O1452" i="23"/>
  <c r="M1452" i="23"/>
  <c r="N1452" i="23"/>
  <c r="W1452" i="23" s="1"/>
  <c r="AB1396" i="23"/>
  <c r="AC1396" i="23" s="1"/>
  <c r="O1396" i="23"/>
  <c r="Y1396" i="23" s="1"/>
  <c r="N1396" i="23"/>
  <c r="W1396" i="23" s="1"/>
  <c r="M1396" i="23"/>
  <c r="AD1339" i="23"/>
  <c r="M1228" i="23"/>
  <c r="N1228" i="23"/>
  <c r="W1228" i="23" s="1"/>
  <c r="AB1228" i="23"/>
  <c r="AC1228" i="23" s="1"/>
  <c r="O1228" i="23"/>
  <c r="Y1228" i="23" s="1"/>
  <c r="AB1116" i="23"/>
  <c r="AC1116" i="23" s="1"/>
  <c r="O1116" i="23"/>
  <c r="Y1116" i="23" s="1"/>
  <c r="M1116" i="23"/>
  <c r="N1116" i="23"/>
  <c r="W1116" i="23" s="1"/>
  <c r="M836" i="23"/>
  <c r="N836" i="23"/>
  <c r="W836" i="23" s="1"/>
  <c r="AB836" i="23"/>
  <c r="AC836" i="23" s="1"/>
  <c r="O836" i="23"/>
  <c r="Y836" i="23" s="1"/>
  <c r="O724" i="23"/>
  <c r="Y724" i="23" s="1"/>
  <c r="AB724" i="23"/>
  <c r="AC724" i="23" s="1"/>
  <c r="M724" i="23"/>
  <c r="N724" i="23"/>
  <c r="W724" i="23" s="1"/>
  <c r="M388" i="23"/>
  <c r="N388" i="23"/>
  <c r="W388" i="23" s="1"/>
  <c r="AB388" i="23"/>
  <c r="AC388" i="23" s="1"/>
  <c r="O388" i="23"/>
  <c r="Y388" i="23" s="1"/>
  <c r="M4701" i="22"/>
  <c r="N4701" i="22"/>
  <c r="M3615" i="22"/>
  <c r="N3615" i="22"/>
  <c r="BM69" i="22"/>
  <c r="M3291" i="22"/>
  <c r="N3291" i="22"/>
  <c r="BM63" i="22"/>
  <c r="M3237" i="22"/>
  <c r="N3237" i="22"/>
  <c r="BM62" i="22"/>
  <c r="N3075" i="22"/>
  <c r="M3075" i="22"/>
  <c r="M2913" i="22"/>
  <c r="N2913" i="22"/>
  <c r="BM55" i="22"/>
  <c r="M2859" i="22"/>
  <c r="N2859" i="22"/>
  <c r="BM50" i="22"/>
  <c r="N2589" i="22"/>
  <c r="M2589" i="22"/>
  <c r="M2319" i="22"/>
  <c r="N2319" i="22"/>
  <c r="BM45" i="22"/>
  <c r="M1941" i="22"/>
  <c r="N1941" i="22"/>
  <c r="BM38" i="22"/>
  <c r="BM33" i="22"/>
  <c r="M1671" i="22"/>
  <c r="N1671" i="22"/>
  <c r="BM32" i="22"/>
  <c r="M1617" i="22"/>
  <c r="N1617" i="22"/>
  <c r="BM28" i="22"/>
  <c r="M1401" i="22"/>
  <c r="N1401" i="22"/>
  <c r="M1347" i="22"/>
  <c r="N1347" i="22"/>
  <c r="BM16" i="22"/>
  <c r="D84" i="7"/>
  <c r="M753" i="22"/>
  <c r="N753" i="22"/>
  <c r="BM10" i="22"/>
  <c r="D78" i="7"/>
  <c r="M429" i="22"/>
  <c r="N429" i="22"/>
  <c r="M375" i="22"/>
  <c r="N375" i="22"/>
  <c r="BM9" i="22"/>
  <c r="D77" i="7"/>
  <c r="BM4" i="22"/>
  <c r="D72" i="7"/>
  <c r="N105" i="22"/>
  <c r="M105" i="22"/>
  <c r="B127" i="7"/>
  <c r="K1565" i="23"/>
  <c r="F1565" i="23"/>
  <c r="K1509" i="23"/>
  <c r="F1509" i="23"/>
  <c r="K1453" i="23"/>
  <c r="F1453" i="23"/>
  <c r="W1340" i="23"/>
  <c r="X1340" i="23"/>
  <c r="K1061" i="23"/>
  <c r="F1061" i="23"/>
  <c r="K1005" i="23"/>
  <c r="F1005" i="23"/>
  <c r="K949" i="23"/>
  <c r="F949" i="23"/>
  <c r="AD892" i="23"/>
  <c r="K725" i="23"/>
  <c r="F725" i="23"/>
  <c r="AD668" i="23"/>
  <c r="K613" i="23"/>
  <c r="F613" i="23"/>
  <c r="K557" i="23"/>
  <c r="F557" i="23"/>
  <c r="AD444" i="23"/>
  <c r="P95" i="12"/>
  <c r="F4702" i="22"/>
  <c r="K4702" i="22"/>
  <c r="F3778" i="22"/>
  <c r="O3778" i="22" s="1"/>
  <c r="K3778" i="22"/>
  <c r="BN68" i="22"/>
  <c r="BN67" i="22"/>
  <c r="F3454" i="22"/>
  <c r="O3454" i="22" s="1"/>
  <c r="K3454" i="22"/>
  <c r="BN65" i="22"/>
  <c r="BN60" i="22"/>
  <c r="K3076" i="22"/>
  <c r="F3076" i="22"/>
  <c r="O3076" i="22" s="1"/>
  <c r="K3022" i="22"/>
  <c r="F3022" i="22"/>
  <c r="O3022" i="22" s="1"/>
  <c r="BN57" i="22"/>
  <c r="F2914" i="22"/>
  <c r="O2914" i="22" s="1"/>
  <c r="K2914" i="22"/>
  <c r="F2806" i="22"/>
  <c r="O2806" i="22" s="1"/>
  <c r="K2806" i="22"/>
  <c r="K2752" i="22"/>
  <c r="F2752" i="22"/>
  <c r="O2752" i="22" s="1"/>
  <c r="F2698" i="22"/>
  <c r="O2698" i="22" s="1"/>
  <c r="K2698" i="22"/>
  <c r="BN48" i="22"/>
  <c r="K2428" i="22"/>
  <c r="F2428" i="22"/>
  <c r="O2428" i="22" s="1"/>
  <c r="K2374" i="22"/>
  <c r="F2374" i="22"/>
  <c r="O2374" i="22" s="1"/>
  <c r="K2320" i="22"/>
  <c r="F2320" i="22"/>
  <c r="O2320" i="22" s="1"/>
  <c r="BN41" i="22"/>
  <c r="BN40" i="22"/>
  <c r="BN39" i="22"/>
  <c r="K1942" i="22"/>
  <c r="F1942" i="22"/>
  <c r="O1942" i="22" s="1"/>
  <c r="BN38" i="22" s="1"/>
  <c r="K1888" i="22"/>
  <c r="F1888" i="22"/>
  <c r="O1888" i="22" s="1"/>
  <c r="BN36" i="22"/>
  <c r="BN35" i="22"/>
  <c r="BN34" i="22"/>
  <c r="F1618" i="22"/>
  <c r="O1618" i="22" s="1"/>
  <c r="K1618" i="22"/>
  <c r="F1564" i="22"/>
  <c r="O1564" i="22" s="1"/>
  <c r="K1564" i="22"/>
  <c r="K1510" i="22"/>
  <c r="F1510" i="22"/>
  <c r="O1510" i="22" s="1"/>
  <c r="F1348" i="22"/>
  <c r="O1348" i="22" s="1"/>
  <c r="BN27" i="22" s="1"/>
  <c r="K1348" i="22"/>
  <c r="BN25" i="22"/>
  <c r="F1132" i="22"/>
  <c r="O1132" i="22" s="1"/>
  <c r="K1132" i="22"/>
  <c r="F808" i="22"/>
  <c r="O808" i="22" s="1"/>
  <c r="K808" i="22"/>
  <c r="F538" i="22"/>
  <c r="O538" i="22" s="1"/>
  <c r="K538" i="22"/>
  <c r="F484" i="22"/>
  <c r="O484" i="22" s="1"/>
  <c r="K484" i="22"/>
  <c r="BN7" i="22"/>
  <c r="K106" i="22"/>
  <c r="F106" i="22"/>
  <c r="O106" i="22" s="1"/>
  <c r="BM27" i="22"/>
  <c r="N4594" i="22" l="1"/>
  <c r="N4132" i="22"/>
  <c r="U4132" i="22" s="1"/>
  <c r="N4078" i="22"/>
  <c r="U4078" i="22" s="1"/>
  <c r="N4540" i="22"/>
  <c r="N4186" i="22"/>
  <c r="U4186" i="22" s="1"/>
  <c r="N44" i="17"/>
  <c r="C127" i="7"/>
  <c r="C65" i="7"/>
  <c r="D96" i="7"/>
  <c r="K1342" i="23"/>
  <c r="F1342" i="23"/>
  <c r="N1229" i="23"/>
  <c r="W1229" i="23"/>
  <c r="X1229" i="23"/>
  <c r="N781" i="23"/>
  <c r="X781" i="23"/>
  <c r="W781" i="23"/>
  <c r="N389" i="23"/>
  <c r="W389" i="23"/>
  <c r="X389" i="23"/>
  <c r="D4649" i="22"/>
  <c r="F4649" i="22"/>
  <c r="O4649" i="22" s="1"/>
  <c r="K2861" i="22"/>
  <c r="F2861" i="22"/>
  <c r="O2861" i="22" s="1"/>
  <c r="K2267" i="22"/>
  <c r="F2267" i="22"/>
  <c r="O2267" i="22" s="1"/>
  <c r="K1727" i="22"/>
  <c r="F1727" i="22"/>
  <c r="O1727" i="22" s="1"/>
  <c r="K1403" i="22"/>
  <c r="F1403" i="22"/>
  <c r="O1403" i="22" s="1"/>
  <c r="K377" i="22"/>
  <c r="F377" i="22"/>
  <c r="O377" i="22" s="1"/>
  <c r="K107" i="22"/>
  <c r="F107" i="22"/>
  <c r="O107" i="22" s="1"/>
  <c r="B105" i="8"/>
  <c r="B107" i="8"/>
  <c r="AI1619" i="23"/>
  <c r="C104" i="8"/>
  <c r="C131" i="8"/>
  <c r="AH1620" i="23"/>
  <c r="D103" i="8"/>
  <c r="B132" i="8"/>
  <c r="D132" i="8"/>
  <c r="Y1621" i="23"/>
  <c r="E106" i="8"/>
  <c r="AG1621" i="23"/>
  <c r="AD1621" i="23"/>
  <c r="M1622" i="23"/>
  <c r="J1622" i="23"/>
  <c r="N1622" i="23" s="1"/>
  <c r="D1622" i="23"/>
  <c r="O1622" i="23"/>
  <c r="AB1622" i="23"/>
  <c r="AC1622" i="23"/>
  <c r="P1622" i="23"/>
  <c r="Q1622" i="23"/>
  <c r="R1622" i="23"/>
  <c r="AF1622" i="23"/>
  <c r="I1623" i="23"/>
  <c r="L1623" i="23"/>
  <c r="C1623" i="23"/>
  <c r="E1623" i="23"/>
  <c r="G1623" i="23"/>
  <c r="B1624" i="23"/>
  <c r="M1566" i="23"/>
  <c r="J1566" i="23"/>
  <c r="N1566" i="23" s="1"/>
  <c r="D1566" i="23"/>
  <c r="O1566" i="23"/>
  <c r="AB1566" i="23"/>
  <c r="AC1566" i="23"/>
  <c r="P1566" i="23"/>
  <c r="Q1566" i="23"/>
  <c r="R1566" i="23"/>
  <c r="AF1566" i="23"/>
  <c r="L1567" i="23"/>
  <c r="I1567" i="23"/>
  <c r="C1567" i="23"/>
  <c r="K1567" i="23" s="1"/>
  <c r="E1567" i="23"/>
  <c r="F1567" i="23"/>
  <c r="G1567" i="23"/>
  <c r="B1568" i="23"/>
  <c r="J1510" i="23"/>
  <c r="D1510" i="23"/>
  <c r="P1510" i="23"/>
  <c r="Q1510" i="23"/>
  <c r="R1510" i="23"/>
  <c r="AF1510" i="23"/>
  <c r="L1511" i="23"/>
  <c r="I1511" i="23"/>
  <c r="C1511" i="23"/>
  <c r="K1511" i="23" s="1"/>
  <c r="E1511" i="23"/>
  <c r="F1511" i="23"/>
  <c r="G1511" i="23"/>
  <c r="B1512" i="23"/>
  <c r="J1454" i="23"/>
  <c r="D1454" i="23"/>
  <c r="P1454" i="23"/>
  <c r="Q1454" i="23"/>
  <c r="R1454" i="23"/>
  <c r="AF1454" i="23"/>
  <c r="L1455" i="23"/>
  <c r="I1455" i="23"/>
  <c r="C1455" i="23"/>
  <c r="K1455" i="23" s="1"/>
  <c r="E1455" i="23"/>
  <c r="F1455" i="23"/>
  <c r="G1455" i="23"/>
  <c r="B1456" i="23"/>
  <c r="M1398" i="23"/>
  <c r="J1398" i="23"/>
  <c r="N1398" i="23" s="1"/>
  <c r="D1398" i="23"/>
  <c r="O1398" i="23"/>
  <c r="Y1398" i="23" s="1"/>
  <c r="AB1398" i="23"/>
  <c r="AC1398" i="23"/>
  <c r="P1398" i="23"/>
  <c r="Q1398" i="23"/>
  <c r="R1398" i="23"/>
  <c r="AF1398" i="23"/>
  <c r="L1399" i="23"/>
  <c r="I1399" i="23"/>
  <c r="C1399" i="23"/>
  <c r="E1399" i="23"/>
  <c r="G1399" i="23"/>
  <c r="B1400" i="23"/>
  <c r="M1342" i="23"/>
  <c r="P1342" i="23"/>
  <c r="Q1342" i="23"/>
  <c r="R1342" i="23"/>
  <c r="AF1342" i="23"/>
  <c r="L1343" i="23"/>
  <c r="I1343" i="23"/>
  <c r="E1343" i="23"/>
  <c r="G1343" i="23"/>
  <c r="B1344" i="23"/>
  <c r="C1343" i="23"/>
  <c r="J1342" i="23"/>
  <c r="N1342" i="23" s="1"/>
  <c r="D1342" i="23"/>
  <c r="AB1342" i="23"/>
  <c r="O1342" i="23"/>
  <c r="Y1342" i="23" s="1"/>
  <c r="AC1342" i="23"/>
  <c r="M1286" i="23"/>
  <c r="J1286" i="23"/>
  <c r="N1286" i="23" s="1"/>
  <c r="D1286" i="23"/>
  <c r="O1286" i="23"/>
  <c r="Y1286" i="23" s="1"/>
  <c r="AB1286" i="23"/>
  <c r="AC1286" i="23"/>
  <c r="P1286" i="23"/>
  <c r="Q1286" i="23"/>
  <c r="R1286" i="23"/>
  <c r="AF1286" i="23"/>
  <c r="L1287" i="23"/>
  <c r="I1287" i="23"/>
  <c r="C1287" i="23"/>
  <c r="K1287" i="23" s="1"/>
  <c r="E1287" i="23"/>
  <c r="F1287" i="23"/>
  <c r="G1287" i="23"/>
  <c r="B1288" i="23"/>
  <c r="M1230" i="23"/>
  <c r="J1230" i="23"/>
  <c r="N1230" i="23" s="1"/>
  <c r="D1230" i="23"/>
  <c r="O1230" i="23"/>
  <c r="Y1230" i="23" s="1"/>
  <c r="AB1230" i="23"/>
  <c r="AC1230" i="23"/>
  <c r="P1230" i="23"/>
  <c r="Q1230" i="23"/>
  <c r="R1230" i="23"/>
  <c r="AF1230" i="23"/>
  <c r="L1231" i="23"/>
  <c r="I1231" i="23"/>
  <c r="C1231" i="23"/>
  <c r="K1231" i="23" s="1"/>
  <c r="E1231" i="23"/>
  <c r="F1231" i="23"/>
  <c r="G1231" i="23"/>
  <c r="B1232" i="23"/>
  <c r="M1174" i="23"/>
  <c r="J1174" i="23"/>
  <c r="N1174" i="23" s="1"/>
  <c r="D1174" i="23"/>
  <c r="O1174" i="23"/>
  <c r="Y1174" i="23" s="1"/>
  <c r="AB1174" i="23"/>
  <c r="AC1174" i="23"/>
  <c r="P1174" i="23"/>
  <c r="Q1174" i="23"/>
  <c r="R1174" i="23"/>
  <c r="AF1174" i="23"/>
  <c r="L1175" i="23"/>
  <c r="I1175" i="23"/>
  <c r="C1175" i="23"/>
  <c r="K1175" i="23" s="1"/>
  <c r="E1175" i="23"/>
  <c r="F1175" i="23"/>
  <c r="G1175" i="23"/>
  <c r="B1176" i="23"/>
  <c r="M1118" i="23"/>
  <c r="J1118" i="23"/>
  <c r="N1118" i="23" s="1"/>
  <c r="W1118" i="23" s="1"/>
  <c r="D1118" i="23"/>
  <c r="O1118" i="23"/>
  <c r="Y1118" i="23" s="1"/>
  <c r="AB1118" i="23"/>
  <c r="AC1118" i="23"/>
  <c r="P1118" i="23"/>
  <c r="Q1118" i="23"/>
  <c r="R1118" i="23"/>
  <c r="X1118" i="23"/>
  <c r="AF1118" i="23"/>
  <c r="L1119" i="23"/>
  <c r="I1119" i="23"/>
  <c r="C1119" i="23"/>
  <c r="E1119" i="23"/>
  <c r="G1119" i="23"/>
  <c r="B1120" i="23"/>
  <c r="M1062" i="23"/>
  <c r="J1062" i="23"/>
  <c r="N1062" i="23" s="1"/>
  <c r="D1062" i="23"/>
  <c r="O1062" i="23"/>
  <c r="Y1062" i="23" s="1"/>
  <c r="AB1062" i="23"/>
  <c r="AC1062" i="23"/>
  <c r="P1062" i="23"/>
  <c r="Q1062" i="23"/>
  <c r="R1062" i="23"/>
  <c r="AF1062" i="23"/>
  <c r="L1063" i="23"/>
  <c r="I1063" i="23"/>
  <c r="C1063" i="23"/>
  <c r="K1063" i="23" s="1"/>
  <c r="E1063" i="23"/>
  <c r="F1063" i="23"/>
  <c r="G1063" i="23"/>
  <c r="B1064" i="23"/>
  <c r="J1006" i="23"/>
  <c r="D1006" i="23"/>
  <c r="P1006" i="23"/>
  <c r="Q1006" i="23"/>
  <c r="R1006" i="23"/>
  <c r="AF1006" i="23"/>
  <c r="L1007" i="23"/>
  <c r="I1007" i="23"/>
  <c r="C1007" i="23"/>
  <c r="K1007" i="23" s="1"/>
  <c r="E1007" i="23"/>
  <c r="F1007" i="23"/>
  <c r="G1007" i="23"/>
  <c r="B1008" i="23"/>
  <c r="M950" i="23"/>
  <c r="J950" i="23"/>
  <c r="N950" i="23" s="1"/>
  <c r="D950" i="23"/>
  <c r="O950" i="23"/>
  <c r="Y950" i="23" s="1"/>
  <c r="AB950" i="23"/>
  <c r="AC950" i="23" s="1"/>
  <c r="P950" i="23"/>
  <c r="Q950" i="23"/>
  <c r="R950" i="23"/>
  <c r="AF950" i="23"/>
  <c r="L951" i="23"/>
  <c r="I951" i="23"/>
  <c r="C951" i="23"/>
  <c r="E951" i="23"/>
  <c r="G951" i="23"/>
  <c r="B952" i="23"/>
  <c r="M894" i="23"/>
  <c r="J894" i="23"/>
  <c r="N894" i="23" s="1"/>
  <c r="D894" i="23"/>
  <c r="O894" i="23"/>
  <c r="Y894" i="23" s="1"/>
  <c r="AB894" i="23"/>
  <c r="AC894" i="23"/>
  <c r="P894" i="23"/>
  <c r="Q894" i="23"/>
  <c r="R894" i="23"/>
  <c r="AF894" i="23"/>
  <c r="L895" i="23"/>
  <c r="I895" i="23"/>
  <c r="C895" i="23"/>
  <c r="K895" i="23" s="1"/>
  <c r="E895" i="23"/>
  <c r="F895" i="23"/>
  <c r="G895" i="23"/>
  <c r="B896" i="23"/>
  <c r="M838" i="23"/>
  <c r="J838" i="23"/>
  <c r="N838" i="23" s="1"/>
  <c r="D838" i="23"/>
  <c r="O838" i="23"/>
  <c r="Y838" i="23" s="1"/>
  <c r="AB838" i="23"/>
  <c r="AC838" i="23"/>
  <c r="P838" i="23"/>
  <c r="Q838" i="23"/>
  <c r="R838" i="23"/>
  <c r="AF838" i="23"/>
  <c r="L839" i="23"/>
  <c r="I839" i="23"/>
  <c r="C839" i="23"/>
  <c r="K839" i="23" s="1"/>
  <c r="E839" i="23"/>
  <c r="F839" i="23"/>
  <c r="G839" i="23"/>
  <c r="B840" i="23"/>
  <c r="M782" i="23"/>
  <c r="J782" i="23"/>
  <c r="N782" i="23" s="1"/>
  <c r="D782" i="23"/>
  <c r="O782" i="23"/>
  <c r="Y782" i="23" s="1"/>
  <c r="AB782" i="23"/>
  <c r="AC782" i="23"/>
  <c r="P782" i="23"/>
  <c r="Q782" i="23"/>
  <c r="R782" i="23"/>
  <c r="AF782" i="23"/>
  <c r="L783" i="23"/>
  <c r="I783" i="23"/>
  <c r="C783" i="23"/>
  <c r="K783" i="23" s="1"/>
  <c r="E783" i="23"/>
  <c r="F783" i="23"/>
  <c r="G783" i="23"/>
  <c r="B784" i="23"/>
  <c r="AI723" i="23"/>
  <c r="C79" i="8"/>
  <c r="L727" i="23"/>
  <c r="I727" i="23"/>
  <c r="G727" i="23"/>
  <c r="C727" i="23"/>
  <c r="K727" i="23" s="1"/>
  <c r="E727" i="23"/>
  <c r="B728" i="23"/>
  <c r="F727" i="23"/>
  <c r="J726" i="23"/>
  <c r="D726" i="23"/>
  <c r="P726" i="23"/>
  <c r="Q726" i="23"/>
  <c r="R726" i="23"/>
  <c r="AF726" i="23"/>
  <c r="M670" i="23"/>
  <c r="J670" i="23"/>
  <c r="N670" i="23" s="1"/>
  <c r="W670" i="23" s="1"/>
  <c r="D670" i="23"/>
  <c r="O670" i="23"/>
  <c r="Y670" i="23" s="1"/>
  <c r="AB670" i="23"/>
  <c r="AC670" i="23"/>
  <c r="P670" i="23"/>
  <c r="Q670" i="23"/>
  <c r="R670" i="23"/>
  <c r="X670" i="23"/>
  <c r="AF670" i="23"/>
  <c r="L671" i="23"/>
  <c r="I671" i="23"/>
  <c r="C671" i="23"/>
  <c r="E671" i="23"/>
  <c r="G671" i="23"/>
  <c r="B672" i="23"/>
  <c r="M614" i="23"/>
  <c r="J614" i="23"/>
  <c r="N614" i="23" s="1"/>
  <c r="D614" i="23"/>
  <c r="O614" i="23"/>
  <c r="Y614" i="23" s="1"/>
  <c r="AB614" i="23"/>
  <c r="AC614" i="23"/>
  <c r="P614" i="23"/>
  <c r="Q614" i="23"/>
  <c r="R614" i="23"/>
  <c r="AF614" i="23"/>
  <c r="L615" i="23"/>
  <c r="I615" i="23"/>
  <c r="C615" i="23"/>
  <c r="E615" i="23"/>
  <c r="G615" i="23"/>
  <c r="B616" i="23"/>
  <c r="M558" i="23"/>
  <c r="J558" i="23"/>
  <c r="N558" i="23" s="1"/>
  <c r="D558" i="23"/>
  <c r="O558" i="23"/>
  <c r="Y558" i="23" s="1"/>
  <c r="AB558" i="23"/>
  <c r="AC558" i="23"/>
  <c r="P558" i="23"/>
  <c r="Q558" i="23"/>
  <c r="R558" i="23"/>
  <c r="AF558" i="23"/>
  <c r="L559" i="23"/>
  <c r="I559" i="23"/>
  <c r="C559" i="23"/>
  <c r="E559" i="23"/>
  <c r="G559" i="23"/>
  <c r="B560" i="23"/>
  <c r="M502" i="23"/>
  <c r="J502" i="23"/>
  <c r="N502" i="23" s="1"/>
  <c r="D502" i="23"/>
  <c r="O502" i="23"/>
  <c r="Y502" i="23" s="1"/>
  <c r="AB502" i="23"/>
  <c r="AC502" i="23"/>
  <c r="P502" i="23"/>
  <c r="Q502" i="23"/>
  <c r="R502" i="23"/>
  <c r="AF502" i="23"/>
  <c r="L503" i="23"/>
  <c r="I503" i="23"/>
  <c r="C503" i="23"/>
  <c r="E503" i="23"/>
  <c r="G503" i="23"/>
  <c r="B504" i="23"/>
  <c r="P446" i="23"/>
  <c r="R446" i="23"/>
  <c r="Q446" i="23"/>
  <c r="AF446" i="23"/>
  <c r="X446" i="23"/>
  <c r="J446" i="23"/>
  <c r="D446" i="23"/>
  <c r="L447" i="23"/>
  <c r="I447" i="23"/>
  <c r="G447" i="23"/>
  <c r="B448" i="23"/>
  <c r="C447" i="23"/>
  <c r="E447" i="23"/>
  <c r="M390" i="23"/>
  <c r="J390" i="23"/>
  <c r="N390" i="23" s="1"/>
  <c r="D390" i="23"/>
  <c r="O390" i="23"/>
  <c r="Y390" i="23" s="1"/>
  <c r="AB390" i="23"/>
  <c r="AC390" i="23"/>
  <c r="P390" i="23"/>
  <c r="Q390" i="23"/>
  <c r="R390" i="23"/>
  <c r="AF390" i="23"/>
  <c r="L391" i="23"/>
  <c r="I391" i="23"/>
  <c r="C391" i="23"/>
  <c r="E391" i="23"/>
  <c r="G391" i="23"/>
  <c r="B392" i="23"/>
  <c r="M334" i="23"/>
  <c r="J334" i="23"/>
  <c r="N334" i="23" s="1"/>
  <c r="D334" i="23"/>
  <c r="O334" i="23"/>
  <c r="Y334" i="23" s="1"/>
  <c r="AB334" i="23"/>
  <c r="AC334" i="23"/>
  <c r="P334" i="23"/>
  <c r="Q334" i="23"/>
  <c r="R334" i="23"/>
  <c r="AF334" i="23"/>
  <c r="L335" i="23"/>
  <c r="I335" i="23"/>
  <c r="C335" i="23"/>
  <c r="E335" i="23"/>
  <c r="G335" i="23"/>
  <c r="B336" i="23"/>
  <c r="J278" i="23"/>
  <c r="D278" i="23"/>
  <c r="P278" i="23"/>
  <c r="Q278" i="23"/>
  <c r="R278" i="23"/>
  <c r="AF278" i="23"/>
  <c r="L279" i="23"/>
  <c r="I279" i="23"/>
  <c r="C279" i="23"/>
  <c r="K279" i="23" s="1"/>
  <c r="E279" i="23"/>
  <c r="F279" i="23"/>
  <c r="G279" i="23"/>
  <c r="B280" i="23"/>
  <c r="D4757" i="22"/>
  <c r="J4757" i="22"/>
  <c r="N4757" i="22" s="1"/>
  <c r="P97" i="12" s="1"/>
  <c r="P4757" i="22"/>
  <c r="Q4757" i="22"/>
  <c r="R4757" i="22"/>
  <c r="M4757" i="22"/>
  <c r="C4758" i="22"/>
  <c r="F4758" i="22" s="1"/>
  <c r="E4758" i="22"/>
  <c r="G4758" i="22"/>
  <c r="I4758" i="22"/>
  <c r="K4758" i="22"/>
  <c r="L4758" i="22"/>
  <c r="B4759" i="22"/>
  <c r="T4701" i="22"/>
  <c r="D32" i="15" s="1"/>
  <c r="S4702" i="22"/>
  <c r="T4702" i="22" s="1"/>
  <c r="D33" i="15" s="1"/>
  <c r="U4702" i="22"/>
  <c r="G18" i="15"/>
  <c r="D4703" i="22"/>
  <c r="J4703" i="22"/>
  <c r="P4703" i="22"/>
  <c r="Q4703" i="22"/>
  <c r="R4703" i="22"/>
  <c r="L4704" i="22"/>
  <c r="C4704" i="22"/>
  <c r="K4704" i="22" s="1"/>
  <c r="E4704" i="22"/>
  <c r="F4704" i="22"/>
  <c r="G4704" i="22"/>
  <c r="I4704" i="22"/>
  <c r="B4705" i="22"/>
  <c r="P4649" i="22"/>
  <c r="Q4649" i="22"/>
  <c r="R4649" i="22"/>
  <c r="C4650" i="22"/>
  <c r="E4650" i="22"/>
  <c r="G4650" i="22"/>
  <c r="B4651" i="22"/>
  <c r="M4595" i="22"/>
  <c r="J4595" i="22"/>
  <c r="N4595" i="22" s="1"/>
  <c r="D4595" i="22"/>
  <c r="P4595" i="22"/>
  <c r="Q4595" i="22"/>
  <c r="R4595" i="22"/>
  <c r="I4596" i="22"/>
  <c r="L4596" i="22"/>
  <c r="C4596" i="22"/>
  <c r="K4596" i="22" s="1"/>
  <c r="E4596" i="22"/>
  <c r="F4596" i="22"/>
  <c r="G4596" i="22"/>
  <c r="B4597" i="22"/>
  <c r="M4541" i="22"/>
  <c r="D4541" i="22"/>
  <c r="J4541" i="22"/>
  <c r="N4541" i="22" s="1"/>
  <c r="P4541" i="22"/>
  <c r="Q4541" i="22"/>
  <c r="R4541" i="22"/>
  <c r="L4542" i="22"/>
  <c r="C4542" i="22"/>
  <c r="K4542" i="22" s="1"/>
  <c r="E4542" i="22"/>
  <c r="F4542" i="22"/>
  <c r="G4542" i="22"/>
  <c r="I4542" i="22"/>
  <c r="B4543" i="22"/>
  <c r="D4241" i="22"/>
  <c r="J4241" i="22"/>
  <c r="P4241" i="22"/>
  <c r="Q4241" i="22"/>
  <c r="R4241" i="22"/>
  <c r="M4241" i="22"/>
  <c r="N4241" i="22"/>
  <c r="U4241" i="22" s="1"/>
  <c r="C4242" i="22"/>
  <c r="E4242" i="22"/>
  <c r="F4242" i="22"/>
  <c r="O4242" i="22" s="1"/>
  <c r="G4242" i="22"/>
  <c r="I4242" i="22"/>
  <c r="K4242" i="22"/>
  <c r="L4242" i="22"/>
  <c r="B4243" i="22"/>
  <c r="M4187" i="22"/>
  <c r="D4187" i="22"/>
  <c r="J4187" i="22"/>
  <c r="N4187" i="22" s="1"/>
  <c r="U4187" i="22" s="1"/>
  <c r="P4187" i="22"/>
  <c r="Q4187" i="22"/>
  <c r="R4187" i="22"/>
  <c r="L4188" i="22"/>
  <c r="C4188" i="22"/>
  <c r="E4188" i="22"/>
  <c r="G4188" i="22"/>
  <c r="I4188" i="22"/>
  <c r="B4189" i="22"/>
  <c r="M4133" i="22"/>
  <c r="D4133" i="22"/>
  <c r="J4133" i="22"/>
  <c r="N4133" i="22" s="1"/>
  <c r="U4133" i="22" s="1"/>
  <c r="P4133" i="22"/>
  <c r="Q4133" i="22"/>
  <c r="R4133" i="22"/>
  <c r="L4134" i="22"/>
  <c r="C4134" i="22"/>
  <c r="E4134" i="22"/>
  <c r="G4134" i="22"/>
  <c r="I4134" i="22"/>
  <c r="B4135" i="22"/>
  <c r="D4079" i="22"/>
  <c r="J4079" i="22"/>
  <c r="P4079" i="22"/>
  <c r="Q4079" i="22"/>
  <c r="R4079" i="22"/>
  <c r="L4080" i="22"/>
  <c r="C4080" i="22"/>
  <c r="K4080" i="22" s="1"/>
  <c r="E4080" i="22"/>
  <c r="F4080" i="22"/>
  <c r="O4080" i="22" s="1"/>
  <c r="G4080" i="22"/>
  <c r="I4080" i="22"/>
  <c r="B4081" i="22"/>
  <c r="D3779" i="22"/>
  <c r="J3779" i="22"/>
  <c r="P3779" i="22"/>
  <c r="Q3779" i="22"/>
  <c r="R3779" i="22"/>
  <c r="L3780" i="22"/>
  <c r="C3780" i="22"/>
  <c r="E3780" i="22"/>
  <c r="G3780" i="22"/>
  <c r="I3780" i="22"/>
  <c r="B3781" i="22"/>
  <c r="U3724" i="22"/>
  <c r="AP71" i="22"/>
  <c r="BB71" i="22"/>
  <c r="M3725" i="22"/>
  <c r="D3725" i="22"/>
  <c r="J3725" i="22"/>
  <c r="N3725" i="22" s="1"/>
  <c r="BO71" i="22"/>
  <c r="P3725" i="22"/>
  <c r="Q3725" i="22"/>
  <c r="R3725" i="22"/>
  <c r="L3726" i="22"/>
  <c r="C3726" i="22"/>
  <c r="K3726" i="22" s="1"/>
  <c r="E3726" i="22"/>
  <c r="F3726" i="22"/>
  <c r="O3726" i="22" s="1"/>
  <c r="G3726" i="22"/>
  <c r="I3726" i="22"/>
  <c r="B3727" i="22"/>
  <c r="U3670" i="22"/>
  <c r="AP70" i="22"/>
  <c r="BB70" i="22"/>
  <c r="M3671" i="22"/>
  <c r="D3671" i="22"/>
  <c r="J3671" i="22"/>
  <c r="N3671" i="22" s="1"/>
  <c r="BO70" i="22"/>
  <c r="P3671" i="22"/>
  <c r="Q3671" i="22"/>
  <c r="R3671" i="22"/>
  <c r="L3672" i="22"/>
  <c r="C3672" i="22"/>
  <c r="K3672" i="22" s="1"/>
  <c r="E3672" i="22"/>
  <c r="F3672" i="22"/>
  <c r="O3672" i="22" s="1"/>
  <c r="G3672" i="22"/>
  <c r="I3672" i="22"/>
  <c r="B3673" i="22"/>
  <c r="U3616" i="22"/>
  <c r="AP69" i="22"/>
  <c r="BB69" i="22"/>
  <c r="M3617" i="22"/>
  <c r="D3617" i="22"/>
  <c r="J3617" i="22"/>
  <c r="N3617" i="22" s="1"/>
  <c r="P3617" i="22"/>
  <c r="Q3617" i="22"/>
  <c r="R3617" i="22"/>
  <c r="L3618" i="22"/>
  <c r="C3618" i="22"/>
  <c r="K3618" i="22" s="1"/>
  <c r="E3618" i="22"/>
  <c r="F3618" i="22"/>
  <c r="O3618" i="22" s="1"/>
  <c r="BP69" i="22" s="1"/>
  <c r="G3618" i="22"/>
  <c r="I3618" i="22"/>
  <c r="B3619" i="22"/>
  <c r="U3562" i="22"/>
  <c r="AP68" i="22"/>
  <c r="BB68" i="22"/>
  <c r="M3563" i="22"/>
  <c r="P3563" i="22"/>
  <c r="Q3563" i="22"/>
  <c r="R3563" i="22"/>
  <c r="L3564" i="22"/>
  <c r="C3564" i="22"/>
  <c r="E3564" i="22"/>
  <c r="G3564" i="22"/>
  <c r="I3564" i="22"/>
  <c r="B3565" i="22"/>
  <c r="J3563" i="22"/>
  <c r="N3563" i="22" s="1"/>
  <c r="D3563" i="22"/>
  <c r="U3508" i="22"/>
  <c r="AP67" i="22"/>
  <c r="BB67" i="22"/>
  <c r="M3509" i="22"/>
  <c r="D3509" i="22"/>
  <c r="J3509" i="22"/>
  <c r="N3509" i="22" s="1"/>
  <c r="P3509" i="22"/>
  <c r="Q3509" i="22"/>
  <c r="R3509" i="22"/>
  <c r="L3510" i="22"/>
  <c r="C3510" i="22"/>
  <c r="E3510" i="22"/>
  <c r="G3510" i="22"/>
  <c r="I3510" i="22"/>
  <c r="B3511" i="22"/>
  <c r="M3455" i="22"/>
  <c r="D3455" i="22"/>
  <c r="J3455" i="22"/>
  <c r="N3455" i="22" s="1"/>
  <c r="P3455" i="22"/>
  <c r="Q3455" i="22"/>
  <c r="R3455" i="22"/>
  <c r="L3456" i="22"/>
  <c r="C3456" i="22"/>
  <c r="E3456" i="22"/>
  <c r="G3456" i="22"/>
  <c r="I3456" i="22"/>
  <c r="B3457" i="22"/>
  <c r="U3400" i="22"/>
  <c r="AP65" i="22"/>
  <c r="BB65" i="22"/>
  <c r="D3401" i="22"/>
  <c r="J3401" i="22"/>
  <c r="P3401" i="22"/>
  <c r="Q3401" i="22"/>
  <c r="R3401" i="22"/>
  <c r="L3402" i="22"/>
  <c r="C3402" i="22"/>
  <c r="E3402" i="22"/>
  <c r="G3402" i="22"/>
  <c r="I3402" i="22"/>
  <c r="B3403" i="22"/>
  <c r="U3346" i="22"/>
  <c r="AP64" i="22"/>
  <c r="BB64" i="22"/>
  <c r="D3347" i="22"/>
  <c r="J3347" i="22"/>
  <c r="P3347" i="22"/>
  <c r="Q3347" i="22"/>
  <c r="R3347" i="22"/>
  <c r="L3348" i="22"/>
  <c r="C3348" i="22"/>
  <c r="E3348" i="22"/>
  <c r="G3348" i="22"/>
  <c r="I3348" i="22"/>
  <c r="B3349" i="22"/>
  <c r="U3292" i="22"/>
  <c r="AP63" i="22"/>
  <c r="BB63" i="22"/>
  <c r="M3293" i="22"/>
  <c r="D3293" i="22"/>
  <c r="J3293" i="22"/>
  <c r="N3293" i="22" s="1"/>
  <c r="P3293" i="22"/>
  <c r="Q3293" i="22"/>
  <c r="R3293" i="22"/>
  <c r="L3294" i="22"/>
  <c r="C3294" i="22"/>
  <c r="K3294" i="22" s="1"/>
  <c r="E3294" i="22"/>
  <c r="F3294" i="22"/>
  <c r="O3294" i="22" s="1"/>
  <c r="BP63" i="22" s="1"/>
  <c r="G3294" i="22"/>
  <c r="I3294" i="22"/>
  <c r="B3295" i="22"/>
  <c r="U3238" i="22"/>
  <c r="AP62" i="22"/>
  <c r="BB62" i="22"/>
  <c r="M3239" i="22"/>
  <c r="D3239" i="22"/>
  <c r="J3239" i="22"/>
  <c r="N3239" i="22" s="1"/>
  <c r="P3239" i="22"/>
  <c r="Q3239" i="22"/>
  <c r="R3239" i="22"/>
  <c r="L3240" i="22"/>
  <c r="C3240" i="22"/>
  <c r="K3240" i="22" s="1"/>
  <c r="E3240" i="22"/>
  <c r="F3240" i="22"/>
  <c r="O3240" i="22" s="1"/>
  <c r="G3240" i="22"/>
  <c r="I3240" i="22"/>
  <c r="B3241" i="22"/>
  <c r="U3184" i="22"/>
  <c r="AP61" i="22"/>
  <c r="BB61" i="22"/>
  <c r="M3185" i="22"/>
  <c r="D3185" i="22"/>
  <c r="J3185" i="22"/>
  <c r="N3185" i="22" s="1"/>
  <c r="P3185" i="22"/>
  <c r="Q3185" i="22"/>
  <c r="R3185" i="22"/>
  <c r="L3186" i="22"/>
  <c r="C3186" i="22"/>
  <c r="E3186" i="22"/>
  <c r="G3186" i="22"/>
  <c r="I3186" i="22"/>
  <c r="B3187" i="22"/>
  <c r="U3130" i="22"/>
  <c r="AP60" i="22"/>
  <c r="BB60" i="22"/>
  <c r="L3132" i="22"/>
  <c r="C3132" i="22"/>
  <c r="E3132" i="22"/>
  <c r="G3132" i="22"/>
  <c r="I3132" i="22"/>
  <c r="B3133" i="22"/>
  <c r="J3131" i="22"/>
  <c r="D3131" i="22"/>
  <c r="P3131" i="22"/>
  <c r="Q3131" i="22"/>
  <c r="R3131" i="22"/>
  <c r="P3077" i="22"/>
  <c r="Q3077" i="22"/>
  <c r="R3077" i="22"/>
  <c r="L3078" i="22"/>
  <c r="C3078" i="22"/>
  <c r="E3078" i="22"/>
  <c r="G3078" i="22"/>
  <c r="B3079" i="22"/>
  <c r="I3078" i="22"/>
  <c r="D3077" i="22"/>
  <c r="J3077" i="22"/>
  <c r="D3023" i="22"/>
  <c r="J3023" i="22"/>
  <c r="P3023" i="22"/>
  <c r="Q3023" i="22"/>
  <c r="R3023" i="22"/>
  <c r="L3024" i="22"/>
  <c r="C3024" i="22"/>
  <c r="E3024" i="22"/>
  <c r="G3024" i="22"/>
  <c r="I3024" i="22"/>
  <c r="B3025" i="22"/>
  <c r="U2968" i="22"/>
  <c r="AP57" i="22"/>
  <c r="BB57" i="22"/>
  <c r="P2969" i="22"/>
  <c r="Q2969" i="22"/>
  <c r="R2969" i="22"/>
  <c r="J2969" i="22"/>
  <c r="D2969" i="22"/>
  <c r="L2970" i="22"/>
  <c r="E2970" i="22"/>
  <c r="B2971" i="22"/>
  <c r="C2970" i="22"/>
  <c r="G2970" i="22"/>
  <c r="I2970" i="22"/>
  <c r="M2915" i="22"/>
  <c r="D2915" i="22"/>
  <c r="J2915" i="22"/>
  <c r="N2915" i="22" s="1"/>
  <c r="P2915" i="22"/>
  <c r="Q2915" i="22"/>
  <c r="R2915" i="22"/>
  <c r="L2916" i="22"/>
  <c r="C2916" i="22"/>
  <c r="E2916" i="22"/>
  <c r="G2916" i="22"/>
  <c r="I2916" i="22"/>
  <c r="B2917" i="22"/>
  <c r="U2860" i="22"/>
  <c r="AP55" i="22"/>
  <c r="BB55" i="22"/>
  <c r="M2861" i="22"/>
  <c r="D2861" i="22"/>
  <c r="J2861" i="22"/>
  <c r="N2861" i="22" s="1"/>
  <c r="P2861" i="22"/>
  <c r="Q2861" i="22"/>
  <c r="R2861" i="22"/>
  <c r="L2862" i="22"/>
  <c r="C2862" i="22"/>
  <c r="E2862" i="22"/>
  <c r="G2862" i="22"/>
  <c r="I2862" i="22"/>
  <c r="B2863" i="22"/>
  <c r="AL1621" i="23"/>
  <c r="U2806" i="22"/>
  <c r="M2807" i="22"/>
  <c r="D2807" i="22"/>
  <c r="J2807" i="22"/>
  <c r="N2807" i="22" s="1"/>
  <c r="Q2807" i="22"/>
  <c r="P2807" i="22"/>
  <c r="R2807" i="22"/>
  <c r="T2807" i="22"/>
  <c r="L2808" i="22"/>
  <c r="C2808" i="22"/>
  <c r="K2808" i="22" s="1"/>
  <c r="E2808" i="22"/>
  <c r="F2808" i="22"/>
  <c r="O2808" i="22" s="1"/>
  <c r="G2808" i="22"/>
  <c r="I2808" i="22"/>
  <c r="B2809" i="22"/>
  <c r="M2753" i="22"/>
  <c r="D2753" i="22"/>
  <c r="J2753" i="22"/>
  <c r="N2753" i="22" s="1"/>
  <c r="P2753" i="22"/>
  <c r="Q2753" i="22"/>
  <c r="R2753" i="22"/>
  <c r="L2754" i="22"/>
  <c r="C2754" i="22"/>
  <c r="K2754" i="22" s="1"/>
  <c r="E2754" i="22"/>
  <c r="F2754" i="22"/>
  <c r="O2754" i="22" s="1"/>
  <c r="G2754" i="22"/>
  <c r="I2754" i="22"/>
  <c r="B2755" i="22"/>
  <c r="D2699" i="22"/>
  <c r="J2699" i="22"/>
  <c r="P2699" i="22"/>
  <c r="Q2699" i="22"/>
  <c r="R2699" i="22"/>
  <c r="L2700" i="22"/>
  <c r="C2700" i="22"/>
  <c r="K2700" i="22" s="1"/>
  <c r="E2700" i="22"/>
  <c r="F2700" i="22"/>
  <c r="O2700" i="22" s="1"/>
  <c r="BP52" i="22" s="1"/>
  <c r="G2700" i="22"/>
  <c r="I2700" i="22"/>
  <c r="B2701" i="22"/>
  <c r="U2644" i="22"/>
  <c r="AP51" i="22"/>
  <c r="BB51" i="22"/>
  <c r="D2645" i="22"/>
  <c r="J2645" i="22"/>
  <c r="P2645" i="22"/>
  <c r="Q2645" i="22"/>
  <c r="R2645" i="22"/>
  <c r="L2646" i="22"/>
  <c r="C2646" i="22"/>
  <c r="E2646" i="22"/>
  <c r="G2646" i="22"/>
  <c r="I2646" i="22"/>
  <c r="B2647" i="22"/>
  <c r="U2590" i="22"/>
  <c r="AP50" i="22"/>
  <c r="BB50" i="22"/>
  <c r="L2592" i="22"/>
  <c r="B2593" i="22"/>
  <c r="E2592" i="22"/>
  <c r="I2592" i="22"/>
  <c r="C2592" i="22"/>
  <c r="G2592" i="22"/>
  <c r="P2591" i="22"/>
  <c r="Q2591" i="22"/>
  <c r="R2591" i="22"/>
  <c r="D2591" i="22"/>
  <c r="J2591" i="22"/>
  <c r="U2536" i="22"/>
  <c r="AP49" i="22"/>
  <c r="BB49" i="22"/>
  <c r="M2537" i="22"/>
  <c r="D2537" i="22"/>
  <c r="J2537" i="22"/>
  <c r="N2537" i="22" s="1"/>
  <c r="P2537" i="22"/>
  <c r="Q2537" i="22"/>
  <c r="R2537" i="22"/>
  <c r="L2538" i="22"/>
  <c r="C2538" i="22"/>
  <c r="E2538" i="22"/>
  <c r="G2538" i="22"/>
  <c r="I2538" i="22"/>
  <c r="B2539" i="22"/>
  <c r="U2482" i="22"/>
  <c r="AP48" i="22"/>
  <c r="BB48" i="22"/>
  <c r="M2483" i="22"/>
  <c r="D2483" i="22"/>
  <c r="J2483" i="22"/>
  <c r="N2483" i="22" s="1"/>
  <c r="P2483" i="22"/>
  <c r="Q2483" i="22"/>
  <c r="R2483" i="22"/>
  <c r="L2484" i="22"/>
  <c r="C2484" i="22"/>
  <c r="K2484" i="22" s="1"/>
  <c r="E2484" i="22"/>
  <c r="F2484" i="22"/>
  <c r="O2484" i="22" s="1"/>
  <c r="G2484" i="22"/>
  <c r="I2484" i="22"/>
  <c r="B2485" i="22"/>
  <c r="M2429" i="22"/>
  <c r="D2429" i="22"/>
  <c r="J2429" i="22"/>
  <c r="N2429" i="22" s="1"/>
  <c r="P2429" i="22"/>
  <c r="Q2429" i="22"/>
  <c r="R2429" i="22"/>
  <c r="L2430" i="22"/>
  <c r="C2430" i="22"/>
  <c r="K2430" i="22" s="1"/>
  <c r="E2430" i="22"/>
  <c r="F2430" i="22"/>
  <c r="O2430" i="22" s="1"/>
  <c r="G2430" i="22"/>
  <c r="I2430" i="22"/>
  <c r="B2431" i="22"/>
  <c r="M2375" i="22"/>
  <c r="D2375" i="22"/>
  <c r="J2375" i="22"/>
  <c r="N2375" i="22" s="1"/>
  <c r="P2375" i="22"/>
  <c r="Q2375" i="22"/>
  <c r="R2375" i="22"/>
  <c r="L2376" i="22"/>
  <c r="C2376" i="22"/>
  <c r="K2376" i="22" s="1"/>
  <c r="E2376" i="22"/>
  <c r="F2376" i="22"/>
  <c r="O2376" i="22" s="1"/>
  <c r="G2376" i="22"/>
  <c r="I2376" i="22"/>
  <c r="B2377" i="22"/>
  <c r="M2321" i="22"/>
  <c r="D2321" i="22"/>
  <c r="J2321" i="22"/>
  <c r="N2321" i="22" s="1"/>
  <c r="P2321" i="22"/>
  <c r="Q2321" i="22"/>
  <c r="R2321" i="22"/>
  <c r="L2322" i="22"/>
  <c r="C2322" i="22"/>
  <c r="K2322" i="22" s="1"/>
  <c r="E2322" i="22"/>
  <c r="F2322" i="22"/>
  <c r="O2322" i="22" s="1"/>
  <c r="G2322" i="22"/>
  <c r="I2322" i="22"/>
  <c r="B2323" i="22"/>
  <c r="U2266" i="22"/>
  <c r="AP44" i="22"/>
  <c r="BB44" i="22"/>
  <c r="M2267" i="22"/>
  <c r="D2267" i="22"/>
  <c r="J2267" i="22"/>
  <c r="N2267" i="22" s="1"/>
  <c r="BO44" i="22"/>
  <c r="P2267" i="22"/>
  <c r="Q2267" i="22"/>
  <c r="R2267" i="22"/>
  <c r="L2268" i="22"/>
  <c r="C2268" i="22"/>
  <c r="E2268" i="22"/>
  <c r="G2268" i="22"/>
  <c r="I2268" i="22"/>
  <c r="B2269" i="22"/>
  <c r="U2212" i="22"/>
  <c r="AP43" i="22"/>
  <c r="BB43" i="22"/>
  <c r="M2213" i="22"/>
  <c r="D2213" i="22"/>
  <c r="J2213" i="22"/>
  <c r="N2213" i="22" s="1"/>
  <c r="P2213" i="22"/>
  <c r="Q2213" i="22"/>
  <c r="R2213" i="22"/>
  <c r="L2214" i="22"/>
  <c r="C2214" i="22"/>
  <c r="E2214" i="22"/>
  <c r="G2214" i="22"/>
  <c r="I2214" i="22"/>
  <c r="B2215" i="22"/>
  <c r="U2158" i="22"/>
  <c r="AP42" i="22"/>
  <c r="BB42" i="22"/>
  <c r="M2159" i="22"/>
  <c r="D2159" i="22"/>
  <c r="J2159" i="22"/>
  <c r="N2159" i="22" s="1"/>
  <c r="BO42" i="22"/>
  <c r="P2159" i="22"/>
  <c r="Q2159" i="22"/>
  <c r="R2159" i="22"/>
  <c r="L2160" i="22"/>
  <c r="C2160" i="22"/>
  <c r="K2160" i="22" s="1"/>
  <c r="E2160" i="22"/>
  <c r="F2160" i="22"/>
  <c r="O2160" i="22" s="1"/>
  <c r="G2160" i="22"/>
  <c r="I2160" i="22"/>
  <c r="B2161" i="22"/>
  <c r="U2104" i="22"/>
  <c r="AP41" i="22"/>
  <c r="BB41" i="22"/>
  <c r="M2105" i="22"/>
  <c r="D2105" i="22"/>
  <c r="J2105" i="22"/>
  <c r="N2105" i="22" s="1"/>
  <c r="P2105" i="22"/>
  <c r="Q2105" i="22"/>
  <c r="R2105" i="22"/>
  <c r="L2106" i="22"/>
  <c r="C2106" i="22"/>
  <c r="K2106" i="22" s="1"/>
  <c r="E2106" i="22"/>
  <c r="F2106" i="22"/>
  <c r="O2106" i="22" s="1"/>
  <c r="G2106" i="22"/>
  <c r="I2106" i="22"/>
  <c r="B2107" i="22"/>
  <c r="U2050" i="22"/>
  <c r="AP40" i="22"/>
  <c r="BB40" i="22"/>
  <c r="M2051" i="22"/>
  <c r="D2051" i="22"/>
  <c r="J2051" i="22"/>
  <c r="N2051" i="22" s="1"/>
  <c r="P2051" i="22"/>
  <c r="Q2051" i="22"/>
  <c r="R2051" i="22"/>
  <c r="L2052" i="22"/>
  <c r="C2052" i="22"/>
  <c r="K2052" i="22" s="1"/>
  <c r="E2052" i="22"/>
  <c r="F2052" i="22"/>
  <c r="O2052" i="22" s="1"/>
  <c r="G2052" i="22"/>
  <c r="I2052" i="22"/>
  <c r="B2053" i="22"/>
  <c r="U1996" i="22"/>
  <c r="AP39" i="22"/>
  <c r="BB39" i="22"/>
  <c r="D1997" i="22"/>
  <c r="J1997" i="22"/>
  <c r="P1997" i="22"/>
  <c r="Q1997" i="22"/>
  <c r="R1997" i="22"/>
  <c r="L1998" i="22"/>
  <c r="C1998" i="22"/>
  <c r="K1998" i="22" s="1"/>
  <c r="E1998" i="22"/>
  <c r="F1998" i="22"/>
  <c r="O1998" i="22" s="1"/>
  <c r="BP39" i="22" s="1"/>
  <c r="G1998" i="22"/>
  <c r="I1998" i="22"/>
  <c r="B1999" i="22"/>
  <c r="D1943" i="22"/>
  <c r="J1943" i="22"/>
  <c r="P1943" i="22"/>
  <c r="Q1943" i="22"/>
  <c r="R1943" i="22"/>
  <c r="L1944" i="22"/>
  <c r="C1944" i="22"/>
  <c r="E1944" i="22"/>
  <c r="G1944" i="22"/>
  <c r="I1944" i="22"/>
  <c r="B1945" i="22"/>
  <c r="D1889" i="22"/>
  <c r="J1889" i="22"/>
  <c r="P1889" i="22"/>
  <c r="Q1889" i="22"/>
  <c r="R1889" i="22"/>
  <c r="L1890" i="22"/>
  <c r="C1890" i="22"/>
  <c r="E1890" i="22"/>
  <c r="G1890" i="22"/>
  <c r="I1890" i="22"/>
  <c r="B1891" i="22"/>
  <c r="U1834" i="22"/>
  <c r="AP36" i="22"/>
  <c r="BB36" i="22"/>
  <c r="M1835" i="22"/>
  <c r="D1835" i="22"/>
  <c r="J1835" i="22"/>
  <c r="N1835" i="22" s="1"/>
  <c r="P1835" i="22"/>
  <c r="Q1835" i="22"/>
  <c r="R1835" i="22"/>
  <c r="L1836" i="22"/>
  <c r="C1836" i="22"/>
  <c r="E1836" i="22"/>
  <c r="G1836" i="22"/>
  <c r="I1836" i="22"/>
  <c r="B1837" i="22"/>
  <c r="U1780" i="22"/>
  <c r="AP35" i="22"/>
  <c r="BB35" i="22"/>
  <c r="M1781" i="22"/>
  <c r="D1781" i="22"/>
  <c r="J1781" i="22"/>
  <c r="N1781" i="22" s="1"/>
  <c r="P1781" i="22"/>
  <c r="Q1781" i="22"/>
  <c r="R1781" i="22"/>
  <c r="L1782" i="22"/>
  <c r="C1782" i="22"/>
  <c r="K1782" i="22" s="1"/>
  <c r="E1782" i="22"/>
  <c r="F1782" i="22"/>
  <c r="O1782" i="22" s="1"/>
  <c r="G1782" i="22"/>
  <c r="I1782" i="22"/>
  <c r="B1783" i="22"/>
  <c r="U1726" i="22"/>
  <c r="AP34" i="22"/>
  <c r="BB34" i="22"/>
  <c r="M1727" i="22"/>
  <c r="D1727" i="22"/>
  <c r="J1727" i="22"/>
  <c r="N1727" i="22" s="1"/>
  <c r="P1727" i="22"/>
  <c r="Q1727" i="22"/>
  <c r="R1727" i="22"/>
  <c r="L1728" i="22"/>
  <c r="C1728" i="22"/>
  <c r="K1728" i="22" s="1"/>
  <c r="E1728" i="22"/>
  <c r="F1728" i="22"/>
  <c r="O1728" i="22" s="1"/>
  <c r="G1728" i="22"/>
  <c r="I1728" i="22"/>
  <c r="B1729" i="22"/>
  <c r="U1672" i="22"/>
  <c r="AP33" i="22"/>
  <c r="BB33" i="22"/>
  <c r="M1673" i="22"/>
  <c r="D1673" i="22"/>
  <c r="J1673" i="22"/>
  <c r="N1673" i="22" s="1"/>
  <c r="P1673" i="22"/>
  <c r="Q1673" i="22"/>
  <c r="R1673" i="22"/>
  <c r="L1674" i="22"/>
  <c r="C1674" i="22"/>
  <c r="K1674" i="22" s="1"/>
  <c r="E1674" i="22"/>
  <c r="F1674" i="22"/>
  <c r="O1674" i="22" s="1"/>
  <c r="G1674" i="22"/>
  <c r="I1674" i="22"/>
  <c r="B1675" i="22"/>
  <c r="M1619" i="22"/>
  <c r="D1619" i="22"/>
  <c r="J1619" i="22"/>
  <c r="N1619" i="22" s="1"/>
  <c r="P1619" i="22"/>
  <c r="Q1619" i="22"/>
  <c r="R1619" i="22"/>
  <c r="L1620" i="22"/>
  <c r="C1620" i="22"/>
  <c r="E1620" i="22"/>
  <c r="G1620" i="22"/>
  <c r="I1620" i="22"/>
  <c r="B1621" i="22"/>
  <c r="D1565" i="22"/>
  <c r="J1565" i="22"/>
  <c r="P1565" i="22"/>
  <c r="Q1565" i="22"/>
  <c r="R1565" i="22"/>
  <c r="L1566" i="22"/>
  <c r="C1566" i="22"/>
  <c r="E1566" i="22"/>
  <c r="G1566" i="22"/>
  <c r="I1566" i="22"/>
  <c r="B1567" i="22"/>
  <c r="D1511" i="22"/>
  <c r="J1511" i="22"/>
  <c r="P1511" i="22"/>
  <c r="Q1511" i="22"/>
  <c r="R1511" i="22"/>
  <c r="L1512" i="22"/>
  <c r="C1512" i="22"/>
  <c r="E1512" i="22"/>
  <c r="G1512" i="22"/>
  <c r="I1512" i="22"/>
  <c r="B1513" i="22"/>
  <c r="U1456" i="22"/>
  <c r="AP29" i="22"/>
  <c r="BB29" i="22"/>
  <c r="M1457" i="22"/>
  <c r="D1457" i="22"/>
  <c r="J1457" i="22"/>
  <c r="N1457" i="22" s="1"/>
  <c r="BO29" i="22"/>
  <c r="P1457" i="22"/>
  <c r="Q1457" i="22"/>
  <c r="R1457" i="22"/>
  <c r="L1458" i="22"/>
  <c r="C1458" i="22"/>
  <c r="E1458" i="22"/>
  <c r="G1458" i="22"/>
  <c r="I1458" i="22"/>
  <c r="B1459" i="22"/>
  <c r="U1402" i="22"/>
  <c r="AP28" i="22"/>
  <c r="BB28" i="22"/>
  <c r="M1403" i="22"/>
  <c r="D1403" i="22"/>
  <c r="J1403" i="22"/>
  <c r="N1403" i="22" s="1"/>
  <c r="P1403" i="22"/>
  <c r="Q1403" i="22"/>
  <c r="R1403" i="22"/>
  <c r="L1404" i="22"/>
  <c r="C1404" i="22"/>
  <c r="K1404" i="22" s="1"/>
  <c r="E1404" i="22"/>
  <c r="F1404" i="22"/>
  <c r="O1404" i="22" s="1"/>
  <c r="BP28" i="22" s="1"/>
  <c r="G1404" i="22"/>
  <c r="I1404" i="22"/>
  <c r="B1405" i="22"/>
  <c r="D1349" i="22"/>
  <c r="M1349" i="22" s="1"/>
  <c r="J1349" i="22"/>
  <c r="P1349" i="22"/>
  <c r="Q1349" i="22"/>
  <c r="R1349" i="22"/>
  <c r="L1350" i="22"/>
  <c r="C1350" i="22"/>
  <c r="E1350" i="22"/>
  <c r="G1350" i="22"/>
  <c r="I1350" i="22"/>
  <c r="B1351" i="22"/>
  <c r="U1294" i="22"/>
  <c r="AP26" i="22"/>
  <c r="BB26" i="22"/>
  <c r="M1295" i="22"/>
  <c r="D1295" i="22"/>
  <c r="J1295" i="22"/>
  <c r="N1295" i="22" s="1"/>
  <c r="P1295" i="22"/>
  <c r="Q1295" i="22"/>
  <c r="R1295" i="22"/>
  <c r="L1296" i="22"/>
  <c r="C1296" i="22"/>
  <c r="E1296" i="22"/>
  <c r="G1296" i="22"/>
  <c r="I1296" i="22"/>
  <c r="B1297" i="22"/>
  <c r="U1240" i="22"/>
  <c r="AP25" i="22"/>
  <c r="BB25" i="22"/>
  <c r="M1241" i="22"/>
  <c r="D1241" i="22"/>
  <c r="J1241" i="22"/>
  <c r="N1241" i="22" s="1"/>
  <c r="P1241" i="22"/>
  <c r="Q1241" i="22"/>
  <c r="R1241" i="22"/>
  <c r="L1242" i="22"/>
  <c r="C1242" i="22"/>
  <c r="K1242" i="22" s="1"/>
  <c r="E1242" i="22"/>
  <c r="F1242" i="22"/>
  <c r="O1242" i="22" s="1"/>
  <c r="G1242" i="22"/>
  <c r="I1242" i="22"/>
  <c r="B1243" i="22"/>
  <c r="E123" i="7"/>
  <c r="E61" i="7"/>
  <c r="U1186" i="22"/>
  <c r="AP24" i="22"/>
  <c r="BB24" i="22"/>
  <c r="D1187" i="22"/>
  <c r="J1187" i="22"/>
  <c r="P1187" i="22"/>
  <c r="Q1187" i="22"/>
  <c r="R1187" i="22"/>
  <c r="L1188" i="22"/>
  <c r="C1188" i="22"/>
  <c r="K1188" i="22" s="1"/>
  <c r="E1188" i="22"/>
  <c r="F1188" i="22"/>
  <c r="O1188" i="22" s="1"/>
  <c r="G1188" i="22"/>
  <c r="I1188" i="22"/>
  <c r="B1189" i="22"/>
  <c r="D1133" i="22"/>
  <c r="J1133" i="22"/>
  <c r="P1133" i="22"/>
  <c r="Q1133" i="22"/>
  <c r="R1133" i="22"/>
  <c r="L1134" i="22"/>
  <c r="C1134" i="22"/>
  <c r="K1134" i="22" s="1"/>
  <c r="E1134" i="22"/>
  <c r="F1134" i="22"/>
  <c r="O1134" i="22" s="1"/>
  <c r="G1134" i="22"/>
  <c r="I1134" i="22"/>
  <c r="B1135" i="22"/>
  <c r="E121" i="7"/>
  <c r="E59" i="7"/>
  <c r="U1078" i="22"/>
  <c r="AP22" i="22"/>
  <c r="BB22" i="22"/>
  <c r="M1079" i="22"/>
  <c r="D1079" i="22"/>
  <c r="J1079" i="22"/>
  <c r="N1079" i="22" s="1"/>
  <c r="F90" i="7"/>
  <c r="BO22" i="22"/>
  <c r="P1079" i="22"/>
  <c r="Q1079" i="22"/>
  <c r="R1079" i="22"/>
  <c r="L1080" i="22"/>
  <c r="C1080" i="22"/>
  <c r="E1080" i="22"/>
  <c r="G1080" i="22"/>
  <c r="I1080" i="22"/>
  <c r="B1081" i="22"/>
  <c r="E120" i="7"/>
  <c r="E58" i="7"/>
  <c r="U1024" i="22"/>
  <c r="AP21" i="22"/>
  <c r="BB21" i="22"/>
  <c r="M1025" i="22"/>
  <c r="D1025" i="22"/>
  <c r="J1025" i="22"/>
  <c r="N1025" i="22" s="1"/>
  <c r="F89" i="7"/>
  <c r="BO21" i="22"/>
  <c r="P1025" i="22"/>
  <c r="Q1025" i="22"/>
  <c r="R1025" i="22"/>
  <c r="L1026" i="22"/>
  <c r="C1026" i="22"/>
  <c r="E1026" i="22"/>
  <c r="G1026" i="22"/>
  <c r="I1026" i="22"/>
  <c r="B1027" i="22"/>
  <c r="E119" i="7"/>
  <c r="E57" i="7"/>
  <c r="U970" i="22"/>
  <c r="AP20" i="22"/>
  <c r="BB20" i="22"/>
  <c r="M971" i="22"/>
  <c r="D971" i="22"/>
  <c r="J971" i="22"/>
  <c r="N971" i="22" s="1"/>
  <c r="F88" i="7"/>
  <c r="BO20" i="22"/>
  <c r="P971" i="22"/>
  <c r="Q971" i="22"/>
  <c r="R971" i="22"/>
  <c r="L972" i="22"/>
  <c r="C972" i="22"/>
  <c r="K972" i="22" s="1"/>
  <c r="E972" i="22"/>
  <c r="F972" i="22"/>
  <c r="O972" i="22" s="1"/>
  <c r="G972" i="22"/>
  <c r="I972" i="22"/>
  <c r="B973" i="22"/>
  <c r="E118" i="7"/>
  <c r="E56" i="7"/>
  <c r="U916" i="22"/>
  <c r="AP19" i="22"/>
  <c r="BB19" i="22"/>
  <c r="M917" i="22"/>
  <c r="D917" i="22"/>
  <c r="J917" i="22"/>
  <c r="N917" i="22" s="1"/>
  <c r="F87" i="7"/>
  <c r="BO19" i="22"/>
  <c r="P917" i="22"/>
  <c r="Q917" i="22"/>
  <c r="R917" i="22"/>
  <c r="L918" i="22"/>
  <c r="C918" i="22"/>
  <c r="K918" i="22" s="1"/>
  <c r="E918" i="22"/>
  <c r="F918" i="22"/>
  <c r="O918" i="22" s="1"/>
  <c r="G918" i="22"/>
  <c r="I918" i="22"/>
  <c r="B919" i="22"/>
  <c r="E117" i="7"/>
  <c r="E55" i="7"/>
  <c r="U862" i="22"/>
  <c r="AP18" i="22"/>
  <c r="BB18" i="22"/>
  <c r="D863" i="22"/>
  <c r="J863" i="22"/>
  <c r="P863" i="22"/>
  <c r="Q863" i="22"/>
  <c r="R863" i="22"/>
  <c r="L864" i="22"/>
  <c r="C864" i="22"/>
  <c r="K864" i="22" s="1"/>
  <c r="E864" i="22"/>
  <c r="F864" i="22"/>
  <c r="O864" i="22" s="1"/>
  <c r="G864" i="22"/>
  <c r="I864" i="22"/>
  <c r="B865" i="22"/>
  <c r="M809" i="22"/>
  <c r="D809" i="22"/>
  <c r="J809" i="22"/>
  <c r="N809" i="22" s="1"/>
  <c r="F85" i="7"/>
  <c r="BO17" i="22"/>
  <c r="P809" i="22"/>
  <c r="Q809" i="22"/>
  <c r="R809" i="22"/>
  <c r="L810" i="22"/>
  <c r="C810" i="22"/>
  <c r="K810" i="22" s="1"/>
  <c r="E810" i="22"/>
  <c r="F810" i="22"/>
  <c r="O810" i="22" s="1"/>
  <c r="G810" i="22"/>
  <c r="I810" i="22"/>
  <c r="B811" i="22"/>
  <c r="E115" i="7"/>
  <c r="E53" i="7"/>
  <c r="U754" i="22"/>
  <c r="AP16" i="22"/>
  <c r="BB16" i="22"/>
  <c r="M755" i="22"/>
  <c r="D755" i="22"/>
  <c r="J755" i="22"/>
  <c r="N755" i="22" s="1"/>
  <c r="F84" i="7"/>
  <c r="BO16" i="22"/>
  <c r="P755" i="22"/>
  <c r="Q755" i="22"/>
  <c r="R755" i="22"/>
  <c r="L756" i="22"/>
  <c r="C756" i="22"/>
  <c r="E756" i="22"/>
  <c r="G756" i="22"/>
  <c r="I756" i="22"/>
  <c r="B757" i="22"/>
  <c r="E114" i="7"/>
  <c r="E52" i="7"/>
  <c r="U700" i="22"/>
  <c r="AP15" i="22"/>
  <c r="BB15" i="22"/>
  <c r="M701" i="22"/>
  <c r="D701" i="22"/>
  <c r="J701" i="22"/>
  <c r="N701" i="22" s="1"/>
  <c r="F83" i="7"/>
  <c r="BO15" i="22"/>
  <c r="P701" i="22"/>
  <c r="Q701" i="22"/>
  <c r="R701" i="22"/>
  <c r="L702" i="22"/>
  <c r="C702" i="22"/>
  <c r="K702" i="22" s="1"/>
  <c r="E702" i="22"/>
  <c r="F702" i="22"/>
  <c r="O702" i="22" s="1"/>
  <c r="G702" i="22"/>
  <c r="I702" i="22"/>
  <c r="B703" i="22"/>
  <c r="E113" i="7"/>
  <c r="E51" i="7"/>
  <c r="U646" i="22"/>
  <c r="AP14" i="22"/>
  <c r="BB14" i="22"/>
  <c r="M647" i="22"/>
  <c r="D647" i="22"/>
  <c r="J647" i="22"/>
  <c r="N647" i="22" s="1"/>
  <c r="F82" i="7"/>
  <c r="BO14" i="22"/>
  <c r="P647" i="22"/>
  <c r="Q647" i="22"/>
  <c r="R647" i="22"/>
  <c r="L648" i="22"/>
  <c r="C648" i="22"/>
  <c r="K648" i="22" s="1"/>
  <c r="E648" i="22"/>
  <c r="F648" i="22"/>
  <c r="O648" i="22" s="1"/>
  <c r="G648" i="22"/>
  <c r="I648" i="22"/>
  <c r="B649" i="22"/>
  <c r="E50" i="7"/>
  <c r="E112" i="7"/>
  <c r="U592" i="22"/>
  <c r="AP13" i="22"/>
  <c r="BB13" i="22"/>
  <c r="M593" i="22"/>
  <c r="D593" i="22"/>
  <c r="J593" i="22"/>
  <c r="N593" i="22" s="1"/>
  <c r="F81" i="7"/>
  <c r="BO13" i="22"/>
  <c r="P593" i="22"/>
  <c r="Q593" i="22"/>
  <c r="R593" i="22"/>
  <c r="L594" i="22"/>
  <c r="C594" i="22"/>
  <c r="K594" i="22" s="1"/>
  <c r="E594" i="22"/>
  <c r="F594" i="22"/>
  <c r="O594" i="22" s="1"/>
  <c r="G594" i="22"/>
  <c r="I594" i="22"/>
  <c r="B595" i="22"/>
  <c r="M539" i="22"/>
  <c r="D539" i="22"/>
  <c r="J539" i="22"/>
  <c r="N539" i="22" s="1"/>
  <c r="F80" i="7"/>
  <c r="BO12" i="22"/>
  <c r="P539" i="22"/>
  <c r="Q539" i="22"/>
  <c r="R539" i="22"/>
  <c r="L540" i="22"/>
  <c r="C540" i="22"/>
  <c r="E540" i="22"/>
  <c r="G540" i="22"/>
  <c r="I540" i="22"/>
  <c r="B541" i="22"/>
  <c r="D485" i="22"/>
  <c r="J485" i="22"/>
  <c r="P485" i="22"/>
  <c r="Q485" i="22"/>
  <c r="R485" i="22"/>
  <c r="L486" i="22"/>
  <c r="C486" i="22"/>
  <c r="K486" i="22" s="1"/>
  <c r="E486" i="22"/>
  <c r="F486" i="22"/>
  <c r="O486" i="22" s="1"/>
  <c r="G486" i="22"/>
  <c r="I486" i="22"/>
  <c r="B487" i="22"/>
  <c r="E47" i="7"/>
  <c r="E109" i="7"/>
  <c r="U430" i="22"/>
  <c r="AP10" i="22"/>
  <c r="BB10" i="22"/>
  <c r="M431" i="22"/>
  <c r="J431" i="22"/>
  <c r="N431" i="22" s="1"/>
  <c r="D431" i="22"/>
  <c r="F78" i="7"/>
  <c r="BO10" i="22"/>
  <c r="P431" i="22"/>
  <c r="Q431" i="22"/>
  <c r="R431" i="22"/>
  <c r="L432" i="22"/>
  <c r="E432" i="22"/>
  <c r="G432" i="22"/>
  <c r="C432" i="22"/>
  <c r="I432" i="22"/>
  <c r="B433" i="22"/>
  <c r="E108" i="7"/>
  <c r="E46" i="7"/>
  <c r="U376" i="22"/>
  <c r="AP9" i="22"/>
  <c r="BB9" i="22"/>
  <c r="M377" i="22"/>
  <c r="D377" i="22"/>
  <c r="J377" i="22"/>
  <c r="N377" i="22" s="1"/>
  <c r="F77" i="7"/>
  <c r="BO9" i="22"/>
  <c r="P377" i="22"/>
  <c r="Q377" i="22"/>
  <c r="R377" i="22"/>
  <c r="L378" i="22"/>
  <c r="C378" i="22"/>
  <c r="K378" i="22" s="1"/>
  <c r="E378" i="22"/>
  <c r="F378" i="22"/>
  <c r="O378" i="22" s="1"/>
  <c r="G378" i="22"/>
  <c r="I378" i="22"/>
  <c r="B379" i="22"/>
  <c r="E107" i="7"/>
  <c r="E45" i="7"/>
  <c r="U322" i="22"/>
  <c r="AP8" i="22"/>
  <c r="BB8" i="22"/>
  <c r="M323" i="22"/>
  <c r="D323" i="22"/>
  <c r="J323" i="22"/>
  <c r="N323" i="22" s="1"/>
  <c r="F76" i="7"/>
  <c r="BO8" i="22"/>
  <c r="P323" i="22"/>
  <c r="Q323" i="22"/>
  <c r="R323" i="22"/>
  <c r="L324" i="22"/>
  <c r="C324" i="22"/>
  <c r="K324" i="22" s="1"/>
  <c r="E324" i="22"/>
  <c r="F324" i="22"/>
  <c r="O324" i="22" s="1"/>
  <c r="G324" i="22"/>
  <c r="I324" i="22"/>
  <c r="B325" i="22"/>
  <c r="E106" i="7"/>
  <c r="E44" i="7"/>
  <c r="U268" i="22"/>
  <c r="AP7" i="22"/>
  <c r="BB7" i="22"/>
  <c r="M269" i="22"/>
  <c r="D269" i="22"/>
  <c r="J269" i="22"/>
  <c r="N269" i="22" s="1"/>
  <c r="P269" i="22"/>
  <c r="Q269" i="22"/>
  <c r="R269" i="22"/>
  <c r="L270" i="22"/>
  <c r="C270" i="22"/>
  <c r="K270" i="22" s="1"/>
  <c r="E270" i="22"/>
  <c r="F270" i="22"/>
  <c r="O270" i="22" s="1"/>
  <c r="G270" i="22"/>
  <c r="I270" i="22"/>
  <c r="B271" i="22"/>
  <c r="E43" i="7"/>
  <c r="E105" i="7"/>
  <c r="U214" i="22"/>
  <c r="AP6" i="22"/>
  <c r="BB6" i="22"/>
  <c r="M215" i="22"/>
  <c r="D215" i="22"/>
  <c r="J215" i="22"/>
  <c r="N215" i="22" s="1"/>
  <c r="F74" i="7"/>
  <c r="BO6" i="22"/>
  <c r="P215" i="22"/>
  <c r="Q215" i="22"/>
  <c r="R215" i="22"/>
  <c r="L216" i="22"/>
  <c r="C216" i="22"/>
  <c r="K216" i="22" s="1"/>
  <c r="E216" i="22"/>
  <c r="F216" i="22"/>
  <c r="O216" i="22" s="1"/>
  <c r="G216" i="22"/>
  <c r="I216" i="22"/>
  <c r="B217" i="22"/>
  <c r="E104" i="7"/>
  <c r="E42" i="7"/>
  <c r="U160" i="22"/>
  <c r="AP5" i="22"/>
  <c r="BB5" i="22"/>
  <c r="L162" i="22"/>
  <c r="C162" i="22"/>
  <c r="K162" i="22" s="1"/>
  <c r="E162" i="22"/>
  <c r="F162" i="22"/>
  <c r="O162" i="22" s="1"/>
  <c r="G162" i="22"/>
  <c r="I162" i="22"/>
  <c r="B163" i="22"/>
  <c r="D161" i="22"/>
  <c r="J161" i="22"/>
  <c r="P161" i="22"/>
  <c r="Q161" i="22"/>
  <c r="R161" i="22"/>
  <c r="M107" i="22"/>
  <c r="D107" i="22"/>
  <c r="J107" i="22"/>
  <c r="N107" i="22" s="1"/>
  <c r="F72" i="7"/>
  <c r="BO4" i="22"/>
  <c r="P107" i="22"/>
  <c r="Q107" i="22"/>
  <c r="R107" i="22"/>
  <c r="L108" i="22"/>
  <c r="C108" i="22"/>
  <c r="E108" i="22"/>
  <c r="G108" i="22"/>
  <c r="B109" i="22"/>
  <c r="I108" i="22"/>
  <c r="U44" i="17"/>
  <c r="M96" i="12"/>
  <c r="Q96" i="12" s="1"/>
  <c r="O96" i="12"/>
  <c r="M45" i="17"/>
  <c r="I46" i="17"/>
  <c r="B47" i="17"/>
  <c r="C46" i="17"/>
  <c r="E46" i="17"/>
  <c r="G46" i="17"/>
  <c r="AY46" i="17" s="1"/>
  <c r="L46" i="17"/>
  <c r="B46" i="18"/>
  <c r="J45" i="17"/>
  <c r="N45" i="17" s="1"/>
  <c r="D45" i="17"/>
  <c r="N97" i="12"/>
  <c r="E97" i="12"/>
  <c r="O45" i="17"/>
  <c r="AW45" i="17"/>
  <c r="AV45" i="17"/>
  <c r="AU45" i="17"/>
  <c r="AT45" i="17"/>
  <c r="AS45" i="17"/>
  <c r="AR45" i="17"/>
  <c r="AQ45" i="17"/>
  <c r="AP45" i="17"/>
  <c r="AO45" i="17"/>
  <c r="AN45" i="17"/>
  <c r="AM45" i="17"/>
  <c r="AL45" i="17"/>
  <c r="AK45" i="17"/>
  <c r="AJ45" i="17"/>
  <c r="AI45" i="17"/>
  <c r="AH45" i="17"/>
  <c r="AG45" i="17"/>
  <c r="AF45" i="17"/>
  <c r="AE45" i="17"/>
  <c r="AD45" i="17"/>
  <c r="AC45" i="17"/>
  <c r="AB45" i="17"/>
  <c r="AA45" i="17"/>
  <c r="Z45" i="17"/>
  <c r="Y45" i="17"/>
  <c r="X45" i="17"/>
  <c r="W45" i="17"/>
  <c r="P45" i="17"/>
  <c r="F45" i="18" s="1"/>
  <c r="Q45" i="17"/>
  <c r="G45" i="18" s="1"/>
  <c r="R45" i="17"/>
  <c r="H45" i="18" s="1"/>
  <c r="V45" i="17"/>
  <c r="F44" i="18"/>
  <c r="G44" i="18"/>
  <c r="H44" i="18"/>
  <c r="C95" i="12"/>
  <c r="G94" i="12"/>
  <c r="BA16" i="17"/>
  <c r="B111" i="12"/>
  <c r="I111" i="12" s="1"/>
  <c r="AZ15" i="17"/>
  <c r="AY17" i="17"/>
  <c r="AY18" i="17"/>
  <c r="AY19" i="17"/>
  <c r="AY20" i="17"/>
  <c r="AY21" i="17"/>
  <c r="AY22" i="17"/>
  <c r="AY23" i="17"/>
  <c r="AY24" i="17"/>
  <c r="AY25" i="17"/>
  <c r="AY26" i="17"/>
  <c r="AY27" i="17"/>
  <c r="AY28" i="17"/>
  <c r="AY29" i="17"/>
  <c r="AY30" i="17"/>
  <c r="AY31" i="17"/>
  <c r="AY35" i="17"/>
  <c r="AY36" i="17"/>
  <c r="AY43" i="17"/>
  <c r="AY44" i="17"/>
  <c r="AY45" i="17"/>
  <c r="AY32" i="17"/>
  <c r="AY33" i="17"/>
  <c r="AY34" i="17"/>
  <c r="AY37" i="17"/>
  <c r="AY38" i="17"/>
  <c r="AY39" i="17"/>
  <c r="AY40" i="17"/>
  <c r="AY41" i="17"/>
  <c r="AY42" i="17"/>
  <c r="AD1116" i="23"/>
  <c r="AD724" i="23"/>
  <c r="AG724" i="23"/>
  <c r="U3615" i="22"/>
  <c r="AO69" i="22"/>
  <c r="BA69" i="22"/>
  <c r="U3291" i="22"/>
  <c r="AO63" i="22"/>
  <c r="BA63" i="22"/>
  <c r="U3237" i="22"/>
  <c r="AO62" i="22"/>
  <c r="BA62" i="22"/>
  <c r="U3075" i="22"/>
  <c r="AO59" i="22"/>
  <c r="BA59" i="22"/>
  <c r="AO56" i="22"/>
  <c r="BA56" i="22"/>
  <c r="U2913" i="22"/>
  <c r="U2859" i="22"/>
  <c r="AO55" i="22"/>
  <c r="BA55" i="22"/>
  <c r="U2589" i="22"/>
  <c r="AO50" i="22"/>
  <c r="BA50" i="22"/>
  <c r="U2319" i="22"/>
  <c r="AO45" i="22"/>
  <c r="BA45" i="22"/>
  <c r="U1941" i="22"/>
  <c r="AO38" i="22"/>
  <c r="BA38" i="22"/>
  <c r="U1671" i="22"/>
  <c r="AO33" i="22"/>
  <c r="BA33" i="22"/>
  <c r="U1617" i="22"/>
  <c r="AO32" i="22"/>
  <c r="BA32" i="22"/>
  <c r="U1401" i="22"/>
  <c r="AO28" i="22"/>
  <c r="BA28" i="22"/>
  <c r="U1347" i="22"/>
  <c r="AO27" i="22"/>
  <c r="BA27" i="22"/>
  <c r="D115" i="7"/>
  <c r="D53" i="7"/>
  <c r="U753" i="22"/>
  <c r="AO16" i="22"/>
  <c r="BA16" i="22"/>
  <c r="D109" i="7"/>
  <c r="D47" i="7"/>
  <c r="U429" i="22"/>
  <c r="AO10" i="22"/>
  <c r="BA10" i="22"/>
  <c r="D108" i="7"/>
  <c r="D46" i="7"/>
  <c r="U375" i="22"/>
  <c r="AO9" i="22"/>
  <c r="BA9" i="22"/>
  <c r="D103" i="7"/>
  <c r="D41" i="7"/>
  <c r="AO4" i="22"/>
  <c r="BA4" i="22"/>
  <c r="U105" i="22"/>
  <c r="M1565" i="23"/>
  <c r="N1565" i="23"/>
  <c r="AB1565" i="23"/>
  <c r="AC1565" i="23" s="1"/>
  <c r="O1565" i="23"/>
  <c r="M1509" i="23"/>
  <c r="N1509" i="23"/>
  <c r="AB1509" i="23"/>
  <c r="AC1509" i="23" s="1"/>
  <c r="O1509" i="23"/>
  <c r="M1453" i="23"/>
  <c r="N1453" i="23"/>
  <c r="AB1453" i="23"/>
  <c r="AC1453" i="23" s="1"/>
  <c r="O1453" i="23"/>
  <c r="AD1340" i="23"/>
  <c r="M1061" i="23"/>
  <c r="N1061" i="23"/>
  <c r="AB1061" i="23"/>
  <c r="AC1061" i="23" s="1"/>
  <c r="O1061" i="23"/>
  <c r="Y1061" i="23" s="1"/>
  <c r="M1005" i="23"/>
  <c r="N1005" i="23"/>
  <c r="AB1005" i="23"/>
  <c r="AC1005" i="23" s="1"/>
  <c r="O1005" i="23"/>
  <c r="Y1005" i="23" s="1"/>
  <c r="M949" i="23"/>
  <c r="N949" i="23"/>
  <c r="AB949" i="23"/>
  <c r="AC949" i="23" s="1"/>
  <c r="O949" i="23"/>
  <c r="Y949" i="23" s="1"/>
  <c r="N725" i="23"/>
  <c r="M725" i="23"/>
  <c r="AB725" i="23"/>
  <c r="AC725" i="23" s="1"/>
  <c r="O725" i="23"/>
  <c r="Y725" i="23" s="1"/>
  <c r="M613" i="23"/>
  <c r="N613" i="23"/>
  <c r="AB613" i="23"/>
  <c r="AC613" i="23" s="1"/>
  <c r="O613" i="23"/>
  <c r="Y613" i="23" s="1"/>
  <c r="M557" i="23"/>
  <c r="N557" i="23"/>
  <c r="AB557" i="23"/>
  <c r="AC557" i="23" s="1"/>
  <c r="O557" i="23"/>
  <c r="Y557" i="23" s="1"/>
  <c r="M4702" i="22"/>
  <c r="N4702" i="22"/>
  <c r="BN72" i="22"/>
  <c r="M3778" i="22"/>
  <c r="N3778" i="22"/>
  <c r="BN66" i="22"/>
  <c r="M3454" i="22"/>
  <c r="N3454" i="22"/>
  <c r="N3076" i="22"/>
  <c r="M3076" i="22"/>
  <c r="BN59" i="22"/>
  <c r="M3022" i="22"/>
  <c r="N3022" i="22"/>
  <c r="BN58" i="22"/>
  <c r="BN56" i="22"/>
  <c r="M2914" i="22"/>
  <c r="N2914" i="22"/>
  <c r="BN54" i="22"/>
  <c r="M2806" i="22"/>
  <c r="N2806" i="22"/>
  <c r="M2752" i="22"/>
  <c r="N2752" i="22"/>
  <c r="BN53" i="22"/>
  <c r="BN52" i="22"/>
  <c r="M2698" i="22"/>
  <c r="N2698" i="22"/>
  <c r="M2428" i="22"/>
  <c r="N2428" i="22"/>
  <c r="BN47" i="22"/>
  <c r="M2374" i="22"/>
  <c r="N2374" i="22"/>
  <c r="BN46" i="22"/>
  <c r="M2320" i="22"/>
  <c r="N2320" i="22"/>
  <c r="M1942" i="22"/>
  <c r="N1942" i="22"/>
  <c r="M1888" i="22"/>
  <c r="N1888" i="22"/>
  <c r="BN37" i="22"/>
  <c r="M1618" i="22"/>
  <c r="N1618" i="22"/>
  <c r="BN31" i="22"/>
  <c r="M1564" i="22"/>
  <c r="N1564" i="22"/>
  <c r="M1510" i="22"/>
  <c r="N1510" i="22"/>
  <c r="BN30" i="22"/>
  <c r="M1348" i="22"/>
  <c r="N1348" i="22"/>
  <c r="BN23" i="22"/>
  <c r="E91" i="7"/>
  <c r="M1132" i="22"/>
  <c r="N1132" i="22"/>
  <c r="BN17" i="22"/>
  <c r="E85" i="7"/>
  <c r="M808" i="22"/>
  <c r="N808" i="22"/>
  <c r="BN12" i="22"/>
  <c r="E80" i="7"/>
  <c r="M538" i="22"/>
  <c r="N538" i="22"/>
  <c r="BN11" i="22"/>
  <c r="E79" i="7"/>
  <c r="M484" i="22"/>
  <c r="N484" i="22"/>
  <c r="M106" i="22"/>
  <c r="N106" i="22" s="1"/>
  <c r="BN4" i="22"/>
  <c r="E72" i="7"/>
  <c r="F1510" i="23"/>
  <c r="K1510" i="23"/>
  <c r="X1453" i="23"/>
  <c r="W1453" i="23"/>
  <c r="F1454" i="23"/>
  <c r="K1454" i="23"/>
  <c r="N1397" i="23"/>
  <c r="X1397" i="23"/>
  <c r="W1397" i="23"/>
  <c r="X1341" i="23"/>
  <c r="W1341" i="23"/>
  <c r="N1285" i="23"/>
  <c r="X1285" i="23"/>
  <c r="W1285" i="23"/>
  <c r="AD1117" i="23"/>
  <c r="W1061" i="23"/>
  <c r="X1061" i="23"/>
  <c r="W1005" i="23"/>
  <c r="X1005" i="23"/>
  <c r="K1006" i="23"/>
  <c r="F1006" i="23"/>
  <c r="X949" i="23"/>
  <c r="W949" i="23"/>
  <c r="X893" i="23"/>
  <c r="W893" i="23"/>
  <c r="N893" i="23"/>
  <c r="K726" i="23"/>
  <c r="F726" i="23"/>
  <c r="X725" i="23"/>
  <c r="W725" i="23"/>
  <c r="AD669" i="23"/>
  <c r="W613" i="23"/>
  <c r="X613" i="23"/>
  <c r="W557" i="23"/>
  <c r="X557" i="23"/>
  <c r="AD445" i="23"/>
  <c r="K446" i="23"/>
  <c r="F446" i="23"/>
  <c r="N333" i="23"/>
  <c r="X333" i="23"/>
  <c r="W333" i="23"/>
  <c r="N277" i="23"/>
  <c r="W277" i="23"/>
  <c r="X277" i="23"/>
  <c r="F278" i="23"/>
  <c r="K278" i="23"/>
  <c r="P96" i="12"/>
  <c r="F4703" i="22"/>
  <c r="K4703" i="22"/>
  <c r="F4079" i="22"/>
  <c r="O4079" i="22" s="1"/>
  <c r="K4079" i="22"/>
  <c r="K3779" i="22"/>
  <c r="F3779" i="22"/>
  <c r="O3779" i="22" s="1"/>
  <c r="BO72" i="22" s="1"/>
  <c r="BO69" i="22"/>
  <c r="BO68" i="22"/>
  <c r="BO67" i="22"/>
  <c r="F3401" i="22"/>
  <c r="O3401" i="22" s="1"/>
  <c r="K3401" i="22"/>
  <c r="K3347" i="22"/>
  <c r="F3347" i="22"/>
  <c r="O3347" i="22" s="1"/>
  <c r="BO63" i="22"/>
  <c r="BO62" i="22"/>
  <c r="BO61" i="22"/>
  <c r="K3131" i="22"/>
  <c r="F3131" i="22"/>
  <c r="O3131" i="22" s="1"/>
  <c r="K3077" i="22"/>
  <c r="F3077" i="22"/>
  <c r="O3077" i="22" s="1"/>
  <c r="F3023" i="22"/>
  <c r="O3023" i="22" s="1"/>
  <c r="K3023" i="22"/>
  <c r="F2969" i="22"/>
  <c r="O2969" i="22" s="1"/>
  <c r="K2969" i="22"/>
  <c r="BO55" i="22"/>
  <c r="K2699" i="22"/>
  <c r="F2699" i="22"/>
  <c r="O2699" i="22" s="1"/>
  <c r="F2645" i="22"/>
  <c r="O2645" i="22" s="1"/>
  <c r="K2645" i="22"/>
  <c r="K2591" i="22"/>
  <c r="F2591" i="22"/>
  <c r="O2591" i="22" s="1"/>
  <c r="BO49" i="22"/>
  <c r="BO48" i="22"/>
  <c r="BO43" i="22"/>
  <c r="BO41" i="22"/>
  <c r="BO40" i="22"/>
  <c r="F1997" i="22"/>
  <c r="O1997" i="22" s="1"/>
  <c r="K1997" i="22"/>
  <c r="F1943" i="22"/>
  <c r="O1943" i="22" s="1"/>
  <c r="K1943" i="22"/>
  <c r="K1889" i="22"/>
  <c r="F1889" i="22"/>
  <c r="O1889" i="22" s="1"/>
  <c r="BO35" i="22"/>
  <c r="BO34" i="22"/>
  <c r="BO33" i="22"/>
  <c r="F1565" i="22"/>
  <c r="O1565" i="22" s="1"/>
  <c r="K1565" i="22"/>
  <c r="K1511" i="22"/>
  <c r="F1511" i="22"/>
  <c r="O1511" i="22" s="1"/>
  <c r="BO28" i="22"/>
  <c r="BO26" i="22"/>
  <c r="BO25" i="22"/>
  <c r="K1187" i="22"/>
  <c r="F1187" i="22"/>
  <c r="O1187" i="22" s="1"/>
  <c r="F1133" i="22"/>
  <c r="O1133" i="22" s="1"/>
  <c r="K1133" i="22"/>
  <c r="F863" i="22"/>
  <c r="O863" i="22" s="1"/>
  <c r="K863" i="22"/>
  <c r="F485" i="22"/>
  <c r="O485" i="22" s="1"/>
  <c r="K485" i="22"/>
  <c r="BO7" i="22"/>
  <c r="F161" i="22"/>
  <c r="O161" i="22" s="1"/>
  <c r="K161" i="22"/>
  <c r="BN45" i="22"/>
  <c r="BN32" i="22"/>
  <c r="N1349" i="22" l="1"/>
  <c r="K1623" i="23"/>
  <c r="F1623" i="23"/>
  <c r="K559" i="23"/>
  <c r="F559" i="23"/>
  <c r="K503" i="23"/>
  <c r="F503" i="23"/>
  <c r="K447" i="23"/>
  <c r="F447" i="23"/>
  <c r="K391" i="23"/>
  <c r="F391" i="23"/>
  <c r="K3510" i="22"/>
  <c r="F3510" i="22"/>
  <c r="O3510" i="22" s="1"/>
  <c r="BP67" i="22" s="1"/>
  <c r="K3186" i="22"/>
  <c r="F3186" i="22"/>
  <c r="O3186" i="22" s="1"/>
  <c r="BP61" i="22" s="1"/>
  <c r="K3132" i="22"/>
  <c r="F3132" i="22"/>
  <c r="O3132" i="22" s="1"/>
  <c r="BP60" i="22" s="1"/>
  <c r="K2970" i="22"/>
  <c r="F2970" i="22"/>
  <c r="O2970" i="22" s="1"/>
  <c r="BP57" i="22" s="1"/>
  <c r="K2916" i="22"/>
  <c r="F2916" i="22"/>
  <c r="O2916" i="22" s="1"/>
  <c r="BP56" i="22" s="1"/>
  <c r="K2862" i="22"/>
  <c r="F2862" i="22"/>
  <c r="O2862" i="22" s="1"/>
  <c r="BP55" i="22" s="1"/>
  <c r="K2592" i="22"/>
  <c r="F2592" i="22"/>
  <c r="O2592" i="22" s="1"/>
  <c r="BP50" i="22" s="1"/>
  <c r="K2538" i="22"/>
  <c r="F2538" i="22"/>
  <c r="O2538" i="22" s="1"/>
  <c r="BP49" i="22" s="1"/>
  <c r="K2214" i="22"/>
  <c r="F2214" i="22"/>
  <c r="O2214" i="22" s="1"/>
  <c r="BP43" i="22" s="1"/>
  <c r="K1944" i="22"/>
  <c r="F1944" i="22"/>
  <c r="O1944" i="22" s="1"/>
  <c r="BP38" i="22" s="1"/>
  <c r="K1620" i="22"/>
  <c r="F1620" i="22"/>
  <c r="O1620" i="22" s="1"/>
  <c r="BP32" i="22" s="1"/>
  <c r="K1350" i="22"/>
  <c r="F1350" i="22"/>
  <c r="O1350" i="22" s="1"/>
  <c r="K1296" i="22"/>
  <c r="F1296" i="22"/>
  <c r="O1296" i="22" s="1"/>
  <c r="K1026" i="22"/>
  <c r="F1026" i="22"/>
  <c r="O1026" i="22" s="1"/>
  <c r="K540" i="22"/>
  <c r="F540" i="22"/>
  <c r="O540" i="22" s="1"/>
  <c r="C105" i="8"/>
  <c r="C107" i="8"/>
  <c r="AI1620" i="23"/>
  <c r="D104" i="8"/>
  <c r="C132" i="8"/>
  <c r="AH1621" i="23"/>
  <c r="E103" i="8"/>
  <c r="B133" i="8"/>
  <c r="D133" i="8"/>
  <c r="Y1622" i="23"/>
  <c r="F106" i="8"/>
  <c r="M1623" i="23"/>
  <c r="J1623" i="23"/>
  <c r="N1623" i="23" s="1"/>
  <c r="D1623" i="23"/>
  <c r="O1623" i="23"/>
  <c r="AB1623" i="23"/>
  <c r="AC1623" i="23"/>
  <c r="P1623" i="23"/>
  <c r="Q1623" i="23"/>
  <c r="R1623" i="23"/>
  <c r="AF1623" i="23"/>
  <c r="I1624" i="23"/>
  <c r="L1624" i="23"/>
  <c r="C1624" i="23"/>
  <c r="K1624" i="23" s="1"/>
  <c r="E1624" i="23"/>
  <c r="F1624" i="23"/>
  <c r="G1624" i="23"/>
  <c r="B1625" i="23"/>
  <c r="M1567" i="23"/>
  <c r="J1567" i="23"/>
  <c r="N1567" i="23" s="1"/>
  <c r="D1567" i="23"/>
  <c r="O1567" i="23"/>
  <c r="AB1567" i="23"/>
  <c r="AC1567" i="23"/>
  <c r="P1567" i="23"/>
  <c r="Q1567" i="23"/>
  <c r="R1567" i="23"/>
  <c r="AF1567" i="23"/>
  <c r="L1568" i="23"/>
  <c r="I1568" i="23"/>
  <c r="C1568" i="23"/>
  <c r="K1568" i="23" s="1"/>
  <c r="E1568" i="23"/>
  <c r="F1568" i="23"/>
  <c r="G1568" i="23"/>
  <c r="B1569" i="23"/>
  <c r="M1511" i="23"/>
  <c r="J1511" i="23"/>
  <c r="N1511" i="23" s="1"/>
  <c r="D1511" i="23"/>
  <c r="O1511" i="23"/>
  <c r="AB1511" i="23"/>
  <c r="AC1511" i="23"/>
  <c r="P1511" i="23"/>
  <c r="Q1511" i="23"/>
  <c r="R1511" i="23"/>
  <c r="AF1511" i="23"/>
  <c r="L1512" i="23"/>
  <c r="I1512" i="23"/>
  <c r="C1512" i="23"/>
  <c r="E1512" i="23"/>
  <c r="G1512" i="23"/>
  <c r="B1513" i="23"/>
  <c r="M1455" i="23"/>
  <c r="J1455" i="23"/>
  <c r="N1455" i="23" s="1"/>
  <c r="D1455" i="23"/>
  <c r="O1455" i="23"/>
  <c r="AB1455" i="23"/>
  <c r="AC1455" i="23" s="1"/>
  <c r="P1455" i="23"/>
  <c r="Q1455" i="23"/>
  <c r="R1455" i="23"/>
  <c r="AF1455" i="23"/>
  <c r="L1456" i="23"/>
  <c r="I1456" i="23"/>
  <c r="C1456" i="23"/>
  <c r="E1456" i="23"/>
  <c r="G1456" i="23"/>
  <c r="B1457" i="23"/>
  <c r="J1399" i="23"/>
  <c r="D1399" i="23"/>
  <c r="P1399" i="23"/>
  <c r="Q1399" i="23"/>
  <c r="R1399" i="23"/>
  <c r="AF1399" i="23"/>
  <c r="L1400" i="23"/>
  <c r="I1400" i="23"/>
  <c r="C1400" i="23"/>
  <c r="K1400" i="23" s="1"/>
  <c r="E1400" i="23"/>
  <c r="F1400" i="23"/>
  <c r="G1400" i="23"/>
  <c r="B1401" i="23"/>
  <c r="P1343" i="23"/>
  <c r="Q1343" i="23"/>
  <c r="R1343" i="23"/>
  <c r="AF1343" i="23"/>
  <c r="L1344" i="23"/>
  <c r="I1344" i="23"/>
  <c r="G1344" i="23"/>
  <c r="C1344" i="23"/>
  <c r="K1344" i="23" s="1"/>
  <c r="E1344" i="23"/>
  <c r="B1345" i="23"/>
  <c r="F1344" i="23"/>
  <c r="J1343" i="23"/>
  <c r="D1343" i="23"/>
  <c r="M1287" i="23"/>
  <c r="J1287" i="23"/>
  <c r="N1287" i="23" s="1"/>
  <c r="D1287" i="23"/>
  <c r="O1287" i="23"/>
  <c r="Y1287" i="23" s="1"/>
  <c r="AB1287" i="23"/>
  <c r="AC1287" i="23"/>
  <c r="P1287" i="23"/>
  <c r="Q1287" i="23"/>
  <c r="R1287" i="23"/>
  <c r="AF1287" i="23"/>
  <c r="L1288" i="23"/>
  <c r="I1288" i="23"/>
  <c r="C1288" i="23"/>
  <c r="E1288" i="23"/>
  <c r="G1288" i="23"/>
  <c r="B1289" i="23"/>
  <c r="M1231" i="23"/>
  <c r="J1231" i="23"/>
  <c r="N1231" i="23" s="1"/>
  <c r="D1231" i="23"/>
  <c r="O1231" i="23"/>
  <c r="Y1231" i="23" s="1"/>
  <c r="AB1231" i="23"/>
  <c r="AC1231" i="23"/>
  <c r="P1231" i="23"/>
  <c r="Q1231" i="23"/>
  <c r="R1231" i="23"/>
  <c r="AF1231" i="23"/>
  <c r="L1232" i="23"/>
  <c r="I1232" i="23"/>
  <c r="C1232" i="23"/>
  <c r="K1232" i="23" s="1"/>
  <c r="E1232" i="23"/>
  <c r="F1232" i="23"/>
  <c r="G1232" i="23"/>
  <c r="B1233" i="23"/>
  <c r="M1175" i="23"/>
  <c r="J1175" i="23"/>
  <c r="N1175" i="23" s="1"/>
  <c r="D1175" i="23"/>
  <c r="O1175" i="23"/>
  <c r="Y1175" i="23" s="1"/>
  <c r="AB1175" i="23"/>
  <c r="AC1175" i="23"/>
  <c r="P1175" i="23"/>
  <c r="Q1175" i="23"/>
  <c r="R1175" i="23"/>
  <c r="AF1175" i="23"/>
  <c r="L1176" i="23"/>
  <c r="I1176" i="23"/>
  <c r="C1176" i="23"/>
  <c r="K1176" i="23" s="1"/>
  <c r="E1176" i="23"/>
  <c r="F1176" i="23"/>
  <c r="G1176" i="23"/>
  <c r="B1177" i="23"/>
  <c r="J1119" i="23"/>
  <c r="D1119" i="23"/>
  <c r="P1119" i="23"/>
  <c r="Q1119" i="23"/>
  <c r="R1119" i="23"/>
  <c r="X1119" i="23"/>
  <c r="AF1119" i="23"/>
  <c r="L1120" i="23"/>
  <c r="I1120" i="23"/>
  <c r="C1120" i="23"/>
  <c r="E1120" i="23"/>
  <c r="G1120" i="23"/>
  <c r="B1121" i="23"/>
  <c r="M1063" i="23"/>
  <c r="J1063" i="23"/>
  <c r="N1063" i="23" s="1"/>
  <c r="D1063" i="23"/>
  <c r="O1063" i="23"/>
  <c r="Y1063" i="23" s="1"/>
  <c r="AB1063" i="23"/>
  <c r="AC1063" i="23"/>
  <c r="P1063" i="23"/>
  <c r="Q1063" i="23"/>
  <c r="R1063" i="23"/>
  <c r="AF1063" i="23"/>
  <c r="L1064" i="23"/>
  <c r="I1064" i="23"/>
  <c r="C1064" i="23"/>
  <c r="K1064" i="23" s="1"/>
  <c r="E1064" i="23"/>
  <c r="F1064" i="23"/>
  <c r="G1064" i="23"/>
  <c r="B1065" i="23"/>
  <c r="M1007" i="23"/>
  <c r="J1007" i="23"/>
  <c r="N1007" i="23" s="1"/>
  <c r="D1007" i="23"/>
  <c r="O1007" i="23"/>
  <c r="Y1007" i="23" s="1"/>
  <c r="AB1007" i="23"/>
  <c r="AC1007" i="23"/>
  <c r="P1007" i="23"/>
  <c r="Q1007" i="23"/>
  <c r="R1007" i="23"/>
  <c r="AF1007" i="23"/>
  <c r="L1008" i="23"/>
  <c r="I1008" i="23"/>
  <c r="C1008" i="23"/>
  <c r="E1008" i="23"/>
  <c r="G1008" i="23"/>
  <c r="B1009" i="23"/>
  <c r="J951" i="23"/>
  <c r="D951" i="23"/>
  <c r="P951" i="23"/>
  <c r="Q951" i="23"/>
  <c r="R951" i="23"/>
  <c r="AF951" i="23"/>
  <c r="L952" i="23"/>
  <c r="I952" i="23"/>
  <c r="C952" i="23"/>
  <c r="K952" i="23" s="1"/>
  <c r="E952" i="23"/>
  <c r="F952" i="23"/>
  <c r="G952" i="23"/>
  <c r="B953" i="23"/>
  <c r="M895" i="23"/>
  <c r="J895" i="23"/>
  <c r="N895" i="23" s="1"/>
  <c r="D895" i="23"/>
  <c r="O895" i="23"/>
  <c r="Y895" i="23" s="1"/>
  <c r="AB895" i="23"/>
  <c r="AC895" i="23"/>
  <c r="P895" i="23"/>
  <c r="Q895" i="23"/>
  <c r="R895" i="23"/>
  <c r="AF895" i="23"/>
  <c r="L896" i="23"/>
  <c r="I896" i="23"/>
  <c r="C896" i="23"/>
  <c r="K896" i="23" s="1"/>
  <c r="E896" i="23"/>
  <c r="F896" i="23"/>
  <c r="G896" i="23"/>
  <c r="B897" i="23"/>
  <c r="M839" i="23"/>
  <c r="J839" i="23"/>
  <c r="N839" i="23" s="1"/>
  <c r="D839" i="23"/>
  <c r="O839" i="23"/>
  <c r="Y839" i="23" s="1"/>
  <c r="AB839" i="23"/>
  <c r="AC839" i="23"/>
  <c r="P839" i="23"/>
  <c r="Q839" i="23"/>
  <c r="R839" i="23"/>
  <c r="AF839" i="23"/>
  <c r="L840" i="23"/>
  <c r="I840" i="23"/>
  <c r="C840" i="23"/>
  <c r="K840" i="23" s="1"/>
  <c r="E840" i="23"/>
  <c r="F840" i="23"/>
  <c r="G840" i="23"/>
  <c r="B841" i="23"/>
  <c r="M783" i="23"/>
  <c r="J783" i="23"/>
  <c r="N783" i="23" s="1"/>
  <c r="D783" i="23"/>
  <c r="O783" i="23"/>
  <c r="Y783" i="23" s="1"/>
  <c r="AB783" i="23"/>
  <c r="AC783" i="23"/>
  <c r="P783" i="23"/>
  <c r="Q783" i="23"/>
  <c r="R783" i="23"/>
  <c r="AF783" i="23"/>
  <c r="L784" i="23"/>
  <c r="I784" i="23"/>
  <c r="C784" i="23"/>
  <c r="K784" i="23" s="1"/>
  <c r="E784" i="23"/>
  <c r="F784" i="23"/>
  <c r="G784" i="23"/>
  <c r="B785" i="23"/>
  <c r="M727" i="23"/>
  <c r="P727" i="23"/>
  <c r="Q727" i="23"/>
  <c r="R727" i="23"/>
  <c r="AF727" i="23"/>
  <c r="J727" i="23"/>
  <c r="N727" i="23" s="1"/>
  <c r="D727" i="23"/>
  <c r="L728" i="23"/>
  <c r="I728" i="23"/>
  <c r="E728" i="23"/>
  <c r="B729" i="23"/>
  <c r="C728" i="23"/>
  <c r="G728" i="23"/>
  <c r="AB727" i="23"/>
  <c r="AC727" i="23" s="1"/>
  <c r="O727" i="23"/>
  <c r="Y727" i="23" s="1"/>
  <c r="J671" i="23"/>
  <c r="D671" i="23"/>
  <c r="P671" i="23"/>
  <c r="Q671" i="23"/>
  <c r="R671" i="23"/>
  <c r="X671" i="23"/>
  <c r="AF671" i="23"/>
  <c r="L672" i="23"/>
  <c r="I672" i="23"/>
  <c r="C672" i="23"/>
  <c r="K672" i="23" s="1"/>
  <c r="E672" i="23"/>
  <c r="F672" i="23"/>
  <c r="G672" i="23"/>
  <c r="B673" i="23"/>
  <c r="J615" i="23"/>
  <c r="D615" i="23"/>
  <c r="P615" i="23"/>
  <c r="Q615" i="23"/>
  <c r="R615" i="23"/>
  <c r="AF615" i="23"/>
  <c r="L616" i="23"/>
  <c r="I616" i="23"/>
  <c r="C616" i="23"/>
  <c r="E616" i="23"/>
  <c r="G616" i="23"/>
  <c r="B617" i="23"/>
  <c r="M559" i="23"/>
  <c r="J559" i="23"/>
  <c r="N559" i="23" s="1"/>
  <c r="D559" i="23"/>
  <c r="O559" i="23"/>
  <c r="Y559" i="23" s="1"/>
  <c r="AB559" i="23"/>
  <c r="AC559" i="23" s="1"/>
  <c r="P559" i="23"/>
  <c r="Q559" i="23"/>
  <c r="R559" i="23"/>
  <c r="AF559" i="23"/>
  <c r="L560" i="23"/>
  <c r="I560" i="23"/>
  <c r="C560" i="23"/>
  <c r="E560" i="23"/>
  <c r="G560" i="23"/>
  <c r="B561" i="23"/>
  <c r="M503" i="23"/>
  <c r="J503" i="23"/>
  <c r="N503" i="23" s="1"/>
  <c r="D503" i="23"/>
  <c r="O503" i="23"/>
  <c r="Y503" i="23" s="1"/>
  <c r="AB503" i="23"/>
  <c r="AC503" i="23" s="1"/>
  <c r="P503" i="23"/>
  <c r="Q503" i="23"/>
  <c r="R503" i="23"/>
  <c r="AF503" i="23"/>
  <c r="L504" i="23"/>
  <c r="I504" i="23"/>
  <c r="C504" i="23"/>
  <c r="K504" i="23" s="1"/>
  <c r="E504" i="23"/>
  <c r="F504" i="23"/>
  <c r="G504" i="23"/>
  <c r="B505" i="23"/>
  <c r="M447" i="23"/>
  <c r="P447" i="23"/>
  <c r="Q447" i="23"/>
  <c r="R447" i="23"/>
  <c r="AF447" i="23"/>
  <c r="L448" i="23"/>
  <c r="I448" i="23"/>
  <c r="G448" i="23"/>
  <c r="C448" i="23"/>
  <c r="E448" i="23"/>
  <c r="B449" i="23"/>
  <c r="J447" i="23"/>
  <c r="D447" i="23"/>
  <c r="O447" i="23"/>
  <c r="Y447" i="23" s="1"/>
  <c r="AB447" i="23"/>
  <c r="AC447" i="23" s="1"/>
  <c r="M391" i="23"/>
  <c r="J391" i="23"/>
  <c r="N391" i="23" s="1"/>
  <c r="D391" i="23"/>
  <c r="O391" i="23"/>
  <c r="Y391" i="23" s="1"/>
  <c r="AB391" i="23"/>
  <c r="AC391" i="23" s="1"/>
  <c r="P391" i="23"/>
  <c r="Q391" i="23"/>
  <c r="R391" i="23"/>
  <c r="AF391" i="23"/>
  <c r="L392" i="23"/>
  <c r="I392" i="23"/>
  <c r="C392" i="23"/>
  <c r="K392" i="23" s="1"/>
  <c r="E392" i="23"/>
  <c r="F392" i="23"/>
  <c r="G392" i="23"/>
  <c r="B393" i="23"/>
  <c r="J335" i="23"/>
  <c r="D335" i="23"/>
  <c r="P335" i="23"/>
  <c r="Q335" i="23"/>
  <c r="R335" i="23"/>
  <c r="AF335" i="23"/>
  <c r="L336" i="23"/>
  <c r="I336" i="23"/>
  <c r="C336" i="23"/>
  <c r="K336" i="23" s="1"/>
  <c r="E336" i="23"/>
  <c r="F336" i="23"/>
  <c r="G336" i="23"/>
  <c r="B337" i="23"/>
  <c r="M279" i="23"/>
  <c r="J279" i="23"/>
  <c r="N279" i="23" s="1"/>
  <c r="D279" i="23"/>
  <c r="O279" i="23"/>
  <c r="Y279" i="23" s="1"/>
  <c r="AB279" i="23"/>
  <c r="AC279" i="23"/>
  <c r="P279" i="23"/>
  <c r="Q279" i="23"/>
  <c r="R279" i="23"/>
  <c r="AF279" i="23"/>
  <c r="L280" i="23"/>
  <c r="I280" i="23"/>
  <c r="C280" i="23"/>
  <c r="K280" i="23" s="1"/>
  <c r="E280" i="23"/>
  <c r="F280" i="23"/>
  <c r="G280" i="23"/>
  <c r="B281" i="23"/>
  <c r="D4758" i="22"/>
  <c r="J4758" i="22"/>
  <c r="N4758" i="22" s="1"/>
  <c r="P4758" i="22"/>
  <c r="Q4758" i="22"/>
  <c r="R4758" i="22"/>
  <c r="M4758" i="22"/>
  <c r="C4759" i="22"/>
  <c r="F4759" i="22" s="1"/>
  <c r="E4759" i="22"/>
  <c r="G4759" i="22"/>
  <c r="I4759" i="22"/>
  <c r="K4759" i="22"/>
  <c r="L4759" i="22"/>
  <c r="B4760" i="22"/>
  <c r="S4703" i="22"/>
  <c r="U4703" i="22"/>
  <c r="M4704" i="22"/>
  <c r="D4704" i="22"/>
  <c r="J4704" i="22"/>
  <c r="N4704" i="22" s="1"/>
  <c r="P4704" i="22"/>
  <c r="Q4704" i="22"/>
  <c r="R4704" i="22"/>
  <c r="L4705" i="22"/>
  <c r="C4705" i="22"/>
  <c r="K4705" i="22" s="1"/>
  <c r="E4705" i="22"/>
  <c r="F4705" i="22"/>
  <c r="G4705" i="22"/>
  <c r="I4705" i="22"/>
  <c r="B4706" i="22"/>
  <c r="P4650" i="22"/>
  <c r="Q4650" i="22"/>
  <c r="R4650" i="22"/>
  <c r="C4651" i="22"/>
  <c r="E4651" i="22"/>
  <c r="G4651" i="22"/>
  <c r="B4652" i="22"/>
  <c r="M4596" i="22"/>
  <c r="J4596" i="22"/>
  <c r="N4596" i="22" s="1"/>
  <c r="D4596" i="22"/>
  <c r="P4596" i="22"/>
  <c r="Q4596" i="22"/>
  <c r="R4596" i="22"/>
  <c r="I4597" i="22"/>
  <c r="L4597" i="22"/>
  <c r="C4597" i="22"/>
  <c r="K4597" i="22" s="1"/>
  <c r="E4597" i="22"/>
  <c r="F4597" i="22"/>
  <c r="G4597" i="22"/>
  <c r="B4598" i="22"/>
  <c r="M4542" i="22"/>
  <c r="D4542" i="22"/>
  <c r="J4542" i="22"/>
  <c r="N4542" i="22" s="1"/>
  <c r="P4542" i="22"/>
  <c r="Q4542" i="22"/>
  <c r="R4542" i="22"/>
  <c r="L4543" i="22"/>
  <c r="C4543" i="22"/>
  <c r="E4543" i="22"/>
  <c r="G4543" i="22"/>
  <c r="I4543" i="22"/>
  <c r="B4544" i="22"/>
  <c r="D4242" i="22"/>
  <c r="J4242" i="22"/>
  <c r="N4242" i="22" s="1"/>
  <c r="U4242" i="22" s="1"/>
  <c r="P4242" i="22"/>
  <c r="Q4242" i="22"/>
  <c r="R4242" i="22"/>
  <c r="M4242" i="22"/>
  <c r="C4243" i="22"/>
  <c r="K4243" i="22" s="1"/>
  <c r="E4243" i="22"/>
  <c r="F4243" i="22"/>
  <c r="O4243" i="22" s="1"/>
  <c r="G4243" i="22"/>
  <c r="I4243" i="22"/>
  <c r="L4243" i="22"/>
  <c r="B4244" i="22"/>
  <c r="D4188" i="22"/>
  <c r="J4188" i="22"/>
  <c r="P4188" i="22"/>
  <c r="Q4188" i="22"/>
  <c r="R4188" i="22"/>
  <c r="L4189" i="22"/>
  <c r="C4189" i="22"/>
  <c r="K4189" i="22" s="1"/>
  <c r="E4189" i="22"/>
  <c r="F4189" i="22"/>
  <c r="O4189" i="22" s="1"/>
  <c r="G4189" i="22"/>
  <c r="I4189" i="22"/>
  <c r="B4190" i="22"/>
  <c r="D4134" i="22"/>
  <c r="J4134" i="22"/>
  <c r="P4134" i="22"/>
  <c r="Q4134" i="22"/>
  <c r="R4134" i="22"/>
  <c r="L4135" i="22"/>
  <c r="C4135" i="22"/>
  <c r="E4135" i="22"/>
  <c r="G4135" i="22"/>
  <c r="I4135" i="22"/>
  <c r="B4136" i="22"/>
  <c r="M4080" i="22"/>
  <c r="D4080" i="22"/>
  <c r="J4080" i="22"/>
  <c r="N4080" i="22" s="1"/>
  <c r="U4080" i="22" s="1"/>
  <c r="P4080" i="22"/>
  <c r="Q4080" i="22"/>
  <c r="R4080" i="22"/>
  <c r="L4081" i="22"/>
  <c r="C4081" i="22"/>
  <c r="K4081" i="22" s="1"/>
  <c r="E4081" i="22"/>
  <c r="F4081" i="22"/>
  <c r="O4081" i="22" s="1"/>
  <c r="G4081" i="22"/>
  <c r="I4081" i="22"/>
  <c r="B4082" i="22"/>
  <c r="D3780" i="22"/>
  <c r="J3780" i="22"/>
  <c r="P3780" i="22"/>
  <c r="Q3780" i="22"/>
  <c r="R3780" i="22"/>
  <c r="L3781" i="22"/>
  <c r="C3781" i="22"/>
  <c r="E3781" i="22"/>
  <c r="G3781" i="22"/>
  <c r="I3781" i="22"/>
  <c r="B3782" i="22"/>
  <c r="U3725" i="22"/>
  <c r="AQ71" i="22"/>
  <c r="BC71" i="22"/>
  <c r="M3726" i="22"/>
  <c r="D3726" i="22"/>
  <c r="J3726" i="22"/>
  <c r="N3726" i="22" s="1"/>
  <c r="P3726" i="22"/>
  <c r="Q3726" i="22"/>
  <c r="R3726" i="22"/>
  <c r="L3727" i="22"/>
  <c r="C3727" i="22"/>
  <c r="K3727" i="22" s="1"/>
  <c r="E3727" i="22"/>
  <c r="F3727" i="22"/>
  <c r="O3727" i="22" s="1"/>
  <c r="G3727" i="22"/>
  <c r="I3727" i="22"/>
  <c r="B3728" i="22"/>
  <c r="U3671" i="22"/>
  <c r="AQ70" i="22"/>
  <c r="BC70" i="22"/>
  <c r="M3672" i="22"/>
  <c r="D3672" i="22"/>
  <c r="J3672" i="22"/>
  <c r="N3672" i="22" s="1"/>
  <c r="P3672" i="22"/>
  <c r="Q3672" i="22"/>
  <c r="R3672" i="22"/>
  <c r="L3673" i="22"/>
  <c r="C3673" i="22"/>
  <c r="E3673" i="22"/>
  <c r="G3673" i="22"/>
  <c r="I3673" i="22"/>
  <c r="B3674" i="22"/>
  <c r="U3617" i="22"/>
  <c r="AQ69" i="22"/>
  <c r="BC69" i="22"/>
  <c r="M3618" i="22"/>
  <c r="D3618" i="22"/>
  <c r="J3618" i="22"/>
  <c r="N3618" i="22" s="1"/>
  <c r="P3618" i="22"/>
  <c r="Q3618" i="22"/>
  <c r="R3618" i="22"/>
  <c r="L3619" i="22"/>
  <c r="C3619" i="22"/>
  <c r="E3619" i="22"/>
  <c r="G3619" i="22"/>
  <c r="I3619" i="22"/>
  <c r="B3620" i="22"/>
  <c r="U3563" i="22"/>
  <c r="AQ68" i="22"/>
  <c r="BC68" i="22"/>
  <c r="D3564" i="22"/>
  <c r="J3564" i="22"/>
  <c r="P3564" i="22"/>
  <c r="Q3564" i="22"/>
  <c r="R3564" i="22"/>
  <c r="L3565" i="22"/>
  <c r="B3566" i="22"/>
  <c r="C3565" i="22"/>
  <c r="E3565" i="22"/>
  <c r="G3565" i="22"/>
  <c r="I3565" i="22"/>
  <c r="U3509" i="22"/>
  <c r="AQ67" i="22"/>
  <c r="BC67" i="22"/>
  <c r="M3510" i="22"/>
  <c r="D3510" i="22"/>
  <c r="J3510" i="22"/>
  <c r="N3510" i="22" s="1"/>
  <c r="P3510" i="22"/>
  <c r="Q3510" i="22"/>
  <c r="R3510" i="22"/>
  <c r="L3511" i="22"/>
  <c r="C3511" i="22"/>
  <c r="K3511" i="22" s="1"/>
  <c r="E3511" i="22"/>
  <c r="F3511" i="22"/>
  <c r="O3511" i="22" s="1"/>
  <c r="G3511" i="22"/>
  <c r="I3511" i="22"/>
  <c r="B3512" i="22"/>
  <c r="U3455" i="22"/>
  <c r="AQ66" i="22"/>
  <c r="BC66" i="22"/>
  <c r="D3456" i="22"/>
  <c r="J3456" i="22"/>
  <c r="P3456" i="22"/>
  <c r="Q3456" i="22"/>
  <c r="R3456" i="22"/>
  <c r="L3457" i="22"/>
  <c r="C3457" i="22"/>
  <c r="K3457" i="22" s="1"/>
  <c r="E3457" i="22"/>
  <c r="F3457" i="22"/>
  <c r="O3457" i="22" s="1"/>
  <c r="BQ66" i="22" s="1"/>
  <c r="G3457" i="22"/>
  <c r="I3457" i="22"/>
  <c r="B3458" i="22"/>
  <c r="D3402" i="22"/>
  <c r="J3402" i="22"/>
  <c r="P3402" i="22"/>
  <c r="Q3402" i="22"/>
  <c r="R3402" i="22"/>
  <c r="L3403" i="22"/>
  <c r="C3403" i="22"/>
  <c r="E3403" i="22"/>
  <c r="G3403" i="22"/>
  <c r="I3403" i="22"/>
  <c r="B3404" i="22"/>
  <c r="D3348" i="22"/>
  <c r="J3348" i="22"/>
  <c r="P3348" i="22"/>
  <c r="Q3348" i="22"/>
  <c r="R3348" i="22"/>
  <c r="L3349" i="22"/>
  <c r="C3349" i="22"/>
  <c r="E3349" i="22"/>
  <c r="G3349" i="22"/>
  <c r="I3349" i="22"/>
  <c r="B3350" i="22"/>
  <c r="U3293" i="22"/>
  <c r="AQ63" i="22"/>
  <c r="BC63" i="22"/>
  <c r="M3294" i="22"/>
  <c r="D3294" i="22"/>
  <c r="J3294" i="22"/>
  <c r="N3294" i="22" s="1"/>
  <c r="P3294" i="22"/>
  <c r="Q3294" i="22"/>
  <c r="R3294" i="22"/>
  <c r="L3295" i="22"/>
  <c r="C3295" i="22"/>
  <c r="E3295" i="22"/>
  <c r="G3295" i="22"/>
  <c r="I3295" i="22"/>
  <c r="B3296" i="22"/>
  <c r="U3239" i="22"/>
  <c r="AQ62" i="22"/>
  <c r="BC62" i="22"/>
  <c r="M3240" i="22"/>
  <c r="D3240" i="22"/>
  <c r="J3240" i="22"/>
  <c r="N3240" i="22" s="1"/>
  <c r="P3240" i="22"/>
  <c r="Q3240" i="22"/>
  <c r="R3240" i="22"/>
  <c r="L3241" i="22"/>
  <c r="C3241" i="22"/>
  <c r="K3241" i="22" s="1"/>
  <c r="E3241" i="22"/>
  <c r="F3241" i="22"/>
  <c r="O3241" i="22" s="1"/>
  <c r="G3241" i="22"/>
  <c r="I3241" i="22"/>
  <c r="B3242" i="22"/>
  <c r="U3185" i="22"/>
  <c r="AQ61" i="22"/>
  <c r="BC61" i="22"/>
  <c r="M3186" i="22"/>
  <c r="D3186" i="22"/>
  <c r="J3186" i="22"/>
  <c r="N3186" i="22" s="1"/>
  <c r="P3186" i="22"/>
  <c r="Q3186" i="22"/>
  <c r="R3186" i="22"/>
  <c r="L3187" i="22"/>
  <c r="C3187" i="22"/>
  <c r="E3187" i="22"/>
  <c r="G3187" i="22"/>
  <c r="I3187" i="22"/>
  <c r="B3188" i="22"/>
  <c r="M3132" i="22"/>
  <c r="D3132" i="22"/>
  <c r="J3132" i="22"/>
  <c r="N3132" i="22" s="1"/>
  <c r="P3132" i="22"/>
  <c r="Q3132" i="22"/>
  <c r="R3132" i="22"/>
  <c r="L3133" i="22"/>
  <c r="C3133" i="22"/>
  <c r="K3133" i="22" s="1"/>
  <c r="E3133" i="22"/>
  <c r="F3133" i="22"/>
  <c r="O3133" i="22" s="1"/>
  <c r="BQ60" i="22" s="1"/>
  <c r="G3133" i="22"/>
  <c r="B3134" i="22"/>
  <c r="I3133" i="22"/>
  <c r="D3078" i="22"/>
  <c r="J3078" i="22"/>
  <c r="P3078" i="22"/>
  <c r="Q3078" i="22"/>
  <c r="R3078" i="22"/>
  <c r="L3079" i="22"/>
  <c r="I3079" i="22"/>
  <c r="B3080" i="22"/>
  <c r="C3079" i="22"/>
  <c r="K3079" i="22" s="1"/>
  <c r="E3079" i="22"/>
  <c r="F3079" i="22"/>
  <c r="O3079" i="22" s="1"/>
  <c r="BQ59" i="22" s="1"/>
  <c r="G3079" i="22"/>
  <c r="D3024" i="22"/>
  <c r="J3024" i="22"/>
  <c r="P3024" i="22"/>
  <c r="Q3024" i="22"/>
  <c r="R3024" i="22"/>
  <c r="L3025" i="22"/>
  <c r="E3025" i="22"/>
  <c r="G3025" i="22"/>
  <c r="B3026" i="22"/>
  <c r="I3025" i="22"/>
  <c r="C3025" i="22"/>
  <c r="M2970" i="22"/>
  <c r="L2971" i="22"/>
  <c r="C2971" i="22"/>
  <c r="E2971" i="22"/>
  <c r="G2971" i="22"/>
  <c r="I2971" i="22"/>
  <c r="B2972" i="22"/>
  <c r="D2970" i="22"/>
  <c r="J2970" i="22"/>
  <c r="N2970" i="22" s="1"/>
  <c r="P2970" i="22"/>
  <c r="Q2970" i="22"/>
  <c r="R2970" i="22"/>
  <c r="AQ56" i="22"/>
  <c r="BC56" i="22"/>
  <c r="U2915" i="22"/>
  <c r="M2916" i="22"/>
  <c r="J2916" i="22"/>
  <c r="N2916" i="22" s="1"/>
  <c r="D2916" i="22"/>
  <c r="P2916" i="22"/>
  <c r="Q2916" i="22"/>
  <c r="R2916" i="22"/>
  <c r="L2917" i="22"/>
  <c r="B2918" i="22"/>
  <c r="G2917" i="22"/>
  <c r="I2917" i="22"/>
  <c r="E2917" i="22"/>
  <c r="C2917" i="22"/>
  <c r="U2861" i="22"/>
  <c r="AQ55" i="22"/>
  <c r="BC55" i="22"/>
  <c r="M2862" i="22"/>
  <c r="D2862" i="22"/>
  <c r="J2862" i="22"/>
  <c r="N2862" i="22" s="1"/>
  <c r="P2862" i="22"/>
  <c r="Q2862" i="22"/>
  <c r="R2862" i="22"/>
  <c r="L2863" i="22"/>
  <c r="C2863" i="22"/>
  <c r="E2863" i="22"/>
  <c r="G2863" i="22"/>
  <c r="I2863" i="22"/>
  <c r="B2864" i="22"/>
  <c r="S2807" i="22"/>
  <c r="AQ54" i="22"/>
  <c r="BC54" i="22"/>
  <c r="AL1622" i="23"/>
  <c r="U2807" i="22"/>
  <c r="M2808" i="22"/>
  <c r="D2808" i="22"/>
  <c r="J2808" i="22"/>
  <c r="N2808" i="22" s="1"/>
  <c r="Q2808" i="22"/>
  <c r="P2808" i="22"/>
  <c r="R2808" i="22"/>
  <c r="T2808" i="22"/>
  <c r="L2809" i="22"/>
  <c r="C2809" i="22"/>
  <c r="E2809" i="22"/>
  <c r="G2809" i="22"/>
  <c r="I2809" i="22"/>
  <c r="B2810" i="22"/>
  <c r="U2753" i="22"/>
  <c r="AQ53" i="22"/>
  <c r="BC53" i="22"/>
  <c r="M2754" i="22"/>
  <c r="D2754" i="22"/>
  <c r="J2754" i="22"/>
  <c r="N2754" i="22" s="1"/>
  <c r="P2754" i="22"/>
  <c r="Q2754" i="22"/>
  <c r="R2754" i="22"/>
  <c r="L2755" i="22"/>
  <c r="C2755" i="22"/>
  <c r="E2755" i="22"/>
  <c r="G2755" i="22"/>
  <c r="I2755" i="22"/>
  <c r="B2756" i="22"/>
  <c r="M2700" i="22"/>
  <c r="D2700" i="22"/>
  <c r="J2700" i="22"/>
  <c r="N2700" i="22" s="1"/>
  <c r="P2700" i="22"/>
  <c r="Q2700" i="22"/>
  <c r="R2700" i="22"/>
  <c r="L2701" i="22"/>
  <c r="C2701" i="22"/>
  <c r="K2701" i="22" s="1"/>
  <c r="E2701" i="22"/>
  <c r="F2701" i="22"/>
  <c r="O2701" i="22" s="1"/>
  <c r="BQ52" i="22" s="1"/>
  <c r="G2701" i="22"/>
  <c r="I2701" i="22"/>
  <c r="B2702" i="22"/>
  <c r="D2646" i="22"/>
  <c r="J2646" i="22"/>
  <c r="P2646" i="22"/>
  <c r="Q2646" i="22"/>
  <c r="R2646" i="22"/>
  <c r="L2647" i="22"/>
  <c r="C2647" i="22"/>
  <c r="K2647" i="22" s="1"/>
  <c r="E2647" i="22"/>
  <c r="F2647" i="22"/>
  <c r="O2647" i="22" s="1"/>
  <c r="BQ51" i="22" s="1"/>
  <c r="G2647" i="22"/>
  <c r="I2647" i="22"/>
  <c r="B2648" i="22"/>
  <c r="M2592" i="22"/>
  <c r="L2593" i="22"/>
  <c r="C2593" i="22"/>
  <c r="K2593" i="22" s="1"/>
  <c r="G2593" i="22"/>
  <c r="B2594" i="22"/>
  <c r="E2593" i="22"/>
  <c r="I2593" i="22"/>
  <c r="F2593" i="22"/>
  <c r="O2593" i="22" s="1"/>
  <c r="J2592" i="22"/>
  <c r="N2592" i="22" s="1"/>
  <c r="D2592" i="22"/>
  <c r="P2592" i="22"/>
  <c r="Q2592" i="22"/>
  <c r="R2592" i="22"/>
  <c r="U2537" i="22"/>
  <c r="AQ49" i="22"/>
  <c r="BC49" i="22"/>
  <c r="D2538" i="22"/>
  <c r="M2538" i="22" s="1"/>
  <c r="J2538" i="22"/>
  <c r="P2538" i="22"/>
  <c r="Q2538" i="22"/>
  <c r="R2538" i="22"/>
  <c r="L2539" i="22"/>
  <c r="C2539" i="22"/>
  <c r="E2539" i="22"/>
  <c r="G2539" i="22"/>
  <c r="I2539" i="22"/>
  <c r="B2540" i="22"/>
  <c r="U2483" i="22"/>
  <c r="AQ48" i="22"/>
  <c r="BC48" i="22"/>
  <c r="M2484" i="22"/>
  <c r="D2484" i="22"/>
  <c r="J2484" i="22"/>
  <c r="N2484" i="22" s="1"/>
  <c r="P2484" i="22"/>
  <c r="Q2484" i="22"/>
  <c r="R2484" i="22"/>
  <c r="L2485" i="22"/>
  <c r="C2485" i="22"/>
  <c r="E2485" i="22"/>
  <c r="G2485" i="22"/>
  <c r="I2485" i="22"/>
  <c r="B2486" i="22"/>
  <c r="U2429" i="22"/>
  <c r="AQ47" i="22"/>
  <c r="BC47" i="22"/>
  <c r="M2430" i="22"/>
  <c r="D2430" i="22"/>
  <c r="J2430" i="22"/>
  <c r="N2430" i="22" s="1"/>
  <c r="P2430" i="22"/>
  <c r="Q2430" i="22"/>
  <c r="R2430" i="22"/>
  <c r="L2431" i="22"/>
  <c r="C2431" i="22"/>
  <c r="K2431" i="22" s="1"/>
  <c r="E2431" i="22"/>
  <c r="F2431" i="22"/>
  <c r="O2431" i="22" s="1"/>
  <c r="G2431" i="22"/>
  <c r="I2431" i="22"/>
  <c r="B2432" i="22"/>
  <c r="U2375" i="22"/>
  <c r="AQ46" i="22"/>
  <c r="BC46" i="22"/>
  <c r="M2376" i="22"/>
  <c r="D2376" i="22"/>
  <c r="J2376" i="22"/>
  <c r="N2376" i="22" s="1"/>
  <c r="P2376" i="22"/>
  <c r="Q2376" i="22"/>
  <c r="R2376" i="22"/>
  <c r="L2377" i="22"/>
  <c r="C2377" i="22"/>
  <c r="K2377" i="22" s="1"/>
  <c r="E2377" i="22"/>
  <c r="F2377" i="22"/>
  <c r="O2377" i="22" s="1"/>
  <c r="G2377" i="22"/>
  <c r="I2377" i="22"/>
  <c r="B2378" i="22"/>
  <c r="U2321" i="22"/>
  <c r="AQ45" i="22"/>
  <c r="BC45" i="22"/>
  <c r="M2322" i="22"/>
  <c r="D2322" i="22"/>
  <c r="J2322" i="22"/>
  <c r="N2322" i="22" s="1"/>
  <c r="P2322" i="22"/>
  <c r="Q2322" i="22"/>
  <c r="R2322" i="22"/>
  <c r="L2323" i="22"/>
  <c r="C2323" i="22"/>
  <c r="K2323" i="22" s="1"/>
  <c r="E2323" i="22"/>
  <c r="F2323" i="22"/>
  <c r="O2323" i="22" s="1"/>
  <c r="G2323" i="22"/>
  <c r="I2323" i="22"/>
  <c r="B2324" i="22"/>
  <c r="U2267" i="22"/>
  <c r="AQ44" i="22"/>
  <c r="BC44" i="22"/>
  <c r="D2268" i="22"/>
  <c r="J2268" i="22"/>
  <c r="P2268" i="22"/>
  <c r="Q2268" i="22"/>
  <c r="R2268" i="22"/>
  <c r="L2269" i="22"/>
  <c r="C2269" i="22"/>
  <c r="K2269" i="22" s="1"/>
  <c r="E2269" i="22"/>
  <c r="F2269" i="22"/>
  <c r="O2269" i="22" s="1"/>
  <c r="BQ44" i="22" s="1"/>
  <c r="G2269" i="22"/>
  <c r="I2269" i="22"/>
  <c r="B2270" i="22"/>
  <c r="U2213" i="22"/>
  <c r="AQ43" i="22"/>
  <c r="BC43" i="22"/>
  <c r="M2214" i="22"/>
  <c r="D2214" i="22"/>
  <c r="J2214" i="22"/>
  <c r="N2214" i="22" s="1"/>
  <c r="P2214" i="22"/>
  <c r="Q2214" i="22"/>
  <c r="R2214" i="22"/>
  <c r="L2215" i="22"/>
  <c r="C2215" i="22"/>
  <c r="E2215" i="22"/>
  <c r="G2215" i="22"/>
  <c r="I2215" i="22"/>
  <c r="B2216" i="22"/>
  <c r="U2159" i="22"/>
  <c r="AQ42" i="22"/>
  <c r="BC42" i="22"/>
  <c r="M2160" i="22"/>
  <c r="D2160" i="22"/>
  <c r="J2160" i="22"/>
  <c r="N2160" i="22" s="1"/>
  <c r="P2160" i="22"/>
  <c r="Q2160" i="22"/>
  <c r="R2160" i="22"/>
  <c r="L2161" i="22"/>
  <c r="C2161" i="22"/>
  <c r="K2161" i="22" s="1"/>
  <c r="E2161" i="22"/>
  <c r="F2161" i="22"/>
  <c r="O2161" i="22" s="1"/>
  <c r="G2161" i="22"/>
  <c r="I2161" i="22"/>
  <c r="B2162" i="22"/>
  <c r="U2105" i="22"/>
  <c r="AQ41" i="22"/>
  <c r="BC41" i="22"/>
  <c r="M2106" i="22"/>
  <c r="D2106" i="22"/>
  <c r="J2106" i="22"/>
  <c r="N2106" i="22" s="1"/>
  <c r="P2106" i="22"/>
  <c r="Q2106" i="22"/>
  <c r="R2106" i="22"/>
  <c r="L2107" i="22"/>
  <c r="C2107" i="22"/>
  <c r="E2107" i="22"/>
  <c r="G2107" i="22"/>
  <c r="I2107" i="22"/>
  <c r="B2108" i="22"/>
  <c r="U2051" i="22"/>
  <c r="AQ40" i="22"/>
  <c r="BC40" i="22"/>
  <c r="M2052" i="22"/>
  <c r="D2052" i="22"/>
  <c r="J2052" i="22"/>
  <c r="N2052" i="22" s="1"/>
  <c r="P2052" i="22"/>
  <c r="Q2052" i="22"/>
  <c r="R2052" i="22"/>
  <c r="L2053" i="22"/>
  <c r="C2053" i="22"/>
  <c r="E2053" i="22"/>
  <c r="G2053" i="22"/>
  <c r="I2053" i="22"/>
  <c r="B2054" i="22"/>
  <c r="M1998" i="22"/>
  <c r="D1998" i="22"/>
  <c r="J1998" i="22"/>
  <c r="N1998" i="22" s="1"/>
  <c r="P1998" i="22"/>
  <c r="Q1998" i="22"/>
  <c r="R1998" i="22"/>
  <c r="L1999" i="22"/>
  <c r="C1999" i="22"/>
  <c r="E1999" i="22"/>
  <c r="G1999" i="22"/>
  <c r="I1999" i="22"/>
  <c r="B2000" i="22"/>
  <c r="M1944" i="22"/>
  <c r="D1944" i="22"/>
  <c r="J1944" i="22"/>
  <c r="N1944" i="22" s="1"/>
  <c r="P1944" i="22"/>
  <c r="Q1944" i="22"/>
  <c r="R1944" i="22"/>
  <c r="L1945" i="22"/>
  <c r="C1945" i="22"/>
  <c r="E1945" i="22"/>
  <c r="G1945" i="22"/>
  <c r="I1945" i="22"/>
  <c r="B1946" i="22"/>
  <c r="D1890" i="22"/>
  <c r="J1890" i="22"/>
  <c r="P1890" i="22"/>
  <c r="Q1890" i="22"/>
  <c r="R1890" i="22"/>
  <c r="L1891" i="22"/>
  <c r="C1891" i="22"/>
  <c r="E1891" i="22"/>
  <c r="G1891" i="22"/>
  <c r="I1891" i="22"/>
  <c r="B1892" i="22"/>
  <c r="U1835" i="22"/>
  <c r="AQ36" i="22"/>
  <c r="BC36" i="22"/>
  <c r="D1836" i="22"/>
  <c r="J1836" i="22"/>
  <c r="P1836" i="22"/>
  <c r="Q1836" i="22"/>
  <c r="R1836" i="22"/>
  <c r="L1837" i="22"/>
  <c r="C1837" i="22"/>
  <c r="E1837" i="22"/>
  <c r="G1837" i="22"/>
  <c r="I1837" i="22"/>
  <c r="B1838" i="22"/>
  <c r="U1781" i="22"/>
  <c r="AQ35" i="22"/>
  <c r="BC35" i="22"/>
  <c r="M1782" i="22"/>
  <c r="D1782" i="22"/>
  <c r="J1782" i="22"/>
  <c r="N1782" i="22" s="1"/>
  <c r="P1782" i="22"/>
  <c r="Q1782" i="22"/>
  <c r="R1782" i="22"/>
  <c r="L1783" i="22"/>
  <c r="C1783" i="22"/>
  <c r="K1783" i="22" s="1"/>
  <c r="E1783" i="22"/>
  <c r="F1783" i="22"/>
  <c r="O1783" i="22" s="1"/>
  <c r="G1783" i="22"/>
  <c r="I1783" i="22"/>
  <c r="B1784" i="22"/>
  <c r="U1727" i="22"/>
  <c r="AQ34" i="22"/>
  <c r="BC34" i="22"/>
  <c r="M1728" i="22"/>
  <c r="D1728" i="22"/>
  <c r="J1728" i="22"/>
  <c r="N1728" i="22" s="1"/>
  <c r="P1728" i="22"/>
  <c r="Q1728" i="22"/>
  <c r="R1728" i="22"/>
  <c r="L1729" i="22"/>
  <c r="C1729" i="22"/>
  <c r="E1729" i="22"/>
  <c r="G1729" i="22"/>
  <c r="I1729" i="22"/>
  <c r="B1730" i="22"/>
  <c r="U1673" i="22"/>
  <c r="AQ33" i="22"/>
  <c r="BC33" i="22"/>
  <c r="M1674" i="22"/>
  <c r="D1674" i="22"/>
  <c r="J1674" i="22"/>
  <c r="N1674" i="22" s="1"/>
  <c r="P1674" i="22"/>
  <c r="Q1674" i="22"/>
  <c r="R1674" i="22"/>
  <c r="L1675" i="22"/>
  <c r="C1675" i="22"/>
  <c r="K1675" i="22" s="1"/>
  <c r="E1675" i="22"/>
  <c r="F1675" i="22"/>
  <c r="O1675" i="22" s="1"/>
  <c r="G1675" i="22"/>
  <c r="I1675" i="22"/>
  <c r="B1676" i="22"/>
  <c r="U1619" i="22"/>
  <c r="AQ32" i="22"/>
  <c r="BC32" i="22"/>
  <c r="M1620" i="22"/>
  <c r="D1620" i="22"/>
  <c r="J1620" i="22"/>
  <c r="N1620" i="22" s="1"/>
  <c r="P1620" i="22"/>
  <c r="Q1620" i="22"/>
  <c r="R1620" i="22"/>
  <c r="L1621" i="22"/>
  <c r="C1621" i="22"/>
  <c r="K1621" i="22" s="1"/>
  <c r="E1621" i="22"/>
  <c r="F1621" i="22"/>
  <c r="O1621" i="22" s="1"/>
  <c r="G1621" i="22"/>
  <c r="I1621" i="22"/>
  <c r="B1622" i="22"/>
  <c r="D1566" i="22"/>
  <c r="J1566" i="22"/>
  <c r="P1566" i="22"/>
  <c r="Q1566" i="22"/>
  <c r="R1566" i="22"/>
  <c r="L1567" i="22"/>
  <c r="C1567" i="22"/>
  <c r="E1567" i="22"/>
  <c r="G1567" i="22"/>
  <c r="I1567" i="22"/>
  <c r="B1568" i="22"/>
  <c r="D1512" i="22"/>
  <c r="J1512" i="22"/>
  <c r="P1512" i="22"/>
  <c r="Q1512" i="22"/>
  <c r="R1512" i="22"/>
  <c r="L1513" i="22"/>
  <c r="C1513" i="22"/>
  <c r="K1513" i="22" s="1"/>
  <c r="E1513" i="22"/>
  <c r="F1513" i="22"/>
  <c r="O1513" i="22" s="1"/>
  <c r="BQ30" i="22" s="1"/>
  <c r="G1513" i="22"/>
  <c r="I1513" i="22"/>
  <c r="B1514" i="22"/>
  <c r="U1457" i="22"/>
  <c r="AQ29" i="22"/>
  <c r="BC29" i="22"/>
  <c r="D1458" i="22"/>
  <c r="J1458" i="22"/>
  <c r="P1458" i="22"/>
  <c r="Q1458" i="22"/>
  <c r="R1458" i="22"/>
  <c r="L1459" i="22"/>
  <c r="C1459" i="22"/>
  <c r="K1459" i="22" s="1"/>
  <c r="E1459" i="22"/>
  <c r="F1459" i="22"/>
  <c r="O1459" i="22" s="1"/>
  <c r="BQ29" i="22" s="1"/>
  <c r="G1459" i="22"/>
  <c r="I1459" i="22"/>
  <c r="B1460" i="22"/>
  <c r="U1403" i="22"/>
  <c r="AQ28" i="22"/>
  <c r="BC28" i="22"/>
  <c r="M1404" i="22"/>
  <c r="D1404" i="22"/>
  <c r="J1404" i="22"/>
  <c r="N1404" i="22" s="1"/>
  <c r="P1404" i="22"/>
  <c r="Q1404" i="22"/>
  <c r="R1404" i="22"/>
  <c r="L1405" i="22"/>
  <c r="C1405" i="22"/>
  <c r="K1405" i="22" s="1"/>
  <c r="E1405" i="22"/>
  <c r="F1405" i="22"/>
  <c r="O1405" i="22" s="1"/>
  <c r="G1405" i="22"/>
  <c r="I1405" i="22"/>
  <c r="B1406" i="22"/>
  <c r="U1349" i="22"/>
  <c r="AQ27" i="22"/>
  <c r="BC27" i="22"/>
  <c r="M1350" i="22"/>
  <c r="D1350" i="22"/>
  <c r="J1350" i="22"/>
  <c r="N1350" i="22" s="1"/>
  <c r="BP27" i="22"/>
  <c r="P1350" i="22"/>
  <c r="Q1350" i="22"/>
  <c r="R1350" i="22"/>
  <c r="L1351" i="22"/>
  <c r="C1351" i="22"/>
  <c r="K1351" i="22" s="1"/>
  <c r="E1351" i="22"/>
  <c r="F1351" i="22"/>
  <c r="O1351" i="22" s="1"/>
  <c r="G1351" i="22"/>
  <c r="I1351" i="22"/>
  <c r="B1352" i="22"/>
  <c r="U1295" i="22"/>
  <c r="AQ26" i="22"/>
  <c r="BC26" i="22"/>
  <c r="M1296" i="22"/>
  <c r="D1296" i="22"/>
  <c r="J1296" i="22"/>
  <c r="N1296" i="22" s="1"/>
  <c r="P1296" i="22"/>
  <c r="Q1296" i="22"/>
  <c r="R1296" i="22"/>
  <c r="L1297" i="22"/>
  <c r="C1297" i="22"/>
  <c r="K1297" i="22" s="1"/>
  <c r="E1297" i="22"/>
  <c r="F1297" i="22"/>
  <c r="O1297" i="22" s="1"/>
  <c r="G1297" i="22"/>
  <c r="I1297" i="22"/>
  <c r="B1298" i="22"/>
  <c r="U1241" i="22"/>
  <c r="AQ25" i="22"/>
  <c r="BC25" i="22"/>
  <c r="M1242" i="22"/>
  <c r="D1242" i="22"/>
  <c r="J1242" i="22"/>
  <c r="N1242" i="22" s="1"/>
  <c r="P1242" i="22"/>
  <c r="Q1242" i="22"/>
  <c r="R1242" i="22"/>
  <c r="L1243" i="22"/>
  <c r="C1243" i="22"/>
  <c r="E1243" i="22"/>
  <c r="G1243" i="22"/>
  <c r="I1243" i="22"/>
  <c r="B1244" i="22"/>
  <c r="M1188" i="22"/>
  <c r="D1188" i="22"/>
  <c r="J1188" i="22"/>
  <c r="N1188" i="22" s="1"/>
  <c r="G92" i="7"/>
  <c r="BP24" i="22"/>
  <c r="P1188" i="22"/>
  <c r="Q1188" i="22"/>
  <c r="R1188" i="22"/>
  <c r="L1189" i="22"/>
  <c r="C1189" i="22"/>
  <c r="E1189" i="22"/>
  <c r="G1189" i="22"/>
  <c r="I1189" i="22"/>
  <c r="B1190" i="22"/>
  <c r="M1134" i="22"/>
  <c r="D1134" i="22"/>
  <c r="J1134" i="22"/>
  <c r="N1134" i="22" s="1"/>
  <c r="G91" i="7"/>
  <c r="BP23" i="22"/>
  <c r="P1134" i="22"/>
  <c r="Q1134" i="22"/>
  <c r="R1134" i="22"/>
  <c r="L1135" i="22"/>
  <c r="C1135" i="22"/>
  <c r="K1135" i="22" s="1"/>
  <c r="E1135" i="22"/>
  <c r="F1135" i="22"/>
  <c r="O1135" i="22" s="1"/>
  <c r="G1135" i="22"/>
  <c r="I1135" i="22"/>
  <c r="B1136" i="22"/>
  <c r="F121" i="7"/>
  <c r="F59" i="7"/>
  <c r="U1079" i="22"/>
  <c r="AQ22" i="22"/>
  <c r="BC22" i="22"/>
  <c r="D1080" i="22"/>
  <c r="J1080" i="22"/>
  <c r="P1080" i="22"/>
  <c r="Q1080" i="22"/>
  <c r="R1080" i="22"/>
  <c r="L1081" i="22"/>
  <c r="C1081" i="22"/>
  <c r="K1081" i="22" s="1"/>
  <c r="E1081" i="22"/>
  <c r="F1081" i="22"/>
  <c r="O1081" i="22" s="1"/>
  <c r="G1081" i="22"/>
  <c r="I1081" i="22"/>
  <c r="B1082" i="22"/>
  <c r="F120" i="7"/>
  <c r="F58" i="7"/>
  <c r="U1025" i="22"/>
  <c r="AQ21" i="22"/>
  <c r="BC21" i="22"/>
  <c r="M1026" i="22"/>
  <c r="D1026" i="22"/>
  <c r="J1026" i="22"/>
  <c r="N1026" i="22" s="1"/>
  <c r="G89" i="7"/>
  <c r="BP21" i="22"/>
  <c r="P1026" i="22"/>
  <c r="Q1026" i="22"/>
  <c r="R1026" i="22"/>
  <c r="L1027" i="22"/>
  <c r="C1027" i="22"/>
  <c r="K1027" i="22" s="1"/>
  <c r="E1027" i="22"/>
  <c r="F1027" i="22"/>
  <c r="O1027" i="22" s="1"/>
  <c r="G1027" i="22"/>
  <c r="I1027" i="22"/>
  <c r="B1028" i="22"/>
  <c r="F119" i="7"/>
  <c r="F57" i="7"/>
  <c r="U971" i="22"/>
  <c r="AQ20" i="22"/>
  <c r="BC20" i="22"/>
  <c r="M972" i="22"/>
  <c r="D972" i="22"/>
  <c r="J972" i="22"/>
  <c r="N972" i="22" s="1"/>
  <c r="G88" i="7"/>
  <c r="BP20" i="22"/>
  <c r="P972" i="22"/>
  <c r="Q972" i="22"/>
  <c r="R972" i="22"/>
  <c r="L973" i="22"/>
  <c r="C973" i="22"/>
  <c r="K973" i="22" s="1"/>
  <c r="E973" i="22"/>
  <c r="F973" i="22"/>
  <c r="O973" i="22" s="1"/>
  <c r="G973" i="22"/>
  <c r="I973" i="22"/>
  <c r="B974" i="22"/>
  <c r="F118" i="7"/>
  <c r="F56" i="7"/>
  <c r="U917" i="22"/>
  <c r="AQ19" i="22"/>
  <c r="BC19" i="22"/>
  <c r="M918" i="22"/>
  <c r="D918" i="22"/>
  <c r="J918" i="22"/>
  <c r="N918" i="22" s="1"/>
  <c r="G87" i="7"/>
  <c r="BP19" i="22"/>
  <c r="P918" i="22"/>
  <c r="Q918" i="22"/>
  <c r="R918" i="22"/>
  <c r="L919" i="22"/>
  <c r="C919" i="22"/>
  <c r="K919" i="22" s="1"/>
  <c r="E919" i="22"/>
  <c r="F919" i="22"/>
  <c r="O919" i="22" s="1"/>
  <c r="G919" i="22"/>
  <c r="I919" i="22"/>
  <c r="B920" i="22"/>
  <c r="M864" i="22"/>
  <c r="D864" i="22"/>
  <c r="J864" i="22"/>
  <c r="N864" i="22" s="1"/>
  <c r="G86" i="7"/>
  <c r="BP18" i="22"/>
  <c r="P864" i="22"/>
  <c r="Q864" i="22"/>
  <c r="R864" i="22"/>
  <c r="L865" i="22"/>
  <c r="C865" i="22"/>
  <c r="E865" i="22"/>
  <c r="G865" i="22"/>
  <c r="I865" i="22"/>
  <c r="B866" i="22"/>
  <c r="F116" i="7"/>
  <c r="F54" i="7"/>
  <c r="U809" i="22"/>
  <c r="AQ17" i="22"/>
  <c r="BC17" i="22"/>
  <c r="M810" i="22"/>
  <c r="D810" i="22"/>
  <c r="J810" i="22"/>
  <c r="N810" i="22" s="1"/>
  <c r="G85" i="7"/>
  <c r="BP17" i="22"/>
  <c r="P810" i="22"/>
  <c r="Q810" i="22"/>
  <c r="R810" i="22"/>
  <c r="L811" i="22"/>
  <c r="C811" i="22"/>
  <c r="E811" i="22"/>
  <c r="G811" i="22"/>
  <c r="I811" i="22"/>
  <c r="B812" i="22"/>
  <c r="F115" i="7"/>
  <c r="F53" i="7"/>
  <c r="U755" i="22"/>
  <c r="AQ16" i="22"/>
  <c r="BC16" i="22"/>
  <c r="D756" i="22"/>
  <c r="J756" i="22"/>
  <c r="P756" i="22"/>
  <c r="Q756" i="22"/>
  <c r="R756" i="22"/>
  <c r="L757" i="22"/>
  <c r="C757" i="22"/>
  <c r="K757" i="22" s="1"/>
  <c r="E757" i="22"/>
  <c r="F757" i="22"/>
  <c r="O757" i="22" s="1"/>
  <c r="G757" i="22"/>
  <c r="I757" i="22"/>
  <c r="B758" i="22"/>
  <c r="F114" i="7"/>
  <c r="F52" i="7"/>
  <c r="U701" i="22"/>
  <c r="AQ15" i="22"/>
  <c r="BC15" i="22"/>
  <c r="M702" i="22"/>
  <c r="D702" i="22"/>
  <c r="J702" i="22"/>
  <c r="N702" i="22" s="1"/>
  <c r="G83" i="7"/>
  <c r="BP15" i="22"/>
  <c r="P702" i="22"/>
  <c r="Q702" i="22"/>
  <c r="R702" i="22"/>
  <c r="L703" i="22"/>
  <c r="C703" i="22"/>
  <c r="K703" i="22" s="1"/>
  <c r="E703" i="22"/>
  <c r="F703" i="22"/>
  <c r="O703" i="22" s="1"/>
  <c r="G703" i="22"/>
  <c r="I703" i="22"/>
  <c r="B704" i="22"/>
  <c r="F113" i="7"/>
  <c r="F51" i="7"/>
  <c r="U647" i="22"/>
  <c r="AQ14" i="22"/>
  <c r="BC14" i="22"/>
  <c r="M648" i="22"/>
  <c r="D648" i="22"/>
  <c r="J648" i="22"/>
  <c r="N648" i="22" s="1"/>
  <c r="G82" i="7"/>
  <c r="BP14" i="22"/>
  <c r="P648" i="22"/>
  <c r="Q648" i="22"/>
  <c r="R648" i="22"/>
  <c r="L649" i="22"/>
  <c r="C649" i="22"/>
  <c r="K649" i="22" s="1"/>
  <c r="E649" i="22"/>
  <c r="F649" i="22"/>
  <c r="O649" i="22" s="1"/>
  <c r="G649" i="22"/>
  <c r="I649" i="22"/>
  <c r="B650" i="22"/>
  <c r="F50" i="7"/>
  <c r="F112" i="7"/>
  <c r="U593" i="22"/>
  <c r="AQ13" i="22"/>
  <c r="BC13" i="22"/>
  <c r="M594" i="22"/>
  <c r="D594" i="22"/>
  <c r="J594" i="22"/>
  <c r="N594" i="22" s="1"/>
  <c r="G81" i="7"/>
  <c r="BP13" i="22"/>
  <c r="P594" i="22"/>
  <c r="Q594" i="22"/>
  <c r="R594" i="22"/>
  <c r="L595" i="22"/>
  <c r="C595" i="22"/>
  <c r="K595" i="22" s="1"/>
  <c r="E595" i="22"/>
  <c r="F595" i="22"/>
  <c r="O595" i="22" s="1"/>
  <c r="G595" i="22"/>
  <c r="I595" i="22"/>
  <c r="B596" i="22"/>
  <c r="F111" i="7"/>
  <c r="F49" i="7"/>
  <c r="U539" i="22"/>
  <c r="AQ12" i="22"/>
  <c r="BC12" i="22"/>
  <c r="M540" i="22"/>
  <c r="D540" i="22"/>
  <c r="J540" i="22"/>
  <c r="N540" i="22" s="1"/>
  <c r="G80" i="7"/>
  <c r="BP12" i="22"/>
  <c r="P540" i="22"/>
  <c r="Q540" i="22"/>
  <c r="R540" i="22"/>
  <c r="L541" i="22"/>
  <c r="C541" i="22"/>
  <c r="K541" i="22" s="1"/>
  <c r="E541" i="22"/>
  <c r="F541" i="22"/>
  <c r="O541" i="22" s="1"/>
  <c r="G541" i="22"/>
  <c r="I541" i="22"/>
  <c r="B542" i="22"/>
  <c r="M486" i="22"/>
  <c r="D486" i="22"/>
  <c r="J486" i="22"/>
  <c r="N486" i="22" s="1"/>
  <c r="G79" i="7"/>
  <c r="BP11" i="22"/>
  <c r="P486" i="22"/>
  <c r="Q486" i="22"/>
  <c r="R486" i="22"/>
  <c r="L487" i="22"/>
  <c r="C487" i="22"/>
  <c r="E487" i="22"/>
  <c r="G487" i="22"/>
  <c r="I487" i="22"/>
  <c r="B488" i="22"/>
  <c r="F47" i="7"/>
  <c r="F109" i="7"/>
  <c r="AQ10" i="22"/>
  <c r="BC10" i="22"/>
  <c r="U431" i="22"/>
  <c r="P432" i="22"/>
  <c r="Q432" i="22"/>
  <c r="R432" i="22"/>
  <c r="D432" i="22"/>
  <c r="J432" i="22"/>
  <c r="L433" i="22"/>
  <c r="G433" i="22"/>
  <c r="I433" i="22"/>
  <c r="B434" i="22"/>
  <c r="C433" i="22"/>
  <c r="K433" i="22" s="1"/>
  <c r="E433" i="22"/>
  <c r="F433" i="22"/>
  <c r="O433" i="22" s="1"/>
  <c r="F108" i="7"/>
  <c r="F46" i="7"/>
  <c r="U377" i="22"/>
  <c r="AQ9" i="22"/>
  <c r="BC9" i="22"/>
  <c r="D378" i="22"/>
  <c r="M378" i="22" s="1"/>
  <c r="J378" i="22"/>
  <c r="G77" i="7"/>
  <c r="BP9" i="22"/>
  <c r="P378" i="22"/>
  <c r="Q378" i="22"/>
  <c r="R378" i="22"/>
  <c r="L379" i="22"/>
  <c r="C379" i="22"/>
  <c r="K379" i="22" s="1"/>
  <c r="E379" i="22"/>
  <c r="F379" i="22"/>
  <c r="O379" i="22" s="1"/>
  <c r="G379" i="22"/>
  <c r="I379" i="22"/>
  <c r="B380" i="22"/>
  <c r="F107" i="7"/>
  <c r="F45" i="7"/>
  <c r="U323" i="22"/>
  <c r="AQ8" i="22"/>
  <c r="BC8" i="22"/>
  <c r="M324" i="22"/>
  <c r="D324" i="22"/>
  <c r="J324" i="22"/>
  <c r="N324" i="22" s="1"/>
  <c r="G76" i="7"/>
  <c r="BP8" i="22"/>
  <c r="P324" i="22"/>
  <c r="Q324" i="22"/>
  <c r="R324" i="22"/>
  <c r="L325" i="22"/>
  <c r="C325" i="22"/>
  <c r="K325" i="22" s="1"/>
  <c r="E325" i="22"/>
  <c r="F325" i="22"/>
  <c r="O325" i="22" s="1"/>
  <c r="G325" i="22"/>
  <c r="I325" i="22"/>
  <c r="B326" i="22"/>
  <c r="F106" i="7"/>
  <c r="F44" i="7"/>
  <c r="U269" i="22"/>
  <c r="AQ7" i="22"/>
  <c r="BC7" i="22"/>
  <c r="M270" i="22"/>
  <c r="D270" i="22"/>
  <c r="J270" i="22"/>
  <c r="N270" i="22" s="1"/>
  <c r="P270" i="22"/>
  <c r="Q270" i="22"/>
  <c r="R270" i="22"/>
  <c r="L271" i="22"/>
  <c r="C271" i="22"/>
  <c r="K271" i="22" s="1"/>
  <c r="E271" i="22"/>
  <c r="F271" i="22"/>
  <c r="O271" i="22" s="1"/>
  <c r="G271" i="22"/>
  <c r="I271" i="22"/>
  <c r="B272" i="22"/>
  <c r="F43" i="7"/>
  <c r="F105" i="7"/>
  <c r="U215" i="22"/>
  <c r="AQ6" i="22"/>
  <c r="BC6" i="22"/>
  <c r="M216" i="22"/>
  <c r="D216" i="22"/>
  <c r="J216" i="22"/>
  <c r="N216" i="22" s="1"/>
  <c r="G74" i="7"/>
  <c r="BP6" i="22"/>
  <c r="P216" i="22"/>
  <c r="Q216" i="22"/>
  <c r="R216" i="22"/>
  <c r="L217" i="22"/>
  <c r="C217" i="22"/>
  <c r="K217" i="22" s="1"/>
  <c r="E217" i="22"/>
  <c r="F217" i="22"/>
  <c r="O217" i="22" s="1"/>
  <c r="G217" i="22"/>
  <c r="I217" i="22"/>
  <c r="B218" i="22"/>
  <c r="M162" i="22"/>
  <c r="D162" i="22"/>
  <c r="J162" i="22"/>
  <c r="N162" i="22" s="1"/>
  <c r="G73" i="7"/>
  <c r="BP5" i="22"/>
  <c r="P162" i="22"/>
  <c r="Q162" i="22"/>
  <c r="R162" i="22"/>
  <c r="L163" i="22"/>
  <c r="I163" i="22"/>
  <c r="B164" i="22"/>
  <c r="C163" i="22"/>
  <c r="E163" i="22"/>
  <c r="G163" i="22"/>
  <c r="F103" i="7"/>
  <c r="F41" i="7"/>
  <c r="U107" i="22"/>
  <c r="AQ4" i="22"/>
  <c r="BC4" i="22"/>
  <c r="D108" i="22"/>
  <c r="J108" i="22"/>
  <c r="P108" i="22"/>
  <c r="Q108" i="22"/>
  <c r="R108" i="22"/>
  <c r="L109" i="22"/>
  <c r="C109" i="22"/>
  <c r="K109" i="22" s="1"/>
  <c r="E109" i="22"/>
  <c r="F109" i="22"/>
  <c r="O109" i="22" s="1"/>
  <c r="G109" i="22"/>
  <c r="I109" i="22"/>
  <c r="B110" i="22"/>
  <c r="C96" i="12"/>
  <c r="U45" i="17"/>
  <c r="M97" i="12"/>
  <c r="Q97" i="12" s="1"/>
  <c r="O97" i="12"/>
  <c r="E47" i="17"/>
  <c r="G47" i="17"/>
  <c r="AZ47" i="17" s="1"/>
  <c r="I47" i="17"/>
  <c r="L47" i="17"/>
  <c r="B48" i="17"/>
  <c r="B47" i="18"/>
  <c r="C47" i="17"/>
  <c r="F47" i="17"/>
  <c r="C47" i="18" s="1"/>
  <c r="E47" i="18" s="1"/>
  <c r="K47" i="17"/>
  <c r="J46" i="17"/>
  <c r="D46" i="17"/>
  <c r="AX46" i="17"/>
  <c r="AW46" i="17"/>
  <c r="AV46" i="17"/>
  <c r="AU46" i="17"/>
  <c r="AT46" i="17"/>
  <c r="AS46" i="17"/>
  <c r="AR46" i="17"/>
  <c r="AQ46" i="17"/>
  <c r="AP46" i="17"/>
  <c r="AO46" i="17"/>
  <c r="AN46" i="17"/>
  <c r="AM46" i="17"/>
  <c r="AL46" i="17"/>
  <c r="AK46" i="17"/>
  <c r="AJ46" i="17"/>
  <c r="AI46" i="17"/>
  <c r="AH46" i="17"/>
  <c r="AG46" i="17"/>
  <c r="AF46" i="17"/>
  <c r="AE46" i="17"/>
  <c r="AD46" i="17"/>
  <c r="AC46" i="17"/>
  <c r="AB46" i="17"/>
  <c r="AA46" i="17"/>
  <c r="Z46" i="17"/>
  <c r="Y46" i="17"/>
  <c r="X46" i="17"/>
  <c r="W46" i="17"/>
  <c r="P46" i="17"/>
  <c r="Q46" i="17"/>
  <c r="R46" i="17"/>
  <c r="V46" i="17"/>
  <c r="G95" i="12"/>
  <c r="BB16" i="17"/>
  <c r="B112" i="12"/>
  <c r="I112" i="12" s="1"/>
  <c r="BA15" i="17"/>
  <c r="AZ17" i="17"/>
  <c r="AZ18" i="17"/>
  <c r="AZ19" i="17"/>
  <c r="AZ20" i="17"/>
  <c r="AZ21" i="17"/>
  <c r="AZ22" i="17"/>
  <c r="AZ23" i="17"/>
  <c r="AZ24" i="17"/>
  <c r="AZ25" i="17"/>
  <c r="AZ26" i="17"/>
  <c r="AZ27" i="17"/>
  <c r="AZ28" i="17"/>
  <c r="AZ29" i="17"/>
  <c r="AZ30" i="17"/>
  <c r="AZ31" i="17"/>
  <c r="AZ32" i="17"/>
  <c r="AZ33" i="17"/>
  <c r="AZ34" i="17"/>
  <c r="AZ37" i="17"/>
  <c r="AZ38" i="17"/>
  <c r="AZ40" i="17"/>
  <c r="AZ42" i="17"/>
  <c r="AZ35" i="17"/>
  <c r="AZ36" i="17"/>
  <c r="AZ39" i="17"/>
  <c r="AZ41" i="17"/>
  <c r="AZ43" i="17"/>
  <c r="AZ44" i="17"/>
  <c r="AZ45" i="17"/>
  <c r="AZ46" i="17"/>
  <c r="AH724" i="23"/>
  <c r="D49" i="8"/>
  <c r="U3778" i="22"/>
  <c r="AP72" i="22"/>
  <c r="BB72" i="22"/>
  <c r="U3454" i="22"/>
  <c r="AP66" i="22"/>
  <c r="BB66" i="22"/>
  <c r="U3076" i="22"/>
  <c r="AP59" i="22"/>
  <c r="BB59" i="22"/>
  <c r="U3022" i="22"/>
  <c r="AP58" i="22"/>
  <c r="BB58" i="22"/>
  <c r="AP56" i="22"/>
  <c r="BB56" i="22"/>
  <c r="U2914" i="22"/>
  <c r="S2806" i="22"/>
  <c r="AP54" i="22"/>
  <c r="BB54" i="22"/>
  <c r="U2752" i="22"/>
  <c r="AP53" i="22"/>
  <c r="BB53" i="22"/>
  <c r="U2698" i="22"/>
  <c r="AP52" i="22"/>
  <c r="BB52" i="22"/>
  <c r="U2428" i="22"/>
  <c r="AP47" i="22"/>
  <c r="BB47" i="22"/>
  <c r="U2374" i="22"/>
  <c r="AP46" i="22"/>
  <c r="BB46" i="22"/>
  <c r="U2320" i="22"/>
  <c r="AP45" i="22"/>
  <c r="BB45" i="22"/>
  <c r="U1942" i="22"/>
  <c r="AP38" i="22"/>
  <c r="BB38" i="22"/>
  <c r="U1888" i="22"/>
  <c r="AP37" i="22"/>
  <c r="BB37" i="22"/>
  <c r="U1618" i="22"/>
  <c r="AP32" i="22"/>
  <c r="BB32" i="22"/>
  <c r="U1564" i="22"/>
  <c r="AP31" i="22"/>
  <c r="BB31" i="22"/>
  <c r="U1510" i="22"/>
  <c r="AP30" i="22"/>
  <c r="BB30" i="22"/>
  <c r="U1348" i="22"/>
  <c r="AP27" i="22"/>
  <c r="BB27" i="22"/>
  <c r="E122" i="7"/>
  <c r="E60" i="7"/>
  <c r="U1132" i="22"/>
  <c r="AP23" i="22"/>
  <c r="BB23" i="22"/>
  <c r="E116" i="7"/>
  <c r="E54" i="7"/>
  <c r="U808" i="22"/>
  <c r="AP17" i="22"/>
  <c r="BB17" i="22"/>
  <c r="E111" i="7"/>
  <c r="E49" i="7"/>
  <c r="U538" i="22"/>
  <c r="AP12" i="22"/>
  <c r="BB12" i="22"/>
  <c r="E110" i="7"/>
  <c r="E48" i="7"/>
  <c r="U484" i="22"/>
  <c r="AP11" i="22"/>
  <c r="BB11" i="22"/>
  <c r="E103" i="7"/>
  <c r="E41" i="7"/>
  <c r="AP4" i="22"/>
  <c r="BB4" i="22"/>
  <c r="U106" i="22"/>
  <c r="AB1510" i="23"/>
  <c r="AC1510" i="23" s="1"/>
  <c r="O1510" i="23"/>
  <c r="M1510" i="23"/>
  <c r="N1510" i="23"/>
  <c r="AB1454" i="23"/>
  <c r="AC1454" i="23" s="1"/>
  <c r="O1454" i="23"/>
  <c r="M1454" i="23"/>
  <c r="N1454" i="23"/>
  <c r="AD1341" i="23"/>
  <c r="M1006" i="23"/>
  <c r="N1006" i="23"/>
  <c r="AB1006" i="23"/>
  <c r="AC1006" i="23" s="1"/>
  <c r="O1006" i="23"/>
  <c r="Y1006" i="23" s="1"/>
  <c r="AD893" i="23"/>
  <c r="M726" i="23"/>
  <c r="N726" i="23"/>
  <c r="O726" i="23"/>
  <c r="Y726" i="23" s="1"/>
  <c r="AB726" i="23"/>
  <c r="AC726" i="23" s="1"/>
  <c r="AD725" i="23"/>
  <c r="AG725" i="23"/>
  <c r="N446" i="23"/>
  <c r="W446" i="23" s="1"/>
  <c r="M446" i="23"/>
  <c r="O446" i="23"/>
  <c r="Y446" i="23" s="1"/>
  <c r="AB446" i="23"/>
  <c r="AC446" i="23" s="1"/>
  <c r="AB278" i="23"/>
  <c r="AC278" i="23" s="1"/>
  <c r="O278" i="23"/>
  <c r="Y278" i="23" s="1"/>
  <c r="M278" i="23"/>
  <c r="N278" i="23"/>
  <c r="M4703" i="22"/>
  <c r="N4703" i="22"/>
  <c r="M4079" i="22"/>
  <c r="N4079" i="22"/>
  <c r="U4079" i="22" s="1"/>
  <c r="M3779" i="22"/>
  <c r="N3779" i="22"/>
  <c r="BO65" i="22"/>
  <c r="M3401" i="22"/>
  <c r="N3401" i="22"/>
  <c r="M3347" i="22"/>
  <c r="N3347" i="22"/>
  <c r="BO64" i="22"/>
  <c r="M3131" i="22"/>
  <c r="N3131" i="22"/>
  <c r="BO60" i="22"/>
  <c r="N3077" i="22"/>
  <c r="M3077" i="22"/>
  <c r="M3023" i="22"/>
  <c r="N3023" i="22"/>
  <c r="BO57" i="22"/>
  <c r="M2969" i="22"/>
  <c r="N2969" i="22"/>
  <c r="M2699" i="22"/>
  <c r="N2699" i="22"/>
  <c r="BO51" i="22"/>
  <c r="M2645" i="22"/>
  <c r="N2645" i="22"/>
  <c r="N2591" i="22"/>
  <c r="M2591" i="22"/>
  <c r="BO50" i="22"/>
  <c r="BO39" i="22"/>
  <c r="M1997" i="22"/>
  <c r="N1997" i="22"/>
  <c r="BO38" i="22"/>
  <c r="M1943" i="22"/>
  <c r="N1943" i="22"/>
  <c r="M1889" i="22"/>
  <c r="N1889" i="22"/>
  <c r="M1565" i="22"/>
  <c r="N1565" i="22"/>
  <c r="M1511" i="22"/>
  <c r="N1511" i="22"/>
  <c r="M1187" i="22"/>
  <c r="N1187" i="22"/>
  <c r="BO24" i="22"/>
  <c r="F92" i="7"/>
  <c r="BO23" i="22"/>
  <c r="F91" i="7"/>
  <c r="M1133" i="22"/>
  <c r="N1133" i="22"/>
  <c r="BO18" i="22"/>
  <c r="F86" i="7"/>
  <c r="M863" i="22"/>
  <c r="N863" i="22"/>
  <c r="BO11" i="22"/>
  <c r="F79" i="7"/>
  <c r="M485" i="22"/>
  <c r="N485" i="22"/>
  <c r="BO5" i="22"/>
  <c r="F73" i="7"/>
  <c r="N161" i="22"/>
  <c r="M161" i="22"/>
  <c r="D127" i="7"/>
  <c r="D65" i="7"/>
  <c r="E96" i="7"/>
  <c r="X1622" i="23"/>
  <c r="W1622" i="23"/>
  <c r="X1566" i="23"/>
  <c r="W1566" i="23"/>
  <c r="X1398" i="23"/>
  <c r="W1398" i="23"/>
  <c r="K1399" i="23"/>
  <c r="F1399" i="23"/>
  <c r="K1343" i="23"/>
  <c r="F1343" i="23"/>
  <c r="X1342" i="23"/>
  <c r="W1342" i="23"/>
  <c r="W1286" i="23"/>
  <c r="X1286" i="23"/>
  <c r="X1230" i="23"/>
  <c r="W1230" i="23"/>
  <c r="X1174" i="23"/>
  <c r="W1174" i="23"/>
  <c r="AD1118" i="23"/>
  <c r="K1119" i="23"/>
  <c r="F1119" i="23"/>
  <c r="X1062" i="23"/>
  <c r="W1062" i="23"/>
  <c r="X950" i="23"/>
  <c r="W950" i="23"/>
  <c r="F951" i="23"/>
  <c r="K951" i="23"/>
  <c r="X894" i="23"/>
  <c r="W894" i="23"/>
  <c r="X838" i="23"/>
  <c r="W838" i="23"/>
  <c r="X782" i="23"/>
  <c r="W782" i="23"/>
  <c r="AD670" i="23"/>
  <c r="K671" i="23"/>
  <c r="F671" i="23"/>
  <c r="X614" i="23"/>
  <c r="W614" i="23"/>
  <c r="K615" i="23"/>
  <c r="F615" i="23"/>
  <c r="X558" i="23"/>
  <c r="W558" i="23"/>
  <c r="X502" i="23"/>
  <c r="W502" i="23"/>
  <c r="X390" i="23"/>
  <c r="W390" i="23"/>
  <c r="X334" i="23"/>
  <c r="W334" i="23"/>
  <c r="K335" i="23"/>
  <c r="F335" i="23"/>
  <c r="D4650" i="22"/>
  <c r="F4650" i="22"/>
  <c r="O4650" i="22" s="1"/>
  <c r="F4188" i="22"/>
  <c r="O4188" i="22" s="1"/>
  <c r="K4188" i="22"/>
  <c r="K4134" i="22"/>
  <c r="F4134" i="22"/>
  <c r="O4134" i="22" s="1"/>
  <c r="K3780" i="22"/>
  <c r="F3780" i="22"/>
  <c r="O3780" i="22" s="1"/>
  <c r="BP71" i="22"/>
  <c r="BP70" i="22"/>
  <c r="K3564" i="22"/>
  <c r="F3564" i="22"/>
  <c r="O3564" i="22" s="1"/>
  <c r="F3456" i="22"/>
  <c r="O3456" i="22" s="1"/>
  <c r="K3456" i="22"/>
  <c r="F3402" i="22"/>
  <c r="O3402" i="22" s="1"/>
  <c r="BP65" i="22" s="1"/>
  <c r="K3402" i="22"/>
  <c r="F3348" i="22"/>
  <c r="O3348" i="22" s="1"/>
  <c r="BP64" i="22" s="1"/>
  <c r="K3348" i="22"/>
  <c r="BP62" i="22"/>
  <c r="K3078" i="22"/>
  <c r="F3078" i="22"/>
  <c r="O3078" i="22" s="1"/>
  <c r="BP59" i="22" s="1"/>
  <c r="K3024" i="22"/>
  <c r="F3024" i="22"/>
  <c r="O3024" i="22" s="1"/>
  <c r="BP54" i="22"/>
  <c r="BP53" i="22"/>
  <c r="F2646" i="22"/>
  <c r="O2646" i="22" s="1"/>
  <c r="K2646" i="22"/>
  <c r="BP48" i="22"/>
  <c r="BP47" i="22"/>
  <c r="BP46" i="22"/>
  <c r="BP45" i="22"/>
  <c r="K2268" i="22"/>
  <c r="F2268" i="22"/>
  <c r="O2268" i="22" s="1"/>
  <c r="BP42" i="22"/>
  <c r="BP41" i="22"/>
  <c r="BP40" i="22"/>
  <c r="K1890" i="22"/>
  <c r="F1890" i="22"/>
  <c r="O1890" i="22" s="1"/>
  <c r="BP37" i="22" s="1"/>
  <c r="K1836" i="22"/>
  <c r="F1836" i="22"/>
  <c r="O1836" i="22" s="1"/>
  <c r="BP35" i="22"/>
  <c r="BP34" i="22"/>
  <c r="BP33" i="22"/>
  <c r="K1566" i="22"/>
  <c r="F1566" i="22"/>
  <c r="O1566" i="22" s="1"/>
  <c r="BP31" i="22" s="1"/>
  <c r="K1512" i="22"/>
  <c r="F1512" i="22"/>
  <c r="O1512" i="22" s="1"/>
  <c r="BP30" i="22" s="1"/>
  <c r="F1458" i="22"/>
  <c r="O1458" i="22" s="1"/>
  <c r="K1458" i="22"/>
  <c r="BP26" i="22"/>
  <c r="BP25" i="22"/>
  <c r="K1080" i="22"/>
  <c r="F1080" i="22"/>
  <c r="O1080" i="22" s="1"/>
  <c r="K756" i="22"/>
  <c r="F756" i="22"/>
  <c r="O756" i="22" s="1"/>
  <c r="K432" i="22"/>
  <c r="F432" i="22"/>
  <c r="O432" i="22" s="1"/>
  <c r="BP7" i="22"/>
  <c r="F108" i="22"/>
  <c r="O108" i="22" s="1"/>
  <c r="K108" i="22"/>
  <c r="F46" i="17"/>
  <c r="C46" i="18" s="1"/>
  <c r="E46" i="18" s="1"/>
  <c r="K46" i="17"/>
  <c r="BO59" i="22"/>
  <c r="BO58" i="22"/>
  <c r="BO52" i="22"/>
  <c r="BO37" i="22"/>
  <c r="BO31" i="22"/>
  <c r="BO30" i="22"/>
  <c r="N2538" i="22" l="1"/>
  <c r="N378" i="22"/>
  <c r="E127" i="7"/>
  <c r="E65" i="7"/>
  <c r="F96" i="7"/>
  <c r="K1008" i="23"/>
  <c r="F1008" i="23"/>
  <c r="K448" i="23"/>
  <c r="F448" i="23"/>
  <c r="N447" i="23"/>
  <c r="W447" i="23"/>
  <c r="AD447" i="23" s="1"/>
  <c r="X447" i="23"/>
  <c r="K4135" i="22"/>
  <c r="F4135" i="22"/>
  <c r="O4135" i="22" s="1"/>
  <c r="K3187" i="22"/>
  <c r="F3187" i="22"/>
  <c r="O3187" i="22" s="1"/>
  <c r="BQ61" i="22" s="1"/>
  <c r="K2755" i="22"/>
  <c r="F2755" i="22"/>
  <c r="O2755" i="22" s="1"/>
  <c r="K2215" i="22"/>
  <c r="F2215" i="22"/>
  <c r="O2215" i="22" s="1"/>
  <c r="K1945" i="22"/>
  <c r="F1945" i="22"/>
  <c r="O1945" i="22" s="1"/>
  <c r="BQ38" i="22" s="1"/>
  <c r="K1891" i="22"/>
  <c r="F1891" i="22"/>
  <c r="O1891" i="22" s="1"/>
  <c r="BQ37" i="22" s="1"/>
  <c r="K1837" i="22"/>
  <c r="F1837" i="22"/>
  <c r="O1837" i="22" s="1"/>
  <c r="BQ36" i="22" s="1"/>
  <c r="K1567" i="22"/>
  <c r="F1567" i="22"/>
  <c r="O1567" i="22" s="1"/>
  <c r="BQ31" i="22" s="1"/>
  <c r="D105" i="8"/>
  <c r="D107" i="8"/>
  <c r="AI1621" i="23"/>
  <c r="E104" i="8"/>
  <c r="C133" i="8"/>
  <c r="Y1623" i="23"/>
  <c r="G106" i="8"/>
  <c r="M1624" i="23"/>
  <c r="J1624" i="23"/>
  <c r="N1624" i="23" s="1"/>
  <c r="D1624" i="23"/>
  <c r="O1624" i="23"/>
  <c r="AB1624" i="23"/>
  <c r="AC1624" i="23" s="1"/>
  <c r="P1624" i="23"/>
  <c r="Q1624" i="23"/>
  <c r="R1624" i="23"/>
  <c r="AF1624" i="23"/>
  <c r="I1625" i="23"/>
  <c r="L1625" i="23"/>
  <c r="C1625" i="23"/>
  <c r="E1625" i="23"/>
  <c r="G1625" i="23"/>
  <c r="B1626" i="23"/>
  <c r="M1568" i="23"/>
  <c r="J1568" i="23"/>
  <c r="N1568" i="23" s="1"/>
  <c r="D1568" i="23"/>
  <c r="O1568" i="23"/>
  <c r="AB1568" i="23"/>
  <c r="AC1568" i="23" s="1"/>
  <c r="P1568" i="23"/>
  <c r="Q1568" i="23"/>
  <c r="R1568" i="23"/>
  <c r="AF1568" i="23"/>
  <c r="L1569" i="23"/>
  <c r="I1569" i="23"/>
  <c r="C1569" i="23"/>
  <c r="E1569" i="23"/>
  <c r="G1569" i="23"/>
  <c r="B1570" i="23"/>
  <c r="J1512" i="23"/>
  <c r="D1512" i="23"/>
  <c r="P1512" i="23"/>
  <c r="Q1512" i="23"/>
  <c r="R1512" i="23"/>
  <c r="AF1512" i="23"/>
  <c r="L1513" i="23"/>
  <c r="I1513" i="23"/>
  <c r="C1513" i="23"/>
  <c r="K1513" i="23" s="1"/>
  <c r="E1513" i="23"/>
  <c r="F1513" i="23"/>
  <c r="G1513" i="23"/>
  <c r="B1514" i="23"/>
  <c r="J1456" i="23"/>
  <c r="D1456" i="23"/>
  <c r="P1456" i="23"/>
  <c r="Q1456" i="23"/>
  <c r="R1456" i="23"/>
  <c r="AF1456" i="23"/>
  <c r="L1457" i="23"/>
  <c r="I1457" i="23"/>
  <c r="C1457" i="23"/>
  <c r="K1457" i="23" s="1"/>
  <c r="E1457" i="23"/>
  <c r="F1457" i="23"/>
  <c r="G1457" i="23"/>
  <c r="B1458" i="23"/>
  <c r="M1400" i="23"/>
  <c r="J1400" i="23"/>
  <c r="N1400" i="23" s="1"/>
  <c r="D1400" i="23"/>
  <c r="O1400" i="23"/>
  <c r="Y1400" i="23" s="1"/>
  <c r="AB1400" i="23"/>
  <c r="AC1400" i="23"/>
  <c r="P1400" i="23"/>
  <c r="Q1400" i="23"/>
  <c r="R1400" i="23"/>
  <c r="AF1400" i="23"/>
  <c r="L1401" i="23"/>
  <c r="I1401" i="23"/>
  <c r="C1401" i="23"/>
  <c r="K1401" i="23" s="1"/>
  <c r="E1401" i="23"/>
  <c r="F1401" i="23"/>
  <c r="G1401" i="23"/>
  <c r="B1402" i="23"/>
  <c r="M1344" i="23"/>
  <c r="P1344" i="23"/>
  <c r="R1344" i="23"/>
  <c r="Q1344" i="23"/>
  <c r="AF1344" i="23"/>
  <c r="J1344" i="23"/>
  <c r="N1344" i="23" s="1"/>
  <c r="D1344" i="23"/>
  <c r="L1345" i="23"/>
  <c r="I1345" i="23"/>
  <c r="G1345" i="23"/>
  <c r="B1346" i="23"/>
  <c r="C1345" i="23"/>
  <c r="K1345" i="23" s="1"/>
  <c r="E1345" i="23"/>
  <c r="F1345" i="23"/>
  <c r="O1344" i="23"/>
  <c r="Y1344" i="23" s="1"/>
  <c r="AB1344" i="23"/>
  <c r="AC1344" i="23" s="1"/>
  <c r="J1288" i="23"/>
  <c r="D1288" i="23"/>
  <c r="P1288" i="23"/>
  <c r="Q1288" i="23"/>
  <c r="R1288" i="23"/>
  <c r="AF1288" i="23"/>
  <c r="L1289" i="23"/>
  <c r="I1289" i="23"/>
  <c r="C1289" i="23"/>
  <c r="K1289" i="23" s="1"/>
  <c r="E1289" i="23"/>
  <c r="F1289" i="23"/>
  <c r="G1289" i="23"/>
  <c r="B1290" i="23"/>
  <c r="M1232" i="23"/>
  <c r="J1232" i="23"/>
  <c r="N1232" i="23" s="1"/>
  <c r="D1232" i="23"/>
  <c r="O1232" i="23"/>
  <c r="Y1232" i="23" s="1"/>
  <c r="AB1232" i="23"/>
  <c r="AC1232" i="23"/>
  <c r="P1232" i="23"/>
  <c r="Q1232" i="23"/>
  <c r="R1232" i="23"/>
  <c r="AF1232" i="23"/>
  <c r="L1233" i="23"/>
  <c r="I1233" i="23"/>
  <c r="C1233" i="23"/>
  <c r="K1233" i="23" s="1"/>
  <c r="E1233" i="23"/>
  <c r="F1233" i="23"/>
  <c r="G1233" i="23"/>
  <c r="B1234" i="23"/>
  <c r="M1176" i="23"/>
  <c r="J1176" i="23"/>
  <c r="N1176" i="23" s="1"/>
  <c r="D1176" i="23"/>
  <c r="O1176" i="23"/>
  <c r="Y1176" i="23" s="1"/>
  <c r="AB1176" i="23"/>
  <c r="AC1176" i="23"/>
  <c r="P1176" i="23"/>
  <c r="Q1176" i="23"/>
  <c r="R1176" i="23"/>
  <c r="AF1176" i="23"/>
  <c r="L1177" i="23"/>
  <c r="I1177" i="23"/>
  <c r="C1177" i="23"/>
  <c r="K1177" i="23" s="1"/>
  <c r="E1177" i="23"/>
  <c r="F1177" i="23"/>
  <c r="G1177" i="23"/>
  <c r="B1178" i="23"/>
  <c r="J1120" i="23"/>
  <c r="D1120" i="23"/>
  <c r="P1120" i="23"/>
  <c r="Q1120" i="23"/>
  <c r="R1120" i="23"/>
  <c r="X1120" i="23"/>
  <c r="AF1120" i="23"/>
  <c r="L1121" i="23"/>
  <c r="I1121" i="23"/>
  <c r="C1121" i="23"/>
  <c r="K1121" i="23" s="1"/>
  <c r="E1121" i="23"/>
  <c r="F1121" i="23"/>
  <c r="G1121" i="23"/>
  <c r="B1122" i="23"/>
  <c r="M1064" i="23"/>
  <c r="J1064" i="23"/>
  <c r="N1064" i="23" s="1"/>
  <c r="D1064" i="23"/>
  <c r="O1064" i="23"/>
  <c r="Y1064" i="23" s="1"/>
  <c r="AB1064" i="23"/>
  <c r="AC1064" i="23" s="1"/>
  <c r="P1064" i="23"/>
  <c r="Q1064" i="23"/>
  <c r="R1064" i="23"/>
  <c r="AF1064" i="23"/>
  <c r="L1065" i="23"/>
  <c r="I1065" i="23"/>
  <c r="C1065" i="23"/>
  <c r="E1065" i="23"/>
  <c r="G1065" i="23"/>
  <c r="B1066" i="23"/>
  <c r="M1008" i="23"/>
  <c r="J1008" i="23"/>
  <c r="N1008" i="23" s="1"/>
  <c r="D1008" i="23"/>
  <c r="O1008" i="23"/>
  <c r="Y1008" i="23" s="1"/>
  <c r="AB1008" i="23"/>
  <c r="AC1008" i="23"/>
  <c r="P1008" i="23"/>
  <c r="Q1008" i="23"/>
  <c r="R1008" i="23"/>
  <c r="AF1008" i="23"/>
  <c r="L1009" i="23"/>
  <c r="I1009" i="23"/>
  <c r="C1009" i="23"/>
  <c r="K1009" i="23" s="1"/>
  <c r="E1009" i="23"/>
  <c r="F1009" i="23"/>
  <c r="G1009" i="23"/>
  <c r="B1010" i="23"/>
  <c r="M952" i="23"/>
  <c r="J952" i="23"/>
  <c r="N952" i="23" s="1"/>
  <c r="D952" i="23"/>
  <c r="O952" i="23"/>
  <c r="Y952" i="23" s="1"/>
  <c r="AB952" i="23"/>
  <c r="AC952" i="23" s="1"/>
  <c r="P952" i="23"/>
  <c r="Q952" i="23"/>
  <c r="R952" i="23"/>
  <c r="AF952" i="23"/>
  <c r="L953" i="23"/>
  <c r="I953" i="23"/>
  <c r="C953" i="23"/>
  <c r="K953" i="23" s="1"/>
  <c r="E953" i="23"/>
  <c r="F953" i="23"/>
  <c r="G953" i="23"/>
  <c r="B954" i="23"/>
  <c r="M896" i="23"/>
  <c r="J896" i="23"/>
  <c r="N896" i="23" s="1"/>
  <c r="D896" i="23"/>
  <c r="O896" i="23"/>
  <c r="Y896" i="23" s="1"/>
  <c r="AB896" i="23"/>
  <c r="AC896" i="23"/>
  <c r="P896" i="23"/>
  <c r="Q896" i="23"/>
  <c r="R896" i="23"/>
  <c r="AF896" i="23"/>
  <c r="L897" i="23"/>
  <c r="I897" i="23"/>
  <c r="C897" i="23"/>
  <c r="K897" i="23" s="1"/>
  <c r="E897" i="23"/>
  <c r="F897" i="23"/>
  <c r="G897" i="23"/>
  <c r="B898" i="23"/>
  <c r="M840" i="23"/>
  <c r="J840" i="23"/>
  <c r="N840" i="23" s="1"/>
  <c r="D840" i="23"/>
  <c r="O840" i="23"/>
  <c r="Y840" i="23" s="1"/>
  <c r="AB840" i="23"/>
  <c r="AC840" i="23"/>
  <c r="P840" i="23"/>
  <c r="Q840" i="23"/>
  <c r="R840" i="23"/>
  <c r="AF840" i="23"/>
  <c r="L841" i="23"/>
  <c r="I841" i="23"/>
  <c r="C841" i="23"/>
  <c r="K841" i="23" s="1"/>
  <c r="E841" i="23"/>
  <c r="F841" i="23"/>
  <c r="G841" i="23"/>
  <c r="B842" i="23"/>
  <c r="M784" i="23"/>
  <c r="J784" i="23"/>
  <c r="N784" i="23" s="1"/>
  <c r="D784" i="23"/>
  <c r="O784" i="23"/>
  <c r="Y784" i="23" s="1"/>
  <c r="AB784" i="23"/>
  <c r="AC784" i="23"/>
  <c r="P784" i="23"/>
  <c r="Q784" i="23"/>
  <c r="R784" i="23"/>
  <c r="AF784" i="23"/>
  <c r="L785" i="23"/>
  <c r="I785" i="23"/>
  <c r="C785" i="23"/>
  <c r="E785" i="23"/>
  <c r="G785" i="23"/>
  <c r="B786" i="23"/>
  <c r="L729" i="23"/>
  <c r="I729" i="23"/>
  <c r="B730" i="23"/>
  <c r="E729" i="23"/>
  <c r="C729" i="23"/>
  <c r="G729" i="23"/>
  <c r="J728" i="23"/>
  <c r="D728" i="23"/>
  <c r="P728" i="23"/>
  <c r="Q728" i="23"/>
  <c r="R728" i="23"/>
  <c r="AF728" i="23"/>
  <c r="M672" i="23"/>
  <c r="J672" i="23"/>
  <c r="N672" i="23" s="1"/>
  <c r="W672" i="23" s="1"/>
  <c r="D672" i="23"/>
  <c r="O672" i="23"/>
  <c r="Y672" i="23" s="1"/>
  <c r="AB672" i="23"/>
  <c r="AC672" i="23"/>
  <c r="P672" i="23"/>
  <c r="Q672" i="23"/>
  <c r="R672" i="23"/>
  <c r="X672" i="23"/>
  <c r="AF672" i="23"/>
  <c r="L673" i="23"/>
  <c r="I673" i="23"/>
  <c r="C673" i="23"/>
  <c r="E673" i="23"/>
  <c r="G673" i="23"/>
  <c r="B674" i="23"/>
  <c r="J616" i="23"/>
  <c r="D616" i="23"/>
  <c r="P616" i="23"/>
  <c r="Q616" i="23"/>
  <c r="R616" i="23"/>
  <c r="AF616" i="23"/>
  <c r="L617" i="23"/>
  <c r="I617" i="23"/>
  <c r="C617" i="23"/>
  <c r="K617" i="23" s="1"/>
  <c r="E617" i="23"/>
  <c r="F617" i="23"/>
  <c r="G617" i="23"/>
  <c r="B618" i="23"/>
  <c r="J560" i="23"/>
  <c r="D560" i="23"/>
  <c r="P560" i="23"/>
  <c r="Q560" i="23"/>
  <c r="R560" i="23"/>
  <c r="AF560" i="23"/>
  <c r="L561" i="23"/>
  <c r="I561" i="23"/>
  <c r="C561" i="23"/>
  <c r="K561" i="23" s="1"/>
  <c r="E561" i="23"/>
  <c r="F561" i="23"/>
  <c r="G561" i="23"/>
  <c r="B562" i="23"/>
  <c r="M504" i="23"/>
  <c r="J504" i="23"/>
  <c r="N504" i="23" s="1"/>
  <c r="D504" i="23"/>
  <c r="O504" i="23"/>
  <c r="Y504" i="23" s="1"/>
  <c r="AB504" i="23"/>
  <c r="AC504" i="23"/>
  <c r="P504" i="23"/>
  <c r="Q504" i="23"/>
  <c r="R504" i="23"/>
  <c r="AF504" i="23"/>
  <c r="L505" i="23"/>
  <c r="I505" i="23"/>
  <c r="C505" i="23"/>
  <c r="K505" i="23" s="1"/>
  <c r="E505" i="23"/>
  <c r="F505" i="23"/>
  <c r="G505" i="23"/>
  <c r="B506" i="23"/>
  <c r="M448" i="23"/>
  <c r="P448" i="23"/>
  <c r="Q448" i="23"/>
  <c r="R448" i="23"/>
  <c r="AF448" i="23"/>
  <c r="J448" i="23"/>
  <c r="N448" i="23" s="1"/>
  <c r="D448" i="23"/>
  <c r="O448" i="23"/>
  <c r="Y448" i="23" s="1"/>
  <c r="AB448" i="23"/>
  <c r="AC448" i="23" s="1"/>
  <c r="L449" i="23"/>
  <c r="I449" i="23"/>
  <c r="C449" i="23"/>
  <c r="B450" i="23"/>
  <c r="E449" i="23"/>
  <c r="G449" i="23"/>
  <c r="M392" i="23"/>
  <c r="J392" i="23"/>
  <c r="N392" i="23" s="1"/>
  <c r="D392" i="23"/>
  <c r="O392" i="23"/>
  <c r="Y392" i="23" s="1"/>
  <c r="AB392" i="23"/>
  <c r="AC392" i="23"/>
  <c r="P392" i="23"/>
  <c r="Q392" i="23"/>
  <c r="R392" i="23"/>
  <c r="AF392" i="23"/>
  <c r="L393" i="23"/>
  <c r="I393" i="23"/>
  <c r="C393" i="23"/>
  <c r="K393" i="23" s="1"/>
  <c r="E393" i="23"/>
  <c r="F393" i="23"/>
  <c r="G393" i="23"/>
  <c r="B394" i="23"/>
  <c r="M336" i="23"/>
  <c r="J336" i="23"/>
  <c r="N336" i="23" s="1"/>
  <c r="D336" i="23"/>
  <c r="O336" i="23"/>
  <c r="Y336" i="23" s="1"/>
  <c r="AB336" i="23"/>
  <c r="AC336" i="23"/>
  <c r="P336" i="23"/>
  <c r="Q336" i="23"/>
  <c r="R336" i="23"/>
  <c r="AF336" i="23"/>
  <c r="L337" i="23"/>
  <c r="I337" i="23"/>
  <c r="C337" i="23"/>
  <c r="K337" i="23" s="1"/>
  <c r="E337" i="23"/>
  <c r="F337" i="23"/>
  <c r="G337" i="23"/>
  <c r="B338" i="23"/>
  <c r="M280" i="23"/>
  <c r="J280" i="23"/>
  <c r="N280" i="23" s="1"/>
  <c r="D280" i="23"/>
  <c r="O280" i="23"/>
  <c r="Y280" i="23" s="1"/>
  <c r="AB280" i="23"/>
  <c r="AC280" i="23"/>
  <c r="P280" i="23"/>
  <c r="Q280" i="23"/>
  <c r="R280" i="23"/>
  <c r="AF280" i="23"/>
  <c r="L281" i="23"/>
  <c r="I281" i="23"/>
  <c r="C281" i="23"/>
  <c r="K281" i="23" s="1"/>
  <c r="E281" i="23"/>
  <c r="F281" i="23"/>
  <c r="G281" i="23"/>
  <c r="B282" i="23"/>
  <c r="D4759" i="22"/>
  <c r="J4759" i="22"/>
  <c r="N4759" i="22" s="1"/>
  <c r="P4759" i="22"/>
  <c r="Q4759" i="22"/>
  <c r="R4759" i="22"/>
  <c r="M4759" i="22"/>
  <c r="C4760" i="22"/>
  <c r="F4760" i="22" s="1"/>
  <c r="E4760" i="22"/>
  <c r="G4760" i="22"/>
  <c r="I4760" i="22"/>
  <c r="K4760" i="22"/>
  <c r="L4760" i="22"/>
  <c r="B4761" i="22"/>
  <c r="T4703" i="22"/>
  <c r="D34" i="15" s="1"/>
  <c r="S4704" i="22"/>
  <c r="T4704" i="22" s="1"/>
  <c r="D35" i="15" s="1"/>
  <c r="U4704" i="22"/>
  <c r="M4705" i="22"/>
  <c r="D4705" i="22"/>
  <c r="J4705" i="22"/>
  <c r="N4705" i="22" s="1"/>
  <c r="P4705" i="22"/>
  <c r="Q4705" i="22"/>
  <c r="R4705" i="22"/>
  <c r="L4706" i="22"/>
  <c r="C4706" i="22"/>
  <c r="E4706" i="22"/>
  <c r="G4706" i="22"/>
  <c r="I4706" i="22"/>
  <c r="B4707" i="22"/>
  <c r="P4651" i="22"/>
  <c r="Q4651" i="22"/>
  <c r="R4651" i="22"/>
  <c r="C4652" i="22"/>
  <c r="E4652" i="22"/>
  <c r="G4652" i="22"/>
  <c r="B4653" i="22"/>
  <c r="M4597" i="22"/>
  <c r="J4597" i="22"/>
  <c r="N4597" i="22" s="1"/>
  <c r="D4597" i="22"/>
  <c r="P4597" i="22"/>
  <c r="Q4597" i="22"/>
  <c r="R4597" i="22"/>
  <c r="I4598" i="22"/>
  <c r="L4598" i="22"/>
  <c r="C4598" i="22"/>
  <c r="E4598" i="22"/>
  <c r="G4598" i="22"/>
  <c r="B4599" i="22"/>
  <c r="D4543" i="22"/>
  <c r="J4543" i="22"/>
  <c r="P4543" i="22"/>
  <c r="Q4543" i="22"/>
  <c r="R4543" i="22"/>
  <c r="L4544" i="22"/>
  <c r="C4544" i="22"/>
  <c r="K4544" i="22" s="1"/>
  <c r="E4544" i="22"/>
  <c r="F4544" i="22"/>
  <c r="G4544" i="22"/>
  <c r="I4544" i="22"/>
  <c r="B4545" i="22"/>
  <c r="D4243" i="22"/>
  <c r="J4243" i="22"/>
  <c r="N4243" i="22" s="1"/>
  <c r="U4243" i="22" s="1"/>
  <c r="P4243" i="22"/>
  <c r="Q4243" i="22"/>
  <c r="R4243" i="22"/>
  <c r="M4243" i="22"/>
  <c r="C4244" i="22"/>
  <c r="E4244" i="22"/>
  <c r="F4244" i="22"/>
  <c r="O4244" i="22" s="1"/>
  <c r="G4244" i="22"/>
  <c r="I4244" i="22"/>
  <c r="K4244" i="22"/>
  <c r="L4244" i="22"/>
  <c r="B4245" i="22"/>
  <c r="M4189" i="22"/>
  <c r="D4189" i="22"/>
  <c r="J4189" i="22"/>
  <c r="N4189" i="22" s="1"/>
  <c r="U4189" i="22" s="1"/>
  <c r="P4189" i="22"/>
  <c r="Q4189" i="22"/>
  <c r="R4189" i="22"/>
  <c r="L4190" i="22"/>
  <c r="C4190" i="22"/>
  <c r="K4190" i="22" s="1"/>
  <c r="E4190" i="22"/>
  <c r="F4190" i="22"/>
  <c r="O4190" i="22" s="1"/>
  <c r="G4190" i="22"/>
  <c r="I4190" i="22"/>
  <c r="B4191" i="22"/>
  <c r="M4135" i="22"/>
  <c r="D4135" i="22"/>
  <c r="J4135" i="22"/>
  <c r="N4135" i="22" s="1"/>
  <c r="U4135" i="22" s="1"/>
  <c r="P4135" i="22"/>
  <c r="Q4135" i="22"/>
  <c r="R4135" i="22"/>
  <c r="L4136" i="22"/>
  <c r="C4136" i="22"/>
  <c r="K4136" i="22" s="1"/>
  <c r="E4136" i="22"/>
  <c r="F4136" i="22"/>
  <c r="O4136" i="22" s="1"/>
  <c r="G4136" i="22"/>
  <c r="I4136" i="22"/>
  <c r="B4137" i="22"/>
  <c r="M4081" i="22"/>
  <c r="D4081" i="22"/>
  <c r="J4081" i="22"/>
  <c r="N4081" i="22" s="1"/>
  <c r="U4081" i="22" s="1"/>
  <c r="P4081" i="22"/>
  <c r="Q4081" i="22"/>
  <c r="R4081" i="22"/>
  <c r="L4082" i="22"/>
  <c r="C4082" i="22"/>
  <c r="K4082" i="22" s="1"/>
  <c r="E4082" i="22"/>
  <c r="F4082" i="22"/>
  <c r="O4082" i="22" s="1"/>
  <c r="G4082" i="22"/>
  <c r="I4082" i="22"/>
  <c r="B4083" i="22"/>
  <c r="D3781" i="22"/>
  <c r="J3781" i="22"/>
  <c r="P3781" i="22"/>
  <c r="Q3781" i="22"/>
  <c r="R3781" i="22"/>
  <c r="L3782" i="22"/>
  <c r="C3782" i="22"/>
  <c r="E3782" i="22"/>
  <c r="G3782" i="22"/>
  <c r="I3782" i="22"/>
  <c r="B3783" i="22"/>
  <c r="U3726" i="22"/>
  <c r="AR71" i="22"/>
  <c r="BD71" i="22"/>
  <c r="M3727" i="22"/>
  <c r="D3727" i="22"/>
  <c r="J3727" i="22"/>
  <c r="N3727" i="22" s="1"/>
  <c r="P3727" i="22"/>
  <c r="Q3727" i="22"/>
  <c r="R3727" i="22"/>
  <c r="L3728" i="22"/>
  <c r="C3728" i="22"/>
  <c r="E3728" i="22"/>
  <c r="G3728" i="22"/>
  <c r="I3728" i="22"/>
  <c r="B3729" i="22"/>
  <c r="U3672" i="22"/>
  <c r="AR70" i="22"/>
  <c r="BD70" i="22"/>
  <c r="D3673" i="22"/>
  <c r="J3673" i="22"/>
  <c r="P3673" i="22"/>
  <c r="Q3673" i="22"/>
  <c r="R3673" i="22"/>
  <c r="L3674" i="22"/>
  <c r="C3674" i="22"/>
  <c r="K3674" i="22" s="1"/>
  <c r="E3674" i="22"/>
  <c r="F3674" i="22"/>
  <c r="O3674" i="22" s="1"/>
  <c r="BR70" i="22" s="1"/>
  <c r="G3674" i="22"/>
  <c r="I3674" i="22"/>
  <c r="B3675" i="22"/>
  <c r="U3618" i="22"/>
  <c r="AR69" i="22"/>
  <c r="BD69" i="22"/>
  <c r="D3619" i="22"/>
  <c r="J3619" i="22"/>
  <c r="P3619" i="22"/>
  <c r="Q3619" i="22"/>
  <c r="R3619" i="22"/>
  <c r="L3620" i="22"/>
  <c r="C3620" i="22"/>
  <c r="K3620" i="22" s="1"/>
  <c r="E3620" i="22"/>
  <c r="F3620" i="22"/>
  <c r="O3620" i="22" s="1"/>
  <c r="BR69" i="22" s="1"/>
  <c r="G3620" i="22"/>
  <c r="I3620" i="22"/>
  <c r="B3621" i="22"/>
  <c r="L3566" i="22"/>
  <c r="C3566" i="22"/>
  <c r="K3566" i="22" s="1"/>
  <c r="E3566" i="22"/>
  <c r="F3566" i="22"/>
  <c r="O3566" i="22" s="1"/>
  <c r="BR68" i="22" s="1"/>
  <c r="G3566" i="22"/>
  <c r="I3566" i="22"/>
  <c r="B3567" i="22"/>
  <c r="D3565" i="22"/>
  <c r="J3565" i="22"/>
  <c r="P3565" i="22"/>
  <c r="Q3565" i="22"/>
  <c r="R3565" i="22"/>
  <c r="U3510" i="22"/>
  <c r="AR67" i="22"/>
  <c r="BD67" i="22"/>
  <c r="M3511" i="22"/>
  <c r="D3511" i="22"/>
  <c r="J3511" i="22"/>
  <c r="N3511" i="22" s="1"/>
  <c r="P3511" i="22"/>
  <c r="Q3511" i="22"/>
  <c r="R3511" i="22"/>
  <c r="L3512" i="22"/>
  <c r="C3512" i="22"/>
  <c r="K3512" i="22" s="1"/>
  <c r="E3512" i="22"/>
  <c r="F3512" i="22"/>
  <c r="O3512" i="22" s="1"/>
  <c r="G3512" i="22"/>
  <c r="I3512" i="22"/>
  <c r="B3513" i="22"/>
  <c r="M3457" i="22"/>
  <c r="D3457" i="22"/>
  <c r="J3457" i="22"/>
  <c r="N3457" i="22" s="1"/>
  <c r="P3457" i="22"/>
  <c r="Q3457" i="22"/>
  <c r="R3457" i="22"/>
  <c r="L3458" i="22"/>
  <c r="C3458" i="22"/>
  <c r="K3458" i="22" s="1"/>
  <c r="E3458" i="22"/>
  <c r="F3458" i="22"/>
  <c r="O3458" i="22" s="1"/>
  <c r="G3458" i="22"/>
  <c r="I3458" i="22"/>
  <c r="B3459" i="22"/>
  <c r="D3403" i="22"/>
  <c r="J3403" i="22"/>
  <c r="P3403" i="22"/>
  <c r="Q3403" i="22"/>
  <c r="R3403" i="22"/>
  <c r="L3404" i="22"/>
  <c r="C3404" i="22"/>
  <c r="E3404" i="22"/>
  <c r="G3404" i="22"/>
  <c r="I3404" i="22"/>
  <c r="B3405" i="22"/>
  <c r="D3349" i="22"/>
  <c r="J3349" i="22"/>
  <c r="P3349" i="22"/>
  <c r="Q3349" i="22"/>
  <c r="R3349" i="22"/>
  <c r="L3350" i="22"/>
  <c r="C3350" i="22"/>
  <c r="E3350" i="22"/>
  <c r="G3350" i="22"/>
  <c r="I3350" i="22"/>
  <c r="B3351" i="22"/>
  <c r="U3294" i="22"/>
  <c r="AR63" i="22"/>
  <c r="BD63" i="22"/>
  <c r="D3295" i="22"/>
  <c r="J3295" i="22"/>
  <c r="P3295" i="22"/>
  <c r="Q3295" i="22"/>
  <c r="R3295" i="22"/>
  <c r="L3296" i="22"/>
  <c r="C3296" i="22"/>
  <c r="E3296" i="22"/>
  <c r="G3296" i="22"/>
  <c r="I3296" i="22"/>
  <c r="B3297" i="22"/>
  <c r="U3240" i="22"/>
  <c r="AR62" i="22"/>
  <c r="BD62" i="22"/>
  <c r="M3241" i="22"/>
  <c r="D3241" i="22"/>
  <c r="J3241" i="22"/>
  <c r="N3241" i="22" s="1"/>
  <c r="P3241" i="22"/>
  <c r="Q3241" i="22"/>
  <c r="R3241" i="22"/>
  <c r="L3242" i="22"/>
  <c r="C3242" i="22"/>
  <c r="E3242" i="22"/>
  <c r="G3242" i="22"/>
  <c r="I3242" i="22"/>
  <c r="B3243" i="22"/>
  <c r="U3186" i="22"/>
  <c r="AR61" i="22"/>
  <c r="BD61" i="22"/>
  <c r="M3187" i="22"/>
  <c r="D3187" i="22"/>
  <c r="J3187" i="22"/>
  <c r="N3187" i="22" s="1"/>
  <c r="P3187" i="22"/>
  <c r="Q3187" i="22"/>
  <c r="R3187" i="22"/>
  <c r="L3188" i="22"/>
  <c r="C3188" i="22"/>
  <c r="K3188" i="22" s="1"/>
  <c r="E3188" i="22"/>
  <c r="F3188" i="22"/>
  <c r="O3188" i="22" s="1"/>
  <c r="BR61" i="22" s="1"/>
  <c r="G3188" i="22"/>
  <c r="I3188" i="22"/>
  <c r="B3189" i="22"/>
  <c r="U3132" i="22"/>
  <c r="AR60" i="22"/>
  <c r="BD60" i="22"/>
  <c r="M3133" i="22"/>
  <c r="D3133" i="22"/>
  <c r="J3133" i="22"/>
  <c r="N3133" i="22" s="1"/>
  <c r="P3133" i="22"/>
  <c r="Q3133" i="22"/>
  <c r="R3133" i="22"/>
  <c r="L3134" i="22"/>
  <c r="C3134" i="22"/>
  <c r="K3134" i="22" s="1"/>
  <c r="E3134" i="22"/>
  <c r="F3134" i="22"/>
  <c r="O3134" i="22" s="1"/>
  <c r="G3134" i="22"/>
  <c r="B3135" i="22"/>
  <c r="I3134" i="22"/>
  <c r="M3079" i="22"/>
  <c r="L3080" i="22"/>
  <c r="C3080" i="22"/>
  <c r="E3080" i="22"/>
  <c r="G3080" i="22"/>
  <c r="I3080" i="22"/>
  <c r="B3081" i="22"/>
  <c r="D3079" i="22"/>
  <c r="J3079" i="22"/>
  <c r="N3079" i="22" s="1"/>
  <c r="P3079" i="22"/>
  <c r="Q3079" i="22"/>
  <c r="R3079" i="22"/>
  <c r="P3025" i="22"/>
  <c r="Q3025" i="22"/>
  <c r="R3025" i="22"/>
  <c r="L3026" i="22"/>
  <c r="C3026" i="22"/>
  <c r="E3026" i="22"/>
  <c r="G3026" i="22"/>
  <c r="B3027" i="22"/>
  <c r="I3026" i="22"/>
  <c r="J3025" i="22"/>
  <c r="D3025" i="22"/>
  <c r="U2970" i="22"/>
  <c r="AR57" i="22"/>
  <c r="BD57" i="22"/>
  <c r="J2971" i="22"/>
  <c r="D2971" i="22"/>
  <c r="P2971" i="22"/>
  <c r="Q2971" i="22"/>
  <c r="R2971" i="22"/>
  <c r="L2972" i="22"/>
  <c r="G2972" i="22"/>
  <c r="C2972" i="22"/>
  <c r="E2972" i="22"/>
  <c r="B2973" i="22"/>
  <c r="I2972" i="22"/>
  <c r="AR56" i="22"/>
  <c r="BD56" i="22"/>
  <c r="U2916" i="22"/>
  <c r="L2918" i="22"/>
  <c r="B2919" i="22"/>
  <c r="I2918" i="22"/>
  <c r="C2918" i="22"/>
  <c r="G2918" i="22"/>
  <c r="E2918" i="22"/>
  <c r="P2917" i="22"/>
  <c r="Q2917" i="22"/>
  <c r="R2917" i="22"/>
  <c r="J2917" i="22"/>
  <c r="D2917" i="22"/>
  <c r="U2862" i="22"/>
  <c r="AR55" i="22"/>
  <c r="BD55" i="22"/>
  <c r="D2863" i="22"/>
  <c r="J2863" i="22"/>
  <c r="P2863" i="22"/>
  <c r="Q2863" i="22"/>
  <c r="R2863" i="22"/>
  <c r="L2864" i="22"/>
  <c r="C2864" i="22"/>
  <c r="K2864" i="22" s="1"/>
  <c r="E2864" i="22"/>
  <c r="F2864" i="22"/>
  <c r="O2864" i="22" s="1"/>
  <c r="BR55" i="22" s="1"/>
  <c r="G2864" i="22"/>
  <c r="I2864" i="22"/>
  <c r="B2865" i="22"/>
  <c r="S2808" i="22"/>
  <c r="AR54" i="22"/>
  <c r="BD54" i="22"/>
  <c r="AL1623" i="23"/>
  <c r="U2808" i="22"/>
  <c r="D2809" i="22"/>
  <c r="J2809" i="22"/>
  <c r="P2809" i="22"/>
  <c r="Q2809" i="22"/>
  <c r="R2809" i="22"/>
  <c r="T2809" i="22"/>
  <c r="L2810" i="22"/>
  <c r="C2810" i="22"/>
  <c r="E2810" i="22"/>
  <c r="G2810" i="22"/>
  <c r="I2810" i="22"/>
  <c r="B2811" i="22"/>
  <c r="U2754" i="22"/>
  <c r="AR53" i="22"/>
  <c r="BD53" i="22"/>
  <c r="M2755" i="22"/>
  <c r="D2755" i="22"/>
  <c r="J2755" i="22"/>
  <c r="N2755" i="22" s="1"/>
  <c r="P2755" i="22"/>
  <c r="Q2755" i="22"/>
  <c r="R2755" i="22"/>
  <c r="L2756" i="22"/>
  <c r="C2756" i="22"/>
  <c r="E2756" i="22"/>
  <c r="G2756" i="22"/>
  <c r="I2756" i="22"/>
  <c r="B2757" i="22"/>
  <c r="U2700" i="22"/>
  <c r="AR52" i="22"/>
  <c r="BD52" i="22"/>
  <c r="M2701" i="22"/>
  <c r="D2701" i="22"/>
  <c r="J2701" i="22"/>
  <c r="N2701" i="22" s="1"/>
  <c r="P2701" i="22"/>
  <c r="Q2701" i="22"/>
  <c r="R2701" i="22"/>
  <c r="L2702" i="22"/>
  <c r="C2702" i="22"/>
  <c r="K2702" i="22" s="1"/>
  <c r="E2702" i="22"/>
  <c r="F2702" i="22"/>
  <c r="O2702" i="22" s="1"/>
  <c r="G2702" i="22"/>
  <c r="I2702" i="22"/>
  <c r="B2703" i="22"/>
  <c r="M2647" i="22"/>
  <c r="D2647" i="22"/>
  <c r="J2647" i="22"/>
  <c r="N2647" i="22" s="1"/>
  <c r="P2647" i="22"/>
  <c r="Q2647" i="22"/>
  <c r="R2647" i="22"/>
  <c r="L2648" i="22"/>
  <c r="C2648" i="22"/>
  <c r="K2648" i="22" s="1"/>
  <c r="E2648" i="22"/>
  <c r="F2648" i="22"/>
  <c r="O2648" i="22" s="1"/>
  <c r="G2648" i="22"/>
  <c r="I2648" i="22"/>
  <c r="B2649" i="22"/>
  <c r="AR50" i="22"/>
  <c r="BD50" i="22"/>
  <c r="U2592" i="22"/>
  <c r="M2593" i="22"/>
  <c r="J2593" i="22"/>
  <c r="N2593" i="22" s="1"/>
  <c r="D2593" i="22"/>
  <c r="P2593" i="22"/>
  <c r="Q2593" i="22"/>
  <c r="R2593" i="22"/>
  <c r="L2594" i="22"/>
  <c r="I2594" i="22"/>
  <c r="C2594" i="22"/>
  <c r="K2594" i="22" s="1"/>
  <c r="B2595" i="22"/>
  <c r="G2594" i="22"/>
  <c r="F2594" i="22"/>
  <c r="O2594" i="22" s="1"/>
  <c r="E2594" i="22"/>
  <c r="U2538" i="22"/>
  <c r="AR49" i="22"/>
  <c r="BD49" i="22"/>
  <c r="D2539" i="22"/>
  <c r="J2539" i="22"/>
  <c r="P2539" i="22"/>
  <c r="Q2539" i="22"/>
  <c r="R2539" i="22"/>
  <c r="L2540" i="22"/>
  <c r="C2540" i="22"/>
  <c r="E2540" i="22"/>
  <c r="G2540" i="22"/>
  <c r="I2540" i="22"/>
  <c r="B2541" i="22"/>
  <c r="U2484" i="22"/>
  <c r="AR48" i="22"/>
  <c r="BD48" i="22"/>
  <c r="D2485" i="22"/>
  <c r="J2485" i="22"/>
  <c r="P2485" i="22"/>
  <c r="Q2485" i="22"/>
  <c r="R2485" i="22"/>
  <c r="L2486" i="22"/>
  <c r="C2486" i="22"/>
  <c r="E2486" i="22"/>
  <c r="G2486" i="22"/>
  <c r="I2486" i="22"/>
  <c r="B2487" i="22"/>
  <c r="U2430" i="22"/>
  <c r="AR47" i="22"/>
  <c r="BD47" i="22"/>
  <c r="M2431" i="22"/>
  <c r="D2431" i="22"/>
  <c r="J2431" i="22"/>
  <c r="N2431" i="22" s="1"/>
  <c r="P2431" i="22"/>
  <c r="Q2431" i="22"/>
  <c r="R2431" i="22"/>
  <c r="L2432" i="22"/>
  <c r="C2432" i="22"/>
  <c r="E2432" i="22"/>
  <c r="G2432" i="22"/>
  <c r="I2432" i="22"/>
  <c r="B2433" i="22"/>
  <c r="U2376" i="22"/>
  <c r="AR46" i="22"/>
  <c r="BD46" i="22"/>
  <c r="M2377" i="22"/>
  <c r="D2377" i="22"/>
  <c r="J2377" i="22"/>
  <c r="N2377" i="22" s="1"/>
  <c r="P2377" i="22"/>
  <c r="Q2377" i="22"/>
  <c r="R2377" i="22"/>
  <c r="L2378" i="22"/>
  <c r="C2378" i="22"/>
  <c r="K2378" i="22" s="1"/>
  <c r="E2378" i="22"/>
  <c r="F2378" i="22"/>
  <c r="O2378" i="22" s="1"/>
  <c r="BR46" i="22" s="1"/>
  <c r="G2378" i="22"/>
  <c r="I2378" i="22"/>
  <c r="B2379" i="22"/>
  <c r="U2322" i="22"/>
  <c r="AR45" i="22"/>
  <c r="BD45" i="22"/>
  <c r="M2323" i="22"/>
  <c r="D2323" i="22"/>
  <c r="J2323" i="22"/>
  <c r="N2323" i="22" s="1"/>
  <c r="P2323" i="22"/>
  <c r="Q2323" i="22"/>
  <c r="R2323" i="22"/>
  <c r="L2324" i="22"/>
  <c r="C2324" i="22"/>
  <c r="K2324" i="22" s="1"/>
  <c r="E2324" i="22"/>
  <c r="F2324" i="22"/>
  <c r="O2324" i="22" s="1"/>
  <c r="G2324" i="22"/>
  <c r="I2324" i="22"/>
  <c r="B2325" i="22"/>
  <c r="M2269" i="22"/>
  <c r="D2269" i="22"/>
  <c r="J2269" i="22"/>
  <c r="N2269" i="22" s="1"/>
  <c r="P2269" i="22"/>
  <c r="Q2269" i="22"/>
  <c r="R2269" i="22"/>
  <c r="L2270" i="22"/>
  <c r="C2270" i="22"/>
  <c r="K2270" i="22" s="1"/>
  <c r="E2270" i="22"/>
  <c r="F2270" i="22"/>
  <c r="O2270" i="22" s="1"/>
  <c r="G2270" i="22"/>
  <c r="I2270" i="22"/>
  <c r="B2271" i="22"/>
  <c r="U2214" i="22"/>
  <c r="AR43" i="22"/>
  <c r="BD43" i="22"/>
  <c r="M2215" i="22"/>
  <c r="D2215" i="22"/>
  <c r="J2215" i="22"/>
  <c r="N2215" i="22" s="1"/>
  <c r="BQ43" i="22"/>
  <c r="P2215" i="22"/>
  <c r="Q2215" i="22"/>
  <c r="R2215" i="22"/>
  <c r="L2216" i="22"/>
  <c r="C2216" i="22"/>
  <c r="K2216" i="22" s="1"/>
  <c r="E2216" i="22"/>
  <c r="F2216" i="22"/>
  <c r="O2216" i="22" s="1"/>
  <c r="G2216" i="22"/>
  <c r="I2216" i="22"/>
  <c r="B2217" i="22"/>
  <c r="U2160" i="22"/>
  <c r="AR42" i="22"/>
  <c r="BD42" i="22"/>
  <c r="M2161" i="22"/>
  <c r="D2161" i="22"/>
  <c r="J2161" i="22"/>
  <c r="N2161" i="22" s="1"/>
  <c r="P2161" i="22"/>
  <c r="Q2161" i="22"/>
  <c r="R2161" i="22"/>
  <c r="L2162" i="22"/>
  <c r="C2162" i="22"/>
  <c r="K2162" i="22" s="1"/>
  <c r="E2162" i="22"/>
  <c r="F2162" i="22"/>
  <c r="O2162" i="22" s="1"/>
  <c r="G2162" i="22"/>
  <c r="I2162" i="22"/>
  <c r="B2163" i="22"/>
  <c r="U2106" i="22"/>
  <c r="AR41" i="22"/>
  <c r="BD41" i="22"/>
  <c r="D2107" i="22"/>
  <c r="J2107" i="22"/>
  <c r="P2107" i="22"/>
  <c r="Q2107" i="22"/>
  <c r="R2107" i="22"/>
  <c r="L2108" i="22"/>
  <c r="C2108" i="22"/>
  <c r="K2108" i="22" s="1"/>
  <c r="E2108" i="22"/>
  <c r="F2108" i="22"/>
  <c r="O2108" i="22" s="1"/>
  <c r="BR41" i="22" s="1"/>
  <c r="G2108" i="22"/>
  <c r="I2108" i="22"/>
  <c r="B2109" i="22"/>
  <c r="U2052" i="22"/>
  <c r="AR40" i="22"/>
  <c r="BD40" i="22"/>
  <c r="D2053" i="22"/>
  <c r="J2053" i="22"/>
  <c r="P2053" i="22"/>
  <c r="Q2053" i="22"/>
  <c r="R2053" i="22"/>
  <c r="L2054" i="22"/>
  <c r="C2054" i="22"/>
  <c r="E2054" i="22"/>
  <c r="G2054" i="22"/>
  <c r="I2054" i="22"/>
  <c r="B2055" i="22"/>
  <c r="U1998" i="22"/>
  <c r="AR39" i="22"/>
  <c r="BD39" i="22"/>
  <c r="D1999" i="22"/>
  <c r="J1999" i="22"/>
  <c r="P1999" i="22"/>
  <c r="Q1999" i="22"/>
  <c r="R1999" i="22"/>
  <c r="L2000" i="22"/>
  <c r="C2000" i="22"/>
  <c r="K2000" i="22" s="1"/>
  <c r="E2000" i="22"/>
  <c r="F2000" i="22"/>
  <c r="O2000" i="22" s="1"/>
  <c r="BR39" i="22" s="1"/>
  <c r="G2000" i="22"/>
  <c r="I2000" i="22"/>
  <c r="B2001" i="22"/>
  <c r="U1944" i="22"/>
  <c r="AR38" i="22"/>
  <c r="BD38" i="22"/>
  <c r="M1945" i="22"/>
  <c r="D1945" i="22"/>
  <c r="J1945" i="22"/>
  <c r="N1945" i="22" s="1"/>
  <c r="P1945" i="22"/>
  <c r="Q1945" i="22"/>
  <c r="R1945" i="22"/>
  <c r="L1946" i="22"/>
  <c r="C1946" i="22"/>
  <c r="K1946" i="22" s="1"/>
  <c r="E1946" i="22"/>
  <c r="F1946" i="22"/>
  <c r="O1946" i="22" s="1"/>
  <c r="G1946" i="22"/>
  <c r="I1946" i="22"/>
  <c r="B1947" i="22"/>
  <c r="M1891" i="22"/>
  <c r="D1891" i="22"/>
  <c r="J1891" i="22"/>
  <c r="N1891" i="22" s="1"/>
  <c r="P1891" i="22"/>
  <c r="Q1891" i="22"/>
  <c r="R1891" i="22"/>
  <c r="L1892" i="22"/>
  <c r="C1892" i="22"/>
  <c r="E1892" i="22"/>
  <c r="G1892" i="22"/>
  <c r="I1892" i="22"/>
  <c r="B1893" i="22"/>
  <c r="M1837" i="22"/>
  <c r="D1837" i="22"/>
  <c r="J1837" i="22"/>
  <c r="N1837" i="22" s="1"/>
  <c r="P1837" i="22"/>
  <c r="Q1837" i="22"/>
  <c r="R1837" i="22"/>
  <c r="L1838" i="22"/>
  <c r="C1838" i="22"/>
  <c r="K1838" i="22" s="1"/>
  <c r="E1838" i="22"/>
  <c r="F1838" i="22"/>
  <c r="O1838" i="22" s="1"/>
  <c r="G1838" i="22"/>
  <c r="I1838" i="22"/>
  <c r="B1839" i="22"/>
  <c r="U1782" i="22"/>
  <c r="AR35" i="22"/>
  <c r="BD35" i="22"/>
  <c r="M1783" i="22"/>
  <c r="D1783" i="22"/>
  <c r="J1783" i="22"/>
  <c r="N1783" i="22" s="1"/>
  <c r="P1783" i="22"/>
  <c r="Q1783" i="22"/>
  <c r="R1783" i="22"/>
  <c r="L1784" i="22"/>
  <c r="C1784" i="22"/>
  <c r="K1784" i="22" s="1"/>
  <c r="E1784" i="22"/>
  <c r="F1784" i="22"/>
  <c r="O1784" i="22" s="1"/>
  <c r="G1784" i="22"/>
  <c r="I1784" i="22"/>
  <c r="B1785" i="22"/>
  <c r="U1728" i="22"/>
  <c r="AR34" i="22"/>
  <c r="BD34" i="22"/>
  <c r="D1729" i="22"/>
  <c r="J1729" i="22"/>
  <c r="P1729" i="22"/>
  <c r="Q1729" i="22"/>
  <c r="R1729" i="22"/>
  <c r="L1730" i="22"/>
  <c r="C1730" i="22"/>
  <c r="K1730" i="22" s="1"/>
  <c r="E1730" i="22"/>
  <c r="F1730" i="22"/>
  <c r="O1730" i="22" s="1"/>
  <c r="BR34" i="22" s="1"/>
  <c r="G1730" i="22"/>
  <c r="I1730" i="22"/>
  <c r="B1731" i="22"/>
  <c r="U1674" i="22"/>
  <c r="AR33" i="22"/>
  <c r="BD33" i="22"/>
  <c r="M1675" i="22"/>
  <c r="D1675" i="22"/>
  <c r="J1675" i="22"/>
  <c r="N1675" i="22" s="1"/>
  <c r="P1675" i="22"/>
  <c r="Q1675" i="22"/>
  <c r="R1675" i="22"/>
  <c r="L1676" i="22"/>
  <c r="C1676" i="22"/>
  <c r="K1676" i="22" s="1"/>
  <c r="E1676" i="22"/>
  <c r="F1676" i="22"/>
  <c r="O1676" i="22" s="1"/>
  <c r="G1676" i="22"/>
  <c r="I1676" i="22"/>
  <c r="B1677" i="22"/>
  <c r="U1620" i="22"/>
  <c r="AR32" i="22"/>
  <c r="BD32" i="22"/>
  <c r="M1621" i="22"/>
  <c r="D1621" i="22"/>
  <c r="J1621" i="22"/>
  <c r="N1621" i="22" s="1"/>
  <c r="P1621" i="22"/>
  <c r="Q1621" i="22"/>
  <c r="R1621" i="22"/>
  <c r="L1622" i="22"/>
  <c r="C1622" i="22"/>
  <c r="E1622" i="22"/>
  <c r="G1622" i="22"/>
  <c r="I1622" i="22"/>
  <c r="B1623" i="22"/>
  <c r="M1567" i="22"/>
  <c r="D1567" i="22"/>
  <c r="J1567" i="22"/>
  <c r="N1567" i="22" s="1"/>
  <c r="P1567" i="22"/>
  <c r="Q1567" i="22"/>
  <c r="R1567" i="22"/>
  <c r="L1568" i="22"/>
  <c r="C1568" i="22"/>
  <c r="E1568" i="22"/>
  <c r="G1568" i="22"/>
  <c r="I1568" i="22"/>
  <c r="B1569" i="22"/>
  <c r="M1513" i="22"/>
  <c r="D1513" i="22"/>
  <c r="J1513" i="22"/>
  <c r="N1513" i="22" s="1"/>
  <c r="P1513" i="22"/>
  <c r="Q1513" i="22"/>
  <c r="R1513" i="22"/>
  <c r="L1514" i="22"/>
  <c r="C1514" i="22"/>
  <c r="E1514" i="22"/>
  <c r="G1514" i="22"/>
  <c r="I1514" i="22"/>
  <c r="B1515" i="22"/>
  <c r="M1459" i="22"/>
  <c r="D1459" i="22"/>
  <c r="J1459" i="22"/>
  <c r="N1459" i="22" s="1"/>
  <c r="P1459" i="22"/>
  <c r="Q1459" i="22"/>
  <c r="R1459" i="22"/>
  <c r="L1460" i="22"/>
  <c r="C1460" i="22"/>
  <c r="K1460" i="22" s="1"/>
  <c r="E1460" i="22"/>
  <c r="F1460" i="22"/>
  <c r="O1460" i="22" s="1"/>
  <c r="G1460" i="22"/>
  <c r="I1460" i="22"/>
  <c r="B1461" i="22"/>
  <c r="U1404" i="22"/>
  <c r="AR28" i="22"/>
  <c r="BD28" i="22"/>
  <c r="M1405" i="22"/>
  <c r="D1405" i="22"/>
  <c r="J1405" i="22"/>
  <c r="N1405" i="22" s="1"/>
  <c r="BQ28" i="22"/>
  <c r="P1405" i="22"/>
  <c r="Q1405" i="22"/>
  <c r="R1405" i="22"/>
  <c r="L1406" i="22"/>
  <c r="C1406" i="22"/>
  <c r="K1406" i="22" s="1"/>
  <c r="E1406" i="22"/>
  <c r="F1406" i="22"/>
  <c r="O1406" i="22" s="1"/>
  <c r="G1406" i="22"/>
  <c r="I1406" i="22"/>
  <c r="B1407" i="22"/>
  <c r="U1350" i="22"/>
  <c r="AR27" i="22"/>
  <c r="BD27" i="22"/>
  <c r="M1351" i="22"/>
  <c r="D1351" i="22"/>
  <c r="J1351" i="22"/>
  <c r="N1351" i="22" s="1"/>
  <c r="P1351" i="22"/>
  <c r="Q1351" i="22"/>
  <c r="R1351" i="22"/>
  <c r="L1352" i="22"/>
  <c r="C1352" i="22"/>
  <c r="K1352" i="22" s="1"/>
  <c r="E1352" i="22"/>
  <c r="F1352" i="22"/>
  <c r="O1352" i="22" s="1"/>
  <c r="G1352" i="22"/>
  <c r="I1352" i="22"/>
  <c r="B1353" i="22"/>
  <c r="U1296" i="22"/>
  <c r="AR26" i="22"/>
  <c r="BD26" i="22"/>
  <c r="M1297" i="22"/>
  <c r="D1297" i="22"/>
  <c r="J1297" i="22"/>
  <c r="N1297" i="22" s="1"/>
  <c r="P1297" i="22"/>
  <c r="Q1297" i="22"/>
  <c r="R1297" i="22"/>
  <c r="L1298" i="22"/>
  <c r="C1298" i="22"/>
  <c r="K1298" i="22" s="1"/>
  <c r="E1298" i="22"/>
  <c r="F1298" i="22"/>
  <c r="O1298" i="22" s="1"/>
  <c r="G1298" i="22"/>
  <c r="I1298" i="22"/>
  <c r="B1299" i="22"/>
  <c r="U1242" i="22"/>
  <c r="AR25" i="22"/>
  <c r="BD25" i="22"/>
  <c r="D1243" i="22"/>
  <c r="J1243" i="22"/>
  <c r="P1243" i="22"/>
  <c r="Q1243" i="22"/>
  <c r="R1243" i="22"/>
  <c r="L1244" i="22"/>
  <c r="C1244" i="22"/>
  <c r="K1244" i="22" s="1"/>
  <c r="E1244" i="22"/>
  <c r="F1244" i="22"/>
  <c r="O1244" i="22" s="1"/>
  <c r="BR25" i="22" s="1"/>
  <c r="G1244" i="22"/>
  <c r="I1244" i="22"/>
  <c r="B1245" i="22"/>
  <c r="G123" i="7"/>
  <c r="G61" i="7"/>
  <c r="U1188" i="22"/>
  <c r="AR24" i="22"/>
  <c r="BD24" i="22"/>
  <c r="D1189" i="22"/>
  <c r="J1189" i="22"/>
  <c r="P1189" i="22"/>
  <c r="Q1189" i="22"/>
  <c r="R1189" i="22"/>
  <c r="L1190" i="22"/>
  <c r="C1190" i="22"/>
  <c r="E1190" i="22"/>
  <c r="G1190" i="22"/>
  <c r="I1190" i="22"/>
  <c r="B1191" i="22"/>
  <c r="G122" i="7"/>
  <c r="G60" i="7"/>
  <c r="U1134" i="22"/>
  <c r="AR23" i="22"/>
  <c r="BD23" i="22"/>
  <c r="M1135" i="22"/>
  <c r="D1135" i="22"/>
  <c r="J1135" i="22"/>
  <c r="N1135" i="22" s="1"/>
  <c r="H91" i="7"/>
  <c r="BQ23" i="22"/>
  <c r="P1135" i="22"/>
  <c r="Q1135" i="22"/>
  <c r="R1135" i="22"/>
  <c r="L1136" i="22"/>
  <c r="C1136" i="22"/>
  <c r="K1136" i="22" s="1"/>
  <c r="E1136" i="22"/>
  <c r="F1136" i="22"/>
  <c r="O1136" i="22" s="1"/>
  <c r="G1136" i="22"/>
  <c r="I1136" i="22"/>
  <c r="B1137" i="22"/>
  <c r="M1081" i="22"/>
  <c r="D1081" i="22"/>
  <c r="J1081" i="22"/>
  <c r="N1081" i="22" s="1"/>
  <c r="H90" i="7"/>
  <c r="BQ22" i="22"/>
  <c r="P1081" i="22"/>
  <c r="Q1081" i="22"/>
  <c r="R1081" i="22"/>
  <c r="L1082" i="22"/>
  <c r="C1082" i="22"/>
  <c r="K1082" i="22" s="1"/>
  <c r="E1082" i="22"/>
  <c r="F1082" i="22"/>
  <c r="O1082" i="22" s="1"/>
  <c r="G1082" i="22"/>
  <c r="I1082" i="22"/>
  <c r="B1083" i="22"/>
  <c r="G120" i="7"/>
  <c r="G58" i="7"/>
  <c r="U1026" i="22"/>
  <c r="AR21" i="22"/>
  <c r="BD21" i="22"/>
  <c r="M1027" i="22"/>
  <c r="D1027" i="22"/>
  <c r="J1027" i="22"/>
  <c r="N1027" i="22" s="1"/>
  <c r="H89" i="7"/>
  <c r="BQ21" i="22"/>
  <c r="P1027" i="22"/>
  <c r="Q1027" i="22"/>
  <c r="R1027" i="22"/>
  <c r="L1028" i="22"/>
  <c r="C1028" i="22"/>
  <c r="K1028" i="22" s="1"/>
  <c r="E1028" i="22"/>
  <c r="F1028" i="22"/>
  <c r="O1028" i="22" s="1"/>
  <c r="G1028" i="22"/>
  <c r="I1028" i="22"/>
  <c r="B1029" i="22"/>
  <c r="G119" i="7"/>
  <c r="G57" i="7"/>
  <c r="U972" i="22"/>
  <c r="AR20" i="22"/>
  <c r="BD20" i="22"/>
  <c r="M973" i="22"/>
  <c r="D973" i="22"/>
  <c r="J973" i="22"/>
  <c r="N973" i="22" s="1"/>
  <c r="H88" i="7"/>
  <c r="BQ20" i="22"/>
  <c r="P973" i="22"/>
  <c r="Q973" i="22"/>
  <c r="R973" i="22"/>
  <c r="L974" i="22"/>
  <c r="C974" i="22"/>
  <c r="E974" i="22"/>
  <c r="G974" i="22"/>
  <c r="I974" i="22"/>
  <c r="B975" i="22"/>
  <c r="G118" i="7"/>
  <c r="G56" i="7"/>
  <c r="U918" i="22"/>
  <c r="AR19" i="22"/>
  <c r="BD19" i="22"/>
  <c r="M919" i="22"/>
  <c r="D919" i="22"/>
  <c r="J919" i="22"/>
  <c r="N919" i="22" s="1"/>
  <c r="H87" i="7"/>
  <c r="BQ19" i="22"/>
  <c r="P919" i="22"/>
  <c r="Q919" i="22"/>
  <c r="R919" i="22"/>
  <c r="L920" i="22"/>
  <c r="C920" i="22"/>
  <c r="E920" i="22"/>
  <c r="G920" i="22"/>
  <c r="I920" i="22"/>
  <c r="B921" i="22"/>
  <c r="G117" i="7"/>
  <c r="G55" i="7"/>
  <c r="U864" i="22"/>
  <c r="AR18" i="22"/>
  <c r="BD18" i="22"/>
  <c r="D865" i="22"/>
  <c r="J865" i="22"/>
  <c r="P865" i="22"/>
  <c r="Q865" i="22"/>
  <c r="R865" i="22"/>
  <c r="L866" i="22"/>
  <c r="C866" i="22"/>
  <c r="K866" i="22" s="1"/>
  <c r="E866" i="22"/>
  <c r="F866" i="22"/>
  <c r="O866" i="22" s="1"/>
  <c r="G866" i="22"/>
  <c r="I866" i="22"/>
  <c r="B867" i="22"/>
  <c r="G116" i="7"/>
  <c r="G54" i="7"/>
  <c r="U810" i="22"/>
  <c r="AR17" i="22"/>
  <c r="BD17" i="22"/>
  <c r="D811" i="22"/>
  <c r="J811" i="22"/>
  <c r="P811" i="22"/>
  <c r="Q811" i="22"/>
  <c r="R811" i="22"/>
  <c r="L812" i="22"/>
  <c r="C812" i="22"/>
  <c r="K812" i="22" s="1"/>
  <c r="E812" i="22"/>
  <c r="F812" i="22"/>
  <c r="O812" i="22" s="1"/>
  <c r="G812" i="22"/>
  <c r="I812" i="22"/>
  <c r="B813" i="22"/>
  <c r="M757" i="22"/>
  <c r="D757" i="22"/>
  <c r="J757" i="22"/>
  <c r="N757" i="22" s="1"/>
  <c r="H84" i="7"/>
  <c r="BQ16" i="22"/>
  <c r="P757" i="22"/>
  <c r="Q757" i="22"/>
  <c r="R757" i="22"/>
  <c r="L758" i="22"/>
  <c r="C758" i="22"/>
  <c r="E758" i="22"/>
  <c r="G758" i="22"/>
  <c r="I758" i="22"/>
  <c r="B759" i="22"/>
  <c r="G114" i="7"/>
  <c r="G52" i="7"/>
  <c r="U702" i="22"/>
  <c r="AR15" i="22"/>
  <c r="BD15" i="22"/>
  <c r="M703" i="22"/>
  <c r="D703" i="22"/>
  <c r="J703" i="22"/>
  <c r="N703" i="22" s="1"/>
  <c r="H83" i="7"/>
  <c r="BQ15" i="22"/>
  <c r="P703" i="22"/>
  <c r="Q703" i="22"/>
  <c r="R703" i="22"/>
  <c r="L704" i="22"/>
  <c r="C704" i="22"/>
  <c r="K704" i="22" s="1"/>
  <c r="E704" i="22"/>
  <c r="F704" i="22"/>
  <c r="O704" i="22" s="1"/>
  <c r="G704" i="22"/>
  <c r="I704" i="22"/>
  <c r="B705" i="22"/>
  <c r="G113" i="7"/>
  <c r="G51" i="7"/>
  <c r="U648" i="22"/>
  <c r="AR14" i="22"/>
  <c r="BD14" i="22"/>
  <c r="M649" i="22"/>
  <c r="D649" i="22"/>
  <c r="J649" i="22"/>
  <c r="N649" i="22" s="1"/>
  <c r="H82" i="7"/>
  <c r="BQ14" i="22"/>
  <c r="P649" i="22"/>
  <c r="Q649" i="22"/>
  <c r="R649" i="22"/>
  <c r="L650" i="22"/>
  <c r="C650" i="22"/>
  <c r="K650" i="22" s="1"/>
  <c r="E650" i="22"/>
  <c r="F650" i="22"/>
  <c r="O650" i="22" s="1"/>
  <c r="G650" i="22"/>
  <c r="I650" i="22"/>
  <c r="B651" i="22"/>
  <c r="G50" i="7"/>
  <c r="G112" i="7"/>
  <c r="U594" i="22"/>
  <c r="AR13" i="22"/>
  <c r="BD13" i="22"/>
  <c r="M595" i="22"/>
  <c r="D595" i="22"/>
  <c r="J595" i="22"/>
  <c r="N595" i="22" s="1"/>
  <c r="H81" i="7"/>
  <c r="BQ13" i="22"/>
  <c r="P595" i="22"/>
  <c r="Q595" i="22"/>
  <c r="R595" i="22"/>
  <c r="L596" i="22"/>
  <c r="C596" i="22"/>
  <c r="K596" i="22" s="1"/>
  <c r="E596" i="22"/>
  <c r="F596" i="22"/>
  <c r="O596" i="22" s="1"/>
  <c r="G596" i="22"/>
  <c r="I596" i="22"/>
  <c r="B597" i="22"/>
  <c r="G111" i="7"/>
  <c r="G49" i="7"/>
  <c r="U540" i="22"/>
  <c r="AR12" i="22"/>
  <c r="BD12" i="22"/>
  <c r="M541" i="22"/>
  <c r="D541" i="22"/>
  <c r="J541" i="22"/>
  <c r="N541" i="22" s="1"/>
  <c r="H80" i="7"/>
  <c r="BQ12" i="22"/>
  <c r="P541" i="22"/>
  <c r="Q541" i="22"/>
  <c r="R541" i="22"/>
  <c r="L542" i="22"/>
  <c r="C542" i="22"/>
  <c r="K542" i="22" s="1"/>
  <c r="E542" i="22"/>
  <c r="F542" i="22"/>
  <c r="O542" i="22" s="1"/>
  <c r="G542" i="22"/>
  <c r="I542" i="22"/>
  <c r="B543" i="22"/>
  <c r="G110" i="7"/>
  <c r="G48" i="7"/>
  <c r="U486" i="22"/>
  <c r="AR11" i="22"/>
  <c r="BD11" i="22"/>
  <c r="D487" i="22"/>
  <c r="J487" i="22"/>
  <c r="P487" i="22"/>
  <c r="Q487" i="22"/>
  <c r="R487" i="22"/>
  <c r="L488" i="22"/>
  <c r="C488" i="22"/>
  <c r="K488" i="22" s="1"/>
  <c r="E488" i="22"/>
  <c r="F488" i="22"/>
  <c r="O488" i="22" s="1"/>
  <c r="G488" i="22"/>
  <c r="I488" i="22"/>
  <c r="B489" i="22"/>
  <c r="M433" i="22"/>
  <c r="P433" i="22"/>
  <c r="Q433" i="22"/>
  <c r="R433" i="22"/>
  <c r="L434" i="22"/>
  <c r="E434" i="22"/>
  <c r="G434" i="22"/>
  <c r="B435" i="22"/>
  <c r="C434" i="22"/>
  <c r="K434" i="22" s="1"/>
  <c r="F434" i="22"/>
  <c r="O434" i="22" s="1"/>
  <c r="I434" i="22"/>
  <c r="J433" i="22"/>
  <c r="N433" i="22" s="1"/>
  <c r="D433" i="22"/>
  <c r="H78" i="7"/>
  <c r="BQ10" i="22"/>
  <c r="G108" i="7"/>
  <c r="G46" i="7"/>
  <c r="U378" i="22"/>
  <c r="AR9" i="22"/>
  <c r="BD9" i="22"/>
  <c r="M379" i="22"/>
  <c r="D379" i="22"/>
  <c r="J379" i="22"/>
  <c r="N379" i="22" s="1"/>
  <c r="H77" i="7"/>
  <c r="BQ9" i="22"/>
  <c r="P379" i="22"/>
  <c r="Q379" i="22"/>
  <c r="R379" i="22"/>
  <c r="L380" i="22"/>
  <c r="C380" i="22"/>
  <c r="K380" i="22" s="1"/>
  <c r="E380" i="22"/>
  <c r="F380" i="22"/>
  <c r="O380" i="22" s="1"/>
  <c r="G380" i="22"/>
  <c r="I380" i="22"/>
  <c r="B381" i="22"/>
  <c r="G107" i="7"/>
  <c r="G45" i="7"/>
  <c r="U324" i="22"/>
  <c r="AR8" i="22"/>
  <c r="BD8" i="22"/>
  <c r="M325" i="22"/>
  <c r="D325" i="22"/>
  <c r="J325" i="22"/>
  <c r="N325" i="22" s="1"/>
  <c r="H76" i="7"/>
  <c r="BQ8" i="22"/>
  <c r="P325" i="22"/>
  <c r="Q325" i="22"/>
  <c r="R325" i="22"/>
  <c r="L326" i="22"/>
  <c r="C326" i="22"/>
  <c r="K326" i="22" s="1"/>
  <c r="E326" i="22"/>
  <c r="F326" i="22"/>
  <c r="O326" i="22" s="1"/>
  <c r="G326" i="22"/>
  <c r="I326" i="22"/>
  <c r="B327" i="22"/>
  <c r="G106" i="7"/>
  <c r="G44" i="7"/>
  <c r="U270" i="22"/>
  <c r="AR7" i="22"/>
  <c r="BD7" i="22"/>
  <c r="M271" i="22"/>
  <c r="D271" i="22"/>
  <c r="J271" i="22"/>
  <c r="N271" i="22" s="1"/>
  <c r="P271" i="22"/>
  <c r="Q271" i="22"/>
  <c r="R271" i="22"/>
  <c r="L272" i="22"/>
  <c r="C272" i="22"/>
  <c r="K272" i="22" s="1"/>
  <c r="E272" i="22"/>
  <c r="F272" i="22"/>
  <c r="O272" i="22" s="1"/>
  <c r="G272" i="22"/>
  <c r="I272" i="22"/>
  <c r="B273" i="22"/>
  <c r="G43" i="7"/>
  <c r="G105" i="7"/>
  <c r="U216" i="22"/>
  <c r="AR6" i="22"/>
  <c r="BD6" i="22"/>
  <c r="M217" i="22"/>
  <c r="D217" i="22"/>
  <c r="J217" i="22"/>
  <c r="N217" i="22" s="1"/>
  <c r="H74" i="7"/>
  <c r="BQ6" i="22"/>
  <c r="P217" i="22"/>
  <c r="Q217" i="22"/>
  <c r="R217" i="22"/>
  <c r="L218" i="22"/>
  <c r="C218" i="22"/>
  <c r="E218" i="22"/>
  <c r="G218" i="22"/>
  <c r="I218" i="22"/>
  <c r="B219" i="22"/>
  <c r="G104" i="7"/>
  <c r="G42" i="7"/>
  <c r="U162" i="22"/>
  <c r="AR5" i="22"/>
  <c r="BD5" i="22"/>
  <c r="L164" i="22"/>
  <c r="E164" i="22"/>
  <c r="G164" i="22"/>
  <c r="B165" i="22"/>
  <c r="C164" i="22"/>
  <c r="I164" i="22"/>
  <c r="D163" i="22"/>
  <c r="J163" i="22"/>
  <c r="P163" i="22"/>
  <c r="Q163" i="22"/>
  <c r="R163" i="22"/>
  <c r="M109" i="22"/>
  <c r="D109" i="22"/>
  <c r="J109" i="22"/>
  <c r="N109" i="22" s="1"/>
  <c r="H72" i="7"/>
  <c r="BQ4" i="22"/>
  <c r="P109" i="22"/>
  <c r="Q109" i="22"/>
  <c r="R109" i="22"/>
  <c r="L110" i="22"/>
  <c r="C110" i="22"/>
  <c r="K110" i="22" s="1"/>
  <c r="E110" i="22"/>
  <c r="F110" i="22"/>
  <c r="O110" i="22" s="1"/>
  <c r="G110" i="22"/>
  <c r="B111" i="22"/>
  <c r="I110" i="22"/>
  <c r="G96" i="12"/>
  <c r="C97" i="12"/>
  <c r="AY47" i="17"/>
  <c r="AX47" i="17"/>
  <c r="AW47" i="17"/>
  <c r="AV47" i="17"/>
  <c r="AU47" i="17"/>
  <c r="AT47" i="17"/>
  <c r="AS47" i="17"/>
  <c r="AR47" i="17"/>
  <c r="AQ47" i="17"/>
  <c r="AP47" i="17"/>
  <c r="AO47" i="17"/>
  <c r="AN47" i="17"/>
  <c r="AM47" i="17"/>
  <c r="AL47" i="17"/>
  <c r="AK47" i="17"/>
  <c r="AJ47" i="17"/>
  <c r="AI47" i="17"/>
  <c r="AH47" i="17"/>
  <c r="AG47" i="17"/>
  <c r="AF47" i="17"/>
  <c r="AE47" i="17"/>
  <c r="AD47" i="17"/>
  <c r="AC47" i="17"/>
  <c r="AB47" i="17"/>
  <c r="AA47" i="17"/>
  <c r="Z47" i="17"/>
  <c r="Y47" i="17"/>
  <c r="X47" i="17"/>
  <c r="W47" i="17"/>
  <c r="P47" i="17"/>
  <c r="F47" i="18" s="1"/>
  <c r="Q47" i="17"/>
  <c r="G47" i="18" s="1"/>
  <c r="R47" i="17"/>
  <c r="H47" i="18" s="1"/>
  <c r="V47" i="17"/>
  <c r="I48" i="17"/>
  <c r="L48" i="17"/>
  <c r="C48" i="17"/>
  <c r="E48" i="17"/>
  <c r="F48" i="17"/>
  <c r="C48" i="18" s="1"/>
  <c r="E48" i="18" s="1"/>
  <c r="G48" i="17"/>
  <c r="K48" i="17"/>
  <c r="B49" i="17"/>
  <c r="B48" i="18"/>
  <c r="D47" i="17"/>
  <c r="J47" i="17"/>
  <c r="N47" i="17" s="1"/>
  <c r="N99" i="12"/>
  <c r="E99" i="12"/>
  <c r="O47" i="17"/>
  <c r="M47" i="17"/>
  <c r="F46" i="18"/>
  <c r="G46" i="18"/>
  <c r="H46" i="18"/>
  <c r="BC16" i="17"/>
  <c r="B113" i="12"/>
  <c r="I113" i="12" s="1"/>
  <c r="BB15" i="17"/>
  <c r="BA17" i="17"/>
  <c r="BA18" i="17"/>
  <c r="BA19" i="17"/>
  <c r="BA20" i="17"/>
  <c r="BA21" i="17"/>
  <c r="BA22" i="17"/>
  <c r="BA23" i="17"/>
  <c r="BA24" i="17"/>
  <c r="BA25" i="17"/>
  <c r="BA26" i="17"/>
  <c r="BA27" i="17"/>
  <c r="BA28" i="17"/>
  <c r="BA29" i="17"/>
  <c r="BA30" i="17"/>
  <c r="BA31" i="17"/>
  <c r="BA33" i="17"/>
  <c r="BA35" i="17"/>
  <c r="BA36" i="17"/>
  <c r="BA37" i="17"/>
  <c r="BA39" i="17"/>
  <c r="BA41" i="17"/>
  <c r="BA43" i="17"/>
  <c r="BA45" i="17"/>
  <c r="BA46" i="17"/>
  <c r="BA47" i="17"/>
  <c r="BA32" i="17"/>
  <c r="BA34" i="17"/>
  <c r="BA38" i="17"/>
  <c r="BA40" i="17"/>
  <c r="BA42" i="17"/>
  <c r="BA44" i="17"/>
  <c r="D79" i="8"/>
  <c r="AI724" i="23"/>
  <c r="W1510" i="23"/>
  <c r="X1510" i="23"/>
  <c r="X1454" i="23"/>
  <c r="W1454" i="23"/>
  <c r="X1006" i="23"/>
  <c r="W1006" i="23"/>
  <c r="W726" i="23"/>
  <c r="X726" i="23"/>
  <c r="E49" i="8"/>
  <c r="AH725" i="23"/>
  <c r="AD446" i="23"/>
  <c r="X278" i="23"/>
  <c r="W278" i="23"/>
  <c r="U3779" i="22"/>
  <c r="AQ72" i="22"/>
  <c r="BC72" i="22"/>
  <c r="U3401" i="22"/>
  <c r="AQ65" i="22"/>
  <c r="BC65" i="22"/>
  <c r="U3347" i="22"/>
  <c r="AQ64" i="22"/>
  <c r="BC64" i="22"/>
  <c r="U3131" i="22"/>
  <c r="AQ60" i="22"/>
  <c r="BC60" i="22"/>
  <c r="U3077" i="22"/>
  <c r="AQ59" i="22"/>
  <c r="BC59" i="22"/>
  <c r="U3023" i="22"/>
  <c r="AQ58" i="22"/>
  <c r="BC58" i="22"/>
  <c r="U2969" i="22"/>
  <c r="AQ57" i="22"/>
  <c r="BC57" i="22"/>
  <c r="U2699" i="22"/>
  <c r="AQ52" i="22"/>
  <c r="BC52" i="22"/>
  <c r="U2645" i="22"/>
  <c r="AQ51" i="22"/>
  <c r="BC51" i="22"/>
  <c r="AQ50" i="22"/>
  <c r="BC50" i="22"/>
  <c r="U2591" i="22"/>
  <c r="U1997" i="22"/>
  <c r="AQ39" i="22"/>
  <c r="BC39" i="22"/>
  <c r="U1943" i="22"/>
  <c r="AQ38" i="22"/>
  <c r="BC38" i="22"/>
  <c r="U1889" i="22"/>
  <c r="AQ37" i="22"/>
  <c r="BC37" i="22"/>
  <c r="U1565" i="22"/>
  <c r="AQ31" i="22"/>
  <c r="BC31" i="22"/>
  <c r="U1511" i="22"/>
  <c r="AQ30" i="22"/>
  <c r="BC30" i="22"/>
  <c r="F123" i="7"/>
  <c r="F61" i="7"/>
  <c r="U1187" i="22"/>
  <c r="AQ24" i="22"/>
  <c r="BC24" i="22"/>
  <c r="F122" i="7"/>
  <c r="F60" i="7"/>
  <c r="U1133" i="22"/>
  <c r="AQ23" i="22"/>
  <c r="BC23" i="22"/>
  <c r="F117" i="7"/>
  <c r="F55" i="7"/>
  <c r="U863" i="22"/>
  <c r="AQ18" i="22"/>
  <c r="BC18" i="22"/>
  <c r="F110" i="7"/>
  <c r="F48" i="7"/>
  <c r="U485" i="22"/>
  <c r="AQ11" i="22"/>
  <c r="BC11" i="22"/>
  <c r="F104" i="7"/>
  <c r="F42" i="7"/>
  <c r="U161" i="22"/>
  <c r="AQ5" i="22"/>
  <c r="F127" i="7" s="1"/>
  <c r="BC5" i="22"/>
  <c r="F65" i="7" s="1"/>
  <c r="AD1622" i="23"/>
  <c r="AG1622" i="23"/>
  <c r="M1399" i="23"/>
  <c r="N1399" i="23"/>
  <c r="AB1399" i="23"/>
  <c r="AC1399" i="23" s="1"/>
  <c r="O1399" i="23"/>
  <c r="Y1399" i="23" s="1"/>
  <c r="M1343" i="23"/>
  <c r="N1343" i="23"/>
  <c r="AB1343" i="23"/>
  <c r="O1343" i="23"/>
  <c r="Y1343" i="23" s="1"/>
  <c r="AC1343" i="23"/>
  <c r="AD1342" i="23"/>
  <c r="M1119" i="23"/>
  <c r="N1119" i="23"/>
  <c r="W1119" i="23" s="1"/>
  <c r="AB1119" i="23"/>
  <c r="AC1119" i="23" s="1"/>
  <c r="O1119" i="23"/>
  <c r="Y1119" i="23" s="1"/>
  <c r="AB951" i="23"/>
  <c r="AC951" i="23" s="1"/>
  <c r="O951" i="23"/>
  <c r="Y951" i="23" s="1"/>
  <c r="M951" i="23"/>
  <c r="N951" i="23"/>
  <c r="AD894" i="23"/>
  <c r="M671" i="23"/>
  <c r="N671" i="23"/>
  <c r="W671" i="23" s="1"/>
  <c r="AB671" i="23"/>
  <c r="AC671" i="23" s="1"/>
  <c r="O671" i="23"/>
  <c r="Y671" i="23" s="1"/>
  <c r="M615" i="23"/>
  <c r="N615" i="23"/>
  <c r="AB615" i="23"/>
  <c r="AC615" i="23" s="1"/>
  <c r="O615" i="23"/>
  <c r="Y615" i="23" s="1"/>
  <c r="M335" i="23"/>
  <c r="N335" i="23"/>
  <c r="AB335" i="23"/>
  <c r="AC335" i="23" s="1"/>
  <c r="O335" i="23"/>
  <c r="Y335" i="23" s="1"/>
  <c r="M4188" i="22"/>
  <c r="N4188" i="22"/>
  <c r="U4188" i="22" s="1"/>
  <c r="M4134" i="22"/>
  <c r="N4134" i="22"/>
  <c r="U4134" i="22" s="1"/>
  <c r="M3780" i="22"/>
  <c r="N3780" i="22"/>
  <c r="BP72" i="22"/>
  <c r="M3564" i="22"/>
  <c r="N3564" i="22"/>
  <c r="BP68" i="22"/>
  <c r="BP66" i="22"/>
  <c r="M3456" i="22"/>
  <c r="N3456" i="22"/>
  <c r="M3402" i="22"/>
  <c r="N3402" i="22"/>
  <c r="M3348" i="22"/>
  <c r="N3348" i="22"/>
  <c r="M3078" i="22"/>
  <c r="N3078" i="22"/>
  <c r="N3024" i="22"/>
  <c r="M3024" i="22"/>
  <c r="M2646" i="22"/>
  <c r="N2646" i="22"/>
  <c r="M2268" i="22"/>
  <c r="N2268" i="22"/>
  <c r="BP44" i="22"/>
  <c r="M1890" i="22"/>
  <c r="N1890" i="22"/>
  <c r="M1836" i="22"/>
  <c r="N1836" i="22"/>
  <c r="BP36" i="22"/>
  <c r="M1566" i="22"/>
  <c r="N1566" i="22"/>
  <c r="M1512" i="22"/>
  <c r="N1512" i="22"/>
  <c r="BP29" i="22"/>
  <c r="M1458" i="22"/>
  <c r="N1458" i="22"/>
  <c r="M1080" i="22"/>
  <c r="N1080" i="22"/>
  <c r="BP22" i="22"/>
  <c r="G90" i="7"/>
  <c r="M756" i="22"/>
  <c r="N756" i="22"/>
  <c r="BP16" i="22"/>
  <c r="G84" i="7"/>
  <c r="M432" i="22"/>
  <c r="N432" i="22"/>
  <c r="BP10" i="22"/>
  <c r="G78" i="7"/>
  <c r="BP4" i="22"/>
  <c r="G72" i="7"/>
  <c r="N108" i="22"/>
  <c r="M108" i="22"/>
  <c r="O46" i="17"/>
  <c r="E98" i="12"/>
  <c r="N98" i="12"/>
  <c r="N46" i="17"/>
  <c r="M46" i="17"/>
  <c r="X1623" i="23"/>
  <c r="W1623" i="23"/>
  <c r="X1567" i="23"/>
  <c r="W1567" i="23"/>
  <c r="X1511" i="23"/>
  <c r="W1511" i="23"/>
  <c r="K1512" i="23"/>
  <c r="F1512" i="23"/>
  <c r="X1455" i="23"/>
  <c r="W1455" i="23"/>
  <c r="K1456" i="23"/>
  <c r="F1456" i="23"/>
  <c r="X1287" i="23"/>
  <c r="W1287" i="23"/>
  <c r="K1288" i="23"/>
  <c r="F1288" i="23"/>
  <c r="X1231" i="23"/>
  <c r="W1231" i="23"/>
  <c r="X1175" i="23"/>
  <c r="W1175" i="23"/>
  <c r="F1120" i="23"/>
  <c r="K1120" i="23"/>
  <c r="X1063" i="23"/>
  <c r="W1063" i="23"/>
  <c r="X1007" i="23"/>
  <c r="W1007" i="23"/>
  <c r="X895" i="23"/>
  <c r="W895" i="23"/>
  <c r="X839" i="23"/>
  <c r="W839" i="23"/>
  <c r="X783" i="23"/>
  <c r="W783" i="23"/>
  <c r="X727" i="23"/>
  <c r="W727" i="23"/>
  <c r="K728" i="23"/>
  <c r="F728" i="23"/>
  <c r="K616" i="23"/>
  <c r="F616" i="23"/>
  <c r="W559" i="23"/>
  <c r="X559" i="23"/>
  <c r="K560" i="23"/>
  <c r="F560" i="23"/>
  <c r="W503" i="23"/>
  <c r="X503" i="23"/>
  <c r="X391" i="23"/>
  <c r="W391" i="23"/>
  <c r="X279" i="23"/>
  <c r="W279" i="23"/>
  <c r="P98" i="12"/>
  <c r="D4651" i="22"/>
  <c r="F4651" i="22"/>
  <c r="O4651" i="22" s="1"/>
  <c r="F4543" i="22"/>
  <c r="K4543" i="22"/>
  <c r="K3781" i="22"/>
  <c r="F3781" i="22"/>
  <c r="O3781" i="22" s="1"/>
  <c r="BQ71" i="22"/>
  <c r="F3673" i="22"/>
  <c r="O3673" i="22" s="1"/>
  <c r="K3673" i="22"/>
  <c r="K3619" i="22"/>
  <c r="F3619" i="22"/>
  <c r="O3619" i="22" s="1"/>
  <c r="K3565" i="22"/>
  <c r="F3565" i="22"/>
  <c r="O3565" i="22" s="1"/>
  <c r="BQ67" i="22"/>
  <c r="K3403" i="22"/>
  <c r="F3403" i="22"/>
  <c r="O3403" i="22" s="1"/>
  <c r="F3349" i="22"/>
  <c r="O3349" i="22" s="1"/>
  <c r="K3349" i="22"/>
  <c r="K3295" i="22"/>
  <c r="F3295" i="22"/>
  <c r="O3295" i="22" s="1"/>
  <c r="BQ62" i="22"/>
  <c r="K3025" i="22"/>
  <c r="F3025" i="22"/>
  <c r="O3025" i="22" s="1"/>
  <c r="F2971" i="22"/>
  <c r="O2971" i="22" s="1"/>
  <c r="K2971" i="22"/>
  <c r="K2917" i="22"/>
  <c r="F2917" i="22"/>
  <c r="O2917" i="22" s="1"/>
  <c r="K2863" i="22"/>
  <c r="F2863" i="22"/>
  <c r="O2863" i="22" s="1"/>
  <c r="K2809" i="22"/>
  <c r="F2809" i="22"/>
  <c r="O2809" i="22" s="1"/>
  <c r="BQ53" i="22"/>
  <c r="BQ50" i="22"/>
  <c r="F2539" i="22"/>
  <c r="O2539" i="22" s="1"/>
  <c r="K2539" i="22"/>
  <c r="F2485" i="22"/>
  <c r="O2485" i="22" s="1"/>
  <c r="K2485" i="22"/>
  <c r="BQ47" i="22"/>
  <c r="BQ46" i="22"/>
  <c r="BQ45" i="22"/>
  <c r="BQ42" i="22"/>
  <c r="F2107" i="22"/>
  <c r="O2107" i="22" s="1"/>
  <c r="K2107" i="22"/>
  <c r="K2053" i="22"/>
  <c r="F2053" i="22"/>
  <c r="O2053" i="22" s="1"/>
  <c r="K1999" i="22"/>
  <c r="F1999" i="22"/>
  <c r="O1999" i="22" s="1"/>
  <c r="BQ35" i="22"/>
  <c r="K1729" i="22"/>
  <c r="F1729" i="22"/>
  <c r="O1729" i="22" s="1"/>
  <c r="BQ33" i="22"/>
  <c r="BQ32" i="22"/>
  <c r="BQ27" i="22"/>
  <c r="BQ26" i="22"/>
  <c r="K1243" i="22"/>
  <c r="F1243" i="22"/>
  <c r="O1243" i="22" s="1"/>
  <c r="F1189" i="22"/>
  <c r="O1189" i="22" s="1"/>
  <c r="K1189" i="22"/>
  <c r="K865" i="22"/>
  <c r="F865" i="22"/>
  <c r="O865" i="22" s="1"/>
  <c r="K811" i="22"/>
  <c r="F811" i="22"/>
  <c r="O811" i="22" s="1"/>
  <c r="K487" i="22"/>
  <c r="F487" i="22"/>
  <c r="O487" i="22" s="1"/>
  <c r="BQ7" i="22"/>
  <c r="K163" i="22"/>
  <c r="F163" i="22"/>
  <c r="O163" i="22" s="1"/>
  <c r="BP58" i="22"/>
  <c r="BP51" i="22"/>
  <c r="G96" i="7" l="1"/>
  <c r="K785" i="23"/>
  <c r="F785" i="23"/>
  <c r="K729" i="23"/>
  <c r="F729" i="23"/>
  <c r="D4652" i="22"/>
  <c r="F4652" i="22"/>
  <c r="O4652" i="22" s="1"/>
  <c r="K4598" i="22"/>
  <c r="F4598" i="22"/>
  <c r="K3404" i="22"/>
  <c r="F3404" i="22"/>
  <c r="O3404" i="22" s="1"/>
  <c r="BR65" i="22" s="1"/>
  <c r="K3026" i="22"/>
  <c r="F3026" i="22"/>
  <c r="O3026" i="22" s="1"/>
  <c r="BR58" i="22" s="1"/>
  <c r="K2756" i="22"/>
  <c r="F2756" i="22"/>
  <c r="O2756" i="22" s="1"/>
  <c r="BR53" i="22" s="1"/>
  <c r="K1892" i="22"/>
  <c r="F1892" i="22"/>
  <c r="O1892" i="22" s="1"/>
  <c r="K1514" i="22"/>
  <c r="F1514" i="22"/>
  <c r="O1514" i="22" s="1"/>
  <c r="K974" i="22"/>
  <c r="F974" i="22"/>
  <c r="O974" i="22" s="1"/>
  <c r="K758" i="22"/>
  <c r="F758" i="22"/>
  <c r="O758" i="22" s="1"/>
  <c r="E105" i="8"/>
  <c r="E107" i="8"/>
  <c r="Y1624" i="23"/>
  <c r="H106" i="8"/>
  <c r="J1625" i="23"/>
  <c r="D1625" i="23"/>
  <c r="P1625" i="23"/>
  <c r="Q1625" i="23"/>
  <c r="R1625" i="23"/>
  <c r="AF1625" i="23"/>
  <c r="I1626" i="23"/>
  <c r="L1626" i="23"/>
  <c r="C1626" i="23"/>
  <c r="K1626" i="23" s="1"/>
  <c r="E1626" i="23"/>
  <c r="F1626" i="23"/>
  <c r="G1626" i="23"/>
  <c r="B1627" i="23"/>
  <c r="J1569" i="23"/>
  <c r="D1569" i="23"/>
  <c r="P1569" i="23"/>
  <c r="Q1569" i="23"/>
  <c r="R1569" i="23"/>
  <c r="AF1569" i="23"/>
  <c r="L1570" i="23"/>
  <c r="I1570" i="23"/>
  <c r="C1570" i="23"/>
  <c r="E1570" i="23"/>
  <c r="G1570" i="23"/>
  <c r="B1571" i="23"/>
  <c r="M1513" i="23"/>
  <c r="J1513" i="23"/>
  <c r="N1513" i="23" s="1"/>
  <c r="D1513" i="23"/>
  <c r="O1513" i="23"/>
  <c r="AB1513" i="23"/>
  <c r="AC1513" i="23"/>
  <c r="P1513" i="23"/>
  <c r="Q1513" i="23"/>
  <c r="R1513" i="23"/>
  <c r="AF1513" i="23"/>
  <c r="L1514" i="23"/>
  <c r="I1514" i="23"/>
  <c r="C1514" i="23"/>
  <c r="E1514" i="23"/>
  <c r="G1514" i="23"/>
  <c r="B1515" i="23"/>
  <c r="M1457" i="23"/>
  <c r="J1457" i="23"/>
  <c r="N1457" i="23" s="1"/>
  <c r="D1457" i="23"/>
  <c r="O1457" i="23"/>
  <c r="AB1457" i="23"/>
  <c r="AC1457" i="23"/>
  <c r="P1457" i="23"/>
  <c r="Q1457" i="23"/>
  <c r="R1457" i="23"/>
  <c r="AF1457" i="23"/>
  <c r="L1458" i="23"/>
  <c r="I1458" i="23"/>
  <c r="C1458" i="23"/>
  <c r="E1458" i="23"/>
  <c r="G1458" i="23"/>
  <c r="B1459" i="23"/>
  <c r="M1401" i="23"/>
  <c r="J1401" i="23"/>
  <c r="N1401" i="23" s="1"/>
  <c r="D1401" i="23"/>
  <c r="O1401" i="23"/>
  <c r="Y1401" i="23" s="1"/>
  <c r="AB1401" i="23"/>
  <c r="AC1401" i="23" s="1"/>
  <c r="P1401" i="23"/>
  <c r="Q1401" i="23"/>
  <c r="R1401" i="23"/>
  <c r="AF1401" i="23"/>
  <c r="L1402" i="23"/>
  <c r="I1402" i="23"/>
  <c r="C1402" i="23"/>
  <c r="K1402" i="23" s="1"/>
  <c r="E1402" i="23"/>
  <c r="F1402" i="23"/>
  <c r="G1402" i="23"/>
  <c r="B1403" i="23"/>
  <c r="M1345" i="23"/>
  <c r="P1345" i="23"/>
  <c r="Q1345" i="23"/>
  <c r="R1345" i="23"/>
  <c r="AF1345" i="23"/>
  <c r="L1346" i="23"/>
  <c r="I1346" i="23"/>
  <c r="E1346" i="23"/>
  <c r="C1346" i="23"/>
  <c r="B1347" i="23"/>
  <c r="G1346" i="23"/>
  <c r="J1345" i="23"/>
  <c r="N1345" i="23" s="1"/>
  <c r="D1345" i="23"/>
  <c r="O1345" i="23"/>
  <c r="Y1345" i="23" s="1"/>
  <c r="AB1345" i="23"/>
  <c r="AC1345" i="23"/>
  <c r="M1289" i="23"/>
  <c r="J1289" i="23"/>
  <c r="N1289" i="23" s="1"/>
  <c r="D1289" i="23"/>
  <c r="O1289" i="23"/>
  <c r="Y1289" i="23" s="1"/>
  <c r="AB1289" i="23"/>
  <c r="AC1289" i="23"/>
  <c r="P1289" i="23"/>
  <c r="Q1289" i="23"/>
  <c r="R1289" i="23"/>
  <c r="AF1289" i="23"/>
  <c r="L1290" i="23"/>
  <c r="I1290" i="23"/>
  <c r="C1290" i="23"/>
  <c r="K1290" i="23" s="1"/>
  <c r="E1290" i="23"/>
  <c r="F1290" i="23"/>
  <c r="G1290" i="23"/>
  <c r="B1291" i="23"/>
  <c r="M1233" i="23"/>
  <c r="J1233" i="23"/>
  <c r="N1233" i="23" s="1"/>
  <c r="D1233" i="23"/>
  <c r="O1233" i="23"/>
  <c r="Y1233" i="23" s="1"/>
  <c r="AB1233" i="23"/>
  <c r="AC1233" i="23"/>
  <c r="P1233" i="23"/>
  <c r="Q1233" i="23"/>
  <c r="R1233" i="23"/>
  <c r="AF1233" i="23"/>
  <c r="L1234" i="23"/>
  <c r="I1234" i="23"/>
  <c r="C1234" i="23"/>
  <c r="K1234" i="23" s="1"/>
  <c r="E1234" i="23"/>
  <c r="F1234" i="23"/>
  <c r="G1234" i="23"/>
  <c r="B1235" i="23"/>
  <c r="M1177" i="23"/>
  <c r="J1177" i="23"/>
  <c r="N1177" i="23" s="1"/>
  <c r="D1177" i="23"/>
  <c r="O1177" i="23"/>
  <c r="Y1177" i="23" s="1"/>
  <c r="AB1177" i="23"/>
  <c r="AC1177" i="23" s="1"/>
  <c r="P1177" i="23"/>
  <c r="Q1177" i="23"/>
  <c r="R1177" i="23"/>
  <c r="AF1177" i="23"/>
  <c r="L1178" i="23"/>
  <c r="I1178" i="23"/>
  <c r="C1178" i="23"/>
  <c r="K1178" i="23" s="1"/>
  <c r="E1178" i="23"/>
  <c r="F1178" i="23"/>
  <c r="G1178" i="23"/>
  <c r="B1179" i="23"/>
  <c r="M1121" i="23"/>
  <c r="J1121" i="23"/>
  <c r="N1121" i="23" s="1"/>
  <c r="D1121" i="23"/>
  <c r="O1121" i="23"/>
  <c r="Y1121" i="23" s="1"/>
  <c r="AB1121" i="23"/>
  <c r="AC1121" i="23"/>
  <c r="P1121" i="23"/>
  <c r="Q1121" i="23"/>
  <c r="R1121" i="23"/>
  <c r="W1121" i="23"/>
  <c r="X1121" i="23"/>
  <c r="AF1121" i="23"/>
  <c r="L1122" i="23"/>
  <c r="I1122" i="23"/>
  <c r="C1122" i="23"/>
  <c r="K1122" i="23" s="1"/>
  <c r="E1122" i="23"/>
  <c r="F1122" i="23"/>
  <c r="G1122" i="23"/>
  <c r="B1123" i="23"/>
  <c r="J1065" i="23"/>
  <c r="D1065" i="23"/>
  <c r="P1065" i="23"/>
  <c r="Q1065" i="23"/>
  <c r="R1065" i="23"/>
  <c r="AF1065" i="23"/>
  <c r="L1066" i="23"/>
  <c r="I1066" i="23"/>
  <c r="C1066" i="23"/>
  <c r="K1066" i="23" s="1"/>
  <c r="E1066" i="23"/>
  <c r="F1066" i="23"/>
  <c r="G1066" i="23"/>
  <c r="B1067" i="23"/>
  <c r="M1009" i="23"/>
  <c r="J1009" i="23"/>
  <c r="N1009" i="23" s="1"/>
  <c r="D1009" i="23"/>
  <c r="O1009" i="23"/>
  <c r="Y1009" i="23" s="1"/>
  <c r="AB1009" i="23"/>
  <c r="AC1009" i="23"/>
  <c r="P1009" i="23"/>
  <c r="Q1009" i="23"/>
  <c r="R1009" i="23"/>
  <c r="AF1009" i="23"/>
  <c r="L1010" i="23"/>
  <c r="I1010" i="23"/>
  <c r="C1010" i="23"/>
  <c r="K1010" i="23" s="1"/>
  <c r="E1010" i="23"/>
  <c r="F1010" i="23"/>
  <c r="G1010" i="23"/>
  <c r="B1011" i="23"/>
  <c r="M953" i="23"/>
  <c r="J953" i="23"/>
  <c r="N953" i="23" s="1"/>
  <c r="D953" i="23"/>
  <c r="O953" i="23"/>
  <c r="Y953" i="23" s="1"/>
  <c r="AB953" i="23"/>
  <c r="AC953" i="23"/>
  <c r="P953" i="23"/>
  <c r="Q953" i="23"/>
  <c r="R953" i="23"/>
  <c r="AF953" i="23"/>
  <c r="L954" i="23"/>
  <c r="I954" i="23"/>
  <c r="C954" i="23"/>
  <c r="K954" i="23" s="1"/>
  <c r="E954" i="23"/>
  <c r="F954" i="23"/>
  <c r="G954" i="23"/>
  <c r="B955" i="23"/>
  <c r="M897" i="23"/>
  <c r="J897" i="23"/>
  <c r="N897" i="23" s="1"/>
  <c r="D897" i="23"/>
  <c r="O897" i="23"/>
  <c r="Y897" i="23" s="1"/>
  <c r="AB897" i="23"/>
  <c r="AC897" i="23"/>
  <c r="P897" i="23"/>
  <c r="Q897" i="23"/>
  <c r="R897" i="23"/>
  <c r="AF897" i="23"/>
  <c r="L898" i="23"/>
  <c r="I898" i="23"/>
  <c r="C898" i="23"/>
  <c r="K898" i="23" s="1"/>
  <c r="E898" i="23"/>
  <c r="F898" i="23"/>
  <c r="G898" i="23"/>
  <c r="B899" i="23"/>
  <c r="M841" i="23"/>
  <c r="J841" i="23"/>
  <c r="N841" i="23" s="1"/>
  <c r="D841" i="23"/>
  <c r="O841" i="23"/>
  <c r="Y841" i="23" s="1"/>
  <c r="AB841" i="23"/>
  <c r="AC841" i="23"/>
  <c r="P841" i="23"/>
  <c r="Q841" i="23"/>
  <c r="R841" i="23"/>
  <c r="AF841" i="23"/>
  <c r="L842" i="23"/>
  <c r="I842" i="23"/>
  <c r="C842" i="23"/>
  <c r="K842" i="23" s="1"/>
  <c r="E842" i="23"/>
  <c r="F842" i="23"/>
  <c r="G842" i="23"/>
  <c r="B843" i="23"/>
  <c r="M785" i="23"/>
  <c r="J785" i="23"/>
  <c r="N785" i="23" s="1"/>
  <c r="D785" i="23"/>
  <c r="O785" i="23"/>
  <c r="Y785" i="23" s="1"/>
  <c r="AB785" i="23"/>
  <c r="AC785" i="23"/>
  <c r="P785" i="23"/>
  <c r="Q785" i="23"/>
  <c r="R785" i="23"/>
  <c r="AF785" i="23"/>
  <c r="L786" i="23"/>
  <c r="I786" i="23"/>
  <c r="C786" i="23"/>
  <c r="E786" i="23"/>
  <c r="G786" i="23"/>
  <c r="B787" i="23"/>
  <c r="M729" i="23"/>
  <c r="L730" i="23"/>
  <c r="I730" i="23"/>
  <c r="E730" i="23"/>
  <c r="G730" i="23"/>
  <c r="C730" i="23"/>
  <c r="B731" i="23"/>
  <c r="J729" i="23"/>
  <c r="N729" i="23" s="1"/>
  <c r="D729" i="23"/>
  <c r="AB729" i="23"/>
  <c r="O729" i="23"/>
  <c r="Y729" i="23" s="1"/>
  <c r="AC729" i="23"/>
  <c r="P729" i="23"/>
  <c r="Q729" i="23"/>
  <c r="R729" i="23"/>
  <c r="AF729" i="23"/>
  <c r="J673" i="23"/>
  <c r="D673" i="23"/>
  <c r="P673" i="23"/>
  <c r="Q673" i="23"/>
  <c r="R673" i="23"/>
  <c r="X673" i="23"/>
  <c r="AF673" i="23"/>
  <c r="L674" i="23"/>
  <c r="I674" i="23"/>
  <c r="C674" i="23"/>
  <c r="K674" i="23" s="1"/>
  <c r="E674" i="23"/>
  <c r="F674" i="23"/>
  <c r="G674" i="23"/>
  <c r="B675" i="23"/>
  <c r="M617" i="23"/>
  <c r="J617" i="23"/>
  <c r="N617" i="23" s="1"/>
  <c r="D617" i="23"/>
  <c r="O617" i="23"/>
  <c r="Y617" i="23" s="1"/>
  <c r="AB617" i="23"/>
  <c r="AC617" i="23"/>
  <c r="P617" i="23"/>
  <c r="Q617" i="23"/>
  <c r="R617" i="23"/>
  <c r="AF617" i="23"/>
  <c r="L618" i="23"/>
  <c r="I618" i="23"/>
  <c r="C618" i="23"/>
  <c r="K618" i="23" s="1"/>
  <c r="E618" i="23"/>
  <c r="F618" i="23"/>
  <c r="G618" i="23"/>
  <c r="B619" i="23"/>
  <c r="M561" i="23"/>
  <c r="J561" i="23"/>
  <c r="N561" i="23" s="1"/>
  <c r="D561" i="23"/>
  <c r="O561" i="23"/>
  <c r="Y561" i="23" s="1"/>
  <c r="AB561" i="23"/>
  <c r="AC561" i="23"/>
  <c r="P561" i="23"/>
  <c r="Q561" i="23"/>
  <c r="R561" i="23"/>
  <c r="AF561" i="23"/>
  <c r="L562" i="23"/>
  <c r="I562" i="23"/>
  <c r="C562" i="23"/>
  <c r="E562" i="23"/>
  <c r="G562" i="23"/>
  <c r="B563" i="23"/>
  <c r="M505" i="23"/>
  <c r="J505" i="23"/>
  <c r="N505" i="23" s="1"/>
  <c r="D505" i="23"/>
  <c r="O505" i="23"/>
  <c r="Y505" i="23" s="1"/>
  <c r="AB505" i="23"/>
  <c r="AC505" i="23"/>
  <c r="P505" i="23"/>
  <c r="Q505" i="23"/>
  <c r="R505" i="23"/>
  <c r="AF505" i="23"/>
  <c r="L506" i="23"/>
  <c r="I506" i="23"/>
  <c r="C506" i="23"/>
  <c r="K506" i="23" s="1"/>
  <c r="E506" i="23"/>
  <c r="F506" i="23"/>
  <c r="G506" i="23"/>
  <c r="B507" i="23"/>
  <c r="J449" i="23"/>
  <c r="D449" i="23"/>
  <c r="L450" i="23"/>
  <c r="I450" i="23"/>
  <c r="G450" i="23"/>
  <c r="B451" i="23"/>
  <c r="C450" i="23"/>
  <c r="E450" i="23"/>
  <c r="P449" i="23"/>
  <c r="Q449" i="23"/>
  <c r="R449" i="23"/>
  <c r="AF449" i="23"/>
  <c r="M393" i="23"/>
  <c r="J393" i="23"/>
  <c r="N393" i="23" s="1"/>
  <c r="D393" i="23"/>
  <c r="O393" i="23"/>
  <c r="Y393" i="23" s="1"/>
  <c r="AB393" i="23"/>
  <c r="AC393" i="23"/>
  <c r="P393" i="23"/>
  <c r="Q393" i="23"/>
  <c r="R393" i="23"/>
  <c r="AF393" i="23"/>
  <c r="L394" i="23"/>
  <c r="I394" i="23"/>
  <c r="C394" i="23"/>
  <c r="K394" i="23" s="1"/>
  <c r="E394" i="23"/>
  <c r="F394" i="23"/>
  <c r="G394" i="23"/>
  <c r="B395" i="23"/>
  <c r="M337" i="23"/>
  <c r="J337" i="23"/>
  <c r="N337" i="23" s="1"/>
  <c r="D337" i="23"/>
  <c r="O337" i="23"/>
  <c r="Y337" i="23" s="1"/>
  <c r="AB337" i="23"/>
  <c r="AC337" i="23" s="1"/>
  <c r="P337" i="23"/>
  <c r="Q337" i="23"/>
  <c r="R337" i="23"/>
  <c r="AF337" i="23"/>
  <c r="L338" i="23"/>
  <c r="I338" i="23"/>
  <c r="C338" i="23"/>
  <c r="K338" i="23" s="1"/>
  <c r="E338" i="23"/>
  <c r="F338" i="23"/>
  <c r="G338" i="23"/>
  <c r="B339" i="23"/>
  <c r="M281" i="23"/>
  <c r="J281" i="23"/>
  <c r="N281" i="23" s="1"/>
  <c r="D281" i="23"/>
  <c r="O281" i="23"/>
  <c r="Y281" i="23" s="1"/>
  <c r="AB281" i="23"/>
  <c r="AC281" i="23"/>
  <c r="P281" i="23"/>
  <c r="Q281" i="23"/>
  <c r="R281" i="23"/>
  <c r="AF281" i="23"/>
  <c r="L282" i="23"/>
  <c r="I282" i="23"/>
  <c r="C282" i="23"/>
  <c r="K282" i="23" s="1"/>
  <c r="E282" i="23"/>
  <c r="F282" i="23"/>
  <c r="G282" i="23"/>
  <c r="B283" i="23"/>
  <c r="D4760" i="22"/>
  <c r="J4760" i="22"/>
  <c r="N4760" i="22" s="1"/>
  <c r="P4760" i="22"/>
  <c r="Q4760" i="22"/>
  <c r="R4760" i="22"/>
  <c r="M4760" i="22"/>
  <c r="C4761" i="22"/>
  <c r="F4761" i="22" s="1"/>
  <c r="E4761" i="22"/>
  <c r="G4761" i="22"/>
  <c r="I4761" i="22"/>
  <c r="K4761" i="22"/>
  <c r="L4761" i="22"/>
  <c r="B4762" i="22"/>
  <c r="S4705" i="22"/>
  <c r="U4705" i="22"/>
  <c r="D4706" i="22"/>
  <c r="J4706" i="22"/>
  <c r="P4706" i="22"/>
  <c r="Q4706" i="22"/>
  <c r="R4706" i="22"/>
  <c r="L4707" i="22"/>
  <c r="C4707" i="22"/>
  <c r="K4707" i="22" s="1"/>
  <c r="E4707" i="22"/>
  <c r="F4707" i="22"/>
  <c r="G4707" i="22"/>
  <c r="I4707" i="22"/>
  <c r="B4708" i="22"/>
  <c r="P4652" i="22"/>
  <c r="Q4652" i="22"/>
  <c r="R4652" i="22"/>
  <c r="C4653" i="22"/>
  <c r="E4653" i="22"/>
  <c r="G4653" i="22"/>
  <c r="B4654" i="22"/>
  <c r="M4598" i="22"/>
  <c r="J4598" i="22"/>
  <c r="N4598" i="22" s="1"/>
  <c r="D4598" i="22"/>
  <c r="P4598" i="22"/>
  <c r="Q4598" i="22"/>
  <c r="R4598" i="22"/>
  <c r="I4599" i="22"/>
  <c r="L4599" i="22"/>
  <c r="C4599" i="22"/>
  <c r="E4599" i="22"/>
  <c r="G4599" i="22"/>
  <c r="B4600" i="22"/>
  <c r="M4544" i="22"/>
  <c r="D4544" i="22"/>
  <c r="J4544" i="22"/>
  <c r="N4544" i="22" s="1"/>
  <c r="P4544" i="22"/>
  <c r="Q4544" i="22"/>
  <c r="R4544" i="22"/>
  <c r="L4545" i="22"/>
  <c r="C4545" i="22"/>
  <c r="K4545" i="22" s="1"/>
  <c r="E4545" i="22"/>
  <c r="F4545" i="22"/>
  <c r="G4545" i="22"/>
  <c r="I4545" i="22"/>
  <c r="B4546" i="22"/>
  <c r="D4244" i="22"/>
  <c r="J4244" i="22"/>
  <c r="N4244" i="22" s="1"/>
  <c r="U4244" i="22" s="1"/>
  <c r="P4244" i="22"/>
  <c r="Q4244" i="22"/>
  <c r="R4244" i="22"/>
  <c r="M4244" i="22"/>
  <c r="C4245" i="22"/>
  <c r="K4245" i="22" s="1"/>
  <c r="E4245" i="22"/>
  <c r="F4245" i="22"/>
  <c r="O4245" i="22" s="1"/>
  <c r="G4245" i="22"/>
  <c r="I4245" i="22"/>
  <c r="L4245" i="22"/>
  <c r="B4246" i="22"/>
  <c r="M4190" i="22"/>
  <c r="D4190" i="22"/>
  <c r="J4190" i="22"/>
  <c r="N4190" i="22" s="1"/>
  <c r="U4190" i="22" s="1"/>
  <c r="P4190" i="22"/>
  <c r="Q4190" i="22"/>
  <c r="R4190" i="22"/>
  <c r="L4191" i="22"/>
  <c r="C4191" i="22"/>
  <c r="K4191" i="22" s="1"/>
  <c r="E4191" i="22"/>
  <c r="F4191" i="22"/>
  <c r="O4191" i="22" s="1"/>
  <c r="G4191" i="22"/>
  <c r="I4191" i="22"/>
  <c r="B4192" i="22"/>
  <c r="M4136" i="22"/>
  <c r="D4136" i="22"/>
  <c r="J4136" i="22"/>
  <c r="N4136" i="22" s="1"/>
  <c r="U4136" i="22" s="1"/>
  <c r="P4136" i="22"/>
  <c r="Q4136" i="22"/>
  <c r="R4136" i="22"/>
  <c r="L4137" i="22"/>
  <c r="C4137" i="22"/>
  <c r="K4137" i="22" s="1"/>
  <c r="E4137" i="22"/>
  <c r="F4137" i="22"/>
  <c r="O4137" i="22" s="1"/>
  <c r="G4137" i="22"/>
  <c r="I4137" i="22"/>
  <c r="B4138" i="22"/>
  <c r="M4082" i="22"/>
  <c r="D4082" i="22"/>
  <c r="J4082" i="22"/>
  <c r="N4082" i="22" s="1"/>
  <c r="U4082" i="22" s="1"/>
  <c r="P4082" i="22"/>
  <c r="Q4082" i="22"/>
  <c r="R4082" i="22"/>
  <c r="L4083" i="22"/>
  <c r="C4083" i="22"/>
  <c r="K4083" i="22" s="1"/>
  <c r="E4083" i="22"/>
  <c r="F4083" i="22"/>
  <c r="O4083" i="22" s="1"/>
  <c r="G4083" i="22"/>
  <c r="I4083" i="22"/>
  <c r="B4084" i="22"/>
  <c r="D3782" i="22"/>
  <c r="J3782" i="22"/>
  <c r="P3782" i="22"/>
  <c r="Q3782" i="22"/>
  <c r="R3782" i="22"/>
  <c r="L3783" i="22"/>
  <c r="C3783" i="22"/>
  <c r="K3783" i="22" s="1"/>
  <c r="E3783" i="22"/>
  <c r="F3783" i="22"/>
  <c r="O3783" i="22" s="1"/>
  <c r="G3783" i="22"/>
  <c r="I3783" i="22"/>
  <c r="B3784" i="22"/>
  <c r="U3727" i="22"/>
  <c r="AS71" i="22"/>
  <c r="BE71" i="22"/>
  <c r="D3728" i="22"/>
  <c r="J3728" i="22"/>
  <c r="P3728" i="22"/>
  <c r="Q3728" i="22"/>
  <c r="R3728" i="22"/>
  <c r="L3729" i="22"/>
  <c r="C3729" i="22"/>
  <c r="K3729" i="22" s="1"/>
  <c r="E3729" i="22"/>
  <c r="F3729" i="22"/>
  <c r="O3729" i="22" s="1"/>
  <c r="BS71" i="22" s="1"/>
  <c r="G3729" i="22"/>
  <c r="I3729" i="22"/>
  <c r="B3730" i="22"/>
  <c r="M3674" i="22"/>
  <c r="D3674" i="22"/>
  <c r="J3674" i="22"/>
  <c r="N3674" i="22" s="1"/>
  <c r="P3674" i="22"/>
  <c r="Q3674" i="22"/>
  <c r="R3674" i="22"/>
  <c r="L3675" i="22"/>
  <c r="C3675" i="22"/>
  <c r="E3675" i="22"/>
  <c r="G3675" i="22"/>
  <c r="I3675" i="22"/>
  <c r="B3676" i="22"/>
  <c r="M3620" i="22"/>
  <c r="D3620" i="22"/>
  <c r="J3620" i="22"/>
  <c r="N3620" i="22" s="1"/>
  <c r="P3620" i="22"/>
  <c r="Q3620" i="22"/>
  <c r="R3620" i="22"/>
  <c r="L3621" i="22"/>
  <c r="C3621" i="22"/>
  <c r="K3621" i="22" s="1"/>
  <c r="E3621" i="22"/>
  <c r="F3621" i="22"/>
  <c r="O3621" i="22" s="1"/>
  <c r="G3621" i="22"/>
  <c r="I3621" i="22"/>
  <c r="B3622" i="22"/>
  <c r="M3566" i="22"/>
  <c r="D3566" i="22"/>
  <c r="J3566" i="22"/>
  <c r="N3566" i="22" s="1"/>
  <c r="P3566" i="22"/>
  <c r="Q3566" i="22"/>
  <c r="R3566" i="22"/>
  <c r="L3567" i="22"/>
  <c r="G3567" i="22"/>
  <c r="C3567" i="22"/>
  <c r="E3567" i="22"/>
  <c r="I3567" i="22"/>
  <c r="B3568" i="22"/>
  <c r="U3511" i="22"/>
  <c r="AS67" i="22"/>
  <c r="BE67" i="22"/>
  <c r="M3512" i="22"/>
  <c r="D3512" i="22"/>
  <c r="J3512" i="22"/>
  <c r="N3512" i="22" s="1"/>
  <c r="P3512" i="22"/>
  <c r="Q3512" i="22"/>
  <c r="R3512" i="22"/>
  <c r="L3513" i="22"/>
  <c r="C3513" i="22"/>
  <c r="K3513" i="22" s="1"/>
  <c r="E3513" i="22"/>
  <c r="F3513" i="22"/>
  <c r="O3513" i="22" s="1"/>
  <c r="G3513" i="22"/>
  <c r="I3513" i="22"/>
  <c r="B3514" i="22"/>
  <c r="U3457" i="22"/>
  <c r="AS66" i="22"/>
  <c r="BE66" i="22"/>
  <c r="M3458" i="22"/>
  <c r="D3458" i="22"/>
  <c r="J3458" i="22"/>
  <c r="N3458" i="22" s="1"/>
  <c r="P3458" i="22"/>
  <c r="Q3458" i="22"/>
  <c r="R3458" i="22"/>
  <c r="L3459" i="22"/>
  <c r="C3459" i="22"/>
  <c r="K3459" i="22" s="1"/>
  <c r="E3459" i="22"/>
  <c r="F3459" i="22"/>
  <c r="O3459" i="22" s="1"/>
  <c r="G3459" i="22"/>
  <c r="I3459" i="22"/>
  <c r="B3460" i="22"/>
  <c r="M3404" i="22"/>
  <c r="D3404" i="22"/>
  <c r="J3404" i="22"/>
  <c r="N3404" i="22" s="1"/>
  <c r="P3404" i="22"/>
  <c r="Q3404" i="22"/>
  <c r="R3404" i="22"/>
  <c r="L3405" i="22"/>
  <c r="C3405" i="22"/>
  <c r="K3405" i="22" s="1"/>
  <c r="E3405" i="22"/>
  <c r="F3405" i="22"/>
  <c r="O3405" i="22" s="1"/>
  <c r="G3405" i="22"/>
  <c r="I3405" i="22"/>
  <c r="B3406" i="22"/>
  <c r="D3350" i="22"/>
  <c r="J3350" i="22"/>
  <c r="P3350" i="22"/>
  <c r="Q3350" i="22"/>
  <c r="R3350" i="22"/>
  <c r="L3351" i="22"/>
  <c r="C3351" i="22"/>
  <c r="K3351" i="22" s="1"/>
  <c r="E3351" i="22"/>
  <c r="F3351" i="22"/>
  <c r="O3351" i="22" s="1"/>
  <c r="G3351" i="22"/>
  <c r="I3351" i="22"/>
  <c r="B3352" i="22"/>
  <c r="D3296" i="22"/>
  <c r="J3296" i="22"/>
  <c r="P3296" i="22"/>
  <c r="Q3296" i="22"/>
  <c r="R3296" i="22"/>
  <c r="L3297" i="22"/>
  <c r="C3297" i="22"/>
  <c r="K3297" i="22" s="1"/>
  <c r="E3297" i="22"/>
  <c r="F3297" i="22"/>
  <c r="O3297" i="22" s="1"/>
  <c r="G3297" i="22"/>
  <c r="I3297" i="22"/>
  <c r="B3298" i="22"/>
  <c r="U3241" i="22"/>
  <c r="AS62" i="22"/>
  <c r="BE62" i="22"/>
  <c r="D3242" i="22"/>
  <c r="J3242" i="22"/>
  <c r="P3242" i="22"/>
  <c r="Q3242" i="22"/>
  <c r="R3242" i="22"/>
  <c r="L3243" i="22"/>
  <c r="C3243" i="22"/>
  <c r="K3243" i="22" s="1"/>
  <c r="E3243" i="22"/>
  <c r="F3243" i="22"/>
  <c r="O3243" i="22" s="1"/>
  <c r="BS62" i="22" s="1"/>
  <c r="G3243" i="22"/>
  <c r="I3243" i="22"/>
  <c r="B3244" i="22"/>
  <c r="U3187" i="22"/>
  <c r="AS61" i="22"/>
  <c r="BE61" i="22"/>
  <c r="D3188" i="22"/>
  <c r="M3188" i="22" s="1"/>
  <c r="J3188" i="22"/>
  <c r="P3188" i="22"/>
  <c r="Q3188" i="22"/>
  <c r="R3188" i="22"/>
  <c r="L3189" i="22"/>
  <c r="C3189" i="22"/>
  <c r="K3189" i="22" s="1"/>
  <c r="E3189" i="22"/>
  <c r="F3189" i="22"/>
  <c r="O3189" i="22" s="1"/>
  <c r="G3189" i="22"/>
  <c r="I3189" i="22"/>
  <c r="B3190" i="22"/>
  <c r="U3133" i="22"/>
  <c r="AS60" i="22"/>
  <c r="BE60" i="22"/>
  <c r="M3134" i="22"/>
  <c r="D3134" i="22"/>
  <c r="J3134" i="22"/>
  <c r="N3134" i="22" s="1"/>
  <c r="BR60" i="22"/>
  <c r="P3134" i="22"/>
  <c r="Q3134" i="22"/>
  <c r="R3134" i="22"/>
  <c r="L3135" i="22"/>
  <c r="I3135" i="22"/>
  <c r="B3136" i="22"/>
  <c r="C3135" i="22"/>
  <c r="E3135" i="22"/>
  <c r="G3135" i="22"/>
  <c r="U3079" i="22"/>
  <c r="AS59" i="22"/>
  <c r="BE59" i="22"/>
  <c r="J3080" i="22"/>
  <c r="D3080" i="22"/>
  <c r="P3080" i="22"/>
  <c r="Q3080" i="22"/>
  <c r="R3080" i="22"/>
  <c r="L3081" i="22"/>
  <c r="G3081" i="22"/>
  <c r="B3082" i="22"/>
  <c r="C3081" i="22"/>
  <c r="E3081" i="22"/>
  <c r="I3081" i="22"/>
  <c r="M3026" i="22"/>
  <c r="D3026" i="22"/>
  <c r="J3026" i="22"/>
  <c r="N3026" i="22" s="1"/>
  <c r="P3026" i="22"/>
  <c r="Q3026" i="22"/>
  <c r="R3026" i="22"/>
  <c r="L3027" i="22"/>
  <c r="C3027" i="22"/>
  <c r="K3027" i="22" s="1"/>
  <c r="E3027" i="22"/>
  <c r="F3027" i="22"/>
  <c r="O3027" i="22" s="1"/>
  <c r="G3027" i="22"/>
  <c r="B3028" i="22"/>
  <c r="I3027" i="22"/>
  <c r="P2972" i="22"/>
  <c r="Q2972" i="22"/>
  <c r="R2972" i="22"/>
  <c r="J2972" i="22"/>
  <c r="D2972" i="22"/>
  <c r="L2973" i="22"/>
  <c r="I2973" i="22"/>
  <c r="C2973" i="22"/>
  <c r="E2973" i="22"/>
  <c r="G2973" i="22"/>
  <c r="B2974" i="22"/>
  <c r="L2919" i="22"/>
  <c r="I2919" i="22"/>
  <c r="B2920" i="22"/>
  <c r="C2919" i="22"/>
  <c r="G2919" i="22"/>
  <c r="E2919" i="22"/>
  <c r="D2918" i="22"/>
  <c r="J2918" i="22"/>
  <c r="P2918" i="22"/>
  <c r="Q2918" i="22"/>
  <c r="R2918" i="22"/>
  <c r="M2864" i="22"/>
  <c r="D2864" i="22"/>
  <c r="J2864" i="22"/>
  <c r="N2864" i="22" s="1"/>
  <c r="P2864" i="22"/>
  <c r="Q2864" i="22"/>
  <c r="R2864" i="22"/>
  <c r="L2865" i="22"/>
  <c r="C2865" i="22"/>
  <c r="E2865" i="22"/>
  <c r="G2865" i="22"/>
  <c r="I2865" i="22"/>
  <c r="B2866" i="22"/>
  <c r="AL1624" i="23"/>
  <c r="U2809" i="22"/>
  <c r="D2810" i="22"/>
  <c r="J2810" i="22"/>
  <c r="P2810" i="22"/>
  <c r="Q2810" i="22"/>
  <c r="R2810" i="22"/>
  <c r="T2810" i="22"/>
  <c r="L2811" i="22"/>
  <c r="C2811" i="22"/>
  <c r="E2811" i="22"/>
  <c r="G2811" i="22"/>
  <c r="I2811" i="22"/>
  <c r="B2812" i="22"/>
  <c r="U2755" i="22"/>
  <c r="AS53" i="22"/>
  <c r="BE53" i="22"/>
  <c r="M2756" i="22"/>
  <c r="D2756" i="22"/>
  <c r="J2756" i="22"/>
  <c r="N2756" i="22" s="1"/>
  <c r="P2756" i="22"/>
  <c r="Q2756" i="22"/>
  <c r="R2756" i="22"/>
  <c r="L2757" i="22"/>
  <c r="C2757" i="22"/>
  <c r="E2757" i="22"/>
  <c r="G2757" i="22"/>
  <c r="I2757" i="22"/>
  <c r="B2758" i="22"/>
  <c r="U2701" i="22"/>
  <c r="AS52" i="22"/>
  <c r="BE52" i="22"/>
  <c r="M2702" i="22"/>
  <c r="D2702" i="22"/>
  <c r="J2702" i="22"/>
  <c r="N2702" i="22" s="1"/>
  <c r="BR52" i="22"/>
  <c r="P2702" i="22"/>
  <c r="Q2702" i="22"/>
  <c r="R2702" i="22"/>
  <c r="L2703" i="22"/>
  <c r="C2703" i="22"/>
  <c r="K2703" i="22" s="1"/>
  <c r="E2703" i="22"/>
  <c r="F2703" i="22"/>
  <c r="O2703" i="22" s="1"/>
  <c r="G2703" i="22"/>
  <c r="I2703" i="22"/>
  <c r="B2704" i="22"/>
  <c r="U2647" i="22"/>
  <c r="AS51" i="22"/>
  <c r="BE51" i="22"/>
  <c r="M2648" i="22"/>
  <c r="D2648" i="22"/>
  <c r="J2648" i="22"/>
  <c r="N2648" i="22" s="1"/>
  <c r="P2648" i="22"/>
  <c r="Q2648" i="22"/>
  <c r="R2648" i="22"/>
  <c r="L2649" i="22"/>
  <c r="C2649" i="22"/>
  <c r="K2649" i="22" s="1"/>
  <c r="E2649" i="22"/>
  <c r="F2649" i="22"/>
  <c r="O2649" i="22" s="1"/>
  <c r="G2649" i="22"/>
  <c r="I2649" i="22"/>
  <c r="B2650" i="22"/>
  <c r="AS50" i="22"/>
  <c r="BE50" i="22"/>
  <c r="U2593" i="22"/>
  <c r="M2594" i="22"/>
  <c r="J2594" i="22"/>
  <c r="N2594" i="22" s="1"/>
  <c r="D2594" i="22"/>
  <c r="L2595" i="22"/>
  <c r="G2595" i="22"/>
  <c r="E2595" i="22"/>
  <c r="I2595" i="22"/>
  <c r="B2596" i="22"/>
  <c r="C2595" i="22"/>
  <c r="P2594" i="22"/>
  <c r="Q2594" i="22"/>
  <c r="R2594" i="22"/>
  <c r="D2540" i="22"/>
  <c r="J2540" i="22"/>
  <c r="P2540" i="22"/>
  <c r="Q2540" i="22"/>
  <c r="R2540" i="22"/>
  <c r="L2541" i="22"/>
  <c r="C2541" i="22"/>
  <c r="E2541" i="22"/>
  <c r="G2541" i="22"/>
  <c r="I2541" i="22"/>
  <c r="B2542" i="22"/>
  <c r="D2486" i="22"/>
  <c r="J2486" i="22"/>
  <c r="P2486" i="22"/>
  <c r="Q2486" i="22"/>
  <c r="R2486" i="22"/>
  <c r="L2487" i="22"/>
  <c r="C2487" i="22"/>
  <c r="E2487" i="22"/>
  <c r="G2487" i="22"/>
  <c r="I2487" i="22"/>
  <c r="B2488" i="22"/>
  <c r="U2431" i="22"/>
  <c r="AS47" i="22"/>
  <c r="BE47" i="22"/>
  <c r="D2432" i="22"/>
  <c r="J2432" i="22"/>
  <c r="P2432" i="22"/>
  <c r="Q2432" i="22"/>
  <c r="R2432" i="22"/>
  <c r="L2433" i="22"/>
  <c r="C2433" i="22"/>
  <c r="E2433" i="22"/>
  <c r="G2433" i="22"/>
  <c r="I2433" i="22"/>
  <c r="B2434" i="22"/>
  <c r="U2377" i="22"/>
  <c r="AS46" i="22"/>
  <c r="BE46" i="22"/>
  <c r="M2378" i="22"/>
  <c r="D2378" i="22"/>
  <c r="J2378" i="22"/>
  <c r="N2378" i="22" s="1"/>
  <c r="P2378" i="22"/>
  <c r="Q2378" i="22"/>
  <c r="R2378" i="22"/>
  <c r="L2379" i="22"/>
  <c r="C2379" i="22"/>
  <c r="K2379" i="22" s="1"/>
  <c r="E2379" i="22"/>
  <c r="F2379" i="22"/>
  <c r="O2379" i="22" s="1"/>
  <c r="G2379" i="22"/>
  <c r="I2379" i="22"/>
  <c r="B2380" i="22"/>
  <c r="U2323" i="22"/>
  <c r="AS45" i="22"/>
  <c r="BE45" i="22"/>
  <c r="M2324" i="22"/>
  <c r="D2324" i="22"/>
  <c r="J2324" i="22"/>
  <c r="N2324" i="22" s="1"/>
  <c r="P2324" i="22"/>
  <c r="Q2324" i="22"/>
  <c r="R2324" i="22"/>
  <c r="L2325" i="22"/>
  <c r="C2325" i="22"/>
  <c r="K2325" i="22" s="1"/>
  <c r="E2325" i="22"/>
  <c r="F2325" i="22"/>
  <c r="O2325" i="22" s="1"/>
  <c r="G2325" i="22"/>
  <c r="I2325" i="22"/>
  <c r="B2326" i="22"/>
  <c r="U2269" i="22"/>
  <c r="AS44" i="22"/>
  <c r="BE44" i="22"/>
  <c r="M2270" i="22"/>
  <c r="D2270" i="22"/>
  <c r="J2270" i="22"/>
  <c r="N2270" i="22" s="1"/>
  <c r="P2270" i="22"/>
  <c r="Q2270" i="22"/>
  <c r="R2270" i="22"/>
  <c r="L2271" i="22"/>
  <c r="C2271" i="22"/>
  <c r="K2271" i="22" s="1"/>
  <c r="E2271" i="22"/>
  <c r="F2271" i="22"/>
  <c r="O2271" i="22" s="1"/>
  <c r="G2271" i="22"/>
  <c r="I2271" i="22"/>
  <c r="B2272" i="22"/>
  <c r="U2215" i="22"/>
  <c r="AS43" i="22"/>
  <c r="BE43" i="22"/>
  <c r="M2216" i="22"/>
  <c r="D2216" i="22"/>
  <c r="J2216" i="22"/>
  <c r="N2216" i="22" s="1"/>
  <c r="P2216" i="22"/>
  <c r="Q2216" i="22"/>
  <c r="R2216" i="22"/>
  <c r="L2217" i="22"/>
  <c r="C2217" i="22"/>
  <c r="K2217" i="22" s="1"/>
  <c r="E2217" i="22"/>
  <c r="F2217" i="22"/>
  <c r="O2217" i="22" s="1"/>
  <c r="G2217" i="22"/>
  <c r="I2217" i="22"/>
  <c r="B2218" i="22"/>
  <c r="U2161" i="22"/>
  <c r="AS42" i="22"/>
  <c r="BE42" i="22"/>
  <c r="M2162" i="22"/>
  <c r="D2162" i="22"/>
  <c r="J2162" i="22"/>
  <c r="N2162" i="22" s="1"/>
  <c r="P2162" i="22"/>
  <c r="Q2162" i="22"/>
  <c r="R2162" i="22"/>
  <c r="L2163" i="22"/>
  <c r="C2163" i="22"/>
  <c r="E2163" i="22"/>
  <c r="G2163" i="22"/>
  <c r="I2163" i="22"/>
  <c r="B2164" i="22"/>
  <c r="D2108" i="22"/>
  <c r="M2108" i="22" s="1"/>
  <c r="J2108" i="22"/>
  <c r="P2108" i="22"/>
  <c r="Q2108" i="22"/>
  <c r="R2108" i="22"/>
  <c r="L2109" i="22"/>
  <c r="C2109" i="22"/>
  <c r="K2109" i="22" s="1"/>
  <c r="E2109" i="22"/>
  <c r="F2109" i="22"/>
  <c r="O2109" i="22" s="1"/>
  <c r="G2109" i="22"/>
  <c r="I2109" i="22"/>
  <c r="B2110" i="22"/>
  <c r="D2054" i="22"/>
  <c r="J2054" i="22"/>
  <c r="P2054" i="22"/>
  <c r="Q2054" i="22"/>
  <c r="R2054" i="22"/>
  <c r="L2055" i="22"/>
  <c r="C2055" i="22"/>
  <c r="K2055" i="22" s="1"/>
  <c r="E2055" i="22"/>
  <c r="F2055" i="22"/>
  <c r="O2055" i="22" s="1"/>
  <c r="BS40" i="22" s="1"/>
  <c r="G2055" i="22"/>
  <c r="I2055" i="22"/>
  <c r="B2056" i="22"/>
  <c r="M2000" i="22"/>
  <c r="D2000" i="22"/>
  <c r="J2000" i="22"/>
  <c r="N2000" i="22" s="1"/>
  <c r="P2000" i="22"/>
  <c r="Q2000" i="22"/>
  <c r="R2000" i="22"/>
  <c r="L2001" i="22"/>
  <c r="C2001" i="22"/>
  <c r="K2001" i="22" s="1"/>
  <c r="E2001" i="22"/>
  <c r="F2001" i="22"/>
  <c r="O2001" i="22" s="1"/>
  <c r="G2001" i="22"/>
  <c r="I2001" i="22"/>
  <c r="B2002" i="22"/>
  <c r="U1945" i="22"/>
  <c r="AS38" i="22"/>
  <c r="BE38" i="22"/>
  <c r="M1946" i="22"/>
  <c r="D1946" i="22"/>
  <c r="J1946" i="22"/>
  <c r="N1946" i="22" s="1"/>
  <c r="BR38" i="22"/>
  <c r="P1946" i="22"/>
  <c r="Q1946" i="22"/>
  <c r="R1946" i="22"/>
  <c r="L1947" i="22"/>
  <c r="C1947" i="22"/>
  <c r="K1947" i="22" s="1"/>
  <c r="E1947" i="22"/>
  <c r="F1947" i="22"/>
  <c r="O1947" i="22" s="1"/>
  <c r="G1947" i="22"/>
  <c r="I1947" i="22"/>
  <c r="B1948" i="22"/>
  <c r="U1891" i="22"/>
  <c r="AS37" i="22"/>
  <c r="BE37" i="22"/>
  <c r="M1892" i="22"/>
  <c r="D1892" i="22"/>
  <c r="J1892" i="22"/>
  <c r="N1892" i="22" s="1"/>
  <c r="BR37" i="22"/>
  <c r="P1892" i="22"/>
  <c r="Q1892" i="22"/>
  <c r="R1892" i="22"/>
  <c r="L1893" i="22"/>
  <c r="C1893" i="22"/>
  <c r="K1893" i="22" s="1"/>
  <c r="E1893" i="22"/>
  <c r="F1893" i="22"/>
  <c r="O1893" i="22" s="1"/>
  <c r="G1893" i="22"/>
  <c r="I1893" i="22"/>
  <c r="B1894" i="22"/>
  <c r="U1837" i="22"/>
  <c r="AS36" i="22"/>
  <c r="BE36" i="22"/>
  <c r="M1838" i="22"/>
  <c r="D1838" i="22"/>
  <c r="J1838" i="22"/>
  <c r="N1838" i="22" s="1"/>
  <c r="P1838" i="22"/>
  <c r="Q1838" i="22"/>
  <c r="R1838" i="22"/>
  <c r="L1839" i="22"/>
  <c r="C1839" i="22"/>
  <c r="E1839" i="22"/>
  <c r="G1839" i="22"/>
  <c r="I1839" i="22"/>
  <c r="B1840" i="22"/>
  <c r="U1783" i="22"/>
  <c r="AS35" i="22"/>
  <c r="BE35" i="22"/>
  <c r="M1784" i="22"/>
  <c r="D1784" i="22"/>
  <c r="J1784" i="22"/>
  <c r="N1784" i="22" s="1"/>
  <c r="P1784" i="22"/>
  <c r="Q1784" i="22"/>
  <c r="R1784" i="22"/>
  <c r="L1785" i="22"/>
  <c r="C1785" i="22"/>
  <c r="K1785" i="22" s="1"/>
  <c r="E1785" i="22"/>
  <c r="F1785" i="22"/>
  <c r="O1785" i="22" s="1"/>
  <c r="G1785" i="22"/>
  <c r="I1785" i="22"/>
  <c r="B1786" i="22"/>
  <c r="M1730" i="22"/>
  <c r="D1730" i="22"/>
  <c r="J1730" i="22"/>
  <c r="N1730" i="22" s="1"/>
  <c r="P1730" i="22"/>
  <c r="Q1730" i="22"/>
  <c r="R1730" i="22"/>
  <c r="L1731" i="22"/>
  <c r="C1731" i="22"/>
  <c r="K1731" i="22" s="1"/>
  <c r="E1731" i="22"/>
  <c r="F1731" i="22"/>
  <c r="O1731" i="22" s="1"/>
  <c r="G1731" i="22"/>
  <c r="I1731" i="22"/>
  <c r="B1732" i="22"/>
  <c r="U1675" i="22"/>
  <c r="AS33" i="22"/>
  <c r="BE33" i="22"/>
  <c r="M1676" i="22"/>
  <c r="D1676" i="22"/>
  <c r="J1676" i="22"/>
  <c r="N1676" i="22" s="1"/>
  <c r="P1676" i="22"/>
  <c r="Q1676" i="22"/>
  <c r="R1676" i="22"/>
  <c r="L1677" i="22"/>
  <c r="C1677" i="22"/>
  <c r="E1677" i="22"/>
  <c r="G1677" i="22"/>
  <c r="I1677" i="22"/>
  <c r="B1678" i="22"/>
  <c r="U1621" i="22"/>
  <c r="AS32" i="22"/>
  <c r="BE32" i="22"/>
  <c r="D1622" i="22"/>
  <c r="J1622" i="22"/>
  <c r="P1622" i="22"/>
  <c r="Q1622" i="22"/>
  <c r="R1622" i="22"/>
  <c r="L1623" i="22"/>
  <c r="C1623" i="22"/>
  <c r="K1623" i="22" s="1"/>
  <c r="E1623" i="22"/>
  <c r="F1623" i="22"/>
  <c r="O1623" i="22" s="1"/>
  <c r="BS32" i="22" s="1"/>
  <c r="G1623" i="22"/>
  <c r="I1623" i="22"/>
  <c r="B1624" i="22"/>
  <c r="U1567" i="22"/>
  <c r="AS31" i="22"/>
  <c r="BE31" i="22"/>
  <c r="D1568" i="22"/>
  <c r="J1568" i="22"/>
  <c r="P1568" i="22"/>
  <c r="Q1568" i="22"/>
  <c r="R1568" i="22"/>
  <c r="L1569" i="22"/>
  <c r="C1569" i="22"/>
  <c r="K1569" i="22" s="1"/>
  <c r="E1569" i="22"/>
  <c r="F1569" i="22"/>
  <c r="O1569" i="22" s="1"/>
  <c r="BS31" i="22" s="1"/>
  <c r="G1569" i="22"/>
  <c r="I1569" i="22"/>
  <c r="B1570" i="22"/>
  <c r="U1513" i="22"/>
  <c r="AS30" i="22"/>
  <c r="BE30" i="22"/>
  <c r="M1514" i="22"/>
  <c r="D1514" i="22"/>
  <c r="J1514" i="22"/>
  <c r="N1514" i="22" s="1"/>
  <c r="BR30" i="22"/>
  <c r="P1514" i="22"/>
  <c r="Q1514" i="22"/>
  <c r="R1514" i="22"/>
  <c r="L1515" i="22"/>
  <c r="C1515" i="22"/>
  <c r="K1515" i="22" s="1"/>
  <c r="E1515" i="22"/>
  <c r="F1515" i="22"/>
  <c r="O1515" i="22" s="1"/>
  <c r="G1515" i="22"/>
  <c r="I1515" i="22"/>
  <c r="B1516" i="22"/>
  <c r="U1459" i="22"/>
  <c r="AS29" i="22"/>
  <c r="BE29" i="22"/>
  <c r="M1460" i="22"/>
  <c r="D1460" i="22"/>
  <c r="J1460" i="22"/>
  <c r="N1460" i="22" s="1"/>
  <c r="P1460" i="22"/>
  <c r="Q1460" i="22"/>
  <c r="R1460" i="22"/>
  <c r="L1461" i="22"/>
  <c r="C1461" i="22"/>
  <c r="K1461" i="22" s="1"/>
  <c r="E1461" i="22"/>
  <c r="F1461" i="22"/>
  <c r="O1461" i="22" s="1"/>
  <c r="G1461" i="22"/>
  <c r="I1461" i="22"/>
  <c r="B1462" i="22"/>
  <c r="U1405" i="22"/>
  <c r="AS28" i="22"/>
  <c r="BE28" i="22"/>
  <c r="M1406" i="22"/>
  <c r="D1406" i="22"/>
  <c r="J1406" i="22"/>
  <c r="N1406" i="22" s="1"/>
  <c r="P1406" i="22"/>
  <c r="Q1406" i="22"/>
  <c r="R1406" i="22"/>
  <c r="L1407" i="22"/>
  <c r="C1407" i="22"/>
  <c r="K1407" i="22" s="1"/>
  <c r="E1407" i="22"/>
  <c r="F1407" i="22"/>
  <c r="O1407" i="22" s="1"/>
  <c r="G1407" i="22"/>
  <c r="I1407" i="22"/>
  <c r="B1408" i="22"/>
  <c r="U1351" i="22"/>
  <c r="AS27" i="22"/>
  <c r="BE27" i="22"/>
  <c r="M1352" i="22"/>
  <c r="D1352" i="22"/>
  <c r="J1352" i="22"/>
  <c r="N1352" i="22" s="1"/>
  <c r="P1352" i="22"/>
  <c r="Q1352" i="22"/>
  <c r="R1352" i="22"/>
  <c r="L1353" i="22"/>
  <c r="C1353" i="22"/>
  <c r="K1353" i="22" s="1"/>
  <c r="E1353" i="22"/>
  <c r="F1353" i="22"/>
  <c r="O1353" i="22" s="1"/>
  <c r="G1353" i="22"/>
  <c r="I1353" i="22"/>
  <c r="B1354" i="22"/>
  <c r="U1297" i="22"/>
  <c r="AS26" i="22"/>
  <c r="BE26" i="22"/>
  <c r="M1298" i="22"/>
  <c r="D1298" i="22"/>
  <c r="J1298" i="22"/>
  <c r="N1298" i="22" s="1"/>
  <c r="P1298" i="22"/>
  <c r="Q1298" i="22"/>
  <c r="R1298" i="22"/>
  <c r="L1299" i="22"/>
  <c r="C1299" i="22"/>
  <c r="E1299" i="22"/>
  <c r="G1299" i="22"/>
  <c r="I1299" i="22"/>
  <c r="B1300" i="22"/>
  <c r="M1244" i="22"/>
  <c r="D1244" i="22"/>
  <c r="J1244" i="22"/>
  <c r="N1244" i="22" s="1"/>
  <c r="P1244" i="22"/>
  <c r="Q1244" i="22"/>
  <c r="R1244" i="22"/>
  <c r="L1245" i="22"/>
  <c r="C1245" i="22"/>
  <c r="E1245" i="22"/>
  <c r="G1245" i="22"/>
  <c r="I1245" i="22"/>
  <c r="B1246" i="22"/>
  <c r="D1190" i="22"/>
  <c r="J1190" i="22"/>
  <c r="P1190" i="22"/>
  <c r="Q1190" i="22"/>
  <c r="R1190" i="22"/>
  <c r="L1191" i="22"/>
  <c r="C1191" i="22"/>
  <c r="K1191" i="22" s="1"/>
  <c r="E1191" i="22"/>
  <c r="F1191" i="22"/>
  <c r="O1191" i="22" s="1"/>
  <c r="G1191" i="22"/>
  <c r="I1191" i="22"/>
  <c r="B1192" i="22"/>
  <c r="H122" i="7"/>
  <c r="H60" i="7"/>
  <c r="U1135" i="22"/>
  <c r="AS23" i="22"/>
  <c r="BE23" i="22"/>
  <c r="M1136" i="22"/>
  <c r="D1136" i="22"/>
  <c r="J1136" i="22"/>
  <c r="N1136" i="22" s="1"/>
  <c r="I91" i="7"/>
  <c r="BR23" i="22"/>
  <c r="P1136" i="22"/>
  <c r="Q1136" i="22"/>
  <c r="R1136" i="22"/>
  <c r="L1137" i="22"/>
  <c r="C1137" i="22"/>
  <c r="K1137" i="22" s="1"/>
  <c r="E1137" i="22"/>
  <c r="F1137" i="22"/>
  <c r="O1137" i="22" s="1"/>
  <c r="G1137" i="22"/>
  <c r="I1137" i="22"/>
  <c r="B1138" i="22"/>
  <c r="H121" i="7"/>
  <c r="H59" i="7"/>
  <c r="U1081" i="22"/>
  <c r="AS22" i="22"/>
  <c r="BE22" i="22"/>
  <c r="M1082" i="22"/>
  <c r="D1082" i="22"/>
  <c r="J1082" i="22"/>
  <c r="N1082" i="22" s="1"/>
  <c r="I90" i="7"/>
  <c r="BR22" i="22"/>
  <c r="P1082" i="22"/>
  <c r="Q1082" i="22"/>
  <c r="R1082" i="22"/>
  <c r="L1083" i="22"/>
  <c r="C1083" i="22"/>
  <c r="K1083" i="22" s="1"/>
  <c r="E1083" i="22"/>
  <c r="F1083" i="22"/>
  <c r="O1083" i="22" s="1"/>
  <c r="G1083" i="22"/>
  <c r="I1083" i="22"/>
  <c r="B1084" i="22"/>
  <c r="H120" i="7"/>
  <c r="H58" i="7"/>
  <c r="U1027" i="22"/>
  <c r="AS21" i="22"/>
  <c r="BE21" i="22"/>
  <c r="D1028" i="22"/>
  <c r="M1028" i="22" s="1"/>
  <c r="J1028" i="22"/>
  <c r="I89" i="7"/>
  <c r="BR21" i="22"/>
  <c r="P1028" i="22"/>
  <c r="Q1028" i="22"/>
  <c r="R1028" i="22"/>
  <c r="L1029" i="22"/>
  <c r="C1029" i="22"/>
  <c r="E1029" i="22"/>
  <c r="G1029" i="22"/>
  <c r="I1029" i="22"/>
  <c r="B1030" i="22"/>
  <c r="H119" i="7"/>
  <c r="H57" i="7"/>
  <c r="U973" i="22"/>
  <c r="AS20" i="22"/>
  <c r="BE20" i="22"/>
  <c r="M974" i="22"/>
  <c r="D974" i="22"/>
  <c r="J974" i="22"/>
  <c r="N974" i="22" s="1"/>
  <c r="I88" i="7"/>
  <c r="BR20" i="22"/>
  <c r="P974" i="22"/>
  <c r="Q974" i="22"/>
  <c r="R974" i="22"/>
  <c r="L975" i="22"/>
  <c r="C975" i="22"/>
  <c r="E975" i="22"/>
  <c r="G975" i="22"/>
  <c r="I975" i="22"/>
  <c r="B976" i="22"/>
  <c r="H118" i="7"/>
  <c r="H56" i="7"/>
  <c r="U919" i="22"/>
  <c r="AS19" i="22"/>
  <c r="BE19" i="22"/>
  <c r="D920" i="22"/>
  <c r="J920" i="22"/>
  <c r="P920" i="22"/>
  <c r="Q920" i="22"/>
  <c r="R920" i="22"/>
  <c r="L921" i="22"/>
  <c r="C921" i="22"/>
  <c r="E921" i="22"/>
  <c r="G921" i="22"/>
  <c r="I921" i="22"/>
  <c r="B922" i="22"/>
  <c r="M866" i="22"/>
  <c r="D866" i="22"/>
  <c r="J866" i="22"/>
  <c r="N866" i="22" s="1"/>
  <c r="I86" i="7"/>
  <c r="BR18" i="22"/>
  <c r="P866" i="22"/>
  <c r="Q866" i="22"/>
  <c r="R866" i="22"/>
  <c r="L867" i="22"/>
  <c r="C867" i="22"/>
  <c r="K867" i="22" s="1"/>
  <c r="E867" i="22"/>
  <c r="F867" i="22"/>
  <c r="O867" i="22" s="1"/>
  <c r="G867" i="22"/>
  <c r="I867" i="22"/>
  <c r="B868" i="22"/>
  <c r="M812" i="22"/>
  <c r="D812" i="22"/>
  <c r="J812" i="22"/>
  <c r="N812" i="22" s="1"/>
  <c r="I85" i="7"/>
  <c r="BR17" i="22"/>
  <c r="P812" i="22"/>
  <c r="Q812" i="22"/>
  <c r="R812" i="22"/>
  <c r="L813" i="22"/>
  <c r="C813" i="22"/>
  <c r="K813" i="22" s="1"/>
  <c r="E813" i="22"/>
  <c r="F813" i="22"/>
  <c r="O813" i="22" s="1"/>
  <c r="G813" i="22"/>
  <c r="I813" i="22"/>
  <c r="B814" i="22"/>
  <c r="H115" i="7"/>
  <c r="H53" i="7"/>
  <c r="U757" i="22"/>
  <c r="AS16" i="22"/>
  <c r="BE16" i="22"/>
  <c r="M758" i="22"/>
  <c r="D758" i="22"/>
  <c r="J758" i="22"/>
  <c r="N758" i="22" s="1"/>
  <c r="I84" i="7"/>
  <c r="BR16" i="22"/>
  <c r="P758" i="22"/>
  <c r="Q758" i="22"/>
  <c r="R758" i="22"/>
  <c r="L759" i="22"/>
  <c r="C759" i="22"/>
  <c r="K759" i="22" s="1"/>
  <c r="E759" i="22"/>
  <c r="F759" i="22"/>
  <c r="O759" i="22" s="1"/>
  <c r="G759" i="22"/>
  <c r="I759" i="22"/>
  <c r="B760" i="22"/>
  <c r="H114" i="7"/>
  <c r="H52" i="7"/>
  <c r="U703" i="22"/>
  <c r="AS15" i="22"/>
  <c r="BE15" i="22"/>
  <c r="M704" i="22"/>
  <c r="D704" i="22"/>
  <c r="J704" i="22"/>
  <c r="N704" i="22" s="1"/>
  <c r="I83" i="7"/>
  <c r="BR15" i="22"/>
  <c r="P704" i="22"/>
  <c r="Q704" i="22"/>
  <c r="R704" i="22"/>
  <c r="L705" i="22"/>
  <c r="C705" i="22"/>
  <c r="K705" i="22" s="1"/>
  <c r="E705" i="22"/>
  <c r="F705" i="22"/>
  <c r="O705" i="22" s="1"/>
  <c r="G705" i="22"/>
  <c r="I705" i="22"/>
  <c r="B706" i="22"/>
  <c r="H113" i="7"/>
  <c r="H51" i="7"/>
  <c r="U649" i="22"/>
  <c r="AS14" i="22"/>
  <c r="BE14" i="22"/>
  <c r="M650" i="22"/>
  <c r="D650" i="22"/>
  <c r="J650" i="22"/>
  <c r="N650" i="22" s="1"/>
  <c r="I82" i="7"/>
  <c r="BR14" i="22"/>
  <c r="P650" i="22"/>
  <c r="Q650" i="22"/>
  <c r="R650" i="22"/>
  <c r="L651" i="22"/>
  <c r="C651" i="22"/>
  <c r="K651" i="22" s="1"/>
  <c r="E651" i="22"/>
  <c r="F651" i="22"/>
  <c r="O651" i="22" s="1"/>
  <c r="G651" i="22"/>
  <c r="I651" i="22"/>
  <c r="B652" i="22"/>
  <c r="H112" i="7"/>
  <c r="H50" i="7"/>
  <c r="U595" i="22"/>
  <c r="AS13" i="22"/>
  <c r="BE13" i="22"/>
  <c r="M596" i="22"/>
  <c r="D596" i="22"/>
  <c r="J596" i="22"/>
  <c r="N596" i="22" s="1"/>
  <c r="I81" i="7"/>
  <c r="BR13" i="22"/>
  <c r="P596" i="22"/>
  <c r="Q596" i="22"/>
  <c r="R596" i="22"/>
  <c r="L597" i="22"/>
  <c r="C597" i="22"/>
  <c r="K597" i="22" s="1"/>
  <c r="E597" i="22"/>
  <c r="F597" i="22"/>
  <c r="O597" i="22" s="1"/>
  <c r="G597" i="22"/>
  <c r="I597" i="22"/>
  <c r="B598" i="22"/>
  <c r="H111" i="7"/>
  <c r="H49" i="7"/>
  <c r="U541" i="22"/>
  <c r="AS12" i="22"/>
  <c r="BE12" i="22"/>
  <c r="M542" i="22"/>
  <c r="D542" i="22"/>
  <c r="J542" i="22"/>
  <c r="N542" i="22" s="1"/>
  <c r="I80" i="7"/>
  <c r="BR12" i="22"/>
  <c r="P542" i="22"/>
  <c r="Q542" i="22"/>
  <c r="R542" i="22"/>
  <c r="L543" i="22"/>
  <c r="C543" i="22"/>
  <c r="E543" i="22"/>
  <c r="G543" i="22"/>
  <c r="I543" i="22"/>
  <c r="B544" i="22"/>
  <c r="M488" i="22"/>
  <c r="D488" i="22"/>
  <c r="J488" i="22"/>
  <c r="N488" i="22" s="1"/>
  <c r="I79" i="7"/>
  <c r="BR11" i="22"/>
  <c r="P488" i="22"/>
  <c r="Q488" i="22"/>
  <c r="R488" i="22"/>
  <c r="L489" i="22"/>
  <c r="C489" i="22"/>
  <c r="E489" i="22"/>
  <c r="G489" i="22"/>
  <c r="I489" i="22"/>
  <c r="B490" i="22"/>
  <c r="H109" i="7"/>
  <c r="H47" i="7"/>
  <c r="AS10" i="22"/>
  <c r="BE10" i="22"/>
  <c r="U433" i="22"/>
  <c r="M434" i="22"/>
  <c r="P434" i="22"/>
  <c r="Q434" i="22"/>
  <c r="R434" i="22"/>
  <c r="L435" i="22"/>
  <c r="I435" i="22"/>
  <c r="C435" i="22"/>
  <c r="E435" i="22"/>
  <c r="G435" i="22"/>
  <c r="B436" i="22"/>
  <c r="D434" i="22"/>
  <c r="J434" i="22"/>
  <c r="N434" i="22" s="1"/>
  <c r="I78" i="7"/>
  <c r="BR10" i="22"/>
  <c r="H108" i="7"/>
  <c r="H46" i="7"/>
  <c r="U379" i="22"/>
  <c r="AS9" i="22"/>
  <c r="BE9" i="22"/>
  <c r="M380" i="22"/>
  <c r="D380" i="22"/>
  <c r="J380" i="22"/>
  <c r="N380" i="22" s="1"/>
  <c r="I77" i="7"/>
  <c r="BR9" i="22"/>
  <c r="P380" i="22"/>
  <c r="Q380" i="22"/>
  <c r="R380" i="22"/>
  <c r="L381" i="22"/>
  <c r="C381" i="22"/>
  <c r="K381" i="22" s="1"/>
  <c r="E381" i="22"/>
  <c r="F381" i="22"/>
  <c r="O381" i="22" s="1"/>
  <c r="G381" i="22"/>
  <c r="I381" i="22"/>
  <c r="B382" i="22"/>
  <c r="H107" i="7"/>
  <c r="H45" i="7"/>
  <c r="U325" i="22"/>
  <c r="AS8" i="22"/>
  <c r="BE8" i="22"/>
  <c r="M326" i="22"/>
  <c r="D326" i="22"/>
  <c r="J326" i="22"/>
  <c r="N326" i="22" s="1"/>
  <c r="I76" i="7"/>
  <c r="BR8" i="22"/>
  <c r="P326" i="22"/>
  <c r="Q326" i="22"/>
  <c r="R326" i="22"/>
  <c r="L327" i="22"/>
  <c r="C327" i="22"/>
  <c r="K327" i="22" s="1"/>
  <c r="E327" i="22"/>
  <c r="F327" i="22"/>
  <c r="O327" i="22" s="1"/>
  <c r="G327" i="22"/>
  <c r="I327" i="22"/>
  <c r="B328" i="22"/>
  <c r="H106" i="7"/>
  <c r="H44" i="7"/>
  <c r="U271" i="22"/>
  <c r="AS7" i="22"/>
  <c r="BE7" i="22"/>
  <c r="M272" i="22"/>
  <c r="D272" i="22"/>
  <c r="J272" i="22"/>
  <c r="N272" i="22" s="1"/>
  <c r="P272" i="22"/>
  <c r="Q272" i="22"/>
  <c r="R272" i="22"/>
  <c r="L273" i="22"/>
  <c r="C273" i="22"/>
  <c r="K273" i="22" s="1"/>
  <c r="E273" i="22"/>
  <c r="F273" i="22"/>
  <c r="O273" i="22" s="1"/>
  <c r="G273" i="22"/>
  <c r="I273" i="22"/>
  <c r="B274" i="22"/>
  <c r="H43" i="7"/>
  <c r="H105" i="7"/>
  <c r="U217" i="22"/>
  <c r="AS6" i="22"/>
  <c r="BE6" i="22"/>
  <c r="D218" i="22"/>
  <c r="J218" i="22"/>
  <c r="P218" i="22"/>
  <c r="Q218" i="22"/>
  <c r="R218" i="22"/>
  <c r="L219" i="22"/>
  <c r="C219" i="22"/>
  <c r="E219" i="22"/>
  <c r="G219" i="22"/>
  <c r="I219" i="22"/>
  <c r="B220" i="22"/>
  <c r="P164" i="22"/>
  <c r="Q164" i="22"/>
  <c r="R164" i="22"/>
  <c r="L165" i="22"/>
  <c r="C165" i="22"/>
  <c r="E165" i="22"/>
  <c r="G165" i="22"/>
  <c r="I165" i="22"/>
  <c r="B166" i="22"/>
  <c r="D164" i="22"/>
  <c r="J164" i="22"/>
  <c r="H103" i="7"/>
  <c r="H41" i="7"/>
  <c r="AS4" i="22"/>
  <c r="BE4" i="22"/>
  <c r="U109" i="22"/>
  <c r="M110" i="22"/>
  <c r="D110" i="22"/>
  <c r="J110" i="22"/>
  <c r="N110" i="22" s="1"/>
  <c r="I72" i="7"/>
  <c r="BR4" i="22"/>
  <c r="P110" i="22"/>
  <c r="Q110" i="22"/>
  <c r="R110" i="22"/>
  <c r="L111" i="22"/>
  <c r="C111" i="22"/>
  <c r="K111" i="22" s="1"/>
  <c r="E111" i="22"/>
  <c r="F111" i="22"/>
  <c r="O111" i="22" s="1"/>
  <c r="G111" i="22"/>
  <c r="B112" i="22"/>
  <c r="I111" i="22"/>
  <c r="G97" i="12"/>
  <c r="J48" i="17"/>
  <c r="D48" i="17"/>
  <c r="N100" i="12"/>
  <c r="E100" i="12"/>
  <c r="O48" i="17"/>
  <c r="AZ48" i="17"/>
  <c r="AY48" i="17"/>
  <c r="AX48" i="17"/>
  <c r="AW48" i="17"/>
  <c r="AV48" i="17"/>
  <c r="AU48" i="17"/>
  <c r="AT48" i="17"/>
  <c r="AS48" i="17"/>
  <c r="AR48" i="17"/>
  <c r="AQ48" i="17"/>
  <c r="AP48" i="17"/>
  <c r="AO48" i="17"/>
  <c r="AN48" i="17"/>
  <c r="AM48" i="17"/>
  <c r="AL48" i="17"/>
  <c r="AK48" i="17"/>
  <c r="AJ48" i="17"/>
  <c r="AI48" i="17"/>
  <c r="AH48" i="17"/>
  <c r="AG48" i="17"/>
  <c r="AF48" i="17"/>
  <c r="AE48" i="17"/>
  <c r="AD48" i="17"/>
  <c r="AC48" i="17"/>
  <c r="AB48" i="17"/>
  <c r="AA48" i="17"/>
  <c r="Z48" i="17"/>
  <c r="Y48" i="17"/>
  <c r="X48" i="17"/>
  <c r="W48" i="17"/>
  <c r="P48" i="17"/>
  <c r="Q48" i="17"/>
  <c r="R48" i="17"/>
  <c r="V48" i="17"/>
  <c r="M48" i="17"/>
  <c r="N48" i="17"/>
  <c r="E49" i="17"/>
  <c r="G49" i="17"/>
  <c r="B49" i="18"/>
  <c r="C49" i="17"/>
  <c r="I49" i="17"/>
  <c r="L49" i="17"/>
  <c r="B50" i="17"/>
  <c r="U47" i="17"/>
  <c r="M99" i="12"/>
  <c r="Q99" i="12" s="1"/>
  <c r="O99" i="12"/>
  <c r="BD16" i="17"/>
  <c r="B114" i="12"/>
  <c r="I114" i="12" s="1"/>
  <c r="BC15" i="17"/>
  <c r="BB17" i="17"/>
  <c r="BB18" i="17"/>
  <c r="BB19" i="17"/>
  <c r="BB20" i="17"/>
  <c r="BB21" i="17"/>
  <c r="BB22" i="17"/>
  <c r="BB23" i="17"/>
  <c r="BB24" i="17"/>
  <c r="BB25" i="17"/>
  <c r="BB26" i="17"/>
  <c r="BB27" i="17"/>
  <c r="BB28" i="17"/>
  <c r="BB29" i="17"/>
  <c r="BB30" i="17"/>
  <c r="BB31" i="17"/>
  <c r="BB32" i="17"/>
  <c r="BB33" i="17"/>
  <c r="BB34" i="17"/>
  <c r="BB38" i="17"/>
  <c r="BB40" i="17"/>
  <c r="BB44" i="17"/>
  <c r="BB35" i="17"/>
  <c r="BB36" i="17"/>
  <c r="BB37" i="17"/>
  <c r="BB39" i="17"/>
  <c r="BB41" i="17"/>
  <c r="BB42" i="17"/>
  <c r="BB43" i="17"/>
  <c r="BB45" i="17"/>
  <c r="BB46" i="17"/>
  <c r="BB47" i="17"/>
  <c r="BB48" i="17"/>
  <c r="AD726" i="23"/>
  <c r="AG726" i="23"/>
  <c r="AI725" i="23"/>
  <c r="E79" i="8"/>
  <c r="AH1622" i="23"/>
  <c r="F103" i="8"/>
  <c r="B134" i="8"/>
  <c r="D134" i="8"/>
  <c r="X1399" i="23"/>
  <c r="W1399" i="23"/>
  <c r="X1343" i="23"/>
  <c r="W1343" i="23"/>
  <c r="AD1119" i="23"/>
  <c r="X951" i="23"/>
  <c r="W951" i="23"/>
  <c r="AD671" i="23"/>
  <c r="X615" i="23"/>
  <c r="W615" i="23"/>
  <c r="X335" i="23"/>
  <c r="W335" i="23"/>
  <c r="U3780" i="22"/>
  <c r="AR72" i="22"/>
  <c r="BD72" i="22"/>
  <c r="U3564" i="22"/>
  <c r="AR68" i="22"/>
  <c r="BD68" i="22"/>
  <c r="U3456" i="22"/>
  <c r="AR66" i="22"/>
  <c r="BD66" i="22"/>
  <c r="U3402" i="22"/>
  <c r="AR65" i="22"/>
  <c r="BD65" i="22"/>
  <c r="U3348" i="22"/>
  <c r="AR64" i="22"/>
  <c r="BD64" i="22"/>
  <c r="U3078" i="22"/>
  <c r="AR59" i="22"/>
  <c r="BD59" i="22"/>
  <c r="U3024" i="22"/>
  <c r="AR58" i="22"/>
  <c r="BD58" i="22"/>
  <c r="U2646" i="22"/>
  <c r="AR51" i="22"/>
  <c r="BD51" i="22"/>
  <c r="U2268" i="22"/>
  <c r="AR44" i="22"/>
  <c r="BD44" i="22"/>
  <c r="U1890" i="22"/>
  <c r="AR37" i="22"/>
  <c r="BD37" i="22"/>
  <c r="U1836" i="22"/>
  <c r="AR36" i="22"/>
  <c r="BD36" i="22"/>
  <c r="U1566" i="22"/>
  <c r="AR31" i="22"/>
  <c r="BD31" i="22"/>
  <c r="U1512" i="22"/>
  <c r="AR30" i="22"/>
  <c r="BD30" i="22"/>
  <c r="U1458" i="22"/>
  <c r="AR29" i="22"/>
  <c r="BD29" i="22"/>
  <c r="G121" i="7"/>
  <c r="G59" i="7"/>
  <c r="U1080" i="22"/>
  <c r="AR22" i="22"/>
  <c r="BD22" i="22"/>
  <c r="G115" i="7"/>
  <c r="G53" i="7"/>
  <c r="U756" i="22"/>
  <c r="AR16" i="22"/>
  <c r="BD16" i="22"/>
  <c r="G109" i="7"/>
  <c r="G47" i="7"/>
  <c r="U432" i="22"/>
  <c r="AR10" i="22"/>
  <c r="BD10" i="22"/>
  <c r="G103" i="7"/>
  <c r="G41" i="7"/>
  <c r="U108" i="22"/>
  <c r="AR4" i="22"/>
  <c r="BD4" i="22"/>
  <c r="G65" i="7" s="1"/>
  <c r="U46" i="17"/>
  <c r="F50" i="12"/>
  <c r="M98" i="12"/>
  <c r="Q98" i="12" s="1"/>
  <c r="O98" i="12"/>
  <c r="AD1623" i="23"/>
  <c r="AG1623" i="23"/>
  <c r="M1512" i="23"/>
  <c r="N1512" i="23"/>
  <c r="AB1512" i="23"/>
  <c r="AC1512" i="23" s="1"/>
  <c r="O1512" i="23"/>
  <c r="M1456" i="23"/>
  <c r="N1456" i="23"/>
  <c r="AB1456" i="23"/>
  <c r="AC1456" i="23" s="1"/>
  <c r="O1456" i="23"/>
  <c r="M1288" i="23"/>
  <c r="N1288" i="23"/>
  <c r="AB1288" i="23"/>
  <c r="AC1288" i="23" s="1"/>
  <c r="O1288" i="23"/>
  <c r="Y1288" i="23" s="1"/>
  <c r="AB1120" i="23"/>
  <c r="AC1120" i="23" s="1"/>
  <c r="O1120" i="23"/>
  <c r="Y1120" i="23" s="1"/>
  <c r="M1120" i="23"/>
  <c r="N1120" i="23"/>
  <c r="W1120" i="23" s="1"/>
  <c r="AD895" i="23"/>
  <c r="AD727" i="23"/>
  <c r="AG727" i="23"/>
  <c r="M728" i="23"/>
  <c r="N728" i="23"/>
  <c r="O728" i="23"/>
  <c r="Y728" i="23" s="1"/>
  <c r="AB728" i="23"/>
  <c r="AC728" i="23" s="1"/>
  <c r="M616" i="23"/>
  <c r="N616" i="23"/>
  <c r="AB616" i="23"/>
  <c r="AC616" i="23" s="1"/>
  <c r="O616" i="23"/>
  <c r="Y616" i="23" s="1"/>
  <c r="M560" i="23"/>
  <c r="N560" i="23"/>
  <c r="AB560" i="23"/>
  <c r="AC560" i="23" s="1"/>
  <c r="O560" i="23"/>
  <c r="Y560" i="23" s="1"/>
  <c r="M4543" i="22"/>
  <c r="N4543" i="22"/>
  <c r="M3781" i="22"/>
  <c r="N3781" i="22"/>
  <c r="BQ70" i="22"/>
  <c r="M3673" i="22"/>
  <c r="N3673" i="22"/>
  <c r="M3619" i="22"/>
  <c r="N3619" i="22"/>
  <c r="BQ69" i="22"/>
  <c r="M3565" i="22"/>
  <c r="N3565" i="22"/>
  <c r="M3403" i="22"/>
  <c r="N3403" i="22"/>
  <c r="BQ65" i="22"/>
  <c r="BQ64" i="22"/>
  <c r="M3349" i="22"/>
  <c r="N3349" i="22"/>
  <c r="M3295" i="22"/>
  <c r="N3295" i="22"/>
  <c r="BQ63" i="22"/>
  <c r="M3025" i="22"/>
  <c r="N3025" i="22"/>
  <c r="BQ57" i="22"/>
  <c r="M2971" i="22"/>
  <c r="N2971" i="22"/>
  <c r="M2917" i="22"/>
  <c r="N2917" i="22"/>
  <c r="BQ56" i="22"/>
  <c r="M2863" i="22"/>
  <c r="N2863" i="22"/>
  <c r="BQ55" i="22"/>
  <c r="M2809" i="22"/>
  <c r="N2809" i="22"/>
  <c r="BQ54" i="22"/>
  <c r="BQ49" i="22"/>
  <c r="M2539" i="22"/>
  <c r="N2539" i="22"/>
  <c r="BQ48" i="22"/>
  <c r="M2485" i="22"/>
  <c r="N2485" i="22"/>
  <c r="BQ41" i="22"/>
  <c r="M2107" i="22"/>
  <c r="N2107" i="22"/>
  <c r="M2053" i="22"/>
  <c r="N2053" i="22"/>
  <c r="BQ40" i="22"/>
  <c r="M1999" i="22"/>
  <c r="N1999" i="22"/>
  <c r="BQ39" i="22"/>
  <c r="M1729" i="22"/>
  <c r="N1729" i="22"/>
  <c r="BQ34" i="22"/>
  <c r="M1243" i="22"/>
  <c r="N1243" i="22"/>
  <c r="BQ25" i="22"/>
  <c r="BQ24" i="22"/>
  <c r="H92" i="7"/>
  <c r="M1189" i="22"/>
  <c r="N1189" i="22"/>
  <c r="M865" i="22"/>
  <c r="N865" i="22"/>
  <c r="BQ18" i="22"/>
  <c r="H86" i="7"/>
  <c r="M811" i="22"/>
  <c r="N811" i="22"/>
  <c r="BQ17" i="22"/>
  <c r="H85" i="7"/>
  <c r="M487" i="22"/>
  <c r="N487" i="22"/>
  <c r="BQ11" i="22"/>
  <c r="H79" i="7"/>
  <c r="M163" i="22"/>
  <c r="N163" i="22"/>
  <c r="BQ5" i="22"/>
  <c r="H73" i="7"/>
  <c r="X1624" i="23"/>
  <c r="W1624" i="23"/>
  <c r="F1625" i="23"/>
  <c r="K1625" i="23"/>
  <c r="X1568" i="23"/>
  <c r="W1568" i="23"/>
  <c r="F1569" i="23"/>
  <c r="K1569" i="23"/>
  <c r="X1400" i="23"/>
  <c r="W1400" i="23"/>
  <c r="W1344" i="23"/>
  <c r="X1344" i="23"/>
  <c r="X1232" i="23"/>
  <c r="W1232" i="23"/>
  <c r="X1176" i="23"/>
  <c r="W1176" i="23"/>
  <c r="X1064" i="23"/>
  <c r="W1064" i="23"/>
  <c r="K1065" i="23"/>
  <c r="F1065" i="23"/>
  <c r="X1008" i="23"/>
  <c r="W1008" i="23"/>
  <c r="X952" i="23"/>
  <c r="W952" i="23"/>
  <c r="W896" i="23"/>
  <c r="X896" i="23"/>
  <c r="X840" i="23"/>
  <c r="W840" i="23"/>
  <c r="X784" i="23"/>
  <c r="W784" i="23"/>
  <c r="AD672" i="23"/>
  <c r="F673" i="23"/>
  <c r="K673" i="23"/>
  <c r="X504" i="23"/>
  <c r="W504" i="23"/>
  <c r="W448" i="23"/>
  <c r="X448" i="23"/>
  <c r="F449" i="23"/>
  <c r="K449" i="23"/>
  <c r="X392" i="23"/>
  <c r="W392" i="23"/>
  <c r="X336" i="23"/>
  <c r="W336" i="23"/>
  <c r="X280" i="23"/>
  <c r="W280" i="23"/>
  <c r="P99" i="12"/>
  <c r="F4706" i="22"/>
  <c r="K4706" i="22"/>
  <c r="F3782" i="22"/>
  <c r="O3782" i="22" s="1"/>
  <c r="BR72" i="22" s="1"/>
  <c r="K3782" i="22"/>
  <c r="F3728" i="22"/>
  <c r="O3728" i="22" s="1"/>
  <c r="K3728" i="22"/>
  <c r="BR67" i="22"/>
  <c r="BR66" i="22"/>
  <c r="F3350" i="22"/>
  <c r="O3350" i="22" s="1"/>
  <c r="BR64" i="22" s="1"/>
  <c r="K3350" i="22"/>
  <c r="K3296" i="22"/>
  <c r="F3296" i="22"/>
  <c r="O3296" i="22" s="1"/>
  <c r="BR63" i="22" s="1"/>
  <c r="K3242" i="22"/>
  <c r="F3242" i="22"/>
  <c r="O3242" i="22" s="1"/>
  <c r="F3080" i="22"/>
  <c r="O3080" i="22" s="1"/>
  <c r="K3080" i="22"/>
  <c r="F2972" i="22"/>
  <c r="O2972" i="22" s="1"/>
  <c r="BR57" i="22" s="1"/>
  <c r="K2972" i="22"/>
  <c r="F2918" i="22"/>
  <c r="O2918" i="22" s="1"/>
  <c r="BR56" i="22" s="1"/>
  <c r="K2918" i="22"/>
  <c r="F2810" i="22"/>
  <c r="O2810" i="22" s="1"/>
  <c r="K2810" i="22"/>
  <c r="BR51" i="22"/>
  <c r="BR50" i="22"/>
  <c r="F2540" i="22"/>
  <c r="O2540" i="22" s="1"/>
  <c r="K2540" i="22"/>
  <c r="F2486" i="22"/>
  <c r="O2486" i="22" s="1"/>
  <c r="K2486" i="22"/>
  <c r="K2432" i="22"/>
  <c r="F2432" i="22"/>
  <c r="O2432" i="22" s="1"/>
  <c r="BR45" i="22"/>
  <c r="BR44" i="22"/>
  <c r="BR43" i="22"/>
  <c r="BR42" i="22"/>
  <c r="F2054" i="22"/>
  <c r="O2054" i="22" s="1"/>
  <c r="K2054" i="22"/>
  <c r="BR36" i="22"/>
  <c r="BR35" i="22"/>
  <c r="BR33" i="22"/>
  <c r="K1622" i="22"/>
  <c r="F1622" i="22"/>
  <c r="O1622" i="22" s="1"/>
  <c r="K1568" i="22"/>
  <c r="F1568" i="22"/>
  <c r="O1568" i="22" s="1"/>
  <c r="BR29" i="22"/>
  <c r="BR28" i="22"/>
  <c r="BR27" i="22"/>
  <c r="BR26" i="22"/>
  <c r="K1190" i="22"/>
  <c r="F1190" i="22"/>
  <c r="O1190" i="22" s="1"/>
  <c r="K920" i="22"/>
  <c r="F920" i="22"/>
  <c r="O920" i="22" s="1"/>
  <c r="BR7" i="22"/>
  <c r="K218" i="22"/>
  <c r="F218" i="22"/>
  <c r="O218" i="22" s="1"/>
  <c r="K164" i="22"/>
  <c r="F164" i="22"/>
  <c r="O164" i="22" s="1"/>
  <c r="BA48" i="17"/>
  <c r="BQ72" i="22"/>
  <c r="BQ68" i="22"/>
  <c r="BQ58" i="22"/>
  <c r="N3188" i="22" l="1"/>
  <c r="N2108" i="22"/>
  <c r="N1028" i="22"/>
  <c r="G127" i="7"/>
  <c r="K1570" i="23"/>
  <c r="F1570" i="23"/>
  <c r="K786" i="23"/>
  <c r="F786" i="23"/>
  <c r="K450" i="23"/>
  <c r="F450" i="23"/>
  <c r="K2757" i="22"/>
  <c r="F2757" i="22"/>
  <c r="O2757" i="22" s="1"/>
  <c r="K1839" i="22"/>
  <c r="F1839" i="22"/>
  <c r="O1839" i="22" s="1"/>
  <c r="K1245" i="22"/>
  <c r="F1245" i="22"/>
  <c r="O1245" i="22" s="1"/>
  <c r="K489" i="22"/>
  <c r="F489" i="22"/>
  <c r="O489" i="22" s="1"/>
  <c r="M1626" i="23"/>
  <c r="J1626" i="23"/>
  <c r="N1626" i="23" s="1"/>
  <c r="D1626" i="23"/>
  <c r="O1626" i="23"/>
  <c r="AB1626" i="23"/>
  <c r="AC1626" i="23"/>
  <c r="P1626" i="23"/>
  <c r="Q1626" i="23"/>
  <c r="R1626" i="23"/>
  <c r="AF1626" i="23"/>
  <c r="I1627" i="23"/>
  <c r="L1627" i="23"/>
  <c r="C1627" i="23"/>
  <c r="K1627" i="23" s="1"/>
  <c r="E1627" i="23"/>
  <c r="F1627" i="23"/>
  <c r="G1627" i="23"/>
  <c r="B1628" i="23"/>
  <c r="M1570" i="23"/>
  <c r="J1570" i="23"/>
  <c r="N1570" i="23" s="1"/>
  <c r="D1570" i="23"/>
  <c r="O1570" i="23"/>
  <c r="AB1570" i="23"/>
  <c r="AC1570" i="23" s="1"/>
  <c r="P1570" i="23"/>
  <c r="Q1570" i="23"/>
  <c r="R1570" i="23"/>
  <c r="AF1570" i="23"/>
  <c r="L1571" i="23"/>
  <c r="I1571" i="23"/>
  <c r="C1571" i="23"/>
  <c r="K1571" i="23" s="1"/>
  <c r="E1571" i="23"/>
  <c r="F1571" i="23"/>
  <c r="G1571" i="23"/>
  <c r="B1572" i="23"/>
  <c r="J1514" i="23"/>
  <c r="D1514" i="23"/>
  <c r="P1514" i="23"/>
  <c r="Q1514" i="23"/>
  <c r="R1514" i="23"/>
  <c r="AF1514" i="23"/>
  <c r="L1515" i="23"/>
  <c r="I1515" i="23"/>
  <c r="C1515" i="23"/>
  <c r="K1515" i="23" s="1"/>
  <c r="E1515" i="23"/>
  <c r="F1515" i="23"/>
  <c r="G1515" i="23"/>
  <c r="B1516" i="23"/>
  <c r="J1458" i="23"/>
  <c r="D1458" i="23"/>
  <c r="P1458" i="23"/>
  <c r="Q1458" i="23"/>
  <c r="R1458" i="23"/>
  <c r="AF1458" i="23"/>
  <c r="L1459" i="23"/>
  <c r="I1459" i="23"/>
  <c r="C1459" i="23"/>
  <c r="K1459" i="23" s="1"/>
  <c r="E1459" i="23"/>
  <c r="F1459" i="23"/>
  <c r="G1459" i="23"/>
  <c r="B1460" i="23"/>
  <c r="M1402" i="23"/>
  <c r="J1402" i="23"/>
  <c r="N1402" i="23" s="1"/>
  <c r="D1402" i="23"/>
  <c r="O1402" i="23"/>
  <c r="Y1402" i="23" s="1"/>
  <c r="AB1402" i="23"/>
  <c r="AC1402" i="23" s="1"/>
  <c r="P1402" i="23"/>
  <c r="Q1402" i="23"/>
  <c r="R1402" i="23"/>
  <c r="AF1402" i="23"/>
  <c r="L1403" i="23"/>
  <c r="I1403" i="23"/>
  <c r="C1403" i="23"/>
  <c r="E1403" i="23"/>
  <c r="G1403" i="23"/>
  <c r="B1404" i="23"/>
  <c r="J1346" i="23"/>
  <c r="D1346" i="23"/>
  <c r="L1347" i="23"/>
  <c r="I1347" i="23"/>
  <c r="G1347" i="23"/>
  <c r="B1348" i="23"/>
  <c r="C1347" i="23"/>
  <c r="E1347" i="23"/>
  <c r="P1346" i="23"/>
  <c r="Q1346" i="23"/>
  <c r="R1346" i="23"/>
  <c r="AF1346" i="23"/>
  <c r="M1290" i="23"/>
  <c r="J1290" i="23"/>
  <c r="N1290" i="23" s="1"/>
  <c r="D1290" i="23"/>
  <c r="O1290" i="23"/>
  <c r="Y1290" i="23" s="1"/>
  <c r="AB1290" i="23"/>
  <c r="AC1290" i="23"/>
  <c r="P1290" i="23"/>
  <c r="Q1290" i="23"/>
  <c r="R1290" i="23"/>
  <c r="AF1290" i="23"/>
  <c r="L1291" i="23"/>
  <c r="I1291" i="23"/>
  <c r="C1291" i="23"/>
  <c r="E1291" i="23"/>
  <c r="G1291" i="23"/>
  <c r="B1292" i="23"/>
  <c r="M1234" i="23"/>
  <c r="J1234" i="23"/>
  <c r="N1234" i="23" s="1"/>
  <c r="D1234" i="23"/>
  <c r="O1234" i="23"/>
  <c r="Y1234" i="23" s="1"/>
  <c r="AB1234" i="23"/>
  <c r="AC1234" i="23"/>
  <c r="P1234" i="23"/>
  <c r="Q1234" i="23"/>
  <c r="R1234" i="23"/>
  <c r="AF1234" i="23"/>
  <c r="L1235" i="23"/>
  <c r="I1235" i="23"/>
  <c r="C1235" i="23"/>
  <c r="K1235" i="23" s="1"/>
  <c r="E1235" i="23"/>
  <c r="F1235" i="23"/>
  <c r="G1235" i="23"/>
  <c r="B1236" i="23"/>
  <c r="M1178" i="23"/>
  <c r="J1178" i="23"/>
  <c r="N1178" i="23" s="1"/>
  <c r="D1178" i="23"/>
  <c r="O1178" i="23"/>
  <c r="Y1178" i="23" s="1"/>
  <c r="AB1178" i="23"/>
  <c r="AC1178" i="23" s="1"/>
  <c r="P1178" i="23"/>
  <c r="Q1178" i="23"/>
  <c r="R1178" i="23"/>
  <c r="AF1178" i="23"/>
  <c r="L1179" i="23"/>
  <c r="I1179" i="23"/>
  <c r="C1179" i="23"/>
  <c r="K1179" i="23" s="1"/>
  <c r="E1179" i="23"/>
  <c r="F1179" i="23"/>
  <c r="G1179" i="23"/>
  <c r="B1180" i="23"/>
  <c r="M1122" i="23"/>
  <c r="J1122" i="23"/>
  <c r="N1122" i="23" s="1"/>
  <c r="D1122" i="23"/>
  <c r="O1122" i="23"/>
  <c r="Y1122" i="23" s="1"/>
  <c r="AB1122" i="23"/>
  <c r="AC1122" i="23"/>
  <c r="P1122" i="23"/>
  <c r="Q1122" i="23"/>
  <c r="R1122" i="23"/>
  <c r="AF1122" i="23"/>
  <c r="L1123" i="23"/>
  <c r="I1123" i="23"/>
  <c r="C1123" i="23"/>
  <c r="K1123" i="23" s="1"/>
  <c r="E1123" i="23"/>
  <c r="F1123" i="23"/>
  <c r="G1123" i="23"/>
  <c r="B1124" i="23"/>
  <c r="M1066" i="23"/>
  <c r="J1066" i="23"/>
  <c r="N1066" i="23" s="1"/>
  <c r="D1066" i="23"/>
  <c r="O1066" i="23"/>
  <c r="Y1066" i="23" s="1"/>
  <c r="AB1066" i="23"/>
  <c r="AC1066" i="23"/>
  <c r="P1066" i="23"/>
  <c r="Q1066" i="23"/>
  <c r="R1066" i="23"/>
  <c r="AF1066" i="23"/>
  <c r="L1067" i="23"/>
  <c r="I1067" i="23"/>
  <c r="C1067" i="23"/>
  <c r="K1067" i="23" s="1"/>
  <c r="E1067" i="23"/>
  <c r="F1067" i="23"/>
  <c r="G1067" i="23"/>
  <c r="B1068" i="23"/>
  <c r="M1010" i="23"/>
  <c r="J1010" i="23"/>
  <c r="N1010" i="23" s="1"/>
  <c r="D1010" i="23"/>
  <c r="O1010" i="23"/>
  <c r="Y1010" i="23" s="1"/>
  <c r="AB1010" i="23"/>
  <c r="AC1010" i="23"/>
  <c r="P1010" i="23"/>
  <c r="Q1010" i="23"/>
  <c r="R1010" i="23"/>
  <c r="AF1010" i="23"/>
  <c r="L1011" i="23"/>
  <c r="I1011" i="23"/>
  <c r="C1011" i="23"/>
  <c r="K1011" i="23" s="1"/>
  <c r="E1011" i="23"/>
  <c r="F1011" i="23"/>
  <c r="G1011" i="23"/>
  <c r="B1012" i="23"/>
  <c r="M954" i="23"/>
  <c r="J954" i="23"/>
  <c r="N954" i="23" s="1"/>
  <c r="D954" i="23"/>
  <c r="O954" i="23"/>
  <c r="Y954" i="23" s="1"/>
  <c r="AB954" i="23"/>
  <c r="AC954" i="23"/>
  <c r="P954" i="23"/>
  <c r="Q954" i="23"/>
  <c r="R954" i="23"/>
  <c r="AF954" i="23"/>
  <c r="L955" i="23"/>
  <c r="I955" i="23"/>
  <c r="C955" i="23"/>
  <c r="K955" i="23" s="1"/>
  <c r="E955" i="23"/>
  <c r="F955" i="23"/>
  <c r="G955" i="23"/>
  <c r="B956" i="23"/>
  <c r="M898" i="23"/>
  <c r="J898" i="23"/>
  <c r="N898" i="23" s="1"/>
  <c r="D898" i="23"/>
  <c r="O898" i="23"/>
  <c r="Y898" i="23" s="1"/>
  <c r="AB898" i="23"/>
  <c r="AC898" i="23"/>
  <c r="P898" i="23"/>
  <c r="Q898" i="23"/>
  <c r="R898" i="23"/>
  <c r="AF898" i="23"/>
  <c r="L899" i="23"/>
  <c r="I899" i="23"/>
  <c r="C899" i="23"/>
  <c r="E899" i="23"/>
  <c r="G899" i="23"/>
  <c r="B900" i="23"/>
  <c r="M842" i="23"/>
  <c r="J842" i="23"/>
  <c r="N842" i="23" s="1"/>
  <c r="D842" i="23"/>
  <c r="O842" i="23"/>
  <c r="Y842" i="23" s="1"/>
  <c r="AB842" i="23"/>
  <c r="AC842" i="23"/>
  <c r="P842" i="23"/>
  <c r="Q842" i="23"/>
  <c r="R842" i="23"/>
  <c r="AF842" i="23"/>
  <c r="L843" i="23"/>
  <c r="I843" i="23"/>
  <c r="C843" i="23"/>
  <c r="K843" i="23" s="1"/>
  <c r="E843" i="23"/>
  <c r="F843" i="23"/>
  <c r="G843" i="23"/>
  <c r="B844" i="23"/>
  <c r="M786" i="23"/>
  <c r="J786" i="23"/>
  <c r="N786" i="23" s="1"/>
  <c r="D786" i="23"/>
  <c r="O786" i="23"/>
  <c r="Y786" i="23" s="1"/>
  <c r="AB786" i="23"/>
  <c r="AC786" i="23"/>
  <c r="P786" i="23"/>
  <c r="Q786" i="23"/>
  <c r="R786" i="23"/>
  <c r="AF786" i="23"/>
  <c r="L787" i="23"/>
  <c r="I787" i="23"/>
  <c r="C787" i="23"/>
  <c r="K787" i="23" s="1"/>
  <c r="E787" i="23"/>
  <c r="F787" i="23"/>
  <c r="G787" i="23"/>
  <c r="B788" i="23"/>
  <c r="P730" i="23"/>
  <c r="Q730" i="23"/>
  <c r="R730" i="23"/>
  <c r="AF730" i="23"/>
  <c r="J730" i="23"/>
  <c r="D730" i="23"/>
  <c r="L731" i="23"/>
  <c r="I731" i="23"/>
  <c r="E731" i="23"/>
  <c r="G731" i="23"/>
  <c r="C731" i="23"/>
  <c r="B732" i="23"/>
  <c r="M674" i="23"/>
  <c r="J674" i="23"/>
  <c r="N674" i="23" s="1"/>
  <c r="W674" i="23" s="1"/>
  <c r="D674" i="23"/>
  <c r="O674" i="23"/>
  <c r="Y674" i="23" s="1"/>
  <c r="AB674" i="23"/>
  <c r="AC674" i="23"/>
  <c r="P674" i="23"/>
  <c r="Q674" i="23"/>
  <c r="R674" i="23"/>
  <c r="X674" i="23"/>
  <c r="AF674" i="23"/>
  <c r="L675" i="23"/>
  <c r="I675" i="23"/>
  <c r="C675" i="23"/>
  <c r="E675" i="23"/>
  <c r="G675" i="23"/>
  <c r="B676" i="23"/>
  <c r="M618" i="23"/>
  <c r="J618" i="23"/>
  <c r="N618" i="23" s="1"/>
  <c r="D618" i="23"/>
  <c r="O618" i="23"/>
  <c r="Y618" i="23" s="1"/>
  <c r="AB618" i="23"/>
  <c r="AC618" i="23" s="1"/>
  <c r="P618" i="23"/>
  <c r="Q618" i="23"/>
  <c r="R618" i="23"/>
  <c r="AF618" i="23"/>
  <c r="L619" i="23"/>
  <c r="I619" i="23"/>
  <c r="C619" i="23"/>
  <c r="E619" i="23"/>
  <c r="G619" i="23"/>
  <c r="B620" i="23"/>
  <c r="J562" i="23"/>
  <c r="D562" i="23"/>
  <c r="P562" i="23"/>
  <c r="Q562" i="23"/>
  <c r="R562" i="23"/>
  <c r="AF562" i="23"/>
  <c r="L563" i="23"/>
  <c r="I563" i="23"/>
  <c r="C563" i="23"/>
  <c r="K563" i="23" s="1"/>
  <c r="E563" i="23"/>
  <c r="F563" i="23"/>
  <c r="G563" i="23"/>
  <c r="B564" i="23"/>
  <c r="M506" i="23"/>
  <c r="J506" i="23"/>
  <c r="N506" i="23" s="1"/>
  <c r="D506" i="23"/>
  <c r="O506" i="23"/>
  <c r="Y506" i="23" s="1"/>
  <c r="AB506" i="23"/>
  <c r="AC506" i="23"/>
  <c r="P506" i="23"/>
  <c r="Q506" i="23"/>
  <c r="R506" i="23"/>
  <c r="AF506" i="23"/>
  <c r="L507" i="23"/>
  <c r="I507" i="23"/>
  <c r="C507" i="23"/>
  <c r="K507" i="23" s="1"/>
  <c r="E507" i="23"/>
  <c r="F507" i="23"/>
  <c r="G507" i="23"/>
  <c r="B508" i="23"/>
  <c r="M450" i="23"/>
  <c r="P450" i="23"/>
  <c r="Q450" i="23"/>
  <c r="R450" i="23"/>
  <c r="AF450" i="23"/>
  <c r="L451" i="23"/>
  <c r="I451" i="23"/>
  <c r="E451" i="23"/>
  <c r="G451" i="23"/>
  <c r="B452" i="23"/>
  <c r="C451" i="23"/>
  <c r="J450" i="23"/>
  <c r="N450" i="23" s="1"/>
  <c r="D450" i="23"/>
  <c r="O450" i="23"/>
  <c r="Y450" i="23" s="1"/>
  <c r="AB450" i="23"/>
  <c r="AC450" i="23"/>
  <c r="M394" i="23"/>
  <c r="J394" i="23"/>
  <c r="N394" i="23" s="1"/>
  <c r="D394" i="23"/>
  <c r="O394" i="23"/>
  <c r="Y394" i="23" s="1"/>
  <c r="AB394" i="23"/>
  <c r="AC394" i="23"/>
  <c r="P394" i="23"/>
  <c r="Q394" i="23"/>
  <c r="R394" i="23"/>
  <c r="AF394" i="23"/>
  <c r="L395" i="23"/>
  <c r="I395" i="23"/>
  <c r="C395" i="23"/>
  <c r="K395" i="23" s="1"/>
  <c r="E395" i="23"/>
  <c r="F395" i="23"/>
  <c r="G395" i="23"/>
  <c r="B396" i="23"/>
  <c r="M338" i="23"/>
  <c r="J338" i="23"/>
  <c r="N338" i="23" s="1"/>
  <c r="D338" i="23"/>
  <c r="O338" i="23"/>
  <c r="Y338" i="23" s="1"/>
  <c r="AB338" i="23"/>
  <c r="AC338" i="23"/>
  <c r="P338" i="23"/>
  <c r="Q338" i="23"/>
  <c r="R338" i="23"/>
  <c r="AF338" i="23"/>
  <c r="L339" i="23"/>
  <c r="I339" i="23"/>
  <c r="C339" i="23"/>
  <c r="K339" i="23" s="1"/>
  <c r="E339" i="23"/>
  <c r="F339" i="23"/>
  <c r="G339" i="23"/>
  <c r="B340" i="23"/>
  <c r="M282" i="23"/>
  <c r="J282" i="23"/>
  <c r="N282" i="23" s="1"/>
  <c r="D282" i="23"/>
  <c r="O282" i="23"/>
  <c r="Y282" i="23" s="1"/>
  <c r="AB282" i="23"/>
  <c r="AC282" i="23"/>
  <c r="P282" i="23"/>
  <c r="Q282" i="23"/>
  <c r="R282" i="23"/>
  <c r="AF282" i="23"/>
  <c r="L283" i="23"/>
  <c r="I283" i="23"/>
  <c r="C283" i="23"/>
  <c r="K283" i="23" s="1"/>
  <c r="E283" i="23"/>
  <c r="F283" i="23"/>
  <c r="G283" i="23"/>
  <c r="B284" i="23"/>
  <c r="D4761" i="22"/>
  <c r="J4761" i="22"/>
  <c r="P4761" i="22"/>
  <c r="Q4761" i="22"/>
  <c r="R4761" i="22"/>
  <c r="M4761" i="22"/>
  <c r="N4761" i="22"/>
  <c r="C4762" i="22"/>
  <c r="E4762" i="22"/>
  <c r="F4762" i="22"/>
  <c r="G4762" i="22"/>
  <c r="I4762" i="22"/>
  <c r="K4762" i="22"/>
  <c r="L4762" i="22"/>
  <c r="B4763" i="22"/>
  <c r="T4705" i="22"/>
  <c r="D36" i="15" s="1"/>
  <c r="S4706" i="22"/>
  <c r="T4706" i="22" s="1"/>
  <c r="D37" i="15" s="1"/>
  <c r="U4706" i="22"/>
  <c r="M4707" i="22"/>
  <c r="D4707" i="22"/>
  <c r="J4707" i="22"/>
  <c r="N4707" i="22" s="1"/>
  <c r="P4707" i="22"/>
  <c r="Q4707" i="22"/>
  <c r="R4707" i="22"/>
  <c r="L4708" i="22"/>
  <c r="C4708" i="22"/>
  <c r="E4708" i="22"/>
  <c r="G4708" i="22"/>
  <c r="I4708" i="22"/>
  <c r="B4709" i="22"/>
  <c r="P4653" i="22"/>
  <c r="Q4653" i="22"/>
  <c r="R4653" i="22"/>
  <c r="C4654" i="22"/>
  <c r="E4654" i="22"/>
  <c r="G4654" i="22"/>
  <c r="B4655" i="22"/>
  <c r="J4599" i="22"/>
  <c r="D4599" i="22"/>
  <c r="P4599" i="22"/>
  <c r="Q4599" i="22"/>
  <c r="R4599" i="22"/>
  <c r="I4600" i="22"/>
  <c r="L4600" i="22"/>
  <c r="C4600" i="22"/>
  <c r="K4600" i="22" s="1"/>
  <c r="E4600" i="22"/>
  <c r="F4600" i="22"/>
  <c r="G4600" i="22"/>
  <c r="B4601" i="22"/>
  <c r="M4545" i="22"/>
  <c r="D4545" i="22"/>
  <c r="J4545" i="22"/>
  <c r="N4545" i="22" s="1"/>
  <c r="P4545" i="22"/>
  <c r="Q4545" i="22"/>
  <c r="R4545" i="22"/>
  <c r="L4546" i="22"/>
  <c r="C4546" i="22"/>
  <c r="E4546" i="22"/>
  <c r="G4546" i="22"/>
  <c r="I4546" i="22"/>
  <c r="B4547" i="22"/>
  <c r="D4245" i="22"/>
  <c r="J4245" i="22"/>
  <c r="N4245" i="22" s="1"/>
  <c r="U4245" i="22" s="1"/>
  <c r="P4245" i="22"/>
  <c r="Q4245" i="22"/>
  <c r="R4245" i="22"/>
  <c r="M4245" i="22"/>
  <c r="C4246" i="22"/>
  <c r="F4246" i="22" s="1"/>
  <c r="O4246" i="22" s="1"/>
  <c r="E4246" i="22"/>
  <c r="G4246" i="22"/>
  <c r="I4246" i="22"/>
  <c r="K4246" i="22"/>
  <c r="L4246" i="22"/>
  <c r="B4247" i="22"/>
  <c r="M4191" i="22"/>
  <c r="D4191" i="22"/>
  <c r="J4191" i="22"/>
  <c r="N4191" i="22" s="1"/>
  <c r="U4191" i="22" s="1"/>
  <c r="P4191" i="22"/>
  <c r="Q4191" i="22"/>
  <c r="R4191" i="22"/>
  <c r="L4192" i="22"/>
  <c r="C4192" i="22"/>
  <c r="E4192" i="22"/>
  <c r="G4192" i="22"/>
  <c r="I4192" i="22"/>
  <c r="B4193" i="22"/>
  <c r="M4137" i="22"/>
  <c r="D4137" i="22"/>
  <c r="J4137" i="22"/>
  <c r="N4137" i="22" s="1"/>
  <c r="U4137" i="22" s="1"/>
  <c r="P4137" i="22"/>
  <c r="Q4137" i="22"/>
  <c r="R4137" i="22"/>
  <c r="L4138" i="22"/>
  <c r="C4138" i="22"/>
  <c r="K4138" i="22" s="1"/>
  <c r="E4138" i="22"/>
  <c r="F4138" i="22"/>
  <c r="O4138" i="22" s="1"/>
  <c r="G4138" i="22"/>
  <c r="I4138" i="22"/>
  <c r="B4139" i="22"/>
  <c r="M4083" i="22"/>
  <c r="D4083" i="22"/>
  <c r="J4083" i="22"/>
  <c r="N4083" i="22" s="1"/>
  <c r="U4083" i="22" s="1"/>
  <c r="P4083" i="22"/>
  <c r="Q4083" i="22"/>
  <c r="R4083" i="22"/>
  <c r="L4084" i="22"/>
  <c r="C4084" i="22"/>
  <c r="K4084" i="22" s="1"/>
  <c r="E4084" i="22"/>
  <c r="F4084" i="22"/>
  <c r="O4084" i="22" s="1"/>
  <c r="G4084" i="22"/>
  <c r="I4084" i="22"/>
  <c r="B4085" i="22"/>
  <c r="M3783" i="22"/>
  <c r="D3783" i="22"/>
  <c r="J3783" i="22"/>
  <c r="N3783" i="22" s="1"/>
  <c r="P3783" i="22"/>
  <c r="Q3783" i="22"/>
  <c r="R3783" i="22"/>
  <c r="L3784" i="22"/>
  <c r="C3784" i="22"/>
  <c r="E3784" i="22"/>
  <c r="G3784" i="22"/>
  <c r="I3784" i="22"/>
  <c r="B3785" i="22"/>
  <c r="M3729" i="22"/>
  <c r="D3729" i="22"/>
  <c r="J3729" i="22"/>
  <c r="N3729" i="22" s="1"/>
  <c r="P3729" i="22"/>
  <c r="Q3729" i="22"/>
  <c r="R3729" i="22"/>
  <c r="L3730" i="22"/>
  <c r="C3730" i="22"/>
  <c r="K3730" i="22" s="1"/>
  <c r="E3730" i="22"/>
  <c r="F3730" i="22"/>
  <c r="O3730" i="22" s="1"/>
  <c r="G3730" i="22"/>
  <c r="I3730" i="22"/>
  <c r="B3731" i="22"/>
  <c r="U3674" i="22"/>
  <c r="AT70" i="22"/>
  <c r="BF70" i="22"/>
  <c r="D3675" i="22"/>
  <c r="J3675" i="22"/>
  <c r="P3675" i="22"/>
  <c r="Q3675" i="22"/>
  <c r="R3675" i="22"/>
  <c r="L3676" i="22"/>
  <c r="C3676" i="22"/>
  <c r="E3676" i="22"/>
  <c r="G3676" i="22"/>
  <c r="I3676" i="22"/>
  <c r="B3677" i="22"/>
  <c r="U3620" i="22"/>
  <c r="AT69" i="22"/>
  <c r="BF69" i="22"/>
  <c r="M3621" i="22"/>
  <c r="D3621" i="22"/>
  <c r="J3621" i="22"/>
  <c r="N3621" i="22" s="1"/>
  <c r="P3621" i="22"/>
  <c r="Q3621" i="22"/>
  <c r="R3621" i="22"/>
  <c r="L3622" i="22"/>
  <c r="C3622" i="22"/>
  <c r="E3622" i="22"/>
  <c r="G3622" i="22"/>
  <c r="I3622" i="22"/>
  <c r="B3623" i="22"/>
  <c r="U3566" i="22"/>
  <c r="AT68" i="22"/>
  <c r="BF68" i="22"/>
  <c r="P3567" i="22"/>
  <c r="Q3567" i="22"/>
  <c r="R3567" i="22"/>
  <c r="D3567" i="22"/>
  <c r="J3567" i="22"/>
  <c r="L3568" i="22"/>
  <c r="I3568" i="22"/>
  <c r="C3568" i="22"/>
  <c r="E3568" i="22"/>
  <c r="G3568" i="22"/>
  <c r="B3569" i="22"/>
  <c r="U3512" i="22"/>
  <c r="AT67" i="22"/>
  <c r="BF67" i="22"/>
  <c r="M3513" i="22"/>
  <c r="D3513" i="22"/>
  <c r="J3513" i="22"/>
  <c r="N3513" i="22" s="1"/>
  <c r="P3513" i="22"/>
  <c r="Q3513" i="22"/>
  <c r="R3513" i="22"/>
  <c r="L3514" i="22"/>
  <c r="C3514" i="22"/>
  <c r="E3514" i="22"/>
  <c r="G3514" i="22"/>
  <c r="I3514" i="22"/>
  <c r="B3515" i="22"/>
  <c r="U3458" i="22"/>
  <c r="AT66" i="22"/>
  <c r="BF66" i="22"/>
  <c r="M3459" i="22"/>
  <c r="D3459" i="22"/>
  <c r="J3459" i="22"/>
  <c r="N3459" i="22" s="1"/>
  <c r="P3459" i="22"/>
  <c r="Q3459" i="22"/>
  <c r="R3459" i="22"/>
  <c r="L3460" i="22"/>
  <c r="C3460" i="22"/>
  <c r="E3460" i="22"/>
  <c r="G3460" i="22"/>
  <c r="I3460" i="22"/>
  <c r="B3461" i="22"/>
  <c r="U3404" i="22"/>
  <c r="AT65" i="22"/>
  <c r="BF65" i="22"/>
  <c r="M3405" i="22"/>
  <c r="D3405" i="22"/>
  <c r="J3405" i="22"/>
  <c r="N3405" i="22" s="1"/>
  <c r="P3405" i="22"/>
  <c r="Q3405" i="22"/>
  <c r="R3405" i="22"/>
  <c r="L3406" i="22"/>
  <c r="C3406" i="22"/>
  <c r="K3406" i="22" s="1"/>
  <c r="E3406" i="22"/>
  <c r="F3406" i="22"/>
  <c r="O3406" i="22" s="1"/>
  <c r="G3406" i="22"/>
  <c r="I3406" i="22"/>
  <c r="B3407" i="22"/>
  <c r="M3351" i="22"/>
  <c r="D3351" i="22"/>
  <c r="J3351" i="22"/>
  <c r="N3351" i="22" s="1"/>
  <c r="P3351" i="22"/>
  <c r="Q3351" i="22"/>
  <c r="R3351" i="22"/>
  <c r="L3352" i="22"/>
  <c r="C3352" i="22"/>
  <c r="E3352" i="22"/>
  <c r="G3352" i="22"/>
  <c r="I3352" i="22"/>
  <c r="B3353" i="22"/>
  <c r="M3297" i="22"/>
  <c r="D3297" i="22"/>
  <c r="J3297" i="22"/>
  <c r="N3297" i="22" s="1"/>
  <c r="P3297" i="22"/>
  <c r="Q3297" i="22"/>
  <c r="R3297" i="22"/>
  <c r="L3298" i="22"/>
  <c r="C3298" i="22"/>
  <c r="E3298" i="22"/>
  <c r="G3298" i="22"/>
  <c r="I3298" i="22"/>
  <c r="B3299" i="22"/>
  <c r="M3243" i="22"/>
  <c r="D3243" i="22"/>
  <c r="J3243" i="22"/>
  <c r="N3243" i="22" s="1"/>
  <c r="P3243" i="22"/>
  <c r="Q3243" i="22"/>
  <c r="R3243" i="22"/>
  <c r="L3244" i="22"/>
  <c r="C3244" i="22"/>
  <c r="K3244" i="22" s="1"/>
  <c r="E3244" i="22"/>
  <c r="F3244" i="22"/>
  <c r="O3244" i="22" s="1"/>
  <c r="G3244" i="22"/>
  <c r="I3244" i="22"/>
  <c r="B3245" i="22"/>
  <c r="U3188" i="22"/>
  <c r="AT61" i="22"/>
  <c r="BF61" i="22"/>
  <c r="M3189" i="22"/>
  <c r="D3189" i="22"/>
  <c r="J3189" i="22"/>
  <c r="N3189" i="22" s="1"/>
  <c r="BS61" i="22"/>
  <c r="P3189" i="22"/>
  <c r="Q3189" i="22"/>
  <c r="R3189" i="22"/>
  <c r="L3190" i="22"/>
  <c r="C3190" i="22"/>
  <c r="E3190" i="22"/>
  <c r="G3190" i="22"/>
  <c r="I3190" i="22"/>
  <c r="B3191" i="22"/>
  <c r="U3134" i="22"/>
  <c r="AT60" i="22"/>
  <c r="BF60" i="22"/>
  <c r="L3136" i="22"/>
  <c r="G3136" i="22"/>
  <c r="C3136" i="22"/>
  <c r="E3136" i="22"/>
  <c r="B3137" i="22"/>
  <c r="I3136" i="22"/>
  <c r="D3135" i="22"/>
  <c r="J3135" i="22"/>
  <c r="P3135" i="22"/>
  <c r="Q3135" i="22"/>
  <c r="R3135" i="22"/>
  <c r="P3081" i="22"/>
  <c r="Q3081" i="22"/>
  <c r="R3081" i="22"/>
  <c r="L3082" i="22"/>
  <c r="I3082" i="22"/>
  <c r="B3083" i="22"/>
  <c r="C3082" i="22"/>
  <c r="E3082" i="22"/>
  <c r="G3082" i="22"/>
  <c r="J3081" i="22"/>
  <c r="D3081" i="22"/>
  <c r="U3026" i="22"/>
  <c r="AT58" i="22"/>
  <c r="BF58" i="22"/>
  <c r="M3027" i="22"/>
  <c r="D3027" i="22"/>
  <c r="J3027" i="22"/>
  <c r="N3027" i="22" s="1"/>
  <c r="P3027" i="22"/>
  <c r="Q3027" i="22"/>
  <c r="R3027" i="22"/>
  <c r="L3028" i="22"/>
  <c r="C3028" i="22"/>
  <c r="K3028" i="22" s="1"/>
  <c r="E3028" i="22"/>
  <c r="F3028" i="22"/>
  <c r="O3028" i="22" s="1"/>
  <c r="G3028" i="22"/>
  <c r="B3029" i="22"/>
  <c r="I3028" i="22"/>
  <c r="D2973" i="22"/>
  <c r="J2973" i="22"/>
  <c r="P2973" i="22"/>
  <c r="Q2973" i="22"/>
  <c r="R2973" i="22"/>
  <c r="L2974" i="22"/>
  <c r="E2974" i="22"/>
  <c r="G2974" i="22"/>
  <c r="I2974" i="22"/>
  <c r="C2974" i="22"/>
  <c r="B2975" i="22"/>
  <c r="L2920" i="22"/>
  <c r="G2920" i="22"/>
  <c r="B2921" i="22"/>
  <c r="C2920" i="22"/>
  <c r="E2920" i="22"/>
  <c r="I2920" i="22"/>
  <c r="J2919" i="22"/>
  <c r="D2919" i="22"/>
  <c r="P2919" i="22"/>
  <c r="Q2919" i="22"/>
  <c r="R2919" i="22"/>
  <c r="U2864" i="22"/>
  <c r="AT55" i="22"/>
  <c r="BF55" i="22"/>
  <c r="D2865" i="22"/>
  <c r="J2865" i="22"/>
  <c r="P2865" i="22"/>
  <c r="Q2865" i="22"/>
  <c r="R2865" i="22"/>
  <c r="L2866" i="22"/>
  <c r="C2866" i="22"/>
  <c r="E2866" i="22"/>
  <c r="G2866" i="22"/>
  <c r="I2866" i="22"/>
  <c r="B2867" i="22"/>
  <c r="AL1625" i="23"/>
  <c r="U2810" i="22"/>
  <c r="D2811" i="22"/>
  <c r="J2811" i="22"/>
  <c r="P2811" i="22"/>
  <c r="Q2811" i="22"/>
  <c r="R2811" i="22"/>
  <c r="T2811" i="22"/>
  <c r="L2812" i="22"/>
  <c r="C2812" i="22"/>
  <c r="K2812" i="22" s="1"/>
  <c r="E2812" i="22"/>
  <c r="F2812" i="22"/>
  <c r="O2812" i="22" s="1"/>
  <c r="G2812" i="22"/>
  <c r="I2812" i="22"/>
  <c r="B2813" i="22"/>
  <c r="U2756" i="22"/>
  <c r="AT53" i="22"/>
  <c r="BF53" i="22"/>
  <c r="M2757" i="22"/>
  <c r="D2757" i="22"/>
  <c r="J2757" i="22"/>
  <c r="N2757" i="22" s="1"/>
  <c r="BS53" i="22"/>
  <c r="P2757" i="22"/>
  <c r="Q2757" i="22"/>
  <c r="R2757" i="22"/>
  <c r="L2758" i="22"/>
  <c r="C2758" i="22"/>
  <c r="E2758" i="22"/>
  <c r="G2758" i="22"/>
  <c r="I2758" i="22"/>
  <c r="B2759" i="22"/>
  <c r="U2702" i="22"/>
  <c r="AT52" i="22"/>
  <c r="BF52" i="22"/>
  <c r="M2703" i="22"/>
  <c r="D2703" i="22"/>
  <c r="J2703" i="22"/>
  <c r="N2703" i="22" s="1"/>
  <c r="P2703" i="22"/>
  <c r="Q2703" i="22"/>
  <c r="R2703" i="22"/>
  <c r="L2704" i="22"/>
  <c r="C2704" i="22"/>
  <c r="E2704" i="22"/>
  <c r="G2704" i="22"/>
  <c r="I2704" i="22"/>
  <c r="B2705" i="22"/>
  <c r="U2648" i="22"/>
  <c r="AT51" i="22"/>
  <c r="BF51" i="22"/>
  <c r="M2649" i="22"/>
  <c r="D2649" i="22"/>
  <c r="J2649" i="22"/>
  <c r="N2649" i="22" s="1"/>
  <c r="P2649" i="22"/>
  <c r="Q2649" i="22"/>
  <c r="R2649" i="22"/>
  <c r="L2650" i="22"/>
  <c r="C2650" i="22"/>
  <c r="K2650" i="22" s="1"/>
  <c r="E2650" i="22"/>
  <c r="F2650" i="22"/>
  <c r="O2650" i="22" s="1"/>
  <c r="G2650" i="22"/>
  <c r="I2650" i="22"/>
  <c r="B2651" i="22"/>
  <c r="AT50" i="22"/>
  <c r="BF50" i="22"/>
  <c r="U2594" i="22"/>
  <c r="P2595" i="22"/>
  <c r="Q2595" i="22"/>
  <c r="R2595" i="22"/>
  <c r="L2596" i="22"/>
  <c r="E2596" i="22"/>
  <c r="B2597" i="22"/>
  <c r="I2596" i="22"/>
  <c r="C2596" i="22"/>
  <c r="G2596" i="22"/>
  <c r="D2595" i="22"/>
  <c r="J2595" i="22"/>
  <c r="D2541" i="22"/>
  <c r="J2541" i="22"/>
  <c r="P2541" i="22"/>
  <c r="Q2541" i="22"/>
  <c r="R2541" i="22"/>
  <c r="L2542" i="22"/>
  <c r="C2542" i="22"/>
  <c r="K2542" i="22" s="1"/>
  <c r="E2542" i="22"/>
  <c r="F2542" i="22"/>
  <c r="O2542" i="22" s="1"/>
  <c r="G2542" i="22"/>
  <c r="I2542" i="22"/>
  <c r="B2543" i="22"/>
  <c r="D2487" i="22"/>
  <c r="J2487" i="22"/>
  <c r="P2487" i="22"/>
  <c r="Q2487" i="22"/>
  <c r="R2487" i="22"/>
  <c r="L2488" i="22"/>
  <c r="C2488" i="22"/>
  <c r="K2488" i="22" s="1"/>
  <c r="E2488" i="22"/>
  <c r="F2488" i="22"/>
  <c r="O2488" i="22" s="1"/>
  <c r="G2488" i="22"/>
  <c r="I2488" i="22"/>
  <c r="B2489" i="22"/>
  <c r="D2433" i="22"/>
  <c r="J2433" i="22"/>
  <c r="P2433" i="22"/>
  <c r="Q2433" i="22"/>
  <c r="R2433" i="22"/>
  <c r="L2434" i="22"/>
  <c r="C2434" i="22"/>
  <c r="K2434" i="22" s="1"/>
  <c r="E2434" i="22"/>
  <c r="F2434" i="22"/>
  <c r="O2434" i="22" s="1"/>
  <c r="BT47" i="22" s="1"/>
  <c r="G2434" i="22"/>
  <c r="I2434" i="22"/>
  <c r="B2435" i="22"/>
  <c r="U2378" i="22"/>
  <c r="AT46" i="22"/>
  <c r="BF46" i="22"/>
  <c r="M2379" i="22"/>
  <c r="D2379" i="22"/>
  <c r="J2379" i="22"/>
  <c r="N2379" i="22" s="1"/>
  <c r="BS46" i="22"/>
  <c r="P2379" i="22"/>
  <c r="Q2379" i="22"/>
  <c r="R2379" i="22"/>
  <c r="L2380" i="22"/>
  <c r="C2380" i="22"/>
  <c r="E2380" i="22"/>
  <c r="G2380" i="22"/>
  <c r="I2380" i="22"/>
  <c r="B2381" i="22"/>
  <c r="U2324" i="22"/>
  <c r="AT45" i="22"/>
  <c r="BF45" i="22"/>
  <c r="M2325" i="22"/>
  <c r="D2325" i="22"/>
  <c r="J2325" i="22"/>
  <c r="N2325" i="22" s="1"/>
  <c r="P2325" i="22"/>
  <c r="Q2325" i="22"/>
  <c r="R2325" i="22"/>
  <c r="L2326" i="22"/>
  <c r="C2326" i="22"/>
  <c r="E2326" i="22"/>
  <c r="G2326" i="22"/>
  <c r="I2326" i="22"/>
  <c r="B2327" i="22"/>
  <c r="U2270" i="22"/>
  <c r="AT44" i="22"/>
  <c r="BF44" i="22"/>
  <c r="M2271" i="22"/>
  <c r="D2271" i="22"/>
  <c r="J2271" i="22"/>
  <c r="N2271" i="22" s="1"/>
  <c r="P2271" i="22"/>
  <c r="Q2271" i="22"/>
  <c r="R2271" i="22"/>
  <c r="L2272" i="22"/>
  <c r="C2272" i="22"/>
  <c r="K2272" i="22" s="1"/>
  <c r="E2272" i="22"/>
  <c r="F2272" i="22"/>
  <c r="O2272" i="22" s="1"/>
  <c r="BT44" i="22" s="1"/>
  <c r="G2272" i="22"/>
  <c r="I2272" i="22"/>
  <c r="B2273" i="22"/>
  <c r="U2216" i="22"/>
  <c r="AT43" i="22"/>
  <c r="BF43" i="22"/>
  <c r="M2217" i="22"/>
  <c r="D2217" i="22"/>
  <c r="J2217" i="22"/>
  <c r="N2217" i="22" s="1"/>
  <c r="P2217" i="22"/>
  <c r="Q2217" i="22"/>
  <c r="R2217" i="22"/>
  <c r="L2218" i="22"/>
  <c r="C2218" i="22"/>
  <c r="K2218" i="22" s="1"/>
  <c r="E2218" i="22"/>
  <c r="F2218" i="22"/>
  <c r="O2218" i="22" s="1"/>
  <c r="BT43" i="22" s="1"/>
  <c r="G2218" i="22"/>
  <c r="I2218" i="22"/>
  <c r="B2219" i="22"/>
  <c r="U2162" i="22"/>
  <c r="AT42" i="22"/>
  <c r="BF42" i="22"/>
  <c r="D2163" i="22"/>
  <c r="J2163" i="22"/>
  <c r="P2163" i="22"/>
  <c r="Q2163" i="22"/>
  <c r="R2163" i="22"/>
  <c r="L2164" i="22"/>
  <c r="C2164" i="22"/>
  <c r="K2164" i="22" s="1"/>
  <c r="E2164" i="22"/>
  <c r="F2164" i="22"/>
  <c r="O2164" i="22" s="1"/>
  <c r="BT42" i="22" s="1"/>
  <c r="G2164" i="22"/>
  <c r="I2164" i="22"/>
  <c r="B2165" i="22"/>
  <c r="U2108" i="22"/>
  <c r="AT41" i="22"/>
  <c r="BF41" i="22"/>
  <c r="M2109" i="22"/>
  <c r="D2109" i="22"/>
  <c r="J2109" i="22"/>
  <c r="N2109" i="22" s="1"/>
  <c r="P2109" i="22"/>
  <c r="Q2109" i="22"/>
  <c r="R2109" i="22"/>
  <c r="L2110" i="22"/>
  <c r="C2110" i="22"/>
  <c r="K2110" i="22" s="1"/>
  <c r="E2110" i="22"/>
  <c r="F2110" i="22"/>
  <c r="O2110" i="22" s="1"/>
  <c r="G2110" i="22"/>
  <c r="I2110" i="22"/>
  <c r="B2111" i="22"/>
  <c r="M2055" i="22"/>
  <c r="D2055" i="22"/>
  <c r="J2055" i="22"/>
  <c r="N2055" i="22" s="1"/>
  <c r="P2055" i="22"/>
  <c r="Q2055" i="22"/>
  <c r="R2055" i="22"/>
  <c r="L2056" i="22"/>
  <c r="C2056" i="22"/>
  <c r="K2056" i="22" s="1"/>
  <c r="E2056" i="22"/>
  <c r="F2056" i="22"/>
  <c r="O2056" i="22" s="1"/>
  <c r="G2056" i="22"/>
  <c r="I2056" i="22"/>
  <c r="B2057" i="22"/>
  <c r="U2000" i="22"/>
  <c r="AT39" i="22"/>
  <c r="BF39" i="22"/>
  <c r="M2001" i="22"/>
  <c r="D2001" i="22"/>
  <c r="J2001" i="22"/>
  <c r="N2001" i="22" s="1"/>
  <c r="P2001" i="22"/>
  <c r="Q2001" i="22"/>
  <c r="R2001" i="22"/>
  <c r="L2002" i="22"/>
  <c r="C2002" i="22"/>
  <c r="E2002" i="22"/>
  <c r="G2002" i="22"/>
  <c r="I2002" i="22"/>
  <c r="B2003" i="22"/>
  <c r="U1946" i="22"/>
  <c r="AT38" i="22"/>
  <c r="BF38" i="22"/>
  <c r="M1947" i="22"/>
  <c r="D1947" i="22"/>
  <c r="J1947" i="22"/>
  <c r="N1947" i="22" s="1"/>
  <c r="P1947" i="22"/>
  <c r="Q1947" i="22"/>
  <c r="R1947" i="22"/>
  <c r="L1948" i="22"/>
  <c r="C1948" i="22"/>
  <c r="E1948" i="22"/>
  <c r="G1948" i="22"/>
  <c r="I1948" i="22"/>
  <c r="B1949" i="22"/>
  <c r="U1892" i="22"/>
  <c r="AT37" i="22"/>
  <c r="BF37" i="22"/>
  <c r="M1893" i="22"/>
  <c r="D1893" i="22"/>
  <c r="J1893" i="22"/>
  <c r="N1893" i="22" s="1"/>
  <c r="P1893" i="22"/>
  <c r="Q1893" i="22"/>
  <c r="R1893" i="22"/>
  <c r="L1894" i="22"/>
  <c r="C1894" i="22"/>
  <c r="E1894" i="22"/>
  <c r="G1894" i="22"/>
  <c r="I1894" i="22"/>
  <c r="B1895" i="22"/>
  <c r="U1838" i="22"/>
  <c r="AT36" i="22"/>
  <c r="BF36" i="22"/>
  <c r="M1839" i="22"/>
  <c r="D1839" i="22"/>
  <c r="J1839" i="22"/>
  <c r="N1839" i="22" s="1"/>
  <c r="P1839" i="22"/>
  <c r="Q1839" i="22"/>
  <c r="R1839" i="22"/>
  <c r="L1840" i="22"/>
  <c r="C1840" i="22"/>
  <c r="K1840" i="22" s="1"/>
  <c r="E1840" i="22"/>
  <c r="F1840" i="22"/>
  <c r="O1840" i="22" s="1"/>
  <c r="BT36" i="22" s="1"/>
  <c r="G1840" i="22"/>
  <c r="I1840" i="22"/>
  <c r="B1841" i="22"/>
  <c r="U1784" i="22"/>
  <c r="AT35" i="22"/>
  <c r="BF35" i="22"/>
  <c r="M1785" i="22"/>
  <c r="D1785" i="22"/>
  <c r="J1785" i="22"/>
  <c r="N1785" i="22" s="1"/>
  <c r="P1785" i="22"/>
  <c r="Q1785" i="22"/>
  <c r="R1785" i="22"/>
  <c r="L1786" i="22"/>
  <c r="C1786" i="22"/>
  <c r="K1786" i="22" s="1"/>
  <c r="E1786" i="22"/>
  <c r="F1786" i="22"/>
  <c r="O1786" i="22" s="1"/>
  <c r="BT35" i="22" s="1"/>
  <c r="G1786" i="22"/>
  <c r="I1786" i="22"/>
  <c r="B1787" i="22"/>
  <c r="U1730" i="22"/>
  <c r="AT34" i="22"/>
  <c r="BF34" i="22"/>
  <c r="M1731" i="22"/>
  <c r="D1731" i="22"/>
  <c r="J1731" i="22"/>
  <c r="N1731" i="22" s="1"/>
  <c r="P1731" i="22"/>
  <c r="Q1731" i="22"/>
  <c r="R1731" i="22"/>
  <c r="L1732" i="22"/>
  <c r="C1732" i="22"/>
  <c r="E1732" i="22"/>
  <c r="G1732" i="22"/>
  <c r="I1732" i="22"/>
  <c r="B1733" i="22"/>
  <c r="U1676" i="22"/>
  <c r="AT33" i="22"/>
  <c r="BF33" i="22"/>
  <c r="D1677" i="22"/>
  <c r="J1677" i="22"/>
  <c r="P1677" i="22"/>
  <c r="Q1677" i="22"/>
  <c r="R1677" i="22"/>
  <c r="L1678" i="22"/>
  <c r="C1678" i="22"/>
  <c r="K1678" i="22" s="1"/>
  <c r="E1678" i="22"/>
  <c r="F1678" i="22"/>
  <c r="O1678" i="22" s="1"/>
  <c r="BT33" i="22" s="1"/>
  <c r="G1678" i="22"/>
  <c r="I1678" i="22"/>
  <c r="B1679" i="22"/>
  <c r="M1623" i="22"/>
  <c r="D1623" i="22"/>
  <c r="J1623" i="22"/>
  <c r="N1623" i="22" s="1"/>
  <c r="P1623" i="22"/>
  <c r="Q1623" i="22"/>
  <c r="R1623" i="22"/>
  <c r="L1624" i="22"/>
  <c r="C1624" i="22"/>
  <c r="K1624" i="22" s="1"/>
  <c r="E1624" i="22"/>
  <c r="F1624" i="22"/>
  <c r="O1624" i="22" s="1"/>
  <c r="G1624" i="22"/>
  <c r="I1624" i="22"/>
  <c r="B1625" i="22"/>
  <c r="M1569" i="22"/>
  <c r="D1569" i="22"/>
  <c r="J1569" i="22"/>
  <c r="N1569" i="22" s="1"/>
  <c r="P1569" i="22"/>
  <c r="Q1569" i="22"/>
  <c r="R1569" i="22"/>
  <c r="L1570" i="22"/>
  <c r="C1570" i="22"/>
  <c r="K1570" i="22" s="1"/>
  <c r="E1570" i="22"/>
  <c r="F1570" i="22"/>
  <c r="O1570" i="22" s="1"/>
  <c r="G1570" i="22"/>
  <c r="I1570" i="22"/>
  <c r="B1571" i="22"/>
  <c r="U1514" i="22"/>
  <c r="AT30" i="22"/>
  <c r="BF30" i="22"/>
  <c r="M1515" i="22"/>
  <c r="D1515" i="22"/>
  <c r="J1515" i="22"/>
  <c r="N1515" i="22" s="1"/>
  <c r="P1515" i="22"/>
  <c r="Q1515" i="22"/>
  <c r="R1515" i="22"/>
  <c r="L1516" i="22"/>
  <c r="C1516" i="22"/>
  <c r="K1516" i="22" s="1"/>
  <c r="E1516" i="22"/>
  <c r="F1516" i="22"/>
  <c r="O1516" i="22" s="1"/>
  <c r="G1516" i="22"/>
  <c r="I1516" i="22"/>
  <c r="B1517" i="22"/>
  <c r="U1460" i="22"/>
  <c r="AT29" i="22"/>
  <c r="BF29" i="22"/>
  <c r="M1461" i="22"/>
  <c r="D1461" i="22"/>
  <c r="J1461" i="22"/>
  <c r="N1461" i="22" s="1"/>
  <c r="P1461" i="22"/>
  <c r="Q1461" i="22"/>
  <c r="R1461" i="22"/>
  <c r="L1462" i="22"/>
  <c r="C1462" i="22"/>
  <c r="E1462" i="22"/>
  <c r="G1462" i="22"/>
  <c r="I1462" i="22"/>
  <c r="B1463" i="22"/>
  <c r="U1406" i="22"/>
  <c r="AT28" i="22"/>
  <c r="BF28" i="22"/>
  <c r="M1407" i="22"/>
  <c r="D1407" i="22"/>
  <c r="J1407" i="22"/>
  <c r="N1407" i="22" s="1"/>
  <c r="P1407" i="22"/>
  <c r="Q1407" i="22"/>
  <c r="R1407" i="22"/>
  <c r="L1408" i="22"/>
  <c r="C1408" i="22"/>
  <c r="K1408" i="22" s="1"/>
  <c r="E1408" i="22"/>
  <c r="F1408" i="22"/>
  <c r="O1408" i="22" s="1"/>
  <c r="BT28" i="22" s="1"/>
  <c r="G1408" i="22"/>
  <c r="I1408" i="22"/>
  <c r="B1409" i="22"/>
  <c r="U1352" i="22"/>
  <c r="AT27" i="22"/>
  <c r="BF27" i="22"/>
  <c r="M1353" i="22"/>
  <c r="D1353" i="22"/>
  <c r="J1353" i="22"/>
  <c r="N1353" i="22" s="1"/>
  <c r="P1353" i="22"/>
  <c r="Q1353" i="22"/>
  <c r="R1353" i="22"/>
  <c r="L1354" i="22"/>
  <c r="C1354" i="22"/>
  <c r="K1354" i="22" s="1"/>
  <c r="E1354" i="22"/>
  <c r="F1354" i="22"/>
  <c r="O1354" i="22" s="1"/>
  <c r="BT27" i="22" s="1"/>
  <c r="G1354" i="22"/>
  <c r="I1354" i="22"/>
  <c r="B1355" i="22"/>
  <c r="U1298" i="22"/>
  <c r="AT26" i="22"/>
  <c r="BF26" i="22"/>
  <c r="D1299" i="22"/>
  <c r="J1299" i="22"/>
  <c r="P1299" i="22"/>
  <c r="Q1299" i="22"/>
  <c r="R1299" i="22"/>
  <c r="L1300" i="22"/>
  <c r="C1300" i="22"/>
  <c r="K1300" i="22" s="1"/>
  <c r="E1300" i="22"/>
  <c r="F1300" i="22"/>
  <c r="O1300" i="22" s="1"/>
  <c r="BT26" i="22" s="1"/>
  <c r="G1300" i="22"/>
  <c r="I1300" i="22"/>
  <c r="B1301" i="22"/>
  <c r="U1244" i="22"/>
  <c r="AT25" i="22"/>
  <c r="BF25" i="22"/>
  <c r="M1245" i="22"/>
  <c r="D1245" i="22"/>
  <c r="J1245" i="22"/>
  <c r="N1245" i="22" s="1"/>
  <c r="P1245" i="22"/>
  <c r="Q1245" i="22"/>
  <c r="R1245" i="22"/>
  <c r="L1246" i="22"/>
  <c r="C1246" i="22"/>
  <c r="K1246" i="22" s="1"/>
  <c r="E1246" i="22"/>
  <c r="F1246" i="22"/>
  <c r="O1246" i="22" s="1"/>
  <c r="G1246" i="22"/>
  <c r="I1246" i="22"/>
  <c r="B1247" i="22"/>
  <c r="M1191" i="22"/>
  <c r="D1191" i="22"/>
  <c r="J1191" i="22"/>
  <c r="N1191" i="22" s="1"/>
  <c r="J92" i="7"/>
  <c r="BS24" i="22"/>
  <c r="P1191" i="22"/>
  <c r="Q1191" i="22"/>
  <c r="R1191" i="22"/>
  <c r="L1192" i="22"/>
  <c r="C1192" i="22"/>
  <c r="E1192" i="22"/>
  <c r="G1192" i="22"/>
  <c r="I1192" i="22"/>
  <c r="B1193" i="22"/>
  <c r="I122" i="7"/>
  <c r="I60" i="7"/>
  <c r="U1136" i="22"/>
  <c r="AT23" i="22"/>
  <c r="BF23" i="22"/>
  <c r="M1137" i="22"/>
  <c r="D1137" i="22"/>
  <c r="J1137" i="22"/>
  <c r="N1137" i="22" s="1"/>
  <c r="J91" i="7"/>
  <c r="BS23" i="22"/>
  <c r="P1137" i="22"/>
  <c r="Q1137" i="22"/>
  <c r="R1137" i="22"/>
  <c r="L1138" i="22"/>
  <c r="C1138" i="22"/>
  <c r="K1138" i="22" s="1"/>
  <c r="E1138" i="22"/>
  <c r="F1138" i="22"/>
  <c r="O1138" i="22" s="1"/>
  <c r="G1138" i="22"/>
  <c r="I1138" i="22"/>
  <c r="B1139" i="22"/>
  <c r="I121" i="7"/>
  <c r="I59" i="7"/>
  <c r="U1082" i="22"/>
  <c r="AT22" i="22"/>
  <c r="BF22" i="22"/>
  <c r="M1083" i="22"/>
  <c r="D1083" i="22"/>
  <c r="J1083" i="22"/>
  <c r="N1083" i="22" s="1"/>
  <c r="J90" i="7"/>
  <c r="BS22" i="22"/>
  <c r="P1083" i="22"/>
  <c r="Q1083" i="22"/>
  <c r="R1083" i="22"/>
  <c r="L1084" i="22"/>
  <c r="C1084" i="22"/>
  <c r="E1084" i="22"/>
  <c r="G1084" i="22"/>
  <c r="I1084" i="22"/>
  <c r="B1085" i="22"/>
  <c r="I120" i="7"/>
  <c r="I58" i="7"/>
  <c r="U1028" i="22"/>
  <c r="AT21" i="22"/>
  <c r="BF21" i="22"/>
  <c r="D1029" i="22"/>
  <c r="J1029" i="22"/>
  <c r="P1029" i="22"/>
  <c r="Q1029" i="22"/>
  <c r="R1029" i="22"/>
  <c r="L1030" i="22"/>
  <c r="C1030" i="22"/>
  <c r="K1030" i="22" s="1"/>
  <c r="E1030" i="22"/>
  <c r="F1030" i="22"/>
  <c r="O1030" i="22" s="1"/>
  <c r="G1030" i="22"/>
  <c r="I1030" i="22"/>
  <c r="B1031" i="22"/>
  <c r="I119" i="7"/>
  <c r="I57" i="7"/>
  <c r="U974" i="22"/>
  <c r="AT20" i="22"/>
  <c r="BF20" i="22"/>
  <c r="D975" i="22"/>
  <c r="J975" i="22"/>
  <c r="P975" i="22"/>
  <c r="Q975" i="22"/>
  <c r="R975" i="22"/>
  <c r="L976" i="22"/>
  <c r="C976" i="22"/>
  <c r="K976" i="22" s="1"/>
  <c r="E976" i="22"/>
  <c r="F976" i="22"/>
  <c r="O976" i="22" s="1"/>
  <c r="G976" i="22"/>
  <c r="I976" i="22"/>
  <c r="B977" i="22"/>
  <c r="D921" i="22"/>
  <c r="J921" i="22"/>
  <c r="P921" i="22"/>
  <c r="Q921" i="22"/>
  <c r="R921" i="22"/>
  <c r="L922" i="22"/>
  <c r="C922" i="22"/>
  <c r="E922" i="22"/>
  <c r="G922" i="22"/>
  <c r="I922" i="22"/>
  <c r="B923" i="22"/>
  <c r="I117" i="7"/>
  <c r="I55" i="7"/>
  <c r="U866" i="22"/>
  <c r="AT18" i="22"/>
  <c r="BF18" i="22"/>
  <c r="M867" i="22"/>
  <c r="D867" i="22"/>
  <c r="J867" i="22"/>
  <c r="N867" i="22" s="1"/>
  <c r="J86" i="7"/>
  <c r="BS18" i="22"/>
  <c r="P867" i="22"/>
  <c r="Q867" i="22"/>
  <c r="R867" i="22"/>
  <c r="L868" i="22"/>
  <c r="C868" i="22"/>
  <c r="K868" i="22" s="1"/>
  <c r="E868" i="22"/>
  <c r="F868" i="22"/>
  <c r="O868" i="22" s="1"/>
  <c r="G868" i="22"/>
  <c r="I868" i="22"/>
  <c r="B869" i="22"/>
  <c r="I116" i="7"/>
  <c r="I54" i="7"/>
  <c r="U812" i="22"/>
  <c r="AT17" i="22"/>
  <c r="BF17" i="22"/>
  <c r="M813" i="22"/>
  <c r="D813" i="22"/>
  <c r="J813" i="22"/>
  <c r="N813" i="22" s="1"/>
  <c r="J85" i="7"/>
  <c r="BS17" i="22"/>
  <c r="P813" i="22"/>
  <c r="Q813" i="22"/>
  <c r="R813" i="22"/>
  <c r="L814" i="22"/>
  <c r="C814" i="22"/>
  <c r="K814" i="22" s="1"/>
  <c r="E814" i="22"/>
  <c r="F814" i="22"/>
  <c r="O814" i="22" s="1"/>
  <c r="G814" i="22"/>
  <c r="I814" i="22"/>
  <c r="B815" i="22"/>
  <c r="I115" i="7"/>
  <c r="I53" i="7"/>
  <c r="U758" i="22"/>
  <c r="AT16" i="22"/>
  <c r="BF16" i="22"/>
  <c r="M759" i="22"/>
  <c r="D759" i="22"/>
  <c r="J759" i="22"/>
  <c r="N759" i="22" s="1"/>
  <c r="J84" i="7"/>
  <c r="BS16" i="22"/>
  <c r="P759" i="22"/>
  <c r="Q759" i="22"/>
  <c r="R759" i="22"/>
  <c r="L760" i="22"/>
  <c r="C760" i="22"/>
  <c r="K760" i="22" s="1"/>
  <c r="E760" i="22"/>
  <c r="F760" i="22"/>
  <c r="O760" i="22" s="1"/>
  <c r="G760" i="22"/>
  <c r="I760" i="22"/>
  <c r="B761" i="22"/>
  <c r="I114" i="7"/>
  <c r="I52" i="7"/>
  <c r="U704" i="22"/>
  <c r="AT15" i="22"/>
  <c r="BF15" i="22"/>
  <c r="M705" i="22"/>
  <c r="D705" i="22"/>
  <c r="J705" i="22"/>
  <c r="N705" i="22" s="1"/>
  <c r="J83" i="7"/>
  <c r="BS15" i="22"/>
  <c r="P705" i="22"/>
  <c r="Q705" i="22"/>
  <c r="R705" i="22"/>
  <c r="L706" i="22"/>
  <c r="C706" i="22"/>
  <c r="E706" i="22"/>
  <c r="G706" i="22"/>
  <c r="I706" i="22"/>
  <c r="B707" i="22"/>
  <c r="I113" i="7"/>
  <c r="I51" i="7"/>
  <c r="U650" i="22"/>
  <c r="AT14" i="22"/>
  <c r="BF14" i="22"/>
  <c r="M651" i="22"/>
  <c r="D651" i="22"/>
  <c r="J651" i="22"/>
  <c r="N651" i="22" s="1"/>
  <c r="J82" i="7"/>
  <c r="BS14" i="22"/>
  <c r="P651" i="22"/>
  <c r="Q651" i="22"/>
  <c r="R651" i="22"/>
  <c r="L652" i="22"/>
  <c r="C652" i="22"/>
  <c r="K652" i="22" s="1"/>
  <c r="E652" i="22"/>
  <c r="F652" i="22"/>
  <c r="O652" i="22" s="1"/>
  <c r="G652" i="22"/>
  <c r="I652" i="22"/>
  <c r="B653" i="22"/>
  <c r="I50" i="7"/>
  <c r="I112" i="7"/>
  <c r="U596" i="22"/>
  <c r="AT13" i="22"/>
  <c r="BF13" i="22"/>
  <c r="M597" i="22"/>
  <c r="D597" i="22"/>
  <c r="J597" i="22"/>
  <c r="N597" i="22" s="1"/>
  <c r="J81" i="7"/>
  <c r="BS13" i="22"/>
  <c r="P597" i="22"/>
  <c r="Q597" i="22"/>
  <c r="R597" i="22"/>
  <c r="L598" i="22"/>
  <c r="C598" i="22"/>
  <c r="K598" i="22" s="1"/>
  <c r="E598" i="22"/>
  <c r="F598" i="22"/>
  <c r="O598" i="22" s="1"/>
  <c r="G598" i="22"/>
  <c r="I598" i="22"/>
  <c r="B599" i="22"/>
  <c r="I111" i="7"/>
  <c r="I49" i="7"/>
  <c r="U542" i="22"/>
  <c r="AT12" i="22"/>
  <c r="BF12" i="22"/>
  <c r="D543" i="22"/>
  <c r="J543" i="22"/>
  <c r="P543" i="22"/>
  <c r="Q543" i="22"/>
  <c r="R543" i="22"/>
  <c r="L544" i="22"/>
  <c r="C544" i="22"/>
  <c r="K544" i="22" s="1"/>
  <c r="E544" i="22"/>
  <c r="F544" i="22"/>
  <c r="O544" i="22" s="1"/>
  <c r="G544" i="22"/>
  <c r="I544" i="22"/>
  <c r="B545" i="22"/>
  <c r="I110" i="7"/>
  <c r="I48" i="7"/>
  <c r="U488" i="22"/>
  <c r="AT11" i="22"/>
  <c r="BF11" i="22"/>
  <c r="M489" i="22"/>
  <c r="D489" i="22"/>
  <c r="J489" i="22"/>
  <c r="N489" i="22" s="1"/>
  <c r="J79" i="7"/>
  <c r="BS11" i="22"/>
  <c r="P489" i="22"/>
  <c r="Q489" i="22"/>
  <c r="R489" i="22"/>
  <c r="L490" i="22"/>
  <c r="C490" i="22"/>
  <c r="K490" i="22" s="1"/>
  <c r="E490" i="22"/>
  <c r="F490" i="22"/>
  <c r="O490" i="22" s="1"/>
  <c r="G490" i="22"/>
  <c r="I490" i="22"/>
  <c r="B491" i="22"/>
  <c r="I47" i="7"/>
  <c r="I109" i="7"/>
  <c r="U434" i="22"/>
  <c r="AT10" i="22"/>
  <c r="BF10" i="22"/>
  <c r="J435" i="22"/>
  <c r="D435" i="22"/>
  <c r="P435" i="22"/>
  <c r="Q435" i="22"/>
  <c r="R435" i="22"/>
  <c r="L436" i="22"/>
  <c r="E436" i="22"/>
  <c r="B437" i="22"/>
  <c r="C436" i="22"/>
  <c r="K436" i="22" s="1"/>
  <c r="F436" i="22"/>
  <c r="O436" i="22" s="1"/>
  <c r="G436" i="22"/>
  <c r="I436" i="22"/>
  <c r="I108" i="7"/>
  <c r="I46" i="7"/>
  <c r="U380" i="22"/>
  <c r="AT9" i="22"/>
  <c r="BF9" i="22"/>
  <c r="M381" i="22"/>
  <c r="D381" i="22"/>
  <c r="J381" i="22"/>
  <c r="N381" i="22" s="1"/>
  <c r="J77" i="7"/>
  <c r="BS9" i="22"/>
  <c r="P381" i="22"/>
  <c r="Q381" i="22"/>
  <c r="R381" i="22"/>
  <c r="L382" i="22"/>
  <c r="C382" i="22"/>
  <c r="K382" i="22" s="1"/>
  <c r="E382" i="22"/>
  <c r="F382" i="22"/>
  <c r="O382" i="22" s="1"/>
  <c r="G382" i="22"/>
  <c r="I382" i="22"/>
  <c r="B383" i="22"/>
  <c r="I107" i="7"/>
  <c r="I45" i="7"/>
  <c r="U326" i="22"/>
  <c r="AT8" i="22"/>
  <c r="BF8" i="22"/>
  <c r="M327" i="22"/>
  <c r="D327" i="22"/>
  <c r="J327" i="22"/>
  <c r="N327" i="22" s="1"/>
  <c r="J76" i="7"/>
  <c r="BS8" i="22"/>
  <c r="P327" i="22"/>
  <c r="Q327" i="22"/>
  <c r="R327" i="22"/>
  <c r="L328" i="22"/>
  <c r="C328" i="22"/>
  <c r="E328" i="22"/>
  <c r="G328" i="22"/>
  <c r="I328" i="22"/>
  <c r="B329" i="22"/>
  <c r="I106" i="7"/>
  <c r="I44" i="7"/>
  <c r="U272" i="22"/>
  <c r="AT7" i="22"/>
  <c r="BF7" i="22"/>
  <c r="M273" i="22"/>
  <c r="D273" i="22"/>
  <c r="J273" i="22"/>
  <c r="N273" i="22" s="1"/>
  <c r="P273" i="22"/>
  <c r="Q273" i="22"/>
  <c r="R273" i="22"/>
  <c r="L274" i="22"/>
  <c r="C274" i="22"/>
  <c r="K274" i="22" s="1"/>
  <c r="E274" i="22"/>
  <c r="F274" i="22"/>
  <c r="O274" i="22" s="1"/>
  <c r="BT7" i="22" s="1"/>
  <c r="G274" i="22"/>
  <c r="I274" i="22"/>
  <c r="B275" i="22"/>
  <c r="D219" i="22"/>
  <c r="J219" i="22"/>
  <c r="P219" i="22"/>
  <c r="Q219" i="22"/>
  <c r="R219" i="22"/>
  <c r="L220" i="22"/>
  <c r="C220" i="22"/>
  <c r="K220" i="22" s="1"/>
  <c r="E220" i="22"/>
  <c r="F220" i="22"/>
  <c r="O220" i="22" s="1"/>
  <c r="G220" i="22"/>
  <c r="I220" i="22"/>
  <c r="B221" i="22"/>
  <c r="D165" i="22"/>
  <c r="J165" i="22"/>
  <c r="P165" i="22"/>
  <c r="Q165" i="22"/>
  <c r="R165" i="22"/>
  <c r="L166" i="22"/>
  <c r="C166" i="22"/>
  <c r="K166" i="22" s="1"/>
  <c r="E166" i="22"/>
  <c r="F166" i="22"/>
  <c r="O166" i="22" s="1"/>
  <c r="G166" i="22"/>
  <c r="I166" i="22"/>
  <c r="B167" i="22"/>
  <c r="I103" i="7"/>
  <c r="I41" i="7"/>
  <c r="AT4" i="22"/>
  <c r="BF4" i="22"/>
  <c r="U110" i="22"/>
  <c r="M111" i="22"/>
  <c r="D111" i="22"/>
  <c r="J111" i="22"/>
  <c r="N111" i="22" s="1"/>
  <c r="J72" i="7"/>
  <c r="BS4" i="22"/>
  <c r="P111" i="22"/>
  <c r="Q111" i="22"/>
  <c r="R111" i="22"/>
  <c r="L112" i="22"/>
  <c r="C112" i="22"/>
  <c r="K112" i="22" s="1"/>
  <c r="E112" i="22"/>
  <c r="F112" i="22"/>
  <c r="O112" i="22" s="1"/>
  <c r="G112" i="22"/>
  <c r="I112" i="22"/>
  <c r="B113" i="22"/>
  <c r="F48" i="18"/>
  <c r="G48" i="18"/>
  <c r="H48" i="18"/>
  <c r="U48" i="17"/>
  <c r="M100" i="12"/>
  <c r="Q100" i="12" s="1"/>
  <c r="O100" i="12"/>
  <c r="BA49" i="17"/>
  <c r="AZ49" i="17"/>
  <c r="AY49" i="17"/>
  <c r="AX49" i="17"/>
  <c r="AW49" i="17"/>
  <c r="AV49" i="17"/>
  <c r="AU49" i="17"/>
  <c r="AT49" i="17"/>
  <c r="AS49" i="17"/>
  <c r="AR49" i="17"/>
  <c r="AQ49" i="17"/>
  <c r="AP49" i="17"/>
  <c r="AO49" i="17"/>
  <c r="AN49" i="17"/>
  <c r="AM49" i="17"/>
  <c r="AL49" i="17"/>
  <c r="AK49" i="17"/>
  <c r="AJ49" i="17"/>
  <c r="AI49" i="17"/>
  <c r="AH49" i="17"/>
  <c r="AG49" i="17"/>
  <c r="AF49" i="17"/>
  <c r="AE49" i="17"/>
  <c r="AD49" i="17"/>
  <c r="AC49" i="17"/>
  <c r="AB49" i="17"/>
  <c r="AA49" i="17"/>
  <c r="Z49" i="17"/>
  <c r="Y49" i="17"/>
  <c r="X49" i="17"/>
  <c r="W49" i="17"/>
  <c r="P49" i="17"/>
  <c r="F49" i="18" s="1"/>
  <c r="Q49" i="17"/>
  <c r="G49" i="18" s="1"/>
  <c r="R49" i="17"/>
  <c r="H49" i="18" s="1"/>
  <c r="V49" i="17"/>
  <c r="D49" i="17"/>
  <c r="J49" i="17"/>
  <c r="I50" i="17"/>
  <c r="E39" i="10" s="1"/>
  <c r="B50" i="18"/>
  <c r="C50" i="17"/>
  <c r="K50" i="17" s="1"/>
  <c r="E50" i="17"/>
  <c r="F50" i="17"/>
  <c r="C50" i="18" s="1"/>
  <c r="E50" i="18" s="1"/>
  <c r="G50" i="17"/>
  <c r="BC50" i="17" s="1"/>
  <c r="L50" i="17"/>
  <c r="E42" i="10" s="1"/>
  <c r="B51" i="17"/>
  <c r="E37" i="10"/>
  <c r="C99" i="12"/>
  <c r="BE16" i="17"/>
  <c r="B116" i="12" s="1"/>
  <c r="I116" i="12" s="1"/>
  <c r="B115" i="12"/>
  <c r="I115" i="12" s="1"/>
  <c r="BD15" i="17"/>
  <c r="BC17" i="17"/>
  <c r="BC18" i="17"/>
  <c r="BC19" i="17"/>
  <c r="BC20" i="17"/>
  <c r="BC21" i="17"/>
  <c r="BC22" i="17"/>
  <c r="BC23" i="17"/>
  <c r="BC24" i="17"/>
  <c r="BC25" i="17"/>
  <c r="BC26" i="17"/>
  <c r="BC27" i="17"/>
  <c r="BC28" i="17"/>
  <c r="BC29" i="17"/>
  <c r="BC30" i="17"/>
  <c r="BC31" i="17"/>
  <c r="BC37" i="17"/>
  <c r="BC39" i="17"/>
  <c r="BC40" i="17"/>
  <c r="BC42" i="17"/>
  <c r="BC45" i="17"/>
  <c r="BC46" i="17"/>
  <c r="BC47" i="17"/>
  <c r="BC49" i="17"/>
  <c r="BC32" i="17"/>
  <c r="BC33" i="17"/>
  <c r="BC34" i="17"/>
  <c r="BC35" i="17"/>
  <c r="BC36" i="17"/>
  <c r="BC38" i="17"/>
  <c r="BC41" i="17"/>
  <c r="BC43" i="17"/>
  <c r="BC44" i="17"/>
  <c r="BC48" i="17"/>
  <c r="F49" i="8"/>
  <c r="AH726" i="23"/>
  <c r="AI1622" i="23"/>
  <c r="F104" i="8"/>
  <c r="C134" i="8"/>
  <c r="AD1343" i="23"/>
  <c r="C98" i="12"/>
  <c r="AH1623" i="23"/>
  <c r="G103" i="8"/>
  <c r="B135" i="8"/>
  <c r="D135" i="8"/>
  <c r="X1512" i="23"/>
  <c r="W1512" i="23"/>
  <c r="X1456" i="23"/>
  <c r="W1456" i="23"/>
  <c r="X1288" i="23"/>
  <c r="W1288" i="23"/>
  <c r="AD1120" i="23"/>
  <c r="AH727" i="23"/>
  <c r="G49" i="8"/>
  <c r="W728" i="23"/>
  <c r="X728" i="23"/>
  <c r="X616" i="23"/>
  <c r="W616" i="23"/>
  <c r="X560" i="23"/>
  <c r="W560" i="23"/>
  <c r="U3781" i="22"/>
  <c r="AS72" i="22"/>
  <c r="BE72" i="22"/>
  <c r="U3673" i="22"/>
  <c r="AS70" i="22"/>
  <c r="BE70" i="22"/>
  <c r="U3619" i="22"/>
  <c r="AS69" i="22"/>
  <c r="BE69" i="22"/>
  <c r="U3565" i="22"/>
  <c r="AS68" i="22"/>
  <c r="BE68" i="22"/>
  <c r="U3403" i="22"/>
  <c r="AS65" i="22"/>
  <c r="BE65" i="22"/>
  <c r="U3349" i="22"/>
  <c r="AS64" i="22"/>
  <c r="BE64" i="22"/>
  <c r="U3295" i="22"/>
  <c r="AS63" i="22"/>
  <c r="BE63" i="22"/>
  <c r="U3025" i="22"/>
  <c r="AS58" i="22"/>
  <c r="BE58" i="22"/>
  <c r="U2971" i="22"/>
  <c r="AS57" i="22"/>
  <c r="BE57" i="22"/>
  <c r="AS56" i="22"/>
  <c r="BE56" i="22"/>
  <c r="U2917" i="22"/>
  <c r="U2863" i="22"/>
  <c r="AS55" i="22"/>
  <c r="BE55" i="22"/>
  <c r="S2809" i="22"/>
  <c r="AS54" i="22"/>
  <c r="BE54" i="22"/>
  <c r="U2539" i="22"/>
  <c r="AS49" i="22"/>
  <c r="BE49" i="22"/>
  <c r="U2485" i="22"/>
  <c r="AS48" i="22"/>
  <c r="BE48" i="22"/>
  <c r="U2107" i="22"/>
  <c r="AS41" i="22"/>
  <c r="BE41" i="22"/>
  <c r="U2053" i="22"/>
  <c r="AS40" i="22"/>
  <c r="BE40" i="22"/>
  <c r="U1999" i="22"/>
  <c r="AS39" i="22"/>
  <c r="BE39" i="22"/>
  <c r="U1729" i="22"/>
  <c r="AS34" i="22"/>
  <c r="BE34" i="22"/>
  <c r="U1243" i="22"/>
  <c r="AS25" i="22"/>
  <c r="BE25" i="22"/>
  <c r="H123" i="7"/>
  <c r="H61" i="7"/>
  <c r="U1189" i="22"/>
  <c r="AS24" i="22"/>
  <c r="BE24" i="22"/>
  <c r="H117" i="7"/>
  <c r="H55" i="7"/>
  <c r="U865" i="22"/>
  <c r="AS18" i="22"/>
  <c r="BE18" i="22"/>
  <c r="H116" i="7"/>
  <c r="H54" i="7"/>
  <c r="U811" i="22"/>
  <c r="AS17" i="22"/>
  <c r="BE17" i="22"/>
  <c r="H110" i="7"/>
  <c r="H48" i="7"/>
  <c r="U487" i="22"/>
  <c r="AS11" i="22"/>
  <c r="BE11" i="22"/>
  <c r="H104" i="7"/>
  <c r="H42" i="7"/>
  <c r="U163" i="22"/>
  <c r="AS5" i="22"/>
  <c r="BE5" i="22"/>
  <c r="AD1624" i="23"/>
  <c r="AG1624" i="23"/>
  <c r="AB1625" i="23"/>
  <c r="AC1625" i="23" s="1"/>
  <c r="O1625" i="23"/>
  <c r="M1625" i="23"/>
  <c r="N1625" i="23"/>
  <c r="AB1569" i="23"/>
  <c r="AC1569" i="23" s="1"/>
  <c r="O1569" i="23"/>
  <c r="M1569" i="23"/>
  <c r="N1569" i="23"/>
  <c r="AD1344" i="23"/>
  <c r="M1065" i="23"/>
  <c r="N1065" i="23"/>
  <c r="AB1065" i="23"/>
  <c r="AC1065" i="23" s="1"/>
  <c r="O1065" i="23"/>
  <c r="Y1065" i="23" s="1"/>
  <c r="AD896" i="23"/>
  <c r="AB673" i="23"/>
  <c r="AC673" i="23" s="1"/>
  <c r="O673" i="23"/>
  <c r="Y673" i="23" s="1"/>
  <c r="M673" i="23"/>
  <c r="N673" i="23"/>
  <c r="W673" i="23" s="1"/>
  <c r="AD448" i="23"/>
  <c r="AB449" i="23"/>
  <c r="O449" i="23"/>
  <c r="Y449" i="23" s="1"/>
  <c r="AC449" i="23"/>
  <c r="M449" i="23"/>
  <c r="N449" i="23"/>
  <c r="M4706" i="22"/>
  <c r="N4706" i="22"/>
  <c r="M3782" i="22"/>
  <c r="N3782" i="22"/>
  <c r="BR71" i="22"/>
  <c r="M3728" i="22"/>
  <c r="N3728" i="22"/>
  <c r="M3350" i="22"/>
  <c r="N3350" i="22"/>
  <c r="M3296" i="22"/>
  <c r="N3296" i="22"/>
  <c r="M3242" i="22"/>
  <c r="N3242" i="22"/>
  <c r="BR62" i="22"/>
  <c r="BR59" i="22"/>
  <c r="N3080" i="22"/>
  <c r="M3080" i="22"/>
  <c r="N2972" i="22"/>
  <c r="M2972" i="22"/>
  <c r="N2918" i="22"/>
  <c r="M2918" i="22"/>
  <c r="M2810" i="22"/>
  <c r="N2810" i="22"/>
  <c r="M2540" i="22"/>
  <c r="N2540" i="22"/>
  <c r="M2486" i="22"/>
  <c r="N2486" i="22"/>
  <c r="M2432" i="22"/>
  <c r="N2432" i="22"/>
  <c r="BR47" i="22"/>
  <c r="M2054" i="22"/>
  <c r="N2054" i="22"/>
  <c r="M1622" i="22"/>
  <c r="N1622" i="22"/>
  <c r="BR32" i="22"/>
  <c r="M1568" i="22"/>
  <c r="N1568" i="22"/>
  <c r="BR31" i="22"/>
  <c r="M1190" i="22"/>
  <c r="N1190" i="22"/>
  <c r="BR24" i="22"/>
  <c r="I92" i="7"/>
  <c r="M920" i="22"/>
  <c r="N920" i="22"/>
  <c r="BR19" i="22"/>
  <c r="I87" i="7"/>
  <c r="M218" i="22"/>
  <c r="N218" i="22"/>
  <c r="BR6" i="22"/>
  <c r="I74" i="7"/>
  <c r="M164" i="22"/>
  <c r="N164" i="22"/>
  <c r="BR5" i="22"/>
  <c r="I73" i="7"/>
  <c r="AD1121" i="23"/>
  <c r="H96" i="7"/>
  <c r="X1513" i="23"/>
  <c r="W1513" i="23"/>
  <c r="K1514" i="23"/>
  <c r="F1514" i="23"/>
  <c r="X1457" i="23"/>
  <c r="W1457" i="23"/>
  <c r="F1458" i="23"/>
  <c r="K1458" i="23"/>
  <c r="W1401" i="23"/>
  <c r="X1401" i="23"/>
  <c r="K1346" i="23"/>
  <c r="F1346" i="23"/>
  <c r="W1345" i="23"/>
  <c r="X1345" i="23"/>
  <c r="X1289" i="23"/>
  <c r="W1289" i="23"/>
  <c r="X1233" i="23"/>
  <c r="W1233" i="23"/>
  <c r="X1177" i="23"/>
  <c r="W1177" i="23"/>
  <c r="X1009" i="23"/>
  <c r="W1009" i="23"/>
  <c r="W953" i="23"/>
  <c r="X953" i="23"/>
  <c r="X897" i="23"/>
  <c r="W897" i="23"/>
  <c r="X841" i="23"/>
  <c r="W841" i="23"/>
  <c r="X785" i="23"/>
  <c r="W785" i="23"/>
  <c r="K730" i="23"/>
  <c r="F730" i="23"/>
  <c r="X729" i="23"/>
  <c r="W729" i="23"/>
  <c r="X617" i="23"/>
  <c r="W617" i="23"/>
  <c r="X561" i="23"/>
  <c r="W561" i="23"/>
  <c r="K562" i="23"/>
  <c r="F562" i="23"/>
  <c r="W505" i="23"/>
  <c r="X505" i="23"/>
  <c r="X393" i="23"/>
  <c r="W393" i="23"/>
  <c r="X337" i="23"/>
  <c r="W337" i="23"/>
  <c r="X281" i="23"/>
  <c r="W281" i="23"/>
  <c r="P100" i="12"/>
  <c r="D4653" i="22"/>
  <c r="F4653" i="22"/>
  <c r="O4653" i="22" s="1"/>
  <c r="K4599" i="22"/>
  <c r="F4599" i="22"/>
  <c r="BS72" i="22"/>
  <c r="K3675" i="22"/>
  <c r="F3675" i="22"/>
  <c r="O3675" i="22" s="1"/>
  <c r="BS69" i="22"/>
  <c r="K3567" i="22"/>
  <c r="F3567" i="22"/>
  <c r="O3567" i="22" s="1"/>
  <c r="BS67" i="22"/>
  <c r="BS66" i="22"/>
  <c r="BS65" i="22"/>
  <c r="BS64" i="22"/>
  <c r="BS63" i="22"/>
  <c r="K3135" i="22"/>
  <c r="F3135" i="22"/>
  <c r="O3135" i="22" s="1"/>
  <c r="K3081" i="22"/>
  <c r="F3081" i="22"/>
  <c r="O3081" i="22" s="1"/>
  <c r="BS59" i="22" s="1"/>
  <c r="BS58" i="22"/>
  <c r="K2973" i="22"/>
  <c r="F2973" i="22"/>
  <c r="O2973" i="22" s="1"/>
  <c r="F2919" i="22"/>
  <c r="O2919" i="22" s="1"/>
  <c r="K2919" i="22"/>
  <c r="K2865" i="22"/>
  <c r="F2865" i="22"/>
  <c r="O2865" i="22" s="1"/>
  <c r="K2811" i="22"/>
  <c r="F2811" i="22"/>
  <c r="O2811" i="22" s="1"/>
  <c r="BS54" i="22" s="1"/>
  <c r="BS52" i="22"/>
  <c r="BS51" i="22"/>
  <c r="K2595" i="22"/>
  <c r="F2595" i="22"/>
  <c r="O2595" i="22" s="1"/>
  <c r="F2541" i="22"/>
  <c r="O2541" i="22" s="1"/>
  <c r="BS49" i="22" s="1"/>
  <c r="K2541" i="22"/>
  <c r="K2487" i="22"/>
  <c r="F2487" i="22"/>
  <c r="O2487" i="22" s="1"/>
  <c r="BS48" i="22" s="1"/>
  <c r="F2433" i="22"/>
  <c r="O2433" i="22" s="1"/>
  <c r="K2433" i="22"/>
  <c r="BS45" i="22"/>
  <c r="BS44" i="22"/>
  <c r="BS43" i="22"/>
  <c r="K2163" i="22"/>
  <c r="F2163" i="22"/>
  <c r="O2163" i="22" s="1"/>
  <c r="BS41" i="22"/>
  <c r="BS39" i="22"/>
  <c r="BS38" i="22"/>
  <c r="BS37" i="22"/>
  <c r="BS36" i="22"/>
  <c r="BS35" i="22"/>
  <c r="BS34" i="22"/>
  <c r="K1677" i="22"/>
  <c r="F1677" i="22"/>
  <c r="O1677" i="22" s="1"/>
  <c r="BS30" i="22"/>
  <c r="BS29" i="22"/>
  <c r="BS28" i="22"/>
  <c r="BS27" i="22"/>
  <c r="F1299" i="22"/>
  <c r="O1299" i="22" s="1"/>
  <c r="K1299" i="22"/>
  <c r="BS25" i="22"/>
  <c r="K1029" i="22"/>
  <c r="F1029" i="22"/>
  <c r="O1029" i="22" s="1"/>
  <c r="F975" i="22"/>
  <c r="O975" i="22" s="1"/>
  <c r="K975" i="22"/>
  <c r="F921" i="22"/>
  <c r="O921" i="22" s="1"/>
  <c r="K921" i="22"/>
  <c r="F543" i="22"/>
  <c r="O543" i="22" s="1"/>
  <c r="K543" i="22"/>
  <c r="F435" i="22"/>
  <c r="O435" i="22" s="1"/>
  <c r="K435" i="22"/>
  <c r="BS7" i="22"/>
  <c r="K219" i="22"/>
  <c r="F219" i="22"/>
  <c r="O219" i="22" s="1"/>
  <c r="F165" i="22"/>
  <c r="O165" i="22" s="1"/>
  <c r="K165" i="22"/>
  <c r="BB49" i="17"/>
  <c r="K49" i="17"/>
  <c r="F49" i="17"/>
  <c r="C49" i="18" s="1"/>
  <c r="E49" i="18" s="1"/>
  <c r="BR54" i="22"/>
  <c r="BR49" i="22"/>
  <c r="BR48" i="22"/>
  <c r="BR40" i="22"/>
  <c r="I96" i="7" l="1"/>
  <c r="K4192" i="22"/>
  <c r="F4192" i="22"/>
  <c r="O4192" i="22" s="1"/>
  <c r="K2974" i="22"/>
  <c r="F2974" i="22"/>
  <c r="O2974" i="22" s="1"/>
  <c r="BT57" i="22" s="1"/>
  <c r="K2380" i="22"/>
  <c r="F2380" i="22"/>
  <c r="O2380" i="22" s="1"/>
  <c r="K2002" i="22"/>
  <c r="F2002" i="22"/>
  <c r="O2002" i="22" s="1"/>
  <c r="K1732" i="22"/>
  <c r="F1732" i="22"/>
  <c r="O1732" i="22" s="1"/>
  <c r="BT34" i="22" s="1"/>
  <c r="K1192" i="22"/>
  <c r="F1192" i="22"/>
  <c r="O1192" i="22" s="1"/>
  <c r="K922" i="22"/>
  <c r="F922" i="22"/>
  <c r="O922" i="22" s="1"/>
  <c r="Y1626" i="23"/>
  <c r="J106" i="8"/>
  <c r="M1627" i="23"/>
  <c r="J1627" i="23"/>
  <c r="N1627" i="23" s="1"/>
  <c r="D1627" i="23"/>
  <c r="O1627" i="23"/>
  <c r="AB1627" i="23"/>
  <c r="AC1627" i="23"/>
  <c r="P1627" i="23"/>
  <c r="Q1627" i="23"/>
  <c r="R1627" i="23"/>
  <c r="AF1627" i="23"/>
  <c r="I1628" i="23"/>
  <c r="L1628" i="23"/>
  <c r="C1628" i="23"/>
  <c r="K1628" i="23" s="1"/>
  <c r="E1628" i="23"/>
  <c r="F1628" i="23"/>
  <c r="G1628" i="23"/>
  <c r="B1629" i="23"/>
  <c r="M1571" i="23"/>
  <c r="J1571" i="23"/>
  <c r="N1571" i="23" s="1"/>
  <c r="D1571" i="23"/>
  <c r="O1571" i="23"/>
  <c r="AB1571" i="23"/>
  <c r="AC1571" i="23"/>
  <c r="P1571" i="23"/>
  <c r="Q1571" i="23"/>
  <c r="R1571" i="23"/>
  <c r="AF1571" i="23"/>
  <c r="L1572" i="23"/>
  <c r="I1572" i="23"/>
  <c r="C1572" i="23"/>
  <c r="K1572" i="23" s="1"/>
  <c r="E1572" i="23"/>
  <c r="F1572" i="23"/>
  <c r="G1572" i="23"/>
  <c r="B1573" i="23"/>
  <c r="M1515" i="23"/>
  <c r="J1515" i="23"/>
  <c r="N1515" i="23" s="1"/>
  <c r="D1515" i="23"/>
  <c r="O1515" i="23"/>
  <c r="AB1515" i="23"/>
  <c r="AC1515" i="23"/>
  <c r="P1515" i="23"/>
  <c r="Q1515" i="23"/>
  <c r="R1515" i="23"/>
  <c r="AF1515" i="23"/>
  <c r="L1516" i="23"/>
  <c r="I1516" i="23"/>
  <c r="C1516" i="23"/>
  <c r="E1516" i="23"/>
  <c r="G1516" i="23"/>
  <c r="B1517" i="23"/>
  <c r="M1459" i="23"/>
  <c r="J1459" i="23"/>
  <c r="N1459" i="23" s="1"/>
  <c r="D1459" i="23"/>
  <c r="O1459" i="23"/>
  <c r="AB1459" i="23"/>
  <c r="AC1459" i="23" s="1"/>
  <c r="P1459" i="23"/>
  <c r="Q1459" i="23"/>
  <c r="R1459" i="23"/>
  <c r="AF1459" i="23"/>
  <c r="L1460" i="23"/>
  <c r="I1460" i="23"/>
  <c r="C1460" i="23"/>
  <c r="E1460" i="23"/>
  <c r="G1460" i="23"/>
  <c r="B1461" i="23"/>
  <c r="J1403" i="23"/>
  <c r="D1403" i="23"/>
  <c r="P1403" i="23"/>
  <c r="Q1403" i="23"/>
  <c r="R1403" i="23"/>
  <c r="AF1403" i="23"/>
  <c r="L1404" i="23"/>
  <c r="I1404" i="23"/>
  <c r="C1404" i="23"/>
  <c r="E1404" i="23"/>
  <c r="G1404" i="23"/>
  <c r="B1405" i="23"/>
  <c r="P1347" i="23"/>
  <c r="Q1347" i="23"/>
  <c r="R1347" i="23"/>
  <c r="AF1347" i="23"/>
  <c r="L1348" i="23"/>
  <c r="I1348" i="23"/>
  <c r="E1348" i="23"/>
  <c r="G1348" i="23"/>
  <c r="C1348" i="23"/>
  <c r="B1349" i="23"/>
  <c r="J1347" i="23"/>
  <c r="D1347" i="23"/>
  <c r="J1291" i="23"/>
  <c r="D1291" i="23"/>
  <c r="P1291" i="23"/>
  <c r="Q1291" i="23"/>
  <c r="R1291" i="23"/>
  <c r="AF1291" i="23"/>
  <c r="L1292" i="23"/>
  <c r="I1292" i="23"/>
  <c r="C1292" i="23"/>
  <c r="K1292" i="23" s="1"/>
  <c r="E1292" i="23"/>
  <c r="F1292" i="23"/>
  <c r="G1292" i="23"/>
  <c r="B1293" i="23"/>
  <c r="M1235" i="23"/>
  <c r="J1235" i="23"/>
  <c r="N1235" i="23" s="1"/>
  <c r="D1235" i="23"/>
  <c r="O1235" i="23"/>
  <c r="Y1235" i="23" s="1"/>
  <c r="AB1235" i="23"/>
  <c r="AC1235" i="23"/>
  <c r="P1235" i="23"/>
  <c r="Q1235" i="23"/>
  <c r="R1235" i="23"/>
  <c r="AF1235" i="23"/>
  <c r="L1236" i="23"/>
  <c r="I1236" i="23"/>
  <c r="C1236" i="23"/>
  <c r="K1236" i="23" s="1"/>
  <c r="E1236" i="23"/>
  <c r="F1236" i="23"/>
  <c r="G1236" i="23"/>
  <c r="B1237" i="23"/>
  <c r="M1179" i="23"/>
  <c r="J1179" i="23"/>
  <c r="N1179" i="23" s="1"/>
  <c r="D1179" i="23"/>
  <c r="O1179" i="23"/>
  <c r="Y1179" i="23" s="1"/>
  <c r="AB1179" i="23"/>
  <c r="AC1179" i="23"/>
  <c r="P1179" i="23"/>
  <c r="Q1179" i="23"/>
  <c r="R1179" i="23"/>
  <c r="AF1179" i="23"/>
  <c r="L1180" i="23"/>
  <c r="I1180" i="23"/>
  <c r="C1180" i="23"/>
  <c r="K1180" i="23" s="1"/>
  <c r="E1180" i="23"/>
  <c r="F1180" i="23"/>
  <c r="G1180" i="23"/>
  <c r="B1181" i="23"/>
  <c r="M1123" i="23"/>
  <c r="J1123" i="23"/>
  <c r="N1123" i="23" s="1"/>
  <c r="D1123" i="23"/>
  <c r="O1123" i="23"/>
  <c r="Y1123" i="23" s="1"/>
  <c r="AB1123" i="23"/>
  <c r="AC1123" i="23"/>
  <c r="P1123" i="23"/>
  <c r="Q1123" i="23"/>
  <c r="R1123" i="23"/>
  <c r="AF1123" i="23"/>
  <c r="L1124" i="23"/>
  <c r="I1124" i="23"/>
  <c r="C1124" i="23"/>
  <c r="K1124" i="23" s="1"/>
  <c r="E1124" i="23"/>
  <c r="F1124" i="23"/>
  <c r="G1124" i="23"/>
  <c r="B1125" i="23"/>
  <c r="M1067" i="23"/>
  <c r="J1067" i="23"/>
  <c r="N1067" i="23" s="1"/>
  <c r="D1067" i="23"/>
  <c r="O1067" i="23"/>
  <c r="Y1067" i="23" s="1"/>
  <c r="AB1067" i="23"/>
  <c r="AC1067" i="23"/>
  <c r="P1067" i="23"/>
  <c r="Q1067" i="23"/>
  <c r="R1067" i="23"/>
  <c r="AF1067" i="23"/>
  <c r="L1068" i="23"/>
  <c r="I1068" i="23"/>
  <c r="C1068" i="23"/>
  <c r="K1068" i="23" s="1"/>
  <c r="E1068" i="23"/>
  <c r="F1068" i="23"/>
  <c r="G1068" i="23"/>
  <c r="B1069" i="23"/>
  <c r="M1011" i="23"/>
  <c r="J1011" i="23"/>
  <c r="N1011" i="23" s="1"/>
  <c r="D1011" i="23"/>
  <c r="O1011" i="23"/>
  <c r="Y1011" i="23" s="1"/>
  <c r="AB1011" i="23"/>
  <c r="AC1011" i="23"/>
  <c r="P1011" i="23"/>
  <c r="Q1011" i="23"/>
  <c r="R1011" i="23"/>
  <c r="AF1011" i="23"/>
  <c r="L1012" i="23"/>
  <c r="I1012" i="23"/>
  <c r="C1012" i="23"/>
  <c r="E1012" i="23"/>
  <c r="G1012" i="23"/>
  <c r="B1013" i="23"/>
  <c r="M955" i="23"/>
  <c r="J955" i="23"/>
  <c r="N955" i="23" s="1"/>
  <c r="D955" i="23"/>
  <c r="O955" i="23"/>
  <c r="Y955" i="23" s="1"/>
  <c r="AB955" i="23"/>
  <c r="AC955" i="23"/>
  <c r="P955" i="23"/>
  <c r="Q955" i="23"/>
  <c r="R955" i="23"/>
  <c r="AF955" i="23"/>
  <c r="L956" i="23"/>
  <c r="I956" i="23"/>
  <c r="C956" i="23"/>
  <c r="E956" i="23"/>
  <c r="G956" i="23"/>
  <c r="B957" i="23"/>
  <c r="J899" i="23"/>
  <c r="D899" i="23"/>
  <c r="P899" i="23"/>
  <c r="Q899" i="23"/>
  <c r="R899" i="23"/>
  <c r="AF899" i="23"/>
  <c r="L900" i="23"/>
  <c r="I900" i="23"/>
  <c r="C900" i="23"/>
  <c r="K900" i="23" s="1"/>
  <c r="E900" i="23"/>
  <c r="F900" i="23"/>
  <c r="G900" i="23"/>
  <c r="B901" i="23"/>
  <c r="M843" i="23"/>
  <c r="J843" i="23"/>
  <c r="N843" i="23" s="1"/>
  <c r="D843" i="23"/>
  <c r="O843" i="23"/>
  <c r="Y843" i="23" s="1"/>
  <c r="AB843" i="23"/>
  <c r="AC843" i="23"/>
  <c r="P843" i="23"/>
  <c r="Q843" i="23"/>
  <c r="R843" i="23"/>
  <c r="AF843" i="23"/>
  <c r="L844" i="23"/>
  <c r="I844" i="23"/>
  <c r="C844" i="23"/>
  <c r="K844" i="23" s="1"/>
  <c r="E844" i="23"/>
  <c r="F844" i="23"/>
  <c r="G844" i="23"/>
  <c r="B845" i="23"/>
  <c r="M787" i="23"/>
  <c r="J787" i="23"/>
  <c r="N787" i="23" s="1"/>
  <c r="D787" i="23"/>
  <c r="O787" i="23"/>
  <c r="Y787" i="23" s="1"/>
  <c r="AB787" i="23"/>
  <c r="AC787" i="23"/>
  <c r="P787" i="23"/>
  <c r="Q787" i="23"/>
  <c r="R787" i="23"/>
  <c r="AF787" i="23"/>
  <c r="L788" i="23"/>
  <c r="I788" i="23"/>
  <c r="C788" i="23"/>
  <c r="K788" i="23" s="1"/>
  <c r="E788" i="23"/>
  <c r="F788" i="23"/>
  <c r="G788" i="23"/>
  <c r="B789" i="23"/>
  <c r="P731" i="23"/>
  <c r="R731" i="23"/>
  <c r="Q731" i="23"/>
  <c r="AF731" i="23"/>
  <c r="J731" i="23"/>
  <c r="D731" i="23"/>
  <c r="L732" i="23"/>
  <c r="I732" i="23"/>
  <c r="C732" i="23"/>
  <c r="K732" i="23" s="1"/>
  <c r="E732" i="23"/>
  <c r="F732" i="23"/>
  <c r="G732" i="23"/>
  <c r="B733" i="23"/>
  <c r="J675" i="23"/>
  <c r="D675" i="23"/>
  <c r="P675" i="23"/>
  <c r="Q675" i="23"/>
  <c r="R675" i="23"/>
  <c r="AF675" i="23"/>
  <c r="L676" i="23"/>
  <c r="I676" i="23"/>
  <c r="C676" i="23"/>
  <c r="K676" i="23" s="1"/>
  <c r="E676" i="23"/>
  <c r="F676" i="23"/>
  <c r="G676" i="23"/>
  <c r="B677" i="23"/>
  <c r="J619" i="23"/>
  <c r="D619" i="23"/>
  <c r="P619" i="23"/>
  <c r="Q619" i="23"/>
  <c r="R619" i="23"/>
  <c r="AF619" i="23"/>
  <c r="L620" i="23"/>
  <c r="I620" i="23"/>
  <c r="C620" i="23"/>
  <c r="K620" i="23" s="1"/>
  <c r="E620" i="23"/>
  <c r="F620" i="23"/>
  <c r="G620" i="23"/>
  <c r="B621" i="23"/>
  <c r="M563" i="23"/>
  <c r="J563" i="23"/>
  <c r="N563" i="23" s="1"/>
  <c r="D563" i="23"/>
  <c r="O563" i="23"/>
  <c r="Y563" i="23" s="1"/>
  <c r="AB563" i="23"/>
  <c r="AC563" i="23" s="1"/>
  <c r="P563" i="23"/>
  <c r="Q563" i="23"/>
  <c r="R563" i="23"/>
  <c r="AF563" i="23"/>
  <c r="L564" i="23"/>
  <c r="I564" i="23"/>
  <c r="C564" i="23"/>
  <c r="E564" i="23"/>
  <c r="G564" i="23"/>
  <c r="B565" i="23"/>
  <c r="M507" i="23"/>
  <c r="J507" i="23"/>
  <c r="N507" i="23" s="1"/>
  <c r="D507" i="23"/>
  <c r="O507" i="23"/>
  <c r="Y507" i="23" s="1"/>
  <c r="AB507" i="23"/>
  <c r="AC507" i="23"/>
  <c r="P507" i="23"/>
  <c r="Q507" i="23"/>
  <c r="R507" i="23"/>
  <c r="AF507" i="23"/>
  <c r="L508" i="23"/>
  <c r="I508" i="23"/>
  <c r="C508" i="23"/>
  <c r="K508" i="23" s="1"/>
  <c r="E508" i="23"/>
  <c r="F508" i="23"/>
  <c r="G508" i="23"/>
  <c r="B509" i="23"/>
  <c r="P451" i="23"/>
  <c r="Q451" i="23"/>
  <c r="R451" i="23"/>
  <c r="AF451" i="23"/>
  <c r="L452" i="23"/>
  <c r="I452" i="23"/>
  <c r="E452" i="23"/>
  <c r="B453" i="23"/>
  <c r="C452" i="23"/>
  <c r="G452" i="23"/>
  <c r="J451" i="23"/>
  <c r="D451" i="23"/>
  <c r="M395" i="23"/>
  <c r="J395" i="23"/>
  <c r="N395" i="23" s="1"/>
  <c r="D395" i="23"/>
  <c r="O395" i="23"/>
  <c r="Y395" i="23" s="1"/>
  <c r="AB395" i="23"/>
  <c r="AC395" i="23" s="1"/>
  <c r="P395" i="23"/>
  <c r="Q395" i="23"/>
  <c r="R395" i="23"/>
  <c r="AF395" i="23"/>
  <c r="L396" i="23"/>
  <c r="I396" i="23"/>
  <c r="C396" i="23"/>
  <c r="K396" i="23" s="1"/>
  <c r="E396" i="23"/>
  <c r="F396" i="23"/>
  <c r="G396" i="23"/>
  <c r="B397" i="23"/>
  <c r="M339" i="23"/>
  <c r="J339" i="23"/>
  <c r="N339" i="23" s="1"/>
  <c r="D339" i="23"/>
  <c r="O339" i="23"/>
  <c r="Y339" i="23" s="1"/>
  <c r="AB339" i="23"/>
  <c r="AC339" i="23"/>
  <c r="P339" i="23"/>
  <c r="Q339" i="23"/>
  <c r="R339" i="23"/>
  <c r="AF339" i="23"/>
  <c r="L340" i="23"/>
  <c r="I340" i="23"/>
  <c r="C340" i="23"/>
  <c r="E340" i="23"/>
  <c r="G340" i="23"/>
  <c r="B341" i="23"/>
  <c r="M283" i="23"/>
  <c r="J283" i="23"/>
  <c r="N283" i="23" s="1"/>
  <c r="D283" i="23"/>
  <c r="O283" i="23"/>
  <c r="Y283" i="23" s="1"/>
  <c r="AB283" i="23"/>
  <c r="AC283" i="23"/>
  <c r="P283" i="23"/>
  <c r="Q283" i="23"/>
  <c r="R283" i="23"/>
  <c r="AF283" i="23"/>
  <c r="L284" i="23"/>
  <c r="I284" i="23"/>
  <c r="C284" i="23"/>
  <c r="E284" i="23"/>
  <c r="G284" i="23"/>
  <c r="B285" i="23"/>
  <c r="D4762" i="22"/>
  <c r="J4762" i="22"/>
  <c r="N4762" i="22" s="1"/>
  <c r="P4762" i="22"/>
  <c r="Q4762" i="22"/>
  <c r="R4762" i="22"/>
  <c r="M4762" i="22"/>
  <c r="C4763" i="22"/>
  <c r="K4763" i="22" s="1"/>
  <c r="E4763" i="22"/>
  <c r="F4763" i="22"/>
  <c r="G4763" i="22"/>
  <c r="I4763" i="22"/>
  <c r="L4763" i="22"/>
  <c r="B4764" i="22"/>
  <c r="S4707" i="22"/>
  <c r="U4707" i="22"/>
  <c r="D4708" i="22"/>
  <c r="J4708" i="22"/>
  <c r="P4708" i="22"/>
  <c r="Q4708" i="22"/>
  <c r="R4708" i="22"/>
  <c r="L4709" i="22"/>
  <c r="C4709" i="22"/>
  <c r="K4709" i="22" s="1"/>
  <c r="E4709" i="22"/>
  <c r="F4709" i="22"/>
  <c r="G4709" i="22"/>
  <c r="I4709" i="22"/>
  <c r="B4710" i="22"/>
  <c r="P4654" i="22"/>
  <c r="Q4654" i="22"/>
  <c r="R4654" i="22"/>
  <c r="C4655" i="22"/>
  <c r="E4655" i="22"/>
  <c r="G4655" i="22"/>
  <c r="B4656" i="22"/>
  <c r="M4600" i="22"/>
  <c r="J4600" i="22"/>
  <c r="N4600" i="22" s="1"/>
  <c r="D4600" i="22"/>
  <c r="P4600" i="22"/>
  <c r="Q4600" i="22"/>
  <c r="R4600" i="22"/>
  <c r="I4601" i="22"/>
  <c r="L4601" i="22"/>
  <c r="C4601" i="22"/>
  <c r="K4601" i="22" s="1"/>
  <c r="E4601" i="22"/>
  <c r="F4601" i="22"/>
  <c r="G4601" i="22"/>
  <c r="B4602" i="22"/>
  <c r="D4546" i="22"/>
  <c r="J4546" i="22"/>
  <c r="P4546" i="22"/>
  <c r="Q4546" i="22"/>
  <c r="R4546" i="22"/>
  <c r="L4547" i="22"/>
  <c r="C4547" i="22"/>
  <c r="E4547" i="22"/>
  <c r="G4547" i="22"/>
  <c r="I4547" i="22"/>
  <c r="B4548" i="22"/>
  <c r="D4246" i="22"/>
  <c r="J4246" i="22"/>
  <c r="N4246" i="22" s="1"/>
  <c r="U4246" i="22" s="1"/>
  <c r="P4246" i="22"/>
  <c r="Q4246" i="22"/>
  <c r="R4246" i="22"/>
  <c r="M4246" i="22"/>
  <c r="C4247" i="22"/>
  <c r="F4247" i="22" s="1"/>
  <c r="O4247" i="22" s="1"/>
  <c r="E4247" i="22"/>
  <c r="G4247" i="22"/>
  <c r="I4247" i="22"/>
  <c r="K4247" i="22"/>
  <c r="L4247" i="22"/>
  <c r="B4248" i="22"/>
  <c r="M4192" i="22"/>
  <c r="D4192" i="22"/>
  <c r="J4192" i="22"/>
  <c r="N4192" i="22" s="1"/>
  <c r="U4192" i="22" s="1"/>
  <c r="P4192" i="22"/>
  <c r="Q4192" i="22"/>
  <c r="R4192" i="22"/>
  <c r="L4193" i="22"/>
  <c r="C4193" i="22"/>
  <c r="K4193" i="22" s="1"/>
  <c r="E4193" i="22"/>
  <c r="F4193" i="22"/>
  <c r="O4193" i="22" s="1"/>
  <c r="G4193" i="22"/>
  <c r="I4193" i="22"/>
  <c r="B4194" i="22"/>
  <c r="M4138" i="22"/>
  <c r="D4138" i="22"/>
  <c r="J4138" i="22"/>
  <c r="N4138" i="22" s="1"/>
  <c r="U4138" i="22" s="1"/>
  <c r="P4138" i="22"/>
  <c r="Q4138" i="22"/>
  <c r="R4138" i="22"/>
  <c r="L4139" i="22"/>
  <c r="C4139" i="22"/>
  <c r="K4139" i="22" s="1"/>
  <c r="E4139" i="22"/>
  <c r="F4139" i="22"/>
  <c r="O4139" i="22" s="1"/>
  <c r="G4139" i="22"/>
  <c r="I4139" i="22"/>
  <c r="B4140" i="22"/>
  <c r="M4084" i="22"/>
  <c r="D4084" i="22"/>
  <c r="J4084" i="22"/>
  <c r="N4084" i="22" s="1"/>
  <c r="U4084" i="22" s="1"/>
  <c r="P4084" i="22"/>
  <c r="Q4084" i="22"/>
  <c r="R4084" i="22"/>
  <c r="L4085" i="22"/>
  <c r="C4085" i="22"/>
  <c r="K4085" i="22" s="1"/>
  <c r="E4085" i="22"/>
  <c r="F4085" i="22"/>
  <c r="O4085" i="22" s="1"/>
  <c r="G4085" i="22"/>
  <c r="I4085" i="22"/>
  <c r="B4086" i="22"/>
  <c r="U3783" i="22"/>
  <c r="AU72" i="22"/>
  <c r="BG72" i="22"/>
  <c r="D3784" i="22"/>
  <c r="J3784" i="22"/>
  <c r="P3784" i="22"/>
  <c r="Q3784" i="22"/>
  <c r="R3784" i="22"/>
  <c r="L3785" i="22"/>
  <c r="C3785" i="22"/>
  <c r="K3785" i="22" s="1"/>
  <c r="E3785" i="22"/>
  <c r="F3785" i="22"/>
  <c r="O3785" i="22" s="1"/>
  <c r="BU72" i="22" s="1"/>
  <c r="G3785" i="22"/>
  <c r="I3785" i="22"/>
  <c r="B3786" i="22"/>
  <c r="U3729" i="22"/>
  <c r="AU71" i="22"/>
  <c r="BG71" i="22"/>
  <c r="M3730" i="22"/>
  <c r="D3730" i="22"/>
  <c r="J3730" i="22"/>
  <c r="N3730" i="22" s="1"/>
  <c r="P3730" i="22"/>
  <c r="Q3730" i="22"/>
  <c r="R3730" i="22"/>
  <c r="L3731" i="22"/>
  <c r="C3731" i="22"/>
  <c r="K3731" i="22" s="1"/>
  <c r="E3731" i="22"/>
  <c r="F3731" i="22"/>
  <c r="O3731" i="22" s="1"/>
  <c r="G3731" i="22"/>
  <c r="I3731" i="22"/>
  <c r="B3732" i="22"/>
  <c r="D3676" i="22"/>
  <c r="J3676" i="22"/>
  <c r="P3676" i="22"/>
  <c r="Q3676" i="22"/>
  <c r="R3676" i="22"/>
  <c r="L3677" i="22"/>
  <c r="C3677" i="22"/>
  <c r="E3677" i="22"/>
  <c r="G3677" i="22"/>
  <c r="I3677" i="22"/>
  <c r="B3678" i="22"/>
  <c r="U3621" i="22"/>
  <c r="AU69" i="22"/>
  <c r="BG69" i="22"/>
  <c r="D3622" i="22"/>
  <c r="J3622" i="22"/>
  <c r="P3622" i="22"/>
  <c r="Q3622" i="22"/>
  <c r="R3622" i="22"/>
  <c r="L3623" i="22"/>
  <c r="C3623" i="22"/>
  <c r="K3623" i="22" s="1"/>
  <c r="E3623" i="22"/>
  <c r="F3623" i="22"/>
  <c r="O3623" i="22" s="1"/>
  <c r="BU69" i="22" s="1"/>
  <c r="G3623" i="22"/>
  <c r="I3623" i="22"/>
  <c r="B3624" i="22"/>
  <c r="J3568" i="22"/>
  <c r="D3568" i="22"/>
  <c r="P3568" i="22"/>
  <c r="Q3568" i="22"/>
  <c r="R3568" i="22"/>
  <c r="L3569" i="22"/>
  <c r="B3570" i="22"/>
  <c r="C3569" i="22"/>
  <c r="E3569" i="22"/>
  <c r="G3569" i="22"/>
  <c r="I3569" i="22"/>
  <c r="U3513" i="22"/>
  <c r="AU67" i="22"/>
  <c r="BG67" i="22"/>
  <c r="D3514" i="22"/>
  <c r="J3514" i="22"/>
  <c r="P3514" i="22"/>
  <c r="Q3514" i="22"/>
  <c r="R3514" i="22"/>
  <c r="L3515" i="22"/>
  <c r="C3515" i="22"/>
  <c r="K3515" i="22" s="1"/>
  <c r="E3515" i="22"/>
  <c r="F3515" i="22"/>
  <c r="O3515" i="22" s="1"/>
  <c r="BU67" i="22" s="1"/>
  <c r="G3515" i="22"/>
  <c r="I3515" i="22"/>
  <c r="B3516" i="22"/>
  <c r="U3459" i="22"/>
  <c r="AU66" i="22"/>
  <c r="BG66" i="22"/>
  <c r="D3460" i="22"/>
  <c r="J3460" i="22"/>
  <c r="P3460" i="22"/>
  <c r="Q3460" i="22"/>
  <c r="R3460" i="22"/>
  <c r="L3461" i="22"/>
  <c r="C3461" i="22"/>
  <c r="K3461" i="22" s="1"/>
  <c r="E3461" i="22"/>
  <c r="F3461" i="22"/>
  <c r="O3461" i="22" s="1"/>
  <c r="BU66" i="22" s="1"/>
  <c r="G3461" i="22"/>
  <c r="I3461" i="22"/>
  <c r="B3462" i="22"/>
  <c r="U3405" i="22"/>
  <c r="AU65" i="22"/>
  <c r="BG65" i="22"/>
  <c r="M3406" i="22"/>
  <c r="D3406" i="22"/>
  <c r="J3406" i="22"/>
  <c r="N3406" i="22" s="1"/>
  <c r="P3406" i="22"/>
  <c r="Q3406" i="22"/>
  <c r="R3406" i="22"/>
  <c r="L3407" i="22"/>
  <c r="C3407" i="22"/>
  <c r="K3407" i="22" s="1"/>
  <c r="E3407" i="22"/>
  <c r="F3407" i="22"/>
  <c r="O3407" i="22" s="1"/>
  <c r="G3407" i="22"/>
  <c r="I3407" i="22"/>
  <c r="B3408" i="22"/>
  <c r="U3351" i="22"/>
  <c r="AU64" i="22"/>
  <c r="BG64" i="22"/>
  <c r="D3352" i="22"/>
  <c r="J3352" i="22"/>
  <c r="P3352" i="22"/>
  <c r="Q3352" i="22"/>
  <c r="R3352" i="22"/>
  <c r="L3353" i="22"/>
  <c r="C3353" i="22"/>
  <c r="E3353" i="22"/>
  <c r="G3353" i="22"/>
  <c r="I3353" i="22"/>
  <c r="B3354" i="22"/>
  <c r="U3297" i="22"/>
  <c r="AU63" i="22"/>
  <c r="BG63" i="22"/>
  <c r="D3298" i="22"/>
  <c r="J3298" i="22"/>
  <c r="P3298" i="22"/>
  <c r="Q3298" i="22"/>
  <c r="R3298" i="22"/>
  <c r="L3299" i="22"/>
  <c r="C3299" i="22"/>
  <c r="E3299" i="22"/>
  <c r="G3299" i="22"/>
  <c r="I3299" i="22"/>
  <c r="B3300" i="22"/>
  <c r="U3243" i="22"/>
  <c r="AU62" i="22"/>
  <c r="BG62" i="22"/>
  <c r="M3244" i="22"/>
  <c r="D3244" i="22"/>
  <c r="J3244" i="22"/>
  <c r="N3244" i="22" s="1"/>
  <c r="P3244" i="22"/>
  <c r="Q3244" i="22"/>
  <c r="R3244" i="22"/>
  <c r="L3245" i="22"/>
  <c r="C3245" i="22"/>
  <c r="E3245" i="22"/>
  <c r="G3245" i="22"/>
  <c r="I3245" i="22"/>
  <c r="B3246" i="22"/>
  <c r="U3189" i="22"/>
  <c r="AU61" i="22"/>
  <c r="BG61" i="22"/>
  <c r="D3190" i="22"/>
  <c r="J3190" i="22"/>
  <c r="P3190" i="22"/>
  <c r="Q3190" i="22"/>
  <c r="R3190" i="22"/>
  <c r="L3191" i="22"/>
  <c r="C3191" i="22"/>
  <c r="E3191" i="22"/>
  <c r="G3191" i="22"/>
  <c r="I3191" i="22"/>
  <c r="B3192" i="22"/>
  <c r="P3136" i="22"/>
  <c r="Q3136" i="22"/>
  <c r="R3136" i="22"/>
  <c r="J3136" i="22"/>
  <c r="D3136" i="22"/>
  <c r="L3137" i="22"/>
  <c r="G3137" i="22"/>
  <c r="B3138" i="22"/>
  <c r="C3137" i="22"/>
  <c r="E3137" i="22"/>
  <c r="I3137" i="22"/>
  <c r="L3083" i="22"/>
  <c r="G3083" i="22"/>
  <c r="B3084" i="22"/>
  <c r="I3083" i="22"/>
  <c r="C3083" i="22"/>
  <c r="K3083" i="22" s="1"/>
  <c r="E3083" i="22"/>
  <c r="F3083" i="22"/>
  <c r="O3083" i="22" s="1"/>
  <c r="BU59" i="22" s="1"/>
  <c r="D3082" i="22"/>
  <c r="J3082" i="22"/>
  <c r="P3082" i="22"/>
  <c r="Q3082" i="22"/>
  <c r="R3082" i="22"/>
  <c r="U3027" i="22"/>
  <c r="AU58" i="22"/>
  <c r="BG58" i="22"/>
  <c r="M3028" i="22"/>
  <c r="D3028" i="22"/>
  <c r="J3028" i="22"/>
  <c r="N3028" i="22" s="1"/>
  <c r="P3028" i="22"/>
  <c r="Q3028" i="22"/>
  <c r="R3028" i="22"/>
  <c r="L3029" i="22"/>
  <c r="C3029" i="22"/>
  <c r="K3029" i="22" s="1"/>
  <c r="E3029" i="22"/>
  <c r="F3029" i="22"/>
  <c r="O3029" i="22" s="1"/>
  <c r="BU58" i="22" s="1"/>
  <c r="G3029" i="22"/>
  <c r="B3030" i="22"/>
  <c r="I3029" i="22"/>
  <c r="M2974" i="22"/>
  <c r="P2974" i="22"/>
  <c r="Q2974" i="22"/>
  <c r="R2974" i="22"/>
  <c r="D2974" i="22"/>
  <c r="J2974" i="22"/>
  <c r="N2974" i="22" s="1"/>
  <c r="L2975" i="22"/>
  <c r="I2975" i="22"/>
  <c r="B2976" i="22"/>
  <c r="C2975" i="22"/>
  <c r="E2975" i="22"/>
  <c r="G2975" i="22"/>
  <c r="P2920" i="22"/>
  <c r="Q2920" i="22"/>
  <c r="R2920" i="22"/>
  <c r="L2921" i="22"/>
  <c r="G2921" i="22"/>
  <c r="I2921" i="22"/>
  <c r="C2921" i="22"/>
  <c r="K2921" i="22" s="1"/>
  <c r="E2921" i="22"/>
  <c r="F2921" i="22"/>
  <c r="O2921" i="22" s="1"/>
  <c r="B2922" i="22"/>
  <c r="J2920" i="22"/>
  <c r="D2920" i="22"/>
  <c r="D2866" i="22"/>
  <c r="J2866" i="22"/>
  <c r="P2866" i="22"/>
  <c r="Q2866" i="22"/>
  <c r="R2866" i="22"/>
  <c r="L2867" i="22"/>
  <c r="C2867" i="22"/>
  <c r="K2867" i="22" s="1"/>
  <c r="E2867" i="22"/>
  <c r="F2867" i="22"/>
  <c r="O2867" i="22" s="1"/>
  <c r="BU55" i="22" s="1"/>
  <c r="G2867" i="22"/>
  <c r="I2867" i="22"/>
  <c r="B2868" i="22"/>
  <c r="AL1626" i="23"/>
  <c r="U2811" i="22"/>
  <c r="M2812" i="22"/>
  <c r="D2812" i="22"/>
  <c r="J2812" i="22"/>
  <c r="N2812" i="22" s="1"/>
  <c r="Q2812" i="22"/>
  <c r="P2812" i="22"/>
  <c r="R2812" i="22"/>
  <c r="T2812" i="22"/>
  <c r="L2813" i="22"/>
  <c r="C2813" i="22"/>
  <c r="K2813" i="22" s="1"/>
  <c r="E2813" i="22"/>
  <c r="F2813" i="22"/>
  <c r="O2813" i="22" s="1"/>
  <c r="G2813" i="22"/>
  <c r="I2813" i="22"/>
  <c r="B2814" i="22"/>
  <c r="U2757" i="22"/>
  <c r="AU53" i="22"/>
  <c r="BG53" i="22"/>
  <c r="D2758" i="22"/>
  <c r="J2758" i="22"/>
  <c r="P2758" i="22"/>
  <c r="Q2758" i="22"/>
  <c r="R2758" i="22"/>
  <c r="L2759" i="22"/>
  <c r="C2759" i="22"/>
  <c r="E2759" i="22"/>
  <c r="G2759" i="22"/>
  <c r="I2759" i="22"/>
  <c r="B2760" i="22"/>
  <c r="U2703" i="22"/>
  <c r="AU52" i="22"/>
  <c r="BG52" i="22"/>
  <c r="D2704" i="22"/>
  <c r="J2704" i="22"/>
  <c r="P2704" i="22"/>
  <c r="Q2704" i="22"/>
  <c r="R2704" i="22"/>
  <c r="L2705" i="22"/>
  <c r="C2705" i="22"/>
  <c r="K2705" i="22" s="1"/>
  <c r="E2705" i="22"/>
  <c r="F2705" i="22"/>
  <c r="O2705" i="22" s="1"/>
  <c r="BU52" i="22" s="1"/>
  <c r="G2705" i="22"/>
  <c r="I2705" i="22"/>
  <c r="B2706" i="22"/>
  <c r="U2649" i="22"/>
  <c r="AU51" i="22"/>
  <c r="BG51" i="22"/>
  <c r="M2650" i="22"/>
  <c r="D2650" i="22"/>
  <c r="J2650" i="22"/>
  <c r="N2650" i="22" s="1"/>
  <c r="P2650" i="22"/>
  <c r="Q2650" i="22"/>
  <c r="R2650" i="22"/>
  <c r="L2651" i="22"/>
  <c r="C2651" i="22"/>
  <c r="K2651" i="22" s="1"/>
  <c r="E2651" i="22"/>
  <c r="F2651" i="22"/>
  <c r="O2651" i="22" s="1"/>
  <c r="BU51" i="22" s="1"/>
  <c r="G2651" i="22"/>
  <c r="I2651" i="22"/>
  <c r="B2652" i="22"/>
  <c r="L2597" i="22"/>
  <c r="G2597" i="22"/>
  <c r="I2597" i="22"/>
  <c r="E2597" i="22"/>
  <c r="C2597" i="22"/>
  <c r="K2597" i="22" s="1"/>
  <c r="B2598" i="22"/>
  <c r="F2597" i="22"/>
  <c r="O2597" i="22" s="1"/>
  <c r="BU50" i="22" s="1"/>
  <c r="J2596" i="22"/>
  <c r="D2596" i="22"/>
  <c r="P2596" i="22"/>
  <c r="Q2596" i="22"/>
  <c r="R2596" i="22"/>
  <c r="M2542" i="22"/>
  <c r="D2542" i="22"/>
  <c r="J2542" i="22"/>
  <c r="N2542" i="22" s="1"/>
  <c r="P2542" i="22"/>
  <c r="Q2542" i="22"/>
  <c r="R2542" i="22"/>
  <c r="L2543" i="22"/>
  <c r="C2543" i="22"/>
  <c r="K2543" i="22" s="1"/>
  <c r="E2543" i="22"/>
  <c r="F2543" i="22"/>
  <c r="O2543" i="22" s="1"/>
  <c r="G2543" i="22"/>
  <c r="I2543" i="22"/>
  <c r="B2544" i="22"/>
  <c r="M2488" i="22"/>
  <c r="D2488" i="22"/>
  <c r="J2488" i="22"/>
  <c r="N2488" i="22" s="1"/>
  <c r="P2488" i="22"/>
  <c r="Q2488" i="22"/>
  <c r="R2488" i="22"/>
  <c r="L2489" i="22"/>
  <c r="C2489" i="22"/>
  <c r="K2489" i="22" s="1"/>
  <c r="E2489" i="22"/>
  <c r="F2489" i="22"/>
  <c r="O2489" i="22" s="1"/>
  <c r="G2489" i="22"/>
  <c r="I2489" i="22"/>
  <c r="B2490" i="22"/>
  <c r="M2434" i="22"/>
  <c r="D2434" i="22"/>
  <c r="J2434" i="22"/>
  <c r="N2434" i="22" s="1"/>
  <c r="P2434" i="22"/>
  <c r="Q2434" i="22"/>
  <c r="R2434" i="22"/>
  <c r="L2435" i="22"/>
  <c r="C2435" i="22"/>
  <c r="E2435" i="22"/>
  <c r="G2435" i="22"/>
  <c r="I2435" i="22"/>
  <c r="B2436" i="22"/>
  <c r="U2379" i="22"/>
  <c r="AU46" i="22"/>
  <c r="BG46" i="22"/>
  <c r="M2380" i="22"/>
  <c r="D2380" i="22"/>
  <c r="J2380" i="22"/>
  <c r="N2380" i="22" s="1"/>
  <c r="P2380" i="22"/>
  <c r="Q2380" i="22"/>
  <c r="R2380" i="22"/>
  <c r="L2381" i="22"/>
  <c r="C2381" i="22"/>
  <c r="E2381" i="22"/>
  <c r="G2381" i="22"/>
  <c r="I2381" i="22"/>
  <c r="B2382" i="22"/>
  <c r="U2325" i="22"/>
  <c r="AU45" i="22"/>
  <c r="BG45" i="22"/>
  <c r="D2326" i="22"/>
  <c r="J2326" i="22"/>
  <c r="P2326" i="22"/>
  <c r="Q2326" i="22"/>
  <c r="R2326" i="22"/>
  <c r="L2327" i="22"/>
  <c r="C2327" i="22"/>
  <c r="E2327" i="22"/>
  <c r="G2327" i="22"/>
  <c r="I2327" i="22"/>
  <c r="B2328" i="22"/>
  <c r="U2271" i="22"/>
  <c r="AU44" i="22"/>
  <c r="BG44" i="22"/>
  <c r="M2272" i="22"/>
  <c r="D2272" i="22"/>
  <c r="J2272" i="22"/>
  <c r="N2272" i="22" s="1"/>
  <c r="P2272" i="22"/>
  <c r="Q2272" i="22"/>
  <c r="R2272" i="22"/>
  <c r="L2273" i="22"/>
  <c r="C2273" i="22"/>
  <c r="K2273" i="22" s="1"/>
  <c r="I2273" i="22"/>
  <c r="F2273" i="22"/>
  <c r="O2273" i="22" s="1"/>
  <c r="G2273" i="22"/>
  <c r="E2273" i="22"/>
  <c r="B2274" i="22"/>
  <c r="U2217" i="22"/>
  <c r="AU43" i="22"/>
  <c r="BG43" i="22"/>
  <c r="M2218" i="22"/>
  <c r="D2218" i="22"/>
  <c r="J2218" i="22"/>
  <c r="N2218" i="22" s="1"/>
  <c r="P2218" i="22"/>
  <c r="Q2218" i="22"/>
  <c r="R2218" i="22"/>
  <c r="L2219" i="22"/>
  <c r="C2219" i="22"/>
  <c r="K2219" i="22" s="1"/>
  <c r="E2219" i="22"/>
  <c r="F2219" i="22"/>
  <c r="O2219" i="22" s="1"/>
  <c r="G2219" i="22"/>
  <c r="I2219" i="22"/>
  <c r="B2220" i="22"/>
  <c r="M2164" i="22"/>
  <c r="D2164" i="22"/>
  <c r="J2164" i="22"/>
  <c r="N2164" i="22" s="1"/>
  <c r="P2164" i="22"/>
  <c r="Q2164" i="22"/>
  <c r="R2164" i="22"/>
  <c r="L2165" i="22"/>
  <c r="C2165" i="22"/>
  <c r="K2165" i="22" s="1"/>
  <c r="E2165" i="22"/>
  <c r="F2165" i="22"/>
  <c r="O2165" i="22" s="1"/>
  <c r="G2165" i="22"/>
  <c r="I2165" i="22"/>
  <c r="B2166" i="22"/>
  <c r="U2109" i="22"/>
  <c r="AU41" i="22"/>
  <c r="BG41" i="22"/>
  <c r="M2110" i="22"/>
  <c r="D2110" i="22"/>
  <c r="J2110" i="22"/>
  <c r="N2110" i="22" s="1"/>
  <c r="P2110" i="22"/>
  <c r="Q2110" i="22"/>
  <c r="R2110" i="22"/>
  <c r="L2111" i="22"/>
  <c r="C2111" i="22"/>
  <c r="K2111" i="22" s="1"/>
  <c r="E2111" i="22"/>
  <c r="F2111" i="22"/>
  <c r="O2111" i="22" s="1"/>
  <c r="G2111" i="22"/>
  <c r="I2111" i="22"/>
  <c r="B2112" i="22"/>
  <c r="U2055" i="22"/>
  <c r="AU40" i="22"/>
  <c r="BG40" i="22"/>
  <c r="M2056" i="22"/>
  <c r="D2056" i="22"/>
  <c r="J2056" i="22"/>
  <c r="N2056" i="22" s="1"/>
  <c r="P2056" i="22"/>
  <c r="Q2056" i="22"/>
  <c r="R2056" i="22"/>
  <c r="L2057" i="22"/>
  <c r="C2057" i="22"/>
  <c r="E2057" i="22"/>
  <c r="G2057" i="22"/>
  <c r="I2057" i="22"/>
  <c r="B2058" i="22"/>
  <c r="U2001" i="22"/>
  <c r="AU39" i="22"/>
  <c r="BG39" i="22"/>
  <c r="M2002" i="22"/>
  <c r="D2002" i="22"/>
  <c r="J2002" i="22"/>
  <c r="N2002" i="22" s="1"/>
  <c r="P2002" i="22"/>
  <c r="Q2002" i="22"/>
  <c r="R2002" i="22"/>
  <c r="L2003" i="22"/>
  <c r="C2003" i="22"/>
  <c r="K2003" i="22" s="1"/>
  <c r="E2003" i="22"/>
  <c r="F2003" i="22"/>
  <c r="O2003" i="22" s="1"/>
  <c r="G2003" i="22"/>
  <c r="I2003" i="22"/>
  <c r="B2004" i="22"/>
  <c r="U1947" i="22"/>
  <c r="AU38" i="22"/>
  <c r="BG38" i="22"/>
  <c r="D1948" i="22"/>
  <c r="J1948" i="22"/>
  <c r="P1948" i="22"/>
  <c r="Q1948" i="22"/>
  <c r="R1948" i="22"/>
  <c r="L1949" i="22"/>
  <c r="C1949" i="22"/>
  <c r="K1949" i="22" s="1"/>
  <c r="E1949" i="22"/>
  <c r="F1949" i="22"/>
  <c r="O1949" i="22" s="1"/>
  <c r="BU38" i="22" s="1"/>
  <c r="G1949" i="22"/>
  <c r="I1949" i="22"/>
  <c r="B1950" i="22"/>
  <c r="U1893" i="22"/>
  <c r="AU37" i="22"/>
  <c r="BG37" i="22"/>
  <c r="D1894" i="22"/>
  <c r="J1894" i="22"/>
  <c r="P1894" i="22"/>
  <c r="Q1894" i="22"/>
  <c r="R1894" i="22"/>
  <c r="L1895" i="22"/>
  <c r="C1895" i="22"/>
  <c r="E1895" i="22"/>
  <c r="G1895" i="22"/>
  <c r="I1895" i="22"/>
  <c r="B1896" i="22"/>
  <c r="U1839" i="22"/>
  <c r="AU36" i="22"/>
  <c r="BG36" i="22"/>
  <c r="M1840" i="22"/>
  <c r="D1840" i="22"/>
  <c r="J1840" i="22"/>
  <c r="N1840" i="22" s="1"/>
  <c r="P1840" i="22"/>
  <c r="Q1840" i="22"/>
  <c r="R1840" i="22"/>
  <c r="L1841" i="22"/>
  <c r="C1841" i="22"/>
  <c r="E1841" i="22"/>
  <c r="G1841" i="22"/>
  <c r="I1841" i="22"/>
  <c r="B1842" i="22"/>
  <c r="U1785" i="22"/>
  <c r="AU35" i="22"/>
  <c r="BG35" i="22"/>
  <c r="M1786" i="22"/>
  <c r="D1786" i="22"/>
  <c r="J1786" i="22"/>
  <c r="N1786" i="22" s="1"/>
  <c r="P1786" i="22"/>
  <c r="Q1786" i="22"/>
  <c r="R1786" i="22"/>
  <c r="L1787" i="22"/>
  <c r="C1787" i="22"/>
  <c r="K1787" i="22" s="1"/>
  <c r="E1787" i="22"/>
  <c r="F1787" i="22"/>
  <c r="O1787" i="22" s="1"/>
  <c r="G1787" i="22"/>
  <c r="I1787" i="22"/>
  <c r="B1788" i="22"/>
  <c r="U1731" i="22"/>
  <c r="AU34" i="22"/>
  <c r="BG34" i="22"/>
  <c r="M1732" i="22"/>
  <c r="D1732" i="22"/>
  <c r="J1732" i="22"/>
  <c r="N1732" i="22" s="1"/>
  <c r="P1732" i="22"/>
  <c r="Q1732" i="22"/>
  <c r="R1732" i="22"/>
  <c r="L1733" i="22"/>
  <c r="C1733" i="22"/>
  <c r="E1733" i="22"/>
  <c r="G1733" i="22"/>
  <c r="I1733" i="22"/>
  <c r="B1734" i="22"/>
  <c r="D1678" i="22"/>
  <c r="M1678" i="22" s="1"/>
  <c r="J1678" i="22"/>
  <c r="P1678" i="22"/>
  <c r="Q1678" i="22"/>
  <c r="R1678" i="22"/>
  <c r="L1679" i="22"/>
  <c r="C1679" i="22"/>
  <c r="E1679" i="22"/>
  <c r="G1679" i="22"/>
  <c r="I1679" i="22"/>
  <c r="B1680" i="22"/>
  <c r="U1623" i="22"/>
  <c r="AU32" i="22"/>
  <c r="BG32" i="22"/>
  <c r="M1624" i="22"/>
  <c r="D1624" i="22"/>
  <c r="J1624" i="22"/>
  <c r="N1624" i="22" s="1"/>
  <c r="P1624" i="22"/>
  <c r="Q1624" i="22"/>
  <c r="R1624" i="22"/>
  <c r="L1625" i="22"/>
  <c r="C1625" i="22"/>
  <c r="E1625" i="22"/>
  <c r="G1625" i="22"/>
  <c r="I1625" i="22"/>
  <c r="B1626" i="22"/>
  <c r="U1569" i="22"/>
  <c r="AU31" i="22"/>
  <c r="BG31" i="22"/>
  <c r="M1570" i="22"/>
  <c r="D1570" i="22"/>
  <c r="J1570" i="22"/>
  <c r="N1570" i="22" s="1"/>
  <c r="P1570" i="22"/>
  <c r="Q1570" i="22"/>
  <c r="R1570" i="22"/>
  <c r="L1571" i="22"/>
  <c r="C1571" i="22"/>
  <c r="E1571" i="22"/>
  <c r="G1571" i="22"/>
  <c r="I1571" i="22"/>
  <c r="B1572" i="22"/>
  <c r="U1515" i="22"/>
  <c r="AU30" i="22"/>
  <c r="BG30" i="22"/>
  <c r="M1516" i="22"/>
  <c r="D1516" i="22"/>
  <c r="J1516" i="22"/>
  <c r="N1516" i="22" s="1"/>
  <c r="P1516" i="22"/>
  <c r="Q1516" i="22"/>
  <c r="R1516" i="22"/>
  <c r="L1517" i="22"/>
  <c r="C1517" i="22"/>
  <c r="E1517" i="22"/>
  <c r="G1517" i="22"/>
  <c r="I1517" i="22"/>
  <c r="B1518" i="22"/>
  <c r="U1461" i="22"/>
  <c r="AU29" i="22"/>
  <c r="BG29" i="22"/>
  <c r="D1462" i="22"/>
  <c r="J1462" i="22"/>
  <c r="P1462" i="22"/>
  <c r="Q1462" i="22"/>
  <c r="R1462" i="22"/>
  <c r="K1463" i="22"/>
  <c r="L1463" i="22"/>
  <c r="C1463" i="22"/>
  <c r="E1463" i="22"/>
  <c r="F1463" i="22"/>
  <c r="O1463" i="22" s="1"/>
  <c r="BU29" i="22" s="1"/>
  <c r="G1463" i="22"/>
  <c r="I1463" i="22"/>
  <c r="B1464" i="22"/>
  <c r="U1407" i="22"/>
  <c r="AU28" i="22"/>
  <c r="BG28" i="22"/>
  <c r="M1408" i="22"/>
  <c r="D1408" i="22"/>
  <c r="J1408" i="22"/>
  <c r="N1408" i="22" s="1"/>
  <c r="P1408" i="22"/>
  <c r="Q1408" i="22"/>
  <c r="R1408" i="22"/>
  <c r="L1409" i="22"/>
  <c r="C1409" i="22"/>
  <c r="K1409" i="22" s="1"/>
  <c r="E1409" i="22"/>
  <c r="F1409" i="22"/>
  <c r="O1409" i="22" s="1"/>
  <c r="G1409" i="22"/>
  <c r="I1409" i="22"/>
  <c r="B1410" i="22"/>
  <c r="U1353" i="22"/>
  <c r="AU27" i="22"/>
  <c r="BG27" i="22"/>
  <c r="M1354" i="22"/>
  <c r="D1354" i="22"/>
  <c r="J1354" i="22"/>
  <c r="N1354" i="22" s="1"/>
  <c r="P1354" i="22"/>
  <c r="Q1354" i="22"/>
  <c r="R1354" i="22"/>
  <c r="L1355" i="22"/>
  <c r="C1355" i="22"/>
  <c r="K1355" i="22" s="1"/>
  <c r="E1355" i="22"/>
  <c r="F1355" i="22"/>
  <c r="O1355" i="22" s="1"/>
  <c r="G1355" i="22"/>
  <c r="I1355" i="22"/>
  <c r="B1356" i="22"/>
  <c r="M1300" i="22"/>
  <c r="D1300" i="22"/>
  <c r="J1300" i="22"/>
  <c r="N1300" i="22" s="1"/>
  <c r="P1300" i="22"/>
  <c r="Q1300" i="22"/>
  <c r="R1300" i="22"/>
  <c r="L1301" i="22"/>
  <c r="C1301" i="22"/>
  <c r="K1301" i="22" s="1"/>
  <c r="E1301" i="22"/>
  <c r="F1301" i="22"/>
  <c r="O1301" i="22" s="1"/>
  <c r="G1301" i="22"/>
  <c r="I1301" i="22"/>
  <c r="B1302" i="22"/>
  <c r="U1245" i="22"/>
  <c r="AU25" i="22"/>
  <c r="BG25" i="22"/>
  <c r="M1246" i="22"/>
  <c r="D1246" i="22"/>
  <c r="J1246" i="22"/>
  <c r="N1246" i="22" s="1"/>
  <c r="P1246" i="22"/>
  <c r="Q1246" i="22"/>
  <c r="R1246" i="22"/>
  <c r="L1247" i="22"/>
  <c r="C1247" i="22"/>
  <c r="E1247" i="22"/>
  <c r="G1247" i="22"/>
  <c r="I1247" i="22"/>
  <c r="B1248" i="22"/>
  <c r="J123" i="7"/>
  <c r="J61" i="7"/>
  <c r="U1191" i="22"/>
  <c r="AU24" i="22"/>
  <c r="BG24" i="22"/>
  <c r="M1192" i="22"/>
  <c r="D1192" i="22"/>
  <c r="J1192" i="22"/>
  <c r="N1192" i="22" s="1"/>
  <c r="K92" i="7"/>
  <c r="BT24" i="22"/>
  <c r="P1192" i="22"/>
  <c r="Q1192" i="22"/>
  <c r="R1192" i="22"/>
  <c r="L1193" i="22"/>
  <c r="C1193" i="22"/>
  <c r="E1193" i="22"/>
  <c r="G1193" i="22"/>
  <c r="I1193" i="22"/>
  <c r="B1194" i="22"/>
  <c r="J122" i="7"/>
  <c r="J60" i="7"/>
  <c r="U1137" i="22"/>
  <c r="AU23" i="22"/>
  <c r="BG23" i="22"/>
  <c r="M1138" i="22"/>
  <c r="D1138" i="22"/>
  <c r="J1138" i="22"/>
  <c r="N1138" i="22" s="1"/>
  <c r="K91" i="7"/>
  <c r="BT23" i="22"/>
  <c r="P1138" i="22"/>
  <c r="Q1138" i="22"/>
  <c r="R1138" i="22"/>
  <c r="L1139" i="22"/>
  <c r="C1139" i="22"/>
  <c r="E1139" i="22"/>
  <c r="G1139" i="22"/>
  <c r="I1139" i="22"/>
  <c r="B1140" i="22"/>
  <c r="J121" i="7"/>
  <c r="J59" i="7"/>
  <c r="U1083" i="22"/>
  <c r="AU22" i="22"/>
  <c r="BG22" i="22"/>
  <c r="D1084" i="22"/>
  <c r="J1084" i="22"/>
  <c r="P1084" i="22"/>
  <c r="Q1084" i="22"/>
  <c r="R1084" i="22"/>
  <c r="L1085" i="22"/>
  <c r="C1085" i="22"/>
  <c r="K1085" i="22" s="1"/>
  <c r="E1085" i="22"/>
  <c r="F1085" i="22"/>
  <c r="O1085" i="22" s="1"/>
  <c r="G1085" i="22"/>
  <c r="I1085" i="22"/>
  <c r="B1086" i="22"/>
  <c r="M1030" i="22"/>
  <c r="D1030" i="22"/>
  <c r="J1030" i="22"/>
  <c r="N1030" i="22" s="1"/>
  <c r="K89" i="7"/>
  <c r="BT21" i="22"/>
  <c r="P1030" i="22"/>
  <c r="Q1030" i="22"/>
  <c r="R1030" i="22"/>
  <c r="L1031" i="22"/>
  <c r="I1031" i="22"/>
  <c r="E1031" i="22"/>
  <c r="C1031" i="22"/>
  <c r="K1031" i="22" s="1"/>
  <c r="F1031" i="22"/>
  <c r="O1031" i="22" s="1"/>
  <c r="G1031" i="22"/>
  <c r="B1032" i="22"/>
  <c r="M976" i="22"/>
  <c r="D976" i="22"/>
  <c r="J976" i="22"/>
  <c r="N976" i="22" s="1"/>
  <c r="K88" i="7"/>
  <c r="BT20" i="22"/>
  <c r="P976" i="22"/>
  <c r="Q976" i="22"/>
  <c r="R976" i="22"/>
  <c r="L977" i="22"/>
  <c r="C977" i="22"/>
  <c r="K977" i="22" s="1"/>
  <c r="E977" i="22"/>
  <c r="F977" i="22"/>
  <c r="O977" i="22" s="1"/>
  <c r="G977" i="22"/>
  <c r="I977" i="22"/>
  <c r="B978" i="22"/>
  <c r="M922" i="22"/>
  <c r="D922" i="22"/>
  <c r="J922" i="22"/>
  <c r="N922" i="22" s="1"/>
  <c r="K87" i="7"/>
  <c r="BT19" i="22"/>
  <c r="P922" i="22"/>
  <c r="Q922" i="22"/>
  <c r="R922" i="22"/>
  <c r="L923" i="22"/>
  <c r="C923" i="22"/>
  <c r="E923" i="22"/>
  <c r="G923" i="22"/>
  <c r="I923" i="22"/>
  <c r="B924" i="22"/>
  <c r="J117" i="7"/>
  <c r="J55" i="7"/>
  <c r="U867" i="22"/>
  <c r="AU18" i="22"/>
  <c r="BG18" i="22"/>
  <c r="M868" i="22"/>
  <c r="D868" i="22"/>
  <c r="J868" i="22"/>
  <c r="N868" i="22" s="1"/>
  <c r="K86" i="7"/>
  <c r="BT18" i="22"/>
  <c r="P868" i="22"/>
  <c r="Q868" i="22"/>
  <c r="R868" i="22"/>
  <c r="L869" i="22"/>
  <c r="C869" i="22"/>
  <c r="K869" i="22" s="1"/>
  <c r="E869" i="22"/>
  <c r="F869" i="22"/>
  <c r="O869" i="22" s="1"/>
  <c r="G869" i="22"/>
  <c r="I869" i="22"/>
  <c r="B870" i="22"/>
  <c r="J116" i="7"/>
  <c r="J54" i="7"/>
  <c r="U813" i="22"/>
  <c r="AU17" i="22"/>
  <c r="BG17" i="22"/>
  <c r="M814" i="22"/>
  <c r="D814" i="22"/>
  <c r="J814" i="22"/>
  <c r="N814" i="22" s="1"/>
  <c r="K85" i="7"/>
  <c r="BT17" i="22"/>
  <c r="P814" i="22"/>
  <c r="Q814" i="22"/>
  <c r="R814" i="22"/>
  <c r="L815" i="22"/>
  <c r="C815" i="22"/>
  <c r="E815" i="22"/>
  <c r="G815" i="22"/>
  <c r="I815" i="22"/>
  <c r="B816" i="22"/>
  <c r="J115" i="7"/>
  <c r="J53" i="7"/>
  <c r="U759" i="22"/>
  <c r="AU16" i="22"/>
  <c r="BG16" i="22"/>
  <c r="M760" i="22"/>
  <c r="D760" i="22"/>
  <c r="J760" i="22"/>
  <c r="N760" i="22" s="1"/>
  <c r="K84" i="7"/>
  <c r="BT16" i="22"/>
  <c r="P760" i="22"/>
  <c r="Q760" i="22"/>
  <c r="R760" i="22"/>
  <c r="L761" i="22"/>
  <c r="C761" i="22"/>
  <c r="K761" i="22" s="1"/>
  <c r="E761" i="22"/>
  <c r="F761" i="22"/>
  <c r="O761" i="22" s="1"/>
  <c r="G761" i="22"/>
  <c r="I761" i="22"/>
  <c r="B762" i="22"/>
  <c r="J114" i="7"/>
  <c r="J52" i="7"/>
  <c r="U705" i="22"/>
  <c r="AU15" i="22"/>
  <c r="BG15" i="22"/>
  <c r="D706" i="22"/>
  <c r="J706" i="22"/>
  <c r="P706" i="22"/>
  <c r="Q706" i="22"/>
  <c r="R706" i="22"/>
  <c r="L707" i="22"/>
  <c r="C707" i="22"/>
  <c r="K707" i="22" s="1"/>
  <c r="E707" i="22"/>
  <c r="F707" i="22"/>
  <c r="O707" i="22" s="1"/>
  <c r="G707" i="22"/>
  <c r="I707" i="22"/>
  <c r="B708" i="22"/>
  <c r="J113" i="7"/>
  <c r="J51" i="7"/>
  <c r="U651" i="22"/>
  <c r="AU14" i="22"/>
  <c r="BG14" i="22"/>
  <c r="M652" i="22"/>
  <c r="D652" i="22"/>
  <c r="J652" i="22"/>
  <c r="N652" i="22" s="1"/>
  <c r="K82" i="7"/>
  <c r="BT14" i="22"/>
  <c r="P652" i="22"/>
  <c r="Q652" i="22"/>
  <c r="R652" i="22"/>
  <c r="L653" i="22"/>
  <c r="C653" i="22"/>
  <c r="K653" i="22" s="1"/>
  <c r="E653" i="22"/>
  <c r="F653" i="22"/>
  <c r="O653" i="22" s="1"/>
  <c r="G653" i="22"/>
  <c r="I653" i="22"/>
  <c r="B654" i="22"/>
  <c r="J112" i="7"/>
  <c r="J50" i="7"/>
  <c r="U597" i="22"/>
  <c r="AU13" i="22"/>
  <c r="BG13" i="22"/>
  <c r="D598" i="22"/>
  <c r="M598" i="22" s="1"/>
  <c r="J598" i="22"/>
  <c r="K81" i="7"/>
  <c r="BT13" i="22"/>
  <c r="P598" i="22"/>
  <c r="Q598" i="22"/>
  <c r="R598" i="22"/>
  <c r="L599" i="22"/>
  <c r="C599" i="22"/>
  <c r="K599" i="22" s="1"/>
  <c r="E599" i="22"/>
  <c r="F599" i="22"/>
  <c r="O599" i="22" s="1"/>
  <c r="G599" i="22"/>
  <c r="I599" i="22"/>
  <c r="B600" i="22"/>
  <c r="M544" i="22"/>
  <c r="D544" i="22"/>
  <c r="J544" i="22"/>
  <c r="N544" i="22" s="1"/>
  <c r="K80" i="7"/>
  <c r="BT12" i="22"/>
  <c r="P544" i="22"/>
  <c r="Q544" i="22"/>
  <c r="R544" i="22"/>
  <c r="L545" i="22"/>
  <c r="C545" i="22"/>
  <c r="K545" i="22" s="1"/>
  <c r="E545" i="22"/>
  <c r="F545" i="22"/>
  <c r="O545" i="22" s="1"/>
  <c r="G545" i="22"/>
  <c r="I545" i="22"/>
  <c r="B546" i="22"/>
  <c r="J110" i="7"/>
  <c r="J48" i="7"/>
  <c r="U489" i="22"/>
  <c r="AU11" i="22"/>
  <c r="BG11" i="22"/>
  <c r="M490" i="22"/>
  <c r="D490" i="22"/>
  <c r="J490" i="22"/>
  <c r="N490" i="22" s="1"/>
  <c r="K79" i="7"/>
  <c r="BT11" i="22"/>
  <c r="P490" i="22"/>
  <c r="Q490" i="22"/>
  <c r="R490" i="22"/>
  <c r="L491" i="22"/>
  <c r="C491" i="22"/>
  <c r="E491" i="22"/>
  <c r="G491" i="22"/>
  <c r="I491" i="22"/>
  <c r="B492" i="22"/>
  <c r="M436" i="22"/>
  <c r="L437" i="22"/>
  <c r="E437" i="22"/>
  <c r="G437" i="22"/>
  <c r="B438" i="22"/>
  <c r="C437" i="22"/>
  <c r="K437" i="22" s="1"/>
  <c r="F437" i="22"/>
  <c r="O437" i="22" s="1"/>
  <c r="I437" i="22"/>
  <c r="D436" i="22"/>
  <c r="J436" i="22"/>
  <c r="N436" i="22" s="1"/>
  <c r="K78" i="7"/>
  <c r="BT10" i="22"/>
  <c r="P436" i="22"/>
  <c r="Q436" i="22"/>
  <c r="R436" i="22"/>
  <c r="J108" i="7"/>
  <c r="J46" i="7"/>
  <c r="U381" i="22"/>
  <c r="AU9" i="22"/>
  <c r="BG9" i="22"/>
  <c r="M382" i="22"/>
  <c r="D382" i="22"/>
  <c r="J382" i="22"/>
  <c r="N382" i="22" s="1"/>
  <c r="K77" i="7"/>
  <c r="BT9" i="22"/>
  <c r="P382" i="22"/>
  <c r="Q382" i="22"/>
  <c r="R382" i="22"/>
  <c r="L383" i="22"/>
  <c r="C383" i="22"/>
  <c r="K383" i="22" s="1"/>
  <c r="E383" i="22"/>
  <c r="F383" i="22"/>
  <c r="O383" i="22" s="1"/>
  <c r="G383" i="22"/>
  <c r="I383" i="22"/>
  <c r="B384" i="22"/>
  <c r="J107" i="7"/>
  <c r="J45" i="7"/>
  <c r="U327" i="22"/>
  <c r="AU8" i="22"/>
  <c r="BG8" i="22"/>
  <c r="D328" i="22"/>
  <c r="J328" i="22"/>
  <c r="P328" i="22"/>
  <c r="Q328" i="22"/>
  <c r="R328" i="22"/>
  <c r="L329" i="22"/>
  <c r="C329" i="22"/>
  <c r="K329" i="22" s="1"/>
  <c r="E329" i="22"/>
  <c r="F329" i="22"/>
  <c r="O329" i="22" s="1"/>
  <c r="G329" i="22"/>
  <c r="I329" i="22"/>
  <c r="B330" i="22"/>
  <c r="J106" i="7"/>
  <c r="J44" i="7"/>
  <c r="U273" i="22"/>
  <c r="AU7" i="22"/>
  <c r="BG7" i="22"/>
  <c r="M274" i="22"/>
  <c r="D274" i="22"/>
  <c r="J274" i="22"/>
  <c r="N274" i="22" s="1"/>
  <c r="P274" i="22"/>
  <c r="Q274" i="22"/>
  <c r="R274" i="22"/>
  <c r="L275" i="22"/>
  <c r="C275" i="22"/>
  <c r="K275" i="22" s="1"/>
  <c r="E275" i="22"/>
  <c r="F275" i="22"/>
  <c r="O275" i="22" s="1"/>
  <c r="G275" i="22"/>
  <c r="I275" i="22"/>
  <c r="B276" i="22"/>
  <c r="M220" i="22"/>
  <c r="D220" i="22"/>
  <c r="J220" i="22"/>
  <c r="N220" i="22" s="1"/>
  <c r="K74" i="7"/>
  <c r="BT6" i="22"/>
  <c r="P220" i="22"/>
  <c r="Q220" i="22"/>
  <c r="R220" i="22"/>
  <c r="L221" i="22"/>
  <c r="C221" i="22"/>
  <c r="K221" i="22" s="1"/>
  <c r="E221" i="22"/>
  <c r="F221" i="22"/>
  <c r="O221" i="22" s="1"/>
  <c r="G221" i="22"/>
  <c r="I221" i="22"/>
  <c r="B222" i="22"/>
  <c r="M166" i="22"/>
  <c r="D166" i="22"/>
  <c r="J166" i="22"/>
  <c r="N166" i="22" s="1"/>
  <c r="K73" i="7"/>
  <c r="BT5" i="22"/>
  <c r="P166" i="22"/>
  <c r="Q166" i="22"/>
  <c r="R166" i="22"/>
  <c r="L167" i="22"/>
  <c r="C167" i="22"/>
  <c r="E167" i="22"/>
  <c r="G167" i="22"/>
  <c r="I167" i="22"/>
  <c r="B168" i="22"/>
  <c r="J103" i="7"/>
  <c r="J41" i="7"/>
  <c r="AU4" i="22"/>
  <c r="BG4" i="22"/>
  <c r="U111" i="22"/>
  <c r="M112" i="22"/>
  <c r="D112" i="22"/>
  <c r="J112" i="22"/>
  <c r="N112" i="22" s="1"/>
  <c r="K72" i="7"/>
  <c r="BT4" i="22"/>
  <c r="P112" i="22"/>
  <c r="Q112" i="22"/>
  <c r="R112" i="22"/>
  <c r="L113" i="22"/>
  <c r="C113" i="22"/>
  <c r="E113" i="22"/>
  <c r="G113" i="22"/>
  <c r="B114" i="22"/>
  <c r="I113" i="22"/>
  <c r="C100" i="12"/>
  <c r="E41" i="10"/>
  <c r="M50" i="17"/>
  <c r="J50" i="17"/>
  <c r="D50" i="17"/>
  <c r="N102" i="12"/>
  <c r="E102" i="12"/>
  <c r="O50" i="17"/>
  <c r="BB50" i="17"/>
  <c r="BA50" i="17"/>
  <c r="AZ50" i="17"/>
  <c r="AY50" i="17"/>
  <c r="AX50" i="17"/>
  <c r="AW50" i="17"/>
  <c r="AV50" i="17"/>
  <c r="AU50" i="17"/>
  <c r="AT50" i="17"/>
  <c r="AS50" i="17"/>
  <c r="AR50" i="17"/>
  <c r="AQ50" i="17"/>
  <c r="AP50" i="17"/>
  <c r="AO50" i="17"/>
  <c r="AN50" i="17"/>
  <c r="AM50" i="17"/>
  <c r="AL50" i="17"/>
  <c r="AK50" i="17"/>
  <c r="AJ50" i="17"/>
  <c r="AI50" i="17"/>
  <c r="AH50" i="17"/>
  <c r="AG50" i="17"/>
  <c r="AF50" i="17"/>
  <c r="AE50" i="17"/>
  <c r="AD50" i="17"/>
  <c r="AC50" i="17"/>
  <c r="AB50" i="17"/>
  <c r="AA50" i="17"/>
  <c r="Z50" i="17"/>
  <c r="Y50" i="17"/>
  <c r="X50" i="17"/>
  <c r="W50" i="17"/>
  <c r="P50" i="17"/>
  <c r="Q50" i="17"/>
  <c r="R50" i="17"/>
  <c r="V50" i="17"/>
  <c r="E51" i="17"/>
  <c r="G51" i="17"/>
  <c r="BD51" i="17" s="1"/>
  <c r="I51" i="17"/>
  <c r="L51" i="17"/>
  <c r="C51" i="17"/>
  <c r="F51" i="17" s="1"/>
  <c r="C51" i="18" s="1"/>
  <c r="E51" i="18" s="1"/>
  <c r="K51" i="17"/>
  <c r="B52" i="17"/>
  <c r="B51" i="18"/>
  <c r="G99" i="12"/>
  <c r="BE15" i="17"/>
  <c r="BD17" i="17"/>
  <c r="BD18" i="17"/>
  <c r="BD19" i="17"/>
  <c r="BD20" i="17"/>
  <c r="BD21" i="17"/>
  <c r="BD22" i="17"/>
  <c r="BD23" i="17"/>
  <c r="BD24" i="17"/>
  <c r="BD25" i="17"/>
  <c r="BD26" i="17"/>
  <c r="BD27" i="17"/>
  <c r="BD28" i="17"/>
  <c r="BD29" i="17"/>
  <c r="BD30" i="17"/>
  <c r="BD31" i="17"/>
  <c r="BD32" i="17"/>
  <c r="BD33" i="17"/>
  <c r="BD36" i="17"/>
  <c r="BD38" i="17"/>
  <c r="BD39" i="17"/>
  <c r="BD41" i="17"/>
  <c r="BD42" i="17"/>
  <c r="BD44" i="17"/>
  <c r="BD50" i="17"/>
  <c r="BD34" i="17"/>
  <c r="BD35" i="17"/>
  <c r="BD37" i="17"/>
  <c r="BD40" i="17"/>
  <c r="BD43" i="17"/>
  <c r="BD45" i="17"/>
  <c r="BD46" i="17"/>
  <c r="BD47" i="17"/>
  <c r="BD48" i="17"/>
  <c r="BD49" i="17"/>
  <c r="F79" i="8"/>
  <c r="AI726" i="23"/>
  <c r="F105" i="8"/>
  <c r="F107" i="8"/>
  <c r="G98" i="12"/>
  <c r="AI1623" i="23"/>
  <c r="G104" i="8"/>
  <c r="C135" i="8"/>
  <c r="AI727" i="23"/>
  <c r="G79" i="8"/>
  <c r="AD728" i="23"/>
  <c r="AG728" i="23"/>
  <c r="AH1624" i="23"/>
  <c r="H103" i="8"/>
  <c r="B136" i="8"/>
  <c r="D136" i="8"/>
  <c r="Y1625" i="23"/>
  <c r="I106" i="8"/>
  <c r="X1625" i="23"/>
  <c r="W1625" i="23"/>
  <c r="X1569" i="23"/>
  <c r="W1569" i="23"/>
  <c r="X1065" i="23"/>
  <c r="W1065" i="23"/>
  <c r="AD673" i="23"/>
  <c r="W449" i="23"/>
  <c r="X449" i="23"/>
  <c r="U3782" i="22"/>
  <c r="AT72" i="22"/>
  <c r="BF72" i="22"/>
  <c r="U3728" i="22"/>
  <c r="AT71" i="22"/>
  <c r="BF71" i="22"/>
  <c r="U3350" i="22"/>
  <c r="AT64" i="22"/>
  <c r="BF64" i="22"/>
  <c r="U3296" i="22"/>
  <c r="AT63" i="22"/>
  <c r="BF63" i="22"/>
  <c r="U3242" i="22"/>
  <c r="AT62" i="22"/>
  <c r="BF62" i="22"/>
  <c r="U3080" i="22"/>
  <c r="AT59" i="22"/>
  <c r="BF59" i="22"/>
  <c r="U2972" i="22"/>
  <c r="AT57" i="22"/>
  <c r="BF57" i="22"/>
  <c r="U2918" i="22"/>
  <c r="AT56" i="22"/>
  <c r="BF56" i="22"/>
  <c r="S2810" i="22"/>
  <c r="AT54" i="22"/>
  <c r="BF54" i="22"/>
  <c r="U2540" i="22"/>
  <c r="AT49" i="22"/>
  <c r="BF49" i="22"/>
  <c r="U2486" i="22"/>
  <c r="AT48" i="22"/>
  <c r="BF48" i="22"/>
  <c r="U2432" i="22"/>
  <c r="AT47" i="22"/>
  <c r="BF47" i="22"/>
  <c r="U2054" i="22"/>
  <c r="AT40" i="22"/>
  <c r="BF40" i="22"/>
  <c r="U1622" i="22"/>
  <c r="AT32" i="22"/>
  <c r="BF32" i="22"/>
  <c r="U1568" i="22"/>
  <c r="AT31" i="22"/>
  <c r="BF31" i="22"/>
  <c r="I123" i="7"/>
  <c r="I61" i="7"/>
  <c r="U1190" i="22"/>
  <c r="AT24" i="22"/>
  <c r="BF24" i="22"/>
  <c r="I118" i="7"/>
  <c r="I56" i="7"/>
  <c r="U920" i="22"/>
  <c r="AT19" i="22"/>
  <c r="BF19" i="22"/>
  <c r="I43" i="7"/>
  <c r="I105" i="7"/>
  <c r="U218" i="22"/>
  <c r="AT6" i="22"/>
  <c r="BF6" i="22"/>
  <c r="I104" i="7"/>
  <c r="I42" i="7"/>
  <c r="U164" i="22"/>
  <c r="AT5" i="22"/>
  <c r="BF5" i="22"/>
  <c r="M1514" i="23"/>
  <c r="N1514" i="23"/>
  <c r="AB1514" i="23"/>
  <c r="AC1514" i="23" s="1"/>
  <c r="O1514" i="23"/>
  <c r="AB1458" i="23"/>
  <c r="AC1458" i="23" s="1"/>
  <c r="O1458" i="23"/>
  <c r="M1458" i="23"/>
  <c r="N1458" i="23"/>
  <c r="M1346" i="23"/>
  <c r="N1346" i="23"/>
  <c r="O1346" i="23"/>
  <c r="Y1346" i="23" s="1"/>
  <c r="AB1346" i="23"/>
  <c r="AC1346" i="23" s="1"/>
  <c r="AD1345" i="23"/>
  <c r="AD897" i="23"/>
  <c r="M730" i="23"/>
  <c r="N730" i="23"/>
  <c r="O730" i="23"/>
  <c r="Y730" i="23" s="1"/>
  <c r="AB730" i="23"/>
  <c r="AC730" i="23" s="1"/>
  <c r="AD729" i="23"/>
  <c r="AG729" i="23"/>
  <c r="M562" i="23"/>
  <c r="N562" i="23"/>
  <c r="AB562" i="23"/>
  <c r="AC562" i="23" s="1"/>
  <c r="O562" i="23"/>
  <c r="Y562" i="23" s="1"/>
  <c r="M4599" i="22"/>
  <c r="N4599" i="22"/>
  <c r="M3675" i="22"/>
  <c r="N3675" i="22"/>
  <c r="BS70" i="22"/>
  <c r="M3567" i="22"/>
  <c r="N3567" i="22"/>
  <c r="BS68" i="22"/>
  <c r="M3135" i="22"/>
  <c r="N3135" i="22"/>
  <c r="BS60" i="22"/>
  <c r="M3081" i="22"/>
  <c r="N3081" i="22"/>
  <c r="M2973" i="22"/>
  <c r="N2973" i="22"/>
  <c r="BS57" i="22"/>
  <c r="BS56" i="22"/>
  <c r="M2919" i="22"/>
  <c r="N2919" i="22"/>
  <c r="M2865" i="22"/>
  <c r="N2865" i="22"/>
  <c r="BS55" i="22"/>
  <c r="M2811" i="22"/>
  <c r="N2811" i="22"/>
  <c r="M2595" i="22"/>
  <c r="N2595" i="22"/>
  <c r="BS50" i="22"/>
  <c r="M2541" i="22"/>
  <c r="N2541" i="22"/>
  <c r="M2487" i="22"/>
  <c r="N2487" i="22"/>
  <c r="M2433" i="22"/>
  <c r="N2433" i="22"/>
  <c r="M2163" i="22"/>
  <c r="N2163" i="22"/>
  <c r="BS42" i="22"/>
  <c r="M1677" i="22"/>
  <c r="N1677" i="22"/>
  <c r="BS33" i="22"/>
  <c r="BS26" i="22"/>
  <c r="M1299" i="22"/>
  <c r="N1299" i="22"/>
  <c r="M1029" i="22"/>
  <c r="N1029" i="22"/>
  <c r="BS21" i="22"/>
  <c r="J89" i="7"/>
  <c r="BS20" i="22"/>
  <c r="J88" i="7"/>
  <c r="M975" i="22"/>
  <c r="N975" i="22"/>
  <c r="BS19" i="22"/>
  <c r="J87" i="7"/>
  <c r="M921" i="22"/>
  <c r="N921" i="22"/>
  <c r="BS12" i="22"/>
  <c r="J80" i="7"/>
  <c r="M543" i="22"/>
  <c r="N543" i="22"/>
  <c r="BS10" i="22"/>
  <c r="J78" i="7"/>
  <c r="M435" i="22"/>
  <c r="N435" i="22"/>
  <c r="M219" i="22"/>
  <c r="N219" i="22"/>
  <c r="BS6" i="22"/>
  <c r="J74" i="7"/>
  <c r="BS5" i="22"/>
  <c r="J73" i="7"/>
  <c r="M165" i="22"/>
  <c r="N165" i="22"/>
  <c r="N49" i="17"/>
  <c r="M49" i="17"/>
  <c r="O49" i="17"/>
  <c r="E101" i="12"/>
  <c r="N101" i="12"/>
  <c r="H127" i="7"/>
  <c r="H65" i="7"/>
  <c r="X1626" i="23"/>
  <c r="W1626" i="23"/>
  <c r="X1570" i="23"/>
  <c r="W1570" i="23"/>
  <c r="X1402" i="23"/>
  <c r="W1402" i="23"/>
  <c r="K1403" i="23"/>
  <c r="F1403" i="23"/>
  <c r="F1347" i="23"/>
  <c r="K1347" i="23"/>
  <c r="W1290" i="23"/>
  <c r="X1290" i="23"/>
  <c r="K1291" i="23"/>
  <c r="F1291" i="23"/>
  <c r="X1234" i="23"/>
  <c r="W1234" i="23"/>
  <c r="X1178" i="23"/>
  <c r="W1178" i="23"/>
  <c r="X1122" i="23"/>
  <c r="W1122" i="23"/>
  <c r="X1066" i="23"/>
  <c r="W1066" i="23"/>
  <c r="X1010" i="23"/>
  <c r="W1010" i="23"/>
  <c r="X954" i="23"/>
  <c r="W954" i="23"/>
  <c r="X898" i="23"/>
  <c r="W898" i="23"/>
  <c r="F899" i="23"/>
  <c r="K899" i="23"/>
  <c r="X842" i="23"/>
  <c r="W842" i="23"/>
  <c r="W786" i="23"/>
  <c r="X786" i="23"/>
  <c r="K731" i="23"/>
  <c r="F731" i="23"/>
  <c r="AD674" i="23"/>
  <c r="K675" i="23"/>
  <c r="F675" i="23"/>
  <c r="X618" i="23"/>
  <c r="W618" i="23"/>
  <c r="F619" i="23"/>
  <c r="K619" i="23"/>
  <c r="X506" i="23"/>
  <c r="W506" i="23"/>
  <c r="F451" i="23"/>
  <c r="K451" i="23"/>
  <c r="X450" i="23"/>
  <c r="W450" i="23"/>
  <c r="W394" i="23"/>
  <c r="X394" i="23"/>
  <c r="X338" i="23"/>
  <c r="W338" i="23"/>
  <c r="X282" i="23"/>
  <c r="W282" i="23"/>
  <c r="P101" i="12"/>
  <c r="F4708" i="22"/>
  <c r="K4708" i="22"/>
  <c r="D4654" i="22"/>
  <c r="F4654" i="22"/>
  <c r="O4654" i="22" s="1"/>
  <c r="F4546" i="22"/>
  <c r="K4546" i="22"/>
  <c r="K3784" i="22"/>
  <c r="F3784" i="22"/>
  <c r="O3784" i="22" s="1"/>
  <c r="BT71" i="22"/>
  <c r="F3676" i="22"/>
  <c r="O3676" i="22" s="1"/>
  <c r="K3676" i="22"/>
  <c r="F3622" i="22"/>
  <c r="O3622" i="22" s="1"/>
  <c r="K3622" i="22"/>
  <c r="K3568" i="22"/>
  <c r="F3568" i="22"/>
  <c r="O3568" i="22" s="1"/>
  <c r="K3514" i="22"/>
  <c r="F3514" i="22"/>
  <c r="O3514" i="22" s="1"/>
  <c r="F3460" i="22"/>
  <c r="O3460" i="22" s="1"/>
  <c r="K3460" i="22"/>
  <c r="BT65" i="22"/>
  <c r="F3352" i="22"/>
  <c r="O3352" i="22" s="1"/>
  <c r="K3352" i="22"/>
  <c r="F3298" i="22"/>
  <c r="O3298" i="22" s="1"/>
  <c r="K3298" i="22"/>
  <c r="BT62" i="22"/>
  <c r="F3190" i="22"/>
  <c r="O3190" i="22" s="1"/>
  <c r="K3190" i="22"/>
  <c r="F3136" i="22"/>
  <c r="O3136" i="22" s="1"/>
  <c r="K3136" i="22"/>
  <c r="K3082" i="22"/>
  <c r="F3082" i="22"/>
  <c r="O3082" i="22" s="1"/>
  <c r="BT58" i="22"/>
  <c r="F2920" i="22"/>
  <c r="O2920" i="22" s="1"/>
  <c r="BT56" i="22" s="1"/>
  <c r="K2920" i="22"/>
  <c r="K2866" i="22"/>
  <c r="F2866" i="22"/>
  <c r="O2866" i="22" s="1"/>
  <c r="BT54" i="22"/>
  <c r="K2758" i="22"/>
  <c r="F2758" i="22"/>
  <c r="O2758" i="22" s="1"/>
  <c r="K2704" i="22"/>
  <c r="F2704" i="22"/>
  <c r="O2704" i="22" s="1"/>
  <c r="BT51" i="22"/>
  <c r="F2596" i="22"/>
  <c r="O2596" i="22" s="1"/>
  <c r="K2596" i="22"/>
  <c r="BT49" i="22"/>
  <c r="BT48" i="22"/>
  <c r="BT46" i="22"/>
  <c r="K2326" i="22"/>
  <c r="F2326" i="22"/>
  <c r="O2326" i="22" s="1"/>
  <c r="BT41" i="22"/>
  <c r="BT40" i="22"/>
  <c r="BT39" i="22"/>
  <c r="K1948" i="22"/>
  <c r="F1948" i="22"/>
  <c r="O1948" i="22" s="1"/>
  <c r="K1894" i="22"/>
  <c r="F1894" i="22"/>
  <c r="O1894" i="22" s="1"/>
  <c r="BT32" i="22"/>
  <c r="BT31" i="22"/>
  <c r="BT30" i="22"/>
  <c r="F1462" i="22"/>
  <c r="O1462" i="22" s="1"/>
  <c r="K1462" i="22"/>
  <c r="BT25" i="22"/>
  <c r="F1084" i="22"/>
  <c r="O1084" i="22" s="1"/>
  <c r="K1084" i="22"/>
  <c r="K706" i="22"/>
  <c r="F706" i="22"/>
  <c r="O706" i="22" s="1"/>
  <c r="F328" i="22"/>
  <c r="O328" i="22" s="1"/>
  <c r="K328" i="22"/>
  <c r="BS47" i="22"/>
  <c r="N1678" i="22" l="1"/>
  <c r="N598" i="22"/>
  <c r="I127" i="7"/>
  <c r="I65" i="7"/>
  <c r="J96" i="7"/>
  <c r="K340" i="23"/>
  <c r="F340" i="23"/>
  <c r="K284" i="23"/>
  <c r="F284" i="23"/>
  <c r="K3353" i="22"/>
  <c r="F3353" i="22"/>
  <c r="O3353" i="22" s="1"/>
  <c r="BU64" i="22" s="1"/>
  <c r="K3299" i="22"/>
  <c r="F3299" i="22"/>
  <c r="O3299" i="22" s="1"/>
  <c r="BU63" i="22" s="1"/>
  <c r="K2057" i="22"/>
  <c r="F2057" i="22"/>
  <c r="O2057" i="22" s="1"/>
  <c r="K1517" i="22"/>
  <c r="F1517" i="22"/>
  <c r="O1517" i="22" s="1"/>
  <c r="K1247" i="22"/>
  <c r="F1247" i="22"/>
  <c r="O1247" i="22" s="1"/>
  <c r="K923" i="22"/>
  <c r="F923" i="22"/>
  <c r="O923" i="22" s="1"/>
  <c r="Y1627" i="23"/>
  <c r="K106" i="8"/>
  <c r="M1628" i="23"/>
  <c r="J1628" i="23"/>
  <c r="N1628" i="23" s="1"/>
  <c r="D1628" i="23"/>
  <c r="O1628" i="23"/>
  <c r="AB1628" i="23"/>
  <c r="AC1628" i="23"/>
  <c r="P1628" i="23"/>
  <c r="Q1628" i="23"/>
  <c r="R1628" i="23"/>
  <c r="AF1628" i="23"/>
  <c r="I1629" i="23"/>
  <c r="L1629" i="23"/>
  <c r="C1629" i="23"/>
  <c r="K1629" i="23" s="1"/>
  <c r="E1629" i="23"/>
  <c r="F1629" i="23"/>
  <c r="G1629" i="23"/>
  <c r="B1630" i="23"/>
  <c r="M1572" i="23"/>
  <c r="J1572" i="23"/>
  <c r="N1572" i="23" s="1"/>
  <c r="D1572" i="23"/>
  <c r="O1572" i="23"/>
  <c r="AB1572" i="23"/>
  <c r="AC1572" i="23"/>
  <c r="P1572" i="23"/>
  <c r="Q1572" i="23"/>
  <c r="R1572" i="23"/>
  <c r="AF1572" i="23"/>
  <c r="L1573" i="23"/>
  <c r="I1573" i="23"/>
  <c r="C1573" i="23"/>
  <c r="K1573" i="23" s="1"/>
  <c r="E1573" i="23"/>
  <c r="F1573" i="23"/>
  <c r="G1573" i="23"/>
  <c r="B1574" i="23"/>
  <c r="J1516" i="23"/>
  <c r="D1516" i="23"/>
  <c r="P1516" i="23"/>
  <c r="Q1516" i="23"/>
  <c r="R1516" i="23"/>
  <c r="AF1516" i="23"/>
  <c r="L1517" i="23"/>
  <c r="I1517" i="23"/>
  <c r="C1517" i="23"/>
  <c r="E1517" i="23"/>
  <c r="G1517" i="23"/>
  <c r="B1518" i="23"/>
  <c r="J1460" i="23"/>
  <c r="D1460" i="23"/>
  <c r="P1460" i="23"/>
  <c r="Q1460" i="23"/>
  <c r="R1460" i="23"/>
  <c r="AF1460" i="23"/>
  <c r="L1461" i="23"/>
  <c r="I1461" i="23"/>
  <c r="C1461" i="23"/>
  <c r="E1461" i="23"/>
  <c r="G1461" i="23"/>
  <c r="B1462" i="23"/>
  <c r="J1404" i="23"/>
  <c r="D1404" i="23"/>
  <c r="P1404" i="23"/>
  <c r="Q1404" i="23"/>
  <c r="R1404" i="23"/>
  <c r="AF1404" i="23"/>
  <c r="L1405" i="23"/>
  <c r="I1405" i="23"/>
  <c r="C1405" i="23"/>
  <c r="K1405" i="23" s="1"/>
  <c r="E1405" i="23"/>
  <c r="F1405" i="23"/>
  <c r="G1405" i="23"/>
  <c r="B1406" i="23"/>
  <c r="P1348" i="23"/>
  <c r="Q1348" i="23"/>
  <c r="R1348" i="23"/>
  <c r="AF1348" i="23"/>
  <c r="J1348" i="23"/>
  <c r="D1348" i="23"/>
  <c r="L1349" i="23"/>
  <c r="I1349" i="23"/>
  <c r="C1349" i="23"/>
  <c r="K1349" i="23" s="1"/>
  <c r="E1349" i="23"/>
  <c r="G1349" i="23"/>
  <c r="F1349" i="23"/>
  <c r="B1350" i="23"/>
  <c r="M1292" i="23"/>
  <c r="J1292" i="23"/>
  <c r="N1292" i="23" s="1"/>
  <c r="D1292" i="23"/>
  <c r="O1292" i="23"/>
  <c r="Y1292" i="23" s="1"/>
  <c r="AB1292" i="23"/>
  <c r="AC1292" i="23"/>
  <c r="P1292" i="23"/>
  <c r="Q1292" i="23"/>
  <c r="R1292" i="23"/>
  <c r="AF1292" i="23"/>
  <c r="L1293" i="23"/>
  <c r="I1293" i="23"/>
  <c r="C1293" i="23"/>
  <c r="K1293" i="23" s="1"/>
  <c r="E1293" i="23"/>
  <c r="F1293" i="23"/>
  <c r="G1293" i="23"/>
  <c r="B1294" i="23"/>
  <c r="M1236" i="23"/>
  <c r="J1236" i="23"/>
  <c r="N1236" i="23" s="1"/>
  <c r="D1236" i="23"/>
  <c r="O1236" i="23"/>
  <c r="Y1236" i="23" s="1"/>
  <c r="AB1236" i="23"/>
  <c r="AC1236" i="23"/>
  <c r="P1236" i="23"/>
  <c r="Q1236" i="23"/>
  <c r="R1236" i="23"/>
  <c r="AF1236" i="23"/>
  <c r="L1237" i="23"/>
  <c r="I1237" i="23"/>
  <c r="C1237" i="23"/>
  <c r="K1237" i="23" s="1"/>
  <c r="E1237" i="23"/>
  <c r="F1237" i="23"/>
  <c r="G1237" i="23"/>
  <c r="B1238" i="23"/>
  <c r="M1180" i="23"/>
  <c r="J1180" i="23"/>
  <c r="N1180" i="23" s="1"/>
  <c r="D1180" i="23"/>
  <c r="O1180" i="23"/>
  <c r="Y1180" i="23" s="1"/>
  <c r="AB1180" i="23"/>
  <c r="AC1180" i="23"/>
  <c r="P1180" i="23"/>
  <c r="Q1180" i="23"/>
  <c r="R1180" i="23"/>
  <c r="AF1180" i="23"/>
  <c r="L1181" i="23"/>
  <c r="I1181" i="23"/>
  <c r="C1181" i="23"/>
  <c r="K1181" i="23" s="1"/>
  <c r="E1181" i="23"/>
  <c r="F1181" i="23"/>
  <c r="G1181" i="23"/>
  <c r="B1182" i="23"/>
  <c r="M1124" i="23"/>
  <c r="J1124" i="23"/>
  <c r="N1124" i="23" s="1"/>
  <c r="D1124" i="23"/>
  <c r="O1124" i="23"/>
  <c r="Y1124" i="23" s="1"/>
  <c r="AB1124" i="23"/>
  <c r="AC1124" i="23"/>
  <c r="P1124" i="23"/>
  <c r="Q1124" i="23"/>
  <c r="R1124" i="23"/>
  <c r="AF1124" i="23"/>
  <c r="L1125" i="23"/>
  <c r="I1125" i="23"/>
  <c r="C1125" i="23"/>
  <c r="K1125" i="23" s="1"/>
  <c r="E1125" i="23"/>
  <c r="F1125" i="23"/>
  <c r="G1125" i="23"/>
  <c r="B1126" i="23"/>
  <c r="M1068" i="23"/>
  <c r="J1068" i="23"/>
  <c r="N1068" i="23" s="1"/>
  <c r="D1068" i="23"/>
  <c r="O1068" i="23"/>
  <c r="Y1068" i="23" s="1"/>
  <c r="AB1068" i="23"/>
  <c r="AC1068" i="23"/>
  <c r="P1068" i="23"/>
  <c r="Q1068" i="23"/>
  <c r="R1068" i="23"/>
  <c r="AF1068" i="23"/>
  <c r="L1069" i="23"/>
  <c r="I1069" i="23"/>
  <c r="C1069" i="23"/>
  <c r="E1069" i="23"/>
  <c r="G1069" i="23"/>
  <c r="B1070" i="23"/>
  <c r="J1012" i="23"/>
  <c r="D1012" i="23"/>
  <c r="P1012" i="23"/>
  <c r="Q1012" i="23"/>
  <c r="R1012" i="23"/>
  <c r="AF1012" i="23"/>
  <c r="L1013" i="23"/>
  <c r="I1013" i="23"/>
  <c r="C1013" i="23"/>
  <c r="E1013" i="23"/>
  <c r="G1013" i="23"/>
  <c r="B1014" i="23"/>
  <c r="J956" i="23"/>
  <c r="D956" i="23"/>
  <c r="P956" i="23"/>
  <c r="Q956" i="23"/>
  <c r="R956" i="23"/>
  <c r="AF956" i="23"/>
  <c r="L957" i="23"/>
  <c r="I957" i="23"/>
  <c r="C957" i="23"/>
  <c r="K957" i="23" s="1"/>
  <c r="E957" i="23"/>
  <c r="F957" i="23"/>
  <c r="G957" i="23"/>
  <c r="B958" i="23"/>
  <c r="M900" i="23"/>
  <c r="J900" i="23"/>
  <c r="N900" i="23" s="1"/>
  <c r="D900" i="23"/>
  <c r="O900" i="23"/>
  <c r="Y900" i="23" s="1"/>
  <c r="AB900" i="23"/>
  <c r="AC900" i="23"/>
  <c r="P900" i="23"/>
  <c r="Q900" i="23"/>
  <c r="R900" i="23"/>
  <c r="AF900" i="23"/>
  <c r="L901" i="23"/>
  <c r="I901" i="23"/>
  <c r="C901" i="23"/>
  <c r="E901" i="23"/>
  <c r="G901" i="23"/>
  <c r="B902" i="23"/>
  <c r="M844" i="23"/>
  <c r="J844" i="23"/>
  <c r="N844" i="23" s="1"/>
  <c r="D844" i="23"/>
  <c r="O844" i="23"/>
  <c r="Y844" i="23" s="1"/>
  <c r="AB844" i="23"/>
  <c r="AC844" i="23"/>
  <c r="P844" i="23"/>
  <c r="Q844" i="23"/>
  <c r="R844" i="23"/>
  <c r="AF844" i="23"/>
  <c r="L845" i="23"/>
  <c r="I845" i="23"/>
  <c r="C845" i="23"/>
  <c r="K845" i="23" s="1"/>
  <c r="E845" i="23"/>
  <c r="F845" i="23"/>
  <c r="G845" i="23"/>
  <c r="B846" i="23"/>
  <c r="M788" i="23"/>
  <c r="J788" i="23"/>
  <c r="N788" i="23" s="1"/>
  <c r="D788" i="23"/>
  <c r="O788" i="23"/>
  <c r="Y788" i="23" s="1"/>
  <c r="AB788" i="23"/>
  <c r="AC788" i="23"/>
  <c r="P788" i="23"/>
  <c r="Q788" i="23"/>
  <c r="R788" i="23"/>
  <c r="AF788" i="23"/>
  <c r="L789" i="23"/>
  <c r="I789" i="23"/>
  <c r="C789" i="23"/>
  <c r="K789" i="23" s="1"/>
  <c r="E789" i="23"/>
  <c r="F789" i="23"/>
  <c r="G789" i="23"/>
  <c r="B790" i="23"/>
  <c r="M732" i="23"/>
  <c r="J732" i="23"/>
  <c r="N732" i="23" s="1"/>
  <c r="D732" i="23"/>
  <c r="O732" i="23"/>
  <c r="Y732" i="23" s="1"/>
  <c r="AB732" i="23"/>
  <c r="AC732" i="23"/>
  <c r="P732" i="23"/>
  <c r="Q732" i="23"/>
  <c r="R732" i="23"/>
  <c r="AF732" i="23"/>
  <c r="L733" i="23"/>
  <c r="I733" i="23"/>
  <c r="C733" i="23"/>
  <c r="K733" i="23" s="1"/>
  <c r="E733" i="23"/>
  <c r="F733" i="23"/>
  <c r="G733" i="23"/>
  <c r="B734" i="23"/>
  <c r="M676" i="23"/>
  <c r="J676" i="23"/>
  <c r="N676" i="23" s="1"/>
  <c r="D676" i="23"/>
  <c r="O676" i="23"/>
  <c r="Y676" i="23" s="1"/>
  <c r="AB676" i="23"/>
  <c r="AC676" i="23"/>
  <c r="P676" i="23"/>
  <c r="Q676" i="23"/>
  <c r="R676" i="23"/>
  <c r="AF676" i="23"/>
  <c r="L677" i="23"/>
  <c r="I677" i="23"/>
  <c r="C677" i="23"/>
  <c r="K677" i="23" s="1"/>
  <c r="E677" i="23"/>
  <c r="F677" i="23"/>
  <c r="G677" i="23"/>
  <c r="B678" i="23"/>
  <c r="M620" i="23"/>
  <c r="J620" i="23"/>
  <c r="N620" i="23" s="1"/>
  <c r="D620" i="23"/>
  <c r="O620" i="23"/>
  <c r="Y620" i="23" s="1"/>
  <c r="AB620" i="23"/>
  <c r="AC620" i="23"/>
  <c r="P620" i="23"/>
  <c r="Q620" i="23"/>
  <c r="R620" i="23"/>
  <c r="AF620" i="23"/>
  <c r="L621" i="23"/>
  <c r="I621" i="23"/>
  <c r="C621" i="23"/>
  <c r="E621" i="23"/>
  <c r="G621" i="23"/>
  <c r="B622" i="23"/>
  <c r="J564" i="23"/>
  <c r="D564" i="23"/>
  <c r="P564" i="23"/>
  <c r="Q564" i="23"/>
  <c r="R564" i="23"/>
  <c r="AF564" i="23"/>
  <c r="L565" i="23"/>
  <c r="I565" i="23"/>
  <c r="C565" i="23"/>
  <c r="E565" i="23"/>
  <c r="G565" i="23"/>
  <c r="B566" i="23"/>
  <c r="M508" i="23"/>
  <c r="J508" i="23"/>
  <c r="N508" i="23" s="1"/>
  <c r="D508" i="23"/>
  <c r="O508" i="23"/>
  <c r="Y508" i="23" s="1"/>
  <c r="AB508" i="23"/>
  <c r="AC508" i="23"/>
  <c r="P508" i="23"/>
  <c r="Q508" i="23"/>
  <c r="R508" i="23"/>
  <c r="AF508" i="23"/>
  <c r="L509" i="23"/>
  <c r="I509" i="23"/>
  <c r="C509" i="23"/>
  <c r="E509" i="23"/>
  <c r="G509" i="23"/>
  <c r="B510" i="23"/>
  <c r="L453" i="23"/>
  <c r="I453" i="23"/>
  <c r="G453" i="23"/>
  <c r="C453" i="23"/>
  <c r="B454" i="23"/>
  <c r="E453" i="23"/>
  <c r="J452" i="23"/>
  <c r="D452" i="23"/>
  <c r="P452" i="23"/>
  <c r="Q452" i="23"/>
  <c r="R452" i="23"/>
  <c r="AF452" i="23"/>
  <c r="M396" i="23"/>
  <c r="J396" i="23"/>
  <c r="N396" i="23" s="1"/>
  <c r="D396" i="23"/>
  <c r="O396" i="23"/>
  <c r="Y396" i="23" s="1"/>
  <c r="AB396" i="23"/>
  <c r="AC396" i="23"/>
  <c r="P396" i="23"/>
  <c r="Q396" i="23"/>
  <c r="R396" i="23"/>
  <c r="AF396" i="23"/>
  <c r="L397" i="23"/>
  <c r="I397" i="23"/>
  <c r="C397" i="23"/>
  <c r="K397" i="23" s="1"/>
  <c r="E397" i="23"/>
  <c r="F397" i="23"/>
  <c r="G397" i="23"/>
  <c r="B398" i="23"/>
  <c r="M340" i="23"/>
  <c r="J340" i="23"/>
  <c r="N340" i="23" s="1"/>
  <c r="D340" i="23"/>
  <c r="O340" i="23"/>
  <c r="Y340" i="23" s="1"/>
  <c r="AB340" i="23"/>
  <c r="AC340" i="23"/>
  <c r="P340" i="23"/>
  <c r="Q340" i="23"/>
  <c r="R340" i="23"/>
  <c r="AF340" i="23"/>
  <c r="L341" i="23"/>
  <c r="I341" i="23"/>
  <c r="C341" i="23"/>
  <c r="K341" i="23" s="1"/>
  <c r="E341" i="23"/>
  <c r="F341" i="23"/>
  <c r="G341" i="23"/>
  <c r="B342" i="23"/>
  <c r="M284" i="23"/>
  <c r="J284" i="23"/>
  <c r="N284" i="23" s="1"/>
  <c r="D284" i="23"/>
  <c r="O284" i="23"/>
  <c r="Y284" i="23" s="1"/>
  <c r="AB284" i="23"/>
  <c r="AC284" i="23"/>
  <c r="P284" i="23"/>
  <c r="Q284" i="23"/>
  <c r="R284" i="23"/>
  <c r="AF284" i="23"/>
  <c r="L285" i="23"/>
  <c r="I285" i="23"/>
  <c r="C285" i="23"/>
  <c r="K285" i="23" s="1"/>
  <c r="E285" i="23"/>
  <c r="F285" i="23"/>
  <c r="G285" i="23"/>
  <c r="B286" i="23"/>
  <c r="D4763" i="22"/>
  <c r="J4763" i="22"/>
  <c r="N4763" i="22" s="1"/>
  <c r="P4763" i="22"/>
  <c r="Q4763" i="22"/>
  <c r="R4763" i="22"/>
  <c r="M4763" i="22"/>
  <c r="C4764" i="22"/>
  <c r="E4764" i="22"/>
  <c r="F4764" i="22"/>
  <c r="G4764" i="22"/>
  <c r="I4764" i="22"/>
  <c r="K4764" i="22"/>
  <c r="L4764" i="22"/>
  <c r="B4765" i="22"/>
  <c r="T4707" i="22"/>
  <c r="D38" i="15" s="1"/>
  <c r="S4708" i="22"/>
  <c r="T4708" i="22" s="1"/>
  <c r="D39" i="15" s="1"/>
  <c r="U4708" i="22"/>
  <c r="M4709" i="22"/>
  <c r="D4709" i="22"/>
  <c r="J4709" i="22"/>
  <c r="N4709" i="22" s="1"/>
  <c r="P4709" i="22"/>
  <c r="Q4709" i="22"/>
  <c r="R4709" i="22"/>
  <c r="L4710" i="22"/>
  <c r="C4710" i="22"/>
  <c r="K4710" i="22" s="1"/>
  <c r="E4710" i="22"/>
  <c r="F4710" i="22"/>
  <c r="G4710" i="22"/>
  <c r="I4710" i="22"/>
  <c r="B4711" i="22"/>
  <c r="P4655" i="22"/>
  <c r="Q4655" i="22"/>
  <c r="R4655" i="22"/>
  <c r="C4656" i="22"/>
  <c r="D4656" i="22" s="1"/>
  <c r="E4656" i="22"/>
  <c r="F4656" i="22"/>
  <c r="O4656" i="22" s="1"/>
  <c r="G4656" i="22"/>
  <c r="B4657" i="22"/>
  <c r="M4601" i="22"/>
  <c r="J4601" i="22"/>
  <c r="N4601" i="22" s="1"/>
  <c r="D4601" i="22"/>
  <c r="P4601" i="22"/>
  <c r="Q4601" i="22"/>
  <c r="R4601" i="22"/>
  <c r="I4602" i="22"/>
  <c r="L4602" i="22"/>
  <c r="C4602" i="22"/>
  <c r="K4602" i="22" s="1"/>
  <c r="E4602" i="22"/>
  <c r="F4602" i="22"/>
  <c r="G4602" i="22"/>
  <c r="B4603" i="22"/>
  <c r="D4547" i="22"/>
  <c r="J4547" i="22"/>
  <c r="P4547" i="22"/>
  <c r="Q4547" i="22"/>
  <c r="R4547" i="22"/>
  <c r="L4548" i="22"/>
  <c r="C4548" i="22"/>
  <c r="K4548" i="22" s="1"/>
  <c r="E4548" i="22"/>
  <c r="F4548" i="22"/>
  <c r="G4548" i="22"/>
  <c r="I4548" i="22"/>
  <c r="B4549" i="22"/>
  <c r="D4247" i="22"/>
  <c r="J4247" i="22"/>
  <c r="N4247" i="22" s="1"/>
  <c r="U4247" i="22" s="1"/>
  <c r="P4247" i="22"/>
  <c r="Q4247" i="22"/>
  <c r="R4247" i="22"/>
  <c r="M4247" i="22"/>
  <c r="C4248" i="22"/>
  <c r="E4248" i="22"/>
  <c r="F4248" i="22"/>
  <c r="O4248" i="22" s="1"/>
  <c r="G4248" i="22"/>
  <c r="I4248" i="22"/>
  <c r="K4248" i="22"/>
  <c r="L4248" i="22"/>
  <c r="B4249" i="22"/>
  <c r="M4193" i="22"/>
  <c r="D4193" i="22"/>
  <c r="J4193" i="22"/>
  <c r="N4193" i="22" s="1"/>
  <c r="U4193" i="22" s="1"/>
  <c r="P4193" i="22"/>
  <c r="Q4193" i="22"/>
  <c r="R4193" i="22"/>
  <c r="L4194" i="22"/>
  <c r="C4194" i="22"/>
  <c r="K4194" i="22" s="1"/>
  <c r="E4194" i="22"/>
  <c r="F4194" i="22"/>
  <c r="O4194" i="22" s="1"/>
  <c r="G4194" i="22"/>
  <c r="I4194" i="22"/>
  <c r="B4195" i="22"/>
  <c r="M4139" i="22"/>
  <c r="D4139" i="22"/>
  <c r="J4139" i="22"/>
  <c r="N4139" i="22" s="1"/>
  <c r="U4139" i="22" s="1"/>
  <c r="P4139" i="22"/>
  <c r="Q4139" i="22"/>
  <c r="R4139" i="22"/>
  <c r="L4140" i="22"/>
  <c r="C4140" i="22"/>
  <c r="K4140" i="22" s="1"/>
  <c r="E4140" i="22"/>
  <c r="F4140" i="22"/>
  <c r="O4140" i="22" s="1"/>
  <c r="G4140" i="22"/>
  <c r="I4140" i="22"/>
  <c r="B4141" i="22"/>
  <c r="M4085" i="22"/>
  <c r="D4085" i="22"/>
  <c r="J4085" i="22"/>
  <c r="N4085" i="22" s="1"/>
  <c r="U4085" i="22" s="1"/>
  <c r="P4085" i="22"/>
  <c r="Q4085" i="22"/>
  <c r="R4085" i="22"/>
  <c r="L4086" i="22"/>
  <c r="C4086" i="22"/>
  <c r="K4086" i="22" s="1"/>
  <c r="E4086" i="22"/>
  <c r="F4086" i="22"/>
  <c r="O4086" i="22" s="1"/>
  <c r="G4086" i="22"/>
  <c r="I4086" i="22"/>
  <c r="B4087" i="22"/>
  <c r="M3785" i="22"/>
  <c r="D3785" i="22"/>
  <c r="J3785" i="22"/>
  <c r="N3785" i="22" s="1"/>
  <c r="P3785" i="22"/>
  <c r="Q3785" i="22"/>
  <c r="R3785" i="22"/>
  <c r="L3786" i="22"/>
  <c r="C3786" i="22"/>
  <c r="K3786" i="22" s="1"/>
  <c r="E3786" i="22"/>
  <c r="F3786" i="22"/>
  <c r="O3786" i="22" s="1"/>
  <c r="G3786" i="22"/>
  <c r="I3786" i="22"/>
  <c r="B3787" i="22"/>
  <c r="U3730" i="22"/>
  <c r="AV71" i="22"/>
  <c r="BH71" i="22"/>
  <c r="M3731" i="22"/>
  <c r="D3731" i="22"/>
  <c r="J3731" i="22"/>
  <c r="N3731" i="22" s="1"/>
  <c r="P3731" i="22"/>
  <c r="Q3731" i="22"/>
  <c r="R3731" i="22"/>
  <c r="L3732" i="22"/>
  <c r="C3732" i="22"/>
  <c r="K3732" i="22" s="1"/>
  <c r="E3732" i="22"/>
  <c r="F3732" i="22"/>
  <c r="O3732" i="22" s="1"/>
  <c r="G3732" i="22"/>
  <c r="I3732" i="22"/>
  <c r="B3733" i="22"/>
  <c r="D3677" i="22"/>
  <c r="J3677" i="22"/>
  <c r="P3677" i="22"/>
  <c r="Q3677" i="22"/>
  <c r="R3677" i="22"/>
  <c r="L3678" i="22"/>
  <c r="C3678" i="22"/>
  <c r="E3678" i="22"/>
  <c r="G3678" i="22"/>
  <c r="I3678" i="22"/>
  <c r="B3679" i="22"/>
  <c r="M3623" i="22"/>
  <c r="D3623" i="22"/>
  <c r="J3623" i="22"/>
  <c r="N3623" i="22" s="1"/>
  <c r="P3623" i="22"/>
  <c r="Q3623" i="22"/>
  <c r="R3623" i="22"/>
  <c r="L3624" i="22"/>
  <c r="C3624" i="22"/>
  <c r="K3624" i="22" s="1"/>
  <c r="E3624" i="22"/>
  <c r="F3624" i="22"/>
  <c r="O3624" i="22" s="1"/>
  <c r="G3624" i="22"/>
  <c r="I3624" i="22"/>
  <c r="B3625" i="22"/>
  <c r="L3570" i="22"/>
  <c r="C3570" i="22"/>
  <c r="K3570" i="22" s="1"/>
  <c r="F3570" i="22"/>
  <c r="O3570" i="22" s="1"/>
  <c r="G3570" i="22"/>
  <c r="I3570" i="22"/>
  <c r="B3571" i="22"/>
  <c r="E3570" i="22"/>
  <c r="D3569" i="22"/>
  <c r="J3569" i="22"/>
  <c r="P3569" i="22"/>
  <c r="Q3569" i="22"/>
  <c r="R3569" i="22"/>
  <c r="M3515" i="22"/>
  <c r="D3515" i="22"/>
  <c r="J3515" i="22"/>
  <c r="N3515" i="22" s="1"/>
  <c r="P3515" i="22"/>
  <c r="Q3515" i="22"/>
  <c r="R3515" i="22"/>
  <c r="L3516" i="22"/>
  <c r="I3516" i="22"/>
  <c r="C3516" i="22"/>
  <c r="E3516" i="22"/>
  <c r="G3516" i="22"/>
  <c r="B3517" i="22"/>
  <c r="M3461" i="22"/>
  <c r="D3461" i="22"/>
  <c r="J3461" i="22"/>
  <c r="N3461" i="22" s="1"/>
  <c r="P3461" i="22"/>
  <c r="Q3461" i="22"/>
  <c r="R3461" i="22"/>
  <c r="L3462" i="22"/>
  <c r="C3462" i="22"/>
  <c r="K3462" i="22" s="1"/>
  <c r="E3462" i="22"/>
  <c r="F3462" i="22"/>
  <c r="O3462" i="22" s="1"/>
  <c r="G3462" i="22"/>
  <c r="I3462" i="22"/>
  <c r="B3463" i="22"/>
  <c r="U3406" i="22"/>
  <c r="AV65" i="22"/>
  <c r="BH65" i="22"/>
  <c r="M3407" i="22"/>
  <c r="D3407" i="22"/>
  <c r="J3407" i="22"/>
  <c r="N3407" i="22" s="1"/>
  <c r="P3407" i="22"/>
  <c r="Q3407" i="22"/>
  <c r="R3407" i="22"/>
  <c r="L3408" i="22"/>
  <c r="C3408" i="22"/>
  <c r="K3408" i="22" s="1"/>
  <c r="E3408" i="22"/>
  <c r="F3408" i="22"/>
  <c r="O3408" i="22" s="1"/>
  <c r="G3408" i="22"/>
  <c r="I3408" i="22"/>
  <c r="B3409" i="22"/>
  <c r="M3353" i="22"/>
  <c r="D3353" i="22"/>
  <c r="J3353" i="22"/>
  <c r="N3353" i="22" s="1"/>
  <c r="P3353" i="22"/>
  <c r="Q3353" i="22"/>
  <c r="R3353" i="22"/>
  <c r="L3354" i="22"/>
  <c r="C3354" i="22"/>
  <c r="E3354" i="22"/>
  <c r="G3354" i="22"/>
  <c r="I3354" i="22"/>
  <c r="B3355" i="22"/>
  <c r="M3299" i="22"/>
  <c r="D3299" i="22"/>
  <c r="J3299" i="22"/>
  <c r="N3299" i="22" s="1"/>
  <c r="P3299" i="22"/>
  <c r="Q3299" i="22"/>
  <c r="R3299" i="22"/>
  <c r="L3300" i="22"/>
  <c r="C3300" i="22"/>
  <c r="E3300" i="22"/>
  <c r="G3300" i="22"/>
  <c r="I3300" i="22"/>
  <c r="B3301" i="22"/>
  <c r="U3244" i="22"/>
  <c r="AV62" i="22"/>
  <c r="BH62" i="22"/>
  <c r="D3245" i="22"/>
  <c r="J3245" i="22"/>
  <c r="P3245" i="22"/>
  <c r="Q3245" i="22"/>
  <c r="R3245" i="22"/>
  <c r="L3246" i="22"/>
  <c r="C3246" i="22"/>
  <c r="K3246" i="22" s="1"/>
  <c r="E3246" i="22"/>
  <c r="F3246" i="22"/>
  <c r="O3246" i="22" s="1"/>
  <c r="BV62" i="22" s="1"/>
  <c r="G3246" i="22"/>
  <c r="I3246" i="22"/>
  <c r="B3247" i="22"/>
  <c r="D3191" i="22"/>
  <c r="J3191" i="22"/>
  <c r="P3191" i="22"/>
  <c r="Q3191" i="22"/>
  <c r="R3191" i="22"/>
  <c r="L3192" i="22"/>
  <c r="C3192" i="22"/>
  <c r="E3192" i="22"/>
  <c r="G3192" i="22"/>
  <c r="I3192" i="22"/>
  <c r="B3193" i="22"/>
  <c r="P3137" i="22"/>
  <c r="Q3137" i="22"/>
  <c r="R3137" i="22"/>
  <c r="L3138" i="22"/>
  <c r="G3138" i="22"/>
  <c r="C3138" i="22"/>
  <c r="E3138" i="22"/>
  <c r="I3138" i="22"/>
  <c r="B3139" i="22"/>
  <c r="D3137" i="22"/>
  <c r="J3137" i="22"/>
  <c r="M3083" i="22"/>
  <c r="P3083" i="22"/>
  <c r="Q3083" i="22"/>
  <c r="R3083" i="22"/>
  <c r="L3084" i="22"/>
  <c r="B3085" i="22"/>
  <c r="I3084" i="22"/>
  <c r="C3084" i="22"/>
  <c r="E3084" i="22"/>
  <c r="G3084" i="22"/>
  <c r="J3083" i="22"/>
  <c r="N3083" i="22" s="1"/>
  <c r="D3083" i="22"/>
  <c r="U3028" i="22"/>
  <c r="AV58" i="22"/>
  <c r="BH58" i="22"/>
  <c r="M3029" i="22"/>
  <c r="D3029" i="22"/>
  <c r="J3029" i="22"/>
  <c r="N3029" i="22" s="1"/>
  <c r="P3029" i="22"/>
  <c r="Q3029" i="22"/>
  <c r="R3029" i="22"/>
  <c r="L3030" i="22"/>
  <c r="E3030" i="22"/>
  <c r="G3030" i="22"/>
  <c r="B3031" i="22"/>
  <c r="C3030" i="22"/>
  <c r="I3030" i="22"/>
  <c r="U2974" i="22"/>
  <c r="AV57" i="22"/>
  <c r="BH57" i="22"/>
  <c r="L2976" i="22"/>
  <c r="I2976" i="22"/>
  <c r="C2976" i="22"/>
  <c r="E2976" i="22"/>
  <c r="G2976" i="22"/>
  <c r="B2977" i="22"/>
  <c r="D2975" i="22"/>
  <c r="J2975" i="22"/>
  <c r="P2975" i="22"/>
  <c r="Q2975" i="22"/>
  <c r="R2975" i="22"/>
  <c r="M2921" i="22"/>
  <c r="P2921" i="22"/>
  <c r="Q2921" i="22"/>
  <c r="R2921" i="22"/>
  <c r="J2921" i="22"/>
  <c r="N2921" i="22" s="1"/>
  <c r="D2921" i="22"/>
  <c r="L2922" i="22"/>
  <c r="C2922" i="22"/>
  <c r="E2922" i="22"/>
  <c r="G2922" i="22"/>
  <c r="I2922" i="22"/>
  <c r="B2923" i="22"/>
  <c r="M2867" i="22"/>
  <c r="D2867" i="22"/>
  <c r="J2867" i="22"/>
  <c r="N2867" i="22" s="1"/>
  <c r="P2867" i="22"/>
  <c r="Q2867" i="22"/>
  <c r="R2867" i="22"/>
  <c r="L2868" i="22"/>
  <c r="C2868" i="22"/>
  <c r="K2868" i="22" s="1"/>
  <c r="E2868" i="22"/>
  <c r="F2868" i="22"/>
  <c r="O2868" i="22" s="1"/>
  <c r="G2868" i="22"/>
  <c r="I2868" i="22"/>
  <c r="B2869" i="22"/>
  <c r="S2812" i="22"/>
  <c r="AV54" i="22"/>
  <c r="BH54" i="22"/>
  <c r="AL1627" i="23"/>
  <c r="U2812" i="22"/>
  <c r="M2813" i="22"/>
  <c r="D2813" i="22"/>
  <c r="J2813" i="22"/>
  <c r="N2813" i="22" s="1"/>
  <c r="Q2813" i="22"/>
  <c r="P2813" i="22"/>
  <c r="R2813" i="22"/>
  <c r="T2813" i="22"/>
  <c r="L2814" i="22"/>
  <c r="C2814" i="22"/>
  <c r="K2814" i="22" s="1"/>
  <c r="E2814" i="22"/>
  <c r="F2814" i="22"/>
  <c r="O2814" i="22" s="1"/>
  <c r="G2814" i="22"/>
  <c r="I2814" i="22"/>
  <c r="B2815" i="22"/>
  <c r="D2759" i="22"/>
  <c r="J2759" i="22"/>
  <c r="P2759" i="22"/>
  <c r="Q2759" i="22"/>
  <c r="R2759" i="22"/>
  <c r="L2760" i="22"/>
  <c r="C2760" i="22"/>
  <c r="K2760" i="22" s="1"/>
  <c r="E2760" i="22"/>
  <c r="F2760" i="22"/>
  <c r="O2760" i="22" s="1"/>
  <c r="G2760" i="22"/>
  <c r="I2760" i="22"/>
  <c r="B2761" i="22"/>
  <c r="M2705" i="22"/>
  <c r="D2705" i="22"/>
  <c r="J2705" i="22"/>
  <c r="N2705" i="22" s="1"/>
  <c r="P2705" i="22"/>
  <c r="Q2705" i="22"/>
  <c r="R2705" i="22"/>
  <c r="L2706" i="22"/>
  <c r="C2706" i="22"/>
  <c r="E2706" i="22"/>
  <c r="G2706" i="22"/>
  <c r="I2706" i="22"/>
  <c r="B2707" i="22"/>
  <c r="U2650" i="22"/>
  <c r="AV51" i="22"/>
  <c r="BH51" i="22"/>
  <c r="M2651" i="22"/>
  <c r="D2651" i="22"/>
  <c r="J2651" i="22"/>
  <c r="N2651" i="22" s="1"/>
  <c r="P2651" i="22"/>
  <c r="Q2651" i="22"/>
  <c r="R2651" i="22"/>
  <c r="L2652" i="22"/>
  <c r="C2652" i="22"/>
  <c r="E2652" i="22"/>
  <c r="G2652" i="22"/>
  <c r="I2652" i="22"/>
  <c r="B2653" i="22"/>
  <c r="M2597" i="22"/>
  <c r="P2597" i="22"/>
  <c r="Q2597" i="22"/>
  <c r="R2597" i="22"/>
  <c r="J2597" i="22"/>
  <c r="N2597" i="22" s="1"/>
  <c r="D2597" i="22"/>
  <c r="L2598" i="22"/>
  <c r="C2598" i="22"/>
  <c r="G2598" i="22"/>
  <c r="I2598" i="22"/>
  <c r="B2599" i="22"/>
  <c r="E2598" i="22"/>
  <c r="U2542" i="22"/>
  <c r="AV49" i="22"/>
  <c r="BH49" i="22"/>
  <c r="M2543" i="22"/>
  <c r="D2543" i="22"/>
  <c r="J2543" i="22"/>
  <c r="N2543" i="22" s="1"/>
  <c r="P2543" i="22"/>
  <c r="Q2543" i="22"/>
  <c r="R2543" i="22"/>
  <c r="L2544" i="22"/>
  <c r="C2544" i="22"/>
  <c r="E2544" i="22"/>
  <c r="G2544" i="22"/>
  <c r="I2544" i="22"/>
  <c r="B2545" i="22"/>
  <c r="U2488" i="22"/>
  <c r="AV48" i="22"/>
  <c r="BH48" i="22"/>
  <c r="M2489" i="22"/>
  <c r="D2489" i="22"/>
  <c r="J2489" i="22"/>
  <c r="N2489" i="22" s="1"/>
  <c r="P2489" i="22"/>
  <c r="Q2489" i="22"/>
  <c r="R2489" i="22"/>
  <c r="L2490" i="22"/>
  <c r="C2490" i="22"/>
  <c r="K2490" i="22" s="1"/>
  <c r="E2490" i="22"/>
  <c r="F2490" i="22"/>
  <c r="O2490" i="22" s="1"/>
  <c r="G2490" i="22"/>
  <c r="I2490" i="22"/>
  <c r="B2491" i="22"/>
  <c r="U2434" i="22"/>
  <c r="AV47" i="22"/>
  <c r="BH47" i="22"/>
  <c r="D2435" i="22"/>
  <c r="J2435" i="22"/>
  <c r="P2435" i="22"/>
  <c r="Q2435" i="22"/>
  <c r="R2435" i="22"/>
  <c r="L2436" i="22"/>
  <c r="C2436" i="22"/>
  <c r="K2436" i="22" s="1"/>
  <c r="E2436" i="22"/>
  <c r="F2436" i="22"/>
  <c r="O2436" i="22" s="1"/>
  <c r="BV47" i="22" s="1"/>
  <c r="G2436" i="22"/>
  <c r="I2436" i="22"/>
  <c r="B2437" i="22"/>
  <c r="U2380" i="22"/>
  <c r="AV46" i="22"/>
  <c r="BH46" i="22"/>
  <c r="D2381" i="22"/>
  <c r="J2381" i="22"/>
  <c r="P2381" i="22"/>
  <c r="Q2381" i="22"/>
  <c r="R2381" i="22"/>
  <c r="L2382" i="22"/>
  <c r="C2382" i="22"/>
  <c r="K2382" i="22" s="1"/>
  <c r="E2382" i="22"/>
  <c r="F2382" i="22"/>
  <c r="O2382" i="22" s="1"/>
  <c r="BV46" i="22" s="1"/>
  <c r="G2382" i="22"/>
  <c r="I2382" i="22"/>
  <c r="B2383" i="22"/>
  <c r="D2327" i="22"/>
  <c r="J2327" i="22"/>
  <c r="P2327" i="22"/>
  <c r="Q2327" i="22"/>
  <c r="R2327" i="22"/>
  <c r="L2328" i="22"/>
  <c r="C2328" i="22"/>
  <c r="K2328" i="22" s="1"/>
  <c r="E2328" i="22"/>
  <c r="F2328" i="22"/>
  <c r="O2328" i="22" s="1"/>
  <c r="BV45" i="22" s="1"/>
  <c r="G2328" i="22"/>
  <c r="I2328" i="22"/>
  <c r="B2329" i="22"/>
  <c r="U2272" i="22"/>
  <c r="AV44" i="22"/>
  <c r="BH44" i="22"/>
  <c r="M2273" i="22"/>
  <c r="D2273" i="22"/>
  <c r="J2273" i="22"/>
  <c r="N2273" i="22" s="1"/>
  <c r="BU44" i="22"/>
  <c r="P2273" i="22"/>
  <c r="Q2273" i="22"/>
  <c r="R2273" i="22"/>
  <c r="L2274" i="22"/>
  <c r="B2275" i="22"/>
  <c r="E2274" i="22"/>
  <c r="G2274" i="22"/>
  <c r="I2274" i="22"/>
  <c r="C2274" i="22"/>
  <c r="U2218" i="22"/>
  <c r="AV43" i="22"/>
  <c r="BH43" i="22"/>
  <c r="M2219" i="22"/>
  <c r="D2219" i="22"/>
  <c r="J2219" i="22"/>
  <c r="N2219" i="22" s="1"/>
  <c r="I2233" i="22"/>
  <c r="CK43" i="22" s="1"/>
  <c r="BU43" i="22"/>
  <c r="P2219" i="22"/>
  <c r="Q2219" i="22"/>
  <c r="R2219" i="22"/>
  <c r="L2220" i="22"/>
  <c r="C2220" i="22"/>
  <c r="K2220" i="22" s="1"/>
  <c r="E2220" i="22"/>
  <c r="F2220" i="22"/>
  <c r="O2220" i="22" s="1"/>
  <c r="BV43" i="22" s="1"/>
  <c r="G2220" i="22"/>
  <c r="I2220" i="22"/>
  <c r="B2221" i="22"/>
  <c r="U2164" i="22"/>
  <c r="AV42" i="22"/>
  <c r="BH42" i="22"/>
  <c r="M2165" i="22"/>
  <c r="D2165" i="22"/>
  <c r="J2165" i="22"/>
  <c r="N2165" i="22" s="1"/>
  <c r="P2165" i="22"/>
  <c r="Q2165" i="22"/>
  <c r="R2165" i="22"/>
  <c r="L2166" i="22"/>
  <c r="C2166" i="22"/>
  <c r="K2166" i="22" s="1"/>
  <c r="E2166" i="22"/>
  <c r="F2166" i="22"/>
  <c r="O2166" i="22" s="1"/>
  <c r="G2166" i="22"/>
  <c r="I2166" i="22"/>
  <c r="B2167" i="22"/>
  <c r="U2110" i="22"/>
  <c r="AV41" i="22"/>
  <c r="BH41" i="22"/>
  <c r="M2111" i="22"/>
  <c r="D2111" i="22"/>
  <c r="J2111" i="22"/>
  <c r="N2111" i="22" s="1"/>
  <c r="P2111" i="22"/>
  <c r="Q2111" i="22"/>
  <c r="R2111" i="22"/>
  <c r="L2112" i="22"/>
  <c r="C2112" i="22"/>
  <c r="K2112" i="22" s="1"/>
  <c r="E2112" i="22"/>
  <c r="F2112" i="22"/>
  <c r="O2112" i="22" s="1"/>
  <c r="G2112" i="22"/>
  <c r="I2112" i="22"/>
  <c r="B2113" i="22"/>
  <c r="U2056" i="22"/>
  <c r="AV40" i="22"/>
  <c r="BH40" i="22"/>
  <c r="M2057" i="22"/>
  <c r="D2057" i="22"/>
  <c r="J2057" i="22"/>
  <c r="N2057" i="22" s="1"/>
  <c r="P2057" i="22"/>
  <c r="Q2057" i="22"/>
  <c r="R2057" i="22"/>
  <c r="L2058" i="22"/>
  <c r="C2058" i="22"/>
  <c r="K2058" i="22" s="1"/>
  <c r="E2058" i="22"/>
  <c r="F2058" i="22"/>
  <c r="O2058" i="22" s="1"/>
  <c r="G2058" i="22"/>
  <c r="I2058" i="22"/>
  <c r="B2059" i="22"/>
  <c r="U2002" i="22"/>
  <c r="AV39" i="22"/>
  <c r="BH39" i="22"/>
  <c r="M2003" i="22"/>
  <c r="D2003" i="22"/>
  <c r="J2003" i="22"/>
  <c r="N2003" i="22" s="1"/>
  <c r="P2003" i="22"/>
  <c r="Q2003" i="22"/>
  <c r="R2003" i="22"/>
  <c r="L2004" i="22"/>
  <c r="C2004" i="22"/>
  <c r="K2004" i="22" s="1"/>
  <c r="E2004" i="22"/>
  <c r="F2004" i="22"/>
  <c r="O2004" i="22" s="1"/>
  <c r="G2004" i="22"/>
  <c r="I2004" i="22"/>
  <c r="B2005" i="22"/>
  <c r="M1949" i="22"/>
  <c r="D1949" i="22"/>
  <c r="J1949" i="22"/>
  <c r="N1949" i="22" s="1"/>
  <c r="P1949" i="22"/>
  <c r="Q1949" i="22"/>
  <c r="R1949" i="22"/>
  <c r="L1950" i="22"/>
  <c r="C1950" i="22"/>
  <c r="K1950" i="22" s="1"/>
  <c r="E1950" i="22"/>
  <c r="F1950" i="22"/>
  <c r="O1950" i="22" s="1"/>
  <c r="G1950" i="22"/>
  <c r="I1950" i="22"/>
  <c r="B1951" i="22"/>
  <c r="D1895" i="22"/>
  <c r="J1895" i="22"/>
  <c r="P1895" i="22"/>
  <c r="Q1895" i="22"/>
  <c r="R1895" i="22"/>
  <c r="L1896" i="22"/>
  <c r="C1896" i="22"/>
  <c r="E1896" i="22"/>
  <c r="G1896" i="22"/>
  <c r="I1896" i="22"/>
  <c r="B1897" i="22"/>
  <c r="U1840" i="22"/>
  <c r="AV36" i="22"/>
  <c r="BH36" i="22"/>
  <c r="D1841" i="22"/>
  <c r="J1841" i="22"/>
  <c r="P1841" i="22"/>
  <c r="Q1841" i="22"/>
  <c r="R1841" i="22"/>
  <c r="L1842" i="22"/>
  <c r="C1842" i="22"/>
  <c r="K1842" i="22" s="1"/>
  <c r="E1842" i="22"/>
  <c r="F1842" i="22"/>
  <c r="O1842" i="22" s="1"/>
  <c r="BV36" i="22" s="1"/>
  <c r="G1842" i="22"/>
  <c r="I1842" i="22"/>
  <c r="B1843" i="22"/>
  <c r="U1786" i="22"/>
  <c r="AV35" i="22"/>
  <c r="BH35" i="22"/>
  <c r="M1787" i="22"/>
  <c r="D1787" i="22"/>
  <c r="J1787" i="22"/>
  <c r="N1787" i="22" s="1"/>
  <c r="BU35" i="22"/>
  <c r="P1787" i="22"/>
  <c r="Q1787" i="22"/>
  <c r="R1787" i="22"/>
  <c r="L1788" i="22"/>
  <c r="C1788" i="22"/>
  <c r="K1788" i="22" s="1"/>
  <c r="E1788" i="22"/>
  <c r="F1788" i="22"/>
  <c r="O1788" i="22" s="1"/>
  <c r="G1788" i="22"/>
  <c r="I1788" i="22"/>
  <c r="B1789" i="22"/>
  <c r="U1732" i="22"/>
  <c r="AV34" i="22"/>
  <c r="BH34" i="22"/>
  <c r="D1733" i="22"/>
  <c r="J1733" i="22"/>
  <c r="P1733" i="22"/>
  <c r="Q1733" i="22"/>
  <c r="R1733" i="22"/>
  <c r="L1734" i="22"/>
  <c r="C1734" i="22"/>
  <c r="K1734" i="22" s="1"/>
  <c r="E1734" i="22"/>
  <c r="F1734" i="22"/>
  <c r="O1734" i="22" s="1"/>
  <c r="BV34" i="22" s="1"/>
  <c r="G1734" i="22"/>
  <c r="I1734" i="22"/>
  <c r="B1735" i="22"/>
  <c r="U1678" i="22"/>
  <c r="AV33" i="22"/>
  <c r="BH33" i="22"/>
  <c r="D1679" i="22"/>
  <c r="J1679" i="22"/>
  <c r="P1679" i="22"/>
  <c r="Q1679" i="22"/>
  <c r="R1679" i="22"/>
  <c r="L1680" i="22"/>
  <c r="C1680" i="22"/>
  <c r="E1680" i="22"/>
  <c r="G1680" i="22"/>
  <c r="I1680" i="22"/>
  <c r="B1681" i="22"/>
  <c r="U1624" i="22"/>
  <c r="AV32" i="22"/>
  <c r="BH32" i="22"/>
  <c r="D1625" i="22"/>
  <c r="J1625" i="22"/>
  <c r="P1625" i="22"/>
  <c r="Q1625" i="22"/>
  <c r="R1625" i="22"/>
  <c r="L1626" i="22"/>
  <c r="C1626" i="22"/>
  <c r="K1626" i="22" s="1"/>
  <c r="E1626" i="22"/>
  <c r="F1626" i="22"/>
  <c r="O1626" i="22" s="1"/>
  <c r="BV32" i="22" s="1"/>
  <c r="G1626" i="22"/>
  <c r="I1626" i="22"/>
  <c r="B1627" i="22"/>
  <c r="U1570" i="22"/>
  <c r="AV31" i="22"/>
  <c r="BH31" i="22"/>
  <c r="D1571" i="22"/>
  <c r="J1571" i="22"/>
  <c r="P1571" i="22"/>
  <c r="Q1571" i="22"/>
  <c r="R1571" i="22"/>
  <c r="L1572" i="22"/>
  <c r="C1572" i="22"/>
  <c r="E1572" i="22"/>
  <c r="G1572" i="22"/>
  <c r="I1572" i="22"/>
  <c r="B1573" i="22"/>
  <c r="U1516" i="22"/>
  <c r="AV30" i="22"/>
  <c r="BH30" i="22"/>
  <c r="M1517" i="22"/>
  <c r="D1517" i="22"/>
  <c r="J1517" i="22"/>
  <c r="N1517" i="22" s="1"/>
  <c r="P1517" i="22"/>
  <c r="Q1517" i="22"/>
  <c r="R1517" i="22"/>
  <c r="L1518" i="22"/>
  <c r="C1518" i="22"/>
  <c r="E1518" i="22"/>
  <c r="G1518" i="22"/>
  <c r="I1518" i="22"/>
  <c r="B1519" i="22"/>
  <c r="M1463" i="22"/>
  <c r="D1463" i="22"/>
  <c r="J1463" i="22"/>
  <c r="N1463" i="22" s="1"/>
  <c r="P1463" i="22"/>
  <c r="Q1463" i="22"/>
  <c r="R1463" i="22"/>
  <c r="L1464" i="22"/>
  <c r="C1464" i="22"/>
  <c r="K1464" i="22" s="1"/>
  <c r="E1464" i="22"/>
  <c r="F1464" i="22"/>
  <c r="O1464" i="22" s="1"/>
  <c r="G1464" i="22"/>
  <c r="I1464" i="22"/>
  <c r="B1465" i="22"/>
  <c r="U1408" i="22"/>
  <c r="AV28" i="22"/>
  <c r="BH28" i="22"/>
  <c r="M1409" i="22"/>
  <c r="D1409" i="22"/>
  <c r="J1409" i="22"/>
  <c r="N1409" i="22" s="1"/>
  <c r="BU28" i="22"/>
  <c r="P1409" i="22"/>
  <c r="Q1409" i="22"/>
  <c r="R1409" i="22"/>
  <c r="L1410" i="22"/>
  <c r="C1410" i="22"/>
  <c r="E1410" i="22"/>
  <c r="G1410" i="22"/>
  <c r="I1410" i="22"/>
  <c r="B1411" i="22"/>
  <c r="U1354" i="22"/>
  <c r="AV27" i="22"/>
  <c r="BH27" i="22"/>
  <c r="M1355" i="22"/>
  <c r="D1355" i="22"/>
  <c r="J1355" i="22"/>
  <c r="N1355" i="22" s="1"/>
  <c r="BU27" i="22"/>
  <c r="P1355" i="22"/>
  <c r="Q1355" i="22"/>
  <c r="R1355" i="22"/>
  <c r="L1356" i="22"/>
  <c r="C1356" i="22"/>
  <c r="E1356" i="22"/>
  <c r="G1356" i="22"/>
  <c r="I1356" i="22"/>
  <c r="B1357" i="22"/>
  <c r="U1300" i="22"/>
  <c r="AV26" i="22"/>
  <c r="BH26" i="22"/>
  <c r="M1301" i="22"/>
  <c r="D1301" i="22"/>
  <c r="J1301" i="22"/>
  <c r="N1301" i="22" s="1"/>
  <c r="P1301" i="22"/>
  <c r="Q1301" i="22"/>
  <c r="R1301" i="22"/>
  <c r="L1302" i="22"/>
  <c r="C1302" i="22"/>
  <c r="K1302" i="22" s="1"/>
  <c r="E1302" i="22"/>
  <c r="F1302" i="22"/>
  <c r="O1302" i="22" s="1"/>
  <c r="G1302" i="22"/>
  <c r="I1302" i="22"/>
  <c r="B1303" i="22"/>
  <c r="U1246" i="22"/>
  <c r="AV25" i="22"/>
  <c r="BH25" i="22"/>
  <c r="M1247" i="22"/>
  <c r="D1247" i="22"/>
  <c r="J1247" i="22"/>
  <c r="N1247" i="22" s="1"/>
  <c r="P1247" i="22"/>
  <c r="Q1247" i="22"/>
  <c r="R1247" i="22"/>
  <c r="L1248" i="22"/>
  <c r="C1248" i="22"/>
  <c r="E1248" i="22"/>
  <c r="G1248" i="22"/>
  <c r="I1248" i="22"/>
  <c r="B1249" i="22"/>
  <c r="K123" i="7"/>
  <c r="K61" i="7"/>
  <c r="U1192" i="22"/>
  <c r="AV24" i="22"/>
  <c r="BH24" i="22"/>
  <c r="D1193" i="22"/>
  <c r="J1193" i="22"/>
  <c r="P1193" i="22"/>
  <c r="Q1193" i="22"/>
  <c r="R1193" i="22"/>
  <c r="L1194" i="22"/>
  <c r="C1194" i="22"/>
  <c r="K1194" i="22" s="1"/>
  <c r="E1194" i="22"/>
  <c r="F1194" i="22"/>
  <c r="O1194" i="22" s="1"/>
  <c r="G1194" i="22"/>
  <c r="I1194" i="22"/>
  <c r="B1195" i="22"/>
  <c r="K122" i="7"/>
  <c r="K60" i="7"/>
  <c r="U1138" i="22"/>
  <c r="AV23" i="22"/>
  <c r="BH23" i="22"/>
  <c r="D1139" i="22"/>
  <c r="J1139" i="22"/>
  <c r="P1139" i="22"/>
  <c r="Q1139" i="22"/>
  <c r="R1139" i="22"/>
  <c r="L1140" i="22"/>
  <c r="C1140" i="22"/>
  <c r="K1140" i="22" s="1"/>
  <c r="E1140" i="22"/>
  <c r="F1140" i="22"/>
  <c r="O1140" i="22" s="1"/>
  <c r="G1140" i="22"/>
  <c r="I1140" i="22"/>
  <c r="B1141" i="22"/>
  <c r="M1085" i="22"/>
  <c r="D1085" i="22"/>
  <c r="J1085" i="22"/>
  <c r="N1085" i="22" s="1"/>
  <c r="L90" i="7"/>
  <c r="BU22" i="22"/>
  <c r="P1085" i="22"/>
  <c r="Q1085" i="22"/>
  <c r="R1085" i="22"/>
  <c r="L1086" i="22"/>
  <c r="C1086" i="22"/>
  <c r="K1086" i="22" s="1"/>
  <c r="E1086" i="22"/>
  <c r="F1086" i="22"/>
  <c r="O1086" i="22" s="1"/>
  <c r="I1099" i="22" s="1"/>
  <c r="G1086" i="22"/>
  <c r="I1086" i="22"/>
  <c r="B1087" i="22"/>
  <c r="K120" i="7"/>
  <c r="K58" i="7"/>
  <c r="U1030" i="22"/>
  <c r="AV21" i="22"/>
  <c r="BH21" i="22"/>
  <c r="M1031" i="22"/>
  <c r="J1031" i="22"/>
  <c r="N1031" i="22" s="1"/>
  <c r="D1031" i="22"/>
  <c r="L89" i="7"/>
  <c r="BU21" i="22"/>
  <c r="P1031" i="22"/>
  <c r="Q1031" i="22"/>
  <c r="R1031" i="22"/>
  <c r="L1032" i="22"/>
  <c r="I1032" i="22"/>
  <c r="E1032" i="22"/>
  <c r="C1032" i="22"/>
  <c r="K1032" i="22" s="1"/>
  <c r="B1033" i="22"/>
  <c r="F1032" i="22"/>
  <c r="O1032" i="22" s="1"/>
  <c r="G1032" i="22"/>
  <c r="K119" i="7"/>
  <c r="K57" i="7"/>
  <c r="U976" i="22"/>
  <c r="AV20" i="22"/>
  <c r="BH20" i="22"/>
  <c r="M977" i="22"/>
  <c r="D977" i="22"/>
  <c r="J977" i="22"/>
  <c r="N977" i="22" s="1"/>
  <c r="L88" i="7"/>
  <c r="BU20" i="22"/>
  <c r="P977" i="22"/>
  <c r="Q977" i="22"/>
  <c r="R977" i="22"/>
  <c r="L978" i="22"/>
  <c r="C978" i="22"/>
  <c r="E978" i="22"/>
  <c r="G978" i="22"/>
  <c r="I978" i="22"/>
  <c r="B979" i="22"/>
  <c r="K118" i="7"/>
  <c r="K56" i="7"/>
  <c r="U922" i="22"/>
  <c r="AV19" i="22"/>
  <c r="BH19" i="22"/>
  <c r="M923" i="22"/>
  <c r="D923" i="22"/>
  <c r="J923" i="22"/>
  <c r="N923" i="22" s="1"/>
  <c r="L87" i="7"/>
  <c r="BU19" i="22"/>
  <c r="P923" i="22"/>
  <c r="Q923" i="22"/>
  <c r="R923" i="22"/>
  <c r="L924" i="22"/>
  <c r="C924" i="22"/>
  <c r="E924" i="22"/>
  <c r="G924" i="22"/>
  <c r="I924" i="22"/>
  <c r="B925" i="22"/>
  <c r="K117" i="7"/>
  <c r="K55" i="7"/>
  <c r="U868" i="22"/>
  <c r="AV18" i="22"/>
  <c r="BH18" i="22"/>
  <c r="M869" i="22"/>
  <c r="D869" i="22"/>
  <c r="J869" i="22"/>
  <c r="N869" i="22" s="1"/>
  <c r="L86" i="7"/>
  <c r="BU18" i="22"/>
  <c r="P869" i="22"/>
  <c r="Q869" i="22"/>
  <c r="R869" i="22"/>
  <c r="L870" i="22"/>
  <c r="C870" i="22"/>
  <c r="E870" i="22"/>
  <c r="G870" i="22"/>
  <c r="I870" i="22"/>
  <c r="B871" i="22"/>
  <c r="K116" i="7"/>
  <c r="K54" i="7"/>
  <c r="U814" i="22"/>
  <c r="AV17" i="22"/>
  <c r="BH17" i="22"/>
  <c r="D815" i="22"/>
  <c r="J815" i="22"/>
  <c r="P815" i="22"/>
  <c r="Q815" i="22"/>
  <c r="R815" i="22"/>
  <c r="L816" i="22"/>
  <c r="C816" i="22"/>
  <c r="K816" i="22" s="1"/>
  <c r="E816" i="22"/>
  <c r="F816" i="22"/>
  <c r="O816" i="22" s="1"/>
  <c r="G816" i="22"/>
  <c r="I816" i="22"/>
  <c r="B817" i="22"/>
  <c r="K115" i="7"/>
  <c r="K53" i="7"/>
  <c r="U760" i="22"/>
  <c r="AV16" i="22"/>
  <c r="BH16" i="22"/>
  <c r="M761" i="22"/>
  <c r="D761" i="22"/>
  <c r="J761" i="22"/>
  <c r="N761" i="22" s="1"/>
  <c r="L84" i="7"/>
  <c r="BU16" i="22"/>
  <c r="P761" i="22"/>
  <c r="Q761" i="22"/>
  <c r="R761" i="22"/>
  <c r="L762" i="22"/>
  <c r="C762" i="22"/>
  <c r="K762" i="22" s="1"/>
  <c r="E762" i="22"/>
  <c r="F762" i="22"/>
  <c r="O762" i="22" s="1"/>
  <c r="I775" i="22" s="1"/>
  <c r="G762" i="22"/>
  <c r="I762" i="22"/>
  <c r="B763" i="22"/>
  <c r="M707" i="22"/>
  <c r="D707" i="22"/>
  <c r="J707" i="22"/>
  <c r="N707" i="22" s="1"/>
  <c r="L83" i="7"/>
  <c r="BU15" i="22"/>
  <c r="P707" i="22"/>
  <c r="Q707" i="22"/>
  <c r="R707" i="22"/>
  <c r="L708" i="22"/>
  <c r="C708" i="22"/>
  <c r="K708" i="22" s="1"/>
  <c r="E708" i="22"/>
  <c r="F708" i="22"/>
  <c r="O708" i="22" s="1"/>
  <c r="I721" i="22" s="1"/>
  <c r="G708" i="22"/>
  <c r="I708" i="22"/>
  <c r="B709" i="22"/>
  <c r="K113" i="7"/>
  <c r="K51" i="7"/>
  <c r="U652" i="22"/>
  <c r="AV14" i="22"/>
  <c r="BH14" i="22"/>
  <c r="M653" i="22"/>
  <c r="D653" i="22"/>
  <c r="J653" i="22"/>
  <c r="N653" i="22" s="1"/>
  <c r="L82" i="7"/>
  <c r="BU14" i="22"/>
  <c r="P653" i="22"/>
  <c r="Q653" i="22"/>
  <c r="R653" i="22"/>
  <c r="L654" i="22"/>
  <c r="C654" i="22"/>
  <c r="K654" i="22" s="1"/>
  <c r="E654" i="22"/>
  <c r="F654" i="22"/>
  <c r="O654" i="22" s="1"/>
  <c r="I667" i="22" s="1"/>
  <c r="G654" i="22"/>
  <c r="I654" i="22"/>
  <c r="B655" i="22"/>
  <c r="K50" i="7"/>
  <c r="K112" i="7"/>
  <c r="U598" i="22"/>
  <c r="AV13" i="22"/>
  <c r="BH13" i="22"/>
  <c r="M599" i="22"/>
  <c r="D599" i="22"/>
  <c r="J599" i="22"/>
  <c r="N599" i="22" s="1"/>
  <c r="L81" i="7"/>
  <c r="BU13" i="22"/>
  <c r="P599" i="22"/>
  <c r="Q599" i="22"/>
  <c r="R599" i="22"/>
  <c r="L600" i="22"/>
  <c r="C600" i="22"/>
  <c r="K600" i="22" s="1"/>
  <c r="E600" i="22"/>
  <c r="F600" i="22"/>
  <c r="O600" i="22" s="1"/>
  <c r="G600" i="22"/>
  <c r="I600" i="22"/>
  <c r="B601" i="22"/>
  <c r="K111" i="7"/>
  <c r="K49" i="7"/>
  <c r="U544" i="22"/>
  <c r="AV12" i="22"/>
  <c r="BH12" i="22"/>
  <c r="M545" i="22"/>
  <c r="D545" i="22"/>
  <c r="J545" i="22"/>
  <c r="N545" i="22" s="1"/>
  <c r="L80" i="7"/>
  <c r="BU12" i="22"/>
  <c r="P545" i="22"/>
  <c r="Q545" i="22"/>
  <c r="R545" i="22"/>
  <c r="L546" i="22"/>
  <c r="C546" i="22"/>
  <c r="E546" i="22"/>
  <c r="G546" i="22"/>
  <c r="I546" i="22"/>
  <c r="B547" i="22"/>
  <c r="K110" i="7"/>
  <c r="K48" i="7"/>
  <c r="U490" i="22"/>
  <c r="AV11" i="22"/>
  <c r="BH11" i="22"/>
  <c r="D491" i="22"/>
  <c r="J491" i="22"/>
  <c r="P491" i="22"/>
  <c r="Q491" i="22"/>
  <c r="R491" i="22"/>
  <c r="L492" i="22"/>
  <c r="C492" i="22"/>
  <c r="K492" i="22" s="1"/>
  <c r="E492" i="22"/>
  <c r="F492" i="22"/>
  <c r="O492" i="22" s="1"/>
  <c r="G492" i="22"/>
  <c r="I492" i="22"/>
  <c r="B493" i="22"/>
  <c r="K47" i="7"/>
  <c r="K109" i="7"/>
  <c r="U436" i="22"/>
  <c r="AV10" i="22"/>
  <c r="BH10" i="22"/>
  <c r="M437" i="22"/>
  <c r="P437" i="22"/>
  <c r="Q437" i="22"/>
  <c r="R437" i="22"/>
  <c r="L438" i="22"/>
  <c r="G438" i="22"/>
  <c r="B439" i="22"/>
  <c r="C438" i="22"/>
  <c r="E438" i="22"/>
  <c r="I438" i="22"/>
  <c r="D437" i="22"/>
  <c r="J437" i="22"/>
  <c r="N437" i="22" s="1"/>
  <c r="L78" i="7"/>
  <c r="BU10" i="22"/>
  <c r="K108" i="7"/>
  <c r="K46" i="7"/>
  <c r="U382" i="22"/>
  <c r="AV9" i="22"/>
  <c r="BH9" i="22"/>
  <c r="M383" i="22"/>
  <c r="D383" i="22"/>
  <c r="J383" i="22"/>
  <c r="N383" i="22" s="1"/>
  <c r="L77" i="7"/>
  <c r="BU9" i="22"/>
  <c r="P383" i="22"/>
  <c r="Q383" i="22"/>
  <c r="R383" i="22"/>
  <c r="L384" i="22"/>
  <c r="C384" i="22"/>
  <c r="K384" i="22" s="1"/>
  <c r="E384" i="22"/>
  <c r="F384" i="22"/>
  <c r="O384" i="22" s="1"/>
  <c r="I397" i="22" s="1"/>
  <c r="G384" i="22"/>
  <c r="I384" i="22"/>
  <c r="B385" i="22"/>
  <c r="M329" i="22"/>
  <c r="D329" i="22"/>
  <c r="J329" i="22"/>
  <c r="N329" i="22" s="1"/>
  <c r="L76" i="7"/>
  <c r="BU8" i="22"/>
  <c r="P329" i="22"/>
  <c r="Q329" i="22"/>
  <c r="R329" i="22"/>
  <c r="L330" i="22"/>
  <c r="C330" i="22"/>
  <c r="K330" i="22" s="1"/>
  <c r="E330" i="22"/>
  <c r="F330" i="22"/>
  <c r="O330" i="22" s="1"/>
  <c r="I343" i="22" s="1"/>
  <c r="G330" i="22"/>
  <c r="I330" i="22"/>
  <c r="B331" i="22"/>
  <c r="K106" i="7"/>
  <c r="K44" i="7"/>
  <c r="U274" i="22"/>
  <c r="AV7" i="22"/>
  <c r="BH7" i="22"/>
  <c r="M275" i="22"/>
  <c r="D275" i="22"/>
  <c r="J275" i="22"/>
  <c r="N275" i="22" s="1"/>
  <c r="BU7" i="22"/>
  <c r="P275" i="22"/>
  <c r="Q275" i="22"/>
  <c r="R275" i="22"/>
  <c r="L276" i="22"/>
  <c r="C276" i="22"/>
  <c r="E276" i="22"/>
  <c r="G276" i="22"/>
  <c r="I276" i="22"/>
  <c r="B277" i="22"/>
  <c r="K105" i="7"/>
  <c r="K43" i="7"/>
  <c r="U220" i="22"/>
  <c r="AV6" i="22"/>
  <c r="BH6" i="22"/>
  <c r="M221" i="22"/>
  <c r="D221" i="22"/>
  <c r="J221" i="22"/>
  <c r="N221" i="22" s="1"/>
  <c r="L74" i="7"/>
  <c r="BU6" i="22"/>
  <c r="P221" i="22"/>
  <c r="Q221" i="22"/>
  <c r="R221" i="22"/>
  <c r="L222" i="22"/>
  <c r="C222" i="22"/>
  <c r="E222" i="22"/>
  <c r="G222" i="22"/>
  <c r="I222" i="22"/>
  <c r="B223" i="22"/>
  <c r="K104" i="7"/>
  <c r="K42" i="7"/>
  <c r="U166" i="22"/>
  <c r="AV5" i="22"/>
  <c r="BH5" i="22"/>
  <c r="D167" i="22"/>
  <c r="J167" i="22"/>
  <c r="P167" i="22"/>
  <c r="Q167" i="22"/>
  <c r="R167" i="22"/>
  <c r="L168" i="22"/>
  <c r="I168" i="22"/>
  <c r="C168" i="22"/>
  <c r="E168" i="22"/>
  <c r="G168" i="22"/>
  <c r="B169" i="22"/>
  <c r="K103" i="7"/>
  <c r="K41" i="7"/>
  <c r="U112" i="22"/>
  <c r="AV4" i="22"/>
  <c r="BH4" i="22"/>
  <c r="D113" i="22"/>
  <c r="J113" i="22"/>
  <c r="P113" i="22"/>
  <c r="Q113" i="22"/>
  <c r="R113" i="22"/>
  <c r="L114" i="22"/>
  <c r="C114" i="22"/>
  <c r="K114" i="22" s="1"/>
  <c r="E114" i="22"/>
  <c r="F114" i="22"/>
  <c r="O114" i="22" s="1"/>
  <c r="G114" i="22"/>
  <c r="B115" i="22"/>
  <c r="I114" i="22"/>
  <c r="G100" i="12"/>
  <c r="E48" i="10"/>
  <c r="E43" i="10"/>
  <c r="E45" i="10"/>
  <c r="F50" i="18"/>
  <c r="E46" i="10"/>
  <c r="G50" i="18"/>
  <c r="E47" i="10"/>
  <c r="H50" i="18"/>
  <c r="N103" i="12"/>
  <c r="E103" i="12"/>
  <c r="O51" i="17"/>
  <c r="BC51" i="17"/>
  <c r="BB51" i="17"/>
  <c r="BA51" i="17"/>
  <c r="AZ51" i="17"/>
  <c r="AY51" i="17"/>
  <c r="AX51" i="17"/>
  <c r="AW51" i="17"/>
  <c r="AV51" i="17"/>
  <c r="AU51" i="17"/>
  <c r="AT51" i="17"/>
  <c r="AS51" i="17"/>
  <c r="AR51" i="17"/>
  <c r="AQ51" i="17"/>
  <c r="AP51" i="17"/>
  <c r="AO51" i="17"/>
  <c r="AN51" i="17"/>
  <c r="AM51" i="17"/>
  <c r="AL51" i="17"/>
  <c r="AK51" i="17"/>
  <c r="AJ51" i="17"/>
  <c r="AI51" i="17"/>
  <c r="AH51" i="17"/>
  <c r="AG51" i="17"/>
  <c r="AF51" i="17"/>
  <c r="AE51" i="17"/>
  <c r="AD51" i="17"/>
  <c r="AC51" i="17"/>
  <c r="AB51" i="17"/>
  <c r="AA51" i="17"/>
  <c r="Z51" i="17"/>
  <c r="Y51" i="17"/>
  <c r="X51" i="17"/>
  <c r="W51" i="17"/>
  <c r="P51" i="17"/>
  <c r="Q51" i="17"/>
  <c r="R51" i="17"/>
  <c r="V51" i="17"/>
  <c r="J51" i="17"/>
  <c r="D51" i="17"/>
  <c r="M51" i="17"/>
  <c r="N51" i="17"/>
  <c r="I52" i="17"/>
  <c r="L52" i="17"/>
  <c r="C52" i="17"/>
  <c r="E52" i="17"/>
  <c r="F52" i="17"/>
  <c r="C52" i="18" s="1"/>
  <c r="E52" i="18" s="1"/>
  <c r="G52" i="17"/>
  <c r="K52" i="17"/>
  <c r="B53" i="17"/>
  <c r="B52" i="18"/>
  <c r="BF47" i="17"/>
  <c r="BF44" i="17"/>
  <c r="BF43" i="17"/>
  <c r="BF42" i="17"/>
  <c r="BF28" i="17"/>
  <c r="BF27" i="17"/>
  <c r="BF26" i="17"/>
  <c r="BF25" i="17"/>
  <c r="BF24" i="17"/>
  <c r="BF23" i="17"/>
  <c r="BF22" i="17"/>
  <c r="BF21" i="17"/>
  <c r="BF20" i="17"/>
  <c r="BF19" i="17"/>
  <c r="BF18" i="17"/>
  <c r="BF17" i="17"/>
  <c r="BE17" i="17"/>
  <c r="BE18" i="17"/>
  <c r="BE19" i="17"/>
  <c r="BE20" i="17"/>
  <c r="BE21" i="17"/>
  <c r="BE22" i="17"/>
  <c r="BE23" i="17"/>
  <c r="BE24" i="17"/>
  <c r="BE25" i="17"/>
  <c r="BE26" i="17"/>
  <c r="BE27" i="17"/>
  <c r="BE28" i="17"/>
  <c r="BE29" i="17"/>
  <c r="BF29" i="17" s="1"/>
  <c r="BE30" i="17"/>
  <c r="BF30" i="17" s="1"/>
  <c r="BE31" i="17"/>
  <c r="BF31" i="17" s="1"/>
  <c r="BE34" i="17"/>
  <c r="BF34" i="17" s="1"/>
  <c r="BE35" i="17"/>
  <c r="BF35" i="17" s="1"/>
  <c r="BE37" i="17"/>
  <c r="BF37" i="17" s="1"/>
  <c r="BE40" i="17"/>
  <c r="BF40" i="17" s="1"/>
  <c r="BE41" i="17"/>
  <c r="BF41" i="17" s="1"/>
  <c r="BE45" i="17"/>
  <c r="BF45" i="17" s="1"/>
  <c r="BE46" i="17"/>
  <c r="BF46" i="17" s="1"/>
  <c r="BE48" i="17"/>
  <c r="BF48" i="17" s="1"/>
  <c r="BE49" i="17"/>
  <c r="BF49" i="17" s="1"/>
  <c r="BE32" i="17"/>
  <c r="BF32" i="17" s="1"/>
  <c r="BE33" i="17"/>
  <c r="BF33" i="17" s="1"/>
  <c r="BE36" i="17"/>
  <c r="BF36" i="17" s="1"/>
  <c r="BE38" i="17"/>
  <c r="BF38" i="17" s="1"/>
  <c r="BE39" i="17"/>
  <c r="BF39" i="17" s="1"/>
  <c r="BE42" i="17"/>
  <c r="BE43" i="17"/>
  <c r="BE44" i="17"/>
  <c r="BE47" i="17"/>
  <c r="BE50" i="17"/>
  <c r="BF50" i="17" s="1"/>
  <c r="BE51" i="17"/>
  <c r="G105" i="8"/>
  <c r="G107" i="8"/>
  <c r="H49" i="8"/>
  <c r="AH728" i="23"/>
  <c r="AI1624" i="23"/>
  <c r="H104" i="8"/>
  <c r="C136" i="8"/>
  <c r="AD1625" i="23"/>
  <c r="AG1625" i="23"/>
  <c r="AD449" i="23"/>
  <c r="X1514" i="23"/>
  <c r="W1514" i="23"/>
  <c r="X1458" i="23"/>
  <c r="W1458" i="23"/>
  <c r="X1346" i="23"/>
  <c r="W1346" i="23"/>
  <c r="W730" i="23"/>
  <c r="X730" i="23"/>
  <c r="AH729" i="23"/>
  <c r="I49" i="8"/>
  <c r="X562" i="23"/>
  <c r="W562" i="23"/>
  <c r="U3675" i="22"/>
  <c r="AU70" i="22"/>
  <c r="BG70" i="22"/>
  <c r="U3567" i="22"/>
  <c r="AU68" i="22"/>
  <c r="BG68" i="22"/>
  <c r="U3135" i="22"/>
  <c r="AU60" i="22"/>
  <c r="BG60" i="22"/>
  <c r="U3081" i="22"/>
  <c r="AU59" i="22"/>
  <c r="BG59" i="22"/>
  <c r="U2973" i="22"/>
  <c r="AU57" i="22"/>
  <c r="BG57" i="22"/>
  <c r="AU56" i="22"/>
  <c r="BG56" i="22"/>
  <c r="U2919" i="22"/>
  <c r="U2865" i="22"/>
  <c r="AU55" i="22"/>
  <c r="BG55" i="22"/>
  <c r="S2811" i="22"/>
  <c r="AU54" i="22"/>
  <c r="BG54" i="22"/>
  <c r="U2595" i="22"/>
  <c r="AU50" i="22"/>
  <c r="BG50" i="22"/>
  <c r="U2541" i="22"/>
  <c r="AU49" i="22"/>
  <c r="BG49" i="22"/>
  <c r="U2487" i="22"/>
  <c r="AU48" i="22"/>
  <c r="BG48" i="22"/>
  <c r="U2433" i="22"/>
  <c r="AU47" i="22"/>
  <c r="BG47" i="22"/>
  <c r="U2163" i="22"/>
  <c r="AU42" i="22"/>
  <c r="BG42" i="22"/>
  <c r="U1677" i="22"/>
  <c r="AU33" i="22"/>
  <c r="BG33" i="22"/>
  <c r="U1299" i="22"/>
  <c r="AU26" i="22"/>
  <c r="BG26" i="22"/>
  <c r="J120" i="7"/>
  <c r="J58" i="7"/>
  <c r="U1029" i="22"/>
  <c r="AU21" i="22"/>
  <c r="BG21" i="22"/>
  <c r="J119" i="7"/>
  <c r="J57" i="7"/>
  <c r="U975" i="22"/>
  <c r="AU20" i="22"/>
  <c r="BG20" i="22"/>
  <c r="J118" i="7"/>
  <c r="J56" i="7"/>
  <c r="U921" i="22"/>
  <c r="AU19" i="22"/>
  <c r="BG19" i="22"/>
  <c r="J111" i="7"/>
  <c r="J49" i="7"/>
  <c r="U543" i="22"/>
  <c r="AU12" i="22"/>
  <c r="BG12" i="22"/>
  <c r="J109" i="7"/>
  <c r="J47" i="7"/>
  <c r="U435" i="22"/>
  <c r="AU10" i="22"/>
  <c r="BG10" i="22"/>
  <c r="J105" i="7"/>
  <c r="J43" i="7"/>
  <c r="U219" i="22"/>
  <c r="AU6" i="22"/>
  <c r="BG6" i="22"/>
  <c r="J104" i="7"/>
  <c r="J42" i="7"/>
  <c r="U165" i="22"/>
  <c r="AU5" i="22"/>
  <c r="BG5" i="22"/>
  <c r="U49" i="17"/>
  <c r="F51" i="12"/>
  <c r="M101" i="12"/>
  <c r="Q101" i="12" s="1"/>
  <c r="O101" i="12"/>
  <c r="AD1626" i="23"/>
  <c r="AG1626" i="23"/>
  <c r="M1403" i="23"/>
  <c r="N1403" i="23"/>
  <c r="AB1403" i="23"/>
  <c r="AC1403" i="23" s="1"/>
  <c r="O1403" i="23"/>
  <c r="Y1403" i="23" s="1"/>
  <c r="AB1347" i="23"/>
  <c r="AC1347" i="23" s="1"/>
  <c r="O1347" i="23"/>
  <c r="Y1347" i="23" s="1"/>
  <c r="N1347" i="23"/>
  <c r="M1347" i="23"/>
  <c r="M1291" i="23"/>
  <c r="N1291" i="23"/>
  <c r="AB1291" i="23"/>
  <c r="AC1291" i="23" s="1"/>
  <c r="O1291" i="23"/>
  <c r="Y1291" i="23" s="1"/>
  <c r="AD1122" i="23"/>
  <c r="AD898" i="23"/>
  <c r="AB899" i="23"/>
  <c r="AC899" i="23" s="1"/>
  <c r="O899" i="23"/>
  <c r="Y899" i="23" s="1"/>
  <c r="M899" i="23"/>
  <c r="N899" i="23"/>
  <c r="M731" i="23"/>
  <c r="N731" i="23"/>
  <c r="AB731" i="23"/>
  <c r="AC731" i="23" s="1"/>
  <c r="O731" i="23"/>
  <c r="Y731" i="23" s="1"/>
  <c r="M675" i="23"/>
  <c r="N675" i="23"/>
  <c r="AB675" i="23"/>
  <c r="AC675" i="23" s="1"/>
  <c r="O675" i="23"/>
  <c r="Y675" i="23" s="1"/>
  <c r="AB619" i="23"/>
  <c r="AC619" i="23" s="1"/>
  <c r="O619" i="23"/>
  <c r="Y619" i="23" s="1"/>
  <c r="M619" i="23"/>
  <c r="N619" i="23"/>
  <c r="AB451" i="23"/>
  <c r="AC451" i="23"/>
  <c r="O451" i="23"/>
  <c r="Y451" i="23" s="1"/>
  <c r="M451" i="23"/>
  <c r="N451" i="23"/>
  <c r="AD450" i="23"/>
  <c r="M4708" i="22"/>
  <c r="N4708" i="22"/>
  <c r="M4546" i="22"/>
  <c r="N4546" i="22"/>
  <c r="M3784" i="22"/>
  <c r="N3784" i="22"/>
  <c r="BT72" i="22"/>
  <c r="M3676" i="22"/>
  <c r="N3676" i="22"/>
  <c r="BT69" i="22"/>
  <c r="M3622" i="22"/>
  <c r="N3622" i="22"/>
  <c r="M3568" i="22"/>
  <c r="N3568" i="22"/>
  <c r="M3514" i="22"/>
  <c r="N3514" i="22"/>
  <c r="BT67" i="22"/>
  <c r="BT66" i="22"/>
  <c r="M3460" i="22"/>
  <c r="N3460" i="22"/>
  <c r="BT64" i="22"/>
  <c r="M3352" i="22"/>
  <c r="N3352" i="22"/>
  <c r="BT63" i="22"/>
  <c r="M3298" i="22"/>
  <c r="N3298" i="22"/>
  <c r="BT61" i="22"/>
  <c r="M3190" i="22"/>
  <c r="N3190" i="22"/>
  <c r="N3136" i="22"/>
  <c r="M3136" i="22"/>
  <c r="N3082" i="22"/>
  <c r="M3082" i="22"/>
  <c r="BT59" i="22"/>
  <c r="N2920" i="22"/>
  <c r="M2920" i="22"/>
  <c r="M2866" i="22"/>
  <c r="N2866" i="22"/>
  <c r="M2758" i="22"/>
  <c r="N2758" i="22"/>
  <c r="BT53" i="22"/>
  <c r="M2704" i="22"/>
  <c r="N2704" i="22"/>
  <c r="BT52" i="22"/>
  <c r="N2596" i="22"/>
  <c r="M2596" i="22"/>
  <c r="M2326" i="22"/>
  <c r="N2326" i="22"/>
  <c r="BT45" i="22"/>
  <c r="M1948" i="22"/>
  <c r="N1948" i="22"/>
  <c r="BT38" i="22"/>
  <c r="M1894" i="22"/>
  <c r="N1894" i="22"/>
  <c r="BT37" i="22"/>
  <c r="BT29" i="22"/>
  <c r="M1462" i="22"/>
  <c r="N1462" i="22"/>
  <c r="BT22" i="22"/>
  <c r="K90" i="7"/>
  <c r="M1084" i="22"/>
  <c r="N1084" i="22"/>
  <c r="M706" i="22"/>
  <c r="N706" i="22"/>
  <c r="BT15" i="22"/>
  <c r="K83" i="7"/>
  <c r="BT8" i="22"/>
  <c r="K76" i="7"/>
  <c r="M328" i="22"/>
  <c r="N328" i="22"/>
  <c r="X1627" i="23"/>
  <c r="W1627" i="23"/>
  <c r="X1571" i="23"/>
  <c r="W1571" i="23"/>
  <c r="X1515" i="23"/>
  <c r="W1515" i="23"/>
  <c r="K1516" i="23"/>
  <c r="F1516" i="23"/>
  <c r="X1459" i="23"/>
  <c r="W1459" i="23"/>
  <c r="K1460" i="23"/>
  <c r="F1460" i="23"/>
  <c r="K1404" i="23"/>
  <c r="F1404" i="23"/>
  <c r="K1348" i="23"/>
  <c r="F1348" i="23"/>
  <c r="X1235" i="23"/>
  <c r="W1235" i="23"/>
  <c r="X1179" i="23"/>
  <c r="W1179" i="23"/>
  <c r="X1123" i="23"/>
  <c r="W1123" i="23"/>
  <c r="X1067" i="23"/>
  <c r="W1067" i="23"/>
  <c r="X1011" i="23"/>
  <c r="W1011" i="23"/>
  <c r="F1012" i="23"/>
  <c r="K1012" i="23"/>
  <c r="W955" i="23"/>
  <c r="X955" i="23"/>
  <c r="K956" i="23"/>
  <c r="F956" i="23"/>
  <c r="X843" i="23"/>
  <c r="W843" i="23"/>
  <c r="X787" i="23"/>
  <c r="W787" i="23"/>
  <c r="W675" i="23"/>
  <c r="X675" i="23"/>
  <c r="X563" i="23"/>
  <c r="W563" i="23"/>
  <c r="K564" i="23"/>
  <c r="F564" i="23"/>
  <c r="X507" i="23"/>
  <c r="W507" i="23"/>
  <c r="F452" i="23"/>
  <c r="K452" i="23"/>
  <c r="X395" i="23"/>
  <c r="W395" i="23"/>
  <c r="X339" i="23"/>
  <c r="W339" i="23"/>
  <c r="X283" i="23"/>
  <c r="W283" i="23"/>
  <c r="P102" i="12"/>
  <c r="D4655" i="22"/>
  <c r="F4655" i="22"/>
  <c r="O4655" i="22" s="1"/>
  <c r="F4547" i="22"/>
  <c r="K4547" i="22"/>
  <c r="BU71" i="22"/>
  <c r="F3677" i="22"/>
  <c r="O3677" i="22" s="1"/>
  <c r="BU70" i="22" s="1"/>
  <c r="K3677" i="22"/>
  <c r="F3569" i="22"/>
  <c r="O3569" i="22" s="1"/>
  <c r="BU68" i="22" s="1"/>
  <c r="K3569" i="22"/>
  <c r="BU65" i="22"/>
  <c r="K3245" i="22"/>
  <c r="F3245" i="22"/>
  <c r="O3245" i="22" s="1"/>
  <c r="K3191" i="22"/>
  <c r="F3191" i="22"/>
  <c r="O3191" i="22" s="1"/>
  <c r="F3137" i="22"/>
  <c r="O3137" i="22" s="1"/>
  <c r="BU60" i="22" s="1"/>
  <c r="K3137" i="22"/>
  <c r="F2975" i="22"/>
  <c r="O2975" i="22" s="1"/>
  <c r="K2975" i="22"/>
  <c r="BU56" i="22"/>
  <c r="BU54" i="22"/>
  <c r="F2759" i="22"/>
  <c r="O2759" i="22" s="1"/>
  <c r="BU53" i="22" s="1"/>
  <c r="K2759" i="22"/>
  <c r="BU49" i="22"/>
  <c r="BU48" i="22"/>
  <c r="K2435" i="22"/>
  <c r="F2435" i="22"/>
  <c r="O2435" i="22" s="1"/>
  <c r="F2381" i="22"/>
  <c r="O2381" i="22" s="1"/>
  <c r="K2381" i="22"/>
  <c r="F2327" i="22"/>
  <c r="O2327" i="22" s="1"/>
  <c r="K2327" i="22"/>
  <c r="BU42" i="22"/>
  <c r="BU41" i="22"/>
  <c r="BU40" i="22"/>
  <c r="BU39" i="22"/>
  <c r="F1895" i="22"/>
  <c r="O1895" i="22" s="1"/>
  <c r="K1895" i="22"/>
  <c r="F1841" i="22"/>
  <c r="O1841" i="22" s="1"/>
  <c r="K1841" i="22"/>
  <c r="K1733" i="22"/>
  <c r="F1733" i="22"/>
  <c r="O1733" i="22" s="1"/>
  <c r="K1679" i="22"/>
  <c r="F1679" i="22"/>
  <c r="O1679" i="22" s="1"/>
  <c r="F1625" i="22"/>
  <c r="O1625" i="22" s="1"/>
  <c r="K1625" i="22"/>
  <c r="F1571" i="22"/>
  <c r="O1571" i="22" s="1"/>
  <c r="K1571" i="22"/>
  <c r="BU30" i="22"/>
  <c r="BU26" i="22"/>
  <c r="BU25" i="22"/>
  <c r="K1193" i="22"/>
  <c r="F1193" i="22"/>
  <c r="O1193" i="22" s="1"/>
  <c r="F1139" i="22"/>
  <c r="O1139" i="22" s="1"/>
  <c r="K1139" i="22"/>
  <c r="F815" i="22"/>
  <c r="O815" i="22" s="1"/>
  <c r="K815" i="22"/>
  <c r="K491" i="22"/>
  <c r="F491" i="22"/>
  <c r="O491" i="22" s="1"/>
  <c r="K167" i="22"/>
  <c r="F167" i="22"/>
  <c r="O167" i="22" s="1"/>
  <c r="F113" i="22"/>
  <c r="O113" i="22" s="1"/>
  <c r="K113" i="22"/>
  <c r="E40" i="10"/>
  <c r="N50" i="17"/>
  <c r="BT70" i="22"/>
  <c r="BT68" i="22"/>
  <c r="BT60" i="22"/>
  <c r="BT55" i="22"/>
  <c r="BT50" i="22"/>
  <c r="K96" i="7" l="1"/>
  <c r="K3354" i="22"/>
  <c r="F3354" i="22"/>
  <c r="O3354" i="22" s="1"/>
  <c r="K3192" i="22"/>
  <c r="F3192" i="22"/>
  <c r="O3192" i="22" s="1"/>
  <c r="BV61" i="22" s="1"/>
  <c r="K3030" i="22"/>
  <c r="F3030" i="22"/>
  <c r="O3030" i="22" s="1"/>
  <c r="K2598" i="22"/>
  <c r="F2598" i="22"/>
  <c r="O2598" i="22" s="1"/>
  <c r="K2544" i="22"/>
  <c r="F2544" i="22"/>
  <c r="O2544" i="22" s="1"/>
  <c r="BV42" i="22"/>
  <c r="I2179" i="22"/>
  <c r="CK42" i="22" s="1"/>
  <c r="BV41" i="22"/>
  <c r="I2125" i="22"/>
  <c r="CK41" i="22" s="1"/>
  <c r="K1680" i="22"/>
  <c r="F1680" i="22"/>
  <c r="O1680" i="22" s="1"/>
  <c r="K1410" i="22"/>
  <c r="F1410" i="22"/>
  <c r="O1410" i="22" s="1"/>
  <c r="K1356" i="22"/>
  <c r="F1356" i="22"/>
  <c r="O1356" i="22" s="1"/>
  <c r="Y1628" i="23"/>
  <c r="L106" i="8"/>
  <c r="M1629" i="23"/>
  <c r="J1629" i="23"/>
  <c r="N1629" i="23" s="1"/>
  <c r="D1629" i="23"/>
  <c r="O1629" i="23"/>
  <c r="AB1629" i="23"/>
  <c r="AC1629" i="23"/>
  <c r="P1629" i="23"/>
  <c r="Q1629" i="23"/>
  <c r="R1629" i="23"/>
  <c r="AF1629" i="23"/>
  <c r="L1642" i="23" s="1"/>
  <c r="I1630" i="23"/>
  <c r="L1630" i="23"/>
  <c r="C1630" i="23"/>
  <c r="K1630" i="23" s="1"/>
  <c r="E1630" i="23"/>
  <c r="F1630" i="23"/>
  <c r="O1630" i="23" s="1"/>
  <c r="G1630" i="23"/>
  <c r="B1631" i="23"/>
  <c r="M1573" i="23"/>
  <c r="J1573" i="23"/>
  <c r="N1573" i="23" s="1"/>
  <c r="D1573" i="23"/>
  <c r="O1573" i="23"/>
  <c r="AB1573" i="23"/>
  <c r="AC1573" i="23" s="1"/>
  <c r="P1573" i="23"/>
  <c r="Q1573" i="23"/>
  <c r="R1573" i="23"/>
  <c r="AF1573" i="23"/>
  <c r="L1574" i="23"/>
  <c r="I1574" i="23"/>
  <c r="C1574" i="23"/>
  <c r="K1574" i="23" s="1"/>
  <c r="E1574" i="23"/>
  <c r="F1574" i="23"/>
  <c r="O1574" i="23" s="1"/>
  <c r="G1574" i="23"/>
  <c r="B1575" i="23"/>
  <c r="J1517" i="23"/>
  <c r="D1517" i="23"/>
  <c r="P1517" i="23"/>
  <c r="Q1517" i="23"/>
  <c r="R1517" i="23"/>
  <c r="AF1517" i="23"/>
  <c r="L1518" i="23"/>
  <c r="I1518" i="23"/>
  <c r="C1518" i="23"/>
  <c r="E1518" i="23"/>
  <c r="G1518" i="23"/>
  <c r="B1519" i="23"/>
  <c r="J1461" i="23"/>
  <c r="D1461" i="23"/>
  <c r="P1461" i="23"/>
  <c r="Q1461" i="23"/>
  <c r="R1461" i="23"/>
  <c r="AF1461" i="23"/>
  <c r="L1462" i="23"/>
  <c r="I1462" i="23"/>
  <c r="C1462" i="23"/>
  <c r="E1462" i="23"/>
  <c r="G1462" i="23"/>
  <c r="B1463" i="23"/>
  <c r="M1405" i="23"/>
  <c r="J1405" i="23"/>
  <c r="N1405" i="23" s="1"/>
  <c r="D1405" i="23"/>
  <c r="O1405" i="23"/>
  <c r="Y1405" i="23" s="1"/>
  <c r="AB1405" i="23"/>
  <c r="AC1405" i="23"/>
  <c r="P1405" i="23"/>
  <c r="Q1405" i="23"/>
  <c r="R1405" i="23"/>
  <c r="AF1405" i="23"/>
  <c r="L1406" i="23"/>
  <c r="I1406" i="23"/>
  <c r="C1406" i="23"/>
  <c r="E1406" i="23"/>
  <c r="G1406" i="23"/>
  <c r="B1407" i="23"/>
  <c r="M1349" i="23"/>
  <c r="J1349" i="23"/>
  <c r="N1349" i="23" s="1"/>
  <c r="D1349" i="23"/>
  <c r="P1349" i="23"/>
  <c r="Q1349" i="23"/>
  <c r="R1349" i="23"/>
  <c r="AF1349" i="23"/>
  <c r="L1362" i="23" s="1"/>
  <c r="O1349" i="23"/>
  <c r="Y1349" i="23" s="1"/>
  <c r="AB1349" i="23"/>
  <c r="AC1349" i="23" s="1"/>
  <c r="L1350" i="23"/>
  <c r="I1350" i="23"/>
  <c r="C1350" i="23"/>
  <c r="E1350" i="23"/>
  <c r="G1350" i="23"/>
  <c r="B1351" i="23"/>
  <c r="M1293" i="23"/>
  <c r="J1293" i="23"/>
  <c r="N1293" i="23" s="1"/>
  <c r="D1293" i="23"/>
  <c r="O1293" i="23"/>
  <c r="Y1293" i="23" s="1"/>
  <c r="AB1293" i="23"/>
  <c r="AC1293" i="23" s="1"/>
  <c r="P1293" i="23"/>
  <c r="Q1293" i="23"/>
  <c r="R1293" i="23"/>
  <c r="AF1293" i="23"/>
  <c r="L1294" i="23"/>
  <c r="I1294" i="23"/>
  <c r="C1294" i="23"/>
  <c r="K1294" i="23" s="1"/>
  <c r="E1294" i="23"/>
  <c r="F1294" i="23"/>
  <c r="O1294" i="23" s="1"/>
  <c r="G1294" i="23"/>
  <c r="B1295" i="23"/>
  <c r="M1237" i="23"/>
  <c r="J1237" i="23"/>
  <c r="N1237" i="23" s="1"/>
  <c r="D1237" i="23"/>
  <c r="O1237" i="23"/>
  <c r="Y1237" i="23" s="1"/>
  <c r="AB1237" i="23"/>
  <c r="AC1237" i="23"/>
  <c r="P1237" i="23"/>
  <c r="Q1237" i="23"/>
  <c r="R1237" i="23"/>
  <c r="AF1237" i="23"/>
  <c r="L1238" i="23"/>
  <c r="I1238" i="23"/>
  <c r="C1238" i="23"/>
  <c r="K1238" i="23" s="1"/>
  <c r="E1238" i="23"/>
  <c r="F1238" i="23"/>
  <c r="O1238" i="23" s="1"/>
  <c r="G1238" i="23"/>
  <c r="B1239" i="23"/>
  <c r="M1181" i="23"/>
  <c r="J1181" i="23"/>
  <c r="N1181" i="23" s="1"/>
  <c r="D1181" i="23"/>
  <c r="O1181" i="23"/>
  <c r="Y1181" i="23" s="1"/>
  <c r="AB1181" i="23"/>
  <c r="AC1181" i="23"/>
  <c r="P1181" i="23"/>
  <c r="Q1181" i="23"/>
  <c r="R1181" i="23"/>
  <c r="AF1181" i="23"/>
  <c r="L1182" i="23"/>
  <c r="I1182" i="23"/>
  <c r="C1182" i="23"/>
  <c r="K1182" i="23" s="1"/>
  <c r="E1182" i="23"/>
  <c r="F1182" i="23"/>
  <c r="O1182" i="23" s="1"/>
  <c r="G1182" i="23"/>
  <c r="B1183" i="23"/>
  <c r="M1125" i="23"/>
  <c r="J1125" i="23"/>
  <c r="N1125" i="23" s="1"/>
  <c r="D1125" i="23"/>
  <c r="O1125" i="23"/>
  <c r="Y1125" i="23" s="1"/>
  <c r="AB1125" i="23"/>
  <c r="AC1125" i="23"/>
  <c r="P1125" i="23"/>
  <c r="Q1125" i="23"/>
  <c r="R1125" i="23"/>
  <c r="AF1125" i="23"/>
  <c r="L1138" i="23" s="1"/>
  <c r="L1126" i="23"/>
  <c r="I1126" i="23"/>
  <c r="C1126" i="23"/>
  <c r="K1126" i="23" s="1"/>
  <c r="E1126" i="23"/>
  <c r="F1126" i="23"/>
  <c r="O1126" i="23" s="1"/>
  <c r="G1126" i="23"/>
  <c r="B1127" i="23"/>
  <c r="J1069" i="23"/>
  <c r="D1069" i="23"/>
  <c r="P1069" i="23"/>
  <c r="Q1069" i="23"/>
  <c r="R1069" i="23"/>
  <c r="AF1069" i="23"/>
  <c r="L1070" i="23"/>
  <c r="I1070" i="23"/>
  <c r="C1070" i="23"/>
  <c r="K1070" i="23" s="1"/>
  <c r="E1070" i="23"/>
  <c r="F1070" i="23"/>
  <c r="O1070" i="23" s="1"/>
  <c r="G1070" i="23"/>
  <c r="B1071" i="23"/>
  <c r="J1013" i="23"/>
  <c r="D1013" i="23"/>
  <c r="P1013" i="23"/>
  <c r="Q1013" i="23"/>
  <c r="R1013" i="23"/>
  <c r="AF1013" i="23"/>
  <c r="L1014" i="23"/>
  <c r="I1014" i="23"/>
  <c r="C1014" i="23"/>
  <c r="E1014" i="23"/>
  <c r="G1014" i="23"/>
  <c r="B1015" i="23"/>
  <c r="M957" i="23"/>
  <c r="J957" i="23"/>
  <c r="N957" i="23" s="1"/>
  <c r="D957" i="23"/>
  <c r="O957" i="23"/>
  <c r="Y957" i="23" s="1"/>
  <c r="AB957" i="23"/>
  <c r="AC957" i="23" s="1"/>
  <c r="P957" i="23"/>
  <c r="Q957" i="23"/>
  <c r="R957" i="23"/>
  <c r="AF957" i="23"/>
  <c r="L958" i="23"/>
  <c r="I958" i="23"/>
  <c r="C958" i="23"/>
  <c r="E958" i="23"/>
  <c r="G958" i="23"/>
  <c r="B959" i="23"/>
  <c r="J901" i="23"/>
  <c r="D901" i="23"/>
  <c r="P901" i="23"/>
  <c r="Q901" i="23"/>
  <c r="R901" i="23"/>
  <c r="AF901" i="23"/>
  <c r="L914" i="23" s="1"/>
  <c r="L902" i="23"/>
  <c r="I902" i="23"/>
  <c r="C902" i="23"/>
  <c r="E902" i="23"/>
  <c r="G902" i="23"/>
  <c r="B903" i="23"/>
  <c r="M845" i="23"/>
  <c r="J845" i="23"/>
  <c r="N845" i="23" s="1"/>
  <c r="D845" i="23"/>
  <c r="O845" i="23"/>
  <c r="Y845" i="23" s="1"/>
  <c r="AB845" i="23"/>
  <c r="AC845" i="23"/>
  <c r="P845" i="23"/>
  <c r="Q845" i="23"/>
  <c r="R845" i="23"/>
  <c r="AF845" i="23"/>
  <c r="L846" i="23"/>
  <c r="I846" i="23"/>
  <c r="C846" i="23"/>
  <c r="K846" i="23" s="1"/>
  <c r="E846" i="23"/>
  <c r="F846" i="23"/>
  <c r="O846" i="23" s="1"/>
  <c r="G846" i="23"/>
  <c r="B847" i="23"/>
  <c r="M789" i="23"/>
  <c r="J789" i="23"/>
  <c r="N789" i="23" s="1"/>
  <c r="D789" i="23"/>
  <c r="O789" i="23"/>
  <c r="Y789" i="23" s="1"/>
  <c r="AB789" i="23"/>
  <c r="AC789" i="23"/>
  <c r="P789" i="23"/>
  <c r="Q789" i="23"/>
  <c r="R789" i="23"/>
  <c r="AF789" i="23"/>
  <c r="L790" i="23"/>
  <c r="I790" i="23"/>
  <c r="C790" i="23"/>
  <c r="K790" i="23" s="1"/>
  <c r="E790" i="23"/>
  <c r="F790" i="23"/>
  <c r="O790" i="23" s="1"/>
  <c r="G790" i="23"/>
  <c r="B791" i="23"/>
  <c r="M733" i="23"/>
  <c r="J733" i="23"/>
  <c r="N733" i="23" s="1"/>
  <c r="D733" i="23"/>
  <c r="O733" i="23"/>
  <c r="Y733" i="23" s="1"/>
  <c r="AB733" i="23"/>
  <c r="AC733" i="23"/>
  <c r="P733" i="23"/>
  <c r="Q733" i="23"/>
  <c r="R733" i="23"/>
  <c r="AF733" i="23"/>
  <c r="L746" i="23" s="1"/>
  <c r="O17" i="8" s="1"/>
  <c r="L734" i="23"/>
  <c r="I734" i="23"/>
  <c r="C734" i="23"/>
  <c r="K734" i="23" s="1"/>
  <c r="E734" i="23"/>
  <c r="F734" i="23"/>
  <c r="O734" i="23" s="1"/>
  <c r="G734" i="23"/>
  <c r="B735" i="23"/>
  <c r="M677" i="23"/>
  <c r="J677" i="23"/>
  <c r="N677" i="23" s="1"/>
  <c r="D677" i="23"/>
  <c r="O677" i="23"/>
  <c r="Y677" i="23" s="1"/>
  <c r="AB677" i="23"/>
  <c r="AC677" i="23"/>
  <c r="P677" i="23"/>
  <c r="Q677" i="23"/>
  <c r="R677" i="23"/>
  <c r="AF677" i="23"/>
  <c r="L690" i="23" s="1"/>
  <c r="L678" i="23"/>
  <c r="I678" i="23"/>
  <c r="C678" i="23"/>
  <c r="K678" i="23" s="1"/>
  <c r="E678" i="23"/>
  <c r="F678" i="23"/>
  <c r="O678" i="23" s="1"/>
  <c r="G678" i="23"/>
  <c r="B679" i="23"/>
  <c r="J621" i="23"/>
  <c r="D621" i="23"/>
  <c r="P621" i="23"/>
  <c r="Q621" i="23"/>
  <c r="R621" i="23"/>
  <c r="AF621" i="23"/>
  <c r="L622" i="23"/>
  <c r="I622" i="23"/>
  <c r="C622" i="23"/>
  <c r="K622" i="23" s="1"/>
  <c r="E622" i="23"/>
  <c r="F622" i="23"/>
  <c r="O622" i="23" s="1"/>
  <c r="G622" i="23"/>
  <c r="B623" i="23"/>
  <c r="J565" i="23"/>
  <c r="D565" i="23"/>
  <c r="P565" i="23"/>
  <c r="Q565" i="23"/>
  <c r="R565" i="23"/>
  <c r="AF565" i="23"/>
  <c r="L566" i="23"/>
  <c r="I566" i="23"/>
  <c r="C566" i="23"/>
  <c r="E566" i="23"/>
  <c r="G566" i="23"/>
  <c r="B567" i="23"/>
  <c r="J509" i="23"/>
  <c r="D509" i="23"/>
  <c r="P509" i="23"/>
  <c r="Q509" i="23"/>
  <c r="R509" i="23"/>
  <c r="AF509" i="23"/>
  <c r="L510" i="23"/>
  <c r="I510" i="23"/>
  <c r="C510" i="23"/>
  <c r="K510" i="23" s="1"/>
  <c r="E510" i="23"/>
  <c r="F510" i="23"/>
  <c r="O510" i="23" s="1"/>
  <c r="G510" i="23"/>
  <c r="B511" i="23"/>
  <c r="P453" i="23"/>
  <c r="Q453" i="23"/>
  <c r="R453" i="23"/>
  <c r="AF453" i="23"/>
  <c r="L466" i="23" s="1"/>
  <c r="J453" i="23"/>
  <c r="D453" i="23"/>
  <c r="L454" i="23"/>
  <c r="I454" i="23"/>
  <c r="C454" i="23"/>
  <c r="K454" i="23" s="1"/>
  <c r="E454" i="23"/>
  <c r="B455" i="23"/>
  <c r="G454" i="23"/>
  <c r="F454" i="23"/>
  <c r="O454" i="23" s="1"/>
  <c r="M397" i="23"/>
  <c r="J397" i="23"/>
  <c r="N397" i="23" s="1"/>
  <c r="D397" i="23"/>
  <c r="O397" i="23"/>
  <c r="Y397" i="23" s="1"/>
  <c r="AB397" i="23"/>
  <c r="AC397" i="23"/>
  <c r="P397" i="23"/>
  <c r="Q397" i="23"/>
  <c r="R397" i="23"/>
  <c r="AF397" i="23"/>
  <c r="L398" i="23"/>
  <c r="I398" i="23"/>
  <c r="C398" i="23"/>
  <c r="K398" i="23" s="1"/>
  <c r="E398" i="23"/>
  <c r="F398" i="23"/>
  <c r="O398" i="23" s="1"/>
  <c r="G398" i="23"/>
  <c r="B399" i="23"/>
  <c r="M341" i="23"/>
  <c r="J341" i="23"/>
  <c r="N341" i="23" s="1"/>
  <c r="D341" i="23"/>
  <c r="O341" i="23"/>
  <c r="Y341" i="23" s="1"/>
  <c r="AB341" i="23"/>
  <c r="AC341" i="23"/>
  <c r="P341" i="23"/>
  <c r="Q341" i="23"/>
  <c r="R341" i="23"/>
  <c r="AF341" i="23"/>
  <c r="L342" i="23"/>
  <c r="I342" i="23"/>
  <c r="C342" i="23"/>
  <c r="K342" i="23" s="1"/>
  <c r="E342" i="23"/>
  <c r="F342" i="23"/>
  <c r="O342" i="23" s="1"/>
  <c r="G342" i="23"/>
  <c r="B343" i="23"/>
  <c r="M285" i="23"/>
  <c r="J285" i="23"/>
  <c r="N285" i="23" s="1"/>
  <c r="D285" i="23"/>
  <c r="O285" i="23"/>
  <c r="Y285" i="23" s="1"/>
  <c r="AB285" i="23"/>
  <c r="AC285" i="23"/>
  <c r="P285" i="23"/>
  <c r="Q285" i="23"/>
  <c r="R285" i="23"/>
  <c r="AF285" i="23"/>
  <c r="L286" i="23"/>
  <c r="I286" i="23"/>
  <c r="C286" i="23"/>
  <c r="E286" i="23"/>
  <c r="G286" i="23"/>
  <c r="B287" i="23"/>
  <c r="D4764" i="22"/>
  <c r="J4764" i="22"/>
  <c r="N4764" i="22" s="1"/>
  <c r="P4764" i="22"/>
  <c r="R4764" i="22"/>
  <c r="Q4764" i="22"/>
  <c r="M4764" i="22"/>
  <c r="C4765" i="22"/>
  <c r="F4765" i="22" s="1"/>
  <c r="E4765" i="22"/>
  <c r="G4765" i="22"/>
  <c r="I4765" i="22"/>
  <c r="K4765" i="22"/>
  <c r="L4765" i="22"/>
  <c r="B4766" i="22"/>
  <c r="S4709" i="22"/>
  <c r="U4709" i="22"/>
  <c r="M4710" i="22"/>
  <c r="D4710" i="22"/>
  <c r="J4710" i="22"/>
  <c r="N4710" i="22" s="1"/>
  <c r="P4710" i="22"/>
  <c r="Q4710" i="22"/>
  <c r="R4710" i="22"/>
  <c r="L4711" i="22"/>
  <c r="C4711" i="22"/>
  <c r="E4711" i="22"/>
  <c r="G4711" i="22"/>
  <c r="I4711" i="22"/>
  <c r="B4712" i="22"/>
  <c r="P4656" i="22"/>
  <c r="Q4656" i="22"/>
  <c r="R4656" i="22"/>
  <c r="C4657" i="22"/>
  <c r="D4657" i="22" s="1"/>
  <c r="E4657" i="22"/>
  <c r="F4657" i="22"/>
  <c r="O4657" i="22" s="1"/>
  <c r="G4657" i="22"/>
  <c r="B4658" i="22"/>
  <c r="M4602" i="22"/>
  <c r="J4602" i="22"/>
  <c r="N4602" i="22" s="1"/>
  <c r="D4602" i="22"/>
  <c r="P4602" i="22"/>
  <c r="Q4602" i="22"/>
  <c r="R4602" i="22"/>
  <c r="I4603" i="22"/>
  <c r="L4603" i="22"/>
  <c r="C4603" i="22"/>
  <c r="K4603" i="22" s="1"/>
  <c r="E4603" i="22"/>
  <c r="F4603" i="22"/>
  <c r="G4603" i="22"/>
  <c r="B4604" i="22"/>
  <c r="M4548" i="22"/>
  <c r="D4548" i="22"/>
  <c r="J4548" i="22"/>
  <c r="N4548" i="22" s="1"/>
  <c r="P4548" i="22"/>
  <c r="Q4548" i="22"/>
  <c r="R4548" i="22"/>
  <c r="L4549" i="22"/>
  <c r="C4549" i="22"/>
  <c r="E4549" i="22"/>
  <c r="G4549" i="22"/>
  <c r="I4549" i="22"/>
  <c r="B4550" i="22"/>
  <c r="D4248" i="22"/>
  <c r="J4248" i="22"/>
  <c r="N4248" i="22" s="1"/>
  <c r="U4248" i="22" s="1"/>
  <c r="P4248" i="22"/>
  <c r="Q4248" i="22"/>
  <c r="R4248" i="22"/>
  <c r="M4248" i="22"/>
  <c r="C4249" i="22"/>
  <c r="K4249" i="22" s="1"/>
  <c r="E4249" i="22"/>
  <c r="F4249" i="22"/>
  <c r="O4249" i="22" s="1"/>
  <c r="G4249" i="22"/>
  <c r="I4249" i="22"/>
  <c r="L4249" i="22"/>
  <c r="B4250" i="22"/>
  <c r="M4194" i="22"/>
  <c r="D4194" i="22"/>
  <c r="J4194" i="22"/>
  <c r="N4194" i="22" s="1"/>
  <c r="U4194" i="22" s="1"/>
  <c r="P4194" i="22"/>
  <c r="Q4194" i="22"/>
  <c r="R4194" i="22"/>
  <c r="L4195" i="22"/>
  <c r="C4195" i="22"/>
  <c r="E4195" i="22"/>
  <c r="G4195" i="22"/>
  <c r="I4195" i="22"/>
  <c r="B4196" i="22"/>
  <c r="M4140" i="22"/>
  <c r="D4140" i="22"/>
  <c r="J4140" i="22"/>
  <c r="N4140" i="22" s="1"/>
  <c r="U4140" i="22" s="1"/>
  <c r="P4140" i="22"/>
  <c r="Q4140" i="22"/>
  <c r="R4140" i="22"/>
  <c r="L4141" i="22"/>
  <c r="C4141" i="22"/>
  <c r="K4141" i="22" s="1"/>
  <c r="E4141" i="22"/>
  <c r="F4141" i="22"/>
  <c r="O4141" i="22" s="1"/>
  <c r="G4141" i="22"/>
  <c r="I4141" i="22"/>
  <c r="B4142" i="22"/>
  <c r="M4086" i="22"/>
  <c r="D4086" i="22"/>
  <c r="J4086" i="22"/>
  <c r="N4086" i="22" s="1"/>
  <c r="U4086" i="22" s="1"/>
  <c r="P4086" i="22"/>
  <c r="Q4086" i="22"/>
  <c r="R4086" i="22"/>
  <c r="L4087" i="22"/>
  <c r="C4087" i="22"/>
  <c r="K4087" i="22" s="1"/>
  <c r="E4087" i="22"/>
  <c r="F4087" i="22"/>
  <c r="O4087" i="22" s="1"/>
  <c r="G4087" i="22"/>
  <c r="I4087" i="22"/>
  <c r="B4088" i="22"/>
  <c r="U3785" i="22"/>
  <c r="AW72" i="22"/>
  <c r="BI72" i="22"/>
  <c r="M3786" i="22"/>
  <c r="D3786" i="22"/>
  <c r="J3786" i="22"/>
  <c r="N3786" i="22" s="1"/>
  <c r="H3799" i="22" s="1"/>
  <c r="P3786" i="22"/>
  <c r="Q3786" i="22"/>
  <c r="R3786" i="22"/>
  <c r="L3787" i="22"/>
  <c r="C3787" i="22"/>
  <c r="K3787" i="22" s="1"/>
  <c r="E3787" i="22"/>
  <c r="F3787" i="22"/>
  <c r="O3787" i="22" s="1"/>
  <c r="G3787" i="22"/>
  <c r="I3787" i="22"/>
  <c r="B3788" i="22"/>
  <c r="U3731" i="22"/>
  <c r="AW71" i="22"/>
  <c r="BI71" i="22"/>
  <c r="M3732" i="22"/>
  <c r="D3732" i="22"/>
  <c r="J3732" i="22"/>
  <c r="N3732" i="22" s="1"/>
  <c r="H3745" i="22" s="1"/>
  <c r="P3732" i="22"/>
  <c r="Q3732" i="22"/>
  <c r="R3732" i="22"/>
  <c r="L3733" i="22"/>
  <c r="C3733" i="22"/>
  <c r="E3733" i="22"/>
  <c r="G3733" i="22"/>
  <c r="I3733" i="22"/>
  <c r="B3734" i="22"/>
  <c r="D3678" i="22"/>
  <c r="J3678" i="22"/>
  <c r="P3678" i="22"/>
  <c r="Q3678" i="22"/>
  <c r="R3678" i="22"/>
  <c r="L3679" i="22"/>
  <c r="C3679" i="22"/>
  <c r="K3679" i="22" s="1"/>
  <c r="E3679" i="22"/>
  <c r="F3679" i="22"/>
  <c r="O3679" i="22" s="1"/>
  <c r="G3679" i="22"/>
  <c r="I3679" i="22"/>
  <c r="B3680" i="22"/>
  <c r="U3623" i="22"/>
  <c r="AW69" i="22"/>
  <c r="BI69" i="22"/>
  <c r="M3624" i="22"/>
  <c r="D3624" i="22"/>
  <c r="J3624" i="22"/>
  <c r="N3624" i="22" s="1"/>
  <c r="H3637" i="22" s="1"/>
  <c r="P3624" i="22"/>
  <c r="Q3624" i="22"/>
  <c r="R3624" i="22"/>
  <c r="L3625" i="22"/>
  <c r="C3625" i="22"/>
  <c r="K3625" i="22" s="1"/>
  <c r="E3625" i="22"/>
  <c r="F3625" i="22"/>
  <c r="O3625" i="22" s="1"/>
  <c r="G3625" i="22"/>
  <c r="I3625" i="22"/>
  <c r="B3626" i="22"/>
  <c r="M3570" i="22"/>
  <c r="D3570" i="22"/>
  <c r="J3570" i="22"/>
  <c r="N3570" i="22" s="1"/>
  <c r="P3570" i="22"/>
  <c r="Q3570" i="22"/>
  <c r="R3570" i="22"/>
  <c r="L3571" i="22"/>
  <c r="I3571" i="22"/>
  <c r="C3571" i="22"/>
  <c r="E3571" i="22"/>
  <c r="G3571" i="22"/>
  <c r="B3572" i="22"/>
  <c r="U3515" i="22"/>
  <c r="AW67" i="22"/>
  <c r="BI67" i="22"/>
  <c r="J3516" i="22"/>
  <c r="D3516" i="22"/>
  <c r="P3516" i="22"/>
  <c r="Q3516" i="22"/>
  <c r="R3516" i="22"/>
  <c r="L3517" i="22"/>
  <c r="C3517" i="22"/>
  <c r="K3517" i="22" s="1"/>
  <c r="E3517" i="22"/>
  <c r="F3517" i="22"/>
  <c r="O3517" i="22" s="1"/>
  <c r="G3517" i="22"/>
  <c r="B3518" i="22"/>
  <c r="I3517" i="22"/>
  <c r="U3461" i="22"/>
  <c r="AW66" i="22"/>
  <c r="BI66" i="22"/>
  <c r="M3462" i="22"/>
  <c r="D3462" i="22"/>
  <c r="J3462" i="22"/>
  <c r="N3462" i="22" s="1"/>
  <c r="P3462" i="22"/>
  <c r="Q3462" i="22"/>
  <c r="R3462" i="22"/>
  <c r="L3463" i="22"/>
  <c r="C3463" i="22"/>
  <c r="K3463" i="22" s="1"/>
  <c r="E3463" i="22"/>
  <c r="F3463" i="22"/>
  <c r="O3463" i="22" s="1"/>
  <c r="G3463" i="22"/>
  <c r="I3463" i="22"/>
  <c r="B3464" i="22"/>
  <c r="U3407" i="22"/>
  <c r="AW65" i="22"/>
  <c r="BI65" i="22"/>
  <c r="M3408" i="22"/>
  <c r="D3408" i="22"/>
  <c r="J3408" i="22"/>
  <c r="N3408" i="22" s="1"/>
  <c r="P3408" i="22"/>
  <c r="Q3408" i="22"/>
  <c r="R3408" i="22"/>
  <c r="L3409" i="22"/>
  <c r="C3409" i="22"/>
  <c r="E3409" i="22"/>
  <c r="G3409" i="22"/>
  <c r="I3409" i="22"/>
  <c r="B3410" i="22"/>
  <c r="U3353" i="22"/>
  <c r="AW64" i="22"/>
  <c r="BI64" i="22"/>
  <c r="M3354" i="22"/>
  <c r="D3354" i="22"/>
  <c r="J3354" i="22"/>
  <c r="N3354" i="22" s="1"/>
  <c r="P3354" i="22"/>
  <c r="Q3354" i="22"/>
  <c r="R3354" i="22"/>
  <c r="L3355" i="22"/>
  <c r="C3355" i="22"/>
  <c r="E3355" i="22"/>
  <c r="G3355" i="22"/>
  <c r="I3355" i="22"/>
  <c r="B3356" i="22"/>
  <c r="U3299" i="22"/>
  <c r="AW63" i="22"/>
  <c r="BI63" i="22"/>
  <c r="D3300" i="22"/>
  <c r="J3300" i="22"/>
  <c r="P3300" i="22"/>
  <c r="Q3300" i="22"/>
  <c r="R3300" i="22"/>
  <c r="L3301" i="22"/>
  <c r="C3301" i="22"/>
  <c r="K3301" i="22" s="1"/>
  <c r="E3301" i="22"/>
  <c r="F3301" i="22"/>
  <c r="O3301" i="22" s="1"/>
  <c r="G3301" i="22"/>
  <c r="I3301" i="22"/>
  <c r="B3302" i="22"/>
  <c r="M3246" i="22"/>
  <c r="D3246" i="22"/>
  <c r="J3246" i="22"/>
  <c r="N3246" i="22" s="1"/>
  <c r="P3246" i="22"/>
  <c r="Q3246" i="22"/>
  <c r="R3246" i="22"/>
  <c r="L3247" i="22"/>
  <c r="C3247" i="22"/>
  <c r="K3247" i="22" s="1"/>
  <c r="E3247" i="22"/>
  <c r="F3247" i="22"/>
  <c r="O3247" i="22" s="1"/>
  <c r="G3247" i="22"/>
  <c r="I3247" i="22"/>
  <c r="B3248" i="22"/>
  <c r="M3192" i="22"/>
  <c r="D3192" i="22"/>
  <c r="J3192" i="22"/>
  <c r="N3192" i="22" s="1"/>
  <c r="P3192" i="22"/>
  <c r="Q3192" i="22"/>
  <c r="R3192" i="22"/>
  <c r="L3193" i="22"/>
  <c r="C3193" i="22"/>
  <c r="K3193" i="22" s="1"/>
  <c r="E3193" i="22"/>
  <c r="F3193" i="22"/>
  <c r="O3193" i="22" s="1"/>
  <c r="G3193" i="22"/>
  <c r="I3193" i="22"/>
  <c r="B3194" i="22"/>
  <c r="P3138" i="22"/>
  <c r="Q3138" i="22"/>
  <c r="R3138" i="22"/>
  <c r="J3138" i="22"/>
  <c r="D3138" i="22"/>
  <c r="L3139" i="22"/>
  <c r="I3139" i="22"/>
  <c r="C3139" i="22"/>
  <c r="E3139" i="22"/>
  <c r="G3139" i="22"/>
  <c r="B3140" i="22"/>
  <c r="U3083" i="22"/>
  <c r="AW59" i="22"/>
  <c r="BI59" i="22"/>
  <c r="L3085" i="22"/>
  <c r="E3085" i="22"/>
  <c r="G3085" i="22"/>
  <c r="B3086" i="22"/>
  <c r="C3085" i="22"/>
  <c r="I3085" i="22"/>
  <c r="D3084" i="22"/>
  <c r="J3084" i="22"/>
  <c r="P3084" i="22"/>
  <c r="Q3084" i="22"/>
  <c r="R3084" i="22"/>
  <c r="U3029" i="22"/>
  <c r="AW58" i="22"/>
  <c r="BI58" i="22"/>
  <c r="M3030" i="22"/>
  <c r="I3043" i="22"/>
  <c r="CK58" i="22" s="1"/>
  <c r="BV58" i="22"/>
  <c r="P3030" i="22"/>
  <c r="Q3030" i="22"/>
  <c r="R3030" i="22"/>
  <c r="L3031" i="22"/>
  <c r="C3031" i="22"/>
  <c r="K3031" i="22" s="1"/>
  <c r="E3031" i="22"/>
  <c r="F3031" i="22"/>
  <c r="O3031" i="22" s="1"/>
  <c r="G3031" i="22"/>
  <c r="B3032" i="22"/>
  <c r="I3031" i="22"/>
  <c r="D3030" i="22"/>
  <c r="J3030" i="22"/>
  <c r="N3030" i="22" s="1"/>
  <c r="D2976" i="22"/>
  <c r="J2976" i="22"/>
  <c r="P2976" i="22"/>
  <c r="Q2976" i="22"/>
  <c r="R2976" i="22"/>
  <c r="L2977" i="22"/>
  <c r="B2978" i="22"/>
  <c r="C2977" i="22"/>
  <c r="K2977" i="22" s="1"/>
  <c r="E2977" i="22"/>
  <c r="F2977" i="22"/>
  <c r="O2977" i="22" s="1"/>
  <c r="G2977" i="22"/>
  <c r="I2977" i="22"/>
  <c r="U2921" i="22"/>
  <c r="AW56" i="22"/>
  <c r="BI56" i="22"/>
  <c r="J2922" i="22"/>
  <c r="D2922" i="22"/>
  <c r="P2922" i="22"/>
  <c r="Q2922" i="22"/>
  <c r="R2922" i="22"/>
  <c r="L2923" i="22"/>
  <c r="B2924" i="22"/>
  <c r="I2923" i="22"/>
  <c r="C2923" i="22"/>
  <c r="E2923" i="22"/>
  <c r="G2923" i="22"/>
  <c r="U2867" i="22"/>
  <c r="AW55" i="22"/>
  <c r="BI55" i="22"/>
  <c r="M2868" i="22"/>
  <c r="D2868" i="22"/>
  <c r="J2868" i="22"/>
  <c r="N2868" i="22" s="1"/>
  <c r="P2868" i="22"/>
  <c r="Q2868" i="22"/>
  <c r="R2868" i="22"/>
  <c r="L2869" i="22"/>
  <c r="C2869" i="22"/>
  <c r="E2869" i="22"/>
  <c r="G2869" i="22"/>
  <c r="I2869" i="22"/>
  <c r="B2870" i="22"/>
  <c r="S2813" i="22"/>
  <c r="AW54" i="22"/>
  <c r="BI54" i="22"/>
  <c r="AL1628" i="23"/>
  <c r="U2813" i="22"/>
  <c r="M2814" i="22"/>
  <c r="D2814" i="22"/>
  <c r="J2814" i="22"/>
  <c r="N2814" i="22" s="1"/>
  <c r="P2814" i="22"/>
  <c r="Q2814" i="22"/>
  <c r="R2814" i="22"/>
  <c r="T2814" i="22"/>
  <c r="L2815" i="22"/>
  <c r="C2815" i="22"/>
  <c r="K2815" i="22" s="1"/>
  <c r="E2815" i="22"/>
  <c r="F2815" i="22"/>
  <c r="O2815" i="22" s="1"/>
  <c r="G2815" i="22"/>
  <c r="I2815" i="22"/>
  <c r="B2816" i="22"/>
  <c r="M2760" i="22"/>
  <c r="D2760" i="22"/>
  <c r="J2760" i="22"/>
  <c r="N2760" i="22" s="1"/>
  <c r="P2760" i="22"/>
  <c r="Q2760" i="22"/>
  <c r="R2760" i="22"/>
  <c r="L2761" i="22"/>
  <c r="C2761" i="22"/>
  <c r="K2761" i="22" s="1"/>
  <c r="E2761" i="22"/>
  <c r="F2761" i="22"/>
  <c r="O2761" i="22" s="1"/>
  <c r="G2761" i="22"/>
  <c r="I2761" i="22"/>
  <c r="B2762" i="22"/>
  <c r="U2705" i="22"/>
  <c r="AW52" i="22"/>
  <c r="BI52" i="22"/>
  <c r="D2706" i="22"/>
  <c r="J2706" i="22"/>
  <c r="P2706" i="22"/>
  <c r="Q2706" i="22"/>
  <c r="R2706" i="22"/>
  <c r="L2707" i="22"/>
  <c r="C2707" i="22"/>
  <c r="E2707" i="22"/>
  <c r="G2707" i="22"/>
  <c r="I2707" i="22"/>
  <c r="B2708" i="22"/>
  <c r="U2651" i="22"/>
  <c r="AW51" i="22"/>
  <c r="BI51" i="22"/>
  <c r="D2652" i="22"/>
  <c r="J2652" i="22"/>
  <c r="P2652" i="22"/>
  <c r="Q2652" i="22"/>
  <c r="R2652" i="22"/>
  <c r="L2653" i="22"/>
  <c r="C2653" i="22"/>
  <c r="K2653" i="22" s="1"/>
  <c r="E2653" i="22"/>
  <c r="F2653" i="22"/>
  <c r="O2653" i="22" s="1"/>
  <c r="G2653" i="22"/>
  <c r="I2653" i="22"/>
  <c r="B2654" i="22"/>
  <c r="AW50" i="22"/>
  <c r="BI50" i="22"/>
  <c r="U2597" i="22"/>
  <c r="M2598" i="22"/>
  <c r="D2598" i="22"/>
  <c r="J2598" i="22"/>
  <c r="N2598" i="22" s="1"/>
  <c r="P2598" i="22"/>
  <c r="Q2598" i="22"/>
  <c r="R2598" i="22"/>
  <c r="L2599" i="22"/>
  <c r="C2599" i="22"/>
  <c r="K2599" i="22" s="1"/>
  <c r="F2599" i="22"/>
  <c r="O2599" i="22" s="1"/>
  <c r="B2600" i="22"/>
  <c r="G2599" i="22"/>
  <c r="E2599" i="22"/>
  <c r="I2599" i="22"/>
  <c r="U2543" i="22"/>
  <c r="AW49" i="22"/>
  <c r="BI49" i="22"/>
  <c r="M2544" i="22"/>
  <c r="D2544" i="22"/>
  <c r="J2544" i="22"/>
  <c r="N2544" i="22" s="1"/>
  <c r="P2544" i="22"/>
  <c r="Q2544" i="22"/>
  <c r="R2544" i="22"/>
  <c r="L2545" i="22"/>
  <c r="C2545" i="22"/>
  <c r="K2545" i="22" s="1"/>
  <c r="E2545" i="22"/>
  <c r="F2545" i="22"/>
  <c r="O2545" i="22" s="1"/>
  <c r="G2545" i="22"/>
  <c r="I2545" i="22"/>
  <c r="B2546" i="22"/>
  <c r="U2489" i="22"/>
  <c r="AW48" i="22"/>
  <c r="BI48" i="22"/>
  <c r="M2490" i="22"/>
  <c r="D2490" i="22"/>
  <c r="J2490" i="22"/>
  <c r="N2490" i="22" s="1"/>
  <c r="P2490" i="22"/>
  <c r="Q2490" i="22"/>
  <c r="R2490" i="22"/>
  <c r="L2491" i="22"/>
  <c r="C2491" i="22"/>
  <c r="K2491" i="22" s="1"/>
  <c r="E2491" i="22"/>
  <c r="F2491" i="22"/>
  <c r="O2491" i="22" s="1"/>
  <c r="G2491" i="22"/>
  <c r="I2491" i="22"/>
  <c r="B2492" i="22"/>
  <c r="M2436" i="22"/>
  <c r="D2436" i="22"/>
  <c r="J2436" i="22"/>
  <c r="N2436" i="22" s="1"/>
  <c r="P2436" i="22"/>
  <c r="Q2436" i="22"/>
  <c r="R2436" i="22"/>
  <c r="L2437" i="22"/>
  <c r="C2437" i="22"/>
  <c r="E2437" i="22"/>
  <c r="G2437" i="22"/>
  <c r="I2437" i="22"/>
  <c r="B2438" i="22"/>
  <c r="M2382" i="22"/>
  <c r="D2382" i="22"/>
  <c r="J2382" i="22"/>
  <c r="N2382" i="22" s="1"/>
  <c r="P2382" i="22"/>
  <c r="Q2382" i="22"/>
  <c r="R2382" i="22"/>
  <c r="L2383" i="22"/>
  <c r="C2383" i="22"/>
  <c r="E2383" i="22"/>
  <c r="G2383" i="22"/>
  <c r="I2383" i="22"/>
  <c r="B2384" i="22"/>
  <c r="M2328" i="22"/>
  <c r="D2328" i="22"/>
  <c r="J2328" i="22"/>
  <c r="N2328" i="22" s="1"/>
  <c r="P2328" i="22"/>
  <c r="Q2328" i="22"/>
  <c r="R2328" i="22"/>
  <c r="L2329" i="22"/>
  <c r="C2329" i="22"/>
  <c r="K2329" i="22" s="1"/>
  <c r="E2329" i="22"/>
  <c r="F2329" i="22"/>
  <c r="O2329" i="22" s="1"/>
  <c r="G2329" i="22"/>
  <c r="I2329" i="22"/>
  <c r="B2330" i="22"/>
  <c r="U2273" i="22"/>
  <c r="AW44" i="22"/>
  <c r="BI44" i="22"/>
  <c r="L2275" i="22"/>
  <c r="E2275" i="22"/>
  <c r="I2275" i="22"/>
  <c r="G2275" i="22"/>
  <c r="C2275" i="22"/>
  <c r="B2276" i="22"/>
  <c r="P2274" i="22"/>
  <c r="Q2274" i="22"/>
  <c r="R2274" i="22"/>
  <c r="J2274" i="22"/>
  <c r="D2274" i="22"/>
  <c r="U2219" i="22"/>
  <c r="AW43" i="22"/>
  <c r="BI43" i="22"/>
  <c r="M2220" i="22"/>
  <c r="D2220" i="22"/>
  <c r="J2220" i="22"/>
  <c r="N2220" i="22" s="1"/>
  <c r="P2220" i="22"/>
  <c r="Q2220" i="22"/>
  <c r="R2220" i="22"/>
  <c r="L2221" i="22"/>
  <c r="C2221" i="22"/>
  <c r="K2221" i="22" s="1"/>
  <c r="E2221" i="22"/>
  <c r="F2221" i="22"/>
  <c r="O2221" i="22" s="1"/>
  <c r="G2221" i="22"/>
  <c r="I2221" i="22"/>
  <c r="B2222" i="22"/>
  <c r="U2165" i="22"/>
  <c r="AW42" i="22"/>
  <c r="BI42" i="22"/>
  <c r="M2166" i="22"/>
  <c r="D2166" i="22"/>
  <c r="J2166" i="22"/>
  <c r="N2166" i="22" s="1"/>
  <c r="P2166" i="22"/>
  <c r="Q2166" i="22"/>
  <c r="R2166" i="22"/>
  <c r="L2167" i="22"/>
  <c r="C2167" i="22"/>
  <c r="K2167" i="22" s="1"/>
  <c r="E2167" i="22"/>
  <c r="F2167" i="22"/>
  <c r="O2167" i="22" s="1"/>
  <c r="G2167" i="22"/>
  <c r="I2167" i="22"/>
  <c r="B2168" i="22"/>
  <c r="U2111" i="22"/>
  <c r="AW41" i="22"/>
  <c r="BI41" i="22"/>
  <c r="M2112" i="22"/>
  <c r="D2112" i="22"/>
  <c r="J2112" i="22"/>
  <c r="N2112" i="22" s="1"/>
  <c r="P2112" i="22"/>
  <c r="Q2112" i="22"/>
  <c r="R2112" i="22"/>
  <c r="L2113" i="22"/>
  <c r="C2113" i="22"/>
  <c r="K2113" i="22" s="1"/>
  <c r="E2113" i="22"/>
  <c r="F2113" i="22"/>
  <c r="O2113" i="22" s="1"/>
  <c r="G2113" i="22"/>
  <c r="I2113" i="22"/>
  <c r="B2114" i="22"/>
  <c r="U2057" i="22"/>
  <c r="AW40" i="22"/>
  <c r="BI40" i="22"/>
  <c r="M2058" i="22"/>
  <c r="D2058" i="22"/>
  <c r="J2058" i="22"/>
  <c r="N2058" i="22" s="1"/>
  <c r="P2058" i="22"/>
  <c r="Q2058" i="22"/>
  <c r="R2058" i="22"/>
  <c r="L2059" i="22"/>
  <c r="C2059" i="22"/>
  <c r="E2059" i="22"/>
  <c r="G2059" i="22"/>
  <c r="I2059" i="22"/>
  <c r="B2060" i="22"/>
  <c r="U2003" i="22"/>
  <c r="AW39" i="22"/>
  <c r="BI39" i="22"/>
  <c r="M2004" i="22"/>
  <c r="D2004" i="22"/>
  <c r="J2004" i="22"/>
  <c r="N2004" i="22" s="1"/>
  <c r="P2004" i="22"/>
  <c r="Q2004" i="22"/>
  <c r="R2004" i="22"/>
  <c r="L2005" i="22"/>
  <c r="C2005" i="22"/>
  <c r="K2005" i="22" s="1"/>
  <c r="E2005" i="22"/>
  <c r="F2005" i="22"/>
  <c r="O2005" i="22" s="1"/>
  <c r="G2005" i="22"/>
  <c r="I2005" i="22"/>
  <c r="B2006" i="22"/>
  <c r="U1949" i="22"/>
  <c r="AW38" i="22"/>
  <c r="BI38" i="22"/>
  <c r="M1950" i="22"/>
  <c r="D1950" i="22"/>
  <c r="J1950" i="22"/>
  <c r="N1950" i="22" s="1"/>
  <c r="P1950" i="22"/>
  <c r="Q1950" i="22"/>
  <c r="R1950" i="22"/>
  <c r="L1951" i="22"/>
  <c r="C1951" i="22"/>
  <c r="E1951" i="22"/>
  <c r="G1951" i="22"/>
  <c r="I1951" i="22"/>
  <c r="B1952" i="22"/>
  <c r="D1896" i="22"/>
  <c r="J1896" i="22"/>
  <c r="P1896" i="22"/>
  <c r="Q1896" i="22"/>
  <c r="R1896" i="22"/>
  <c r="L1897" i="22"/>
  <c r="C1897" i="22"/>
  <c r="K1897" i="22" s="1"/>
  <c r="E1897" i="22"/>
  <c r="F1897" i="22"/>
  <c r="O1897" i="22" s="1"/>
  <c r="G1897" i="22"/>
  <c r="I1897" i="22"/>
  <c r="B1898" i="22"/>
  <c r="M1842" i="22"/>
  <c r="D1842" i="22"/>
  <c r="J1842" i="22"/>
  <c r="N1842" i="22" s="1"/>
  <c r="P1842" i="22"/>
  <c r="Q1842" i="22"/>
  <c r="R1842" i="22"/>
  <c r="L1843" i="22"/>
  <c r="C1843" i="22"/>
  <c r="K1843" i="22" s="1"/>
  <c r="E1843" i="22"/>
  <c r="F1843" i="22"/>
  <c r="O1843" i="22" s="1"/>
  <c r="G1843" i="22"/>
  <c r="I1843" i="22"/>
  <c r="B1844" i="22"/>
  <c r="U1787" i="22"/>
  <c r="AW35" i="22"/>
  <c r="BI35" i="22"/>
  <c r="M1788" i="22"/>
  <c r="D1788" i="22"/>
  <c r="J1788" i="22"/>
  <c r="N1788" i="22" s="1"/>
  <c r="P1788" i="22"/>
  <c r="Q1788" i="22"/>
  <c r="R1788" i="22"/>
  <c r="L1789" i="22"/>
  <c r="C1789" i="22"/>
  <c r="E1789" i="22"/>
  <c r="G1789" i="22"/>
  <c r="I1789" i="22"/>
  <c r="B1790" i="22"/>
  <c r="M1734" i="22"/>
  <c r="D1734" i="22"/>
  <c r="J1734" i="22"/>
  <c r="N1734" i="22" s="1"/>
  <c r="P1734" i="22"/>
  <c r="Q1734" i="22"/>
  <c r="R1734" i="22"/>
  <c r="L1735" i="22"/>
  <c r="C1735" i="22"/>
  <c r="K1735" i="22" s="1"/>
  <c r="E1735" i="22"/>
  <c r="F1735" i="22"/>
  <c r="O1735" i="22" s="1"/>
  <c r="G1735" i="22"/>
  <c r="I1735" i="22"/>
  <c r="B1736" i="22"/>
  <c r="M1680" i="22"/>
  <c r="D1680" i="22"/>
  <c r="J1680" i="22"/>
  <c r="N1680" i="22" s="1"/>
  <c r="P1680" i="22"/>
  <c r="Q1680" i="22"/>
  <c r="R1680" i="22"/>
  <c r="L1681" i="22"/>
  <c r="C1681" i="22"/>
  <c r="K1681" i="22" s="1"/>
  <c r="E1681" i="22"/>
  <c r="F1681" i="22"/>
  <c r="O1681" i="22" s="1"/>
  <c r="G1681" i="22"/>
  <c r="I1681" i="22"/>
  <c r="B1682" i="22"/>
  <c r="M1626" i="22"/>
  <c r="D1626" i="22"/>
  <c r="J1626" i="22"/>
  <c r="N1626" i="22" s="1"/>
  <c r="P1626" i="22"/>
  <c r="Q1626" i="22"/>
  <c r="R1626" i="22"/>
  <c r="L1627" i="22"/>
  <c r="C1627" i="22"/>
  <c r="K1627" i="22" s="1"/>
  <c r="E1627" i="22"/>
  <c r="F1627" i="22"/>
  <c r="O1627" i="22" s="1"/>
  <c r="G1627" i="22"/>
  <c r="I1627" i="22"/>
  <c r="B1628" i="22"/>
  <c r="D1572" i="22"/>
  <c r="J1572" i="22"/>
  <c r="P1572" i="22"/>
  <c r="Q1572" i="22"/>
  <c r="R1572" i="22"/>
  <c r="L1573" i="22"/>
  <c r="C1573" i="22"/>
  <c r="E1573" i="22"/>
  <c r="G1573" i="22"/>
  <c r="I1573" i="22"/>
  <c r="B1574" i="22"/>
  <c r="U1517" i="22"/>
  <c r="AW30" i="22"/>
  <c r="BI30" i="22"/>
  <c r="D1518" i="22"/>
  <c r="J1518" i="22"/>
  <c r="P1518" i="22"/>
  <c r="Q1518" i="22"/>
  <c r="R1518" i="22"/>
  <c r="L1519" i="22"/>
  <c r="C1519" i="22"/>
  <c r="E1519" i="22"/>
  <c r="G1519" i="22"/>
  <c r="I1519" i="22"/>
  <c r="B1520" i="22"/>
  <c r="U1463" i="22"/>
  <c r="AW29" i="22"/>
  <c r="BI29" i="22"/>
  <c r="M1464" i="22"/>
  <c r="D1464" i="22"/>
  <c r="J1464" i="22"/>
  <c r="N1464" i="22" s="1"/>
  <c r="P1464" i="22"/>
  <c r="Q1464" i="22"/>
  <c r="R1464" i="22"/>
  <c r="L1465" i="22"/>
  <c r="C1465" i="22"/>
  <c r="E1465" i="22"/>
  <c r="G1465" i="22"/>
  <c r="I1465" i="22"/>
  <c r="B1466" i="22"/>
  <c r="U1409" i="22"/>
  <c r="AW28" i="22"/>
  <c r="BI28" i="22"/>
  <c r="M1410" i="22"/>
  <c r="D1410" i="22"/>
  <c r="J1410" i="22"/>
  <c r="N1410" i="22" s="1"/>
  <c r="P1410" i="22"/>
  <c r="Q1410" i="22"/>
  <c r="R1410" i="22"/>
  <c r="L1411" i="22"/>
  <c r="C1411" i="22"/>
  <c r="E1411" i="22"/>
  <c r="G1411" i="22"/>
  <c r="I1411" i="22"/>
  <c r="B1412" i="22"/>
  <c r="U1355" i="22"/>
  <c r="AW27" i="22"/>
  <c r="BI27" i="22"/>
  <c r="M1356" i="22"/>
  <c r="D1356" i="22"/>
  <c r="J1356" i="22"/>
  <c r="N1356" i="22" s="1"/>
  <c r="P1356" i="22"/>
  <c r="Q1356" i="22"/>
  <c r="R1356" i="22"/>
  <c r="L1357" i="22"/>
  <c r="C1357" i="22"/>
  <c r="K1357" i="22" s="1"/>
  <c r="E1357" i="22"/>
  <c r="F1357" i="22"/>
  <c r="O1357" i="22" s="1"/>
  <c r="G1357" i="22"/>
  <c r="I1357" i="22"/>
  <c r="B1358" i="22"/>
  <c r="U1301" i="22"/>
  <c r="AW26" i="22"/>
  <c r="BI26" i="22"/>
  <c r="M1302" i="22"/>
  <c r="D1302" i="22"/>
  <c r="J1302" i="22"/>
  <c r="N1302" i="22" s="1"/>
  <c r="P1302" i="22"/>
  <c r="Q1302" i="22"/>
  <c r="R1302" i="22"/>
  <c r="L1303" i="22"/>
  <c r="C1303" i="22"/>
  <c r="K1303" i="22" s="1"/>
  <c r="E1303" i="22"/>
  <c r="F1303" i="22"/>
  <c r="O1303" i="22" s="1"/>
  <c r="G1303" i="22"/>
  <c r="I1303" i="22"/>
  <c r="B1304" i="22"/>
  <c r="U1247" i="22"/>
  <c r="AW25" i="22"/>
  <c r="BI25" i="22"/>
  <c r="D1248" i="22"/>
  <c r="J1248" i="22"/>
  <c r="P1248" i="22"/>
  <c r="Q1248" i="22"/>
  <c r="R1248" i="22"/>
  <c r="L1249" i="22"/>
  <c r="C1249" i="22"/>
  <c r="K1249" i="22" s="1"/>
  <c r="E1249" i="22"/>
  <c r="F1249" i="22"/>
  <c r="O1249" i="22" s="1"/>
  <c r="G1249" i="22"/>
  <c r="I1249" i="22"/>
  <c r="B1250" i="22"/>
  <c r="M1194" i="22"/>
  <c r="D1194" i="22"/>
  <c r="J1194" i="22"/>
  <c r="N1194" i="22" s="1"/>
  <c r="M92" i="7"/>
  <c r="BV24" i="22"/>
  <c r="P1194" i="22"/>
  <c r="Q1194" i="22"/>
  <c r="R1194" i="22"/>
  <c r="L1195" i="22"/>
  <c r="C1195" i="22"/>
  <c r="K1195" i="22" s="1"/>
  <c r="E1195" i="22"/>
  <c r="F1195" i="22"/>
  <c r="O1195" i="22" s="1"/>
  <c r="G1195" i="22"/>
  <c r="I1195" i="22"/>
  <c r="B1196" i="22"/>
  <c r="M1140" i="22"/>
  <c r="D1140" i="22"/>
  <c r="J1140" i="22"/>
  <c r="N1140" i="22" s="1"/>
  <c r="M91" i="7"/>
  <c r="BV23" i="22"/>
  <c r="P1140" i="22"/>
  <c r="Q1140" i="22"/>
  <c r="R1140" i="22"/>
  <c r="L1141" i="22"/>
  <c r="C1141" i="22"/>
  <c r="E1141" i="22"/>
  <c r="G1141" i="22"/>
  <c r="I1141" i="22"/>
  <c r="B1142" i="22"/>
  <c r="L121" i="7"/>
  <c r="L59" i="7"/>
  <c r="U1085" i="22"/>
  <c r="AW22" i="22"/>
  <c r="BI22" i="22"/>
  <c r="M1086" i="22"/>
  <c r="D1086" i="22"/>
  <c r="J1086" i="22"/>
  <c r="N1086" i="22" s="1"/>
  <c r="M90" i="7"/>
  <c r="BV22" i="22"/>
  <c r="P1086" i="22"/>
  <c r="Q1086" i="22"/>
  <c r="R1086" i="22"/>
  <c r="L1087" i="22"/>
  <c r="C1087" i="22"/>
  <c r="K1087" i="22" s="1"/>
  <c r="E1087" i="22"/>
  <c r="F1087" i="22"/>
  <c r="O1087" i="22" s="1"/>
  <c r="G1087" i="22"/>
  <c r="I1087" i="22"/>
  <c r="B1088" i="22"/>
  <c r="L120" i="7"/>
  <c r="L58" i="7"/>
  <c r="AW21" i="22"/>
  <c r="BI21" i="22"/>
  <c r="U1031" i="22"/>
  <c r="M1032" i="22"/>
  <c r="D1032" i="22"/>
  <c r="J1032" i="22"/>
  <c r="N1032" i="22" s="1"/>
  <c r="L1033" i="22"/>
  <c r="E1033" i="22"/>
  <c r="I1033" i="22"/>
  <c r="G1033" i="22"/>
  <c r="B1034" i="22"/>
  <c r="C1033" i="22"/>
  <c r="I1045" i="22"/>
  <c r="M89" i="7"/>
  <c r="BV21" i="22"/>
  <c r="P1032" i="22"/>
  <c r="Q1032" i="22"/>
  <c r="R1032" i="22"/>
  <c r="L119" i="7"/>
  <c r="L57" i="7"/>
  <c r="U977" i="22"/>
  <c r="AW20" i="22"/>
  <c r="BI20" i="22"/>
  <c r="D978" i="22"/>
  <c r="J978" i="22"/>
  <c r="P978" i="22"/>
  <c r="Q978" i="22"/>
  <c r="R978" i="22"/>
  <c r="L979" i="22"/>
  <c r="C979" i="22"/>
  <c r="K979" i="22" s="1"/>
  <c r="E979" i="22"/>
  <c r="F979" i="22"/>
  <c r="O979" i="22" s="1"/>
  <c r="G979" i="22"/>
  <c r="I979" i="22"/>
  <c r="B980" i="22"/>
  <c r="L118" i="7"/>
  <c r="L56" i="7"/>
  <c r="U923" i="22"/>
  <c r="AW19" i="22"/>
  <c r="BI19" i="22"/>
  <c r="D924" i="22"/>
  <c r="J924" i="22"/>
  <c r="P924" i="22"/>
  <c r="Q924" i="22"/>
  <c r="R924" i="22"/>
  <c r="L925" i="22"/>
  <c r="C925" i="22"/>
  <c r="K925" i="22" s="1"/>
  <c r="E925" i="22"/>
  <c r="F925" i="22"/>
  <c r="O925" i="22" s="1"/>
  <c r="G925" i="22"/>
  <c r="I925" i="22"/>
  <c r="B926" i="22"/>
  <c r="L117" i="7"/>
  <c r="L55" i="7"/>
  <c r="U869" i="22"/>
  <c r="AW18" i="22"/>
  <c r="BI18" i="22"/>
  <c r="D870" i="22"/>
  <c r="J870" i="22"/>
  <c r="P870" i="22"/>
  <c r="Q870" i="22"/>
  <c r="R870" i="22"/>
  <c r="L871" i="22"/>
  <c r="C871" i="22"/>
  <c r="K871" i="22" s="1"/>
  <c r="E871" i="22"/>
  <c r="F871" i="22"/>
  <c r="O871" i="22" s="1"/>
  <c r="G871" i="22"/>
  <c r="I871" i="22"/>
  <c r="B872" i="22"/>
  <c r="M816" i="22"/>
  <c r="D816" i="22"/>
  <c r="J816" i="22"/>
  <c r="N816" i="22" s="1"/>
  <c r="M85" i="7"/>
  <c r="BV17" i="22"/>
  <c r="P816" i="22"/>
  <c r="Q816" i="22"/>
  <c r="R816" i="22"/>
  <c r="L817" i="22"/>
  <c r="C817" i="22"/>
  <c r="E817" i="22"/>
  <c r="G817" i="22"/>
  <c r="I817" i="22"/>
  <c r="B818" i="22"/>
  <c r="L115" i="7"/>
  <c r="L53" i="7"/>
  <c r="U761" i="22"/>
  <c r="AW16" i="22"/>
  <c r="BI16" i="22"/>
  <c r="CK16" i="22"/>
  <c r="E21" i="7"/>
  <c r="M762" i="22"/>
  <c r="D762" i="22"/>
  <c r="J762" i="22"/>
  <c r="N762" i="22" s="1"/>
  <c r="M84" i="7"/>
  <c r="BV16" i="22"/>
  <c r="P762" i="22"/>
  <c r="Q762" i="22"/>
  <c r="R762" i="22"/>
  <c r="L763" i="22"/>
  <c r="C763" i="22"/>
  <c r="K763" i="22" s="1"/>
  <c r="E763" i="22"/>
  <c r="F763" i="22"/>
  <c r="O763" i="22" s="1"/>
  <c r="G763" i="22"/>
  <c r="I763" i="22"/>
  <c r="B764" i="22"/>
  <c r="L114" i="7"/>
  <c r="L52" i="7"/>
  <c r="U707" i="22"/>
  <c r="AW15" i="22"/>
  <c r="BI15" i="22"/>
  <c r="M708" i="22"/>
  <c r="D708" i="22"/>
  <c r="J708" i="22"/>
  <c r="N708" i="22" s="1"/>
  <c r="M83" i="7"/>
  <c r="BV15" i="22"/>
  <c r="P708" i="22"/>
  <c r="Q708" i="22"/>
  <c r="R708" i="22"/>
  <c r="L709" i="22"/>
  <c r="C709" i="22"/>
  <c r="E709" i="22"/>
  <c r="G709" i="22"/>
  <c r="I709" i="22"/>
  <c r="B710" i="22"/>
  <c r="L113" i="7"/>
  <c r="L51" i="7"/>
  <c r="U653" i="22"/>
  <c r="AW14" i="22"/>
  <c r="BI14" i="22"/>
  <c r="CK14" i="22"/>
  <c r="E19" i="7"/>
  <c r="M654" i="22"/>
  <c r="D654" i="22"/>
  <c r="J654" i="22"/>
  <c r="N654" i="22" s="1"/>
  <c r="M82" i="7"/>
  <c r="BV14" i="22"/>
  <c r="P654" i="22"/>
  <c r="Q654" i="22"/>
  <c r="R654" i="22"/>
  <c r="L655" i="22"/>
  <c r="C655" i="22"/>
  <c r="K655" i="22" s="1"/>
  <c r="E655" i="22"/>
  <c r="F655" i="22"/>
  <c r="O655" i="22" s="1"/>
  <c r="G655" i="22"/>
  <c r="I655" i="22"/>
  <c r="B656" i="22"/>
  <c r="L112" i="7"/>
  <c r="L50" i="7"/>
  <c r="U599" i="22"/>
  <c r="AW13" i="22"/>
  <c r="BI13" i="22"/>
  <c r="M600" i="22"/>
  <c r="D600" i="22"/>
  <c r="J600" i="22"/>
  <c r="N600" i="22" s="1"/>
  <c r="I613" i="22"/>
  <c r="M81" i="7"/>
  <c r="BV13" i="22"/>
  <c r="P600" i="22"/>
  <c r="Q600" i="22"/>
  <c r="R600" i="22"/>
  <c r="L601" i="22"/>
  <c r="C601" i="22"/>
  <c r="K601" i="22" s="1"/>
  <c r="E601" i="22"/>
  <c r="F601" i="22"/>
  <c r="O601" i="22" s="1"/>
  <c r="G601" i="22"/>
  <c r="I601" i="22"/>
  <c r="B602" i="22"/>
  <c r="L111" i="7"/>
  <c r="L49" i="7"/>
  <c r="U545" i="22"/>
  <c r="AW12" i="22"/>
  <c r="BI12" i="22"/>
  <c r="D546" i="22"/>
  <c r="J546" i="22"/>
  <c r="P546" i="22"/>
  <c r="Q546" i="22"/>
  <c r="R546" i="22"/>
  <c r="L547" i="22"/>
  <c r="C547" i="22"/>
  <c r="K547" i="22" s="1"/>
  <c r="E547" i="22"/>
  <c r="F547" i="22"/>
  <c r="O547" i="22" s="1"/>
  <c r="G547" i="22"/>
  <c r="I547" i="22"/>
  <c r="B548" i="22"/>
  <c r="M492" i="22"/>
  <c r="D492" i="22"/>
  <c r="J492" i="22"/>
  <c r="N492" i="22" s="1"/>
  <c r="M79" i="7"/>
  <c r="BV11" i="22"/>
  <c r="P492" i="22"/>
  <c r="Q492" i="22"/>
  <c r="R492" i="22"/>
  <c r="L493" i="22"/>
  <c r="C493" i="22"/>
  <c r="K493" i="22" s="1"/>
  <c r="E493" i="22"/>
  <c r="F493" i="22"/>
  <c r="O493" i="22" s="1"/>
  <c r="G493" i="22"/>
  <c r="I493" i="22"/>
  <c r="B494" i="22"/>
  <c r="L47" i="7"/>
  <c r="L109" i="7"/>
  <c r="AW10" i="22"/>
  <c r="BI10" i="22"/>
  <c r="U437" i="22"/>
  <c r="P438" i="22"/>
  <c r="Q438" i="22"/>
  <c r="R438" i="22"/>
  <c r="L439" i="22"/>
  <c r="E439" i="22"/>
  <c r="G439" i="22"/>
  <c r="C439" i="22"/>
  <c r="K439" i="22" s="1"/>
  <c r="F439" i="22"/>
  <c r="O439" i="22" s="1"/>
  <c r="I439" i="22"/>
  <c r="B440" i="22"/>
  <c r="D438" i="22"/>
  <c r="J438" i="22"/>
  <c r="L108" i="7"/>
  <c r="L46" i="7"/>
  <c r="U383" i="22"/>
  <c r="AW9" i="22"/>
  <c r="BI9" i="22"/>
  <c r="CK9" i="22"/>
  <c r="E14" i="7"/>
  <c r="M384" i="22"/>
  <c r="D384" i="22"/>
  <c r="J384" i="22"/>
  <c r="N384" i="22" s="1"/>
  <c r="M77" i="7"/>
  <c r="BV9" i="22"/>
  <c r="P384" i="22"/>
  <c r="Q384" i="22"/>
  <c r="R384" i="22"/>
  <c r="L385" i="22"/>
  <c r="C385" i="22"/>
  <c r="E385" i="22"/>
  <c r="G385" i="22"/>
  <c r="I385" i="22"/>
  <c r="B386" i="22"/>
  <c r="L107" i="7"/>
  <c r="L45" i="7"/>
  <c r="U329" i="22"/>
  <c r="AW8" i="22"/>
  <c r="BI8" i="22"/>
  <c r="M330" i="22"/>
  <c r="D330" i="22"/>
  <c r="J330" i="22"/>
  <c r="N330" i="22" s="1"/>
  <c r="M76" i="7"/>
  <c r="BV8" i="22"/>
  <c r="P330" i="22"/>
  <c r="Q330" i="22"/>
  <c r="R330" i="22"/>
  <c r="L331" i="22"/>
  <c r="C331" i="22"/>
  <c r="E331" i="22"/>
  <c r="G331" i="22"/>
  <c r="I331" i="22"/>
  <c r="B332" i="22"/>
  <c r="L106" i="7"/>
  <c r="L44" i="7"/>
  <c r="U275" i="22"/>
  <c r="AW7" i="22"/>
  <c r="BI7" i="22"/>
  <c r="D276" i="22"/>
  <c r="J276" i="22"/>
  <c r="P276" i="22"/>
  <c r="Q276" i="22"/>
  <c r="R276" i="22"/>
  <c r="L277" i="22"/>
  <c r="C277" i="22"/>
  <c r="K277" i="22" s="1"/>
  <c r="E277" i="22"/>
  <c r="F277" i="22"/>
  <c r="O277" i="22" s="1"/>
  <c r="G277" i="22"/>
  <c r="I277" i="22"/>
  <c r="B278" i="22"/>
  <c r="L43" i="7"/>
  <c r="L105" i="7"/>
  <c r="U221" i="22"/>
  <c r="AW6" i="22"/>
  <c r="BI6" i="22"/>
  <c r="D222" i="22"/>
  <c r="J222" i="22"/>
  <c r="P222" i="22"/>
  <c r="Q222" i="22"/>
  <c r="R222" i="22"/>
  <c r="L223" i="22"/>
  <c r="C223" i="22"/>
  <c r="K223" i="22" s="1"/>
  <c r="E223" i="22"/>
  <c r="F223" i="22"/>
  <c r="O223" i="22" s="1"/>
  <c r="G223" i="22"/>
  <c r="I223" i="22"/>
  <c r="B224" i="22"/>
  <c r="J168" i="22"/>
  <c r="D168" i="22"/>
  <c r="P168" i="22"/>
  <c r="Q168" i="22"/>
  <c r="R168" i="22"/>
  <c r="L169" i="22"/>
  <c r="I169" i="22"/>
  <c r="B170" i="22"/>
  <c r="C169" i="22"/>
  <c r="E169" i="22"/>
  <c r="G169" i="22"/>
  <c r="M114" i="22"/>
  <c r="D114" i="22"/>
  <c r="J114" i="22"/>
  <c r="N114" i="22" s="1"/>
  <c r="M72" i="7"/>
  <c r="BV4" i="22"/>
  <c r="P114" i="22"/>
  <c r="Q114" i="22"/>
  <c r="R114" i="22"/>
  <c r="L115" i="22"/>
  <c r="C115" i="22"/>
  <c r="K115" i="22" s="1"/>
  <c r="E115" i="22"/>
  <c r="F115" i="22"/>
  <c r="O115" i="22" s="1"/>
  <c r="G115" i="22"/>
  <c r="I115" i="22"/>
  <c r="B116" i="22"/>
  <c r="U51" i="17"/>
  <c r="M103" i="12"/>
  <c r="Q103" i="12" s="1"/>
  <c r="O103" i="12"/>
  <c r="J52" i="17"/>
  <c r="N52" i="17" s="1"/>
  <c r="D52" i="17"/>
  <c r="N104" i="12"/>
  <c r="E104" i="12"/>
  <c r="O52" i="17"/>
  <c r="BD52" i="17"/>
  <c r="BC52" i="17"/>
  <c r="BB52" i="17"/>
  <c r="BA52" i="17"/>
  <c r="AZ52" i="17"/>
  <c r="AY52" i="17"/>
  <c r="AX52" i="17"/>
  <c r="AW52" i="17"/>
  <c r="AV52" i="17"/>
  <c r="AU52" i="17"/>
  <c r="AT52" i="17"/>
  <c r="AS52" i="17"/>
  <c r="AR52" i="17"/>
  <c r="AQ52" i="17"/>
  <c r="AP52" i="17"/>
  <c r="AO52" i="17"/>
  <c r="AN52" i="17"/>
  <c r="AM52" i="17"/>
  <c r="AL52" i="17"/>
  <c r="AK52" i="17"/>
  <c r="AJ52" i="17"/>
  <c r="AI52" i="17"/>
  <c r="AH52" i="17"/>
  <c r="AG52" i="17"/>
  <c r="AF52" i="17"/>
  <c r="AE52" i="17"/>
  <c r="AD52" i="17"/>
  <c r="AC52" i="17"/>
  <c r="AB52" i="17"/>
  <c r="AA52" i="17"/>
  <c r="Z52" i="17"/>
  <c r="Y52" i="17"/>
  <c r="X52" i="17"/>
  <c r="W52" i="17"/>
  <c r="P52" i="17"/>
  <c r="F52" i="18" s="1"/>
  <c r="Q52" i="17"/>
  <c r="G52" i="18" s="1"/>
  <c r="R52" i="17"/>
  <c r="H52" i="18" s="1"/>
  <c r="V52" i="17"/>
  <c r="M52" i="17"/>
  <c r="C53" i="17"/>
  <c r="E53" i="17"/>
  <c r="F53" i="17"/>
  <c r="C53" i="18" s="1"/>
  <c r="E53" i="18" s="1"/>
  <c r="G53" i="17"/>
  <c r="L53" i="17"/>
  <c r="I53" i="17"/>
  <c r="K53" i="17"/>
  <c r="B54" i="17"/>
  <c r="B53" i="18"/>
  <c r="AI728" i="23"/>
  <c r="H79" i="8"/>
  <c r="H105" i="8"/>
  <c r="H107" i="8"/>
  <c r="AH1625" i="23"/>
  <c r="I103" i="8"/>
  <c r="B137" i="8"/>
  <c r="D137" i="8"/>
  <c r="AD1346" i="23"/>
  <c r="AD730" i="23"/>
  <c r="AG730" i="23"/>
  <c r="I79" i="8"/>
  <c r="AI729" i="23"/>
  <c r="C101" i="12"/>
  <c r="AH1626" i="23"/>
  <c r="J103" i="8"/>
  <c r="B138" i="8"/>
  <c r="D138" i="8"/>
  <c r="X1403" i="23"/>
  <c r="W1403" i="23"/>
  <c r="W1347" i="23"/>
  <c r="X1347" i="23"/>
  <c r="X1291" i="23"/>
  <c r="W1291" i="23"/>
  <c r="W899" i="23"/>
  <c r="X899" i="23"/>
  <c r="X731" i="23"/>
  <c r="W731" i="23"/>
  <c r="X619" i="23"/>
  <c r="W619" i="23"/>
  <c r="X451" i="23"/>
  <c r="W451" i="23"/>
  <c r="U3784" i="22"/>
  <c r="AV72" i="22"/>
  <c r="BH72" i="22"/>
  <c r="U3676" i="22"/>
  <c r="AV70" i="22"/>
  <c r="BH70" i="22"/>
  <c r="U3622" i="22"/>
  <c r="AV69" i="22"/>
  <c r="BH69" i="22"/>
  <c r="U3568" i="22"/>
  <c r="AV68" i="22"/>
  <c r="BH68" i="22"/>
  <c r="U3514" i="22"/>
  <c r="AV67" i="22"/>
  <c r="BH67" i="22"/>
  <c r="U3460" i="22"/>
  <c r="AV66" i="22"/>
  <c r="BH66" i="22"/>
  <c r="U3352" i="22"/>
  <c r="AV64" i="22"/>
  <c r="BH64" i="22"/>
  <c r="U3298" i="22"/>
  <c r="AV63" i="22"/>
  <c r="BH63" i="22"/>
  <c r="U3190" i="22"/>
  <c r="AV61" i="22"/>
  <c r="BH61" i="22"/>
  <c r="U3136" i="22"/>
  <c r="AV60" i="22"/>
  <c r="BH60" i="22"/>
  <c r="U3082" i="22"/>
  <c r="AV59" i="22"/>
  <c r="BH59" i="22"/>
  <c r="U2920" i="22"/>
  <c r="AV56" i="22"/>
  <c r="BH56" i="22"/>
  <c r="U2866" i="22"/>
  <c r="AV55" i="22"/>
  <c r="BH55" i="22"/>
  <c r="U2758" i="22"/>
  <c r="AV53" i="22"/>
  <c r="BH53" i="22"/>
  <c r="U2704" i="22"/>
  <c r="AV52" i="22"/>
  <c r="BH52" i="22"/>
  <c r="U2596" i="22"/>
  <c r="AV50" i="22"/>
  <c r="BH50" i="22"/>
  <c r="U2326" i="22"/>
  <c r="AV45" i="22"/>
  <c r="BH45" i="22"/>
  <c r="U1948" i="22"/>
  <c r="AV38" i="22"/>
  <c r="BH38" i="22"/>
  <c r="U1894" i="22"/>
  <c r="AV37" i="22"/>
  <c r="BH37" i="22"/>
  <c r="U1462" i="22"/>
  <c r="AV29" i="22"/>
  <c r="BH29" i="22"/>
  <c r="CK22" i="22"/>
  <c r="E27" i="7"/>
  <c r="K121" i="7"/>
  <c r="K59" i="7"/>
  <c r="U1084" i="22"/>
  <c r="AV22" i="22"/>
  <c r="BH22" i="22"/>
  <c r="K114" i="7"/>
  <c r="K52" i="7"/>
  <c r="U706" i="22"/>
  <c r="AV15" i="22"/>
  <c r="BH15" i="22"/>
  <c r="CK15" i="22"/>
  <c r="E20" i="7"/>
  <c r="CK8" i="22"/>
  <c r="E13" i="7"/>
  <c r="K107" i="7"/>
  <c r="K45" i="7"/>
  <c r="U328" i="22"/>
  <c r="AV8" i="22"/>
  <c r="BH8" i="22"/>
  <c r="AD1627" i="23"/>
  <c r="AG1627" i="23"/>
  <c r="M1516" i="23"/>
  <c r="N1516" i="23"/>
  <c r="AB1516" i="23"/>
  <c r="AC1516" i="23" s="1"/>
  <c r="O1516" i="23"/>
  <c r="M1460" i="23"/>
  <c r="N1460" i="23"/>
  <c r="AB1460" i="23"/>
  <c r="AC1460" i="23" s="1"/>
  <c r="O1460" i="23"/>
  <c r="M1404" i="23"/>
  <c r="N1404" i="23"/>
  <c r="AB1404" i="23"/>
  <c r="AC1404" i="23" s="1"/>
  <c r="O1404" i="23"/>
  <c r="Y1404" i="23" s="1"/>
  <c r="N1348" i="23"/>
  <c r="M1348" i="23"/>
  <c r="O1348" i="23"/>
  <c r="Y1348" i="23" s="1"/>
  <c r="AB1348" i="23"/>
  <c r="AC1348" i="23" s="1"/>
  <c r="AD1123" i="23"/>
  <c r="AB1012" i="23"/>
  <c r="AC1012" i="23" s="1"/>
  <c r="O1012" i="23"/>
  <c r="Y1012" i="23" s="1"/>
  <c r="M1012" i="23"/>
  <c r="N1012" i="23"/>
  <c r="M956" i="23"/>
  <c r="N956" i="23"/>
  <c r="AB956" i="23"/>
  <c r="AC956" i="23" s="1"/>
  <c r="O956" i="23"/>
  <c r="Y956" i="23" s="1"/>
  <c r="AD675" i="23"/>
  <c r="M564" i="23"/>
  <c r="N564" i="23"/>
  <c r="AB564" i="23"/>
  <c r="AC564" i="23" s="1"/>
  <c r="O564" i="23"/>
  <c r="Y564" i="23" s="1"/>
  <c r="AB452" i="23"/>
  <c r="AC452" i="23" s="1"/>
  <c r="O452" i="23"/>
  <c r="Y452" i="23" s="1"/>
  <c r="M452" i="23"/>
  <c r="N452" i="23"/>
  <c r="M4547" i="22"/>
  <c r="N4547" i="22"/>
  <c r="M3677" i="22"/>
  <c r="N3677" i="22"/>
  <c r="M3569" i="22"/>
  <c r="N3569" i="22"/>
  <c r="M3245" i="22"/>
  <c r="N3245" i="22"/>
  <c r="I3259" i="22"/>
  <c r="CK62" i="22" s="1"/>
  <c r="BU62" i="22"/>
  <c r="M3191" i="22"/>
  <c r="N3191" i="22"/>
  <c r="M3137" i="22"/>
  <c r="N3137" i="22"/>
  <c r="BU57" i="22"/>
  <c r="M2975" i="22"/>
  <c r="N2975" i="22"/>
  <c r="M2759" i="22"/>
  <c r="N2759" i="22"/>
  <c r="M2435" i="22"/>
  <c r="N2435" i="22"/>
  <c r="I2449" i="22"/>
  <c r="CK47" i="22" s="1"/>
  <c r="BU47" i="22"/>
  <c r="I2395" i="22"/>
  <c r="CK46" i="22" s="1"/>
  <c r="BU46" i="22"/>
  <c r="M2381" i="22"/>
  <c r="N2381" i="22"/>
  <c r="M2327" i="22"/>
  <c r="N2327" i="22"/>
  <c r="M1895" i="22"/>
  <c r="N1895" i="22"/>
  <c r="BU36" i="22"/>
  <c r="I1855" i="22"/>
  <c r="CK36" i="22" s="1"/>
  <c r="M1841" i="22"/>
  <c r="N1841" i="22"/>
  <c r="M1733" i="22"/>
  <c r="N1733" i="22"/>
  <c r="BU34" i="22"/>
  <c r="I1747" i="22"/>
  <c r="CK34" i="22" s="1"/>
  <c r="M1679" i="22"/>
  <c r="N1679" i="22"/>
  <c r="BU33" i="22"/>
  <c r="I1639" i="22"/>
  <c r="CK32" i="22" s="1"/>
  <c r="BU32" i="22"/>
  <c r="M1625" i="22"/>
  <c r="N1625" i="22"/>
  <c r="BU31" i="22"/>
  <c r="M1571" i="22"/>
  <c r="N1571" i="22"/>
  <c r="M1193" i="22"/>
  <c r="N1193" i="22"/>
  <c r="BU24" i="22"/>
  <c r="L92" i="7"/>
  <c r="I1207" i="22"/>
  <c r="BU23" i="22"/>
  <c r="L91" i="7"/>
  <c r="I1153" i="22"/>
  <c r="M1139" i="22"/>
  <c r="N1139" i="22"/>
  <c r="BU17" i="22"/>
  <c r="L85" i="7"/>
  <c r="I829" i="22"/>
  <c r="M815" i="22"/>
  <c r="N815" i="22"/>
  <c r="M491" i="22"/>
  <c r="N491" i="22"/>
  <c r="BU11" i="22"/>
  <c r="L79" i="7"/>
  <c r="I505" i="22"/>
  <c r="M167" i="22"/>
  <c r="N167" i="22"/>
  <c r="BU5" i="22"/>
  <c r="L73" i="7"/>
  <c r="BU4" i="22"/>
  <c r="L72" i="7"/>
  <c r="I127" i="22"/>
  <c r="N113" i="22"/>
  <c r="M113" i="22"/>
  <c r="O102" i="12"/>
  <c r="M102" i="12"/>
  <c r="Q102" i="12" s="1"/>
  <c r="E44" i="10"/>
  <c r="U50" i="17"/>
  <c r="J127" i="7"/>
  <c r="J65" i="7"/>
  <c r="X1628" i="23"/>
  <c r="W1628" i="23"/>
  <c r="X1572" i="23"/>
  <c r="W1572" i="23"/>
  <c r="K1517" i="23"/>
  <c r="F1517" i="23"/>
  <c r="F1461" i="23"/>
  <c r="K1461" i="23"/>
  <c r="X1292" i="23"/>
  <c r="W1292" i="23"/>
  <c r="W1236" i="23"/>
  <c r="X1236" i="23"/>
  <c r="W1180" i="23"/>
  <c r="X1180" i="23"/>
  <c r="X1124" i="23"/>
  <c r="W1124" i="23"/>
  <c r="X1068" i="23"/>
  <c r="W1068" i="23"/>
  <c r="K1069" i="23"/>
  <c r="F1069" i="23"/>
  <c r="K1013" i="23"/>
  <c r="F1013" i="23"/>
  <c r="W900" i="23"/>
  <c r="X900" i="23"/>
  <c r="F901" i="23"/>
  <c r="K901" i="23"/>
  <c r="X844" i="23"/>
  <c r="W844" i="23"/>
  <c r="X788" i="23"/>
  <c r="W788" i="23"/>
  <c r="X732" i="23"/>
  <c r="W732" i="23"/>
  <c r="X676" i="23"/>
  <c r="W676" i="23"/>
  <c r="X620" i="23"/>
  <c r="W620" i="23"/>
  <c r="K621" i="23"/>
  <c r="F621" i="23"/>
  <c r="K565" i="23"/>
  <c r="F565" i="23"/>
  <c r="X508" i="23"/>
  <c r="W508" i="23"/>
  <c r="K509" i="23"/>
  <c r="F509" i="23"/>
  <c r="F453" i="23"/>
  <c r="K453" i="23"/>
  <c r="X396" i="23"/>
  <c r="W396" i="23"/>
  <c r="X340" i="23"/>
  <c r="W340" i="23"/>
  <c r="X284" i="23"/>
  <c r="W284" i="23"/>
  <c r="P103" i="12"/>
  <c r="BV72" i="22"/>
  <c r="I3799" i="22"/>
  <c r="CK72" i="22" s="1"/>
  <c r="BV71" i="22"/>
  <c r="I3745" i="22"/>
  <c r="CK71" i="22" s="1"/>
  <c r="K3678" i="22"/>
  <c r="F3678" i="22"/>
  <c r="O3678" i="22" s="1"/>
  <c r="BV69" i="22"/>
  <c r="I3637" i="22"/>
  <c r="CK69" i="22" s="1"/>
  <c r="BV68" i="22"/>
  <c r="I3583" i="22"/>
  <c r="CK68" i="22" s="1"/>
  <c r="F3516" i="22"/>
  <c r="O3516" i="22" s="1"/>
  <c r="K3516" i="22"/>
  <c r="BV66" i="22"/>
  <c r="I3475" i="22"/>
  <c r="CK66" i="22" s="1"/>
  <c r="BV65" i="22"/>
  <c r="I3421" i="22"/>
  <c r="CK65" i="22" s="1"/>
  <c r="BV64" i="22"/>
  <c r="I3367" i="22"/>
  <c r="CK64" i="22" s="1"/>
  <c r="K3300" i="22"/>
  <c r="F3300" i="22"/>
  <c r="O3300" i="22" s="1"/>
  <c r="F3138" i="22"/>
  <c r="O3138" i="22" s="1"/>
  <c r="K3138" i="22"/>
  <c r="K3084" i="22"/>
  <c r="F3084" i="22"/>
  <c r="O3084" i="22" s="1"/>
  <c r="F2976" i="22"/>
  <c r="O2976" i="22" s="1"/>
  <c r="K2976" i="22"/>
  <c r="F2922" i="22"/>
  <c r="O2922" i="22" s="1"/>
  <c r="K2922" i="22"/>
  <c r="BV55" i="22"/>
  <c r="I2881" i="22"/>
  <c r="CK55" i="22" s="1"/>
  <c r="BV54" i="22"/>
  <c r="I2827" i="22"/>
  <c r="CK54" i="22" s="1"/>
  <c r="BV53" i="22"/>
  <c r="I2773" i="22"/>
  <c r="CK53" i="22" s="1"/>
  <c r="K2706" i="22"/>
  <c r="F2706" i="22"/>
  <c r="O2706" i="22" s="1"/>
  <c r="F2652" i="22"/>
  <c r="O2652" i="22" s="1"/>
  <c r="K2652" i="22"/>
  <c r="BV48" i="22"/>
  <c r="I2503" i="22"/>
  <c r="CK48" i="22" s="1"/>
  <c r="K2274" i="22"/>
  <c r="F2274" i="22"/>
  <c r="O2274" i="22" s="1"/>
  <c r="BV40" i="22"/>
  <c r="I2071" i="22"/>
  <c r="CK40" i="22" s="1"/>
  <c r="BV39" i="22"/>
  <c r="I2017" i="22"/>
  <c r="CK39" i="22" s="1"/>
  <c r="BV38" i="22"/>
  <c r="I1963" i="22"/>
  <c r="CK38" i="22" s="1"/>
  <c r="K1896" i="22"/>
  <c r="F1896" i="22"/>
  <c r="O1896" i="22" s="1"/>
  <c r="BV37" i="22" s="1"/>
  <c r="BV35" i="22"/>
  <c r="I1801" i="22"/>
  <c r="CK35" i="22" s="1"/>
  <c r="F1572" i="22"/>
  <c r="O1572" i="22" s="1"/>
  <c r="K1572" i="22"/>
  <c r="K1518" i="22"/>
  <c r="F1518" i="22"/>
  <c r="O1518" i="22" s="1"/>
  <c r="BV29" i="22"/>
  <c r="I1477" i="22"/>
  <c r="CK29" i="22" s="1"/>
  <c r="BV28" i="22"/>
  <c r="I1423" i="22"/>
  <c r="CK28" i="22" s="1"/>
  <c r="BV27" i="22"/>
  <c r="I1369" i="22"/>
  <c r="CK27" i="22" s="1"/>
  <c r="BV26" i="22"/>
  <c r="I1315" i="22"/>
  <c r="CK26" i="22" s="1"/>
  <c r="F1248" i="22"/>
  <c r="O1248" i="22" s="1"/>
  <c r="K1248" i="22"/>
  <c r="F978" i="22"/>
  <c r="O978" i="22" s="1"/>
  <c r="K978" i="22"/>
  <c r="F924" i="22"/>
  <c r="O924" i="22" s="1"/>
  <c r="K924" i="22"/>
  <c r="K870" i="22"/>
  <c r="F870" i="22"/>
  <c r="O870" i="22" s="1"/>
  <c r="F546" i="22"/>
  <c r="O546" i="22" s="1"/>
  <c r="K546" i="22"/>
  <c r="K438" i="22"/>
  <c r="F438" i="22"/>
  <c r="O438" i="22" s="1"/>
  <c r="K276" i="22"/>
  <c r="F276" i="22"/>
  <c r="O276" i="22" s="1"/>
  <c r="F222" i="22"/>
  <c r="O222" i="22" s="1"/>
  <c r="K222" i="22"/>
  <c r="K168" i="22"/>
  <c r="F168" i="22"/>
  <c r="O168" i="22" s="1"/>
  <c r="I181" i="22" s="1"/>
  <c r="F51" i="18"/>
  <c r="G51" i="18"/>
  <c r="H51" i="18"/>
  <c r="BF51" i="17"/>
  <c r="BE52" i="17"/>
  <c r="BU61" i="22"/>
  <c r="I3205" i="22"/>
  <c r="CK61" i="22" s="1"/>
  <c r="BU45" i="22"/>
  <c r="I2341" i="22"/>
  <c r="CK45" i="22" s="1"/>
  <c r="BU37" i="22"/>
  <c r="I1909" i="22"/>
  <c r="CK37" i="22" s="1"/>
  <c r="I2557" i="22" l="1"/>
  <c r="CK49" i="22" s="1"/>
  <c r="BV49" i="22"/>
  <c r="K65" i="7"/>
  <c r="K127" i="7"/>
  <c r="L96" i="7"/>
  <c r="BV50" i="22"/>
  <c r="I2611" i="22"/>
  <c r="CK50" i="22" s="1"/>
  <c r="BV33" i="22"/>
  <c r="I1693" i="22"/>
  <c r="CK33" i="22" s="1"/>
  <c r="K958" i="23"/>
  <c r="F958" i="23"/>
  <c r="O958" i="23" s="1"/>
  <c r="K566" i="23"/>
  <c r="F566" i="23"/>
  <c r="O566" i="23" s="1"/>
  <c r="K286" i="23"/>
  <c r="F286" i="23"/>
  <c r="O286" i="23" s="1"/>
  <c r="K4195" i="22"/>
  <c r="F4195" i="22"/>
  <c r="O4195" i="22" s="1"/>
  <c r="K3085" i="22"/>
  <c r="F3085" i="22"/>
  <c r="O3085" i="22" s="1"/>
  <c r="K2707" i="22"/>
  <c r="F2707" i="22"/>
  <c r="O2707" i="22" s="1"/>
  <c r="K1789" i="22"/>
  <c r="F1789" i="22"/>
  <c r="O1789" i="22" s="1"/>
  <c r="K1141" i="22"/>
  <c r="F1141" i="22"/>
  <c r="O1141" i="22" s="1"/>
  <c r="K817" i="22"/>
  <c r="F817" i="22"/>
  <c r="O817" i="22" s="1"/>
  <c r="F331" i="22"/>
  <c r="O331" i="22" s="1"/>
  <c r="K331" i="22"/>
  <c r="BV31" i="22"/>
  <c r="I1585" i="22"/>
  <c r="CK31" i="22" s="1"/>
  <c r="Y1629" i="23"/>
  <c r="M106" i="8"/>
  <c r="M1630" i="23"/>
  <c r="J1630" i="23"/>
  <c r="N1630" i="23" s="1"/>
  <c r="AE1630" i="23" s="1"/>
  <c r="D1630" i="23"/>
  <c r="P1630" i="23"/>
  <c r="Q1630" i="23"/>
  <c r="R1630" i="23"/>
  <c r="I1631" i="23"/>
  <c r="L1631" i="23"/>
  <c r="C1631" i="23"/>
  <c r="E1631" i="23"/>
  <c r="G1631" i="23"/>
  <c r="B1632" i="23"/>
  <c r="M1574" i="23"/>
  <c r="J1574" i="23"/>
  <c r="N1574" i="23" s="1"/>
  <c r="AE1574" i="23" s="1"/>
  <c r="D1574" i="23"/>
  <c r="P1574" i="23"/>
  <c r="Q1574" i="23"/>
  <c r="R1574" i="23"/>
  <c r="L1575" i="23"/>
  <c r="I1575" i="23"/>
  <c r="C1575" i="23"/>
  <c r="K1575" i="23" s="1"/>
  <c r="E1575" i="23"/>
  <c r="F1575" i="23"/>
  <c r="O1575" i="23" s="1"/>
  <c r="G1575" i="23"/>
  <c r="B1576" i="23"/>
  <c r="J1518" i="23"/>
  <c r="D1518" i="23"/>
  <c r="P1518" i="23"/>
  <c r="Q1518" i="23"/>
  <c r="R1518" i="23"/>
  <c r="L1519" i="23"/>
  <c r="I1519" i="23"/>
  <c r="C1519" i="23"/>
  <c r="K1519" i="23" s="1"/>
  <c r="E1519" i="23"/>
  <c r="F1519" i="23"/>
  <c r="O1519" i="23" s="1"/>
  <c r="G1519" i="23"/>
  <c r="B1520" i="23"/>
  <c r="J1462" i="23"/>
  <c r="D1462" i="23"/>
  <c r="P1462" i="23"/>
  <c r="Q1462" i="23"/>
  <c r="R1462" i="23"/>
  <c r="L1463" i="23"/>
  <c r="I1463" i="23"/>
  <c r="C1463" i="23"/>
  <c r="E1463" i="23"/>
  <c r="G1463" i="23"/>
  <c r="B1464" i="23"/>
  <c r="J1406" i="23"/>
  <c r="D1406" i="23"/>
  <c r="P1406" i="23"/>
  <c r="Q1406" i="23"/>
  <c r="R1406" i="23"/>
  <c r="L1407" i="23"/>
  <c r="I1407" i="23"/>
  <c r="C1407" i="23"/>
  <c r="E1407" i="23"/>
  <c r="G1407" i="23"/>
  <c r="B1408" i="23"/>
  <c r="J1350" i="23"/>
  <c r="D1350" i="23"/>
  <c r="P1350" i="23"/>
  <c r="Q1350" i="23"/>
  <c r="R1350" i="23"/>
  <c r="L1351" i="23"/>
  <c r="I1351" i="23"/>
  <c r="C1351" i="23"/>
  <c r="K1351" i="23" s="1"/>
  <c r="E1351" i="23"/>
  <c r="F1351" i="23"/>
  <c r="O1351" i="23" s="1"/>
  <c r="G1351" i="23"/>
  <c r="B1352" i="23"/>
  <c r="M1294" i="23"/>
  <c r="J1294" i="23"/>
  <c r="N1294" i="23" s="1"/>
  <c r="AE1294" i="23" s="1"/>
  <c r="D1294" i="23"/>
  <c r="P1294" i="23"/>
  <c r="Q1294" i="23"/>
  <c r="R1294" i="23"/>
  <c r="L1295" i="23"/>
  <c r="I1295" i="23"/>
  <c r="C1295" i="23"/>
  <c r="K1295" i="23" s="1"/>
  <c r="E1295" i="23"/>
  <c r="F1295" i="23"/>
  <c r="O1295" i="23" s="1"/>
  <c r="G1295" i="23"/>
  <c r="B1296" i="23"/>
  <c r="M1238" i="23"/>
  <c r="J1238" i="23"/>
  <c r="N1238" i="23" s="1"/>
  <c r="AE1238" i="23" s="1"/>
  <c r="D1238" i="23"/>
  <c r="P1238" i="23"/>
  <c r="Q1238" i="23"/>
  <c r="R1238" i="23"/>
  <c r="L1239" i="23"/>
  <c r="I1239" i="23"/>
  <c r="C1239" i="23"/>
  <c r="K1239" i="23" s="1"/>
  <c r="E1239" i="23"/>
  <c r="F1239" i="23"/>
  <c r="O1239" i="23" s="1"/>
  <c r="G1239" i="23"/>
  <c r="B1240" i="23"/>
  <c r="M1182" i="23"/>
  <c r="J1182" i="23"/>
  <c r="N1182" i="23" s="1"/>
  <c r="AE1182" i="23" s="1"/>
  <c r="D1182" i="23"/>
  <c r="P1182" i="23"/>
  <c r="Q1182" i="23"/>
  <c r="R1182" i="23"/>
  <c r="L1183" i="23"/>
  <c r="I1183" i="23"/>
  <c r="C1183" i="23"/>
  <c r="K1183" i="23" s="1"/>
  <c r="E1183" i="23"/>
  <c r="F1183" i="23"/>
  <c r="O1183" i="23" s="1"/>
  <c r="G1183" i="23"/>
  <c r="B1184" i="23"/>
  <c r="M1126" i="23"/>
  <c r="J1126" i="23"/>
  <c r="N1126" i="23" s="1"/>
  <c r="AE1126" i="23" s="1"/>
  <c r="D1126" i="23"/>
  <c r="P1126" i="23"/>
  <c r="Q1126" i="23"/>
  <c r="R1126" i="23"/>
  <c r="L1127" i="23"/>
  <c r="I1127" i="23"/>
  <c r="C1127" i="23"/>
  <c r="K1127" i="23" s="1"/>
  <c r="E1127" i="23"/>
  <c r="F1127" i="23"/>
  <c r="O1127" i="23" s="1"/>
  <c r="G1127" i="23"/>
  <c r="B1128" i="23"/>
  <c r="M1070" i="23"/>
  <c r="J1070" i="23"/>
  <c r="N1070" i="23" s="1"/>
  <c r="AE1070" i="23" s="1"/>
  <c r="D1070" i="23"/>
  <c r="P1070" i="23"/>
  <c r="Q1070" i="23"/>
  <c r="R1070" i="23"/>
  <c r="L1071" i="23"/>
  <c r="I1071" i="23"/>
  <c r="C1071" i="23"/>
  <c r="K1071" i="23" s="1"/>
  <c r="E1071" i="23"/>
  <c r="F1071" i="23"/>
  <c r="O1071" i="23" s="1"/>
  <c r="G1071" i="23"/>
  <c r="B1072" i="23"/>
  <c r="J1014" i="23"/>
  <c r="D1014" i="23"/>
  <c r="P1014" i="23"/>
  <c r="Q1014" i="23"/>
  <c r="R1014" i="23"/>
  <c r="L1015" i="23"/>
  <c r="I1015" i="23"/>
  <c r="C1015" i="23"/>
  <c r="K1015" i="23" s="1"/>
  <c r="E1015" i="23"/>
  <c r="F1015" i="23"/>
  <c r="O1015" i="23" s="1"/>
  <c r="G1015" i="23"/>
  <c r="B1016" i="23"/>
  <c r="M958" i="23"/>
  <c r="J958" i="23"/>
  <c r="N958" i="23" s="1"/>
  <c r="AE958" i="23" s="1"/>
  <c r="D958" i="23"/>
  <c r="P958" i="23"/>
  <c r="Q958" i="23"/>
  <c r="R958" i="23"/>
  <c r="L959" i="23"/>
  <c r="I959" i="23"/>
  <c r="C959" i="23"/>
  <c r="E959" i="23"/>
  <c r="G959" i="23"/>
  <c r="B960" i="23"/>
  <c r="J902" i="23"/>
  <c r="D902" i="23"/>
  <c r="P902" i="23"/>
  <c r="Q902" i="23"/>
  <c r="R902" i="23"/>
  <c r="L903" i="23"/>
  <c r="I903" i="23"/>
  <c r="C903" i="23"/>
  <c r="E903" i="23"/>
  <c r="G903" i="23"/>
  <c r="B904" i="23"/>
  <c r="M846" i="23"/>
  <c r="J846" i="23"/>
  <c r="N846" i="23" s="1"/>
  <c r="AE846" i="23" s="1"/>
  <c r="D846" i="23"/>
  <c r="P846" i="23"/>
  <c r="Q846" i="23"/>
  <c r="R846" i="23"/>
  <c r="L847" i="23"/>
  <c r="I847" i="23"/>
  <c r="C847" i="23"/>
  <c r="K847" i="23" s="1"/>
  <c r="E847" i="23"/>
  <c r="F847" i="23"/>
  <c r="O847" i="23" s="1"/>
  <c r="G847" i="23"/>
  <c r="B848" i="23"/>
  <c r="M790" i="23"/>
  <c r="J790" i="23"/>
  <c r="N790" i="23" s="1"/>
  <c r="AE790" i="23" s="1"/>
  <c r="D790" i="23"/>
  <c r="P790" i="23"/>
  <c r="Q790" i="23"/>
  <c r="R790" i="23"/>
  <c r="L791" i="23"/>
  <c r="I791" i="23"/>
  <c r="C791" i="23"/>
  <c r="K791" i="23" s="1"/>
  <c r="E791" i="23"/>
  <c r="F791" i="23"/>
  <c r="O791" i="23" s="1"/>
  <c r="G791" i="23"/>
  <c r="B792" i="23"/>
  <c r="M734" i="23"/>
  <c r="J734" i="23"/>
  <c r="N734" i="23" s="1"/>
  <c r="AE734" i="23" s="1"/>
  <c r="D734" i="23"/>
  <c r="P734" i="23"/>
  <c r="Q734" i="23"/>
  <c r="R734" i="23"/>
  <c r="L735" i="23"/>
  <c r="I735" i="23"/>
  <c r="C735" i="23"/>
  <c r="K735" i="23" s="1"/>
  <c r="E735" i="23"/>
  <c r="F735" i="23"/>
  <c r="O735" i="23" s="1"/>
  <c r="G735" i="23"/>
  <c r="B736" i="23"/>
  <c r="M678" i="23"/>
  <c r="J678" i="23"/>
  <c r="N678" i="23" s="1"/>
  <c r="AE678" i="23" s="1"/>
  <c r="D678" i="23"/>
  <c r="P678" i="23"/>
  <c r="Q678" i="23"/>
  <c r="R678" i="23"/>
  <c r="L679" i="23"/>
  <c r="I679" i="23"/>
  <c r="C679" i="23"/>
  <c r="E679" i="23"/>
  <c r="G679" i="23"/>
  <c r="B680" i="23"/>
  <c r="M622" i="23"/>
  <c r="J622" i="23"/>
  <c r="N622" i="23" s="1"/>
  <c r="AE622" i="23" s="1"/>
  <c r="D622" i="23"/>
  <c r="P622" i="23"/>
  <c r="Q622" i="23"/>
  <c r="R622" i="23"/>
  <c r="L623" i="23"/>
  <c r="I623" i="23"/>
  <c r="C623" i="23"/>
  <c r="K623" i="23" s="1"/>
  <c r="E623" i="23"/>
  <c r="F623" i="23"/>
  <c r="O623" i="23" s="1"/>
  <c r="G623" i="23"/>
  <c r="B624" i="23"/>
  <c r="M566" i="23"/>
  <c r="J566" i="23"/>
  <c r="N566" i="23" s="1"/>
  <c r="AE566" i="23" s="1"/>
  <c r="D566" i="23"/>
  <c r="P566" i="23"/>
  <c r="Q566" i="23"/>
  <c r="R566" i="23"/>
  <c r="L567" i="23"/>
  <c r="I567" i="23"/>
  <c r="C567" i="23"/>
  <c r="K567" i="23" s="1"/>
  <c r="E567" i="23"/>
  <c r="F567" i="23"/>
  <c r="O567" i="23" s="1"/>
  <c r="G567" i="23"/>
  <c r="B568" i="23"/>
  <c r="M510" i="23"/>
  <c r="J510" i="23"/>
  <c r="N510" i="23" s="1"/>
  <c r="AE510" i="23" s="1"/>
  <c r="D510" i="23"/>
  <c r="P510" i="23"/>
  <c r="Q510" i="23"/>
  <c r="R510" i="23"/>
  <c r="L511" i="23"/>
  <c r="I511" i="23"/>
  <c r="C511" i="23"/>
  <c r="K511" i="23" s="1"/>
  <c r="E511" i="23"/>
  <c r="F511" i="23"/>
  <c r="O511" i="23" s="1"/>
  <c r="G511" i="23"/>
  <c r="B512" i="23"/>
  <c r="M454" i="23"/>
  <c r="J454" i="23"/>
  <c r="N454" i="23" s="1"/>
  <c r="AE454" i="23" s="1"/>
  <c r="D454" i="23"/>
  <c r="L455" i="23"/>
  <c r="I455" i="23"/>
  <c r="E455" i="23"/>
  <c r="G455" i="23"/>
  <c r="C455" i="23"/>
  <c r="K455" i="23" s="1"/>
  <c r="F455" i="23"/>
  <c r="O455" i="23" s="1"/>
  <c r="B456" i="23"/>
  <c r="P454" i="23"/>
  <c r="Q454" i="23"/>
  <c r="R454" i="23"/>
  <c r="M398" i="23"/>
  <c r="J398" i="23"/>
  <c r="N398" i="23" s="1"/>
  <c r="AE398" i="23" s="1"/>
  <c r="D398" i="23"/>
  <c r="P398" i="23"/>
  <c r="Q398" i="23"/>
  <c r="R398" i="23"/>
  <c r="L399" i="23"/>
  <c r="I399" i="23"/>
  <c r="C399" i="23"/>
  <c r="K399" i="23" s="1"/>
  <c r="E399" i="23"/>
  <c r="F399" i="23"/>
  <c r="O399" i="23" s="1"/>
  <c r="G399" i="23"/>
  <c r="B400" i="23"/>
  <c r="M342" i="23"/>
  <c r="J342" i="23"/>
  <c r="N342" i="23" s="1"/>
  <c r="AE342" i="23" s="1"/>
  <c r="D342" i="23"/>
  <c r="P342" i="23"/>
  <c r="Q342" i="23"/>
  <c r="R342" i="23"/>
  <c r="L343" i="23"/>
  <c r="I343" i="23"/>
  <c r="C343" i="23"/>
  <c r="E343" i="23"/>
  <c r="G343" i="23"/>
  <c r="B344" i="23"/>
  <c r="M286" i="23"/>
  <c r="J286" i="23"/>
  <c r="N286" i="23" s="1"/>
  <c r="AE286" i="23" s="1"/>
  <c r="D286" i="23"/>
  <c r="P286" i="23"/>
  <c r="Q286" i="23"/>
  <c r="R286" i="23"/>
  <c r="L287" i="23"/>
  <c r="I287" i="23"/>
  <c r="C287" i="23"/>
  <c r="K287" i="23" s="1"/>
  <c r="E287" i="23"/>
  <c r="F287" i="23"/>
  <c r="O287" i="23" s="1"/>
  <c r="G287" i="23"/>
  <c r="B288" i="23"/>
  <c r="D4765" i="22"/>
  <c r="J4765" i="22"/>
  <c r="N4765" i="22" s="1"/>
  <c r="P4765" i="22"/>
  <c r="Q4765" i="22"/>
  <c r="R4765" i="22"/>
  <c r="M4765" i="22"/>
  <c r="C4766" i="22"/>
  <c r="F4766" i="22" s="1"/>
  <c r="E4766" i="22"/>
  <c r="G4766" i="22"/>
  <c r="I4766" i="22"/>
  <c r="K4766" i="22"/>
  <c r="L4766" i="22"/>
  <c r="B4767" i="22"/>
  <c r="T4709" i="22"/>
  <c r="D40" i="15" s="1"/>
  <c r="S4710" i="22"/>
  <c r="T4710" i="22" s="1"/>
  <c r="U4710" i="22"/>
  <c r="D4711" i="22"/>
  <c r="J4711" i="22"/>
  <c r="P4711" i="22"/>
  <c r="Q4711" i="22"/>
  <c r="R4711" i="22"/>
  <c r="L4712" i="22"/>
  <c r="C4712" i="22"/>
  <c r="E4712" i="22"/>
  <c r="G4712" i="22"/>
  <c r="I4712" i="22"/>
  <c r="B4713" i="22"/>
  <c r="P4657" i="22"/>
  <c r="Q4657" i="22"/>
  <c r="R4657" i="22"/>
  <c r="C4658" i="22"/>
  <c r="E4658" i="22"/>
  <c r="G4658" i="22"/>
  <c r="B4659" i="22"/>
  <c r="M4603" i="22"/>
  <c r="J4603" i="22"/>
  <c r="N4603" i="22" s="1"/>
  <c r="D4603" i="22"/>
  <c r="P4603" i="22"/>
  <c r="Q4603" i="22"/>
  <c r="R4603" i="22"/>
  <c r="I4604" i="22"/>
  <c r="L4604" i="22"/>
  <c r="C4604" i="22"/>
  <c r="E4604" i="22"/>
  <c r="G4604" i="22"/>
  <c r="B4605" i="22"/>
  <c r="D4549" i="22"/>
  <c r="J4549" i="22"/>
  <c r="P4549" i="22"/>
  <c r="Q4549" i="22"/>
  <c r="R4549" i="22"/>
  <c r="L4550" i="22"/>
  <c r="C4550" i="22"/>
  <c r="E4550" i="22"/>
  <c r="G4550" i="22"/>
  <c r="I4550" i="22"/>
  <c r="B4551" i="22"/>
  <c r="D4249" i="22"/>
  <c r="J4249" i="22"/>
  <c r="N4249" i="22" s="1"/>
  <c r="U4249" i="22" s="1"/>
  <c r="P4249" i="22"/>
  <c r="Q4249" i="22"/>
  <c r="R4249" i="22"/>
  <c r="M4249" i="22"/>
  <c r="C4250" i="22"/>
  <c r="F4250" i="22" s="1"/>
  <c r="O4250" i="22" s="1"/>
  <c r="E4250" i="22"/>
  <c r="G4250" i="22"/>
  <c r="I4250" i="22"/>
  <c r="K4250" i="22"/>
  <c r="L4250" i="22"/>
  <c r="B4251" i="22"/>
  <c r="M4195" i="22"/>
  <c r="D4195" i="22"/>
  <c r="J4195" i="22"/>
  <c r="N4195" i="22" s="1"/>
  <c r="U4195" i="22" s="1"/>
  <c r="P4195" i="22"/>
  <c r="Q4195" i="22"/>
  <c r="R4195" i="22"/>
  <c r="L4196" i="22"/>
  <c r="C4196" i="22"/>
  <c r="K4196" i="22" s="1"/>
  <c r="E4196" i="22"/>
  <c r="F4196" i="22"/>
  <c r="O4196" i="22" s="1"/>
  <c r="G4196" i="22"/>
  <c r="I4196" i="22"/>
  <c r="B4197" i="22"/>
  <c r="M4141" i="22"/>
  <c r="D4141" i="22"/>
  <c r="J4141" i="22"/>
  <c r="N4141" i="22" s="1"/>
  <c r="U4141" i="22" s="1"/>
  <c r="P4141" i="22"/>
  <c r="Q4141" i="22"/>
  <c r="R4141" i="22"/>
  <c r="L4142" i="22"/>
  <c r="C4142" i="22"/>
  <c r="E4142" i="22"/>
  <c r="G4142" i="22"/>
  <c r="I4142" i="22"/>
  <c r="B4143" i="22"/>
  <c r="M4087" i="22"/>
  <c r="D4087" i="22"/>
  <c r="J4087" i="22"/>
  <c r="N4087" i="22" s="1"/>
  <c r="U4087" i="22" s="1"/>
  <c r="P4087" i="22"/>
  <c r="Q4087" i="22"/>
  <c r="R4087" i="22"/>
  <c r="L4088" i="22"/>
  <c r="C4088" i="22"/>
  <c r="K4088" i="22" s="1"/>
  <c r="E4088" i="22"/>
  <c r="F4088" i="22"/>
  <c r="O4088" i="22" s="1"/>
  <c r="G4088" i="22"/>
  <c r="I4088" i="22"/>
  <c r="B4089" i="22"/>
  <c r="U3786" i="22"/>
  <c r="AX72" i="22"/>
  <c r="BJ72" i="22"/>
  <c r="M3787" i="22"/>
  <c r="D3787" i="22"/>
  <c r="J3787" i="22"/>
  <c r="N3787" i="22" s="1"/>
  <c r="U3787" i="22" s="1"/>
  <c r="P3787" i="22"/>
  <c r="Q3787" i="22"/>
  <c r="R3787" i="22"/>
  <c r="L3788" i="22"/>
  <c r="C3788" i="22"/>
  <c r="K3788" i="22" s="1"/>
  <c r="E3788" i="22"/>
  <c r="F3788" i="22"/>
  <c r="O3788" i="22" s="1"/>
  <c r="G3788" i="22"/>
  <c r="I3788" i="22"/>
  <c r="B3789" i="22"/>
  <c r="J3745" i="22"/>
  <c r="CL71" i="22" s="1"/>
  <c r="CJ71" i="22"/>
  <c r="U3732" i="22"/>
  <c r="AX71" i="22"/>
  <c r="BJ71" i="22"/>
  <c r="D3733" i="22"/>
  <c r="J3733" i="22"/>
  <c r="P3733" i="22"/>
  <c r="Q3733" i="22"/>
  <c r="R3733" i="22"/>
  <c r="L3734" i="22"/>
  <c r="C3734" i="22"/>
  <c r="K3734" i="22" s="1"/>
  <c r="E3734" i="22"/>
  <c r="F3734" i="22"/>
  <c r="O3734" i="22" s="1"/>
  <c r="G3734" i="22"/>
  <c r="I3734" i="22"/>
  <c r="B3735" i="22"/>
  <c r="M3679" i="22"/>
  <c r="D3679" i="22"/>
  <c r="J3679" i="22"/>
  <c r="N3679" i="22" s="1"/>
  <c r="U3679" i="22" s="1"/>
  <c r="P3679" i="22"/>
  <c r="Q3679" i="22"/>
  <c r="R3679" i="22"/>
  <c r="L3680" i="22"/>
  <c r="C3680" i="22"/>
  <c r="E3680" i="22"/>
  <c r="G3680" i="22"/>
  <c r="I3680" i="22"/>
  <c r="B3681" i="22"/>
  <c r="U3624" i="22"/>
  <c r="AX69" i="22"/>
  <c r="BJ69" i="22"/>
  <c r="M3625" i="22"/>
  <c r="D3625" i="22"/>
  <c r="J3625" i="22"/>
  <c r="N3625" i="22" s="1"/>
  <c r="U3625" i="22" s="1"/>
  <c r="P3625" i="22"/>
  <c r="Q3625" i="22"/>
  <c r="R3625" i="22"/>
  <c r="L3626" i="22"/>
  <c r="C3626" i="22"/>
  <c r="K3626" i="22" s="1"/>
  <c r="E3626" i="22"/>
  <c r="F3626" i="22"/>
  <c r="O3626" i="22" s="1"/>
  <c r="G3626" i="22"/>
  <c r="I3626" i="22"/>
  <c r="B3627" i="22"/>
  <c r="U3570" i="22"/>
  <c r="AX68" i="22"/>
  <c r="BJ68" i="22"/>
  <c r="J3571" i="22"/>
  <c r="D3571" i="22"/>
  <c r="P3571" i="22"/>
  <c r="Q3571" i="22"/>
  <c r="R3571" i="22"/>
  <c r="L3572" i="22"/>
  <c r="E3572" i="22"/>
  <c r="I3572" i="22"/>
  <c r="C3572" i="22"/>
  <c r="G3572" i="22"/>
  <c r="B3573" i="22"/>
  <c r="M3517" i="22"/>
  <c r="D3517" i="22"/>
  <c r="J3517" i="22"/>
  <c r="N3517" i="22" s="1"/>
  <c r="U3517" i="22" s="1"/>
  <c r="P3517" i="22"/>
  <c r="Q3517" i="22"/>
  <c r="R3517" i="22"/>
  <c r="L3518" i="22"/>
  <c r="C3518" i="22"/>
  <c r="K3518" i="22" s="1"/>
  <c r="E3518" i="22"/>
  <c r="F3518" i="22"/>
  <c r="O3518" i="22" s="1"/>
  <c r="G3518" i="22"/>
  <c r="I3518" i="22"/>
  <c r="B3519" i="22"/>
  <c r="U3462" i="22"/>
  <c r="AX66" i="22"/>
  <c r="BJ66" i="22"/>
  <c r="M3463" i="22"/>
  <c r="D3463" i="22"/>
  <c r="J3463" i="22"/>
  <c r="N3463" i="22" s="1"/>
  <c r="U3463" i="22" s="1"/>
  <c r="P3463" i="22"/>
  <c r="Q3463" i="22"/>
  <c r="R3463" i="22"/>
  <c r="L3464" i="22"/>
  <c r="C3464" i="22"/>
  <c r="K3464" i="22" s="1"/>
  <c r="E3464" i="22"/>
  <c r="F3464" i="22"/>
  <c r="O3464" i="22" s="1"/>
  <c r="G3464" i="22"/>
  <c r="I3464" i="22"/>
  <c r="B3465" i="22"/>
  <c r="U3408" i="22"/>
  <c r="AX65" i="22"/>
  <c r="BJ65" i="22"/>
  <c r="D3409" i="22"/>
  <c r="J3409" i="22"/>
  <c r="P3409" i="22"/>
  <c r="Q3409" i="22"/>
  <c r="R3409" i="22"/>
  <c r="L3410" i="22"/>
  <c r="C3410" i="22"/>
  <c r="E3410" i="22"/>
  <c r="G3410" i="22"/>
  <c r="I3410" i="22"/>
  <c r="B3411" i="22"/>
  <c r="U3354" i="22"/>
  <c r="AX64" i="22"/>
  <c r="BJ64" i="22"/>
  <c r="D3355" i="22"/>
  <c r="J3355" i="22"/>
  <c r="P3355" i="22"/>
  <c r="Q3355" i="22"/>
  <c r="R3355" i="22"/>
  <c r="L3356" i="22"/>
  <c r="C3356" i="22"/>
  <c r="E3356" i="22"/>
  <c r="G3356" i="22"/>
  <c r="I3356" i="22"/>
  <c r="B3357" i="22"/>
  <c r="M3301" i="22"/>
  <c r="D3301" i="22"/>
  <c r="J3301" i="22"/>
  <c r="N3301" i="22" s="1"/>
  <c r="U3301" i="22" s="1"/>
  <c r="P3301" i="22"/>
  <c r="Q3301" i="22"/>
  <c r="R3301" i="22"/>
  <c r="L3302" i="22"/>
  <c r="C3302" i="22"/>
  <c r="K3302" i="22" s="1"/>
  <c r="E3302" i="22"/>
  <c r="F3302" i="22"/>
  <c r="O3302" i="22" s="1"/>
  <c r="G3302" i="22"/>
  <c r="I3302" i="22"/>
  <c r="B3303" i="22"/>
  <c r="U3246" i="22"/>
  <c r="AX62" i="22"/>
  <c r="BJ62" i="22"/>
  <c r="M3247" i="22"/>
  <c r="D3247" i="22"/>
  <c r="J3247" i="22"/>
  <c r="N3247" i="22" s="1"/>
  <c r="U3247" i="22" s="1"/>
  <c r="P3247" i="22"/>
  <c r="Q3247" i="22"/>
  <c r="R3247" i="22"/>
  <c r="L3248" i="22"/>
  <c r="C3248" i="22"/>
  <c r="K3248" i="22" s="1"/>
  <c r="E3248" i="22"/>
  <c r="F3248" i="22"/>
  <c r="O3248" i="22" s="1"/>
  <c r="G3248" i="22"/>
  <c r="I3248" i="22"/>
  <c r="B3249" i="22"/>
  <c r="U3192" i="22"/>
  <c r="AX61" i="22"/>
  <c r="BJ61" i="22"/>
  <c r="M3193" i="22"/>
  <c r="D3193" i="22"/>
  <c r="J3193" i="22"/>
  <c r="N3193" i="22" s="1"/>
  <c r="U3193" i="22" s="1"/>
  <c r="P3193" i="22"/>
  <c r="Q3193" i="22"/>
  <c r="R3193" i="22"/>
  <c r="L3194" i="22"/>
  <c r="C3194" i="22"/>
  <c r="K3194" i="22" s="1"/>
  <c r="E3194" i="22"/>
  <c r="F3194" i="22"/>
  <c r="O3194" i="22" s="1"/>
  <c r="G3194" i="22"/>
  <c r="I3194" i="22"/>
  <c r="B3195" i="22"/>
  <c r="D3139" i="22"/>
  <c r="J3139" i="22"/>
  <c r="P3139" i="22"/>
  <c r="Q3139" i="22"/>
  <c r="R3139" i="22"/>
  <c r="L3140" i="22"/>
  <c r="G3140" i="22"/>
  <c r="B3141" i="22"/>
  <c r="I3140" i="22"/>
  <c r="C3140" i="22"/>
  <c r="K3140" i="22" s="1"/>
  <c r="E3140" i="22"/>
  <c r="F3140" i="22"/>
  <c r="O3140" i="22" s="1"/>
  <c r="M3085" i="22"/>
  <c r="P3085" i="22"/>
  <c r="Q3085" i="22"/>
  <c r="R3085" i="22"/>
  <c r="L3086" i="22"/>
  <c r="E3086" i="22"/>
  <c r="G3086" i="22"/>
  <c r="I3086" i="22"/>
  <c r="B3087" i="22"/>
  <c r="C3086" i="22"/>
  <c r="J3085" i="22"/>
  <c r="N3085" i="22" s="1"/>
  <c r="U3085" i="22" s="1"/>
  <c r="D3085" i="22"/>
  <c r="U3030" i="22"/>
  <c r="AX58" i="22"/>
  <c r="BJ58" i="22"/>
  <c r="M3031" i="22"/>
  <c r="D3031" i="22"/>
  <c r="J3031" i="22"/>
  <c r="N3031" i="22" s="1"/>
  <c r="U3031" i="22" s="1"/>
  <c r="P3031" i="22"/>
  <c r="Q3031" i="22"/>
  <c r="R3031" i="22"/>
  <c r="L3032" i="22"/>
  <c r="C3032" i="22"/>
  <c r="E3032" i="22"/>
  <c r="G3032" i="22"/>
  <c r="B3033" i="22"/>
  <c r="I3032" i="22"/>
  <c r="M2977" i="22"/>
  <c r="L2978" i="22"/>
  <c r="E2978" i="22"/>
  <c r="B2979" i="22"/>
  <c r="C2978" i="22"/>
  <c r="G2978" i="22"/>
  <c r="I2978" i="22"/>
  <c r="D2977" i="22"/>
  <c r="J2977" i="22"/>
  <c r="N2977" i="22" s="1"/>
  <c r="U2977" i="22" s="1"/>
  <c r="P2977" i="22"/>
  <c r="Q2977" i="22"/>
  <c r="R2977" i="22"/>
  <c r="L2924" i="22"/>
  <c r="B2925" i="22"/>
  <c r="I2924" i="22"/>
  <c r="C2924" i="22"/>
  <c r="E2924" i="22"/>
  <c r="G2924" i="22"/>
  <c r="D2923" i="22"/>
  <c r="J2923" i="22"/>
  <c r="P2923" i="22"/>
  <c r="Q2923" i="22"/>
  <c r="R2923" i="22"/>
  <c r="U2868" i="22"/>
  <c r="AX55" i="22"/>
  <c r="BJ55" i="22"/>
  <c r="D2869" i="22"/>
  <c r="J2869" i="22"/>
  <c r="P2869" i="22"/>
  <c r="Q2869" i="22"/>
  <c r="R2869" i="22"/>
  <c r="L2870" i="22"/>
  <c r="C2870" i="22"/>
  <c r="K2870" i="22" s="1"/>
  <c r="E2870" i="22"/>
  <c r="F2870" i="22"/>
  <c r="O2870" i="22" s="1"/>
  <c r="G2870" i="22"/>
  <c r="I2870" i="22"/>
  <c r="B2871" i="22"/>
  <c r="S2814" i="22"/>
  <c r="AX54" i="22"/>
  <c r="BJ54" i="22"/>
  <c r="AL1629" i="23"/>
  <c r="R1642" i="23" s="1"/>
  <c r="E54" i="19" s="1"/>
  <c r="G54" i="19" s="1"/>
  <c r="U2814" i="22"/>
  <c r="M2815" i="22"/>
  <c r="D2815" i="22"/>
  <c r="J2815" i="22"/>
  <c r="N2815" i="22" s="1"/>
  <c r="S2815" i="22" s="1"/>
  <c r="P2815" i="22"/>
  <c r="Q2815" i="22"/>
  <c r="R2815" i="22"/>
  <c r="T2815" i="22"/>
  <c r="U2815" i="22" s="1"/>
  <c r="L2816" i="22"/>
  <c r="C2816" i="22"/>
  <c r="K2816" i="22" s="1"/>
  <c r="E2816" i="22"/>
  <c r="F2816" i="22"/>
  <c r="O2816" i="22" s="1"/>
  <c r="G2816" i="22"/>
  <c r="I2816" i="22"/>
  <c r="B2817" i="22"/>
  <c r="U2760" i="22"/>
  <c r="AX53" i="22"/>
  <c r="BJ53" i="22"/>
  <c r="M2761" i="22"/>
  <c r="D2761" i="22"/>
  <c r="J2761" i="22"/>
  <c r="N2761" i="22" s="1"/>
  <c r="U2761" i="22" s="1"/>
  <c r="P2761" i="22"/>
  <c r="Q2761" i="22"/>
  <c r="R2761" i="22"/>
  <c r="L2762" i="22"/>
  <c r="C2762" i="22"/>
  <c r="E2762" i="22"/>
  <c r="G2762" i="22"/>
  <c r="I2762" i="22"/>
  <c r="B2763" i="22"/>
  <c r="M2707" i="22"/>
  <c r="D2707" i="22"/>
  <c r="J2707" i="22"/>
  <c r="N2707" i="22" s="1"/>
  <c r="U2707" i="22" s="1"/>
  <c r="P2707" i="22"/>
  <c r="Q2707" i="22"/>
  <c r="R2707" i="22"/>
  <c r="L2708" i="22"/>
  <c r="C2708" i="22"/>
  <c r="E2708" i="22"/>
  <c r="G2708" i="22"/>
  <c r="I2708" i="22"/>
  <c r="B2709" i="22"/>
  <c r="M2653" i="22"/>
  <c r="D2653" i="22"/>
  <c r="J2653" i="22"/>
  <c r="N2653" i="22" s="1"/>
  <c r="U2653" i="22" s="1"/>
  <c r="P2653" i="22"/>
  <c r="Q2653" i="22"/>
  <c r="R2653" i="22"/>
  <c r="L2654" i="22"/>
  <c r="C2654" i="22"/>
  <c r="K2654" i="22" s="1"/>
  <c r="E2654" i="22"/>
  <c r="F2654" i="22"/>
  <c r="O2654" i="22" s="1"/>
  <c r="G2654" i="22"/>
  <c r="I2654" i="22"/>
  <c r="B2655" i="22"/>
  <c r="AX50" i="22"/>
  <c r="BJ50" i="22"/>
  <c r="U2598" i="22"/>
  <c r="M2599" i="22"/>
  <c r="D2599" i="22"/>
  <c r="J2599" i="22"/>
  <c r="N2599" i="22" s="1"/>
  <c r="U2599" i="22" s="1"/>
  <c r="L2600" i="22"/>
  <c r="I2600" i="22"/>
  <c r="C2600" i="22"/>
  <c r="K2600" i="22" s="1"/>
  <c r="F2600" i="22"/>
  <c r="O2600" i="22" s="1"/>
  <c r="E2600" i="22"/>
  <c r="B2601" i="22"/>
  <c r="G2600" i="22"/>
  <c r="P2599" i="22"/>
  <c r="Q2599" i="22"/>
  <c r="R2599" i="22"/>
  <c r="U2544" i="22"/>
  <c r="AX49" i="22"/>
  <c r="BJ49" i="22"/>
  <c r="M2545" i="22"/>
  <c r="D2545" i="22"/>
  <c r="J2545" i="22"/>
  <c r="N2545" i="22" s="1"/>
  <c r="U2545" i="22" s="1"/>
  <c r="P2545" i="22"/>
  <c r="Q2545" i="22"/>
  <c r="R2545" i="22"/>
  <c r="L2546" i="22"/>
  <c r="C2546" i="22"/>
  <c r="K2546" i="22" s="1"/>
  <c r="E2546" i="22"/>
  <c r="F2546" i="22"/>
  <c r="O2546" i="22" s="1"/>
  <c r="G2546" i="22"/>
  <c r="I2546" i="22"/>
  <c r="B2547" i="22"/>
  <c r="U2490" i="22"/>
  <c r="AX48" i="22"/>
  <c r="BJ48" i="22"/>
  <c r="M2491" i="22"/>
  <c r="D2491" i="22"/>
  <c r="J2491" i="22"/>
  <c r="N2491" i="22" s="1"/>
  <c r="U2491" i="22" s="1"/>
  <c r="P2491" i="22"/>
  <c r="Q2491" i="22"/>
  <c r="R2491" i="22"/>
  <c r="L2492" i="22"/>
  <c r="C2492" i="22"/>
  <c r="K2492" i="22" s="1"/>
  <c r="E2492" i="22"/>
  <c r="F2492" i="22"/>
  <c r="O2492" i="22" s="1"/>
  <c r="G2492" i="22"/>
  <c r="I2492" i="22"/>
  <c r="B2493" i="22"/>
  <c r="U2436" i="22"/>
  <c r="AX47" i="22"/>
  <c r="BJ47" i="22"/>
  <c r="D2437" i="22"/>
  <c r="J2437" i="22"/>
  <c r="P2437" i="22"/>
  <c r="Q2437" i="22"/>
  <c r="R2437" i="22"/>
  <c r="L2438" i="22"/>
  <c r="C2438" i="22"/>
  <c r="E2438" i="22"/>
  <c r="G2438" i="22"/>
  <c r="I2438" i="22"/>
  <c r="B2439" i="22"/>
  <c r="U2382" i="22"/>
  <c r="AX46" i="22"/>
  <c r="BJ46" i="22"/>
  <c r="D2383" i="22"/>
  <c r="J2383" i="22"/>
  <c r="P2383" i="22"/>
  <c r="Q2383" i="22"/>
  <c r="R2383" i="22"/>
  <c r="L2384" i="22"/>
  <c r="C2384" i="22"/>
  <c r="E2384" i="22"/>
  <c r="G2384" i="22"/>
  <c r="I2384" i="22"/>
  <c r="B2385" i="22"/>
  <c r="U2328" i="22"/>
  <c r="AX45" i="22"/>
  <c r="BJ45" i="22"/>
  <c r="M2329" i="22"/>
  <c r="D2329" i="22"/>
  <c r="J2329" i="22"/>
  <c r="N2329" i="22" s="1"/>
  <c r="U2329" i="22" s="1"/>
  <c r="P2329" i="22"/>
  <c r="Q2329" i="22"/>
  <c r="R2329" i="22"/>
  <c r="L2330" i="22"/>
  <c r="C2330" i="22"/>
  <c r="K2330" i="22" s="1"/>
  <c r="E2330" i="22"/>
  <c r="F2330" i="22"/>
  <c r="O2330" i="22" s="1"/>
  <c r="G2330" i="22"/>
  <c r="I2330" i="22"/>
  <c r="B2331" i="22"/>
  <c r="P2275" i="22"/>
  <c r="Q2275" i="22"/>
  <c r="R2275" i="22"/>
  <c r="J2275" i="22"/>
  <c r="D2275" i="22"/>
  <c r="L2276" i="22"/>
  <c r="C2276" i="22"/>
  <c r="K2276" i="22" s="1"/>
  <c r="G2276" i="22"/>
  <c r="F2276" i="22"/>
  <c r="O2276" i="22" s="1"/>
  <c r="B2277" i="22"/>
  <c r="I2276" i="22"/>
  <c r="E2276" i="22"/>
  <c r="U2220" i="22"/>
  <c r="AX43" i="22"/>
  <c r="BJ43" i="22"/>
  <c r="M2221" i="22"/>
  <c r="D2221" i="22"/>
  <c r="J2221" i="22"/>
  <c r="N2221" i="22" s="1"/>
  <c r="U2221" i="22" s="1"/>
  <c r="P2221" i="22"/>
  <c r="Q2221" i="22"/>
  <c r="R2221" i="22"/>
  <c r="L2222" i="22"/>
  <c r="C2222" i="22"/>
  <c r="K2222" i="22" s="1"/>
  <c r="E2222" i="22"/>
  <c r="F2222" i="22"/>
  <c r="O2222" i="22" s="1"/>
  <c r="G2222" i="22"/>
  <c r="I2222" i="22"/>
  <c r="B2223" i="22"/>
  <c r="U2166" i="22"/>
  <c r="AX42" i="22"/>
  <c r="BJ42" i="22"/>
  <c r="M2167" i="22"/>
  <c r="D2167" i="22"/>
  <c r="J2167" i="22"/>
  <c r="N2167" i="22" s="1"/>
  <c r="U2167" i="22" s="1"/>
  <c r="P2167" i="22"/>
  <c r="Q2167" i="22"/>
  <c r="R2167" i="22"/>
  <c r="L2168" i="22"/>
  <c r="C2168" i="22"/>
  <c r="K2168" i="22" s="1"/>
  <c r="E2168" i="22"/>
  <c r="F2168" i="22"/>
  <c r="O2168" i="22" s="1"/>
  <c r="G2168" i="22"/>
  <c r="I2168" i="22"/>
  <c r="B2169" i="22"/>
  <c r="U2112" i="22"/>
  <c r="AX41" i="22"/>
  <c r="BJ41" i="22"/>
  <c r="M2113" i="22"/>
  <c r="D2113" i="22"/>
  <c r="J2113" i="22"/>
  <c r="N2113" i="22" s="1"/>
  <c r="U2113" i="22" s="1"/>
  <c r="P2113" i="22"/>
  <c r="Q2113" i="22"/>
  <c r="R2113" i="22"/>
  <c r="L2114" i="22"/>
  <c r="C2114" i="22"/>
  <c r="E2114" i="22"/>
  <c r="G2114" i="22"/>
  <c r="I2114" i="22"/>
  <c r="B2115" i="22"/>
  <c r="U2058" i="22"/>
  <c r="AX40" i="22"/>
  <c r="BJ40" i="22"/>
  <c r="D2059" i="22"/>
  <c r="J2059" i="22"/>
  <c r="P2059" i="22"/>
  <c r="Q2059" i="22"/>
  <c r="R2059" i="22"/>
  <c r="L2060" i="22"/>
  <c r="C2060" i="22"/>
  <c r="K2060" i="22" s="1"/>
  <c r="E2060" i="22"/>
  <c r="F2060" i="22"/>
  <c r="O2060" i="22" s="1"/>
  <c r="G2060" i="22"/>
  <c r="I2060" i="22"/>
  <c r="B2061" i="22"/>
  <c r="U2004" i="22"/>
  <c r="AX39" i="22"/>
  <c r="BJ39" i="22"/>
  <c r="M2005" i="22"/>
  <c r="D2005" i="22"/>
  <c r="J2005" i="22"/>
  <c r="N2005" i="22" s="1"/>
  <c r="U2005" i="22" s="1"/>
  <c r="P2005" i="22"/>
  <c r="Q2005" i="22"/>
  <c r="R2005" i="22"/>
  <c r="L2006" i="22"/>
  <c r="C2006" i="22"/>
  <c r="K2006" i="22" s="1"/>
  <c r="E2006" i="22"/>
  <c r="F2006" i="22"/>
  <c r="O2006" i="22" s="1"/>
  <c r="G2006" i="22"/>
  <c r="I2006" i="22"/>
  <c r="B2007" i="22"/>
  <c r="U1950" i="22"/>
  <c r="AX38" i="22"/>
  <c r="BJ38" i="22"/>
  <c r="D1951" i="22"/>
  <c r="J1951" i="22"/>
  <c r="P1951" i="22"/>
  <c r="Q1951" i="22"/>
  <c r="R1951" i="22"/>
  <c r="L1952" i="22"/>
  <c r="C1952" i="22"/>
  <c r="E1952" i="22"/>
  <c r="G1952" i="22"/>
  <c r="I1952" i="22"/>
  <c r="B1953" i="22"/>
  <c r="M1897" i="22"/>
  <c r="D1897" i="22"/>
  <c r="J1897" i="22"/>
  <c r="N1897" i="22" s="1"/>
  <c r="U1897" i="22" s="1"/>
  <c r="P1897" i="22"/>
  <c r="Q1897" i="22"/>
  <c r="R1897" i="22"/>
  <c r="L1898" i="22"/>
  <c r="C1898" i="22"/>
  <c r="K1898" i="22" s="1"/>
  <c r="E1898" i="22"/>
  <c r="F1898" i="22"/>
  <c r="O1898" i="22" s="1"/>
  <c r="G1898" i="22"/>
  <c r="I1898" i="22"/>
  <c r="B1899" i="22"/>
  <c r="U1842" i="22"/>
  <c r="AX36" i="22"/>
  <c r="BJ36" i="22"/>
  <c r="M1843" i="22"/>
  <c r="D1843" i="22"/>
  <c r="J1843" i="22"/>
  <c r="N1843" i="22" s="1"/>
  <c r="U1843" i="22" s="1"/>
  <c r="P1843" i="22"/>
  <c r="Q1843" i="22"/>
  <c r="R1843" i="22"/>
  <c r="L1844" i="22"/>
  <c r="C1844" i="22"/>
  <c r="K1844" i="22" s="1"/>
  <c r="E1844" i="22"/>
  <c r="F1844" i="22"/>
  <c r="O1844" i="22" s="1"/>
  <c r="G1844" i="22"/>
  <c r="I1844" i="22"/>
  <c r="B1845" i="22"/>
  <c r="U1788" i="22"/>
  <c r="AX35" i="22"/>
  <c r="BJ35" i="22"/>
  <c r="M1789" i="22"/>
  <c r="D1789" i="22"/>
  <c r="J1789" i="22"/>
  <c r="N1789" i="22" s="1"/>
  <c r="U1789" i="22" s="1"/>
  <c r="P1789" i="22"/>
  <c r="Q1789" i="22"/>
  <c r="R1789" i="22"/>
  <c r="L1790" i="22"/>
  <c r="C1790" i="22"/>
  <c r="E1790" i="22"/>
  <c r="G1790" i="22"/>
  <c r="I1790" i="22"/>
  <c r="B1791" i="22"/>
  <c r="U1734" i="22"/>
  <c r="AX34" i="22"/>
  <c r="BJ34" i="22"/>
  <c r="M1735" i="22"/>
  <c r="D1735" i="22"/>
  <c r="J1735" i="22"/>
  <c r="N1735" i="22" s="1"/>
  <c r="U1735" i="22" s="1"/>
  <c r="P1735" i="22"/>
  <c r="Q1735" i="22"/>
  <c r="R1735" i="22"/>
  <c r="L1736" i="22"/>
  <c r="C1736" i="22"/>
  <c r="K1736" i="22" s="1"/>
  <c r="E1736" i="22"/>
  <c r="F1736" i="22"/>
  <c r="O1736" i="22" s="1"/>
  <c r="G1736" i="22"/>
  <c r="I1736" i="22"/>
  <c r="B1737" i="22"/>
  <c r="U1680" i="22"/>
  <c r="AX33" i="22"/>
  <c r="BJ33" i="22"/>
  <c r="M1681" i="22"/>
  <c r="D1681" i="22"/>
  <c r="J1681" i="22"/>
  <c r="N1681" i="22" s="1"/>
  <c r="U1681" i="22" s="1"/>
  <c r="P1681" i="22"/>
  <c r="Q1681" i="22"/>
  <c r="R1681" i="22"/>
  <c r="L1682" i="22"/>
  <c r="C1682" i="22"/>
  <c r="K1682" i="22" s="1"/>
  <c r="E1682" i="22"/>
  <c r="F1682" i="22"/>
  <c r="O1682" i="22" s="1"/>
  <c r="G1682" i="22"/>
  <c r="I1682" i="22"/>
  <c r="B1683" i="22"/>
  <c r="U1626" i="22"/>
  <c r="AX32" i="22"/>
  <c r="BJ32" i="22"/>
  <c r="M1627" i="22"/>
  <c r="D1627" i="22"/>
  <c r="J1627" i="22"/>
  <c r="N1627" i="22" s="1"/>
  <c r="U1627" i="22" s="1"/>
  <c r="P1627" i="22"/>
  <c r="Q1627" i="22"/>
  <c r="R1627" i="22"/>
  <c r="L1628" i="22"/>
  <c r="C1628" i="22"/>
  <c r="K1628" i="22" s="1"/>
  <c r="E1628" i="22"/>
  <c r="F1628" i="22"/>
  <c r="O1628" i="22" s="1"/>
  <c r="G1628" i="22"/>
  <c r="I1628" i="22"/>
  <c r="B1629" i="22"/>
  <c r="D1573" i="22"/>
  <c r="J1573" i="22"/>
  <c r="P1573" i="22"/>
  <c r="Q1573" i="22"/>
  <c r="R1573" i="22"/>
  <c r="L1574" i="22"/>
  <c r="C1574" i="22"/>
  <c r="E1574" i="22"/>
  <c r="G1574" i="22"/>
  <c r="I1574" i="22"/>
  <c r="B1575" i="22"/>
  <c r="D1519" i="22"/>
  <c r="J1519" i="22"/>
  <c r="P1519" i="22"/>
  <c r="Q1519" i="22"/>
  <c r="R1519" i="22"/>
  <c r="L1520" i="22"/>
  <c r="C1520" i="22"/>
  <c r="E1520" i="22"/>
  <c r="G1520" i="22"/>
  <c r="I1520" i="22"/>
  <c r="B1521" i="22"/>
  <c r="U1464" i="22"/>
  <c r="AX29" i="22"/>
  <c r="BJ29" i="22"/>
  <c r="D1465" i="22"/>
  <c r="J1465" i="22"/>
  <c r="P1465" i="22"/>
  <c r="Q1465" i="22"/>
  <c r="R1465" i="22"/>
  <c r="L1466" i="22"/>
  <c r="C1466" i="22"/>
  <c r="K1466" i="22" s="1"/>
  <c r="E1466" i="22"/>
  <c r="F1466" i="22"/>
  <c r="O1466" i="22" s="1"/>
  <c r="G1466" i="22"/>
  <c r="I1466" i="22"/>
  <c r="B1467" i="22"/>
  <c r="U1410" i="22"/>
  <c r="AX28" i="22"/>
  <c r="BJ28" i="22"/>
  <c r="D1411" i="22"/>
  <c r="J1411" i="22"/>
  <c r="P1411" i="22"/>
  <c r="Q1411" i="22"/>
  <c r="R1411" i="22"/>
  <c r="L1412" i="22"/>
  <c r="C1412" i="22"/>
  <c r="K1412" i="22" s="1"/>
  <c r="E1412" i="22"/>
  <c r="F1412" i="22"/>
  <c r="O1412" i="22" s="1"/>
  <c r="G1412" i="22"/>
  <c r="I1412" i="22"/>
  <c r="B1413" i="22"/>
  <c r="U1356" i="22"/>
  <c r="AX27" i="22"/>
  <c r="BJ27" i="22"/>
  <c r="M1357" i="22"/>
  <c r="D1357" i="22"/>
  <c r="J1357" i="22"/>
  <c r="N1357" i="22" s="1"/>
  <c r="U1357" i="22" s="1"/>
  <c r="P1357" i="22"/>
  <c r="Q1357" i="22"/>
  <c r="R1357" i="22"/>
  <c r="L1358" i="22"/>
  <c r="C1358" i="22"/>
  <c r="K1358" i="22" s="1"/>
  <c r="E1358" i="22"/>
  <c r="F1358" i="22"/>
  <c r="O1358" i="22" s="1"/>
  <c r="G1358" i="22"/>
  <c r="I1358" i="22"/>
  <c r="B1359" i="22"/>
  <c r="U1302" i="22"/>
  <c r="AX26" i="22"/>
  <c r="BJ26" i="22"/>
  <c r="M1303" i="22"/>
  <c r="D1303" i="22"/>
  <c r="J1303" i="22"/>
  <c r="N1303" i="22" s="1"/>
  <c r="U1303" i="22" s="1"/>
  <c r="P1303" i="22"/>
  <c r="Q1303" i="22"/>
  <c r="R1303" i="22"/>
  <c r="L1304" i="22"/>
  <c r="C1304" i="22"/>
  <c r="K1304" i="22" s="1"/>
  <c r="E1304" i="22"/>
  <c r="F1304" i="22"/>
  <c r="O1304" i="22" s="1"/>
  <c r="G1304" i="22"/>
  <c r="I1304" i="22"/>
  <c r="B1305" i="22"/>
  <c r="M1249" i="22"/>
  <c r="D1249" i="22"/>
  <c r="J1249" i="22"/>
  <c r="N1249" i="22" s="1"/>
  <c r="U1249" i="22" s="1"/>
  <c r="P1249" i="22"/>
  <c r="Q1249" i="22"/>
  <c r="R1249" i="22"/>
  <c r="L1250" i="22"/>
  <c r="C1250" i="22"/>
  <c r="K1250" i="22" s="1"/>
  <c r="E1250" i="22"/>
  <c r="F1250" i="22"/>
  <c r="O1250" i="22" s="1"/>
  <c r="G1250" i="22"/>
  <c r="I1250" i="22"/>
  <c r="B1251" i="22"/>
  <c r="M123" i="7"/>
  <c r="M61" i="7"/>
  <c r="U1194" i="22"/>
  <c r="AX24" i="22"/>
  <c r="BJ24" i="22"/>
  <c r="M1195" i="22"/>
  <c r="D1195" i="22"/>
  <c r="J1195" i="22"/>
  <c r="N1195" i="22" s="1"/>
  <c r="U1195" i="22" s="1"/>
  <c r="P1195" i="22"/>
  <c r="Q1195" i="22"/>
  <c r="R1195" i="22"/>
  <c r="L1196" i="22"/>
  <c r="C1196" i="22"/>
  <c r="E1196" i="22"/>
  <c r="G1196" i="22"/>
  <c r="I1196" i="22"/>
  <c r="B1197" i="22"/>
  <c r="M122" i="7"/>
  <c r="M60" i="7"/>
  <c r="U1140" i="22"/>
  <c r="AX23" i="22"/>
  <c r="BJ23" i="22"/>
  <c r="M1141" i="22"/>
  <c r="D1141" i="22"/>
  <c r="J1141" i="22"/>
  <c r="N1141" i="22" s="1"/>
  <c r="U1141" i="22" s="1"/>
  <c r="P1141" i="22"/>
  <c r="Q1141" i="22"/>
  <c r="R1141" i="22"/>
  <c r="L1142" i="22"/>
  <c r="C1142" i="22"/>
  <c r="E1142" i="22"/>
  <c r="G1142" i="22"/>
  <c r="I1142" i="22"/>
  <c r="B1143" i="22"/>
  <c r="M121" i="7"/>
  <c r="M59" i="7"/>
  <c r="U1086" i="22"/>
  <c r="AX22" i="22"/>
  <c r="BJ22" i="22"/>
  <c r="M1087" i="22"/>
  <c r="D1087" i="22"/>
  <c r="J1087" i="22"/>
  <c r="N1087" i="22" s="1"/>
  <c r="U1087" i="22" s="1"/>
  <c r="P1087" i="22"/>
  <c r="Q1087" i="22"/>
  <c r="R1087" i="22"/>
  <c r="L1088" i="22"/>
  <c r="C1088" i="22"/>
  <c r="K1088" i="22" s="1"/>
  <c r="E1088" i="22"/>
  <c r="F1088" i="22"/>
  <c r="O1088" i="22" s="1"/>
  <c r="G1088" i="22"/>
  <c r="I1088" i="22"/>
  <c r="B1089" i="22"/>
  <c r="M120" i="7"/>
  <c r="M58" i="7"/>
  <c r="U1032" i="22"/>
  <c r="AX21" i="22"/>
  <c r="BJ21" i="22"/>
  <c r="P1033" i="22"/>
  <c r="Q1033" i="22"/>
  <c r="R1033" i="22"/>
  <c r="L1034" i="22"/>
  <c r="I1034" i="22"/>
  <c r="C1034" i="22"/>
  <c r="G1034" i="22"/>
  <c r="B1035" i="22"/>
  <c r="E1034" i="22"/>
  <c r="D1033" i="22"/>
  <c r="J1033" i="22"/>
  <c r="CK21" i="22"/>
  <c r="E26" i="7"/>
  <c r="M979" i="22"/>
  <c r="D979" i="22"/>
  <c r="J979" i="22"/>
  <c r="N979" i="22" s="1"/>
  <c r="U979" i="22" s="1"/>
  <c r="P979" i="22"/>
  <c r="Q979" i="22"/>
  <c r="R979" i="22"/>
  <c r="L980" i="22"/>
  <c r="C980" i="22"/>
  <c r="K980" i="22" s="1"/>
  <c r="E980" i="22"/>
  <c r="F980" i="22"/>
  <c r="O980" i="22" s="1"/>
  <c r="G980" i="22"/>
  <c r="I980" i="22"/>
  <c r="B981" i="22"/>
  <c r="M925" i="22"/>
  <c r="D925" i="22"/>
  <c r="J925" i="22"/>
  <c r="N925" i="22" s="1"/>
  <c r="U925" i="22" s="1"/>
  <c r="P925" i="22"/>
  <c r="Q925" i="22"/>
  <c r="R925" i="22"/>
  <c r="L926" i="22"/>
  <c r="C926" i="22"/>
  <c r="K926" i="22" s="1"/>
  <c r="E926" i="22"/>
  <c r="F926" i="22"/>
  <c r="O926" i="22" s="1"/>
  <c r="G926" i="22"/>
  <c r="I926" i="22"/>
  <c r="B927" i="22"/>
  <c r="M871" i="22"/>
  <c r="D871" i="22"/>
  <c r="J871" i="22"/>
  <c r="N871" i="22" s="1"/>
  <c r="U871" i="22" s="1"/>
  <c r="P871" i="22"/>
  <c r="Q871" i="22"/>
  <c r="R871" i="22"/>
  <c r="L872" i="22"/>
  <c r="C872" i="22"/>
  <c r="E872" i="22"/>
  <c r="G872" i="22"/>
  <c r="I872" i="22"/>
  <c r="B873" i="22"/>
  <c r="M116" i="7"/>
  <c r="M54" i="7"/>
  <c r="U816" i="22"/>
  <c r="AX17" i="22"/>
  <c r="BJ17" i="22"/>
  <c r="N817" i="22"/>
  <c r="U817" i="22" s="1"/>
  <c r="M817" i="22"/>
  <c r="D817" i="22"/>
  <c r="J817" i="22"/>
  <c r="P817" i="22"/>
  <c r="Q817" i="22"/>
  <c r="R817" i="22"/>
  <c r="L818" i="22"/>
  <c r="C818" i="22"/>
  <c r="K818" i="22" s="1"/>
  <c r="E818" i="22"/>
  <c r="F818" i="22"/>
  <c r="O818" i="22" s="1"/>
  <c r="G818" i="22"/>
  <c r="I818" i="22"/>
  <c r="B819" i="22"/>
  <c r="M115" i="7"/>
  <c r="M53" i="7"/>
  <c r="U762" i="22"/>
  <c r="AX16" i="22"/>
  <c r="BJ16" i="22"/>
  <c r="M763" i="22"/>
  <c r="D763" i="22"/>
  <c r="J763" i="22"/>
  <c r="N763" i="22" s="1"/>
  <c r="U763" i="22" s="1"/>
  <c r="P763" i="22"/>
  <c r="Q763" i="22"/>
  <c r="R763" i="22"/>
  <c r="L764" i="22"/>
  <c r="C764" i="22"/>
  <c r="K764" i="22" s="1"/>
  <c r="E764" i="22"/>
  <c r="F764" i="22"/>
  <c r="O764" i="22" s="1"/>
  <c r="G764" i="22"/>
  <c r="I764" i="22"/>
  <c r="B765" i="22"/>
  <c r="M114" i="7"/>
  <c r="M52" i="7"/>
  <c r="U708" i="22"/>
  <c r="AX15" i="22"/>
  <c r="BJ15" i="22"/>
  <c r="D709" i="22"/>
  <c r="J709" i="22"/>
  <c r="P709" i="22"/>
  <c r="Q709" i="22"/>
  <c r="R709" i="22"/>
  <c r="L710" i="22"/>
  <c r="C710" i="22"/>
  <c r="K710" i="22" s="1"/>
  <c r="E710" i="22"/>
  <c r="F710" i="22"/>
  <c r="O710" i="22" s="1"/>
  <c r="G710" i="22"/>
  <c r="I710" i="22"/>
  <c r="B711" i="22"/>
  <c r="M113" i="7"/>
  <c r="M51" i="7"/>
  <c r="U654" i="22"/>
  <c r="AX14" i="22"/>
  <c r="BJ14" i="22"/>
  <c r="M655" i="22"/>
  <c r="D655" i="22"/>
  <c r="J655" i="22"/>
  <c r="N655" i="22" s="1"/>
  <c r="U655" i="22" s="1"/>
  <c r="P655" i="22"/>
  <c r="Q655" i="22"/>
  <c r="R655" i="22"/>
  <c r="L656" i="22"/>
  <c r="C656" i="22"/>
  <c r="K656" i="22" s="1"/>
  <c r="E656" i="22"/>
  <c r="F656" i="22"/>
  <c r="O656" i="22" s="1"/>
  <c r="G656" i="22"/>
  <c r="I656" i="22"/>
  <c r="B657" i="22"/>
  <c r="M112" i="7"/>
  <c r="M50" i="7"/>
  <c r="U600" i="22"/>
  <c r="AX13" i="22"/>
  <c r="BJ13" i="22"/>
  <c r="CK13" i="22"/>
  <c r="E18" i="7"/>
  <c r="M601" i="22"/>
  <c r="D601" i="22"/>
  <c r="J601" i="22"/>
  <c r="N601" i="22" s="1"/>
  <c r="U601" i="22" s="1"/>
  <c r="P601" i="22"/>
  <c r="Q601" i="22"/>
  <c r="R601" i="22"/>
  <c r="L602" i="22"/>
  <c r="C602" i="22"/>
  <c r="K602" i="22" s="1"/>
  <c r="E602" i="22"/>
  <c r="F602" i="22"/>
  <c r="O602" i="22" s="1"/>
  <c r="G602" i="22"/>
  <c r="I602" i="22"/>
  <c r="B603" i="22"/>
  <c r="M547" i="22"/>
  <c r="D547" i="22"/>
  <c r="J547" i="22"/>
  <c r="N547" i="22" s="1"/>
  <c r="U547" i="22" s="1"/>
  <c r="P547" i="22"/>
  <c r="Q547" i="22"/>
  <c r="R547" i="22"/>
  <c r="L548" i="22"/>
  <c r="C548" i="22"/>
  <c r="E548" i="22"/>
  <c r="G548" i="22"/>
  <c r="I548" i="22"/>
  <c r="B549" i="22"/>
  <c r="M110" i="7"/>
  <c r="M48" i="7"/>
  <c r="U492" i="22"/>
  <c r="AX11" i="22"/>
  <c r="BJ11" i="22"/>
  <c r="M493" i="22"/>
  <c r="D493" i="22"/>
  <c r="J493" i="22"/>
  <c r="N493" i="22" s="1"/>
  <c r="U493" i="22" s="1"/>
  <c r="P493" i="22"/>
  <c r="Q493" i="22"/>
  <c r="R493" i="22"/>
  <c r="L494" i="22"/>
  <c r="C494" i="22"/>
  <c r="E494" i="22"/>
  <c r="G494" i="22"/>
  <c r="I494" i="22"/>
  <c r="B495" i="22"/>
  <c r="M439" i="22"/>
  <c r="P439" i="22"/>
  <c r="Q439" i="22"/>
  <c r="R439" i="22"/>
  <c r="D439" i="22"/>
  <c r="J439" i="22"/>
  <c r="N439" i="22" s="1"/>
  <c r="U439" i="22" s="1"/>
  <c r="L440" i="22"/>
  <c r="E440" i="22"/>
  <c r="G440" i="22"/>
  <c r="I440" i="22"/>
  <c r="C440" i="22"/>
  <c r="K440" i="22" s="1"/>
  <c r="F440" i="22"/>
  <c r="O440" i="22" s="1"/>
  <c r="B441" i="22"/>
  <c r="M108" i="7"/>
  <c r="M46" i="7"/>
  <c r="U384" i="22"/>
  <c r="AX9" i="22"/>
  <c r="BJ9" i="22"/>
  <c r="D385" i="22"/>
  <c r="J385" i="22"/>
  <c r="P385" i="22"/>
  <c r="Q385" i="22"/>
  <c r="R385" i="22"/>
  <c r="L386" i="22"/>
  <c r="C386" i="22"/>
  <c r="K386" i="22" s="1"/>
  <c r="E386" i="22"/>
  <c r="F386" i="22"/>
  <c r="O386" i="22" s="1"/>
  <c r="G386" i="22"/>
  <c r="I386" i="22"/>
  <c r="B387" i="22"/>
  <c r="M107" i="7"/>
  <c r="M45" i="7"/>
  <c r="U330" i="22"/>
  <c r="AX8" i="22"/>
  <c r="BJ8" i="22"/>
  <c r="M331" i="22"/>
  <c r="D331" i="22"/>
  <c r="J331" i="22"/>
  <c r="N331" i="22" s="1"/>
  <c r="U331" i="22" s="1"/>
  <c r="P331" i="22"/>
  <c r="Q331" i="22"/>
  <c r="R331" i="22"/>
  <c r="L332" i="22"/>
  <c r="C332" i="22"/>
  <c r="K332" i="22" s="1"/>
  <c r="E332" i="22"/>
  <c r="F332" i="22"/>
  <c r="O332" i="22" s="1"/>
  <c r="G332" i="22"/>
  <c r="I332" i="22"/>
  <c r="B333" i="22"/>
  <c r="M277" i="22"/>
  <c r="D277" i="22"/>
  <c r="J277" i="22"/>
  <c r="N277" i="22" s="1"/>
  <c r="U277" i="22" s="1"/>
  <c r="P277" i="22"/>
  <c r="Q277" i="22"/>
  <c r="R277" i="22"/>
  <c r="L278" i="22"/>
  <c r="C278" i="22"/>
  <c r="K278" i="22" s="1"/>
  <c r="E278" i="22"/>
  <c r="F278" i="22"/>
  <c r="O278" i="22" s="1"/>
  <c r="G278" i="22"/>
  <c r="I278" i="22"/>
  <c r="B279" i="22"/>
  <c r="M223" i="22"/>
  <c r="D223" i="22"/>
  <c r="J223" i="22"/>
  <c r="N223" i="22" s="1"/>
  <c r="U223" i="22" s="1"/>
  <c r="P223" i="22"/>
  <c r="Q223" i="22"/>
  <c r="R223" i="22"/>
  <c r="L224" i="22"/>
  <c r="C224" i="22"/>
  <c r="K224" i="22" s="1"/>
  <c r="E224" i="22"/>
  <c r="F224" i="22"/>
  <c r="O224" i="22" s="1"/>
  <c r="G224" i="22"/>
  <c r="I224" i="22"/>
  <c r="B225" i="22"/>
  <c r="L170" i="22"/>
  <c r="C170" i="22"/>
  <c r="E170" i="22"/>
  <c r="G170" i="22"/>
  <c r="I170" i="22"/>
  <c r="B171" i="22"/>
  <c r="J169" i="22"/>
  <c r="D169" i="22"/>
  <c r="P169" i="22"/>
  <c r="Q169" i="22"/>
  <c r="R169" i="22"/>
  <c r="M103" i="7"/>
  <c r="M41" i="7"/>
  <c r="AX4" i="22"/>
  <c r="BJ4" i="22"/>
  <c r="U114" i="22"/>
  <c r="M115" i="22"/>
  <c r="D115" i="22"/>
  <c r="J115" i="22"/>
  <c r="N115" i="22" s="1"/>
  <c r="U115" i="22" s="1"/>
  <c r="P115" i="22"/>
  <c r="Q115" i="22"/>
  <c r="R115" i="22"/>
  <c r="L116" i="22"/>
  <c r="C116" i="22"/>
  <c r="K116" i="22" s="1"/>
  <c r="E116" i="22"/>
  <c r="F116" i="22"/>
  <c r="O116" i="22" s="1"/>
  <c r="G116" i="22"/>
  <c r="I116" i="22"/>
  <c r="B117" i="22"/>
  <c r="C103" i="12"/>
  <c r="U52" i="17"/>
  <c r="F52" i="12"/>
  <c r="M104" i="12"/>
  <c r="Q104" i="12" s="1"/>
  <c r="O104" i="12"/>
  <c r="U79" i="12" s="1"/>
  <c r="D53" i="17"/>
  <c r="J53" i="17"/>
  <c r="N53" i="17" s="1"/>
  <c r="N105" i="12"/>
  <c r="E105" i="12"/>
  <c r="O53" i="17"/>
  <c r="BE53" i="17"/>
  <c r="BD53" i="17"/>
  <c r="BC53" i="17"/>
  <c r="BB53" i="17"/>
  <c r="BA53" i="17"/>
  <c r="AZ53" i="17"/>
  <c r="AY53" i="17"/>
  <c r="AX53" i="17"/>
  <c r="AW53" i="17"/>
  <c r="AV53" i="17"/>
  <c r="AU53" i="17"/>
  <c r="AT53" i="17"/>
  <c r="AS53" i="17"/>
  <c r="AR53" i="17"/>
  <c r="AQ53" i="17"/>
  <c r="AP53" i="17"/>
  <c r="AO53" i="17"/>
  <c r="AN53" i="17"/>
  <c r="AM53" i="17"/>
  <c r="AL53" i="17"/>
  <c r="AK53" i="17"/>
  <c r="AJ53" i="17"/>
  <c r="AI53" i="17"/>
  <c r="AH53" i="17"/>
  <c r="AG53" i="17"/>
  <c r="AF53" i="17"/>
  <c r="AE53" i="17"/>
  <c r="AD53" i="17"/>
  <c r="AC53" i="17"/>
  <c r="AB53" i="17"/>
  <c r="AA53" i="17"/>
  <c r="Z53" i="17"/>
  <c r="Y53" i="17"/>
  <c r="X53" i="17"/>
  <c r="W53" i="17"/>
  <c r="P53" i="17"/>
  <c r="Q53" i="17"/>
  <c r="R53" i="17"/>
  <c r="V53" i="17"/>
  <c r="BF53" i="17" s="1"/>
  <c r="M53" i="17"/>
  <c r="L54" i="17"/>
  <c r="B55" i="17"/>
  <c r="B54" i="18"/>
  <c r="C54" i="17"/>
  <c r="K54" i="17" s="1"/>
  <c r="E54" i="17"/>
  <c r="F54" i="17"/>
  <c r="C54" i="18" s="1"/>
  <c r="E54" i="18" s="1"/>
  <c r="G54" i="17"/>
  <c r="I54" i="17"/>
  <c r="AI1625" i="23"/>
  <c r="I104" i="8"/>
  <c r="C137" i="8"/>
  <c r="J49" i="8"/>
  <c r="AH730" i="23"/>
  <c r="G101" i="12"/>
  <c r="AI1626" i="23"/>
  <c r="J104" i="8"/>
  <c r="C138" i="8"/>
  <c r="AD1347" i="23"/>
  <c r="AD899" i="23"/>
  <c r="AD731" i="23"/>
  <c r="AG731" i="23"/>
  <c r="AD451" i="23"/>
  <c r="J3799" i="22"/>
  <c r="CL72" i="22" s="1"/>
  <c r="CJ72" i="22"/>
  <c r="CJ69" i="22"/>
  <c r="J3637" i="22"/>
  <c r="CL69" i="22" s="1"/>
  <c r="AH1627" i="23"/>
  <c r="K103" i="8"/>
  <c r="B139" i="8"/>
  <c r="D139" i="8"/>
  <c r="W1516" i="23"/>
  <c r="X1516" i="23"/>
  <c r="X1460" i="23"/>
  <c r="W1460" i="23"/>
  <c r="X1404" i="23"/>
  <c r="W1404" i="23"/>
  <c r="C1418" i="23" s="1"/>
  <c r="X1348" i="23"/>
  <c r="W1348" i="23"/>
  <c r="X1012" i="23"/>
  <c r="W1012" i="23"/>
  <c r="X956" i="23"/>
  <c r="W956" i="23"/>
  <c r="X564" i="23"/>
  <c r="W564" i="23"/>
  <c r="X452" i="23"/>
  <c r="W452" i="23"/>
  <c r="U3677" i="22"/>
  <c r="AW70" i="22"/>
  <c r="BI70" i="22"/>
  <c r="H3583" i="22"/>
  <c r="U3569" i="22"/>
  <c r="AW68" i="22"/>
  <c r="BI68" i="22"/>
  <c r="J3259" i="22"/>
  <c r="CL62" i="22" s="1"/>
  <c r="H3259" i="22"/>
  <c r="CJ62" i="22" s="1"/>
  <c r="U3245" i="22"/>
  <c r="AW62" i="22"/>
  <c r="BI62" i="22"/>
  <c r="U3191" i="22"/>
  <c r="AW61" i="22"/>
  <c r="BI61" i="22"/>
  <c r="U3137" i="22"/>
  <c r="AW60" i="22"/>
  <c r="BI60" i="22"/>
  <c r="U2975" i="22"/>
  <c r="AW57" i="22"/>
  <c r="BI57" i="22"/>
  <c r="U2759" i="22"/>
  <c r="AW53" i="22"/>
  <c r="BI53" i="22"/>
  <c r="J2449" i="22"/>
  <c r="CL47" i="22" s="1"/>
  <c r="H2449" i="22"/>
  <c r="CJ47" i="22" s="1"/>
  <c r="U2435" i="22"/>
  <c r="AW47" i="22"/>
  <c r="BI47" i="22"/>
  <c r="J2395" i="22"/>
  <c r="CL46" i="22" s="1"/>
  <c r="H2395" i="22"/>
  <c r="CJ46" i="22" s="1"/>
  <c r="U2381" i="22"/>
  <c r="AW46" i="22"/>
  <c r="BI46" i="22"/>
  <c r="U2327" i="22"/>
  <c r="AW45" i="22"/>
  <c r="BI45" i="22"/>
  <c r="U1895" i="22"/>
  <c r="AW37" i="22"/>
  <c r="BI37" i="22"/>
  <c r="H1855" i="22"/>
  <c r="CJ36" i="22" s="1"/>
  <c r="J1855" i="22"/>
  <c r="CL36" i="22" s="1"/>
  <c r="U1841" i="22"/>
  <c r="AW36" i="22"/>
  <c r="BI36" i="22"/>
  <c r="J1747" i="22"/>
  <c r="CL34" i="22" s="1"/>
  <c r="H1747" i="22"/>
  <c r="CJ34" i="22" s="1"/>
  <c r="U1733" i="22"/>
  <c r="AW34" i="22"/>
  <c r="BI34" i="22"/>
  <c r="H1693" i="22"/>
  <c r="CJ33" i="22" s="1"/>
  <c r="J1693" i="22"/>
  <c r="CL33" i="22" s="1"/>
  <c r="U1679" i="22"/>
  <c r="AW33" i="22"/>
  <c r="BI33" i="22"/>
  <c r="J1639" i="22"/>
  <c r="CL32" i="22" s="1"/>
  <c r="H1639" i="22"/>
  <c r="CJ32" i="22" s="1"/>
  <c r="U1625" i="22"/>
  <c r="AW32" i="22"/>
  <c r="BI32" i="22"/>
  <c r="H1585" i="22"/>
  <c r="CJ31" i="22" s="1"/>
  <c r="J1585" i="22"/>
  <c r="CL31" i="22" s="1"/>
  <c r="U1571" i="22"/>
  <c r="AW31" i="22"/>
  <c r="BI31" i="22"/>
  <c r="H1207" i="22"/>
  <c r="J1207" i="22"/>
  <c r="L123" i="7"/>
  <c r="L61" i="7"/>
  <c r="U1193" i="22"/>
  <c r="AW24" i="22"/>
  <c r="BI24" i="22"/>
  <c r="CK24" i="22"/>
  <c r="E29" i="7"/>
  <c r="CK23" i="22"/>
  <c r="E28" i="7"/>
  <c r="H1153" i="22"/>
  <c r="J1153" i="22"/>
  <c r="L122" i="7"/>
  <c r="L60" i="7"/>
  <c r="U1139" i="22"/>
  <c r="AW23" i="22"/>
  <c r="BI23" i="22"/>
  <c r="CK17" i="22"/>
  <c r="E22" i="7"/>
  <c r="J829" i="22"/>
  <c r="H829" i="22"/>
  <c r="L116" i="7"/>
  <c r="L54" i="7"/>
  <c r="U815" i="22"/>
  <c r="AW17" i="22"/>
  <c r="BI17" i="22"/>
  <c r="J505" i="22"/>
  <c r="H505" i="22"/>
  <c r="L110" i="7"/>
  <c r="L48" i="7"/>
  <c r="U491" i="22"/>
  <c r="AW11" i="22"/>
  <c r="BI11" i="22"/>
  <c r="CK11" i="22"/>
  <c r="E16" i="7"/>
  <c r="J181" i="22"/>
  <c r="H181" i="22"/>
  <c r="L104" i="7"/>
  <c r="L42" i="7"/>
  <c r="U167" i="22"/>
  <c r="AW5" i="22"/>
  <c r="BI5" i="22"/>
  <c r="CK5" i="22"/>
  <c r="E10" i="7"/>
  <c r="E9" i="7"/>
  <c r="CK4" i="22"/>
  <c r="J127" i="22"/>
  <c r="H127" i="22"/>
  <c r="L103" i="7"/>
  <c r="L41" i="7"/>
  <c r="U113" i="22"/>
  <c r="AW4" i="22"/>
  <c r="BI4" i="22"/>
  <c r="C102" i="12"/>
  <c r="AD1628" i="23"/>
  <c r="AG1628" i="23"/>
  <c r="C1586" i="23"/>
  <c r="M1517" i="23"/>
  <c r="N1517" i="23"/>
  <c r="AB1517" i="23"/>
  <c r="AC1517" i="23" s="1"/>
  <c r="O1517" i="23"/>
  <c r="AB1461" i="23"/>
  <c r="AC1461" i="23" s="1"/>
  <c r="O1461" i="23"/>
  <c r="M1461" i="23"/>
  <c r="N1461" i="23"/>
  <c r="AD1124" i="23"/>
  <c r="M1069" i="23"/>
  <c r="N1069" i="23"/>
  <c r="AB1069" i="23"/>
  <c r="AC1069" i="23" s="1"/>
  <c r="O1069" i="23"/>
  <c r="Y1069" i="23" s="1"/>
  <c r="M1013" i="23"/>
  <c r="N1013" i="23"/>
  <c r="AB1013" i="23"/>
  <c r="AC1013" i="23" s="1"/>
  <c r="O1013" i="23"/>
  <c r="Y1013" i="23" s="1"/>
  <c r="AD900" i="23"/>
  <c r="AB901" i="23"/>
  <c r="AC901" i="23" s="1"/>
  <c r="O901" i="23"/>
  <c r="Y901" i="23" s="1"/>
  <c r="M901" i="23"/>
  <c r="N901" i="23"/>
  <c r="AD732" i="23"/>
  <c r="AG732" i="23"/>
  <c r="AD676" i="23"/>
  <c r="M621" i="23"/>
  <c r="N621" i="23"/>
  <c r="AB621" i="23"/>
  <c r="AC621" i="23" s="1"/>
  <c r="O621" i="23"/>
  <c r="Y621" i="23" s="1"/>
  <c r="M565" i="23"/>
  <c r="N565" i="23"/>
  <c r="AB565" i="23"/>
  <c r="AC565" i="23" s="1"/>
  <c r="O565" i="23"/>
  <c r="Y565" i="23" s="1"/>
  <c r="M509" i="23"/>
  <c r="N509" i="23"/>
  <c r="AB509" i="23"/>
  <c r="AC509" i="23" s="1"/>
  <c r="O509" i="23"/>
  <c r="Y509" i="23" s="1"/>
  <c r="AB453" i="23"/>
  <c r="AC453" i="23" s="1"/>
  <c r="O453" i="23"/>
  <c r="Y453" i="23" s="1"/>
  <c r="N453" i="23"/>
  <c r="M453" i="23"/>
  <c r="C410" i="23"/>
  <c r="C354" i="23"/>
  <c r="M3678" i="22"/>
  <c r="N3678" i="22"/>
  <c r="H3691" i="22" s="1"/>
  <c r="I3691" i="22"/>
  <c r="CK70" i="22" s="1"/>
  <c r="BV70" i="22"/>
  <c r="I3529" i="22"/>
  <c r="CK67" i="22" s="1"/>
  <c r="BV67" i="22"/>
  <c r="M3516" i="22"/>
  <c r="N3516" i="22"/>
  <c r="M3300" i="22"/>
  <c r="N3300" i="22"/>
  <c r="I3313" i="22"/>
  <c r="CK63" i="22" s="1"/>
  <c r="BV63" i="22"/>
  <c r="I3151" i="22"/>
  <c r="CK60" i="22" s="1"/>
  <c r="BV60" i="22"/>
  <c r="M3138" i="22"/>
  <c r="N3138" i="22"/>
  <c r="M3084" i="22"/>
  <c r="N3084" i="22"/>
  <c r="I3097" i="22"/>
  <c r="CK59" i="22" s="1"/>
  <c r="BV59" i="22"/>
  <c r="N2976" i="22"/>
  <c r="M2976" i="22"/>
  <c r="I2935" i="22"/>
  <c r="CK56" i="22" s="1"/>
  <c r="BV56" i="22"/>
  <c r="N2922" i="22"/>
  <c r="M2922" i="22"/>
  <c r="M2706" i="22"/>
  <c r="N2706" i="22"/>
  <c r="I2719" i="22"/>
  <c r="CK52" i="22" s="1"/>
  <c r="BV52" i="22"/>
  <c r="BV51" i="22"/>
  <c r="I2665" i="22"/>
  <c r="CK51" i="22" s="1"/>
  <c r="M2652" i="22"/>
  <c r="N2652" i="22"/>
  <c r="N2274" i="22"/>
  <c r="M2274" i="22"/>
  <c r="I2287" i="22"/>
  <c r="CK44" i="22" s="1"/>
  <c r="BV44" i="22"/>
  <c r="M1896" i="22"/>
  <c r="N1896" i="22"/>
  <c r="M1572" i="22"/>
  <c r="N1572" i="22"/>
  <c r="M1518" i="22"/>
  <c r="N1518" i="22"/>
  <c r="I1531" i="22"/>
  <c r="CK30" i="22" s="1"/>
  <c r="BV30" i="22"/>
  <c r="I1261" i="22"/>
  <c r="CK25" i="22" s="1"/>
  <c r="BV25" i="22"/>
  <c r="M1248" i="22"/>
  <c r="N1248" i="22"/>
  <c r="BV20" i="22"/>
  <c r="M88" i="7"/>
  <c r="I991" i="22"/>
  <c r="M978" i="22"/>
  <c r="N978" i="22"/>
  <c r="BV19" i="22"/>
  <c r="M87" i="7"/>
  <c r="I937" i="22"/>
  <c r="M924" i="22"/>
  <c r="N924" i="22"/>
  <c r="M870" i="22"/>
  <c r="N870" i="22"/>
  <c r="BV18" i="22"/>
  <c r="M86" i="7"/>
  <c r="I883" i="22"/>
  <c r="BV12" i="22"/>
  <c r="M80" i="7"/>
  <c r="I559" i="22"/>
  <c r="M546" i="22"/>
  <c r="N546" i="22"/>
  <c r="M438" i="22"/>
  <c r="N438" i="22"/>
  <c r="BV10" i="22"/>
  <c r="M78" i="7"/>
  <c r="I451" i="22"/>
  <c r="M276" i="22"/>
  <c r="N276" i="22"/>
  <c r="I289" i="22"/>
  <c r="CK7" i="22" s="1"/>
  <c r="BV7" i="22"/>
  <c r="BV6" i="22"/>
  <c r="M74" i="7"/>
  <c r="I235" i="22"/>
  <c r="M222" i="22"/>
  <c r="N222" i="22"/>
  <c r="M168" i="22"/>
  <c r="N168" i="22"/>
  <c r="BV5" i="22"/>
  <c r="M73" i="7"/>
  <c r="X1629" i="23"/>
  <c r="W1629" i="23"/>
  <c r="X1573" i="23"/>
  <c r="D1586" i="23" s="1"/>
  <c r="E1586" i="23" s="1"/>
  <c r="W1573" i="23"/>
  <c r="K1518" i="23"/>
  <c r="F1518" i="23"/>
  <c r="O1518" i="23" s="1"/>
  <c r="F1462" i="23"/>
  <c r="O1462" i="23" s="1"/>
  <c r="K1462" i="23"/>
  <c r="W1405" i="23"/>
  <c r="X1405" i="23"/>
  <c r="K1406" i="23"/>
  <c r="F1406" i="23"/>
  <c r="O1406" i="23" s="1"/>
  <c r="X1349" i="23"/>
  <c r="W1349" i="23"/>
  <c r="F1350" i="23"/>
  <c r="O1350" i="23" s="1"/>
  <c r="K1350" i="23"/>
  <c r="X1293" i="23"/>
  <c r="D1306" i="23" s="1"/>
  <c r="E1306" i="23" s="1"/>
  <c r="W1293" i="23"/>
  <c r="C1306" i="23" s="1"/>
  <c r="X1237" i="23"/>
  <c r="D1250" i="23" s="1"/>
  <c r="E1250" i="23" s="1"/>
  <c r="W1237" i="23"/>
  <c r="C1250" i="23" s="1"/>
  <c r="X1181" i="23"/>
  <c r="D1194" i="23" s="1"/>
  <c r="E1194" i="23" s="1"/>
  <c r="W1181" i="23"/>
  <c r="C1194" i="23" s="1"/>
  <c r="X1125" i="23"/>
  <c r="D1138" i="23" s="1"/>
  <c r="E1138" i="23" s="1"/>
  <c r="P1138" i="23" s="1"/>
  <c r="W1125" i="23"/>
  <c r="F1014" i="23"/>
  <c r="O1014" i="23" s="1"/>
  <c r="K1014" i="23"/>
  <c r="X957" i="23"/>
  <c r="W957" i="23"/>
  <c r="F902" i="23"/>
  <c r="O902" i="23" s="1"/>
  <c r="K902" i="23"/>
  <c r="X845" i="23"/>
  <c r="D858" i="23" s="1"/>
  <c r="E858" i="23" s="1"/>
  <c r="W845" i="23"/>
  <c r="C858" i="23" s="1"/>
  <c r="X789" i="23"/>
  <c r="D802" i="23" s="1"/>
  <c r="E802" i="23" s="1"/>
  <c r="W789" i="23"/>
  <c r="C802" i="23" s="1"/>
  <c r="X733" i="23"/>
  <c r="D746" i="23" s="1"/>
  <c r="W733" i="23"/>
  <c r="X677" i="23"/>
  <c r="D690" i="23" s="1"/>
  <c r="E690" i="23" s="1"/>
  <c r="P690" i="23" s="1"/>
  <c r="W677" i="23"/>
  <c r="X397" i="23"/>
  <c r="D410" i="23" s="1"/>
  <c r="E410" i="23" s="1"/>
  <c r="W397" i="23"/>
  <c r="X341" i="23"/>
  <c r="D354" i="23" s="1"/>
  <c r="E354" i="23" s="1"/>
  <c r="W341" i="23"/>
  <c r="X285" i="23"/>
  <c r="D298" i="23" s="1"/>
  <c r="E298" i="23" s="1"/>
  <c r="W285" i="23"/>
  <c r="P104" i="12"/>
  <c r="K4711" i="22"/>
  <c r="F4711" i="22"/>
  <c r="K4549" i="22"/>
  <c r="F4549" i="22"/>
  <c r="F3733" i="22"/>
  <c r="O3733" i="22" s="1"/>
  <c r="K3733" i="22"/>
  <c r="K3571" i="22"/>
  <c r="F3571" i="22"/>
  <c r="O3571" i="22" s="1"/>
  <c r="J3475" i="22"/>
  <c r="CL66" i="22" s="1"/>
  <c r="H3475" i="22"/>
  <c r="CJ66" i="22" s="1"/>
  <c r="H3421" i="22"/>
  <c r="CJ65" i="22" s="1"/>
  <c r="J3421" i="22"/>
  <c r="CL65" i="22" s="1"/>
  <c r="F3409" i="22"/>
  <c r="O3409" i="22" s="1"/>
  <c r="K3409" i="22"/>
  <c r="H3367" i="22"/>
  <c r="CJ64" i="22" s="1"/>
  <c r="J3367" i="22"/>
  <c r="CL64" i="22" s="1"/>
  <c r="F3355" i="22"/>
  <c r="O3355" i="22" s="1"/>
  <c r="K3355" i="22"/>
  <c r="K3139" i="22"/>
  <c r="F3139" i="22"/>
  <c r="O3139" i="22" s="1"/>
  <c r="H3043" i="22"/>
  <c r="CJ58" i="22" s="1"/>
  <c r="J3043" i="22"/>
  <c r="CL58" i="22" s="1"/>
  <c r="F2923" i="22"/>
  <c r="O2923" i="22" s="1"/>
  <c r="K2923" i="22"/>
  <c r="H2881" i="22"/>
  <c r="CJ55" i="22" s="1"/>
  <c r="J2881" i="22"/>
  <c r="CL55" i="22" s="1"/>
  <c r="K2869" i="22"/>
  <c r="F2869" i="22"/>
  <c r="O2869" i="22" s="1"/>
  <c r="H2827" i="22"/>
  <c r="CJ54" i="22" s="1"/>
  <c r="J2827" i="22"/>
  <c r="CL54" i="22" s="1"/>
  <c r="CM54" i="22" s="1"/>
  <c r="E59" i="19" s="1"/>
  <c r="G59" i="19" s="1"/>
  <c r="J2611" i="22"/>
  <c r="CL50" i="22" s="1"/>
  <c r="H2611" i="22"/>
  <c r="CJ50" i="22" s="1"/>
  <c r="J2557" i="22"/>
  <c r="CL49" i="22" s="1"/>
  <c r="H2557" i="22"/>
  <c r="CJ49" i="22" s="1"/>
  <c r="J2503" i="22"/>
  <c r="CL48" i="22" s="1"/>
  <c r="H2503" i="22"/>
  <c r="CJ48" i="22" s="1"/>
  <c r="K2437" i="22"/>
  <c r="F2437" i="22"/>
  <c r="O2437" i="22" s="1"/>
  <c r="F2383" i="22"/>
  <c r="O2383" i="22" s="1"/>
  <c r="K2383" i="22"/>
  <c r="F2275" i="22"/>
  <c r="O2275" i="22" s="1"/>
  <c r="K2275" i="22"/>
  <c r="H2233" i="22"/>
  <c r="CJ43" i="22" s="1"/>
  <c r="J2233" i="22"/>
  <c r="CL43" i="22" s="1"/>
  <c r="J2179" i="22"/>
  <c r="CL42" i="22" s="1"/>
  <c r="H2179" i="22"/>
  <c r="CJ42" i="22" s="1"/>
  <c r="H2125" i="22"/>
  <c r="CJ41" i="22" s="1"/>
  <c r="J2125" i="22"/>
  <c r="CL41" i="22" s="1"/>
  <c r="H2071" i="22"/>
  <c r="CJ40" i="22" s="1"/>
  <c r="J2071" i="22"/>
  <c r="CL40" i="22" s="1"/>
  <c r="K2059" i="22"/>
  <c r="F2059" i="22"/>
  <c r="O2059" i="22" s="1"/>
  <c r="H2017" i="22"/>
  <c r="CJ39" i="22" s="1"/>
  <c r="J2017" i="22"/>
  <c r="CL39" i="22" s="1"/>
  <c r="H1963" i="22"/>
  <c r="CJ38" i="22" s="1"/>
  <c r="J1963" i="22"/>
  <c r="CL38" i="22" s="1"/>
  <c r="F1951" i="22"/>
  <c r="O1951" i="22" s="1"/>
  <c r="K1951" i="22"/>
  <c r="H1801" i="22"/>
  <c r="CJ35" i="22" s="1"/>
  <c r="J1801" i="22"/>
  <c r="CL35" i="22" s="1"/>
  <c r="F1573" i="22"/>
  <c r="O1573" i="22" s="1"/>
  <c r="K1573" i="22"/>
  <c r="F1519" i="22"/>
  <c r="O1519" i="22" s="1"/>
  <c r="K1519" i="22"/>
  <c r="J1477" i="22"/>
  <c r="CL29" i="22" s="1"/>
  <c r="H1477" i="22"/>
  <c r="CJ29" i="22" s="1"/>
  <c r="F1465" i="22"/>
  <c r="O1465" i="22" s="1"/>
  <c r="K1465" i="22"/>
  <c r="J1423" i="22"/>
  <c r="CL28" i="22" s="1"/>
  <c r="H1423" i="22"/>
  <c r="CJ28" i="22" s="1"/>
  <c r="K1411" i="22"/>
  <c r="F1411" i="22"/>
  <c r="O1411" i="22" s="1"/>
  <c r="J1369" i="22"/>
  <c r="CL27" i="22" s="1"/>
  <c r="H1369" i="22"/>
  <c r="CJ27" i="22" s="1"/>
  <c r="H1315" i="22"/>
  <c r="CJ26" i="22" s="1"/>
  <c r="J1315" i="22"/>
  <c r="CL26" i="22" s="1"/>
  <c r="J1099" i="22"/>
  <c r="H1099" i="22"/>
  <c r="J1045" i="22"/>
  <c r="H1045" i="22"/>
  <c r="K1033" i="22"/>
  <c r="F1033" i="22"/>
  <c r="O1033" i="22" s="1"/>
  <c r="H775" i="22"/>
  <c r="J775" i="22"/>
  <c r="H721" i="22"/>
  <c r="J721" i="22"/>
  <c r="F709" i="22"/>
  <c r="O709" i="22" s="1"/>
  <c r="K709" i="22"/>
  <c r="J667" i="22"/>
  <c r="H667" i="22"/>
  <c r="H613" i="22"/>
  <c r="J613" i="22"/>
  <c r="J397" i="22"/>
  <c r="H397" i="22"/>
  <c r="F385" i="22"/>
  <c r="O385" i="22" s="1"/>
  <c r="K385" i="22"/>
  <c r="J343" i="22"/>
  <c r="H343" i="22"/>
  <c r="K169" i="22"/>
  <c r="F169" i="22"/>
  <c r="O169" i="22" s="1"/>
  <c r="H3205" i="22"/>
  <c r="CJ61" i="22" s="1"/>
  <c r="J3205" i="22"/>
  <c r="CL61" i="22" s="1"/>
  <c r="J2773" i="22"/>
  <c r="CL53" i="22" s="1"/>
  <c r="H2773" i="22"/>
  <c r="CJ53" i="22" s="1"/>
  <c r="H2341" i="22"/>
  <c r="CJ45" i="22" s="1"/>
  <c r="J2341" i="22"/>
  <c r="CL45" i="22" s="1"/>
  <c r="BV57" i="22"/>
  <c r="I2989" i="22"/>
  <c r="CK57" i="22" s="1"/>
  <c r="BF52" i="17"/>
  <c r="D1642" i="23" l="1"/>
  <c r="K1631" i="23"/>
  <c r="F1631" i="23"/>
  <c r="O1631" i="23" s="1"/>
  <c r="K3680" i="22"/>
  <c r="F3680" i="22"/>
  <c r="O3680" i="22" s="1"/>
  <c r="K3032" i="22"/>
  <c r="F3032" i="22"/>
  <c r="O3032" i="22" s="1"/>
  <c r="K2762" i="22"/>
  <c r="F2762" i="22"/>
  <c r="O2762" i="22" s="1"/>
  <c r="K2438" i="22"/>
  <c r="F2438" i="22"/>
  <c r="O2438" i="22" s="1"/>
  <c r="K2384" i="22"/>
  <c r="F2384" i="22"/>
  <c r="O2384" i="22" s="1"/>
  <c r="K2114" i="22"/>
  <c r="F2114" i="22"/>
  <c r="O2114" i="22" s="1"/>
  <c r="K1790" i="22"/>
  <c r="F1790" i="22"/>
  <c r="O1790" i="22" s="1"/>
  <c r="K1520" i="22"/>
  <c r="F1520" i="22"/>
  <c r="O1520" i="22" s="1"/>
  <c r="K1142" i="22"/>
  <c r="F1142" i="22"/>
  <c r="O1142" i="22" s="1"/>
  <c r="K872" i="22"/>
  <c r="F872" i="22"/>
  <c r="O872" i="22" s="1"/>
  <c r="H3151" i="22"/>
  <c r="CJ60" i="22" s="1"/>
  <c r="J3151" i="22"/>
  <c r="CL60" i="22" s="1"/>
  <c r="J2989" i="22"/>
  <c r="CL57" i="22" s="1"/>
  <c r="H2989" i="22"/>
  <c r="CJ57" i="22" s="1"/>
  <c r="M1631" i="23"/>
  <c r="J1631" i="23"/>
  <c r="N1631" i="23" s="1"/>
  <c r="AE1631" i="23" s="1"/>
  <c r="D1631" i="23"/>
  <c r="P1631" i="23"/>
  <c r="Q1631" i="23"/>
  <c r="R1631" i="23"/>
  <c r="I1632" i="23"/>
  <c r="L1632" i="23"/>
  <c r="C1632" i="23"/>
  <c r="K1632" i="23" s="1"/>
  <c r="E1632" i="23"/>
  <c r="F1632" i="23"/>
  <c r="O1632" i="23" s="1"/>
  <c r="G1632" i="23"/>
  <c r="B1633" i="23"/>
  <c r="M1575" i="23"/>
  <c r="J1575" i="23"/>
  <c r="N1575" i="23" s="1"/>
  <c r="AE1575" i="23" s="1"/>
  <c r="D1575" i="23"/>
  <c r="P1575" i="23"/>
  <c r="Q1575" i="23"/>
  <c r="R1575" i="23"/>
  <c r="L1576" i="23"/>
  <c r="I1576" i="23"/>
  <c r="C1576" i="23"/>
  <c r="E1576" i="23"/>
  <c r="G1576" i="23"/>
  <c r="B1577" i="23"/>
  <c r="M1519" i="23"/>
  <c r="J1519" i="23"/>
  <c r="N1519" i="23" s="1"/>
  <c r="AE1519" i="23" s="1"/>
  <c r="D1519" i="23"/>
  <c r="P1519" i="23"/>
  <c r="Q1519" i="23"/>
  <c r="R1519" i="23"/>
  <c r="L1520" i="23"/>
  <c r="I1520" i="23"/>
  <c r="C1520" i="23"/>
  <c r="E1520" i="23"/>
  <c r="G1520" i="23"/>
  <c r="B1521" i="23"/>
  <c r="J1463" i="23"/>
  <c r="D1463" i="23"/>
  <c r="P1463" i="23"/>
  <c r="Q1463" i="23"/>
  <c r="R1463" i="23"/>
  <c r="L1464" i="23"/>
  <c r="I1464" i="23"/>
  <c r="C1464" i="23"/>
  <c r="K1464" i="23" s="1"/>
  <c r="E1464" i="23"/>
  <c r="F1464" i="23"/>
  <c r="O1464" i="23" s="1"/>
  <c r="G1464" i="23"/>
  <c r="B1465" i="23"/>
  <c r="J1407" i="23"/>
  <c r="D1407" i="23"/>
  <c r="P1407" i="23"/>
  <c r="Q1407" i="23"/>
  <c r="R1407" i="23"/>
  <c r="L1408" i="23"/>
  <c r="I1408" i="23"/>
  <c r="C1408" i="23"/>
  <c r="E1408" i="23"/>
  <c r="G1408" i="23"/>
  <c r="B1409" i="23"/>
  <c r="M1351" i="23"/>
  <c r="J1351" i="23"/>
  <c r="N1351" i="23" s="1"/>
  <c r="AE1351" i="23" s="1"/>
  <c r="D1351" i="23"/>
  <c r="P1351" i="23"/>
  <c r="Q1351" i="23"/>
  <c r="R1351" i="23"/>
  <c r="L1352" i="23"/>
  <c r="I1352" i="23"/>
  <c r="C1352" i="23"/>
  <c r="E1352" i="23"/>
  <c r="G1352" i="23"/>
  <c r="B1353" i="23"/>
  <c r="M1295" i="23"/>
  <c r="J1295" i="23"/>
  <c r="N1295" i="23" s="1"/>
  <c r="AE1295" i="23" s="1"/>
  <c r="D1295" i="23"/>
  <c r="P1295" i="23"/>
  <c r="Q1295" i="23"/>
  <c r="R1295" i="23"/>
  <c r="L1296" i="23"/>
  <c r="I1296" i="23"/>
  <c r="C1296" i="23"/>
  <c r="K1296" i="23" s="1"/>
  <c r="E1296" i="23"/>
  <c r="F1296" i="23"/>
  <c r="O1296" i="23" s="1"/>
  <c r="G1296" i="23"/>
  <c r="B1297" i="23"/>
  <c r="M1239" i="23"/>
  <c r="J1239" i="23"/>
  <c r="N1239" i="23" s="1"/>
  <c r="AE1239" i="23" s="1"/>
  <c r="D1239" i="23"/>
  <c r="P1239" i="23"/>
  <c r="Q1239" i="23"/>
  <c r="R1239" i="23"/>
  <c r="L1240" i="23"/>
  <c r="I1240" i="23"/>
  <c r="C1240" i="23"/>
  <c r="K1240" i="23" s="1"/>
  <c r="E1240" i="23"/>
  <c r="F1240" i="23"/>
  <c r="O1240" i="23" s="1"/>
  <c r="G1240" i="23"/>
  <c r="B1241" i="23"/>
  <c r="M1183" i="23"/>
  <c r="J1183" i="23"/>
  <c r="N1183" i="23" s="1"/>
  <c r="AE1183" i="23" s="1"/>
  <c r="D1183" i="23"/>
  <c r="P1183" i="23"/>
  <c r="Q1183" i="23"/>
  <c r="R1183" i="23"/>
  <c r="L1184" i="23"/>
  <c r="I1184" i="23"/>
  <c r="C1184" i="23"/>
  <c r="E1184" i="23"/>
  <c r="G1184" i="23"/>
  <c r="B1185" i="23"/>
  <c r="M1127" i="23"/>
  <c r="J1127" i="23"/>
  <c r="N1127" i="23" s="1"/>
  <c r="AE1127" i="23" s="1"/>
  <c r="D1127" i="23"/>
  <c r="P1127" i="23"/>
  <c r="Q1127" i="23"/>
  <c r="R1127" i="23"/>
  <c r="L1128" i="23"/>
  <c r="I1128" i="23"/>
  <c r="C1128" i="23"/>
  <c r="K1128" i="23" s="1"/>
  <c r="E1128" i="23"/>
  <c r="F1128" i="23"/>
  <c r="O1128" i="23" s="1"/>
  <c r="G1128" i="23"/>
  <c r="B1129" i="23"/>
  <c r="M1071" i="23"/>
  <c r="J1071" i="23"/>
  <c r="N1071" i="23" s="1"/>
  <c r="AE1071" i="23" s="1"/>
  <c r="D1071" i="23"/>
  <c r="P1071" i="23"/>
  <c r="Q1071" i="23"/>
  <c r="R1071" i="23"/>
  <c r="L1072" i="23"/>
  <c r="I1072" i="23"/>
  <c r="C1072" i="23"/>
  <c r="K1072" i="23" s="1"/>
  <c r="E1072" i="23"/>
  <c r="F1072" i="23"/>
  <c r="O1072" i="23" s="1"/>
  <c r="G1072" i="23"/>
  <c r="B1073" i="23"/>
  <c r="M1015" i="23"/>
  <c r="J1015" i="23"/>
  <c r="N1015" i="23" s="1"/>
  <c r="AE1015" i="23" s="1"/>
  <c r="D1015" i="23"/>
  <c r="P1015" i="23"/>
  <c r="Q1015" i="23"/>
  <c r="R1015" i="23"/>
  <c r="L1016" i="23"/>
  <c r="I1016" i="23"/>
  <c r="C1016" i="23"/>
  <c r="K1016" i="23" s="1"/>
  <c r="E1016" i="23"/>
  <c r="F1016" i="23"/>
  <c r="O1016" i="23" s="1"/>
  <c r="G1016" i="23"/>
  <c r="B1017" i="23"/>
  <c r="J959" i="23"/>
  <c r="D959" i="23"/>
  <c r="P959" i="23"/>
  <c r="Q959" i="23"/>
  <c r="R959" i="23"/>
  <c r="L960" i="23"/>
  <c r="I960" i="23"/>
  <c r="C960" i="23"/>
  <c r="K960" i="23" s="1"/>
  <c r="E960" i="23"/>
  <c r="F960" i="23"/>
  <c r="O960" i="23" s="1"/>
  <c r="G960" i="23"/>
  <c r="B961" i="23"/>
  <c r="J903" i="23"/>
  <c r="D903" i="23"/>
  <c r="P903" i="23"/>
  <c r="Q903" i="23"/>
  <c r="R903" i="23"/>
  <c r="L904" i="23"/>
  <c r="I904" i="23"/>
  <c r="C904" i="23"/>
  <c r="E904" i="23"/>
  <c r="G904" i="23"/>
  <c r="B905" i="23"/>
  <c r="M847" i="23"/>
  <c r="J847" i="23"/>
  <c r="N847" i="23" s="1"/>
  <c r="AE847" i="23" s="1"/>
  <c r="D847" i="23"/>
  <c r="P847" i="23"/>
  <c r="Q847" i="23"/>
  <c r="R847" i="23"/>
  <c r="L848" i="23"/>
  <c r="I848" i="23"/>
  <c r="C848" i="23"/>
  <c r="E848" i="23"/>
  <c r="G848" i="23"/>
  <c r="B849" i="23"/>
  <c r="M791" i="23"/>
  <c r="J791" i="23"/>
  <c r="N791" i="23" s="1"/>
  <c r="AE791" i="23" s="1"/>
  <c r="D791" i="23"/>
  <c r="P791" i="23"/>
  <c r="Q791" i="23"/>
  <c r="R791" i="23"/>
  <c r="L792" i="23"/>
  <c r="I792" i="23"/>
  <c r="C792" i="23"/>
  <c r="E792" i="23"/>
  <c r="G792" i="23"/>
  <c r="B793" i="23"/>
  <c r="M735" i="23"/>
  <c r="J735" i="23"/>
  <c r="N735" i="23" s="1"/>
  <c r="AE735" i="23" s="1"/>
  <c r="D735" i="23"/>
  <c r="P735" i="23"/>
  <c r="Q735" i="23"/>
  <c r="R735" i="23"/>
  <c r="L736" i="23"/>
  <c r="I736" i="23"/>
  <c r="C736" i="23"/>
  <c r="K736" i="23" s="1"/>
  <c r="E736" i="23"/>
  <c r="F736" i="23"/>
  <c r="O736" i="23" s="1"/>
  <c r="G736" i="23"/>
  <c r="B737" i="23"/>
  <c r="J679" i="23"/>
  <c r="D679" i="23"/>
  <c r="P679" i="23"/>
  <c r="Q679" i="23"/>
  <c r="R679" i="23"/>
  <c r="L680" i="23"/>
  <c r="I680" i="23"/>
  <c r="C680" i="23"/>
  <c r="K680" i="23" s="1"/>
  <c r="E680" i="23"/>
  <c r="F680" i="23"/>
  <c r="O680" i="23" s="1"/>
  <c r="G680" i="23"/>
  <c r="B681" i="23"/>
  <c r="M623" i="23"/>
  <c r="J623" i="23"/>
  <c r="N623" i="23" s="1"/>
  <c r="AE623" i="23" s="1"/>
  <c r="D623" i="23"/>
  <c r="P623" i="23"/>
  <c r="Q623" i="23"/>
  <c r="R623" i="23"/>
  <c r="L624" i="23"/>
  <c r="I624" i="23"/>
  <c r="C624" i="23"/>
  <c r="K624" i="23" s="1"/>
  <c r="E624" i="23"/>
  <c r="F624" i="23"/>
  <c r="O624" i="23" s="1"/>
  <c r="G624" i="23"/>
  <c r="B625" i="23"/>
  <c r="M567" i="23"/>
  <c r="J567" i="23"/>
  <c r="N567" i="23" s="1"/>
  <c r="AE567" i="23" s="1"/>
  <c r="D567" i="23"/>
  <c r="P567" i="23"/>
  <c r="Q567" i="23"/>
  <c r="R567" i="23"/>
  <c r="L568" i="23"/>
  <c r="I568" i="23"/>
  <c r="C568" i="23"/>
  <c r="E568" i="23"/>
  <c r="G568" i="23"/>
  <c r="B569" i="23"/>
  <c r="M511" i="23"/>
  <c r="J511" i="23"/>
  <c r="N511" i="23" s="1"/>
  <c r="AE511" i="23" s="1"/>
  <c r="D511" i="23"/>
  <c r="P511" i="23"/>
  <c r="Q511" i="23"/>
  <c r="R511" i="23"/>
  <c r="L512" i="23"/>
  <c r="I512" i="23"/>
  <c r="C512" i="23"/>
  <c r="E512" i="23"/>
  <c r="G512" i="23"/>
  <c r="B513" i="23"/>
  <c r="M455" i="23"/>
  <c r="P455" i="23"/>
  <c r="Q455" i="23"/>
  <c r="R455" i="23"/>
  <c r="J455" i="23"/>
  <c r="N455" i="23" s="1"/>
  <c r="AE455" i="23" s="1"/>
  <c r="D455" i="23"/>
  <c r="L456" i="23"/>
  <c r="I456" i="23"/>
  <c r="C456" i="23"/>
  <c r="E456" i="23"/>
  <c r="G456" i="23"/>
  <c r="B457" i="23"/>
  <c r="M399" i="23"/>
  <c r="J399" i="23"/>
  <c r="N399" i="23" s="1"/>
  <c r="AE399" i="23" s="1"/>
  <c r="D399" i="23"/>
  <c r="P399" i="23"/>
  <c r="Q399" i="23"/>
  <c r="R399" i="23"/>
  <c r="L400" i="23"/>
  <c r="I400" i="23"/>
  <c r="C400" i="23"/>
  <c r="K400" i="23" s="1"/>
  <c r="E400" i="23"/>
  <c r="F400" i="23"/>
  <c r="O400" i="23" s="1"/>
  <c r="G400" i="23"/>
  <c r="B401" i="23"/>
  <c r="J343" i="23"/>
  <c r="D343" i="23"/>
  <c r="P343" i="23"/>
  <c r="Q343" i="23"/>
  <c r="R343" i="23"/>
  <c r="L344" i="23"/>
  <c r="I344" i="23"/>
  <c r="C344" i="23"/>
  <c r="K344" i="23" s="1"/>
  <c r="E344" i="23"/>
  <c r="F344" i="23"/>
  <c r="O344" i="23" s="1"/>
  <c r="G344" i="23"/>
  <c r="B345" i="23"/>
  <c r="M287" i="23"/>
  <c r="J287" i="23"/>
  <c r="N287" i="23" s="1"/>
  <c r="AE287" i="23" s="1"/>
  <c r="D287" i="23"/>
  <c r="P287" i="23"/>
  <c r="Q287" i="23"/>
  <c r="R287" i="23"/>
  <c r="L288" i="23"/>
  <c r="I288" i="23"/>
  <c r="C288" i="23"/>
  <c r="K288" i="23" s="1"/>
  <c r="E288" i="23"/>
  <c r="F288" i="23"/>
  <c r="O288" i="23" s="1"/>
  <c r="G288" i="23"/>
  <c r="B289" i="23"/>
  <c r="D4766" i="22"/>
  <c r="J4766" i="22"/>
  <c r="N4766" i="22" s="1"/>
  <c r="P4766" i="22"/>
  <c r="Q4766" i="22"/>
  <c r="R4766" i="22"/>
  <c r="M4766" i="22"/>
  <c r="C4767" i="22"/>
  <c r="F4767" i="22" s="1"/>
  <c r="E4767" i="22"/>
  <c r="G4767" i="22"/>
  <c r="I4767" i="22"/>
  <c r="K4767" i="22"/>
  <c r="L4767" i="22"/>
  <c r="B4768" i="22"/>
  <c r="S4711" i="22"/>
  <c r="U4711" i="22"/>
  <c r="D4712" i="22"/>
  <c r="J4712" i="22"/>
  <c r="P4712" i="22"/>
  <c r="Q4712" i="22"/>
  <c r="R4712" i="22"/>
  <c r="L4713" i="22"/>
  <c r="C4713" i="22"/>
  <c r="K4713" i="22" s="1"/>
  <c r="E4713" i="22"/>
  <c r="F4713" i="22"/>
  <c r="G4713" i="22"/>
  <c r="I4713" i="22"/>
  <c r="B4714" i="22"/>
  <c r="P4658" i="22"/>
  <c r="Q4658" i="22"/>
  <c r="R4658" i="22"/>
  <c r="C4659" i="22"/>
  <c r="D4659" i="22" s="1"/>
  <c r="E4659" i="22"/>
  <c r="F4659" i="22"/>
  <c r="O4659" i="22" s="1"/>
  <c r="G4659" i="22"/>
  <c r="B4660" i="22"/>
  <c r="J4604" i="22"/>
  <c r="D4604" i="22"/>
  <c r="P4604" i="22"/>
  <c r="Q4604" i="22"/>
  <c r="R4604" i="22"/>
  <c r="I4605" i="22"/>
  <c r="L4605" i="22"/>
  <c r="C4605" i="22"/>
  <c r="K4605" i="22" s="1"/>
  <c r="E4605" i="22"/>
  <c r="F4605" i="22"/>
  <c r="G4605" i="22"/>
  <c r="B4606" i="22"/>
  <c r="D4550" i="22"/>
  <c r="J4550" i="22"/>
  <c r="P4550" i="22"/>
  <c r="Q4550" i="22"/>
  <c r="R4550" i="22"/>
  <c r="L4551" i="22"/>
  <c r="C4551" i="22"/>
  <c r="K4551" i="22" s="1"/>
  <c r="E4551" i="22"/>
  <c r="F4551" i="22"/>
  <c r="G4551" i="22"/>
  <c r="I4551" i="22"/>
  <c r="B4552" i="22"/>
  <c r="D4250" i="22"/>
  <c r="J4250" i="22"/>
  <c r="N4250" i="22" s="1"/>
  <c r="U4250" i="22" s="1"/>
  <c r="P4250" i="22"/>
  <c r="Q4250" i="22"/>
  <c r="R4250" i="22"/>
  <c r="M4250" i="22"/>
  <c r="C4251" i="22"/>
  <c r="F4251" i="22" s="1"/>
  <c r="O4251" i="22" s="1"/>
  <c r="E4251" i="22"/>
  <c r="G4251" i="22"/>
  <c r="I4251" i="22"/>
  <c r="K4251" i="22"/>
  <c r="L4251" i="22"/>
  <c r="B4252" i="22"/>
  <c r="M4196" i="22"/>
  <c r="D4196" i="22"/>
  <c r="J4196" i="22"/>
  <c r="N4196" i="22" s="1"/>
  <c r="U4196" i="22" s="1"/>
  <c r="P4196" i="22"/>
  <c r="Q4196" i="22"/>
  <c r="R4196" i="22"/>
  <c r="L4197" i="22"/>
  <c r="C4197" i="22"/>
  <c r="K4197" i="22" s="1"/>
  <c r="E4197" i="22"/>
  <c r="F4197" i="22"/>
  <c r="O4197" i="22" s="1"/>
  <c r="G4197" i="22"/>
  <c r="I4197" i="22"/>
  <c r="B4198" i="22"/>
  <c r="D4142" i="22"/>
  <c r="J4142" i="22"/>
  <c r="P4142" i="22"/>
  <c r="Q4142" i="22"/>
  <c r="R4142" i="22"/>
  <c r="L4143" i="22"/>
  <c r="C4143" i="22"/>
  <c r="E4143" i="22"/>
  <c r="G4143" i="22"/>
  <c r="I4143" i="22"/>
  <c r="B4144" i="22"/>
  <c r="M4088" i="22"/>
  <c r="D4088" i="22"/>
  <c r="J4088" i="22"/>
  <c r="N4088" i="22" s="1"/>
  <c r="U4088" i="22" s="1"/>
  <c r="P4088" i="22"/>
  <c r="Q4088" i="22"/>
  <c r="R4088" i="22"/>
  <c r="L4089" i="22"/>
  <c r="C4089" i="22"/>
  <c r="K4089" i="22" s="1"/>
  <c r="E4089" i="22"/>
  <c r="F4089" i="22"/>
  <c r="O4089" i="22" s="1"/>
  <c r="G4089" i="22"/>
  <c r="I4089" i="22"/>
  <c r="B4090" i="22"/>
  <c r="M3788" i="22"/>
  <c r="D3788" i="22"/>
  <c r="J3788" i="22"/>
  <c r="N3788" i="22" s="1"/>
  <c r="U3788" i="22" s="1"/>
  <c r="P3788" i="22"/>
  <c r="Q3788" i="22"/>
  <c r="R3788" i="22"/>
  <c r="L3789" i="22"/>
  <c r="C3789" i="22"/>
  <c r="K3789" i="22" s="1"/>
  <c r="E3789" i="22"/>
  <c r="F3789" i="22"/>
  <c r="O3789" i="22" s="1"/>
  <c r="G3789" i="22"/>
  <c r="I3789" i="22"/>
  <c r="B3790" i="22"/>
  <c r="M3734" i="22"/>
  <c r="D3734" i="22"/>
  <c r="J3734" i="22"/>
  <c r="N3734" i="22" s="1"/>
  <c r="U3734" i="22" s="1"/>
  <c r="P3734" i="22"/>
  <c r="Q3734" i="22"/>
  <c r="R3734" i="22"/>
  <c r="L3735" i="22"/>
  <c r="C3735" i="22"/>
  <c r="K3735" i="22" s="1"/>
  <c r="E3735" i="22"/>
  <c r="F3735" i="22"/>
  <c r="O3735" i="22" s="1"/>
  <c r="G3735" i="22"/>
  <c r="I3735" i="22"/>
  <c r="B3736" i="22"/>
  <c r="M3680" i="22"/>
  <c r="D3680" i="22"/>
  <c r="J3680" i="22"/>
  <c r="N3680" i="22" s="1"/>
  <c r="U3680" i="22" s="1"/>
  <c r="P3680" i="22"/>
  <c r="Q3680" i="22"/>
  <c r="R3680" i="22"/>
  <c r="L3681" i="22"/>
  <c r="C3681" i="22"/>
  <c r="K3681" i="22" s="1"/>
  <c r="E3681" i="22"/>
  <c r="F3681" i="22"/>
  <c r="O3681" i="22" s="1"/>
  <c r="G3681" i="22"/>
  <c r="I3681" i="22"/>
  <c r="B3682" i="22"/>
  <c r="M3626" i="22"/>
  <c r="D3626" i="22"/>
  <c r="J3626" i="22"/>
  <c r="N3626" i="22" s="1"/>
  <c r="U3626" i="22" s="1"/>
  <c r="P3626" i="22"/>
  <c r="Q3626" i="22"/>
  <c r="R3626" i="22"/>
  <c r="L3627" i="22"/>
  <c r="C3627" i="22"/>
  <c r="K3627" i="22" s="1"/>
  <c r="E3627" i="22"/>
  <c r="F3627" i="22"/>
  <c r="O3627" i="22" s="1"/>
  <c r="G3627" i="22"/>
  <c r="I3627" i="22"/>
  <c r="B3628" i="22"/>
  <c r="J3572" i="22"/>
  <c r="D3572" i="22"/>
  <c r="P3572" i="22"/>
  <c r="Q3572" i="22"/>
  <c r="R3572" i="22"/>
  <c r="L3573" i="22"/>
  <c r="C3573" i="22"/>
  <c r="K3573" i="22" s="1"/>
  <c r="E3573" i="22"/>
  <c r="G3573" i="22"/>
  <c r="I3573" i="22"/>
  <c r="B3574" i="22"/>
  <c r="F3573" i="22"/>
  <c r="O3573" i="22" s="1"/>
  <c r="M3518" i="22"/>
  <c r="D3518" i="22"/>
  <c r="J3518" i="22"/>
  <c r="N3518" i="22" s="1"/>
  <c r="U3518" i="22" s="1"/>
  <c r="P3518" i="22"/>
  <c r="Q3518" i="22"/>
  <c r="R3518" i="22"/>
  <c r="L3519" i="22"/>
  <c r="E3519" i="22"/>
  <c r="G3519" i="22"/>
  <c r="C3519" i="22"/>
  <c r="I3519" i="22"/>
  <c r="B3520" i="22"/>
  <c r="M3464" i="22"/>
  <c r="D3464" i="22"/>
  <c r="J3464" i="22"/>
  <c r="N3464" i="22" s="1"/>
  <c r="U3464" i="22" s="1"/>
  <c r="P3464" i="22"/>
  <c r="Q3464" i="22"/>
  <c r="R3464" i="22"/>
  <c r="L3465" i="22"/>
  <c r="C3465" i="22"/>
  <c r="E3465" i="22"/>
  <c r="G3465" i="22"/>
  <c r="I3465" i="22"/>
  <c r="B3466" i="22"/>
  <c r="D3410" i="22"/>
  <c r="J3410" i="22"/>
  <c r="P3410" i="22"/>
  <c r="Q3410" i="22"/>
  <c r="R3410" i="22"/>
  <c r="L3411" i="22"/>
  <c r="C3411" i="22"/>
  <c r="E3411" i="22"/>
  <c r="G3411" i="22"/>
  <c r="I3411" i="22"/>
  <c r="B3412" i="22"/>
  <c r="D3356" i="22"/>
  <c r="J3356" i="22"/>
  <c r="P3356" i="22"/>
  <c r="Q3356" i="22"/>
  <c r="R3356" i="22"/>
  <c r="L3357" i="22"/>
  <c r="C3357" i="22"/>
  <c r="K3357" i="22" s="1"/>
  <c r="E3357" i="22"/>
  <c r="F3357" i="22"/>
  <c r="O3357" i="22" s="1"/>
  <c r="G3357" i="22"/>
  <c r="I3357" i="22"/>
  <c r="B3358" i="22"/>
  <c r="M3302" i="22"/>
  <c r="D3302" i="22"/>
  <c r="J3302" i="22"/>
  <c r="N3302" i="22" s="1"/>
  <c r="U3302" i="22" s="1"/>
  <c r="P3302" i="22"/>
  <c r="Q3302" i="22"/>
  <c r="R3302" i="22"/>
  <c r="L3303" i="22"/>
  <c r="C3303" i="22"/>
  <c r="K3303" i="22" s="1"/>
  <c r="E3303" i="22"/>
  <c r="F3303" i="22"/>
  <c r="O3303" i="22" s="1"/>
  <c r="G3303" i="22"/>
  <c r="I3303" i="22"/>
  <c r="B3304" i="22"/>
  <c r="M3248" i="22"/>
  <c r="D3248" i="22"/>
  <c r="J3248" i="22"/>
  <c r="N3248" i="22" s="1"/>
  <c r="U3248" i="22" s="1"/>
  <c r="P3248" i="22"/>
  <c r="Q3248" i="22"/>
  <c r="R3248" i="22"/>
  <c r="L3249" i="22"/>
  <c r="C3249" i="22"/>
  <c r="E3249" i="22"/>
  <c r="G3249" i="22"/>
  <c r="I3249" i="22"/>
  <c r="B3250" i="22"/>
  <c r="M3194" i="22"/>
  <c r="D3194" i="22"/>
  <c r="J3194" i="22"/>
  <c r="N3194" i="22" s="1"/>
  <c r="U3194" i="22" s="1"/>
  <c r="P3194" i="22"/>
  <c r="Q3194" i="22"/>
  <c r="R3194" i="22"/>
  <c r="L3195" i="22"/>
  <c r="C3195" i="22"/>
  <c r="K3195" i="22" s="1"/>
  <c r="E3195" i="22"/>
  <c r="F3195" i="22"/>
  <c r="O3195" i="22" s="1"/>
  <c r="G3195" i="22"/>
  <c r="I3195" i="22"/>
  <c r="B3196" i="22"/>
  <c r="M3140" i="22"/>
  <c r="P3140" i="22"/>
  <c r="Q3140" i="22"/>
  <c r="R3140" i="22"/>
  <c r="L3141" i="22"/>
  <c r="I3141" i="22"/>
  <c r="C3141" i="22"/>
  <c r="E3141" i="22"/>
  <c r="G3141" i="22"/>
  <c r="B3142" i="22"/>
  <c r="D3140" i="22"/>
  <c r="J3140" i="22"/>
  <c r="N3140" i="22" s="1"/>
  <c r="U3140" i="22" s="1"/>
  <c r="P3086" i="22"/>
  <c r="Q3086" i="22"/>
  <c r="R3086" i="22"/>
  <c r="L3087" i="22"/>
  <c r="B3088" i="22"/>
  <c r="C3087" i="22"/>
  <c r="E3087" i="22"/>
  <c r="G3087" i="22"/>
  <c r="I3087" i="22"/>
  <c r="D3086" i="22"/>
  <c r="J3086" i="22"/>
  <c r="M3032" i="22"/>
  <c r="D3032" i="22"/>
  <c r="J3032" i="22"/>
  <c r="N3032" i="22" s="1"/>
  <c r="U3032" i="22" s="1"/>
  <c r="P3032" i="22"/>
  <c r="Q3032" i="22"/>
  <c r="R3032" i="22"/>
  <c r="L3033" i="22"/>
  <c r="C3033" i="22"/>
  <c r="K3033" i="22" s="1"/>
  <c r="E3033" i="22"/>
  <c r="F3033" i="22"/>
  <c r="O3033" i="22" s="1"/>
  <c r="G3033" i="22"/>
  <c r="I3033" i="22"/>
  <c r="B3034" i="22"/>
  <c r="L2979" i="22"/>
  <c r="G2979" i="22"/>
  <c r="B2980" i="22"/>
  <c r="C2979" i="22"/>
  <c r="K2979" i="22" s="1"/>
  <c r="E2979" i="22"/>
  <c r="F2979" i="22"/>
  <c r="O2979" i="22" s="1"/>
  <c r="I2979" i="22"/>
  <c r="D2978" i="22"/>
  <c r="J2978" i="22"/>
  <c r="P2978" i="22"/>
  <c r="Q2978" i="22"/>
  <c r="R2978" i="22"/>
  <c r="L2925" i="22"/>
  <c r="B2926" i="22"/>
  <c r="I2925" i="22"/>
  <c r="C2925" i="22"/>
  <c r="E2925" i="22"/>
  <c r="G2925" i="22"/>
  <c r="D2924" i="22"/>
  <c r="J2924" i="22"/>
  <c r="P2924" i="22"/>
  <c r="Q2924" i="22"/>
  <c r="R2924" i="22"/>
  <c r="M2870" i="22"/>
  <c r="D2870" i="22"/>
  <c r="J2870" i="22"/>
  <c r="N2870" i="22" s="1"/>
  <c r="U2870" i="22" s="1"/>
  <c r="P2870" i="22"/>
  <c r="Q2870" i="22"/>
  <c r="R2870" i="22"/>
  <c r="L2871" i="22"/>
  <c r="C2871" i="22"/>
  <c r="E2871" i="22"/>
  <c r="G2871" i="22"/>
  <c r="I2871" i="22"/>
  <c r="B2872" i="22"/>
  <c r="M2816" i="22"/>
  <c r="D2816" i="22"/>
  <c r="J2816" i="22"/>
  <c r="N2816" i="22" s="1"/>
  <c r="S2816" i="22" s="1"/>
  <c r="P2816" i="22"/>
  <c r="Q2816" i="22"/>
  <c r="R2816" i="22"/>
  <c r="T2816" i="22"/>
  <c r="U2816" i="22" s="1"/>
  <c r="L2817" i="22"/>
  <c r="C2817" i="22"/>
  <c r="K2817" i="22" s="1"/>
  <c r="E2817" i="22"/>
  <c r="F2817" i="22"/>
  <c r="O2817" i="22" s="1"/>
  <c r="G2817" i="22"/>
  <c r="I2817" i="22"/>
  <c r="B2818" i="22"/>
  <c r="M2762" i="22"/>
  <c r="D2762" i="22"/>
  <c r="J2762" i="22"/>
  <c r="N2762" i="22" s="1"/>
  <c r="U2762" i="22" s="1"/>
  <c r="P2762" i="22"/>
  <c r="Q2762" i="22"/>
  <c r="R2762" i="22"/>
  <c r="L2763" i="22"/>
  <c r="C2763" i="22"/>
  <c r="K2763" i="22" s="1"/>
  <c r="E2763" i="22"/>
  <c r="F2763" i="22"/>
  <c r="O2763" i="22" s="1"/>
  <c r="G2763" i="22"/>
  <c r="I2763" i="22"/>
  <c r="B2764" i="22"/>
  <c r="D2708" i="22"/>
  <c r="J2708" i="22"/>
  <c r="P2708" i="22"/>
  <c r="Q2708" i="22"/>
  <c r="R2708" i="22"/>
  <c r="L2709" i="22"/>
  <c r="C2709" i="22"/>
  <c r="K2709" i="22" s="1"/>
  <c r="E2709" i="22"/>
  <c r="F2709" i="22"/>
  <c r="O2709" i="22" s="1"/>
  <c r="G2709" i="22"/>
  <c r="I2709" i="22"/>
  <c r="B2710" i="22"/>
  <c r="M2654" i="22"/>
  <c r="D2654" i="22"/>
  <c r="J2654" i="22"/>
  <c r="N2654" i="22" s="1"/>
  <c r="U2654" i="22" s="1"/>
  <c r="P2654" i="22"/>
  <c r="Q2654" i="22"/>
  <c r="R2654" i="22"/>
  <c r="L2655" i="22"/>
  <c r="C2655" i="22"/>
  <c r="E2655" i="22"/>
  <c r="G2655" i="22"/>
  <c r="I2655" i="22"/>
  <c r="B2656" i="22"/>
  <c r="M2600" i="22"/>
  <c r="J2600" i="22"/>
  <c r="N2600" i="22" s="1"/>
  <c r="U2600" i="22" s="1"/>
  <c r="D2600" i="22"/>
  <c r="L2601" i="22"/>
  <c r="E2601" i="22"/>
  <c r="C2601" i="22"/>
  <c r="B2602" i="22"/>
  <c r="G2601" i="22"/>
  <c r="I2601" i="22"/>
  <c r="P2600" i="22"/>
  <c r="Q2600" i="22"/>
  <c r="R2600" i="22"/>
  <c r="M2546" i="22"/>
  <c r="D2546" i="22"/>
  <c r="J2546" i="22"/>
  <c r="N2546" i="22" s="1"/>
  <c r="U2546" i="22" s="1"/>
  <c r="P2546" i="22"/>
  <c r="Q2546" i="22"/>
  <c r="R2546" i="22"/>
  <c r="L2547" i="22"/>
  <c r="C2547" i="22"/>
  <c r="K2547" i="22" s="1"/>
  <c r="E2547" i="22"/>
  <c r="F2547" i="22"/>
  <c r="O2547" i="22" s="1"/>
  <c r="G2547" i="22"/>
  <c r="I2547" i="22"/>
  <c r="B2548" i="22"/>
  <c r="M2492" i="22"/>
  <c r="D2492" i="22"/>
  <c r="J2492" i="22"/>
  <c r="N2492" i="22" s="1"/>
  <c r="U2492" i="22" s="1"/>
  <c r="P2492" i="22"/>
  <c r="Q2492" i="22"/>
  <c r="R2492" i="22"/>
  <c r="L2493" i="22"/>
  <c r="C2493" i="22"/>
  <c r="K2493" i="22" s="1"/>
  <c r="E2493" i="22"/>
  <c r="F2493" i="22"/>
  <c r="O2493" i="22" s="1"/>
  <c r="G2493" i="22"/>
  <c r="I2493" i="22"/>
  <c r="B2494" i="22"/>
  <c r="M2438" i="22"/>
  <c r="D2438" i="22"/>
  <c r="J2438" i="22"/>
  <c r="N2438" i="22" s="1"/>
  <c r="U2438" i="22" s="1"/>
  <c r="P2438" i="22"/>
  <c r="Q2438" i="22"/>
  <c r="R2438" i="22"/>
  <c r="L2439" i="22"/>
  <c r="C2439" i="22"/>
  <c r="K2439" i="22" s="1"/>
  <c r="E2439" i="22"/>
  <c r="F2439" i="22"/>
  <c r="O2439" i="22" s="1"/>
  <c r="G2439" i="22"/>
  <c r="I2439" i="22"/>
  <c r="B2440" i="22"/>
  <c r="M2384" i="22"/>
  <c r="D2384" i="22"/>
  <c r="J2384" i="22"/>
  <c r="N2384" i="22" s="1"/>
  <c r="U2384" i="22" s="1"/>
  <c r="P2384" i="22"/>
  <c r="Q2384" i="22"/>
  <c r="R2384" i="22"/>
  <c r="L2385" i="22"/>
  <c r="C2385" i="22"/>
  <c r="K2385" i="22" s="1"/>
  <c r="E2385" i="22"/>
  <c r="F2385" i="22"/>
  <c r="O2385" i="22" s="1"/>
  <c r="G2385" i="22"/>
  <c r="I2385" i="22"/>
  <c r="B2386" i="22"/>
  <c r="M2330" i="22"/>
  <c r="D2330" i="22"/>
  <c r="J2330" i="22"/>
  <c r="N2330" i="22" s="1"/>
  <c r="U2330" i="22" s="1"/>
  <c r="P2330" i="22"/>
  <c r="Q2330" i="22"/>
  <c r="R2330" i="22"/>
  <c r="L2331" i="22"/>
  <c r="C2331" i="22"/>
  <c r="K2331" i="22" s="1"/>
  <c r="E2331" i="22"/>
  <c r="F2331" i="22"/>
  <c r="O2331" i="22" s="1"/>
  <c r="G2331" i="22"/>
  <c r="I2331" i="22"/>
  <c r="B2332" i="22"/>
  <c r="M2276" i="22"/>
  <c r="D2276" i="22"/>
  <c r="J2276" i="22"/>
  <c r="N2276" i="22" s="1"/>
  <c r="U2276" i="22" s="1"/>
  <c r="P2276" i="22"/>
  <c r="Q2276" i="22"/>
  <c r="R2276" i="22"/>
  <c r="L2277" i="22"/>
  <c r="B2278" i="22"/>
  <c r="E2277" i="22"/>
  <c r="C2277" i="22"/>
  <c r="I2277" i="22"/>
  <c r="G2277" i="22"/>
  <c r="M2222" i="22"/>
  <c r="D2222" i="22"/>
  <c r="J2222" i="22"/>
  <c r="N2222" i="22" s="1"/>
  <c r="U2222" i="22" s="1"/>
  <c r="P2222" i="22"/>
  <c r="Q2222" i="22"/>
  <c r="R2222" i="22"/>
  <c r="L2223" i="22"/>
  <c r="C2223" i="22"/>
  <c r="E2223" i="22"/>
  <c r="G2223" i="22"/>
  <c r="I2223" i="22"/>
  <c r="B2224" i="22"/>
  <c r="M2168" i="22"/>
  <c r="D2168" i="22"/>
  <c r="J2168" i="22"/>
  <c r="N2168" i="22" s="1"/>
  <c r="U2168" i="22" s="1"/>
  <c r="P2168" i="22"/>
  <c r="Q2168" i="22"/>
  <c r="R2168" i="22"/>
  <c r="L2169" i="22"/>
  <c r="C2169" i="22"/>
  <c r="K2169" i="22" s="1"/>
  <c r="E2169" i="22"/>
  <c r="F2169" i="22"/>
  <c r="O2169" i="22" s="1"/>
  <c r="G2169" i="22"/>
  <c r="I2169" i="22"/>
  <c r="B2170" i="22"/>
  <c r="M2114" i="22"/>
  <c r="D2114" i="22"/>
  <c r="J2114" i="22"/>
  <c r="N2114" i="22" s="1"/>
  <c r="U2114" i="22" s="1"/>
  <c r="P2114" i="22"/>
  <c r="Q2114" i="22"/>
  <c r="R2114" i="22"/>
  <c r="L2115" i="22"/>
  <c r="C2115" i="22"/>
  <c r="K2115" i="22" s="1"/>
  <c r="E2115" i="22"/>
  <c r="F2115" i="22"/>
  <c r="O2115" i="22" s="1"/>
  <c r="G2115" i="22"/>
  <c r="I2115" i="22"/>
  <c r="B2116" i="22"/>
  <c r="M2060" i="22"/>
  <c r="D2060" i="22"/>
  <c r="J2060" i="22"/>
  <c r="N2060" i="22" s="1"/>
  <c r="U2060" i="22" s="1"/>
  <c r="P2060" i="22"/>
  <c r="Q2060" i="22"/>
  <c r="R2060" i="22"/>
  <c r="L2061" i="22"/>
  <c r="C2061" i="22"/>
  <c r="K2061" i="22" s="1"/>
  <c r="E2061" i="22"/>
  <c r="F2061" i="22"/>
  <c r="O2061" i="22" s="1"/>
  <c r="G2061" i="22"/>
  <c r="I2061" i="22"/>
  <c r="B2062" i="22"/>
  <c r="M2006" i="22"/>
  <c r="D2006" i="22"/>
  <c r="J2006" i="22"/>
  <c r="N2006" i="22" s="1"/>
  <c r="U2006" i="22" s="1"/>
  <c r="P2006" i="22"/>
  <c r="Q2006" i="22"/>
  <c r="R2006" i="22"/>
  <c r="L2007" i="22"/>
  <c r="C2007" i="22"/>
  <c r="K2007" i="22" s="1"/>
  <c r="E2007" i="22"/>
  <c r="F2007" i="22"/>
  <c r="O2007" i="22" s="1"/>
  <c r="G2007" i="22"/>
  <c r="I2007" i="22"/>
  <c r="B2008" i="22"/>
  <c r="D1952" i="22"/>
  <c r="J1952" i="22"/>
  <c r="P1952" i="22"/>
  <c r="Q1952" i="22"/>
  <c r="R1952" i="22"/>
  <c r="L1953" i="22"/>
  <c r="C1953" i="22"/>
  <c r="K1953" i="22" s="1"/>
  <c r="E1953" i="22"/>
  <c r="F1953" i="22"/>
  <c r="O1953" i="22" s="1"/>
  <c r="G1953" i="22"/>
  <c r="I1953" i="22"/>
  <c r="B1954" i="22"/>
  <c r="M1898" i="22"/>
  <c r="D1898" i="22"/>
  <c r="J1898" i="22"/>
  <c r="N1898" i="22" s="1"/>
  <c r="U1898" i="22" s="1"/>
  <c r="P1898" i="22"/>
  <c r="Q1898" i="22"/>
  <c r="R1898" i="22"/>
  <c r="L1899" i="22"/>
  <c r="C1899" i="22"/>
  <c r="K1899" i="22" s="1"/>
  <c r="E1899" i="22"/>
  <c r="F1899" i="22"/>
  <c r="O1899" i="22" s="1"/>
  <c r="G1899" i="22"/>
  <c r="I1899" i="22"/>
  <c r="B1900" i="22"/>
  <c r="M1844" i="22"/>
  <c r="D1844" i="22"/>
  <c r="J1844" i="22"/>
  <c r="N1844" i="22" s="1"/>
  <c r="U1844" i="22" s="1"/>
  <c r="P1844" i="22"/>
  <c r="Q1844" i="22"/>
  <c r="R1844" i="22"/>
  <c r="L1845" i="22"/>
  <c r="C1845" i="22"/>
  <c r="K1845" i="22" s="1"/>
  <c r="E1845" i="22"/>
  <c r="F1845" i="22"/>
  <c r="O1845" i="22" s="1"/>
  <c r="G1845" i="22"/>
  <c r="I1845" i="22"/>
  <c r="B1846" i="22"/>
  <c r="M1790" i="22"/>
  <c r="D1790" i="22"/>
  <c r="J1790" i="22"/>
  <c r="N1790" i="22" s="1"/>
  <c r="U1790" i="22" s="1"/>
  <c r="P1790" i="22"/>
  <c r="Q1790" i="22"/>
  <c r="R1790" i="22"/>
  <c r="L1791" i="22"/>
  <c r="C1791" i="22"/>
  <c r="K1791" i="22" s="1"/>
  <c r="E1791" i="22"/>
  <c r="F1791" i="22"/>
  <c r="O1791" i="22" s="1"/>
  <c r="G1791" i="22"/>
  <c r="I1791" i="22"/>
  <c r="B1792" i="22"/>
  <c r="M1736" i="22"/>
  <c r="D1736" i="22"/>
  <c r="J1736" i="22"/>
  <c r="N1736" i="22" s="1"/>
  <c r="U1736" i="22" s="1"/>
  <c r="P1736" i="22"/>
  <c r="Q1736" i="22"/>
  <c r="R1736" i="22"/>
  <c r="L1737" i="22"/>
  <c r="C1737" i="22"/>
  <c r="K1737" i="22" s="1"/>
  <c r="E1737" i="22"/>
  <c r="F1737" i="22"/>
  <c r="O1737" i="22" s="1"/>
  <c r="G1737" i="22"/>
  <c r="I1737" i="22"/>
  <c r="B1738" i="22"/>
  <c r="M1682" i="22"/>
  <c r="D1682" i="22"/>
  <c r="J1682" i="22"/>
  <c r="N1682" i="22" s="1"/>
  <c r="U1682" i="22" s="1"/>
  <c r="P1682" i="22"/>
  <c r="Q1682" i="22"/>
  <c r="R1682" i="22"/>
  <c r="L1683" i="22"/>
  <c r="C1683" i="22"/>
  <c r="K1683" i="22" s="1"/>
  <c r="E1683" i="22"/>
  <c r="F1683" i="22"/>
  <c r="O1683" i="22" s="1"/>
  <c r="G1683" i="22"/>
  <c r="I1683" i="22"/>
  <c r="B1684" i="22"/>
  <c r="M1628" i="22"/>
  <c r="D1628" i="22"/>
  <c r="J1628" i="22"/>
  <c r="N1628" i="22" s="1"/>
  <c r="U1628" i="22" s="1"/>
  <c r="P1628" i="22"/>
  <c r="Q1628" i="22"/>
  <c r="R1628" i="22"/>
  <c r="L1629" i="22"/>
  <c r="C1629" i="22"/>
  <c r="K1629" i="22" s="1"/>
  <c r="E1629" i="22"/>
  <c r="F1629" i="22"/>
  <c r="O1629" i="22" s="1"/>
  <c r="G1629" i="22"/>
  <c r="I1629" i="22"/>
  <c r="B1630" i="22"/>
  <c r="D1574" i="22"/>
  <c r="J1574" i="22"/>
  <c r="P1574" i="22"/>
  <c r="Q1574" i="22"/>
  <c r="R1574" i="22"/>
  <c r="L1575" i="22"/>
  <c r="C1575" i="22"/>
  <c r="K1575" i="22" s="1"/>
  <c r="E1575" i="22"/>
  <c r="F1575" i="22"/>
  <c r="O1575" i="22" s="1"/>
  <c r="G1575" i="22"/>
  <c r="I1575" i="22"/>
  <c r="B1576" i="22"/>
  <c r="M1520" i="22"/>
  <c r="D1520" i="22"/>
  <c r="J1520" i="22"/>
  <c r="N1520" i="22" s="1"/>
  <c r="U1520" i="22" s="1"/>
  <c r="P1520" i="22"/>
  <c r="Q1520" i="22"/>
  <c r="R1520" i="22"/>
  <c r="L1521" i="22"/>
  <c r="C1521" i="22"/>
  <c r="K1521" i="22" s="1"/>
  <c r="E1521" i="22"/>
  <c r="F1521" i="22"/>
  <c r="O1521" i="22" s="1"/>
  <c r="G1521" i="22"/>
  <c r="I1521" i="22"/>
  <c r="B1522" i="22"/>
  <c r="M1466" i="22"/>
  <c r="D1466" i="22"/>
  <c r="J1466" i="22"/>
  <c r="N1466" i="22" s="1"/>
  <c r="U1466" i="22" s="1"/>
  <c r="P1466" i="22"/>
  <c r="Q1466" i="22"/>
  <c r="R1466" i="22"/>
  <c r="L1467" i="22"/>
  <c r="C1467" i="22"/>
  <c r="K1467" i="22" s="1"/>
  <c r="E1467" i="22"/>
  <c r="F1467" i="22"/>
  <c r="O1467" i="22" s="1"/>
  <c r="G1467" i="22"/>
  <c r="I1467" i="22"/>
  <c r="B1468" i="22"/>
  <c r="M1412" i="22"/>
  <c r="D1412" i="22"/>
  <c r="J1412" i="22"/>
  <c r="N1412" i="22" s="1"/>
  <c r="U1412" i="22" s="1"/>
  <c r="P1412" i="22"/>
  <c r="Q1412" i="22"/>
  <c r="R1412" i="22"/>
  <c r="L1413" i="22"/>
  <c r="C1413" i="22"/>
  <c r="E1413" i="22"/>
  <c r="G1413" i="22"/>
  <c r="I1413" i="22"/>
  <c r="B1414" i="22"/>
  <c r="M1358" i="22"/>
  <c r="D1358" i="22"/>
  <c r="J1358" i="22"/>
  <c r="N1358" i="22" s="1"/>
  <c r="U1358" i="22" s="1"/>
  <c r="P1358" i="22"/>
  <c r="Q1358" i="22"/>
  <c r="R1358" i="22"/>
  <c r="L1359" i="22"/>
  <c r="C1359" i="22"/>
  <c r="E1359" i="22"/>
  <c r="G1359" i="22"/>
  <c r="I1359" i="22"/>
  <c r="B1360" i="22"/>
  <c r="M1304" i="22"/>
  <c r="D1304" i="22"/>
  <c r="J1304" i="22"/>
  <c r="N1304" i="22" s="1"/>
  <c r="U1304" i="22" s="1"/>
  <c r="P1304" i="22"/>
  <c r="Q1304" i="22"/>
  <c r="R1304" i="22"/>
  <c r="L1305" i="22"/>
  <c r="C1305" i="22"/>
  <c r="K1305" i="22" s="1"/>
  <c r="E1305" i="22"/>
  <c r="F1305" i="22"/>
  <c r="O1305" i="22" s="1"/>
  <c r="G1305" i="22"/>
  <c r="I1305" i="22"/>
  <c r="B1306" i="22"/>
  <c r="M1250" i="22"/>
  <c r="D1250" i="22"/>
  <c r="J1250" i="22"/>
  <c r="N1250" i="22" s="1"/>
  <c r="U1250" i="22" s="1"/>
  <c r="P1250" i="22"/>
  <c r="Q1250" i="22"/>
  <c r="R1250" i="22"/>
  <c r="L1251" i="22"/>
  <c r="C1251" i="22"/>
  <c r="K1251" i="22" s="1"/>
  <c r="E1251" i="22"/>
  <c r="F1251" i="22"/>
  <c r="O1251" i="22" s="1"/>
  <c r="G1251" i="22"/>
  <c r="I1251" i="22"/>
  <c r="B1252" i="22"/>
  <c r="D1196" i="22"/>
  <c r="J1196" i="22"/>
  <c r="P1196" i="22"/>
  <c r="Q1196" i="22"/>
  <c r="R1196" i="22"/>
  <c r="L1197" i="22"/>
  <c r="C1197" i="22"/>
  <c r="K1197" i="22" s="1"/>
  <c r="E1197" i="22"/>
  <c r="F1197" i="22"/>
  <c r="O1197" i="22" s="1"/>
  <c r="G1197" i="22"/>
  <c r="I1197" i="22"/>
  <c r="B1198" i="22"/>
  <c r="M1142" i="22"/>
  <c r="D1142" i="22"/>
  <c r="J1142" i="22"/>
  <c r="N1142" i="22" s="1"/>
  <c r="U1142" i="22" s="1"/>
  <c r="P1142" i="22"/>
  <c r="Q1142" i="22"/>
  <c r="R1142" i="22"/>
  <c r="L1143" i="22"/>
  <c r="C1143" i="22"/>
  <c r="K1143" i="22" s="1"/>
  <c r="E1143" i="22"/>
  <c r="F1143" i="22"/>
  <c r="O1143" i="22" s="1"/>
  <c r="G1143" i="22"/>
  <c r="I1143" i="22"/>
  <c r="B1144" i="22"/>
  <c r="M1088" i="22"/>
  <c r="D1088" i="22"/>
  <c r="J1088" i="22"/>
  <c r="N1088" i="22" s="1"/>
  <c r="U1088" i="22" s="1"/>
  <c r="P1088" i="22"/>
  <c r="Q1088" i="22"/>
  <c r="R1088" i="22"/>
  <c r="L1089" i="22"/>
  <c r="C1089" i="22"/>
  <c r="K1089" i="22" s="1"/>
  <c r="E1089" i="22"/>
  <c r="F1089" i="22"/>
  <c r="O1089" i="22" s="1"/>
  <c r="G1089" i="22"/>
  <c r="I1089" i="22"/>
  <c r="B1090" i="22"/>
  <c r="J1034" i="22"/>
  <c r="D1034" i="22"/>
  <c r="P1034" i="22"/>
  <c r="Q1034" i="22"/>
  <c r="R1034" i="22"/>
  <c r="L1035" i="22"/>
  <c r="B1036" i="22"/>
  <c r="E1035" i="22"/>
  <c r="I1035" i="22"/>
  <c r="C1035" i="22"/>
  <c r="G1035" i="22"/>
  <c r="M980" i="22"/>
  <c r="D980" i="22"/>
  <c r="J980" i="22"/>
  <c r="N980" i="22" s="1"/>
  <c r="U980" i="22" s="1"/>
  <c r="P980" i="22"/>
  <c r="Q980" i="22"/>
  <c r="R980" i="22"/>
  <c r="L981" i="22"/>
  <c r="C981" i="22"/>
  <c r="K981" i="22" s="1"/>
  <c r="E981" i="22"/>
  <c r="F981" i="22"/>
  <c r="O981" i="22" s="1"/>
  <c r="G981" i="22"/>
  <c r="I981" i="22"/>
  <c r="B982" i="22"/>
  <c r="M926" i="22"/>
  <c r="D926" i="22"/>
  <c r="J926" i="22"/>
  <c r="N926" i="22" s="1"/>
  <c r="U926" i="22" s="1"/>
  <c r="P926" i="22"/>
  <c r="Q926" i="22"/>
  <c r="R926" i="22"/>
  <c r="L927" i="22"/>
  <c r="C927" i="22"/>
  <c r="K927" i="22" s="1"/>
  <c r="E927" i="22"/>
  <c r="F927" i="22"/>
  <c r="O927" i="22" s="1"/>
  <c r="G927" i="22"/>
  <c r="I927" i="22"/>
  <c r="B928" i="22"/>
  <c r="M872" i="22"/>
  <c r="D872" i="22"/>
  <c r="J872" i="22"/>
  <c r="N872" i="22" s="1"/>
  <c r="U872" i="22" s="1"/>
  <c r="P872" i="22"/>
  <c r="Q872" i="22"/>
  <c r="R872" i="22"/>
  <c r="L873" i="22"/>
  <c r="C873" i="22"/>
  <c r="K873" i="22" s="1"/>
  <c r="E873" i="22"/>
  <c r="F873" i="22"/>
  <c r="O873" i="22" s="1"/>
  <c r="G873" i="22"/>
  <c r="I873" i="22"/>
  <c r="B874" i="22"/>
  <c r="M818" i="22"/>
  <c r="D818" i="22"/>
  <c r="J818" i="22"/>
  <c r="N818" i="22" s="1"/>
  <c r="U818" i="22" s="1"/>
  <c r="P818" i="22"/>
  <c r="Q818" i="22"/>
  <c r="R818" i="22"/>
  <c r="L819" i="22"/>
  <c r="C819" i="22"/>
  <c r="K819" i="22" s="1"/>
  <c r="E819" i="22"/>
  <c r="F819" i="22"/>
  <c r="O819" i="22" s="1"/>
  <c r="G819" i="22"/>
  <c r="I819" i="22"/>
  <c r="B820" i="22"/>
  <c r="M764" i="22"/>
  <c r="D764" i="22"/>
  <c r="J764" i="22"/>
  <c r="N764" i="22" s="1"/>
  <c r="U764" i="22" s="1"/>
  <c r="P764" i="22"/>
  <c r="Q764" i="22"/>
  <c r="R764" i="22"/>
  <c r="L765" i="22"/>
  <c r="C765" i="22"/>
  <c r="K765" i="22" s="1"/>
  <c r="E765" i="22"/>
  <c r="F765" i="22"/>
  <c r="O765" i="22" s="1"/>
  <c r="G765" i="22"/>
  <c r="I765" i="22"/>
  <c r="B766" i="22"/>
  <c r="M710" i="22"/>
  <c r="D710" i="22"/>
  <c r="J710" i="22"/>
  <c r="N710" i="22" s="1"/>
  <c r="U710" i="22" s="1"/>
  <c r="P710" i="22"/>
  <c r="Q710" i="22"/>
  <c r="R710" i="22"/>
  <c r="L711" i="22"/>
  <c r="C711" i="22"/>
  <c r="E711" i="22"/>
  <c r="G711" i="22"/>
  <c r="I711" i="22"/>
  <c r="B712" i="22"/>
  <c r="M656" i="22"/>
  <c r="D656" i="22"/>
  <c r="J656" i="22"/>
  <c r="N656" i="22" s="1"/>
  <c r="U656" i="22" s="1"/>
  <c r="P656" i="22"/>
  <c r="Q656" i="22"/>
  <c r="R656" i="22"/>
  <c r="L657" i="22"/>
  <c r="C657" i="22"/>
  <c r="K657" i="22" s="1"/>
  <c r="E657" i="22"/>
  <c r="F657" i="22"/>
  <c r="O657" i="22" s="1"/>
  <c r="G657" i="22"/>
  <c r="I657" i="22"/>
  <c r="B658" i="22"/>
  <c r="M602" i="22"/>
  <c r="D602" i="22"/>
  <c r="J602" i="22"/>
  <c r="N602" i="22" s="1"/>
  <c r="U602" i="22" s="1"/>
  <c r="P602" i="22"/>
  <c r="Q602" i="22"/>
  <c r="R602" i="22"/>
  <c r="L603" i="22"/>
  <c r="C603" i="22"/>
  <c r="K603" i="22" s="1"/>
  <c r="E603" i="22"/>
  <c r="F603" i="22"/>
  <c r="O603" i="22" s="1"/>
  <c r="G603" i="22"/>
  <c r="I603" i="22"/>
  <c r="B604" i="22"/>
  <c r="D548" i="22"/>
  <c r="J548" i="22"/>
  <c r="P548" i="22"/>
  <c r="Q548" i="22"/>
  <c r="R548" i="22"/>
  <c r="L549" i="22"/>
  <c r="C549" i="22"/>
  <c r="K549" i="22" s="1"/>
  <c r="E549" i="22"/>
  <c r="F549" i="22"/>
  <c r="O549" i="22" s="1"/>
  <c r="G549" i="22"/>
  <c r="I549" i="22"/>
  <c r="B550" i="22"/>
  <c r="D494" i="22"/>
  <c r="J494" i="22"/>
  <c r="P494" i="22"/>
  <c r="Q494" i="22"/>
  <c r="R494" i="22"/>
  <c r="L495" i="22"/>
  <c r="C495" i="22"/>
  <c r="E495" i="22"/>
  <c r="G495" i="22"/>
  <c r="I495" i="22"/>
  <c r="B496" i="22"/>
  <c r="M440" i="22"/>
  <c r="P440" i="22"/>
  <c r="Q440" i="22"/>
  <c r="R440" i="22"/>
  <c r="D440" i="22"/>
  <c r="J440" i="22"/>
  <c r="N440" i="22" s="1"/>
  <c r="U440" i="22" s="1"/>
  <c r="L441" i="22"/>
  <c r="C441" i="22"/>
  <c r="E441" i="22"/>
  <c r="G441" i="22"/>
  <c r="I441" i="22"/>
  <c r="B442" i="22"/>
  <c r="M386" i="22"/>
  <c r="D386" i="22"/>
  <c r="J386" i="22"/>
  <c r="N386" i="22" s="1"/>
  <c r="U386" i="22" s="1"/>
  <c r="P386" i="22"/>
  <c r="Q386" i="22"/>
  <c r="R386" i="22"/>
  <c r="L387" i="22"/>
  <c r="C387" i="22"/>
  <c r="K387" i="22" s="1"/>
  <c r="E387" i="22"/>
  <c r="F387" i="22"/>
  <c r="O387" i="22" s="1"/>
  <c r="G387" i="22"/>
  <c r="I387" i="22"/>
  <c r="B388" i="22"/>
  <c r="M332" i="22"/>
  <c r="D332" i="22"/>
  <c r="J332" i="22"/>
  <c r="N332" i="22" s="1"/>
  <c r="U332" i="22" s="1"/>
  <c r="P332" i="22"/>
  <c r="Q332" i="22"/>
  <c r="R332" i="22"/>
  <c r="L333" i="22"/>
  <c r="C333" i="22"/>
  <c r="K333" i="22" s="1"/>
  <c r="E333" i="22"/>
  <c r="F333" i="22"/>
  <c r="O333" i="22" s="1"/>
  <c r="G333" i="22"/>
  <c r="I333" i="22"/>
  <c r="B334" i="22"/>
  <c r="M278" i="22"/>
  <c r="D278" i="22"/>
  <c r="J278" i="22"/>
  <c r="N278" i="22" s="1"/>
  <c r="U278" i="22" s="1"/>
  <c r="P278" i="22"/>
  <c r="Q278" i="22"/>
  <c r="R278" i="22"/>
  <c r="L279" i="22"/>
  <c r="C279" i="22"/>
  <c r="K279" i="22" s="1"/>
  <c r="E279" i="22"/>
  <c r="F279" i="22"/>
  <c r="O279" i="22" s="1"/>
  <c r="G279" i="22"/>
  <c r="I279" i="22"/>
  <c r="B280" i="22"/>
  <c r="M224" i="22"/>
  <c r="D224" i="22"/>
  <c r="J224" i="22"/>
  <c r="N224" i="22" s="1"/>
  <c r="U224" i="22" s="1"/>
  <c r="P224" i="22"/>
  <c r="Q224" i="22"/>
  <c r="R224" i="22"/>
  <c r="L225" i="22"/>
  <c r="C225" i="22"/>
  <c r="K225" i="22" s="1"/>
  <c r="E225" i="22"/>
  <c r="F225" i="22"/>
  <c r="O225" i="22" s="1"/>
  <c r="G225" i="22"/>
  <c r="I225" i="22"/>
  <c r="B226" i="22"/>
  <c r="D170" i="22"/>
  <c r="J170" i="22"/>
  <c r="P170" i="22"/>
  <c r="Q170" i="22"/>
  <c r="R170" i="22"/>
  <c r="L171" i="22"/>
  <c r="C171" i="22"/>
  <c r="E171" i="22"/>
  <c r="G171" i="22"/>
  <c r="I171" i="22"/>
  <c r="B172" i="22"/>
  <c r="M116" i="22"/>
  <c r="D116" i="22"/>
  <c r="J116" i="22"/>
  <c r="N116" i="22" s="1"/>
  <c r="U116" i="22" s="1"/>
  <c r="P116" i="22"/>
  <c r="Q116" i="22"/>
  <c r="R116" i="22"/>
  <c r="L117" i="22"/>
  <c r="C117" i="22"/>
  <c r="E117" i="22"/>
  <c r="G117" i="22"/>
  <c r="I117" i="22"/>
  <c r="B118" i="22"/>
  <c r="G103" i="12"/>
  <c r="C104" i="12"/>
  <c r="F53" i="18"/>
  <c r="G53" i="18"/>
  <c r="H53" i="18"/>
  <c r="U53" i="17"/>
  <c r="M105" i="12"/>
  <c r="Q105" i="12" s="1"/>
  <c r="O105" i="12"/>
  <c r="M54" i="17"/>
  <c r="L55" i="17"/>
  <c r="C55" i="17"/>
  <c r="I55" i="17"/>
  <c r="B56" i="17"/>
  <c r="B55" i="18"/>
  <c r="E55" i="17"/>
  <c r="G55" i="17"/>
  <c r="D54" i="17"/>
  <c r="J54" i="17"/>
  <c r="N54" i="17" s="1"/>
  <c r="N106" i="12"/>
  <c r="E106" i="12"/>
  <c r="O54" i="17"/>
  <c r="BE54" i="17"/>
  <c r="BD54" i="17"/>
  <c r="BC54" i="17"/>
  <c r="BB54" i="17"/>
  <c r="BA54" i="17"/>
  <c r="AZ54" i="17"/>
  <c r="AY54" i="17"/>
  <c r="AX54" i="17"/>
  <c r="AW54" i="17"/>
  <c r="AV54" i="17"/>
  <c r="AU54" i="17"/>
  <c r="AT54" i="17"/>
  <c r="AS54" i="17"/>
  <c r="AR54" i="17"/>
  <c r="AQ54" i="17"/>
  <c r="AP54" i="17"/>
  <c r="AO54" i="17"/>
  <c r="AN54" i="17"/>
  <c r="AM54" i="17"/>
  <c r="AL54" i="17"/>
  <c r="AK54" i="17"/>
  <c r="AJ54" i="17"/>
  <c r="AI54" i="17"/>
  <c r="AH54" i="17"/>
  <c r="AG54" i="17"/>
  <c r="AF54" i="17"/>
  <c r="AE54" i="17"/>
  <c r="AD54" i="17"/>
  <c r="AC54" i="17"/>
  <c r="AB54" i="17"/>
  <c r="AA54" i="17"/>
  <c r="Z54" i="17"/>
  <c r="Y54" i="17"/>
  <c r="X54" i="17"/>
  <c r="W54" i="17"/>
  <c r="P54" i="17"/>
  <c r="F54" i="18" s="1"/>
  <c r="Q54" i="17"/>
  <c r="G54" i="18" s="1"/>
  <c r="R54" i="17"/>
  <c r="H54" i="18" s="1"/>
  <c r="V54" i="17"/>
  <c r="BF54" i="17"/>
  <c r="I105" i="8"/>
  <c r="I107" i="8"/>
  <c r="AI730" i="23"/>
  <c r="J79" i="8"/>
  <c r="J105" i="8"/>
  <c r="J107" i="8"/>
  <c r="AH731" i="23"/>
  <c r="K49" i="8"/>
  <c r="AI1627" i="23"/>
  <c r="K104" i="8"/>
  <c r="C139" i="8"/>
  <c r="AD1348" i="23"/>
  <c r="H1362" i="23" s="1"/>
  <c r="C970" i="23"/>
  <c r="C578" i="23"/>
  <c r="AD452" i="23"/>
  <c r="J3691" i="22"/>
  <c r="CL70" i="22" s="1"/>
  <c r="CJ70" i="22"/>
  <c r="J3583" i="22"/>
  <c r="CL68" i="22" s="1"/>
  <c r="CJ68" i="22"/>
  <c r="CJ24" i="22"/>
  <c r="D29" i="7"/>
  <c r="CL24" i="22"/>
  <c r="F29" i="7"/>
  <c r="CJ23" i="22"/>
  <c r="D28" i="7"/>
  <c r="CL23" i="22"/>
  <c r="F28" i="7"/>
  <c r="CL17" i="22"/>
  <c r="F22" i="7"/>
  <c r="CJ17" i="22"/>
  <c r="D22" i="7"/>
  <c r="CL11" i="22"/>
  <c r="F16" i="7"/>
  <c r="CJ11" i="22"/>
  <c r="D16" i="7"/>
  <c r="CL5" i="22"/>
  <c r="F10" i="7"/>
  <c r="CJ5" i="22"/>
  <c r="D10" i="7"/>
  <c r="F9" i="7"/>
  <c r="E57" i="19"/>
  <c r="G57" i="19" s="1"/>
  <c r="CL4" i="22"/>
  <c r="D9" i="7"/>
  <c r="CJ4" i="22"/>
  <c r="G102" i="12"/>
  <c r="AH1628" i="23"/>
  <c r="L103" i="8"/>
  <c r="B140" i="8"/>
  <c r="D140" i="8"/>
  <c r="X1517" i="23"/>
  <c r="D1530" i="23" s="1"/>
  <c r="E1530" i="23" s="1"/>
  <c r="W1517" i="23"/>
  <c r="C1530" i="23" s="1"/>
  <c r="W1461" i="23"/>
  <c r="C1474" i="23" s="1"/>
  <c r="X1461" i="23"/>
  <c r="D1474" i="23" s="1"/>
  <c r="E1474" i="23" s="1"/>
  <c r="X1069" i="23"/>
  <c r="D1082" i="23" s="1"/>
  <c r="E1082" i="23" s="1"/>
  <c r="W1069" i="23"/>
  <c r="W1013" i="23"/>
  <c r="C1026" i="23" s="1"/>
  <c r="X1013" i="23"/>
  <c r="D1026" i="23" s="1"/>
  <c r="E1026" i="23" s="1"/>
  <c r="X901" i="23"/>
  <c r="D914" i="23" s="1"/>
  <c r="E914" i="23" s="1"/>
  <c r="P914" i="23" s="1"/>
  <c r="W901" i="23"/>
  <c r="AH732" i="23"/>
  <c r="L49" i="8"/>
  <c r="X621" i="23"/>
  <c r="D634" i="23" s="1"/>
  <c r="E634" i="23" s="1"/>
  <c r="W621" i="23"/>
  <c r="W565" i="23"/>
  <c r="X565" i="23"/>
  <c r="D578" i="23" s="1"/>
  <c r="E578" i="23" s="1"/>
  <c r="W509" i="23"/>
  <c r="X509" i="23"/>
  <c r="D522" i="23" s="1"/>
  <c r="E522" i="23" s="1"/>
  <c r="X453" i="23"/>
  <c r="D466" i="23" s="1"/>
  <c r="E466" i="23" s="1"/>
  <c r="P466" i="23" s="1"/>
  <c r="W453" i="23"/>
  <c r="U3678" i="22"/>
  <c r="AX70" i="22"/>
  <c r="BJ70" i="22"/>
  <c r="H3529" i="22"/>
  <c r="U3516" i="22"/>
  <c r="AX67" i="22"/>
  <c r="BJ67" i="22"/>
  <c r="H3313" i="22"/>
  <c r="CJ63" i="22" s="1"/>
  <c r="J3313" i="22"/>
  <c r="CL63" i="22" s="1"/>
  <c r="U3300" i="22"/>
  <c r="AX63" i="22"/>
  <c r="BJ63" i="22"/>
  <c r="U3138" i="22"/>
  <c r="AX60" i="22"/>
  <c r="BJ60" i="22"/>
  <c r="J3097" i="22"/>
  <c r="CL59" i="22" s="1"/>
  <c r="H3097" i="22"/>
  <c r="CJ59" i="22" s="1"/>
  <c r="U3084" i="22"/>
  <c r="AX59" i="22"/>
  <c r="BJ59" i="22"/>
  <c r="U2976" i="22"/>
  <c r="AX57" i="22"/>
  <c r="BJ57" i="22"/>
  <c r="H2935" i="22"/>
  <c r="CJ56" i="22" s="1"/>
  <c r="J2935" i="22"/>
  <c r="CL56" i="22" s="1"/>
  <c r="U2922" i="22"/>
  <c r="AX56" i="22"/>
  <c r="BJ56" i="22"/>
  <c r="J2719" i="22"/>
  <c r="CL52" i="22" s="1"/>
  <c r="H2719" i="22"/>
  <c r="CJ52" i="22" s="1"/>
  <c r="U2706" i="22"/>
  <c r="AX52" i="22"/>
  <c r="BJ52" i="22"/>
  <c r="H2665" i="22"/>
  <c r="CJ51" i="22" s="1"/>
  <c r="J2665" i="22"/>
  <c r="CL51" i="22" s="1"/>
  <c r="U2652" i="22"/>
  <c r="AX51" i="22"/>
  <c r="BJ51" i="22"/>
  <c r="J2287" i="22"/>
  <c r="CL44" i="22" s="1"/>
  <c r="H2287" i="22"/>
  <c r="CJ44" i="22" s="1"/>
  <c r="AX44" i="22"/>
  <c r="BJ44" i="22"/>
  <c r="U2274" i="22"/>
  <c r="H1909" i="22"/>
  <c r="CJ37" i="22" s="1"/>
  <c r="J1909" i="22"/>
  <c r="CL37" i="22" s="1"/>
  <c r="U1896" i="22"/>
  <c r="AX37" i="22"/>
  <c r="BJ37" i="22"/>
  <c r="U1572" i="22"/>
  <c r="AX31" i="22"/>
  <c r="BJ31" i="22"/>
  <c r="J1531" i="22"/>
  <c r="CL30" i="22" s="1"/>
  <c r="H1531" i="22"/>
  <c r="CJ30" i="22" s="1"/>
  <c r="U1518" i="22"/>
  <c r="AX30" i="22"/>
  <c r="BJ30" i="22"/>
  <c r="J1261" i="22"/>
  <c r="CL25" i="22" s="1"/>
  <c r="H1261" i="22"/>
  <c r="CJ25" i="22" s="1"/>
  <c r="U1248" i="22"/>
  <c r="AX25" i="22"/>
  <c r="BJ25" i="22"/>
  <c r="CK20" i="22"/>
  <c r="E25" i="7"/>
  <c r="H991" i="22"/>
  <c r="J991" i="22"/>
  <c r="M119" i="7"/>
  <c r="M57" i="7"/>
  <c r="U978" i="22"/>
  <c r="AX20" i="22"/>
  <c r="BJ20" i="22"/>
  <c r="E24" i="7"/>
  <c r="CK19" i="22"/>
  <c r="H937" i="22"/>
  <c r="J937" i="22"/>
  <c r="M118" i="7"/>
  <c r="M56" i="7"/>
  <c r="U924" i="22"/>
  <c r="AX19" i="22"/>
  <c r="BJ19" i="22"/>
  <c r="H883" i="22"/>
  <c r="J883" i="22"/>
  <c r="M117" i="7"/>
  <c r="M55" i="7"/>
  <c r="U870" i="22"/>
  <c r="AX18" i="22"/>
  <c r="BJ18" i="22"/>
  <c r="CK18" i="22"/>
  <c r="E23" i="7"/>
  <c r="E17" i="7"/>
  <c r="CK12" i="22"/>
  <c r="H559" i="22"/>
  <c r="J559" i="22"/>
  <c r="M111" i="7"/>
  <c r="M49" i="7"/>
  <c r="U546" i="22"/>
  <c r="AX12" i="22"/>
  <c r="BJ12" i="22"/>
  <c r="J451" i="22"/>
  <c r="H451" i="22"/>
  <c r="M109" i="7"/>
  <c r="M47" i="7"/>
  <c r="AX10" i="22"/>
  <c r="BJ10" i="22"/>
  <c r="U438" i="22"/>
  <c r="E15" i="7"/>
  <c r="CK10" i="22"/>
  <c r="H289" i="22"/>
  <c r="M106" i="7"/>
  <c r="M44" i="7"/>
  <c r="U276" i="22"/>
  <c r="AX7" i="22"/>
  <c r="BJ7" i="22"/>
  <c r="CK6" i="22"/>
  <c r="E11" i="7"/>
  <c r="H235" i="22"/>
  <c r="J235" i="22"/>
  <c r="M105" i="7"/>
  <c r="M43" i="7"/>
  <c r="U222" i="22"/>
  <c r="AX6" i="22"/>
  <c r="BJ6" i="22"/>
  <c r="M104" i="7"/>
  <c r="M42" i="7"/>
  <c r="U168" i="22"/>
  <c r="AX5" i="22"/>
  <c r="BJ5" i="22"/>
  <c r="AD1629" i="23"/>
  <c r="H1642" i="23" s="1"/>
  <c r="AG1629" i="23"/>
  <c r="I1642" i="23"/>
  <c r="J1642" i="23" s="1"/>
  <c r="C1642" i="23"/>
  <c r="AE1629" i="23"/>
  <c r="P1586" i="23"/>
  <c r="F1586" i="23"/>
  <c r="AE1573" i="23"/>
  <c r="AD1573" i="23"/>
  <c r="M1518" i="23"/>
  <c r="N1518" i="23"/>
  <c r="AE1518" i="23" s="1"/>
  <c r="M1462" i="23"/>
  <c r="N1462" i="23"/>
  <c r="AE1462" i="23" s="1"/>
  <c r="M1406" i="23"/>
  <c r="N1406" i="23"/>
  <c r="AE1406" i="23" s="1"/>
  <c r="AD1349" i="23"/>
  <c r="M1350" i="23"/>
  <c r="N1350" i="23"/>
  <c r="AE1350" i="23" s="1"/>
  <c r="F1306" i="23"/>
  <c r="P1306" i="23"/>
  <c r="AD1293" i="23"/>
  <c r="P1250" i="23"/>
  <c r="F1250" i="23"/>
  <c r="AD1237" i="23"/>
  <c r="F1194" i="23"/>
  <c r="P1194" i="23"/>
  <c r="AD1181" i="23"/>
  <c r="C1138" i="23"/>
  <c r="K1138" i="23" s="1"/>
  <c r="I1138" i="23"/>
  <c r="J1138" i="23" s="1"/>
  <c r="AD1125" i="23"/>
  <c r="H1138" i="23" s="1"/>
  <c r="AE1125" i="23" s="1"/>
  <c r="M1014" i="23"/>
  <c r="N1014" i="23"/>
  <c r="AE1014" i="23" s="1"/>
  <c r="M902" i="23"/>
  <c r="N902" i="23"/>
  <c r="AE902" i="23" s="1"/>
  <c r="F858" i="23"/>
  <c r="P858" i="23"/>
  <c r="AD845" i="23"/>
  <c r="F802" i="23"/>
  <c r="P802" i="23"/>
  <c r="AD789" i="23"/>
  <c r="AD733" i="23"/>
  <c r="H746" i="23" s="1"/>
  <c r="AG733" i="23"/>
  <c r="AE733" i="23"/>
  <c r="AD677" i="23"/>
  <c r="H690" i="23" s="1"/>
  <c r="AE677" i="23" s="1"/>
  <c r="P410" i="23"/>
  <c r="F410" i="23"/>
  <c r="AD397" i="23"/>
  <c r="P354" i="23"/>
  <c r="F354" i="23"/>
  <c r="AD341" i="23"/>
  <c r="P298" i="23"/>
  <c r="F298" i="23"/>
  <c r="C298" i="23"/>
  <c r="AD285" i="23"/>
  <c r="M4711" i="22"/>
  <c r="N4711" i="22"/>
  <c r="M4549" i="22"/>
  <c r="N4549" i="22"/>
  <c r="M3733" i="22"/>
  <c r="N3733" i="22"/>
  <c r="U3733" i="22" s="1"/>
  <c r="N3571" i="22"/>
  <c r="U3571" i="22" s="1"/>
  <c r="M3571" i="22"/>
  <c r="M3409" i="22"/>
  <c r="N3409" i="22"/>
  <c r="U3409" i="22" s="1"/>
  <c r="M3355" i="22"/>
  <c r="N3355" i="22"/>
  <c r="U3355" i="22" s="1"/>
  <c r="M3139" i="22"/>
  <c r="N3139" i="22"/>
  <c r="U3139" i="22" s="1"/>
  <c r="N2923" i="22"/>
  <c r="U2923" i="22" s="1"/>
  <c r="M2923" i="22"/>
  <c r="M2869" i="22"/>
  <c r="N2869" i="22"/>
  <c r="U2869" i="22" s="1"/>
  <c r="M2437" i="22"/>
  <c r="N2437" i="22"/>
  <c r="U2437" i="22" s="1"/>
  <c r="M2383" i="22"/>
  <c r="N2383" i="22"/>
  <c r="U2383" i="22" s="1"/>
  <c r="M2275" i="22"/>
  <c r="N2275" i="22"/>
  <c r="U2275" i="22" s="1"/>
  <c r="M2059" i="22"/>
  <c r="N2059" i="22"/>
  <c r="U2059" i="22" s="1"/>
  <c r="M1951" i="22"/>
  <c r="N1951" i="22"/>
  <c r="U1951" i="22" s="1"/>
  <c r="M1573" i="22"/>
  <c r="N1573" i="22"/>
  <c r="U1573" i="22" s="1"/>
  <c r="M1519" i="22"/>
  <c r="N1519" i="22"/>
  <c r="U1519" i="22" s="1"/>
  <c r="M1465" i="22"/>
  <c r="N1465" i="22"/>
  <c r="U1465" i="22" s="1"/>
  <c r="M1411" i="22"/>
  <c r="N1411" i="22"/>
  <c r="U1411" i="22" s="1"/>
  <c r="CL22" i="22"/>
  <c r="F27" i="7"/>
  <c r="CJ22" i="22"/>
  <c r="D27" i="7"/>
  <c r="F26" i="7"/>
  <c r="CL21" i="22"/>
  <c r="D26" i="7"/>
  <c r="CJ21" i="22"/>
  <c r="N1033" i="22"/>
  <c r="U1033" i="22" s="1"/>
  <c r="M1033" i="22"/>
  <c r="CJ16" i="22"/>
  <c r="D21" i="7"/>
  <c r="CL16" i="22"/>
  <c r="F21" i="7"/>
  <c r="D20" i="7"/>
  <c r="CJ15" i="22"/>
  <c r="F20" i="7"/>
  <c r="CL15" i="22"/>
  <c r="M709" i="22"/>
  <c r="N709" i="22"/>
  <c r="U709" i="22" s="1"/>
  <c r="CL14" i="22"/>
  <c r="F19" i="7"/>
  <c r="CJ14" i="22"/>
  <c r="D19" i="7"/>
  <c r="D18" i="7"/>
  <c r="CJ13" i="22"/>
  <c r="F18" i="7"/>
  <c r="CL13" i="22"/>
  <c r="F14" i="7"/>
  <c r="CL9" i="22"/>
  <c r="D14" i="7"/>
  <c r="CJ9" i="22"/>
  <c r="M385" i="22"/>
  <c r="N385" i="22"/>
  <c r="U385" i="22" s="1"/>
  <c r="F13" i="7"/>
  <c r="CL8" i="22"/>
  <c r="D13" i="7"/>
  <c r="CJ8" i="22"/>
  <c r="M169" i="22"/>
  <c r="N169" i="22"/>
  <c r="U169" i="22" s="1"/>
  <c r="D1418" i="23"/>
  <c r="E1418" i="23" s="1"/>
  <c r="D1362" i="23"/>
  <c r="E1362" i="23" s="1"/>
  <c r="P1362" i="23" s="1"/>
  <c r="D970" i="23"/>
  <c r="E970" i="23" s="1"/>
  <c r="L127" i="7"/>
  <c r="L65" i="7"/>
  <c r="M96" i="7"/>
  <c r="F1463" i="23"/>
  <c r="O1463" i="23" s="1"/>
  <c r="K1463" i="23"/>
  <c r="F1407" i="23"/>
  <c r="O1407" i="23" s="1"/>
  <c r="K1407" i="23"/>
  <c r="F959" i="23"/>
  <c r="O959" i="23" s="1"/>
  <c r="K959" i="23"/>
  <c r="F903" i="23"/>
  <c r="O903" i="23" s="1"/>
  <c r="K903" i="23"/>
  <c r="K679" i="23"/>
  <c r="F679" i="23"/>
  <c r="O679" i="23" s="1"/>
  <c r="F343" i="23"/>
  <c r="O343" i="23" s="1"/>
  <c r="K343" i="23"/>
  <c r="P105" i="12"/>
  <c r="K4712" i="22"/>
  <c r="F4712" i="22"/>
  <c r="D4658" i="22"/>
  <c r="F4658" i="22"/>
  <c r="O4658" i="22" s="1"/>
  <c r="K4604" i="22"/>
  <c r="F4604" i="22"/>
  <c r="K4550" i="22"/>
  <c r="F4550" i="22"/>
  <c r="F4142" i="22"/>
  <c r="O4142" i="22" s="1"/>
  <c r="K4142" i="22"/>
  <c r="F3572" i="22"/>
  <c r="O3572" i="22" s="1"/>
  <c r="K3572" i="22"/>
  <c r="K3410" i="22"/>
  <c r="F3410" i="22"/>
  <c r="O3410" i="22" s="1"/>
  <c r="K3356" i="22"/>
  <c r="F3356" i="22"/>
  <c r="O3356" i="22" s="1"/>
  <c r="F3086" i="22"/>
  <c r="O3086" i="22" s="1"/>
  <c r="K3086" i="22"/>
  <c r="K2978" i="22"/>
  <c r="F2978" i="22"/>
  <c r="O2978" i="22" s="1"/>
  <c r="K2924" i="22"/>
  <c r="F2924" i="22"/>
  <c r="O2924" i="22" s="1"/>
  <c r="K2708" i="22"/>
  <c r="F2708" i="22"/>
  <c r="O2708" i="22" s="1"/>
  <c r="F1952" i="22"/>
  <c r="O1952" i="22" s="1"/>
  <c r="K1952" i="22"/>
  <c r="K1574" i="22"/>
  <c r="F1574" i="22"/>
  <c r="O1574" i="22" s="1"/>
  <c r="K1196" i="22"/>
  <c r="F1196" i="22"/>
  <c r="O1196" i="22" s="1"/>
  <c r="K1034" i="22"/>
  <c r="F1034" i="22"/>
  <c r="O1034" i="22" s="1"/>
  <c r="K548" i="22"/>
  <c r="F548" i="22"/>
  <c r="O548" i="22" s="1"/>
  <c r="K494" i="22"/>
  <c r="F494" i="22"/>
  <c r="O494" i="22" s="1"/>
  <c r="F170" i="22"/>
  <c r="O170" i="22" s="1"/>
  <c r="K170" i="22"/>
  <c r="I1362" i="23"/>
  <c r="J1362" i="23" s="1"/>
  <c r="C1362" i="23"/>
  <c r="K1362" i="23" s="1"/>
  <c r="C746" i="23"/>
  <c r="I746" i="23"/>
  <c r="I690" i="23"/>
  <c r="J690" i="23" s="1"/>
  <c r="C690" i="23"/>
  <c r="K690" i="23" s="1"/>
  <c r="K1576" i="23" l="1"/>
  <c r="F1576" i="23"/>
  <c r="O1576" i="23" s="1"/>
  <c r="K1408" i="23"/>
  <c r="F1408" i="23"/>
  <c r="O1408" i="23" s="1"/>
  <c r="K904" i="23"/>
  <c r="F904" i="23"/>
  <c r="O904" i="23" s="1"/>
  <c r="K848" i="23"/>
  <c r="F848" i="23"/>
  <c r="O848" i="23" s="1"/>
  <c r="K568" i="23"/>
  <c r="F568" i="23"/>
  <c r="O568" i="23" s="1"/>
  <c r="K512" i="23"/>
  <c r="F512" i="23"/>
  <c r="O512" i="23" s="1"/>
  <c r="K4143" i="22"/>
  <c r="F4143" i="22"/>
  <c r="O4143" i="22" s="1"/>
  <c r="K3249" i="22"/>
  <c r="F3249" i="22"/>
  <c r="O3249" i="22" s="1"/>
  <c r="K2925" i="22"/>
  <c r="F2925" i="22"/>
  <c r="O2925" i="22" s="1"/>
  <c r="K2871" i="22"/>
  <c r="F2871" i="22"/>
  <c r="O2871" i="22" s="1"/>
  <c r="K1359" i="22"/>
  <c r="F1359" i="22"/>
  <c r="O1359" i="22" s="1"/>
  <c r="K711" i="22"/>
  <c r="F711" i="22"/>
  <c r="O711" i="22" s="1"/>
  <c r="K55" i="17"/>
  <c r="F55" i="17"/>
  <c r="C55" i="18" s="1"/>
  <c r="E55" i="18" s="1"/>
  <c r="M1632" i="23"/>
  <c r="J1632" i="23"/>
  <c r="N1632" i="23" s="1"/>
  <c r="AE1632" i="23" s="1"/>
  <c r="D1632" i="23"/>
  <c r="P1632" i="23"/>
  <c r="Q1632" i="23"/>
  <c r="R1632" i="23"/>
  <c r="I1633" i="23"/>
  <c r="L1633" i="23"/>
  <c r="C1633" i="23"/>
  <c r="K1633" i="23" s="1"/>
  <c r="E1633" i="23"/>
  <c r="F1633" i="23"/>
  <c r="O1633" i="23" s="1"/>
  <c r="G1633" i="23"/>
  <c r="B1634" i="23"/>
  <c r="M1576" i="23"/>
  <c r="J1576" i="23"/>
  <c r="N1576" i="23" s="1"/>
  <c r="AE1576" i="23" s="1"/>
  <c r="D1576" i="23"/>
  <c r="P1576" i="23"/>
  <c r="Q1576" i="23"/>
  <c r="R1576" i="23"/>
  <c r="L1577" i="23"/>
  <c r="I1577" i="23"/>
  <c r="C1577" i="23"/>
  <c r="K1577" i="23" s="1"/>
  <c r="E1577" i="23"/>
  <c r="F1577" i="23"/>
  <c r="O1577" i="23" s="1"/>
  <c r="G1577" i="23"/>
  <c r="B1578" i="23"/>
  <c r="J1520" i="23"/>
  <c r="D1520" i="23"/>
  <c r="P1520" i="23"/>
  <c r="Q1520" i="23"/>
  <c r="R1520" i="23"/>
  <c r="L1521" i="23"/>
  <c r="I1521" i="23"/>
  <c r="C1521" i="23"/>
  <c r="E1521" i="23"/>
  <c r="G1521" i="23"/>
  <c r="B1522" i="23"/>
  <c r="M1464" i="23"/>
  <c r="J1464" i="23"/>
  <c r="N1464" i="23" s="1"/>
  <c r="AE1464" i="23" s="1"/>
  <c r="D1464" i="23"/>
  <c r="P1464" i="23"/>
  <c r="Q1464" i="23"/>
  <c r="R1464" i="23"/>
  <c r="L1465" i="23"/>
  <c r="I1465" i="23"/>
  <c r="C1465" i="23"/>
  <c r="K1465" i="23" s="1"/>
  <c r="E1465" i="23"/>
  <c r="F1465" i="23"/>
  <c r="O1465" i="23" s="1"/>
  <c r="G1465" i="23"/>
  <c r="B1466" i="23"/>
  <c r="M1408" i="23"/>
  <c r="J1408" i="23"/>
  <c r="N1408" i="23" s="1"/>
  <c r="AE1408" i="23" s="1"/>
  <c r="D1408" i="23"/>
  <c r="P1408" i="23"/>
  <c r="Q1408" i="23"/>
  <c r="R1408" i="23"/>
  <c r="L1409" i="23"/>
  <c r="I1409" i="23"/>
  <c r="C1409" i="23"/>
  <c r="K1409" i="23" s="1"/>
  <c r="E1409" i="23"/>
  <c r="F1409" i="23"/>
  <c r="O1409" i="23" s="1"/>
  <c r="G1409" i="23"/>
  <c r="B1410" i="23"/>
  <c r="J1352" i="23"/>
  <c r="D1352" i="23"/>
  <c r="P1352" i="23"/>
  <c r="Q1352" i="23"/>
  <c r="R1352" i="23"/>
  <c r="L1353" i="23"/>
  <c r="I1353" i="23"/>
  <c r="B1354" i="23"/>
  <c r="C1353" i="23"/>
  <c r="E1353" i="23"/>
  <c r="G1353" i="23"/>
  <c r="M1296" i="23"/>
  <c r="J1296" i="23"/>
  <c r="N1296" i="23" s="1"/>
  <c r="AE1296" i="23" s="1"/>
  <c r="D1296" i="23"/>
  <c r="P1296" i="23"/>
  <c r="Q1296" i="23"/>
  <c r="R1296" i="23"/>
  <c r="L1297" i="23"/>
  <c r="I1297" i="23"/>
  <c r="C1297" i="23"/>
  <c r="K1297" i="23" s="1"/>
  <c r="E1297" i="23"/>
  <c r="F1297" i="23"/>
  <c r="O1297" i="23" s="1"/>
  <c r="G1297" i="23"/>
  <c r="B1298" i="23"/>
  <c r="M1240" i="23"/>
  <c r="J1240" i="23"/>
  <c r="N1240" i="23" s="1"/>
  <c r="AE1240" i="23" s="1"/>
  <c r="D1240" i="23"/>
  <c r="P1240" i="23"/>
  <c r="Q1240" i="23"/>
  <c r="R1240" i="23"/>
  <c r="L1241" i="23"/>
  <c r="I1241" i="23"/>
  <c r="C1241" i="23"/>
  <c r="K1241" i="23" s="1"/>
  <c r="E1241" i="23"/>
  <c r="F1241" i="23"/>
  <c r="O1241" i="23" s="1"/>
  <c r="G1241" i="23"/>
  <c r="B1242" i="23"/>
  <c r="J1184" i="23"/>
  <c r="D1184" i="23"/>
  <c r="P1184" i="23"/>
  <c r="Q1184" i="23"/>
  <c r="R1184" i="23"/>
  <c r="L1185" i="23"/>
  <c r="I1185" i="23"/>
  <c r="C1185" i="23"/>
  <c r="K1185" i="23" s="1"/>
  <c r="E1185" i="23"/>
  <c r="F1185" i="23"/>
  <c r="O1185" i="23" s="1"/>
  <c r="G1185" i="23"/>
  <c r="B1186" i="23"/>
  <c r="M1128" i="23"/>
  <c r="J1128" i="23"/>
  <c r="N1128" i="23" s="1"/>
  <c r="AE1128" i="23" s="1"/>
  <c r="D1128" i="23"/>
  <c r="P1128" i="23"/>
  <c r="Q1128" i="23"/>
  <c r="R1128" i="23"/>
  <c r="L1129" i="23"/>
  <c r="I1129" i="23"/>
  <c r="C1129" i="23"/>
  <c r="K1129" i="23" s="1"/>
  <c r="E1129" i="23"/>
  <c r="F1129" i="23"/>
  <c r="O1129" i="23" s="1"/>
  <c r="G1129" i="23"/>
  <c r="B1130" i="23"/>
  <c r="M1072" i="23"/>
  <c r="J1072" i="23"/>
  <c r="N1072" i="23" s="1"/>
  <c r="AE1072" i="23" s="1"/>
  <c r="D1072" i="23"/>
  <c r="P1072" i="23"/>
  <c r="Q1072" i="23"/>
  <c r="R1072" i="23"/>
  <c r="L1073" i="23"/>
  <c r="I1073" i="23"/>
  <c r="C1073" i="23"/>
  <c r="K1073" i="23" s="1"/>
  <c r="E1073" i="23"/>
  <c r="F1073" i="23"/>
  <c r="O1073" i="23" s="1"/>
  <c r="G1073" i="23"/>
  <c r="B1074" i="23"/>
  <c r="M1016" i="23"/>
  <c r="J1016" i="23"/>
  <c r="N1016" i="23" s="1"/>
  <c r="AE1016" i="23" s="1"/>
  <c r="D1016" i="23"/>
  <c r="P1016" i="23"/>
  <c r="Q1016" i="23"/>
  <c r="R1016" i="23"/>
  <c r="L1017" i="23"/>
  <c r="I1017" i="23"/>
  <c r="C1017" i="23"/>
  <c r="E1017" i="23"/>
  <c r="G1017" i="23"/>
  <c r="B1018" i="23"/>
  <c r="M960" i="23"/>
  <c r="J960" i="23"/>
  <c r="N960" i="23" s="1"/>
  <c r="AE960" i="23" s="1"/>
  <c r="D960" i="23"/>
  <c r="P960" i="23"/>
  <c r="Q960" i="23"/>
  <c r="R960" i="23"/>
  <c r="L961" i="23"/>
  <c r="I961" i="23"/>
  <c r="C961" i="23"/>
  <c r="E961" i="23"/>
  <c r="G961" i="23"/>
  <c r="B962" i="23"/>
  <c r="M904" i="23"/>
  <c r="J904" i="23"/>
  <c r="N904" i="23" s="1"/>
  <c r="AE904" i="23" s="1"/>
  <c r="D904" i="23"/>
  <c r="P904" i="23"/>
  <c r="Q904" i="23"/>
  <c r="R904" i="23"/>
  <c r="L905" i="23"/>
  <c r="I905" i="23"/>
  <c r="C905" i="23"/>
  <c r="E905" i="23"/>
  <c r="G905" i="23"/>
  <c r="B906" i="23"/>
  <c r="M848" i="23"/>
  <c r="J848" i="23"/>
  <c r="N848" i="23" s="1"/>
  <c r="AE848" i="23" s="1"/>
  <c r="D848" i="23"/>
  <c r="P848" i="23"/>
  <c r="Q848" i="23"/>
  <c r="R848" i="23"/>
  <c r="L849" i="23"/>
  <c r="I849" i="23"/>
  <c r="C849" i="23"/>
  <c r="K849" i="23" s="1"/>
  <c r="E849" i="23"/>
  <c r="F849" i="23"/>
  <c r="O849" i="23" s="1"/>
  <c r="G849" i="23"/>
  <c r="B850" i="23"/>
  <c r="J792" i="23"/>
  <c r="D792" i="23"/>
  <c r="P792" i="23"/>
  <c r="Q792" i="23"/>
  <c r="R792" i="23"/>
  <c r="L793" i="23"/>
  <c r="I793" i="23"/>
  <c r="C793" i="23"/>
  <c r="K793" i="23" s="1"/>
  <c r="E793" i="23"/>
  <c r="F793" i="23"/>
  <c r="O793" i="23" s="1"/>
  <c r="G793" i="23"/>
  <c r="B794" i="23"/>
  <c r="M736" i="23"/>
  <c r="J736" i="23"/>
  <c r="N736" i="23" s="1"/>
  <c r="AE736" i="23" s="1"/>
  <c r="D736" i="23"/>
  <c r="P736" i="23"/>
  <c r="Q736" i="23"/>
  <c r="R736" i="23"/>
  <c r="L737" i="23"/>
  <c r="I737" i="23"/>
  <c r="C737" i="23"/>
  <c r="K737" i="23" s="1"/>
  <c r="E737" i="23"/>
  <c r="F737" i="23"/>
  <c r="O737" i="23" s="1"/>
  <c r="G737" i="23"/>
  <c r="B738" i="23"/>
  <c r="M680" i="23"/>
  <c r="J680" i="23"/>
  <c r="N680" i="23" s="1"/>
  <c r="AE680" i="23" s="1"/>
  <c r="D680" i="23"/>
  <c r="P680" i="23"/>
  <c r="Q680" i="23"/>
  <c r="R680" i="23"/>
  <c r="L681" i="23"/>
  <c r="I681" i="23"/>
  <c r="C681" i="23"/>
  <c r="K681" i="23" s="1"/>
  <c r="E681" i="23"/>
  <c r="F681" i="23"/>
  <c r="O681" i="23" s="1"/>
  <c r="G681" i="23"/>
  <c r="B682" i="23"/>
  <c r="M624" i="23"/>
  <c r="J624" i="23"/>
  <c r="N624" i="23" s="1"/>
  <c r="AE624" i="23" s="1"/>
  <c r="D624" i="23"/>
  <c r="P624" i="23"/>
  <c r="Q624" i="23"/>
  <c r="R624" i="23"/>
  <c r="L625" i="23"/>
  <c r="I625" i="23"/>
  <c r="C625" i="23"/>
  <c r="K625" i="23" s="1"/>
  <c r="E625" i="23"/>
  <c r="F625" i="23"/>
  <c r="O625" i="23" s="1"/>
  <c r="G625" i="23"/>
  <c r="B626" i="23"/>
  <c r="M568" i="23"/>
  <c r="J568" i="23"/>
  <c r="N568" i="23" s="1"/>
  <c r="AE568" i="23" s="1"/>
  <c r="D568" i="23"/>
  <c r="P568" i="23"/>
  <c r="Q568" i="23"/>
  <c r="R568" i="23"/>
  <c r="L569" i="23"/>
  <c r="I569" i="23"/>
  <c r="C569" i="23"/>
  <c r="K569" i="23" s="1"/>
  <c r="E569" i="23"/>
  <c r="F569" i="23"/>
  <c r="O569" i="23" s="1"/>
  <c r="G569" i="23"/>
  <c r="B570" i="23"/>
  <c r="M512" i="23"/>
  <c r="J512" i="23"/>
  <c r="N512" i="23" s="1"/>
  <c r="AE512" i="23" s="1"/>
  <c r="D512" i="23"/>
  <c r="P512" i="23"/>
  <c r="Q512" i="23"/>
  <c r="R512" i="23"/>
  <c r="L513" i="23"/>
  <c r="I513" i="23"/>
  <c r="C513" i="23"/>
  <c r="K513" i="23" s="1"/>
  <c r="E513" i="23"/>
  <c r="F513" i="23"/>
  <c r="O513" i="23" s="1"/>
  <c r="G513" i="23"/>
  <c r="B514" i="23"/>
  <c r="J456" i="23"/>
  <c r="D456" i="23"/>
  <c r="P456" i="23"/>
  <c r="Q456" i="23"/>
  <c r="R456" i="23"/>
  <c r="L457" i="23"/>
  <c r="I457" i="23"/>
  <c r="C457" i="23"/>
  <c r="K457" i="23" s="1"/>
  <c r="E457" i="23"/>
  <c r="G457" i="23"/>
  <c r="F457" i="23"/>
  <c r="O457" i="23" s="1"/>
  <c r="B458" i="23"/>
  <c r="M400" i="23"/>
  <c r="J400" i="23"/>
  <c r="N400" i="23" s="1"/>
  <c r="AE400" i="23" s="1"/>
  <c r="D400" i="23"/>
  <c r="P400" i="23"/>
  <c r="Q400" i="23"/>
  <c r="R400" i="23"/>
  <c r="L401" i="23"/>
  <c r="I401" i="23"/>
  <c r="C401" i="23"/>
  <c r="K401" i="23" s="1"/>
  <c r="E401" i="23"/>
  <c r="F401" i="23"/>
  <c r="O401" i="23" s="1"/>
  <c r="G401" i="23"/>
  <c r="B402" i="23"/>
  <c r="M344" i="23"/>
  <c r="J344" i="23"/>
  <c r="N344" i="23" s="1"/>
  <c r="AE344" i="23" s="1"/>
  <c r="D344" i="23"/>
  <c r="P344" i="23"/>
  <c r="Q344" i="23"/>
  <c r="R344" i="23"/>
  <c r="L345" i="23"/>
  <c r="I345" i="23"/>
  <c r="C345" i="23"/>
  <c r="K345" i="23" s="1"/>
  <c r="E345" i="23"/>
  <c r="F345" i="23"/>
  <c r="O345" i="23" s="1"/>
  <c r="G345" i="23"/>
  <c r="B346" i="23"/>
  <c r="M288" i="23"/>
  <c r="J288" i="23"/>
  <c r="N288" i="23" s="1"/>
  <c r="AE288" i="23" s="1"/>
  <c r="D288" i="23"/>
  <c r="P288" i="23"/>
  <c r="Q288" i="23"/>
  <c r="R288" i="23"/>
  <c r="L289" i="23"/>
  <c r="I289" i="23"/>
  <c r="C289" i="23"/>
  <c r="K289" i="23" s="1"/>
  <c r="E289" i="23"/>
  <c r="F289" i="23"/>
  <c r="O289" i="23" s="1"/>
  <c r="G289" i="23"/>
  <c r="B290" i="23"/>
  <c r="D4767" i="22"/>
  <c r="J4767" i="22"/>
  <c r="N4767" i="22" s="1"/>
  <c r="P4767" i="22"/>
  <c r="R4767" i="22"/>
  <c r="Q4767" i="22"/>
  <c r="M4767" i="22"/>
  <c r="C4768" i="22"/>
  <c r="E4768" i="22"/>
  <c r="G4768" i="22"/>
  <c r="I4768" i="22"/>
  <c r="L4768" i="22"/>
  <c r="B4769" i="22"/>
  <c r="T4711" i="22"/>
  <c r="S4712" i="22"/>
  <c r="T4712" i="22" s="1"/>
  <c r="U4712" i="22"/>
  <c r="M4713" i="22"/>
  <c r="D4713" i="22"/>
  <c r="J4713" i="22"/>
  <c r="N4713" i="22" s="1"/>
  <c r="P4713" i="22"/>
  <c r="Q4713" i="22"/>
  <c r="R4713" i="22"/>
  <c r="L4714" i="22"/>
  <c r="C4714" i="22"/>
  <c r="K4714" i="22" s="1"/>
  <c r="E4714" i="22"/>
  <c r="F4714" i="22"/>
  <c r="G4714" i="22"/>
  <c r="I4714" i="22"/>
  <c r="B4715" i="22"/>
  <c r="P4659" i="22"/>
  <c r="Q4659" i="22"/>
  <c r="R4659" i="22"/>
  <c r="C4660" i="22"/>
  <c r="D4660" i="22" s="1"/>
  <c r="E4660" i="22"/>
  <c r="F4660" i="22"/>
  <c r="O4660" i="22" s="1"/>
  <c r="G4660" i="22"/>
  <c r="B4661" i="22"/>
  <c r="M4605" i="22"/>
  <c r="J4605" i="22"/>
  <c r="N4605" i="22" s="1"/>
  <c r="D4605" i="22"/>
  <c r="P4605" i="22"/>
  <c r="Q4605" i="22"/>
  <c r="R4605" i="22"/>
  <c r="I4606" i="22"/>
  <c r="L4606" i="22"/>
  <c r="C4606" i="22"/>
  <c r="K4606" i="22" s="1"/>
  <c r="E4606" i="22"/>
  <c r="F4606" i="22"/>
  <c r="G4606" i="22"/>
  <c r="B4607" i="22"/>
  <c r="M4551" i="22"/>
  <c r="D4551" i="22"/>
  <c r="J4551" i="22"/>
  <c r="N4551" i="22" s="1"/>
  <c r="P4551" i="22"/>
  <c r="Q4551" i="22"/>
  <c r="R4551" i="22"/>
  <c r="L4552" i="22"/>
  <c r="C4552" i="22"/>
  <c r="E4552" i="22"/>
  <c r="G4552" i="22"/>
  <c r="I4552" i="22"/>
  <c r="B4553" i="22"/>
  <c r="D4251" i="22"/>
  <c r="J4251" i="22"/>
  <c r="N4251" i="22" s="1"/>
  <c r="U4251" i="22" s="1"/>
  <c r="P4251" i="22"/>
  <c r="Q4251" i="22"/>
  <c r="R4251" i="22"/>
  <c r="M4251" i="22"/>
  <c r="C4252" i="22"/>
  <c r="E4252" i="22"/>
  <c r="F4252" i="22"/>
  <c r="O4252" i="22" s="1"/>
  <c r="G4252" i="22"/>
  <c r="I4252" i="22"/>
  <c r="K4252" i="22"/>
  <c r="L4252" i="22"/>
  <c r="B4253" i="22"/>
  <c r="M4197" i="22"/>
  <c r="D4197" i="22"/>
  <c r="J4197" i="22"/>
  <c r="N4197" i="22" s="1"/>
  <c r="U4197" i="22" s="1"/>
  <c r="P4197" i="22"/>
  <c r="Q4197" i="22"/>
  <c r="R4197" i="22"/>
  <c r="L4198" i="22"/>
  <c r="C4198" i="22"/>
  <c r="E4198" i="22"/>
  <c r="G4198" i="22"/>
  <c r="I4198" i="22"/>
  <c r="B4199" i="22"/>
  <c r="M4143" i="22"/>
  <c r="D4143" i="22"/>
  <c r="J4143" i="22"/>
  <c r="N4143" i="22" s="1"/>
  <c r="U4143" i="22" s="1"/>
  <c r="P4143" i="22"/>
  <c r="Q4143" i="22"/>
  <c r="R4143" i="22"/>
  <c r="L4144" i="22"/>
  <c r="C4144" i="22"/>
  <c r="E4144" i="22"/>
  <c r="G4144" i="22"/>
  <c r="I4144" i="22"/>
  <c r="B4145" i="22"/>
  <c r="M4089" i="22"/>
  <c r="D4089" i="22"/>
  <c r="J4089" i="22"/>
  <c r="N4089" i="22" s="1"/>
  <c r="U4089" i="22" s="1"/>
  <c r="P4089" i="22"/>
  <c r="Q4089" i="22"/>
  <c r="R4089" i="22"/>
  <c r="L4090" i="22"/>
  <c r="C4090" i="22"/>
  <c r="K4090" i="22" s="1"/>
  <c r="E4090" i="22"/>
  <c r="F4090" i="22"/>
  <c r="O4090" i="22" s="1"/>
  <c r="G4090" i="22"/>
  <c r="I4090" i="22"/>
  <c r="B4091" i="22"/>
  <c r="M3789" i="22"/>
  <c r="D3789" i="22"/>
  <c r="J3789" i="22"/>
  <c r="N3789" i="22" s="1"/>
  <c r="U3789" i="22" s="1"/>
  <c r="P3789" i="22"/>
  <c r="Q3789" i="22"/>
  <c r="R3789" i="22"/>
  <c r="L3790" i="22"/>
  <c r="C3790" i="22"/>
  <c r="K3790" i="22" s="1"/>
  <c r="E3790" i="22"/>
  <c r="F3790" i="22"/>
  <c r="O3790" i="22" s="1"/>
  <c r="G3790" i="22"/>
  <c r="I3790" i="22"/>
  <c r="B3791" i="22"/>
  <c r="M3735" i="22"/>
  <c r="D3735" i="22"/>
  <c r="J3735" i="22"/>
  <c r="N3735" i="22" s="1"/>
  <c r="U3735" i="22" s="1"/>
  <c r="P3735" i="22"/>
  <c r="Q3735" i="22"/>
  <c r="R3735" i="22"/>
  <c r="L3736" i="22"/>
  <c r="C3736" i="22"/>
  <c r="K3736" i="22" s="1"/>
  <c r="E3736" i="22"/>
  <c r="F3736" i="22"/>
  <c r="O3736" i="22" s="1"/>
  <c r="G3736" i="22"/>
  <c r="I3736" i="22"/>
  <c r="B3737" i="22"/>
  <c r="M3681" i="22"/>
  <c r="D3681" i="22"/>
  <c r="J3681" i="22"/>
  <c r="N3681" i="22" s="1"/>
  <c r="U3681" i="22" s="1"/>
  <c r="P3681" i="22"/>
  <c r="Q3681" i="22"/>
  <c r="R3681" i="22"/>
  <c r="L3682" i="22"/>
  <c r="C3682" i="22"/>
  <c r="K3682" i="22" s="1"/>
  <c r="E3682" i="22"/>
  <c r="F3682" i="22"/>
  <c r="O3682" i="22" s="1"/>
  <c r="G3682" i="22"/>
  <c r="I3682" i="22"/>
  <c r="B3683" i="22"/>
  <c r="M3627" i="22"/>
  <c r="D3627" i="22"/>
  <c r="J3627" i="22"/>
  <c r="N3627" i="22" s="1"/>
  <c r="U3627" i="22" s="1"/>
  <c r="P3627" i="22"/>
  <c r="Q3627" i="22"/>
  <c r="R3627" i="22"/>
  <c r="L3628" i="22"/>
  <c r="C3628" i="22"/>
  <c r="K3628" i="22" s="1"/>
  <c r="E3628" i="22"/>
  <c r="F3628" i="22"/>
  <c r="O3628" i="22" s="1"/>
  <c r="G3628" i="22"/>
  <c r="I3628" i="22"/>
  <c r="B3629" i="22"/>
  <c r="M3573" i="22"/>
  <c r="D3573" i="22"/>
  <c r="J3573" i="22"/>
  <c r="N3573" i="22" s="1"/>
  <c r="U3573" i="22" s="1"/>
  <c r="P3573" i="22"/>
  <c r="Q3573" i="22"/>
  <c r="R3573" i="22"/>
  <c r="L3574" i="22"/>
  <c r="E3574" i="22"/>
  <c r="G3574" i="22"/>
  <c r="B3575" i="22"/>
  <c r="C3574" i="22"/>
  <c r="I3574" i="22"/>
  <c r="P3519" i="22"/>
  <c r="Q3519" i="22"/>
  <c r="R3519" i="22"/>
  <c r="D3519" i="22"/>
  <c r="J3519" i="22"/>
  <c r="L3520" i="22"/>
  <c r="G3520" i="22"/>
  <c r="C3520" i="22"/>
  <c r="E3520" i="22"/>
  <c r="I3520" i="22"/>
  <c r="B3521" i="22"/>
  <c r="D3465" i="22"/>
  <c r="J3465" i="22"/>
  <c r="P3465" i="22"/>
  <c r="Q3465" i="22"/>
  <c r="R3465" i="22"/>
  <c r="L3466" i="22"/>
  <c r="C3466" i="22"/>
  <c r="K3466" i="22" s="1"/>
  <c r="E3466" i="22"/>
  <c r="F3466" i="22"/>
  <c r="O3466" i="22" s="1"/>
  <c r="G3466" i="22"/>
  <c r="I3466" i="22"/>
  <c r="B3467" i="22"/>
  <c r="D3411" i="22"/>
  <c r="J3411" i="22"/>
  <c r="P3411" i="22"/>
  <c r="Q3411" i="22"/>
  <c r="R3411" i="22"/>
  <c r="L3412" i="22"/>
  <c r="C3412" i="22"/>
  <c r="E3412" i="22"/>
  <c r="G3412" i="22"/>
  <c r="I3412" i="22"/>
  <c r="B3413" i="22"/>
  <c r="M3357" i="22"/>
  <c r="D3357" i="22"/>
  <c r="J3357" i="22"/>
  <c r="N3357" i="22" s="1"/>
  <c r="U3357" i="22" s="1"/>
  <c r="P3357" i="22"/>
  <c r="Q3357" i="22"/>
  <c r="R3357" i="22"/>
  <c r="L3358" i="22"/>
  <c r="C3358" i="22"/>
  <c r="E3358" i="22"/>
  <c r="G3358" i="22"/>
  <c r="I3358" i="22"/>
  <c r="B3359" i="22"/>
  <c r="M3303" i="22"/>
  <c r="D3303" i="22"/>
  <c r="J3303" i="22"/>
  <c r="N3303" i="22" s="1"/>
  <c r="U3303" i="22" s="1"/>
  <c r="P3303" i="22"/>
  <c r="Q3303" i="22"/>
  <c r="R3303" i="22"/>
  <c r="L3304" i="22"/>
  <c r="C3304" i="22"/>
  <c r="E3304" i="22"/>
  <c r="G3304" i="22"/>
  <c r="I3304" i="22"/>
  <c r="B3305" i="22"/>
  <c r="M3249" i="22"/>
  <c r="D3249" i="22"/>
  <c r="J3249" i="22"/>
  <c r="N3249" i="22" s="1"/>
  <c r="U3249" i="22" s="1"/>
  <c r="P3249" i="22"/>
  <c r="Q3249" i="22"/>
  <c r="R3249" i="22"/>
  <c r="L3250" i="22"/>
  <c r="C3250" i="22"/>
  <c r="K3250" i="22" s="1"/>
  <c r="E3250" i="22"/>
  <c r="F3250" i="22"/>
  <c r="O3250" i="22" s="1"/>
  <c r="G3250" i="22"/>
  <c r="I3250" i="22"/>
  <c r="B3251" i="22"/>
  <c r="M3195" i="22"/>
  <c r="D3195" i="22"/>
  <c r="J3195" i="22"/>
  <c r="N3195" i="22" s="1"/>
  <c r="U3195" i="22" s="1"/>
  <c r="P3195" i="22"/>
  <c r="Q3195" i="22"/>
  <c r="R3195" i="22"/>
  <c r="L3196" i="22"/>
  <c r="C3196" i="22"/>
  <c r="K3196" i="22" s="1"/>
  <c r="E3196" i="22"/>
  <c r="F3196" i="22"/>
  <c r="O3196" i="22" s="1"/>
  <c r="G3196" i="22"/>
  <c r="I3196" i="22"/>
  <c r="B3197" i="22"/>
  <c r="D3141" i="22"/>
  <c r="J3141" i="22"/>
  <c r="P3141" i="22"/>
  <c r="Q3141" i="22"/>
  <c r="R3141" i="22"/>
  <c r="L3142" i="22"/>
  <c r="G3142" i="22"/>
  <c r="I3142" i="22"/>
  <c r="C3142" i="22"/>
  <c r="E3142" i="22"/>
  <c r="B3143" i="22"/>
  <c r="L3088" i="22"/>
  <c r="E3088" i="22"/>
  <c r="G3088" i="22"/>
  <c r="C3088" i="22"/>
  <c r="K3088" i="22" s="1"/>
  <c r="F3088" i="22"/>
  <c r="O3088" i="22" s="1"/>
  <c r="I3088" i="22"/>
  <c r="B3089" i="22"/>
  <c r="J3087" i="22"/>
  <c r="D3087" i="22"/>
  <c r="P3087" i="22"/>
  <c r="Q3087" i="22"/>
  <c r="R3087" i="22"/>
  <c r="M3033" i="22"/>
  <c r="D3033" i="22"/>
  <c r="J3033" i="22"/>
  <c r="N3033" i="22" s="1"/>
  <c r="U3033" i="22" s="1"/>
  <c r="P3033" i="22"/>
  <c r="Q3033" i="22"/>
  <c r="R3033" i="22"/>
  <c r="L3034" i="22"/>
  <c r="I3034" i="22"/>
  <c r="B3035" i="22"/>
  <c r="C3034" i="22"/>
  <c r="E3034" i="22"/>
  <c r="G3034" i="22"/>
  <c r="M2979" i="22"/>
  <c r="P2979" i="22"/>
  <c r="Q2979" i="22"/>
  <c r="R2979" i="22"/>
  <c r="L2980" i="22"/>
  <c r="E2980" i="22"/>
  <c r="B2981" i="22"/>
  <c r="C2980" i="22"/>
  <c r="G2980" i="22"/>
  <c r="I2980" i="22"/>
  <c r="J2979" i="22"/>
  <c r="N2979" i="22" s="1"/>
  <c r="U2979" i="22" s="1"/>
  <c r="D2979" i="22"/>
  <c r="M2925" i="22"/>
  <c r="L2926" i="22"/>
  <c r="B2927" i="22"/>
  <c r="C2926" i="22"/>
  <c r="E2926" i="22"/>
  <c r="G2926" i="22"/>
  <c r="I2926" i="22"/>
  <c r="D2925" i="22"/>
  <c r="J2925" i="22"/>
  <c r="N2925" i="22" s="1"/>
  <c r="U2925" i="22" s="1"/>
  <c r="P2925" i="22"/>
  <c r="Q2925" i="22"/>
  <c r="R2925" i="22"/>
  <c r="M2871" i="22"/>
  <c r="D2871" i="22"/>
  <c r="J2871" i="22"/>
  <c r="N2871" i="22" s="1"/>
  <c r="U2871" i="22" s="1"/>
  <c r="P2871" i="22"/>
  <c r="Q2871" i="22"/>
  <c r="R2871" i="22"/>
  <c r="L2872" i="22"/>
  <c r="C2872" i="22"/>
  <c r="K2872" i="22" s="1"/>
  <c r="E2872" i="22"/>
  <c r="F2872" i="22"/>
  <c r="O2872" i="22" s="1"/>
  <c r="G2872" i="22"/>
  <c r="I2872" i="22"/>
  <c r="B2873" i="22"/>
  <c r="M2817" i="22"/>
  <c r="D2817" i="22"/>
  <c r="J2817" i="22"/>
  <c r="N2817" i="22" s="1"/>
  <c r="S2817" i="22" s="1"/>
  <c r="P2817" i="22"/>
  <c r="Q2817" i="22"/>
  <c r="R2817" i="22"/>
  <c r="T2817" i="22"/>
  <c r="U2817" i="22" s="1"/>
  <c r="L2818" i="22"/>
  <c r="C2818" i="22"/>
  <c r="E2818" i="22"/>
  <c r="G2818" i="22"/>
  <c r="I2818" i="22"/>
  <c r="B2819" i="22"/>
  <c r="M2763" i="22"/>
  <c r="D2763" i="22"/>
  <c r="J2763" i="22"/>
  <c r="N2763" i="22" s="1"/>
  <c r="U2763" i="22" s="1"/>
  <c r="P2763" i="22"/>
  <c r="Q2763" i="22"/>
  <c r="R2763" i="22"/>
  <c r="L2764" i="22"/>
  <c r="C2764" i="22"/>
  <c r="E2764" i="22"/>
  <c r="G2764" i="22"/>
  <c r="I2764" i="22"/>
  <c r="B2765" i="22"/>
  <c r="M2709" i="22"/>
  <c r="D2709" i="22"/>
  <c r="J2709" i="22"/>
  <c r="N2709" i="22" s="1"/>
  <c r="U2709" i="22" s="1"/>
  <c r="P2709" i="22"/>
  <c r="Q2709" i="22"/>
  <c r="R2709" i="22"/>
  <c r="L2710" i="22"/>
  <c r="C2710" i="22"/>
  <c r="K2710" i="22" s="1"/>
  <c r="E2710" i="22"/>
  <c r="F2710" i="22"/>
  <c r="O2710" i="22" s="1"/>
  <c r="G2710" i="22"/>
  <c r="I2710" i="22"/>
  <c r="B2711" i="22"/>
  <c r="D2655" i="22"/>
  <c r="J2655" i="22"/>
  <c r="P2655" i="22"/>
  <c r="Q2655" i="22"/>
  <c r="R2655" i="22"/>
  <c r="L2656" i="22"/>
  <c r="C2656" i="22"/>
  <c r="E2656" i="22"/>
  <c r="G2656" i="22"/>
  <c r="I2656" i="22"/>
  <c r="B2657" i="22"/>
  <c r="D2601" i="22"/>
  <c r="J2601" i="22"/>
  <c r="L2602" i="22"/>
  <c r="I2602" i="22"/>
  <c r="E2602" i="22"/>
  <c r="C2602" i="22"/>
  <c r="K2602" i="22" s="1"/>
  <c r="B2603" i="22"/>
  <c r="G2602" i="22"/>
  <c r="F2602" i="22"/>
  <c r="O2602" i="22" s="1"/>
  <c r="P2601" i="22"/>
  <c r="Q2601" i="22"/>
  <c r="R2601" i="22"/>
  <c r="M2547" i="22"/>
  <c r="D2547" i="22"/>
  <c r="J2547" i="22"/>
  <c r="N2547" i="22" s="1"/>
  <c r="U2547" i="22" s="1"/>
  <c r="P2547" i="22"/>
  <c r="Q2547" i="22"/>
  <c r="R2547" i="22"/>
  <c r="L2548" i="22"/>
  <c r="C2548" i="22"/>
  <c r="K2548" i="22" s="1"/>
  <c r="E2548" i="22"/>
  <c r="F2548" i="22"/>
  <c r="O2548" i="22" s="1"/>
  <c r="G2548" i="22"/>
  <c r="I2548" i="22"/>
  <c r="B2549" i="22"/>
  <c r="M2493" i="22"/>
  <c r="D2493" i="22"/>
  <c r="J2493" i="22"/>
  <c r="N2493" i="22" s="1"/>
  <c r="U2493" i="22" s="1"/>
  <c r="P2493" i="22"/>
  <c r="Q2493" i="22"/>
  <c r="R2493" i="22"/>
  <c r="L2494" i="22"/>
  <c r="C2494" i="22"/>
  <c r="K2494" i="22" s="1"/>
  <c r="E2494" i="22"/>
  <c r="F2494" i="22"/>
  <c r="O2494" i="22" s="1"/>
  <c r="G2494" i="22"/>
  <c r="I2494" i="22"/>
  <c r="B2495" i="22"/>
  <c r="M2439" i="22"/>
  <c r="D2439" i="22"/>
  <c r="J2439" i="22"/>
  <c r="N2439" i="22" s="1"/>
  <c r="U2439" i="22" s="1"/>
  <c r="P2439" i="22"/>
  <c r="Q2439" i="22"/>
  <c r="R2439" i="22"/>
  <c r="L2440" i="22"/>
  <c r="C2440" i="22"/>
  <c r="E2440" i="22"/>
  <c r="G2440" i="22"/>
  <c r="I2440" i="22"/>
  <c r="B2441" i="22"/>
  <c r="M2385" i="22"/>
  <c r="D2385" i="22"/>
  <c r="J2385" i="22"/>
  <c r="N2385" i="22" s="1"/>
  <c r="U2385" i="22" s="1"/>
  <c r="P2385" i="22"/>
  <c r="Q2385" i="22"/>
  <c r="R2385" i="22"/>
  <c r="L2386" i="22"/>
  <c r="C2386" i="22"/>
  <c r="E2386" i="22"/>
  <c r="G2386" i="22"/>
  <c r="I2386" i="22"/>
  <c r="B2387" i="22"/>
  <c r="M2331" i="22"/>
  <c r="D2331" i="22"/>
  <c r="J2331" i="22"/>
  <c r="N2331" i="22" s="1"/>
  <c r="U2331" i="22" s="1"/>
  <c r="P2331" i="22"/>
  <c r="Q2331" i="22"/>
  <c r="R2331" i="22"/>
  <c r="L2332" i="22"/>
  <c r="C2332" i="22"/>
  <c r="E2332" i="22"/>
  <c r="G2332" i="22"/>
  <c r="I2332" i="22"/>
  <c r="B2333" i="22"/>
  <c r="L2278" i="22"/>
  <c r="C2278" i="22"/>
  <c r="K2278" i="22" s="1"/>
  <c r="B2279" i="22"/>
  <c r="I2278" i="22"/>
  <c r="F2278" i="22"/>
  <c r="O2278" i="22" s="1"/>
  <c r="G2278" i="22"/>
  <c r="E2278" i="22"/>
  <c r="D2277" i="22"/>
  <c r="J2277" i="22"/>
  <c r="P2277" i="22"/>
  <c r="Q2277" i="22"/>
  <c r="R2277" i="22"/>
  <c r="D2223" i="22"/>
  <c r="J2223" i="22"/>
  <c r="P2223" i="22"/>
  <c r="Q2223" i="22"/>
  <c r="R2223" i="22"/>
  <c r="L2224" i="22"/>
  <c r="C2224" i="22"/>
  <c r="K2224" i="22" s="1"/>
  <c r="E2224" i="22"/>
  <c r="F2224" i="22"/>
  <c r="O2224" i="22" s="1"/>
  <c r="G2224" i="22"/>
  <c r="I2224" i="22"/>
  <c r="B2225" i="22"/>
  <c r="M2169" i="22"/>
  <c r="D2169" i="22"/>
  <c r="J2169" i="22"/>
  <c r="N2169" i="22" s="1"/>
  <c r="U2169" i="22" s="1"/>
  <c r="P2169" i="22"/>
  <c r="Q2169" i="22"/>
  <c r="R2169" i="22"/>
  <c r="L2170" i="22"/>
  <c r="C2170" i="22"/>
  <c r="K2170" i="22" s="1"/>
  <c r="E2170" i="22"/>
  <c r="F2170" i="22"/>
  <c r="O2170" i="22" s="1"/>
  <c r="G2170" i="22"/>
  <c r="I2170" i="22"/>
  <c r="B2171" i="22"/>
  <c r="M2115" i="22"/>
  <c r="D2115" i="22"/>
  <c r="J2115" i="22"/>
  <c r="N2115" i="22" s="1"/>
  <c r="U2115" i="22" s="1"/>
  <c r="P2115" i="22"/>
  <c r="Q2115" i="22"/>
  <c r="R2115" i="22"/>
  <c r="L2116" i="22"/>
  <c r="C2116" i="22"/>
  <c r="K2116" i="22" s="1"/>
  <c r="E2116" i="22"/>
  <c r="F2116" i="22"/>
  <c r="O2116" i="22" s="1"/>
  <c r="G2116" i="22"/>
  <c r="I2116" i="22"/>
  <c r="B2117" i="22"/>
  <c r="M2061" i="22"/>
  <c r="D2061" i="22"/>
  <c r="J2061" i="22"/>
  <c r="N2061" i="22" s="1"/>
  <c r="U2061" i="22" s="1"/>
  <c r="P2061" i="22"/>
  <c r="Q2061" i="22"/>
  <c r="R2061" i="22"/>
  <c r="L2062" i="22"/>
  <c r="C2062" i="22"/>
  <c r="K2062" i="22" s="1"/>
  <c r="E2062" i="22"/>
  <c r="F2062" i="22"/>
  <c r="O2062" i="22" s="1"/>
  <c r="G2062" i="22"/>
  <c r="I2062" i="22"/>
  <c r="B2063" i="22"/>
  <c r="M2007" i="22"/>
  <c r="D2007" i="22"/>
  <c r="J2007" i="22"/>
  <c r="N2007" i="22" s="1"/>
  <c r="U2007" i="22" s="1"/>
  <c r="P2007" i="22"/>
  <c r="Q2007" i="22"/>
  <c r="R2007" i="22"/>
  <c r="L2008" i="22"/>
  <c r="C2008" i="22"/>
  <c r="K2008" i="22" s="1"/>
  <c r="E2008" i="22"/>
  <c r="F2008" i="22"/>
  <c r="O2008" i="22" s="1"/>
  <c r="G2008" i="22"/>
  <c r="I2008" i="22"/>
  <c r="B2009" i="22"/>
  <c r="M1953" i="22"/>
  <c r="D1953" i="22"/>
  <c r="J1953" i="22"/>
  <c r="N1953" i="22" s="1"/>
  <c r="U1953" i="22" s="1"/>
  <c r="P1953" i="22"/>
  <c r="Q1953" i="22"/>
  <c r="R1953" i="22"/>
  <c r="L1954" i="22"/>
  <c r="C1954" i="22"/>
  <c r="K1954" i="22" s="1"/>
  <c r="E1954" i="22"/>
  <c r="F1954" i="22"/>
  <c r="O1954" i="22" s="1"/>
  <c r="G1954" i="22"/>
  <c r="I1954" i="22"/>
  <c r="B1955" i="22"/>
  <c r="M1899" i="22"/>
  <c r="D1899" i="22"/>
  <c r="J1899" i="22"/>
  <c r="N1899" i="22" s="1"/>
  <c r="U1899" i="22" s="1"/>
  <c r="P1899" i="22"/>
  <c r="Q1899" i="22"/>
  <c r="R1899" i="22"/>
  <c r="L1900" i="22"/>
  <c r="C1900" i="22"/>
  <c r="K1900" i="22" s="1"/>
  <c r="E1900" i="22"/>
  <c r="F1900" i="22"/>
  <c r="O1900" i="22" s="1"/>
  <c r="G1900" i="22"/>
  <c r="I1900" i="22"/>
  <c r="B1901" i="22"/>
  <c r="M1845" i="22"/>
  <c r="D1845" i="22"/>
  <c r="J1845" i="22"/>
  <c r="N1845" i="22" s="1"/>
  <c r="U1845" i="22" s="1"/>
  <c r="P1845" i="22"/>
  <c r="Q1845" i="22"/>
  <c r="R1845" i="22"/>
  <c r="L1846" i="22"/>
  <c r="C1846" i="22"/>
  <c r="K1846" i="22" s="1"/>
  <c r="E1846" i="22"/>
  <c r="F1846" i="22"/>
  <c r="O1846" i="22" s="1"/>
  <c r="G1846" i="22"/>
  <c r="I1846" i="22"/>
  <c r="B1847" i="22"/>
  <c r="M1791" i="22"/>
  <c r="D1791" i="22"/>
  <c r="J1791" i="22"/>
  <c r="N1791" i="22" s="1"/>
  <c r="U1791" i="22" s="1"/>
  <c r="P1791" i="22"/>
  <c r="Q1791" i="22"/>
  <c r="R1791" i="22"/>
  <c r="L1792" i="22"/>
  <c r="C1792" i="22"/>
  <c r="K1792" i="22" s="1"/>
  <c r="E1792" i="22"/>
  <c r="F1792" i="22"/>
  <c r="O1792" i="22" s="1"/>
  <c r="G1792" i="22"/>
  <c r="I1792" i="22"/>
  <c r="B1793" i="22"/>
  <c r="M1737" i="22"/>
  <c r="D1737" i="22"/>
  <c r="J1737" i="22"/>
  <c r="N1737" i="22" s="1"/>
  <c r="U1737" i="22" s="1"/>
  <c r="P1737" i="22"/>
  <c r="Q1737" i="22"/>
  <c r="R1737" i="22"/>
  <c r="L1738" i="22"/>
  <c r="C1738" i="22"/>
  <c r="E1738" i="22"/>
  <c r="G1738" i="22"/>
  <c r="I1738" i="22"/>
  <c r="B1739" i="22"/>
  <c r="M1683" i="22"/>
  <c r="D1683" i="22"/>
  <c r="J1683" i="22"/>
  <c r="N1683" i="22" s="1"/>
  <c r="U1683" i="22" s="1"/>
  <c r="P1683" i="22"/>
  <c r="Q1683" i="22"/>
  <c r="R1683" i="22"/>
  <c r="L1684" i="22"/>
  <c r="C1684" i="22"/>
  <c r="K1684" i="22" s="1"/>
  <c r="E1684" i="22"/>
  <c r="F1684" i="22"/>
  <c r="O1684" i="22" s="1"/>
  <c r="G1684" i="22"/>
  <c r="I1684" i="22"/>
  <c r="B1685" i="22"/>
  <c r="M1629" i="22"/>
  <c r="D1629" i="22"/>
  <c r="J1629" i="22"/>
  <c r="N1629" i="22" s="1"/>
  <c r="U1629" i="22" s="1"/>
  <c r="P1629" i="22"/>
  <c r="Q1629" i="22"/>
  <c r="R1629" i="22"/>
  <c r="L1630" i="22"/>
  <c r="C1630" i="22"/>
  <c r="K1630" i="22" s="1"/>
  <c r="E1630" i="22"/>
  <c r="F1630" i="22"/>
  <c r="O1630" i="22" s="1"/>
  <c r="G1630" i="22"/>
  <c r="I1630" i="22"/>
  <c r="B1631" i="22"/>
  <c r="M1575" i="22"/>
  <c r="D1575" i="22"/>
  <c r="J1575" i="22"/>
  <c r="N1575" i="22" s="1"/>
  <c r="U1575" i="22" s="1"/>
  <c r="P1575" i="22"/>
  <c r="Q1575" i="22"/>
  <c r="R1575" i="22"/>
  <c r="L1576" i="22"/>
  <c r="C1576" i="22"/>
  <c r="K1576" i="22" s="1"/>
  <c r="E1576" i="22"/>
  <c r="F1576" i="22"/>
  <c r="O1576" i="22" s="1"/>
  <c r="G1576" i="22"/>
  <c r="I1576" i="22"/>
  <c r="B1577" i="22"/>
  <c r="M1521" i="22"/>
  <c r="D1521" i="22"/>
  <c r="J1521" i="22"/>
  <c r="N1521" i="22" s="1"/>
  <c r="U1521" i="22" s="1"/>
  <c r="P1521" i="22"/>
  <c r="Q1521" i="22"/>
  <c r="R1521" i="22"/>
  <c r="L1522" i="22"/>
  <c r="C1522" i="22"/>
  <c r="K1522" i="22" s="1"/>
  <c r="E1522" i="22"/>
  <c r="F1522" i="22"/>
  <c r="O1522" i="22" s="1"/>
  <c r="G1522" i="22"/>
  <c r="I1522" i="22"/>
  <c r="B1523" i="22"/>
  <c r="M1467" i="22"/>
  <c r="D1467" i="22"/>
  <c r="J1467" i="22"/>
  <c r="N1467" i="22" s="1"/>
  <c r="U1467" i="22" s="1"/>
  <c r="P1467" i="22"/>
  <c r="Q1467" i="22"/>
  <c r="R1467" i="22"/>
  <c r="L1468" i="22"/>
  <c r="C1468" i="22"/>
  <c r="E1468" i="22"/>
  <c r="G1468" i="22"/>
  <c r="I1468" i="22"/>
  <c r="B1469" i="22"/>
  <c r="D1413" i="22"/>
  <c r="J1413" i="22"/>
  <c r="P1413" i="22"/>
  <c r="Q1413" i="22"/>
  <c r="R1413" i="22"/>
  <c r="L1414" i="22"/>
  <c r="C1414" i="22"/>
  <c r="K1414" i="22" s="1"/>
  <c r="E1414" i="22"/>
  <c r="F1414" i="22"/>
  <c r="O1414" i="22" s="1"/>
  <c r="G1414" i="22"/>
  <c r="I1414" i="22"/>
  <c r="B1415" i="22"/>
  <c r="M1359" i="22"/>
  <c r="D1359" i="22"/>
  <c r="J1359" i="22"/>
  <c r="N1359" i="22" s="1"/>
  <c r="U1359" i="22" s="1"/>
  <c r="P1359" i="22"/>
  <c r="Q1359" i="22"/>
  <c r="R1359" i="22"/>
  <c r="L1360" i="22"/>
  <c r="C1360" i="22"/>
  <c r="K1360" i="22" s="1"/>
  <c r="E1360" i="22"/>
  <c r="F1360" i="22"/>
  <c r="O1360" i="22" s="1"/>
  <c r="G1360" i="22"/>
  <c r="I1360" i="22"/>
  <c r="B1361" i="22"/>
  <c r="M1305" i="22"/>
  <c r="D1305" i="22"/>
  <c r="J1305" i="22"/>
  <c r="N1305" i="22" s="1"/>
  <c r="U1305" i="22" s="1"/>
  <c r="P1305" i="22"/>
  <c r="Q1305" i="22"/>
  <c r="R1305" i="22"/>
  <c r="L1306" i="22"/>
  <c r="C1306" i="22"/>
  <c r="K1306" i="22" s="1"/>
  <c r="E1306" i="22"/>
  <c r="F1306" i="22"/>
  <c r="O1306" i="22" s="1"/>
  <c r="G1306" i="22"/>
  <c r="I1306" i="22"/>
  <c r="B1307" i="22"/>
  <c r="M1251" i="22"/>
  <c r="D1251" i="22"/>
  <c r="J1251" i="22"/>
  <c r="N1251" i="22" s="1"/>
  <c r="U1251" i="22" s="1"/>
  <c r="P1251" i="22"/>
  <c r="Q1251" i="22"/>
  <c r="R1251" i="22"/>
  <c r="L1252" i="22"/>
  <c r="C1252" i="22"/>
  <c r="E1252" i="22"/>
  <c r="G1252" i="22"/>
  <c r="I1252" i="22"/>
  <c r="B1253" i="22"/>
  <c r="M1197" i="22"/>
  <c r="D1197" i="22"/>
  <c r="J1197" i="22"/>
  <c r="N1197" i="22" s="1"/>
  <c r="U1197" i="22" s="1"/>
  <c r="P1197" i="22"/>
  <c r="Q1197" i="22"/>
  <c r="R1197" i="22"/>
  <c r="L1198" i="22"/>
  <c r="C1198" i="22"/>
  <c r="E1198" i="22"/>
  <c r="G1198" i="22"/>
  <c r="I1198" i="22"/>
  <c r="B1199" i="22"/>
  <c r="M1143" i="22"/>
  <c r="D1143" i="22"/>
  <c r="J1143" i="22"/>
  <c r="N1143" i="22" s="1"/>
  <c r="U1143" i="22" s="1"/>
  <c r="P1143" i="22"/>
  <c r="Q1143" i="22"/>
  <c r="R1143" i="22"/>
  <c r="L1144" i="22"/>
  <c r="C1144" i="22"/>
  <c r="E1144" i="22"/>
  <c r="G1144" i="22"/>
  <c r="I1144" i="22"/>
  <c r="B1145" i="22"/>
  <c r="M1089" i="22"/>
  <c r="D1089" i="22"/>
  <c r="J1089" i="22"/>
  <c r="N1089" i="22" s="1"/>
  <c r="U1089" i="22" s="1"/>
  <c r="P1089" i="22"/>
  <c r="Q1089" i="22"/>
  <c r="R1089" i="22"/>
  <c r="L1090" i="22"/>
  <c r="C1090" i="22"/>
  <c r="K1090" i="22" s="1"/>
  <c r="E1090" i="22"/>
  <c r="F1090" i="22"/>
  <c r="O1090" i="22" s="1"/>
  <c r="G1090" i="22"/>
  <c r="I1090" i="22"/>
  <c r="B1091" i="22"/>
  <c r="L1036" i="22"/>
  <c r="I1036" i="22"/>
  <c r="C1036" i="22"/>
  <c r="G1036" i="22"/>
  <c r="E1036" i="22"/>
  <c r="B1037" i="22"/>
  <c r="D1035" i="22"/>
  <c r="J1035" i="22"/>
  <c r="P1035" i="22"/>
  <c r="Q1035" i="22"/>
  <c r="R1035" i="22"/>
  <c r="M981" i="22"/>
  <c r="D981" i="22"/>
  <c r="J981" i="22"/>
  <c r="N981" i="22" s="1"/>
  <c r="U981" i="22" s="1"/>
  <c r="P981" i="22"/>
  <c r="Q981" i="22"/>
  <c r="R981" i="22"/>
  <c r="L982" i="22"/>
  <c r="C982" i="22"/>
  <c r="K982" i="22" s="1"/>
  <c r="E982" i="22"/>
  <c r="F982" i="22"/>
  <c r="O982" i="22" s="1"/>
  <c r="G982" i="22"/>
  <c r="I982" i="22"/>
  <c r="B983" i="22"/>
  <c r="M927" i="22"/>
  <c r="D927" i="22"/>
  <c r="J927" i="22"/>
  <c r="N927" i="22" s="1"/>
  <c r="U927" i="22" s="1"/>
  <c r="P927" i="22"/>
  <c r="Q927" i="22"/>
  <c r="R927" i="22"/>
  <c r="L928" i="22"/>
  <c r="C928" i="22"/>
  <c r="K928" i="22" s="1"/>
  <c r="E928" i="22"/>
  <c r="F928" i="22"/>
  <c r="O928" i="22" s="1"/>
  <c r="G928" i="22"/>
  <c r="I928" i="22"/>
  <c r="B929" i="22"/>
  <c r="M873" i="22"/>
  <c r="D873" i="22"/>
  <c r="J873" i="22"/>
  <c r="N873" i="22" s="1"/>
  <c r="U873" i="22" s="1"/>
  <c r="P873" i="22"/>
  <c r="Q873" i="22"/>
  <c r="R873" i="22"/>
  <c r="L874" i="22"/>
  <c r="C874" i="22"/>
  <c r="K874" i="22" s="1"/>
  <c r="E874" i="22"/>
  <c r="F874" i="22"/>
  <c r="O874" i="22" s="1"/>
  <c r="G874" i="22"/>
  <c r="I874" i="22"/>
  <c r="B875" i="22"/>
  <c r="M819" i="22"/>
  <c r="D819" i="22"/>
  <c r="J819" i="22"/>
  <c r="N819" i="22" s="1"/>
  <c r="U819" i="22" s="1"/>
  <c r="P819" i="22"/>
  <c r="Q819" i="22"/>
  <c r="R819" i="22"/>
  <c r="L820" i="22"/>
  <c r="C820" i="22"/>
  <c r="E820" i="22"/>
  <c r="G820" i="22"/>
  <c r="I820" i="22"/>
  <c r="B821" i="22"/>
  <c r="M765" i="22"/>
  <c r="D765" i="22"/>
  <c r="J765" i="22"/>
  <c r="N765" i="22" s="1"/>
  <c r="U765" i="22" s="1"/>
  <c r="P765" i="22"/>
  <c r="Q765" i="22"/>
  <c r="R765" i="22"/>
  <c r="L766" i="22"/>
  <c r="C766" i="22"/>
  <c r="K766" i="22" s="1"/>
  <c r="E766" i="22"/>
  <c r="F766" i="22"/>
  <c r="O766" i="22" s="1"/>
  <c r="G766" i="22"/>
  <c r="I766" i="22"/>
  <c r="B767" i="22"/>
  <c r="M711" i="22"/>
  <c r="D711" i="22"/>
  <c r="J711" i="22"/>
  <c r="N711" i="22" s="1"/>
  <c r="U711" i="22" s="1"/>
  <c r="P711" i="22"/>
  <c r="Q711" i="22"/>
  <c r="R711" i="22"/>
  <c r="L712" i="22"/>
  <c r="C712" i="22"/>
  <c r="K712" i="22" s="1"/>
  <c r="E712" i="22"/>
  <c r="F712" i="22"/>
  <c r="O712" i="22" s="1"/>
  <c r="G712" i="22"/>
  <c r="I712" i="22"/>
  <c r="B713" i="22"/>
  <c r="M657" i="22"/>
  <c r="D657" i="22"/>
  <c r="J657" i="22"/>
  <c r="N657" i="22" s="1"/>
  <c r="U657" i="22" s="1"/>
  <c r="P657" i="22"/>
  <c r="Q657" i="22"/>
  <c r="R657" i="22"/>
  <c r="L658" i="22"/>
  <c r="C658" i="22"/>
  <c r="K658" i="22" s="1"/>
  <c r="E658" i="22"/>
  <c r="F658" i="22"/>
  <c r="O658" i="22" s="1"/>
  <c r="G658" i="22"/>
  <c r="I658" i="22"/>
  <c r="B659" i="22"/>
  <c r="M603" i="22"/>
  <c r="D603" i="22"/>
  <c r="J603" i="22"/>
  <c r="N603" i="22" s="1"/>
  <c r="U603" i="22" s="1"/>
  <c r="P603" i="22"/>
  <c r="Q603" i="22"/>
  <c r="R603" i="22"/>
  <c r="L604" i="22"/>
  <c r="C604" i="22"/>
  <c r="K604" i="22" s="1"/>
  <c r="E604" i="22"/>
  <c r="F604" i="22"/>
  <c r="O604" i="22" s="1"/>
  <c r="G604" i="22"/>
  <c r="I604" i="22"/>
  <c r="B605" i="22"/>
  <c r="M549" i="22"/>
  <c r="D549" i="22"/>
  <c r="J549" i="22"/>
  <c r="N549" i="22" s="1"/>
  <c r="U549" i="22" s="1"/>
  <c r="P549" i="22"/>
  <c r="Q549" i="22"/>
  <c r="R549" i="22"/>
  <c r="L550" i="22"/>
  <c r="C550" i="22"/>
  <c r="E550" i="22"/>
  <c r="G550" i="22"/>
  <c r="I550" i="22"/>
  <c r="B551" i="22"/>
  <c r="D495" i="22"/>
  <c r="J495" i="22"/>
  <c r="P495" i="22"/>
  <c r="Q495" i="22"/>
  <c r="R495" i="22"/>
  <c r="L496" i="22"/>
  <c r="C496" i="22"/>
  <c r="K496" i="22" s="1"/>
  <c r="E496" i="22"/>
  <c r="F496" i="22"/>
  <c r="O496" i="22" s="1"/>
  <c r="G496" i="22"/>
  <c r="I496" i="22"/>
  <c r="B497" i="22"/>
  <c r="D441" i="22"/>
  <c r="J441" i="22"/>
  <c r="P441" i="22"/>
  <c r="Q441" i="22"/>
  <c r="R441" i="22"/>
  <c r="L442" i="22"/>
  <c r="I442" i="22"/>
  <c r="B443" i="22"/>
  <c r="C442" i="22"/>
  <c r="E442" i="22"/>
  <c r="G442" i="22"/>
  <c r="M387" i="22"/>
  <c r="D387" i="22"/>
  <c r="J387" i="22"/>
  <c r="N387" i="22" s="1"/>
  <c r="U387" i="22" s="1"/>
  <c r="P387" i="22"/>
  <c r="Q387" i="22"/>
  <c r="R387" i="22"/>
  <c r="L388" i="22"/>
  <c r="C388" i="22"/>
  <c r="K388" i="22" s="1"/>
  <c r="E388" i="22"/>
  <c r="F388" i="22"/>
  <c r="O388" i="22" s="1"/>
  <c r="G388" i="22"/>
  <c r="I388" i="22"/>
  <c r="B389" i="22"/>
  <c r="M333" i="22"/>
  <c r="D333" i="22"/>
  <c r="J333" i="22"/>
  <c r="N333" i="22" s="1"/>
  <c r="U333" i="22" s="1"/>
  <c r="P333" i="22"/>
  <c r="Q333" i="22"/>
  <c r="R333" i="22"/>
  <c r="L334" i="22"/>
  <c r="C334" i="22"/>
  <c r="K334" i="22" s="1"/>
  <c r="E334" i="22"/>
  <c r="F334" i="22"/>
  <c r="O334" i="22" s="1"/>
  <c r="G334" i="22"/>
  <c r="I334" i="22"/>
  <c r="B335" i="22"/>
  <c r="M279" i="22"/>
  <c r="D279" i="22"/>
  <c r="J279" i="22"/>
  <c r="N279" i="22" s="1"/>
  <c r="U279" i="22" s="1"/>
  <c r="P279" i="22"/>
  <c r="Q279" i="22"/>
  <c r="R279" i="22"/>
  <c r="L280" i="22"/>
  <c r="C280" i="22"/>
  <c r="K280" i="22" s="1"/>
  <c r="E280" i="22"/>
  <c r="F280" i="22"/>
  <c r="O280" i="22" s="1"/>
  <c r="G280" i="22"/>
  <c r="I280" i="22"/>
  <c r="B281" i="22"/>
  <c r="M225" i="22"/>
  <c r="D225" i="22"/>
  <c r="J225" i="22"/>
  <c r="N225" i="22" s="1"/>
  <c r="U225" i="22" s="1"/>
  <c r="P225" i="22"/>
  <c r="Q225" i="22"/>
  <c r="R225" i="22"/>
  <c r="L226" i="22"/>
  <c r="C226" i="22"/>
  <c r="K226" i="22" s="1"/>
  <c r="E226" i="22"/>
  <c r="F226" i="22"/>
  <c r="O226" i="22" s="1"/>
  <c r="G226" i="22"/>
  <c r="I226" i="22"/>
  <c r="B227" i="22"/>
  <c r="D171" i="22"/>
  <c r="J171" i="22"/>
  <c r="P171" i="22"/>
  <c r="Q171" i="22"/>
  <c r="R171" i="22"/>
  <c r="L172" i="22"/>
  <c r="C172" i="22"/>
  <c r="E172" i="22"/>
  <c r="B173" i="22"/>
  <c r="G172" i="22"/>
  <c r="I172" i="22"/>
  <c r="D117" i="22"/>
  <c r="J117" i="22"/>
  <c r="P117" i="22"/>
  <c r="Q117" i="22"/>
  <c r="R117" i="22"/>
  <c r="L118" i="22"/>
  <c r="I118" i="22"/>
  <c r="C118" i="22"/>
  <c r="K118" i="22" s="1"/>
  <c r="E118" i="22"/>
  <c r="F118" i="22"/>
  <c r="O118" i="22" s="1"/>
  <c r="G118" i="22"/>
  <c r="B119" i="22"/>
  <c r="G104" i="12"/>
  <c r="C105" i="12"/>
  <c r="U54" i="17"/>
  <c r="M106" i="12"/>
  <c r="O106" i="12"/>
  <c r="M55" i="17"/>
  <c r="D55" i="17"/>
  <c r="J55" i="17"/>
  <c r="N55" i="17" s="1"/>
  <c r="L56" i="17"/>
  <c r="E56" i="17"/>
  <c r="I56" i="17"/>
  <c r="B56" i="18"/>
  <c r="C56" i="17"/>
  <c r="G56" i="17"/>
  <c r="B57" i="17"/>
  <c r="N107" i="12"/>
  <c r="E107" i="12"/>
  <c r="O55" i="17"/>
  <c r="BE55" i="17"/>
  <c r="BD55" i="17"/>
  <c r="BC55" i="17"/>
  <c r="BB55" i="17"/>
  <c r="BA55" i="17"/>
  <c r="AZ55" i="17"/>
  <c r="AY55" i="17"/>
  <c r="AX55" i="17"/>
  <c r="AW55" i="17"/>
  <c r="AV55" i="17"/>
  <c r="AU55" i="17"/>
  <c r="AT55" i="17"/>
  <c r="AS55" i="17"/>
  <c r="AR55" i="17"/>
  <c r="AQ55" i="17"/>
  <c r="AP55" i="17"/>
  <c r="AO55" i="17"/>
  <c r="AN55" i="17"/>
  <c r="AM55" i="17"/>
  <c r="AL55" i="17"/>
  <c r="AK55" i="17"/>
  <c r="AJ55" i="17"/>
  <c r="AI55" i="17"/>
  <c r="AH55" i="17"/>
  <c r="AG55" i="17"/>
  <c r="AF55" i="17"/>
  <c r="AE55" i="17"/>
  <c r="AD55" i="17"/>
  <c r="AC55" i="17"/>
  <c r="AB55" i="17"/>
  <c r="AA55" i="17"/>
  <c r="Z55" i="17"/>
  <c r="Y55" i="17"/>
  <c r="X55" i="17"/>
  <c r="W55" i="17"/>
  <c r="P55" i="17"/>
  <c r="Q55" i="17"/>
  <c r="R55" i="17"/>
  <c r="V55" i="17"/>
  <c r="BF55" i="17"/>
  <c r="AI731" i="23"/>
  <c r="K79" i="8"/>
  <c r="K105" i="8"/>
  <c r="K107" i="8"/>
  <c r="AE1346" i="23"/>
  <c r="AE1344" i="23"/>
  <c r="AE1343" i="23"/>
  <c r="AE1341" i="23"/>
  <c r="AE1338" i="23"/>
  <c r="AE1339" i="23"/>
  <c r="AE1340" i="23"/>
  <c r="AE1342" i="23"/>
  <c r="AE1345" i="23"/>
  <c r="AE1347" i="23"/>
  <c r="AI1628" i="23"/>
  <c r="L104" i="8"/>
  <c r="C140" i="8"/>
  <c r="P1530" i="23"/>
  <c r="F1530" i="23"/>
  <c r="AE1517" i="23"/>
  <c r="AD1517" i="23"/>
  <c r="P1474" i="23"/>
  <c r="F1474" i="23"/>
  <c r="P1082" i="23"/>
  <c r="F1082" i="23"/>
  <c r="C1082" i="23"/>
  <c r="AD1069" i="23"/>
  <c r="P1026" i="23"/>
  <c r="F1026" i="23"/>
  <c r="I914" i="23"/>
  <c r="J914" i="23" s="1"/>
  <c r="C914" i="23"/>
  <c r="K914" i="23" s="1"/>
  <c r="AD901" i="23"/>
  <c r="H914" i="23" s="1"/>
  <c r="AE901" i="23" s="1"/>
  <c r="AI732" i="23"/>
  <c r="L79" i="8"/>
  <c r="F634" i="23"/>
  <c r="P634" i="23"/>
  <c r="C634" i="23"/>
  <c r="AD621" i="23"/>
  <c r="F578" i="23"/>
  <c r="P578" i="23"/>
  <c r="C522" i="23"/>
  <c r="F522" i="23"/>
  <c r="P522" i="23"/>
  <c r="C466" i="23"/>
  <c r="K466" i="23" s="1"/>
  <c r="I466" i="23"/>
  <c r="J466" i="23" s="1"/>
  <c r="AD453" i="23"/>
  <c r="H466" i="23" s="1"/>
  <c r="AE453" i="23" s="1"/>
  <c r="CJ67" i="22"/>
  <c r="J3529" i="22"/>
  <c r="CL67" i="22" s="1"/>
  <c r="D25" i="7"/>
  <c r="CJ20" i="22"/>
  <c r="F25" i="7"/>
  <c r="CL20" i="22"/>
  <c r="D24" i="7"/>
  <c r="CJ19" i="22"/>
  <c r="F24" i="7"/>
  <c r="CL19" i="22"/>
  <c r="D23" i="7"/>
  <c r="CJ18" i="22"/>
  <c r="F23" i="7"/>
  <c r="CL18" i="22"/>
  <c r="D17" i="7"/>
  <c r="CJ12" i="22"/>
  <c r="F17" i="7"/>
  <c r="CL12" i="22"/>
  <c r="CL10" i="22"/>
  <c r="F15" i="7"/>
  <c r="CJ10" i="22"/>
  <c r="D15" i="7"/>
  <c r="J289" i="22"/>
  <c r="CJ7" i="22"/>
  <c r="D12" i="7"/>
  <c r="CJ6" i="22"/>
  <c r="D11" i="7"/>
  <c r="CL6" i="22"/>
  <c r="F11" i="7"/>
  <c r="AE1627" i="23"/>
  <c r="AE1624" i="23"/>
  <c r="AE1622" i="23"/>
  <c r="AE1621" i="23"/>
  <c r="AE1620" i="23"/>
  <c r="AE1618" i="23"/>
  <c r="C109" i="8"/>
  <c r="M1642" i="23"/>
  <c r="AE1619" i="23"/>
  <c r="AE1623" i="23"/>
  <c r="AE1626" i="23"/>
  <c r="AE1625" i="23"/>
  <c r="AE1628" i="23"/>
  <c r="AH1629" i="23"/>
  <c r="M103" i="8"/>
  <c r="B141" i="8"/>
  <c r="D141" i="8"/>
  <c r="E1642" i="23"/>
  <c r="P1642" i="23" s="1"/>
  <c r="K1642" i="23"/>
  <c r="AD1572" i="23"/>
  <c r="AE1572" i="23"/>
  <c r="AD1571" i="23"/>
  <c r="AE1571" i="23"/>
  <c r="AD1570" i="23"/>
  <c r="AE1570" i="23"/>
  <c r="AD1569" i="23"/>
  <c r="AE1569" i="23"/>
  <c r="AD1568" i="23"/>
  <c r="AE1568" i="23"/>
  <c r="AD1567" i="23"/>
  <c r="AE1567" i="23"/>
  <c r="AE1566" i="23"/>
  <c r="AD1566" i="23"/>
  <c r="AD1565" i="23"/>
  <c r="AD1564" i="23"/>
  <c r="AE1564" i="23"/>
  <c r="AE1565" i="23"/>
  <c r="AD1563" i="23"/>
  <c r="AE1563" i="23"/>
  <c r="AD1562" i="23"/>
  <c r="AE1562" i="23"/>
  <c r="N1586" i="23"/>
  <c r="L1586" i="23"/>
  <c r="K1586" i="23"/>
  <c r="I1586" i="23"/>
  <c r="J1586" i="23" s="1"/>
  <c r="H1586" i="23"/>
  <c r="G1586" i="23"/>
  <c r="AD1292" i="23"/>
  <c r="AD1291" i="23"/>
  <c r="AD1290" i="23"/>
  <c r="AD1289" i="23"/>
  <c r="AD1288" i="23"/>
  <c r="AD1287" i="23"/>
  <c r="AD1286" i="23"/>
  <c r="AD1285" i="23"/>
  <c r="AD1284" i="23"/>
  <c r="AD1283" i="23"/>
  <c r="AD1282" i="23"/>
  <c r="N1306" i="23"/>
  <c r="L1306" i="23"/>
  <c r="K1306" i="23"/>
  <c r="I1306" i="23"/>
  <c r="J1306" i="23" s="1"/>
  <c r="H1306" i="23"/>
  <c r="G1306" i="23"/>
  <c r="AD1236" i="23"/>
  <c r="AD1235" i="23"/>
  <c r="AD1234" i="23"/>
  <c r="AD1233" i="23"/>
  <c r="AD1232" i="23"/>
  <c r="AD1231" i="23"/>
  <c r="AD1230" i="23"/>
  <c r="AD1229" i="23"/>
  <c r="AD1228" i="23"/>
  <c r="G1250" i="23"/>
  <c r="I1250" i="23"/>
  <c r="J1250" i="23" s="1"/>
  <c r="K1250" i="23"/>
  <c r="L1250" i="23"/>
  <c r="N1250" i="23"/>
  <c r="AD1226" i="23"/>
  <c r="AD1227" i="23"/>
  <c r="AD1180" i="23"/>
  <c r="AD1179" i="23"/>
  <c r="AD1178" i="23"/>
  <c r="AD1177" i="23"/>
  <c r="AD1176" i="23"/>
  <c r="AD1175" i="23"/>
  <c r="AD1174" i="23"/>
  <c r="AD1173" i="23"/>
  <c r="AD1172" i="23"/>
  <c r="AD1171" i="23"/>
  <c r="AD1170" i="23"/>
  <c r="N1194" i="23"/>
  <c r="L1194" i="23"/>
  <c r="K1194" i="23"/>
  <c r="I1194" i="23"/>
  <c r="J1194" i="23" s="1"/>
  <c r="H1194" i="23"/>
  <c r="G1194" i="23"/>
  <c r="AE1123" i="23"/>
  <c r="AE1120" i="23"/>
  <c r="AE1118" i="23"/>
  <c r="AE1114" i="23"/>
  <c r="AE1115" i="23"/>
  <c r="AE1116" i="23"/>
  <c r="AE1117" i="23"/>
  <c r="AE1119" i="23"/>
  <c r="AE1121" i="23"/>
  <c r="AE1122" i="23"/>
  <c r="AE1124" i="23"/>
  <c r="AD844" i="23"/>
  <c r="AD843" i="23"/>
  <c r="AD842" i="23"/>
  <c r="AD841" i="23"/>
  <c r="AD840" i="23"/>
  <c r="AD839" i="23"/>
  <c r="AD838" i="23"/>
  <c r="AD837" i="23"/>
  <c r="AD836" i="23"/>
  <c r="AD835" i="23"/>
  <c r="AD834" i="23"/>
  <c r="N858" i="23"/>
  <c r="L858" i="23"/>
  <c r="K858" i="23"/>
  <c r="I858" i="23"/>
  <c r="J858" i="23" s="1"/>
  <c r="H858" i="23"/>
  <c r="G858" i="23"/>
  <c r="AD788" i="23"/>
  <c r="AD787" i="23"/>
  <c r="AD786" i="23"/>
  <c r="AD785" i="23"/>
  <c r="AD784" i="23"/>
  <c r="AD783" i="23"/>
  <c r="AD782" i="23"/>
  <c r="AD781" i="23"/>
  <c r="AD780" i="23"/>
  <c r="AD779" i="23"/>
  <c r="AD778" i="23"/>
  <c r="N802" i="23"/>
  <c r="L802" i="23"/>
  <c r="K802" i="23"/>
  <c r="I802" i="23"/>
  <c r="J802" i="23" s="1"/>
  <c r="H802" i="23"/>
  <c r="G802" i="23"/>
  <c r="AE730" i="23"/>
  <c r="AE729" i="23"/>
  <c r="AE726" i="23"/>
  <c r="AE727" i="23"/>
  <c r="AE724" i="23"/>
  <c r="AE723" i="23"/>
  <c r="AE722" i="23"/>
  <c r="M746" i="23"/>
  <c r="P17" i="8" s="1"/>
  <c r="E55" i="19" s="1"/>
  <c r="G55" i="19" s="1"/>
  <c r="M17" i="8"/>
  <c r="N17" i="8"/>
  <c r="AE725" i="23"/>
  <c r="AE728" i="23"/>
  <c r="AE732" i="23"/>
  <c r="AE731" i="23"/>
  <c r="AH733" i="23"/>
  <c r="M49" i="8"/>
  <c r="AE675" i="23"/>
  <c r="AE673" i="23"/>
  <c r="AE674" i="23"/>
  <c r="AE672" i="23"/>
  <c r="AE671" i="23"/>
  <c r="AE669" i="23"/>
  <c r="AE666" i="23"/>
  <c r="AE667" i="23"/>
  <c r="AE668" i="23"/>
  <c r="AE670" i="23"/>
  <c r="AE676" i="23"/>
  <c r="AD396" i="23"/>
  <c r="AD395" i="23"/>
  <c r="AD394" i="23"/>
  <c r="AD393" i="23"/>
  <c r="AD392" i="23"/>
  <c r="AD391" i="23"/>
  <c r="AD390" i="23"/>
  <c r="AD389" i="23"/>
  <c r="AD388" i="23"/>
  <c r="AD387" i="23"/>
  <c r="AD386" i="23"/>
  <c r="N410" i="23"/>
  <c r="I410" i="23"/>
  <c r="J410" i="23" s="1"/>
  <c r="K410" i="23"/>
  <c r="L410" i="23"/>
  <c r="G410" i="23"/>
  <c r="AD340" i="23"/>
  <c r="AD339" i="23"/>
  <c r="AD338" i="23"/>
  <c r="AD337" i="23"/>
  <c r="AD336" i="23"/>
  <c r="AD335" i="23"/>
  <c r="AD334" i="23"/>
  <c r="AD333" i="23"/>
  <c r="AD332" i="23"/>
  <c r="AD331" i="23"/>
  <c r="AD330" i="23"/>
  <c r="N354" i="23"/>
  <c r="L354" i="23"/>
  <c r="K354" i="23"/>
  <c r="I354" i="23"/>
  <c r="J354" i="23" s="1"/>
  <c r="H354" i="23"/>
  <c r="G354" i="23"/>
  <c r="AD284" i="23"/>
  <c r="AD283" i="23"/>
  <c r="AD282" i="23"/>
  <c r="AD281" i="23"/>
  <c r="AD280" i="23"/>
  <c r="AD279" i="23"/>
  <c r="AD278" i="23"/>
  <c r="AD277" i="23"/>
  <c r="AD276" i="23"/>
  <c r="AD275" i="23"/>
  <c r="AD274" i="23"/>
  <c r="N298" i="23"/>
  <c r="L298" i="23"/>
  <c r="K298" i="23"/>
  <c r="I298" i="23"/>
  <c r="J298" i="23" s="1"/>
  <c r="H298" i="23"/>
  <c r="G298" i="23"/>
  <c r="P1418" i="23"/>
  <c r="F1418" i="23"/>
  <c r="P970" i="23"/>
  <c r="F970" i="23"/>
  <c r="M1463" i="23"/>
  <c r="N1463" i="23"/>
  <c r="AE1463" i="23" s="1"/>
  <c r="M1407" i="23"/>
  <c r="N1407" i="23"/>
  <c r="AE1407" i="23" s="1"/>
  <c r="M959" i="23"/>
  <c r="N959" i="23"/>
  <c r="AE959" i="23" s="1"/>
  <c r="M903" i="23"/>
  <c r="N903" i="23"/>
  <c r="AE903" i="23" s="1"/>
  <c r="M679" i="23"/>
  <c r="N679" i="23"/>
  <c r="AE679" i="23" s="1"/>
  <c r="M343" i="23"/>
  <c r="N343" i="23"/>
  <c r="AE343" i="23" s="1"/>
  <c r="M4712" i="22"/>
  <c r="N4712" i="22"/>
  <c r="M4604" i="22"/>
  <c r="N4604" i="22"/>
  <c r="M4550" i="22"/>
  <c r="N4550" i="22"/>
  <c r="M4142" i="22"/>
  <c r="N4142" i="22"/>
  <c r="U4142" i="22" s="1"/>
  <c r="M3572" i="22"/>
  <c r="N3572" i="22"/>
  <c r="U3572" i="22" s="1"/>
  <c r="M3410" i="22"/>
  <c r="N3410" i="22"/>
  <c r="U3410" i="22" s="1"/>
  <c r="M3356" i="22"/>
  <c r="N3356" i="22"/>
  <c r="U3356" i="22" s="1"/>
  <c r="N3086" i="22"/>
  <c r="U3086" i="22" s="1"/>
  <c r="M3086" i="22"/>
  <c r="M2978" i="22"/>
  <c r="N2978" i="22"/>
  <c r="U2978" i="22" s="1"/>
  <c r="M2924" i="22"/>
  <c r="N2924" i="22"/>
  <c r="U2924" i="22" s="1"/>
  <c r="M2708" i="22"/>
  <c r="N2708" i="22"/>
  <c r="U2708" i="22" s="1"/>
  <c r="M1952" i="22"/>
  <c r="N1952" i="22"/>
  <c r="U1952" i="22" s="1"/>
  <c r="M1574" i="22"/>
  <c r="N1574" i="22"/>
  <c r="U1574" i="22" s="1"/>
  <c r="M1196" i="22"/>
  <c r="N1196" i="22"/>
  <c r="U1196" i="22" s="1"/>
  <c r="M1034" i="22"/>
  <c r="N1034" i="22"/>
  <c r="U1034" i="22" s="1"/>
  <c r="M548" i="22"/>
  <c r="N548" i="22"/>
  <c r="U548" i="22" s="1"/>
  <c r="M494" i="22"/>
  <c r="N494" i="22"/>
  <c r="U494" i="22" s="1"/>
  <c r="M170" i="22"/>
  <c r="N170" i="22"/>
  <c r="U170" i="22" s="1"/>
  <c r="E746" i="23"/>
  <c r="K746" i="23"/>
  <c r="J746" i="23"/>
  <c r="L17" i="8" s="1"/>
  <c r="K17" i="8"/>
  <c r="M127" i="7"/>
  <c r="M65" i="7"/>
  <c r="F1520" i="23"/>
  <c r="O1520" i="23" s="1"/>
  <c r="K1520" i="23"/>
  <c r="F1352" i="23"/>
  <c r="O1352" i="23" s="1"/>
  <c r="K1352" i="23"/>
  <c r="K1184" i="23"/>
  <c r="F1184" i="23"/>
  <c r="O1184" i="23" s="1"/>
  <c r="K792" i="23"/>
  <c r="F792" i="23"/>
  <c r="O792" i="23" s="1"/>
  <c r="F456" i="23"/>
  <c r="O456" i="23" s="1"/>
  <c r="K456" i="23"/>
  <c r="P106" i="12"/>
  <c r="K3519" i="22"/>
  <c r="F3519" i="22"/>
  <c r="O3519" i="22" s="1"/>
  <c r="K3465" i="22"/>
  <c r="F3465" i="22"/>
  <c r="O3465" i="22" s="1"/>
  <c r="K3411" i="22"/>
  <c r="F3411" i="22"/>
  <c r="O3411" i="22" s="1"/>
  <c r="F3141" i="22"/>
  <c r="O3141" i="22" s="1"/>
  <c r="K3141" i="22"/>
  <c r="K3087" i="22"/>
  <c r="F3087" i="22"/>
  <c r="O3087" i="22" s="1"/>
  <c r="K2655" i="22"/>
  <c r="F2655" i="22"/>
  <c r="O2655" i="22" s="1"/>
  <c r="F2601" i="22"/>
  <c r="O2601" i="22" s="1"/>
  <c r="K2601" i="22"/>
  <c r="K2277" i="22"/>
  <c r="F2277" i="22"/>
  <c r="O2277" i="22" s="1"/>
  <c r="K2223" i="22"/>
  <c r="F2223" i="22"/>
  <c r="O2223" i="22" s="1"/>
  <c r="F1413" i="22"/>
  <c r="O1413" i="22" s="1"/>
  <c r="K1413" i="22"/>
  <c r="F1035" i="22"/>
  <c r="O1035" i="22" s="1"/>
  <c r="K1035" i="22"/>
  <c r="F495" i="22"/>
  <c r="O495" i="22" s="1"/>
  <c r="K495" i="22"/>
  <c r="F441" i="22"/>
  <c r="O441" i="22" s="1"/>
  <c r="K441" i="22"/>
  <c r="F171" i="22"/>
  <c r="O171" i="22" s="1"/>
  <c r="K171" i="22"/>
  <c r="K117" i="22"/>
  <c r="F117" i="22"/>
  <c r="O117" i="22" s="1"/>
  <c r="AE1348" i="23"/>
  <c r="AE1349" i="23"/>
  <c r="H1250" i="23" l="1"/>
  <c r="H410" i="23"/>
  <c r="K4768" i="22"/>
  <c r="F4768" i="22"/>
  <c r="K4552" i="22"/>
  <c r="F4552" i="22"/>
  <c r="K3412" i="22"/>
  <c r="F3412" i="22"/>
  <c r="O3412" i="22" s="1"/>
  <c r="K3358" i="22"/>
  <c r="F3358" i="22"/>
  <c r="O3358" i="22" s="1"/>
  <c r="K3304" i="22"/>
  <c r="F3304" i="22"/>
  <c r="O3304" i="22" s="1"/>
  <c r="K3034" i="22"/>
  <c r="F3034" i="22"/>
  <c r="O3034" i="22" s="1"/>
  <c r="K2980" i="22"/>
  <c r="F2980" i="22"/>
  <c r="O2980" i="22" s="1"/>
  <c r="K2656" i="22"/>
  <c r="F2656" i="22"/>
  <c r="O2656" i="22" s="1"/>
  <c r="K2332" i="22"/>
  <c r="F2332" i="22"/>
  <c r="O2332" i="22" s="1"/>
  <c r="K1738" i="22"/>
  <c r="F1738" i="22"/>
  <c r="O1738" i="22" s="1"/>
  <c r="K1468" i="22"/>
  <c r="F1468" i="22"/>
  <c r="O1468" i="22" s="1"/>
  <c r="K1144" i="22"/>
  <c r="F1144" i="22"/>
  <c r="O1144" i="22" s="1"/>
  <c r="K820" i="22"/>
  <c r="F820" i="22"/>
  <c r="O820" i="22" s="1"/>
  <c r="K550" i="22"/>
  <c r="F550" i="22"/>
  <c r="O550" i="22" s="1"/>
  <c r="M1633" i="23"/>
  <c r="J1633" i="23"/>
  <c r="N1633" i="23" s="1"/>
  <c r="AE1633" i="23" s="1"/>
  <c r="D1633" i="23"/>
  <c r="P1633" i="23"/>
  <c r="Q1633" i="23"/>
  <c r="R1633" i="23"/>
  <c r="I1634" i="23"/>
  <c r="L1634" i="23"/>
  <c r="C1634" i="23"/>
  <c r="K1634" i="23" s="1"/>
  <c r="E1634" i="23"/>
  <c r="F1634" i="23"/>
  <c r="O1634" i="23" s="1"/>
  <c r="G1634" i="23"/>
  <c r="B1635" i="23"/>
  <c r="M1577" i="23"/>
  <c r="J1577" i="23"/>
  <c r="N1577" i="23" s="1"/>
  <c r="AE1577" i="23" s="1"/>
  <c r="D1577" i="23"/>
  <c r="P1577" i="23"/>
  <c r="Q1577" i="23"/>
  <c r="R1577" i="23"/>
  <c r="L1578" i="23"/>
  <c r="I1578" i="23"/>
  <c r="C1578" i="23"/>
  <c r="E1578" i="23"/>
  <c r="G1578" i="23"/>
  <c r="B1579" i="23"/>
  <c r="J1521" i="23"/>
  <c r="D1521" i="23"/>
  <c r="P1521" i="23"/>
  <c r="Q1521" i="23"/>
  <c r="R1521" i="23"/>
  <c r="L1522" i="23"/>
  <c r="I1522" i="23"/>
  <c r="C1522" i="23"/>
  <c r="K1522" i="23" s="1"/>
  <c r="E1522" i="23"/>
  <c r="F1522" i="23"/>
  <c r="O1522" i="23" s="1"/>
  <c r="G1522" i="23"/>
  <c r="B1523" i="23"/>
  <c r="M1465" i="23"/>
  <c r="J1465" i="23"/>
  <c r="N1465" i="23" s="1"/>
  <c r="AE1465" i="23" s="1"/>
  <c r="D1465" i="23"/>
  <c r="P1465" i="23"/>
  <c r="Q1465" i="23"/>
  <c r="R1465" i="23"/>
  <c r="L1466" i="23"/>
  <c r="I1466" i="23"/>
  <c r="C1466" i="23"/>
  <c r="K1466" i="23" s="1"/>
  <c r="E1466" i="23"/>
  <c r="F1466" i="23"/>
  <c r="O1466" i="23" s="1"/>
  <c r="G1466" i="23"/>
  <c r="B1467" i="23"/>
  <c r="M1409" i="23"/>
  <c r="J1409" i="23"/>
  <c r="N1409" i="23" s="1"/>
  <c r="AE1409" i="23" s="1"/>
  <c r="D1409" i="23"/>
  <c r="P1409" i="23"/>
  <c r="Q1409" i="23"/>
  <c r="R1409" i="23"/>
  <c r="L1410" i="23"/>
  <c r="I1410" i="23"/>
  <c r="C1410" i="23"/>
  <c r="E1410" i="23"/>
  <c r="G1410" i="23"/>
  <c r="B1411" i="23"/>
  <c r="L1354" i="23"/>
  <c r="I1354" i="23"/>
  <c r="E1354" i="23"/>
  <c r="B1355" i="23"/>
  <c r="C1354" i="23"/>
  <c r="K1354" i="23" s="1"/>
  <c r="F1354" i="23"/>
  <c r="O1354" i="23" s="1"/>
  <c r="G1354" i="23"/>
  <c r="J1353" i="23"/>
  <c r="D1353" i="23"/>
  <c r="P1353" i="23"/>
  <c r="Q1353" i="23"/>
  <c r="R1353" i="23"/>
  <c r="M1297" i="23"/>
  <c r="J1297" i="23"/>
  <c r="N1297" i="23" s="1"/>
  <c r="AE1297" i="23" s="1"/>
  <c r="D1297" i="23"/>
  <c r="P1297" i="23"/>
  <c r="Q1297" i="23"/>
  <c r="R1297" i="23"/>
  <c r="L1298" i="23"/>
  <c r="I1298" i="23"/>
  <c r="C1298" i="23"/>
  <c r="E1298" i="23"/>
  <c r="G1298" i="23"/>
  <c r="B1299" i="23"/>
  <c r="M1241" i="23"/>
  <c r="J1241" i="23"/>
  <c r="N1241" i="23" s="1"/>
  <c r="AE1241" i="23" s="1"/>
  <c r="D1241" i="23"/>
  <c r="P1241" i="23"/>
  <c r="Q1241" i="23"/>
  <c r="R1241" i="23"/>
  <c r="L1242" i="23"/>
  <c r="I1242" i="23"/>
  <c r="C1242" i="23"/>
  <c r="K1242" i="23" s="1"/>
  <c r="E1242" i="23"/>
  <c r="F1242" i="23"/>
  <c r="O1242" i="23" s="1"/>
  <c r="G1242" i="23"/>
  <c r="B1243" i="23"/>
  <c r="M1185" i="23"/>
  <c r="J1185" i="23"/>
  <c r="N1185" i="23" s="1"/>
  <c r="AE1185" i="23" s="1"/>
  <c r="D1185" i="23"/>
  <c r="P1185" i="23"/>
  <c r="Q1185" i="23"/>
  <c r="R1185" i="23"/>
  <c r="L1186" i="23"/>
  <c r="I1186" i="23"/>
  <c r="C1186" i="23"/>
  <c r="E1186" i="23"/>
  <c r="G1186" i="23"/>
  <c r="B1187" i="23"/>
  <c r="M1129" i="23"/>
  <c r="J1129" i="23"/>
  <c r="N1129" i="23" s="1"/>
  <c r="AE1129" i="23" s="1"/>
  <c r="D1129" i="23"/>
  <c r="P1129" i="23"/>
  <c r="Q1129" i="23"/>
  <c r="R1129" i="23"/>
  <c r="L1130" i="23"/>
  <c r="I1130" i="23"/>
  <c r="C1130" i="23"/>
  <c r="K1130" i="23" s="1"/>
  <c r="E1130" i="23"/>
  <c r="F1130" i="23"/>
  <c r="O1130" i="23" s="1"/>
  <c r="G1130" i="23"/>
  <c r="B1131" i="23"/>
  <c r="M1073" i="23"/>
  <c r="J1073" i="23"/>
  <c r="N1073" i="23" s="1"/>
  <c r="AE1073" i="23" s="1"/>
  <c r="D1073" i="23"/>
  <c r="P1073" i="23"/>
  <c r="Q1073" i="23"/>
  <c r="R1073" i="23"/>
  <c r="L1074" i="23"/>
  <c r="I1074" i="23"/>
  <c r="C1074" i="23"/>
  <c r="K1074" i="23" s="1"/>
  <c r="E1074" i="23"/>
  <c r="F1074" i="23"/>
  <c r="O1074" i="23" s="1"/>
  <c r="G1074" i="23"/>
  <c r="B1075" i="23"/>
  <c r="J1017" i="23"/>
  <c r="D1017" i="23"/>
  <c r="P1017" i="23"/>
  <c r="Q1017" i="23"/>
  <c r="R1017" i="23"/>
  <c r="L1018" i="23"/>
  <c r="I1018" i="23"/>
  <c r="C1018" i="23"/>
  <c r="E1018" i="23"/>
  <c r="G1018" i="23"/>
  <c r="B1019" i="23"/>
  <c r="J961" i="23"/>
  <c r="D961" i="23"/>
  <c r="P961" i="23"/>
  <c r="Q961" i="23"/>
  <c r="R961" i="23"/>
  <c r="L962" i="23"/>
  <c r="I962" i="23"/>
  <c r="C962" i="23"/>
  <c r="E962" i="23"/>
  <c r="G962" i="23"/>
  <c r="B963" i="23"/>
  <c r="J905" i="23"/>
  <c r="D905" i="23"/>
  <c r="P905" i="23"/>
  <c r="Q905" i="23"/>
  <c r="R905" i="23"/>
  <c r="L906" i="23"/>
  <c r="I906" i="23"/>
  <c r="C906" i="23"/>
  <c r="K906" i="23" s="1"/>
  <c r="E906" i="23"/>
  <c r="F906" i="23"/>
  <c r="O906" i="23" s="1"/>
  <c r="G906" i="23"/>
  <c r="B907" i="23"/>
  <c r="M849" i="23"/>
  <c r="J849" i="23"/>
  <c r="N849" i="23" s="1"/>
  <c r="AE849" i="23" s="1"/>
  <c r="D849" i="23"/>
  <c r="P849" i="23"/>
  <c r="Q849" i="23"/>
  <c r="R849" i="23"/>
  <c r="L850" i="23"/>
  <c r="I850" i="23"/>
  <c r="C850" i="23"/>
  <c r="K850" i="23" s="1"/>
  <c r="E850" i="23"/>
  <c r="F850" i="23"/>
  <c r="O850" i="23" s="1"/>
  <c r="G850" i="23"/>
  <c r="B851" i="23"/>
  <c r="M793" i="23"/>
  <c r="J793" i="23"/>
  <c r="N793" i="23" s="1"/>
  <c r="AE793" i="23" s="1"/>
  <c r="D793" i="23"/>
  <c r="P793" i="23"/>
  <c r="Q793" i="23"/>
  <c r="R793" i="23"/>
  <c r="L794" i="23"/>
  <c r="I794" i="23"/>
  <c r="C794" i="23"/>
  <c r="K794" i="23" s="1"/>
  <c r="E794" i="23"/>
  <c r="F794" i="23"/>
  <c r="O794" i="23" s="1"/>
  <c r="G794" i="23"/>
  <c r="B795" i="23"/>
  <c r="M737" i="23"/>
  <c r="J737" i="23"/>
  <c r="N737" i="23" s="1"/>
  <c r="AE737" i="23" s="1"/>
  <c r="D737" i="23"/>
  <c r="P737" i="23"/>
  <c r="Q737" i="23"/>
  <c r="R737" i="23"/>
  <c r="L738" i="23"/>
  <c r="I738" i="23"/>
  <c r="C738" i="23"/>
  <c r="K738" i="23" s="1"/>
  <c r="E738" i="23"/>
  <c r="F738" i="23"/>
  <c r="O738" i="23" s="1"/>
  <c r="G738" i="23"/>
  <c r="B739" i="23"/>
  <c r="M681" i="23"/>
  <c r="J681" i="23"/>
  <c r="N681" i="23" s="1"/>
  <c r="AE681" i="23" s="1"/>
  <c r="D681" i="23"/>
  <c r="P681" i="23"/>
  <c r="Q681" i="23"/>
  <c r="R681" i="23"/>
  <c r="L682" i="23"/>
  <c r="I682" i="23"/>
  <c r="C682" i="23"/>
  <c r="E682" i="23"/>
  <c r="G682" i="23"/>
  <c r="B683" i="23"/>
  <c r="M625" i="23"/>
  <c r="J625" i="23"/>
  <c r="N625" i="23" s="1"/>
  <c r="AE625" i="23" s="1"/>
  <c r="D625" i="23"/>
  <c r="P625" i="23"/>
  <c r="Q625" i="23"/>
  <c r="R625" i="23"/>
  <c r="L626" i="23"/>
  <c r="I626" i="23"/>
  <c r="C626" i="23"/>
  <c r="E626" i="23"/>
  <c r="G626" i="23"/>
  <c r="B627" i="23"/>
  <c r="M569" i="23"/>
  <c r="J569" i="23"/>
  <c r="N569" i="23" s="1"/>
  <c r="AE569" i="23" s="1"/>
  <c r="D569" i="23"/>
  <c r="P569" i="23"/>
  <c r="Q569" i="23"/>
  <c r="R569" i="23"/>
  <c r="L570" i="23"/>
  <c r="I570" i="23"/>
  <c r="C570" i="23"/>
  <c r="K570" i="23" s="1"/>
  <c r="E570" i="23"/>
  <c r="F570" i="23"/>
  <c r="O570" i="23" s="1"/>
  <c r="G570" i="23"/>
  <c r="B571" i="23"/>
  <c r="M513" i="23"/>
  <c r="J513" i="23"/>
  <c r="N513" i="23" s="1"/>
  <c r="AE513" i="23" s="1"/>
  <c r="D513" i="23"/>
  <c r="P513" i="23"/>
  <c r="Q513" i="23"/>
  <c r="R513" i="23"/>
  <c r="L514" i="23"/>
  <c r="I514" i="23"/>
  <c r="C514" i="23"/>
  <c r="K514" i="23" s="1"/>
  <c r="E514" i="23"/>
  <c r="F514" i="23"/>
  <c r="O514" i="23" s="1"/>
  <c r="G514" i="23"/>
  <c r="B515" i="23"/>
  <c r="M457" i="23"/>
  <c r="J457" i="23"/>
  <c r="N457" i="23" s="1"/>
  <c r="AE457" i="23" s="1"/>
  <c r="D457" i="23"/>
  <c r="P457" i="23"/>
  <c r="Q457" i="23"/>
  <c r="R457" i="23"/>
  <c r="L458" i="23"/>
  <c r="I458" i="23"/>
  <c r="G458" i="23"/>
  <c r="B459" i="23"/>
  <c r="E458" i="23"/>
  <c r="C458" i="23"/>
  <c r="K458" i="23" s="1"/>
  <c r="F458" i="23"/>
  <c r="O458" i="23" s="1"/>
  <c r="M401" i="23"/>
  <c r="J401" i="23"/>
  <c r="N401" i="23" s="1"/>
  <c r="AE401" i="23" s="1"/>
  <c r="D401" i="23"/>
  <c r="P401" i="23"/>
  <c r="Q401" i="23"/>
  <c r="R401" i="23"/>
  <c r="L402" i="23"/>
  <c r="I402" i="23"/>
  <c r="C402" i="23"/>
  <c r="E402" i="23"/>
  <c r="G402" i="23"/>
  <c r="B403" i="23"/>
  <c r="M345" i="23"/>
  <c r="J345" i="23"/>
  <c r="N345" i="23" s="1"/>
  <c r="AE345" i="23" s="1"/>
  <c r="D345" i="23"/>
  <c r="P345" i="23"/>
  <c r="Q345" i="23"/>
  <c r="R345" i="23"/>
  <c r="L346" i="23"/>
  <c r="I346" i="23"/>
  <c r="C346" i="23"/>
  <c r="K346" i="23" s="1"/>
  <c r="E346" i="23"/>
  <c r="F346" i="23"/>
  <c r="O346" i="23" s="1"/>
  <c r="G346" i="23"/>
  <c r="B347" i="23"/>
  <c r="M289" i="23"/>
  <c r="J289" i="23"/>
  <c r="N289" i="23" s="1"/>
  <c r="AE289" i="23" s="1"/>
  <c r="D289" i="23"/>
  <c r="P289" i="23"/>
  <c r="Q289" i="23"/>
  <c r="R289" i="23"/>
  <c r="L290" i="23"/>
  <c r="I290" i="23"/>
  <c r="C290" i="23"/>
  <c r="E290" i="23"/>
  <c r="G290" i="23"/>
  <c r="B291" i="23"/>
  <c r="D4768" i="22"/>
  <c r="J4768" i="22"/>
  <c r="N4768" i="22" s="1"/>
  <c r="P4768" i="22"/>
  <c r="Q4768" i="22"/>
  <c r="R4768" i="22"/>
  <c r="M4768" i="22"/>
  <c r="C4769" i="22"/>
  <c r="F4769" i="22" s="1"/>
  <c r="E4769" i="22"/>
  <c r="G4769" i="22"/>
  <c r="I4769" i="22"/>
  <c r="K4769" i="22"/>
  <c r="L4769" i="22"/>
  <c r="B4770" i="22"/>
  <c r="S4713" i="22"/>
  <c r="U4713" i="22"/>
  <c r="M4714" i="22"/>
  <c r="D4714" i="22"/>
  <c r="J4714" i="22"/>
  <c r="N4714" i="22" s="1"/>
  <c r="P4714" i="22"/>
  <c r="Q4714" i="22"/>
  <c r="R4714" i="22"/>
  <c r="L4715" i="22"/>
  <c r="C4715" i="22"/>
  <c r="K4715" i="22" s="1"/>
  <c r="E4715" i="22"/>
  <c r="F4715" i="22"/>
  <c r="G4715" i="22"/>
  <c r="I4715" i="22"/>
  <c r="B4716" i="22"/>
  <c r="P4660" i="22"/>
  <c r="Q4660" i="22"/>
  <c r="R4660" i="22"/>
  <c r="C4661" i="22"/>
  <c r="D4661" i="22" s="1"/>
  <c r="E4661" i="22"/>
  <c r="F4661" i="22"/>
  <c r="O4661" i="22" s="1"/>
  <c r="G4661" i="22"/>
  <c r="B4662" i="22"/>
  <c r="M4606" i="22"/>
  <c r="J4606" i="22"/>
  <c r="N4606" i="22" s="1"/>
  <c r="D4606" i="22"/>
  <c r="P4606" i="22"/>
  <c r="Q4606" i="22"/>
  <c r="R4606" i="22"/>
  <c r="I4607" i="22"/>
  <c r="L4607" i="22"/>
  <c r="C4607" i="22"/>
  <c r="K4607" i="22" s="1"/>
  <c r="E4607" i="22"/>
  <c r="F4607" i="22"/>
  <c r="G4607" i="22"/>
  <c r="B4608" i="22"/>
  <c r="M4552" i="22"/>
  <c r="D4552" i="22"/>
  <c r="J4552" i="22"/>
  <c r="N4552" i="22" s="1"/>
  <c r="P4552" i="22"/>
  <c r="Q4552" i="22"/>
  <c r="R4552" i="22"/>
  <c r="L4553" i="22"/>
  <c r="C4553" i="22"/>
  <c r="K4553" i="22" s="1"/>
  <c r="E4553" i="22"/>
  <c r="F4553" i="22"/>
  <c r="G4553" i="22"/>
  <c r="I4553" i="22"/>
  <c r="B4554" i="22"/>
  <c r="D4252" i="22"/>
  <c r="J4252" i="22"/>
  <c r="N4252" i="22" s="1"/>
  <c r="U4252" i="22" s="1"/>
  <c r="P4252" i="22"/>
  <c r="Q4252" i="22"/>
  <c r="R4252" i="22"/>
  <c r="M4252" i="22"/>
  <c r="C4253" i="22"/>
  <c r="E4253" i="22"/>
  <c r="F4253" i="22"/>
  <c r="O4253" i="22" s="1"/>
  <c r="G4253" i="22"/>
  <c r="I4253" i="22"/>
  <c r="K4253" i="22"/>
  <c r="L4253" i="22"/>
  <c r="B4254" i="22"/>
  <c r="D4198" i="22"/>
  <c r="J4198" i="22"/>
  <c r="P4198" i="22"/>
  <c r="Q4198" i="22"/>
  <c r="R4198" i="22"/>
  <c r="L4199" i="22"/>
  <c r="C4199" i="22"/>
  <c r="E4199" i="22"/>
  <c r="G4199" i="22"/>
  <c r="I4199" i="22"/>
  <c r="B4200" i="22"/>
  <c r="D4144" i="22"/>
  <c r="J4144" i="22"/>
  <c r="P4144" i="22"/>
  <c r="Q4144" i="22"/>
  <c r="R4144" i="22"/>
  <c r="L4145" i="22"/>
  <c r="C4145" i="22"/>
  <c r="K4145" i="22" s="1"/>
  <c r="E4145" i="22"/>
  <c r="F4145" i="22"/>
  <c r="O4145" i="22" s="1"/>
  <c r="G4145" i="22"/>
  <c r="I4145" i="22"/>
  <c r="B4146" i="22"/>
  <c r="M4090" i="22"/>
  <c r="D4090" i="22"/>
  <c r="J4090" i="22"/>
  <c r="N4090" i="22" s="1"/>
  <c r="U4090" i="22" s="1"/>
  <c r="P4090" i="22"/>
  <c r="Q4090" i="22"/>
  <c r="R4090" i="22"/>
  <c r="L4091" i="22"/>
  <c r="C4091" i="22"/>
  <c r="K4091" i="22" s="1"/>
  <c r="E4091" i="22"/>
  <c r="F4091" i="22"/>
  <c r="O4091" i="22" s="1"/>
  <c r="G4091" i="22"/>
  <c r="I4091" i="22"/>
  <c r="B4092" i="22"/>
  <c r="M3790" i="22"/>
  <c r="D3790" i="22"/>
  <c r="J3790" i="22"/>
  <c r="N3790" i="22" s="1"/>
  <c r="U3790" i="22" s="1"/>
  <c r="P3790" i="22"/>
  <c r="Q3790" i="22"/>
  <c r="R3790" i="22"/>
  <c r="L3791" i="22"/>
  <c r="C3791" i="22"/>
  <c r="K3791" i="22" s="1"/>
  <c r="E3791" i="22"/>
  <c r="F3791" i="22"/>
  <c r="O3791" i="22" s="1"/>
  <c r="G3791" i="22"/>
  <c r="I3791" i="22"/>
  <c r="B3792" i="22"/>
  <c r="M3736" i="22"/>
  <c r="D3736" i="22"/>
  <c r="J3736" i="22"/>
  <c r="N3736" i="22" s="1"/>
  <c r="U3736" i="22" s="1"/>
  <c r="P3736" i="22"/>
  <c r="Q3736" i="22"/>
  <c r="R3736" i="22"/>
  <c r="L3737" i="22"/>
  <c r="C3737" i="22"/>
  <c r="K3737" i="22" s="1"/>
  <c r="E3737" i="22"/>
  <c r="F3737" i="22"/>
  <c r="O3737" i="22" s="1"/>
  <c r="G3737" i="22"/>
  <c r="I3737" i="22"/>
  <c r="B3738" i="22"/>
  <c r="M3682" i="22"/>
  <c r="D3682" i="22"/>
  <c r="J3682" i="22"/>
  <c r="N3682" i="22" s="1"/>
  <c r="U3682" i="22" s="1"/>
  <c r="P3682" i="22"/>
  <c r="Q3682" i="22"/>
  <c r="R3682" i="22"/>
  <c r="L3683" i="22"/>
  <c r="C3683" i="22"/>
  <c r="K3683" i="22" s="1"/>
  <c r="E3683" i="22"/>
  <c r="F3683" i="22"/>
  <c r="O3683" i="22" s="1"/>
  <c r="G3683" i="22"/>
  <c r="I3683" i="22"/>
  <c r="B3684" i="22"/>
  <c r="M3628" i="22"/>
  <c r="D3628" i="22"/>
  <c r="J3628" i="22"/>
  <c r="N3628" i="22" s="1"/>
  <c r="U3628" i="22" s="1"/>
  <c r="P3628" i="22"/>
  <c r="Q3628" i="22"/>
  <c r="R3628" i="22"/>
  <c r="L3629" i="22"/>
  <c r="C3629" i="22"/>
  <c r="E3629" i="22"/>
  <c r="G3629" i="22"/>
  <c r="I3629" i="22"/>
  <c r="B3630" i="22"/>
  <c r="P3574" i="22"/>
  <c r="Q3574" i="22"/>
  <c r="R3574" i="22"/>
  <c r="L3575" i="22"/>
  <c r="I3575" i="22"/>
  <c r="C3575" i="22"/>
  <c r="K3575" i="22" s="1"/>
  <c r="E3575" i="22"/>
  <c r="F3575" i="22"/>
  <c r="O3575" i="22" s="1"/>
  <c r="G3575" i="22"/>
  <c r="B3576" i="22"/>
  <c r="D3574" i="22"/>
  <c r="J3574" i="22"/>
  <c r="P3520" i="22"/>
  <c r="Q3520" i="22"/>
  <c r="R3520" i="22"/>
  <c r="D3520" i="22"/>
  <c r="J3520" i="22"/>
  <c r="L3521" i="22"/>
  <c r="I3521" i="22"/>
  <c r="B3522" i="22"/>
  <c r="C3521" i="22"/>
  <c r="K3521" i="22" s="1"/>
  <c r="E3521" i="22"/>
  <c r="F3521" i="22"/>
  <c r="O3521" i="22" s="1"/>
  <c r="G3521" i="22"/>
  <c r="M3466" i="22"/>
  <c r="D3466" i="22"/>
  <c r="J3466" i="22"/>
  <c r="N3466" i="22" s="1"/>
  <c r="U3466" i="22" s="1"/>
  <c r="P3466" i="22"/>
  <c r="Q3466" i="22"/>
  <c r="R3466" i="22"/>
  <c r="L3467" i="22"/>
  <c r="C3467" i="22"/>
  <c r="E3467" i="22"/>
  <c r="G3467" i="22"/>
  <c r="I3467" i="22"/>
  <c r="B3468" i="22"/>
  <c r="M3412" i="22"/>
  <c r="D3412" i="22"/>
  <c r="J3412" i="22"/>
  <c r="N3412" i="22" s="1"/>
  <c r="U3412" i="22" s="1"/>
  <c r="P3412" i="22"/>
  <c r="Q3412" i="22"/>
  <c r="R3412" i="22"/>
  <c r="L3413" i="22"/>
  <c r="C3413" i="22"/>
  <c r="E3413" i="22"/>
  <c r="G3413" i="22"/>
  <c r="I3413" i="22"/>
  <c r="B3414" i="22"/>
  <c r="M3358" i="22"/>
  <c r="D3358" i="22"/>
  <c r="J3358" i="22"/>
  <c r="N3358" i="22" s="1"/>
  <c r="U3358" i="22" s="1"/>
  <c r="P3358" i="22"/>
  <c r="Q3358" i="22"/>
  <c r="R3358" i="22"/>
  <c r="L3359" i="22"/>
  <c r="C3359" i="22"/>
  <c r="K3359" i="22" s="1"/>
  <c r="E3359" i="22"/>
  <c r="F3359" i="22"/>
  <c r="O3359" i="22" s="1"/>
  <c r="G3359" i="22"/>
  <c r="I3359" i="22"/>
  <c r="B3360" i="22"/>
  <c r="M3304" i="22"/>
  <c r="D3304" i="22"/>
  <c r="J3304" i="22"/>
  <c r="N3304" i="22" s="1"/>
  <c r="U3304" i="22" s="1"/>
  <c r="P3304" i="22"/>
  <c r="Q3304" i="22"/>
  <c r="R3304" i="22"/>
  <c r="L3305" i="22"/>
  <c r="C3305" i="22"/>
  <c r="K3305" i="22" s="1"/>
  <c r="E3305" i="22"/>
  <c r="F3305" i="22"/>
  <c r="O3305" i="22" s="1"/>
  <c r="G3305" i="22"/>
  <c r="I3305" i="22"/>
  <c r="B3306" i="22"/>
  <c r="M3250" i="22"/>
  <c r="D3250" i="22"/>
  <c r="J3250" i="22"/>
  <c r="N3250" i="22" s="1"/>
  <c r="U3250" i="22" s="1"/>
  <c r="P3250" i="22"/>
  <c r="Q3250" i="22"/>
  <c r="R3250" i="22"/>
  <c r="L3251" i="22"/>
  <c r="C3251" i="22"/>
  <c r="K3251" i="22" s="1"/>
  <c r="E3251" i="22"/>
  <c r="F3251" i="22"/>
  <c r="O3251" i="22" s="1"/>
  <c r="G3251" i="22"/>
  <c r="I3251" i="22"/>
  <c r="B3252" i="22"/>
  <c r="M3196" i="22"/>
  <c r="D3196" i="22"/>
  <c r="J3196" i="22"/>
  <c r="N3196" i="22" s="1"/>
  <c r="U3196" i="22" s="1"/>
  <c r="P3196" i="22"/>
  <c r="Q3196" i="22"/>
  <c r="R3196" i="22"/>
  <c r="L3197" i="22"/>
  <c r="C3197" i="22"/>
  <c r="K3197" i="22" s="1"/>
  <c r="E3197" i="22"/>
  <c r="F3197" i="22"/>
  <c r="O3197" i="22" s="1"/>
  <c r="G3197" i="22"/>
  <c r="I3197" i="22"/>
  <c r="B3198" i="22"/>
  <c r="P3142" i="22"/>
  <c r="Q3142" i="22"/>
  <c r="R3142" i="22"/>
  <c r="J3142" i="22"/>
  <c r="D3142" i="22"/>
  <c r="L3143" i="22"/>
  <c r="G3143" i="22"/>
  <c r="B3144" i="22"/>
  <c r="C3143" i="22"/>
  <c r="E3143" i="22"/>
  <c r="I3143" i="22"/>
  <c r="M3088" i="22"/>
  <c r="P3088" i="22"/>
  <c r="Q3088" i="22"/>
  <c r="R3088" i="22"/>
  <c r="J3088" i="22"/>
  <c r="N3088" i="22" s="1"/>
  <c r="U3088" i="22" s="1"/>
  <c r="D3088" i="22"/>
  <c r="L3089" i="22"/>
  <c r="E3089" i="22"/>
  <c r="G3089" i="22"/>
  <c r="C3089" i="22"/>
  <c r="B3090" i="22"/>
  <c r="I3089" i="22"/>
  <c r="M3034" i="22"/>
  <c r="L3035" i="22"/>
  <c r="C3035" i="22"/>
  <c r="K3035" i="22" s="1"/>
  <c r="E3035" i="22"/>
  <c r="F3035" i="22"/>
  <c r="O3035" i="22" s="1"/>
  <c r="G3035" i="22"/>
  <c r="B3036" i="22"/>
  <c r="I3035" i="22"/>
  <c r="D3034" i="22"/>
  <c r="J3034" i="22"/>
  <c r="N3034" i="22" s="1"/>
  <c r="U3034" i="22" s="1"/>
  <c r="P3034" i="22"/>
  <c r="Q3034" i="22"/>
  <c r="R3034" i="22"/>
  <c r="M2980" i="22"/>
  <c r="L2981" i="22"/>
  <c r="E2981" i="22"/>
  <c r="G2981" i="22"/>
  <c r="B2982" i="22"/>
  <c r="C2981" i="22"/>
  <c r="I2981" i="22"/>
  <c r="D2980" i="22"/>
  <c r="J2980" i="22"/>
  <c r="N2980" i="22" s="1"/>
  <c r="U2980" i="22" s="1"/>
  <c r="P2980" i="22"/>
  <c r="Q2980" i="22"/>
  <c r="R2980" i="22"/>
  <c r="L2927" i="22"/>
  <c r="E2927" i="22"/>
  <c r="G2927" i="22"/>
  <c r="C2927" i="22"/>
  <c r="K2927" i="22" s="1"/>
  <c r="F2927" i="22"/>
  <c r="O2927" i="22" s="1"/>
  <c r="B2928" i="22"/>
  <c r="I2927" i="22"/>
  <c r="D2926" i="22"/>
  <c r="J2926" i="22"/>
  <c r="P2926" i="22"/>
  <c r="Q2926" i="22"/>
  <c r="R2926" i="22"/>
  <c r="M2872" i="22"/>
  <c r="D2872" i="22"/>
  <c r="J2872" i="22"/>
  <c r="N2872" i="22" s="1"/>
  <c r="U2872" i="22" s="1"/>
  <c r="P2872" i="22"/>
  <c r="Q2872" i="22"/>
  <c r="R2872" i="22"/>
  <c r="L2873" i="22"/>
  <c r="C2873" i="22"/>
  <c r="K2873" i="22" s="1"/>
  <c r="E2873" i="22"/>
  <c r="F2873" i="22"/>
  <c r="O2873" i="22" s="1"/>
  <c r="G2873" i="22"/>
  <c r="I2873" i="22"/>
  <c r="B2874" i="22"/>
  <c r="D2818" i="22"/>
  <c r="J2818" i="22"/>
  <c r="P2818" i="22"/>
  <c r="Q2818" i="22"/>
  <c r="R2818" i="22"/>
  <c r="T2818" i="22"/>
  <c r="U2818" i="22" s="1"/>
  <c r="L2819" i="22"/>
  <c r="C2819" i="22"/>
  <c r="K2819" i="22" s="1"/>
  <c r="E2819" i="22"/>
  <c r="F2819" i="22"/>
  <c r="O2819" i="22" s="1"/>
  <c r="G2819" i="22"/>
  <c r="I2819" i="22"/>
  <c r="B2820" i="22"/>
  <c r="D2764" i="22"/>
  <c r="J2764" i="22"/>
  <c r="P2764" i="22"/>
  <c r="Q2764" i="22"/>
  <c r="R2764" i="22"/>
  <c r="L2765" i="22"/>
  <c r="C2765" i="22"/>
  <c r="K2765" i="22" s="1"/>
  <c r="E2765" i="22"/>
  <c r="F2765" i="22"/>
  <c r="O2765" i="22" s="1"/>
  <c r="G2765" i="22"/>
  <c r="I2765" i="22"/>
  <c r="B2766" i="22"/>
  <c r="M2710" i="22"/>
  <c r="D2710" i="22"/>
  <c r="J2710" i="22"/>
  <c r="N2710" i="22" s="1"/>
  <c r="U2710" i="22" s="1"/>
  <c r="P2710" i="22"/>
  <c r="Q2710" i="22"/>
  <c r="R2710" i="22"/>
  <c r="L2711" i="22"/>
  <c r="C2711" i="22"/>
  <c r="E2711" i="22"/>
  <c r="G2711" i="22"/>
  <c r="I2711" i="22"/>
  <c r="B2712" i="22"/>
  <c r="M2656" i="22"/>
  <c r="D2656" i="22"/>
  <c r="J2656" i="22"/>
  <c r="N2656" i="22" s="1"/>
  <c r="U2656" i="22" s="1"/>
  <c r="P2656" i="22"/>
  <c r="Q2656" i="22"/>
  <c r="R2656" i="22"/>
  <c r="L2657" i="22"/>
  <c r="C2657" i="22"/>
  <c r="E2657" i="22"/>
  <c r="G2657" i="22"/>
  <c r="I2657" i="22"/>
  <c r="B2658" i="22"/>
  <c r="M2602" i="22"/>
  <c r="J2602" i="22"/>
  <c r="N2602" i="22" s="1"/>
  <c r="U2602" i="22" s="1"/>
  <c r="D2602" i="22"/>
  <c r="L2603" i="22"/>
  <c r="G2603" i="22"/>
  <c r="B2604" i="22"/>
  <c r="C2603" i="22"/>
  <c r="K2603" i="22" s="1"/>
  <c r="I2603" i="22"/>
  <c r="E2603" i="22"/>
  <c r="F2603" i="22"/>
  <c r="O2603" i="22" s="1"/>
  <c r="P2602" i="22"/>
  <c r="Q2602" i="22"/>
  <c r="R2602" i="22"/>
  <c r="M2548" i="22"/>
  <c r="D2548" i="22"/>
  <c r="J2548" i="22"/>
  <c r="N2548" i="22" s="1"/>
  <c r="U2548" i="22" s="1"/>
  <c r="P2548" i="22"/>
  <c r="Q2548" i="22"/>
  <c r="R2548" i="22"/>
  <c r="L2549" i="22"/>
  <c r="C2549" i="22"/>
  <c r="K2549" i="22" s="1"/>
  <c r="E2549" i="22"/>
  <c r="F2549" i="22"/>
  <c r="O2549" i="22" s="1"/>
  <c r="G2549" i="22"/>
  <c r="I2549" i="22"/>
  <c r="B2550" i="22"/>
  <c r="M2494" i="22"/>
  <c r="D2494" i="22"/>
  <c r="J2494" i="22"/>
  <c r="N2494" i="22" s="1"/>
  <c r="U2494" i="22" s="1"/>
  <c r="P2494" i="22"/>
  <c r="Q2494" i="22"/>
  <c r="R2494" i="22"/>
  <c r="L2495" i="22"/>
  <c r="C2495" i="22"/>
  <c r="K2495" i="22" s="1"/>
  <c r="E2495" i="22"/>
  <c r="F2495" i="22"/>
  <c r="O2495" i="22" s="1"/>
  <c r="G2495" i="22"/>
  <c r="I2495" i="22"/>
  <c r="B2496" i="22"/>
  <c r="D2440" i="22"/>
  <c r="J2440" i="22"/>
  <c r="P2440" i="22"/>
  <c r="Q2440" i="22"/>
  <c r="R2440" i="22"/>
  <c r="L2441" i="22"/>
  <c r="C2441" i="22"/>
  <c r="E2441" i="22"/>
  <c r="G2441" i="22"/>
  <c r="I2441" i="22"/>
  <c r="B2442" i="22"/>
  <c r="D2386" i="22"/>
  <c r="J2386" i="22"/>
  <c r="P2386" i="22"/>
  <c r="Q2386" i="22"/>
  <c r="R2386" i="22"/>
  <c r="L2387" i="22"/>
  <c r="C2387" i="22"/>
  <c r="K2387" i="22" s="1"/>
  <c r="E2387" i="22"/>
  <c r="F2387" i="22"/>
  <c r="O2387" i="22" s="1"/>
  <c r="G2387" i="22"/>
  <c r="I2387" i="22"/>
  <c r="B2388" i="22"/>
  <c r="M2332" i="22"/>
  <c r="D2332" i="22"/>
  <c r="J2332" i="22"/>
  <c r="N2332" i="22" s="1"/>
  <c r="U2332" i="22" s="1"/>
  <c r="P2332" i="22"/>
  <c r="Q2332" i="22"/>
  <c r="R2332" i="22"/>
  <c r="L2333" i="22"/>
  <c r="C2333" i="22"/>
  <c r="K2333" i="22" s="1"/>
  <c r="E2333" i="22"/>
  <c r="F2333" i="22"/>
  <c r="O2333" i="22" s="1"/>
  <c r="G2333" i="22"/>
  <c r="I2333" i="22"/>
  <c r="B2334" i="22"/>
  <c r="M2278" i="22"/>
  <c r="D2278" i="22"/>
  <c r="J2278" i="22"/>
  <c r="N2278" i="22" s="1"/>
  <c r="U2278" i="22" s="1"/>
  <c r="L2279" i="22"/>
  <c r="E2279" i="22"/>
  <c r="B2280" i="22"/>
  <c r="I2279" i="22"/>
  <c r="G2279" i="22"/>
  <c r="C2279" i="22"/>
  <c r="P2278" i="22"/>
  <c r="Q2278" i="22"/>
  <c r="R2278" i="22"/>
  <c r="M2224" i="22"/>
  <c r="D2224" i="22"/>
  <c r="J2224" i="22"/>
  <c r="N2224" i="22" s="1"/>
  <c r="U2224" i="22" s="1"/>
  <c r="P2224" i="22"/>
  <c r="Q2224" i="22"/>
  <c r="R2224" i="22"/>
  <c r="L2225" i="22"/>
  <c r="C2225" i="22"/>
  <c r="K2225" i="22" s="1"/>
  <c r="E2225" i="22"/>
  <c r="F2225" i="22"/>
  <c r="O2225" i="22" s="1"/>
  <c r="G2225" i="22"/>
  <c r="I2225" i="22"/>
  <c r="B2226" i="22"/>
  <c r="M2170" i="22"/>
  <c r="D2170" i="22"/>
  <c r="J2170" i="22"/>
  <c r="N2170" i="22" s="1"/>
  <c r="U2170" i="22" s="1"/>
  <c r="P2170" i="22"/>
  <c r="Q2170" i="22"/>
  <c r="R2170" i="22"/>
  <c r="L2171" i="22"/>
  <c r="C2171" i="22"/>
  <c r="K2171" i="22" s="1"/>
  <c r="E2171" i="22"/>
  <c r="F2171" i="22"/>
  <c r="O2171" i="22" s="1"/>
  <c r="G2171" i="22"/>
  <c r="I2171" i="22"/>
  <c r="B2172" i="22"/>
  <c r="M2116" i="22"/>
  <c r="D2116" i="22"/>
  <c r="J2116" i="22"/>
  <c r="N2116" i="22" s="1"/>
  <c r="U2116" i="22" s="1"/>
  <c r="P2116" i="22"/>
  <c r="Q2116" i="22"/>
  <c r="R2116" i="22"/>
  <c r="L2117" i="22"/>
  <c r="C2117" i="22"/>
  <c r="K2117" i="22" s="1"/>
  <c r="E2117" i="22"/>
  <c r="F2117" i="22"/>
  <c r="O2117" i="22" s="1"/>
  <c r="G2117" i="22"/>
  <c r="I2117" i="22"/>
  <c r="B2118" i="22"/>
  <c r="M2062" i="22"/>
  <c r="D2062" i="22"/>
  <c r="J2062" i="22"/>
  <c r="N2062" i="22" s="1"/>
  <c r="U2062" i="22" s="1"/>
  <c r="P2062" i="22"/>
  <c r="Q2062" i="22"/>
  <c r="R2062" i="22"/>
  <c r="L2063" i="22"/>
  <c r="C2063" i="22"/>
  <c r="E2063" i="22"/>
  <c r="G2063" i="22"/>
  <c r="I2063" i="22"/>
  <c r="B2064" i="22"/>
  <c r="M2008" i="22"/>
  <c r="D2008" i="22"/>
  <c r="J2008" i="22"/>
  <c r="N2008" i="22" s="1"/>
  <c r="U2008" i="22" s="1"/>
  <c r="P2008" i="22"/>
  <c r="Q2008" i="22"/>
  <c r="R2008" i="22"/>
  <c r="L2009" i="22"/>
  <c r="C2009" i="22"/>
  <c r="K2009" i="22" s="1"/>
  <c r="E2009" i="22"/>
  <c r="F2009" i="22"/>
  <c r="O2009" i="22" s="1"/>
  <c r="G2009" i="22"/>
  <c r="I2009" i="22"/>
  <c r="B2010" i="22"/>
  <c r="M1954" i="22"/>
  <c r="D1954" i="22"/>
  <c r="J1954" i="22"/>
  <c r="N1954" i="22" s="1"/>
  <c r="U1954" i="22" s="1"/>
  <c r="P1954" i="22"/>
  <c r="Q1954" i="22"/>
  <c r="R1954" i="22"/>
  <c r="L1955" i="22"/>
  <c r="C1955" i="22"/>
  <c r="K1955" i="22" s="1"/>
  <c r="E1955" i="22"/>
  <c r="F1955" i="22"/>
  <c r="O1955" i="22" s="1"/>
  <c r="G1955" i="22"/>
  <c r="I1955" i="22"/>
  <c r="B1956" i="22"/>
  <c r="M1900" i="22"/>
  <c r="D1900" i="22"/>
  <c r="J1900" i="22"/>
  <c r="N1900" i="22" s="1"/>
  <c r="U1900" i="22" s="1"/>
  <c r="P1900" i="22"/>
  <c r="Q1900" i="22"/>
  <c r="R1900" i="22"/>
  <c r="L1901" i="22"/>
  <c r="C1901" i="22"/>
  <c r="K1901" i="22" s="1"/>
  <c r="E1901" i="22"/>
  <c r="F1901" i="22"/>
  <c r="O1901" i="22" s="1"/>
  <c r="G1901" i="22"/>
  <c r="I1901" i="22"/>
  <c r="B1902" i="22"/>
  <c r="M1846" i="22"/>
  <c r="D1846" i="22"/>
  <c r="J1846" i="22"/>
  <c r="N1846" i="22" s="1"/>
  <c r="U1846" i="22" s="1"/>
  <c r="P1846" i="22"/>
  <c r="Q1846" i="22"/>
  <c r="R1846" i="22"/>
  <c r="L1847" i="22"/>
  <c r="C1847" i="22"/>
  <c r="K1847" i="22" s="1"/>
  <c r="E1847" i="22"/>
  <c r="F1847" i="22"/>
  <c r="O1847" i="22" s="1"/>
  <c r="G1847" i="22"/>
  <c r="I1847" i="22"/>
  <c r="B1848" i="22"/>
  <c r="M1792" i="22"/>
  <c r="D1792" i="22"/>
  <c r="J1792" i="22"/>
  <c r="N1792" i="22" s="1"/>
  <c r="U1792" i="22" s="1"/>
  <c r="P1792" i="22"/>
  <c r="Q1792" i="22"/>
  <c r="R1792" i="22"/>
  <c r="L1793" i="22"/>
  <c r="C1793" i="22"/>
  <c r="E1793" i="22"/>
  <c r="G1793" i="22"/>
  <c r="I1793" i="22"/>
  <c r="B1794" i="22"/>
  <c r="M1738" i="22"/>
  <c r="D1738" i="22"/>
  <c r="J1738" i="22"/>
  <c r="N1738" i="22" s="1"/>
  <c r="U1738" i="22" s="1"/>
  <c r="P1738" i="22"/>
  <c r="Q1738" i="22"/>
  <c r="R1738" i="22"/>
  <c r="L1739" i="22"/>
  <c r="C1739" i="22"/>
  <c r="K1739" i="22" s="1"/>
  <c r="E1739" i="22"/>
  <c r="F1739" i="22"/>
  <c r="O1739" i="22" s="1"/>
  <c r="G1739" i="22"/>
  <c r="I1739" i="22"/>
  <c r="B1740" i="22"/>
  <c r="M1684" i="22"/>
  <c r="D1684" i="22"/>
  <c r="J1684" i="22"/>
  <c r="N1684" i="22" s="1"/>
  <c r="U1684" i="22" s="1"/>
  <c r="P1684" i="22"/>
  <c r="Q1684" i="22"/>
  <c r="R1684" i="22"/>
  <c r="L1685" i="22"/>
  <c r="C1685" i="22"/>
  <c r="K1685" i="22" s="1"/>
  <c r="E1685" i="22"/>
  <c r="F1685" i="22"/>
  <c r="O1685" i="22" s="1"/>
  <c r="G1685" i="22"/>
  <c r="I1685" i="22"/>
  <c r="B1686" i="22"/>
  <c r="M1630" i="22"/>
  <c r="D1630" i="22"/>
  <c r="J1630" i="22"/>
  <c r="N1630" i="22" s="1"/>
  <c r="U1630" i="22" s="1"/>
  <c r="P1630" i="22"/>
  <c r="Q1630" i="22"/>
  <c r="R1630" i="22"/>
  <c r="L1631" i="22"/>
  <c r="C1631" i="22"/>
  <c r="K1631" i="22" s="1"/>
  <c r="E1631" i="22"/>
  <c r="F1631" i="22"/>
  <c r="O1631" i="22" s="1"/>
  <c r="G1631" i="22"/>
  <c r="I1631" i="22"/>
  <c r="B1632" i="22"/>
  <c r="M1576" i="22"/>
  <c r="D1576" i="22"/>
  <c r="J1576" i="22"/>
  <c r="N1576" i="22" s="1"/>
  <c r="U1576" i="22" s="1"/>
  <c r="P1576" i="22"/>
  <c r="Q1576" i="22"/>
  <c r="R1576" i="22"/>
  <c r="L1577" i="22"/>
  <c r="C1577" i="22"/>
  <c r="K1577" i="22" s="1"/>
  <c r="E1577" i="22"/>
  <c r="F1577" i="22"/>
  <c r="O1577" i="22" s="1"/>
  <c r="G1577" i="22"/>
  <c r="I1577" i="22"/>
  <c r="B1578" i="22"/>
  <c r="M1522" i="22"/>
  <c r="D1522" i="22"/>
  <c r="J1522" i="22"/>
  <c r="N1522" i="22" s="1"/>
  <c r="U1522" i="22" s="1"/>
  <c r="P1522" i="22"/>
  <c r="Q1522" i="22"/>
  <c r="R1522" i="22"/>
  <c r="L1523" i="22"/>
  <c r="C1523" i="22"/>
  <c r="K1523" i="22" s="1"/>
  <c r="E1523" i="22"/>
  <c r="F1523" i="22"/>
  <c r="O1523" i="22" s="1"/>
  <c r="G1523" i="22"/>
  <c r="I1523" i="22"/>
  <c r="B1524" i="22"/>
  <c r="M1468" i="22"/>
  <c r="D1468" i="22"/>
  <c r="J1468" i="22"/>
  <c r="N1468" i="22" s="1"/>
  <c r="U1468" i="22" s="1"/>
  <c r="P1468" i="22"/>
  <c r="Q1468" i="22"/>
  <c r="R1468" i="22"/>
  <c r="L1469" i="22"/>
  <c r="C1469" i="22"/>
  <c r="K1469" i="22" s="1"/>
  <c r="E1469" i="22"/>
  <c r="F1469" i="22"/>
  <c r="O1469" i="22" s="1"/>
  <c r="G1469" i="22"/>
  <c r="I1469" i="22"/>
  <c r="B1470" i="22"/>
  <c r="M1414" i="22"/>
  <c r="D1414" i="22"/>
  <c r="J1414" i="22"/>
  <c r="N1414" i="22" s="1"/>
  <c r="U1414" i="22" s="1"/>
  <c r="P1414" i="22"/>
  <c r="Q1414" i="22"/>
  <c r="R1414" i="22"/>
  <c r="L1415" i="22"/>
  <c r="C1415" i="22"/>
  <c r="K1415" i="22" s="1"/>
  <c r="E1415" i="22"/>
  <c r="F1415" i="22"/>
  <c r="O1415" i="22" s="1"/>
  <c r="G1415" i="22"/>
  <c r="I1415" i="22"/>
  <c r="B1416" i="22"/>
  <c r="M1360" i="22"/>
  <c r="D1360" i="22"/>
  <c r="J1360" i="22"/>
  <c r="N1360" i="22" s="1"/>
  <c r="U1360" i="22" s="1"/>
  <c r="P1360" i="22"/>
  <c r="Q1360" i="22"/>
  <c r="R1360" i="22"/>
  <c r="L1361" i="22"/>
  <c r="C1361" i="22"/>
  <c r="K1361" i="22" s="1"/>
  <c r="E1361" i="22"/>
  <c r="F1361" i="22"/>
  <c r="O1361" i="22" s="1"/>
  <c r="G1361" i="22"/>
  <c r="I1361" i="22"/>
  <c r="B1362" i="22"/>
  <c r="M1306" i="22"/>
  <c r="D1306" i="22"/>
  <c r="J1306" i="22"/>
  <c r="N1306" i="22" s="1"/>
  <c r="U1306" i="22" s="1"/>
  <c r="P1306" i="22"/>
  <c r="Q1306" i="22"/>
  <c r="R1306" i="22"/>
  <c r="L1307" i="22"/>
  <c r="C1307" i="22"/>
  <c r="E1307" i="22"/>
  <c r="G1307" i="22"/>
  <c r="I1307" i="22"/>
  <c r="B1308" i="22"/>
  <c r="D1252" i="22"/>
  <c r="J1252" i="22"/>
  <c r="P1252" i="22"/>
  <c r="Q1252" i="22"/>
  <c r="R1252" i="22"/>
  <c r="L1253" i="22"/>
  <c r="C1253" i="22"/>
  <c r="E1253" i="22"/>
  <c r="G1253" i="22"/>
  <c r="I1253" i="22"/>
  <c r="B1254" i="22"/>
  <c r="D1198" i="22"/>
  <c r="J1198" i="22"/>
  <c r="P1198" i="22"/>
  <c r="Q1198" i="22"/>
  <c r="R1198" i="22"/>
  <c r="L1199" i="22"/>
  <c r="C1199" i="22"/>
  <c r="E1199" i="22"/>
  <c r="G1199" i="22"/>
  <c r="I1199" i="22"/>
  <c r="B1200" i="22"/>
  <c r="M1144" i="22"/>
  <c r="D1144" i="22"/>
  <c r="J1144" i="22"/>
  <c r="N1144" i="22" s="1"/>
  <c r="U1144" i="22" s="1"/>
  <c r="P1144" i="22"/>
  <c r="Q1144" i="22"/>
  <c r="R1144" i="22"/>
  <c r="L1145" i="22"/>
  <c r="C1145" i="22"/>
  <c r="E1145" i="22"/>
  <c r="G1145" i="22"/>
  <c r="I1145" i="22"/>
  <c r="B1146" i="22"/>
  <c r="M1090" i="22"/>
  <c r="D1090" i="22"/>
  <c r="J1090" i="22"/>
  <c r="N1090" i="22" s="1"/>
  <c r="U1090" i="22" s="1"/>
  <c r="P1090" i="22"/>
  <c r="Q1090" i="22"/>
  <c r="R1090" i="22"/>
  <c r="L1091" i="22"/>
  <c r="C1091" i="22"/>
  <c r="K1091" i="22" s="1"/>
  <c r="E1091" i="22"/>
  <c r="F1091" i="22"/>
  <c r="O1091" i="22" s="1"/>
  <c r="G1091" i="22"/>
  <c r="I1091" i="22"/>
  <c r="B1092" i="22"/>
  <c r="D1036" i="22"/>
  <c r="J1036" i="22"/>
  <c r="P1036" i="22"/>
  <c r="Q1036" i="22"/>
  <c r="R1036" i="22"/>
  <c r="L1037" i="22"/>
  <c r="G1037" i="22"/>
  <c r="C1037" i="22"/>
  <c r="K1037" i="22" s="1"/>
  <c r="E1037" i="22"/>
  <c r="F1037" i="22"/>
  <c r="O1037" i="22" s="1"/>
  <c r="I1037" i="22"/>
  <c r="B1038" i="22"/>
  <c r="M982" i="22"/>
  <c r="D982" i="22"/>
  <c r="J982" i="22"/>
  <c r="N982" i="22" s="1"/>
  <c r="U982" i="22" s="1"/>
  <c r="P982" i="22"/>
  <c r="Q982" i="22"/>
  <c r="R982" i="22"/>
  <c r="L983" i="22"/>
  <c r="C983" i="22"/>
  <c r="K983" i="22" s="1"/>
  <c r="E983" i="22"/>
  <c r="F983" i="22"/>
  <c r="O983" i="22" s="1"/>
  <c r="G983" i="22"/>
  <c r="I983" i="22"/>
  <c r="B984" i="22"/>
  <c r="M928" i="22"/>
  <c r="D928" i="22"/>
  <c r="J928" i="22"/>
  <c r="N928" i="22" s="1"/>
  <c r="U928" i="22" s="1"/>
  <c r="P928" i="22"/>
  <c r="Q928" i="22"/>
  <c r="R928" i="22"/>
  <c r="L929" i="22"/>
  <c r="C929" i="22"/>
  <c r="E929" i="22"/>
  <c r="G929" i="22"/>
  <c r="I929" i="22"/>
  <c r="B930" i="22"/>
  <c r="M874" i="22"/>
  <c r="D874" i="22"/>
  <c r="J874" i="22"/>
  <c r="N874" i="22" s="1"/>
  <c r="U874" i="22" s="1"/>
  <c r="P874" i="22"/>
  <c r="Q874" i="22"/>
  <c r="R874" i="22"/>
  <c r="L875" i="22"/>
  <c r="C875" i="22"/>
  <c r="K875" i="22" s="1"/>
  <c r="E875" i="22"/>
  <c r="F875" i="22"/>
  <c r="O875" i="22" s="1"/>
  <c r="G875" i="22"/>
  <c r="I875" i="22"/>
  <c r="B876" i="22"/>
  <c r="M820" i="22"/>
  <c r="D820" i="22"/>
  <c r="J820" i="22"/>
  <c r="N820" i="22" s="1"/>
  <c r="U820" i="22" s="1"/>
  <c r="P820" i="22"/>
  <c r="Q820" i="22"/>
  <c r="R820" i="22"/>
  <c r="L821" i="22"/>
  <c r="C821" i="22"/>
  <c r="E821" i="22"/>
  <c r="G821" i="22"/>
  <c r="I821" i="22"/>
  <c r="B822" i="22"/>
  <c r="M766" i="22"/>
  <c r="D766" i="22"/>
  <c r="J766" i="22"/>
  <c r="N766" i="22" s="1"/>
  <c r="U766" i="22" s="1"/>
  <c r="P766" i="22"/>
  <c r="Q766" i="22"/>
  <c r="R766" i="22"/>
  <c r="L767" i="22"/>
  <c r="C767" i="22"/>
  <c r="E767" i="22"/>
  <c r="G767" i="22"/>
  <c r="I767" i="22"/>
  <c r="B768" i="22"/>
  <c r="M712" i="22"/>
  <c r="D712" i="22"/>
  <c r="J712" i="22"/>
  <c r="N712" i="22" s="1"/>
  <c r="U712" i="22" s="1"/>
  <c r="P712" i="22"/>
  <c r="Q712" i="22"/>
  <c r="R712" i="22"/>
  <c r="L713" i="22"/>
  <c r="C713" i="22"/>
  <c r="K713" i="22" s="1"/>
  <c r="E713" i="22"/>
  <c r="F713" i="22"/>
  <c r="O713" i="22" s="1"/>
  <c r="G713" i="22"/>
  <c r="I713" i="22"/>
  <c r="B714" i="22"/>
  <c r="M658" i="22"/>
  <c r="D658" i="22"/>
  <c r="J658" i="22"/>
  <c r="N658" i="22" s="1"/>
  <c r="U658" i="22" s="1"/>
  <c r="P658" i="22"/>
  <c r="Q658" i="22"/>
  <c r="R658" i="22"/>
  <c r="L659" i="22"/>
  <c r="C659" i="22"/>
  <c r="K659" i="22" s="1"/>
  <c r="E659" i="22"/>
  <c r="F659" i="22"/>
  <c r="O659" i="22" s="1"/>
  <c r="G659" i="22"/>
  <c r="I659" i="22"/>
  <c r="B660" i="22"/>
  <c r="M604" i="22"/>
  <c r="D604" i="22"/>
  <c r="J604" i="22"/>
  <c r="N604" i="22" s="1"/>
  <c r="U604" i="22" s="1"/>
  <c r="P604" i="22"/>
  <c r="Q604" i="22"/>
  <c r="R604" i="22"/>
  <c r="L605" i="22"/>
  <c r="C605" i="22"/>
  <c r="K605" i="22" s="1"/>
  <c r="E605" i="22"/>
  <c r="F605" i="22"/>
  <c r="O605" i="22" s="1"/>
  <c r="G605" i="22"/>
  <c r="I605" i="22"/>
  <c r="B606" i="22"/>
  <c r="M550" i="22"/>
  <c r="D550" i="22"/>
  <c r="J550" i="22"/>
  <c r="N550" i="22" s="1"/>
  <c r="U550" i="22" s="1"/>
  <c r="P550" i="22"/>
  <c r="Q550" i="22"/>
  <c r="R550" i="22"/>
  <c r="L551" i="22"/>
  <c r="C551" i="22"/>
  <c r="K551" i="22" s="1"/>
  <c r="E551" i="22"/>
  <c r="F551" i="22"/>
  <c r="O551" i="22" s="1"/>
  <c r="G551" i="22"/>
  <c r="I551" i="22"/>
  <c r="B552" i="22"/>
  <c r="M496" i="22"/>
  <c r="D496" i="22"/>
  <c r="J496" i="22"/>
  <c r="N496" i="22" s="1"/>
  <c r="U496" i="22" s="1"/>
  <c r="P496" i="22"/>
  <c r="Q496" i="22"/>
  <c r="R496" i="22"/>
  <c r="L497" i="22"/>
  <c r="C497" i="22"/>
  <c r="K497" i="22" s="1"/>
  <c r="E497" i="22"/>
  <c r="F497" i="22"/>
  <c r="O497" i="22" s="1"/>
  <c r="G497" i="22"/>
  <c r="I497" i="22"/>
  <c r="B498" i="22"/>
  <c r="L443" i="22"/>
  <c r="E443" i="22"/>
  <c r="G443" i="22"/>
  <c r="B444" i="22"/>
  <c r="C443" i="22"/>
  <c r="K443" i="22" s="1"/>
  <c r="F443" i="22"/>
  <c r="O443" i="22" s="1"/>
  <c r="I443" i="22"/>
  <c r="J442" i="22"/>
  <c r="D442" i="22"/>
  <c r="P442" i="22"/>
  <c r="Q442" i="22"/>
  <c r="R442" i="22"/>
  <c r="M388" i="22"/>
  <c r="D388" i="22"/>
  <c r="J388" i="22"/>
  <c r="N388" i="22" s="1"/>
  <c r="U388" i="22" s="1"/>
  <c r="P388" i="22"/>
  <c r="Q388" i="22"/>
  <c r="R388" i="22"/>
  <c r="L389" i="22"/>
  <c r="C389" i="22"/>
  <c r="E389" i="22"/>
  <c r="G389" i="22"/>
  <c r="I389" i="22"/>
  <c r="B390" i="22"/>
  <c r="M334" i="22"/>
  <c r="D334" i="22"/>
  <c r="J334" i="22"/>
  <c r="N334" i="22" s="1"/>
  <c r="U334" i="22" s="1"/>
  <c r="P334" i="22"/>
  <c r="Q334" i="22"/>
  <c r="R334" i="22"/>
  <c r="L335" i="22"/>
  <c r="C335" i="22"/>
  <c r="K335" i="22" s="1"/>
  <c r="E335" i="22"/>
  <c r="F335" i="22"/>
  <c r="O335" i="22" s="1"/>
  <c r="G335" i="22"/>
  <c r="I335" i="22"/>
  <c r="B336" i="22"/>
  <c r="M280" i="22"/>
  <c r="D280" i="22"/>
  <c r="J280" i="22"/>
  <c r="N280" i="22" s="1"/>
  <c r="U280" i="22" s="1"/>
  <c r="P280" i="22"/>
  <c r="Q280" i="22"/>
  <c r="R280" i="22"/>
  <c r="L281" i="22"/>
  <c r="C281" i="22"/>
  <c r="E281" i="22"/>
  <c r="G281" i="22"/>
  <c r="I281" i="22"/>
  <c r="B282" i="22"/>
  <c r="M226" i="22"/>
  <c r="D226" i="22"/>
  <c r="J226" i="22"/>
  <c r="N226" i="22" s="1"/>
  <c r="U226" i="22" s="1"/>
  <c r="P226" i="22"/>
  <c r="Q226" i="22"/>
  <c r="R226" i="22"/>
  <c r="L227" i="22"/>
  <c r="C227" i="22"/>
  <c r="E227" i="22"/>
  <c r="G227" i="22"/>
  <c r="I227" i="22"/>
  <c r="B228" i="22"/>
  <c r="J172" i="22"/>
  <c r="D172" i="22"/>
  <c r="L173" i="22"/>
  <c r="G173" i="22"/>
  <c r="I173" i="22"/>
  <c r="B174" i="22"/>
  <c r="C173" i="22"/>
  <c r="E173" i="22"/>
  <c r="P172" i="22"/>
  <c r="Q172" i="22"/>
  <c r="R172" i="22"/>
  <c r="M118" i="22"/>
  <c r="D118" i="22"/>
  <c r="J118" i="22"/>
  <c r="N118" i="22" s="1"/>
  <c r="U118" i="22" s="1"/>
  <c r="P118" i="22"/>
  <c r="Q118" i="22"/>
  <c r="R118" i="22"/>
  <c r="L119" i="22"/>
  <c r="C119" i="22"/>
  <c r="K119" i="22" s="1"/>
  <c r="E119" i="22"/>
  <c r="F119" i="22"/>
  <c r="O119" i="22" s="1"/>
  <c r="G119" i="22"/>
  <c r="I119" i="22"/>
  <c r="B120" i="22"/>
  <c r="G105" i="12"/>
  <c r="C106" i="12"/>
  <c r="U55" i="17"/>
  <c r="F53" i="12"/>
  <c r="M107" i="12"/>
  <c r="Q107" i="12" s="1"/>
  <c r="O107" i="12"/>
  <c r="D56" i="17"/>
  <c r="J56" i="17"/>
  <c r="BE56" i="17"/>
  <c r="BD56" i="17"/>
  <c r="BC56" i="17"/>
  <c r="BB56" i="17"/>
  <c r="BA56" i="17"/>
  <c r="AZ56" i="17"/>
  <c r="AY56" i="17"/>
  <c r="AX56" i="17"/>
  <c r="AW56" i="17"/>
  <c r="AV56" i="17"/>
  <c r="AU56" i="17"/>
  <c r="AT56" i="17"/>
  <c r="AS56" i="17"/>
  <c r="AR56" i="17"/>
  <c r="AQ56" i="17"/>
  <c r="AP56" i="17"/>
  <c r="AO56" i="17"/>
  <c r="AN56" i="17"/>
  <c r="AM56" i="17"/>
  <c r="AL56" i="17"/>
  <c r="AK56" i="17"/>
  <c r="AJ56" i="17"/>
  <c r="AI56" i="17"/>
  <c r="AH56" i="17"/>
  <c r="AG56" i="17"/>
  <c r="AF56" i="17"/>
  <c r="AE56" i="17"/>
  <c r="AD56" i="17"/>
  <c r="AC56" i="17"/>
  <c r="AB56" i="17"/>
  <c r="AA56" i="17"/>
  <c r="Z56" i="17"/>
  <c r="Y56" i="17"/>
  <c r="X56" i="17"/>
  <c r="W56" i="17"/>
  <c r="P56" i="17"/>
  <c r="F56" i="18" s="1"/>
  <c r="Q56" i="17"/>
  <c r="G56" i="18" s="1"/>
  <c r="R56" i="17"/>
  <c r="H56" i="18" s="1"/>
  <c r="V56" i="17"/>
  <c r="L57" i="17"/>
  <c r="E57" i="17"/>
  <c r="C57" i="17"/>
  <c r="G57" i="17"/>
  <c r="I57" i="17"/>
  <c r="B58" i="17"/>
  <c r="B57" i="18"/>
  <c r="F55" i="18"/>
  <c r="G55" i="18"/>
  <c r="H55" i="18"/>
  <c r="L105" i="8"/>
  <c r="L107" i="8"/>
  <c r="AD1516" i="23"/>
  <c r="AE1516" i="23"/>
  <c r="AD1511" i="23"/>
  <c r="AE1511" i="23"/>
  <c r="AD1510" i="23"/>
  <c r="AE1510" i="23"/>
  <c r="AD1509" i="23"/>
  <c r="AD1508" i="23"/>
  <c r="AE1508" i="23"/>
  <c r="AE1509" i="23"/>
  <c r="AD1507" i="23"/>
  <c r="AE1507" i="23"/>
  <c r="AE1506" i="23"/>
  <c r="AD1506" i="23"/>
  <c r="N1530" i="23"/>
  <c r="L1530" i="23"/>
  <c r="K1530" i="23"/>
  <c r="I1530" i="23"/>
  <c r="J1530" i="23" s="1"/>
  <c r="G1530" i="23"/>
  <c r="AE1512" i="23"/>
  <c r="AD1512" i="23"/>
  <c r="AE1513" i="23"/>
  <c r="AD1513" i="23"/>
  <c r="AE1514" i="23"/>
  <c r="AD1514" i="23"/>
  <c r="AE1515" i="23"/>
  <c r="AD1515" i="23"/>
  <c r="AD1460" i="23"/>
  <c r="AE1460" i="23"/>
  <c r="AD1455" i="23"/>
  <c r="AE1455" i="23"/>
  <c r="AD1454" i="23"/>
  <c r="AE1454" i="23"/>
  <c r="AD1453" i="23"/>
  <c r="AE1453" i="23"/>
  <c r="AD1452" i="23"/>
  <c r="AE1452" i="23"/>
  <c r="AD1451" i="23"/>
  <c r="AE1451" i="23"/>
  <c r="AD1450" i="23"/>
  <c r="AE1450" i="23"/>
  <c r="N1474" i="23"/>
  <c r="L1474" i="23"/>
  <c r="K1474" i="23"/>
  <c r="I1474" i="23"/>
  <c r="J1474" i="23" s="1"/>
  <c r="G1474" i="23"/>
  <c r="AE1456" i="23"/>
  <c r="AD1456" i="23"/>
  <c r="AE1457" i="23"/>
  <c r="AD1457" i="23"/>
  <c r="AE1458" i="23"/>
  <c r="AD1458" i="23"/>
  <c r="AE1459" i="23"/>
  <c r="AD1459" i="23"/>
  <c r="AD1068" i="23"/>
  <c r="AD1067" i="23"/>
  <c r="AD1066" i="23"/>
  <c r="AD1065" i="23"/>
  <c r="AD1064" i="23"/>
  <c r="AD1063" i="23"/>
  <c r="AD1062" i="23"/>
  <c r="AD1061" i="23"/>
  <c r="AD1060" i="23"/>
  <c r="AD1059" i="23"/>
  <c r="AD1058" i="23"/>
  <c r="N1082" i="23"/>
  <c r="L1082" i="23"/>
  <c r="K1082" i="23"/>
  <c r="I1082" i="23"/>
  <c r="J1082" i="23" s="1"/>
  <c r="H1082" i="23"/>
  <c r="G1082" i="23"/>
  <c r="AD1012" i="23"/>
  <c r="AD1011" i="23"/>
  <c r="AD1010" i="23"/>
  <c r="AD1009" i="23"/>
  <c r="AD1008" i="23"/>
  <c r="AD1007" i="23"/>
  <c r="AD1006" i="23"/>
  <c r="AD1005" i="23"/>
  <c r="H1026" i="23" s="1"/>
  <c r="AD1004" i="23"/>
  <c r="AD1003" i="23"/>
  <c r="AD1002" i="23"/>
  <c r="N1026" i="23"/>
  <c r="L1026" i="23"/>
  <c r="K1026" i="23"/>
  <c r="I1026" i="23"/>
  <c r="J1026" i="23" s="1"/>
  <c r="G1026" i="23"/>
  <c r="AE898" i="23"/>
  <c r="AE896" i="23"/>
  <c r="AE894" i="23"/>
  <c r="AE892" i="23"/>
  <c r="AE891" i="23"/>
  <c r="AE890" i="23"/>
  <c r="AE893" i="23"/>
  <c r="AE895" i="23"/>
  <c r="AE897" i="23"/>
  <c r="AE899" i="23"/>
  <c r="AE900" i="23"/>
  <c r="AD620" i="23"/>
  <c r="AD619" i="23"/>
  <c r="AD618" i="23"/>
  <c r="AD617" i="23"/>
  <c r="AD616" i="23"/>
  <c r="AD615" i="23"/>
  <c r="AD614" i="23"/>
  <c r="AD613" i="23"/>
  <c r="AD612" i="23"/>
  <c r="AD611" i="23"/>
  <c r="AD610" i="23"/>
  <c r="N634" i="23"/>
  <c r="L634" i="23"/>
  <c r="K634" i="23"/>
  <c r="I634" i="23"/>
  <c r="J634" i="23" s="1"/>
  <c r="H634" i="23"/>
  <c r="G634" i="23"/>
  <c r="AD564" i="23"/>
  <c r="G578" i="23"/>
  <c r="I578" i="23"/>
  <c r="J578" i="23" s="1"/>
  <c r="K578" i="23"/>
  <c r="L578" i="23"/>
  <c r="N578" i="23"/>
  <c r="AD554" i="23"/>
  <c r="AD555" i="23"/>
  <c r="AD556" i="23"/>
  <c r="AD557" i="23"/>
  <c r="AD558" i="23"/>
  <c r="AD559" i="23"/>
  <c r="AD560" i="23"/>
  <c r="AD561" i="23"/>
  <c r="AD562" i="23"/>
  <c r="AD563" i="23"/>
  <c r="AD508" i="23"/>
  <c r="AD507" i="23"/>
  <c r="AD506" i="23"/>
  <c r="AD505" i="23"/>
  <c r="AD504" i="23"/>
  <c r="AD503" i="23"/>
  <c r="AD502" i="23"/>
  <c r="AD501" i="23"/>
  <c r="G522" i="23"/>
  <c r="I522" i="23"/>
  <c r="J522" i="23" s="1"/>
  <c r="K522" i="23"/>
  <c r="L522" i="23"/>
  <c r="N522" i="23"/>
  <c r="AD498" i="23"/>
  <c r="AD499" i="23"/>
  <c r="AD500" i="23"/>
  <c r="AE448" i="23"/>
  <c r="AE445" i="23"/>
  <c r="AE442" i="23"/>
  <c r="AE443" i="23"/>
  <c r="AE444" i="23"/>
  <c r="AE447" i="23"/>
  <c r="AE446" i="23"/>
  <c r="AE449" i="23"/>
  <c r="AE450" i="23"/>
  <c r="AE451" i="23"/>
  <c r="AE452" i="23"/>
  <c r="F12" i="7"/>
  <c r="CL7" i="22"/>
  <c r="AI1629" i="23"/>
  <c r="M104" i="8"/>
  <c r="C141" i="8"/>
  <c r="AI733" i="23"/>
  <c r="M79" i="8"/>
  <c r="AD1405" i="23"/>
  <c r="AD1404" i="23"/>
  <c r="AD1403" i="23"/>
  <c r="AD1402" i="23"/>
  <c r="AD1401" i="23"/>
  <c r="AD1400" i="23"/>
  <c r="AD1399" i="23"/>
  <c r="AD1398" i="23"/>
  <c r="AD1397" i="23"/>
  <c r="AD1396" i="23"/>
  <c r="G1418" i="23"/>
  <c r="I1418" i="23"/>
  <c r="J1418" i="23" s="1"/>
  <c r="K1418" i="23"/>
  <c r="L1418" i="23"/>
  <c r="N1418" i="23"/>
  <c r="AD1394" i="23"/>
  <c r="AD1395" i="23"/>
  <c r="AD957" i="23"/>
  <c r="AD956" i="23"/>
  <c r="AD955" i="23"/>
  <c r="AD954" i="23"/>
  <c r="AD953" i="23"/>
  <c r="AD952" i="23"/>
  <c r="AD951" i="23"/>
  <c r="AD950" i="23"/>
  <c r="AD949" i="23"/>
  <c r="AD948" i="23"/>
  <c r="AD947" i="23"/>
  <c r="AD946" i="23"/>
  <c r="N970" i="23"/>
  <c r="L970" i="23"/>
  <c r="K970" i="23"/>
  <c r="I970" i="23"/>
  <c r="J970" i="23" s="1"/>
  <c r="H970" i="23"/>
  <c r="G970" i="23"/>
  <c r="P746" i="23"/>
  <c r="J1" i="23" s="1"/>
  <c r="E52" i="19" s="1"/>
  <c r="G52" i="19" s="1"/>
  <c r="H17" i="8"/>
  <c r="M1520" i="23"/>
  <c r="N1520" i="23"/>
  <c r="AE1520" i="23" s="1"/>
  <c r="M1352" i="23"/>
  <c r="N1352" i="23"/>
  <c r="AE1352" i="23" s="1"/>
  <c r="M1184" i="23"/>
  <c r="N1184" i="23"/>
  <c r="AE1184" i="23" s="1"/>
  <c r="M792" i="23"/>
  <c r="N792" i="23"/>
  <c r="AE792" i="23" s="1"/>
  <c r="M456" i="23"/>
  <c r="N456" i="23"/>
  <c r="AE456" i="23" s="1"/>
  <c r="M3519" i="22"/>
  <c r="N3519" i="22"/>
  <c r="U3519" i="22" s="1"/>
  <c r="M3465" i="22"/>
  <c r="N3465" i="22"/>
  <c r="U3465" i="22" s="1"/>
  <c r="M3411" i="22"/>
  <c r="N3411" i="22"/>
  <c r="U3411" i="22" s="1"/>
  <c r="N3141" i="22"/>
  <c r="U3141" i="22" s="1"/>
  <c r="M3141" i="22"/>
  <c r="M3087" i="22"/>
  <c r="N3087" i="22"/>
  <c r="U3087" i="22" s="1"/>
  <c r="M2655" i="22"/>
  <c r="N2655" i="22"/>
  <c r="U2655" i="22" s="1"/>
  <c r="N2601" i="22"/>
  <c r="U2601" i="22" s="1"/>
  <c r="M2601" i="22"/>
  <c r="N2277" i="22"/>
  <c r="U2277" i="22" s="1"/>
  <c r="M2277" i="22"/>
  <c r="M2223" i="22"/>
  <c r="N2223" i="22"/>
  <c r="U2223" i="22" s="1"/>
  <c r="M1413" i="22"/>
  <c r="N1413" i="22"/>
  <c r="U1413" i="22" s="1"/>
  <c r="N1035" i="22"/>
  <c r="U1035" i="22" s="1"/>
  <c r="M1035" i="22"/>
  <c r="M495" i="22"/>
  <c r="N495" i="22"/>
  <c r="U495" i="22" s="1"/>
  <c r="M441" i="22"/>
  <c r="N441" i="22"/>
  <c r="U441" i="22" s="1"/>
  <c r="M171" i="22"/>
  <c r="N171" i="22"/>
  <c r="U171" i="22" s="1"/>
  <c r="N117" i="22"/>
  <c r="U117" i="22" s="1"/>
  <c r="M117" i="22"/>
  <c r="Q106" i="12"/>
  <c r="K1521" i="23"/>
  <c r="F1521" i="23"/>
  <c r="O1521" i="23" s="1"/>
  <c r="K1353" i="23"/>
  <c r="F1353" i="23"/>
  <c r="O1353" i="23" s="1"/>
  <c r="K1017" i="23"/>
  <c r="F1017" i="23"/>
  <c r="O1017" i="23" s="1"/>
  <c r="K961" i="23"/>
  <c r="F961" i="23"/>
  <c r="O961" i="23" s="1"/>
  <c r="K905" i="23"/>
  <c r="F905" i="23"/>
  <c r="O905" i="23" s="1"/>
  <c r="P107" i="12"/>
  <c r="K4198" i="22"/>
  <c r="F4198" i="22"/>
  <c r="O4198" i="22" s="1"/>
  <c r="K4144" i="22"/>
  <c r="F4144" i="22"/>
  <c r="O4144" i="22" s="1"/>
  <c r="F3574" i="22"/>
  <c r="O3574" i="22" s="1"/>
  <c r="K3574" i="22"/>
  <c r="K3520" i="22"/>
  <c r="F3520" i="22"/>
  <c r="O3520" i="22" s="1"/>
  <c r="K3142" i="22"/>
  <c r="F3142" i="22"/>
  <c r="O3142" i="22" s="1"/>
  <c r="K2926" i="22"/>
  <c r="F2926" i="22"/>
  <c r="O2926" i="22" s="1"/>
  <c r="F2818" i="22"/>
  <c r="O2818" i="22" s="1"/>
  <c r="K2818" i="22"/>
  <c r="F2764" i="22"/>
  <c r="O2764" i="22" s="1"/>
  <c r="K2764" i="22"/>
  <c r="F2440" i="22"/>
  <c r="O2440" i="22" s="1"/>
  <c r="K2440" i="22"/>
  <c r="K2386" i="22"/>
  <c r="F2386" i="22"/>
  <c r="O2386" i="22" s="1"/>
  <c r="F1252" i="22"/>
  <c r="O1252" i="22" s="1"/>
  <c r="K1252" i="22"/>
  <c r="K1198" i="22"/>
  <c r="F1198" i="22"/>
  <c r="O1198" i="22" s="1"/>
  <c r="K1036" i="22"/>
  <c r="F1036" i="22"/>
  <c r="O1036" i="22" s="1"/>
  <c r="K442" i="22"/>
  <c r="F442" i="22"/>
  <c r="O442" i="22" s="1"/>
  <c r="K172" i="22"/>
  <c r="F172" i="22"/>
  <c r="O172" i="22" s="1"/>
  <c r="F56" i="17"/>
  <c r="C56" i="18" s="1"/>
  <c r="E56" i="18" s="1"/>
  <c r="K56" i="17"/>
  <c r="AD1461" i="23"/>
  <c r="AE1461" i="23"/>
  <c r="AD1013" i="23"/>
  <c r="AD565" i="23"/>
  <c r="AD509" i="23"/>
  <c r="AE1293" i="23"/>
  <c r="AE1287" i="23"/>
  <c r="AE1286" i="23"/>
  <c r="AE1285" i="23"/>
  <c r="AE1282" i="23"/>
  <c r="AE1292" i="23"/>
  <c r="AE1284" i="23"/>
  <c r="AE1288" i="23"/>
  <c r="AE1291" i="23"/>
  <c r="AE1290" i="23"/>
  <c r="AE1289" i="23"/>
  <c r="AE1283" i="23"/>
  <c r="AE1181" i="23"/>
  <c r="AE1178" i="23"/>
  <c r="AE1176" i="23"/>
  <c r="AE1180" i="23"/>
  <c r="AE1177" i="23"/>
  <c r="AE1174" i="23"/>
  <c r="AE1172" i="23"/>
  <c r="AE1171" i="23"/>
  <c r="AE1179" i="23"/>
  <c r="AE1175" i="23"/>
  <c r="AE1170" i="23"/>
  <c r="AE1173" i="23"/>
  <c r="AE845" i="23"/>
  <c r="AE834" i="23"/>
  <c r="AE839" i="23"/>
  <c r="AE836" i="23"/>
  <c r="AE835" i="23"/>
  <c r="AE837" i="23"/>
  <c r="AE838" i="23"/>
  <c r="AE840" i="23"/>
  <c r="AE841" i="23"/>
  <c r="AE842" i="23"/>
  <c r="AE843" i="23"/>
  <c r="AE844" i="23"/>
  <c r="AE789" i="23"/>
  <c r="AE788" i="23"/>
  <c r="AE782" i="23"/>
  <c r="AE787" i="23"/>
  <c r="AE784" i="23"/>
  <c r="AE785" i="23"/>
  <c r="AE786" i="23"/>
  <c r="AE783" i="23"/>
  <c r="AE781" i="23"/>
  <c r="AE778" i="23"/>
  <c r="AE779" i="23"/>
  <c r="AE780" i="23"/>
  <c r="AE386" i="23"/>
  <c r="AE389" i="23"/>
  <c r="AE387" i="23"/>
  <c r="AE388" i="23"/>
  <c r="AE390" i="23"/>
  <c r="AE391" i="23"/>
  <c r="AE392" i="23"/>
  <c r="AE393" i="23"/>
  <c r="AE394" i="23"/>
  <c r="AE395" i="23"/>
  <c r="AE396" i="23"/>
  <c r="AE397" i="23"/>
  <c r="AE341" i="23"/>
  <c r="AE330" i="23"/>
  <c r="AE332" i="23"/>
  <c r="AE334" i="23"/>
  <c r="AE335" i="23"/>
  <c r="AE336" i="23"/>
  <c r="AE338" i="23"/>
  <c r="AE339" i="23"/>
  <c r="AE340" i="23"/>
  <c r="AE333" i="23"/>
  <c r="AE331" i="23"/>
  <c r="AE337" i="23"/>
  <c r="AE285" i="23"/>
  <c r="AE279" i="23"/>
  <c r="AE274" i="23"/>
  <c r="AE277" i="23"/>
  <c r="AE280" i="23"/>
  <c r="AE281" i="23"/>
  <c r="AE278" i="23"/>
  <c r="AE282" i="23"/>
  <c r="AE283" i="23"/>
  <c r="AE276" i="23"/>
  <c r="AE275" i="23"/>
  <c r="AE284" i="23"/>
  <c r="H1530" i="23" l="1"/>
  <c r="H1474" i="23"/>
  <c r="H578" i="23"/>
  <c r="H522" i="23"/>
  <c r="H1418" i="23"/>
  <c r="AE1228" i="23"/>
  <c r="AE1230" i="23"/>
  <c r="AE1231" i="23"/>
  <c r="AE1232" i="23"/>
  <c r="AE1233" i="23"/>
  <c r="AE1234" i="23"/>
  <c r="AE1235" i="23"/>
  <c r="AE1236" i="23"/>
  <c r="AE1229" i="23"/>
  <c r="AE1227" i="23"/>
  <c r="AE1226" i="23"/>
  <c r="AE1237" i="23"/>
  <c r="K1578" i="23"/>
  <c r="F1578" i="23"/>
  <c r="O1578" i="23" s="1"/>
  <c r="K1410" i="23"/>
  <c r="F1410" i="23"/>
  <c r="O1410" i="23" s="1"/>
  <c r="K626" i="23"/>
  <c r="F626" i="23"/>
  <c r="O626" i="23" s="1"/>
  <c r="K290" i="23"/>
  <c r="F290" i="23"/>
  <c r="O290" i="23" s="1"/>
  <c r="K4199" i="22"/>
  <c r="F4199" i="22"/>
  <c r="O4199" i="22" s="1"/>
  <c r="K3629" i="22"/>
  <c r="F3629" i="22"/>
  <c r="O3629" i="22" s="1"/>
  <c r="K2981" i="22"/>
  <c r="F2981" i="22"/>
  <c r="O2981" i="22" s="1"/>
  <c r="K2657" i="22"/>
  <c r="F2657" i="22"/>
  <c r="O2657" i="22" s="1"/>
  <c r="K2441" i="22"/>
  <c r="F2441" i="22"/>
  <c r="O2441" i="22" s="1"/>
  <c r="K2063" i="22"/>
  <c r="F2063" i="22"/>
  <c r="O2063" i="22" s="1"/>
  <c r="K1793" i="22"/>
  <c r="F1793" i="22"/>
  <c r="O1793" i="22" s="1"/>
  <c r="K1145" i="22"/>
  <c r="F1145" i="22"/>
  <c r="O1145" i="22" s="1"/>
  <c r="K929" i="22"/>
  <c r="F929" i="22"/>
  <c r="O929" i="22" s="1"/>
  <c r="K281" i="22"/>
  <c r="F281" i="22"/>
  <c r="O281" i="22" s="1"/>
  <c r="K227" i="22"/>
  <c r="F227" i="22"/>
  <c r="O227" i="22" s="1"/>
  <c r="M1634" i="23"/>
  <c r="J1634" i="23"/>
  <c r="N1634" i="23" s="1"/>
  <c r="AE1634" i="23" s="1"/>
  <c r="D1634" i="23"/>
  <c r="P1634" i="23"/>
  <c r="Q1634" i="23"/>
  <c r="R1634" i="23"/>
  <c r="I1635" i="23"/>
  <c r="L1635" i="23"/>
  <c r="C1635" i="23"/>
  <c r="K1635" i="23" s="1"/>
  <c r="E1635" i="23"/>
  <c r="F1635" i="23"/>
  <c r="O1635" i="23" s="1"/>
  <c r="G1635" i="23"/>
  <c r="B1636" i="23"/>
  <c r="M1578" i="23"/>
  <c r="J1578" i="23"/>
  <c r="N1578" i="23" s="1"/>
  <c r="AE1578" i="23" s="1"/>
  <c r="D1578" i="23"/>
  <c r="P1578" i="23"/>
  <c r="Q1578" i="23"/>
  <c r="R1578" i="23"/>
  <c r="L1579" i="23"/>
  <c r="I1579" i="23"/>
  <c r="C1579" i="23"/>
  <c r="E1579" i="23"/>
  <c r="G1579" i="23"/>
  <c r="B1580" i="23"/>
  <c r="M1522" i="23"/>
  <c r="J1522" i="23"/>
  <c r="N1522" i="23" s="1"/>
  <c r="AE1522" i="23" s="1"/>
  <c r="D1522" i="23"/>
  <c r="P1522" i="23"/>
  <c r="Q1522" i="23"/>
  <c r="R1522" i="23"/>
  <c r="L1523" i="23"/>
  <c r="I1523" i="23"/>
  <c r="C1523" i="23"/>
  <c r="E1523" i="23"/>
  <c r="G1523" i="23"/>
  <c r="B1524" i="23"/>
  <c r="M1466" i="23"/>
  <c r="J1466" i="23"/>
  <c r="N1466" i="23" s="1"/>
  <c r="AE1466" i="23" s="1"/>
  <c r="D1466" i="23"/>
  <c r="P1466" i="23"/>
  <c r="Q1466" i="23"/>
  <c r="R1466" i="23"/>
  <c r="L1467" i="23"/>
  <c r="I1467" i="23"/>
  <c r="C1467" i="23"/>
  <c r="E1467" i="23"/>
  <c r="G1467" i="23"/>
  <c r="B1468" i="23"/>
  <c r="M1410" i="23"/>
  <c r="J1410" i="23"/>
  <c r="N1410" i="23" s="1"/>
  <c r="AE1410" i="23" s="1"/>
  <c r="D1410" i="23"/>
  <c r="P1410" i="23"/>
  <c r="Q1410" i="23"/>
  <c r="R1410" i="23"/>
  <c r="L1411" i="23"/>
  <c r="I1411" i="23"/>
  <c r="C1411" i="23"/>
  <c r="K1411" i="23" s="1"/>
  <c r="E1411" i="23"/>
  <c r="F1411" i="23"/>
  <c r="O1411" i="23" s="1"/>
  <c r="G1411" i="23"/>
  <c r="B1412" i="23"/>
  <c r="M1354" i="23"/>
  <c r="L1355" i="23"/>
  <c r="I1355" i="23"/>
  <c r="C1355" i="23"/>
  <c r="E1355" i="23"/>
  <c r="G1355" i="23"/>
  <c r="B1356" i="23"/>
  <c r="J1354" i="23"/>
  <c r="N1354" i="23" s="1"/>
  <c r="AE1354" i="23" s="1"/>
  <c r="D1354" i="23"/>
  <c r="P1354" i="23"/>
  <c r="Q1354" i="23"/>
  <c r="R1354" i="23"/>
  <c r="J1298" i="23"/>
  <c r="D1298" i="23"/>
  <c r="P1298" i="23"/>
  <c r="Q1298" i="23"/>
  <c r="R1298" i="23"/>
  <c r="L1299" i="23"/>
  <c r="I1299" i="23"/>
  <c r="C1299" i="23"/>
  <c r="K1299" i="23" s="1"/>
  <c r="E1299" i="23"/>
  <c r="F1299" i="23"/>
  <c r="O1299" i="23" s="1"/>
  <c r="G1299" i="23"/>
  <c r="B1300" i="23"/>
  <c r="M1242" i="23"/>
  <c r="J1242" i="23"/>
  <c r="N1242" i="23" s="1"/>
  <c r="AE1242" i="23" s="1"/>
  <c r="D1242" i="23"/>
  <c r="P1242" i="23"/>
  <c r="Q1242" i="23"/>
  <c r="R1242" i="23"/>
  <c r="L1243" i="23"/>
  <c r="I1243" i="23"/>
  <c r="C1243" i="23"/>
  <c r="K1243" i="23" s="1"/>
  <c r="E1243" i="23"/>
  <c r="F1243" i="23"/>
  <c r="O1243" i="23" s="1"/>
  <c r="G1243" i="23"/>
  <c r="B1244" i="23"/>
  <c r="J1186" i="23"/>
  <c r="D1186" i="23"/>
  <c r="P1186" i="23"/>
  <c r="Q1186" i="23"/>
  <c r="R1186" i="23"/>
  <c r="L1187" i="23"/>
  <c r="I1187" i="23"/>
  <c r="C1187" i="23"/>
  <c r="K1187" i="23" s="1"/>
  <c r="E1187" i="23"/>
  <c r="F1187" i="23"/>
  <c r="O1187" i="23" s="1"/>
  <c r="G1187" i="23"/>
  <c r="B1188" i="23"/>
  <c r="M1130" i="23"/>
  <c r="J1130" i="23"/>
  <c r="N1130" i="23" s="1"/>
  <c r="AE1130" i="23" s="1"/>
  <c r="D1130" i="23"/>
  <c r="P1130" i="23"/>
  <c r="Q1130" i="23"/>
  <c r="R1130" i="23"/>
  <c r="L1131" i="23"/>
  <c r="I1131" i="23"/>
  <c r="C1131" i="23"/>
  <c r="K1131" i="23" s="1"/>
  <c r="E1131" i="23"/>
  <c r="F1131" i="23"/>
  <c r="O1131" i="23" s="1"/>
  <c r="G1131" i="23"/>
  <c r="B1132" i="23"/>
  <c r="M1074" i="23"/>
  <c r="J1074" i="23"/>
  <c r="N1074" i="23" s="1"/>
  <c r="AE1074" i="23" s="1"/>
  <c r="D1074" i="23"/>
  <c r="P1074" i="23"/>
  <c r="Q1074" i="23"/>
  <c r="R1074" i="23"/>
  <c r="L1075" i="23"/>
  <c r="I1075" i="23"/>
  <c r="C1075" i="23"/>
  <c r="E1075" i="23"/>
  <c r="G1075" i="23"/>
  <c r="B1076" i="23"/>
  <c r="J1018" i="23"/>
  <c r="D1018" i="23"/>
  <c r="P1018" i="23"/>
  <c r="Q1018" i="23"/>
  <c r="R1018" i="23"/>
  <c r="L1019" i="23"/>
  <c r="I1019" i="23"/>
  <c r="C1019" i="23"/>
  <c r="E1019" i="23"/>
  <c r="G1019" i="23"/>
  <c r="B1020" i="23"/>
  <c r="J962" i="23"/>
  <c r="D962" i="23"/>
  <c r="P962" i="23"/>
  <c r="Q962" i="23"/>
  <c r="R962" i="23"/>
  <c r="L963" i="23"/>
  <c r="I963" i="23"/>
  <c r="C963" i="23"/>
  <c r="K963" i="23" s="1"/>
  <c r="E963" i="23"/>
  <c r="F963" i="23"/>
  <c r="O963" i="23" s="1"/>
  <c r="G963" i="23"/>
  <c r="B964" i="23"/>
  <c r="M906" i="23"/>
  <c r="J906" i="23"/>
  <c r="N906" i="23" s="1"/>
  <c r="AE906" i="23" s="1"/>
  <c r="D906" i="23"/>
  <c r="P906" i="23"/>
  <c r="Q906" i="23"/>
  <c r="R906" i="23"/>
  <c r="L907" i="23"/>
  <c r="I907" i="23"/>
  <c r="C907" i="23"/>
  <c r="K907" i="23" s="1"/>
  <c r="E907" i="23"/>
  <c r="F907" i="23"/>
  <c r="O907" i="23" s="1"/>
  <c r="G907" i="23"/>
  <c r="B908" i="23"/>
  <c r="M850" i="23"/>
  <c r="J850" i="23"/>
  <c r="N850" i="23" s="1"/>
  <c r="AE850" i="23" s="1"/>
  <c r="D850" i="23"/>
  <c r="P850" i="23"/>
  <c r="Q850" i="23"/>
  <c r="R850" i="23"/>
  <c r="L851" i="23"/>
  <c r="I851" i="23"/>
  <c r="C851" i="23"/>
  <c r="K851" i="23" s="1"/>
  <c r="E851" i="23"/>
  <c r="F851" i="23"/>
  <c r="O851" i="23" s="1"/>
  <c r="G851" i="23"/>
  <c r="B852" i="23"/>
  <c r="M794" i="23"/>
  <c r="J794" i="23"/>
  <c r="N794" i="23" s="1"/>
  <c r="AE794" i="23" s="1"/>
  <c r="D794" i="23"/>
  <c r="P794" i="23"/>
  <c r="Q794" i="23"/>
  <c r="R794" i="23"/>
  <c r="L795" i="23"/>
  <c r="I795" i="23"/>
  <c r="C795" i="23"/>
  <c r="K795" i="23" s="1"/>
  <c r="E795" i="23"/>
  <c r="F795" i="23"/>
  <c r="O795" i="23" s="1"/>
  <c r="G795" i="23"/>
  <c r="B796" i="23"/>
  <c r="M738" i="23"/>
  <c r="J738" i="23"/>
  <c r="N738" i="23" s="1"/>
  <c r="AE738" i="23" s="1"/>
  <c r="D738" i="23"/>
  <c r="P738" i="23"/>
  <c r="Q738" i="23"/>
  <c r="R738" i="23"/>
  <c r="L739" i="23"/>
  <c r="I739" i="23"/>
  <c r="C739" i="23"/>
  <c r="K739" i="23" s="1"/>
  <c r="E739" i="23"/>
  <c r="F739" i="23"/>
  <c r="O739" i="23" s="1"/>
  <c r="G739" i="23"/>
  <c r="B740" i="23"/>
  <c r="J682" i="23"/>
  <c r="D682" i="23"/>
  <c r="P682" i="23"/>
  <c r="Q682" i="23"/>
  <c r="R682" i="23"/>
  <c r="L683" i="23"/>
  <c r="I683" i="23"/>
  <c r="C683" i="23"/>
  <c r="K683" i="23" s="1"/>
  <c r="E683" i="23"/>
  <c r="F683" i="23"/>
  <c r="O683" i="23" s="1"/>
  <c r="G683" i="23"/>
  <c r="B684" i="23"/>
  <c r="M626" i="23"/>
  <c r="J626" i="23"/>
  <c r="N626" i="23" s="1"/>
  <c r="AE626" i="23" s="1"/>
  <c r="D626" i="23"/>
  <c r="P626" i="23"/>
  <c r="Q626" i="23"/>
  <c r="R626" i="23"/>
  <c r="L627" i="23"/>
  <c r="I627" i="23"/>
  <c r="C627" i="23"/>
  <c r="E627" i="23"/>
  <c r="G627" i="23"/>
  <c r="B628" i="23"/>
  <c r="M570" i="23"/>
  <c r="J570" i="23"/>
  <c r="N570" i="23" s="1"/>
  <c r="AE570" i="23" s="1"/>
  <c r="D570" i="23"/>
  <c r="P570" i="23"/>
  <c r="Q570" i="23"/>
  <c r="R570" i="23"/>
  <c r="L571" i="23"/>
  <c r="I571" i="23"/>
  <c r="C571" i="23"/>
  <c r="K571" i="23" s="1"/>
  <c r="E571" i="23"/>
  <c r="F571" i="23"/>
  <c r="O571" i="23" s="1"/>
  <c r="G571" i="23"/>
  <c r="B572" i="23"/>
  <c r="M514" i="23"/>
  <c r="J514" i="23"/>
  <c r="N514" i="23" s="1"/>
  <c r="AE514" i="23" s="1"/>
  <c r="D514" i="23"/>
  <c r="P514" i="23"/>
  <c r="Q514" i="23"/>
  <c r="R514" i="23"/>
  <c r="L515" i="23"/>
  <c r="I515" i="23"/>
  <c r="C515" i="23"/>
  <c r="K515" i="23" s="1"/>
  <c r="E515" i="23"/>
  <c r="F515" i="23"/>
  <c r="O515" i="23" s="1"/>
  <c r="G515" i="23"/>
  <c r="B516" i="23"/>
  <c r="M458" i="23"/>
  <c r="P458" i="23"/>
  <c r="Q458" i="23"/>
  <c r="R458" i="23"/>
  <c r="L459" i="23"/>
  <c r="I459" i="23"/>
  <c r="E459" i="23"/>
  <c r="C459" i="23"/>
  <c r="B460" i="23"/>
  <c r="G459" i="23"/>
  <c r="J458" i="23"/>
  <c r="N458" i="23" s="1"/>
  <c r="AE458" i="23" s="1"/>
  <c r="D458" i="23"/>
  <c r="J402" i="23"/>
  <c r="D402" i="23"/>
  <c r="P402" i="23"/>
  <c r="Q402" i="23"/>
  <c r="R402" i="23"/>
  <c r="L403" i="23"/>
  <c r="I403" i="23"/>
  <c r="C403" i="23"/>
  <c r="K403" i="23" s="1"/>
  <c r="E403" i="23"/>
  <c r="F403" i="23"/>
  <c r="O403" i="23" s="1"/>
  <c r="G403" i="23"/>
  <c r="B404" i="23"/>
  <c r="M346" i="23"/>
  <c r="J346" i="23"/>
  <c r="N346" i="23" s="1"/>
  <c r="AE346" i="23" s="1"/>
  <c r="D346" i="23"/>
  <c r="P346" i="23"/>
  <c r="Q346" i="23"/>
  <c r="R346" i="23"/>
  <c r="L347" i="23"/>
  <c r="I347" i="23"/>
  <c r="C347" i="23"/>
  <c r="K347" i="23" s="1"/>
  <c r="E347" i="23"/>
  <c r="F347" i="23"/>
  <c r="O347" i="23" s="1"/>
  <c r="G347" i="23"/>
  <c r="B348" i="23"/>
  <c r="M290" i="23"/>
  <c r="J290" i="23"/>
  <c r="N290" i="23" s="1"/>
  <c r="AE290" i="23" s="1"/>
  <c r="D290" i="23"/>
  <c r="P290" i="23"/>
  <c r="Q290" i="23"/>
  <c r="R290" i="23"/>
  <c r="L291" i="23"/>
  <c r="I291" i="23"/>
  <c r="C291" i="23"/>
  <c r="K291" i="23" s="1"/>
  <c r="E291" i="23"/>
  <c r="F291" i="23"/>
  <c r="O291" i="23" s="1"/>
  <c r="G291" i="23"/>
  <c r="B292" i="23"/>
  <c r="D4769" i="22"/>
  <c r="J4769" i="22"/>
  <c r="N4769" i="22" s="1"/>
  <c r="P4769" i="22"/>
  <c r="Q4769" i="22"/>
  <c r="R4769" i="22"/>
  <c r="M4769" i="22"/>
  <c r="C4770" i="22"/>
  <c r="F4770" i="22" s="1"/>
  <c r="E4770" i="22"/>
  <c r="G4770" i="22"/>
  <c r="I4770" i="22"/>
  <c r="K4770" i="22"/>
  <c r="L4770" i="22"/>
  <c r="B4771" i="22"/>
  <c r="T4713" i="22"/>
  <c r="S4714" i="22"/>
  <c r="T4714" i="22" s="1"/>
  <c r="U4714" i="22"/>
  <c r="M4715" i="22"/>
  <c r="D4715" i="22"/>
  <c r="J4715" i="22"/>
  <c r="N4715" i="22" s="1"/>
  <c r="P4715" i="22"/>
  <c r="Q4715" i="22"/>
  <c r="R4715" i="22"/>
  <c r="L4716" i="22"/>
  <c r="C4716" i="22"/>
  <c r="E4716" i="22"/>
  <c r="G4716" i="22"/>
  <c r="I4716" i="22"/>
  <c r="B4717" i="22"/>
  <c r="P4661" i="22"/>
  <c r="Q4661" i="22"/>
  <c r="R4661" i="22"/>
  <c r="C4662" i="22"/>
  <c r="E4662" i="22"/>
  <c r="G4662" i="22"/>
  <c r="B4663" i="22"/>
  <c r="M4607" i="22"/>
  <c r="J4607" i="22"/>
  <c r="N4607" i="22" s="1"/>
  <c r="D4607" i="22"/>
  <c r="P4607" i="22"/>
  <c r="Q4607" i="22"/>
  <c r="R4607" i="22"/>
  <c r="I4608" i="22"/>
  <c r="L4608" i="22"/>
  <c r="C4608" i="22"/>
  <c r="K4608" i="22" s="1"/>
  <c r="E4608" i="22"/>
  <c r="F4608" i="22"/>
  <c r="G4608" i="22"/>
  <c r="B4609" i="22"/>
  <c r="M4553" i="22"/>
  <c r="D4553" i="22"/>
  <c r="J4553" i="22"/>
  <c r="N4553" i="22" s="1"/>
  <c r="P4553" i="22"/>
  <c r="Q4553" i="22"/>
  <c r="R4553" i="22"/>
  <c r="L4554" i="22"/>
  <c r="C4554" i="22"/>
  <c r="E4554" i="22"/>
  <c r="G4554" i="22"/>
  <c r="I4554" i="22"/>
  <c r="B4555" i="22"/>
  <c r="D4253" i="22"/>
  <c r="J4253" i="22"/>
  <c r="N4253" i="22" s="1"/>
  <c r="U4253" i="22" s="1"/>
  <c r="P4253" i="22"/>
  <c r="Q4253" i="22"/>
  <c r="R4253" i="22"/>
  <c r="M4253" i="22"/>
  <c r="C4254" i="22"/>
  <c r="F4254" i="22" s="1"/>
  <c r="O4254" i="22" s="1"/>
  <c r="E4254" i="22"/>
  <c r="G4254" i="22"/>
  <c r="I4254" i="22"/>
  <c r="K4254" i="22"/>
  <c r="L4254" i="22"/>
  <c r="B4255" i="22"/>
  <c r="M4199" i="22"/>
  <c r="D4199" i="22"/>
  <c r="J4199" i="22"/>
  <c r="N4199" i="22" s="1"/>
  <c r="U4199" i="22" s="1"/>
  <c r="P4199" i="22"/>
  <c r="Q4199" i="22"/>
  <c r="R4199" i="22"/>
  <c r="L4200" i="22"/>
  <c r="C4200" i="22"/>
  <c r="K4200" i="22" s="1"/>
  <c r="E4200" i="22"/>
  <c r="F4200" i="22"/>
  <c r="O4200" i="22" s="1"/>
  <c r="G4200" i="22"/>
  <c r="I4200" i="22"/>
  <c r="B4201" i="22"/>
  <c r="M4145" i="22"/>
  <c r="D4145" i="22"/>
  <c r="J4145" i="22"/>
  <c r="N4145" i="22" s="1"/>
  <c r="U4145" i="22" s="1"/>
  <c r="P4145" i="22"/>
  <c r="Q4145" i="22"/>
  <c r="R4145" i="22"/>
  <c r="L4146" i="22"/>
  <c r="C4146" i="22"/>
  <c r="K4146" i="22" s="1"/>
  <c r="E4146" i="22"/>
  <c r="F4146" i="22"/>
  <c r="O4146" i="22" s="1"/>
  <c r="G4146" i="22"/>
  <c r="I4146" i="22"/>
  <c r="B4147" i="22"/>
  <c r="M4091" i="22"/>
  <c r="D4091" i="22"/>
  <c r="J4091" i="22"/>
  <c r="N4091" i="22" s="1"/>
  <c r="U4091" i="22" s="1"/>
  <c r="P4091" i="22"/>
  <c r="Q4091" i="22"/>
  <c r="R4091" i="22"/>
  <c r="L4092" i="22"/>
  <c r="C4092" i="22"/>
  <c r="K4092" i="22" s="1"/>
  <c r="E4092" i="22"/>
  <c r="F4092" i="22"/>
  <c r="O4092" i="22" s="1"/>
  <c r="G4092" i="22"/>
  <c r="I4092" i="22"/>
  <c r="B4093" i="22"/>
  <c r="M3791" i="22"/>
  <c r="D3791" i="22"/>
  <c r="J3791" i="22"/>
  <c r="N3791" i="22" s="1"/>
  <c r="U3791" i="22" s="1"/>
  <c r="P3791" i="22"/>
  <c r="Q3791" i="22"/>
  <c r="R3791" i="22"/>
  <c r="L3792" i="22"/>
  <c r="C3792" i="22"/>
  <c r="K3792" i="22" s="1"/>
  <c r="E3792" i="22"/>
  <c r="F3792" i="22"/>
  <c r="O3792" i="22" s="1"/>
  <c r="G3792" i="22"/>
  <c r="I3792" i="22"/>
  <c r="B3793" i="22"/>
  <c r="M3737" i="22"/>
  <c r="D3737" i="22"/>
  <c r="J3737" i="22"/>
  <c r="N3737" i="22" s="1"/>
  <c r="U3737" i="22" s="1"/>
  <c r="P3737" i="22"/>
  <c r="Q3737" i="22"/>
  <c r="R3737" i="22"/>
  <c r="L3738" i="22"/>
  <c r="C3738" i="22"/>
  <c r="K3738" i="22" s="1"/>
  <c r="E3738" i="22"/>
  <c r="F3738" i="22"/>
  <c r="O3738" i="22" s="1"/>
  <c r="G3738" i="22"/>
  <c r="I3738" i="22"/>
  <c r="B3739" i="22"/>
  <c r="M3683" i="22"/>
  <c r="D3683" i="22"/>
  <c r="J3683" i="22"/>
  <c r="N3683" i="22" s="1"/>
  <c r="U3683" i="22" s="1"/>
  <c r="P3683" i="22"/>
  <c r="Q3683" i="22"/>
  <c r="R3683" i="22"/>
  <c r="L3684" i="22"/>
  <c r="C3684" i="22"/>
  <c r="E3684" i="22"/>
  <c r="G3684" i="22"/>
  <c r="I3684" i="22"/>
  <c r="B3685" i="22"/>
  <c r="M3629" i="22"/>
  <c r="D3629" i="22"/>
  <c r="J3629" i="22"/>
  <c r="N3629" i="22" s="1"/>
  <c r="U3629" i="22" s="1"/>
  <c r="P3629" i="22"/>
  <c r="Q3629" i="22"/>
  <c r="R3629" i="22"/>
  <c r="L3630" i="22"/>
  <c r="C3630" i="22"/>
  <c r="K3630" i="22" s="1"/>
  <c r="E3630" i="22"/>
  <c r="F3630" i="22"/>
  <c r="O3630" i="22" s="1"/>
  <c r="G3630" i="22"/>
  <c r="I3630" i="22"/>
  <c r="B3631" i="22"/>
  <c r="M3575" i="22"/>
  <c r="J3575" i="22"/>
  <c r="N3575" i="22" s="1"/>
  <c r="U3575" i="22" s="1"/>
  <c r="D3575" i="22"/>
  <c r="P3575" i="22"/>
  <c r="Q3575" i="22"/>
  <c r="R3575" i="22"/>
  <c r="L3576" i="22"/>
  <c r="I3576" i="22"/>
  <c r="C3576" i="22"/>
  <c r="E3576" i="22"/>
  <c r="G3576" i="22"/>
  <c r="B3577" i="22"/>
  <c r="M3521" i="22"/>
  <c r="L3522" i="22"/>
  <c r="E3522" i="22"/>
  <c r="I3522" i="22"/>
  <c r="B3523" i="22"/>
  <c r="C3522" i="22"/>
  <c r="K3522" i="22" s="1"/>
  <c r="F3522" i="22"/>
  <c r="O3522" i="22" s="1"/>
  <c r="G3522" i="22"/>
  <c r="J3521" i="22"/>
  <c r="N3521" i="22" s="1"/>
  <c r="U3521" i="22" s="1"/>
  <c r="D3521" i="22"/>
  <c r="P3521" i="22"/>
  <c r="Q3521" i="22"/>
  <c r="R3521" i="22"/>
  <c r="D3467" i="22"/>
  <c r="J3467" i="22"/>
  <c r="P3467" i="22"/>
  <c r="Q3467" i="22"/>
  <c r="R3467" i="22"/>
  <c r="L3468" i="22"/>
  <c r="C3468" i="22"/>
  <c r="K3468" i="22" s="1"/>
  <c r="E3468" i="22"/>
  <c r="F3468" i="22"/>
  <c r="O3468" i="22" s="1"/>
  <c r="G3468" i="22"/>
  <c r="I3468" i="22"/>
  <c r="B3469" i="22"/>
  <c r="D3413" i="22"/>
  <c r="J3413" i="22"/>
  <c r="P3413" i="22"/>
  <c r="Q3413" i="22"/>
  <c r="R3413" i="22"/>
  <c r="L3414" i="22"/>
  <c r="C3414" i="22"/>
  <c r="E3414" i="22"/>
  <c r="G3414" i="22"/>
  <c r="I3414" i="22"/>
  <c r="B3415" i="22"/>
  <c r="M3359" i="22"/>
  <c r="D3359" i="22"/>
  <c r="J3359" i="22"/>
  <c r="N3359" i="22" s="1"/>
  <c r="U3359" i="22" s="1"/>
  <c r="P3359" i="22"/>
  <c r="Q3359" i="22"/>
  <c r="R3359" i="22"/>
  <c r="L3360" i="22"/>
  <c r="C3360" i="22"/>
  <c r="E3360" i="22"/>
  <c r="G3360" i="22"/>
  <c r="I3360" i="22"/>
  <c r="B3361" i="22"/>
  <c r="M3305" i="22"/>
  <c r="D3305" i="22"/>
  <c r="J3305" i="22"/>
  <c r="N3305" i="22" s="1"/>
  <c r="U3305" i="22" s="1"/>
  <c r="P3305" i="22"/>
  <c r="Q3305" i="22"/>
  <c r="R3305" i="22"/>
  <c r="L3306" i="22"/>
  <c r="C3306" i="22"/>
  <c r="K3306" i="22" s="1"/>
  <c r="E3306" i="22"/>
  <c r="F3306" i="22"/>
  <c r="O3306" i="22" s="1"/>
  <c r="G3306" i="22"/>
  <c r="I3306" i="22"/>
  <c r="B3307" i="22"/>
  <c r="M3251" i="22"/>
  <c r="D3251" i="22"/>
  <c r="J3251" i="22"/>
  <c r="N3251" i="22" s="1"/>
  <c r="U3251" i="22" s="1"/>
  <c r="P3251" i="22"/>
  <c r="Q3251" i="22"/>
  <c r="R3251" i="22"/>
  <c r="L3252" i="22"/>
  <c r="C3252" i="22"/>
  <c r="K3252" i="22" s="1"/>
  <c r="E3252" i="22"/>
  <c r="F3252" i="22"/>
  <c r="O3252" i="22" s="1"/>
  <c r="G3252" i="22"/>
  <c r="I3252" i="22"/>
  <c r="B3253" i="22"/>
  <c r="M3197" i="22"/>
  <c r="D3197" i="22"/>
  <c r="J3197" i="22"/>
  <c r="N3197" i="22" s="1"/>
  <c r="U3197" i="22" s="1"/>
  <c r="P3197" i="22"/>
  <c r="Q3197" i="22"/>
  <c r="R3197" i="22"/>
  <c r="L3198" i="22"/>
  <c r="C3198" i="22"/>
  <c r="K3198" i="22" s="1"/>
  <c r="E3198" i="22"/>
  <c r="F3198" i="22"/>
  <c r="O3198" i="22" s="1"/>
  <c r="G3198" i="22"/>
  <c r="I3198" i="22"/>
  <c r="B3199" i="22"/>
  <c r="P3143" i="22"/>
  <c r="Q3143" i="22"/>
  <c r="R3143" i="22"/>
  <c r="L3144" i="22"/>
  <c r="I3144" i="22"/>
  <c r="C3144" i="22"/>
  <c r="E3144" i="22"/>
  <c r="G3144" i="22"/>
  <c r="B3145" i="22"/>
  <c r="D3143" i="22"/>
  <c r="J3143" i="22"/>
  <c r="P3089" i="22"/>
  <c r="Q3089" i="22"/>
  <c r="R3089" i="22"/>
  <c r="D3089" i="22"/>
  <c r="J3089" i="22"/>
  <c r="L3090" i="22"/>
  <c r="G3090" i="22"/>
  <c r="C3090" i="22"/>
  <c r="K3090" i="22" s="1"/>
  <c r="E3090" i="22"/>
  <c r="F3090" i="22"/>
  <c r="O3090" i="22" s="1"/>
  <c r="B3091" i="22"/>
  <c r="I3090" i="22"/>
  <c r="M3035" i="22"/>
  <c r="D3035" i="22"/>
  <c r="J3035" i="22"/>
  <c r="N3035" i="22" s="1"/>
  <c r="U3035" i="22" s="1"/>
  <c r="P3035" i="22"/>
  <c r="Q3035" i="22"/>
  <c r="R3035" i="22"/>
  <c r="L3036" i="22"/>
  <c r="B3037" i="22"/>
  <c r="C3036" i="22"/>
  <c r="E3036" i="22"/>
  <c r="G3036" i="22"/>
  <c r="I3036" i="22"/>
  <c r="M2981" i="22"/>
  <c r="P2981" i="22"/>
  <c r="Q2981" i="22"/>
  <c r="R2981" i="22"/>
  <c r="L2982" i="22"/>
  <c r="E2982" i="22"/>
  <c r="G2982" i="22"/>
  <c r="B2983" i="22"/>
  <c r="C2982" i="22"/>
  <c r="I2982" i="22"/>
  <c r="J2981" i="22"/>
  <c r="N2981" i="22" s="1"/>
  <c r="U2981" i="22" s="1"/>
  <c r="D2981" i="22"/>
  <c r="M2927" i="22"/>
  <c r="P2927" i="22"/>
  <c r="Q2927" i="22"/>
  <c r="R2927" i="22"/>
  <c r="J2927" i="22"/>
  <c r="N2927" i="22" s="1"/>
  <c r="U2927" i="22" s="1"/>
  <c r="D2927" i="22"/>
  <c r="L2928" i="22"/>
  <c r="E2928" i="22"/>
  <c r="G2928" i="22"/>
  <c r="C2928" i="22"/>
  <c r="K2928" i="22" s="1"/>
  <c r="F2928" i="22"/>
  <c r="O2928" i="22" s="1"/>
  <c r="I2928" i="22"/>
  <c r="B2929" i="22"/>
  <c r="M2873" i="22"/>
  <c r="D2873" i="22"/>
  <c r="J2873" i="22"/>
  <c r="N2873" i="22" s="1"/>
  <c r="U2873" i="22" s="1"/>
  <c r="P2873" i="22"/>
  <c r="Q2873" i="22"/>
  <c r="R2873" i="22"/>
  <c r="L2874" i="22"/>
  <c r="C2874" i="22"/>
  <c r="K2874" i="22" s="1"/>
  <c r="E2874" i="22"/>
  <c r="F2874" i="22"/>
  <c r="O2874" i="22" s="1"/>
  <c r="G2874" i="22"/>
  <c r="I2874" i="22"/>
  <c r="B2875" i="22"/>
  <c r="M2819" i="22"/>
  <c r="D2819" i="22"/>
  <c r="J2819" i="22"/>
  <c r="N2819" i="22" s="1"/>
  <c r="S2819" i="22" s="1"/>
  <c r="P2819" i="22"/>
  <c r="Q2819" i="22"/>
  <c r="R2819" i="22"/>
  <c r="T2819" i="22"/>
  <c r="U2819" i="22" s="1"/>
  <c r="L2820" i="22"/>
  <c r="C2820" i="22"/>
  <c r="K2820" i="22" s="1"/>
  <c r="E2820" i="22"/>
  <c r="F2820" i="22"/>
  <c r="O2820" i="22" s="1"/>
  <c r="G2820" i="22"/>
  <c r="I2820" i="22"/>
  <c r="B2821" i="22"/>
  <c r="M2765" i="22"/>
  <c r="D2765" i="22"/>
  <c r="J2765" i="22"/>
  <c r="N2765" i="22" s="1"/>
  <c r="U2765" i="22" s="1"/>
  <c r="P2765" i="22"/>
  <c r="Q2765" i="22"/>
  <c r="R2765" i="22"/>
  <c r="L2766" i="22"/>
  <c r="C2766" i="22"/>
  <c r="K2766" i="22" s="1"/>
  <c r="E2766" i="22"/>
  <c r="F2766" i="22"/>
  <c r="O2766" i="22" s="1"/>
  <c r="G2766" i="22"/>
  <c r="I2766" i="22"/>
  <c r="B2767" i="22"/>
  <c r="D2711" i="22"/>
  <c r="J2711" i="22"/>
  <c r="P2711" i="22"/>
  <c r="Q2711" i="22"/>
  <c r="R2711" i="22"/>
  <c r="L2712" i="22"/>
  <c r="C2712" i="22"/>
  <c r="K2712" i="22" s="1"/>
  <c r="E2712" i="22"/>
  <c r="F2712" i="22"/>
  <c r="O2712" i="22" s="1"/>
  <c r="G2712" i="22"/>
  <c r="I2712" i="22"/>
  <c r="B2713" i="22"/>
  <c r="M2657" i="22"/>
  <c r="D2657" i="22"/>
  <c r="J2657" i="22"/>
  <c r="N2657" i="22" s="1"/>
  <c r="U2657" i="22" s="1"/>
  <c r="P2657" i="22"/>
  <c r="Q2657" i="22"/>
  <c r="R2657" i="22"/>
  <c r="L2658" i="22"/>
  <c r="C2658" i="22"/>
  <c r="K2658" i="22" s="1"/>
  <c r="E2658" i="22"/>
  <c r="F2658" i="22"/>
  <c r="O2658" i="22" s="1"/>
  <c r="G2658" i="22"/>
  <c r="I2658" i="22"/>
  <c r="B2659" i="22"/>
  <c r="M2603" i="22"/>
  <c r="P2603" i="22"/>
  <c r="Q2603" i="22"/>
  <c r="R2603" i="22"/>
  <c r="L2604" i="22"/>
  <c r="B2605" i="22"/>
  <c r="G2604" i="22"/>
  <c r="I2604" i="22"/>
  <c r="E2604" i="22"/>
  <c r="C2604" i="22"/>
  <c r="J2603" i="22"/>
  <c r="N2603" i="22" s="1"/>
  <c r="U2603" i="22" s="1"/>
  <c r="D2603" i="22"/>
  <c r="M2549" i="22"/>
  <c r="D2549" i="22"/>
  <c r="J2549" i="22"/>
  <c r="N2549" i="22" s="1"/>
  <c r="U2549" i="22" s="1"/>
  <c r="P2549" i="22"/>
  <c r="Q2549" i="22"/>
  <c r="R2549" i="22"/>
  <c r="L2550" i="22"/>
  <c r="C2550" i="22"/>
  <c r="K2550" i="22" s="1"/>
  <c r="E2550" i="22"/>
  <c r="F2550" i="22"/>
  <c r="O2550" i="22" s="1"/>
  <c r="G2550" i="22"/>
  <c r="I2550" i="22"/>
  <c r="B2551" i="22"/>
  <c r="M2495" i="22"/>
  <c r="D2495" i="22"/>
  <c r="J2495" i="22"/>
  <c r="N2495" i="22" s="1"/>
  <c r="U2495" i="22" s="1"/>
  <c r="P2495" i="22"/>
  <c r="Q2495" i="22"/>
  <c r="R2495" i="22"/>
  <c r="L2496" i="22"/>
  <c r="C2496" i="22"/>
  <c r="K2496" i="22" s="1"/>
  <c r="E2496" i="22"/>
  <c r="F2496" i="22"/>
  <c r="O2496" i="22" s="1"/>
  <c r="G2496" i="22"/>
  <c r="I2496" i="22"/>
  <c r="B2497" i="22"/>
  <c r="M2441" i="22"/>
  <c r="D2441" i="22"/>
  <c r="J2441" i="22"/>
  <c r="N2441" i="22" s="1"/>
  <c r="U2441" i="22" s="1"/>
  <c r="P2441" i="22"/>
  <c r="Q2441" i="22"/>
  <c r="R2441" i="22"/>
  <c r="L2442" i="22"/>
  <c r="C2442" i="22"/>
  <c r="K2442" i="22" s="1"/>
  <c r="E2442" i="22"/>
  <c r="F2442" i="22"/>
  <c r="O2442" i="22" s="1"/>
  <c r="G2442" i="22"/>
  <c r="I2442" i="22"/>
  <c r="B2443" i="22"/>
  <c r="M2387" i="22"/>
  <c r="D2387" i="22"/>
  <c r="J2387" i="22"/>
  <c r="N2387" i="22" s="1"/>
  <c r="U2387" i="22" s="1"/>
  <c r="P2387" i="22"/>
  <c r="Q2387" i="22"/>
  <c r="R2387" i="22"/>
  <c r="L2388" i="22"/>
  <c r="C2388" i="22"/>
  <c r="E2388" i="22"/>
  <c r="G2388" i="22"/>
  <c r="I2388" i="22"/>
  <c r="B2389" i="22"/>
  <c r="M2333" i="22"/>
  <c r="D2333" i="22"/>
  <c r="J2333" i="22"/>
  <c r="N2333" i="22" s="1"/>
  <c r="U2333" i="22" s="1"/>
  <c r="P2333" i="22"/>
  <c r="Q2333" i="22"/>
  <c r="R2333" i="22"/>
  <c r="L2334" i="22"/>
  <c r="C2334" i="22"/>
  <c r="K2334" i="22" s="1"/>
  <c r="E2334" i="22"/>
  <c r="F2334" i="22"/>
  <c r="O2334" i="22" s="1"/>
  <c r="G2334" i="22"/>
  <c r="I2334" i="22"/>
  <c r="B2335" i="22"/>
  <c r="L2280" i="22"/>
  <c r="E2280" i="22"/>
  <c r="C2280" i="22"/>
  <c r="I2280" i="22"/>
  <c r="B2281" i="22"/>
  <c r="G2280" i="22"/>
  <c r="P2279" i="22"/>
  <c r="Q2279" i="22"/>
  <c r="R2279" i="22"/>
  <c r="D2279" i="22"/>
  <c r="J2279" i="22"/>
  <c r="M2225" i="22"/>
  <c r="D2225" i="22"/>
  <c r="J2225" i="22"/>
  <c r="N2225" i="22" s="1"/>
  <c r="U2225" i="22" s="1"/>
  <c r="P2225" i="22"/>
  <c r="Q2225" i="22"/>
  <c r="R2225" i="22"/>
  <c r="L2226" i="22"/>
  <c r="C2226" i="22"/>
  <c r="K2226" i="22" s="1"/>
  <c r="E2226" i="22"/>
  <c r="F2226" i="22"/>
  <c r="O2226" i="22" s="1"/>
  <c r="G2226" i="22"/>
  <c r="I2226" i="22"/>
  <c r="B2227" i="22"/>
  <c r="M2171" i="22"/>
  <c r="D2171" i="22"/>
  <c r="J2171" i="22"/>
  <c r="N2171" i="22" s="1"/>
  <c r="U2171" i="22" s="1"/>
  <c r="P2171" i="22"/>
  <c r="Q2171" i="22"/>
  <c r="R2171" i="22"/>
  <c r="L2172" i="22"/>
  <c r="C2172" i="22"/>
  <c r="K2172" i="22" s="1"/>
  <c r="E2172" i="22"/>
  <c r="F2172" i="22"/>
  <c r="O2172" i="22" s="1"/>
  <c r="G2172" i="22"/>
  <c r="I2172" i="22"/>
  <c r="B2173" i="22"/>
  <c r="M2117" i="22"/>
  <c r="D2117" i="22"/>
  <c r="J2117" i="22"/>
  <c r="N2117" i="22" s="1"/>
  <c r="U2117" i="22" s="1"/>
  <c r="P2117" i="22"/>
  <c r="Q2117" i="22"/>
  <c r="R2117" i="22"/>
  <c r="L2118" i="22"/>
  <c r="C2118" i="22"/>
  <c r="K2118" i="22" s="1"/>
  <c r="E2118" i="22"/>
  <c r="F2118" i="22"/>
  <c r="O2118" i="22" s="1"/>
  <c r="G2118" i="22"/>
  <c r="I2118" i="22"/>
  <c r="B2119" i="22"/>
  <c r="M2063" i="22"/>
  <c r="D2063" i="22"/>
  <c r="J2063" i="22"/>
  <c r="N2063" i="22" s="1"/>
  <c r="U2063" i="22" s="1"/>
  <c r="P2063" i="22"/>
  <c r="Q2063" i="22"/>
  <c r="R2063" i="22"/>
  <c r="L2064" i="22"/>
  <c r="C2064" i="22"/>
  <c r="K2064" i="22" s="1"/>
  <c r="E2064" i="22"/>
  <c r="F2064" i="22"/>
  <c r="O2064" i="22" s="1"/>
  <c r="G2064" i="22"/>
  <c r="I2064" i="22"/>
  <c r="B2065" i="22"/>
  <c r="M2009" i="22"/>
  <c r="D2009" i="22"/>
  <c r="J2009" i="22"/>
  <c r="N2009" i="22" s="1"/>
  <c r="U2009" i="22" s="1"/>
  <c r="P2009" i="22"/>
  <c r="Q2009" i="22"/>
  <c r="R2009" i="22"/>
  <c r="L2010" i="22"/>
  <c r="C2010" i="22"/>
  <c r="E2010" i="22"/>
  <c r="G2010" i="22"/>
  <c r="I2010" i="22"/>
  <c r="B2011" i="22"/>
  <c r="M1955" i="22"/>
  <c r="D1955" i="22"/>
  <c r="J1955" i="22"/>
  <c r="N1955" i="22" s="1"/>
  <c r="U1955" i="22" s="1"/>
  <c r="P1955" i="22"/>
  <c r="Q1955" i="22"/>
  <c r="R1955" i="22"/>
  <c r="L1956" i="22"/>
  <c r="C1956" i="22"/>
  <c r="E1956" i="22"/>
  <c r="G1956" i="22"/>
  <c r="I1956" i="22"/>
  <c r="B1957" i="22"/>
  <c r="M1901" i="22"/>
  <c r="D1901" i="22"/>
  <c r="J1901" i="22"/>
  <c r="N1901" i="22" s="1"/>
  <c r="U1901" i="22" s="1"/>
  <c r="P1901" i="22"/>
  <c r="Q1901" i="22"/>
  <c r="R1901" i="22"/>
  <c r="L1902" i="22"/>
  <c r="C1902" i="22"/>
  <c r="K1902" i="22" s="1"/>
  <c r="E1902" i="22"/>
  <c r="F1902" i="22"/>
  <c r="O1902" i="22" s="1"/>
  <c r="G1902" i="22"/>
  <c r="I1902" i="22"/>
  <c r="B1903" i="22"/>
  <c r="M1847" i="22"/>
  <c r="D1847" i="22"/>
  <c r="J1847" i="22"/>
  <c r="N1847" i="22" s="1"/>
  <c r="U1847" i="22" s="1"/>
  <c r="P1847" i="22"/>
  <c r="Q1847" i="22"/>
  <c r="R1847" i="22"/>
  <c r="L1848" i="22"/>
  <c r="C1848" i="22"/>
  <c r="K1848" i="22" s="1"/>
  <c r="E1848" i="22"/>
  <c r="F1848" i="22"/>
  <c r="O1848" i="22" s="1"/>
  <c r="G1848" i="22"/>
  <c r="I1848" i="22"/>
  <c r="B1849" i="22"/>
  <c r="M1793" i="22"/>
  <c r="D1793" i="22"/>
  <c r="J1793" i="22"/>
  <c r="N1793" i="22" s="1"/>
  <c r="U1793" i="22" s="1"/>
  <c r="P1793" i="22"/>
  <c r="Q1793" i="22"/>
  <c r="R1793" i="22"/>
  <c r="L1794" i="22"/>
  <c r="C1794" i="22"/>
  <c r="K1794" i="22" s="1"/>
  <c r="E1794" i="22"/>
  <c r="F1794" i="22"/>
  <c r="O1794" i="22" s="1"/>
  <c r="G1794" i="22"/>
  <c r="I1794" i="22"/>
  <c r="B1795" i="22"/>
  <c r="M1739" i="22"/>
  <c r="D1739" i="22"/>
  <c r="J1739" i="22"/>
  <c r="N1739" i="22" s="1"/>
  <c r="U1739" i="22" s="1"/>
  <c r="P1739" i="22"/>
  <c r="Q1739" i="22"/>
  <c r="R1739" i="22"/>
  <c r="L1740" i="22"/>
  <c r="C1740" i="22"/>
  <c r="E1740" i="22"/>
  <c r="G1740" i="22"/>
  <c r="I1740" i="22"/>
  <c r="B1741" i="22"/>
  <c r="M1685" i="22"/>
  <c r="D1685" i="22"/>
  <c r="J1685" i="22"/>
  <c r="N1685" i="22" s="1"/>
  <c r="U1685" i="22" s="1"/>
  <c r="P1685" i="22"/>
  <c r="Q1685" i="22"/>
  <c r="R1685" i="22"/>
  <c r="L1686" i="22"/>
  <c r="C1686" i="22"/>
  <c r="E1686" i="22"/>
  <c r="G1686" i="22"/>
  <c r="I1686" i="22"/>
  <c r="B1687" i="22"/>
  <c r="M1631" i="22"/>
  <c r="D1631" i="22"/>
  <c r="J1631" i="22"/>
  <c r="N1631" i="22" s="1"/>
  <c r="U1631" i="22" s="1"/>
  <c r="P1631" i="22"/>
  <c r="Q1631" i="22"/>
  <c r="R1631" i="22"/>
  <c r="L1632" i="22"/>
  <c r="C1632" i="22"/>
  <c r="K1632" i="22" s="1"/>
  <c r="E1632" i="22"/>
  <c r="F1632" i="22"/>
  <c r="O1632" i="22" s="1"/>
  <c r="G1632" i="22"/>
  <c r="I1632" i="22"/>
  <c r="B1633" i="22"/>
  <c r="M1577" i="22"/>
  <c r="D1577" i="22"/>
  <c r="J1577" i="22"/>
  <c r="N1577" i="22" s="1"/>
  <c r="U1577" i="22" s="1"/>
  <c r="P1577" i="22"/>
  <c r="Q1577" i="22"/>
  <c r="R1577" i="22"/>
  <c r="L1578" i="22"/>
  <c r="C1578" i="22"/>
  <c r="K1578" i="22" s="1"/>
  <c r="E1578" i="22"/>
  <c r="F1578" i="22"/>
  <c r="O1578" i="22" s="1"/>
  <c r="G1578" i="22"/>
  <c r="I1578" i="22"/>
  <c r="B1579" i="22"/>
  <c r="M1523" i="22"/>
  <c r="D1523" i="22"/>
  <c r="J1523" i="22"/>
  <c r="N1523" i="22" s="1"/>
  <c r="U1523" i="22" s="1"/>
  <c r="P1523" i="22"/>
  <c r="Q1523" i="22"/>
  <c r="R1523" i="22"/>
  <c r="L1524" i="22"/>
  <c r="C1524" i="22"/>
  <c r="K1524" i="22" s="1"/>
  <c r="E1524" i="22"/>
  <c r="F1524" i="22"/>
  <c r="O1524" i="22" s="1"/>
  <c r="G1524" i="22"/>
  <c r="I1524" i="22"/>
  <c r="B1525" i="22"/>
  <c r="M1469" i="22"/>
  <c r="D1469" i="22"/>
  <c r="J1469" i="22"/>
  <c r="N1469" i="22" s="1"/>
  <c r="U1469" i="22" s="1"/>
  <c r="P1469" i="22"/>
  <c r="Q1469" i="22"/>
  <c r="R1469" i="22"/>
  <c r="L1470" i="22"/>
  <c r="C1470" i="22"/>
  <c r="K1470" i="22" s="1"/>
  <c r="E1470" i="22"/>
  <c r="F1470" i="22"/>
  <c r="O1470" i="22" s="1"/>
  <c r="G1470" i="22"/>
  <c r="I1470" i="22"/>
  <c r="B1471" i="22"/>
  <c r="M1415" i="22"/>
  <c r="D1415" i="22"/>
  <c r="J1415" i="22"/>
  <c r="N1415" i="22" s="1"/>
  <c r="U1415" i="22" s="1"/>
  <c r="P1415" i="22"/>
  <c r="Q1415" i="22"/>
  <c r="R1415" i="22"/>
  <c r="L1416" i="22"/>
  <c r="C1416" i="22"/>
  <c r="K1416" i="22" s="1"/>
  <c r="E1416" i="22"/>
  <c r="F1416" i="22"/>
  <c r="O1416" i="22" s="1"/>
  <c r="G1416" i="22"/>
  <c r="I1416" i="22"/>
  <c r="B1417" i="22"/>
  <c r="M1361" i="22"/>
  <c r="D1361" i="22"/>
  <c r="J1361" i="22"/>
  <c r="N1361" i="22" s="1"/>
  <c r="U1361" i="22" s="1"/>
  <c r="P1361" i="22"/>
  <c r="Q1361" i="22"/>
  <c r="R1361" i="22"/>
  <c r="L1362" i="22"/>
  <c r="C1362" i="22"/>
  <c r="E1362" i="22"/>
  <c r="G1362" i="22"/>
  <c r="I1362" i="22"/>
  <c r="B1363" i="22"/>
  <c r="D1307" i="22"/>
  <c r="J1307" i="22"/>
  <c r="P1307" i="22"/>
  <c r="Q1307" i="22"/>
  <c r="R1307" i="22"/>
  <c r="L1308" i="22"/>
  <c r="C1308" i="22"/>
  <c r="K1308" i="22" s="1"/>
  <c r="E1308" i="22"/>
  <c r="F1308" i="22"/>
  <c r="O1308" i="22" s="1"/>
  <c r="G1308" i="22"/>
  <c r="I1308" i="22"/>
  <c r="B1309" i="22"/>
  <c r="D1253" i="22"/>
  <c r="J1253" i="22"/>
  <c r="P1253" i="22"/>
  <c r="Q1253" i="22"/>
  <c r="R1253" i="22"/>
  <c r="L1254" i="22"/>
  <c r="C1254" i="22"/>
  <c r="K1254" i="22" s="1"/>
  <c r="E1254" i="22"/>
  <c r="F1254" i="22"/>
  <c r="O1254" i="22" s="1"/>
  <c r="G1254" i="22"/>
  <c r="I1254" i="22"/>
  <c r="B1255" i="22"/>
  <c r="D1199" i="22"/>
  <c r="J1199" i="22"/>
  <c r="P1199" i="22"/>
  <c r="Q1199" i="22"/>
  <c r="R1199" i="22"/>
  <c r="L1200" i="22"/>
  <c r="C1200" i="22"/>
  <c r="E1200" i="22"/>
  <c r="G1200" i="22"/>
  <c r="I1200" i="22"/>
  <c r="B1201" i="22"/>
  <c r="M1145" i="22"/>
  <c r="D1145" i="22"/>
  <c r="J1145" i="22"/>
  <c r="N1145" i="22" s="1"/>
  <c r="U1145" i="22" s="1"/>
  <c r="P1145" i="22"/>
  <c r="Q1145" i="22"/>
  <c r="R1145" i="22"/>
  <c r="L1146" i="22"/>
  <c r="C1146" i="22"/>
  <c r="K1146" i="22" s="1"/>
  <c r="E1146" i="22"/>
  <c r="F1146" i="22"/>
  <c r="O1146" i="22" s="1"/>
  <c r="G1146" i="22"/>
  <c r="I1146" i="22"/>
  <c r="B1147" i="22"/>
  <c r="M1091" i="22"/>
  <c r="D1091" i="22"/>
  <c r="J1091" i="22"/>
  <c r="N1091" i="22" s="1"/>
  <c r="U1091" i="22" s="1"/>
  <c r="P1091" i="22"/>
  <c r="Q1091" i="22"/>
  <c r="R1091" i="22"/>
  <c r="L1092" i="22"/>
  <c r="C1092" i="22"/>
  <c r="K1092" i="22" s="1"/>
  <c r="E1092" i="22"/>
  <c r="F1092" i="22"/>
  <c r="O1092" i="22" s="1"/>
  <c r="G1092" i="22"/>
  <c r="I1092" i="22"/>
  <c r="B1093" i="22"/>
  <c r="M1037" i="22"/>
  <c r="P1037" i="22"/>
  <c r="Q1037" i="22"/>
  <c r="R1037" i="22"/>
  <c r="J1037" i="22"/>
  <c r="N1037" i="22" s="1"/>
  <c r="U1037" i="22" s="1"/>
  <c r="D1037" i="22"/>
  <c r="L1038" i="22"/>
  <c r="G1038" i="22"/>
  <c r="C1038" i="22"/>
  <c r="E1038" i="22"/>
  <c r="I1038" i="22"/>
  <c r="B1039" i="22"/>
  <c r="M983" i="22"/>
  <c r="D983" i="22"/>
  <c r="J983" i="22"/>
  <c r="N983" i="22" s="1"/>
  <c r="U983" i="22" s="1"/>
  <c r="P983" i="22"/>
  <c r="Q983" i="22"/>
  <c r="R983" i="22"/>
  <c r="L984" i="22"/>
  <c r="C984" i="22"/>
  <c r="E984" i="22"/>
  <c r="G984" i="22"/>
  <c r="I984" i="22"/>
  <c r="B985" i="22"/>
  <c r="M929" i="22"/>
  <c r="D929" i="22"/>
  <c r="J929" i="22"/>
  <c r="N929" i="22" s="1"/>
  <c r="U929" i="22" s="1"/>
  <c r="P929" i="22"/>
  <c r="Q929" i="22"/>
  <c r="R929" i="22"/>
  <c r="L930" i="22"/>
  <c r="C930" i="22"/>
  <c r="K930" i="22" s="1"/>
  <c r="E930" i="22"/>
  <c r="F930" i="22"/>
  <c r="O930" i="22" s="1"/>
  <c r="G930" i="22"/>
  <c r="I930" i="22"/>
  <c r="B931" i="22"/>
  <c r="M875" i="22"/>
  <c r="D875" i="22"/>
  <c r="J875" i="22"/>
  <c r="N875" i="22" s="1"/>
  <c r="U875" i="22" s="1"/>
  <c r="P875" i="22"/>
  <c r="Q875" i="22"/>
  <c r="R875" i="22"/>
  <c r="L876" i="22"/>
  <c r="C876" i="22"/>
  <c r="E876" i="22"/>
  <c r="G876" i="22"/>
  <c r="I876" i="22"/>
  <c r="B877" i="22"/>
  <c r="D821" i="22"/>
  <c r="J821" i="22"/>
  <c r="P821" i="22"/>
  <c r="Q821" i="22"/>
  <c r="R821" i="22"/>
  <c r="L822" i="22"/>
  <c r="C822" i="22"/>
  <c r="K822" i="22" s="1"/>
  <c r="E822" i="22"/>
  <c r="F822" i="22"/>
  <c r="O822" i="22" s="1"/>
  <c r="G822" i="22"/>
  <c r="I822" i="22"/>
  <c r="B823" i="22"/>
  <c r="D767" i="22"/>
  <c r="J767" i="22"/>
  <c r="P767" i="22"/>
  <c r="Q767" i="22"/>
  <c r="R767" i="22"/>
  <c r="L768" i="22"/>
  <c r="C768" i="22"/>
  <c r="K768" i="22" s="1"/>
  <c r="E768" i="22"/>
  <c r="F768" i="22"/>
  <c r="O768" i="22" s="1"/>
  <c r="G768" i="22"/>
  <c r="I768" i="22"/>
  <c r="B769" i="22"/>
  <c r="M713" i="22"/>
  <c r="D713" i="22"/>
  <c r="J713" i="22"/>
  <c r="N713" i="22" s="1"/>
  <c r="U713" i="22" s="1"/>
  <c r="P713" i="22"/>
  <c r="Q713" i="22"/>
  <c r="R713" i="22"/>
  <c r="L714" i="22"/>
  <c r="C714" i="22"/>
  <c r="K714" i="22" s="1"/>
  <c r="E714" i="22"/>
  <c r="F714" i="22"/>
  <c r="O714" i="22" s="1"/>
  <c r="G714" i="22"/>
  <c r="I714" i="22"/>
  <c r="B715" i="22"/>
  <c r="M659" i="22"/>
  <c r="D659" i="22"/>
  <c r="J659" i="22"/>
  <c r="N659" i="22" s="1"/>
  <c r="U659" i="22" s="1"/>
  <c r="P659" i="22"/>
  <c r="Q659" i="22"/>
  <c r="R659" i="22"/>
  <c r="L660" i="22"/>
  <c r="C660" i="22"/>
  <c r="E660" i="22"/>
  <c r="G660" i="22"/>
  <c r="I660" i="22"/>
  <c r="B661" i="22"/>
  <c r="M605" i="22"/>
  <c r="D605" i="22"/>
  <c r="J605" i="22"/>
  <c r="N605" i="22" s="1"/>
  <c r="U605" i="22" s="1"/>
  <c r="P605" i="22"/>
  <c r="Q605" i="22"/>
  <c r="R605" i="22"/>
  <c r="L606" i="22"/>
  <c r="C606" i="22"/>
  <c r="E606" i="22"/>
  <c r="G606" i="22"/>
  <c r="I606" i="22"/>
  <c r="B607" i="22"/>
  <c r="M551" i="22"/>
  <c r="D551" i="22"/>
  <c r="J551" i="22"/>
  <c r="N551" i="22" s="1"/>
  <c r="U551" i="22" s="1"/>
  <c r="P551" i="22"/>
  <c r="Q551" i="22"/>
  <c r="R551" i="22"/>
  <c r="L552" i="22"/>
  <c r="C552" i="22"/>
  <c r="K552" i="22" s="1"/>
  <c r="E552" i="22"/>
  <c r="F552" i="22"/>
  <c r="O552" i="22" s="1"/>
  <c r="G552" i="22"/>
  <c r="I552" i="22"/>
  <c r="B553" i="22"/>
  <c r="M497" i="22"/>
  <c r="D497" i="22"/>
  <c r="J497" i="22"/>
  <c r="N497" i="22" s="1"/>
  <c r="U497" i="22" s="1"/>
  <c r="P497" i="22"/>
  <c r="Q497" i="22"/>
  <c r="R497" i="22"/>
  <c r="L498" i="22"/>
  <c r="C498" i="22"/>
  <c r="E498" i="22"/>
  <c r="G498" i="22"/>
  <c r="I498" i="22"/>
  <c r="B499" i="22"/>
  <c r="M443" i="22"/>
  <c r="P443" i="22"/>
  <c r="Q443" i="22"/>
  <c r="R443" i="22"/>
  <c r="L444" i="22"/>
  <c r="G444" i="22"/>
  <c r="I444" i="22"/>
  <c r="C444" i="22"/>
  <c r="K444" i="22" s="1"/>
  <c r="E444" i="22"/>
  <c r="F444" i="22"/>
  <c r="O444" i="22" s="1"/>
  <c r="B445" i="22"/>
  <c r="D443" i="22"/>
  <c r="J443" i="22"/>
  <c r="N443" i="22" s="1"/>
  <c r="U443" i="22" s="1"/>
  <c r="D389" i="22"/>
  <c r="J389" i="22"/>
  <c r="P389" i="22"/>
  <c r="Q389" i="22"/>
  <c r="R389" i="22"/>
  <c r="L390" i="22"/>
  <c r="C390" i="22"/>
  <c r="K390" i="22" s="1"/>
  <c r="E390" i="22"/>
  <c r="F390" i="22"/>
  <c r="O390" i="22" s="1"/>
  <c r="G390" i="22"/>
  <c r="I390" i="22"/>
  <c r="B391" i="22"/>
  <c r="M335" i="22"/>
  <c r="D335" i="22"/>
  <c r="J335" i="22"/>
  <c r="N335" i="22" s="1"/>
  <c r="U335" i="22" s="1"/>
  <c r="P335" i="22"/>
  <c r="Q335" i="22"/>
  <c r="R335" i="22"/>
  <c r="L336" i="22"/>
  <c r="C336" i="22"/>
  <c r="E336" i="22"/>
  <c r="G336" i="22"/>
  <c r="I336" i="22"/>
  <c r="B337" i="22"/>
  <c r="M281" i="22"/>
  <c r="D281" i="22"/>
  <c r="J281" i="22"/>
  <c r="N281" i="22" s="1"/>
  <c r="U281" i="22" s="1"/>
  <c r="P281" i="22"/>
  <c r="Q281" i="22"/>
  <c r="R281" i="22"/>
  <c r="L282" i="22"/>
  <c r="C282" i="22"/>
  <c r="K282" i="22" s="1"/>
  <c r="E282" i="22"/>
  <c r="F282" i="22"/>
  <c r="O282" i="22" s="1"/>
  <c r="G282" i="22"/>
  <c r="I282" i="22"/>
  <c r="B283" i="22"/>
  <c r="M227" i="22"/>
  <c r="D227" i="22"/>
  <c r="J227" i="22"/>
  <c r="N227" i="22" s="1"/>
  <c r="U227" i="22" s="1"/>
  <c r="P227" i="22"/>
  <c r="Q227" i="22"/>
  <c r="R227" i="22"/>
  <c r="L228" i="22"/>
  <c r="C228" i="22"/>
  <c r="E228" i="22"/>
  <c r="G228" i="22"/>
  <c r="I228" i="22"/>
  <c r="B229" i="22"/>
  <c r="P173" i="22"/>
  <c r="Q173" i="22"/>
  <c r="R173" i="22"/>
  <c r="L174" i="22"/>
  <c r="I174" i="22"/>
  <c r="G174" i="22"/>
  <c r="B175" i="22"/>
  <c r="C174" i="22"/>
  <c r="E174" i="22"/>
  <c r="J173" i="22"/>
  <c r="D173" i="22"/>
  <c r="M119" i="22"/>
  <c r="D119" i="22"/>
  <c r="J119" i="22"/>
  <c r="N119" i="22" s="1"/>
  <c r="U119" i="22" s="1"/>
  <c r="P119" i="22"/>
  <c r="Q119" i="22"/>
  <c r="R119" i="22"/>
  <c r="L120" i="22"/>
  <c r="C120" i="22"/>
  <c r="K120" i="22" s="1"/>
  <c r="E120" i="22"/>
  <c r="F120" i="22"/>
  <c r="O120" i="22" s="1"/>
  <c r="G120" i="22"/>
  <c r="B121" i="22"/>
  <c r="I120" i="22"/>
  <c r="G106" i="12"/>
  <c r="C107" i="12"/>
  <c r="D57" i="17"/>
  <c r="J57" i="17"/>
  <c r="BE57" i="17"/>
  <c r="BD57" i="17"/>
  <c r="BC57" i="17"/>
  <c r="BB57" i="17"/>
  <c r="BA57" i="17"/>
  <c r="AZ57" i="17"/>
  <c r="AY57" i="17"/>
  <c r="AX57" i="17"/>
  <c r="AW57" i="17"/>
  <c r="AV57" i="17"/>
  <c r="AU57" i="17"/>
  <c r="AT57" i="17"/>
  <c r="AS57" i="17"/>
  <c r="AR57" i="17"/>
  <c r="AQ57" i="17"/>
  <c r="AP57" i="17"/>
  <c r="AO57" i="17"/>
  <c r="AN57" i="17"/>
  <c r="AM57" i="17"/>
  <c r="AL57" i="17"/>
  <c r="AK57" i="17"/>
  <c r="AJ57" i="17"/>
  <c r="AI57" i="17"/>
  <c r="AH57" i="17"/>
  <c r="AG57" i="17"/>
  <c r="AF57" i="17"/>
  <c r="AE57" i="17"/>
  <c r="AD57" i="17"/>
  <c r="AC57" i="17"/>
  <c r="AB57" i="17"/>
  <c r="AA57" i="17"/>
  <c r="Z57" i="17"/>
  <c r="Y57" i="17"/>
  <c r="X57" i="17"/>
  <c r="W57" i="17"/>
  <c r="P57" i="17"/>
  <c r="Q57" i="17"/>
  <c r="R57" i="17"/>
  <c r="V57" i="17"/>
  <c r="L58" i="17"/>
  <c r="B59" i="17"/>
  <c r="B58" i="18"/>
  <c r="C58" i="17"/>
  <c r="E58" i="17"/>
  <c r="G58" i="17"/>
  <c r="I58" i="17"/>
  <c r="M105" i="8"/>
  <c r="M107" i="8"/>
  <c r="M1521" i="23"/>
  <c r="N1521" i="23"/>
  <c r="AE1521" i="23" s="1"/>
  <c r="M1353" i="23"/>
  <c r="N1353" i="23"/>
  <c r="AE1353" i="23" s="1"/>
  <c r="M1017" i="23"/>
  <c r="N1017" i="23"/>
  <c r="AE1017" i="23" s="1"/>
  <c r="M961" i="23"/>
  <c r="N961" i="23"/>
  <c r="AE961" i="23" s="1"/>
  <c r="M905" i="23"/>
  <c r="N905" i="23"/>
  <c r="AE905" i="23" s="1"/>
  <c r="M4198" i="22"/>
  <c r="N4198" i="22"/>
  <c r="U4198" i="22" s="1"/>
  <c r="M4144" i="22"/>
  <c r="N4144" i="22"/>
  <c r="U4144" i="22" s="1"/>
  <c r="M3574" i="22"/>
  <c r="N3574" i="22"/>
  <c r="U3574" i="22" s="1"/>
  <c r="M3520" i="22"/>
  <c r="N3520" i="22"/>
  <c r="U3520" i="22" s="1"/>
  <c r="N3142" i="22"/>
  <c r="U3142" i="22" s="1"/>
  <c r="M3142" i="22"/>
  <c r="M2926" i="22"/>
  <c r="N2926" i="22"/>
  <c r="U2926" i="22" s="1"/>
  <c r="M2818" i="22"/>
  <c r="N2818" i="22"/>
  <c r="S2818" i="22" s="1"/>
  <c r="M2764" i="22"/>
  <c r="N2764" i="22"/>
  <c r="U2764" i="22" s="1"/>
  <c r="M2440" i="22"/>
  <c r="N2440" i="22"/>
  <c r="U2440" i="22" s="1"/>
  <c r="M2386" i="22"/>
  <c r="N2386" i="22"/>
  <c r="U2386" i="22" s="1"/>
  <c r="M1252" i="22"/>
  <c r="N1252" i="22"/>
  <c r="U1252" i="22" s="1"/>
  <c r="M1198" i="22"/>
  <c r="N1198" i="22"/>
  <c r="U1198" i="22" s="1"/>
  <c r="N1036" i="22"/>
  <c r="U1036" i="22" s="1"/>
  <c r="M1036" i="22"/>
  <c r="M442" i="22"/>
  <c r="N442" i="22"/>
  <c r="U442" i="22" s="1"/>
  <c r="M172" i="22"/>
  <c r="N172" i="22"/>
  <c r="U172" i="22" s="1"/>
  <c r="O56" i="17"/>
  <c r="E108" i="12"/>
  <c r="N108" i="12"/>
  <c r="M56" i="17"/>
  <c r="N56" i="17"/>
  <c r="K1298" i="23"/>
  <c r="F1298" i="23"/>
  <c r="O1298" i="23" s="1"/>
  <c r="K1186" i="23"/>
  <c r="F1186" i="23"/>
  <c r="O1186" i="23" s="1"/>
  <c r="K1018" i="23"/>
  <c r="F1018" i="23"/>
  <c r="O1018" i="23" s="1"/>
  <c r="F962" i="23"/>
  <c r="O962" i="23" s="1"/>
  <c r="K962" i="23"/>
  <c r="K682" i="23"/>
  <c r="F682" i="23"/>
  <c r="O682" i="23" s="1"/>
  <c r="K402" i="23"/>
  <c r="F402" i="23"/>
  <c r="O402" i="23" s="1"/>
  <c r="P108" i="12"/>
  <c r="F3467" i="22"/>
  <c r="O3467" i="22" s="1"/>
  <c r="K3467" i="22"/>
  <c r="K3413" i="22"/>
  <c r="F3413" i="22"/>
  <c r="O3413" i="22" s="1"/>
  <c r="K3143" i="22"/>
  <c r="F3143" i="22"/>
  <c r="O3143" i="22" s="1"/>
  <c r="F3089" i="22"/>
  <c r="O3089" i="22" s="1"/>
  <c r="K3089" i="22"/>
  <c r="K2711" i="22"/>
  <c r="F2711" i="22"/>
  <c r="O2711" i="22" s="1"/>
  <c r="F2279" i="22"/>
  <c r="O2279" i="22" s="1"/>
  <c r="K2279" i="22"/>
  <c r="F1307" i="22"/>
  <c r="O1307" i="22" s="1"/>
  <c r="K1307" i="22"/>
  <c r="K1253" i="22"/>
  <c r="F1253" i="22"/>
  <c r="O1253" i="22" s="1"/>
  <c r="F1199" i="22"/>
  <c r="O1199" i="22" s="1"/>
  <c r="K1199" i="22"/>
  <c r="F821" i="22"/>
  <c r="O821" i="22" s="1"/>
  <c r="K821" i="22"/>
  <c r="F767" i="22"/>
  <c r="O767" i="22" s="1"/>
  <c r="K767" i="22"/>
  <c r="K389" i="22"/>
  <c r="F389" i="22"/>
  <c r="O389" i="22" s="1"/>
  <c r="F173" i="22"/>
  <c r="O173" i="22" s="1"/>
  <c r="K173" i="22"/>
  <c r="BF56" i="17"/>
  <c r="K57" i="17"/>
  <c r="F57" i="17"/>
  <c r="C57" i="18" s="1"/>
  <c r="E57" i="18" s="1"/>
  <c r="AE1069" i="23"/>
  <c r="AE1063" i="23"/>
  <c r="AE1064" i="23"/>
  <c r="AE1059" i="23"/>
  <c r="AE1058" i="23"/>
  <c r="AE1060" i="23"/>
  <c r="AE1065" i="23"/>
  <c r="AE1066" i="23"/>
  <c r="AE1067" i="23"/>
  <c r="AE1068" i="23"/>
  <c r="AE1061" i="23"/>
  <c r="AE1062" i="23"/>
  <c r="AE1012" i="23"/>
  <c r="AE1006" i="23"/>
  <c r="AE1007" i="23"/>
  <c r="AE1008" i="23"/>
  <c r="AE1009" i="23"/>
  <c r="AE1010" i="23"/>
  <c r="AE1011" i="23"/>
  <c r="AE1005" i="23"/>
  <c r="AE1002" i="23"/>
  <c r="AE1003" i="23"/>
  <c r="AE1004" i="23"/>
  <c r="AE1013" i="23"/>
  <c r="AE621" i="23"/>
  <c r="AE611" i="23"/>
  <c r="AE613" i="23"/>
  <c r="AE616" i="23"/>
  <c r="AE615" i="23"/>
  <c r="AE617" i="23"/>
  <c r="AE618" i="23"/>
  <c r="AE610" i="23"/>
  <c r="AE619" i="23"/>
  <c r="AE620" i="23"/>
  <c r="AE612" i="23"/>
  <c r="AE614" i="23"/>
  <c r="AE564" i="23"/>
  <c r="AE565" i="23"/>
  <c r="AE563" i="23"/>
  <c r="AE562" i="23"/>
  <c r="AE561" i="23"/>
  <c r="AE560" i="23"/>
  <c r="AE559" i="23"/>
  <c r="AE558" i="23"/>
  <c r="AE557" i="23"/>
  <c r="AE556" i="23"/>
  <c r="AE555" i="23"/>
  <c r="AE554" i="23"/>
  <c r="AE502" i="23"/>
  <c r="AE503" i="23"/>
  <c r="AE504" i="23"/>
  <c r="AE505" i="23"/>
  <c r="AE506" i="23"/>
  <c r="AE507" i="23"/>
  <c r="AE508" i="23"/>
  <c r="AE509" i="23"/>
  <c r="AE500" i="23"/>
  <c r="AE501" i="23"/>
  <c r="AE499" i="23"/>
  <c r="AE498" i="23"/>
  <c r="AE1396" i="23"/>
  <c r="AE1397" i="23"/>
  <c r="AE1398" i="23"/>
  <c r="AE1399" i="23"/>
  <c r="AE1400" i="23"/>
  <c r="AE1401" i="23"/>
  <c r="AE1402" i="23"/>
  <c r="AE1403" i="23"/>
  <c r="AE1404" i="23"/>
  <c r="AE1405" i="23"/>
  <c r="AE1395" i="23"/>
  <c r="AE1394" i="23"/>
  <c r="AE950" i="23"/>
  <c r="AE949" i="23"/>
  <c r="AE948" i="23"/>
  <c r="AE947" i="23"/>
  <c r="AE946" i="23"/>
  <c r="AE955" i="23"/>
  <c r="AE951" i="23"/>
  <c r="AE957" i="23"/>
  <c r="AE956" i="23"/>
  <c r="AE954" i="23"/>
  <c r="AE953" i="23"/>
  <c r="AE952" i="23"/>
  <c r="BF57" i="17" l="1"/>
  <c r="K1467" i="23"/>
  <c r="F1467" i="23"/>
  <c r="O1467" i="23" s="1"/>
  <c r="K1075" i="23"/>
  <c r="F1075" i="23"/>
  <c r="O1075" i="23" s="1"/>
  <c r="K1019" i="23"/>
  <c r="F1019" i="23"/>
  <c r="O1019" i="23" s="1"/>
  <c r="K4716" i="22"/>
  <c r="F4716" i="22"/>
  <c r="K3414" i="22"/>
  <c r="F3414" i="22"/>
  <c r="O3414" i="22" s="1"/>
  <c r="F2982" i="22"/>
  <c r="O2982" i="22" s="1"/>
  <c r="K2982" i="22"/>
  <c r="K1740" i="22"/>
  <c r="F1740" i="22"/>
  <c r="O1740" i="22" s="1"/>
  <c r="K1200" i="22"/>
  <c r="F1200" i="22"/>
  <c r="O1200" i="22" s="1"/>
  <c r="K876" i="22"/>
  <c r="F876" i="22"/>
  <c r="O876" i="22" s="1"/>
  <c r="K660" i="22"/>
  <c r="F660" i="22"/>
  <c r="O660" i="22" s="1"/>
  <c r="K336" i="22"/>
  <c r="F336" i="22"/>
  <c r="O336" i="22" s="1"/>
  <c r="M1635" i="23"/>
  <c r="J1635" i="23"/>
  <c r="N1635" i="23" s="1"/>
  <c r="AE1635" i="23" s="1"/>
  <c r="D1635" i="23"/>
  <c r="P1635" i="23"/>
  <c r="Q1635" i="23"/>
  <c r="R1635" i="23"/>
  <c r="I1636" i="23"/>
  <c r="L1636" i="23"/>
  <c r="C1636" i="23"/>
  <c r="K1636" i="23" s="1"/>
  <c r="E1636" i="23"/>
  <c r="F1636" i="23"/>
  <c r="O1636" i="23" s="1"/>
  <c r="G1636" i="23"/>
  <c r="B1637" i="23"/>
  <c r="J1579" i="23"/>
  <c r="D1579" i="23"/>
  <c r="P1579" i="23"/>
  <c r="Q1579" i="23"/>
  <c r="R1579" i="23"/>
  <c r="L1580" i="23"/>
  <c r="I1580" i="23"/>
  <c r="C1580" i="23"/>
  <c r="K1580" i="23" s="1"/>
  <c r="E1580" i="23"/>
  <c r="F1580" i="23"/>
  <c r="O1580" i="23" s="1"/>
  <c r="G1580" i="23"/>
  <c r="B1581" i="23"/>
  <c r="J1523" i="23"/>
  <c r="D1523" i="23"/>
  <c r="P1523" i="23"/>
  <c r="Q1523" i="23"/>
  <c r="R1523" i="23"/>
  <c r="L1524" i="23"/>
  <c r="I1524" i="23"/>
  <c r="C1524" i="23"/>
  <c r="E1524" i="23"/>
  <c r="G1524" i="23"/>
  <c r="B1525" i="23"/>
  <c r="M1467" i="23"/>
  <c r="J1467" i="23"/>
  <c r="N1467" i="23" s="1"/>
  <c r="AE1467" i="23" s="1"/>
  <c r="D1467" i="23"/>
  <c r="P1467" i="23"/>
  <c r="Q1467" i="23"/>
  <c r="R1467" i="23"/>
  <c r="L1468" i="23"/>
  <c r="I1468" i="23"/>
  <c r="C1468" i="23"/>
  <c r="K1468" i="23" s="1"/>
  <c r="E1468" i="23"/>
  <c r="F1468" i="23"/>
  <c r="O1468" i="23" s="1"/>
  <c r="G1468" i="23"/>
  <c r="B1469" i="23"/>
  <c r="M1411" i="23"/>
  <c r="J1411" i="23"/>
  <c r="N1411" i="23" s="1"/>
  <c r="AE1411" i="23" s="1"/>
  <c r="D1411" i="23"/>
  <c r="P1411" i="23"/>
  <c r="Q1411" i="23"/>
  <c r="R1411" i="23"/>
  <c r="L1412" i="23"/>
  <c r="I1412" i="23"/>
  <c r="C1412" i="23"/>
  <c r="K1412" i="23" s="1"/>
  <c r="E1412" i="23"/>
  <c r="F1412" i="23"/>
  <c r="O1412" i="23" s="1"/>
  <c r="G1412" i="23"/>
  <c r="B1413" i="23"/>
  <c r="J1355" i="23"/>
  <c r="D1355" i="23"/>
  <c r="P1355" i="23"/>
  <c r="Q1355" i="23"/>
  <c r="R1355" i="23"/>
  <c r="L1356" i="23"/>
  <c r="I1356" i="23"/>
  <c r="B1357" i="23"/>
  <c r="C1356" i="23"/>
  <c r="E1356" i="23"/>
  <c r="G1356" i="23"/>
  <c r="M1299" i="23"/>
  <c r="J1299" i="23"/>
  <c r="N1299" i="23" s="1"/>
  <c r="AE1299" i="23" s="1"/>
  <c r="D1299" i="23"/>
  <c r="P1299" i="23"/>
  <c r="Q1299" i="23"/>
  <c r="R1299" i="23"/>
  <c r="L1300" i="23"/>
  <c r="I1300" i="23"/>
  <c r="C1300" i="23"/>
  <c r="K1300" i="23" s="1"/>
  <c r="E1300" i="23"/>
  <c r="F1300" i="23"/>
  <c r="O1300" i="23" s="1"/>
  <c r="G1300" i="23"/>
  <c r="B1301" i="23"/>
  <c r="M1243" i="23"/>
  <c r="J1243" i="23"/>
  <c r="N1243" i="23" s="1"/>
  <c r="AE1243" i="23" s="1"/>
  <c r="D1243" i="23"/>
  <c r="P1243" i="23"/>
  <c r="Q1243" i="23"/>
  <c r="R1243" i="23"/>
  <c r="L1244" i="23"/>
  <c r="I1244" i="23"/>
  <c r="C1244" i="23"/>
  <c r="K1244" i="23" s="1"/>
  <c r="E1244" i="23"/>
  <c r="F1244" i="23"/>
  <c r="O1244" i="23" s="1"/>
  <c r="G1244" i="23"/>
  <c r="B1245" i="23"/>
  <c r="M1187" i="23"/>
  <c r="J1187" i="23"/>
  <c r="N1187" i="23" s="1"/>
  <c r="AE1187" i="23" s="1"/>
  <c r="D1187" i="23"/>
  <c r="P1187" i="23"/>
  <c r="Q1187" i="23"/>
  <c r="R1187" i="23"/>
  <c r="L1188" i="23"/>
  <c r="I1188" i="23"/>
  <c r="C1188" i="23"/>
  <c r="K1188" i="23" s="1"/>
  <c r="E1188" i="23"/>
  <c r="F1188" i="23"/>
  <c r="O1188" i="23" s="1"/>
  <c r="G1188" i="23"/>
  <c r="B1189" i="23"/>
  <c r="M1131" i="23"/>
  <c r="J1131" i="23"/>
  <c r="N1131" i="23" s="1"/>
  <c r="AE1131" i="23" s="1"/>
  <c r="D1131" i="23"/>
  <c r="P1131" i="23"/>
  <c r="Q1131" i="23"/>
  <c r="R1131" i="23"/>
  <c r="L1132" i="23"/>
  <c r="I1132" i="23"/>
  <c r="C1132" i="23"/>
  <c r="K1132" i="23" s="1"/>
  <c r="E1132" i="23"/>
  <c r="F1132" i="23"/>
  <c r="O1132" i="23" s="1"/>
  <c r="G1132" i="23"/>
  <c r="B1133" i="23"/>
  <c r="M1075" i="23"/>
  <c r="J1075" i="23"/>
  <c r="N1075" i="23" s="1"/>
  <c r="AE1075" i="23" s="1"/>
  <c r="D1075" i="23"/>
  <c r="P1075" i="23"/>
  <c r="Q1075" i="23"/>
  <c r="R1075" i="23"/>
  <c r="L1076" i="23"/>
  <c r="I1076" i="23"/>
  <c r="C1076" i="23"/>
  <c r="K1076" i="23" s="1"/>
  <c r="E1076" i="23"/>
  <c r="F1076" i="23"/>
  <c r="O1076" i="23" s="1"/>
  <c r="G1076" i="23"/>
  <c r="B1077" i="23"/>
  <c r="M1019" i="23"/>
  <c r="J1019" i="23"/>
  <c r="N1019" i="23" s="1"/>
  <c r="AE1019" i="23" s="1"/>
  <c r="D1019" i="23"/>
  <c r="P1019" i="23"/>
  <c r="Q1019" i="23"/>
  <c r="R1019" i="23"/>
  <c r="L1020" i="23"/>
  <c r="I1020" i="23"/>
  <c r="C1020" i="23"/>
  <c r="K1020" i="23" s="1"/>
  <c r="E1020" i="23"/>
  <c r="F1020" i="23"/>
  <c r="O1020" i="23" s="1"/>
  <c r="G1020" i="23"/>
  <c r="B1021" i="23"/>
  <c r="M963" i="23"/>
  <c r="J963" i="23"/>
  <c r="N963" i="23" s="1"/>
  <c r="AE963" i="23" s="1"/>
  <c r="D963" i="23"/>
  <c r="P963" i="23"/>
  <c r="Q963" i="23"/>
  <c r="R963" i="23"/>
  <c r="L964" i="23"/>
  <c r="I964" i="23"/>
  <c r="C964" i="23"/>
  <c r="K964" i="23" s="1"/>
  <c r="E964" i="23"/>
  <c r="F964" i="23"/>
  <c r="O964" i="23" s="1"/>
  <c r="G964" i="23"/>
  <c r="B965" i="23"/>
  <c r="M907" i="23"/>
  <c r="J907" i="23"/>
  <c r="N907" i="23" s="1"/>
  <c r="AE907" i="23" s="1"/>
  <c r="D907" i="23"/>
  <c r="P907" i="23"/>
  <c r="Q907" i="23"/>
  <c r="R907" i="23"/>
  <c r="L908" i="23"/>
  <c r="I908" i="23"/>
  <c r="C908" i="23"/>
  <c r="K908" i="23" s="1"/>
  <c r="E908" i="23"/>
  <c r="F908" i="23"/>
  <c r="O908" i="23" s="1"/>
  <c r="G908" i="23"/>
  <c r="B909" i="23"/>
  <c r="M851" i="23"/>
  <c r="J851" i="23"/>
  <c r="N851" i="23" s="1"/>
  <c r="AE851" i="23" s="1"/>
  <c r="D851" i="23"/>
  <c r="P851" i="23"/>
  <c r="Q851" i="23"/>
  <c r="R851" i="23"/>
  <c r="L852" i="23"/>
  <c r="I852" i="23"/>
  <c r="C852" i="23"/>
  <c r="K852" i="23" s="1"/>
  <c r="E852" i="23"/>
  <c r="F852" i="23"/>
  <c r="O852" i="23" s="1"/>
  <c r="G852" i="23"/>
  <c r="B853" i="23"/>
  <c r="M795" i="23"/>
  <c r="J795" i="23"/>
  <c r="N795" i="23" s="1"/>
  <c r="AE795" i="23" s="1"/>
  <c r="D795" i="23"/>
  <c r="P795" i="23"/>
  <c r="Q795" i="23"/>
  <c r="R795" i="23"/>
  <c r="L796" i="23"/>
  <c r="I796" i="23"/>
  <c r="C796" i="23"/>
  <c r="E796" i="23"/>
  <c r="G796" i="23"/>
  <c r="B797" i="23"/>
  <c r="M739" i="23"/>
  <c r="J739" i="23"/>
  <c r="N739" i="23" s="1"/>
  <c r="AE739" i="23" s="1"/>
  <c r="D739" i="23"/>
  <c r="P739" i="23"/>
  <c r="Q739" i="23"/>
  <c r="R739" i="23"/>
  <c r="L740" i="23"/>
  <c r="I740" i="23"/>
  <c r="C740" i="23"/>
  <c r="K740" i="23" s="1"/>
  <c r="E740" i="23"/>
  <c r="F740" i="23"/>
  <c r="O740" i="23" s="1"/>
  <c r="G740" i="23"/>
  <c r="B741" i="23"/>
  <c r="M683" i="23"/>
  <c r="J683" i="23"/>
  <c r="N683" i="23" s="1"/>
  <c r="AE683" i="23" s="1"/>
  <c r="D683" i="23"/>
  <c r="P683" i="23"/>
  <c r="Q683" i="23"/>
  <c r="R683" i="23"/>
  <c r="L684" i="23"/>
  <c r="I684" i="23"/>
  <c r="C684" i="23"/>
  <c r="E684" i="23"/>
  <c r="G684" i="23"/>
  <c r="B685" i="23"/>
  <c r="J627" i="23"/>
  <c r="D627" i="23"/>
  <c r="P627" i="23"/>
  <c r="Q627" i="23"/>
  <c r="R627" i="23"/>
  <c r="L628" i="23"/>
  <c r="I628" i="23"/>
  <c r="C628" i="23"/>
  <c r="K628" i="23" s="1"/>
  <c r="E628" i="23"/>
  <c r="F628" i="23"/>
  <c r="O628" i="23" s="1"/>
  <c r="G628" i="23"/>
  <c r="B629" i="23"/>
  <c r="M571" i="23"/>
  <c r="J571" i="23"/>
  <c r="N571" i="23" s="1"/>
  <c r="AE571" i="23" s="1"/>
  <c r="D571" i="23"/>
  <c r="P571" i="23"/>
  <c r="Q571" i="23"/>
  <c r="R571" i="23"/>
  <c r="L572" i="23"/>
  <c r="I572" i="23"/>
  <c r="C572" i="23"/>
  <c r="K572" i="23" s="1"/>
  <c r="E572" i="23"/>
  <c r="F572" i="23"/>
  <c r="O572" i="23" s="1"/>
  <c r="G572" i="23"/>
  <c r="B573" i="23"/>
  <c r="M515" i="23"/>
  <c r="J515" i="23"/>
  <c r="N515" i="23" s="1"/>
  <c r="AE515" i="23" s="1"/>
  <c r="D515" i="23"/>
  <c r="P515" i="23"/>
  <c r="Q515" i="23"/>
  <c r="R515" i="23"/>
  <c r="L516" i="23"/>
  <c r="I516" i="23"/>
  <c r="C516" i="23"/>
  <c r="K516" i="23" s="1"/>
  <c r="E516" i="23"/>
  <c r="F516" i="23"/>
  <c r="O516" i="23" s="1"/>
  <c r="G516" i="23"/>
  <c r="B517" i="23"/>
  <c r="J459" i="23"/>
  <c r="D459" i="23"/>
  <c r="L460" i="23"/>
  <c r="I460" i="23"/>
  <c r="E460" i="23"/>
  <c r="G460" i="23"/>
  <c r="C460" i="23"/>
  <c r="K460" i="23" s="1"/>
  <c r="F460" i="23"/>
  <c r="O460" i="23" s="1"/>
  <c r="B461" i="23"/>
  <c r="P459" i="23"/>
  <c r="Q459" i="23"/>
  <c r="R459" i="23"/>
  <c r="M403" i="23"/>
  <c r="J403" i="23"/>
  <c r="N403" i="23" s="1"/>
  <c r="AE403" i="23" s="1"/>
  <c r="D403" i="23"/>
  <c r="P403" i="23"/>
  <c r="Q403" i="23"/>
  <c r="R403" i="23"/>
  <c r="L404" i="23"/>
  <c r="I404" i="23"/>
  <c r="C404" i="23"/>
  <c r="K404" i="23" s="1"/>
  <c r="E404" i="23"/>
  <c r="F404" i="23"/>
  <c r="O404" i="23" s="1"/>
  <c r="G404" i="23"/>
  <c r="B405" i="23"/>
  <c r="M347" i="23"/>
  <c r="J347" i="23"/>
  <c r="N347" i="23" s="1"/>
  <c r="AE347" i="23" s="1"/>
  <c r="D347" i="23"/>
  <c r="P347" i="23"/>
  <c r="Q347" i="23"/>
  <c r="R347" i="23"/>
  <c r="L348" i="23"/>
  <c r="I348" i="23"/>
  <c r="C348" i="23"/>
  <c r="K348" i="23" s="1"/>
  <c r="E348" i="23"/>
  <c r="F348" i="23"/>
  <c r="O348" i="23" s="1"/>
  <c r="G348" i="23"/>
  <c r="B349" i="23"/>
  <c r="M291" i="23"/>
  <c r="J291" i="23"/>
  <c r="N291" i="23" s="1"/>
  <c r="AE291" i="23" s="1"/>
  <c r="D291" i="23"/>
  <c r="P291" i="23"/>
  <c r="Q291" i="23"/>
  <c r="R291" i="23"/>
  <c r="L292" i="23"/>
  <c r="I292" i="23"/>
  <c r="C292" i="23"/>
  <c r="K292" i="23" s="1"/>
  <c r="E292" i="23"/>
  <c r="F292" i="23"/>
  <c r="O292" i="23" s="1"/>
  <c r="G292" i="23"/>
  <c r="B293" i="23"/>
  <c r="D4770" i="22"/>
  <c r="J4770" i="22"/>
  <c r="P4770" i="22"/>
  <c r="Q4770" i="22"/>
  <c r="R4770" i="22"/>
  <c r="M4770" i="22"/>
  <c r="N4770" i="22"/>
  <c r="C4771" i="22"/>
  <c r="E4771" i="22"/>
  <c r="F4771" i="22"/>
  <c r="G4771" i="22"/>
  <c r="I4771" i="22"/>
  <c r="K4771" i="22"/>
  <c r="L4771" i="22"/>
  <c r="B4772" i="22"/>
  <c r="S4715" i="22"/>
  <c r="U4715" i="22"/>
  <c r="M4716" i="22"/>
  <c r="D4716" i="22"/>
  <c r="J4716" i="22"/>
  <c r="N4716" i="22" s="1"/>
  <c r="P4716" i="22"/>
  <c r="Q4716" i="22"/>
  <c r="R4716" i="22"/>
  <c r="L4717" i="22"/>
  <c r="C4717" i="22"/>
  <c r="E4717" i="22"/>
  <c r="G4717" i="22"/>
  <c r="I4717" i="22"/>
  <c r="B4718" i="22"/>
  <c r="P4662" i="22"/>
  <c r="Q4662" i="22"/>
  <c r="R4662" i="22"/>
  <c r="C4663" i="22"/>
  <c r="D4663" i="22" s="1"/>
  <c r="E4663" i="22"/>
  <c r="F4663" i="22"/>
  <c r="O4663" i="22" s="1"/>
  <c r="G4663" i="22"/>
  <c r="B4664" i="22"/>
  <c r="M4608" i="22"/>
  <c r="J4608" i="22"/>
  <c r="N4608" i="22" s="1"/>
  <c r="D4608" i="22"/>
  <c r="P4608" i="22"/>
  <c r="Q4608" i="22"/>
  <c r="R4608" i="22"/>
  <c r="I4609" i="22"/>
  <c r="L4609" i="22"/>
  <c r="C4609" i="22"/>
  <c r="E4609" i="22"/>
  <c r="G4609" i="22"/>
  <c r="B4610" i="22"/>
  <c r="D4554" i="22"/>
  <c r="J4554" i="22"/>
  <c r="P4554" i="22"/>
  <c r="Q4554" i="22"/>
  <c r="R4554" i="22"/>
  <c r="L4555" i="22"/>
  <c r="C4555" i="22"/>
  <c r="K4555" i="22" s="1"/>
  <c r="E4555" i="22"/>
  <c r="F4555" i="22"/>
  <c r="G4555" i="22"/>
  <c r="I4555" i="22"/>
  <c r="B4556" i="22"/>
  <c r="D4254" i="22"/>
  <c r="J4254" i="22"/>
  <c r="N4254" i="22" s="1"/>
  <c r="U4254" i="22" s="1"/>
  <c r="P4254" i="22"/>
  <c r="Q4254" i="22"/>
  <c r="R4254" i="22"/>
  <c r="M4254" i="22"/>
  <c r="C4255" i="22"/>
  <c r="F4255" i="22" s="1"/>
  <c r="O4255" i="22" s="1"/>
  <c r="E4255" i="22"/>
  <c r="G4255" i="22"/>
  <c r="I4255" i="22"/>
  <c r="K4255" i="22"/>
  <c r="L4255" i="22"/>
  <c r="B4256" i="22"/>
  <c r="M4200" i="22"/>
  <c r="D4200" i="22"/>
  <c r="J4200" i="22"/>
  <c r="N4200" i="22" s="1"/>
  <c r="U4200" i="22" s="1"/>
  <c r="P4200" i="22"/>
  <c r="Q4200" i="22"/>
  <c r="R4200" i="22"/>
  <c r="L4201" i="22"/>
  <c r="C4201" i="22"/>
  <c r="K4201" i="22" s="1"/>
  <c r="E4201" i="22"/>
  <c r="F4201" i="22"/>
  <c r="O4201" i="22" s="1"/>
  <c r="G4201" i="22"/>
  <c r="I4201" i="22"/>
  <c r="B4202" i="22"/>
  <c r="M4146" i="22"/>
  <c r="D4146" i="22"/>
  <c r="J4146" i="22"/>
  <c r="N4146" i="22" s="1"/>
  <c r="U4146" i="22" s="1"/>
  <c r="P4146" i="22"/>
  <c r="Q4146" i="22"/>
  <c r="R4146" i="22"/>
  <c r="L4147" i="22"/>
  <c r="C4147" i="22"/>
  <c r="K4147" i="22" s="1"/>
  <c r="E4147" i="22"/>
  <c r="F4147" i="22"/>
  <c r="O4147" i="22" s="1"/>
  <c r="G4147" i="22"/>
  <c r="I4147" i="22"/>
  <c r="B4148" i="22"/>
  <c r="M4092" i="22"/>
  <c r="D4092" i="22"/>
  <c r="J4092" i="22"/>
  <c r="N4092" i="22" s="1"/>
  <c r="U4092" i="22" s="1"/>
  <c r="P4092" i="22"/>
  <c r="Q4092" i="22"/>
  <c r="R4092" i="22"/>
  <c r="L4093" i="22"/>
  <c r="C4093" i="22"/>
  <c r="E4093" i="22"/>
  <c r="G4093" i="22"/>
  <c r="I4093" i="22"/>
  <c r="B4094" i="22"/>
  <c r="M3792" i="22"/>
  <c r="D3792" i="22"/>
  <c r="J3792" i="22"/>
  <c r="N3792" i="22" s="1"/>
  <c r="U3792" i="22" s="1"/>
  <c r="P3792" i="22"/>
  <c r="Q3792" i="22"/>
  <c r="R3792" i="22"/>
  <c r="L3793" i="22"/>
  <c r="C3793" i="22"/>
  <c r="K3793" i="22" s="1"/>
  <c r="E3793" i="22"/>
  <c r="F3793" i="22"/>
  <c r="O3793" i="22" s="1"/>
  <c r="G3793" i="22"/>
  <c r="I3793" i="22"/>
  <c r="B3794" i="22"/>
  <c r="M3738" i="22"/>
  <c r="D3738" i="22"/>
  <c r="J3738" i="22"/>
  <c r="N3738" i="22" s="1"/>
  <c r="U3738" i="22" s="1"/>
  <c r="P3738" i="22"/>
  <c r="Q3738" i="22"/>
  <c r="R3738" i="22"/>
  <c r="L3739" i="22"/>
  <c r="C3739" i="22"/>
  <c r="K3739" i="22" s="1"/>
  <c r="E3739" i="22"/>
  <c r="F3739" i="22"/>
  <c r="O3739" i="22" s="1"/>
  <c r="G3739" i="22"/>
  <c r="I3739" i="22"/>
  <c r="B3740" i="22"/>
  <c r="D3684" i="22"/>
  <c r="J3684" i="22"/>
  <c r="P3684" i="22"/>
  <c r="Q3684" i="22"/>
  <c r="R3684" i="22"/>
  <c r="L3685" i="22"/>
  <c r="C3685" i="22"/>
  <c r="E3685" i="22"/>
  <c r="G3685" i="22"/>
  <c r="I3685" i="22"/>
  <c r="B3686" i="22"/>
  <c r="M3630" i="22"/>
  <c r="D3630" i="22"/>
  <c r="J3630" i="22"/>
  <c r="N3630" i="22" s="1"/>
  <c r="U3630" i="22" s="1"/>
  <c r="P3630" i="22"/>
  <c r="Q3630" i="22"/>
  <c r="R3630" i="22"/>
  <c r="L3631" i="22"/>
  <c r="C3631" i="22"/>
  <c r="E3631" i="22"/>
  <c r="G3631" i="22"/>
  <c r="I3631" i="22"/>
  <c r="B3632" i="22"/>
  <c r="J3576" i="22"/>
  <c r="D3576" i="22"/>
  <c r="P3576" i="22"/>
  <c r="Q3576" i="22"/>
  <c r="R3576" i="22"/>
  <c r="L3577" i="22"/>
  <c r="G3577" i="22"/>
  <c r="I3577" i="22"/>
  <c r="C3577" i="22"/>
  <c r="K3577" i="22" s="1"/>
  <c r="E3577" i="22"/>
  <c r="F3577" i="22"/>
  <c r="O3577" i="22" s="1"/>
  <c r="B3578" i="22"/>
  <c r="M3522" i="22"/>
  <c r="L3523" i="22"/>
  <c r="I3523" i="22"/>
  <c r="B3524" i="22"/>
  <c r="C3523" i="22"/>
  <c r="E3523" i="22"/>
  <c r="G3523" i="22"/>
  <c r="D3522" i="22"/>
  <c r="J3522" i="22"/>
  <c r="N3522" i="22" s="1"/>
  <c r="U3522" i="22" s="1"/>
  <c r="P3522" i="22"/>
  <c r="Q3522" i="22"/>
  <c r="R3522" i="22"/>
  <c r="M3468" i="22"/>
  <c r="D3468" i="22"/>
  <c r="J3468" i="22"/>
  <c r="N3468" i="22" s="1"/>
  <c r="U3468" i="22" s="1"/>
  <c r="P3468" i="22"/>
  <c r="Q3468" i="22"/>
  <c r="R3468" i="22"/>
  <c r="L3469" i="22"/>
  <c r="C3469" i="22"/>
  <c r="K3469" i="22" s="1"/>
  <c r="E3469" i="22"/>
  <c r="F3469" i="22"/>
  <c r="O3469" i="22" s="1"/>
  <c r="G3469" i="22"/>
  <c r="I3469" i="22"/>
  <c r="B3470" i="22"/>
  <c r="M3414" i="22"/>
  <c r="D3414" i="22"/>
  <c r="J3414" i="22"/>
  <c r="N3414" i="22" s="1"/>
  <c r="U3414" i="22" s="1"/>
  <c r="P3414" i="22"/>
  <c r="Q3414" i="22"/>
  <c r="R3414" i="22"/>
  <c r="L3415" i="22"/>
  <c r="C3415" i="22"/>
  <c r="K3415" i="22" s="1"/>
  <c r="E3415" i="22"/>
  <c r="F3415" i="22"/>
  <c r="O3415" i="22" s="1"/>
  <c r="G3415" i="22"/>
  <c r="I3415" i="22"/>
  <c r="B3416" i="22"/>
  <c r="D3360" i="22"/>
  <c r="J3360" i="22"/>
  <c r="P3360" i="22"/>
  <c r="Q3360" i="22"/>
  <c r="R3360" i="22"/>
  <c r="L3361" i="22"/>
  <c r="C3361" i="22"/>
  <c r="E3361" i="22"/>
  <c r="G3361" i="22"/>
  <c r="I3361" i="22"/>
  <c r="B3362" i="22"/>
  <c r="M3306" i="22"/>
  <c r="D3306" i="22"/>
  <c r="J3306" i="22"/>
  <c r="N3306" i="22" s="1"/>
  <c r="U3306" i="22" s="1"/>
  <c r="P3306" i="22"/>
  <c r="Q3306" i="22"/>
  <c r="R3306" i="22"/>
  <c r="L3307" i="22"/>
  <c r="C3307" i="22"/>
  <c r="K3307" i="22" s="1"/>
  <c r="E3307" i="22"/>
  <c r="F3307" i="22"/>
  <c r="O3307" i="22" s="1"/>
  <c r="G3307" i="22"/>
  <c r="I3307" i="22"/>
  <c r="B3308" i="22"/>
  <c r="M3252" i="22"/>
  <c r="D3252" i="22"/>
  <c r="J3252" i="22"/>
  <c r="N3252" i="22" s="1"/>
  <c r="U3252" i="22" s="1"/>
  <c r="P3252" i="22"/>
  <c r="Q3252" i="22"/>
  <c r="R3252" i="22"/>
  <c r="L3253" i="22"/>
  <c r="C3253" i="22"/>
  <c r="K3253" i="22" s="1"/>
  <c r="E3253" i="22"/>
  <c r="F3253" i="22"/>
  <c r="O3253" i="22" s="1"/>
  <c r="G3253" i="22"/>
  <c r="I3253" i="22"/>
  <c r="B3254" i="22"/>
  <c r="M3198" i="22"/>
  <c r="D3198" i="22"/>
  <c r="J3198" i="22"/>
  <c r="N3198" i="22" s="1"/>
  <c r="U3198" i="22" s="1"/>
  <c r="P3198" i="22"/>
  <c r="Q3198" i="22"/>
  <c r="R3198" i="22"/>
  <c r="L3199" i="22"/>
  <c r="C3199" i="22"/>
  <c r="K3199" i="22" s="1"/>
  <c r="E3199" i="22"/>
  <c r="F3199" i="22"/>
  <c r="O3199" i="22" s="1"/>
  <c r="G3199" i="22"/>
  <c r="I3199" i="22"/>
  <c r="B3200" i="22"/>
  <c r="J3144" i="22"/>
  <c r="D3144" i="22"/>
  <c r="P3144" i="22"/>
  <c r="Q3144" i="22"/>
  <c r="R3144" i="22"/>
  <c r="L3145" i="22"/>
  <c r="B3146" i="22"/>
  <c r="I3145" i="22"/>
  <c r="C3145" i="22"/>
  <c r="E3145" i="22"/>
  <c r="G3145" i="22"/>
  <c r="M3090" i="22"/>
  <c r="P3090" i="22"/>
  <c r="Q3090" i="22"/>
  <c r="R3090" i="22"/>
  <c r="J3090" i="22"/>
  <c r="N3090" i="22" s="1"/>
  <c r="U3090" i="22" s="1"/>
  <c r="D3090" i="22"/>
  <c r="L3091" i="22"/>
  <c r="C3091" i="22"/>
  <c r="E3091" i="22"/>
  <c r="G3091" i="22"/>
  <c r="I3091" i="22"/>
  <c r="B3092" i="22"/>
  <c r="L3037" i="22"/>
  <c r="C3037" i="22"/>
  <c r="K3037" i="22" s="1"/>
  <c r="E3037" i="22"/>
  <c r="F3037" i="22"/>
  <c r="O3037" i="22" s="1"/>
  <c r="G3037" i="22"/>
  <c r="B3038" i="22"/>
  <c r="I3037" i="22"/>
  <c r="D3036" i="22"/>
  <c r="J3036" i="22"/>
  <c r="P3036" i="22"/>
  <c r="Q3036" i="22"/>
  <c r="R3036" i="22"/>
  <c r="M2982" i="22"/>
  <c r="P2982" i="22"/>
  <c r="Q2982" i="22"/>
  <c r="R2982" i="22"/>
  <c r="L2983" i="22"/>
  <c r="C2983" i="22"/>
  <c r="E2983" i="22"/>
  <c r="G2983" i="22"/>
  <c r="I2983" i="22"/>
  <c r="B2984" i="22"/>
  <c r="D2982" i="22"/>
  <c r="J2982" i="22"/>
  <c r="N2982" i="22" s="1"/>
  <c r="U2982" i="22" s="1"/>
  <c r="M2928" i="22"/>
  <c r="P2928" i="22"/>
  <c r="Q2928" i="22"/>
  <c r="R2928" i="22"/>
  <c r="D2928" i="22"/>
  <c r="J2928" i="22"/>
  <c r="N2928" i="22" s="1"/>
  <c r="U2928" i="22" s="1"/>
  <c r="L2929" i="22"/>
  <c r="I2929" i="22"/>
  <c r="C2929" i="22"/>
  <c r="K2929" i="22" s="1"/>
  <c r="E2929" i="22"/>
  <c r="F2929" i="22"/>
  <c r="O2929" i="22" s="1"/>
  <c r="G2929" i="22"/>
  <c r="B2930" i="22"/>
  <c r="M2874" i="22"/>
  <c r="D2874" i="22"/>
  <c r="J2874" i="22"/>
  <c r="N2874" i="22" s="1"/>
  <c r="U2874" i="22" s="1"/>
  <c r="P2874" i="22"/>
  <c r="Q2874" i="22"/>
  <c r="R2874" i="22"/>
  <c r="L2875" i="22"/>
  <c r="C2875" i="22"/>
  <c r="K2875" i="22" s="1"/>
  <c r="E2875" i="22"/>
  <c r="F2875" i="22"/>
  <c r="O2875" i="22" s="1"/>
  <c r="G2875" i="22"/>
  <c r="I2875" i="22"/>
  <c r="B2876" i="22"/>
  <c r="M2820" i="22"/>
  <c r="D2820" i="22"/>
  <c r="J2820" i="22"/>
  <c r="N2820" i="22" s="1"/>
  <c r="S2820" i="22" s="1"/>
  <c r="P2820" i="22"/>
  <c r="Q2820" i="22"/>
  <c r="R2820" i="22"/>
  <c r="T2820" i="22"/>
  <c r="U2820" i="22" s="1"/>
  <c r="L2821" i="22"/>
  <c r="C2821" i="22"/>
  <c r="K2821" i="22" s="1"/>
  <c r="E2821" i="22"/>
  <c r="F2821" i="22"/>
  <c r="O2821" i="22" s="1"/>
  <c r="G2821" i="22"/>
  <c r="I2821" i="22"/>
  <c r="B2822" i="22"/>
  <c r="M2766" i="22"/>
  <c r="D2766" i="22"/>
  <c r="J2766" i="22"/>
  <c r="N2766" i="22" s="1"/>
  <c r="U2766" i="22" s="1"/>
  <c r="P2766" i="22"/>
  <c r="Q2766" i="22"/>
  <c r="R2766" i="22"/>
  <c r="L2767" i="22"/>
  <c r="C2767" i="22"/>
  <c r="K2767" i="22" s="1"/>
  <c r="E2767" i="22"/>
  <c r="F2767" i="22"/>
  <c r="O2767" i="22" s="1"/>
  <c r="G2767" i="22"/>
  <c r="I2767" i="22"/>
  <c r="B2768" i="22"/>
  <c r="M2712" i="22"/>
  <c r="D2712" i="22"/>
  <c r="J2712" i="22"/>
  <c r="N2712" i="22" s="1"/>
  <c r="U2712" i="22" s="1"/>
  <c r="P2712" i="22"/>
  <c r="Q2712" i="22"/>
  <c r="R2712" i="22"/>
  <c r="L2713" i="22"/>
  <c r="C2713" i="22"/>
  <c r="K2713" i="22" s="1"/>
  <c r="E2713" i="22"/>
  <c r="F2713" i="22"/>
  <c r="O2713" i="22" s="1"/>
  <c r="G2713" i="22"/>
  <c r="I2713" i="22"/>
  <c r="B2714" i="22"/>
  <c r="M2658" i="22"/>
  <c r="D2658" i="22"/>
  <c r="J2658" i="22"/>
  <c r="N2658" i="22" s="1"/>
  <c r="U2658" i="22" s="1"/>
  <c r="P2658" i="22"/>
  <c r="Q2658" i="22"/>
  <c r="R2658" i="22"/>
  <c r="L2659" i="22"/>
  <c r="C2659" i="22"/>
  <c r="K2659" i="22" s="1"/>
  <c r="E2659" i="22"/>
  <c r="F2659" i="22"/>
  <c r="O2659" i="22" s="1"/>
  <c r="G2659" i="22"/>
  <c r="I2659" i="22"/>
  <c r="B2660" i="22"/>
  <c r="L2605" i="22"/>
  <c r="E2605" i="22"/>
  <c r="I2605" i="22"/>
  <c r="C2605" i="22"/>
  <c r="K2605" i="22" s="1"/>
  <c r="F2605" i="22"/>
  <c r="O2605" i="22" s="1"/>
  <c r="G2605" i="22"/>
  <c r="B2606" i="22"/>
  <c r="P2604" i="22"/>
  <c r="Q2604" i="22"/>
  <c r="R2604" i="22"/>
  <c r="D2604" i="22"/>
  <c r="J2604" i="22"/>
  <c r="M2550" i="22"/>
  <c r="D2550" i="22"/>
  <c r="J2550" i="22"/>
  <c r="N2550" i="22" s="1"/>
  <c r="U2550" i="22" s="1"/>
  <c r="P2550" i="22"/>
  <c r="Q2550" i="22"/>
  <c r="R2550" i="22"/>
  <c r="L2551" i="22"/>
  <c r="C2551" i="22"/>
  <c r="K2551" i="22" s="1"/>
  <c r="E2551" i="22"/>
  <c r="F2551" i="22"/>
  <c r="O2551" i="22" s="1"/>
  <c r="G2551" i="22"/>
  <c r="I2551" i="22"/>
  <c r="B2552" i="22"/>
  <c r="M2496" i="22"/>
  <c r="D2496" i="22"/>
  <c r="J2496" i="22"/>
  <c r="N2496" i="22" s="1"/>
  <c r="U2496" i="22" s="1"/>
  <c r="P2496" i="22"/>
  <c r="Q2496" i="22"/>
  <c r="R2496" i="22"/>
  <c r="L2497" i="22"/>
  <c r="C2497" i="22"/>
  <c r="K2497" i="22" s="1"/>
  <c r="E2497" i="22"/>
  <c r="F2497" i="22"/>
  <c r="O2497" i="22" s="1"/>
  <c r="G2497" i="22"/>
  <c r="I2497" i="22"/>
  <c r="B2498" i="22"/>
  <c r="M2442" i="22"/>
  <c r="D2442" i="22"/>
  <c r="J2442" i="22"/>
  <c r="N2442" i="22" s="1"/>
  <c r="U2442" i="22" s="1"/>
  <c r="P2442" i="22"/>
  <c r="Q2442" i="22"/>
  <c r="R2442" i="22"/>
  <c r="L2443" i="22"/>
  <c r="C2443" i="22"/>
  <c r="K2443" i="22" s="1"/>
  <c r="E2443" i="22"/>
  <c r="F2443" i="22"/>
  <c r="O2443" i="22" s="1"/>
  <c r="G2443" i="22"/>
  <c r="I2443" i="22"/>
  <c r="B2444" i="22"/>
  <c r="D2388" i="22"/>
  <c r="J2388" i="22"/>
  <c r="P2388" i="22"/>
  <c r="Q2388" i="22"/>
  <c r="R2388" i="22"/>
  <c r="L2389" i="22"/>
  <c r="C2389" i="22"/>
  <c r="K2389" i="22" s="1"/>
  <c r="E2389" i="22"/>
  <c r="F2389" i="22"/>
  <c r="O2389" i="22" s="1"/>
  <c r="G2389" i="22"/>
  <c r="I2389" i="22"/>
  <c r="B2390" i="22"/>
  <c r="M2334" i="22"/>
  <c r="D2334" i="22"/>
  <c r="J2334" i="22"/>
  <c r="N2334" i="22" s="1"/>
  <c r="U2334" i="22" s="1"/>
  <c r="P2334" i="22"/>
  <c r="Q2334" i="22"/>
  <c r="R2334" i="22"/>
  <c r="L2335" i="22"/>
  <c r="C2335" i="22"/>
  <c r="E2335" i="22"/>
  <c r="G2335" i="22"/>
  <c r="I2335" i="22"/>
  <c r="B2336" i="22"/>
  <c r="J2280" i="22"/>
  <c r="D2280" i="22"/>
  <c r="L2281" i="22"/>
  <c r="E2281" i="22"/>
  <c r="C2281" i="22"/>
  <c r="B2282" i="22"/>
  <c r="G2281" i="22"/>
  <c r="I2281" i="22"/>
  <c r="P2280" i="22"/>
  <c r="Q2280" i="22"/>
  <c r="R2280" i="22"/>
  <c r="M2226" i="22"/>
  <c r="D2226" i="22"/>
  <c r="J2226" i="22"/>
  <c r="N2226" i="22" s="1"/>
  <c r="U2226" i="22" s="1"/>
  <c r="P2226" i="22"/>
  <c r="Q2226" i="22"/>
  <c r="R2226" i="22"/>
  <c r="L2227" i="22"/>
  <c r="C2227" i="22"/>
  <c r="K2227" i="22" s="1"/>
  <c r="E2227" i="22"/>
  <c r="F2227" i="22"/>
  <c r="O2227" i="22" s="1"/>
  <c r="G2227" i="22"/>
  <c r="I2227" i="22"/>
  <c r="B2228" i="22"/>
  <c r="M2172" i="22"/>
  <c r="D2172" i="22"/>
  <c r="J2172" i="22"/>
  <c r="N2172" i="22" s="1"/>
  <c r="U2172" i="22" s="1"/>
  <c r="P2172" i="22"/>
  <c r="Q2172" i="22"/>
  <c r="R2172" i="22"/>
  <c r="L2173" i="22"/>
  <c r="C2173" i="22"/>
  <c r="K2173" i="22" s="1"/>
  <c r="E2173" i="22"/>
  <c r="F2173" i="22"/>
  <c r="O2173" i="22" s="1"/>
  <c r="G2173" i="22"/>
  <c r="I2173" i="22"/>
  <c r="B2174" i="22"/>
  <c r="M2118" i="22"/>
  <c r="D2118" i="22"/>
  <c r="J2118" i="22"/>
  <c r="N2118" i="22" s="1"/>
  <c r="U2118" i="22" s="1"/>
  <c r="P2118" i="22"/>
  <c r="Q2118" i="22"/>
  <c r="R2118" i="22"/>
  <c r="L2119" i="22"/>
  <c r="C2119" i="22"/>
  <c r="K2119" i="22" s="1"/>
  <c r="E2119" i="22"/>
  <c r="F2119" i="22"/>
  <c r="O2119" i="22" s="1"/>
  <c r="G2119" i="22"/>
  <c r="I2119" i="22"/>
  <c r="B2120" i="22"/>
  <c r="M2064" i="22"/>
  <c r="D2064" i="22"/>
  <c r="J2064" i="22"/>
  <c r="N2064" i="22" s="1"/>
  <c r="U2064" i="22" s="1"/>
  <c r="P2064" i="22"/>
  <c r="Q2064" i="22"/>
  <c r="R2064" i="22"/>
  <c r="L2065" i="22"/>
  <c r="C2065" i="22"/>
  <c r="K2065" i="22" s="1"/>
  <c r="E2065" i="22"/>
  <c r="F2065" i="22"/>
  <c r="O2065" i="22" s="1"/>
  <c r="G2065" i="22"/>
  <c r="I2065" i="22"/>
  <c r="B2066" i="22"/>
  <c r="D2010" i="22"/>
  <c r="J2010" i="22"/>
  <c r="P2010" i="22"/>
  <c r="Q2010" i="22"/>
  <c r="R2010" i="22"/>
  <c r="L2011" i="22"/>
  <c r="C2011" i="22"/>
  <c r="K2011" i="22" s="1"/>
  <c r="E2011" i="22"/>
  <c r="F2011" i="22"/>
  <c r="O2011" i="22" s="1"/>
  <c r="G2011" i="22"/>
  <c r="I2011" i="22"/>
  <c r="B2012" i="22"/>
  <c r="D1956" i="22"/>
  <c r="J1956" i="22"/>
  <c r="P1956" i="22"/>
  <c r="Q1956" i="22"/>
  <c r="R1956" i="22"/>
  <c r="L1957" i="22"/>
  <c r="C1957" i="22"/>
  <c r="K1957" i="22" s="1"/>
  <c r="E1957" i="22"/>
  <c r="F1957" i="22"/>
  <c r="O1957" i="22" s="1"/>
  <c r="G1957" i="22"/>
  <c r="I1957" i="22"/>
  <c r="B1958" i="22"/>
  <c r="M1902" i="22"/>
  <c r="D1902" i="22"/>
  <c r="J1902" i="22"/>
  <c r="N1902" i="22" s="1"/>
  <c r="U1902" i="22" s="1"/>
  <c r="P1902" i="22"/>
  <c r="Q1902" i="22"/>
  <c r="R1902" i="22"/>
  <c r="L1903" i="22"/>
  <c r="C1903" i="22"/>
  <c r="K1903" i="22" s="1"/>
  <c r="E1903" i="22"/>
  <c r="F1903" i="22"/>
  <c r="O1903" i="22" s="1"/>
  <c r="G1903" i="22"/>
  <c r="I1903" i="22"/>
  <c r="B1904" i="22"/>
  <c r="M1848" i="22"/>
  <c r="D1848" i="22"/>
  <c r="J1848" i="22"/>
  <c r="N1848" i="22" s="1"/>
  <c r="U1848" i="22" s="1"/>
  <c r="P1848" i="22"/>
  <c r="Q1848" i="22"/>
  <c r="R1848" i="22"/>
  <c r="L1849" i="22"/>
  <c r="C1849" i="22"/>
  <c r="K1849" i="22" s="1"/>
  <c r="E1849" i="22"/>
  <c r="F1849" i="22"/>
  <c r="O1849" i="22" s="1"/>
  <c r="G1849" i="22"/>
  <c r="I1849" i="22"/>
  <c r="B1850" i="22"/>
  <c r="M1794" i="22"/>
  <c r="D1794" i="22"/>
  <c r="J1794" i="22"/>
  <c r="N1794" i="22" s="1"/>
  <c r="U1794" i="22" s="1"/>
  <c r="P1794" i="22"/>
  <c r="Q1794" i="22"/>
  <c r="R1794" i="22"/>
  <c r="L1795" i="22"/>
  <c r="C1795" i="22"/>
  <c r="E1795" i="22"/>
  <c r="G1795" i="22"/>
  <c r="I1795" i="22"/>
  <c r="B1796" i="22"/>
  <c r="M1740" i="22"/>
  <c r="D1740" i="22"/>
  <c r="J1740" i="22"/>
  <c r="N1740" i="22" s="1"/>
  <c r="U1740" i="22" s="1"/>
  <c r="P1740" i="22"/>
  <c r="Q1740" i="22"/>
  <c r="R1740" i="22"/>
  <c r="L1741" i="22"/>
  <c r="C1741" i="22"/>
  <c r="K1741" i="22" s="1"/>
  <c r="E1741" i="22"/>
  <c r="F1741" i="22"/>
  <c r="O1741" i="22" s="1"/>
  <c r="G1741" i="22"/>
  <c r="I1741" i="22"/>
  <c r="B1742" i="22"/>
  <c r="D1686" i="22"/>
  <c r="J1686" i="22"/>
  <c r="P1686" i="22"/>
  <c r="Q1686" i="22"/>
  <c r="R1686" i="22"/>
  <c r="L1687" i="22"/>
  <c r="C1687" i="22"/>
  <c r="E1687" i="22"/>
  <c r="G1687" i="22"/>
  <c r="I1687" i="22"/>
  <c r="B1688" i="22"/>
  <c r="M1632" i="22"/>
  <c r="D1632" i="22"/>
  <c r="J1632" i="22"/>
  <c r="N1632" i="22" s="1"/>
  <c r="U1632" i="22" s="1"/>
  <c r="P1632" i="22"/>
  <c r="Q1632" i="22"/>
  <c r="R1632" i="22"/>
  <c r="L1633" i="22"/>
  <c r="C1633" i="22"/>
  <c r="K1633" i="22" s="1"/>
  <c r="E1633" i="22"/>
  <c r="F1633" i="22"/>
  <c r="O1633" i="22" s="1"/>
  <c r="G1633" i="22"/>
  <c r="I1633" i="22"/>
  <c r="B1634" i="22"/>
  <c r="M1578" i="22"/>
  <c r="D1578" i="22"/>
  <c r="J1578" i="22"/>
  <c r="N1578" i="22" s="1"/>
  <c r="U1578" i="22" s="1"/>
  <c r="P1578" i="22"/>
  <c r="Q1578" i="22"/>
  <c r="R1578" i="22"/>
  <c r="L1579" i="22"/>
  <c r="C1579" i="22"/>
  <c r="K1579" i="22" s="1"/>
  <c r="E1579" i="22"/>
  <c r="F1579" i="22"/>
  <c r="O1579" i="22" s="1"/>
  <c r="G1579" i="22"/>
  <c r="I1579" i="22"/>
  <c r="B1580" i="22"/>
  <c r="M1524" i="22"/>
  <c r="D1524" i="22"/>
  <c r="J1524" i="22"/>
  <c r="N1524" i="22" s="1"/>
  <c r="U1524" i="22" s="1"/>
  <c r="P1524" i="22"/>
  <c r="Q1524" i="22"/>
  <c r="R1524" i="22"/>
  <c r="L1525" i="22"/>
  <c r="C1525" i="22"/>
  <c r="E1525" i="22"/>
  <c r="G1525" i="22"/>
  <c r="I1525" i="22"/>
  <c r="B1526" i="22"/>
  <c r="M1470" i="22"/>
  <c r="D1470" i="22"/>
  <c r="J1470" i="22"/>
  <c r="N1470" i="22" s="1"/>
  <c r="U1470" i="22" s="1"/>
  <c r="P1470" i="22"/>
  <c r="Q1470" i="22"/>
  <c r="R1470" i="22"/>
  <c r="L1471" i="22"/>
  <c r="C1471" i="22"/>
  <c r="K1471" i="22" s="1"/>
  <c r="E1471" i="22"/>
  <c r="F1471" i="22"/>
  <c r="O1471" i="22" s="1"/>
  <c r="G1471" i="22"/>
  <c r="I1471" i="22"/>
  <c r="B1472" i="22"/>
  <c r="M1416" i="22"/>
  <c r="D1416" i="22"/>
  <c r="J1416" i="22"/>
  <c r="N1416" i="22" s="1"/>
  <c r="U1416" i="22" s="1"/>
  <c r="P1416" i="22"/>
  <c r="Q1416" i="22"/>
  <c r="R1416" i="22"/>
  <c r="L1417" i="22"/>
  <c r="C1417" i="22"/>
  <c r="E1417" i="22"/>
  <c r="G1417" i="22"/>
  <c r="I1417" i="22"/>
  <c r="B1418" i="22"/>
  <c r="D1362" i="22"/>
  <c r="J1362" i="22"/>
  <c r="P1362" i="22"/>
  <c r="Q1362" i="22"/>
  <c r="R1362" i="22"/>
  <c r="L1363" i="22"/>
  <c r="C1363" i="22"/>
  <c r="E1363" i="22"/>
  <c r="G1363" i="22"/>
  <c r="I1363" i="22"/>
  <c r="B1364" i="22"/>
  <c r="M1308" i="22"/>
  <c r="D1308" i="22"/>
  <c r="J1308" i="22"/>
  <c r="N1308" i="22" s="1"/>
  <c r="U1308" i="22" s="1"/>
  <c r="P1308" i="22"/>
  <c r="Q1308" i="22"/>
  <c r="R1308" i="22"/>
  <c r="L1309" i="22"/>
  <c r="C1309" i="22"/>
  <c r="E1309" i="22"/>
  <c r="G1309" i="22"/>
  <c r="I1309" i="22"/>
  <c r="B1310" i="22"/>
  <c r="M1254" i="22"/>
  <c r="D1254" i="22"/>
  <c r="J1254" i="22"/>
  <c r="N1254" i="22" s="1"/>
  <c r="U1254" i="22" s="1"/>
  <c r="P1254" i="22"/>
  <c r="Q1254" i="22"/>
  <c r="R1254" i="22"/>
  <c r="L1255" i="22"/>
  <c r="C1255" i="22"/>
  <c r="E1255" i="22"/>
  <c r="G1255" i="22"/>
  <c r="I1255" i="22"/>
  <c r="B1256" i="22"/>
  <c r="M1200" i="22"/>
  <c r="D1200" i="22"/>
  <c r="J1200" i="22"/>
  <c r="N1200" i="22" s="1"/>
  <c r="U1200" i="22" s="1"/>
  <c r="P1200" i="22"/>
  <c r="Q1200" i="22"/>
  <c r="R1200" i="22"/>
  <c r="L1201" i="22"/>
  <c r="C1201" i="22"/>
  <c r="K1201" i="22" s="1"/>
  <c r="E1201" i="22"/>
  <c r="F1201" i="22"/>
  <c r="O1201" i="22" s="1"/>
  <c r="G1201" i="22"/>
  <c r="I1201" i="22"/>
  <c r="B1202" i="22"/>
  <c r="M1146" i="22"/>
  <c r="D1146" i="22"/>
  <c r="J1146" i="22"/>
  <c r="N1146" i="22" s="1"/>
  <c r="U1146" i="22" s="1"/>
  <c r="P1146" i="22"/>
  <c r="Q1146" i="22"/>
  <c r="R1146" i="22"/>
  <c r="L1147" i="22"/>
  <c r="C1147" i="22"/>
  <c r="E1147" i="22"/>
  <c r="G1147" i="22"/>
  <c r="I1147" i="22"/>
  <c r="B1148" i="22"/>
  <c r="M1092" i="22"/>
  <c r="D1092" i="22"/>
  <c r="J1092" i="22"/>
  <c r="N1092" i="22" s="1"/>
  <c r="U1092" i="22" s="1"/>
  <c r="P1092" i="22"/>
  <c r="Q1092" i="22"/>
  <c r="R1092" i="22"/>
  <c r="L1093" i="22"/>
  <c r="C1093" i="22"/>
  <c r="E1093" i="22"/>
  <c r="G1093" i="22"/>
  <c r="I1093" i="22"/>
  <c r="B1094" i="22"/>
  <c r="P1038" i="22"/>
  <c r="Q1038" i="22"/>
  <c r="R1038" i="22"/>
  <c r="D1038" i="22"/>
  <c r="J1038" i="22"/>
  <c r="L1039" i="22"/>
  <c r="B1040" i="22"/>
  <c r="E1039" i="22"/>
  <c r="I1039" i="22"/>
  <c r="G1039" i="22"/>
  <c r="C1039" i="22"/>
  <c r="D984" i="22"/>
  <c r="J984" i="22"/>
  <c r="P984" i="22"/>
  <c r="Q984" i="22"/>
  <c r="R984" i="22"/>
  <c r="L985" i="22"/>
  <c r="C985" i="22"/>
  <c r="E985" i="22"/>
  <c r="G985" i="22"/>
  <c r="I985" i="22"/>
  <c r="B986" i="22"/>
  <c r="M930" i="22"/>
  <c r="D930" i="22"/>
  <c r="J930" i="22"/>
  <c r="N930" i="22" s="1"/>
  <c r="U930" i="22" s="1"/>
  <c r="P930" i="22"/>
  <c r="Q930" i="22"/>
  <c r="R930" i="22"/>
  <c r="L931" i="22"/>
  <c r="C931" i="22"/>
  <c r="K931" i="22" s="1"/>
  <c r="E931" i="22"/>
  <c r="F931" i="22"/>
  <c r="O931" i="22" s="1"/>
  <c r="G931" i="22"/>
  <c r="I931" i="22"/>
  <c r="B932" i="22"/>
  <c r="M876" i="22"/>
  <c r="D876" i="22"/>
  <c r="J876" i="22"/>
  <c r="N876" i="22" s="1"/>
  <c r="U876" i="22" s="1"/>
  <c r="P876" i="22"/>
  <c r="Q876" i="22"/>
  <c r="R876" i="22"/>
  <c r="L877" i="22"/>
  <c r="C877" i="22"/>
  <c r="K877" i="22" s="1"/>
  <c r="E877" i="22"/>
  <c r="F877" i="22"/>
  <c r="O877" i="22" s="1"/>
  <c r="G877" i="22"/>
  <c r="I877" i="22"/>
  <c r="B878" i="22"/>
  <c r="M822" i="22"/>
  <c r="D822" i="22"/>
  <c r="J822" i="22"/>
  <c r="N822" i="22" s="1"/>
  <c r="U822" i="22" s="1"/>
  <c r="P822" i="22"/>
  <c r="Q822" i="22"/>
  <c r="R822" i="22"/>
  <c r="L823" i="22"/>
  <c r="C823" i="22"/>
  <c r="K823" i="22" s="1"/>
  <c r="E823" i="22"/>
  <c r="F823" i="22"/>
  <c r="O823" i="22" s="1"/>
  <c r="G823" i="22"/>
  <c r="I823" i="22"/>
  <c r="B824" i="22"/>
  <c r="M768" i="22"/>
  <c r="D768" i="22"/>
  <c r="J768" i="22"/>
  <c r="N768" i="22" s="1"/>
  <c r="U768" i="22" s="1"/>
  <c r="P768" i="22"/>
  <c r="Q768" i="22"/>
  <c r="R768" i="22"/>
  <c r="L769" i="22"/>
  <c r="C769" i="22"/>
  <c r="K769" i="22" s="1"/>
  <c r="E769" i="22"/>
  <c r="F769" i="22"/>
  <c r="O769" i="22" s="1"/>
  <c r="G769" i="22"/>
  <c r="I769" i="22"/>
  <c r="B770" i="22"/>
  <c r="M714" i="22"/>
  <c r="D714" i="22"/>
  <c r="J714" i="22"/>
  <c r="N714" i="22" s="1"/>
  <c r="U714" i="22" s="1"/>
  <c r="P714" i="22"/>
  <c r="Q714" i="22"/>
  <c r="R714" i="22"/>
  <c r="L715" i="22"/>
  <c r="C715" i="22"/>
  <c r="K715" i="22" s="1"/>
  <c r="E715" i="22"/>
  <c r="F715" i="22"/>
  <c r="O715" i="22" s="1"/>
  <c r="G715" i="22"/>
  <c r="I715" i="22"/>
  <c r="B716" i="22"/>
  <c r="M660" i="22"/>
  <c r="D660" i="22"/>
  <c r="J660" i="22"/>
  <c r="N660" i="22" s="1"/>
  <c r="U660" i="22" s="1"/>
  <c r="P660" i="22"/>
  <c r="Q660" i="22"/>
  <c r="R660" i="22"/>
  <c r="L661" i="22"/>
  <c r="C661" i="22"/>
  <c r="K661" i="22" s="1"/>
  <c r="E661" i="22"/>
  <c r="F661" i="22"/>
  <c r="O661" i="22" s="1"/>
  <c r="G661" i="22"/>
  <c r="I661" i="22"/>
  <c r="B662" i="22"/>
  <c r="D606" i="22"/>
  <c r="J606" i="22"/>
  <c r="P606" i="22"/>
  <c r="Q606" i="22"/>
  <c r="R606" i="22"/>
  <c r="L607" i="22"/>
  <c r="C607" i="22"/>
  <c r="K607" i="22" s="1"/>
  <c r="E607" i="22"/>
  <c r="F607" i="22"/>
  <c r="O607" i="22" s="1"/>
  <c r="G607" i="22"/>
  <c r="I607" i="22"/>
  <c r="B608" i="22"/>
  <c r="M552" i="22"/>
  <c r="D552" i="22"/>
  <c r="J552" i="22"/>
  <c r="N552" i="22" s="1"/>
  <c r="U552" i="22" s="1"/>
  <c r="P552" i="22"/>
  <c r="Q552" i="22"/>
  <c r="R552" i="22"/>
  <c r="L553" i="22"/>
  <c r="C553" i="22"/>
  <c r="K553" i="22" s="1"/>
  <c r="E553" i="22"/>
  <c r="F553" i="22"/>
  <c r="O553" i="22" s="1"/>
  <c r="G553" i="22"/>
  <c r="I553" i="22"/>
  <c r="B554" i="22"/>
  <c r="D498" i="22"/>
  <c r="J498" i="22"/>
  <c r="P498" i="22"/>
  <c r="Q498" i="22"/>
  <c r="R498" i="22"/>
  <c r="L499" i="22"/>
  <c r="C499" i="22"/>
  <c r="K499" i="22" s="1"/>
  <c r="E499" i="22"/>
  <c r="F499" i="22"/>
  <c r="O499" i="22" s="1"/>
  <c r="G499" i="22"/>
  <c r="I499" i="22"/>
  <c r="B500" i="22"/>
  <c r="M444" i="22"/>
  <c r="P444" i="22"/>
  <c r="Q444" i="22"/>
  <c r="R444" i="22"/>
  <c r="J444" i="22"/>
  <c r="N444" i="22" s="1"/>
  <c r="U444" i="22" s="1"/>
  <c r="D444" i="22"/>
  <c r="L445" i="22"/>
  <c r="C445" i="22"/>
  <c r="K445" i="22" s="1"/>
  <c r="E445" i="22"/>
  <c r="F445" i="22"/>
  <c r="O445" i="22" s="1"/>
  <c r="G445" i="22"/>
  <c r="I445" i="22"/>
  <c r="B446" i="22"/>
  <c r="M390" i="22"/>
  <c r="D390" i="22"/>
  <c r="J390" i="22"/>
  <c r="N390" i="22" s="1"/>
  <c r="U390" i="22" s="1"/>
  <c r="P390" i="22"/>
  <c r="Q390" i="22"/>
  <c r="R390" i="22"/>
  <c r="L391" i="22"/>
  <c r="C391" i="22"/>
  <c r="K391" i="22" s="1"/>
  <c r="E391" i="22"/>
  <c r="F391" i="22"/>
  <c r="O391" i="22" s="1"/>
  <c r="G391" i="22"/>
  <c r="I391" i="22"/>
  <c r="B392" i="22"/>
  <c r="M336" i="22"/>
  <c r="D336" i="22"/>
  <c r="J336" i="22"/>
  <c r="N336" i="22" s="1"/>
  <c r="U336" i="22" s="1"/>
  <c r="P336" i="22"/>
  <c r="Q336" i="22"/>
  <c r="R336" i="22"/>
  <c r="L337" i="22"/>
  <c r="C337" i="22"/>
  <c r="E337" i="22"/>
  <c r="G337" i="22"/>
  <c r="I337" i="22"/>
  <c r="B338" i="22"/>
  <c r="M282" i="22"/>
  <c r="D282" i="22"/>
  <c r="J282" i="22"/>
  <c r="N282" i="22" s="1"/>
  <c r="U282" i="22" s="1"/>
  <c r="P282" i="22"/>
  <c r="Q282" i="22"/>
  <c r="R282" i="22"/>
  <c r="L283" i="22"/>
  <c r="C283" i="22"/>
  <c r="K283" i="22" s="1"/>
  <c r="E283" i="22"/>
  <c r="F283" i="22"/>
  <c r="O283" i="22" s="1"/>
  <c r="G283" i="22"/>
  <c r="I283" i="22"/>
  <c r="B284" i="22"/>
  <c r="D228" i="22"/>
  <c r="J228" i="22"/>
  <c r="P228" i="22"/>
  <c r="Q228" i="22"/>
  <c r="R228" i="22"/>
  <c r="L229" i="22"/>
  <c r="C229" i="22"/>
  <c r="K229" i="22" s="1"/>
  <c r="E229" i="22"/>
  <c r="F229" i="22"/>
  <c r="O229" i="22" s="1"/>
  <c r="G229" i="22"/>
  <c r="I229" i="22"/>
  <c r="B230" i="22"/>
  <c r="P174" i="22"/>
  <c r="Q174" i="22"/>
  <c r="R174" i="22"/>
  <c r="L175" i="22"/>
  <c r="C175" i="22"/>
  <c r="E175" i="22"/>
  <c r="G175" i="22"/>
  <c r="I175" i="22"/>
  <c r="B176" i="22"/>
  <c r="D174" i="22"/>
  <c r="J174" i="22"/>
  <c r="M120" i="22"/>
  <c r="D120" i="22"/>
  <c r="J120" i="22"/>
  <c r="N120" i="22" s="1"/>
  <c r="U120" i="22" s="1"/>
  <c r="P120" i="22"/>
  <c r="Q120" i="22"/>
  <c r="R120" i="22"/>
  <c r="L121" i="22"/>
  <c r="I121" i="22"/>
  <c r="B122" i="22"/>
  <c r="C121" i="22"/>
  <c r="K121" i="22" s="1"/>
  <c r="E121" i="22"/>
  <c r="F121" i="22"/>
  <c r="O121" i="22" s="1"/>
  <c r="G121" i="22"/>
  <c r="G107" i="12"/>
  <c r="F57" i="18"/>
  <c r="G57" i="18"/>
  <c r="H57" i="18"/>
  <c r="L59" i="17"/>
  <c r="G59" i="17"/>
  <c r="B59" i="18"/>
  <c r="C59" i="17"/>
  <c r="K59" i="17" s="1"/>
  <c r="E59" i="17"/>
  <c r="F59" i="17"/>
  <c r="C59" i="18" s="1"/>
  <c r="E59" i="18" s="1"/>
  <c r="I59" i="17"/>
  <c r="B60" i="17"/>
  <c r="D58" i="17"/>
  <c r="J58" i="17"/>
  <c r="BE58" i="17"/>
  <c r="BD58" i="17"/>
  <c r="BC58" i="17"/>
  <c r="BB58" i="17"/>
  <c r="BA58" i="17"/>
  <c r="AZ58" i="17"/>
  <c r="AY58" i="17"/>
  <c r="AX58" i="17"/>
  <c r="AW58" i="17"/>
  <c r="AV58" i="17"/>
  <c r="AU58" i="17"/>
  <c r="AT58" i="17"/>
  <c r="AS58" i="17"/>
  <c r="AR58" i="17"/>
  <c r="AQ58" i="17"/>
  <c r="AP58" i="17"/>
  <c r="AO58" i="17"/>
  <c r="AN58" i="17"/>
  <c r="AM58" i="17"/>
  <c r="AL58" i="17"/>
  <c r="AK58" i="17"/>
  <c r="AJ58" i="17"/>
  <c r="AI58" i="17"/>
  <c r="AH58" i="17"/>
  <c r="AG58" i="17"/>
  <c r="AF58" i="17"/>
  <c r="AE58" i="17"/>
  <c r="AD58" i="17"/>
  <c r="AC58" i="17"/>
  <c r="AB58" i="17"/>
  <c r="AA58" i="17"/>
  <c r="Z58" i="17"/>
  <c r="Y58" i="17"/>
  <c r="X58" i="17"/>
  <c r="BF58" i="17" s="1"/>
  <c r="W58" i="17"/>
  <c r="P58" i="17"/>
  <c r="F58" i="18" s="1"/>
  <c r="Q58" i="17"/>
  <c r="G58" i="18" s="1"/>
  <c r="R58" i="17"/>
  <c r="H58" i="18" s="1"/>
  <c r="V58" i="17"/>
  <c r="U56" i="17"/>
  <c r="M108" i="12"/>
  <c r="Q108" i="12" s="1"/>
  <c r="O108" i="12"/>
  <c r="M1298" i="23"/>
  <c r="N1298" i="23"/>
  <c r="AE1298" i="23" s="1"/>
  <c r="M1186" i="23"/>
  <c r="N1186" i="23"/>
  <c r="AE1186" i="23" s="1"/>
  <c r="M1018" i="23"/>
  <c r="N1018" i="23"/>
  <c r="AE1018" i="23" s="1"/>
  <c r="M962" i="23"/>
  <c r="N962" i="23"/>
  <c r="AE962" i="23" s="1"/>
  <c r="M682" i="23"/>
  <c r="N682" i="23"/>
  <c r="AE682" i="23" s="1"/>
  <c r="M402" i="23"/>
  <c r="N402" i="23"/>
  <c r="AE402" i="23" s="1"/>
  <c r="M3467" i="22"/>
  <c r="N3467" i="22"/>
  <c r="U3467" i="22" s="1"/>
  <c r="M3413" i="22"/>
  <c r="N3413" i="22"/>
  <c r="U3413" i="22" s="1"/>
  <c r="M3143" i="22"/>
  <c r="N3143" i="22"/>
  <c r="U3143" i="22" s="1"/>
  <c r="N3089" i="22"/>
  <c r="U3089" i="22" s="1"/>
  <c r="M3089" i="22"/>
  <c r="M2711" i="22"/>
  <c r="N2711" i="22"/>
  <c r="U2711" i="22" s="1"/>
  <c r="N2279" i="22"/>
  <c r="U2279" i="22" s="1"/>
  <c r="M2279" i="22"/>
  <c r="M1307" i="22"/>
  <c r="N1307" i="22"/>
  <c r="U1307" i="22" s="1"/>
  <c r="M1253" i="22"/>
  <c r="N1253" i="22"/>
  <c r="U1253" i="22" s="1"/>
  <c r="M1199" i="22"/>
  <c r="N1199" i="22"/>
  <c r="U1199" i="22" s="1"/>
  <c r="M821" i="22"/>
  <c r="N821" i="22"/>
  <c r="U821" i="22" s="1"/>
  <c r="M767" i="22"/>
  <c r="N767" i="22"/>
  <c r="U767" i="22" s="1"/>
  <c r="M389" i="22"/>
  <c r="N389" i="22"/>
  <c r="U389" i="22" s="1"/>
  <c r="N173" i="22"/>
  <c r="U173" i="22" s="1"/>
  <c r="M173" i="22"/>
  <c r="M57" i="17"/>
  <c r="N57" i="17"/>
  <c r="O57" i="17"/>
  <c r="E109" i="12"/>
  <c r="N109" i="12"/>
  <c r="K1579" i="23"/>
  <c r="F1579" i="23"/>
  <c r="O1579" i="23" s="1"/>
  <c r="K1523" i="23"/>
  <c r="F1523" i="23"/>
  <c r="O1523" i="23" s="1"/>
  <c r="K1355" i="23"/>
  <c r="F1355" i="23"/>
  <c r="O1355" i="23" s="1"/>
  <c r="K627" i="23"/>
  <c r="F627" i="23"/>
  <c r="O627" i="23" s="1"/>
  <c r="F459" i="23"/>
  <c r="O459" i="23" s="1"/>
  <c r="K459" i="23"/>
  <c r="P109" i="12"/>
  <c r="D4662" i="22"/>
  <c r="F4662" i="22"/>
  <c r="O4662" i="22" s="1"/>
  <c r="K4554" i="22"/>
  <c r="F4554" i="22"/>
  <c r="F3684" i="22"/>
  <c r="O3684" i="22" s="1"/>
  <c r="K3684" i="22"/>
  <c r="K3576" i="22"/>
  <c r="F3576" i="22"/>
  <c r="O3576" i="22" s="1"/>
  <c r="K3360" i="22"/>
  <c r="F3360" i="22"/>
  <c r="O3360" i="22" s="1"/>
  <c r="K3144" i="22"/>
  <c r="F3144" i="22"/>
  <c r="O3144" i="22" s="1"/>
  <c r="K3036" i="22"/>
  <c r="F3036" i="22"/>
  <c r="O3036" i="22" s="1"/>
  <c r="F2604" i="22"/>
  <c r="O2604" i="22" s="1"/>
  <c r="K2604" i="22"/>
  <c r="F2388" i="22"/>
  <c r="O2388" i="22" s="1"/>
  <c r="K2388" i="22"/>
  <c r="F2280" i="22"/>
  <c r="O2280" i="22" s="1"/>
  <c r="K2280" i="22"/>
  <c r="F2010" i="22"/>
  <c r="O2010" i="22" s="1"/>
  <c r="K2010" i="22"/>
  <c r="K1956" i="22"/>
  <c r="F1956" i="22"/>
  <c r="O1956" i="22" s="1"/>
  <c r="K1686" i="22"/>
  <c r="F1686" i="22"/>
  <c r="O1686" i="22" s="1"/>
  <c r="F1362" i="22"/>
  <c r="O1362" i="22" s="1"/>
  <c r="K1362" i="22"/>
  <c r="K1038" i="22"/>
  <c r="F1038" i="22"/>
  <c r="O1038" i="22" s="1"/>
  <c r="F984" i="22"/>
  <c r="O984" i="22" s="1"/>
  <c r="K984" i="22"/>
  <c r="K606" i="22"/>
  <c r="F606" i="22"/>
  <c r="O606" i="22" s="1"/>
  <c r="F498" i="22"/>
  <c r="O498" i="22" s="1"/>
  <c r="K498" i="22"/>
  <c r="K228" i="22"/>
  <c r="F228" i="22"/>
  <c r="O228" i="22" s="1"/>
  <c r="F174" i="22"/>
  <c r="O174" i="22" s="1"/>
  <c r="K174" i="22"/>
  <c r="F58" i="17"/>
  <c r="C58" i="18" s="1"/>
  <c r="E58" i="18" s="1"/>
  <c r="K58" i="17"/>
  <c r="K796" i="23" l="1"/>
  <c r="F796" i="23"/>
  <c r="O796" i="23" s="1"/>
  <c r="K4717" i="22"/>
  <c r="F4717" i="22"/>
  <c r="K1795" i="22"/>
  <c r="F1795" i="22"/>
  <c r="O1795" i="22" s="1"/>
  <c r="K1525" i="22"/>
  <c r="F1525" i="22"/>
  <c r="O1525" i="22" s="1"/>
  <c r="K1255" i="22"/>
  <c r="F1255" i="22"/>
  <c r="O1255" i="22" s="1"/>
  <c r="K1039" i="22"/>
  <c r="F1039" i="22"/>
  <c r="O1039" i="22" s="1"/>
  <c r="K985" i="22"/>
  <c r="F985" i="22"/>
  <c r="O985" i="22" s="1"/>
  <c r="K175" i="22"/>
  <c r="F175" i="22"/>
  <c r="O175" i="22" s="1"/>
  <c r="M1636" i="23"/>
  <c r="J1636" i="23"/>
  <c r="N1636" i="23" s="1"/>
  <c r="AE1636" i="23" s="1"/>
  <c r="D1636" i="23"/>
  <c r="P1636" i="23"/>
  <c r="Q1636" i="23"/>
  <c r="R1636" i="23"/>
  <c r="I1637" i="23"/>
  <c r="L1637" i="23"/>
  <c r="C1637" i="23"/>
  <c r="E1637" i="23"/>
  <c r="G1637" i="23"/>
  <c r="B1638" i="23"/>
  <c r="M1580" i="23"/>
  <c r="J1580" i="23"/>
  <c r="N1580" i="23" s="1"/>
  <c r="AE1580" i="23" s="1"/>
  <c r="D1580" i="23"/>
  <c r="P1580" i="23"/>
  <c r="Q1580" i="23"/>
  <c r="R1580" i="23"/>
  <c r="L1581" i="23"/>
  <c r="I1581" i="23"/>
  <c r="C1581" i="23"/>
  <c r="K1581" i="23" s="1"/>
  <c r="E1581" i="23"/>
  <c r="F1581" i="23"/>
  <c r="O1581" i="23" s="1"/>
  <c r="G1581" i="23"/>
  <c r="B1582" i="23"/>
  <c r="J1524" i="23"/>
  <c r="D1524" i="23"/>
  <c r="P1524" i="23"/>
  <c r="Q1524" i="23"/>
  <c r="R1524" i="23"/>
  <c r="L1525" i="23"/>
  <c r="I1525" i="23"/>
  <c r="C1525" i="23"/>
  <c r="K1525" i="23" s="1"/>
  <c r="E1525" i="23"/>
  <c r="F1525" i="23"/>
  <c r="O1525" i="23" s="1"/>
  <c r="G1525" i="23"/>
  <c r="B1526" i="23"/>
  <c r="M1468" i="23"/>
  <c r="J1468" i="23"/>
  <c r="N1468" i="23" s="1"/>
  <c r="AE1468" i="23" s="1"/>
  <c r="D1468" i="23"/>
  <c r="P1468" i="23"/>
  <c r="Q1468" i="23"/>
  <c r="R1468" i="23"/>
  <c r="L1469" i="23"/>
  <c r="I1469" i="23"/>
  <c r="C1469" i="23"/>
  <c r="E1469" i="23"/>
  <c r="G1469" i="23"/>
  <c r="B1470" i="23"/>
  <c r="M1412" i="23"/>
  <c r="J1412" i="23"/>
  <c r="N1412" i="23" s="1"/>
  <c r="AE1412" i="23" s="1"/>
  <c r="D1412" i="23"/>
  <c r="P1412" i="23"/>
  <c r="Q1412" i="23"/>
  <c r="R1412" i="23"/>
  <c r="L1413" i="23"/>
  <c r="I1413" i="23"/>
  <c r="C1413" i="23"/>
  <c r="E1413" i="23"/>
  <c r="G1413" i="23"/>
  <c r="B1414" i="23"/>
  <c r="L1357" i="23"/>
  <c r="I1357" i="23"/>
  <c r="E1357" i="23"/>
  <c r="G1357" i="23"/>
  <c r="C1357" i="23"/>
  <c r="B1358" i="23"/>
  <c r="J1356" i="23"/>
  <c r="D1356" i="23"/>
  <c r="P1356" i="23"/>
  <c r="Q1356" i="23"/>
  <c r="R1356" i="23"/>
  <c r="M1300" i="23"/>
  <c r="J1300" i="23"/>
  <c r="N1300" i="23" s="1"/>
  <c r="AE1300" i="23" s="1"/>
  <c r="D1300" i="23"/>
  <c r="P1300" i="23"/>
  <c r="Q1300" i="23"/>
  <c r="R1300" i="23"/>
  <c r="L1301" i="23"/>
  <c r="I1301" i="23"/>
  <c r="C1301" i="23"/>
  <c r="K1301" i="23" s="1"/>
  <c r="E1301" i="23"/>
  <c r="F1301" i="23"/>
  <c r="O1301" i="23" s="1"/>
  <c r="G1301" i="23"/>
  <c r="B1302" i="23"/>
  <c r="M1244" i="23"/>
  <c r="J1244" i="23"/>
  <c r="N1244" i="23" s="1"/>
  <c r="AE1244" i="23" s="1"/>
  <c r="D1244" i="23"/>
  <c r="P1244" i="23"/>
  <c r="Q1244" i="23"/>
  <c r="R1244" i="23"/>
  <c r="L1245" i="23"/>
  <c r="I1245" i="23"/>
  <c r="C1245" i="23"/>
  <c r="E1245" i="23"/>
  <c r="G1245" i="23"/>
  <c r="B1246" i="23"/>
  <c r="M1188" i="23"/>
  <c r="J1188" i="23"/>
  <c r="N1188" i="23" s="1"/>
  <c r="AE1188" i="23" s="1"/>
  <c r="D1188" i="23"/>
  <c r="P1188" i="23"/>
  <c r="Q1188" i="23"/>
  <c r="R1188" i="23"/>
  <c r="L1189" i="23"/>
  <c r="I1189" i="23"/>
  <c r="C1189" i="23"/>
  <c r="E1189" i="23"/>
  <c r="G1189" i="23"/>
  <c r="B1190" i="23"/>
  <c r="M1132" i="23"/>
  <c r="J1132" i="23"/>
  <c r="N1132" i="23" s="1"/>
  <c r="AE1132" i="23" s="1"/>
  <c r="D1132" i="23"/>
  <c r="P1132" i="23"/>
  <c r="Q1132" i="23"/>
  <c r="R1132" i="23"/>
  <c r="L1133" i="23"/>
  <c r="I1133" i="23"/>
  <c r="C1133" i="23"/>
  <c r="K1133" i="23" s="1"/>
  <c r="E1133" i="23"/>
  <c r="F1133" i="23"/>
  <c r="O1133" i="23" s="1"/>
  <c r="G1133" i="23"/>
  <c r="B1134" i="23"/>
  <c r="M1076" i="23"/>
  <c r="J1076" i="23"/>
  <c r="N1076" i="23" s="1"/>
  <c r="AE1076" i="23" s="1"/>
  <c r="D1076" i="23"/>
  <c r="P1076" i="23"/>
  <c r="Q1076" i="23"/>
  <c r="R1076" i="23"/>
  <c r="L1077" i="23"/>
  <c r="I1077" i="23"/>
  <c r="C1077" i="23"/>
  <c r="K1077" i="23" s="1"/>
  <c r="E1077" i="23"/>
  <c r="F1077" i="23"/>
  <c r="O1077" i="23" s="1"/>
  <c r="G1077" i="23"/>
  <c r="B1078" i="23"/>
  <c r="M1020" i="23"/>
  <c r="J1020" i="23"/>
  <c r="N1020" i="23" s="1"/>
  <c r="AE1020" i="23" s="1"/>
  <c r="D1020" i="23"/>
  <c r="P1020" i="23"/>
  <c r="Q1020" i="23"/>
  <c r="R1020" i="23"/>
  <c r="L1021" i="23"/>
  <c r="I1021" i="23"/>
  <c r="C1021" i="23"/>
  <c r="K1021" i="23" s="1"/>
  <c r="E1021" i="23"/>
  <c r="F1021" i="23"/>
  <c r="O1021" i="23" s="1"/>
  <c r="G1021" i="23"/>
  <c r="B1022" i="23"/>
  <c r="M964" i="23"/>
  <c r="J964" i="23"/>
  <c r="N964" i="23" s="1"/>
  <c r="AE964" i="23" s="1"/>
  <c r="D964" i="23"/>
  <c r="P964" i="23"/>
  <c r="Q964" i="23"/>
  <c r="R964" i="23"/>
  <c r="L965" i="23"/>
  <c r="I965" i="23"/>
  <c r="C965" i="23"/>
  <c r="K965" i="23" s="1"/>
  <c r="E965" i="23"/>
  <c r="F965" i="23"/>
  <c r="O965" i="23" s="1"/>
  <c r="G965" i="23"/>
  <c r="B966" i="23"/>
  <c r="M908" i="23"/>
  <c r="J908" i="23"/>
  <c r="N908" i="23" s="1"/>
  <c r="AE908" i="23" s="1"/>
  <c r="D908" i="23"/>
  <c r="P908" i="23"/>
  <c r="Q908" i="23"/>
  <c r="R908" i="23"/>
  <c r="L909" i="23"/>
  <c r="I909" i="23"/>
  <c r="C909" i="23"/>
  <c r="E909" i="23"/>
  <c r="G909" i="23"/>
  <c r="B910" i="23"/>
  <c r="M852" i="23"/>
  <c r="J852" i="23"/>
  <c r="N852" i="23" s="1"/>
  <c r="AE852" i="23" s="1"/>
  <c r="D852" i="23"/>
  <c r="P852" i="23"/>
  <c r="Q852" i="23"/>
  <c r="R852" i="23"/>
  <c r="L853" i="23"/>
  <c r="I853" i="23"/>
  <c r="C853" i="23"/>
  <c r="K853" i="23" s="1"/>
  <c r="E853" i="23"/>
  <c r="F853" i="23"/>
  <c r="O853" i="23" s="1"/>
  <c r="G853" i="23"/>
  <c r="B854" i="23"/>
  <c r="M796" i="23"/>
  <c r="J796" i="23"/>
  <c r="N796" i="23" s="1"/>
  <c r="AE796" i="23" s="1"/>
  <c r="D796" i="23"/>
  <c r="P796" i="23"/>
  <c r="Q796" i="23"/>
  <c r="R796" i="23"/>
  <c r="L797" i="23"/>
  <c r="I797" i="23"/>
  <c r="C797" i="23"/>
  <c r="E797" i="23"/>
  <c r="G797" i="23"/>
  <c r="B798" i="23"/>
  <c r="M740" i="23"/>
  <c r="J740" i="23"/>
  <c r="N740" i="23" s="1"/>
  <c r="AE740" i="23" s="1"/>
  <c r="D740" i="23"/>
  <c r="P740" i="23"/>
  <c r="Q740" i="23"/>
  <c r="R740" i="23"/>
  <c r="L741" i="23"/>
  <c r="I741" i="23"/>
  <c r="C741" i="23"/>
  <c r="K741" i="23" s="1"/>
  <c r="E741" i="23"/>
  <c r="F741" i="23"/>
  <c r="O741" i="23" s="1"/>
  <c r="G741" i="23"/>
  <c r="B742" i="23"/>
  <c r="J684" i="23"/>
  <c r="D684" i="23"/>
  <c r="P684" i="23"/>
  <c r="Q684" i="23"/>
  <c r="R684" i="23"/>
  <c r="L685" i="23"/>
  <c r="I685" i="23"/>
  <c r="C685" i="23"/>
  <c r="K685" i="23" s="1"/>
  <c r="E685" i="23"/>
  <c r="F685" i="23"/>
  <c r="O685" i="23" s="1"/>
  <c r="G685" i="23"/>
  <c r="B686" i="23"/>
  <c r="M628" i="23"/>
  <c r="J628" i="23"/>
  <c r="N628" i="23" s="1"/>
  <c r="AE628" i="23" s="1"/>
  <c r="D628" i="23"/>
  <c r="P628" i="23"/>
  <c r="Q628" i="23"/>
  <c r="R628" i="23"/>
  <c r="L629" i="23"/>
  <c r="I629" i="23"/>
  <c r="C629" i="23"/>
  <c r="K629" i="23" s="1"/>
  <c r="E629" i="23"/>
  <c r="F629" i="23"/>
  <c r="O629" i="23" s="1"/>
  <c r="G629" i="23"/>
  <c r="B630" i="23"/>
  <c r="M572" i="23"/>
  <c r="J572" i="23"/>
  <c r="N572" i="23" s="1"/>
  <c r="AE572" i="23" s="1"/>
  <c r="D572" i="23"/>
  <c r="P572" i="23"/>
  <c r="Q572" i="23"/>
  <c r="R572" i="23"/>
  <c r="L573" i="23"/>
  <c r="I573" i="23"/>
  <c r="C573" i="23"/>
  <c r="K573" i="23" s="1"/>
  <c r="E573" i="23"/>
  <c r="F573" i="23"/>
  <c r="O573" i="23" s="1"/>
  <c r="G573" i="23"/>
  <c r="B574" i="23"/>
  <c r="M516" i="23"/>
  <c r="J516" i="23"/>
  <c r="N516" i="23" s="1"/>
  <c r="AE516" i="23" s="1"/>
  <c r="D516" i="23"/>
  <c r="P516" i="23"/>
  <c r="Q516" i="23"/>
  <c r="R516" i="23"/>
  <c r="L517" i="23"/>
  <c r="I517" i="23"/>
  <c r="C517" i="23"/>
  <c r="K517" i="23" s="1"/>
  <c r="E517" i="23"/>
  <c r="F517" i="23"/>
  <c r="O517" i="23" s="1"/>
  <c r="G517" i="23"/>
  <c r="B518" i="23"/>
  <c r="M460" i="23"/>
  <c r="P460" i="23"/>
  <c r="Q460" i="23"/>
  <c r="R460" i="23"/>
  <c r="J460" i="23"/>
  <c r="N460" i="23" s="1"/>
  <c r="AE460" i="23" s="1"/>
  <c r="D460" i="23"/>
  <c r="L461" i="23"/>
  <c r="I461" i="23"/>
  <c r="B462" i="23"/>
  <c r="E461" i="23"/>
  <c r="G461" i="23"/>
  <c r="C461" i="23"/>
  <c r="M404" i="23"/>
  <c r="J404" i="23"/>
  <c r="N404" i="23" s="1"/>
  <c r="AE404" i="23" s="1"/>
  <c r="D404" i="23"/>
  <c r="P404" i="23"/>
  <c r="Q404" i="23"/>
  <c r="R404" i="23"/>
  <c r="L405" i="23"/>
  <c r="I405" i="23"/>
  <c r="C405" i="23"/>
  <c r="E405" i="23"/>
  <c r="G405" i="23"/>
  <c r="B406" i="23"/>
  <c r="M348" i="23"/>
  <c r="J348" i="23"/>
  <c r="N348" i="23" s="1"/>
  <c r="AE348" i="23" s="1"/>
  <c r="D348" i="23"/>
  <c r="P348" i="23"/>
  <c r="Q348" i="23"/>
  <c r="R348" i="23"/>
  <c r="L349" i="23"/>
  <c r="I349" i="23"/>
  <c r="C349" i="23"/>
  <c r="K349" i="23" s="1"/>
  <c r="E349" i="23"/>
  <c r="F349" i="23"/>
  <c r="O349" i="23" s="1"/>
  <c r="G349" i="23"/>
  <c r="B350" i="23"/>
  <c r="M292" i="23"/>
  <c r="J292" i="23"/>
  <c r="N292" i="23" s="1"/>
  <c r="AE292" i="23" s="1"/>
  <c r="D292" i="23"/>
  <c r="P292" i="23"/>
  <c r="Q292" i="23"/>
  <c r="R292" i="23"/>
  <c r="L293" i="23"/>
  <c r="I293" i="23"/>
  <c r="C293" i="23"/>
  <c r="K293" i="23" s="1"/>
  <c r="E293" i="23"/>
  <c r="F293" i="23"/>
  <c r="O293" i="23" s="1"/>
  <c r="G293" i="23"/>
  <c r="B294" i="23"/>
  <c r="D4771" i="22"/>
  <c r="J4771" i="22"/>
  <c r="P4771" i="22"/>
  <c r="R4771" i="22"/>
  <c r="Q4771" i="22"/>
  <c r="M4771" i="22"/>
  <c r="N4771" i="22"/>
  <c r="C4772" i="22"/>
  <c r="E4772" i="22"/>
  <c r="F4772" i="22"/>
  <c r="G4772" i="22"/>
  <c r="I4772" i="22"/>
  <c r="K4772" i="22"/>
  <c r="L4772" i="22"/>
  <c r="B4773" i="22"/>
  <c r="T4715" i="22"/>
  <c r="S4716" i="22"/>
  <c r="T4716" i="22" s="1"/>
  <c r="U4716" i="22"/>
  <c r="M4717" i="22"/>
  <c r="D4717" i="22"/>
  <c r="J4717" i="22"/>
  <c r="N4717" i="22" s="1"/>
  <c r="P4717" i="22"/>
  <c r="Q4717" i="22"/>
  <c r="R4717" i="22"/>
  <c r="L4718" i="22"/>
  <c r="C4718" i="22"/>
  <c r="E4718" i="22"/>
  <c r="G4718" i="22"/>
  <c r="I4718" i="22"/>
  <c r="B4719" i="22"/>
  <c r="P4663" i="22"/>
  <c r="Q4663" i="22"/>
  <c r="R4663" i="22"/>
  <c r="C4664" i="22"/>
  <c r="E4664" i="22"/>
  <c r="G4664" i="22"/>
  <c r="B4665" i="22"/>
  <c r="J4609" i="22"/>
  <c r="D4609" i="22"/>
  <c r="P4609" i="22"/>
  <c r="Q4609" i="22"/>
  <c r="R4609" i="22"/>
  <c r="I4610" i="22"/>
  <c r="L4610" i="22"/>
  <c r="C4610" i="22"/>
  <c r="E4610" i="22"/>
  <c r="G4610" i="22"/>
  <c r="B4611" i="22"/>
  <c r="M4555" i="22"/>
  <c r="D4555" i="22"/>
  <c r="J4555" i="22"/>
  <c r="N4555" i="22" s="1"/>
  <c r="P4555" i="22"/>
  <c r="Q4555" i="22"/>
  <c r="R4555" i="22"/>
  <c r="L4556" i="22"/>
  <c r="C4556" i="22"/>
  <c r="K4556" i="22" s="1"/>
  <c r="E4556" i="22"/>
  <c r="F4556" i="22"/>
  <c r="G4556" i="22"/>
  <c r="I4556" i="22"/>
  <c r="B4557" i="22"/>
  <c r="D4255" i="22"/>
  <c r="J4255" i="22"/>
  <c r="N4255" i="22" s="1"/>
  <c r="U4255" i="22" s="1"/>
  <c r="P4255" i="22"/>
  <c r="Q4255" i="22"/>
  <c r="R4255" i="22"/>
  <c r="M4255" i="22"/>
  <c r="C4256" i="22"/>
  <c r="E4256" i="22"/>
  <c r="G4256" i="22"/>
  <c r="I4256" i="22"/>
  <c r="L4256" i="22"/>
  <c r="B4257" i="22"/>
  <c r="M4201" i="22"/>
  <c r="D4201" i="22"/>
  <c r="J4201" i="22"/>
  <c r="N4201" i="22" s="1"/>
  <c r="U4201" i="22" s="1"/>
  <c r="P4201" i="22"/>
  <c r="Q4201" i="22"/>
  <c r="R4201" i="22"/>
  <c r="L4202" i="22"/>
  <c r="C4202" i="22"/>
  <c r="K4202" i="22" s="1"/>
  <c r="E4202" i="22"/>
  <c r="F4202" i="22"/>
  <c r="O4202" i="22" s="1"/>
  <c r="G4202" i="22"/>
  <c r="I4202" i="22"/>
  <c r="B4203" i="22"/>
  <c r="M4147" i="22"/>
  <c r="D4147" i="22"/>
  <c r="J4147" i="22"/>
  <c r="N4147" i="22" s="1"/>
  <c r="U4147" i="22" s="1"/>
  <c r="P4147" i="22"/>
  <c r="Q4147" i="22"/>
  <c r="R4147" i="22"/>
  <c r="L4148" i="22"/>
  <c r="C4148" i="22"/>
  <c r="K4148" i="22" s="1"/>
  <c r="E4148" i="22"/>
  <c r="F4148" i="22"/>
  <c r="O4148" i="22" s="1"/>
  <c r="G4148" i="22"/>
  <c r="I4148" i="22"/>
  <c r="B4149" i="22"/>
  <c r="D4093" i="22"/>
  <c r="J4093" i="22"/>
  <c r="P4093" i="22"/>
  <c r="Q4093" i="22"/>
  <c r="R4093" i="22"/>
  <c r="L4094" i="22"/>
  <c r="C4094" i="22"/>
  <c r="K4094" i="22" s="1"/>
  <c r="E4094" i="22"/>
  <c r="F4094" i="22"/>
  <c r="O4094" i="22" s="1"/>
  <c r="G4094" i="22"/>
  <c r="I4094" i="22"/>
  <c r="B4095" i="22"/>
  <c r="M3793" i="22"/>
  <c r="D3793" i="22"/>
  <c r="J3793" i="22"/>
  <c r="N3793" i="22" s="1"/>
  <c r="U3793" i="22" s="1"/>
  <c r="P3793" i="22"/>
  <c r="Q3793" i="22"/>
  <c r="R3793" i="22"/>
  <c r="L3794" i="22"/>
  <c r="C3794" i="22"/>
  <c r="E3794" i="22"/>
  <c r="G3794" i="22"/>
  <c r="I3794" i="22"/>
  <c r="B3795" i="22"/>
  <c r="M3739" i="22"/>
  <c r="D3739" i="22"/>
  <c r="J3739" i="22"/>
  <c r="N3739" i="22" s="1"/>
  <c r="U3739" i="22" s="1"/>
  <c r="P3739" i="22"/>
  <c r="Q3739" i="22"/>
  <c r="R3739" i="22"/>
  <c r="L3740" i="22"/>
  <c r="C3740" i="22"/>
  <c r="K3740" i="22" s="1"/>
  <c r="E3740" i="22"/>
  <c r="F3740" i="22"/>
  <c r="O3740" i="22" s="1"/>
  <c r="G3740" i="22"/>
  <c r="I3740" i="22"/>
  <c r="B3741" i="22"/>
  <c r="D3685" i="22"/>
  <c r="J3685" i="22"/>
  <c r="P3685" i="22"/>
  <c r="Q3685" i="22"/>
  <c r="R3685" i="22"/>
  <c r="L3686" i="22"/>
  <c r="C3686" i="22"/>
  <c r="E3686" i="22"/>
  <c r="G3686" i="22"/>
  <c r="I3686" i="22"/>
  <c r="B3687" i="22"/>
  <c r="D3631" i="22"/>
  <c r="J3631" i="22"/>
  <c r="P3631" i="22"/>
  <c r="Q3631" i="22"/>
  <c r="R3631" i="22"/>
  <c r="L3632" i="22"/>
  <c r="C3632" i="22"/>
  <c r="E3632" i="22"/>
  <c r="G3632" i="22"/>
  <c r="I3632" i="22"/>
  <c r="B3633" i="22"/>
  <c r="M3577" i="22"/>
  <c r="P3577" i="22"/>
  <c r="Q3577" i="22"/>
  <c r="R3577" i="22"/>
  <c r="J3577" i="22"/>
  <c r="N3577" i="22" s="1"/>
  <c r="U3577" i="22" s="1"/>
  <c r="D3577" i="22"/>
  <c r="L3578" i="22"/>
  <c r="G3578" i="22"/>
  <c r="I3578" i="22"/>
  <c r="B3579" i="22"/>
  <c r="C3578" i="22"/>
  <c r="E3578" i="22"/>
  <c r="L3524" i="22"/>
  <c r="G3524" i="22"/>
  <c r="I3524" i="22"/>
  <c r="C3524" i="22"/>
  <c r="E3524" i="22"/>
  <c r="B3525" i="22"/>
  <c r="J3523" i="22"/>
  <c r="D3523" i="22"/>
  <c r="P3523" i="22"/>
  <c r="Q3523" i="22"/>
  <c r="R3523" i="22"/>
  <c r="M3469" i="22"/>
  <c r="D3469" i="22"/>
  <c r="J3469" i="22"/>
  <c r="N3469" i="22" s="1"/>
  <c r="U3469" i="22" s="1"/>
  <c r="P3469" i="22"/>
  <c r="Q3469" i="22"/>
  <c r="R3469" i="22"/>
  <c r="L3470" i="22"/>
  <c r="C3470" i="22"/>
  <c r="E3470" i="22"/>
  <c r="G3470" i="22"/>
  <c r="I3470" i="22"/>
  <c r="B3471" i="22"/>
  <c r="M3415" i="22"/>
  <c r="D3415" i="22"/>
  <c r="J3415" i="22"/>
  <c r="N3415" i="22" s="1"/>
  <c r="U3415" i="22" s="1"/>
  <c r="P3415" i="22"/>
  <c r="Q3415" i="22"/>
  <c r="R3415" i="22"/>
  <c r="L3416" i="22"/>
  <c r="C3416" i="22"/>
  <c r="K3416" i="22" s="1"/>
  <c r="E3416" i="22"/>
  <c r="F3416" i="22"/>
  <c r="O3416" i="22" s="1"/>
  <c r="G3416" i="22"/>
  <c r="I3416" i="22"/>
  <c r="B3417" i="22"/>
  <c r="D3361" i="22"/>
  <c r="J3361" i="22"/>
  <c r="P3361" i="22"/>
  <c r="Q3361" i="22"/>
  <c r="R3361" i="22"/>
  <c r="L3362" i="22"/>
  <c r="C3362" i="22"/>
  <c r="K3362" i="22" s="1"/>
  <c r="E3362" i="22"/>
  <c r="F3362" i="22"/>
  <c r="O3362" i="22" s="1"/>
  <c r="G3362" i="22"/>
  <c r="I3362" i="22"/>
  <c r="B3363" i="22"/>
  <c r="M3307" i="22"/>
  <c r="D3307" i="22"/>
  <c r="J3307" i="22"/>
  <c r="N3307" i="22" s="1"/>
  <c r="U3307" i="22" s="1"/>
  <c r="P3307" i="22"/>
  <c r="Q3307" i="22"/>
  <c r="R3307" i="22"/>
  <c r="L3308" i="22"/>
  <c r="C3308" i="22"/>
  <c r="E3308" i="22"/>
  <c r="G3308" i="22"/>
  <c r="I3308" i="22"/>
  <c r="B3309" i="22"/>
  <c r="M3253" i="22"/>
  <c r="D3253" i="22"/>
  <c r="J3253" i="22"/>
  <c r="N3253" i="22" s="1"/>
  <c r="U3253" i="22" s="1"/>
  <c r="P3253" i="22"/>
  <c r="Q3253" i="22"/>
  <c r="R3253" i="22"/>
  <c r="L3254" i="22"/>
  <c r="C3254" i="22"/>
  <c r="K3254" i="22" s="1"/>
  <c r="E3254" i="22"/>
  <c r="F3254" i="22"/>
  <c r="O3254" i="22" s="1"/>
  <c r="G3254" i="22"/>
  <c r="I3254" i="22"/>
  <c r="B3255" i="22"/>
  <c r="M3199" i="22"/>
  <c r="D3199" i="22"/>
  <c r="J3199" i="22"/>
  <c r="N3199" i="22" s="1"/>
  <c r="U3199" i="22" s="1"/>
  <c r="P3199" i="22"/>
  <c r="Q3199" i="22"/>
  <c r="R3199" i="22"/>
  <c r="L3200" i="22"/>
  <c r="C3200" i="22"/>
  <c r="K3200" i="22" s="1"/>
  <c r="E3200" i="22"/>
  <c r="F3200" i="22"/>
  <c r="O3200" i="22" s="1"/>
  <c r="G3200" i="22"/>
  <c r="I3200" i="22"/>
  <c r="B3201" i="22"/>
  <c r="L3146" i="22"/>
  <c r="C3146" i="22"/>
  <c r="K3146" i="22" s="1"/>
  <c r="E3146" i="22"/>
  <c r="F3146" i="22"/>
  <c r="O3146" i="22" s="1"/>
  <c r="G3146" i="22"/>
  <c r="B3147" i="22"/>
  <c r="I3146" i="22"/>
  <c r="D3145" i="22"/>
  <c r="J3145" i="22"/>
  <c r="P3145" i="22"/>
  <c r="Q3145" i="22"/>
  <c r="R3145" i="22"/>
  <c r="J3091" i="22"/>
  <c r="D3091" i="22"/>
  <c r="P3091" i="22"/>
  <c r="Q3091" i="22"/>
  <c r="R3091" i="22"/>
  <c r="L3092" i="22"/>
  <c r="E3092" i="22"/>
  <c r="C3092" i="22"/>
  <c r="G3092" i="22"/>
  <c r="B3093" i="22"/>
  <c r="I3092" i="22"/>
  <c r="M3037" i="22"/>
  <c r="D3037" i="22"/>
  <c r="J3037" i="22"/>
  <c r="N3037" i="22" s="1"/>
  <c r="U3037" i="22" s="1"/>
  <c r="P3037" i="22"/>
  <c r="Q3037" i="22"/>
  <c r="R3037" i="22"/>
  <c r="L3038" i="22"/>
  <c r="E3038" i="22"/>
  <c r="G3038" i="22"/>
  <c r="C3038" i="22"/>
  <c r="I3038" i="22"/>
  <c r="B3039" i="22"/>
  <c r="D2983" i="22"/>
  <c r="J2983" i="22"/>
  <c r="P2983" i="22"/>
  <c r="Q2983" i="22"/>
  <c r="R2983" i="22"/>
  <c r="L2984" i="22"/>
  <c r="G2984" i="22"/>
  <c r="I2984" i="22"/>
  <c r="B2985" i="22"/>
  <c r="C2984" i="22"/>
  <c r="K2984" i="22" s="1"/>
  <c r="E2984" i="22"/>
  <c r="F2984" i="22"/>
  <c r="O2984" i="22" s="1"/>
  <c r="M2929" i="22"/>
  <c r="D2929" i="22"/>
  <c r="J2929" i="22"/>
  <c r="N2929" i="22" s="1"/>
  <c r="U2929" i="22" s="1"/>
  <c r="P2929" i="22"/>
  <c r="Q2929" i="22"/>
  <c r="R2929" i="22"/>
  <c r="L2930" i="22"/>
  <c r="C2930" i="22"/>
  <c r="E2930" i="22"/>
  <c r="G2930" i="22"/>
  <c r="I2930" i="22"/>
  <c r="B2931" i="22"/>
  <c r="M2875" i="22"/>
  <c r="D2875" i="22"/>
  <c r="J2875" i="22"/>
  <c r="N2875" i="22" s="1"/>
  <c r="U2875" i="22" s="1"/>
  <c r="P2875" i="22"/>
  <c r="Q2875" i="22"/>
  <c r="R2875" i="22"/>
  <c r="L2876" i="22"/>
  <c r="C2876" i="22"/>
  <c r="K2876" i="22" s="1"/>
  <c r="E2876" i="22"/>
  <c r="F2876" i="22"/>
  <c r="O2876" i="22" s="1"/>
  <c r="G2876" i="22"/>
  <c r="I2876" i="22"/>
  <c r="B2877" i="22"/>
  <c r="M2821" i="22"/>
  <c r="D2821" i="22"/>
  <c r="J2821" i="22"/>
  <c r="N2821" i="22" s="1"/>
  <c r="S2821" i="22" s="1"/>
  <c r="P2821" i="22"/>
  <c r="Q2821" i="22"/>
  <c r="R2821" i="22"/>
  <c r="T2821" i="22"/>
  <c r="U2821" i="22" s="1"/>
  <c r="L2822" i="22"/>
  <c r="C2822" i="22"/>
  <c r="E2822" i="22"/>
  <c r="G2822" i="22"/>
  <c r="I2822" i="22"/>
  <c r="B2823" i="22"/>
  <c r="M2767" i="22"/>
  <c r="D2767" i="22"/>
  <c r="J2767" i="22"/>
  <c r="N2767" i="22" s="1"/>
  <c r="U2767" i="22" s="1"/>
  <c r="P2767" i="22"/>
  <c r="Q2767" i="22"/>
  <c r="R2767" i="22"/>
  <c r="L2768" i="22"/>
  <c r="C2768" i="22"/>
  <c r="E2768" i="22"/>
  <c r="G2768" i="22"/>
  <c r="I2768" i="22"/>
  <c r="B2769" i="22"/>
  <c r="M2713" i="22"/>
  <c r="D2713" i="22"/>
  <c r="J2713" i="22"/>
  <c r="N2713" i="22" s="1"/>
  <c r="U2713" i="22" s="1"/>
  <c r="P2713" i="22"/>
  <c r="Q2713" i="22"/>
  <c r="R2713" i="22"/>
  <c r="L2714" i="22"/>
  <c r="C2714" i="22"/>
  <c r="K2714" i="22" s="1"/>
  <c r="E2714" i="22"/>
  <c r="F2714" i="22"/>
  <c r="O2714" i="22" s="1"/>
  <c r="G2714" i="22"/>
  <c r="I2714" i="22"/>
  <c r="B2715" i="22"/>
  <c r="M2659" i="22"/>
  <c r="D2659" i="22"/>
  <c r="J2659" i="22"/>
  <c r="N2659" i="22" s="1"/>
  <c r="U2659" i="22" s="1"/>
  <c r="P2659" i="22"/>
  <c r="Q2659" i="22"/>
  <c r="R2659" i="22"/>
  <c r="L2660" i="22"/>
  <c r="C2660" i="22"/>
  <c r="K2660" i="22" s="1"/>
  <c r="E2660" i="22"/>
  <c r="F2660" i="22"/>
  <c r="O2660" i="22" s="1"/>
  <c r="G2660" i="22"/>
  <c r="I2660" i="22"/>
  <c r="B2661" i="22"/>
  <c r="M2605" i="22"/>
  <c r="D2605" i="22"/>
  <c r="J2605" i="22"/>
  <c r="N2605" i="22" s="1"/>
  <c r="U2605" i="22" s="1"/>
  <c r="P2605" i="22"/>
  <c r="Q2605" i="22"/>
  <c r="R2605" i="22"/>
  <c r="L2606" i="22"/>
  <c r="G2606" i="22"/>
  <c r="I2606" i="22"/>
  <c r="B2607" i="22"/>
  <c r="E2606" i="22"/>
  <c r="C2606" i="22"/>
  <c r="M2551" i="22"/>
  <c r="D2551" i="22"/>
  <c r="J2551" i="22"/>
  <c r="N2551" i="22" s="1"/>
  <c r="U2551" i="22" s="1"/>
  <c r="P2551" i="22"/>
  <c r="Q2551" i="22"/>
  <c r="R2551" i="22"/>
  <c r="L2552" i="22"/>
  <c r="C2552" i="22"/>
  <c r="K2552" i="22" s="1"/>
  <c r="E2552" i="22"/>
  <c r="F2552" i="22"/>
  <c r="O2552" i="22" s="1"/>
  <c r="G2552" i="22"/>
  <c r="I2552" i="22"/>
  <c r="B2553" i="22"/>
  <c r="M2497" i="22"/>
  <c r="D2497" i="22"/>
  <c r="J2497" i="22"/>
  <c r="N2497" i="22" s="1"/>
  <c r="U2497" i="22" s="1"/>
  <c r="P2497" i="22"/>
  <c r="Q2497" i="22"/>
  <c r="R2497" i="22"/>
  <c r="L2498" i="22"/>
  <c r="C2498" i="22"/>
  <c r="K2498" i="22" s="1"/>
  <c r="E2498" i="22"/>
  <c r="F2498" i="22"/>
  <c r="O2498" i="22" s="1"/>
  <c r="G2498" i="22"/>
  <c r="I2498" i="22"/>
  <c r="B2499" i="22"/>
  <c r="M2443" i="22"/>
  <c r="D2443" i="22"/>
  <c r="J2443" i="22"/>
  <c r="N2443" i="22" s="1"/>
  <c r="U2443" i="22" s="1"/>
  <c r="P2443" i="22"/>
  <c r="Q2443" i="22"/>
  <c r="R2443" i="22"/>
  <c r="L2444" i="22"/>
  <c r="C2444" i="22"/>
  <c r="K2444" i="22" s="1"/>
  <c r="E2444" i="22"/>
  <c r="F2444" i="22"/>
  <c r="O2444" i="22" s="1"/>
  <c r="G2444" i="22"/>
  <c r="I2444" i="22"/>
  <c r="B2445" i="22"/>
  <c r="M2389" i="22"/>
  <c r="D2389" i="22"/>
  <c r="J2389" i="22"/>
  <c r="N2389" i="22" s="1"/>
  <c r="U2389" i="22" s="1"/>
  <c r="P2389" i="22"/>
  <c r="Q2389" i="22"/>
  <c r="R2389" i="22"/>
  <c r="L2390" i="22"/>
  <c r="C2390" i="22"/>
  <c r="E2390" i="22"/>
  <c r="G2390" i="22"/>
  <c r="I2390" i="22"/>
  <c r="B2391" i="22"/>
  <c r="D2335" i="22"/>
  <c r="J2335" i="22"/>
  <c r="P2335" i="22"/>
  <c r="Q2335" i="22"/>
  <c r="R2335" i="22"/>
  <c r="L2336" i="22"/>
  <c r="C2336" i="22"/>
  <c r="K2336" i="22" s="1"/>
  <c r="E2336" i="22"/>
  <c r="F2336" i="22"/>
  <c r="O2336" i="22" s="1"/>
  <c r="G2336" i="22"/>
  <c r="I2336" i="22"/>
  <c r="B2337" i="22"/>
  <c r="J2281" i="22"/>
  <c r="D2281" i="22"/>
  <c r="L2282" i="22"/>
  <c r="I2282" i="22"/>
  <c r="E2282" i="22"/>
  <c r="C2282" i="22"/>
  <c r="K2282" i="22" s="1"/>
  <c r="F2282" i="22"/>
  <c r="O2282" i="22" s="1"/>
  <c r="G2282" i="22"/>
  <c r="B2283" i="22"/>
  <c r="P2281" i="22"/>
  <c r="Q2281" i="22"/>
  <c r="R2281" i="22"/>
  <c r="M2227" i="22"/>
  <c r="D2227" i="22"/>
  <c r="J2227" i="22"/>
  <c r="N2227" i="22" s="1"/>
  <c r="U2227" i="22" s="1"/>
  <c r="P2227" i="22"/>
  <c r="Q2227" i="22"/>
  <c r="R2227" i="22"/>
  <c r="L2228" i="22"/>
  <c r="C2228" i="22"/>
  <c r="K2228" i="22" s="1"/>
  <c r="E2228" i="22"/>
  <c r="F2228" i="22"/>
  <c r="O2228" i="22" s="1"/>
  <c r="G2228" i="22"/>
  <c r="I2228" i="22"/>
  <c r="B2229" i="22"/>
  <c r="M2173" i="22"/>
  <c r="D2173" i="22"/>
  <c r="J2173" i="22"/>
  <c r="N2173" i="22" s="1"/>
  <c r="U2173" i="22" s="1"/>
  <c r="P2173" i="22"/>
  <c r="Q2173" i="22"/>
  <c r="R2173" i="22"/>
  <c r="L2174" i="22"/>
  <c r="C2174" i="22"/>
  <c r="K2174" i="22" s="1"/>
  <c r="E2174" i="22"/>
  <c r="F2174" i="22"/>
  <c r="O2174" i="22" s="1"/>
  <c r="G2174" i="22"/>
  <c r="I2174" i="22"/>
  <c r="B2175" i="22"/>
  <c r="M2119" i="22"/>
  <c r="D2119" i="22"/>
  <c r="J2119" i="22"/>
  <c r="N2119" i="22" s="1"/>
  <c r="U2119" i="22" s="1"/>
  <c r="P2119" i="22"/>
  <c r="Q2119" i="22"/>
  <c r="R2119" i="22"/>
  <c r="L2120" i="22"/>
  <c r="C2120" i="22"/>
  <c r="K2120" i="22" s="1"/>
  <c r="E2120" i="22"/>
  <c r="F2120" i="22"/>
  <c r="O2120" i="22" s="1"/>
  <c r="G2120" i="22"/>
  <c r="I2120" i="22"/>
  <c r="B2121" i="22"/>
  <c r="M2065" i="22"/>
  <c r="D2065" i="22"/>
  <c r="J2065" i="22"/>
  <c r="N2065" i="22" s="1"/>
  <c r="U2065" i="22" s="1"/>
  <c r="P2065" i="22"/>
  <c r="Q2065" i="22"/>
  <c r="R2065" i="22"/>
  <c r="L2066" i="22"/>
  <c r="C2066" i="22"/>
  <c r="K2066" i="22" s="1"/>
  <c r="E2066" i="22"/>
  <c r="F2066" i="22"/>
  <c r="O2066" i="22" s="1"/>
  <c r="G2066" i="22"/>
  <c r="I2066" i="22"/>
  <c r="B2067" i="22"/>
  <c r="M2011" i="22"/>
  <c r="D2011" i="22"/>
  <c r="J2011" i="22"/>
  <c r="N2011" i="22" s="1"/>
  <c r="U2011" i="22" s="1"/>
  <c r="P2011" i="22"/>
  <c r="Q2011" i="22"/>
  <c r="R2011" i="22"/>
  <c r="L2012" i="22"/>
  <c r="C2012" i="22"/>
  <c r="E2012" i="22"/>
  <c r="G2012" i="22"/>
  <c r="I2012" i="22"/>
  <c r="B2013" i="22"/>
  <c r="M1957" i="22"/>
  <c r="D1957" i="22"/>
  <c r="J1957" i="22"/>
  <c r="N1957" i="22" s="1"/>
  <c r="U1957" i="22" s="1"/>
  <c r="P1957" i="22"/>
  <c r="Q1957" i="22"/>
  <c r="R1957" i="22"/>
  <c r="L1958" i="22"/>
  <c r="C1958" i="22"/>
  <c r="K1958" i="22" s="1"/>
  <c r="E1958" i="22"/>
  <c r="F1958" i="22"/>
  <c r="O1958" i="22" s="1"/>
  <c r="G1958" i="22"/>
  <c r="I1958" i="22"/>
  <c r="B1959" i="22"/>
  <c r="M1903" i="22"/>
  <c r="D1903" i="22"/>
  <c r="J1903" i="22"/>
  <c r="N1903" i="22" s="1"/>
  <c r="U1903" i="22" s="1"/>
  <c r="P1903" i="22"/>
  <c r="Q1903" i="22"/>
  <c r="R1903" i="22"/>
  <c r="L1904" i="22"/>
  <c r="C1904" i="22"/>
  <c r="K1904" i="22" s="1"/>
  <c r="E1904" i="22"/>
  <c r="F1904" i="22"/>
  <c r="O1904" i="22" s="1"/>
  <c r="G1904" i="22"/>
  <c r="I1904" i="22"/>
  <c r="B1905" i="22"/>
  <c r="M1849" i="22"/>
  <c r="D1849" i="22"/>
  <c r="J1849" i="22"/>
  <c r="N1849" i="22" s="1"/>
  <c r="U1849" i="22" s="1"/>
  <c r="P1849" i="22"/>
  <c r="Q1849" i="22"/>
  <c r="R1849" i="22"/>
  <c r="L1850" i="22"/>
  <c r="C1850" i="22"/>
  <c r="K1850" i="22" s="1"/>
  <c r="E1850" i="22"/>
  <c r="F1850" i="22"/>
  <c r="O1850" i="22" s="1"/>
  <c r="G1850" i="22"/>
  <c r="I1850" i="22"/>
  <c r="B1851" i="22"/>
  <c r="M1795" i="22"/>
  <c r="D1795" i="22"/>
  <c r="J1795" i="22"/>
  <c r="N1795" i="22" s="1"/>
  <c r="U1795" i="22" s="1"/>
  <c r="P1795" i="22"/>
  <c r="Q1795" i="22"/>
  <c r="R1795" i="22"/>
  <c r="L1796" i="22"/>
  <c r="C1796" i="22"/>
  <c r="E1796" i="22"/>
  <c r="G1796" i="22"/>
  <c r="I1796" i="22"/>
  <c r="B1797" i="22"/>
  <c r="M1741" i="22"/>
  <c r="D1741" i="22"/>
  <c r="J1741" i="22"/>
  <c r="N1741" i="22" s="1"/>
  <c r="U1741" i="22" s="1"/>
  <c r="P1741" i="22"/>
  <c r="Q1741" i="22"/>
  <c r="R1741" i="22"/>
  <c r="L1742" i="22"/>
  <c r="C1742" i="22"/>
  <c r="K1742" i="22" s="1"/>
  <c r="E1742" i="22"/>
  <c r="F1742" i="22"/>
  <c r="O1742" i="22" s="1"/>
  <c r="G1742" i="22"/>
  <c r="I1742" i="22"/>
  <c r="B1743" i="22"/>
  <c r="D1687" i="22"/>
  <c r="J1687" i="22"/>
  <c r="P1687" i="22"/>
  <c r="Q1687" i="22"/>
  <c r="R1687" i="22"/>
  <c r="L1688" i="22"/>
  <c r="C1688" i="22"/>
  <c r="E1688" i="22"/>
  <c r="G1688" i="22"/>
  <c r="I1688" i="22"/>
  <c r="B1689" i="22"/>
  <c r="M1633" i="22"/>
  <c r="D1633" i="22"/>
  <c r="J1633" i="22"/>
  <c r="N1633" i="22" s="1"/>
  <c r="U1633" i="22" s="1"/>
  <c r="P1633" i="22"/>
  <c r="Q1633" i="22"/>
  <c r="R1633" i="22"/>
  <c r="L1634" i="22"/>
  <c r="C1634" i="22"/>
  <c r="K1634" i="22" s="1"/>
  <c r="E1634" i="22"/>
  <c r="F1634" i="22"/>
  <c r="O1634" i="22" s="1"/>
  <c r="G1634" i="22"/>
  <c r="I1634" i="22"/>
  <c r="B1635" i="22"/>
  <c r="M1579" i="22"/>
  <c r="D1579" i="22"/>
  <c r="J1579" i="22"/>
  <c r="N1579" i="22" s="1"/>
  <c r="U1579" i="22" s="1"/>
  <c r="P1579" i="22"/>
  <c r="Q1579" i="22"/>
  <c r="R1579" i="22"/>
  <c r="L1580" i="22"/>
  <c r="C1580" i="22"/>
  <c r="K1580" i="22" s="1"/>
  <c r="E1580" i="22"/>
  <c r="F1580" i="22"/>
  <c r="O1580" i="22" s="1"/>
  <c r="G1580" i="22"/>
  <c r="I1580" i="22"/>
  <c r="B1581" i="22"/>
  <c r="M1525" i="22"/>
  <c r="D1525" i="22"/>
  <c r="J1525" i="22"/>
  <c r="N1525" i="22" s="1"/>
  <c r="U1525" i="22" s="1"/>
  <c r="P1525" i="22"/>
  <c r="Q1525" i="22"/>
  <c r="R1525" i="22"/>
  <c r="L1526" i="22"/>
  <c r="C1526" i="22"/>
  <c r="K1526" i="22" s="1"/>
  <c r="E1526" i="22"/>
  <c r="F1526" i="22"/>
  <c r="O1526" i="22" s="1"/>
  <c r="G1526" i="22"/>
  <c r="I1526" i="22"/>
  <c r="B1527" i="22"/>
  <c r="M1471" i="22"/>
  <c r="D1471" i="22"/>
  <c r="J1471" i="22"/>
  <c r="N1471" i="22" s="1"/>
  <c r="U1471" i="22" s="1"/>
  <c r="P1471" i="22"/>
  <c r="Q1471" i="22"/>
  <c r="R1471" i="22"/>
  <c r="L1472" i="22"/>
  <c r="C1472" i="22"/>
  <c r="K1472" i="22" s="1"/>
  <c r="E1472" i="22"/>
  <c r="F1472" i="22"/>
  <c r="O1472" i="22" s="1"/>
  <c r="G1472" i="22"/>
  <c r="I1472" i="22"/>
  <c r="B1473" i="22"/>
  <c r="D1417" i="22"/>
  <c r="J1417" i="22"/>
  <c r="P1417" i="22"/>
  <c r="Q1417" i="22"/>
  <c r="R1417" i="22"/>
  <c r="L1418" i="22"/>
  <c r="C1418" i="22"/>
  <c r="K1418" i="22" s="1"/>
  <c r="E1418" i="22"/>
  <c r="F1418" i="22"/>
  <c r="O1418" i="22" s="1"/>
  <c r="G1418" i="22"/>
  <c r="I1418" i="22"/>
  <c r="B1419" i="22"/>
  <c r="D1363" i="22"/>
  <c r="J1363" i="22"/>
  <c r="P1363" i="22"/>
  <c r="Q1363" i="22"/>
  <c r="R1363" i="22"/>
  <c r="L1364" i="22"/>
  <c r="C1364" i="22"/>
  <c r="K1364" i="22" s="1"/>
  <c r="E1364" i="22"/>
  <c r="F1364" i="22"/>
  <c r="O1364" i="22" s="1"/>
  <c r="G1364" i="22"/>
  <c r="I1364" i="22"/>
  <c r="B1365" i="22"/>
  <c r="D1309" i="22"/>
  <c r="J1309" i="22"/>
  <c r="P1309" i="22"/>
  <c r="Q1309" i="22"/>
  <c r="R1309" i="22"/>
  <c r="L1310" i="22"/>
  <c r="C1310" i="22"/>
  <c r="K1310" i="22" s="1"/>
  <c r="E1310" i="22"/>
  <c r="F1310" i="22"/>
  <c r="O1310" i="22" s="1"/>
  <c r="G1310" i="22"/>
  <c r="I1310" i="22"/>
  <c r="B1311" i="22"/>
  <c r="M1255" i="22"/>
  <c r="D1255" i="22"/>
  <c r="J1255" i="22"/>
  <c r="N1255" i="22" s="1"/>
  <c r="U1255" i="22" s="1"/>
  <c r="P1255" i="22"/>
  <c r="Q1255" i="22"/>
  <c r="R1255" i="22"/>
  <c r="L1256" i="22"/>
  <c r="C1256" i="22"/>
  <c r="K1256" i="22" s="1"/>
  <c r="E1256" i="22"/>
  <c r="F1256" i="22"/>
  <c r="O1256" i="22" s="1"/>
  <c r="G1256" i="22"/>
  <c r="I1256" i="22"/>
  <c r="B1257" i="22"/>
  <c r="M1201" i="22"/>
  <c r="D1201" i="22"/>
  <c r="J1201" i="22"/>
  <c r="N1201" i="22" s="1"/>
  <c r="U1201" i="22" s="1"/>
  <c r="P1201" i="22"/>
  <c r="Q1201" i="22"/>
  <c r="R1201" i="22"/>
  <c r="L1202" i="22"/>
  <c r="C1202" i="22"/>
  <c r="K1202" i="22" s="1"/>
  <c r="E1202" i="22"/>
  <c r="F1202" i="22"/>
  <c r="O1202" i="22" s="1"/>
  <c r="G1202" i="22"/>
  <c r="I1202" i="22"/>
  <c r="B1203" i="22"/>
  <c r="D1147" i="22"/>
  <c r="J1147" i="22"/>
  <c r="P1147" i="22"/>
  <c r="Q1147" i="22"/>
  <c r="R1147" i="22"/>
  <c r="L1148" i="22"/>
  <c r="C1148" i="22"/>
  <c r="K1148" i="22" s="1"/>
  <c r="E1148" i="22"/>
  <c r="F1148" i="22"/>
  <c r="O1148" i="22" s="1"/>
  <c r="G1148" i="22"/>
  <c r="I1148" i="22"/>
  <c r="B1149" i="22"/>
  <c r="D1093" i="22"/>
  <c r="J1093" i="22"/>
  <c r="P1093" i="22"/>
  <c r="Q1093" i="22"/>
  <c r="R1093" i="22"/>
  <c r="L1094" i="22"/>
  <c r="C1094" i="22"/>
  <c r="E1094" i="22"/>
  <c r="G1094" i="22"/>
  <c r="I1094" i="22"/>
  <c r="B1095" i="22"/>
  <c r="M1039" i="22"/>
  <c r="L1040" i="22"/>
  <c r="E1040" i="22"/>
  <c r="I1040" i="22"/>
  <c r="C1040" i="22"/>
  <c r="K1040" i="22" s="1"/>
  <c r="G1040" i="22"/>
  <c r="F1040" i="22"/>
  <c r="O1040" i="22" s="1"/>
  <c r="B1041" i="22"/>
  <c r="P1039" i="22"/>
  <c r="Q1039" i="22"/>
  <c r="R1039" i="22"/>
  <c r="J1039" i="22"/>
  <c r="N1039" i="22" s="1"/>
  <c r="U1039" i="22" s="1"/>
  <c r="D1039" i="22"/>
  <c r="M985" i="22"/>
  <c r="D985" i="22"/>
  <c r="J985" i="22"/>
  <c r="N985" i="22" s="1"/>
  <c r="U985" i="22" s="1"/>
  <c r="P985" i="22"/>
  <c r="Q985" i="22"/>
  <c r="R985" i="22"/>
  <c r="L986" i="22"/>
  <c r="C986" i="22"/>
  <c r="E986" i="22"/>
  <c r="G986" i="22"/>
  <c r="I986" i="22"/>
  <c r="B987" i="22"/>
  <c r="M931" i="22"/>
  <c r="D931" i="22"/>
  <c r="J931" i="22"/>
  <c r="N931" i="22" s="1"/>
  <c r="U931" i="22" s="1"/>
  <c r="P931" i="22"/>
  <c r="Q931" i="22"/>
  <c r="R931" i="22"/>
  <c r="L932" i="22"/>
  <c r="C932" i="22"/>
  <c r="K932" i="22" s="1"/>
  <c r="E932" i="22"/>
  <c r="F932" i="22"/>
  <c r="O932" i="22" s="1"/>
  <c r="G932" i="22"/>
  <c r="I932" i="22"/>
  <c r="B933" i="22"/>
  <c r="M877" i="22"/>
  <c r="D877" i="22"/>
  <c r="J877" i="22"/>
  <c r="N877" i="22" s="1"/>
  <c r="U877" i="22" s="1"/>
  <c r="P877" i="22"/>
  <c r="Q877" i="22"/>
  <c r="R877" i="22"/>
  <c r="L878" i="22"/>
  <c r="C878" i="22"/>
  <c r="K878" i="22" s="1"/>
  <c r="E878" i="22"/>
  <c r="F878" i="22"/>
  <c r="O878" i="22" s="1"/>
  <c r="G878" i="22"/>
  <c r="I878" i="22"/>
  <c r="B879" i="22"/>
  <c r="M823" i="22"/>
  <c r="D823" i="22"/>
  <c r="J823" i="22"/>
  <c r="N823" i="22" s="1"/>
  <c r="U823" i="22" s="1"/>
  <c r="P823" i="22"/>
  <c r="Q823" i="22"/>
  <c r="R823" i="22"/>
  <c r="L824" i="22"/>
  <c r="C824" i="22"/>
  <c r="K824" i="22" s="1"/>
  <c r="E824" i="22"/>
  <c r="F824" i="22"/>
  <c r="O824" i="22" s="1"/>
  <c r="G824" i="22"/>
  <c r="I824" i="22"/>
  <c r="B825" i="22"/>
  <c r="M769" i="22"/>
  <c r="D769" i="22"/>
  <c r="J769" i="22"/>
  <c r="N769" i="22" s="1"/>
  <c r="U769" i="22" s="1"/>
  <c r="P769" i="22"/>
  <c r="Q769" i="22"/>
  <c r="R769" i="22"/>
  <c r="L770" i="22"/>
  <c r="C770" i="22"/>
  <c r="K770" i="22" s="1"/>
  <c r="E770" i="22"/>
  <c r="F770" i="22"/>
  <c r="O770" i="22" s="1"/>
  <c r="G770" i="22"/>
  <c r="I770" i="22"/>
  <c r="B771" i="22"/>
  <c r="M715" i="22"/>
  <c r="D715" i="22"/>
  <c r="J715" i="22"/>
  <c r="N715" i="22" s="1"/>
  <c r="U715" i="22" s="1"/>
  <c r="P715" i="22"/>
  <c r="Q715" i="22"/>
  <c r="R715" i="22"/>
  <c r="L716" i="22"/>
  <c r="C716" i="22"/>
  <c r="E716" i="22"/>
  <c r="G716" i="22"/>
  <c r="I716" i="22"/>
  <c r="B717" i="22"/>
  <c r="M661" i="22"/>
  <c r="D661" i="22"/>
  <c r="J661" i="22"/>
  <c r="N661" i="22" s="1"/>
  <c r="U661" i="22" s="1"/>
  <c r="P661" i="22"/>
  <c r="Q661" i="22"/>
  <c r="R661" i="22"/>
  <c r="L662" i="22"/>
  <c r="C662" i="22"/>
  <c r="K662" i="22" s="1"/>
  <c r="E662" i="22"/>
  <c r="F662" i="22"/>
  <c r="O662" i="22" s="1"/>
  <c r="G662" i="22"/>
  <c r="I662" i="22"/>
  <c r="B663" i="22"/>
  <c r="M607" i="22"/>
  <c r="D607" i="22"/>
  <c r="J607" i="22"/>
  <c r="N607" i="22" s="1"/>
  <c r="U607" i="22" s="1"/>
  <c r="P607" i="22"/>
  <c r="Q607" i="22"/>
  <c r="R607" i="22"/>
  <c r="L608" i="22"/>
  <c r="C608" i="22"/>
  <c r="K608" i="22" s="1"/>
  <c r="E608" i="22"/>
  <c r="F608" i="22"/>
  <c r="O608" i="22" s="1"/>
  <c r="G608" i="22"/>
  <c r="I608" i="22"/>
  <c r="B609" i="22"/>
  <c r="M553" i="22"/>
  <c r="D553" i="22"/>
  <c r="J553" i="22"/>
  <c r="N553" i="22" s="1"/>
  <c r="U553" i="22" s="1"/>
  <c r="P553" i="22"/>
  <c r="Q553" i="22"/>
  <c r="R553" i="22"/>
  <c r="L554" i="22"/>
  <c r="C554" i="22"/>
  <c r="K554" i="22" s="1"/>
  <c r="E554" i="22"/>
  <c r="F554" i="22"/>
  <c r="O554" i="22" s="1"/>
  <c r="G554" i="22"/>
  <c r="I554" i="22"/>
  <c r="B555" i="22"/>
  <c r="M499" i="22"/>
  <c r="D499" i="22"/>
  <c r="J499" i="22"/>
  <c r="N499" i="22" s="1"/>
  <c r="U499" i="22" s="1"/>
  <c r="P499" i="22"/>
  <c r="Q499" i="22"/>
  <c r="R499" i="22"/>
  <c r="L500" i="22"/>
  <c r="C500" i="22"/>
  <c r="K500" i="22" s="1"/>
  <c r="E500" i="22"/>
  <c r="F500" i="22"/>
  <c r="O500" i="22" s="1"/>
  <c r="G500" i="22"/>
  <c r="I500" i="22"/>
  <c r="B501" i="22"/>
  <c r="M445" i="22"/>
  <c r="D445" i="22"/>
  <c r="J445" i="22"/>
  <c r="N445" i="22" s="1"/>
  <c r="U445" i="22" s="1"/>
  <c r="P445" i="22"/>
  <c r="Q445" i="22"/>
  <c r="R445" i="22"/>
  <c r="L446" i="22"/>
  <c r="C446" i="22"/>
  <c r="E446" i="22"/>
  <c r="G446" i="22"/>
  <c r="I446" i="22"/>
  <c r="B447" i="22"/>
  <c r="M391" i="22"/>
  <c r="D391" i="22"/>
  <c r="J391" i="22"/>
  <c r="N391" i="22" s="1"/>
  <c r="U391" i="22" s="1"/>
  <c r="P391" i="22"/>
  <c r="Q391" i="22"/>
  <c r="R391" i="22"/>
  <c r="L392" i="22"/>
  <c r="C392" i="22"/>
  <c r="E392" i="22"/>
  <c r="G392" i="22"/>
  <c r="I392" i="22"/>
  <c r="B393" i="22"/>
  <c r="D337" i="22"/>
  <c r="J337" i="22"/>
  <c r="P337" i="22"/>
  <c r="Q337" i="22"/>
  <c r="R337" i="22"/>
  <c r="L338" i="22"/>
  <c r="C338" i="22"/>
  <c r="E338" i="22"/>
  <c r="G338" i="22"/>
  <c r="I338" i="22"/>
  <c r="B339" i="22"/>
  <c r="M283" i="22"/>
  <c r="D283" i="22"/>
  <c r="J283" i="22"/>
  <c r="N283" i="22" s="1"/>
  <c r="U283" i="22" s="1"/>
  <c r="P283" i="22"/>
  <c r="Q283" i="22"/>
  <c r="R283" i="22"/>
  <c r="L284" i="22"/>
  <c r="C284" i="22"/>
  <c r="K284" i="22" s="1"/>
  <c r="E284" i="22"/>
  <c r="F284" i="22"/>
  <c r="O284" i="22" s="1"/>
  <c r="G284" i="22"/>
  <c r="I284" i="22"/>
  <c r="B285" i="22"/>
  <c r="M229" i="22"/>
  <c r="D229" i="22"/>
  <c r="J229" i="22"/>
  <c r="N229" i="22" s="1"/>
  <c r="U229" i="22" s="1"/>
  <c r="P229" i="22"/>
  <c r="Q229" i="22"/>
  <c r="R229" i="22"/>
  <c r="L230" i="22"/>
  <c r="C230" i="22"/>
  <c r="K230" i="22" s="1"/>
  <c r="E230" i="22"/>
  <c r="F230" i="22"/>
  <c r="O230" i="22" s="1"/>
  <c r="G230" i="22"/>
  <c r="I230" i="22"/>
  <c r="B231" i="22"/>
  <c r="M175" i="22"/>
  <c r="D175" i="22"/>
  <c r="J175" i="22"/>
  <c r="N175" i="22" s="1"/>
  <c r="U175" i="22" s="1"/>
  <c r="P175" i="22"/>
  <c r="Q175" i="22"/>
  <c r="R175" i="22"/>
  <c r="L176" i="22"/>
  <c r="C176" i="22"/>
  <c r="K176" i="22" s="1"/>
  <c r="E176" i="22"/>
  <c r="F176" i="22"/>
  <c r="O176" i="22" s="1"/>
  <c r="G176" i="22"/>
  <c r="B177" i="22"/>
  <c r="I176" i="22"/>
  <c r="M121" i="22"/>
  <c r="L122" i="22"/>
  <c r="C122" i="22"/>
  <c r="K122" i="22" s="1"/>
  <c r="E122" i="22"/>
  <c r="F122" i="22"/>
  <c r="O122" i="22" s="1"/>
  <c r="G122" i="22"/>
  <c r="I122" i="22"/>
  <c r="B123" i="22"/>
  <c r="D121" i="22"/>
  <c r="J121" i="22"/>
  <c r="N121" i="22" s="1"/>
  <c r="U121" i="22" s="1"/>
  <c r="P121" i="22"/>
  <c r="Q121" i="22"/>
  <c r="R121" i="22"/>
  <c r="M59" i="17"/>
  <c r="BE59" i="17"/>
  <c r="BD59" i="17"/>
  <c r="BC59" i="17"/>
  <c r="BB59" i="17"/>
  <c r="BA59" i="17"/>
  <c r="AZ59" i="17"/>
  <c r="AY59" i="17"/>
  <c r="AX59" i="17"/>
  <c r="AW59" i="17"/>
  <c r="AV59" i="17"/>
  <c r="AU59" i="17"/>
  <c r="AT59" i="17"/>
  <c r="AS59" i="17"/>
  <c r="AR59" i="17"/>
  <c r="AQ59" i="17"/>
  <c r="AP59" i="17"/>
  <c r="AO59" i="17"/>
  <c r="AN59" i="17"/>
  <c r="AM59" i="17"/>
  <c r="AL59" i="17"/>
  <c r="AK59" i="17"/>
  <c r="AJ59" i="17"/>
  <c r="AI59" i="17"/>
  <c r="AH59" i="17"/>
  <c r="AG59" i="17"/>
  <c r="AF59" i="17"/>
  <c r="AE59" i="17"/>
  <c r="AD59" i="17"/>
  <c r="AC59" i="17"/>
  <c r="AB59" i="17"/>
  <c r="AA59" i="17"/>
  <c r="Z59" i="17"/>
  <c r="Y59" i="17"/>
  <c r="X59" i="17"/>
  <c r="W59" i="17"/>
  <c r="P59" i="17"/>
  <c r="Q59" i="17"/>
  <c r="R59" i="17"/>
  <c r="BF59" i="17"/>
  <c r="V59" i="17"/>
  <c r="D59" i="17"/>
  <c r="J59" i="17"/>
  <c r="N59" i="17" s="1"/>
  <c r="N111" i="12"/>
  <c r="E111" i="12"/>
  <c r="O59" i="17"/>
  <c r="L60" i="17"/>
  <c r="E60" i="17"/>
  <c r="G60" i="17"/>
  <c r="C60" i="17"/>
  <c r="I60" i="17"/>
  <c r="B61" i="17"/>
  <c r="B60" i="18"/>
  <c r="C108" i="12"/>
  <c r="U57" i="17"/>
  <c r="M109" i="12"/>
  <c r="Q109" i="12" s="1"/>
  <c r="O109" i="12"/>
  <c r="M1579" i="23"/>
  <c r="N1579" i="23"/>
  <c r="AE1579" i="23" s="1"/>
  <c r="M1523" i="23"/>
  <c r="N1523" i="23"/>
  <c r="AE1523" i="23" s="1"/>
  <c r="N1355" i="23"/>
  <c r="AE1355" i="23" s="1"/>
  <c r="M1355" i="23"/>
  <c r="M627" i="23"/>
  <c r="N627" i="23"/>
  <c r="AE627" i="23" s="1"/>
  <c r="M459" i="23"/>
  <c r="N459" i="23"/>
  <c r="AE459" i="23" s="1"/>
  <c r="M4554" i="22"/>
  <c r="N4554" i="22"/>
  <c r="M3684" i="22"/>
  <c r="N3684" i="22"/>
  <c r="U3684" i="22" s="1"/>
  <c r="M3576" i="22"/>
  <c r="N3576" i="22"/>
  <c r="U3576" i="22" s="1"/>
  <c r="M3360" i="22"/>
  <c r="N3360" i="22"/>
  <c r="U3360" i="22" s="1"/>
  <c r="M3144" i="22"/>
  <c r="N3144" i="22"/>
  <c r="U3144" i="22" s="1"/>
  <c r="M3036" i="22"/>
  <c r="N3036" i="22"/>
  <c r="U3036" i="22" s="1"/>
  <c r="M2604" i="22"/>
  <c r="N2604" i="22"/>
  <c r="U2604" i="22" s="1"/>
  <c r="M2388" i="22"/>
  <c r="N2388" i="22"/>
  <c r="U2388" i="22" s="1"/>
  <c r="N2280" i="22"/>
  <c r="U2280" i="22" s="1"/>
  <c r="M2280" i="22"/>
  <c r="M2010" i="22"/>
  <c r="N2010" i="22"/>
  <c r="U2010" i="22" s="1"/>
  <c r="M1956" i="22"/>
  <c r="N1956" i="22"/>
  <c r="U1956" i="22" s="1"/>
  <c r="M1686" i="22"/>
  <c r="N1686" i="22"/>
  <c r="U1686" i="22" s="1"/>
  <c r="M1362" i="22"/>
  <c r="N1362" i="22"/>
  <c r="U1362" i="22" s="1"/>
  <c r="M1038" i="22"/>
  <c r="N1038" i="22"/>
  <c r="U1038" i="22" s="1"/>
  <c r="M984" i="22"/>
  <c r="N984" i="22"/>
  <c r="U984" i="22" s="1"/>
  <c r="M606" i="22"/>
  <c r="N606" i="22"/>
  <c r="U606" i="22" s="1"/>
  <c r="M498" i="22"/>
  <c r="N498" i="22"/>
  <c r="U498" i="22" s="1"/>
  <c r="M228" i="22"/>
  <c r="N228" i="22"/>
  <c r="U228" i="22" s="1"/>
  <c r="M174" i="22"/>
  <c r="N174" i="22"/>
  <c r="U174" i="22" s="1"/>
  <c r="E110" i="12"/>
  <c r="O58" i="17"/>
  <c r="N110" i="12"/>
  <c r="M58" i="17"/>
  <c r="N58" i="17"/>
  <c r="F1524" i="23"/>
  <c r="O1524" i="23" s="1"/>
  <c r="K1524" i="23"/>
  <c r="F1356" i="23"/>
  <c r="O1356" i="23" s="1"/>
  <c r="K1356" i="23"/>
  <c r="K684" i="23"/>
  <c r="F684" i="23"/>
  <c r="O684" i="23" s="1"/>
  <c r="P110" i="12"/>
  <c r="K4609" i="22"/>
  <c r="F4609" i="22"/>
  <c r="K4093" i="22"/>
  <c r="F4093" i="22"/>
  <c r="O4093" i="22" s="1"/>
  <c r="K3685" i="22"/>
  <c r="F3685" i="22"/>
  <c r="O3685" i="22" s="1"/>
  <c r="F3631" i="22"/>
  <c r="O3631" i="22" s="1"/>
  <c r="K3631" i="22"/>
  <c r="F3523" i="22"/>
  <c r="O3523" i="22" s="1"/>
  <c r="K3523" i="22"/>
  <c r="K3361" i="22"/>
  <c r="F3361" i="22"/>
  <c r="O3361" i="22" s="1"/>
  <c r="K3145" i="22"/>
  <c r="F3145" i="22"/>
  <c r="O3145" i="22" s="1"/>
  <c r="K3091" i="22"/>
  <c r="F3091" i="22"/>
  <c r="O3091" i="22" s="1"/>
  <c r="F2983" i="22"/>
  <c r="O2983" i="22" s="1"/>
  <c r="K2983" i="22"/>
  <c r="F2335" i="22"/>
  <c r="O2335" i="22" s="1"/>
  <c r="K2335" i="22"/>
  <c r="F2281" i="22"/>
  <c r="O2281" i="22" s="1"/>
  <c r="K2281" i="22"/>
  <c r="F1687" i="22"/>
  <c r="O1687" i="22" s="1"/>
  <c r="K1687" i="22"/>
  <c r="K1417" i="22"/>
  <c r="F1417" i="22"/>
  <c r="O1417" i="22" s="1"/>
  <c r="F1363" i="22"/>
  <c r="O1363" i="22" s="1"/>
  <c r="K1363" i="22"/>
  <c r="K1309" i="22"/>
  <c r="F1309" i="22"/>
  <c r="O1309" i="22" s="1"/>
  <c r="F1147" i="22"/>
  <c r="O1147" i="22" s="1"/>
  <c r="K1147" i="22"/>
  <c r="K1093" i="22"/>
  <c r="F1093" i="22"/>
  <c r="O1093" i="22" s="1"/>
  <c r="K337" i="22"/>
  <c r="F337" i="22"/>
  <c r="O337" i="22" s="1"/>
  <c r="K1189" i="23" l="1"/>
  <c r="F1189" i="23"/>
  <c r="O1189" i="23" s="1"/>
  <c r="K797" i="23"/>
  <c r="F797" i="23"/>
  <c r="O797" i="23" s="1"/>
  <c r="K405" i="23"/>
  <c r="F405" i="23"/>
  <c r="O405" i="23" s="1"/>
  <c r="K3632" i="22"/>
  <c r="F3632" i="22"/>
  <c r="O3632" i="22" s="1"/>
  <c r="K3308" i="22"/>
  <c r="F3308" i="22"/>
  <c r="O3308" i="22" s="1"/>
  <c r="K2012" i="22"/>
  <c r="F2012" i="22"/>
  <c r="O2012" i="22" s="1"/>
  <c r="K1796" i="22"/>
  <c r="F1796" i="22"/>
  <c r="O1796" i="22" s="1"/>
  <c r="K716" i="22"/>
  <c r="F716" i="22"/>
  <c r="O716" i="22" s="1"/>
  <c r="J1637" i="23"/>
  <c r="D1637" i="23"/>
  <c r="P1637" i="23"/>
  <c r="Q1637" i="23"/>
  <c r="R1637" i="23"/>
  <c r="I1638" i="23"/>
  <c r="L1638" i="23"/>
  <c r="C1638" i="23"/>
  <c r="K1638" i="23" s="1"/>
  <c r="E1638" i="23"/>
  <c r="F1638" i="23"/>
  <c r="O1638" i="23" s="1"/>
  <c r="G1638" i="23"/>
  <c r="B1639" i="23"/>
  <c r="M1581" i="23"/>
  <c r="J1581" i="23"/>
  <c r="N1581" i="23" s="1"/>
  <c r="AE1581" i="23" s="1"/>
  <c r="D1581" i="23"/>
  <c r="P1581" i="23"/>
  <c r="Q1581" i="23"/>
  <c r="R1581" i="23"/>
  <c r="L1582" i="23"/>
  <c r="I1582" i="23"/>
  <c r="C1582" i="23"/>
  <c r="K1582" i="23" s="1"/>
  <c r="E1582" i="23"/>
  <c r="F1582" i="23"/>
  <c r="O1582" i="23" s="1"/>
  <c r="G1582" i="23"/>
  <c r="B1583" i="23"/>
  <c r="M1525" i="23"/>
  <c r="J1525" i="23"/>
  <c r="N1525" i="23" s="1"/>
  <c r="AE1525" i="23" s="1"/>
  <c r="D1525" i="23"/>
  <c r="P1525" i="23"/>
  <c r="Q1525" i="23"/>
  <c r="R1525" i="23"/>
  <c r="L1526" i="23"/>
  <c r="I1526" i="23"/>
  <c r="C1526" i="23"/>
  <c r="E1526" i="23"/>
  <c r="G1526" i="23"/>
  <c r="B1527" i="23"/>
  <c r="J1469" i="23"/>
  <c r="D1469" i="23"/>
  <c r="P1469" i="23"/>
  <c r="Q1469" i="23"/>
  <c r="R1469" i="23"/>
  <c r="L1470" i="23"/>
  <c r="I1470" i="23"/>
  <c r="C1470" i="23"/>
  <c r="E1470" i="23"/>
  <c r="G1470" i="23"/>
  <c r="B1471" i="23"/>
  <c r="J1413" i="23"/>
  <c r="D1413" i="23"/>
  <c r="P1413" i="23"/>
  <c r="Q1413" i="23"/>
  <c r="R1413" i="23"/>
  <c r="L1414" i="23"/>
  <c r="I1414" i="23"/>
  <c r="C1414" i="23"/>
  <c r="K1414" i="23" s="1"/>
  <c r="E1414" i="23"/>
  <c r="F1414" i="23"/>
  <c r="O1414" i="23" s="1"/>
  <c r="G1414" i="23"/>
  <c r="B1415" i="23"/>
  <c r="P1357" i="23"/>
  <c r="Q1357" i="23"/>
  <c r="R1357" i="23"/>
  <c r="J1357" i="23"/>
  <c r="D1357" i="23"/>
  <c r="L1358" i="23"/>
  <c r="I1358" i="23"/>
  <c r="B1359" i="23"/>
  <c r="C1358" i="23"/>
  <c r="K1358" i="23" s="1"/>
  <c r="E1358" i="23"/>
  <c r="F1358" i="23"/>
  <c r="O1358" i="23" s="1"/>
  <c r="G1358" i="23"/>
  <c r="M1301" i="23"/>
  <c r="J1301" i="23"/>
  <c r="N1301" i="23" s="1"/>
  <c r="AE1301" i="23" s="1"/>
  <c r="D1301" i="23"/>
  <c r="P1301" i="23"/>
  <c r="Q1301" i="23"/>
  <c r="R1301" i="23"/>
  <c r="L1302" i="23"/>
  <c r="I1302" i="23"/>
  <c r="C1302" i="23"/>
  <c r="K1302" i="23" s="1"/>
  <c r="E1302" i="23"/>
  <c r="F1302" i="23"/>
  <c r="O1302" i="23" s="1"/>
  <c r="G1302" i="23"/>
  <c r="B1303" i="23"/>
  <c r="J1245" i="23"/>
  <c r="D1245" i="23"/>
  <c r="P1245" i="23"/>
  <c r="Q1245" i="23"/>
  <c r="R1245" i="23"/>
  <c r="L1246" i="23"/>
  <c r="I1246" i="23"/>
  <c r="C1246" i="23"/>
  <c r="K1246" i="23" s="1"/>
  <c r="E1246" i="23"/>
  <c r="F1246" i="23"/>
  <c r="O1246" i="23" s="1"/>
  <c r="G1246" i="23"/>
  <c r="B1247" i="23"/>
  <c r="M1189" i="23"/>
  <c r="J1189" i="23"/>
  <c r="N1189" i="23" s="1"/>
  <c r="AE1189" i="23" s="1"/>
  <c r="D1189" i="23"/>
  <c r="P1189" i="23"/>
  <c r="Q1189" i="23"/>
  <c r="R1189" i="23"/>
  <c r="L1190" i="23"/>
  <c r="I1190" i="23"/>
  <c r="C1190" i="23"/>
  <c r="K1190" i="23" s="1"/>
  <c r="E1190" i="23"/>
  <c r="F1190" i="23"/>
  <c r="O1190" i="23" s="1"/>
  <c r="G1190" i="23"/>
  <c r="B1191" i="23"/>
  <c r="M1133" i="23"/>
  <c r="J1133" i="23"/>
  <c r="N1133" i="23" s="1"/>
  <c r="AE1133" i="23" s="1"/>
  <c r="D1133" i="23"/>
  <c r="P1133" i="23"/>
  <c r="Q1133" i="23"/>
  <c r="R1133" i="23"/>
  <c r="L1134" i="23"/>
  <c r="I1134" i="23"/>
  <c r="C1134" i="23"/>
  <c r="K1134" i="23" s="1"/>
  <c r="E1134" i="23"/>
  <c r="F1134" i="23"/>
  <c r="O1134" i="23" s="1"/>
  <c r="G1134" i="23"/>
  <c r="B1135" i="23"/>
  <c r="M1077" i="23"/>
  <c r="J1077" i="23"/>
  <c r="N1077" i="23" s="1"/>
  <c r="AE1077" i="23" s="1"/>
  <c r="D1077" i="23"/>
  <c r="P1077" i="23"/>
  <c r="Q1077" i="23"/>
  <c r="R1077" i="23"/>
  <c r="L1078" i="23"/>
  <c r="I1078" i="23"/>
  <c r="C1078" i="23"/>
  <c r="K1078" i="23" s="1"/>
  <c r="E1078" i="23"/>
  <c r="F1078" i="23"/>
  <c r="O1078" i="23" s="1"/>
  <c r="G1078" i="23"/>
  <c r="B1079" i="23"/>
  <c r="M1021" i="23"/>
  <c r="J1021" i="23"/>
  <c r="N1021" i="23" s="1"/>
  <c r="AE1021" i="23" s="1"/>
  <c r="D1021" i="23"/>
  <c r="P1021" i="23"/>
  <c r="Q1021" i="23"/>
  <c r="R1021" i="23"/>
  <c r="L1022" i="23"/>
  <c r="I1022" i="23"/>
  <c r="C1022" i="23"/>
  <c r="E1022" i="23"/>
  <c r="G1022" i="23"/>
  <c r="B1023" i="23"/>
  <c r="M965" i="23"/>
  <c r="J965" i="23"/>
  <c r="N965" i="23" s="1"/>
  <c r="AE965" i="23" s="1"/>
  <c r="D965" i="23"/>
  <c r="P965" i="23"/>
  <c r="Q965" i="23"/>
  <c r="R965" i="23"/>
  <c r="L966" i="23"/>
  <c r="I966" i="23"/>
  <c r="C966" i="23"/>
  <c r="E966" i="23"/>
  <c r="G966" i="23"/>
  <c r="B967" i="23"/>
  <c r="J909" i="23"/>
  <c r="D909" i="23"/>
  <c r="P909" i="23"/>
  <c r="Q909" i="23"/>
  <c r="R909" i="23"/>
  <c r="L910" i="23"/>
  <c r="I910" i="23"/>
  <c r="C910" i="23"/>
  <c r="E910" i="23"/>
  <c r="G910" i="23"/>
  <c r="B911" i="23"/>
  <c r="M853" i="23"/>
  <c r="J853" i="23"/>
  <c r="N853" i="23" s="1"/>
  <c r="AE853" i="23" s="1"/>
  <c r="D853" i="23"/>
  <c r="P853" i="23"/>
  <c r="Q853" i="23"/>
  <c r="R853" i="23"/>
  <c r="L854" i="23"/>
  <c r="I854" i="23"/>
  <c r="C854" i="23"/>
  <c r="K854" i="23" s="1"/>
  <c r="E854" i="23"/>
  <c r="F854" i="23"/>
  <c r="O854" i="23" s="1"/>
  <c r="G854" i="23"/>
  <c r="B855" i="23"/>
  <c r="M797" i="23"/>
  <c r="J797" i="23"/>
  <c r="N797" i="23" s="1"/>
  <c r="AE797" i="23" s="1"/>
  <c r="D797" i="23"/>
  <c r="P797" i="23"/>
  <c r="Q797" i="23"/>
  <c r="R797" i="23"/>
  <c r="L798" i="23"/>
  <c r="I798" i="23"/>
  <c r="C798" i="23"/>
  <c r="K798" i="23" s="1"/>
  <c r="E798" i="23"/>
  <c r="F798" i="23"/>
  <c r="O798" i="23" s="1"/>
  <c r="G798" i="23"/>
  <c r="B799" i="23"/>
  <c r="M741" i="23"/>
  <c r="J741" i="23"/>
  <c r="N741" i="23" s="1"/>
  <c r="AE741" i="23" s="1"/>
  <c r="D741" i="23"/>
  <c r="P741" i="23"/>
  <c r="Q741" i="23"/>
  <c r="R741" i="23"/>
  <c r="L742" i="23"/>
  <c r="I742" i="23"/>
  <c r="C742" i="23"/>
  <c r="K742" i="23" s="1"/>
  <c r="E742" i="23"/>
  <c r="F742" i="23"/>
  <c r="O742" i="23" s="1"/>
  <c r="G742" i="23"/>
  <c r="B743" i="23"/>
  <c r="M685" i="23"/>
  <c r="J685" i="23"/>
  <c r="N685" i="23" s="1"/>
  <c r="AE685" i="23" s="1"/>
  <c r="D685" i="23"/>
  <c r="P685" i="23"/>
  <c r="Q685" i="23"/>
  <c r="R685" i="23"/>
  <c r="L686" i="23"/>
  <c r="I686" i="23"/>
  <c r="C686" i="23"/>
  <c r="K686" i="23" s="1"/>
  <c r="E686" i="23"/>
  <c r="F686" i="23"/>
  <c r="O686" i="23" s="1"/>
  <c r="G686" i="23"/>
  <c r="B687" i="23"/>
  <c r="M629" i="23"/>
  <c r="J629" i="23"/>
  <c r="N629" i="23" s="1"/>
  <c r="AE629" i="23" s="1"/>
  <c r="D629" i="23"/>
  <c r="P629" i="23"/>
  <c r="Q629" i="23"/>
  <c r="R629" i="23"/>
  <c r="L630" i="23"/>
  <c r="I630" i="23"/>
  <c r="C630" i="23"/>
  <c r="K630" i="23" s="1"/>
  <c r="E630" i="23"/>
  <c r="F630" i="23"/>
  <c r="O630" i="23" s="1"/>
  <c r="G630" i="23"/>
  <c r="B631" i="23"/>
  <c r="M573" i="23"/>
  <c r="J573" i="23"/>
  <c r="N573" i="23" s="1"/>
  <c r="AE573" i="23" s="1"/>
  <c r="D573" i="23"/>
  <c r="P573" i="23"/>
  <c r="Q573" i="23"/>
  <c r="R573" i="23"/>
  <c r="L574" i="23"/>
  <c r="I574" i="23"/>
  <c r="C574" i="23"/>
  <c r="K574" i="23" s="1"/>
  <c r="E574" i="23"/>
  <c r="F574" i="23"/>
  <c r="O574" i="23" s="1"/>
  <c r="G574" i="23"/>
  <c r="B575" i="23"/>
  <c r="M517" i="23"/>
  <c r="J517" i="23"/>
  <c r="N517" i="23" s="1"/>
  <c r="AE517" i="23" s="1"/>
  <c r="D517" i="23"/>
  <c r="P517" i="23"/>
  <c r="Q517" i="23"/>
  <c r="R517" i="23"/>
  <c r="L518" i="23"/>
  <c r="I518" i="23"/>
  <c r="C518" i="23"/>
  <c r="K518" i="23" s="1"/>
  <c r="E518" i="23"/>
  <c r="F518" i="23"/>
  <c r="O518" i="23" s="1"/>
  <c r="G518" i="23"/>
  <c r="B519" i="23"/>
  <c r="L462" i="23"/>
  <c r="I462" i="23"/>
  <c r="C462" i="23"/>
  <c r="K462" i="23" s="1"/>
  <c r="G462" i="23"/>
  <c r="E462" i="23"/>
  <c r="F462" i="23"/>
  <c r="O462" i="23" s="1"/>
  <c r="B463" i="23"/>
  <c r="P461" i="23"/>
  <c r="Q461" i="23"/>
  <c r="R461" i="23"/>
  <c r="J461" i="23"/>
  <c r="D461" i="23"/>
  <c r="M405" i="23"/>
  <c r="J405" i="23"/>
  <c r="N405" i="23" s="1"/>
  <c r="AE405" i="23" s="1"/>
  <c r="D405" i="23"/>
  <c r="P405" i="23"/>
  <c r="Q405" i="23"/>
  <c r="R405" i="23"/>
  <c r="L406" i="23"/>
  <c r="I406" i="23"/>
  <c r="C406" i="23"/>
  <c r="E406" i="23"/>
  <c r="G406" i="23"/>
  <c r="B407" i="23"/>
  <c r="M349" i="23"/>
  <c r="J349" i="23"/>
  <c r="N349" i="23" s="1"/>
  <c r="AE349" i="23" s="1"/>
  <c r="D349" i="23"/>
  <c r="P349" i="23"/>
  <c r="Q349" i="23"/>
  <c r="R349" i="23"/>
  <c r="L350" i="23"/>
  <c r="I350" i="23"/>
  <c r="C350" i="23"/>
  <c r="K350" i="23" s="1"/>
  <c r="E350" i="23"/>
  <c r="F350" i="23"/>
  <c r="O350" i="23" s="1"/>
  <c r="G350" i="23"/>
  <c r="B351" i="23"/>
  <c r="M293" i="23"/>
  <c r="J293" i="23"/>
  <c r="N293" i="23" s="1"/>
  <c r="AE293" i="23" s="1"/>
  <c r="D293" i="23"/>
  <c r="P293" i="23"/>
  <c r="Q293" i="23"/>
  <c r="R293" i="23"/>
  <c r="L294" i="23"/>
  <c r="I294" i="23"/>
  <c r="C294" i="23"/>
  <c r="K294" i="23" s="1"/>
  <c r="E294" i="23"/>
  <c r="F294" i="23"/>
  <c r="O294" i="23" s="1"/>
  <c r="G294" i="23"/>
  <c r="B295" i="23"/>
  <c r="D4772" i="22"/>
  <c r="J4772" i="22"/>
  <c r="N4772" i="22" s="1"/>
  <c r="P4772" i="22"/>
  <c r="Q4772" i="22"/>
  <c r="R4772" i="22"/>
  <c r="M4772" i="22"/>
  <c r="C4773" i="22"/>
  <c r="F4773" i="22" s="1"/>
  <c r="E4773" i="22"/>
  <c r="G4773" i="22"/>
  <c r="I4773" i="22"/>
  <c r="K4773" i="22"/>
  <c r="L4773" i="22"/>
  <c r="B4774" i="22"/>
  <c r="S4717" i="22"/>
  <c r="U4717" i="22"/>
  <c r="D4718" i="22"/>
  <c r="J4718" i="22"/>
  <c r="P4718" i="22"/>
  <c r="Q4718" i="22"/>
  <c r="R4718" i="22"/>
  <c r="L4719" i="22"/>
  <c r="C4719" i="22"/>
  <c r="K4719" i="22" s="1"/>
  <c r="E4719" i="22"/>
  <c r="F4719" i="22"/>
  <c r="G4719" i="22"/>
  <c r="I4719" i="22"/>
  <c r="B4720" i="22"/>
  <c r="P4664" i="22"/>
  <c r="Q4664" i="22"/>
  <c r="R4664" i="22"/>
  <c r="C4665" i="22"/>
  <c r="D4665" i="22" s="1"/>
  <c r="E4665" i="22"/>
  <c r="F4665" i="22"/>
  <c r="O4665" i="22" s="1"/>
  <c r="G4665" i="22"/>
  <c r="B4666" i="22"/>
  <c r="J4610" i="22"/>
  <c r="D4610" i="22"/>
  <c r="P4610" i="22"/>
  <c r="Q4610" i="22"/>
  <c r="R4610" i="22"/>
  <c r="I4611" i="22"/>
  <c r="L4611" i="22"/>
  <c r="C4611" i="22"/>
  <c r="K4611" i="22" s="1"/>
  <c r="E4611" i="22"/>
  <c r="F4611" i="22"/>
  <c r="G4611" i="22"/>
  <c r="B4612" i="22"/>
  <c r="M4556" i="22"/>
  <c r="D4556" i="22"/>
  <c r="J4556" i="22"/>
  <c r="N4556" i="22" s="1"/>
  <c r="P4556" i="22"/>
  <c r="Q4556" i="22"/>
  <c r="R4556" i="22"/>
  <c r="L4557" i="22"/>
  <c r="C4557" i="22"/>
  <c r="K4557" i="22" s="1"/>
  <c r="E4557" i="22"/>
  <c r="F4557" i="22"/>
  <c r="G4557" i="22"/>
  <c r="I4557" i="22"/>
  <c r="B4558" i="22"/>
  <c r="D4256" i="22"/>
  <c r="J4256" i="22"/>
  <c r="P4256" i="22"/>
  <c r="Q4256" i="22"/>
  <c r="R4256" i="22"/>
  <c r="C4257" i="22"/>
  <c r="F4257" i="22" s="1"/>
  <c r="O4257" i="22" s="1"/>
  <c r="E4257" i="22"/>
  <c r="G4257" i="22"/>
  <c r="I4257" i="22"/>
  <c r="K4257" i="22"/>
  <c r="L4257" i="22"/>
  <c r="B4258" i="22"/>
  <c r="M4202" i="22"/>
  <c r="D4202" i="22"/>
  <c r="J4202" i="22"/>
  <c r="N4202" i="22" s="1"/>
  <c r="U4202" i="22" s="1"/>
  <c r="P4202" i="22"/>
  <c r="Q4202" i="22"/>
  <c r="R4202" i="22"/>
  <c r="L4203" i="22"/>
  <c r="C4203" i="22"/>
  <c r="K4203" i="22" s="1"/>
  <c r="E4203" i="22"/>
  <c r="F4203" i="22"/>
  <c r="O4203" i="22" s="1"/>
  <c r="G4203" i="22"/>
  <c r="I4203" i="22"/>
  <c r="B4204" i="22"/>
  <c r="M4148" i="22"/>
  <c r="D4148" i="22"/>
  <c r="J4148" i="22"/>
  <c r="N4148" i="22" s="1"/>
  <c r="U4148" i="22" s="1"/>
  <c r="P4148" i="22"/>
  <c r="Q4148" i="22"/>
  <c r="R4148" i="22"/>
  <c r="L4149" i="22"/>
  <c r="C4149" i="22"/>
  <c r="K4149" i="22" s="1"/>
  <c r="E4149" i="22"/>
  <c r="F4149" i="22"/>
  <c r="O4149" i="22" s="1"/>
  <c r="G4149" i="22"/>
  <c r="I4149" i="22"/>
  <c r="B4150" i="22"/>
  <c r="M4094" i="22"/>
  <c r="D4094" i="22"/>
  <c r="J4094" i="22"/>
  <c r="N4094" i="22" s="1"/>
  <c r="U4094" i="22" s="1"/>
  <c r="P4094" i="22"/>
  <c r="Q4094" i="22"/>
  <c r="R4094" i="22"/>
  <c r="L4095" i="22"/>
  <c r="C4095" i="22"/>
  <c r="K4095" i="22" s="1"/>
  <c r="E4095" i="22"/>
  <c r="F4095" i="22"/>
  <c r="O4095" i="22" s="1"/>
  <c r="G4095" i="22"/>
  <c r="I4095" i="22"/>
  <c r="B4096" i="22"/>
  <c r="D3794" i="22"/>
  <c r="J3794" i="22"/>
  <c r="P3794" i="22"/>
  <c r="Q3794" i="22"/>
  <c r="R3794" i="22"/>
  <c r="L3795" i="22"/>
  <c r="C3795" i="22"/>
  <c r="K3795" i="22" s="1"/>
  <c r="E3795" i="22"/>
  <c r="F3795" i="22"/>
  <c r="O3795" i="22" s="1"/>
  <c r="G3795" i="22"/>
  <c r="I3795" i="22"/>
  <c r="B3796" i="22"/>
  <c r="M3740" i="22"/>
  <c r="D3740" i="22"/>
  <c r="J3740" i="22"/>
  <c r="N3740" i="22" s="1"/>
  <c r="U3740" i="22" s="1"/>
  <c r="P3740" i="22"/>
  <c r="Q3740" i="22"/>
  <c r="R3740" i="22"/>
  <c r="L3741" i="22"/>
  <c r="C3741" i="22"/>
  <c r="K3741" i="22" s="1"/>
  <c r="E3741" i="22"/>
  <c r="F3741" i="22"/>
  <c r="O3741" i="22" s="1"/>
  <c r="G3741" i="22"/>
  <c r="I3741" i="22"/>
  <c r="B3742" i="22"/>
  <c r="D3686" i="22"/>
  <c r="J3686" i="22"/>
  <c r="P3686" i="22"/>
  <c r="Q3686" i="22"/>
  <c r="R3686" i="22"/>
  <c r="L3687" i="22"/>
  <c r="C3687" i="22"/>
  <c r="K3687" i="22" s="1"/>
  <c r="E3687" i="22"/>
  <c r="F3687" i="22"/>
  <c r="O3687" i="22" s="1"/>
  <c r="G3687" i="22"/>
  <c r="I3687" i="22"/>
  <c r="B3688" i="22"/>
  <c r="M3632" i="22"/>
  <c r="D3632" i="22"/>
  <c r="J3632" i="22"/>
  <c r="N3632" i="22" s="1"/>
  <c r="U3632" i="22" s="1"/>
  <c r="P3632" i="22"/>
  <c r="Q3632" i="22"/>
  <c r="R3632" i="22"/>
  <c r="L3633" i="22"/>
  <c r="C3633" i="22"/>
  <c r="K3633" i="22" s="1"/>
  <c r="E3633" i="22"/>
  <c r="F3633" i="22"/>
  <c r="O3633" i="22" s="1"/>
  <c r="G3633" i="22"/>
  <c r="I3633" i="22"/>
  <c r="B3634" i="22"/>
  <c r="P3578" i="22"/>
  <c r="Q3578" i="22"/>
  <c r="R3578" i="22"/>
  <c r="L3579" i="22"/>
  <c r="E3579" i="22"/>
  <c r="B3580" i="22"/>
  <c r="C3579" i="22"/>
  <c r="K3579" i="22" s="1"/>
  <c r="F3579" i="22"/>
  <c r="O3579" i="22" s="1"/>
  <c r="G3579" i="22"/>
  <c r="I3579" i="22"/>
  <c r="J3578" i="22"/>
  <c r="D3578" i="22"/>
  <c r="P3524" i="22"/>
  <c r="Q3524" i="22"/>
  <c r="R3524" i="22"/>
  <c r="J3524" i="22"/>
  <c r="D3524" i="22"/>
  <c r="L3525" i="22"/>
  <c r="C3525" i="22"/>
  <c r="K3525" i="22" s="1"/>
  <c r="E3525" i="22"/>
  <c r="B3526" i="22"/>
  <c r="F3525" i="22"/>
  <c r="O3525" i="22" s="1"/>
  <c r="G3525" i="22"/>
  <c r="I3525" i="22"/>
  <c r="D3470" i="22"/>
  <c r="J3470" i="22"/>
  <c r="P3470" i="22"/>
  <c r="Q3470" i="22"/>
  <c r="R3470" i="22"/>
  <c r="L3471" i="22"/>
  <c r="C3471" i="22"/>
  <c r="K3471" i="22" s="1"/>
  <c r="E3471" i="22"/>
  <c r="F3471" i="22"/>
  <c r="O3471" i="22" s="1"/>
  <c r="G3471" i="22"/>
  <c r="I3471" i="22"/>
  <c r="B3472" i="22"/>
  <c r="M3416" i="22"/>
  <c r="D3416" i="22"/>
  <c r="J3416" i="22"/>
  <c r="N3416" i="22" s="1"/>
  <c r="U3416" i="22" s="1"/>
  <c r="P3416" i="22"/>
  <c r="Q3416" i="22"/>
  <c r="R3416" i="22"/>
  <c r="L3417" i="22"/>
  <c r="C3417" i="22"/>
  <c r="K3417" i="22" s="1"/>
  <c r="E3417" i="22"/>
  <c r="F3417" i="22"/>
  <c r="O3417" i="22" s="1"/>
  <c r="G3417" i="22"/>
  <c r="I3417" i="22"/>
  <c r="B3418" i="22"/>
  <c r="M3362" i="22"/>
  <c r="D3362" i="22"/>
  <c r="J3362" i="22"/>
  <c r="N3362" i="22" s="1"/>
  <c r="U3362" i="22" s="1"/>
  <c r="P3362" i="22"/>
  <c r="Q3362" i="22"/>
  <c r="R3362" i="22"/>
  <c r="L3363" i="22"/>
  <c r="C3363" i="22"/>
  <c r="K3363" i="22" s="1"/>
  <c r="E3363" i="22"/>
  <c r="F3363" i="22"/>
  <c r="O3363" i="22" s="1"/>
  <c r="G3363" i="22"/>
  <c r="I3363" i="22"/>
  <c r="B3364" i="22"/>
  <c r="M3308" i="22"/>
  <c r="D3308" i="22"/>
  <c r="J3308" i="22"/>
  <c r="N3308" i="22" s="1"/>
  <c r="U3308" i="22" s="1"/>
  <c r="P3308" i="22"/>
  <c r="Q3308" i="22"/>
  <c r="R3308" i="22"/>
  <c r="L3309" i="22"/>
  <c r="C3309" i="22"/>
  <c r="K3309" i="22" s="1"/>
  <c r="E3309" i="22"/>
  <c r="F3309" i="22"/>
  <c r="O3309" i="22" s="1"/>
  <c r="G3309" i="22"/>
  <c r="I3309" i="22"/>
  <c r="B3310" i="22"/>
  <c r="M3254" i="22"/>
  <c r="D3254" i="22"/>
  <c r="J3254" i="22"/>
  <c r="N3254" i="22" s="1"/>
  <c r="U3254" i="22" s="1"/>
  <c r="P3254" i="22"/>
  <c r="Q3254" i="22"/>
  <c r="R3254" i="22"/>
  <c r="L3255" i="22"/>
  <c r="C3255" i="22"/>
  <c r="E3255" i="22"/>
  <c r="G3255" i="22"/>
  <c r="I3255" i="22"/>
  <c r="B3256" i="22"/>
  <c r="M3200" i="22"/>
  <c r="D3200" i="22"/>
  <c r="J3200" i="22"/>
  <c r="N3200" i="22" s="1"/>
  <c r="U3200" i="22" s="1"/>
  <c r="P3200" i="22"/>
  <c r="Q3200" i="22"/>
  <c r="R3200" i="22"/>
  <c r="L3201" i="22"/>
  <c r="C3201" i="22"/>
  <c r="K3201" i="22" s="1"/>
  <c r="E3201" i="22"/>
  <c r="F3201" i="22"/>
  <c r="O3201" i="22" s="1"/>
  <c r="G3201" i="22"/>
  <c r="I3201" i="22"/>
  <c r="B3202" i="22"/>
  <c r="M3146" i="22"/>
  <c r="J3146" i="22"/>
  <c r="N3146" i="22" s="1"/>
  <c r="U3146" i="22" s="1"/>
  <c r="D3146" i="22"/>
  <c r="P3146" i="22"/>
  <c r="Q3146" i="22"/>
  <c r="R3146" i="22"/>
  <c r="L3147" i="22"/>
  <c r="E3147" i="22"/>
  <c r="G3147" i="22"/>
  <c r="B3148" i="22"/>
  <c r="C3147" i="22"/>
  <c r="I3147" i="22"/>
  <c r="D3092" i="22"/>
  <c r="J3092" i="22"/>
  <c r="P3092" i="22"/>
  <c r="Q3092" i="22"/>
  <c r="R3092" i="22"/>
  <c r="L3093" i="22"/>
  <c r="G3093" i="22"/>
  <c r="I3093" i="22"/>
  <c r="C3093" i="22"/>
  <c r="E3093" i="22"/>
  <c r="B3094" i="22"/>
  <c r="P3038" i="22"/>
  <c r="Q3038" i="22"/>
  <c r="R3038" i="22"/>
  <c r="D3038" i="22"/>
  <c r="J3038" i="22"/>
  <c r="L3039" i="22"/>
  <c r="C3039" i="22"/>
  <c r="K3039" i="22" s="1"/>
  <c r="E3039" i="22"/>
  <c r="F3039" i="22"/>
  <c r="O3039" i="22" s="1"/>
  <c r="G3039" i="22"/>
  <c r="B3040" i="22"/>
  <c r="I3039" i="22"/>
  <c r="M2984" i="22"/>
  <c r="P2984" i="22"/>
  <c r="Q2984" i="22"/>
  <c r="R2984" i="22"/>
  <c r="L2985" i="22"/>
  <c r="E2985" i="22"/>
  <c r="G2985" i="22"/>
  <c r="B2986" i="22"/>
  <c r="I2985" i="22"/>
  <c r="C2985" i="22"/>
  <c r="D2984" i="22"/>
  <c r="J2984" i="22"/>
  <c r="N2984" i="22" s="1"/>
  <c r="U2984" i="22" s="1"/>
  <c r="D2930" i="22"/>
  <c r="J2930" i="22"/>
  <c r="P2930" i="22"/>
  <c r="Q2930" i="22"/>
  <c r="R2930" i="22"/>
  <c r="L2931" i="22"/>
  <c r="C2931" i="22"/>
  <c r="E2931" i="22"/>
  <c r="G2931" i="22"/>
  <c r="B2932" i="22"/>
  <c r="I2931" i="22"/>
  <c r="M2876" i="22"/>
  <c r="D2876" i="22"/>
  <c r="J2876" i="22"/>
  <c r="N2876" i="22" s="1"/>
  <c r="U2876" i="22" s="1"/>
  <c r="P2876" i="22"/>
  <c r="Q2876" i="22"/>
  <c r="R2876" i="22"/>
  <c r="L2877" i="22"/>
  <c r="C2877" i="22"/>
  <c r="E2877" i="22"/>
  <c r="G2877" i="22"/>
  <c r="I2877" i="22"/>
  <c r="B2878" i="22"/>
  <c r="D2822" i="22"/>
  <c r="J2822" i="22"/>
  <c r="P2822" i="22"/>
  <c r="Q2822" i="22"/>
  <c r="R2822" i="22"/>
  <c r="T2822" i="22"/>
  <c r="U2822" i="22" s="1"/>
  <c r="L2823" i="22"/>
  <c r="C2823" i="22"/>
  <c r="E2823" i="22"/>
  <c r="G2823" i="22"/>
  <c r="I2823" i="22"/>
  <c r="B2824" i="22"/>
  <c r="D2768" i="22"/>
  <c r="J2768" i="22"/>
  <c r="P2768" i="22"/>
  <c r="Q2768" i="22"/>
  <c r="R2768" i="22"/>
  <c r="L2769" i="22"/>
  <c r="C2769" i="22"/>
  <c r="E2769" i="22"/>
  <c r="G2769" i="22"/>
  <c r="I2769" i="22"/>
  <c r="B2770" i="22"/>
  <c r="M2714" i="22"/>
  <c r="D2714" i="22"/>
  <c r="J2714" i="22"/>
  <c r="N2714" i="22" s="1"/>
  <c r="U2714" i="22" s="1"/>
  <c r="P2714" i="22"/>
  <c r="Q2714" i="22"/>
  <c r="R2714" i="22"/>
  <c r="L2715" i="22"/>
  <c r="C2715" i="22"/>
  <c r="E2715" i="22"/>
  <c r="G2715" i="22"/>
  <c r="I2715" i="22"/>
  <c r="B2716" i="22"/>
  <c r="M2660" i="22"/>
  <c r="D2660" i="22"/>
  <c r="J2660" i="22"/>
  <c r="N2660" i="22" s="1"/>
  <c r="U2660" i="22" s="1"/>
  <c r="P2660" i="22"/>
  <c r="Q2660" i="22"/>
  <c r="R2660" i="22"/>
  <c r="L2661" i="22"/>
  <c r="C2661" i="22"/>
  <c r="K2661" i="22" s="1"/>
  <c r="E2661" i="22"/>
  <c r="F2661" i="22"/>
  <c r="O2661" i="22" s="1"/>
  <c r="G2661" i="22"/>
  <c r="I2661" i="22"/>
  <c r="B2662" i="22"/>
  <c r="P2606" i="22"/>
  <c r="Q2606" i="22"/>
  <c r="R2606" i="22"/>
  <c r="L2607" i="22"/>
  <c r="C2607" i="22"/>
  <c r="E2607" i="22"/>
  <c r="G2607" i="22"/>
  <c r="I2607" i="22"/>
  <c r="B2608" i="22"/>
  <c r="D2606" i="22"/>
  <c r="J2606" i="22"/>
  <c r="M2552" i="22"/>
  <c r="D2552" i="22"/>
  <c r="J2552" i="22"/>
  <c r="N2552" i="22" s="1"/>
  <c r="U2552" i="22" s="1"/>
  <c r="P2552" i="22"/>
  <c r="Q2552" i="22"/>
  <c r="R2552" i="22"/>
  <c r="L2553" i="22"/>
  <c r="C2553" i="22"/>
  <c r="K2553" i="22" s="1"/>
  <c r="E2553" i="22"/>
  <c r="F2553" i="22"/>
  <c r="O2553" i="22" s="1"/>
  <c r="G2553" i="22"/>
  <c r="I2553" i="22"/>
  <c r="B2554" i="22"/>
  <c r="M2498" i="22"/>
  <c r="D2498" i="22"/>
  <c r="J2498" i="22"/>
  <c r="N2498" i="22" s="1"/>
  <c r="U2498" i="22" s="1"/>
  <c r="P2498" i="22"/>
  <c r="Q2498" i="22"/>
  <c r="R2498" i="22"/>
  <c r="L2499" i="22"/>
  <c r="C2499" i="22"/>
  <c r="K2499" i="22" s="1"/>
  <c r="E2499" i="22"/>
  <c r="F2499" i="22"/>
  <c r="O2499" i="22" s="1"/>
  <c r="G2499" i="22"/>
  <c r="I2499" i="22"/>
  <c r="B2500" i="22"/>
  <c r="M2444" i="22"/>
  <c r="D2444" i="22"/>
  <c r="J2444" i="22"/>
  <c r="N2444" i="22" s="1"/>
  <c r="U2444" i="22" s="1"/>
  <c r="P2444" i="22"/>
  <c r="Q2444" i="22"/>
  <c r="R2444" i="22"/>
  <c r="L2445" i="22"/>
  <c r="C2445" i="22"/>
  <c r="K2445" i="22" s="1"/>
  <c r="E2445" i="22"/>
  <c r="F2445" i="22"/>
  <c r="O2445" i="22" s="1"/>
  <c r="G2445" i="22"/>
  <c r="I2445" i="22"/>
  <c r="B2446" i="22"/>
  <c r="D2390" i="22"/>
  <c r="J2390" i="22"/>
  <c r="P2390" i="22"/>
  <c r="Q2390" i="22"/>
  <c r="R2390" i="22"/>
  <c r="L2391" i="22"/>
  <c r="C2391" i="22"/>
  <c r="K2391" i="22" s="1"/>
  <c r="E2391" i="22"/>
  <c r="F2391" i="22"/>
  <c r="O2391" i="22" s="1"/>
  <c r="G2391" i="22"/>
  <c r="I2391" i="22"/>
  <c r="B2392" i="22"/>
  <c r="M2336" i="22"/>
  <c r="D2336" i="22"/>
  <c r="J2336" i="22"/>
  <c r="N2336" i="22" s="1"/>
  <c r="U2336" i="22" s="1"/>
  <c r="P2336" i="22"/>
  <c r="Q2336" i="22"/>
  <c r="R2336" i="22"/>
  <c r="L2337" i="22"/>
  <c r="C2337" i="22"/>
  <c r="K2337" i="22" s="1"/>
  <c r="E2337" i="22"/>
  <c r="F2337" i="22"/>
  <c r="O2337" i="22" s="1"/>
  <c r="G2337" i="22"/>
  <c r="I2337" i="22"/>
  <c r="B2338" i="22"/>
  <c r="M2282" i="22"/>
  <c r="D2282" i="22"/>
  <c r="J2282" i="22"/>
  <c r="N2282" i="22" s="1"/>
  <c r="U2282" i="22" s="1"/>
  <c r="P2282" i="22"/>
  <c r="Q2282" i="22"/>
  <c r="R2282" i="22"/>
  <c r="L2283" i="22"/>
  <c r="G2283" i="22"/>
  <c r="B2284" i="22"/>
  <c r="I2283" i="22"/>
  <c r="E2283" i="22"/>
  <c r="C2283" i="22"/>
  <c r="M2228" i="22"/>
  <c r="D2228" i="22"/>
  <c r="J2228" i="22"/>
  <c r="N2228" i="22" s="1"/>
  <c r="U2228" i="22" s="1"/>
  <c r="P2228" i="22"/>
  <c r="Q2228" i="22"/>
  <c r="R2228" i="22"/>
  <c r="L2229" i="22"/>
  <c r="C2229" i="22"/>
  <c r="K2229" i="22" s="1"/>
  <c r="E2229" i="22"/>
  <c r="F2229" i="22"/>
  <c r="O2229" i="22" s="1"/>
  <c r="G2229" i="22"/>
  <c r="I2229" i="22"/>
  <c r="B2230" i="22"/>
  <c r="M2174" i="22"/>
  <c r="D2174" i="22"/>
  <c r="J2174" i="22"/>
  <c r="N2174" i="22" s="1"/>
  <c r="U2174" i="22" s="1"/>
  <c r="P2174" i="22"/>
  <c r="Q2174" i="22"/>
  <c r="R2174" i="22"/>
  <c r="L2175" i="22"/>
  <c r="C2175" i="22"/>
  <c r="E2175" i="22"/>
  <c r="G2175" i="22"/>
  <c r="I2175" i="22"/>
  <c r="B2176" i="22"/>
  <c r="M2120" i="22"/>
  <c r="D2120" i="22"/>
  <c r="J2120" i="22"/>
  <c r="N2120" i="22" s="1"/>
  <c r="U2120" i="22" s="1"/>
  <c r="P2120" i="22"/>
  <c r="Q2120" i="22"/>
  <c r="R2120" i="22"/>
  <c r="L2121" i="22"/>
  <c r="C2121" i="22"/>
  <c r="E2121" i="22"/>
  <c r="G2121" i="22"/>
  <c r="I2121" i="22"/>
  <c r="B2122" i="22"/>
  <c r="M2066" i="22"/>
  <c r="D2066" i="22"/>
  <c r="J2066" i="22"/>
  <c r="N2066" i="22" s="1"/>
  <c r="U2066" i="22" s="1"/>
  <c r="P2066" i="22"/>
  <c r="Q2066" i="22"/>
  <c r="R2066" i="22"/>
  <c r="L2067" i="22"/>
  <c r="C2067" i="22"/>
  <c r="K2067" i="22" s="1"/>
  <c r="E2067" i="22"/>
  <c r="F2067" i="22"/>
  <c r="O2067" i="22" s="1"/>
  <c r="G2067" i="22"/>
  <c r="I2067" i="22"/>
  <c r="B2068" i="22"/>
  <c r="M2012" i="22"/>
  <c r="D2012" i="22"/>
  <c r="J2012" i="22"/>
  <c r="N2012" i="22" s="1"/>
  <c r="U2012" i="22" s="1"/>
  <c r="P2012" i="22"/>
  <c r="Q2012" i="22"/>
  <c r="R2012" i="22"/>
  <c r="L2013" i="22"/>
  <c r="C2013" i="22"/>
  <c r="K2013" i="22" s="1"/>
  <c r="E2013" i="22"/>
  <c r="F2013" i="22"/>
  <c r="O2013" i="22" s="1"/>
  <c r="G2013" i="22"/>
  <c r="I2013" i="22"/>
  <c r="B2014" i="22"/>
  <c r="M1958" i="22"/>
  <c r="D1958" i="22"/>
  <c r="J1958" i="22"/>
  <c r="N1958" i="22" s="1"/>
  <c r="U1958" i="22" s="1"/>
  <c r="P1958" i="22"/>
  <c r="Q1958" i="22"/>
  <c r="R1958" i="22"/>
  <c r="L1959" i="22"/>
  <c r="C1959" i="22"/>
  <c r="K1959" i="22" s="1"/>
  <c r="E1959" i="22"/>
  <c r="F1959" i="22"/>
  <c r="O1959" i="22" s="1"/>
  <c r="G1959" i="22"/>
  <c r="I1959" i="22"/>
  <c r="B1960" i="22"/>
  <c r="M1904" i="22"/>
  <c r="D1904" i="22"/>
  <c r="J1904" i="22"/>
  <c r="N1904" i="22" s="1"/>
  <c r="U1904" i="22" s="1"/>
  <c r="P1904" i="22"/>
  <c r="Q1904" i="22"/>
  <c r="R1904" i="22"/>
  <c r="L1905" i="22"/>
  <c r="C1905" i="22"/>
  <c r="K1905" i="22" s="1"/>
  <c r="E1905" i="22"/>
  <c r="F1905" i="22"/>
  <c r="O1905" i="22" s="1"/>
  <c r="G1905" i="22"/>
  <c r="I1905" i="22"/>
  <c r="B1906" i="22"/>
  <c r="M1850" i="22"/>
  <c r="D1850" i="22"/>
  <c r="J1850" i="22"/>
  <c r="N1850" i="22" s="1"/>
  <c r="U1850" i="22" s="1"/>
  <c r="P1850" i="22"/>
  <c r="Q1850" i="22"/>
  <c r="R1850" i="22"/>
  <c r="L1851" i="22"/>
  <c r="C1851" i="22"/>
  <c r="K1851" i="22" s="1"/>
  <c r="E1851" i="22"/>
  <c r="F1851" i="22"/>
  <c r="O1851" i="22" s="1"/>
  <c r="G1851" i="22"/>
  <c r="I1851" i="22"/>
  <c r="B1852" i="22"/>
  <c r="M1796" i="22"/>
  <c r="D1796" i="22"/>
  <c r="J1796" i="22"/>
  <c r="N1796" i="22" s="1"/>
  <c r="U1796" i="22" s="1"/>
  <c r="P1796" i="22"/>
  <c r="Q1796" i="22"/>
  <c r="R1796" i="22"/>
  <c r="L1797" i="22"/>
  <c r="C1797" i="22"/>
  <c r="E1797" i="22"/>
  <c r="G1797" i="22"/>
  <c r="I1797" i="22"/>
  <c r="B1798" i="22"/>
  <c r="M1742" i="22"/>
  <c r="D1742" i="22"/>
  <c r="J1742" i="22"/>
  <c r="N1742" i="22" s="1"/>
  <c r="U1742" i="22" s="1"/>
  <c r="P1742" i="22"/>
  <c r="Q1742" i="22"/>
  <c r="R1742" i="22"/>
  <c r="L1743" i="22"/>
  <c r="C1743" i="22"/>
  <c r="K1743" i="22" s="1"/>
  <c r="E1743" i="22"/>
  <c r="F1743" i="22"/>
  <c r="O1743" i="22" s="1"/>
  <c r="G1743" i="22"/>
  <c r="I1743" i="22"/>
  <c r="B1744" i="22"/>
  <c r="D1688" i="22"/>
  <c r="J1688" i="22"/>
  <c r="P1688" i="22"/>
  <c r="Q1688" i="22"/>
  <c r="R1688" i="22"/>
  <c r="L1689" i="22"/>
  <c r="C1689" i="22"/>
  <c r="E1689" i="22"/>
  <c r="G1689" i="22"/>
  <c r="I1689" i="22"/>
  <c r="B1690" i="22"/>
  <c r="M1634" i="22"/>
  <c r="D1634" i="22"/>
  <c r="J1634" i="22"/>
  <c r="N1634" i="22" s="1"/>
  <c r="U1634" i="22" s="1"/>
  <c r="P1634" i="22"/>
  <c r="Q1634" i="22"/>
  <c r="R1634" i="22"/>
  <c r="L1635" i="22"/>
  <c r="C1635" i="22"/>
  <c r="K1635" i="22" s="1"/>
  <c r="E1635" i="22"/>
  <c r="F1635" i="22"/>
  <c r="O1635" i="22" s="1"/>
  <c r="G1635" i="22"/>
  <c r="I1635" i="22"/>
  <c r="B1636" i="22"/>
  <c r="M1580" i="22"/>
  <c r="D1580" i="22"/>
  <c r="J1580" i="22"/>
  <c r="N1580" i="22" s="1"/>
  <c r="U1580" i="22" s="1"/>
  <c r="P1580" i="22"/>
  <c r="Q1580" i="22"/>
  <c r="R1580" i="22"/>
  <c r="L1581" i="22"/>
  <c r="C1581" i="22"/>
  <c r="K1581" i="22" s="1"/>
  <c r="E1581" i="22"/>
  <c r="F1581" i="22"/>
  <c r="O1581" i="22" s="1"/>
  <c r="G1581" i="22"/>
  <c r="I1581" i="22"/>
  <c r="B1582" i="22"/>
  <c r="M1526" i="22"/>
  <c r="D1526" i="22"/>
  <c r="J1526" i="22"/>
  <c r="N1526" i="22" s="1"/>
  <c r="U1526" i="22" s="1"/>
  <c r="P1526" i="22"/>
  <c r="Q1526" i="22"/>
  <c r="R1526" i="22"/>
  <c r="L1527" i="22"/>
  <c r="C1527" i="22"/>
  <c r="K1527" i="22" s="1"/>
  <c r="E1527" i="22"/>
  <c r="F1527" i="22"/>
  <c r="O1527" i="22" s="1"/>
  <c r="G1527" i="22"/>
  <c r="I1527" i="22"/>
  <c r="B1528" i="22"/>
  <c r="M1472" i="22"/>
  <c r="D1472" i="22"/>
  <c r="J1472" i="22"/>
  <c r="N1472" i="22" s="1"/>
  <c r="U1472" i="22" s="1"/>
  <c r="P1472" i="22"/>
  <c r="Q1472" i="22"/>
  <c r="R1472" i="22"/>
  <c r="L1473" i="22"/>
  <c r="C1473" i="22"/>
  <c r="K1473" i="22" s="1"/>
  <c r="E1473" i="22"/>
  <c r="F1473" i="22"/>
  <c r="O1473" i="22" s="1"/>
  <c r="G1473" i="22"/>
  <c r="I1473" i="22"/>
  <c r="B1474" i="22"/>
  <c r="M1418" i="22"/>
  <c r="D1418" i="22"/>
  <c r="J1418" i="22"/>
  <c r="N1418" i="22" s="1"/>
  <c r="U1418" i="22" s="1"/>
  <c r="P1418" i="22"/>
  <c r="Q1418" i="22"/>
  <c r="R1418" i="22"/>
  <c r="L1419" i="22"/>
  <c r="C1419" i="22"/>
  <c r="E1419" i="22"/>
  <c r="G1419" i="22"/>
  <c r="I1419" i="22"/>
  <c r="B1420" i="22"/>
  <c r="M1364" i="22"/>
  <c r="D1364" i="22"/>
  <c r="J1364" i="22"/>
  <c r="N1364" i="22" s="1"/>
  <c r="U1364" i="22" s="1"/>
  <c r="P1364" i="22"/>
  <c r="Q1364" i="22"/>
  <c r="R1364" i="22"/>
  <c r="L1365" i="22"/>
  <c r="C1365" i="22"/>
  <c r="K1365" i="22" s="1"/>
  <c r="E1365" i="22"/>
  <c r="F1365" i="22"/>
  <c r="O1365" i="22" s="1"/>
  <c r="G1365" i="22"/>
  <c r="I1365" i="22"/>
  <c r="B1366" i="22"/>
  <c r="M1310" i="22"/>
  <c r="D1310" i="22"/>
  <c r="J1310" i="22"/>
  <c r="N1310" i="22" s="1"/>
  <c r="U1310" i="22" s="1"/>
  <c r="P1310" i="22"/>
  <c r="Q1310" i="22"/>
  <c r="R1310" i="22"/>
  <c r="L1311" i="22"/>
  <c r="C1311" i="22"/>
  <c r="K1311" i="22" s="1"/>
  <c r="E1311" i="22"/>
  <c r="F1311" i="22"/>
  <c r="O1311" i="22" s="1"/>
  <c r="G1311" i="22"/>
  <c r="I1311" i="22"/>
  <c r="B1312" i="22"/>
  <c r="M1256" i="22"/>
  <c r="D1256" i="22"/>
  <c r="J1256" i="22"/>
  <c r="N1256" i="22" s="1"/>
  <c r="U1256" i="22" s="1"/>
  <c r="P1256" i="22"/>
  <c r="Q1256" i="22"/>
  <c r="R1256" i="22"/>
  <c r="L1257" i="22"/>
  <c r="C1257" i="22"/>
  <c r="K1257" i="22" s="1"/>
  <c r="E1257" i="22"/>
  <c r="F1257" i="22"/>
  <c r="O1257" i="22" s="1"/>
  <c r="G1257" i="22"/>
  <c r="I1257" i="22"/>
  <c r="B1258" i="22"/>
  <c r="M1202" i="22"/>
  <c r="D1202" i="22"/>
  <c r="J1202" i="22"/>
  <c r="N1202" i="22" s="1"/>
  <c r="U1202" i="22" s="1"/>
  <c r="P1202" i="22"/>
  <c r="Q1202" i="22"/>
  <c r="R1202" i="22"/>
  <c r="L1203" i="22"/>
  <c r="C1203" i="22"/>
  <c r="K1203" i="22" s="1"/>
  <c r="E1203" i="22"/>
  <c r="F1203" i="22"/>
  <c r="O1203" i="22" s="1"/>
  <c r="G1203" i="22"/>
  <c r="I1203" i="22"/>
  <c r="B1204" i="22"/>
  <c r="M1148" i="22"/>
  <c r="D1148" i="22"/>
  <c r="J1148" i="22"/>
  <c r="N1148" i="22" s="1"/>
  <c r="U1148" i="22" s="1"/>
  <c r="P1148" i="22"/>
  <c r="Q1148" i="22"/>
  <c r="R1148" i="22"/>
  <c r="L1149" i="22"/>
  <c r="C1149" i="22"/>
  <c r="K1149" i="22" s="1"/>
  <c r="E1149" i="22"/>
  <c r="F1149" i="22"/>
  <c r="O1149" i="22" s="1"/>
  <c r="G1149" i="22"/>
  <c r="I1149" i="22"/>
  <c r="B1150" i="22"/>
  <c r="D1094" i="22"/>
  <c r="J1094" i="22"/>
  <c r="P1094" i="22"/>
  <c r="Q1094" i="22"/>
  <c r="R1094" i="22"/>
  <c r="L1095" i="22"/>
  <c r="C1095" i="22"/>
  <c r="K1095" i="22" s="1"/>
  <c r="E1095" i="22"/>
  <c r="F1095" i="22"/>
  <c r="O1095" i="22" s="1"/>
  <c r="G1095" i="22"/>
  <c r="I1095" i="22"/>
  <c r="B1096" i="22"/>
  <c r="M1040" i="22"/>
  <c r="D1040" i="22"/>
  <c r="J1040" i="22"/>
  <c r="N1040" i="22" s="1"/>
  <c r="U1040" i="22" s="1"/>
  <c r="P1040" i="22"/>
  <c r="Q1040" i="22"/>
  <c r="R1040" i="22"/>
  <c r="L1041" i="22"/>
  <c r="I1041" i="22"/>
  <c r="E1041" i="22"/>
  <c r="C1041" i="22"/>
  <c r="G1041" i="22"/>
  <c r="B1042" i="22"/>
  <c r="D986" i="22"/>
  <c r="J986" i="22"/>
  <c r="P986" i="22"/>
  <c r="Q986" i="22"/>
  <c r="R986" i="22"/>
  <c r="L987" i="22"/>
  <c r="C987" i="22"/>
  <c r="K987" i="22" s="1"/>
  <c r="E987" i="22"/>
  <c r="F987" i="22"/>
  <c r="O987" i="22" s="1"/>
  <c r="G987" i="22"/>
  <c r="I987" i="22"/>
  <c r="B988" i="22"/>
  <c r="M932" i="22"/>
  <c r="D932" i="22"/>
  <c r="J932" i="22"/>
  <c r="N932" i="22" s="1"/>
  <c r="U932" i="22" s="1"/>
  <c r="P932" i="22"/>
  <c r="Q932" i="22"/>
  <c r="R932" i="22"/>
  <c r="L933" i="22"/>
  <c r="C933" i="22"/>
  <c r="E933" i="22"/>
  <c r="G933" i="22"/>
  <c r="I933" i="22"/>
  <c r="B934" i="22"/>
  <c r="M878" i="22"/>
  <c r="D878" i="22"/>
  <c r="J878" i="22"/>
  <c r="N878" i="22" s="1"/>
  <c r="U878" i="22" s="1"/>
  <c r="P878" i="22"/>
  <c r="Q878" i="22"/>
  <c r="R878" i="22"/>
  <c r="L879" i="22"/>
  <c r="C879" i="22"/>
  <c r="K879" i="22" s="1"/>
  <c r="E879" i="22"/>
  <c r="F879" i="22"/>
  <c r="O879" i="22" s="1"/>
  <c r="G879" i="22"/>
  <c r="I879" i="22"/>
  <c r="B880" i="22"/>
  <c r="M824" i="22"/>
  <c r="D824" i="22"/>
  <c r="J824" i="22"/>
  <c r="N824" i="22" s="1"/>
  <c r="U824" i="22" s="1"/>
  <c r="P824" i="22"/>
  <c r="Q824" i="22"/>
  <c r="R824" i="22"/>
  <c r="L825" i="22"/>
  <c r="C825" i="22"/>
  <c r="K825" i="22" s="1"/>
  <c r="E825" i="22"/>
  <c r="F825" i="22"/>
  <c r="O825" i="22" s="1"/>
  <c r="G825" i="22"/>
  <c r="I825" i="22"/>
  <c r="B826" i="22"/>
  <c r="M770" i="22"/>
  <c r="D770" i="22"/>
  <c r="J770" i="22"/>
  <c r="N770" i="22" s="1"/>
  <c r="U770" i="22" s="1"/>
  <c r="P770" i="22"/>
  <c r="Q770" i="22"/>
  <c r="R770" i="22"/>
  <c r="L771" i="22"/>
  <c r="C771" i="22"/>
  <c r="K771" i="22" s="1"/>
  <c r="E771" i="22"/>
  <c r="F771" i="22"/>
  <c r="O771" i="22" s="1"/>
  <c r="G771" i="22"/>
  <c r="I771" i="22"/>
  <c r="B772" i="22"/>
  <c r="M716" i="22"/>
  <c r="D716" i="22"/>
  <c r="J716" i="22"/>
  <c r="N716" i="22" s="1"/>
  <c r="U716" i="22" s="1"/>
  <c r="P716" i="22"/>
  <c r="Q716" i="22"/>
  <c r="R716" i="22"/>
  <c r="L717" i="22"/>
  <c r="C717" i="22"/>
  <c r="K717" i="22" s="1"/>
  <c r="E717" i="22"/>
  <c r="F717" i="22"/>
  <c r="O717" i="22" s="1"/>
  <c r="G717" i="22"/>
  <c r="I717" i="22"/>
  <c r="B718" i="22"/>
  <c r="M662" i="22"/>
  <c r="D662" i="22"/>
  <c r="J662" i="22"/>
  <c r="N662" i="22" s="1"/>
  <c r="U662" i="22" s="1"/>
  <c r="P662" i="22"/>
  <c r="Q662" i="22"/>
  <c r="R662" i="22"/>
  <c r="L663" i="22"/>
  <c r="C663" i="22"/>
  <c r="K663" i="22" s="1"/>
  <c r="E663" i="22"/>
  <c r="F663" i="22"/>
  <c r="O663" i="22" s="1"/>
  <c r="G663" i="22"/>
  <c r="I663" i="22"/>
  <c r="B664" i="22"/>
  <c r="M608" i="22"/>
  <c r="D608" i="22"/>
  <c r="J608" i="22"/>
  <c r="N608" i="22" s="1"/>
  <c r="U608" i="22" s="1"/>
  <c r="P608" i="22"/>
  <c r="Q608" i="22"/>
  <c r="R608" i="22"/>
  <c r="L609" i="22"/>
  <c r="C609" i="22"/>
  <c r="K609" i="22" s="1"/>
  <c r="E609" i="22"/>
  <c r="F609" i="22"/>
  <c r="O609" i="22" s="1"/>
  <c r="G609" i="22"/>
  <c r="I609" i="22"/>
  <c r="B610" i="22"/>
  <c r="M554" i="22"/>
  <c r="D554" i="22"/>
  <c r="J554" i="22"/>
  <c r="N554" i="22" s="1"/>
  <c r="U554" i="22" s="1"/>
  <c r="P554" i="22"/>
  <c r="Q554" i="22"/>
  <c r="R554" i="22"/>
  <c r="L555" i="22"/>
  <c r="C555" i="22"/>
  <c r="K555" i="22" s="1"/>
  <c r="E555" i="22"/>
  <c r="F555" i="22"/>
  <c r="O555" i="22" s="1"/>
  <c r="G555" i="22"/>
  <c r="I555" i="22"/>
  <c r="B556" i="22"/>
  <c r="M500" i="22"/>
  <c r="D500" i="22"/>
  <c r="J500" i="22"/>
  <c r="N500" i="22" s="1"/>
  <c r="U500" i="22" s="1"/>
  <c r="P500" i="22"/>
  <c r="Q500" i="22"/>
  <c r="R500" i="22"/>
  <c r="L501" i="22"/>
  <c r="C501" i="22"/>
  <c r="K501" i="22" s="1"/>
  <c r="E501" i="22"/>
  <c r="F501" i="22"/>
  <c r="O501" i="22" s="1"/>
  <c r="G501" i="22"/>
  <c r="I501" i="22"/>
  <c r="B502" i="22"/>
  <c r="D446" i="22"/>
  <c r="J446" i="22"/>
  <c r="P446" i="22"/>
  <c r="Q446" i="22"/>
  <c r="R446" i="22"/>
  <c r="L447" i="22"/>
  <c r="C447" i="22"/>
  <c r="E447" i="22"/>
  <c r="G447" i="22"/>
  <c r="I447" i="22"/>
  <c r="B448" i="22"/>
  <c r="D392" i="22"/>
  <c r="J392" i="22"/>
  <c r="P392" i="22"/>
  <c r="Q392" i="22"/>
  <c r="R392" i="22"/>
  <c r="L393" i="22"/>
  <c r="C393" i="22"/>
  <c r="K393" i="22" s="1"/>
  <c r="E393" i="22"/>
  <c r="F393" i="22"/>
  <c r="O393" i="22" s="1"/>
  <c r="G393" i="22"/>
  <c r="I393" i="22"/>
  <c r="B394" i="22"/>
  <c r="D338" i="22"/>
  <c r="J338" i="22"/>
  <c r="P338" i="22"/>
  <c r="Q338" i="22"/>
  <c r="R338" i="22"/>
  <c r="L339" i="22"/>
  <c r="C339" i="22"/>
  <c r="K339" i="22" s="1"/>
  <c r="E339" i="22"/>
  <c r="F339" i="22"/>
  <c r="O339" i="22" s="1"/>
  <c r="G339" i="22"/>
  <c r="I339" i="22"/>
  <c r="B340" i="22"/>
  <c r="M284" i="22"/>
  <c r="D284" i="22"/>
  <c r="J284" i="22"/>
  <c r="N284" i="22" s="1"/>
  <c r="U284" i="22" s="1"/>
  <c r="P284" i="22"/>
  <c r="Q284" i="22"/>
  <c r="R284" i="22"/>
  <c r="L285" i="22"/>
  <c r="C285" i="22"/>
  <c r="E285" i="22"/>
  <c r="G285" i="22"/>
  <c r="I285" i="22"/>
  <c r="B286" i="22"/>
  <c r="M230" i="22"/>
  <c r="D230" i="22"/>
  <c r="J230" i="22"/>
  <c r="N230" i="22" s="1"/>
  <c r="U230" i="22" s="1"/>
  <c r="P230" i="22"/>
  <c r="Q230" i="22"/>
  <c r="R230" i="22"/>
  <c r="L231" i="22"/>
  <c r="C231" i="22"/>
  <c r="K231" i="22" s="1"/>
  <c r="E231" i="22"/>
  <c r="F231" i="22"/>
  <c r="O231" i="22" s="1"/>
  <c r="G231" i="22"/>
  <c r="I231" i="22"/>
  <c r="B232" i="22"/>
  <c r="M176" i="22"/>
  <c r="D176" i="22"/>
  <c r="J176" i="22"/>
  <c r="N176" i="22" s="1"/>
  <c r="U176" i="22" s="1"/>
  <c r="P176" i="22"/>
  <c r="Q176" i="22"/>
  <c r="R176" i="22"/>
  <c r="L177" i="22"/>
  <c r="C177" i="22"/>
  <c r="K177" i="22" s="1"/>
  <c r="E177" i="22"/>
  <c r="F177" i="22"/>
  <c r="O177" i="22" s="1"/>
  <c r="G177" i="22"/>
  <c r="I177" i="22"/>
  <c r="B178" i="22"/>
  <c r="M122" i="22"/>
  <c r="D122" i="22"/>
  <c r="J122" i="22"/>
  <c r="N122" i="22" s="1"/>
  <c r="U122" i="22" s="1"/>
  <c r="P122" i="22"/>
  <c r="Q122" i="22"/>
  <c r="R122" i="22"/>
  <c r="L123" i="22"/>
  <c r="C123" i="22"/>
  <c r="K123" i="22" s="1"/>
  <c r="E123" i="22"/>
  <c r="F123" i="22"/>
  <c r="O123" i="22" s="1"/>
  <c r="G123" i="22"/>
  <c r="I123" i="22"/>
  <c r="B124" i="22"/>
  <c r="U59" i="17"/>
  <c r="C111" i="12" s="1"/>
  <c r="M111" i="12"/>
  <c r="Q111" i="12" s="1"/>
  <c r="O111" i="12"/>
  <c r="F59" i="18"/>
  <c r="G59" i="18"/>
  <c r="H59" i="18"/>
  <c r="BE60" i="17"/>
  <c r="BD60" i="17"/>
  <c r="BC60" i="17"/>
  <c r="BB60" i="17"/>
  <c r="BA60" i="17"/>
  <c r="AZ60" i="17"/>
  <c r="AY60" i="17"/>
  <c r="AX60"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P60" i="17"/>
  <c r="Q60" i="17"/>
  <c r="R60" i="17"/>
  <c r="V60" i="17"/>
  <c r="BF60" i="17"/>
  <c r="D60" i="17"/>
  <c r="J60" i="17"/>
  <c r="L61" i="17"/>
  <c r="I61" i="17"/>
  <c r="B61" i="18"/>
  <c r="C61" i="17"/>
  <c r="E61" i="17"/>
  <c r="G61" i="17"/>
  <c r="B62" i="17"/>
  <c r="G108" i="12"/>
  <c r="C109" i="12"/>
  <c r="U58" i="17"/>
  <c r="F54" i="12"/>
  <c r="M110" i="12"/>
  <c r="Q110" i="12" s="1"/>
  <c r="O110" i="12"/>
  <c r="M1524" i="23"/>
  <c r="N1524" i="23"/>
  <c r="AE1524" i="23" s="1"/>
  <c r="M1356" i="23"/>
  <c r="N1356" i="23"/>
  <c r="AE1356" i="23" s="1"/>
  <c r="M684" i="23"/>
  <c r="N684" i="23"/>
  <c r="AE684" i="23" s="1"/>
  <c r="M4609" i="22"/>
  <c r="N4609" i="22"/>
  <c r="M4093" i="22"/>
  <c r="N4093" i="22"/>
  <c r="U4093" i="22" s="1"/>
  <c r="M3685" i="22"/>
  <c r="N3685" i="22"/>
  <c r="U3685" i="22" s="1"/>
  <c r="M3631" i="22"/>
  <c r="N3631" i="22"/>
  <c r="U3631" i="22" s="1"/>
  <c r="M3523" i="22"/>
  <c r="N3523" i="22"/>
  <c r="U3523" i="22" s="1"/>
  <c r="M3361" i="22"/>
  <c r="N3361" i="22"/>
  <c r="U3361" i="22" s="1"/>
  <c r="N3145" i="22"/>
  <c r="U3145" i="22" s="1"/>
  <c r="M3145" i="22"/>
  <c r="M3091" i="22"/>
  <c r="N3091" i="22"/>
  <c r="U3091" i="22" s="1"/>
  <c r="N2983" i="22"/>
  <c r="U2983" i="22" s="1"/>
  <c r="M2983" i="22"/>
  <c r="M2335" i="22"/>
  <c r="N2335" i="22"/>
  <c r="U2335" i="22" s="1"/>
  <c r="M2281" i="22"/>
  <c r="N2281" i="22"/>
  <c r="U2281" i="22" s="1"/>
  <c r="M1687" i="22"/>
  <c r="N1687" i="22"/>
  <c r="U1687" i="22" s="1"/>
  <c r="M1417" i="22"/>
  <c r="N1417" i="22"/>
  <c r="U1417" i="22" s="1"/>
  <c r="M1363" i="22"/>
  <c r="N1363" i="22"/>
  <c r="U1363" i="22" s="1"/>
  <c r="M1309" i="22"/>
  <c r="N1309" i="22"/>
  <c r="U1309" i="22" s="1"/>
  <c r="M1147" i="22"/>
  <c r="N1147" i="22"/>
  <c r="U1147" i="22" s="1"/>
  <c r="M1093" i="22"/>
  <c r="N1093" i="22"/>
  <c r="U1093" i="22" s="1"/>
  <c r="M337" i="22"/>
  <c r="N337" i="22"/>
  <c r="U337" i="22" s="1"/>
  <c r="F1637" i="23"/>
  <c r="O1637" i="23" s="1"/>
  <c r="K1637" i="23"/>
  <c r="F1469" i="23"/>
  <c r="O1469" i="23" s="1"/>
  <c r="K1469" i="23"/>
  <c r="F1413" i="23"/>
  <c r="O1413" i="23" s="1"/>
  <c r="K1413" i="23"/>
  <c r="F1357" i="23"/>
  <c r="O1357" i="23" s="1"/>
  <c r="K1357" i="23"/>
  <c r="K1245" i="23"/>
  <c r="F1245" i="23"/>
  <c r="O1245" i="23" s="1"/>
  <c r="F909" i="23"/>
  <c r="O909" i="23" s="1"/>
  <c r="K909" i="23"/>
  <c r="K461" i="23"/>
  <c r="F461" i="23"/>
  <c r="O461" i="23" s="1"/>
  <c r="P111" i="12"/>
  <c r="F4718" i="22"/>
  <c r="K4718" i="22"/>
  <c r="D4664" i="22"/>
  <c r="F4664" i="22"/>
  <c r="O4664" i="22" s="1"/>
  <c r="K4610" i="22"/>
  <c r="F4610" i="22"/>
  <c r="F4256" i="22"/>
  <c r="O4256" i="22" s="1"/>
  <c r="K4256" i="22"/>
  <c r="K3794" i="22"/>
  <c r="F3794" i="22"/>
  <c r="O3794" i="22" s="1"/>
  <c r="F3686" i="22"/>
  <c r="O3686" i="22" s="1"/>
  <c r="K3686" i="22"/>
  <c r="F3578" i="22"/>
  <c r="O3578" i="22" s="1"/>
  <c r="K3578" i="22"/>
  <c r="F3524" i="22"/>
  <c r="O3524" i="22" s="1"/>
  <c r="K3524" i="22"/>
  <c r="K3470" i="22"/>
  <c r="F3470" i="22"/>
  <c r="O3470" i="22" s="1"/>
  <c r="K3092" i="22"/>
  <c r="F3092" i="22"/>
  <c r="O3092" i="22" s="1"/>
  <c r="K3038" i="22"/>
  <c r="F3038" i="22"/>
  <c r="O3038" i="22" s="1"/>
  <c r="K2930" i="22"/>
  <c r="F2930" i="22"/>
  <c r="O2930" i="22" s="1"/>
  <c r="F2822" i="22"/>
  <c r="O2822" i="22" s="1"/>
  <c r="K2822" i="22"/>
  <c r="F2768" i="22"/>
  <c r="O2768" i="22" s="1"/>
  <c r="K2768" i="22"/>
  <c r="F2606" i="22"/>
  <c r="O2606" i="22" s="1"/>
  <c r="K2606" i="22"/>
  <c r="K2390" i="22"/>
  <c r="F2390" i="22"/>
  <c r="O2390" i="22" s="1"/>
  <c r="F1688" i="22"/>
  <c r="O1688" i="22" s="1"/>
  <c r="K1688" i="22"/>
  <c r="F1094" i="22"/>
  <c r="O1094" i="22" s="1"/>
  <c r="K1094" i="22"/>
  <c r="K986" i="22"/>
  <c r="F986" i="22"/>
  <c r="O986" i="22" s="1"/>
  <c r="F446" i="22"/>
  <c r="O446" i="22" s="1"/>
  <c r="K446" i="22"/>
  <c r="K392" i="22"/>
  <c r="F392" i="22"/>
  <c r="O392" i="22" s="1"/>
  <c r="F338" i="22"/>
  <c r="O338" i="22" s="1"/>
  <c r="K338" i="22"/>
  <c r="F60" i="17"/>
  <c r="C60" i="18" s="1"/>
  <c r="E60" i="18" s="1"/>
  <c r="K60" i="17"/>
  <c r="K966" i="23" l="1"/>
  <c r="F966" i="23"/>
  <c r="O966" i="23" s="1"/>
  <c r="K910" i="23"/>
  <c r="F910" i="23"/>
  <c r="O910" i="23" s="1"/>
  <c r="K3093" i="22"/>
  <c r="F3093" i="22"/>
  <c r="O3093" i="22" s="1"/>
  <c r="K2769" i="22"/>
  <c r="F2769" i="22"/>
  <c r="O2769" i="22" s="1"/>
  <c r="K1689" i="22"/>
  <c r="F1689" i="22"/>
  <c r="O1689" i="22" s="1"/>
  <c r="K933" i="22"/>
  <c r="F933" i="22"/>
  <c r="O933" i="22" s="1"/>
  <c r="K447" i="22"/>
  <c r="F447" i="22"/>
  <c r="O447" i="22" s="1"/>
  <c r="M1638" i="23"/>
  <c r="J1638" i="23"/>
  <c r="N1638" i="23" s="1"/>
  <c r="AE1638" i="23" s="1"/>
  <c r="D1638" i="23"/>
  <c r="P1638" i="23"/>
  <c r="Q1638" i="23"/>
  <c r="R1638" i="23"/>
  <c r="I1639" i="23"/>
  <c r="L1639" i="23"/>
  <c r="C1639" i="23"/>
  <c r="K1639" i="23" s="1"/>
  <c r="E1639" i="23"/>
  <c r="F1639" i="23"/>
  <c r="O1639" i="23" s="1"/>
  <c r="G1639" i="23"/>
  <c r="B1640" i="23"/>
  <c r="M1582" i="23"/>
  <c r="J1582" i="23"/>
  <c r="N1582" i="23" s="1"/>
  <c r="AE1582" i="23" s="1"/>
  <c r="D1582" i="23"/>
  <c r="P1582" i="23"/>
  <c r="Q1582" i="23"/>
  <c r="R1582" i="23"/>
  <c r="L1583" i="23"/>
  <c r="I1583" i="23"/>
  <c r="C1583" i="23"/>
  <c r="E1583" i="23"/>
  <c r="G1583" i="23"/>
  <c r="B1584" i="23"/>
  <c r="J1526" i="23"/>
  <c r="D1526" i="23"/>
  <c r="P1526" i="23"/>
  <c r="Q1526" i="23"/>
  <c r="R1526" i="23"/>
  <c r="L1527" i="23"/>
  <c r="I1527" i="23"/>
  <c r="C1527" i="23"/>
  <c r="E1527" i="23"/>
  <c r="G1527" i="23"/>
  <c r="B1528" i="23"/>
  <c r="J1470" i="23"/>
  <c r="D1470" i="23"/>
  <c r="P1470" i="23"/>
  <c r="Q1470" i="23"/>
  <c r="R1470" i="23"/>
  <c r="L1471" i="23"/>
  <c r="I1471" i="23"/>
  <c r="C1471" i="23"/>
  <c r="K1471" i="23" s="1"/>
  <c r="E1471" i="23"/>
  <c r="F1471" i="23"/>
  <c r="O1471" i="23" s="1"/>
  <c r="G1471" i="23"/>
  <c r="B1472" i="23"/>
  <c r="M1414" i="23"/>
  <c r="J1414" i="23"/>
  <c r="N1414" i="23" s="1"/>
  <c r="AE1414" i="23" s="1"/>
  <c r="D1414" i="23"/>
  <c r="P1414" i="23"/>
  <c r="Q1414" i="23"/>
  <c r="R1414" i="23"/>
  <c r="L1415" i="23"/>
  <c r="I1415" i="23"/>
  <c r="C1415" i="23"/>
  <c r="K1415" i="23" s="1"/>
  <c r="E1415" i="23"/>
  <c r="F1415" i="23"/>
  <c r="O1415" i="23" s="1"/>
  <c r="G1415" i="23"/>
  <c r="B1416" i="23"/>
  <c r="M1358" i="23"/>
  <c r="L1359" i="23"/>
  <c r="I1359" i="23"/>
  <c r="E1359" i="23"/>
  <c r="B1360" i="23"/>
  <c r="C1359" i="23"/>
  <c r="G1359" i="23"/>
  <c r="J1358" i="23"/>
  <c r="N1358" i="23" s="1"/>
  <c r="AE1358" i="23" s="1"/>
  <c r="D1358" i="23"/>
  <c r="P1358" i="23"/>
  <c r="Q1358" i="23"/>
  <c r="R1358" i="23"/>
  <c r="M1302" i="23"/>
  <c r="J1302" i="23"/>
  <c r="N1302" i="23" s="1"/>
  <c r="AE1302" i="23" s="1"/>
  <c r="D1302" i="23"/>
  <c r="P1302" i="23"/>
  <c r="Q1302" i="23"/>
  <c r="R1302" i="23"/>
  <c r="L1303" i="23"/>
  <c r="I1303" i="23"/>
  <c r="C1303" i="23"/>
  <c r="E1303" i="23"/>
  <c r="G1303" i="23"/>
  <c r="B1304" i="23"/>
  <c r="M1246" i="23"/>
  <c r="J1246" i="23"/>
  <c r="N1246" i="23" s="1"/>
  <c r="AE1246" i="23" s="1"/>
  <c r="D1246" i="23"/>
  <c r="P1246" i="23"/>
  <c r="Q1246" i="23"/>
  <c r="R1246" i="23"/>
  <c r="L1247" i="23"/>
  <c r="I1247" i="23"/>
  <c r="C1247" i="23"/>
  <c r="K1247" i="23" s="1"/>
  <c r="E1247" i="23"/>
  <c r="F1247" i="23"/>
  <c r="O1247" i="23" s="1"/>
  <c r="G1247" i="23"/>
  <c r="B1248" i="23"/>
  <c r="M1190" i="23"/>
  <c r="J1190" i="23"/>
  <c r="N1190" i="23" s="1"/>
  <c r="AE1190" i="23" s="1"/>
  <c r="D1190" i="23"/>
  <c r="P1190" i="23"/>
  <c r="Q1190" i="23"/>
  <c r="R1190" i="23"/>
  <c r="L1191" i="23"/>
  <c r="I1191" i="23"/>
  <c r="C1191" i="23"/>
  <c r="E1191" i="23"/>
  <c r="G1191" i="23"/>
  <c r="B1192" i="23"/>
  <c r="M1134" i="23"/>
  <c r="J1134" i="23"/>
  <c r="N1134" i="23" s="1"/>
  <c r="AE1134" i="23" s="1"/>
  <c r="D1134" i="23"/>
  <c r="P1134" i="23"/>
  <c r="Q1134" i="23"/>
  <c r="R1134" i="23"/>
  <c r="L1135" i="23"/>
  <c r="I1135" i="23"/>
  <c r="C1135" i="23"/>
  <c r="K1135" i="23" s="1"/>
  <c r="E1135" i="23"/>
  <c r="F1135" i="23"/>
  <c r="O1135" i="23" s="1"/>
  <c r="G1135" i="23"/>
  <c r="B1136" i="23"/>
  <c r="M1078" i="23"/>
  <c r="J1078" i="23"/>
  <c r="N1078" i="23" s="1"/>
  <c r="AE1078" i="23" s="1"/>
  <c r="D1078" i="23"/>
  <c r="P1078" i="23"/>
  <c r="Q1078" i="23"/>
  <c r="R1078" i="23"/>
  <c r="L1079" i="23"/>
  <c r="I1079" i="23"/>
  <c r="C1079" i="23"/>
  <c r="K1079" i="23" s="1"/>
  <c r="E1079" i="23"/>
  <c r="F1079" i="23"/>
  <c r="O1079" i="23" s="1"/>
  <c r="G1079" i="23"/>
  <c r="B1080" i="23"/>
  <c r="J1022" i="23"/>
  <c r="D1022" i="23"/>
  <c r="P1022" i="23"/>
  <c r="Q1022" i="23"/>
  <c r="R1022" i="23"/>
  <c r="L1023" i="23"/>
  <c r="I1023" i="23"/>
  <c r="C1023" i="23"/>
  <c r="K1023" i="23" s="1"/>
  <c r="E1023" i="23"/>
  <c r="F1023" i="23"/>
  <c r="O1023" i="23" s="1"/>
  <c r="G1023" i="23"/>
  <c r="B1024" i="23"/>
  <c r="M966" i="23"/>
  <c r="J966" i="23"/>
  <c r="N966" i="23" s="1"/>
  <c r="AE966" i="23" s="1"/>
  <c r="D966" i="23"/>
  <c r="P966" i="23"/>
  <c r="Q966" i="23"/>
  <c r="R966" i="23"/>
  <c r="L967" i="23"/>
  <c r="I967" i="23"/>
  <c r="C967" i="23"/>
  <c r="K967" i="23" s="1"/>
  <c r="E967" i="23"/>
  <c r="F967" i="23"/>
  <c r="O967" i="23" s="1"/>
  <c r="G967" i="23"/>
  <c r="B968" i="23"/>
  <c r="M910" i="23"/>
  <c r="J910" i="23"/>
  <c r="N910" i="23" s="1"/>
  <c r="AE910" i="23" s="1"/>
  <c r="D910" i="23"/>
  <c r="P910" i="23"/>
  <c r="Q910" i="23"/>
  <c r="R910" i="23"/>
  <c r="L911" i="23"/>
  <c r="I911" i="23"/>
  <c r="C911" i="23"/>
  <c r="E911" i="23"/>
  <c r="G911" i="23"/>
  <c r="B912" i="23"/>
  <c r="M854" i="23"/>
  <c r="J854" i="23"/>
  <c r="N854" i="23" s="1"/>
  <c r="AE854" i="23" s="1"/>
  <c r="D854" i="23"/>
  <c r="P854" i="23"/>
  <c r="Q854" i="23"/>
  <c r="R854" i="23"/>
  <c r="L855" i="23"/>
  <c r="I855" i="23"/>
  <c r="C855" i="23"/>
  <c r="K855" i="23" s="1"/>
  <c r="E855" i="23"/>
  <c r="F855" i="23"/>
  <c r="O855" i="23" s="1"/>
  <c r="G855" i="23"/>
  <c r="B856" i="23"/>
  <c r="M798" i="23"/>
  <c r="J798" i="23"/>
  <c r="N798" i="23" s="1"/>
  <c r="AE798" i="23" s="1"/>
  <c r="D798" i="23"/>
  <c r="P798" i="23"/>
  <c r="Q798" i="23"/>
  <c r="R798" i="23"/>
  <c r="L799" i="23"/>
  <c r="I799" i="23"/>
  <c r="C799" i="23"/>
  <c r="K799" i="23" s="1"/>
  <c r="E799" i="23"/>
  <c r="F799" i="23"/>
  <c r="O799" i="23" s="1"/>
  <c r="G799" i="23"/>
  <c r="B800" i="23"/>
  <c r="M742" i="23"/>
  <c r="J742" i="23"/>
  <c r="N742" i="23" s="1"/>
  <c r="AE742" i="23" s="1"/>
  <c r="D742" i="23"/>
  <c r="P742" i="23"/>
  <c r="Q742" i="23"/>
  <c r="R742" i="23"/>
  <c r="L743" i="23"/>
  <c r="I743" i="23"/>
  <c r="C743" i="23"/>
  <c r="E743" i="23"/>
  <c r="G743" i="23"/>
  <c r="B744" i="23"/>
  <c r="M686" i="23"/>
  <c r="J686" i="23"/>
  <c r="N686" i="23" s="1"/>
  <c r="AE686" i="23" s="1"/>
  <c r="D686" i="23"/>
  <c r="P686" i="23"/>
  <c r="Q686" i="23"/>
  <c r="R686" i="23"/>
  <c r="L687" i="23"/>
  <c r="I687" i="23"/>
  <c r="C687" i="23"/>
  <c r="K687" i="23" s="1"/>
  <c r="E687" i="23"/>
  <c r="F687" i="23"/>
  <c r="O687" i="23" s="1"/>
  <c r="G687" i="23"/>
  <c r="B688" i="23"/>
  <c r="M630" i="23"/>
  <c r="J630" i="23"/>
  <c r="N630" i="23" s="1"/>
  <c r="AE630" i="23" s="1"/>
  <c r="D630" i="23"/>
  <c r="P630" i="23"/>
  <c r="Q630" i="23"/>
  <c r="R630" i="23"/>
  <c r="L631" i="23"/>
  <c r="I631" i="23"/>
  <c r="C631" i="23"/>
  <c r="K631" i="23" s="1"/>
  <c r="E631" i="23"/>
  <c r="F631" i="23"/>
  <c r="O631" i="23" s="1"/>
  <c r="G631" i="23"/>
  <c r="B632" i="23"/>
  <c r="M574" i="23"/>
  <c r="J574" i="23"/>
  <c r="N574" i="23" s="1"/>
  <c r="AE574" i="23" s="1"/>
  <c r="D574" i="23"/>
  <c r="P574" i="23"/>
  <c r="Q574" i="23"/>
  <c r="R574" i="23"/>
  <c r="L575" i="23"/>
  <c r="I575" i="23"/>
  <c r="C575" i="23"/>
  <c r="K575" i="23" s="1"/>
  <c r="E575" i="23"/>
  <c r="F575" i="23"/>
  <c r="O575" i="23" s="1"/>
  <c r="G575" i="23"/>
  <c r="B576" i="23"/>
  <c r="M518" i="23"/>
  <c r="J518" i="23"/>
  <c r="N518" i="23" s="1"/>
  <c r="AE518" i="23" s="1"/>
  <c r="D518" i="23"/>
  <c r="P518" i="23"/>
  <c r="Q518" i="23"/>
  <c r="R518" i="23"/>
  <c r="L519" i="23"/>
  <c r="I519" i="23"/>
  <c r="C519" i="23"/>
  <c r="K519" i="23" s="1"/>
  <c r="E519" i="23"/>
  <c r="F519" i="23"/>
  <c r="O519" i="23" s="1"/>
  <c r="G519" i="23"/>
  <c r="B520" i="23"/>
  <c r="M462" i="23"/>
  <c r="J462" i="23"/>
  <c r="N462" i="23" s="1"/>
  <c r="AE462" i="23" s="1"/>
  <c r="D462" i="23"/>
  <c r="P462" i="23"/>
  <c r="Q462" i="23"/>
  <c r="R462" i="23"/>
  <c r="L463" i="23"/>
  <c r="I463" i="23"/>
  <c r="C463" i="23"/>
  <c r="G463" i="23"/>
  <c r="B464" i="23"/>
  <c r="E463" i="23"/>
  <c r="J406" i="23"/>
  <c r="D406" i="23"/>
  <c r="P406" i="23"/>
  <c r="Q406" i="23"/>
  <c r="R406" i="23"/>
  <c r="L407" i="23"/>
  <c r="I407" i="23"/>
  <c r="E407" i="23"/>
  <c r="G407" i="23"/>
  <c r="C407" i="23"/>
  <c r="B408" i="23"/>
  <c r="M350" i="23"/>
  <c r="J350" i="23"/>
  <c r="N350" i="23" s="1"/>
  <c r="AE350" i="23" s="1"/>
  <c r="D350" i="23"/>
  <c r="P350" i="23"/>
  <c r="Q350" i="23"/>
  <c r="R350" i="23"/>
  <c r="L351" i="23"/>
  <c r="I351" i="23"/>
  <c r="C351" i="23"/>
  <c r="K351" i="23" s="1"/>
  <c r="E351" i="23"/>
  <c r="F351" i="23"/>
  <c r="O351" i="23" s="1"/>
  <c r="G351" i="23"/>
  <c r="B352" i="23"/>
  <c r="M294" i="23"/>
  <c r="J294" i="23"/>
  <c r="N294" i="23" s="1"/>
  <c r="AE294" i="23" s="1"/>
  <c r="D294" i="23"/>
  <c r="P294" i="23"/>
  <c r="Q294" i="23"/>
  <c r="R294" i="23"/>
  <c r="L295" i="23"/>
  <c r="I295" i="23"/>
  <c r="C295" i="23"/>
  <c r="K295" i="23" s="1"/>
  <c r="E295" i="23"/>
  <c r="F295" i="23"/>
  <c r="O295" i="23" s="1"/>
  <c r="G295" i="23"/>
  <c r="B296" i="23"/>
  <c r="D4773" i="22"/>
  <c r="J4773" i="22"/>
  <c r="P4773" i="22"/>
  <c r="Q4773" i="22"/>
  <c r="R4773" i="22"/>
  <c r="M4773" i="22"/>
  <c r="N4773" i="22"/>
  <c r="C4774" i="22"/>
  <c r="E4774" i="22"/>
  <c r="F4774" i="22"/>
  <c r="G4774" i="22"/>
  <c r="I4774" i="22"/>
  <c r="K4774" i="22"/>
  <c r="L4774" i="22"/>
  <c r="B4775" i="22"/>
  <c r="T4717" i="22"/>
  <c r="S4718" i="22"/>
  <c r="T4718" i="22" s="1"/>
  <c r="U4718" i="22"/>
  <c r="M4719" i="22"/>
  <c r="D4719" i="22"/>
  <c r="J4719" i="22"/>
  <c r="N4719" i="22" s="1"/>
  <c r="P4719" i="22"/>
  <c r="Q4719" i="22"/>
  <c r="R4719" i="22"/>
  <c r="L4720" i="22"/>
  <c r="C4720" i="22"/>
  <c r="E4720" i="22"/>
  <c r="G4720" i="22"/>
  <c r="I4720" i="22"/>
  <c r="B4721" i="22"/>
  <c r="P4665" i="22"/>
  <c r="Q4665" i="22"/>
  <c r="R4665" i="22"/>
  <c r="C4666" i="22"/>
  <c r="D4666" i="22" s="1"/>
  <c r="E4666" i="22"/>
  <c r="F4666" i="22"/>
  <c r="O4666" i="22" s="1"/>
  <c r="G4666" i="22"/>
  <c r="B4667" i="22"/>
  <c r="M4611" i="22"/>
  <c r="J4611" i="22"/>
  <c r="N4611" i="22" s="1"/>
  <c r="D4611" i="22"/>
  <c r="P4611" i="22"/>
  <c r="Q4611" i="22"/>
  <c r="R4611" i="22"/>
  <c r="I4612" i="22"/>
  <c r="L4612" i="22"/>
  <c r="C4612" i="22"/>
  <c r="K4612" i="22" s="1"/>
  <c r="E4612" i="22"/>
  <c r="F4612" i="22"/>
  <c r="G4612" i="22"/>
  <c r="B4613" i="22"/>
  <c r="M4557" i="22"/>
  <c r="D4557" i="22"/>
  <c r="J4557" i="22"/>
  <c r="N4557" i="22" s="1"/>
  <c r="P4557" i="22"/>
  <c r="Q4557" i="22"/>
  <c r="R4557" i="22"/>
  <c r="L4558" i="22"/>
  <c r="C4558" i="22"/>
  <c r="K4558" i="22" s="1"/>
  <c r="E4558" i="22"/>
  <c r="F4558" i="22"/>
  <c r="G4558" i="22"/>
  <c r="I4558" i="22"/>
  <c r="B4559" i="22"/>
  <c r="D4257" i="22"/>
  <c r="J4257" i="22"/>
  <c r="N4257" i="22" s="1"/>
  <c r="U4257" i="22" s="1"/>
  <c r="P4257" i="22"/>
  <c r="Q4257" i="22"/>
  <c r="R4257" i="22"/>
  <c r="M4257" i="22"/>
  <c r="C4258" i="22"/>
  <c r="E4258" i="22"/>
  <c r="G4258" i="22"/>
  <c r="I4258" i="22"/>
  <c r="L4258" i="22"/>
  <c r="B4259" i="22"/>
  <c r="M4203" i="22"/>
  <c r="D4203" i="22"/>
  <c r="J4203" i="22"/>
  <c r="N4203" i="22" s="1"/>
  <c r="U4203" i="22" s="1"/>
  <c r="P4203" i="22"/>
  <c r="Q4203" i="22"/>
  <c r="R4203" i="22"/>
  <c r="L4204" i="22"/>
  <c r="C4204" i="22"/>
  <c r="K4204" i="22" s="1"/>
  <c r="E4204" i="22"/>
  <c r="F4204" i="22"/>
  <c r="O4204" i="22" s="1"/>
  <c r="G4204" i="22"/>
  <c r="I4204" i="22"/>
  <c r="B4205" i="22"/>
  <c r="M4149" i="22"/>
  <c r="D4149" i="22"/>
  <c r="J4149" i="22"/>
  <c r="N4149" i="22" s="1"/>
  <c r="U4149" i="22" s="1"/>
  <c r="P4149" i="22"/>
  <c r="Q4149" i="22"/>
  <c r="R4149" i="22"/>
  <c r="L4150" i="22"/>
  <c r="C4150" i="22"/>
  <c r="E4150" i="22"/>
  <c r="G4150" i="22"/>
  <c r="I4150" i="22"/>
  <c r="B4151" i="22"/>
  <c r="M4095" i="22"/>
  <c r="D4095" i="22"/>
  <c r="J4095" i="22"/>
  <c r="N4095" i="22" s="1"/>
  <c r="U4095" i="22" s="1"/>
  <c r="P4095" i="22"/>
  <c r="Q4095" i="22"/>
  <c r="R4095" i="22"/>
  <c r="L4096" i="22"/>
  <c r="C4096" i="22"/>
  <c r="K4096" i="22" s="1"/>
  <c r="E4096" i="22"/>
  <c r="F4096" i="22"/>
  <c r="O4096" i="22" s="1"/>
  <c r="G4096" i="22"/>
  <c r="I4096" i="22"/>
  <c r="B4097" i="22"/>
  <c r="M3795" i="22"/>
  <c r="D3795" i="22"/>
  <c r="J3795" i="22"/>
  <c r="N3795" i="22" s="1"/>
  <c r="U3795" i="22" s="1"/>
  <c r="P3795" i="22"/>
  <c r="Q3795" i="22"/>
  <c r="R3795" i="22"/>
  <c r="L3796" i="22"/>
  <c r="C3796" i="22"/>
  <c r="K3796" i="22" s="1"/>
  <c r="E3796" i="22"/>
  <c r="F3796" i="22"/>
  <c r="O3796" i="22" s="1"/>
  <c r="G3796" i="22"/>
  <c r="I3796" i="22"/>
  <c r="B3797" i="22"/>
  <c r="M3741" i="22"/>
  <c r="D3741" i="22"/>
  <c r="J3741" i="22"/>
  <c r="N3741" i="22" s="1"/>
  <c r="U3741" i="22" s="1"/>
  <c r="P3741" i="22"/>
  <c r="Q3741" i="22"/>
  <c r="R3741" i="22"/>
  <c r="L3742" i="22"/>
  <c r="C3742" i="22"/>
  <c r="K3742" i="22" s="1"/>
  <c r="E3742" i="22"/>
  <c r="F3742" i="22"/>
  <c r="O3742" i="22" s="1"/>
  <c r="G3742" i="22"/>
  <c r="I3742" i="22"/>
  <c r="B3743" i="22"/>
  <c r="M3687" i="22"/>
  <c r="D3687" i="22"/>
  <c r="J3687" i="22"/>
  <c r="N3687" i="22" s="1"/>
  <c r="U3687" i="22" s="1"/>
  <c r="P3687" i="22"/>
  <c r="Q3687" i="22"/>
  <c r="R3687" i="22"/>
  <c r="L3688" i="22"/>
  <c r="C3688" i="22"/>
  <c r="E3688" i="22"/>
  <c r="G3688" i="22"/>
  <c r="I3688" i="22"/>
  <c r="B3689" i="22"/>
  <c r="M3633" i="22"/>
  <c r="D3633" i="22"/>
  <c r="J3633" i="22"/>
  <c r="N3633" i="22" s="1"/>
  <c r="U3633" i="22" s="1"/>
  <c r="P3633" i="22"/>
  <c r="Q3633" i="22"/>
  <c r="R3633" i="22"/>
  <c r="L3634" i="22"/>
  <c r="C3634" i="22"/>
  <c r="K3634" i="22" s="1"/>
  <c r="E3634" i="22"/>
  <c r="F3634" i="22"/>
  <c r="O3634" i="22" s="1"/>
  <c r="G3634" i="22"/>
  <c r="I3634" i="22"/>
  <c r="B3635" i="22"/>
  <c r="M3579" i="22"/>
  <c r="L3580" i="22"/>
  <c r="C3580" i="22"/>
  <c r="K3580" i="22" s="1"/>
  <c r="E3580" i="22"/>
  <c r="G3580" i="22"/>
  <c r="I3580" i="22"/>
  <c r="F3580" i="22"/>
  <c r="O3580" i="22" s="1"/>
  <c r="B3581" i="22"/>
  <c r="D3579" i="22"/>
  <c r="J3579" i="22"/>
  <c r="N3579" i="22" s="1"/>
  <c r="U3579" i="22" s="1"/>
  <c r="P3579" i="22"/>
  <c r="Q3579" i="22"/>
  <c r="R3579" i="22"/>
  <c r="M3525" i="22"/>
  <c r="D3525" i="22"/>
  <c r="J3525" i="22"/>
  <c r="N3525" i="22" s="1"/>
  <c r="U3525" i="22" s="1"/>
  <c r="L3526" i="22"/>
  <c r="C3526" i="22"/>
  <c r="K3526" i="22" s="1"/>
  <c r="E3526" i="22"/>
  <c r="F3526" i="22"/>
  <c r="O3526" i="22" s="1"/>
  <c r="G3526" i="22"/>
  <c r="I3526" i="22"/>
  <c r="B3527" i="22"/>
  <c r="P3525" i="22"/>
  <c r="Q3525" i="22"/>
  <c r="R3525" i="22"/>
  <c r="M3471" i="22"/>
  <c r="D3471" i="22"/>
  <c r="J3471" i="22"/>
  <c r="N3471" i="22" s="1"/>
  <c r="U3471" i="22" s="1"/>
  <c r="P3471" i="22"/>
  <c r="Q3471" i="22"/>
  <c r="R3471" i="22"/>
  <c r="L3472" i="22"/>
  <c r="C3472" i="22"/>
  <c r="E3472" i="22"/>
  <c r="G3472" i="22"/>
  <c r="I3472" i="22"/>
  <c r="B3473" i="22"/>
  <c r="M3417" i="22"/>
  <c r="D3417" i="22"/>
  <c r="J3417" i="22"/>
  <c r="N3417" i="22" s="1"/>
  <c r="U3417" i="22" s="1"/>
  <c r="P3417" i="22"/>
  <c r="Q3417" i="22"/>
  <c r="R3417" i="22"/>
  <c r="L3418" i="22"/>
  <c r="C3418" i="22"/>
  <c r="E3418" i="22"/>
  <c r="G3418" i="22"/>
  <c r="I3418" i="22"/>
  <c r="B3419" i="22"/>
  <c r="M3363" i="22"/>
  <c r="D3363" i="22"/>
  <c r="J3363" i="22"/>
  <c r="N3363" i="22" s="1"/>
  <c r="U3363" i="22" s="1"/>
  <c r="P3363" i="22"/>
  <c r="Q3363" i="22"/>
  <c r="R3363" i="22"/>
  <c r="L3364" i="22"/>
  <c r="C3364" i="22"/>
  <c r="E3364" i="22"/>
  <c r="G3364" i="22"/>
  <c r="I3364" i="22"/>
  <c r="B3365" i="22"/>
  <c r="M3309" i="22"/>
  <c r="D3309" i="22"/>
  <c r="J3309" i="22"/>
  <c r="N3309" i="22" s="1"/>
  <c r="U3309" i="22" s="1"/>
  <c r="P3309" i="22"/>
  <c r="Q3309" i="22"/>
  <c r="R3309" i="22"/>
  <c r="L3310" i="22"/>
  <c r="C3310" i="22"/>
  <c r="K3310" i="22" s="1"/>
  <c r="E3310" i="22"/>
  <c r="F3310" i="22"/>
  <c r="O3310" i="22" s="1"/>
  <c r="G3310" i="22"/>
  <c r="I3310" i="22"/>
  <c r="B3311" i="22"/>
  <c r="D3255" i="22"/>
  <c r="J3255" i="22"/>
  <c r="P3255" i="22"/>
  <c r="Q3255" i="22"/>
  <c r="R3255" i="22"/>
  <c r="L3256" i="22"/>
  <c r="C3256" i="22"/>
  <c r="K3256" i="22" s="1"/>
  <c r="E3256" i="22"/>
  <c r="F3256" i="22"/>
  <c r="O3256" i="22" s="1"/>
  <c r="G3256" i="22"/>
  <c r="I3256" i="22"/>
  <c r="B3257" i="22"/>
  <c r="M3201" i="22"/>
  <c r="D3201" i="22"/>
  <c r="J3201" i="22"/>
  <c r="N3201" i="22" s="1"/>
  <c r="U3201" i="22" s="1"/>
  <c r="P3201" i="22"/>
  <c r="Q3201" i="22"/>
  <c r="R3201" i="22"/>
  <c r="L3202" i="22"/>
  <c r="C3202" i="22"/>
  <c r="K3202" i="22" s="1"/>
  <c r="E3202" i="22"/>
  <c r="F3202" i="22"/>
  <c r="O3202" i="22" s="1"/>
  <c r="G3202" i="22"/>
  <c r="I3202" i="22"/>
  <c r="B3203" i="22"/>
  <c r="P3147" i="22"/>
  <c r="Q3147" i="22"/>
  <c r="R3147" i="22"/>
  <c r="L3148" i="22"/>
  <c r="G3148" i="22"/>
  <c r="B3149" i="22"/>
  <c r="I3148" i="22"/>
  <c r="C3148" i="22"/>
  <c r="E3148" i="22"/>
  <c r="D3147" i="22"/>
  <c r="J3147" i="22"/>
  <c r="M3093" i="22"/>
  <c r="P3093" i="22"/>
  <c r="Q3093" i="22"/>
  <c r="R3093" i="22"/>
  <c r="D3093" i="22"/>
  <c r="J3093" i="22"/>
  <c r="N3093" i="22" s="1"/>
  <c r="U3093" i="22" s="1"/>
  <c r="L3094" i="22"/>
  <c r="B3095" i="22"/>
  <c r="I3094" i="22"/>
  <c r="C3094" i="22"/>
  <c r="E3094" i="22"/>
  <c r="G3094" i="22"/>
  <c r="M3039" i="22"/>
  <c r="D3039" i="22"/>
  <c r="J3039" i="22"/>
  <c r="N3039" i="22" s="1"/>
  <c r="U3039" i="22" s="1"/>
  <c r="P3039" i="22"/>
  <c r="Q3039" i="22"/>
  <c r="R3039" i="22"/>
  <c r="L3040" i="22"/>
  <c r="I3040" i="22"/>
  <c r="B3041" i="22"/>
  <c r="C3040" i="22"/>
  <c r="E3040" i="22"/>
  <c r="G3040" i="22"/>
  <c r="P2985" i="22"/>
  <c r="Q2985" i="22"/>
  <c r="R2985" i="22"/>
  <c r="L2986" i="22"/>
  <c r="C2986" i="22"/>
  <c r="E2986" i="22"/>
  <c r="G2986" i="22"/>
  <c r="I2986" i="22"/>
  <c r="B2987" i="22"/>
  <c r="D2985" i="22"/>
  <c r="J2985" i="22"/>
  <c r="D2931" i="22"/>
  <c r="J2931" i="22"/>
  <c r="P2931" i="22"/>
  <c r="Q2931" i="22"/>
  <c r="R2931" i="22"/>
  <c r="L2932" i="22"/>
  <c r="C2932" i="22"/>
  <c r="K2932" i="22" s="1"/>
  <c r="E2932" i="22"/>
  <c r="F2932" i="22"/>
  <c r="O2932" i="22" s="1"/>
  <c r="G2932" i="22"/>
  <c r="I2932" i="22"/>
  <c r="B2933" i="22"/>
  <c r="D2877" i="22"/>
  <c r="J2877" i="22"/>
  <c r="P2877" i="22"/>
  <c r="Q2877" i="22"/>
  <c r="R2877" i="22"/>
  <c r="L2878" i="22"/>
  <c r="C2878" i="22"/>
  <c r="K2878" i="22" s="1"/>
  <c r="E2878" i="22"/>
  <c r="F2878" i="22"/>
  <c r="O2878" i="22" s="1"/>
  <c r="G2878" i="22"/>
  <c r="I2878" i="22"/>
  <c r="B2879" i="22"/>
  <c r="D2823" i="22"/>
  <c r="J2823" i="22"/>
  <c r="P2823" i="22"/>
  <c r="Q2823" i="22"/>
  <c r="R2823" i="22"/>
  <c r="T2823" i="22"/>
  <c r="U2823" i="22" s="1"/>
  <c r="L2824" i="22"/>
  <c r="C2824" i="22"/>
  <c r="K2824" i="22" s="1"/>
  <c r="E2824" i="22"/>
  <c r="F2824" i="22"/>
  <c r="O2824" i="22" s="1"/>
  <c r="G2824" i="22"/>
  <c r="I2824" i="22"/>
  <c r="B2825" i="22"/>
  <c r="M2769" i="22"/>
  <c r="D2769" i="22"/>
  <c r="J2769" i="22"/>
  <c r="N2769" i="22" s="1"/>
  <c r="U2769" i="22" s="1"/>
  <c r="P2769" i="22"/>
  <c r="Q2769" i="22"/>
  <c r="R2769" i="22"/>
  <c r="L2770" i="22"/>
  <c r="C2770" i="22"/>
  <c r="K2770" i="22" s="1"/>
  <c r="E2770" i="22"/>
  <c r="F2770" i="22"/>
  <c r="O2770" i="22" s="1"/>
  <c r="G2770" i="22"/>
  <c r="I2770" i="22"/>
  <c r="B2771" i="22"/>
  <c r="D2715" i="22"/>
  <c r="J2715" i="22"/>
  <c r="P2715" i="22"/>
  <c r="Q2715" i="22"/>
  <c r="R2715" i="22"/>
  <c r="L2716" i="22"/>
  <c r="C2716" i="22"/>
  <c r="K2716" i="22" s="1"/>
  <c r="E2716" i="22"/>
  <c r="F2716" i="22"/>
  <c r="O2716" i="22" s="1"/>
  <c r="G2716" i="22"/>
  <c r="I2716" i="22"/>
  <c r="B2717" i="22"/>
  <c r="M2661" i="22"/>
  <c r="D2661" i="22"/>
  <c r="J2661" i="22"/>
  <c r="N2661" i="22" s="1"/>
  <c r="U2661" i="22" s="1"/>
  <c r="P2661" i="22"/>
  <c r="Q2661" i="22"/>
  <c r="R2661" i="22"/>
  <c r="L2662" i="22"/>
  <c r="C2662" i="22"/>
  <c r="E2662" i="22"/>
  <c r="G2662" i="22"/>
  <c r="I2662" i="22"/>
  <c r="B2663" i="22"/>
  <c r="D2607" i="22"/>
  <c r="J2607" i="22"/>
  <c r="P2607" i="22"/>
  <c r="Q2607" i="22"/>
  <c r="R2607" i="22"/>
  <c r="L2608" i="22"/>
  <c r="C2608" i="22"/>
  <c r="K2608" i="22" s="1"/>
  <c r="E2608" i="22"/>
  <c r="F2608" i="22"/>
  <c r="O2608" i="22" s="1"/>
  <c r="G2608" i="22"/>
  <c r="I2608" i="22"/>
  <c r="B2609" i="22"/>
  <c r="M2553" i="22"/>
  <c r="D2553" i="22"/>
  <c r="J2553" i="22"/>
  <c r="N2553" i="22" s="1"/>
  <c r="U2553" i="22" s="1"/>
  <c r="P2553" i="22"/>
  <c r="Q2553" i="22"/>
  <c r="R2553" i="22"/>
  <c r="L2554" i="22"/>
  <c r="C2554" i="22"/>
  <c r="K2554" i="22" s="1"/>
  <c r="E2554" i="22"/>
  <c r="F2554" i="22"/>
  <c r="O2554" i="22" s="1"/>
  <c r="G2554" i="22"/>
  <c r="I2554" i="22"/>
  <c r="B2555" i="22"/>
  <c r="M2499" i="22"/>
  <c r="D2499" i="22"/>
  <c r="J2499" i="22"/>
  <c r="N2499" i="22" s="1"/>
  <c r="U2499" i="22" s="1"/>
  <c r="P2499" i="22"/>
  <c r="Q2499" i="22"/>
  <c r="R2499" i="22"/>
  <c r="L2500" i="22"/>
  <c r="C2500" i="22"/>
  <c r="K2500" i="22" s="1"/>
  <c r="E2500" i="22"/>
  <c r="F2500" i="22"/>
  <c r="O2500" i="22" s="1"/>
  <c r="G2500" i="22"/>
  <c r="I2500" i="22"/>
  <c r="B2501" i="22"/>
  <c r="M2445" i="22"/>
  <c r="D2445" i="22"/>
  <c r="J2445" i="22"/>
  <c r="N2445" i="22" s="1"/>
  <c r="U2445" i="22" s="1"/>
  <c r="P2445" i="22"/>
  <c r="Q2445" i="22"/>
  <c r="R2445" i="22"/>
  <c r="L2446" i="22"/>
  <c r="C2446" i="22"/>
  <c r="K2446" i="22" s="1"/>
  <c r="E2446" i="22"/>
  <c r="F2446" i="22"/>
  <c r="O2446" i="22" s="1"/>
  <c r="G2446" i="22"/>
  <c r="I2446" i="22"/>
  <c r="B2447" i="22"/>
  <c r="M2391" i="22"/>
  <c r="D2391" i="22"/>
  <c r="J2391" i="22"/>
  <c r="N2391" i="22" s="1"/>
  <c r="U2391" i="22" s="1"/>
  <c r="P2391" i="22"/>
  <c r="Q2391" i="22"/>
  <c r="R2391" i="22"/>
  <c r="L2392" i="22"/>
  <c r="C2392" i="22"/>
  <c r="E2392" i="22"/>
  <c r="G2392" i="22"/>
  <c r="I2392" i="22"/>
  <c r="B2393" i="22"/>
  <c r="M2337" i="22"/>
  <c r="D2337" i="22"/>
  <c r="J2337" i="22"/>
  <c r="N2337" i="22" s="1"/>
  <c r="U2337" i="22" s="1"/>
  <c r="P2337" i="22"/>
  <c r="Q2337" i="22"/>
  <c r="R2337" i="22"/>
  <c r="L2338" i="22"/>
  <c r="C2338" i="22"/>
  <c r="E2338" i="22"/>
  <c r="G2338" i="22"/>
  <c r="I2338" i="22"/>
  <c r="B2339" i="22"/>
  <c r="P2283" i="22"/>
  <c r="Q2283" i="22"/>
  <c r="R2283" i="22"/>
  <c r="L2284" i="22"/>
  <c r="I2284" i="22"/>
  <c r="E2284" i="22"/>
  <c r="G2284" i="22"/>
  <c r="C2284" i="22"/>
  <c r="B2285" i="22"/>
  <c r="D2283" i="22"/>
  <c r="J2283" i="22"/>
  <c r="M2229" i="22"/>
  <c r="D2229" i="22"/>
  <c r="J2229" i="22"/>
  <c r="N2229" i="22" s="1"/>
  <c r="U2229" i="22" s="1"/>
  <c r="P2229" i="22"/>
  <c r="Q2229" i="22"/>
  <c r="R2229" i="22"/>
  <c r="L2230" i="22"/>
  <c r="C2230" i="22"/>
  <c r="K2230" i="22" s="1"/>
  <c r="E2230" i="22"/>
  <c r="F2230" i="22"/>
  <c r="O2230" i="22" s="1"/>
  <c r="G2230" i="22"/>
  <c r="I2230" i="22"/>
  <c r="B2231" i="22"/>
  <c r="D2175" i="22"/>
  <c r="J2175" i="22"/>
  <c r="P2175" i="22"/>
  <c r="Q2175" i="22"/>
  <c r="R2175" i="22"/>
  <c r="L2176" i="22"/>
  <c r="C2176" i="22"/>
  <c r="K2176" i="22" s="1"/>
  <c r="E2176" i="22"/>
  <c r="F2176" i="22"/>
  <c r="O2176" i="22" s="1"/>
  <c r="G2176" i="22"/>
  <c r="I2176" i="22"/>
  <c r="B2177" i="22"/>
  <c r="D2121" i="22"/>
  <c r="J2121" i="22"/>
  <c r="P2121" i="22"/>
  <c r="Q2121" i="22"/>
  <c r="R2121" i="22"/>
  <c r="L2122" i="22"/>
  <c r="C2122" i="22"/>
  <c r="K2122" i="22" s="1"/>
  <c r="E2122" i="22"/>
  <c r="F2122" i="22"/>
  <c r="O2122" i="22" s="1"/>
  <c r="G2122" i="22"/>
  <c r="I2122" i="22"/>
  <c r="B2123" i="22"/>
  <c r="M2067" i="22"/>
  <c r="D2067" i="22"/>
  <c r="J2067" i="22"/>
  <c r="N2067" i="22" s="1"/>
  <c r="U2067" i="22" s="1"/>
  <c r="P2067" i="22"/>
  <c r="Q2067" i="22"/>
  <c r="R2067" i="22"/>
  <c r="L2068" i="22"/>
  <c r="C2068" i="22"/>
  <c r="E2068" i="22"/>
  <c r="G2068" i="22"/>
  <c r="I2068" i="22"/>
  <c r="B2069" i="22"/>
  <c r="M2013" i="22"/>
  <c r="D2013" i="22"/>
  <c r="J2013" i="22"/>
  <c r="N2013" i="22" s="1"/>
  <c r="U2013" i="22" s="1"/>
  <c r="P2013" i="22"/>
  <c r="Q2013" i="22"/>
  <c r="R2013" i="22"/>
  <c r="L2014" i="22"/>
  <c r="C2014" i="22"/>
  <c r="E2014" i="22"/>
  <c r="G2014" i="22"/>
  <c r="I2014" i="22"/>
  <c r="B2015" i="22"/>
  <c r="M1959" i="22"/>
  <c r="D1959" i="22"/>
  <c r="J1959" i="22"/>
  <c r="N1959" i="22" s="1"/>
  <c r="U1959" i="22" s="1"/>
  <c r="P1959" i="22"/>
  <c r="Q1959" i="22"/>
  <c r="R1959" i="22"/>
  <c r="L1960" i="22"/>
  <c r="C1960" i="22"/>
  <c r="E1960" i="22"/>
  <c r="G1960" i="22"/>
  <c r="I1960" i="22"/>
  <c r="B1961" i="22"/>
  <c r="M1905" i="22"/>
  <c r="D1905" i="22"/>
  <c r="J1905" i="22"/>
  <c r="N1905" i="22" s="1"/>
  <c r="U1905" i="22" s="1"/>
  <c r="P1905" i="22"/>
  <c r="Q1905" i="22"/>
  <c r="R1905" i="22"/>
  <c r="L1906" i="22"/>
  <c r="C1906" i="22"/>
  <c r="K1906" i="22" s="1"/>
  <c r="E1906" i="22"/>
  <c r="F1906" i="22"/>
  <c r="O1906" i="22" s="1"/>
  <c r="G1906" i="22"/>
  <c r="I1906" i="22"/>
  <c r="B1907" i="22"/>
  <c r="M1851" i="22"/>
  <c r="D1851" i="22"/>
  <c r="J1851" i="22"/>
  <c r="N1851" i="22" s="1"/>
  <c r="U1851" i="22" s="1"/>
  <c r="P1851" i="22"/>
  <c r="Q1851" i="22"/>
  <c r="R1851" i="22"/>
  <c r="L1852" i="22"/>
  <c r="C1852" i="22"/>
  <c r="K1852" i="22" s="1"/>
  <c r="E1852" i="22"/>
  <c r="F1852" i="22"/>
  <c r="O1852" i="22" s="1"/>
  <c r="G1852" i="22"/>
  <c r="I1852" i="22"/>
  <c r="B1853" i="22"/>
  <c r="D1797" i="22"/>
  <c r="J1797" i="22"/>
  <c r="P1797" i="22"/>
  <c r="Q1797" i="22"/>
  <c r="R1797" i="22"/>
  <c r="L1798" i="22"/>
  <c r="C1798" i="22"/>
  <c r="K1798" i="22" s="1"/>
  <c r="E1798" i="22"/>
  <c r="F1798" i="22"/>
  <c r="O1798" i="22" s="1"/>
  <c r="G1798" i="22"/>
  <c r="I1798" i="22"/>
  <c r="B1799" i="22"/>
  <c r="M1743" i="22"/>
  <c r="D1743" i="22"/>
  <c r="J1743" i="22"/>
  <c r="N1743" i="22" s="1"/>
  <c r="U1743" i="22" s="1"/>
  <c r="P1743" i="22"/>
  <c r="Q1743" i="22"/>
  <c r="R1743" i="22"/>
  <c r="L1744" i="22"/>
  <c r="C1744" i="22"/>
  <c r="K1744" i="22" s="1"/>
  <c r="E1744" i="22"/>
  <c r="F1744" i="22"/>
  <c r="O1744" i="22" s="1"/>
  <c r="G1744" i="22"/>
  <c r="I1744" i="22"/>
  <c r="B1745" i="22"/>
  <c r="M1689" i="22"/>
  <c r="D1689" i="22"/>
  <c r="J1689" i="22"/>
  <c r="N1689" i="22" s="1"/>
  <c r="U1689" i="22" s="1"/>
  <c r="P1689" i="22"/>
  <c r="Q1689" i="22"/>
  <c r="R1689" i="22"/>
  <c r="L1690" i="22"/>
  <c r="C1690" i="22"/>
  <c r="K1690" i="22" s="1"/>
  <c r="E1690" i="22"/>
  <c r="F1690" i="22"/>
  <c r="O1690" i="22" s="1"/>
  <c r="G1690" i="22"/>
  <c r="I1690" i="22"/>
  <c r="B1691" i="22"/>
  <c r="M1635" i="22"/>
  <c r="D1635" i="22"/>
  <c r="J1635" i="22"/>
  <c r="N1635" i="22" s="1"/>
  <c r="U1635" i="22" s="1"/>
  <c r="P1635" i="22"/>
  <c r="Q1635" i="22"/>
  <c r="R1635" i="22"/>
  <c r="L1636" i="22"/>
  <c r="C1636" i="22"/>
  <c r="E1636" i="22"/>
  <c r="G1636" i="22"/>
  <c r="I1636" i="22"/>
  <c r="B1637" i="22"/>
  <c r="M1581" i="22"/>
  <c r="D1581" i="22"/>
  <c r="J1581" i="22"/>
  <c r="N1581" i="22" s="1"/>
  <c r="U1581" i="22" s="1"/>
  <c r="P1581" i="22"/>
  <c r="Q1581" i="22"/>
  <c r="R1581" i="22"/>
  <c r="L1582" i="22"/>
  <c r="C1582" i="22"/>
  <c r="K1582" i="22" s="1"/>
  <c r="E1582" i="22"/>
  <c r="F1582" i="22"/>
  <c r="O1582" i="22" s="1"/>
  <c r="G1582" i="22"/>
  <c r="I1582" i="22"/>
  <c r="B1583" i="22"/>
  <c r="M1527" i="22"/>
  <c r="D1527" i="22"/>
  <c r="J1527" i="22"/>
  <c r="N1527" i="22" s="1"/>
  <c r="U1527" i="22" s="1"/>
  <c r="P1527" i="22"/>
  <c r="Q1527" i="22"/>
  <c r="R1527" i="22"/>
  <c r="L1528" i="22"/>
  <c r="C1528" i="22"/>
  <c r="E1528" i="22"/>
  <c r="G1528" i="22"/>
  <c r="I1528" i="22"/>
  <c r="B1529" i="22"/>
  <c r="M1473" i="22"/>
  <c r="D1473" i="22"/>
  <c r="J1473" i="22"/>
  <c r="N1473" i="22" s="1"/>
  <c r="U1473" i="22" s="1"/>
  <c r="P1473" i="22"/>
  <c r="Q1473" i="22"/>
  <c r="R1473" i="22"/>
  <c r="L1474" i="22"/>
  <c r="C1474" i="22"/>
  <c r="E1474" i="22"/>
  <c r="G1474" i="22"/>
  <c r="I1474" i="22"/>
  <c r="B1475" i="22"/>
  <c r="D1419" i="22"/>
  <c r="J1419" i="22"/>
  <c r="P1419" i="22"/>
  <c r="Q1419" i="22"/>
  <c r="R1419" i="22"/>
  <c r="L1420" i="22"/>
  <c r="C1420" i="22"/>
  <c r="K1420" i="22" s="1"/>
  <c r="E1420" i="22"/>
  <c r="F1420" i="22"/>
  <c r="O1420" i="22" s="1"/>
  <c r="G1420" i="22"/>
  <c r="I1420" i="22"/>
  <c r="B1421" i="22"/>
  <c r="M1365" i="22"/>
  <c r="D1365" i="22"/>
  <c r="J1365" i="22"/>
  <c r="N1365" i="22" s="1"/>
  <c r="U1365" i="22" s="1"/>
  <c r="P1365" i="22"/>
  <c r="Q1365" i="22"/>
  <c r="R1365" i="22"/>
  <c r="L1366" i="22"/>
  <c r="C1366" i="22"/>
  <c r="E1366" i="22"/>
  <c r="G1366" i="22"/>
  <c r="I1366" i="22"/>
  <c r="B1367" i="22"/>
  <c r="M1311" i="22"/>
  <c r="D1311" i="22"/>
  <c r="J1311" i="22"/>
  <c r="N1311" i="22" s="1"/>
  <c r="U1311" i="22" s="1"/>
  <c r="P1311" i="22"/>
  <c r="Q1311" i="22"/>
  <c r="R1311" i="22"/>
  <c r="L1312" i="22"/>
  <c r="C1312" i="22"/>
  <c r="E1312" i="22"/>
  <c r="G1312" i="22"/>
  <c r="I1312" i="22"/>
  <c r="B1313" i="22"/>
  <c r="M1257" i="22"/>
  <c r="D1257" i="22"/>
  <c r="J1257" i="22"/>
  <c r="N1257" i="22" s="1"/>
  <c r="U1257" i="22" s="1"/>
  <c r="P1257" i="22"/>
  <c r="Q1257" i="22"/>
  <c r="R1257" i="22"/>
  <c r="L1258" i="22"/>
  <c r="C1258" i="22"/>
  <c r="K1258" i="22" s="1"/>
  <c r="E1258" i="22"/>
  <c r="F1258" i="22"/>
  <c r="O1258" i="22" s="1"/>
  <c r="G1258" i="22"/>
  <c r="I1258" i="22"/>
  <c r="B1259" i="22"/>
  <c r="M1203" i="22"/>
  <c r="D1203" i="22"/>
  <c r="J1203" i="22"/>
  <c r="N1203" i="22" s="1"/>
  <c r="U1203" i="22" s="1"/>
  <c r="P1203" i="22"/>
  <c r="Q1203" i="22"/>
  <c r="R1203" i="22"/>
  <c r="L1204" i="22"/>
  <c r="C1204" i="22"/>
  <c r="K1204" i="22" s="1"/>
  <c r="E1204" i="22"/>
  <c r="F1204" i="22"/>
  <c r="O1204" i="22" s="1"/>
  <c r="G1204" i="22"/>
  <c r="I1204" i="22"/>
  <c r="B1205" i="22"/>
  <c r="M1149" i="22"/>
  <c r="D1149" i="22"/>
  <c r="J1149" i="22"/>
  <c r="N1149" i="22" s="1"/>
  <c r="U1149" i="22" s="1"/>
  <c r="P1149" i="22"/>
  <c r="Q1149" i="22"/>
  <c r="R1149" i="22"/>
  <c r="L1150" i="22"/>
  <c r="C1150" i="22"/>
  <c r="K1150" i="22" s="1"/>
  <c r="E1150" i="22"/>
  <c r="F1150" i="22"/>
  <c r="O1150" i="22" s="1"/>
  <c r="G1150" i="22"/>
  <c r="I1150" i="22"/>
  <c r="B1151" i="22"/>
  <c r="M1095" i="22"/>
  <c r="D1095" i="22"/>
  <c r="J1095" i="22"/>
  <c r="N1095" i="22" s="1"/>
  <c r="U1095" i="22" s="1"/>
  <c r="P1095" i="22"/>
  <c r="Q1095" i="22"/>
  <c r="R1095" i="22"/>
  <c r="L1096" i="22"/>
  <c r="C1096" i="22"/>
  <c r="K1096" i="22" s="1"/>
  <c r="E1096" i="22"/>
  <c r="F1096" i="22"/>
  <c r="O1096" i="22" s="1"/>
  <c r="G1096" i="22"/>
  <c r="I1096" i="22"/>
  <c r="B1097" i="22"/>
  <c r="D1041" i="22"/>
  <c r="J1041" i="22"/>
  <c r="P1041" i="22"/>
  <c r="Q1041" i="22"/>
  <c r="R1041" i="22"/>
  <c r="L1042" i="22"/>
  <c r="G1042" i="22"/>
  <c r="E1042" i="22"/>
  <c r="B1043" i="22"/>
  <c r="I1042" i="22"/>
  <c r="C1042" i="22"/>
  <c r="K1042" i="22" s="1"/>
  <c r="F1042" i="22"/>
  <c r="O1042" i="22" s="1"/>
  <c r="M987" i="22"/>
  <c r="D987" i="22"/>
  <c r="J987" i="22"/>
  <c r="N987" i="22" s="1"/>
  <c r="U987" i="22" s="1"/>
  <c r="P987" i="22"/>
  <c r="Q987" i="22"/>
  <c r="R987" i="22"/>
  <c r="L988" i="22"/>
  <c r="C988" i="22"/>
  <c r="E988" i="22"/>
  <c r="G988" i="22"/>
  <c r="I988" i="22"/>
  <c r="B989" i="22"/>
  <c r="M933" i="22"/>
  <c r="D933" i="22"/>
  <c r="J933" i="22"/>
  <c r="N933" i="22" s="1"/>
  <c r="U933" i="22" s="1"/>
  <c r="P933" i="22"/>
  <c r="Q933" i="22"/>
  <c r="R933" i="22"/>
  <c r="L934" i="22"/>
  <c r="C934" i="22"/>
  <c r="E934" i="22"/>
  <c r="G934" i="22"/>
  <c r="I934" i="22"/>
  <c r="B935" i="22"/>
  <c r="M879" i="22"/>
  <c r="D879" i="22"/>
  <c r="J879" i="22"/>
  <c r="N879" i="22" s="1"/>
  <c r="U879" i="22" s="1"/>
  <c r="P879" i="22"/>
  <c r="Q879" i="22"/>
  <c r="R879" i="22"/>
  <c r="L880" i="22"/>
  <c r="C880" i="22"/>
  <c r="K880" i="22" s="1"/>
  <c r="E880" i="22"/>
  <c r="F880" i="22"/>
  <c r="O880" i="22" s="1"/>
  <c r="G880" i="22"/>
  <c r="I880" i="22"/>
  <c r="B881" i="22"/>
  <c r="M825" i="22"/>
  <c r="D825" i="22"/>
  <c r="J825" i="22"/>
  <c r="N825" i="22" s="1"/>
  <c r="U825" i="22" s="1"/>
  <c r="P825" i="22"/>
  <c r="Q825" i="22"/>
  <c r="R825" i="22"/>
  <c r="L826" i="22"/>
  <c r="C826" i="22"/>
  <c r="K826" i="22" s="1"/>
  <c r="E826" i="22"/>
  <c r="F826" i="22"/>
  <c r="O826" i="22" s="1"/>
  <c r="G826" i="22"/>
  <c r="I826" i="22"/>
  <c r="B827" i="22"/>
  <c r="M771" i="22"/>
  <c r="D771" i="22"/>
  <c r="J771" i="22"/>
  <c r="N771" i="22" s="1"/>
  <c r="U771" i="22" s="1"/>
  <c r="P771" i="22"/>
  <c r="Q771" i="22"/>
  <c r="R771" i="22"/>
  <c r="L772" i="22"/>
  <c r="C772" i="22"/>
  <c r="K772" i="22" s="1"/>
  <c r="E772" i="22"/>
  <c r="F772" i="22"/>
  <c r="O772" i="22" s="1"/>
  <c r="G772" i="22"/>
  <c r="I772" i="22"/>
  <c r="B773" i="22"/>
  <c r="M717" i="22"/>
  <c r="D717" i="22"/>
  <c r="J717" i="22"/>
  <c r="N717" i="22" s="1"/>
  <c r="U717" i="22" s="1"/>
  <c r="P717" i="22"/>
  <c r="Q717" i="22"/>
  <c r="R717" i="22"/>
  <c r="L718" i="22"/>
  <c r="C718" i="22"/>
  <c r="E718" i="22"/>
  <c r="G718" i="22"/>
  <c r="I718" i="22"/>
  <c r="B719" i="22"/>
  <c r="M663" i="22"/>
  <c r="D663" i="22"/>
  <c r="J663" i="22"/>
  <c r="N663" i="22" s="1"/>
  <c r="U663" i="22" s="1"/>
  <c r="P663" i="22"/>
  <c r="Q663" i="22"/>
  <c r="R663" i="22"/>
  <c r="L664" i="22"/>
  <c r="C664" i="22"/>
  <c r="E664" i="22"/>
  <c r="G664" i="22"/>
  <c r="I664" i="22"/>
  <c r="B665" i="22"/>
  <c r="M609" i="22"/>
  <c r="D609" i="22"/>
  <c r="J609" i="22"/>
  <c r="N609" i="22" s="1"/>
  <c r="U609" i="22" s="1"/>
  <c r="P609" i="22"/>
  <c r="Q609" i="22"/>
  <c r="R609" i="22"/>
  <c r="L610" i="22"/>
  <c r="C610" i="22"/>
  <c r="K610" i="22" s="1"/>
  <c r="E610" i="22"/>
  <c r="F610" i="22"/>
  <c r="O610" i="22" s="1"/>
  <c r="G610" i="22"/>
  <c r="I610" i="22"/>
  <c r="B611" i="22"/>
  <c r="M555" i="22"/>
  <c r="D555" i="22"/>
  <c r="J555" i="22"/>
  <c r="N555" i="22" s="1"/>
  <c r="U555" i="22" s="1"/>
  <c r="P555" i="22"/>
  <c r="Q555" i="22"/>
  <c r="R555" i="22"/>
  <c r="L556" i="22"/>
  <c r="C556" i="22"/>
  <c r="K556" i="22" s="1"/>
  <c r="E556" i="22"/>
  <c r="F556" i="22"/>
  <c r="O556" i="22" s="1"/>
  <c r="G556" i="22"/>
  <c r="I556" i="22"/>
  <c r="B557" i="22"/>
  <c r="M501" i="22"/>
  <c r="D501" i="22"/>
  <c r="J501" i="22"/>
  <c r="N501" i="22" s="1"/>
  <c r="U501" i="22" s="1"/>
  <c r="P501" i="22"/>
  <c r="Q501" i="22"/>
  <c r="R501" i="22"/>
  <c r="L502" i="22"/>
  <c r="C502" i="22"/>
  <c r="K502" i="22" s="1"/>
  <c r="E502" i="22"/>
  <c r="F502" i="22"/>
  <c r="O502" i="22" s="1"/>
  <c r="G502" i="22"/>
  <c r="I502" i="22"/>
  <c r="B503" i="22"/>
  <c r="M447" i="22"/>
  <c r="D447" i="22"/>
  <c r="J447" i="22"/>
  <c r="N447" i="22" s="1"/>
  <c r="U447" i="22" s="1"/>
  <c r="P447" i="22"/>
  <c r="Q447" i="22"/>
  <c r="R447" i="22"/>
  <c r="L448" i="22"/>
  <c r="C448" i="22"/>
  <c r="E448" i="22"/>
  <c r="G448" i="22"/>
  <c r="I448" i="22"/>
  <c r="B449" i="22"/>
  <c r="M393" i="22"/>
  <c r="D393" i="22"/>
  <c r="J393" i="22"/>
  <c r="N393" i="22" s="1"/>
  <c r="U393" i="22" s="1"/>
  <c r="P393" i="22"/>
  <c r="Q393" i="22"/>
  <c r="R393" i="22"/>
  <c r="L394" i="22"/>
  <c r="C394" i="22"/>
  <c r="E394" i="22"/>
  <c r="G394" i="22"/>
  <c r="I394" i="22"/>
  <c r="B395" i="22"/>
  <c r="M339" i="22"/>
  <c r="D339" i="22"/>
  <c r="J339" i="22"/>
  <c r="N339" i="22" s="1"/>
  <c r="U339" i="22" s="1"/>
  <c r="P339" i="22"/>
  <c r="Q339" i="22"/>
  <c r="R339" i="22"/>
  <c r="L340" i="22"/>
  <c r="C340" i="22"/>
  <c r="E340" i="22"/>
  <c r="G340" i="22"/>
  <c r="I340" i="22"/>
  <c r="B341" i="22"/>
  <c r="D285" i="22"/>
  <c r="J285" i="22"/>
  <c r="P285" i="22"/>
  <c r="Q285" i="22"/>
  <c r="R285" i="22"/>
  <c r="L286" i="22"/>
  <c r="C286" i="22"/>
  <c r="E286" i="22"/>
  <c r="G286" i="22"/>
  <c r="I286" i="22"/>
  <c r="B287" i="22"/>
  <c r="M231" i="22"/>
  <c r="D231" i="22"/>
  <c r="J231" i="22"/>
  <c r="N231" i="22" s="1"/>
  <c r="U231" i="22" s="1"/>
  <c r="P231" i="22"/>
  <c r="Q231" i="22"/>
  <c r="R231" i="22"/>
  <c r="L232" i="22"/>
  <c r="C232" i="22"/>
  <c r="E232" i="22"/>
  <c r="G232" i="22"/>
  <c r="I232" i="22"/>
  <c r="B233" i="22"/>
  <c r="M177" i="22"/>
  <c r="D177" i="22"/>
  <c r="J177" i="22"/>
  <c r="N177" i="22" s="1"/>
  <c r="U177" i="22" s="1"/>
  <c r="P177" i="22"/>
  <c r="Q177" i="22"/>
  <c r="R177" i="22"/>
  <c r="L178" i="22"/>
  <c r="C178" i="22"/>
  <c r="E178" i="22"/>
  <c r="G178" i="22"/>
  <c r="I178" i="22"/>
  <c r="B179" i="22"/>
  <c r="M123" i="22"/>
  <c r="D123" i="22"/>
  <c r="J123" i="22"/>
  <c r="N123" i="22" s="1"/>
  <c r="U123" i="22" s="1"/>
  <c r="P123" i="22"/>
  <c r="Q123" i="22"/>
  <c r="R123" i="22"/>
  <c r="L124" i="22"/>
  <c r="C124" i="22"/>
  <c r="K124" i="22" s="1"/>
  <c r="E124" i="22"/>
  <c r="F124" i="22"/>
  <c r="O124" i="22" s="1"/>
  <c r="G124" i="22"/>
  <c r="B125" i="22"/>
  <c r="I124" i="22"/>
  <c r="G111" i="12"/>
  <c r="J61" i="17"/>
  <c r="D61" i="17"/>
  <c r="BE61" i="17"/>
  <c r="BD61" i="17"/>
  <c r="BC61" i="17"/>
  <c r="BB61" i="17"/>
  <c r="BA61" i="17"/>
  <c r="AZ61" i="17"/>
  <c r="AY61" i="17"/>
  <c r="AX61"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P61" i="17"/>
  <c r="Q61" i="17"/>
  <c r="R61" i="17"/>
  <c r="V61" i="17"/>
  <c r="BF61" i="17"/>
  <c r="L62" i="17"/>
  <c r="E62" i="17"/>
  <c r="G62" i="17"/>
  <c r="I62" i="17"/>
  <c r="B63" i="17"/>
  <c r="C62" i="17"/>
  <c r="K62" i="17" s="1"/>
  <c r="F62" i="17"/>
  <c r="C62" i="18" s="1"/>
  <c r="E62" i="18" s="1"/>
  <c r="B62" i="18"/>
  <c r="G109" i="12"/>
  <c r="C110" i="12"/>
  <c r="M1637" i="23"/>
  <c r="N1637" i="23"/>
  <c r="AE1637" i="23" s="1"/>
  <c r="M1469" i="23"/>
  <c r="N1469" i="23"/>
  <c r="AE1469" i="23" s="1"/>
  <c r="M1413" i="23"/>
  <c r="N1413" i="23"/>
  <c r="AE1413" i="23" s="1"/>
  <c r="M1357" i="23"/>
  <c r="N1357" i="23"/>
  <c r="AE1357" i="23" s="1"/>
  <c r="M1245" i="23"/>
  <c r="N1245" i="23"/>
  <c r="AE1245" i="23" s="1"/>
  <c r="M909" i="23"/>
  <c r="N909" i="23"/>
  <c r="AE909" i="23" s="1"/>
  <c r="N461" i="23"/>
  <c r="AE461" i="23" s="1"/>
  <c r="M461" i="23"/>
  <c r="M4718" i="22"/>
  <c r="N4718" i="22"/>
  <c r="M4610" i="22"/>
  <c r="N4610" i="22"/>
  <c r="N4256" i="22"/>
  <c r="U4256" i="22" s="1"/>
  <c r="M4256" i="22"/>
  <c r="M3794" i="22"/>
  <c r="N3794" i="22"/>
  <c r="U3794" i="22" s="1"/>
  <c r="M3686" i="22"/>
  <c r="N3686" i="22"/>
  <c r="U3686" i="22" s="1"/>
  <c r="M3578" i="22"/>
  <c r="N3578" i="22"/>
  <c r="U3578" i="22" s="1"/>
  <c r="M3524" i="22"/>
  <c r="N3524" i="22"/>
  <c r="U3524" i="22" s="1"/>
  <c r="M3470" i="22"/>
  <c r="N3470" i="22"/>
  <c r="U3470" i="22" s="1"/>
  <c r="N3092" i="22"/>
  <c r="U3092" i="22" s="1"/>
  <c r="M3092" i="22"/>
  <c r="M3038" i="22"/>
  <c r="N3038" i="22"/>
  <c r="U3038" i="22" s="1"/>
  <c r="N2930" i="22"/>
  <c r="U2930" i="22" s="1"/>
  <c r="M2930" i="22"/>
  <c r="M2822" i="22"/>
  <c r="N2822" i="22"/>
  <c r="S2822" i="22" s="1"/>
  <c r="M2768" i="22"/>
  <c r="N2768" i="22"/>
  <c r="U2768" i="22" s="1"/>
  <c r="M2606" i="22"/>
  <c r="N2606" i="22"/>
  <c r="U2606" i="22" s="1"/>
  <c r="M2390" i="22"/>
  <c r="N2390" i="22"/>
  <c r="U2390" i="22" s="1"/>
  <c r="M1688" i="22"/>
  <c r="N1688" i="22"/>
  <c r="U1688" i="22" s="1"/>
  <c r="M1094" i="22"/>
  <c r="N1094" i="22"/>
  <c r="U1094" i="22" s="1"/>
  <c r="M986" i="22"/>
  <c r="N986" i="22"/>
  <c r="U986" i="22" s="1"/>
  <c r="M446" i="22"/>
  <c r="N446" i="22"/>
  <c r="U446" i="22" s="1"/>
  <c r="M392" i="22"/>
  <c r="N392" i="22"/>
  <c r="U392" i="22" s="1"/>
  <c r="M338" i="22"/>
  <c r="N338" i="22"/>
  <c r="U338" i="22" s="1"/>
  <c r="E112" i="12"/>
  <c r="O60" i="17"/>
  <c r="N112" i="12"/>
  <c r="M60" i="17"/>
  <c r="N60" i="17"/>
  <c r="F1526" i="23"/>
  <c r="O1526" i="23" s="1"/>
  <c r="K1526" i="23"/>
  <c r="K1470" i="23"/>
  <c r="F1470" i="23"/>
  <c r="O1470" i="23" s="1"/>
  <c r="K1022" i="23"/>
  <c r="F1022" i="23"/>
  <c r="O1022" i="23" s="1"/>
  <c r="K406" i="23"/>
  <c r="F406" i="23"/>
  <c r="O406" i="23" s="1"/>
  <c r="P112" i="12"/>
  <c r="F3255" i="22"/>
  <c r="O3255" i="22" s="1"/>
  <c r="K3255" i="22"/>
  <c r="K3147" i="22"/>
  <c r="F3147" i="22"/>
  <c r="O3147" i="22" s="1"/>
  <c r="K2985" i="22"/>
  <c r="F2985" i="22"/>
  <c r="O2985" i="22" s="1"/>
  <c r="F2931" i="22"/>
  <c r="O2931" i="22" s="1"/>
  <c r="K2931" i="22"/>
  <c r="K2877" i="22"/>
  <c r="F2877" i="22"/>
  <c r="O2877" i="22" s="1"/>
  <c r="F2823" i="22"/>
  <c r="O2823" i="22" s="1"/>
  <c r="K2823" i="22"/>
  <c r="K2715" i="22"/>
  <c r="F2715" i="22"/>
  <c r="O2715" i="22" s="1"/>
  <c r="K2607" i="22"/>
  <c r="F2607" i="22"/>
  <c r="O2607" i="22" s="1"/>
  <c r="F2283" i="22"/>
  <c r="O2283" i="22" s="1"/>
  <c r="K2283" i="22"/>
  <c r="K2175" i="22"/>
  <c r="F2175" i="22"/>
  <c r="O2175" i="22" s="1"/>
  <c r="F2121" i="22"/>
  <c r="O2121" i="22" s="1"/>
  <c r="K2121" i="22"/>
  <c r="F1797" i="22"/>
  <c r="O1797" i="22" s="1"/>
  <c r="K1797" i="22"/>
  <c r="F1419" i="22"/>
  <c r="O1419" i="22" s="1"/>
  <c r="K1419" i="22"/>
  <c r="K1041" i="22"/>
  <c r="F1041" i="22"/>
  <c r="O1041" i="22" s="1"/>
  <c r="K285" i="22"/>
  <c r="F285" i="22"/>
  <c r="O285" i="22" s="1"/>
  <c r="F60" i="18"/>
  <c r="G60" i="18"/>
  <c r="H60" i="18"/>
  <c r="F61" i="17"/>
  <c r="C61" i="18" s="1"/>
  <c r="E61" i="18" s="1"/>
  <c r="K61" i="17"/>
  <c r="K1191" i="23" l="1"/>
  <c r="F1191" i="23"/>
  <c r="O1191" i="23" s="1"/>
  <c r="K743" i="23"/>
  <c r="F743" i="23"/>
  <c r="O743" i="23" s="1"/>
  <c r="K4150" i="22"/>
  <c r="F4150" i="22"/>
  <c r="O4150" i="22" s="1"/>
  <c r="K3688" i="22"/>
  <c r="F3688" i="22"/>
  <c r="O3688" i="22" s="1"/>
  <c r="K3418" i="22"/>
  <c r="F3418" i="22"/>
  <c r="O3418" i="22" s="1"/>
  <c r="K1528" i="22"/>
  <c r="F1528" i="22"/>
  <c r="O1528" i="22" s="1"/>
  <c r="K1474" i="22"/>
  <c r="F1474" i="22"/>
  <c r="O1474" i="22" s="1"/>
  <c r="K934" i="22"/>
  <c r="F934" i="22"/>
  <c r="O934" i="22" s="1"/>
  <c r="K718" i="22"/>
  <c r="F718" i="22"/>
  <c r="O718" i="22" s="1"/>
  <c r="K448" i="22"/>
  <c r="F448" i="22"/>
  <c r="O448" i="22" s="1"/>
  <c r="K394" i="22"/>
  <c r="F394" i="22"/>
  <c r="O394" i="22" s="1"/>
  <c r="K232" i="22"/>
  <c r="F232" i="22"/>
  <c r="O232" i="22" s="1"/>
  <c r="K178" i="22"/>
  <c r="F178" i="22"/>
  <c r="O178" i="22" s="1"/>
  <c r="M1639" i="23"/>
  <c r="J1639" i="23"/>
  <c r="N1639" i="23" s="1"/>
  <c r="AE1639" i="23" s="1"/>
  <c r="D1639" i="23"/>
  <c r="P1639" i="23"/>
  <c r="Q1639" i="23"/>
  <c r="R1639" i="23"/>
  <c r="I1640" i="23"/>
  <c r="L1640" i="23"/>
  <c r="C1640" i="23"/>
  <c r="K1640" i="23" s="1"/>
  <c r="E1640" i="23"/>
  <c r="F1640" i="23"/>
  <c r="O1640" i="23" s="1"/>
  <c r="G1640" i="23"/>
  <c r="B1641" i="23"/>
  <c r="J1583" i="23"/>
  <c r="D1583" i="23"/>
  <c r="P1583" i="23"/>
  <c r="Q1583" i="23"/>
  <c r="R1583" i="23"/>
  <c r="L1584" i="23"/>
  <c r="I1584" i="23"/>
  <c r="C1584" i="23"/>
  <c r="K1584" i="23" s="1"/>
  <c r="E1584" i="23"/>
  <c r="F1584" i="23"/>
  <c r="O1584" i="23" s="1"/>
  <c r="G1584" i="23"/>
  <c r="B1585" i="23"/>
  <c r="J1527" i="23"/>
  <c r="D1527" i="23"/>
  <c r="P1527" i="23"/>
  <c r="Q1527" i="23"/>
  <c r="R1527" i="23"/>
  <c r="L1528" i="23"/>
  <c r="I1528" i="23"/>
  <c r="C1528" i="23"/>
  <c r="E1528" i="23"/>
  <c r="G1528" i="23"/>
  <c r="B1529" i="23"/>
  <c r="M1471" i="23"/>
  <c r="J1471" i="23"/>
  <c r="N1471" i="23" s="1"/>
  <c r="AE1471" i="23" s="1"/>
  <c r="D1471" i="23"/>
  <c r="P1471" i="23"/>
  <c r="Q1471" i="23"/>
  <c r="R1471" i="23"/>
  <c r="L1472" i="23"/>
  <c r="I1472" i="23"/>
  <c r="C1472" i="23"/>
  <c r="E1472" i="23"/>
  <c r="G1472" i="23"/>
  <c r="B1473" i="23"/>
  <c r="M1415" i="23"/>
  <c r="J1415" i="23"/>
  <c r="N1415" i="23" s="1"/>
  <c r="AE1415" i="23" s="1"/>
  <c r="D1415" i="23"/>
  <c r="P1415" i="23"/>
  <c r="Q1415" i="23"/>
  <c r="R1415" i="23"/>
  <c r="L1416" i="23"/>
  <c r="I1416" i="23"/>
  <c r="C1416" i="23"/>
  <c r="K1416" i="23" s="1"/>
  <c r="E1416" i="23"/>
  <c r="F1416" i="23"/>
  <c r="O1416" i="23" s="1"/>
  <c r="G1416" i="23"/>
  <c r="B1417" i="23"/>
  <c r="L1360" i="23"/>
  <c r="I1360" i="23"/>
  <c r="B1361" i="23"/>
  <c r="C1360" i="23"/>
  <c r="E1360" i="23"/>
  <c r="G1360" i="23"/>
  <c r="J1359" i="23"/>
  <c r="D1359" i="23"/>
  <c r="P1359" i="23"/>
  <c r="Q1359" i="23"/>
  <c r="R1359" i="23"/>
  <c r="J1303" i="23"/>
  <c r="D1303" i="23"/>
  <c r="P1303" i="23"/>
  <c r="Q1303" i="23"/>
  <c r="R1303" i="23"/>
  <c r="L1304" i="23"/>
  <c r="I1304" i="23"/>
  <c r="C1304" i="23"/>
  <c r="K1304" i="23" s="1"/>
  <c r="E1304" i="23"/>
  <c r="F1304" i="23"/>
  <c r="O1304" i="23" s="1"/>
  <c r="G1304" i="23"/>
  <c r="B1305" i="23"/>
  <c r="M1247" i="23"/>
  <c r="J1247" i="23"/>
  <c r="N1247" i="23" s="1"/>
  <c r="AE1247" i="23" s="1"/>
  <c r="D1247" i="23"/>
  <c r="P1247" i="23"/>
  <c r="Q1247" i="23"/>
  <c r="R1247" i="23"/>
  <c r="L1248" i="23"/>
  <c r="I1248" i="23"/>
  <c r="C1248" i="23"/>
  <c r="K1248" i="23" s="1"/>
  <c r="E1248" i="23"/>
  <c r="F1248" i="23"/>
  <c r="O1248" i="23" s="1"/>
  <c r="G1248" i="23"/>
  <c r="B1249" i="23"/>
  <c r="M1191" i="23"/>
  <c r="J1191" i="23"/>
  <c r="N1191" i="23" s="1"/>
  <c r="AE1191" i="23" s="1"/>
  <c r="D1191" i="23"/>
  <c r="P1191" i="23"/>
  <c r="Q1191" i="23"/>
  <c r="R1191" i="23"/>
  <c r="L1192" i="23"/>
  <c r="I1192" i="23"/>
  <c r="C1192" i="23"/>
  <c r="K1192" i="23" s="1"/>
  <c r="E1192" i="23"/>
  <c r="F1192" i="23"/>
  <c r="O1192" i="23" s="1"/>
  <c r="G1192" i="23"/>
  <c r="B1193" i="23"/>
  <c r="M1135" i="23"/>
  <c r="J1135" i="23"/>
  <c r="N1135" i="23" s="1"/>
  <c r="AE1135" i="23" s="1"/>
  <c r="D1135" i="23"/>
  <c r="P1135" i="23"/>
  <c r="Q1135" i="23"/>
  <c r="R1135" i="23"/>
  <c r="L1136" i="23"/>
  <c r="I1136" i="23"/>
  <c r="C1136" i="23"/>
  <c r="K1136" i="23" s="1"/>
  <c r="E1136" i="23"/>
  <c r="F1136" i="23"/>
  <c r="O1136" i="23" s="1"/>
  <c r="G1136" i="23"/>
  <c r="B1137" i="23"/>
  <c r="M1079" i="23"/>
  <c r="J1079" i="23"/>
  <c r="N1079" i="23" s="1"/>
  <c r="AE1079" i="23" s="1"/>
  <c r="D1079" i="23"/>
  <c r="P1079" i="23"/>
  <c r="Q1079" i="23"/>
  <c r="R1079" i="23"/>
  <c r="L1080" i="23"/>
  <c r="I1080" i="23"/>
  <c r="C1080" i="23"/>
  <c r="K1080" i="23" s="1"/>
  <c r="E1080" i="23"/>
  <c r="F1080" i="23"/>
  <c r="O1080" i="23" s="1"/>
  <c r="G1080" i="23"/>
  <c r="B1081" i="23"/>
  <c r="M1023" i="23"/>
  <c r="J1023" i="23"/>
  <c r="N1023" i="23" s="1"/>
  <c r="AE1023" i="23" s="1"/>
  <c r="D1023" i="23"/>
  <c r="P1023" i="23"/>
  <c r="Q1023" i="23"/>
  <c r="R1023" i="23"/>
  <c r="L1024" i="23"/>
  <c r="I1024" i="23"/>
  <c r="C1024" i="23"/>
  <c r="K1024" i="23" s="1"/>
  <c r="E1024" i="23"/>
  <c r="F1024" i="23"/>
  <c r="O1024" i="23" s="1"/>
  <c r="G1024" i="23"/>
  <c r="B1025" i="23"/>
  <c r="M967" i="23"/>
  <c r="J967" i="23"/>
  <c r="N967" i="23" s="1"/>
  <c r="AE967" i="23" s="1"/>
  <c r="D967" i="23"/>
  <c r="P967" i="23"/>
  <c r="Q967" i="23"/>
  <c r="R967" i="23"/>
  <c r="L968" i="23"/>
  <c r="I968" i="23"/>
  <c r="C968" i="23"/>
  <c r="K968" i="23" s="1"/>
  <c r="E968" i="23"/>
  <c r="F968" i="23"/>
  <c r="O968" i="23" s="1"/>
  <c r="G968" i="23"/>
  <c r="B969" i="23"/>
  <c r="J911" i="23"/>
  <c r="D911" i="23"/>
  <c r="P911" i="23"/>
  <c r="Q911" i="23"/>
  <c r="R911" i="23"/>
  <c r="L912" i="23"/>
  <c r="I912" i="23"/>
  <c r="C912" i="23"/>
  <c r="K912" i="23" s="1"/>
  <c r="E912" i="23"/>
  <c r="F912" i="23"/>
  <c r="O912" i="23" s="1"/>
  <c r="G912" i="23"/>
  <c r="B913" i="23"/>
  <c r="M855" i="23"/>
  <c r="J855" i="23"/>
  <c r="N855" i="23" s="1"/>
  <c r="AE855" i="23" s="1"/>
  <c r="D855" i="23"/>
  <c r="P855" i="23"/>
  <c r="Q855" i="23"/>
  <c r="R855" i="23"/>
  <c r="L856" i="23"/>
  <c r="I856" i="23"/>
  <c r="C856" i="23"/>
  <c r="K856" i="23" s="1"/>
  <c r="E856" i="23"/>
  <c r="F856" i="23"/>
  <c r="O856" i="23" s="1"/>
  <c r="G856" i="23"/>
  <c r="B857" i="23"/>
  <c r="M799" i="23"/>
  <c r="J799" i="23"/>
  <c r="N799" i="23" s="1"/>
  <c r="AE799" i="23" s="1"/>
  <c r="D799" i="23"/>
  <c r="P799" i="23"/>
  <c r="Q799" i="23"/>
  <c r="R799" i="23"/>
  <c r="L800" i="23"/>
  <c r="I800" i="23"/>
  <c r="C800" i="23"/>
  <c r="K800" i="23" s="1"/>
  <c r="E800" i="23"/>
  <c r="F800" i="23"/>
  <c r="O800" i="23" s="1"/>
  <c r="G800" i="23"/>
  <c r="B801" i="23"/>
  <c r="M743" i="23"/>
  <c r="J743" i="23"/>
  <c r="N743" i="23" s="1"/>
  <c r="AE743" i="23" s="1"/>
  <c r="D743" i="23"/>
  <c r="P743" i="23"/>
  <c r="Q743" i="23"/>
  <c r="R743" i="23"/>
  <c r="L744" i="23"/>
  <c r="I744" i="23"/>
  <c r="C744" i="23"/>
  <c r="K744" i="23" s="1"/>
  <c r="E744" i="23"/>
  <c r="F744" i="23"/>
  <c r="O744" i="23" s="1"/>
  <c r="G744" i="23"/>
  <c r="B745" i="23"/>
  <c r="M687" i="23"/>
  <c r="J687" i="23"/>
  <c r="N687" i="23" s="1"/>
  <c r="AE687" i="23" s="1"/>
  <c r="D687" i="23"/>
  <c r="P687" i="23"/>
  <c r="Q687" i="23"/>
  <c r="R687" i="23"/>
  <c r="L688" i="23"/>
  <c r="I688" i="23"/>
  <c r="C688" i="23"/>
  <c r="K688" i="23" s="1"/>
  <c r="E688" i="23"/>
  <c r="F688" i="23"/>
  <c r="O688" i="23" s="1"/>
  <c r="G688" i="23"/>
  <c r="B689" i="23"/>
  <c r="M631" i="23"/>
  <c r="J631" i="23"/>
  <c r="N631" i="23" s="1"/>
  <c r="AE631" i="23" s="1"/>
  <c r="D631" i="23"/>
  <c r="P631" i="23"/>
  <c r="Q631" i="23"/>
  <c r="R631" i="23"/>
  <c r="L632" i="23"/>
  <c r="I632" i="23"/>
  <c r="C632" i="23"/>
  <c r="K632" i="23" s="1"/>
  <c r="E632" i="23"/>
  <c r="F632" i="23"/>
  <c r="O632" i="23" s="1"/>
  <c r="G632" i="23"/>
  <c r="B633" i="23"/>
  <c r="M575" i="23"/>
  <c r="J575" i="23"/>
  <c r="N575" i="23" s="1"/>
  <c r="AE575" i="23" s="1"/>
  <c r="D575" i="23"/>
  <c r="P575" i="23"/>
  <c r="Q575" i="23"/>
  <c r="R575" i="23"/>
  <c r="L576" i="23"/>
  <c r="I576" i="23"/>
  <c r="C576" i="23"/>
  <c r="K576" i="23" s="1"/>
  <c r="E576" i="23"/>
  <c r="F576" i="23"/>
  <c r="O576" i="23" s="1"/>
  <c r="G576" i="23"/>
  <c r="B577" i="23"/>
  <c r="M519" i="23"/>
  <c r="J519" i="23"/>
  <c r="N519" i="23" s="1"/>
  <c r="AE519" i="23" s="1"/>
  <c r="D519" i="23"/>
  <c r="P519" i="23"/>
  <c r="Q519" i="23"/>
  <c r="R519" i="23"/>
  <c r="L520" i="23"/>
  <c r="I520" i="23"/>
  <c r="C520" i="23"/>
  <c r="K520" i="23" s="1"/>
  <c r="E520" i="23"/>
  <c r="F520" i="23"/>
  <c r="O520" i="23" s="1"/>
  <c r="G520" i="23"/>
  <c r="B521" i="23"/>
  <c r="J463" i="23"/>
  <c r="D463" i="23"/>
  <c r="P463" i="23"/>
  <c r="Q463" i="23"/>
  <c r="R463" i="23"/>
  <c r="L464" i="23"/>
  <c r="I464" i="23"/>
  <c r="E464" i="23"/>
  <c r="G464" i="23"/>
  <c r="B465" i="23"/>
  <c r="C464" i="23"/>
  <c r="P407" i="23"/>
  <c r="Q407" i="23"/>
  <c r="R407" i="23"/>
  <c r="J407" i="23"/>
  <c r="D407" i="23"/>
  <c r="L408" i="23"/>
  <c r="I408" i="23"/>
  <c r="B409" i="23"/>
  <c r="C408" i="23"/>
  <c r="E408" i="23"/>
  <c r="G408" i="23"/>
  <c r="M351" i="23"/>
  <c r="J351" i="23"/>
  <c r="N351" i="23" s="1"/>
  <c r="AE351" i="23" s="1"/>
  <c r="D351" i="23"/>
  <c r="P351" i="23"/>
  <c r="Q351" i="23"/>
  <c r="R351" i="23"/>
  <c r="L352" i="23"/>
  <c r="I352" i="23"/>
  <c r="C352" i="23"/>
  <c r="K352" i="23" s="1"/>
  <c r="E352" i="23"/>
  <c r="F352" i="23"/>
  <c r="O352" i="23" s="1"/>
  <c r="G352" i="23"/>
  <c r="B353" i="23"/>
  <c r="M295" i="23"/>
  <c r="J295" i="23"/>
  <c r="N295" i="23" s="1"/>
  <c r="AE295" i="23" s="1"/>
  <c r="D295" i="23"/>
  <c r="P295" i="23"/>
  <c r="Q295" i="23"/>
  <c r="R295" i="23"/>
  <c r="L296" i="23"/>
  <c r="I296" i="23"/>
  <c r="C296" i="23"/>
  <c r="K296" i="23" s="1"/>
  <c r="E296" i="23"/>
  <c r="F296" i="23"/>
  <c r="O296" i="23" s="1"/>
  <c r="G296" i="23"/>
  <c r="B297" i="23"/>
  <c r="D4774" i="22"/>
  <c r="J4774" i="22"/>
  <c r="N4774" i="22" s="1"/>
  <c r="P4774" i="22"/>
  <c r="R4774" i="22"/>
  <c r="Q4774" i="22"/>
  <c r="M4774" i="22"/>
  <c r="C4775" i="22"/>
  <c r="E4775" i="22"/>
  <c r="F4775" i="22"/>
  <c r="G4775" i="22"/>
  <c r="I4775" i="22"/>
  <c r="K4775" i="22"/>
  <c r="L4775" i="22"/>
  <c r="B4776" i="22"/>
  <c r="S4719" i="22"/>
  <c r="U4719" i="22"/>
  <c r="D4720" i="22"/>
  <c r="J4720" i="22"/>
  <c r="P4720" i="22"/>
  <c r="Q4720" i="22"/>
  <c r="R4720" i="22"/>
  <c r="L4721" i="22"/>
  <c r="C4721" i="22"/>
  <c r="E4721" i="22"/>
  <c r="G4721" i="22"/>
  <c r="I4721" i="22"/>
  <c r="B4722" i="22"/>
  <c r="P4666" i="22"/>
  <c r="Q4666" i="22"/>
  <c r="R4666" i="22"/>
  <c r="C4667" i="22"/>
  <c r="E4667" i="22"/>
  <c r="G4667" i="22"/>
  <c r="B4668" i="22"/>
  <c r="M4612" i="22"/>
  <c r="J4612" i="22"/>
  <c r="N4612" i="22" s="1"/>
  <c r="D4612" i="22"/>
  <c r="P4612" i="22"/>
  <c r="Q4612" i="22"/>
  <c r="R4612" i="22"/>
  <c r="I4613" i="22"/>
  <c r="L4613" i="22"/>
  <c r="C4613" i="22"/>
  <c r="K4613" i="22" s="1"/>
  <c r="E4613" i="22"/>
  <c r="F4613" i="22"/>
  <c r="G4613" i="22"/>
  <c r="B4614" i="22"/>
  <c r="M4558" i="22"/>
  <c r="D4558" i="22"/>
  <c r="J4558" i="22"/>
  <c r="N4558" i="22" s="1"/>
  <c r="P4558" i="22"/>
  <c r="Q4558" i="22"/>
  <c r="R4558" i="22"/>
  <c r="L4559" i="22"/>
  <c r="C4559" i="22"/>
  <c r="E4559" i="22"/>
  <c r="G4559" i="22"/>
  <c r="I4559" i="22"/>
  <c r="B4560" i="22"/>
  <c r="D4258" i="22"/>
  <c r="J4258" i="22"/>
  <c r="P4258" i="22"/>
  <c r="Q4258" i="22"/>
  <c r="R4258" i="22"/>
  <c r="C4259" i="22"/>
  <c r="F4259" i="22" s="1"/>
  <c r="O4259" i="22" s="1"/>
  <c r="E4259" i="22"/>
  <c r="G4259" i="22"/>
  <c r="I4259" i="22"/>
  <c r="K4259" i="22"/>
  <c r="L4259" i="22"/>
  <c r="B4260" i="22"/>
  <c r="M4204" i="22"/>
  <c r="D4204" i="22"/>
  <c r="J4204" i="22"/>
  <c r="N4204" i="22" s="1"/>
  <c r="U4204" i="22" s="1"/>
  <c r="P4204" i="22"/>
  <c r="Q4204" i="22"/>
  <c r="R4204" i="22"/>
  <c r="L4205" i="22"/>
  <c r="C4205" i="22"/>
  <c r="K4205" i="22" s="1"/>
  <c r="E4205" i="22"/>
  <c r="F4205" i="22"/>
  <c r="O4205" i="22" s="1"/>
  <c r="G4205" i="22"/>
  <c r="I4205" i="22"/>
  <c r="B4206" i="22"/>
  <c r="M4150" i="22"/>
  <c r="D4150" i="22"/>
  <c r="J4150" i="22"/>
  <c r="N4150" i="22" s="1"/>
  <c r="U4150" i="22" s="1"/>
  <c r="P4150" i="22"/>
  <c r="Q4150" i="22"/>
  <c r="R4150" i="22"/>
  <c r="L4151" i="22"/>
  <c r="C4151" i="22"/>
  <c r="K4151" i="22" s="1"/>
  <c r="E4151" i="22"/>
  <c r="F4151" i="22"/>
  <c r="O4151" i="22" s="1"/>
  <c r="G4151" i="22"/>
  <c r="I4151" i="22"/>
  <c r="B4152" i="22"/>
  <c r="M4096" i="22"/>
  <c r="D4096" i="22"/>
  <c r="J4096" i="22"/>
  <c r="N4096" i="22" s="1"/>
  <c r="U4096" i="22" s="1"/>
  <c r="P4096" i="22"/>
  <c r="Q4096" i="22"/>
  <c r="R4096" i="22"/>
  <c r="L4097" i="22"/>
  <c r="C4097" i="22"/>
  <c r="K4097" i="22" s="1"/>
  <c r="E4097" i="22"/>
  <c r="F4097" i="22"/>
  <c r="O4097" i="22" s="1"/>
  <c r="G4097" i="22"/>
  <c r="I4097" i="22"/>
  <c r="B4098" i="22"/>
  <c r="M3796" i="22"/>
  <c r="D3796" i="22"/>
  <c r="J3796" i="22"/>
  <c r="N3796" i="22" s="1"/>
  <c r="U3796" i="22" s="1"/>
  <c r="P3796" i="22"/>
  <c r="Q3796" i="22"/>
  <c r="R3796" i="22"/>
  <c r="L3797" i="22"/>
  <c r="C3797" i="22"/>
  <c r="K3797" i="22" s="1"/>
  <c r="E3797" i="22"/>
  <c r="F3797" i="22"/>
  <c r="O3797" i="22" s="1"/>
  <c r="G3797" i="22"/>
  <c r="I3797" i="22"/>
  <c r="B3798" i="22"/>
  <c r="M3742" i="22"/>
  <c r="D3742" i="22"/>
  <c r="J3742" i="22"/>
  <c r="N3742" i="22" s="1"/>
  <c r="U3742" i="22" s="1"/>
  <c r="P3742" i="22"/>
  <c r="Q3742" i="22"/>
  <c r="R3742" i="22"/>
  <c r="L3743" i="22"/>
  <c r="C3743" i="22"/>
  <c r="E3743" i="22"/>
  <c r="G3743" i="22"/>
  <c r="I3743" i="22"/>
  <c r="B3744" i="22"/>
  <c r="M3688" i="22"/>
  <c r="D3688" i="22"/>
  <c r="J3688" i="22"/>
  <c r="N3688" i="22" s="1"/>
  <c r="U3688" i="22" s="1"/>
  <c r="P3688" i="22"/>
  <c r="Q3688" i="22"/>
  <c r="R3688" i="22"/>
  <c r="L3689" i="22"/>
  <c r="C3689" i="22"/>
  <c r="E3689" i="22"/>
  <c r="G3689" i="22"/>
  <c r="I3689" i="22"/>
  <c r="B3690" i="22"/>
  <c r="M3634" i="22"/>
  <c r="D3634" i="22"/>
  <c r="J3634" i="22"/>
  <c r="N3634" i="22" s="1"/>
  <c r="U3634" i="22" s="1"/>
  <c r="P3634" i="22"/>
  <c r="Q3634" i="22"/>
  <c r="R3634" i="22"/>
  <c r="L3635" i="22"/>
  <c r="C3635" i="22"/>
  <c r="E3635" i="22"/>
  <c r="G3635" i="22"/>
  <c r="I3635" i="22"/>
  <c r="B3636" i="22"/>
  <c r="M3580" i="22"/>
  <c r="D3580" i="22"/>
  <c r="J3580" i="22"/>
  <c r="N3580" i="22" s="1"/>
  <c r="U3580" i="22" s="1"/>
  <c r="P3580" i="22"/>
  <c r="Q3580" i="22"/>
  <c r="R3580" i="22"/>
  <c r="L3581" i="22"/>
  <c r="G3581" i="22"/>
  <c r="I3581" i="22"/>
  <c r="C3581" i="22"/>
  <c r="K3581" i="22" s="1"/>
  <c r="E3581" i="22"/>
  <c r="F3581" i="22"/>
  <c r="O3581" i="22" s="1"/>
  <c r="B3582" i="22"/>
  <c r="M3526" i="22"/>
  <c r="D3526" i="22"/>
  <c r="J3526" i="22"/>
  <c r="N3526" i="22" s="1"/>
  <c r="U3526" i="22" s="1"/>
  <c r="P3526" i="22"/>
  <c r="Q3526" i="22"/>
  <c r="R3526" i="22"/>
  <c r="L3527" i="22"/>
  <c r="I3527" i="22"/>
  <c r="C3527" i="22"/>
  <c r="E3527" i="22"/>
  <c r="G3527" i="22"/>
  <c r="B3528" i="22"/>
  <c r="D3472" i="22"/>
  <c r="J3472" i="22"/>
  <c r="P3472" i="22"/>
  <c r="Q3472" i="22"/>
  <c r="R3472" i="22"/>
  <c r="L3473" i="22"/>
  <c r="C3473" i="22"/>
  <c r="K3473" i="22" s="1"/>
  <c r="E3473" i="22"/>
  <c r="F3473" i="22"/>
  <c r="O3473" i="22" s="1"/>
  <c r="G3473" i="22"/>
  <c r="I3473" i="22"/>
  <c r="B3474" i="22"/>
  <c r="M3418" i="22"/>
  <c r="D3418" i="22"/>
  <c r="J3418" i="22"/>
  <c r="N3418" i="22" s="1"/>
  <c r="U3418" i="22" s="1"/>
  <c r="P3418" i="22"/>
  <c r="Q3418" i="22"/>
  <c r="R3418" i="22"/>
  <c r="L3419" i="22"/>
  <c r="C3419" i="22"/>
  <c r="E3419" i="22"/>
  <c r="G3419" i="22"/>
  <c r="I3419" i="22"/>
  <c r="B3420" i="22"/>
  <c r="D3364" i="22"/>
  <c r="J3364" i="22"/>
  <c r="P3364" i="22"/>
  <c r="Q3364" i="22"/>
  <c r="R3364" i="22"/>
  <c r="L3365" i="22"/>
  <c r="C3365" i="22"/>
  <c r="E3365" i="22"/>
  <c r="G3365" i="22"/>
  <c r="I3365" i="22"/>
  <c r="B3366" i="22"/>
  <c r="M3310" i="22"/>
  <c r="D3310" i="22"/>
  <c r="J3310" i="22"/>
  <c r="N3310" i="22" s="1"/>
  <c r="U3310" i="22" s="1"/>
  <c r="P3310" i="22"/>
  <c r="Q3310" i="22"/>
  <c r="R3310" i="22"/>
  <c r="L3311" i="22"/>
  <c r="C3311" i="22"/>
  <c r="E3311" i="22"/>
  <c r="G3311" i="22"/>
  <c r="I3311" i="22"/>
  <c r="B3312" i="22"/>
  <c r="M3256" i="22"/>
  <c r="D3256" i="22"/>
  <c r="J3256" i="22"/>
  <c r="N3256" i="22" s="1"/>
  <c r="U3256" i="22" s="1"/>
  <c r="P3256" i="22"/>
  <c r="Q3256" i="22"/>
  <c r="R3256" i="22"/>
  <c r="L3257" i="22"/>
  <c r="C3257" i="22"/>
  <c r="K3257" i="22" s="1"/>
  <c r="E3257" i="22"/>
  <c r="F3257" i="22"/>
  <c r="O3257" i="22" s="1"/>
  <c r="G3257" i="22"/>
  <c r="I3257" i="22"/>
  <c r="B3258" i="22"/>
  <c r="M3202" i="22"/>
  <c r="D3202" i="22"/>
  <c r="J3202" i="22"/>
  <c r="N3202" i="22" s="1"/>
  <c r="U3202" i="22" s="1"/>
  <c r="P3202" i="22"/>
  <c r="Q3202" i="22"/>
  <c r="R3202" i="22"/>
  <c r="L3203" i="22"/>
  <c r="C3203" i="22"/>
  <c r="K3203" i="22" s="1"/>
  <c r="E3203" i="22"/>
  <c r="F3203" i="22"/>
  <c r="O3203" i="22" s="1"/>
  <c r="G3203" i="22"/>
  <c r="I3203" i="22"/>
  <c r="B3204" i="22"/>
  <c r="P3148" i="22"/>
  <c r="Q3148" i="22"/>
  <c r="R3148" i="22"/>
  <c r="L3149" i="22"/>
  <c r="C3149" i="22"/>
  <c r="E3149" i="22"/>
  <c r="G3149" i="22"/>
  <c r="I3149" i="22"/>
  <c r="B3150" i="22"/>
  <c r="D3148" i="22"/>
  <c r="J3148" i="22"/>
  <c r="L3095" i="22"/>
  <c r="C3095" i="22"/>
  <c r="E3095" i="22"/>
  <c r="G3095" i="22"/>
  <c r="B3096" i="22"/>
  <c r="I3095" i="22"/>
  <c r="D3094" i="22"/>
  <c r="J3094" i="22"/>
  <c r="P3094" i="22"/>
  <c r="Q3094" i="22"/>
  <c r="R3094" i="22"/>
  <c r="L3041" i="22"/>
  <c r="C3041" i="22"/>
  <c r="K3041" i="22" s="1"/>
  <c r="F3041" i="22"/>
  <c r="O3041" i="22" s="1"/>
  <c r="G3041" i="22"/>
  <c r="I3041" i="22"/>
  <c r="E3041" i="22"/>
  <c r="B3042" i="22"/>
  <c r="D3040" i="22"/>
  <c r="J3040" i="22"/>
  <c r="P3040" i="22"/>
  <c r="Q3040" i="22"/>
  <c r="R3040" i="22"/>
  <c r="D2986" i="22"/>
  <c r="J2986" i="22"/>
  <c r="P2986" i="22"/>
  <c r="Q2986" i="22"/>
  <c r="R2986" i="22"/>
  <c r="L2987" i="22"/>
  <c r="C2987" i="22"/>
  <c r="E2987" i="22"/>
  <c r="G2987" i="22"/>
  <c r="B2988" i="22"/>
  <c r="I2987" i="22"/>
  <c r="M2932" i="22"/>
  <c r="D2932" i="22"/>
  <c r="J2932" i="22"/>
  <c r="N2932" i="22" s="1"/>
  <c r="U2932" i="22" s="1"/>
  <c r="P2932" i="22"/>
  <c r="Q2932" i="22"/>
  <c r="R2932" i="22"/>
  <c r="L2933" i="22"/>
  <c r="C2933" i="22"/>
  <c r="E2933" i="22"/>
  <c r="G2933" i="22"/>
  <c r="I2933" i="22"/>
  <c r="B2934" i="22"/>
  <c r="M2878" i="22"/>
  <c r="D2878" i="22"/>
  <c r="J2878" i="22"/>
  <c r="N2878" i="22" s="1"/>
  <c r="U2878" i="22" s="1"/>
  <c r="P2878" i="22"/>
  <c r="Q2878" i="22"/>
  <c r="R2878" i="22"/>
  <c r="L2879" i="22"/>
  <c r="C2879" i="22"/>
  <c r="K2879" i="22" s="1"/>
  <c r="E2879" i="22"/>
  <c r="F2879" i="22"/>
  <c r="O2879" i="22" s="1"/>
  <c r="G2879" i="22"/>
  <c r="I2879" i="22"/>
  <c r="B2880" i="22"/>
  <c r="M2824" i="22"/>
  <c r="D2824" i="22"/>
  <c r="J2824" i="22"/>
  <c r="N2824" i="22" s="1"/>
  <c r="S2824" i="22" s="1"/>
  <c r="P2824" i="22"/>
  <c r="Q2824" i="22"/>
  <c r="R2824" i="22"/>
  <c r="T2824" i="22"/>
  <c r="U2824" i="22" s="1"/>
  <c r="L2825" i="22"/>
  <c r="C2825" i="22"/>
  <c r="E2825" i="22"/>
  <c r="G2825" i="22"/>
  <c r="I2825" i="22"/>
  <c r="B2826" i="22"/>
  <c r="M2770" i="22"/>
  <c r="D2770" i="22"/>
  <c r="J2770" i="22"/>
  <c r="N2770" i="22" s="1"/>
  <c r="U2770" i="22" s="1"/>
  <c r="P2770" i="22"/>
  <c r="Q2770" i="22"/>
  <c r="R2770" i="22"/>
  <c r="L2771" i="22"/>
  <c r="C2771" i="22"/>
  <c r="K2771" i="22" s="1"/>
  <c r="E2771" i="22"/>
  <c r="F2771" i="22"/>
  <c r="O2771" i="22" s="1"/>
  <c r="G2771" i="22"/>
  <c r="I2771" i="22"/>
  <c r="B2772" i="22"/>
  <c r="M2716" i="22"/>
  <c r="D2716" i="22"/>
  <c r="J2716" i="22"/>
  <c r="N2716" i="22" s="1"/>
  <c r="U2716" i="22" s="1"/>
  <c r="P2716" i="22"/>
  <c r="Q2716" i="22"/>
  <c r="R2716" i="22"/>
  <c r="L2717" i="22"/>
  <c r="C2717" i="22"/>
  <c r="K2717" i="22" s="1"/>
  <c r="E2717" i="22"/>
  <c r="F2717" i="22"/>
  <c r="O2717" i="22" s="1"/>
  <c r="G2717" i="22"/>
  <c r="I2717" i="22"/>
  <c r="B2718" i="22"/>
  <c r="D2662" i="22"/>
  <c r="J2662" i="22"/>
  <c r="P2662" i="22"/>
  <c r="Q2662" i="22"/>
  <c r="R2662" i="22"/>
  <c r="L2663" i="22"/>
  <c r="C2663" i="22"/>
  <c r="E2663" i="22"/>
  <c r="G2663" i="22"/>
  <c r="I2663" i="22"/>
  <c r="B2664" i="22"/>
  <c r="M2608" i="22"/>
  <c r="D2608" i="22"/>
  <c r="J2608" i="22"/>
  <c r="N2608" i="22" s="1"/>
  <c r="U2608" i="22" s="1"/>
  <c r="P2608" i="22"/>
  <c r="Q2608" i="22"/>
  <c r="R2608" i="22"/>
  <c r="L2609" i="22"/>
  <c r="C2609" i="22"/>
  <c r="E2609" i="22"/>
  <c r="G2609" i="22"/>
  <c r="I2609" i="22"/>
  <c r="B2610" i="22"/>
  <c r="M2554" i="22"/>
  <c r="D2554" i="22"/>
  <c r="J2554" i="22"/>
  <c r="N2554" i="22" s="1"/>
  <c r="U2554" i="22" s="1"/>
  <c r="P2554" i="22"/>
  <c r="Q2554" i="22"/>
  <c r="R2554" i="22"/>
  <c r="L2555" i="22"/>
  <c r="C2555" i="22"/>
  <c r="K2555" i="22" s="1"/>
  <c r="E2555" i="22"/>
  <c r="F2555" i="22"/>
  <c r="O2555" i="22" s="1"/>
  <c r="G2555" i="22"/>
  <c r="I2555" i="22"/>
  <c r="B2556" i="22"/>
  <c r="M2500" i="22"/>
  <c r="D2500" i="22"/>
  <c r="J2500" i="22"/>
  <c r="N2500" i="22" s="1"/>
  <c r="U2500" i="22" s="1"/>
  <c r="P2500" i="22"/>
  <c r="Q2500" i="22"/>
  <c r="R2500" i="22"/>
  <c r="L2501" i="22"/>
  <c r="C2501" i="22"/>
  <c r="K2501" i="22" s="1"/>
  <c r="E2501" i="22"/>
  <c r="F2501" i="22"/>
  <c r="O2501" i="22" s="1"/>
  <c r="G2501" i="22"/>
  <c r="I2501" i="22"/>
  <c r="B2502" i="22"/>
  <c r="M2446" i="22"/>
  <c r="D2446" i="22"/>
  <c r="J2446" i="22"/>
  <c r="N2446" i="22" s="1"/>
  <c r="U2446" i="22" s="1"/>
  <c r="P2446" i="22"/>
  <c r="Q2446" i="22"/>
  <c r="R2446" i="22"/>
  <c r="L2447" i="22"/>
  <c r="C2447" i="22"/>
  <c r="K2447" i="22" s="1"/>
  <c r="E2447" i="22"/>
  <c r="F2447" i="22"/>
  <c r="O2447" i="22" s="1"/>
  <c r="G2447" i="22"/>
  <c r="I2447" i="22"/>
  <c r="B2448" i="22"/>
  <c r="D2392" i="22"/>
  <c r="J2392" i="22"/>
  <c r="P2392" i="22"/>
  <c r="Q2392" i="22"/>
  <c r="R2392" i="22"/>
  <c r="L2393" i="22"/>
  <c r="C2393" i="22"/>
  <c r="K2393" i="22" s="1"/>
  <c r="E2393" i="22"/>
  <c r="F2393" i="22"/>
  <c r="O2393" i="22" s="1"/>
  <c r="G2393" i="22"/>
  <c r="I2393" i="22"/>
  <c r="B2394" i="22"/>
  <c r="D2338" i="22"/>
  <c r="J2338" i="22"/>
  <c r="P2338" i="22"/>
  <c r="Q2338" i="22"/>
  <c r="R2338" i="22"/>
  <c r="L2339" i="22"/>
  <c r="C2339" i="22"/>
  <c r="E2339" i="22"/>
  <c r="G2339" i="22"/>
  <c r="I2339" i="22"/>
  <c r="B2340" i="22"/>
  <c r="P2284" i="22"/>
  <c r="Q2284" i="22"/>
  <c r="R2284" i="22"/>
  <c r="D2284" i="22"/>
  <c r="J2284" i="22"/>
  <c r="L2285" i="22"/>
  <c r="I2285" i="22"/>
  <c r="C2285" i="22"/>
  <c r="B2286" i="22"/>
  <c r="E2285" i="22"/>
  <c r="G2285" i="22"/>
  <c r="M2230" i="22"/>
  <c r="D2230" i="22"/>
  <c r="J2230" i="22"/>
  <c r="N2230" i="22" s="1"/>
  <c r="U2230" i="22" s="1"/>
  <c r="P2230" i="22"/>
  <c r="Q2230" i="22"/>
  <c r="R2230" i="22"/>
  <c r="L2231" i="22"/>
  <c r="C2231" i="22"/>
  <c r="E2231" i="22"/>
  <c r="G2231" i="22"/>
  <c r="I2231" i="22"/>
  <c r="B2232" i="22"/>
  <c r="M2176" i="22"/>
  <c r="D2176" i="22"/>
  <c r="J2176" i="22"/>
  <c r="N2176" i="22" s="1"/>
  <c r="U2176" i="22" s="1"/>
  <c r="P2176" i="22"/>
  <c r="Q2176" i="22"/>
  <c r="R2176" i="22"/>
  <c r="L2177" i="22"/>
  <c r="C2177" i="22"/>
  <c r="E2177" i="22"/>
  <c r="G2177" i="22"/>
  <c r="I2177" i="22"/>
  <c r="B2178" i="22"/>
  <c r="M2122" i="22"/>
  <c r="D2122" i="22"/>
  <c r="J2122" i="22"/>
  <c r="N2122" i="22" s="1"/>
  <c r="U2122" i="22" s="1"/>
  <c r="P2122" i="22"/>
  <c r="Q2122" i="22"/>
  <c r="R2122" i="22"/>
  <c r="L2123" i="22"/>
  <c r="C2123" i="22"/>
  <c r="K2123" i="22" s="1"/>
  <c r="E2123" i="22"/>
  <c r="F2123" i="22"/>
  <c r="O2123" i="22" s="1"/>
  <c r="G2123" i="22"/>
  <c r="I2123" i="22"/>
  <c r="B2124" i="22"/>
  <c r="D2068" i="22"/>
  <c r="J2068" i="22"/>
  <c r="P2068" i="22"/>
  <c r="Q2068" i="22"/>
  <c r="R2068" i="22"/>
  <c r="L2069" i="22"/>
  <c r="C2069" i="22"/>
  <c r="K2069" i="22" s="1"/>
  <c r="E2069" i="22"/>
  <c r="F2069" i="22"/>
  <c r="O2069" i="22" s="1"/>
  <c r="G2069" i="22"/>
  <c r="I2069" i="22"/>
  <c r="B2070" i="22"/>
  <c r="D2014" i="22"/>
  <c r="J2014" i="22"/>
  <c r="P2014" i="22"/>
  <c r="Q2014" i="22"/>
  <c r="R2014" i="22"/>
  <c r="L2015" i="22"/>
  <c r="C2015" i="22"/>
  <c r="E2015" i="22"/>
  <c r="G2015" i="22"/>
  <c r="I2015" i="22"/>
  <c r="B2016" i="22"/>
  <c r="D1960" i="22"/>
  <c r="J1960" i="22"/>
  <c r="P1960" i="22"/>
  <c r="Q1960" i="22"/>
  <c r="R1960" i="22"/>
  <c r="L1961" i="22"/>
  <c r="C1961" i="22"/>
  <c r="K1961" i="22" s="1"/>
  <c r="E1961" i="22"/>
  <c r="F1961" i="22"/>
  <c r="O1961" i="22" s="1"/>
  <c r="G1961" i="22"/>
  <c r="I1961" i="22"/>
  <c r="B1962" i="22"/>
  <c r="M1906" i="22"/>
  <c r="D1906" i="22"/>
  <c r="J1906" i="22"/>
  <c r="N1906" i="22" s="1"/>
  <c r="U1906" i="22" s="1"/>
  <c r="P1906" i="22"/>
  <c r="Q1906" i="22"/>
  <c r="R1906" i="22"/>
  <c r="L1907" i="22"/>
  <c r="C1907" i="22"/>
  <c r="E1907" i="22"/>
  <c r="G1907" i="22"/>
  <c r="I1907" i="22"/>
  <c r="B1908" i="22"/>
  <c r="M1852" i="22"/>
  <c r="D1852" i="22"/>
  <c r="J1852" i="22"/>
  <c r="N1852" i="22" s="1"/>
  <c r="U1852" i="22" s="1"/>
  <c r="P1852" i="22"/>
  <c r="Q1852" i="22"/>
  <c r="R1852" i="22"/>
  <c r="L1853" i="22"/>
  <c r="C1853" i="22"/>
  <c r="E1853" i="22"/>
  <c r="G1853" i="22"/>
  <c r="I1853" i="22"/>
  <c r="B1854" i="22"/>
  <c r="M1798" i="22"/>
  <c r="D1798" i="22"/>
  <c r="J1798" i="22"/>
  <c r="N1798" i="22" s="1"/>
  <c r="U1798" i="22" s="1"/>
  <c r="P1798" i="22"/>
  <c r="Q1798" i="22"/>
  <c r="R1798" i="22"/>
  <c r="L1799" i="22"/>
  <c r="C1799" i="22"/>
  <c r="E1799" i="22"/>
  <c r="G1799" i="22"/>
  <c r="I1799" i="22"/>
  <c r="B1800" i="22"/>
  <c r="M1744" i="22"/>
  <c r="D1744" i="22"/>
  <c r="J1744" i="22"/>
  <c r="N1744" i="22" s="1"/>
  <c r="U1744" i="22" s="1"/>
  <c r="P1744" i="22"/>
  <c r="Q1744" i="22"/>
  <c r="R1744" i="22"/>
  <c r="L1745" i="22"/>
  <c r="C1745" i="22"/>
  <c r="E1745" i="22"/>
  <c r="G1745" i="22"/>
  <c r="I1745" i="22"/>
  <c r="B1746" i="22"/>
  <c r="M1690" i="22"/>
  <c r="D1690" i="22"/>
  <c r="J1690" i="22"/>
  <c r="N1690" i="22" s="1"/>
  <c r="U1690" i="22" s="1"/>
  <c r="P1690" i="22"/>
  <c r="Q1690" i="22"/>
  <c r="R1690" i="22"/>
  <c r="L1691" i="22"/>
  <c r="C1691" i="22"/>
  <c r="K1691" i="22" s="1"/>
  <c r="E1691" i="22"/>
  <c r="F1691" i="22"/>
  <c r="O1691" i="22" s="1"/>
  <c r="G1691" i="22"/>
  <c r="I1691" i="22"/>
  <c r="B1692" i="22"/>
  <c r="D1636" i="22"/>
  <c r="J1636" i="22"/>
  <c r="P1636" i="22"/>
  <c r="Q1636" i="22"/>
  <c r="R1636" i="22"/>
  <c r="L1637" i="22"/>
  <c r="C1637" i="22"/>
  <c r="K1637" i="22" s="1"/>
  <c r="E1637" i="22"/>
  <c r="F1637" i="22"/>
  <c r="O1637" i="22" s="1"/>
  <c r="G1637" i="22"/>
  <c r="I1637" i="22"/>
  <c r="B1638" i="22"/>
  <c r="M1582" i="22"/>
  <c r="D1582" i="22"/>
  <c r="J1582" i="22"/>
  <c r="N1582" i="22" s="1"/>
  <c r="U1582" i="22" s="1"/>
  <c r="P1582" i="22"/>
  <c r="Q1582" i="22"/>
  <c r="R1582" i="22"/>
  <c r="L1583" i="22"/>
  <c r="C1583" i="22"/>
  <c r="K1583" i="22" s="1"/>
  <c r="E1583" i="22"/>
  <c r="F1583" i="22"/>
  <c r="O1583" i="22" s="1"/>
  <c r="G1583" i="22"/>
  <c r="I1583" i="22"/>
  <c r="B1584" i="22"/>
  <c r="M1528" i="22"/>
  <c r="D1528" i="22"/>
  <c r="J1528" i="22"/>
  <c r="N1528" i="22" s="1"/>
  <c r="U1528" i="22" s="1"/>
  <c r="P1528" i="22"/>
  <c r="Q1528" i="22"/>
  <c r="R1528" i="22"/>
  <c r="L1529" i="22"/>
  <c r="C1529" i="22"/>
  <c r="K1529" i="22" s="1"/>
  <c r="E1529" i="22"/>
  <c r="F1529" i="22"/>
  <c r="O1529" i="22" s="1"/>
  <c r="G1529" i="22"/>
  <c r="I1529" i="22"/>
  <c r="B1530" i="22"/>
  <c r="M1474" i="22"/>
  <c r="D1474" i="22"/>
  <c r="J1474" i="22"/>
  <c r="N1474" i="22" s="1"/>
  <c r="U1474" i="22" s="1"/>
  <c r="P1474" i="22"/>
  <c r="Q1474" i="22"/>
  <c r="R1474" i="22"/>
  <c r="L1475" i="22"/>
  <c r="C1475" i="22"/>
  <c r="K1475" i="22" s="1"/>
  <c r="E1475" i="22"/>
  <c r="F1475" i="22"/>
  <c r="O1475" i="22" s="1"/>
  <c r="G1475" i="22"/>
  <c r="I1475" i="22"/>
  <c r="B1476" i="22"/>
  <c r="M1420" i="22"/>
  <c r="D1420" i="22"/>
  <c r="J1420" i="22"/>
  <c r="N1420" i="22" s="1"/>
  <c r="U1420" i="22" s="1"/>
  <c r="P1420" i="22"/>
  <c r="Q1420" i="22"/>
  <c r="R1420" i="22"/>
  <c r="L1421" i="22"/>
  <c r="C1421" i="22"/>
  <c r="K1421" i="22" s="1"/>
  <c r="E1421" i="22"/>
  <c r="F1421" i="22"/>
  <c r="O1421" i="22" s="1"/>
  <c r="G1421" i="22"/>
  <c r="I1421" i="22"/>
  <c r="B1422" i="22"/>
  <c r="D1366" i="22"/>
  <c r="J1366" i="22"/>
  <c r="P1366" i="22"/>
  <c r="Q1366" i="22"/>
  <c r="R1366" i="22"/>
  <c r="L1367" i="22"/>
  <c r="C1367" i="22"/>
  <c r="K1367" i="22" s="1"/>
  <c r="E1367" i="22"/>
  <c r="F1367" i="22"/>
  <c r="O1367" i="22" s="1"/>
  <c r="G1367" i="22"/>
  <c r="I1367" i="22"/>
  <c r="B1368" i="22"/>
  <c r="D1312" i="22"/>
  <c r="J1312" i="22"/>
  <c r="P1312" i="22"/>
  <c r="Q1312" i="22"/>
  <c r="R1312" i="22"/>
  <c r="L1313" i="22"/>
  <c r="C1313" i="22"/>
  <c r="K1313" i="22" s="1"/>
  <c r="E1313" i="22"/>
  <c r="F1313" i="22"/>
  <c r="O1313" i="22" s="1"/>
  <c r="G1313" i="22"/>
  <c r="I1313" i="22"/>
  <c r="B1314" i="22"/>
  <c r="M1258" i="22"/>
  <c r="D1258" i="22"/>
  <c r="J1258" i="22"/>
  <c r="N1258" i="22" s="1"/>
  <c r="U1258" i="22" s="1"/>
  <c r="P1258" i="22"/>
  <c r="Q1258" i="22"/>
  <c r="R1258" i="22"/>
  <c r="L1259" i="22"/>
  <c r="C1259" i="22"/>
  <c r="K1259" i="22" s="1"/>
  <c r="E1259" i="22"/>
  <c r="F1259" i="22"/>
  <c r="O1259" i="22" s="1"/>
  <c r="G1259" i="22"/>
  <c r="I1259" i="22"/>
  <c r="B1260" i="22"/>
  <c r="M1204" i="22"/>
  <c r="D1204" i="22"/>
  <c r="J1204" i="22"/>
  <c r="N1204" i="22" s="1"/>
  <c r="U1204" i="22" s="1"/>
  <c r="P1204" i="22"/>
  <c r="Q1204" i="22"/>
  <c r="R1204" i="22"/>
  <c r="L1205" i="22"/>
  <c r="C1205" i="22"/>
  <c r="E1205" i="22"/>
  <c r="G1205" i="22"/>
  <c r="I1205" i="22"/>
  <c r="B1206" i="22"/>
  <c r="M1150" i="22"/>
  <c r="D1150" i="22"/>
  <c r="J1150" i="22"/>
  <c r="N1150" i="22" s="1"/>
  <c r="U1150" i="22" s="1"/>
  <c r="P1150" i="22"/>
  <c r="Q1150" i="22"/>
  <c r="R1150" i="22"/>
  <c r="L1151" i="22"/>
  <c r="C1151" i="22"/>
  <c r="E1151" i="22"/>
  <c r="G1151" i="22"/>
  <c r="I1151" i="22"/>
  <c r="B1152" i="22"/>
  <c r="M1096" i="22"/>
  <c r="D1096" i="22"/>
  <c r="J1096" i="22"/>
  <c r="N1096" i="22" s="1"/>
  <c r="U1096" i="22" s="1"/>
  <c r="P1096" i="22"/>
  <c r="Q1096" i="22"/>
  <c r="R1096" i="22"/>
  <c r="L1097" i="22"/>
  <c r="C1097" i="22"/>
  <c r="K1097" i="22" s="1"/>
  <c r="E1097" i="22"/>
  <c r="F1097" i="22"/>
  <c r="O1097" i="22" s="1"/>
  <c r="G1097" i="22"/>
  <c r="I1097" i="22"/>
  <c r="B1098" i="22"/>
  <c r="M1042" i="22"/>
  <c r="P1042" i="22"/>
  <c r="Q1042" i="22"/>
  <c r="R1042" i="22"/>
  <c r="L1043" i="22"/>
  <c r="B1044" i="22"/>
  <c r="G1043" i="22"/>
  <c r="C1043" i="22"/>
  <c r="I1043" i="22"/>
  <c r="E1043" i="22"/>
  <c r="D1042" i="22"/>
  <c r="J1042" i="22"/>
  <c r="N1042" i="22" s="1"/>
  <c r="U1042" i="22" s="1"/>
  <c r="D988" i="22"/>
  <c r="J988" i="22"/>
  <c r="P988" i="22"/>
  <c r="Q988" i="22"/>
  <c r="R988" i="22"/>
  <c r="L989" i="22"/>
  <c r="C989" i="22"/>
  <c r="K989" i="22" s="1"/>
  <c r="E989" i="22"/>
  <c r="F989" i="22"/>
  <c r="O989" i="22" s="1"/>
  <c r="G989" i="22"/>
  <c r="I989" i="22"/>
  <c r="B990" i="22"/>
  <c r="M934" i="22"/>
  <c r="D934" i="22"/>
  <c r="J934" i="22"/>
  <c r="N934" i="22" s="1"/>
  <c r="U934" i="22" s="1"/>
  <c r="P934" i="22"/>
  <c r="Q934" i="22"/>
  <c r="R934" i="22"/>
  <c r="L935" i="22"/>
  <c r="C935" i="22"/>
  <c r="E935" i="22"/>
  <c r="G935" i="22"/>
  <c r="I935" i="22"/>
  <c r="B936" i="22"/>
  <c r="M880" i="22"/>
  <c r="D880" i="22"/>
  <c r="J880" i="22"/>
  <c r="N880" i="22" s="1"/>
  <c r="U880" i="22" s="1"/>
  <c r="P880" i="22"/>
  <c r="Q880" i="22"/>
  <c r="R880" i="22"/>
  <c r="L881" i="22"/>
  <c r="C881" i="22"/>
  <c r="E881" i="22"/>
  <c r="G881" i="22"/>
  <c r="I881" i="22"/>
  <c r="B882" i="22"/>
  <c r="M826" i="22"/>
  <c r="D826" i="22"/>
  <c r="J826" i="22"/>
  <c r="N826" i="22" s="1"/>
  <c r="U826" i="22" s="1"/>
  <c r="P826" i="22"/>
  <c r="Q826" i="22"/>
  <c r="R826" i="22"/>
  <c r="L827" i="22"/>
  <c r="C827" i="22"/>
  <c r="E827" i="22"/>
  <c r="G827" i="22"/>
  <c r="I827" i="22"/>
  <c r="B828" i="22"/>
  <c r="M772" i="22"/>
  <c r="D772" i="22"/>
  <c r="J772" i="22"/>
  <c r="N772" i="22" s="1"/>
  <c r="U772" i="22" s="1"/>
  <c r="P772" i="22"/>
  <c r="Q772" i="22"/>
  <c r="R772" i="22"/>
  <c r="L773" i="22"/>
  <c r="C773" i="22"/>
  <c r="K773" i="22" s="1"/>
  <c r="E773" i="22"/>
  <c r="F773" i="22"/>
  <c r="O773" i="22" s="1"/>
  <c r="G773" i="22"/>
  <c r="I773" i="22"/>
  <c r="B774" i="22"/>
  <c r="M718" i="22"/>
  <c r="D718" i="22"/>
  <c r="J718" i="22"/>
  <c r="N718" i="22" s="1"/>
  <c r="U718" i="22" s="1"/>
  <c r="P718" i="22"/>
  <c r="Q718" i="22"/>
  <c r="R718" i="22"/>
  <c r="L719" i="22"/>
  <c r="C719" i="22"/>
  <c r="K719" i="22" s="1"/>
  <c r="E719" i="22"/>
  <c r="F719" i="22"/>
  <c r="O719" i="22" s="1"/>
  <c r="G719" i="22"/>
  <c r="I719" i="22"/>
  <c r="B720" i="22"/>
  <c r="D664" i="22"/>
  <c r="J664" i="22"/>
  <c r="P664" i="22"/>
  <c r="Q664" i="22"/>
  <c r="R664" i="22"/>
  <c r="L665" i="22"/>
  <c r="C665" i="22"/>
  <c r="E665" i="22"/>
  <c r="G665" i="22"/>
  <c r="I665" i="22"/>
  <c r="B666" i="22"/>
  <c r="M610" i="22"/>
  <c r="D610" i="22"/>
  <c r="J610" i="22"/>
  <c r="N610" i="22" s="1"/>
  <c r="U610" i="22" s="1"/>
  <c r="P610" i="22"/>
  <c r="Q610" i="22"/>
  <c r="R610" i="22"/>
  <c r="L611" i="22"/>
  <c r="C611" i="22"/>
  <c r="K611" i="22" s="1"/>
  <c r="E611" i="22"/>
  <c r="F611" i="22"/>
  <c r="O611" i="22" s="1"/>
  <c r="G611" i="22"/>
  <c r="I611" i="22"/>
  <c r="B612" i="22"/>
  <c r="M556" i="22"/>
  <c r="D556" i="22"/>
  <c r="J556" i="22"/>
  <c r="N556" i="22" s="1"/>
  <c r="U556" i="22" s="1"/>
  <c r="P556" i="22"/>
  <c r="Q556" i="22"/>
  <c r="R556" i="22"/>
  <c r="L557" i="22"/>
  <c r="C557" i="22"/>
  <c r="E557" i="22"/>
  <c r="G557" i="22"/>
  <c r="I557" i="22"/>
  <c r="B558" i="22"/>
  <c r="M502" i="22"/>
  <c r="D502" i="22"/>
  <c r="J502" i="22"/>
  <c r="N502" i="22" s="1"/>
  <c r="U502" i="22" s="1"/>
  <c r="P502" i="22"/>
  <c r="Q502" i="22"/>
  <c r="R502" i="22"/>
  <c r="L503" i="22"/>
  <c r="C503" i="22"/>
  <c r="K503" i="22" s="1"/>
  <c r="E503" i="22"/>
  <c r="F503" i="22"/>
  <c r="O503" i="22" s="1"/>
  <c r="G503" i="22"/>
  <c r="I503" i="22"/>
  <c r="B504" i="22"/>
  <c r="M448" i="22"/>
  <c r="D448" i="22"/>
  <c r="J448" i="22"/>
  <c r="N448" i="22" s="1"/>
  <c r="U448" i="22" s="1"/>
  <c r="P448" i="22"/>
  <c r="Q448" i="22"/>
  <c r="R448" i="22"/>
  <c r="L449" i="22"/>
  <c r="C449" i="22"/>
  <c r="K449" i="22" s="1"/>
  <c r="E449" i="22"/>
  <c r="F449" i="22"/>
  <c r="O449" i="22" s="1"/>
  <c r="G449" i="22"/>
  <c r="I449" i="22"/>
  <c r="B450" i="22"/>
  <c r="M394" i="22"/>
  <c r="D394" i="22"/>
  <c r="J394" i="22"/>
  <c r="N394" i="22" s="1"/>
  <c r="U394" i="22" s="1"/>
  <c r="P394" i="22"/>
  <c r="Q394" i="22"/>
  <c r="R394" i="22"/>
  <c r="L395" i="22"/>
  <c r="C395" i="22"/>
  <c r="K395" i="22" s="1"/>
  <c r="E395" i="22"/>
  <c r="F395" i="22"/>
  <c r="O395" i="22" s="1"/>
  <c r="G395" i="22"/>
  <c r="I395" i="22"/>
  <c r="B396" i="22"/>
  <c r="D340" i="22"/>
  <c r="J340" i="22"/>
  <c r="P340" i="22"/>
  <c r="Q340" i="22"/>
  <c r="R340" i="22"/>
  <c r="L341" i="22"/>
  <c r="C341" i="22"/>
  <c r="K341" i="22" s="1"/>
  <c r="E341" i="22"/>
  <c r="F341" i="22"/>
  <c r="O341" i="22" s="1"/>
  <c r="G341" i="22"/>
  <c r="I341" i="22"/>
  <c r="B342" i="22"/>
  <c r="D286" i="22"/>
  <c r="J286" i="22"/>
  <c r="P286" i="22"/>
  <c r="Q286" i="22"/>
  <c r="R286" i="22"/>
  <c r="L287" i="22"/>
  <c r="C287" i="22"/>
  <c r="K287" i="22" s="1"/>
  <c r="E287" i="22"/>
  <c r="F287" i="22"/>
  <c r="O287" i="22" s="1"/>
  <c r="G287" i="22"/>
  <c r="I287" i="22"/>
  <c r="B288" i="22"/>
  <c r="M232" i="22"/>
  <c r="D232" i="22"/>
  <c r="J232" i="22"/>
  <c r="N232" i="22" s="1"/>
  <c r="U232" i="22" s="1"/>
  <c r="P232" i="22"/>
  <c r="Q232" i="22"/>
  <c r="R232" i="22"/>
  <c r="L233" i="22"/>
  <c r="C233" i="22"/>
  <c r="E233" i="22"/>
  <c r="G233" i="22"/>
  <c r="I233" i="22"/>
  <c r="B234" i="22"/>
  <c r="M178" i="22"/>
  <c r="D178" i="22"/>
  <c r="J178" i="22"/>
  <c r="N178" i="22" s="1"/>
  <c r="U178" i="22" s="1"/>
  <c r="P178" i="22"/>
  <c r="Q178" i="22"/>
  <c r="R178" i="22"/>
  <c r="L179" i="22"/>
  <c r="C179" i="22"/>
  <c r="K179" i="22" s="1"/>
  <c r="E179" i="22"/>
  <c r="F179" i="22"/>
  <c r="O179" i="22" s="1"/>
  <c r="G179" i="22"/>
  <c r="I179" i="22"/>
  <c r="B180" i="22"/>
  <c r="M124" i="22"/>
  <c r="D124" i="22"/>
  <c r="J124" i="22"/>
  <c r="N124" i="22" s="1"/>
  <c r="U124" i="22" s="1"/>
  <c r="P124" i="22"/>
  <c r="Q124" i="22"/>
  <c r="R124" i="22"/>
  <c r="L125" i="22"/>
  <c r="C125" i="22"/>
  <c r="K125" i="22" s="1"/>
  <c r="E125" i="22"/>
  <c r="F125" i="22"/>
  <c r="O125" i="22" s="1"/>
  <c r="G125" i="22"/>
  <c r="B126" i="22"/>
  <c r="I125" i="22"/>
  <c r="M62" i="17"/>
  <c r="BE62" i="17"/>
  <c r="BD62" i="17"/>
  <c r="BC62" i="17"/>
  <c r="BB62" i="17"/>
  <c r="BA62" i="17"/>
  <c r="AZ62" i="17"/>
  <c r="AY62" i="17"/>
  <c r="AX62"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P62" i="17"/>
  <c r="F62" i="18" s="1"/>
  <c r="Q62" i="17"/>
  <c r="G62" i="18" s="1"/>
  <c r="R62" i="17"/>
  <c r="H62" i="18" s="1"/>
  <c r="V62" i="17"/>
  <c r="BF62" i="17"/>
  <c r="L63" i="17"/>
  <c r="E63" i="17"/>
  <c r="G63" i="17"/>
  <c r="B64" i="17"/>
  <c r="C63" i="17"/>
  <c r="I63" i="17"/>
  <c r="B63" i="18"/>
  <c r="J62" i="17"/>
  <c r="N62" i="17" s="1"/>
  <c r="D62" i="17"/>
  <c r="N114" i="12"/>
  <c r="O62" i="17"/>
  <c r="E114" i="12"/>
  <c r="G110" i="12"/>
  <c r="U60" i="17"/>
  <c r="M112" i="12"/>
  <c r="Q112" i="12" s="1"/>
  <c r="O112" i="12"/>
  <c r="M1526" i="23"/>
  <c r="N1526" i="23"/>
  <c r="AE1526" i="23" s="1"/>
  <c r="M1470" i="23"/>
  <c r="N1470" i="23"/>
  <c r="AE1470" i="23" s="1"/>
  <c r="M1022" i="23"/>
  <c r="N1022" i="23"/>
  <c r="AE1022" i="23" s="1"/>
  <c r="M406" i="23"/>
  <c r="N406" i="23"/>
  <c r="AE406" i="23" s="1"/>
  <c r="M3255" i="22"/>
  <c r="N3255" i="22"/>
  <c r="U3255" i="22" s="1"/>
  <c r="M3147" i="22"/>
  <c r="N3147" i="22"/>
  <c r="U3147" i="22" s="1"/>
  <c r="M2985" i="22"/>
  <c r="N2985" i="22"/>
  <c r="U2985" i="22" s="1"/>
  <c r="M2931" i="22"/>
  <c r="N2931" i="22"/>
  <c r="U2931" i="22" s="1"/>
  <c r="M2877" i="22"/>
  <c r="N2877" i="22"/>
  <c r="U2877" i="22" s="1"/>
  <c r="M2823" i="22"/>
  <c r="N2823" i="22"/>
  <c r="S2823" i="22" s="1"/>
  <c r="M2715" i="22"/>
  <c r="N2715" i="22"/>
  <c r="U2715" i="22" s="1"/>
  <c r="M2607" i="22"/>
  <c r="N2607" i="22"/>
  <c r="U2607" i="22" s="1"/>
  <c r="M2283" i="22"/>
  <c r="N2283" i="22"/>
  <c r="U2283" i="22" s="1"/>
  <c r="M2175" i="22"/>
  <c r="N2175" i="22"/>
  <c r="U2175" i="22" s="1"/>
  <c r="M2121" i="22"/>
  <c r="N2121" i="22"/>
  <c r="U2121" i="22" s="1"/>
  <c r="M1797" i="22"/>
  <c r="N1797" i="22"/>
  <c r="U1797" i="22" s="1"/>
  <c r="M1419" i="22"/>
  <c r="N1419" i="22"/>
  <c r="U1419" i="22" s="1"/>
  <c r="M1041" i="22"/>
  <c r="N1041" i="22"/>
  <c r="U1041" i="22" s="1"/>
  <c r="M285" i="22"/>
  <c r="N285" i="22"/>
  <c r="U285" i="22" s="1"/>
  <c r="E113" i="12"/>
  <c r="O61" i="17"/>
  <c r="N113" i="12"/>
  <c r="M61" i="17"/>
  <c r="N61" i="17"/>
  <c r="K1583" i="23"/>
  <c r="F1583" i="23"/>
  <c r="O1583" i="23" s="1"/>
  <c r="F1527" i="23"/>
  <c r="O1527" i="23" s="1"/>
  <c r="K1527" i="23"/>
  <c r="F1359" i="23"/>
  <c r="O1359" i="23" s="1"/>
  <c r="K1359" i="23"/>
  <c r="F1303" i="23"/>
  <c r="O1303" i="23" s="1"/>
  <c r="K1303" i="23"/>
  <c r="K911" i="23"/>
  <c r="F911" i="23"/>
  <c r="O911" i="23" s="1"/>
  <c r="K463" i="23"/>
  <c r="F463" i="23"/>
  <c r="O463" i="23" s="1"/>
  <c r="F407" i="23"/>
  <c r="O407" i="23" s="1"/>
  <c r="K407" i="23"/>
  <c r="P113" i="12"/>
  <c r="K4720" i="22"/>
  <c r="F4720" i="22"/>
  <c r="F4258" i="22"/>
  <c r="O4258" i="22" s="1"/>
  <c r="K4258" i="22"/>
  <c r="F3472" i="22"/>
  <c r="O3472" i="22" s="1"/>
  <c r="K3472" i="22"/>
  <c r="K3364" i="22"/>
  <c r="F3364" i="22"/>
  <c r="O3364" i="22" s="1"/>
  <c r="F3148" i="22"/>
  <c r="O3148" i="22" s="1"/>
  <c r="K3148" i="22"/>
  <c r="K3094" i="22"/>
  <c r="F3094" i="22"/>
  <c r="O3094" i="22" s="1"/>
  <c r="K3040" i="22"/>
  <c r="F3040" i="22"/>
  <c r="O3040" i="22" s="1"/>
  <c r="F2986" i="22"/>
  <c r="O2986" i="22" s="1"/>
  <c r="K2986" i="22"/>
  <c r="K2662" i="22"/>
  <c r="F2662" i="22"/>
  <c r="O2662" i="22" s="1"/>
  <c r="F2392" i="22"/>
  <c r="O2392" i="22" s="1"/>
  <c r="K2392" i="22"/>
  <c r="K2338" i="22"/>
  <c r="F2338" i="22"/>
  <c r="O2338" i="22" s="1"/>
  <c r="K2284" i="22"/>
  <c r="F2284" i="22"/>
  <c r="O2284" i="22" s="1"/>
  <c r="F2068" i="22"/>
  <c r="O2068" i="22" s="1"/>
  <c r="K2068" i="22"/>
  <c r="K2014" i="22"/>
  <c r="F2014" i="22"/>
  <c r="O2014" i="22" s="1"/>
  <c r="K1960" i="22"/>
  <c r="F1960" i="22"/>
  <c r="O1960" i="22" s="1"/>
  <c r="K1636" i="22"/>
  <c r="F1636" i="22"/>
  <c r="O1636" i="22" s="1"/>
  <c r="F1366" i="22"/>
  <c r="O1366" i="22" s="1"/>
  <c r="K1366" i="22"/>
  <c r="F1312" i="22"/>
  <c r="O1312" i="22" s="1"/>
  <c r="K1312" i="22"/>
  <c r="F988" i="22"/>
  <c r="O988" i="22" s="1"/>
  <c r="K988" i="22"/>
  <c r="F664" i="22"/>
  <c r="O664" i="22" s="1"/>
  <c r="K664" i="22"/>
  <c r="K340" i="22"/>
  <c r="F340" i="22"/>
  <c r="O340" i="22" s="1"/>
  <c r="K286" i="22"/>
  <c r="F286" i="22"/>
  <c r="O286" i="22" s="1"/>
  <c r="F61" i="18"/>
  <c r="G61" i="18"/>
  <c r="H61" i="18"/>
  <c r="K4721" i="22" l="1"/>
  <c r="F4721" i="22"/>
  <c r="K3689" i="22"/>
  <c r="F3689" i="22"/>
  <c r="O3689" i="22" s="1"/>
  <c r="K2825" i="22"/>
  <c r="F2825" i="22"/>
  <c r="O2825" i="22" s="1"/>
  <c r="K2285" i="22"/>
  <c r="F2285" i="22"/>
  <c r="O2285" i="22" s="1"/>
  <c r="K2015" i="22"/>
  <c r="F2015" i="22"/>
  <c r="O2015" i="22" s="1"/>
  <c r="K1745" i="22"/>
  <c r="F1745" i="22"/>
  <c r="O1745" i="22" s="1"/>
  <c r="K1205" i="22"/>
  <c r="F1205" i="22"/>
  <c r="O1205" i="22" s="1"/>
  <c r="K935" i="22"/>
  <c r="F935" i="22"/>
  <c r="O935" i="22" s="1"/>
  <c r="K665" i="22"/>
  <c r="F665" i="22"/>
  <c r="O665" i="22" s="1"/>
  <c r="M1640" i="23"/>
  <c r="J1640" i="23"/>
  <c r="N1640" i="23" s="1"/>
  <c r="AE1640" i="23" s="1"/>
  <c r="D1640" i="23"/>
  <c r="P1640" i="23"/>
  <c r="Q1640" i="23"/>
  <c r="R1640" i="23"/>
  <c r="I1641" i="23"/>
  <c r="L1641" i="23"/>
  <c r="C1641" i="23"/>
  <c r="K1641" i="23" s="1"/>
  <c r="E1641" i="23"/>
  <c r="F1641" i="23"/>
  <c r="O1641" i="23" s="1"/>
  <c r="G1641" i="23"/>
  <c r="M1584" i="23"/>
  <c r="J1584" i="23"/>
  <c r="N1584" i="23" s="1"/>
  <c r="AE1584" i="23" s="1"/>
  <c r="D1584" i="23"/>
  <c r="P1584" i="23"/>
  <c r="Q1584" i="23"/>
  <c r="R1584" i="23"/>
  <c r="L1585" i="23"/>
  <c r="I1585" i="23"/>
  <c r="C1585" i="23"/>
  <c r="K1585" i="23" s="1"/>
  <c r="E1585" i="23"/>
  <c r="F1585" i="23"/>
  <c r="O1585" i="23" s="1"/>
  <c r="G1585" i="23"/>
  <c r="J1528" i="23"/>
  <c r="D1528" i="23"/>
  <c r="P1528" i="23"/>
  <c r="Q1528" i="23"/>
  <c r="R1528" i="23"/>
  <c r="L1529" i="23"/>
  <c r="I1529" i="23"/>
  <c r="C1529" i="23"/>
  <c r="K1529" i="23" s="1"/>
  <c r="E1529" i="23"/>
  <c r="F1529" i="23"/>
  <c r="O1529" i="23" s="1"/>
  <c r="G1529" i="23"/>
  <c r="J1472" i="23"/>
  <c r="D1472" i="23"/>
  <c r="P1472" i="23"/>
  <c r="Q1472" i="23"/>
  <c r="R1472" i="23"/>
  <c r="L1473" i="23"/>
  <c r="I1473" i="23"/>
  <c r="C1473" i="23"/>
  <c r="K1473" i="23" s="1"/>
  <c r="E1473" i="23"/>
  <c r="F1473" i="23"/>
  <c r="O1473" i="23" s="1"/>
  <c r="G1473" i="23"/>
  <c r="M1416" i="23"/>
  <c r="J1416" i="23"/>
  <c r="N1416" i="23" s="1"/>
  <c r="AE1416" i="23" s="1"/>
  <c r="D1416" i="23"/>
  <c r="P1416" i="23"/>
  <c r="Q1416" i="23"/>
  <c r="R1416" i="23"/>
  <c r="L1417" i="23"/>
  <c r="I1417" i="23"/>
  <c r="C1417" i="23"/>
  <c r="E1417" i="23"/>
  <c r="G1417" i="23"/>
  <c r="L1361" i="23"/>
  <c r="I1361" i="23"/>
  <c r="C1361" i="23"/>
  <c r="E1361" i="23"/>
  <c r="G1361" i="23"/>
  <c r="J1360" i="23"/>
  <c r="D1360" i="23"/>
  <c r="P1360" i="23"/>
  <c r="Q1360" i="23"/>
  <c r="R1360" i="23"/>
  <c r="M1304" i="23"/>
  <c r="J1304" i="23"/>
  <c r="N1304" i="23" s="1"/>
  <c r="AE1304" i="23" s="1"/>
  <c r="D1304" i="23"/>
  <c r="P1304" i="23"/>
  <c r="Q1304" i="23"/>
  <c r="R1304" i="23"/>
  <c r="L1305" i="23"/>
  <c r="I1305" i="23"/>
  <c r="C1305" i="23"/>
  <c r="K1305" i="23" s="1"/>
  <c r="E1305" i="23"/>
  <c r="F1305" i="23"/>
  <c r="O1305" i="23" s="1"/>
  <c r="G1305" i="23"/>
  <c r="M1248" i="23"/>
  <c r="J1248" i="23"/>
  <c r="N1248" i="23" s="1"/>
  <c r="AE1248" i="23" s="1"/>
  <c r="D1248" i="23"/>
  <c r="P1248" i="23"/>
  <c r="Q1248" i="23"/>
  <c r="R1248" i="23"/>
  <c r="L1249" i="23"/>
  <c r="I1249" i="23"/>
  <c r="C1249" i="23"/>
  <c r="E1249" i="23"/>
  <c r="G1249" i="23"/>
  <c r="M1192" i="23"/>
  <c r="J1192" i="23"/>
  <c r="N1192" i="23" s="1"/>
  <c r="AE1192" i="23" s="1"/>
  <c r="D1192" i="23"/>
  <c r="P1192" i="23"/>
  <c r="Q1192" i="23"/>
  <c r="R1192" i="23"/>
  <c r="L1193" i="23"/>
  <c r="I1193" i="23"/>
  <c r="C1193" i="23"/>
  <c r="K1193" i="23" s="1"/>
  <c r="E1193" i="23"/>
  <c r="F1193" i="23"/>
  <c r="O1193" i="23" s="1"/>
  <c r="G1193" i="23"/>
  <c r="M1136" i="23"/>
  <c r="J1136" i="23"/>
  <c r="N1136" i="23" s="1"/>
  <c r="AE1136" i="23" s="1"/>
  <c r="D1136" i="23"/>
  <c r="P1136" i="23"/>
  <c r="Q1136" i="23"/>
  <c r="R1136" i="23"/>
  <c r="L1137" i="23"/>
  <c r="I1137" i="23"/>
  <c r="C1137" i="23"/>
  <c r="K1137" i="23" s="1"/>
  <c r="E1137" i="23"/>
  <c r="F1137" i="23"/>
  <c r="O1137" i="23" s="1"/>
  <c r="G1137" i="23"/>
  <c r="M1080" i="23"/>
  <c r="J1080" i="23"/>
  <c r="N1080" i="23" s="1"/>
  <c r="AE1080" i="23" s="1"/>
  <c r="D1080" i="23"/>
  <c r="P1080" i="23"/>
  <c r="Q1080" i="23"/>
  <c r="R1080" i="23"/>
  <c r="L1081" i="23"/>
  <c r="I1081" i="23"/>
  <c r="C1081" i="23"/>
  <c r="K1081" i="23" s="1"/>
  <c r="E1081" i="23"/>
  <c r="F1081" i="23"/>
  <c r="O1081" i="23" s="1"/>
  <c r="G1081" i="23"/>
  <c r="M1024" i="23"/>
  <c r="J1024" i="23"/>
  <c r="N1024" i="23" s="1"/>
  <c r="AE1024" i="23" s="1"/>
  <c r="D1024" i="23"/>
  <c r="P1024" i="23"/>
  <c r="Q1024" i="23"/>
  <c r="R1024" i="23"/>
  <c r="L1025" i="23"/>
  <c r="I1025" i="23"/>
  <c r="C1025" i="23"/>
  <c r="K1025" i="23" s="1"/>
  <c r="E1025" i="23"/>
  <c r="F1025" i="23"/>
  <c r="O1025" i="23" s="1"/>
  <c r="G1025" i="23"/>
  <c r="M968" i="23"/>
  <c r="J968" i="23"/>
  <c r="N968" i="23" s="1"/>
  <c r="AE968" i="23" s="1"/>
  <c r="D968" i="23"/>
  <c r="P968" i="23"/>
  <c r="Q968" i="23"/>
  <c r="R968" i="23"/>
  <c r="L969" i="23"/>
  <c r="I969" i="23"/>
  <c r="C969" i="23"/>
  <c r="K969" i="23" s="1"/>
  <c r="E969" i="23"/>
  <c r="F969" i="23"/>
  <c r="O969" i="23" s="1"/>
  <c r="G969" i="23"/>
  <c r="M912" i="23"/>
  <c r="J912" i="23"/>
  <c r="N912" i="23" s="1"/>
  <c r="AE912" i="23" s="1"/>
  <c r="D912" i="23"/>
  <c r="P912" i="23"/>
  <c r="Q912" i="23"/>
  <c r="R912" i="23"/>
  <c r="L913" i="23"/>
  <c r="I913" i="23"/>
  <c r="C913" i="23"/>
  <c r="K913" i="23" s="1"/>
  <c r="E913" i="23"/>
  <c r="F913" i="23"/>
  <c r="O913" i="23" s="1"/>
  <c r="G913" i="23"/>
  <c r="M856" i="23"/>
  <c r="J856" i="23"/>
  <c r="N856" i="23" s="1"/>
  <c r="AE856" i="23" s="1"/>
  <c r="D856" i="23"/>
  <c r="P856" i="23"/>
  <c r="Q856" i="23"/>
  <c r="R856" i="23"/>
  <c r="L857" i="23"/>
  <c r="I857" i="23"/>
  <c r="C857" i="23"/>
  <c r="K857" i="23" s="1"/>
  <c r="E857" i="23"/>
  <c r="F857" i="23"/>
  <c r="O857" i="23" s="1"/>
  <c r="G857" i="23"/>
  <c r="M800" i="23"/>
  <c r="J800" i="23"/>
  <c r="N800" i="23" s="1"/>
  <c r="AE800" i="23" s="1"/>
  <c r="D800" i="23"/>
  <c r="P800" i="23"/>
  <c r="Q800" i="23"/>
  <c r="R800" i="23"/>
  <c r="L801" i="23"/>
  <c r="I801" i="23"/>
  <c r="C801" i="23"/>
  <c r="K801" i="23" s="1"/>
  <c r="E801" i="23"/>
  <c r="F801" i="23"/>
  <c r="O801" i="23" s="1"/>
  <c r="G801" i="23"/>
  <c r="M744" i="23"/>
  <c r="J744" i="23"/>
  <c r="N744" i="23" s="1"/>
  <c r="AE744" i="23" s="1"/>
  <c r="D744" i="23"/>
  <c r="P744" i="23"/>
  <c r="Q744" i="23"/>
  <c r="R744" i="23"/>
  <c r="L745" i="23"/>
  <c r="I745" i="23"/>
  <c r="C745" i="23"/>
  <c r="K745" i="23" s="1"/>
  <c r="E745" i="23"/>
  <c r="F745" i="23"/>
  <c r="O745" i="23" s="1"/>
  <c r="G745" i="23"/>
  <c r="M688" i="23"/>
  <c r="J688" i="23"/>
  <c r="N688" i="23" s="1"/>
  <c r="AE688" i="23" s="1"/>
  <c r="D688" i="23"/>
  <c r="P688" i="23"/>
  <c r="Q688" i="23"/>
  <c r="R688" i="23"/>
  <c r="L689" i="23"/>
  <c r="I689" i="23"/>
  <c r="C689" i="23"/>
  <c r="E689" i="23"/>
  <c r="G689" i="23"/>
  <c r="M632" i="23"/>
  <c r="J632" i="23"/>
  <c r="N632" i="23" s="1"/>
  <c r="AE632" i="23" s="1"/>
  <c r="D632" i="23"/>
  <c r="P632" i="23"/>
  <c r="Q632" i="23"/>
  <c r="R632" i="23"/>
  <c r="L633" i="23"/>
  <c r="I633" i="23"/>
  <c r="C633" i="23"/>
  <c r="K633" i="23" s="1"/>
  <c r="E633" i="23"/>
  <c r="F633" i="23"/>
  <c r="O633" i="23" s="1"/>
  <c r="G633" i="23"/>
  <c r="M576" i="23"/>
  <c r="J576" i="23"/>
  <c r="N576" i="23" s="1"/>
  <c r="AE576" i="23" s="1"/>
  <c r="D576" i="23"/>
  <c r="P576" i="23"/>
  <c r="Q576" i="23"/>
  <c r="R576" i="23"/>
  <c r="L577" i="23"/>
  <c r="I577" i="23"/>
  <c r="C577" i="23"/>
  <c r="K577" i="23" s="1"/>
  <c r="E577" i="23"/>
  <c r="F577" i="23"/>
  <c r="O577" i="23" s="1"/>
  <c r="G577" i="23"/>
  <c r="M520" i="23"/>
  <c r="J520" i="23"/>
  <c r="N520" i="23" s="1"/>
  <c r="AE520" i="23" s="1"/>
  <c r="D520" i="23"/>
  <c r="P520" i="23"/>
  <c r="Q520" i="23"/>
  <c r="R520" i="23"/>
  <c r="L521" i="23"/>
  <c r="I521" i="23"/>
  <c r="C521" i="23"/>
  <c r="E521" i="23"/>
  <c r="G521" i="23"/>
  <c r="P464" i="23"/>
  <c r="Q464" i="23"/>
  <c r="R464" i="23"/>
  <c r="L465" i="23"/>
  <c r="I465" i="23"/>
  <c r="E465" i="23"/>
  <c r="C465" i="23"/>
  <c r="G465" i="23"/>
  <c r="J464" i="23"/>
  <c r="D464" i="23"/>
  <c r="L409" i="23"/>
  <c r="I409" i="23"/>
  <c r="C409" i="23"/>
  <c r="E409" i="23"/>
  <c r="G409" i="23"/>
  <c r="J408" i="23"/>
  <c r="D408" i="23"/>
  <c r="P408" i="23"/>
  <c r="Q408" i="23"/>
  <c r="R408" i="23"/>
  <c r="M352" i="23"/>
  <c r="J352" i="23"/>
  <c r="N352" i="23" s="1"/>
  <c r="AE352" i="23" s="1"/>
  <c r="D352" i="23"/>
  <c r="P352" i="23"/>
  <c r="Q352" i="23"/>
  <c r="R352" i="23"/>
  <c r="L353" i="23"/>
  <c r="I353" i="23"/>
  <c r="C353" i="23"/>
  <c r="K353" i="23" s="1"/>
  <c r="E353" i="23"/>
  <c r="F353" i="23"/>
  <c r="O353" i="23" s="1"/>
  <c r="G353" i="23"/>
  <c r="M296" i="23"/>
  <c r="J296" i="23"/>
  <c r="N296" i="23" s="1"/>
  <c r="AE296" i="23" s="1"/>
  <c r="D296" i="23"/>
  <c r="P296" i="23"/>
  <c r="Q296" i="23"/>
  <c r="R296" i="23"/>
  <c r="L297" i="23"/>
  <c r="I297" i="23"/>
  <c r="C297" i="23"/>
  <c r="K297" i="23" s="1"/>
  <c r="E297" i="23"/>
  <c r="F297" i="23"/>
  <c r="O297" i="23" s="1"/>
  <c r="G297" i="23"/>
  <c r="D4775" i="22"/>
  <c r="J4775" i="22"/>
  <c r="P4775" i="22"/>
  <c r="Q4775" i="22"/>
  <c r="R4775" i="22"/>
  <c r="M4775" i="22"/>
  <c r="N4775" i="22"/>
  <c r="P115" i="12" s="1"/>
  <c r="C4776" i="22"/>
  <c r="E4776" i="22"/>
  <c r="F4776" i="22"/>
  <c r="G4776" i="22"/>
  <c r="I4776" i="22"/>
  <c r="K4776" i="22"/>
  <c r="L4776" i="22"/>
  <c r="T4719" i="22"/>
  <c r="S4720" i="22"/>
  <c r="T4720" i="22" s="1"/>
  <c r="U4720" i="22"/>
  <c r="M4721" i="22"/>
  <c r="D4721" i="22"/>
  <c r="J4721" i="22"/>
  <c r="N4721" i="22" s="1"/>
  <c r="P4721" i="22"/>
  <c r="Q4721" i="22"/>
  <c r="R4721" i="22"/>
  <c r="L4722" i="22"/>
  <c r="C4722" i="22"/>
  <c r="K4722" i="22" s="1"/>
  <c r="E4722" i="22"/>
  <c r="F4722" i="22"/>
  <c r="G4722" i="22"/>
  <c r="I4722" i="22"/>
  <c r="P4667" i="22"/>
  <c r="Q4667" i="22"/>
  <c r="R4667" i="22"/>
  <c r="C4668" i="22"/>
  <c r="D4668" i="22" s="1"/>
  <c r="E4668" i="22"/>
  <c r="F4668" i="22"/>
  <c r="O4668" i="22" s="1"/>
  <c r="G4668" i="22"/>
  <c r="M4613" i="22"/>
  <c r="J4613" i="22"/>
  <c r="N4613" i="22" s="1"/>
  <c r="D4613" i="22"/>
  <c r="P4613" i="22"/>
  <c r="Q4613" i="22"/>
  <c r="R4613" i="22"/>
  <c r="I4614" i="22"/>
  <c r="L4614" i="22"/>
  <c r="C4614" i="22"/>
  <c r="K4614" i="22" s="1"/>
  <c r="E4614" i="22"/>
  <c r="F4614" i="22"/>
  <c r="G4614" i="22"/>
  <c r="D4559" i="22"/>
  <c r="J4559" i="22"/>
  <c r="P4559" i="22"/>
  <c r="Q4559" i="22"/>
  <c r="R4559" i="22"/>
  <c r="L4560" i="22"/>
  <c r="C4560" i="22"/>
  <c r="E4560" i="22"/>
  <c r="G4560" i="22"/>
  <c r="I4560" i="22"/>
  <c r="D4259" i="22"/>
  <c r="J4259" i="22"/>
  <c r="N4259" i="22" s="1"/>
  <c r="U4259" i="22" s="1"/>
  <c r="P4259" i="22"/>
  <c r="Q4259" i="22"/>
  <c r="R4259" i="22"/>
  <c r="M4259" i="22"/>
  <c r="C4260" i="22"/>
  <c r="F4260" i="22" s="1"/>
  <c r="O4260" i="22" s="1"/>
  <c r="E4260" i="22"/>
  <c r="G4260" i="22"/>
  <c r="I4260" i="22"/>
  <c r="K4260" i="22"/>
  <c r="L4260" i="22"/>
  <c r="M4205" i="22"/>
  <c r="D4205" i="22"/>
  <c r="J4205" i="22"/>
  <c r="N4205" i="22" s="1"/>
  <c r="U4205" i="22" s="1"/>
  <c r="P4205" i="22"/>
  <c r="Q4205" i="22"/>
  <c r="R4205" i="22"/>
  <c r="L4206" i="22"/>
  <c r="C4206" i="22"/>
  <c r="K4206" i="22" s="1"/>
  <c r="E4206" i="22"/>
  <c r="F4206" i="22"/>
  <c r="O4206" i="22" s="1"/>
  <c r="G4206" i="22"/>
  <c r="I4206" i="22"/>
  <c r="M4151" i="22"/>
  <c r="D4151" i="22"/>
  <c r="J4151" i="22"/>
  <c r="N4151" i="22" s="1"/>
  <c r="U4151" i="22" s="1"/>
  <c r="P4151" i="22"/>
  <c r="Q4151" i="22"/>
  <c r="R4151" i="22"/>
  <c r="L4152" i="22"/>
  <c r="C4152" i="22"/>
  <c r="K4152" i="22" s="1"/>
  <c r="E4152" i="22"/>
  <c r="F4152" i="22"/>
  <c r="O4152" i="22" s="1"/>
  <c r="G4152" i="22"/>
  <c r="I4152" i="22"/>
  <c r="M4097" i="22"/>
  <c r="D4097" i="22"/>
  <c r="J4097" i="22"/>
  <c r="N4097" i="22" s="1"/>
  <c r="U4097" i="22" s="1"/>
  <c r="P4097" i="22"/>
  <c r="Q4097" i="22"/>
  <c r="R4097" i="22"/>
  <c r="L4098" i="22"/>
  <c r="C4098" i="22"/>
  <c r="K4098" i="22" s="1"/>
  <c r="E4098" i="22"/>
  <c r="F4098" i="22"/>
  <c r="O4098" i="22" s="1"/>
  <c r="G4098" i="22"/>
  <c r="I4098" i="22"/>
  <c r="M3797" i="22"/>
  <c r="D3797" i="22"/>
  <c r="J3797" i="22"/>
  <c r="N3797" i="22" s="1"/>
  <c r="U3797" i="22" s="1"/>
  <c r="P3797" i="22"/>
  <c r="Q3797" i="22"/>
  <c r="R3797" i="22"/>
  <c r="L3798" i="22"/>
  <c r="C3798" i="22"/>
  <c r="K3798" i="22" s="1"/>
  <c r="E3798" i="22"/>
  <c r="F3798" i="22"/>
  <c r="O3798" i="22" s="1"/>
  <c r="G3798" i="22"/>
  <c r="I3798" i="22"/>
  <c r="D3743" i="22"/>
  <c r="J3743" i="22"/>
  <c r="P3743" i="22"/>
  <c r="Q3743" i="22"/>
  <c r="R3743" i="22"/>
  <c r="L3744" i="22"/>
  <c r="C3744" i="22"/>
  <c r="E3744" i="22"/>
  <c r="G3744" i="22"/>
  <c r="I3744" i="22"/>
  <c r="M3689" i="22"/>
  <c r="D3689" i="22"/>
  <c r="J3689" i="22"/>
  <c r="N3689" i="22" s="1"/>
  <c r="U3689" i="22" s="1"/>
  <c r="P3689" i="22"/>
  <c r="Q3689" i="22"/>
  <c r="R3689" i="22"/>
  <c r="L3690" i="22"/>
  <c r="C3690" i="22"/>
  <c r="K3690" i="22" s="1"/>
  <c r="E3690" i="22"/>
  <c r="F3690" i="22"/>
  <c r="O3690" i="22" s="1"/>
  <c r="G3690" i="22"/>
  <c r="I3690" i="22"/>
  <c r="D3635" i="22"/>
  <c r="J3635" i="22"/>
  <c r="P3635" i="22"/>
  <c r="Q3635" i="22"/>
  <c r="R3635" i="22"/>
  <c r="L3636" i="22"/>
  <c r="C3636" i="22"/>
  <c r="K3636" i="22" s="1"/>
  <c r="E3636" i="22"/>
  <c r="F3636" i="22"/>
  <c r="O3636" i="22" s="1"/>
  <c r="G3636" i="22"/>
  <c r="I3636" i="22"/>
  <c r="M3581" i="22"/>
  <c r="P3581" i="22"/>
  <c r="Q3581" i="22"/>
  <c r="R3581" i="22"/>
  <c r="J3581" i="22"/>
  <c r="N3581" i="22" s="1"/>
  <c r="U3581" i="22" s="1"/>
  <c r="D3581" i="22"/>
  <c r="L3582" i="22"/>
  <c r="E3582" i="22"/>
  <c r="G3582" i="22"/>
  <c r="C3582" i="22"/>
  <c r="K3582" i="22" s="1"/>
  <c r="F3582" i="22"/>
  <c r="O3582" i="22" s="1"/>
  <c r="I3582" i="22"/>
  <c r="J3527" i="22"/>
  <c r="D3527" i="22"/>
  <c r="P3527" i="22"/>
  <c r="Q3527" i="22"/>
  <c r="R3527" i="22"/>
  <c r="L3528" i="22"/>
  <c r="G3528" i="22"/>
  <c r="C3528" i="22"/>
  <c r="E3528" i="22"/>
  <c r="I3528" i="22"/>
  <c r="M3473" i="22"/>
  <c r="D3473" i="22"/>
  <c r="J3473" i="22"/>
  <c r="N3473" i="22" s="1"/>
  <c r="U3473" i="22" s="1"/>
  <c r="P3473" i="22"/>
  <c r="Q3473" i="22"/>
  <c r="R3473" i="22"/>
  <c r="L3474" i="22"/>
  <c r="C3474" i="22"/>
  <c r="K3474" i="22" s="1"/>
  <c r="E3474" i="22"/>
  <c r="F3474" i="22"/>
  <c r="O3474" i="22" s="1"/>
  <c r="G3474" i="22"/>
  <c r="I3474" i="22"/>
  <c r="D3419" i="22"/>
  <c r="J3419" i="22"/>
  <c r="P3419" i="22"/>
  <c r="Q3419" i="22"/>
  <c r="R3419" i="22"/>
  <c r="L3420" i="22"/>
  <c r="C3420" i="22"/>
  <c r="K3420" i="22" s="1"/>
  <c r="E3420" i="22"/>
  <c r="F3420" i="22"/>
  <c r="O3420" i="22" s="1"/>
  <c r="G3420" i="22"/>
  <c r="I3420" i="22"/>
  <c r="D3365" i="22"/>
  <c r="J3365" i="22"/>
  <c r="P3365" i="22"/>
  <c r="Q3365" i="22"/>
  <c r="R3365" i="22"/>
  <c r="L3366" i="22"/>
  <c r="C3366" i="22"/>
  <c r="E3366" i="22"/>
  <c r="G3366" i="22"/>
  <c r="I3366" i="22"/>
  <c r="D3311" i="22"/>
  <c r="J3311" i="22"/>
  <c r="P3311" i="22"/>
  <c r="Q3311" i="22"/>
  <c r="R3311" i="22"/>
  <c r="L3312" i="22"/>
  <c r="C3312" i="22"/>
  <c r="E3312" i="22"/>
  <c r="G3312" i="22"/>
  <c r="I3312" i="22"/>
  <c r="M3257" i="22"/>
  <c r="D3257" i="22"/>
  <c r="J3257" i="22"/>
  <c r="N3257" i="22" s="1"/>
  <c r="U3257" i="22" s="1"/>
  <c r="P3257" i="22"/>
  <c r="Q3257" i="22"/>
  <c r="R3257" i="22"/>
  <c r="L3258" i="22"/>
  <c r="C3258" i="22"/>
  <c r="K3258" i="22" s="1"/>
  <c r="E3258" i="22"/>
  <c r="F3258" i="22"/>
  <c r="O3258" i="22" s="1"/>
  <c r="G3258" i="22"/>
  <c r="I3258" i="22"/>
  <c r="M3203" i="22"/>
  <c r="D3203" i="22"/>
  <c r="J3203" i="22"/>
  <c r="N3203" i="22" s="1"/>
  <c r="U3203" i="22" s="1"/>
  <c r="P3203" i="22"/>
  <c r="Q3203" i="22"/>
  <c r="R3203" i="22"/>
  <c r="L3204" i="22"/>
  <c r="C3204" i="22"/>
  <c r="K3204" i="22" s="1"/>
  <c r="I3204" i="22"/>
  <c r="E3204" i="22"/>
  <c r="F3204" i="22"/>
  <c r="O3204" i="22" s="1"/>
  <c r="G3204" i="22"/>
  <c r="J3149" i="22"/>
  <c r="D3149" i="22"/>
  <c r="P3149" i="22"/>
  <c r="Q3149" i="22"/>
  <c r="R3149" i="22"/>
  <c r="L3150" i="22"/>
  <c r="I3150" i="22"/>
  <c r="C3150" i="22"/>
  <c r="K3150" i="22" s="1"/>
  <c r="E3150" i="22"/>
  <c r="F3150" i="22"/>
  <c r="O3150" i="22" s="1"/>
  <c r="G3150" i="22"/>
  <c r="J3095" i="22"/>
  <c r="D3095" i="22"/>
  <c r="P3095" i="22"/>
  <c r="Q3095" i="22"/>
  <c r="R3095" i="22"/>
  <c r="L3096" i="22"/>
  <c r="C3096" i="22"/>
  <c r="K3096" i="22" s="1"/>
  <c r="E3096" i="22"/>
  <c r="F3096" i="22"/>
  <c r="O3096" i="22" s="1"/>
  <c r="G3096" i="22"/>
  <c r="I3096" i="22"/>
  <c r="M3041" i="22"/>
  <c r="D3041" i="22"/>
  <c r="J3041" i="22"/>
  <c r="N3041" i="22" s="1"/>
  <c r="U3041" i="22" s="1"/>
  <c r="P3041" i="22"/>
  <c r="Q3041" i="22"/>
  <c r="R3041" i="22"/>
  <c r="L3042" i="22"/>
  <c r="C3042" i="22"/>
  <c r="E3042" i="22"/>
  <c r="G3042" i="22"/>
  <c r="I3042" i="22"/>
  <c r="D2987" i="22"/>
  <c r="J2987" i="22"/>
  <c r="P2987" i="22"/>
  <c r="Q2987" i="22"/>
  <c r="R2987" i="22"/>
  <c r="L2988" i="22"/>
  <c r="C2988" i="22"/>
  <c r="K2988" i="22" s="1"/>
  <c r="E2988" i="22"/>
  <c r="F2988" i="22"/>
  <c r="O2988" i="22" s="1"/>
  <c r="G2988" i="22"/>
  <c r="I2988" i="22"/>
  <c r="D2933" i="22"/>
  <c r="J2933" i="22"/>
  <c r="P2933" i="22"/>
  <c r="Q2933" i="22"/>
  <c r="R2933" i="22"/>
  <c r="L2934" i="22"/>
  <c r="G2934" i="22"/>
  <c r="C2934" i="22"/>
  <c r="E2934" i="22"/>
  <c r="I2934" i="22"/>
  <c r="M2879" i="22"/>
  <c r="D2879" i="22"/>
  <c r="J2879" i="22"/>
  <c r="N2879" i="22" s="1"/>
  <c r="U2879" i="22" s="1"/>
  <c r="P2879" i="22"/>
  <c r="Q2879" i="22"/>
  <c r="R2879" i="22"/>
  <c r="L2880" i="22"/>
  <c r="C2880" i="22"/>
  <c r="K2880" i="22" s="1"/>
  <c r="E2880" i="22"/>
  <c r="F2880" i="22"/>
  <c r="O2880" i="22" s="1"/>
  <c r="G2880" i="22"/>
  <c r="I2880" i="22"/>
  <c r="M2825" i="22"/>
  <c r="D2825" i="22"/>
  <c r="J2825" i="22"/>
  <c r="N2825" i="22" s="1"/>
  <c r="S2825" i="22" s="1"/>
  <c r="P2825" i="22"/>
  <c r="Q2825" i="22"/>
  <c r="R2825" i="22"/>
  <c r="T2825" i="22"/>
  <c r="U2825" i="22" s="1"/>
  <c r="L2826" i="22"/>
  <c r="C2826" i="22"/>
  <c r="K2826" i="22" s="1"/>
  <c r="E2826" i="22"/>
  <c r="F2826" i="22"/>
  <c r="O2826" i="22" s="1"/>
  <c r="G2826" i="22"/>
  <c r="I2826" i="22"/>
  <c r="M2771" i="22"/>
  <c r="D2771" i="22"/>
  <c r="J2771" i="22"/>
  <c r="N2771" i="22" s="1"/>
  <c r="U2771" i="22" s="1"/>
  <c r="P2771" i="22"/>
  <c r="Q2771" i="22"/>
  <c r="R2771" i="22"/>
  <c r="L2772" i="22"/>
  <c r="C2772" i="22"/>
  <c r="E2772" i="22"/>
  <c r="G2772" i="22"/>
  <c r="I2772" i="22"/>
  <c r="M2717" i="22"/>
  <c r="D2717" i="22"/>
  <c r="J2717" i="22"/>
  <c r="N2717" i="22" s="1"/>
  <c r="U2717" i="22" s="1"/>
  <c r="P2717" i="22"/>
  <c r="Q2717" i="22"/>
  <c r="R2717" i="22"/>
  <c r="L2718" i="22"/>
  <c r="C2718" i="22"/>
  <c r="K2718" i="22" s="1"/>
  <c r="E2718" i="22"/>
  <c r="F2718" i="22"/>
  <c r="O2718" i="22" s="1"/>
  <c r="G2718" i="22"/>
  <c r="I2718" i="22"/>
  <c r="D2663" i="22"/>
  <c r="J2663" i="22"/>
  <c r="P2663" i="22"/>
  <c r="Q2663" i="22"/>
  <c r="R2663" i="22"/>
  <c r="L2664" i="22"/>
  <c r="C2664" i="22"/>
  <c r="E2664" i="22"/>
  <c r="G2664" i="22"/>
  <c r="I2664" i="22"/>
  <c r="D2609" i="22"/>
  <c r="J2609" i="22"/>
  <c r="P2609" i="22"/>
  <c r="Q2609" i="22"/>
  <c r="R2609" i="22"/>
  <c r="L2610" i="22"/>
  <c r="C2610" i="22"/>
  <c r="K2610" i="22" s="1"/>
  <c r="E2610" i="22"/>
  <c r="F2610" i="22"/>
  <c r="O2610" i="22" s="1"/>
  <c r="G2610" i="22"/>
  <c r="I2610" i="22"/>
  <c r="M2555" i="22"/>
  <c r="D2555" i="22"/>
  <c r="J2555" i="22"/>
  <c r="N2555" i="22" s="1"/>
  <c r="U2555" i="22" s="1"/>
  <c r="P2555" i="22"/>
  <c r="Q2555" i="22"/>
  <c r="R2555" i="22"/>
  <c r="L2556" i="22"/>
  <c r="C2556" i="22"/>
  <c r="K2556" i="22" s="1"/>
  <c r="E2556" i="22"/>
  <c r="F2556" i="22"/>
  <c r="O2556" i="22" s="1"/>
  <c r="G2556" i="22"/>
  <c r="I2556" i="22"/>
  <c r="M2501" i="22"/>
  <c r="D2501" i="22"/>
  <c r="J2501" i="22"/>
  <c r="N2501" i="22" s="1"/>
  <c r="U2501" i="22" s="1"/>
  <c r="P2501" i="22"/>
  <c r="Q2501" i="22"/>
  <c r="R2501" i="22"/>
  <c r="L2502" i="22"/>
  <c r="C2502" i="22"/>
  <c r="K2502" i="22" s="1"/>
  <c r="E2502" i="22"/>
  <c r="F2502" i="22"/>
  <c r="O2502" i="22" s="1"/>
  <c r="G2502" i="22"/>
  <c r="I2502" i="22"/>
  <c r="M2447" i="22"/>
  <c r="D2447" i="22"/>
  <c r="J2447" i="22"/>
  <c r="N2447" i="22" s="1"/>
  <c r="U2447" i="22" s="1"/>
  <c r="P2447" i="22"/>
  <c r="Q2447" i="22"/>
  <c r="R2447" i="22"/>
  <c r="L2448" i="22"/>
  <c r="C2448" i="22"/>
  <c r="K2448" i="22" s="1"/>
  <c r="E2448" i="22"/>
  <c r="F2448" i="22"/>
  <c r="O2448" i="22" s="1"/>
  <c r="G2448" i="22"/>
  <c r="I2448" i="22"/>
  <c r="M2393" i="22"/>
  <c r="D2393" i="22"/>
  <c r="J2393" i="22"/>
  <c r="N2393" i="22" s="1"/>
  <c r="U2393" i="22" s="1"/>
  <c r="P2393" i="22"/>
  <c r="Q2393" i="22"/>
  <c r="R2393" i="22"/>
  <c r="L2394" i="22"/>
  <c r="C2394" i="22"/>
  <c r="K2394" i="22" s="1"/>
  <c r="E2394" i="22"/>
  <c r="F2394" i="22"/>
  <c r="O2394" i="22" s="1"/>
  <c r="G2394" i="22"/>
  <c r="I2394" i="22"/>
  <c r="D2339" i="22"/>
  <c r="J2339" i="22"/>
  <c r="P2339" i="22"/>
  <c r="Q2339" i="22"/>
  <c r="R2339" i="22"/>
  <c r="L2340" i="22"/>
  <c r="C2340" i="22"/>
  <c r="E2340" i="22"/>
  <c r="G2340" i="22"/>
  <c r="I2340" i="22"/>
  <c r="M2285" i="22"/>
  <c r="D2285" i="22"/>
  <c r="J2285" i="22"/>
  <c r="N2285" i="22" s="1"/>
  <c r="U2285" i="22" s="1"/>
  <c r="L2286" i="22"/>
  <c r="G2286" i="22"/>
  <c r="C2286" i="22"/>
  <c r="E2286" i="22"/>
  <c r="I2286" i="22"/>
  <c r="P2285" i="22"/>
  <c r="Q2285" i="22"/>
  <c r="R2285" i="22"/>
  <c r="D2231" i="22"/>
  <c r="J2231" i="22"/>
  <c r="P2231" i="22"/>
  <c r="Q2231" i="22"/>
  <c r="R2231" i="22"/>
  <c r="L2232" i="22"/>
  <c r="C2232" i="22"/>
  <c r="E2232" i="22"/>
  <c r="G2232" i="22"/>
  <c r="I2232" i="22"/>
  <c r="D2177" i="22"/>
  <c r="J2177" i="22"/>
  <c r="P2177" i="22"/>
  <c r="Q2177" i="22"/>
  <c r="R2177" i="22"/>
  <c r="L2178" i="22"/>
  <c r="C2178" i="22"/>
  <c r="K2178" i="22" s="1"/>
  <c r="E2178" i="22"/>
  <c r="F2178" i="22"/>
  <c r="O2178" i="22" s="1"/>
  <c r="G2178" i="22"/>
  <c r="I2178" i="22"/>
  <c r="M2123" i="22"/>
  <c r="D2123" i="22"/>
  <c r="J2123" i="22"/>
  <c r="N2123" i="22" s="1"/>
  <c r="U2123" i="22" s="1"/>
  <c r="P2123" i="22"/>
  <c r="Q2123" i="22"/>
  <c r="R2123" i="22"/>
  <c r="L2124" i="22"/>
  <c r="C2124" i="22"/>
  <c r="K2124" i="22" s="1"/>
  <c r="E2124" i="22"/>
  <c r="F2124" i="22"/>
  <c r="O2124" i="22" s="1"/>
  <c r="G2124" i="22"/>
  <c r="I2124" i="22"/>
  <c r="M2069" i="22"/>
  <c r="D2069" i="22"/>
  <c r="J2069" i="22"/>
  <c r="N2069" i="22" s="1"/>
  <c r="U2069" i="22" s="1"/>
  <c r="P2069" i="22"/>
  <c r="Q2069" i="22"/>
  <c r="R2069" i="22"/>
  <c r="L2070" i="22"/>
  <c r="C2070" i="22"/>
  <c r="E2070" i="22"/>
  <c r="G2070" i="22"/>
  <c r="I2070" i="22"/>
  <c r="M2015" i="22"/>
  <c r="D2015" i="22"/>
  <c r="J2015" i="22"/>
  <c r="N2015" i="22" s="1"/>
  <c r="U2015" i="22" s="1"/>
  <c r="P2015" i="22"/>
  <c r="Q2015" i="22"/>
  <c r="R2015" i="22"/>
  <c r="L2016" i="22"/>
  <c r="C2016" i="22"/>
  <c r="E2016" i="22"/>
  <c r="G2016" i="22"/>
  <c r="I2016" i="22"/>
  <c r="M1961" i="22"/>
  <c r="D1961" i="22"/>
  <c r="J1961" i="22"/>
  <c r="N1961" i="22" s="1"/>
  <c r="U1961" i="22" s="1"/>
  <c r="P1961" i="22"/>
  <c r="Q1961" i="22"/>
  <c r="R1961" i="22"/>
  <c r="L1962" i="22"/>
  <c r="E1962" i="22"/>
  <c r="G1962" i="22"/>
  <c r="C1962" i="22"/>
  <c r="I1962" i="22"/>
  <c r="D1907" i="22"/>
  <c r="J1907" i="22"/>
  <c r="P1907" i="22"/>
  <c r="Q1907" i="22"/>
  <c r="R1907" i="22"/>
  <c r="L1908" i="22"/>
  <c r="C1908" i="22"/>
  <c r="E1908" i="22"/>
  <c r="G1908" i="22"/>
  <c r="I1908" i="22"/>
  <c r="D1853" i="22"/>
  <c r="J1853" i="22"/>
  <c r="P1853" i="22"/>
  <c r="Q1853" i="22"/>
  <c r="R1853" i="22"/>
  <c r="L1854" i="22"/>
  <c r="C1854" i="22"/>
  <c r="K1854" i="22" s="1"/>
  <c r="E1854" i="22"/>
  <c r="F1854" i="22"/>
  <c r="O1854" i="22" s="1"/>
  <c r="G1854" i="22"/>
  <c r="I1854" i="22"/>
  <c r="D1799" i="22"/>
  <c r="J1799" i="22"/>
  <c r="P1799" i="22"/>
  <c r="Q1799" i="22"/>
  <c r="R1799" i="22"/>
  <c r="L1800" i="22"/>
  <c r="C1800" i="22"/>
  <c r="K1800" i="22" s="1"/>
  <c r="E1800" i="22"/>
  <c r="F1800" i="22"/>
  <c r="O1800" i="22" s="1"/>
  <c r="G1800" i="22"/>
  <c r="I1800" i="22"/>
  <c r="M1745" i="22"/>
  <c r="D1745" i="22"/>
  <c r="J1745" i="22"/>
  <c r="N1745" i="22" s="1"/>
  <c r="U1745" i="22" s="1"/>
  <c r="P1745" i="22"/>
  <c r="Q1745" i="22"/>
  <c r="R1745" i="22"/>
  <c r="L1746" i="22"/>
  <c r="C1746" i="22"/>
  <c r="E1746" i="22"/>
  <c r="G1746" i="22"/>
  <c r="I1746" i="22"/>
  <c r="M1691" i="22"/>
  <c r="D1691" i="22"/>
  <c r="J1691" i="22"/>
  <c r="N1691" i="22" s="1"/>
  <c r="U1691" i="22" s="1"/>
  <c r="P1691" i="22"/>
  <c r="Q1691" i="22"/>
  <c r="R1691" i="22"/>
  <c r="L1692" i="22"/>
  <c r="C1692" i="22"/>
  <c r="E1692" i="22"/>
  <c r="G1692" i="22"/>
  <c r="I1692" i="22"/>
  <c r="M1637" i="22"/>
  <c r="D1637" i="22"/>
  <c r="J1637" i="22"/>
  <c r="N1637" i="22" s="1"/>
  <c r="U1637" i="22" s="1"/>
  <c r="P1637" i="22"/>
  <c r="Q1637" i="22"/>
  <c r="R1637" i="22"/>
  <c r="L1638" i="22"/>
  <c r="C1638" i="22"/>
  <c r="K1638" i="22" s="1"/>
  <c r="E1638" i="22"/>
  <c r="F1638" i="22"/>
  <c r="O1638" i="22" s="1"/>
  <c r="G1638" i="22"/>
  <c r="I1638" i="22"/>
  <c r="M1583" i="22"/>
  <c r="D1583" i="22"/>
  <c r="J1583" i="22"/>
  <c r="N1583" i="22" s="1"/>
  <c r="U1583" i="22" s="1"/>
  <c r="P1583" i="22"/>
  <c r="Q1583" i="22"/>
  <c r="R1583" i="22"/>
  <c r="L1584" i="22"/>
  <c r="C1584" i="22"/>
  <c r="K1584" i="22" s="1"/>
  <c r="E1584" i="22"/>
  <c r="F1584" i="22"/>
  <c r="O1584" i="22" s="1"/>
  <c r="G1584" i="22"/>
  <c r="I1584" i="22"/>
  <c r="M1529" i="22"/>
  <c r="D1529" i="22"/>
  <c r="J1529" i="22"/>
  <c r="N1529" i="22" s="1"/>
  <c r="U1529" i="22" s="1"/>
  <c r="P1529" i="22"/>
  <c r="Q1529" i="22"/>
  <c r="R1529" i="22"/>
  <c r="L1530" i="22"/>
  <c r="C1530" i="22"/>
  <c r="K1530" i="22" s="1"/>
  <c r="E1530" i="22"/>
  <c r="F1530" i="22"/>
  <c r="O1530" i="22" s="1"/>
  <c r="G1530" i="22"/>
  <c r="I1530" i="22"/>
  <c r="M1475" i="22"/>
  <c r="D1475" i="22"/>
  <c r="J1475" i="22"/>
  <c r="N1475" i="22" s="1"/>
  <c r="U1475" i="22" s="1"/>
  <c r="P1475" i="22"/>
  <c r="Q1475" i="22"/>
  <c r="R1475" i="22"/>
  <c r="L1476" i="22"/>
  <c r="C1476" i="22"/>
  <c r="K1476" i="22" s="1"/>
  <c r="E1476" i="22"/>
  <c r="F1476" i="22"/>
  <c r="O1476" i="22" s="1"/>
  <c r="G1476" i="22"/>
  <c r="I1476" i="22"/>
  <c r="M1421" i="22"/>
  <c r="D1421" i="22"/>
  <c r="J1421" i="22"/>
  <c r="N1421" i="22" s="1"/>
  <c r="U1421" i="22" s="1"/>
  <c r="P1421" i="22"/>
  <c r="Q1421" i="22"/>
  <c r="R1421" i="22"/>
  <c r="L1422" i="22"/>
  <c r="C1422" i="22"/>
  <c r="K1422" i="22" s="1"/>
  <c r="E1422" i="22"/>
  <c r="F1422" i="22"/>
  <c r="O1422" i="22" s="1"/>
  <c r="G1422" i="22"/>
  <c r="I1422" i="22"/>
  <c r="M1367" i="22"/>
  <c r="D1367" i="22"/>
  <c r="J1367" i="22"/>
  <c r="N1367" i="22" s="1"/>
  <c r="U1367" i="22" s="1"/>
  <c r="P1367" i="22"/>
  <c r="Q1367" i="22"/>
  <c r="R1367" i="22"/>
  <c r="L1368" i="22"/>
  <c r="C1368" i="22"/>
  <c r="K1368" i="22" s="1"/>
  <c r="E1368" i="22"/>
  <c r="F1368" i="22"/>
  <c r="O1368" i="22" s="1"/>
  <c r="G1368" i="22"/>
  <c r="I1368" i="22"/>
  <c r="M1313" i="22"/>
  <c r="D1313" i="22"/>
  <c r="J1313" i="22"/>
  <c r="N1313" i="22" s="1"/>
  <c r="U1313" i="22" s="1"/>
  <c r="P1313" i="22"/>
  <c r="Q1313" i="22"/>
  <c r="R1313" i="22"/>
  <c r="L1314" i="22"/>
  <c r="C1314" i="22"/>
  <c r="K1314" i="22" s="1"/>
  <c r="E1314" i="22"/>
  <c r="F1314" i="22"/>
  <c r="O1314" i="22" s="1"/>
  <c r="G1314" i="22"/>
  <c r="I1314" i="22"/>
  <c r="M1259" i="22"/>
  <c r="D1259" i="22"/>
  <c r="J1259" i="22"/>
  <c r="N1259" i="22" s="1"/>
  <c r="U1259" i="22" s="1"/>
  <c r="P1259" i="22"/>
  <c r="Q1259" i="22"/>
  <c r="R1259" i="22"/>
  <c r="L1260" i="22"/>
  <c r="C1260" i="22"/>
  <c r="K1260" i="22" s="1"/>
  <c r="E1260" i="22"/>
  <c r="F1260" i="22"/>
  <c r="O1260" i="22" s="1"/>
  <c r="G1260" i="22"/>
  <c r="I1260" i="22"/>
  <c r="M1205" i="22"/>
  <c r="D1205" i="22"/>
  <c r="J1205" i="22"/>
  <c r="N1205" i="22" s="1"/>
  <c r="U1205" i="22" s="1"/>
  <c r="P1205" i="22"/>
  <c r="Q1205" i="22"/>
  <c r="R1205" i="22"/>
  <c r="L1206" i="22"/>
  <c r="C1206" i="22"/>
  <c r="K1206" i="22" s="1"/>
  <c r="E1206" i="22"/>
  <c r="F1206" i="22"/>
  <c r="O1206" i="22" s="1"/>
  <c r="G1206" i="22"/>
  <c r="I1206" i="22"/>
  <c r="D1151" i="22"/>
  <c r="J1151" i="22"/>
  <c r="P1151" i="22"/>
  <c r="Q1151" i="22"/>
  <c r="R1151" i="22"/>
  <c r="L1152" i="22"/>
  <c r="C1152" i="22"/>
  <c r="K1152" i="22" s="1"/>
  <c r="E1152" i="22"/>
  <c r="F1152" i="22"/>
  <c r="O1152" i="22" s="1"/>
  <c r="G1152" i="22"/>
  <c r="I1152" i="22"/>
  <c r="M1097" i="22"/>
  <c r="D1097" i="22"/>
  <c r="J1097" i="22"/>
  <c r="N1097" i="22" s="1"/>
  <c r="U1097" i="22" s="1"/>
  <c r="P1097" i="22"/>
  <c r="Q1097" i="22"/>
  <c r="R1097" i="22"/>
  <c r="L1098" i="22"/>
  <c r="C1098" i="22"/>
  <c r="E1098" i="22"/>
  <c r="G1098" i="22"/>
  <c r="I1098" i="22"/>
  <c r="L1044" i="22"/>
  <c r="G1044" i="22"/>
  <c r="I1044" i="22"/>
  <c r="E1044" i="22"/>
  <c r="C1044" i="22"/>
  <c r="P1043" i="22"/>
  <c r="Q1043" i="22"/>
  <c r="R1043" i="22"/>
  <c r="J1043" i="22"/>
  <c r="D1043" i="22"/>
  <c r="M989" i="22"/>
  <c r="D989" i="22"/>
  <c r="J989" i="22"/>
  <c r="N989" i="22" s="1"/>
  <c r="U989" i="22" s="1"/>
  <c r="P989" i="22"/>
  <c r="Q989" i="22"/>
  <c r="R989" i="22"/>
  <c r="L990" i="22"/>
  <c r="C990" i="22"/>
  <c r="K990" i="22" s="1"/>
  <c r="E990" i="22"/>
  <c r="F990" i="22"/>
  <c r="O990" i="22" s="1"/>
  <c r="G990" i="22"/>
  <c r="I990" i="22"/>
  <c r="M935" i="22"/>
  <c r="D935" i="22"/>
  <c r="J935" i="22"/>
  <c r="N935" i="22" s="1"/>
  <c r="U935" i="22" s="1"/>
  <c r="P935" i="22"/>
  <c r="Q935" i="22"/>
  <c r="R935" i="22"/>
  <c r="L936" i="22"/>
  <c r="C936" i="22"/>
  <c r="K936" i="22" s="1"/>
  <c r="E936" i="22"/>
  <c r="F936" i="22"/>
  <c r="O936" i="22" s="1"/>
  <c r="G936" i="22"/>
  <c r="I936" i="22"/>
  <c r="D881" i="22"/>
  <c r="J881" i="22"/>
  <c r="P881" i="22"/>
  <c r="Q881" i="22"/>
  <c r="R881" i="22"/>
  <c r="L882" i="22"/>
  <c r="C882" i="22"/>
  <c r="K882" i="22" s="1"/>
  <c r="E882" i="22"/>
  <c r="F882" i="22"/>
  <c r="O882" i="22" s="1"/>
  <c r="G882" i="22"/>
  <c r="I882" i="22"/>
  <c r="D827" i="22"/>
  <c r="J827" i="22"/>
  <c r="P827" i="22"/>
  <c r="Q827" i="22"/>
  <c r="R827" i="22"/>
  <c r="L828" i="22"/>
  <c r="C828" i="22"/>
  <c r="E828" i="22"/>
  <c r="G828" i="22"/>
  <c r="I828" i="22"/>
  <c r="M773" i="22"/>
  <c r="D773" i="22"/>
  <c r="J773" i="22"/>
  <c r="N773" i="22" s="1"/>
  <c r="U773" i="22" s="1"/>
  <c r="P773" i="22"/>
  <c r="Q773" i="22"/>
  <c r="R773" i="22"/>
  <c r="L774" i="22"/>
  <c r="C774" i="22"/>
  <c r="K774" i="22" s="1"/>
  <c r="E774" i="22"/>
  <c r="F774" i="22"/>
  <c r="O774" i="22" s="1"/>
  <c r="G774" i="22"/>
  <c r="I774" i="22"/>
  <c r="M719" i="22"/>
  <c r="D719" i="22"/>
  <c r="J719" i="22"/>
  <c r="N719" i="22" s="1"/>
  <c r="U719" i="22" s="1"/>
  <c r="P719" i="22"/>
  <c r="Q719" i="22"/>
  <c r="R719" i="22"/>
  <c r="L720" i="22"/>
  <c r="C720" i="22"/>
  <c r="E720" i="22"/>
  <c r="G720" i="22"/>
  <c r="I720" i="22"/>
  <c r="M665" i="22"/>
  <c r="D665" i="22"/>
  <c r="J665" i="22"/>
  <c r="N665" i="22" s="1"/>
  <c r="U665" i="22" s="1"/>
  <c r="P665" i="22"/>
  <c r="Q665" i="22"/>
  <c r="R665" i="22"/>
  <c r="L666" i="22"/>
  <c r="C666" i="22"/>
  <c r="K666" i="22" s="1"/>
  <c r="E666" i="22"/>
  <c r="F666" i="22"/>
  <c r="O666" i="22" s="1"/>
  <c r="G666" i="22"/>
  <c r="I666" i="22"/>
  <c r="M611" i="22"/>
  <c r="D611" i="22"/>
  <c r="J611" i="22"/>
  <c r="N611" i="22" s="1"/>
  <c r="U611" i="22" s="1"/>
  <c r="P611" i="22"/>
  <c r="Q611" i="22"/>
  <c r="R611" i="22"/>
  <c r="L612" i="22"/>
  <c r="C612" i="22"/>
  <c r="K612" i="22" s="1"/>
  <c r="E612" i="22"/>
  <c r="F612" i="22"/>
  <c r="O612" i="22" s="1"/>
  <c r="G612" i="22"/>
  <c r="I612" i="22"/>
  <c r="D557" i="22"/>
  <c r="J557" i="22"/>
  <c r="P557" i="22"/>
  <c r="Q557" i="22"/>
  <c r="R557" i="22"/>
  <c r="L558" i="22"/>
  <c r="C558" i="22"/>
  <c r="E558" i="22"/>
  <c r="G558" i="22"/>
  <c r="I558" i="22"/>
  <c r="M503" i="22"/>
  <c r="D503" i="22"/>
  <c r="J503" i="22"/>
  <c r="N503" i="22" s="1"/>
  <c r="U503" i="22" s="1"/>
  <c r="P503" i="22"/>
  <c r="Q503" i="22"/>
  <c r="R503" i="22"/>
  <c r="L504" i="22"/>
  <c r="C504" i="22"/>
  <c r="E504" i="22"/>
  <c r="G504" i="22"/>
  <c r="I504" i="22"/>
  <c r="M449" i="22"/>
  <c r="D449" i="22"/>
  <c r="J449" i="22"/>
  <c r="N449" i="22" s="1"/>
  <c r="U449" i="22" s="1"/>
  <c r="P449" i="22"/>
  <c r="Q449" i="22"/>
  <c r="R449" i="22"/>
  <c r="L450" i="22"/>
  <c r="C450" i="22"/>
  <c r="E450" i="22"/>
  <c r="G450" i="22"/>
  <c r="I450" i="22"/>
  <c r="M395" i="22"/>
  <c r="D395" i="22"/>
  <c r="J395" i="22"/>
  <c r="N395" i="22" s="1"/>
  <c r="U395" i="22" s="1"/>
  <c r="P395" i="22"/>
  <c r="Q395" i="22"/>
  <c r="R395" i="22"/>
  <c r="L396" i="22"/>
  <c r="C396" i="22"/>
  <c r="E396" i="22"/>
  <c r="G396" i="22"/>
  <c r="I396" i="22"/>
  <c r="M341" i="22"/>
  <c r="D341" i="22"/>
  <c r="J341" i="22"/>
  <c r="N341" i="22" s="1"/>
  <c r="U341" i="22" s="1"/>
  <c r="P341" i="22"/>
  <c r="Q341" i="22"/>
  <c r="R341" i="22"/>
  <c r="L342" i="22"/>
  <c r="C342" i="22"/>
  <c r="K342" i="22" s="1"/>
  <c r="E342" i="22"/>
  <c r="F342" i="22"/>
  <c r="O342" i="22" s="1"/>
  <c r="G342" i="22"/>
  <c r="I342" i="22"/>
  <c r="M287" i="22"/>
  <c r="D287" i="22"/>
  <c r="J287" i="22"/>
  <c r="N287" i="22" s="1"/>
  <c r="U287" i="22" s="1"/>
  <c r="P287" i="22"/>
  <c r="Q287" i="22"/>
  <c r="R287" i="22"/>
  <c r="L288" i="22"/>
  <c r="C288" i="22"/>
  <c r="E288" i="22"/>
  <c r="G288" i="22"/>
  <c r="I288" i="22"/>
  <c r="D233" i="22"/>
  <c r="J233" i="22"/>
  <c r="P233" i="22"/>
  <c r="Q233" i="22"/>
  <c r="R233" i="22"/>
  <c r="L234" i="22"/>
  <c r="C234" i="22"/>
  <c r="K234" i="22" s="1"/>
  <c r="E234" i="22"/>
  <c r="F234" i="22"/>
  <c r="O234" i="22" s="1"/>
  <c r="G234" i="22"/>
  <c r="I234" i="22"/>
  <c r="M179" i="22"/>
  <c r="D179" i="22"/>
  <c r="J179" i="22"/>
  <c r="N179" i="22" s="1"/>
  <c r="U179" i="22" s="1"/>
  <c r="P179" i="22"/>
  <c r="Q179" i="22"/>
  <c r="R179" i="22"/>
  <c r="L180" i="22"/>
  <c r="C180" i="22"/>
  <c r="K180" i="22" s="1"/>
  <c r="E180" i="22"/>
  <c r="F180" i="22"/>
  <c r="O180" i="22" s="1"/>
  <c r="G180" i="22"/>
  <c r="I180" i="22"/>
  <c r="M125" i="22"/>
  <c r="D125" i="22"/>
  <c r="J125" i="22"/>
  <c r="N125" i="22" s="1"/>
  <c r="U125" i="22" s="1"/>
  <c r="P125" i="22"/>
  <c r="Q125" i="22"/>
  <c r="R125" i="22"/>
  <c r="L126" i="22"/>
  <c r="C126" i="22"/>
  <c r="E126" i="22"/>
  <c r="G126" i="22"/>
  <c r="I126" i="22"/>
  <c r="U62" i="17"/>
  <c r="C114" i="12" s="1"/>
  <c r="M114" i="12"/>
  <c r="Q114" i="12" s="1"/>
  <c r="O114" i="12"/>
  <c r="BE63" i="17"/>
  <c r="BD63" i="17"/>
  <c r="BC63" i="17"/>
  <c r="BB63" i="17"/>
  <c r="BA63" i="17"/>
  <c r="AZ63" i="17"/>
  <c r="AY63" i="17"/>
  <c r="AX63"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P63" i="17"/>
  <c r="Q63" i="17"/>
  <c r="R63" i="17"/>
  <c r="V63" i="17"/>
  <c r="BF63" i="17"/>
  <c r="L64" i="17"/>
  <c r="E64" i="17"/>
  <c r="G64" i="17"/>
  <c r="I64" i="17"/>
  <c r="C64" i="17"/>
  <c r="K64" i="17" s="1"/>
  <c r="F64" i="17"/>
  <c r="C64" i="18" s="1"/>
  <c r="E64" i="18" s="1"/>
  <c r="B64" i="18"/>
  <c r="D63" i="17"/>
  <c r="J63" i="17"/>
  <c r="C112" i="12"/>
  <c r="U61" i="17"/>
  <c r="F55" i="12"/>
  <c r="M113" i="12"/>
  <c r="Q113" i="12" s="1"/>
  <c r="O113" i="12"/>
  <c r="M1583" i="23"/>
  <c r="N1583" i="23"/>
  <c r="AE1583" i="23" s="1"/>
  <c r="M1527" i="23"/>
  <c r="N1527" i="23"/>
  <c r="AE1527" i="23" s="1"/>
  <c r="M1359" i="23"/>
  <c r="N1359" i="23"/>
  <c r="AE1359" i="23" s="1"/>
  <c r="M1303" i="23"/>
  <c r="N1303" i="23"/>
  <c r="AE1303" i="23" s="1"/>
  <c r="M911" i="23"/>
  <c r="N911" i="23"/>
  <c r="AE911" i="23" s="1"/>
  <c r="M463" i="23"/>
  <c r="N463" i="23"/>
  <c r="AE463" i="23" s="1"/>
  <c r="M407" i="23"/>
  <c r="N407" i="23"/>
  <c r="AE407" i="23" s="1"/>
  <c r="M4720" i="22"/>
  <c r="N4720" i="22"/>
  <c r="N4258" i="22"/>
  <c r="U4258" i="22" s="1"/>
  <c r="M4258" i="22"/>
  <c r="M3472" i="22"/>
  <c r="N3472" i="22"/>
  <c r="U3472" i="22" s="1"/>
  <c r="M3364" i="22"/>
  <c r="N3364" i="22"/>
  <c r="U3364" i="22" s="1"/>
  <c r="M3148" i="22"/>
  <c r="N3148" i="22"/>
  <c r="U3148" i="22" s="1"/>
  <c r="N3094" i="22"/>
  <c r="U3094" i="22" s="1"/>
  <c r="M3094" i="22"/>
  <c r="N3040" i="22"/>
  <c r="U3040" i="22" s="1"/>
  <c r="M3040" i="22"/>
  <c r="M2986" i="22"/>
  <c r="N2986" i="22"/>
  <c r="U2986" i="22" s="1"/>
  <c r="M2662" i="22"/>
  <c r="N2662" i="22"/>
  <c r="U2662" i="22" s="1"/>
  <c r="M2392" i="22"/>
  <c r="N2392" i="22"/>
  <c r="U2392" i="22" s="1"/>
  <c r="M2338" i="22"/>
  <c r="N2338" i="22"/>
  <c r="U2338" i="22" s="1"/>
  <c r="M2284" i="22"/>
  <c r="N2284" i="22"/>
  <c r="U2284" i="22" s="1"/>
  <c r="M2068" i="22"/>
  <c r="N2068" i="22"/>
  <c r="U2068" i="22" s="1"/>
  <c r="M2014" i="22"/>
  <c r="N2014" i="22"/>
  <c r="U2014" i="22" s="1"/>
  <c r="M1960" i="22"/>
  <c r="N1960" i="22"/>
  <c r="U1960" i="22" s="1"/>
  <c r="M1636" i="22"/>
  <c r="N1636" i="22"/>
  <c r="U1636" i="22" s="1"/>
  <c r="M1366" i="22"/>
  <c r="N1366" i="22"/>
  <c r="U1366" i="22" s="1"/>
  <c r="M1312" i="22"/>
  <c r="N1312" i="22"/>
  <c r="U1312" i="22" s="1"/>
  <c r="M988" i="22"/>
  <c r="N988" i="22"/>
  <c r="U988" i="22" s="1"/>
  <c r="M664" i="22"/>
  <c r="N664" i="22"/>
  <c r="U664" i="22" s="1"/>
  <c r="M340" i="22"/>
  <c r="N340" i="22"/>
  <c r="U340" i="22" s="1"/>
  <c r="M286" i="22"/>
  <c r="N286" i="22"/>
  <c r="U286" i="22" s="1"/>
  <c r="F1528" i="23"/>
  <c r="O1528" i="23" s="1"/>
  <c r="K1528" i="23"/>
  <c r="F1472" i="23"/>
  <c r="O1472" i="23" s="1"/>
  <c r="K1472" i="23"/>
  <c r="K1360" i="23"/>
  <c r="F1360" i="23"/>
  <c r="O1360" i="23" s="1"/>
  <c r="F464" i="23"/>
  <c r="O464" i="23" s="1"/>
  <c r="K464" i="23"/>
  <c r="F408" i="23"/>
  <c r="O408" i="23" s="1"/>
  <c r="K408" i="23"/>
  <c r="P114" i="12"/>
  <c r="D4667" i="22"/>
  <c r="F4667" i="22"/>
  <c r="O4667" i="22" s="1"/>
  <c r="K4559" i="22"/>
  <c r="F4559" i="22"/>
  <c r="K3743" i="22"/>
  <c r="F3743" i="22"/>
  <c r="O3743" i="22" s="1"/>
  <c r="F3635" i="22"/>
  <c r="O3635" i="22" s="1"/>
  <c r="K3635" i="22"/>
  <c r="K3527" i="22"/>
  <c r="F3527" i="22"/>
  <c r="O3527" i="22" s="1"/>
  <c r="K3419" i="22"/>
  <c r="F3419" i="22"/>
  <c r="O3419" i="22" s="1"/>
  <c r="K3365" i="22"/>
  <c r="F3365" i="22"/>
  <c r="O3365" i="22" s="1"/>
  <c r="K3311" i="22"/>
  <c r="F3311" i="22"/>
  <c r="O3311" i="22" s="1"/>
  <c r="K3149" i="22"/>
  <c r="F3149" i="22"/>
  <c r="O3149" i="22" s="1"/>
  <c r="F3095" i="22"/>
  <c r="O3095" i="22" s="1"/>
  <c r="K3095" i="22"/>
  <c r="F2987" i="22"/>
  <c r="O2987" i="22" s="1"/>
  <c r="K2987" i="22"/>
  <c r="K2933" i="22"/>
  <c r="F2933" i="22"/>
  <c r="O2933" i="22" s="1"/>
  <c r="F2663" i="22"/>
  <c r="O2663" i="22" s="1"/>
  <c r="K2663" i="22"/>
  <c r="K2609" i="22"/>
  <c r="F2609" i="22"/>
  <c r="O2609" i="22" s="1"/>
  <c r="K2339" i="22"/>
  <c r="F2339" i="22"/>
  <c r="O2339" i="22" s="1"/>
  <c r="K2231" i="22"/>
  <c r="F2231" i="22"/>
  <c r="O2231" i="22" s="1"/>
  <c r="F2177" i="22"/>
  <c r="O2177" i="22" s="1"/>
  <c r="K2177" i="22"/>
  <c r="K1907" i="22"/>
  <c r="F1907" i="22"/>
  <c r="O1907" i="22" s="1"/>
  <c r="F1853" i="22"/>
  <c r="O1853" i="22" s="1"/>
  <c r="K1853" i="22"/>
  <c r="F1799" i="22"/>
  <c r="O1799" i="22" s="1"/>
  <c r="K1799" i="22"/>
  <c r="K1151" i="22"/>
  <c r="F1151" i="22"/>
  <c r="O1151" i="22" s="1"/>
  <c r="K1043" i="22"/>
  <c r="F1043" i="22"/>
  <c r="O1043" i="22" s="1"/>
  <c r="K881" i="22"/>
  <c r="F881" i="22"/>
  <c r="O881" i="22" s="1"/>
  <c r="K827" i="22"/>
  <c r="F827" i="22"/>
  <c r="O827" i="22" s="1"/>
  <c r="F557" i="22"/>
  <c r="O557" i="22" s="1"/>
  <c r="K557" i="22"/>
  <c r="F233" i="22"/>
  <c r="O233" i="22" s="1"/>
  <c r="K233" i="22"/>
  <c r="F63" i="17"/>
  <c r="C63" i="18" s="1"/>
  <c r="E63" i="18" s="1"/>
  <c r="K63" i="17"/>
  <c r="K689" i="23" l="1"/>
  <c r="F689" i="23"/>
  <c r="O689" i="23" s="1"/>
  <c r="K3366" i="22"/>
  <c r="F3366" i="22"/>
  <c r="O3366" i="22" s="1"/>
  <c r="K2772" i="22"/>
  <c r="F2772" i="22"/>
  <c r="O2772" i="22" s="1"/>
  <c r="K2232" i="22"/>
  <c r="F2232" i="22"/>
  <c r="O2232" i="22" s="1"/>
  <c r="K1908" i="22"/>
  <c r="F1908" i="22"/>
  <c r="O1908" i="22" s="1"/>
  <c r="K1098" i="22"/>
  <c r="F1098" i="22"/>
  <c r="O1098" i="22" s="1"/>
  <c r="K828" i="22"/>
  <c r="F828" i="22"/>
  <c r="O828" i="22" s="1"/>
  <c r="K558" i="22"/>
  <c r="F558" i="22"/>
  <c r="O558" i="22" s="1"/>
  <c r="K504" i="22"/>
  <c r="F504" i="22"/>
  <c r="O504" i="22" s="1"/>
  <c r="K450" i="22"/>
  <c r="F450" i="22"/>
  <c r="O450" i="22" s="1"/>
  <c r="K288" i="22"/>
  <c r="F288" i="22"/>
  <c r="O288" i="22" s="1"/>
  <c r="M1641" i="23"/>
  <c r="J1641" i="23"/>
  <c r="N1641" i="23" s="1"/>
  <c r="AE1641" i="23" s="1"/>
  <c r="D1641" i="23"/>
  <c r="P1641" i="23"/>
  <c r="Q1641" i="23"/>
  <c r="R1641" i="23"/>
  <c r="M1585" i="23"/>
  <c r="J1585" i="23"/>
  <c r="N1585" i="23" s="1"/>
  <c r="AE1585" i="23" s="1"/>
  <c r="D1585" i="23"/>
  <c r="P1585" i="23"/>
  <c r="Q1585" i="23"/>
  <c r="R1585" i="23"/>
  <c r="M1529" i="23"/>
  <c r="J1529" i="23"/>
  <c r="N1529" i="23" s="1"/>
  <c r="AE1529" i="23" s="1"/>
  <c r="D1529" i="23"/>
  <c r="P1529" i="23"/>
  <c r="Q1529" i="23"/>
  <c r="R1529" i="23"/>
  <c r="M1473" i="23"/>
  <c r="J1473" i="23"/>
  <c r="N1473" i="23" s="1"/>
  <c r="AE1473" i="23" s="1"/>
  <c r="D1473" i="23"/>
  <c r="P1473" i="23"/>
  <c r="Q1473" i="23"/>
  <c r="R1473" i="23"/>
  <c r="J1417" i="23"/>
  <c r="D1417" i="23"/>
  <c r="P1417" i="23"/>
  <c r="Q1417" i="23"/>
  <c r="R1417" i="23"/>
  <c r="J1361" i="23"/>
  <c r="D1361" i="23"/>
  <c r="P1361" i="23"/>
  <c r="Q1361" i="23"/>
  <c r="R1361" i="23"/>
  <c r="M1305" i="23"/>
  <c r="J1305" i="23"/>
  <c r="N1305" i="23" s="1"/>
  <c r="AE1305" i="23" s="1"/>
  <c r="D1305" i="23"/>
  <c r="P1305" i="23"/>
  <c r="Q1305" i="23"/>
  <c r="R1305" i="23"/>
  <c r="J1249" i="23"/>
  <c r="D1249" i="23"/>
  <c r="P1249" i="23"/>
  <c r="Q1249" i="23"/>
  <c r="R1249" i="23"/>
  <c r="M1193" i="23"/>
  <c r="J1193" i="23"/>
  <c r="N1193" i="23" s="1"/>
  <c r="AE1193" i="23" s="1"/>
  <c r="D1193" i="23"/>
  <c r="P1193" i="23"/>
  <c r="Q1193" i="23"/>
  <c r="R1193" i="23"/>
  <c r="M1137" i="23"/>
  <c r="J1137" i="23"/>
  <c r="N1137" i="23" s="1"/>
  <c r="AE1137" i="23" s="1"/>
  <c r="D1137" i="23"/>
  <c r="P1137" i="23"/>
  <c r="Q1137" i="23"/>
  <c r="R1137" i="23"/>
  <c r="M1081" i="23"/>
  <c r="J1081" i="23"/>
  <c r="N1081" i="23" s="1"/>
  <c r="AE1081" i="23" s="1"/>
  <c r="D1081" i="23"/>
  <c r="P1081" i="23"/>
  <c r="Q1081" i="23"/>
  <c r="R1081" i="23"/>
  <c r="M1025" i="23"/>
  <c r="J1025" i="23"/>
  <c r="N1025" i="23" s="1"/>
  <c r="AE1025" i="23" s="1"/>
  <c r="D1025" i="23"/>
  <c r="P1025" i="23"/>
  <c r="Q1025" i="23"/>
  <c r="R1025" i="23"/>
  <c r="M969" i="23"/>
  <c r="J969" i="23"/>
  <c r="N969" i="23" s="1"/>
  <c r="AE969" i="23" s="1"/>
  <c r="D969" i="23"/>
  <c r="P969" i="23"/>
  <c r="Q969" i="23"/>
  <c r="R969" i="23"/>
  <c r="M913" i="23"/>
  <c r="J913" i="23"/>
  <c r="N913" i="23" s="1"/>
  <c r="AE913" i="23" s="1"/>
  <c r="D913" i="23"/>
  <c r="P913" i="23"/>
  <c r="Q913" i="23"/>
  <c r="R913" i="23"/>
  <c r="M857" i="23"/>
  <c r="J857" i="23"/>
  <c r="N857" i="23" s="1"/>
  <c r="AE857" i="23" s="1"/>
  <c r="D857" i="23"/>
  <c r="P857" i="23"/>
  <c r="Q857" i="23"/>
  <c r="R857" i="23"/>
  <c r="M801" i="23"/>
  <c r="J801" i="23"/>
  <c r="N801" i="23" s="1"/>
  <c r="AE801" i="23" s="1"/>
  <c r="D801" i="23"/>
  <c r="P801" i="23"/>
  <c r="Q801" i="23"/>
  <c r="R801" i="23"/>
  <c r="M745" i="23"/>
  <c r="J745" i="23"/>
  <c r="N745" i="23" s="1"/>
  <c r="AE745" i="23" s="1"/>
  <c r="D745" i="23"/>
  <c r="P745" i="23"/>
  <c r="Q745" i="23"/>
  <c r="R745" i="23"/>
  <c r="M689" i="23"/>
  <c r="J689" i="23"/>
  <c r="N689" i="23" s="1"/>
  <c r="AE689" i="23" s="1"/>
  <c r="D689" i="23"/>
  <c r="P689" i="23"/>
  <c r="Q689" i="23"/>
  <c r="R689" i="23"/>
  <c r="M633" i="23"/>
  <c r="J633" i="23"/>
  <c r="N633" i="23" s="1"/>
  <c r="AE633" i="23" s="1"/>
  <c r="D633" i="23"/>
  <c r="P633" i="23"/>
  <c r="Q633" i="23"/>
  <c r="R633" i="23"/>
  <c r="M577" i="23"/>
  <c r="J577" i="23"/>
  <c r="N577" i="23" s="1"/>
  <c r="AE577" i="23" s="1"/>
  <c r="D577" i="23"/>
  <c r="P577" i="23"/>
  <c r="Q577" i="23"/>
  <c r="R577" i="23"/>
  <c r="J521" i="23"/>
  <c r="D521" i="23"/>
  <c r="P521" i="23"/>
  <c r="Q521" i="23"/>
  <c r="R521" i="23"/>
  <c r="J465" i="23"/>
  <c r="D465" i="23"/>
  <c r="P465" i="23"/>
  <c r="Q465" i="23"/>
  <c r="R465" i="23"/>
  <c r="J409" i="23"/>
  <c r="D409" i="23"/>
  <c r="P409" i="23"/>
  <c r="Q409" i="23"/>
  <c r="R409" i="23"/>
  <c r="M353" i="23"/>
  <c r="J353" i="23"/>
  <c r="N353" i="23" s="1"/>
  <c r="AE353" i="23" s="1"/>
  <c r="D353" i="23"/>
  <c r="P353" i="23"/>
  <c r="Q353" i="23"/>
  <c r="R353" i="23"/>
  <c r="M297" i="23"/>
  <c r="J297" i="23"/>
  <c r="N297" i="23" s="1"/>
  <c r="AE297" i="23" s="1"/>
  <c r="D297" i="23"/>
  <c r="P297" i="23"/>
  <c r="Q297" i="23"/>
  <c r="R297" i="23"/>
  <c r="D4776" i="22"/>
  <c r="J4776" i="22"/>
  <c r="P4776" i="22"/>
  <c r="R4776" i="22"/>
  <c r="Q4776" i="22"/>
  <c r="M4776" i="22"/>
  <c r="N4776" i="22"/>
  <c r="P116" i="12" s="1"/>
  <c r="S4721" i="22"/>
  <c r="U4721" i="22"/>
  <c r="M4722" i="22"/>
  <c r="D4722" i="22"/>
  <c r="J4722" i="22"/>
  <c r="N4722" i="22" s="1"/>
  <c r="P4722" i="22"/>
  <c r="R4722" i="22"/>
  <c r="Q4722" i="22"/>
  <c r="P4668" i="22"/>
  <c r="Q4668" i="22"/>
  <c r="B4669" i="22" s="1"/>
  <c r="R4668" i="22"/>
  <c r="M4614" i="22"/>
  <c r="J4614" i="22"/>
  <c r="N4614" i="22" s="1"/>
  <c r="B4615" i="22" s="1"/>
  <c r="D4614" i="22"/>
  <c r="P4614" i="22"/>
  <c r="Q4614" i="22"/>
  <c r="R4614" i="22"/>
  <c r="D4560" i="22"/>
  <c r="J4560" i="22"/>
  <c r="P4560" i="22"/>
  <c r="Q4560" i="22"/>
  <c r="R4560" i="22"/>
  <c r="D4260" i="22"/>
  <c r="J4260" i="22"/>
  <c r="N4260" i="22" s="1"/>
  <c r="U4260" i="22" s="1"/>
  <c r="P4260" i="22"/>
  <c r="Q4260" i="22"/>
  <c r="R4260" i="22"/>
  <c r="M4260" i="22"/>
  <c r="M4206" i="22"/>
  <c r="D4206" i="22"/>
  <c r="J4206" i="22"/>
  <c r="N4206" i="22" s="1"/>
  <c r="U4206" i="22" s="1"/>
  <c r="P4206" i="22"/>
  <c r="Q4206" i="22"/>
  <c r="R4206" i="22"/>
  <c r="M4152" i="22"/>
  <c r="D4152" i="22"/>
  <c r="J4152" i="22"/>
  <c r="N4152" i="22" s="1"/>
  <c r="U4152" i="22" s="1"/>
  <c r="P4152" i="22"/>
  <c r="Q4152" i="22"/>
  <c r="R4152" i="22"/>
  <c r="M4098" i="22"/>
  <c r="D4098" i="22"/>
  <c r="J4098" i="22"/>
  <c r="N4098" i="22" s="1"/>
  <c r="U4098" i="22" s="1"/>
  <c r="C4099" i="22" s="1"/>
  <c r="P4098" i="22"/>
  <c r="Q4098" i="22"/>
  <c r="R4098" i="22"/>
  <c r="M3798" i="22"/>
  <c r="D3798" i="22"/>
  <c r="J3798" i="22"/>
  <c r="N3798" i="22" s="1"/>
  <c r="U3798" i="22" s="1"/>
  <c r="P3798" i="22"/>
  <c r="Q3798" i="22"/>
  <c r="R3798" i="22"/>
  <c r="D3744" i="22"/>
  <c r="J3744" i="22"/>
  <c r="P3744" i="22"/>
  <c r="Q3744" i="22"/>
  <c r="R3744" i="22"/>
  <c r="M3690" i="22"/>
  <c r="D3690" i="22"/>
  <c r="J3690" i="22"/>
  <c r="N3690" i="22" s="1"/>
  <c r="U3690" i="22" s="1"/>
  <c r="C3691" i="22" s="1"/>
  <c r="D70" i="22" s="1"/>
  <c r="P3690" i="22"/>
  <c r="Q3690" i="22"/>
  <c r="R3690" i="22"/>
  <c r="M3636" i="22"/>
  <c r="D3636" i="22"/>
  <c r="J3636" i="22"/>
  <c r="N3636" i="22" s="1"/>
  <c r="U3636" i="22" s="1"/>
  <c r="P3636" i="22"/>
  <c r="Q3636" i="22"/>
  <c r="R3636" i="22"/>
  <c r="M3582" i="22"/>
  <c r="P3582" i="22"/>
  <c r="Q3582" i="22"/>
  <c r="R3582" i="22"/>
  <c r="D3582" i="22"/>
  <c r="J3582" i="22"/>
  <c r="N3582" i="22" s="1"/>
  <c r="U3582" i="22" s="1"/>
  <c r="C3583" i="22" s="1"/>
  <c r="D68" i="22" s="1"/>
  <c r="P3528" i="22"/>
  <c r="Q3528" i="22"/>
  <c r="R3528" i="22"/>
  <c r="D3528" i="22"/>
  <c r="J3528" i="22"/>
  <c r="M3474" i="22"/>
  <c r="D3474" i="22"/>
  <c r="J3474" i="22"/>
  <c r="N3474" i="22" s="1"/>
  <c r="U3474" i="22" s="1"/>
  <c r="C3475" i="22" s="1"/>
  <c r="D66" i="22" s="1"/>
  <c r="P3474" i="22"/>
  <c r="Q3474" i="22"/>
  <c r="R3474" i="22"/>
  <c r="M3420" i="22"/>
  <c r="D3420" i="22"/>
  <c r="J3420" i="22"/>
  <c r="N3420" i="22" s="1"/>
  <c r="U3420" i="22" s="1"/>
  <c r="P3420" i="22"/>
  <c r="Q3420" i="22"/>
  <c r="F3421" i="22" s="1"/>
  <c r="G65" i="22" s="1"/>
  <c r="R3420" i="22"/>
  <c r="G3421" i="22" s="1"/>
  <c r="H65" i="22" s="1"/>
  <c r="L65" i="22" s="1"/>
  <c r="AI65" i="22" s="1"/>
  <c r="M3366" i="22"/>
  <c r="D3366" i="22"/>
  <c r="J3366" i="22"/>
  <c r="N3366" i="22" s="1"/>
  <c r="U3366" i="22" s="1"/>
  <c r="P3366" i="22"/>
  <c r="Q3366" i="22"/>
  <c r="F3367" i="22" s="1"/>
  <c r="G64" i="22" s="1"/>
  <c r="R3366" i="22"/>
  <c r="G3367" i="22" s="1"/>
  <c r="H64" i="22" s="1"/>
  <c r="L64" i="22" s="1"/>
  <c r="AI64" i="22" s="1"/>
  <c r="D3312" i="22"/>
  <c r="J3312" i="22"/>
  <c r="P3312" i="22"/>
  <c r="Q3312" i="22"/>
  <c r="R3312" i="22"/>
  <c r="M3258" i="22"/>
  <c r="D3258" i="22"/>
  <c r="J3258" i="22"/>
  <c r="N3258" i="22" s="1"/>
  <c r="U3258" i="22" s="1"/>
  <c r="C3259" i="22" s="1"/>
  <c r="D62" i="22" s="1"/>
  <c r="P3258" i="22"/>
  <c r="Q3258" i="22"/>
  <c r="R3258" i="22"/>
  <c r="M3204" i="22"/>
  <c r="D3204" i="22"/>
  <c r="J3204" i="22"/>
  <c r="N3204" i="22" s="1"/>
  <c r="U3204" i="22" s="1"/>
  <c r="C3205" i="22" s="1"/>
  <c r="D61" i="22" s="1"/>
  <c r="P3204" i="22"/>
  <c r="Q3204" i="22"/>
  <c r="R3204" i="22"/>
  <c r="M3150" i="22"/>
  <c r="D3150" i="22"/>
  <c r="J3150" i="22"/>
  <c r="N3150" i="22" s="1"/>
  <c r="U3150" i="22" s="1"/>
  <c r="C3151" i="22" s="1"/>
  <c r="D60" i="22" s="1"/>
  <c r="P3150" i="22"/>
  <c r="Q3150" i="22"/>
  <c r="R3150" i="22"/>
  <c r="M3096" i="22"/>
  <c r="D3096" i="22"/>
  <c r="J3096" i="22"/>
  <c r="N3096" i="22" s="1"/>
  <c r="U3096" i="22" s="1"/>
  <c r="C3097" i="22" s="1"/>
  <c r="D59" i="22" s="1"/>
  <c r="P3096" i="22"/>
  <c r="Q3096" i="22"/>
  <c r="R3096" i="22"/>
  <c r="J3042" i="22"/>
  <c r="D3042" i="22"/>
  <c r="P3042" i="22"/>
  <c r="Q3042" i="22"/>
  <c r="R3042" i="22"/>
  <c r="M2988" i="22"/>
  <c r="D2988" i="22"/>
  <c r="J2988" i="22"/>
  <c r="N2988" i="22" s="1"/>
  <c r="P2988" i="22"/>
  <c r="Q2988" i="22"/>
  <c r="R2988" i="22"/>
  <c r="L2989" i="22" s="1"/>
  <c r="P2934" i="22"/>
  <c r="Q2934" i="22"/>
  <c r="R2934" i="22"/>
  <c r="J2934" i="22"/>
  <c r="D2934" i="22"/>
  <c r="M2880" i="22"/>
  <c r="D2880" i="22"/>
  <c r="J2880" i="22"/>
  <c r="N2880" i="22" s="1"/>
  <c r="U2880" i="22" s="1"/>
  <c r="P2880" i="22"/>
  <c r="Q2880" i="22"/>
  <c r="R2880" i="22"/>
  <c r="M2826" i="22"/>
  <c r="D2826" i="22"/>
  <c r="J2826" i="22"/>
  <c r="N2826" i="22" s="1"/>
  <c r="S2826" i="22" s="1"/>
  <c r="P2826" i="22"/>
  <c r="Q2826" i="22"/>
  <c r="R2826" i="22"/>
  <c r="T2826" i="22"/>
  <c r="U2826" i="22" s="1"/>
  <c r="M2772" i="22"/>
  <c r="D2772" i="22"/>
  <c r="J2772" i="22"/>
  <c r="N2772" i="22" s="1"/>
  <c r="U2772" i="22" s="1"/>
  <c r="C2773" i="22" s="1"/>
  <c r="D53" i="22" s="1"/>
  <c r="P2772" i="22"/>
  <c r="Q2772" i="22"/>
  <c r="R2772" i="22"/>
  <c r="M2718" i="22"/>
  <c r="D2718" i="22"/>
  <c r="J2718" i="22"/>
  <c r="N2718" i="22" s="1"/>
  <c r="P2718" i="22"/>
  <c r="Q2718" i="22"/>
  <c r="R2718" i="22"/>
  <c r="D2664" i="22"/>
  <c r="J2664" i="22"/>
  <c r="P2664" i="22"/>
  <c r="Q2664" i="22"/>
  <c r="R2664" i="22"/>
  <c r="M2610" i="22"/>
  <c r="D2610" i="22"/>
  <c r="J2610" i="22"/>
  <c r="N2610" i="22" s="1"/>
  <c r="U2610" i="22" s="1"/>
  <c r="P2610" i="22"/>
  <c r="Q2610" i="22"/>
  <c r="R2610" i="22"/>
  <c r="M2556" i="22"/>
  <c r="D2556" i="22"/>
  <c r="J2556" i="22"/>
  <c r="N2556" i="22" s="1"/>
  <c r="U2556" i="22" s="1"/>
  <c r="P2556" i="22"/>
  <c r="Q2556" i="22"/>
  <c r="R2556" i="22"/>
  <c r="M2502" i="22"/>
  <c r="D2502" i="22"/>
  <c r="J2502" i="22"/>
  <c r="N2502" i="22" s="1"/>
  <c r="P2502" i="22"/>
  <c r="Q2502" i="22"/>
  <c r="R2502" i="22"/>
  <c r="G2503" i="22" s="1"/>
  <c r="H48" i="22" s="1"/>
  <c r="L48" i="22" s="1"/>
  <c r="AI48" i="22" s="1"/>
  <c r="M2448" i="22"/>
  <c r="D2448" i="22"/>
  <c r="J2448" i="22"/>
  <c r="N2448" i="22" s="1"/>
  <c r="P2448" i="22"/>
  <c r="Q2448" i="22"/>
  <c r="F2449" i="22" s="1"/>
  <c r="G47" i="22" s="1"/>
  <c r="R2448" i="22"/>
  <c r="G2449" i="22" s="1"/>
  <c r="H47" i="22" s="1"/>
  <c r="L47" i="22" s="1"/>
  <c r="AI47" i="22" s="1"/>
  <c r="M2394" i="22"/>
  <c r="D2394" i="22"/>
  <c r="J2394" i="22"/>
  <c r="N2394" i="22" s="1"/>
  <c r="P2394" i="22"/>
  <c r="Q2394" i="22"/>
  <c r="F2395" i="22" s="1"/>
  <c r="G46" i="22" s="1"/>
  <c r="R2394" i="22"/>
  <c r="G2395" i="22" s="1"/>
  <c r="H46" i="22" s="1"/>
  <c r="L46" i="22" s="1"/>
  <c r="AI46" i="22" s="1"/>
  <c r="D2340" i="22"/>
  <c r="J2340" i="22"/>
  <c r="P2340" i="22"/>
  <c r="Q2340" i="22"/>
  <c r="R2340" i="22"/>
  <c r="P2286" i="22"/>
  <c r="Q2286" i="22"/>
  <c r="R2286" i="22"/>
  <c r="J2286" i="22"/>
  <c r="D2286" i="22"/>
  <c r="M2232" i="22"/>
  <c r="D2232" i="22"/>
  <c r="J2232" i="22"/>
  <c r="N2232" i="22" s="1"/>
  <c r="U2232" i="22" s="1"/>
  <c r="P2232" i="22"/>
  <c r="Q2232" i="22"/>
  <c r="R2232" i="22"/>
  <c r="M2178" i="22"/>
  <c r="D2178" i="22"/>
  <c r="J2178" i="22"/>
  <c r="N2178" i="22" s="1"/>
  <c r="U2178" i="22" s="1"/>
  <c r="P2178" i="22"/>
  <c r="Q2178" i="22"/>
  <c r="R2178" i="22"/>
  <c r="M2124" i="22"/>
  <c r="D2124" i="22"/>
  <c r="J2124" i="22"/>
  <c r="N2124" i="22" s="1"/>
  <c r="U2124" i="22" s="1"/>
  <c r="P2124" i="22"/>
  <c r="Q2124" i="22"/>
  <c r="R2124" i="22"/>
  <c r="D2070" i="22"/>
  <c r="J2070" i="22"/>
  <c r="P2070" i="22"/>
  <c r="Q2070" i="22"/>
  <c r="R2070" i="22"/>
  <c r="D2016" i="22"/>
  <c r="J2016" i="22"/>
  <c r="P2016" i="22"/>
  <c r="Q2016" i="22"/>
  <c r="R2016" i="22"/>
  <c r="P1962" i="22"/>
  <c r="Q1962" i="22"/>
  <c r="R1962" i="22"/>
  <c r="J1962" i="22"/>
  <c r="D1962" i="22"/>
  <c r="M1908" i="22"/>
  <c r="D1908" i="22"/>
  <c r="J1908" i="22"/>
  <c r="N1908" i="22" s="1"/>
  <c r="P1908" i="22"/>
  <c r="Q1908" i="22"/>
  <c r="R1908" i="22"/>
  <c r="M1854" i="22"/>
  <c r="D1854" i="22"/>
  <c r="J1854" i="22"/>
  <c r="N1854" i="22" s="1"/>
  <c r="P1854" i="22"/>
  <c r="Q1854" i="22"/>
  <c r="R1854" i="22"/>
  <c r="M1800" i="22"/>
  <c r="D1800" i="22"/>
  <c r="J1800" i="22"/>
  <c r="N1800" i="22" s="1"/>
  <c r="U1800" i="22" s="1"/>
  <c r="P1800" i="22"/>
  <c r="Q1800" i="22"/>
  <c r="R1800" i="22"/>
  <c r="D1746" i="22"/>
  <c r="J1746" i="22"/>
  <c r="P1746" i="22"/>
  <c r="Q1746" i="22"/>
  <c r="R1746" i="22"/>
  <c r="D1692" i="22"/>
  <c r="J1692" i="22"/>
  <c r="P1692" i="22"/>
  <c r="Q1692" i="22"/>
  <c r="R1692" i="22"/>
  <c r="M1638" i="22"/>
  <c r="D1638" i="22"/>
  <c r="J1638" i="22"/>
  <c r="N1638" i="22" s="1"/>
  <c r="U1638" i="22" s="1"/>
  <c r="C1639" i="22" s="1"/>
  <c r="D32" i="22" s="1"/>
  <c r="P1638" i="22"/>
  <c r="Q1638" i="22"/>
  <c r="R1638" i="22"/>
  <c r="M1584" i="22"/>
  <c r="D1584" i="22"/>
  <c r="J1584" i="22"/>
  <c r="N1584" i="22" s="1"/>
  <c r="U1584" i="22" s="1"/>
  <c r="P1584" i="22"/>
  <c r="Q1584" i="22"/>
  <c r="R1584" i="22"/>
  <c r="M1530" i="22"/>
  <c r="D1530" i="22"/>
  <c r="J1530" i="22"/>
  <c r="N1530" i="22" s="1"/>
  <c r="U1530" i="22" s="1"/>
  <c r="P1530" i="22"/>
  <c r="Q1530" i="22"/>
  <c r="R1530" i="22"/>
  <c r="M1476" i="22"/>
  <c r="D1476" i="22"/>
  <c r="J1476" i="22"/>
  <c r="N1476" i="22" s="1"/>
  <c r="P1476" i="22"/>
  <c r="Q1476" i="22"/>
  <c r="R1476" i="22"/>
  <c r="G1477" i="22" s="1"/>
  <c r="H29" i="22" s="1"/>
  <c r="L29" i="22" s="1"/>
  <c r="AI29" i="22" s="1"/>
  <c r="M1422" i="22"/>
  <c r="D1422" i="22"/>
  <c r="J1422" i="22"/>
  <c r="N1422" i="22" s="1"/>
  <c r="U1422" i="22" s="1"/>
  <c r="P1422" i="22"/>
  <c r="Q1422" i="22"/>
  <c r="R1422" i="22"/>
  <c r="M1368" i="22"/>
  <c r="D1368" i="22"/>
  <c r="J1368" i="22"/>
  <c r="N1368" i="22" s="1"/>
  <c r="U1368" i="22" s="1"/>
  <c r="P1368" i="22"/>
  <c r="Q1368" i="22"/>
  <c r="R1368" i="22"/>
  <c r="M1314" i="22"/>
  <c r="D1314" i="22"/>
  <c r="J1314" i="22"/>
  <c r="N1314" i="22" s="1"/>
  <c r="U1314" i="22" s="1"/>
  <c r="P1314" i="22"/>
  <c r="Q1314" i="22"/>
  <c r="R1314" i="22"/>
  <c r="M1260" i="22"/>
  <c r="D1260" i="22"/>
  <c r="J1260" i="22"/>
  <c r="N1260" i="22" s="1"/>
  <c r="U1260" i="22" s="1"/>
  <c r="P1260" i="22"/>
  <c r="Q1260" i="22"/>
  <c r="R1260" i="22"/>
  <c r="M1206" i="22"/>
  <c r="D1206" i="22"/>
  <c r="J1206" i="22"/>
  <c r="N1206" i="22" s="1"/>
  <c r="U1206" i="22" s="1"/>
  <c r="P1206" i="22"/>
  <c r="Q1206" i="22"/>
  <c r="R1206" i="22"/>
  <c r="M1152" i="22"/>
  <c r="D1152" i="22"/>
  <c r="J1152" i="22"/>
  <c r="N1152" i="22" s="1"/>
  <c r="U1152" i="22" s="1"/>
  <c r="P1152" i="22"/>
  <c r="Q1152" i="22"/>
  <c r="R1152" i="22"/>
  <c r="M1098" i="22"/>
  <c r="D1098" i="22"/>
  <c r="J1098" i="22"/>
  <c r="N1098" i="22" s="1"/>
  <c r="P1098" i="22"/>
  <c r="Q1098" i="22"/>
  <c r="F1099" i="22" s="1"/>
  <c r="G22" i="22" s="1"/>
  <c r="R1098" i="22"/>
  <c r="P1044" i="22"/>
  <c r="Q1044" i="22"/>
  <c r="F1045" i="22" s="1"/>
  <c r="G21" i="22" s="1"/>
  <c r="R1044" i="22"/>
  <c r="G1045" i="22" s="1"/>
  <c r="H21" i="22" s="1"/>
  <c r="L21" i="22" s="1"/>
  <c r="AI21" i="22" s="1"/>
  <c r="J1044" i="22"/>
  <c r="D1044" i="22"/>
  <c r="M990" i="22"/>
  <c r="D990" i="22"/>
  <c r="J990" i="22"/>
  <c r="N990" i="22" s="1"/>
  <c r="P990" i="22"/>
  <c r="Q990" i="22"/>
  <c r="R990" i="22"/>
  <c r="M936" i="22"/>
  <c r="D936" i="22"/>
  <c r="J936" i="22"/>
  <c r="N936" i="22" s="1"/>
  <c r="P936" i="22"/>
  <c r="Q936" i="22"/>
  <c r="R936" i="22"/>
  <c r="M882" i="22"/>
  <c r="D882" i="22"/>
  <c r="J882" i="22"/>
  <c r="N882" i="22" s="1"/>
  <c r="U882" i="22" s="1"/>
  <c r="P882" i="22"/>
  <c r="Q882" i="22"/>
  <c r="R882" i="22"/>
  <c r="M828" i="22"/>
  <c r="D828" i="22"/>
  <c r="J828" i="22"/>
  <c r="N828" i="22" s="1"/>
  <c r="U828" i="22" s="1"/>
  <c r="P828" i="22"/>
  <c r="Q828" i="22"/>
  <c r="R828" i="22"/>
  <c r="M774" i="22"/>
  <c r="D774" i="22"/>
  <c r="J774" i="22"/>
  <c r="N774" i="22" s="1"/>
  <c r="U774" i="22" s="1"/>
  <c r="P774" i="22"/>
  <c r="Q774" i="22"/>
  <c r="R774" i="22"/>
  <c r="D720" i="22"/>
  <c r="J720" i="22"/>
  <c r="P720" i="22"/>
  <c r="Q720" i="22"/>
  <c r="R720" i="22"/>
  <c r="M666" i="22"/>
  <c r="D666" i="22"/>
  <c r="J666" i="22"/>
  <c r="N666" i="22" s="1"/>
  <c r="U666" i="22" s="1"/>
  <c r="C667" i="22" s="1"/>
  <c r="D14" i="22" s="1"/>
  <c r="P666" i="22"/>
  <c r="Q666" i="22"/>
  <c r="R666" i="22"/>
  <c r="M612" i="22"/>
  <c r="D612" i="22"/>
  <c r="J612" i="22"/>
  <c r="N612" i="22" s="1"/>
  <c r="P612" i="22"/>
  <c r="Q612" i="22"/>
  <c r="F613" i="22" s="1"/>
  <c r="G13" i="22" s="1"/>
  <c r="R612" i="22"/>
  <c r="G613" i="22" s="1"/>
  <c r="H13" i="22" s="1"/>
  <c r="L13" i="22" s="1"/>
  <c r="AI13" i="22" s="1"/>
  <c r="M558" i="22"/>
  <c r="D558" i="22"/>
  <c r="J558" i="22"/>
  <c r="N558" i="22" s="1"/>
  <c r="P558" i="22"/>
  <c r="Q558" i="22"/>
  <c r="R558" i="22"/>
  <c r="G559" i="22" s="1"/>
  <c r="H12" i="22" s="1"/>
  <c r="L12" i="22" s="1"/>
  <c r="AI12" i="22" s="1"/>
  <c r="M504" i="22"/>
  <c r="D504" i="22"/>
  <c r="J504" i="22"/>
  <c r="N504" i="22" s="1"/>
  <c r="U504" i="22" s="1"/>
  <c r="P504" i="22"/>
  <c r="Q504" i="22"/>
  <c r="R504" i="22"/>
  <c r="M450" i="22"/>
  <c r="D450" i="22"/>
  <c r="J450" i="22"/>
  <c r="N450" i="22" s="1"/>
  <c r="U450" i="22" s="1"/>
  <c r="P450" i="22"/>
  <c r="Q450" i="22"/>
  <c r="R450" i="22"/>
  <c r="D396" i="22"/>
  <c r="J396" i="22"/>
  <c r="P396" i="22"/>
  <c r="Q396" i="22"/>
  <c r="R396" i="22"/>
  <c r="M342" i="22"/>
  <c r="D342" i="22"/>
  <c r="J342" i="22"/>
  <c r="N342" i="22" s="1"/>
  <c r="U342" i="22" s="1"/>
  <c r="C343" i="22" s="1"/>
  <c r="D8" i="22" s="1"/>
  <c r="P342" i="22"/>
  <c r="Q342" i="22"/>
  <c r="R342" i="22"/>
  <c r="M288" i="22"/>
  <c r="D288" i="22"/>
  <c r="J288" i="22"/>
  <c r="N288" i="22" s="1"/>
  <c r="P288" i="22"/>
  <c r="Q288" i="22"/>
  <c r="R288" i="22"/>
  <c r="M234" i="22"/>
  <c r="D234" i="22"/>
  <c r="J234" i="22"/>
  <c r="N234" i="22" s="1"/>
  <c r="P234" i="22"/>
  <c r="Q234" i="22"/>
  <c r="R234" i="22"/>
  <c r="M180" i="22"/>
  <c r="D180" i="22"/>
  <c r="J180" i="22"/>
  <c r="N180" i="22" s="1"/>
  <c r="U180" i="22" s="1"/>
  <c r="P180" i="22"/>
  <c r="Q180" i="22"/>
  <c r="R180" i="22"/>
  <c r="D126" i="22"/>
  <c r="J126" i="22"/>
  <c r="P126" i="22"/>
  <c r="Q126" i="22"/>
  <c r="R126" i="22"/>
  <c r="G114" i="12"/>
  <c r="AY73" i="17"/>
  <c r="AY67" i="17"/>
  <c r="AX73" i="17"/>
  <c r="AX67" i="17"/>
  <c r="AW67" i="17"/>
  <c r="AW73" i="17"/>
  <c r="AV73" i="17"/>
  <c r="AV67" i="17"/>
  <c r="AU73" i="17"/>
  <c r="AU67" i="17"/>
  <c r="AT67" i="17"/>
  <c r="AT73" i="17"/>
  <c r="AS73" i="17"/>
  <c r="AS67" i="17"/>
  <c r="AR73" i="17"/>
  <c r="AN67" i="17"/>
  <c r="AM73" i="17"/>
  <c r="AM67" i="17"/>
  <c r="AL73" i="17"/>
  <c r="AL67" i="17"/>
  <c r="AK67" i="17"/>
  <c r="AK73" i="17"/>
  <c r="AJ73" i="17"/>
  <c r="AJ67" i="17"/>
  <c r="AI67" i="17"/>
  <c r="AI73" i="17"/>
  <c r="AH67" i="17"/>
  <c r="AH73" i="17"/>
  <c r="AG67" i="17"/>
  <c r="AG73" i="17"/>
  <c r="AF67" i="17"/>
  <c r="AF73" i="17"/>
  <c r="AE73" i="17"/>
  <c r="AE67" i="17"/>
  <c r="AD67" i="17"/>
  <c r="AD73" i="17"/>
  <c r="AC67" i="17"/>
  <c r="AC73" i="17"/>
  <c r="AB67" i="17"/>
  <c r="AB73" i="17"/>
  <c r="AA73" i="17"/>
  <c r="AA67" i="17"/>
  <c r="Z73" i="17"/>
  <c r="Z67" i="17"/>
  <c r="Y67" i="17"/>
  <c r="Y73" i="17"/>
  <c r="X73" i="17"/>
  <c r="X67" i="17"/>
  <c r="W73" i="17"/>
  <c r="W67" i="17"/>
  <c r="F63" i="18"/>
  <c r="L5" i="18" s="1"/>
  <c r="G63" i="18"/>
  <c r="H63" i="18"/>
  <c r="V67" i="17"/>
  <c r="V73" i="17"/>
  <c r="I38" i="10"/>
  <c r="M64" i="17"/>
  <c r="BE64" i="17"/>
  <c r="BD64" i="17"/>
  <c r="BC64" i="17"/>
  <c r="BB64" i="17"/>
  <c r="BA64" i="17"/>
  <c r="AZ64" i="17"/>
  <c r="AY64" i="17"/>
  <c r="AX64" i="17"/>
  <c r="AW64" i="17"/>
  <c r="AV64" i="17"/>
  <c r="AU64" i="17"/>
  <c r="AT64" i="17"/>
  <c r="AS64" i="17"/>
  <c r="AR64" i="17"/>
  <c r="AR67" i="17" s="1"/>
  <c r="AQ64" i="17"/>
  <c r="AP64" i="17"/>
  <c r="AO64" i="17"/>
  <c r="AN64" i="17"/>
  <c r="AN73" i="17" s="1"/>
  <c r="AM64" i="17"/>
  <c r="AL64" i="17"/>
  <c r="AK64" i="17"/>
  <c r="AJ64" i="17"/>
  <c r="AI64" i="17"/>
  <c r="AH64" i="17"/>
  <c r="AG64" i="17"/>
  <c r="AF64" i="17"/>
  <c r="AE64" i="17"/>
  <c r="AD64" i="17"/>
  <c r="AC64" i="17"/>
  <c r="AB64" i="17"/>
  <c r="AA64" i="17"/>
  <c r="Z64" i="17"/>
  <c r="Y64" i="17"/>
  <c r="X64" i="17"/>
  <c r="W64" i="17"/>
  <c r="P64" i="17"/>
  <c r="F64" i="18" s="1"/>
  <c r="Q64" i="17"/>
  <c r="R64" i="17"/>
  <c r="V64" i="17"/>
  <c r="BF64" i="17"/>
  <c r="E6" i="19" s="1"/>
  <c r="G6" i="19" s="1"/>
  <c r="D64" i="17"/>
  <c r="J64" i="17"/>
  <c r="N64" i="17" s="1"/>
  <c r="N116" i="12"/>
  <c r="E116" i="12"/>
  <c r="O64" i="17"/>
  <c r="G112" i="12"/>
  <c r="M1528" i="23"/>
  <c r="N1528" i="23"/>
  <c r="AE1528" i="23" s="1"/>
  <c r="M1472" i="23"/>
  <c r="N1472" i="23"/>
  <c r="AE1472" i="23" s="1"/>
  <c r="M1360" i="23"/>
  <c r="N1360" i="23"/>
  <c r="AE1360" i="23" s="1"/>
  <c r="M464" i="23"/>
  <c r="N464" i="23"/>
  <c r="AE464" i="23" s="1"/>
  <c r="N408" i="23"/>
  <c r="AE408" i="23" s="1"/>
  <c r="M408" i="23"/>
  <c r="M4559" i="22"/>
  <c r="N4559" i="22"/>
  <c r="M3743" i="22"/>
  <c r="N3743" i="22"/>
  <c r="U3743" i="22" s="1"/>
  <c r="M3635" i="22"/>
  <c r="N3635" i="22"/>
  <c r="U3635" i="22" s="1"/>
  <c r="M3527" i="22"/>
  <c r="N3527" i="22"/>
  <c r="U3527" i="22" s="1"/>
  <c r="M3419" i="22"/>
  <c r="N3419" i="22"/>
  <c r="M3365" i="22"/>
  <c r="N3365" i="22"/>
  <c r="M3311" i="22"/>
  <c r="N3311" i="22"/>
  <c r="U3311" i="22" s="1"/>
  <c r="M3149" i="22"/>
  <c r="N3149" i="22"/>
  <c r="U3149" i="22" s="1"/>
  <c r="N3095" i="22"/>
  <c r="U3095" i="22" s="1"/>
  <c r="M3095" i="22"/>
  <c r="M2987" i="22"/>
  <c r="N2987" i="22"/>
  <c r="U2987" i="22" s="1"/>
  <c r="N2933" i="22"/>
  <c r="U2933" i="22" s="1"/>
  <c r="M2933" i="22"/>
  <c r="M2663" i="22"/>
  <c r="N2663" i="22"/>
  <c r="U2663" i="22" s="1"/>
  <c r="M2609" i="22"/>
  <c r="N2609" i="22"/>
  <c r="U2609" i="22" s="1"/>
  <c r="M2339" i="22"/>
  <c r="N2339" i="22"/>
  <c r="U2339" i="22" s="1"/>
  <c r="M2231" i="22"/>
  <c r="N2231" i="22"/>
  <c r="U2231" i="22" s="1"/>
  <c r="M2177" i="22"/>
  <c r="N2177" i="22"/>
  <c r="U2177" i="22" s="1"/>
  <c r="M1907" i="22"/>
  <c r="N1907" i="22"/>
  <c r="U1907" i="22" s="1"/>
  <c r="M1853" i="22"/>
  <c r="N1853" i="22"/>
  <c r="U1853" i="22" s="1"/>
  <c r="M1799" i="22"/>
  <c r="N1799" i="22"/>
  <c r="U1799" i="22" s="1"/>
  <c r="M1151" i="22"/>
  <c r="N1151" i="22"/>
  <c r="U1151" i="22" s="1"/>
  <c r="N1043" i="22"/>
  <c r="U1043" i="22" s="1"/>
  <c r="M1043" i="22"/>
  <c r="M881" i="22"/>
  <c r="N881" i="22"/>
  <c r="U881" i="22" s="1"/>
  <c r="M827" i="22"/>
  <c r="N827" i="22"/>
  <c r="U827" i="22" s="1"/>
  <c r="M557" i="22"/>
  <c r="N557" i="22"/>
  <c r="U557" i="22" s="1"/>
  <c r="M233" i="22"/>
  <c r="N233" i="22"/>
  <c r="U233" i="22" s="1"/>
  <c r="O63" i="17"/>
  <c r="E115" i="12"/>
  <c r="N115" i="12"/>
  <c r="M63" i="17"/>
  <c r="N63" i="17"/>
  <c r="F1417" i="23"/>
  <c r="O1417" i="23" s="1"/>
  <c r="K1417" i="23"/>
  <c r="F1361" i="23"/>
  <c r="O1361" i="23" s="1"/>
  <c r="K1361" i="23"/>
  <c r="F1249" i="23"/>
  <c r="O1249" i="23" s="1"/>
  <c r="K1249" i="23"/>
  <c r="K521" i="23"/>
  <c r="F521" i="23"/>
  <c r="O521" i="23" s="1"/>
  <c r="F465" i="23"/>
  <c r="O465" i="23" s="1"/>
  <c r="K465" i="23"/>
  <c r="K409" i="23"/>
  <c r="F409" i="23"/>
  <c r="O409" i="23" s="1"/>
  <c r="F4560" i="22"/>
  <c r="K4560" i="22"/>
  <c r="F3744" i="22"/>
  <c r="O3744" i="22" s="1"/>
  <c r="K3744" i="22"/>
  <c r="K3528" i="22"/>
  <c r="F3528" i="22"/>
  <c r="O3528" i="22" s="1"/>
  <c r="K3312" i="22"/>
  <c r="F3312" i="22"/>
  <c r="O3312" i="22" s="1"/>
  <c r="F3042" i="22"/>
  <c r="O3042" i="22" s="1"/>
  <c r="K3042" i="22"/>
  <c r="F2989" i="22"/>
  <c r="G57" i="22" s="1"/>
  <c r="G2989" i="22"/>
  <c r="H57" i="22" s="1"/>
  <c r="L57" i="22" s="1"/>
  <c r="AI57" i="22" s="1"/>
  <c r="F2934" i="22"/>
  <c r="O2934" i="22" s="1"/>
  <c r="K2934" i="22"/>
  <c r="K2664" i="22"/>
  <c r="F2664" i="22"/>
  <c r="O2664" i="22" s="1"/>
  <c r="F2340" i="22"/>
  <c r="O2340" i="22" s="1"/>
  <c r="K2340" i="22"/>
  <c r="F2286" i="22"/>
  <c r="O2286" i="22" s="1"/>
  <c r="K2286" i="22"/>
  <c r="G2287" i="22"/>
  <c r="H44" i="22" s="1"/>
  <c r="L44" i="22" s="1"/>
  <c r="AI44" i="22" s="1"/>
  <c r="F2070" i="22"/>
  <c r="O2070" i="22" s="1"/>
  <c r="K2070" i="22"/>
  <c r="K2016" i="22"/>
  <c r="F2016" i="22"/>
  <c r="O2016" i="22" s="1"/>
  <c r="F1962" i="22"/>
  <c r="O1962" i="22" s="1"/>
  <c r="K1962" i="22"/>
  <c r="F1909" i="22"/>
  <c r="G37" i="22" s="1"/>
  <c r="G1909" i="22"/>
  <c r="H37" i="22" s="1"/>
  <c r="L37" i="22" s="1"/>
  <c r="AI37" i="22" s="1"/>
  <c r="K1746" i="22"/>
  <c r="F1746" i="22"/>
  <c r="O1746" i="22" s="1"/>
  <c r="K1692" i="22"/>
  <c r="F1692" i="22"/>
  <c r="O1692" i="22" s="1"/>
  <c r="F1477" i="22"/>
  <c r="G29" i="22" s="1"/>
  <c r="F1044" i="22"/>
  <c r="O1044" i="22" s="1"/>
  <c r="K1044" i="22"/>
  <c r="F991" i="22"/>
  <c r="G20" i="22" s="1"/>
  <c r="F720" i="22"/>
  <c r="O720" i="22" s="1"/>
  <c r="K720" i="22"/>
  <c r="K396" i="22"/>
  <c r="F396" i="22"/>
  <c r="O396" i="22" s="1"/>
  <c r="F289" i="22"/>
  <c r="G7" i="22" s="1"/>
  <c r="AC7" i="22" s="1"/>
  <c r="G289" i="22"/>
  <c r="H7" i="22" s="1"/>
  <c r="F235" i="22"/>
  <c r="G6" i="22" s="1"/>
  <c r="G235" i="22"/>
  <c r="H6" i="22" s="1"/>
  <c r="L6" i="22" s="1"/>
  <c r="AI6" i="22" s="1"/>
  <c r="K126" i="22"/>
  <c r="F126" i="22"/>
  <c r="O126" i="22" s="1"/>
  <c r="BE73" i="17"/>
  <c r="BE67" i="17"/>
  <c r="BD73" i="17"/>
  <c r="BD67" i="17"/>
  <c r="BC67" i="17"/>
  <c r="BC73" i="17"/>
  <c r="BB67" i="17"/>
  <c r="BB73" i="17"/>
  <c r="BA67" i="17"/>
  <c r="BA73" i="17"/>
  <c r="AZ73" i="17"/>
  <c r="AZ67" i="17"/>
  <c r="C113" i="12"/>
  <c r="C4207" i="22" l="1"/>
  <c r="C4153" i="22"/>
  <c r="C3637" i="22"/>
  <c r="D69" i="22" s="1"/>
  <c r="CP57" i="22"/>
  <c r="CR57" i="22" s="1"/>
  <c r="C2881" i="22"/>
  <c r="D55" i="22" s="1"/>
  <c r="C2611" i="22"/>
  <c r="D50" i="22" s="1"/>
  <c r="C2233" i="22"/>
  <c r="D43" i="22" s="1"/>
  <c r="C2179" i="22"/>
  <c r="D42" i="22" s="1"/>
  <c r="C1801" i="22"/>
  <c r="D35" i="22" s="1"/>
  <c r="C1531" i="22"/>
  <c r="D30" i="22" s="1"/>
  <c r="C1423" i="22"/>
  <c r="D28" i="22" s="1"/>
  <c r="C1369" i="22"/>
  <c r="D27" i="22" s="1"/>
  <c r="C1315" i="22"/>
  <c r="D26" i="22" s="1"/>
  <c r="C1261" i="22"/>
  <c r="D25" i="22" s="1"/>
  <c r="C1207" i="22"/>
  <c r="D24" i="22" s="1"/>
  <c r="C1153" i="22"/>
  <c r="D23" i="22" s="1"/>
  <c r="C829" i="22"/>
  <c r="D17" i="22" s="1"/>
  <c r="C775" i="22"/>
  <c r="D16" i="22" s="1"/>
  <c r="C505" i="22"/>
  <c r="D11" i="22" s="1"/>
  <c r="C451" i="22"/>
  <c r="D10" i="22" s="1"/>
  <c r="C181" i="22"/>
  <c r="D5" i="22" s="1"/>
  <c r="L1099" i="22"/>
  <c r="CP22" i="22" s="1"/>
  <c r="CR22" i="22" s="1"/>
  <c r="G1099" i="22"/>
  <c r="H22" i="22" s="1"/>
  <c r="L22" i="22" s="1"/>
  <c r="AI22" i="22" s="1"/>
  <c r="AQ67" i="17"/>
  <c r="AQ72" i="17" s="1"/>
  <c r="F102" i="12" s="1"/>
  <c r="AQ73" i="17"/>
  <c r="AP73" i="17"/>
  <c r="AP67" i="17"/>
  <c r="AP72" i="17" s="1"/>
  <c r="F101" i="12" s="1"/>
  <c r="AO73" i="17"/>
  <c r="AO67" i="17"/>
  <c r="X9" i="4"/>
  <c r="E64" i="12"/>
  <c r="T4721" i="22"/>
  <c r="B4723" i="22"/>
  <c r="C13" i="15" s="1"/>
  <c r="S4722" i="22"/>
  <c r="U4722" i="22"/>
  <c r="B4153" i="22"/>
  <c r="D4153" i="22"/>
  <c r="E17" i="13" s="1"/>
  <c r="F3637" i="22"/>
  <c r="G69" i="22" s="1"/>
  <c r="AC69" i="22" s="1"/>
  <c r="D3637" i="22"/>
  <c r="E69" i="22" s="1"/>
  <c r="K3637" i="22"/>
  <c r="CO69" i="22" s="1"/>
  <c r="L3637" i="22"/>
  <c r="CP69" i="22" s="1"/>
  <c r="CR69" i="22" s="1"/>
  <c r="G3637" i="22"/>
  <c r="H69" i="22" s="1"/>
  <c r="E3637" i="22"/>
  <c r="F69" i="22" s="1"/>
  <c r="F2935" i="22"/>
  <c r="G56" i="22" s="1"/>
  <c r="K2935" i="22"/>
  <c r="L2935" i="22"/>
  <c r="G2935" i="22"/>
  <c r="H56" i="22" s="1"/>
  <c r="L56" i="22" s="1"/>
  <c r="AI56" i="22" s="1"/>
  <c r="E2935" i="22"/>
  <c r="F56" i="22" s="1"/>
  <c r="D2827" i="22"/>
  <c r="E54" i="22" s="1"/>
  <c r="K2827" i="22"/>
  <c r="F2827" i="22"/>
  <c r="G54" i="22" s="1"/>
  <c r="AC54" i="22" s="1"/>
  <c r="K2611" i="22"/>
  <c r="F2611" i="22"/>
  <c r="G50" i="22" s="1"/>
  <c r="D2611" i="22"/>
  <c r="E50" i="22" s="1"/>
  <c r="F2287" i="22"/>
  <c r="G44" i="22" s="1"/>
  <c r="F1963" i="22"/>
  <c r="G38" i="22" s="1"/>
  <c r="G1963" i="22"/>
  <c r="H38" i="22" s="1"/>
  <c r="L38" i="22" s="1"/>
  <c r="AI38" i="22" s="1"/>
  <c r="K1639" i="22"/>
  <c r="F1639" i="22"/>
  <c r="G32" i="22" s="1"/>
  <c r="D1639" i="22"/>
  <c r="E32" i="22" s="1"/>
  <c r="G1639" i="22"/>
  <c r="H32" i="22" s="1"/>
  <c r="L32" i="22" s="1"/>
  <c r="AI32" i="22" s="1"/>
  <c r="E1639" i="22"/>
  <c r="F32" i="22" s="1"/>
  <c r="L1639" i="22"/>
  <c r="CP32" i="22" s="1"/>
  <c r="CR32" i="22" s="1"/>
  <c r="K1315" i="22"/>
  <c r="F1315" i="22"/>
  <c r="G26" i="22" s="1"/>
  <c r="D1315" i="22"/>
  <c r="E26" i="22" s="1"/>
  <c r="E1315" i="22"/>
  <c r="F26" i="22" s="1"/>
  <c r="L1315" i="22"/>
  <c r="G1315" i="22"/>
  <c r="H26" i="22" s="1"/>
  <c r="L26" i="22" s="1"/>
  <c r="AI26" i="22" s="1"/>
  <c r="F1261" i="22"/>
  <c r="G25" i="22" s="1"/>
  <c r="D1261" i="22"/>
  <c r="E25" i="22" s="1"/>
  <c r="K1261" i="22"/>
  <c r="K22" i="22"/>
  <c r="AC22" i="22"/>
  <c r="L991" i="22"/>
  <c r="G991" i="22"/>
  <c r="H20" i="22" s="1"/>
  <c r="L20" i="22" s="1"/>
  <c r="AI20" i="22" s="1"/>
  <c r="F667" i="22"/>
  <c r="G14" i="22" s="1"/>
  <c r="K667" i="22"/>
  <c r="CO14" i="22" s="1"/>
  <c r="D667" i="22"/>
  <c r="E14" i="22" s="1"/>
  <c r="L667" i="22"/>
  <c r="G667" i="22"/>
  <c r="H14" i="22" s="1"/>
  <c r="L14" i="22" s="1"/>
  <c r="AI14" i="22" s="1"/>
  <c r="E667" i="22"/>
  <c r="F14" i="22" s="1"/>
  <c r="K343" i="22"/>
  <c r="F343" i="22"/>
  <c r="G8" i="22" s="1"/>
  <c r="D343" i="22"/>
  <c r="E8" i="22" s="1"/>
  <c r="E343" i="22"/>
  <c r="F8" i="22" s="1"/>
  <c r="L343" i="22"/>
  <c r="G343" i="22"/>
  <c r="H8" i="22" s="1"/>
  <c r="L8" i="22" s="1"/>
  <c r="AI8" i="22" s="1"/>
  <c r="AY72" i="17"/>
  <c r="F110" i="12" s="1"/>
  <c r="AX72" i="17"/>
  <c r="F109" i="12" s="1"/>
  <c r="AW72" i="17"/>
  <c r="F108" i="12" s="1"/>
  <c r="AV72" i="17"/>
  <c r="F107" i="12" s="1"/>
  <c r="AU72" i="17"/>
  <c r="F106" i="12" s="1"/>
  <c r="AT72" i="17"/>
  <c r="F105" i="12" s="1"/>
  <c r="AS72" i="17"/>
  <c r="F104" i="12" s="1"/>
  <c r="AR72" i="17"/>
  <c r="F103" i="12" s="1"/>
  <c r="AN72" i="17"/>
  <c r="F99" i="12" s="1"/>
  <c r="AM72" i="17"/>
  <c r="F98" i="12" s="1"/>
  <c r="AL72" i="17"/>
  <c r="F97" i="12" s="1"/>
  <c r="AK72" i="17"/>
  <c r="F96" i="12" s="1"/>
  <c r="AJ72" i="17"/>
  <c r="F95" i="12" s="1"/>
  <c r="AI72" i="17"/>
  <c r="F94" i="12" s="1"/>
  <c r="AH72" i="17"/>
  <c r="F93" i="12" s="1"/>
  <c r="AG72" i="17"/>
  <c r="F92" i="12" s="1"/>
  <c r="AF72" i="17"/>
  <c r="F91" i="12" s="1"/>
  <c r="AE72" i="17"/>
  <c r="F90" i="12" s="1"/>
  <c r="AD72" i="17"/>
  <c r="F89" i="12" s="1"/>
  <c r="AC72" i="17"/>
  <c r="F88" i="12" s="1"/>
  <c r="AB72" i="17"/>
  <c r="F87" i="12" s="1"/>
  <c r="AA72" i="17"/>
  <c r="F86" i="12" s="1"/>
  <c r="Z72" i="17"/>
  <c r="F85" i="12" s="1"/>
  <c r="Y72" i="17"/>
  <c r="F84" i="12" s="1"/>
  <c r="X72" i="17"/>
  <c r="F83" i="12" s="1"/>
  <c r="W72" i="17"/>
  <c r="F82" i="12" s="1"/>
  <c r="V72" i="17"/>
  <c r="F81" i="12" s="1"/>
  <c r="D38" i="10"/>
  <c r="D37" i="10"/>
  <c r="D48" i="10"/>
  <c r="D47" i="10"/>
  <c r="D46" i="10"/>
  <c r="D45" i="10"/>
  <c r="D44" i="10"/>
  <c r="D43" i="10"/>
  <c r="D42" i="10"/>
  <c r="D41" i="10"/>
  <c r="D40" i="10"/>
  <c r="D39" i="10"/>
  <c r="U64" i="17"/>
  <c r="F56" i="12"/>
  <c r="M116" i="12"/>
  <c r="Q116" i="12" s="1"/>
  <c r="O116" i="12"/>
  <c r="U63" i="17"/>
  <c r="M115" i="12"/>
  <c r="Q115" i="12" s="1"/>
  <c r="O115" i="12"/>
  <c r="M1417" i="23"/>
  <c r="N1417" i="23"/>
  <c r="AE1417" i="23" s="1"/>
  <c r="M1361" i="23"/>
  <c r="N1361" i="23"/>
  <c r="AE1361" i="23" s="1"/>
  <c r="M1249" i="23"/>
  <c r="N1249" i="23"/>
  <c r="AE1249" i="23" s="1"/>
  <c r="M521" i="23"/>
  <c r="N521" i="23"/>
  <c r="AE521" i="23" s="1"/>
  <c r="N465" i="23"/>
  <c r="AE465" i="23" s="1"/>
  <c r="M465" i="23"/>
  <c r="M409" i="23"/>
  <c r="N409" i="23"/>
  <c r="AE409" i="23" s="1"/>
  <c r="M4560" i="22"/>
  <c r="N4560" i="22"/>
  <c r="B4561" i="22" s="1"/>
  <c r="C27" i="16" s="1"/>
  <c r="M3744" i="22"/>
  <c r="N3744" i="22"/>
  <c r="M3528" i="22"/>
  <c r="N3528" i="22"/>
  <c r="U3528" i="22" s="1"/>
  <c r="C3529" i="22" s="1"/>
  <c r="D67" i="22" s="1"/>
  <c r="K65" i="22"/>
  <c r="AC65" i="22"/>
  <c r="AC64" i="22"/>
  <c r="K64" i="22"/>
  <c r="M3312" i="22"/>
  <c r="N3312" i="22"/>
  <c r="U3312" i="22" s="1"/>
  <c r="C3313" i="22" s="1"/>
  <c r="D63" i="22" s="1"/>
  <c r="M3042" i="22"/>
  <c r="N3042" i="22"/>
  <c r="AC57" i="22"/>
  <c r="K57" i="22"/>
  <c r="M2934" i="22"/>
  <c r="N2934" i="22"/>
  <c r="U2934" i="22" s="1"/>
  <c r="M2664" i="22"/>
  <c r="N2664" i="22"/>
  <c r="K47" i="22"/>
  <c r="AC47" i="22"/>
  <c r="AC46" i="22"/>
  <c r="K46" i="22"/>
  <c r="M2340" i="22"/>
  <c r="N2340" i="22"/>
  <c r="N2286" i="22"/>
  <c r="K2287" i="22" s="1"/>
  <c r="M2286" i="22"/>
  <c r="M2070" i="22"/>
  <c r="N2070" i="22"/>
  <c r="U2070" i="22" s="1"/>
  <c r="C2071" i="22" s="1"/>
  <c r="D40" i="22" s="1"/>
  <c r="M2016" i="22"/>
  <c r="N2016" i="22"/>
  <c r="K2017" i="22" s="1"/>
  <c r="M1962" i="22"/>
  <c r="N1962" i="22"/>
  <c r="K37" i="22"/>
  <c r="AC37" i="22"/>
  <c r="M1746" i="22"/>
  <c r="N1746" i="22"/>
  <c r="M1692" i="22"/>
  <c r="N1692" i="22"/>
  <c r="L1693" i="22" s="1"/>
  <c r="K29" i="22"/>
  <c r="AC29" i="22"/>
  <c r="M1044" i="22"/>
  <c r="N1044" i="22"/>
  <c r="AC21" i="22"/>
  <c r="K21" i="22"/>
  <c r="AC20" i="22"/>
  <c r="K20" i="22"/>
  <c r="M720" i="22"/>
  <c r="N720" i="22"/>
  <c r="U720" i="22" s="1"/>
  <c r="C721" i="22" s="1"/>
  <c r="D15" i="22" s="1"/>
  <c r="K13" i="22"/>
  <c r="AC13" i="22"/>
  <c r="M396" i="22"/>
  <c r="N396" i="22"/>
  <c r="U396" i="22" s="1"/>
  <c r="C397" i="22" s="1"/>
  <c r="D9" i="22" s="1"/>
  <c r="AC6" i="22"/>
  <c r="K6" i="22"/>
  <c r="M126" i="22"/>
  <c r="N126" i="22"/>
  <c r="BE72" i="17"/>
  <c r="F116" i="12" s="1"/>
  <c r="BD72" i="17"/>
  <c r="F115" i="12" s="1"/>
  <c r="BC72" i="17"/>
  <c r="F114" i="12" s="1"/>
  <c r="BB72" i="17"/>
  <c r="F113" i="12" s="1"/>
  <c r="BA72" i="17"/>
  <c r="F112" i="12" s="1"/>
  <c r="AZ72" i="17"/>
  <c r="F111" i="12" s="1"/>
  <c r="G113" i="12"/>
  <c r="N1642" i="23"/>
  <c r="C1585" i="22"/>
  <c r="D31" i="22" s="1"/>
  <c r="C2125" i="22"/>
  <c r="D41" i="22" s="1"/>
  <c r="C3799" i="22"/>
  <c r="D72" i="22" s="1"/>
  <c r="C2827" i="22"/>
  <c r="D54" i="22" s="1"/>
  <c r="C1909" i="22"/>
  <c r="D37" i="22" s="1"/>
  <c r="C4261" i="22"/>
  <c r="C2557" i="22"/>
  <c r="D49" i="22" s="1"/>
  <c r="N746" i="23"/>
  <c r="E56" i="19"/>
  <c r="G56" i="19" s="1"/>
  <c r="C12" i="15"/>
  <c r="C11" i="15"/>
  <c r="B4261" i="22"/>
  <c r="D4261" i="22"/>
  <c r="G17" i="13" s="1"/>
  <c r="D4207" i="22"/>
  <c r="F17" i="13" s="1"/>
  <c r="B4207" i="22"/>
  <c r="D4099" i="22"/>
  <c r="D17" i="13" s="1"/>
  <c r="B4099" i="22"/>
  <c r="F3799" i="22"/>
  <c r="G72" i="22" s="1"/>
  <c r="AC72" i="22" s="1"/>
  <c r="K3799" i="22"/>
  <c r="CO72" i="22" s="1"/>
  <c r="D3799" i="22"/>
  <c r="E72" i="22" s="1"/>
  <c r="E3799" i="22"/>
  <c r="F72" i="22" s="1"/>
  <c r="L3799" i="22"/>
  <c r="CP72" i="22" s="1"/>
  <c r="CR72" i="22" s="1"/>
  <c r="G3799" i="22"/>
  <c r="H72" i="22" s="1"/>
  <c r="F3745" i="22"/>
  <c r="G71" i="22" s="1"/>
  <c r="AC71" i="22" s="1"/>
  <c r="G3745" i="22"/>
  <c r="H71" i="22" s="1"/>
  <c r="D3691" i="22"/>
  <c r="E70" i="22" s="1"/>
  <c r="F3691" i="22"/>
  <c r="G70" i="22" s="1"/>
  <c r="AC70" i="22" s="1"/>
  <c r="K3691" i="22"/>
  <c r="CO70" i="22" s="1"/>
  <c r="E3691" i="22"/>
  <c r="F70" i="22" s="1"/>
  <c r="G3691" i="22"/>
  <c r="H70" i="22" s="1"/>
  <c r="L3691" i="22"/>
  <c r="CP70" i="22" s="1"/>
  <c r="CR70" i="22" s="1"/>
  <c r="D3583" i="22"/>
  <c r="E68" i="22" s="1"/>
  <c r="K3583" i="22"/>
  <c r="CO68" i="22" s="1"/>
  <c r="F3583" i="22"/>
  <c r="G68" i="22" s="1"/>
  <c r="AC68" i="22" s="1"/>
  <c r="E3583" i="22"/>
  <c r="F68" i="22" s="1"/>
  <c r="L3583" i="22"/>
  <c r="CP68" i="22" s="1"/>
  <c r="CR68" i="22" s="1"/>
  <c r="G3583" i="22"/>
  <c r="H68" i="22" s="1"/>
  <c r="F3529" i="22"/>
  <c r="G67" i="22" s="1"/>
  <c r="AC67" i="22" s="1"/>
  <c r="K3529" i="22"/>
  <c r="CO67" i="22" s="1"/>
  <c r="D3529" i="22"/>
  <c r="E67" i="22" s="1"/>
  <c r="L3529" i="22"/>
  <c r="CP67" i="22" s="1"/>
  <c r="CR67" i="22" s="1"/>
  <c r="E3529" i="22"/>
  <c r="F67" i="22" s="1"/>
  <c r="G3529" i="22"/>
  <c r="H67" i="22" s="1"/>
  <c r="F3475" i="22"/>
  <c r="G66" i="22" s="1"/>
  <c r="K3475" i="22"/>
  <c r="CO66" i="22" s="1"/>
  <c r="D3475" i="22"/>
  <c r="E66" i="22" s="1"/>
  <c r="G3475" i="22"/>
  <c r="H66" i="22" s="1"/>
  <c r="L66" i="22" s="1"/>
  <c r="AI66" i="22" s="1"/>
  <c r="E3475" i="22"/>
  <c r="F66" i="22" s="1"/>
  <c r="L3475" i="22"/>
  <c r="CP66" i="22" s="1"/>
  <c r="CR66" i="22" s="1"/>
  <c r="D3313" i="22"/>
  <c r="E63" i="22" s="1"/>
  <c r="K3313" i="22"/>
  <c r="F3313" i="22"/>
  <c r="G63" i="22" s="1"/>
  <c r="L3313" i="22"/>
  <c r="E3313" i="22"/>
  <c r="F63" i="22" s="1"/>
  <c r="G3313" i="22"/>
  <c r="H63" i="22" s="1"/>
  <c r="L63" i="22" s="1"/>
  <c r="AI63" i="22" s="1"/>
  <c r="D3259" i="22"/>
  <c r="E62" i="22" s="1"/>
  <c r="F3259" i="22"/>
  <c r="G62" i="22" s="1"/>
  <c r="K3259" i="22"/>
  <c r="L3259" i="22"/>
  <c r="E3259" i="22"/>
  <c r="F62" i="22" s="1"/>
  <c r="G3259" i="22"/>
  <c r="H62" i="22" s="1"/>
  <c r="L62" i="22" s="1"/>
  <c r="AI62" i="22" s="1"/>
  <c r="K3205" i="22"/>
  <c r="F3205" i="22"/>
  <c r="G61" i="22" s="1"/>
  <c r="D3205" i="22"/>
  <c r="E61" i="22" s="1"/>
  <c r="G3205" i="22"/>
  <c r="H61" i="22" s="1"/>
  <c r="L61" i="22" s="1"/>
  <c r="AI61" i="22" s="1"/>
  <c r="E3205" i="22"/>
  <c r="F61" i="22" s="1"/>
  <c r="L3205" i="22"/>
  <c r="CP61" i="22" s="1"/>
  <c r="CR61" i="22" s="1"/>
  <c r="F3151" i="22"/>
  <c r="G60" i="22" s="1"/>
  <c r="K3151" i="22"/>
  <c r="CO60" i="22" s="1"/>
  <c r="D3151" i="22"/>
  <c r="E60" i="22" s="1"/>
  <c r="L3151" i="22"/>
  <c r="E3151" i="22"/>
  <c r="F60" i="22" s="1"/>
  <c r="G3151" i="22"/>
  <c r="H60" i="22" s="1"/>
  <c r="L60" i="22" s="1"/>
  <c r="AI60" i="22" s="1"/>
  <c r="D3097" i="22"/>
  <c r="E59" i="22" s="1"/>
  <c r="F3097" i="22"/>
  <c r="G59" i="22" s="1"/>
  <c r="K3097" i="22"/>
  <c r="L3097" i="22"/>
  <c r="E3097" i="22"/>
  <c r="F59" i="22" s="1"/>
  <c r="G3097" i="22"/>
  <c r="H59" i="22" s="1"/>
  <c r="L59" i="22" s="1"/>
  <c r="AI59" i="22" s="1"/>
  <c r="F3043" i="22"/>
  <c r="G58" i="22" s="1"/>
  <c r="G3043" i="22"/>
  <c r="H58" i="22" s="1"/>
  <c r="L58" i="22" s="1"/>
  <c r="AI58" i="22" s="1"/>
  <c r="K2989" i="22"/>
  <c r="CO57" i="22" s="1"/>
  <c r="U2988" i="22"/>
  <c r="D2881" i="22"/>
  <c r="E55" i="22" s="1"/>
  <c r="K2881" i="22"/>
  <c r="F2881" i="22"/>
  <c r="G55" i="22" s="1"/>
  <c r="L2881" i="22"/>
  <c r="E2881" i="22"/>
  <c r="F55" i="22" s="1"/>
  <c r="G2881" i="22"/>
  <c r="H55" i="22" s="1"/>
  <c r="L55" i="22" s="1"/>
  <c r="AI55" i="22" s="1"/>
  <c r="E2827" i="22"/>
  <c r="F54" i="22" s="1"/>
  <c r="G2827" i="22"/>
  <c r="H54" i="22" s="1"/>
  <c r="L2827" i="22"/>
  <c r="CP54" i="22" s="1"/>
  <c r="CR54" i="22" s="1"/>
  <c r="D2773" i="22"/>
  <c r="E53" i="22" s="1"/>
  <c r="K2773" i="22"/>
  <c r="F2773" i="22"/>
  <c r="G53" i="22" s="1"/>
  <c r="E2773" i="22"/>
  <c r="F53" i="22" s="1"/>
  <c r="L2773" i="22"/>
  <c r="G2773" i="22"/>
  <c r="H53" i="22" s="1"/>
  <c r="L53" i="22" s="1"/>
  <c r="AI53" i="22" s="1"/>
  <c r="K2719" i="22"/>
  <c r="U2718" i="22"/>
  <c r="C2719" i="22" s="1"/>
  <c r="D52" i="22" s="1"/>
  <c r="D2719" i="22"/>
  <c r="E52" i="22" s="1"/>
  <c r="F2719" i="22"/>
  <c r="G52" i="22" s="1"/>
  <c r="G2719" i="22"/>
  <c r="H52" i="22" s="1"/>
  <c r="L52" i="22" s="1"/>
  <c r="AI52" i="22" s="1"/>
  <c r="L2719" i="22"/>
  <c r="CP52" i="22" s="1"/>
  <c r="CR52" i="22" s="1"/>
  <c r="E2719" i="22"/>
  <c r="F52" i="22" s="1"/>
  <c r="F2665" i="22"/>
  <c r="G51" i="22" s="1"/>
  <c r="G2665" i="22"/>
  <c r="H51" i="22" s="1"/>
  <c r="L51" i="22" s="1"/>
  <c r="AI51" i="22" s="1"/>
  <c r="E2611" i="22"/>
  <c r="F50" i="22" s="1"/>
  <c r="L2611" i="22"/>
  <c r="G2611" i="22"/>
  <c r="H50" i="22" s="1"/>
  <c r="L50" i="22" s="1"/>
  <c r="AI50" i="22" s="1"/>
  <c r="K2557" i="22"/>
  <c r="CO49" i="22" s="1"/>
  <c r="F2557" i="22"/>
  <c r="G49" i="22" s="1"/>
  <c r="D2557" i="22"/>
  <c r="E49" i="22" s="1"/>
  <c r="E2557" i="22"/>
  <c r="F49" i="22" s="1"/>
  <c r="L2557" i="22"/>
  <c r="G2557" i="22"/>
  <c r="H49" i="22" s="1"/>
  <c r="L49" i="22" s="1"/>
  <c r="AI49" i="22" s="1"/>
  <c r="L2503" i="22"/>
  <c r="CP48" i="22" s="1"/>
  <c r="CR48" i="22" s="1"/>
  <c r="U2502" i="22"/>
  <c r="D2503" i="22"/>
  <c r="E48" i="22" s="1"/>
  <c r="K2503" i="22"/>
  <c r="F2503" i="22"/>
  <c r="G48" i="22" s="1"/>
  <c r="L2449" i="22"/>
  <c r="CP47" i="22" s="1"/>
  <c r="CR47" i="22" s="1"/>
  <c r="K2449" i="22"/>
  <c r="CO47" i="22" s="1"/>
  <c r="U2448" i="22"/>
  <c r="K2395" i="22"/>
  <c r="CO46" i="22" s="1"/>
  <c r="L2395" i="22"/>
  <c r="CP46" i="22" s="1"/>
  <c r="CR46" i="22" s="1"/>
  <c r="U2394" i="22"/>
  <c r="K2233" i="22"/>
  <c r="CO43" i="22" s="1"/>
  <c r="F2233" i="22"/>
  <c r="G43" i="22" s="1"/>
  <c r="D2233" i="22"/>
  <c r="E43" i="22" s="1"/>
  <c r="G2233" i="22"/>
  <c r="H43" i="22" s="1"/>
  <c r="L43" i="22" s="1"/>
  <c r="AI43" i="22" s="1"/>
  <c r="E2233" i="22"/>
  <c r="F43" i="22" s="1"/>
  <c r="L2233" i="22"/>
  <c r="D2179" i="22"/>
  <c r="E42" i="22" s="1"/>
  <c r="K2179" i="22"/>
  <c r="F2179" i="22"/>
  <c r="G42" i="22" s="1"/>
  <c r="L2179" i="22"/>
  <c r="E2179" i="22"/>
  <c r="F42" i="22" s="1"/>
  <c r="G2179" i="22"/>
  <c r="H42" i="22" s="1"/>
  <c r="L42" i="22" s="1"/>
  <c r="AI42" i="22" s="1"/>
  <c r="D2125" i="22"/>
  <c r="E41" i="22" s="1"/>
  <c r="F2125" i="22"/>
  <c r="G41" i="22" s="1"/>
  <c r="K2125" i="22"/>
  <c r="CO41" i="22" s="1"/>
  <c r="E2125" i="22"/>
  <c r="F41" i="22" s="1"/>
  <c r="G2125" i="22"/>
  <c r="H41" i="22" s="1"/>
  <c r="L41" i="22" s="1"/>
  <c r="AI41" i="22" s="1"/>
  <c r="L2125" i="22"/>
  <c r="CP41" i="22" s="1"/>
  <c r="CR41" i="22" s="1"/>
  <c r="K2071" i="22"/>
  <c r="D2071" i="22"/>
  <c r="E40" i="22" s="1"/>
  <c r="F2071" i="22"/>
  <c r="G40" i="22" s="1"/>
  <c r="G2071" i="22"/>
  <c r="H40" i="22" s="1"/>
  <c r="L40" i="22" s="1"/>
  <c r="AI40" i="22" s="1"/>
  <c r="E2071" i="22"/>
  <c r="F40" i="22" s="1"/>
  <c r="L2071" i="22"/>
  <c r="CP40" i="22" s="1"/>
  <c r="CR40" i="22" s="1"/>
  <c r="F2017" i="22"/>
  <c r="G39" i="22" s="1"/>
  <c r="G2017" i="22"/>
  <c r="H39" i="22" s="1"/>
  <c r="L39" i="22" s="1"/>
  <c r="AI39" i="22" s="1"/>
  <c r="K1909" i="22"/>
  <c r="CO37" i="22" s="1"/>
  <c r="L1909" i="22"/>
  <c r="CP37" i="22" s="1"/>
  <c r="CR37" i="22" s="1"/>
  <c r="U1908" i="22"/>
  <c r="K1855" i="22"/>
  <c r="U1854" i="22"/>
  <c r="C1855" i="22" s="1"/>
  <c r="D36" i="22" s="1"/>
  <c r="D1855" i="22"/>
  <c r="E36" i="22" s="1"/>
  <c r="F1855" i="22"/>
  <c r="G36" i="22" s="1"/>
  <c r="G1855" i="22"/>
  <c r="H36" i="22" s="1"/>
  <c r="L36" i="22" s="1"/>
  <c r="AI36" i="22" s="1"/>
  <c r="AE19" i="6" s="1"/>
  <c r="E1855" i="22"/>
  <c r="F36" i="22" s="1"/>
  <c r="L1855" i="22"/>
  <c r="CP36" i="22" s="1"/>
  <c r="CR36" i="22" s="1"/>
  <c r="F1801" i="22"/>
  <c r="G35" i="22" s="1"/>
  <c r="K1801" i="22"/>
  <c r="CO35" i="22" s="1"/>
  <c r="D1801" i="22"/>
  <c r="E35" i="22" s="1"/>
  <c r="G1801" i="22"/>
  <c r="H35" i="22" s="1"/>
  <c r="L35" i="22" s="1"/>
  <c r="AI35" i="22" s="1"/>
  <c r="L1801" i="22"/>
  <c r="CP35" i="22" s="1"/>
  <c r="CR35" i="22" s="1"/>
  <c r="E1801" i="22"/>
  <c r="F35" i="22" s="1"/>
  <c r="F1747" i="22"/>
  <c r="G34" i="22" s="1"/>
  <c r="G1747" i="22"/>
  <c r="H34" i="22" s="1"/>
  <c r="L34" i="22" s="1"/>
  <c r="AI34" i="22" s="1"/>
  <c r="F1693" i="22"/>
  <c r="G33" i="22" s="1"/>
  <c r="G1693" i="22"/>
  <c r="H33" i="22" s="1"/>
  <c r="L33" i="22" s="1"/>
  <c r="AI33" i="22" s="1"/>
  <c r="AE16" i="6" s="1"/>
  <c r="D1585" i="22"/>
  <c r="E31" i="22" s="1"/>
  <c r="F1585" i="22"/>
  <c r="G31" i="22" s="1"/>
  <c r="K1585" i="22"/>
  <c r="CO31" i="22" s="1"/>
  <c r="E1585" i="22"/>
  <c r="F31" i="22" s="1"/>
  <c r="G1585" i="22"/>
  <c r="H31" i="22" s="1"/>
  <c r="L31" i="22" s="1"/>
  <c r="AI31" i="22" s="1"/>
  <c r="L1585" i="22"/>
  <c r="CP31" i="22" s="1"/>
  <c r="CR31" i="22" s="1"/>
  <c r="K1531" i="22"/>
  <c r="F1531" i="22"/>
  <c r="G30" i="22" s="1"/>
  <c r="D1531" i="22"/>
  <c r="E30" i="22" s="1"/>
  <c r="L1531" i="22"/>
  <c r="E1531" i="22"/>
  <c r="F30" i="22" s="1"/>
  <c r="G1531" i="22"/>
  <c r="H30" i="22" s="1"/>
  <c r="L30" i="22" s="1"/>
  <c r="AI30" i="22" s="1"/>
  <c r="K1477" i="22"/>
  <c r="CO29" i="22" s="1"/>
  <c r="L1477" i="22"/>
  <c r="CP29" i="22" s="1"/>
  <c r="CR29" i="22" s="1"/>
  <c r="U1476" i="22"/>
  <c r="D1423" i="22"/>
  <c r="E28" i="22" s="1"/>
  <c r="K1423" i="22"/>
  <c r="F1423" i="22"/>
  <c r="G28" i="22" s="1"/>
  <c r="G1423" i="22"/>
  <c r="H28" i="22" s="1"/>
  <c r="L28" i="22" s="1"/>
  <c r="AI28" i="22" s="1"/>
  <c r="L1423" i="22"/>
  <c r="CP28" i="22" s="1"/>
  <c r="CR28" i="22" s="1"/>
  <c r="E1423" i="22"/>
  <c r="F28" i="22" s="1"/>
  <c r="K1369" i="22"/>
  <c r="D1369" i="22"/>
  <c r="E27" i="22" s="1"/>
  <c r="F1369" i="22"/>
  <c r="G27" i="22" s="1"/>
  <c r="L1369" i="22"/>
  <c r="G1369" i="22"/>
  <c r="H27" i="22" s="1"/>
  <c r="L27" i="22" s="1"/>
  <c r="AI27" i="22" s="1"/>
  <c r="AE10" i="6" s="1"/>
  <c r="E1369" i="22"/>
  <c r="F27" i="22" s="1"/>
  <c r="G1261" i="22"/>
  <c r="H25" i="22" s="1"/>
  <c r="L25" i="22" s="1"/>
  <c r="AI25" i="22" s="1"/>
  <c r="L1261" i="22"/>
  <c r="CP25" i="22" s="1"/>
  <c r="CR25" i="22" s="1"/>
  <c r="E1261" i="22"/>
  <c r="F25" i="22" s="1"/>
  <c r="D1207" i="22"/>
  <c r="E24" i="22" s="1"/>
  <c r="K1207" i="22"/>
  <c r="F1207" i="22"/>
  <c r="G24" i="22" s="1"/>
  <c r="E1207" i="22"/>
  <c r="F24" i="22" s="1"/>
  <c r="G1207" i="22"/>
  <c r="H24" i="22" s="1"/>
  <c r="L24" i="22" s="1"/>
  <c r="AI24" i="22" s="1"/>
  <c r="L1207" i="22"/>
  <c r="CP24" i="22" s="1"/>
  <c r="CR24" i="22" s="1"/>
  <c r="F1153" i="22"/>
  <c r="G23" i="22" s="1"/>
  <c r="D1153" i="22"/>
  <c r="E23" i="22" s="1"/>
  <c r="K1153" i="22"/>
  <c r="CO23" i="22" s="1"/>
  <c r="E1153" i="22"/>
  <c r="F23" i="22" s="1"/>
  <c r="G1153" i="22"/>
  <c r="H23" i="22" s="1"/>
  <c r="L23" i="22" s="1"/>
  <c r="AI23" i="22" s="1"/>
  <c r="AE27" i="6" s="1"/>
  <c r="L1153" i="22"/>
  <c r="CP23" i="22" s="1"/>
  <c r="CR23" i="22" s="1"/>
  <c r="U1098" i="22"/>
  <c r="E1099" i="22" s="1"/>
  <c r="F22" i="22" s="1"/>
  <c r="J22" i="22" s="1"/>
  <c r="K1099" i="22"/>
  <c r="CO22" i="22" s="1"/>
  <c r="K991" i="22"/>
  <c r="CO20" i="22" s="1"/>
  <c r="U990" i="22"/>
  <c r="E991" i="22" s="1"/>
  <c r="F20" i="22" s="1"/>
  <c r="K937" i="22"/>
  <c r="U936" i="22"/>
  <c r="D937" i="22"/>
  <c r="E19" i="22" s="1"/>
  <c r="F937" i="22"/>
  <c r="G19" i="22" s="1"/>
  <c r="L937" i="22"/>
  <c r="CP19" i="22" s="1"/>
  <c r="CR19" i="22" s="1"/>
  <c r="G937" i="22"/>
  <c r="H19" i="22" s="1"/>
  <c r="L19" i="22" s="1"/>
  <c r="AI19" i="22" s="1"/>
  <c r="D883" i="22"/>
  <c r="E18" i="22" s="1"/>
  <c r="C883" i="22"/>
  <c r="D18" i="22" s="1"/>
  <c r="K883" i="22"/>
  <c r="F883" i="22"/>
  <c r="G18" i="22" s="1"/>
  <c r="E883" i="22"/>
  <c r="F18" i="22" s="1"/>
  <c r="G883" i="22"/>
  <c r="H18" i="22" s="1"/>
  <c r="L18" i="22" s="1"/>
  <c r="AI18" i="22" s="1"/>
  <c r="L883" i="22"/>
  <c r="CP18" i="22" s="1"/>
  <c r="CR18" i="22" s="1"/>
  <c r="D829" i="22"/>
  <c r="E17" i="22" s="1"/>
  <c r="F829" i="22"/>
  <c r="G17" i="22" s="1"/>
  <c r="K829" i="22"/>
  <c r="CO17" i="22" s="1"/>
  <c r="G829" i="22"/>
  <c r="H17" i="22" s="1"/>
  <c r="L17" i="22" s="1"/>
  <c r="AI17" i="22" s="1"/>
  <c r="E829" i="22"/>
  <c r="F17" i="22" s="1"/>
  <c r="L829" i="22"/>
  <c r="CP17" i="22" s="1"/>
  <c r="CR17" i="22" s="1"/>
  <c r="K775" i="22"/>
  <c r="D775" i="22"/>
  <c r="E16" i="22" s="1"/>
  <c r="F775" i="22"/>
  <c r="G16" i="22" s="1"/>
  <c r="G775" i="22"/>
  <c r="H16" i="22" s="1"/>
  <c r="L16" i="22" s="1"/>
  <c r="AI16" i="22" s="1"/>
  <c r="AE20" i="6" s="1"/>
  <c r="E775" i="22"/>
  <c r="F16" i="22" s="1"/>
  <c r="L775" i="22"/>
  <c r="K721" i="22"/>
  <c r="D721" i="22"/>
  <c r="E15" i="22" s="1"/>
  <c r="F721" i="22"/>
  <c r="G15" i="22" s="1"/>
  <c r="G721" i="22"/>
  <c r="H15" i="22" s="1"/>
  <c r="L15" i="22" s="1"/>
  <c r="AI15" i="22" s="1"/>
  <c r="E721" i="22"/>
  <c r="F15" i="22" s="1"/>
  <c r="L721" i="22"/>
  <c r="CP15" i="22" s="1"/>
  <c r="CR15" i="22" s="1"/>
  <c r="L613" i="22"/>
  <c r="CP13" i="22" s="1"/>
  <c r="CR13" i="22" s="1"/>
  <c r="K613" i="22"/>
  <c r="CO13" i="22" s="1"/>
  <c r="U612" i="22"/>
  <c r="L559" i="22"/>
  <c r="CP12" i="22" s="1"/>
  <c r="CR12" i="22" s="1"/>
  <c r="U558" i="22"/>
  <c r="F559" i="22"/>
  <c r="G12" i="22" s="1"/>
  <c r="D559" i="22"/>
  <c r="E12" i="22" s="1"/>
  <c r="K559" i="22"/>
  <c r="CO12" i="22" s="1"/>
  <c r="K505" i="22"/>
  <c r="D505" i="22"/>
  <c r="E11" i="22" s="1"/>
  <c r="F505" i="22"/>
  <c r="G11" i="22" s="1"/>
  <c r="L505" i="22"/>
  <c r="E505" i="22"/>
  <c r="F11" i="22" s="1"/>
  <c r="G505" i="22"/>
  <c r="H11" i="22" s="1"/>
  <c r="L11" i="22" s="1"/>
  <c r="AI11" i="22" s="1"/>
  <c r="AE15" i="6" s="1"/>
  <c r="K451" i="22"/>
  <c r="D451" i="22"/>
  <c r="E10" i="22" s="1"/>
  <c r="F451" i="22"/>
  <c r="G10" i="22" s="1"/>
  <c r="G451" i="22"/>
  <c r="H10" i="22" s="1"/>
  <c r="L10" i="22" s="1"/>
  <c r="AI10" i="22" s="1"/>
  <c r="L451" i="22"/>
  <c r="CP10" i="22" s="1"/>
  <c r="CR10" i="22" s="1"/>
  <c r="E451" i="22"/>
  <c r="F10" i="22" s="1"/>
  <c r="K397" i="22"/>
  <c r="D397" i="22"/>
  <c r="E9" i="22" s="1"/>
  <c r="F397" i="22"/>
  <c r="G9" i="22" s="1"/>
  <c r="E397" i="22"/>
  <c r="F9" i="22" s="1"/>
  <c r="L397" i="22"/>
  <c r="G397" i="22"/>
  <c r="H9" i="22" s="1"/>
  <c r="L9" i="22" s="1"/>
  <c r="AI9" i="22" s="1"/>
  <c r="L289" i="22"/>
  <c r="CP7" i="22" s="1"/>
  <c r="CR7" i="22" s="1"/>
  <c r="K289" i="22"/>
  <c r="CO7" i="22" s="1"/>
  <c r="U288" i="22"/>
  <c r="L235" i="22"/>
  <c r="CP6" i="22" s="1"/>
  <c r="CR6" i="22" s="1"/>
  <c r="K235" i="22"/>
  <c r="CO6" i="22" s="1"/>
  <c r="U234" i="22"/>
  <c r="D181" i="22"/>
  <c r="E5" i="22" s="1"/>
  <c r="F181" i="22"/>
  <c r="G5" i="22" s="1"/>
  <c r="K181" i="22"/>
  <c r="CO5" i="22" s="1"/>
  <c r="G181" i="22"/>
  <c r="H5" i="22" s="1"/>
  <c r="L5" i="22" s="1"/>
  <c r="AI5" i="22" s="1"/>
  <c r="L181" i="22"/>
  <c r="CP5" i="22" s="1"/>
  <c r="CR5" i="22" s="1"/>
  <c r="E181" i="22"/>
  <c r="F5" i="22" s="1"/>
  <c r="F127" i="22"/>
  <c r="G4" i="22" s="1"/>
  <c r="G127" i="22"/>
  <c r="H4" i="22" s="1"/>
  <c r="L4" i="22" s="1"/>
  <c r="G64" i="18"/>
  <c r="L6" i="18" s="1"/>
  <c r="X8" i="4"/>
  <c r="E65" i="12"/>
  <c r="E63" i="12"/>
  <c r="X7" i="4"/>
  <c r="H64" i="18"/>
  <c r="L7" i="18" s="1"/>
  <c r="F64" i="12"/>
  <c r="F63" i="12"/>
  <c r="F65" i="12"/>
  <c r="U3419" i="22"/>
  <c r="C3421" i="22" s="1"/>
  <c r="D65" i="22" s="1"/>
  <c r="K3421" i="22"/>
  <c r="CO65" i="22" s="1"/>
  <c r="L3421" i="22"/>
  <c r="CP65" i="22" s="1"/>
  <c r="CR65" i="22" s="1"/>
  <c r="U3365" i="22"/>
  <c r="L3367" i="22"/>
  <c r="CP64" i="22" s="1"/>
  <c r="CR64" i="22" s="1"/>
  <c r="K3367" i="22"/>
  <c r="CO64" i="22" s="1"/>
  <c r="F2341" i="22"/>
  <c r="G45" i="22" s="1"/>
  <c r="G2341" i="22"/>
  <c r="H45" i="22" s="1"/>
  <c r="L45" i="22" s="1"/>
  <c r="AI45" i="22" s="1"/>
  <c r="CO25" i="22" l="1"/>
  <c r="AE12" i="6"/>
  <c r="CO44" i="22"/>
  <c r="CP63" i="22"/>
  <c r="CR63" i="22" s="1"/>
  <c r="CO56" i="22"/>
  <c r="CO59" i="22"/>
  <c r="CP59" i="22"/>
  <c r="CR59" i="22" s="1"/>
  <c r="AE26" i="6"/>
  <c r="CO48" i="22"/>
  <c r="CP43" i="22"/>
  <c r="CR43" i="22" s="1"/>
  <c r="CP30" i="22"/>
  <c r="CR30" i="22" s="1"/>
  <c r="AE14" i="6"/>
  <c r="CP9" i="22"/>
  <c r="CR9" i="22" s="1"/>
  <c r="AE13" i="6"/>
  <c r="AO72" i="17"/>
  <c r="F100" i="12" s="1"/>
  <c r="C52" i="10"/>
  <c r="U3042" i="22"/>
  <c r="K3043" i="22"/>
  <c r="L3043" i="22"/>
  <c r="CP58" i="22" s="1"/>
  <c r="CR58" i="22" s="1"/>
  <c r="L8" i="18"/>
  <c r="C28" i="16"/>
  <c r="J63" i="10"/>
  <c r="C62" i="10"/>
  <c r="C26" i="2"/>
  <c r="E21" i="19"/>
  <c r="G21" i="19" s="1"/>
  <c r="E15" i="19"/>
  <c r="D26" i="2"/>
  <c r="L9" i="18"/>
  <c r="E19" i="13"/>
  <c r="E18" i="13"/>
  <c r="E16" i="13"/>
  <c r="E14" i="13" s="1"/>
  <c r="AA69" i="22"/>
  <c r="P69" i="22"/>
  <c r="I69" i="22"/>
  <c r="CQ69" i="22"/>
  <c r="J69" i="22"/>
  <c r="Q69" i="22"/>
  <c r="AC56" i="22"/>
  <c r="K56" i="22"/>
  <c r="CQ56" i="22"/>
  <c r="P58" i="5"/>
  <c r="Q56" i="22"/>
  <c r="L58" i="5" s="1"/>
  <c r="J56" i="22"/>
  <c r="P54" i="22"/>
  <c r="K56" i="5" s="1"/>
  <c r="AA54" i="22"/>
  <c r="I54" i="22"/>
  <c r="AC50" i="22"/>
  <c r="K50" i="22"/>
  <c r="I50" i="22"/>
  <c r="AA50" i="22"/>
  <c r="P50" i="22"/>
  <c r="K52" i="5" s="1"/>
  <c r="P46" i="5"/>
  <c r="CQ44" i="22"/>
  <c r="K44" i="22"/>
  <c r="AC44" i="22"/>
  <c r="K38" i="22"/>
  <c r="AC38" i="22"/>
  <c r="AC32" i="22"/>
  <c r="K32" i="22"/>
  <c r="AA32" i="22"/>
  <c r="P32" i="22"/>
  <c r="K34" i="5" s="1"/>
  <c r="I32" i="22"/>
  <c r="Q32" i="22"/>
  <c r="L34" i="5" s="1"/>
  <c r="J32" i="22"/>
  <c r="AC26" i="22"/>
  <c r="K26" i="22"/>
  <c r="P26" i="22"/>
  <c r="K28" i="5" s="1"/>
  <c r="AA26" i="22"/>
  <c r="I26" i="22"/>
  <c r="J26" i="22"/>
  <c r="Q26" i="22"/>
  <c r="L28" i="5" s="1"/>
  <c r="AC25" i="22"/>
  <c r="K25" i="22"/>
  <c r="P25" i="22"/>
  <c r="K27" i="5" s="1"/>
  <c r="AA25" i="22"/>
  <c r="I25" i="22"/>
  <c r="CQ25" i="22"/>
  <c r="P27" i="5"/>
  <c r="J24" i="5"/>
  <c r="Y30" i="3"/>
  <c r="AD22" i="22"/>
  <c r="AH22" i="22"/>
  <c r="O22" i="22"/>
  <c r="J20" i="22"/>
  <c r="AC14" i="22"/>
  <c r="K14" i="22"/>
  <c r="CQ14" i="22"/>
  <c r="P16" i="5"/>
  <c r="P14" i="22"/>
  <c r="K16" i="5" s="1"/>
  <c r="AA14" i="22"/>
  <c r="I14" i="22"/>
  <c r="J14" i="22"/>
  <c r="Q14" i="22"/>
  <c r="L16" i="5" s="1"/>
  <c r="AC8" i="22"/>
  <c r="K8" i="22"/>
  <c r="P8" i="22"/>
  <c r="K10" i="5" s="1"/>
  <c r="AA8" i="22"/>
  <c r="I8" i="22"/>
  <c r="Q8" i="22"/>
  <c r="L10" i="5" s="1"/>
  <c r="J8" i="22"/>
  <c r="G30" i="2"/>
  <c r="E24" i="19"/>
  <c r="G24" i="19" s="1"/>
  <c r="C27" i="2"/>
  <c r="C13" i="9"/>
  <c r="C63" i="10"/>
  <c r="C68" i="10"/>
  <c r="C10" i="11"/>
  <c r="C17" i="13"/>
  <c r="BE69" i="17"/>
  <c r="BE70" i="17"/>
  <c r="BD69" i="17"/>
  <c r="BD70" i="17"/>
  <c r="BC70" i="17"/>
  <c r="BC69" i="17"/>
  <c r="BB70" i="17"/>
  <c r="BB69" i="17"/>
  <c r="BA69" i="17"/>
  <c r="BA70" i="17"/>
  <c r="AY70" i="17"/>
  <c r="AZ70" i="17"/>
  <c r="AZ69" i="17"/>
  <c r="AY69" i="17"/>
  <c r="AW70" i="17"/>
  <c r="AX69" i="17"/>
  <c r="AW69" i="17"/>
  <c r="AX70" i="17"/>
  <c r="AV69" i="17"/>
  <c r="AV70" i="17"/>
  <c r="AU70" i="17"/>
  <c r="AU69" i="17"/>
  <c r="AT69" i="17"/>
  <c r="AT70" i="17"/>
  <c r="AS70" i="17"/>
  <c r="AS69" i="17"/>
  <c r="AR69" i="17"/>
  <c r="AR70" i="17"/>
  <c r="AP69" i="17"/>
  <c r="AP70" i="17"/>
  <c r="AQ69" i="17"/>
  <c r="AQ70" i="17"/>
  <c r="AO69" i="17"/>
  <c r="AO70" i="17"/>
  <c r="AN69" i="17"/>
  <c r="AN70" i="17"/>
  <c r="AL70" i="17"/>
  <c r="AL69" i="17"/>
  <c r="AK70" i="17"/>
  <c r="AK69" i="17"/>
  <c r="AM70" i="17"/>
  <c r="AM69" i="17"/>
  <c r="AJ69" i="17"/>
  <c r="AJ70" i="17"/>
  <c r="AH69" i="17"/>
  <c r="AH70" i="17"/>
  <c r="AF69" i="17"/>
  <c r="AF70" i="17"/>
  <c r="AE70" i="17"/>
  <c r="AE69" i="17"/>
  <c r="AD70" i="17"/>
  <c r="AD69" i="17"/>
  <c r="AC70" i="17"/>
  <c r="AC69" i="17"/>
  <c r="AB69" i="17"/>
  <c r="AB70" i="17"/>
  <c r="AA69" i="17"/>
  <c r="AA70" i="17"/>
  <c r="Z70" i="17"/>
  <c r="Z69" i="17"/>
  <c r="Y69" i="17"/>
  <c r="Y70" i="17"/>
  <c r="X69" i="17"/>
  <c r="X70" i="17"/>
  <c r="W70" i="17"/>
  <c r="W69" i="17"/>
  <c r="V69" i="17"/>
  <c r="V70" i="17"/>
  <c r="C116" i="12"/>
  <c r="BB66" i="17"/>
  <c r="BB68" i="17" s="1"/>
  <c r="BC66" i="17"/>
  <c r="BA66" i="17"/>
  <c r="BA68" i="17" s="1"/>
  <c r="BE66" i="17"/>
  <c r="BE68" i="17" s="1"/>
  <c r="AZ66" i="17"/>
  <c r="BD66" i="17"/>
  <c r="BD68" i="17" s="1"/>
  <c r="V66" i="17"/>
  <c r="C8" i="17"/>
  <c r="C7" i="17"/>
  <c r="C6" i="17"/>
  <c r="E18" i="19" s="1"/>
  <c r="G18" i="19" s="1"/>
  <c r="W66" i="17"/>
  <c r="W68" i="17" s="1"/>
  <c r="X66" i="17"/>
  <c r="X68" i="17" s="1"/>
  <c r="Y66" i="17"/>
  <c r="Z66" i="17"/>
  <c r="Z68" i="17" s="1"/>
  <c r="AA66" i="17"/>
  <c r="AA68" i="17" s="1"/>
  <c r="AB66" i="17"/>
  <c r="AC66" i="17"/>
  <c r="AC68" i="17" s="1"/>
  <c r="AD66" i="17"/>
  <c r="AD68" i="17" s="1"/>
  <c r="AE66" i="17"/>
  <c r="AF66" i="17"/>
  <c r="AF68" i="17" s="1"/>
  <c r="AG66" i="17"/>
  <c r="AG68" i="17" s="1"/>
  <c r="AH66" i="17"/>
  <c r="AI66" i="17"/>
  <c r="AI68" i="17" s="1"/>
  <c r="AJ66" i="17"/>
  <c r="AJ68" i="17" s="1"/>
  <c r="AK66" i="17"/>
  <c r="AL66" i="17"/>
  <c r="AL68" i="17" s="1"/>
  <c r="AM66" i="17"/>
  <c r="AM68" i="17" s="1"/>
  <c r="AN66" i="17"/>
  <c r="AO66" i="17"/>
  <c r="AO68" i="17" s="1"/>
  <c r="AP66" i="17"/>
  <c r="AP68" i="17" s="1"/>
  <c r="AQ66" i="17"/>
  <c r="AR66" i="17"/>
  <c r="AR68" i="17" s="1"/>
  <c r="AS66" i="17"/>
  <c r="AS68" i="17" s="1"/>
  <c r="AT66" i="17"/>
  <c r="AU66" i="17"/>
  <c r="AU68" i="17" s="1"/>
  <c r="AV66" i="17"/>
  <c r="AV68" i="17" s="1"/>
  <c r="AW66" i="17"/>
  <c r="AX66" i="17"/>
  <c r="AX68" i="17" s="1"/>
  <c r="AY66" i="17"/>
  <c r="AY68" i="17" s="1"/>
  <c r="C115" i="12"/>
  <c r="AD65" i="22"/>
  <c r="Y73" i="3"/>
  <c r="J67" i="5"/>
  <c r="AD64" i="22"/>
  <c r="Y72" i="3"/>
  <c r="J66" i="5"/>
  <c r="J59" i="5"/>
  <c r="Y65" i="3"/>
  <c r="AD57" i="22"/>
  <c r="AD47" i="22"/>
  <c r="Y55" i="3"/>
  <c r="J49" i="5"/>
  <c r="AD46" i="22"/>
  <c r="Y54" i="3"/>
  <c r="J48" i="5"/>
  <c r="L2341" i="22"/>
  <c r="CP45" i="22" s="1"/>
  <c r="CR45" i="22" s="1"/>
  <c r="K2341" i="22"/>
  <c r="CO45" i="22" s="1"/>
  <c r="U2340" i="22"/>
  <c r="L2287" i="22"/>
  <c r="CP44" i="22" s="1"/>
  <c r="CR44" i="22" s="1"/>
  <c r="U2286" i="22"/>
  <c r="AD37" i="22"/>
  <c r="Y45" i="3"/>
  <c r="J39" i="5"/>
  <c r="AD29" i="22"/>
  <c r="Y37" i="3"/>
  <c r="J31" i="5"/>
  <c r="K1045" i="22"/>
  <c r="CO21" i="22" s="1"/>
  <c r="L1045" i="22"/>
  <c r="CP21" i="22" s="1"/>
  <c r="CR21" i="22" s="1"/>
  <c r="U1044" i="22"/>
  <c r="J23" i="5"/>
  <c r="Y29" i="3"/>
  <c r="AD21" i="22"/>
  <c r="AD20" i="22"/>
  <c r="Y28" i="3"/>
  <c r="J22" i="5"/>
  <c r="AD13" i="22"/>
  <c r="Y21" i="3"/>
  <c r="J15" i="5"/>
  <c r="AD6" i="22"/>
  <c r="Y14" i="3"/>
  <c r="J8" i="5"/>
  <c r="C110" i="8"/>
  <c r="C19" i="15"/>
  <c r="D19" i="15" s="1"/>
  <c r="G16" i="13"/>
  <c r="G14" i="13" s="1"/>
  <c r="G18" i="13"/>
  <c r="F16" i="13"/>
  <c r="F14" i="13" s="1"/>
  <c r="F18" i="13"/>
  <c r="F19" i="13"/>
  <c r="D16" i="13"/>
  <c r="D14" i="13" s="1"/>
  <c r="D18" i="13"/>
  <c r="D19" i="13"/>
  <c r="CQ72" i="22"/>
  <c r="I72" i="22"/>
  <c r="P72" i="22"/>
  <c r="AA72" i="22"/>
  <c r="J72" i="22"/>
  <c r="Q72" i="22"/>
  <c r="AA70" i="22"/>
  <c r="P70" i="22"/>
  <c r="I70" i="22"/>
  <c r="CQ70" i="22"/>
  <c r="J70" i="22"/>
  <c r="Q70" i="22"/>
  <c r="AA68" i="22"/>
  <c r="P68" i="22"/>
  <c r="I68" i="22"/>
  <c r="CQ68" i="22"/>
  <c r="Q68" i="22"/>
  <c r="J68" i="22"/>
  <c r="CQ67" i="22"/>
  <c r="P67" i="22"/>
  <c r="AA67" i="22"/>
  <c r="I67" i="22"/>
  <c r="Q67" i="22"/>
  <c r="J67" i="22"/>
  <c r="AC66" i="22"/>
  <c r="K66" i="22"/>
  <c r="CQ66" i="22"/>
  <c r="P68" i="5"/>
  <c r="P66" i="22"/>
  <c r="K68" i="5" s="1"/>
  <c r="I66" i="22"/>
  <c r="AA66" i="22"/>
  <c r="Q66" i="22"/>
  <c r="L68" i="5" s="1"/>
  <c r="J66" i="22"/>
  <c r="P63" i="22"/>
  <c r="K65" i="5" s="1"/>
  <c r="I63" i="22"/>
  <c r="AA63" i="22"/>
  <c r="K63" i="22"/>
  <c r="AC63" i="22"/>
  <c r="Q63" i="22"/>
  <c r="L65" i="5" s="1"/>
  <c r="J63" i="22"/>
  <c r="AA62" i="22"/>
  <c r="P62" i="22"/>
  <c r="K64" i="5" s="1"/>
  <c r="I62" i="22"/>
  <c r="AC62" i="22"/>
  <c r="K62" i="22"/>
  <c r="Q62" i="22"/>
  <c r="L64" i="5" s="1"/>
  <c r="J62" i="22"/>
  <c r="AC61" i="22"/>
  <c r="K61" i="22"/>
  <c r="AA61" i="22"/>
  <c r="P61" i="22"/>
  <c r="K63" i="5" s="1"/>
  <c r="I61" i="22"/>
  <c r="Q61" i="22"/>
  <c r="L63" i="5" s="1"/>
  <c r="J61" i="22"/>
  <c r="K60" i="22"/>
  <c r="AC60" i="22"/>
  <c r="P62" i="5"/>
  <c r="CQ60" i="22"/>
  <c r="I60" i="22"/>
  <c r="P60" i="22"/>
  <c r="K62" i="5" s="1"/>
  <c r="AA60" i="22"/>
  <c r="Q60" i="22"/>
  <c r="L62" i="5" s="1"/>
  <c r="J60" i="22"/>
  <c r="P59" i="22"/>
  <c r="K61" i="5" s="1"/>
  <c r="AA59" i="22"/>
  <c r="I59" i="22"/>
  <c r="K59" i="22"/>
  <c r="AC59" i="22"/>
  <c r="CQ59" i="22"/>
  <c r="P61" i="5"/>
  <c r="Q59" i="22"/>
  <c r="L61" i="5" s="1"/>
  <c r="J59" i="22"/>
  <c r="K58" i="22"/>
  <c r="AC58" i="22"/>
  <c r="P59" i="5"/>
  <c r="CQ57" i="22"/>
  <c r="E2989" i="22"/>
  <c r="F57" i="22" s="1"/>
  <c r="D2989" i="22"/>
  <c r="E57" i="22" s="1"/>
  <c r="C2989" i="22"/>
  <c r="D57" i="22" s="1"/>
  <c r="P55" i="22"/>
  <c r="K57" i="5" s="1"/>
  <c r="I55" i="22"/>
  <c r="AA55" i="22"/>
  <c r="AC55" i="22"/>
  <c r="K55" i="22"/>
  <c r="J55" i="22"/>
  <c r="Q55" i="22"/>
  <c r="L57" i="5" s="1"/>
  <c r="J54" i="22"/>
  <c r="Q54" i="22"/>
  <c r="L56" i="5" s="1"/>
  <c r="I53" i="22"/>
  <c r="AA53" i="22"/>
  <c r="P53" i="22"/>
  <c r="K55" i="5" s="1"/>
  <c r="AC53" i="22"/>
  <c r="K53" i="22"/>
  <c r="Q53" i="22"/>
  <c r="L55" i="5" s="1"/>
  <c r="J53" i="22"/>
  <c r="I52" i="22"/>
  <c r="P52" i="22"/>
  <c r="K54" i="5" s="1"/>
  <c r="AA52" i="22"/>
  <c r="AC52" i="22"/>
  <c r="K52" i="22"/>
  <c r="J52" i="22"/>
  <c r="Q52" i="22"/>
  <c r="L54" i="5" s="1"/>
  <c r="AC51" i="22"/>
  <c r="K51" i="22"/>
  <c r="Q50" i="22"/>
  <c r="L52" i="5" s="1"/>
  <c r="J50" i="22"/>
  <c r="CQ49" i="22"/>
  <c r="P51" i="5"/>
  <c r="K49" i="22"/>
  <c r="AC49" i="22"/>
  <c r="I49" i="22"/>
  <c r="P49" i="22"/>
  <c r="K51" i="5" s="1"/>
  <c r="AA49" i="22"/>
  <c r="J49" i="22"/>
  <c r="Q49" i="22"/>
  <c r="L51" i="5" s="1"/>
  <c r="C2503" i="22"/>
  <c r="D48" i="22" s="1"/>
  <c r="E2503" i="22"/>
  <c r="F48" i="22" s="1"/>
  <c r="P48" i="22"/>
  <c r="K50" i="5" s="1"/>
  <c r="I48" i="22"/>
  <c r="AA48" i="22"/>
  <c r="CQ48" i="22"/>
  <c r="P50" i="5"/>
  <c r="AC48" i="22"/>
  <c r="K48" i="22"/>
  <c r="CQ47" i="22"/>
  <c r="P49" i="5"/>
  <c r="E2449" i="22"/>
  <c r="F47" i="22" s="1"/>
  <c r="D2449" i="22"/>
  <c r="E47" i="22" s="1"/>
  <c r="C2449" i="22"/>
  <c r="D47" i="22" s="1"/>
  <c r="P48" i="5"/>
  <c r="CQ46" i="22"/>
  <c r="D2395" i="22"/>
  <c r="E46" i="22" s="1"/>
  <c r="E2395" i="22"/>
  <c r="F46" i="22" s="1"/>
  <c r="C2395" i="22"/>
  <c r="D46" i="22" s="1"/>
  <c r="CQ43" i="22"/>
  <c r="P45" i="5"/>
  <c r="AC43" i="22"/>
  <c r="V26" i="6" s="1"/>
  <c r="K43" i="22"/>
  <c r="AA43" i="22"/>
  <c r="I43" i="22"/>
  <c r="P43" i="22"/>
  <c r="K45" i="5" s="1"/>
  <c r="Q43" i="22"/>
  <c r="L45" i="5" s="1"/>
  <c r="J43" i="22"/>
  <c r="I42" i="22"/>
  <c r="AA42" i="22"/>
  <c r="P42" i="22"/>
  <c r="K44" i="5" s="1"/>
  <c r="K42" i="22"/>
  <c r="AC42" i="22"/>
  <c r="Q42" i="22"/>
  <c r="L44" i="5" s="1"/>
  <c r="J42" i="22"/>
  <c r="AA41" i="22"/>
  <c r="P41" i="22"/>
  <c r="K43" i="5" s="1"/>
  <c r="I41" i="22"/>
  <c r="AC41" i="22"/>
  <c r="K41" i="22"/>
  <c r="P43" i="5"/>
  <c r="CQ41" i="22"/>
  <c r="Q41" i="22"/>
  <c r="L43" i="5" s="1"/>
  <c r="J41" i="22"/>
  <c r="I40" i="22"/>
  <c r="P40" i="22"/>
  <c r="K42" i="5" s="1"/>
  <c r="AA40" i="22"/>
  <c r="K40" i="22"/>
  <c r="AC40" i="22"/>
  <c r="J40" i="22"/>
  <c r="Q40" i="22"/>
  <c r="L42" i="5" s="1"/>
  <c r="AC39" i="22"/>
  <c r="K39" i="22"/>
  <c r="CQ37" i="22"/>
  <c r="P39" i="5"/>
  <c r="D1909" i="22"/>
  <c r="E37" i="22" s="1"/>
  <c r="E1909" i="22"/>
  <c r="F37" i="22" s="1"/>
  <c r="P36" i="22"/>
  <c r="K38" i="5" s="1"/>
  <c r="AA36" i="22"/>
  <c r="I36" i="22"/>
  <c r="AC36" i="22"/>
  <c r="K36" i="22"/>
  <c r="Q36" i="22"/>
  <c r="L38" i="5" s="1"/>
  <c r="J36" i="22"/>
  <c r="AC35" i="22"/>
  <c r="K35" i="22"/>
  <c r="CQ35" i="22"/>
  <c r="P37" i="5"/>
  <c r="AA35" i="22"/>
  <c r="P35" i="22"/>
  <c r="K37" i="5" s="1"/>
  <c r="I35" i="22"/>
  <c r="J35" i="22"/>
  <c r="Q35" i="22"/>
  <c r="L37" i="5" s="1"/>
  <c r="K34" i="22"/>
  <c r="AC34" i="22"/>
  <c r="K33" i="22"/>
  <c r="AC33" i="22"/>
  <c r="I31" i="22"/>
  <c r="AA31" i="22"/>
  <c r="P31" i="22"/>
  <c r="K33" i="5" s="1"/>
  <c r="AC31" i="22"/>
  <c r="K31" i="22"/>
  <c r="P33" i="5"/>
  <c r="CQ31" i="22"/>
  <c r="J31" i="22"/>
  <c r="Q31" i="22"/>
  <c r="L33" i="5" s="1"/>
  <c r="AC30" i="22"/>
  <c r="K30" i="22"/>
  <c r="P30" i="22"/>
  <c r="K32" i="5" s="1"/>
  <c r="AA30" i="22"/>
  <c r="I30" i="22"/>
  <c r="J30" i="22"/>
  <c r="Q30" i="22"/>
  <c r="L32" i="5" s="1"/>
  <c r="P31" i="5"/>
  <c r="CQ29" i="22"/>
  <c r="C1477" i="22"/>
  <c r="D29" i="22" s="1"/>
  <c r="D1477" i="22"/>
  <c r="E29" i="22" s="1"/>
  <c r="E1477" i="22"/>
  <c r="F29" i="22" s="1"/>
  <c r="I28" i="22"/>
  <c r="P28" i="22"/>
  <c r="K30" i="5" s="1"/>
  <c r="AA28" i="22"/>
  <c r="K28" i="22"/>
  <c r="AC28" i="22"/>
  <c r="V11" i="6" s="1"/>
  <c r="Q28" i="22"/>
  <c r="L30" i="5" s="1"/>
  <c r="J28" i="22"/>
  <c r="P27" i="22"/>
  <c r="K29" i="5" s="1"/>
  <c r="AA27" i="22"/>
  <c r="I27" i="22"/>
  <c r="AC27" i="22"/>
  <c r="K27" i="22"/>
  <c r="J27" i="22"/>
  <c r="Q27" i="22"/>
  <c r="L29" i="5" s="1"/>
  <c r="J25" i="22"/>
  <c r="Q25" i="22"/>
  <c r="L27" i="5" s="1"/>
  <c r="I24" i="22"/>
  <c r="P24" i="22"/>
  <c r="K26" i="5" s="1"/>
  <c r="AA24" i="22"/>
  <c r="K24" i="22"/>
  <c r="AC24" i="22"/>
  <c r="J24" i="22"/>
  <c r="Q24" i="22"/>
  <c r="L26" i="5" s="1"/>
  <c r="AC23" i="22"/>
  <c r="K23" i="22"/>
  <c r="AA23" i="22"/>
  <c r="P23" i="22"/>
  <c r="K25" i="5" s="1"/>
  <c r="I23" i="22"/>
  <c r="P25" i="5"/>
  <c r="CQ23" i="22"/>
  <c r="J23" i="22"/>
  <c r="Q23" i="22"/>
  <c r="L25" i="5" s="1"/>
  <c r="C1099" i="22"/>
  <c r="D22" i="22" s="1"/>
  <c r="D1099" i="22"/>
  <c r="E22" i="22" s="1"/>
  <c r="P24" i="5"/>
  <c r="CQ22" i="22"/>
  <c r="CQ20" i="22"/>
  <c r="P22" i="5"/>
  <c r="D991" i="22"/>
  <c r="E20" i="22" s="1"/>
  <c r="Q20" i="22" s="1"/>
  <c r="L22" i="5" s="1"/>
  <c r="C991" i="22"/>
  <c r="D20" i="22" s="1"/>
  <c r="P19" i="22"/>
  <c r="K21" i="5" s="1"/>
  <c r="AA19" i="22"/>
  <c r="I19" i="22"/>
  <c r="AC19" i="22"/>
  <c r="K19" i="22"/>
  <c r="I18" i="22"/>
  <c r="AA18" i="22"/>
  <c r="P18" i="22"/>
  <c r="K20" i="5" s="1"/>
  <c r="AC18" i="22"/>
  <c r="K18" i="22"/>
  <c r="Q18" i="22"/>
  <c r="L20" i="5" s="1"/>
  <c r="J18" i="22"/>
  <c r="P17" i="22"/>
  <c r="K19" i="5" s="1"/>
  <c r="AA17" i="22"/>
  <c r="I17" i="22"/>
  <c r="AC17" i="22"/>
  <c r="K17" i="22"/>
  <c r="P19" i="5"/>
  <c r="CQ17" i="22"/>
  <c r="Q17" i="22"/>
  <c r="L19" i="5" s="1"/>
  <c r="J17" i="22"/>
  <c r="I16" i="22"/>
  <c r="P16" i="22"/>
  <c r="K18" i="5" s="1"/>
  <c r="AA16" i="22"/>
  <c r="K16" i="22"/>
  <c r="AC16" i="22"/>
  <c r="Q16" i="22"/>
  <c r="L18" i="5" s="1"/>
  <c r="J16" i="22"/>
  <c r="I15" i="22"/>
  <c r="AA15" i="22"/>
  <c r="P15" i="22"/>
  <c r="K17" i="5" s="1"/>
  <c r="K15" i="22"/>
  <c r="AC15" i="22"/>
  <c r="J15" i="22"/>
  <c r="Q15" i="22"/>
  <c r="L17" i="5" s="1"/>
  <c r="CQ13" i="22"/>
  <c r="P15" i="5"/>
  <c r="D613" i="22"/>
  <c r="E13" i="22" s="1"/>
  <c r="E613" i="22"/>
  <c r="F13" i="22" s="1"/>
  <c r="C613" i="22"/>
  <c r="D13" i="22" s="1"/>
  <c r="E559" i="22"/>
  <c r="F12" i="22" s="1"/>
  <c r="C559" i="22"/>
  <c r="D12" i="22" s="1"/>
  <c r="AC12" i="22"/>
  <c r="K12" i="22"/>
  <c r="P12" i="22"/>
  <c r="K14" i="5" s="1"/>
  <c r="AA12" i="22"/>
  <c r="I12" i="22"/>
  <c r="CQ12" i="22"/>
  <c r="P14" i="5"/>
  <c r="AA11" i="22"/>
  <c r="P11" i="22"/>
  <c r="K13" i="5" s="1"/>
  <c r="I11" i="22"/>
  <c r="K11" i="22"/>
  <c r="AC11" i="22"/>
  <c r="Q11" i="22"/>
  <c r="L13" i="5" s="1"/>
  <c r="J11" i="22"/>
  <c r="I10" i="22"/>
  <c r="AA10" i="22"/>
  <c r="P10" i="22"/>
  <c r="K12" i="5" s="1"/>
  <c r="K10" i="22"/>
  <c r="AC10" i="22"/>
  <c r="Q10" i="22"/>
  <c r="L12" i="5" s="1"/>
  <c r="J10" i="22"/>
  <c r="I9" i="22"/>
  <c r="AA9" i="22"/>
  <c r="P9" i="22"/>
  <c r="K11" i="5" s="1"/>
  <c r="K9" i="22"/>
  <c r="AC9" i="22"/>
  <c r="J9" i="22"/>
  <c r="Q9" i="22"/>
  <c r="L11" i="5" s="1"/>
  <c r="P9" i="5"/>
  <c r="CQ7" i="22"/>
  <c r="D289" i="22"/>
  <c r="E7" i="22" s="1"/>
  <c r="E289" i="22"/>
  <c r="F7" i="22" s="1"/>
  <c r="C289" i="22"/>
  <c r="D7" i="22" s="1"/>
  <c r="P8" i="5"/>
  <c r="CQ6" i="22"/>
  <c r="E235" i="22"/>
  <c r="F6" i="22" s="1"/>
  <c r="D235" i="22"/>
  <c r="E6" i="22" s="1"/>
  <c r="C235" i="22"/>
  <c r="D6" i="22" s="1"/>
  <c r="AA5" i="22"/>
  <c r="P5" i="22"/>
  <c r="K7" i="5" s="1"/>
  <c r="I5" i="22"/>
  <c r="K5" i="22"/>
  <c r="AC5" i="22"/>
  <c r="V9" i="6" s="1"/>
  <c r="CQ5" i="22"/>
  <c r="P7" i="5"/>
  <c r="J5" i="22"/>
  <c r="Q5" i="22"/>
  <c r="L7" i="5" s="1"/>
  <c r="C17" i="14"/>
  <c r="AC4" i="22"/>
  <c r="K4" i="22"/>
  <c r="C24" i="14"/>
  <c r="AI4" i="22"/>
  <c r="H64" i="12"/>
  <c r="G64" i="12"/>
  <c r="H63" i="12"/>
  <c r="G63" i="12"/>
  <c r="H65" i="12"/>
  <c r="G65" i="12"/>
  <c r="E3421" i="22"/>
  <c r="F65" i="22" s="1"/>
  <c r="D3421" i="22"/>
  <c r="E65" i="22" s="1"/>
  <c r="CQ65" i="22"/>
  <c r="P67" i="5"/>
  <c r="C3367" i="22"/>
  <c r="D64" i="22" s="1"/>
  <c r="E3367" i="22"/>
  <c r="F64" i="22" s="1"/>
  <c r="D3367" i="22"/>
  <c r="E64" i="22" s="1"/>
  <c r="P66" i="5"/>
  <c r="CQ64" i="22"/>
  <c r="AC45" i="22"/>
  <c r="K45" i="22"/>
  <c r="CP56" i="22"/>
  <c r="CR56" i="22" s="1"/>
  <c r="CO54" i="22"/>
  <c r="CO50" i="22"/>
  <c r="CO53" i="22"/>
  <c r="CO32" i="22"/>
  <c r="CO26" i="22"/>
  <c r="CP26" i="22"/>
  <c r="CR26" i="22" s="1"/>
  <c r="CP8" i="22"/>
  <c r="CR8" i="22" s="1"/>
  <c r="CP20" i="22"/>
  <c r="CR20" i="22" s="1"/>
  <c r="AE24" i="6"/>
  <c r="CP14" i="22"/>
  <c r="CR14" i="22" s="1"/>
  <c r="AE18" i="6"/>
  <c r="CO8" i="22"/>
  <c r="CO63" i="22"/>
  <c r="CO55" i="22"/>
  <c r="G19" i="13"/>
  <c r="CP55" i="22"/>
  <c r="CR55" i="22" s="1"/>
  <c r="CO62" i="22"/>
  <c r="CP62" i="22"/>
  <c r="CR62" i="22" s="1"/>
  <c r="CO61" i="22"/>
  <c r="CP60" i="22"/>
  <c r="CR60" i="22" s="1"/>
  <c r="CO58" i="22"/>
  <c r="CP53" i="22"/>
  <c r="CR53" i="22" s="1"/>
  <c r="CO52" i="22"/>
  <c r="CP50" i="22"/>
  <c r="CR50" i="22" s="1"/>
  <c r="CP49" i="22"/>
  <c r="CR49" i="22" s="1"/>
  <c r="CO42" i="22"/>
  <c r="CP42" i="22"/>
  <c r="CR42" i="22" s="1"/>
  <c r="AE25" i="6"/>
  <c r="CO40" i="22"/>
  <c r="CO39" i="22"/>
  <c r="CO9" i="22"/>
  <c r="CO36" i="22"/>
  <c r="AE17" i="6"/>
  <c r="CP33" i="22"/>
  <c r="CR33" i="22" s="1"/>
  <c r="CO30" i="22"/>
  <c r="CO19" i="22"/>
  <c r="CO28" i="22"/>
  <c r="AE11" i="6"/>
  <c r="CO27" i="22"/>
  <c r="CP27" i="22"/>
  <c r="CR27" i="22" s="1"/>
  <c r="CO24" i="22"/>
  <c r="AE28" i="6"/>
  <c r="AE23" i="6"/>
  <c r="CO18" i="22"/>
  <c r="AE22" i="6"/>
  <c r="AE21" i="6"/>
  <c r="CO16" i="22"/>
  <c r="CP11" i="22"/>
  <c r="CR11" i="22" s="1"/>
  <c r="CP16" i="22"/>
  <c r="CR16" i="22" s="1"/>
  <c r="CO15" i="22"/>
  <c r="CO11" i="22"/>
  <c r="CO10" i="22"/>
  <c r="AE9" i="6"/>
  <c r="C4723" i="22"/>
  <c r="T4722" i="22"/>
  <c r="U3744" i="22"/>
  <c r="K3745" i="22"/>
  <c r="CO71" i="22" s="1"/>
  <c r="L3745" i="22"/>
  <c r="CP71" i="22" s="1"/>
  <c r="CR71" i="22" s="1"/>
  <c r="D2935" i="22"/>
  <c r="E56" i="22" s="1"/>
  <c r="C2935" i="22"/>
  <c r="D56" i="22" s="1"/>
  <c r="U2664" i="22"/>
  <c r="K2665" i="22"/>
  <c r="CO51" i="22" s="1"/>
  <c r="L2665" i="22"/>
  <c r="CP51" i="22" s="1"/>
  <c r="CR51" i="22" s="1"/>
  <c r="U2016" i="22"/>
  <c r="D2017" i="22" s="1"/>
  <c r="E39" i="22" s="1"/>
  <c r="L2017" i="22"/>
  <c r="CP39" i="22" s="1"/>
  <c r="CR39" i="22" s="1"/>
  <c r="U1962" i="22"/>
  <c r="K1963" i="22"/>
  <c r="CO38" i="22" s="1"/>
  <c r="L1963" i="22"/>
  <c r="CP38" i="22" s="1"/>
  <c r="CR38" i="22" s="1"/>
  <c r="U1746" i="22"/>
  <c r="D1747" i="22" s="1"/>
  <c r="E34" i="22" s="1"/>
  <c r="K1747" i="22"/>
  <c r="CO34" i="22" s="1"/>
  <c r="L1747" i="22"/>
  <c r="CP34" i="22" s="1"/>
  <c r="CR34" i="22" s="1"/>
  <c r="U1692" i="22"/>
  <c r="K1693" i="22"/>
  <c r="CO33" i="22" s="1"/>
  <c r="U126" i="22"/>
  <c r="K127" i="22"/>
  <c r="CO4" i="22" s="1"/>
  <c r="L127" i="22"/>
  <c r="CP4" i="22" s="1"/>
  <c r="CR4" i="22" s="1"/>
  <c r="C937" i="22"/>
  <c r="D19" i="22" s="1"/>
  <c r="E937" i="22"/>
  <c r="F19" i="22" s="1"/>
  <c r="E3043" i="22" l="1"/>
  <c r="F58" i="22" s="1"/>
  <c r="D3043" i="22"/>
  <c r="E58" i="22" s="1"/>
  <c r="C3043" i="22"/>
  <c r="D58" i="22" s="1"/>
  <c r="V25" i="6"/>
  <c r="V10" i="6"/>
  <c r="V28" i="6"/>
  <c r="U23" i="6"/>
  <c r="V23" i="6"/>
  <c r="V22" i="6"/>
  <c r="V20" i="6"/>
  <c r="V19" i="6"/>
  <c r="V16" i="6"/>
  <c r="V13" i="6"/>
  <c r="G71" i="12"/>
  <c r="F13" i="9"/>
  <c r="D27" i="2"/>
  <c r="BB71" i="17"/>
  <c r="D113" i="12"/>
  <c r="BA71" i="17"/>
  <c r="D112" i="12"/>
  <c r="BE71" i="17"/>
  <c r="D116" i="12"/>
  <c r="L116" i="12" s="1"/>
  <c r="BD71" i="17"/>
  <c r="D115" i="12"/>
  <c r="L115" i="12" s="1"/>
  <c r="I39" i="22"/>
  <c r="P39" i="22"/>
  <c r="K41" i="5" s="1"/>
  <c r="AA39" i="22"/>
  <c r="U22" i="6" s="1"/>
  <c r="AA34" i="22"/>
  <c r="P34" i="22"/>
  <c r="K36" i="5" s="1"/>
  <c r="I34" i="22"/>
  <c r="N69" i="22"/>
  <c r="AB69" i="22"/>
  <c r="O69" i="22"/>
  <c r="AJ69" i="22" s="1"/>
  <c r="AH69" i="22"/>
  <c r="AD56" i="22"/>
  <c r="Y64" i="3"/>
  <c r="J58" i="5"/>
  <c r="O56" i="22"/>
  <c r="AH56" i="22"/>
  <c r="I56" i="5"/>
  <c r="X62" i="3"/>
  <c r="N54" i="22"/>
  <c r="CT54" i="22" s="1"/>
  <c r="AB54" i="22"/>
  <c r="AD50" i="22"/>
  <c r="Y58" i="3"/>
  <c r="J52" i="5"/>
  <c r="I52" i="5"/>
  <c r="X58" i="3"/>
  <c r="N50" i="22"/>
  <c r="CS50" i="22" s="1"/>
  <c r="AB50" i="22"/>
  <c r="J46" i="5"/>
  <c r="Y52" i="3"/>
  <c r="AD44" i="22"/>
  <c r="AD38" i="22"/>
  <c r="Y46" i="3"/>
  <c r="J40" i="5"/>
  <c r="AD32" i="22"/>
  <c r="Y40" i="3"/>
  <c r="J34" i="5"/>
  <c r="I34" i="5"/>
  <c r="X40" i="3"/>
  <c r="N32" i="22"/>
  <c r="AB32" i="22"/>
  <c r="O32" i="22"/>
  <c r="AH32" i="22"/>
  <c r="AD26" i="22"/>
  <c r="Y34" i="3"/>
  <c r="J28" i="5"/>
  <c r="I28" i="5"/>
  <c r="X34" i="3"/>
  <c r="N26" i="22"/>
  <c r="AB26" i="22"/>
  <c r="O26" i="22"/>
  <c r="AH26" i="22"/>
  <c r="AD25" i="22"/>
  <c r="Y33" i="3"/>
  <c r="J27" i="5"/>
  <c r="I27" i="5"/>
  <c r="X33" i="3"/>
  <c r="N25" i="22"/>
  <c r="AB25" i="22"/>
  <c r="M24" i="5"/>
  <c r="AJ22" i="22"/>
  <c r="O20" i="22"/>
  <c r="AH20" i="22"/>
  <c r="AD24" i="6" s="1"/>
  <c r="AD14" i="22"/>
  <c r="Y18" i="6" s="1"/>
  <c r="Y22" i="3"/>
  <c r="J16" i="5"/>
  <c r="I16" i="5"/>
  <c r="X22" i="3"/>
  <c r="N14" i="22"/>
  <c r="AB14" i="22"/>
  <c r="AH14" i="22"/>
  <c r="AD18" i="6" s="1"/>
  <c r="O14" i="22"/>
  <c r="AD8" i="22"/>
  <c r="Y12" i="6" s="1"/>
  <c r="Y16" i="3"/>
  <c r="J10" i="5"/>
  <c r="I10" i="5"/>
  <c r="X16" i="3"/>
  <c r="N8" i="22"/>
  <c r="AB8" i="22"/>
  <c r="O8" i="22"/>
  <c r="AH8" i="22"/>
  <c r="G116" i="12"/>
  <c r="BC68" i="17"/>
  <c r="C56" i="12"/>
  <c r="AZ68" i="17"/>
  <c r="C55" i="12"/>
  <c r="V68" i="17"/>
  <c r="D49" i="12"/>
  <c r="I49" i="12" s="1"/>
  <c r="D24" i="2"/>
  <c r="E20" i="19"/>
  <c r="G20" i="19" s="1"/>
  <c r="C13" i="17"/>
  <c r="C10" i="17"/>
  <c r="C9" i="17"/>
  <c r="G31" i="2"/>
  <c r="C11" i="17"/>
  <c r="C12" i="17"/>
  <c r="D8" i="19"/>
  <c r="E19" i="19"/>
  <c r="G19" i="19" s="1"/>
  <c r="C24" i="2"/>
  <c r="C53" i="10"/>
  <c r="C18" i="13"/>
  <c r="C26" i="16"/>
  <c r="W71" i="17"/>
  <c r="D82" i="12"/>
  <c r="D83" i="12"/>
  <c r="X71" i="17"/>
  <c r="Y68" i="17"/>
  <c r="D50" i="12"/>
  <c r="I50" i="12" s="1"/>
  <c r="D85" i="12"/>
  <c r="Z71" i="17"/>
  <c r="D86" i="12"/>
  <c r="AA71" i="17"/>
  <c r="AB68" i="17"/>
  <c r="D51" i="12"/>
  <c r="I51" i="12" s="1"/>
  <c r="D88" i="12"/>
  <c r="AC71" i="17"/>
  <c r="D89" i="12"/>
  <c r="AD71" i="17"/>
  <c r="AE68" i="17"/>
  <c r="D52" i="12"/>
  <c r="I52" i="12" s="1"/>
  <c r="D91" i="12"/>
  <c r="AF71" i="17"/>
  <c r="D92" i="12"/>
  <c r="AG71" i="17"/>
  <c r="AH68" i="17"/>
  <c r="C51" i="10"/>
  <c r="C49" i="12"/>
  <c r="D53" i="12"/>
  <c r="I53" i="12" s="1"/>
  <c r="F12" i="17"/>
  <c r="E8" i="19" s="1"/>
  <c r="G8" i="19" s="1"/>
  <c r="D94" i="12"/>
  <c r="AI71" i="17"/>
  <c r="AJ71" i="17"/>
  <c r="D95" i="12"/>
  <c r="AK68" i="17"/>
  <c r="C50" i="12"/>
  <c r="D54" i="12"/>
  <c r="I54" i="12" s="1"/>
  <c r="D97" i="12"/>
  <c r="AL71" i="17"/>
  <c r="AM71" i="17"/>
  <c r="D98" i="12"/>
  <c r="AN68" i="17"/>
  <c r="D55" i="12"/>
  <c r="I55" i="12" s="1"/>
  <c r="C51" i="12"/>
  <c r="D100" i="12"/>
  <c r="AO71" i="17"/>
  <c r="D101" i="12"/>
  <c r="AP71" i="17"/>
  <c r="AQ68" i="17"/>
  <c r="C52" i="12"/>
  <c r="D56" i="12"/>
  <c r="I56" i="12" s="1"/>
  <c r="D103" i="12"/>
  <c r="AR71" i="17"/>
  <c r="D104" i="12"/>
  <c r="AS71" i="17"/>
  <c r="AT68" i="17"/>
  <c r="C53" i="12"/>
  <c r="D106" i="12"/>
  <c r="AU71" i="17"/>
  <c r="D107" i="12"/>
  <c r="AV71" i="17"/>
  <c r="AW68" i="17"/>
  <c r="C54" i="12"/>
  <c r="D109" i="12"/>
  <c r="AX71" i="17"/>
  <c r="D110" i="12"/>
  <c r="AY71" i="17"/>
  <c r="G115" i="12"/>
  <c r="CQ45" i="22"/>
  <c r="P47" i="5"/>
  <c r="D2341" i="22"/>
  <c r="E45" i="22" s="1"/>
  <c r="E2341" i="22"/>
  <c r="F45" i="22" s="1"/>
  <c r="C2341" i="22"/>
  <c r="D45" i="22" s="1"/>
  <c r="D2287" i="22"/>
  <c r="E44" i="22" s="1"/>
  <c r="E2287" i="22"/>
  <c r="F44" i="22" s="1"/>
  <c r="C2287" i="22"/>
  <c r="D44" i="22" s="1"/>
  <c r="CQ21" i="22"/>
  <c r="P23" i="5"/>
  <c r="C1045" i="22"/>
  <c r="D21" i="22" s="1"/>
  <c r="E1045" i="22"/>
  <c r="F21" i="22" s="1"/>
  <c r="D1045" i="22"/>
  <c r="E21" i="22" s="1"/>
  <c r="H116" i="12"/>
  <c r="J116" i="12"/>
  <c r="H115" i="12"/>
  <c r="J115" i="12"/>
  <c r="L113" i="12"/>
  <c r="H113" i="12"/>
  <c r="J113" i="12"/>
  <c r="L112" i="12"/>
  <c r="H112" i="12"/>
  <c r="J112" i="12"/>
  <c r="N72" i="22"/>
  <c r="AB72" i="22"/>
  <c r="O72" i="22"/>
  <c r="AJ72" i="22" s="1"/>
  <c r="AH72" i="22"/>
  <c r="AB70" i="22"/>
  <c r="N70" i="22"/>
  <c r="AH70" i="22"/>
  <c r="O70" i="22"/>
  <c r="AJ70" i="22" s="1"/>
  <c r="N68" i="22"/>
  <c r="AB68" i="22"/>
  <c r="O68" i="22"/>
  <c r="AJ68" i="22" s="1"/>
  <c r="AH68" i="22"/>
  <c r="N67" i="22"/>
  <c r="AB67" i="22"/>
  <c r="O67" i="22"/>
  <c r="AJ67" i="22" s="1"/>
  <c r="AH67" i="22"/>
  <c r="AD66" i="22"/>
  <c r="Y74" i="3"/>
  <c r="J68" i="5"/>
  <c r="I68" i="5"/>
  <c r="X74" i="3"/>
  <c r="N66" i="22"/>
  <c r="AB66" i="22"/>
  <c r="O66" i="22"/>
  <c r="AH66" i="22"/>
  <c r="I65" i="5"/>
  <c r="X71" i="3"/>
  <c r="N63" i="22"/>
  <c r="AB63" i="22"/>
  <c r="AD63" i="22"/>
  <c r="Y71" i="3"/>
  <c r="J65" i="5"/>
  <c r="O63" i="22"/>
  <c r="AH63" i="22"/>
  <c r="AB62" i="22"/>
  <c r="N62" i="22"/>
  <c r="X70" i="3"/>
  <c r="I64" i="5"/>
  <c r="J64" i="5"/>
  <c r="Y70" i="3"/>
  <c r="AD62" i="22"/>
  <c r="AH62" i="22"/>
  <c r="O62" i="22"/>
  <c r="AD61" i="22"/>
  <c r="Y69" i="3"/>
  <c r="J63" i="5"/>
  <c r="I63" i="5"/>
  <c r="X69" i="3"/>
  <c r="N61" i="22"/>
  <c r="AB61" i="22"/>
  <c r="O61" i="22"/>
  <c r="AH61" i="22"/>
  <c r="AD60" i="22"/>
  <c r="Y68" i="3"/>
  <c r="J62" i="5"/>
  <c r="I62" i="5"/>
  <c r="X68" i="3"/>
  <c r="N60" i="22"/>
  <c r="AB60" i="22"/>
  <c r="O60" i="22"/>
  <c r="AH60" i="22"/>
  <c r="I61" i="5"/>
  <c r="X67" i="3"/>
  <c r="N59" i="22"/>
  <c r="AB59" i="22"/>
  <c r="AD59" i="22"/>
  <c r="Y67" i="3"/>
  <c r="J61" i="5"/>
  <c r="O59" i="22"/>
  <c r="AH59" i="22"/>
  <c r="AD58" i="22"/>
  <c r="Y66" i="3"/>
  <c r="J60" i="5"/>
  <c r="Q57" i="22"/>
  <c r="L59" i="5" s="1"/>
  <c r="J57" i="22"/>
  <c r="I57" i="22"/>
  <c r="P57" i="22"/>
  <c r="K59" i="5" s="1"/>
  <c r="AA57" i="22"/>
  <c r="U19" i="6" s="1"/>
  <c r="I57" i="5"/>
  <c r="X63" i="3"/>
  <c r="N55" i="22"/>
  <c r="AB55" i="22"/>
  <c r="AD55" i="22"/>
  <c r="Y63" i="3"/>
  <c r="J57" i="5"/>
  <c r="O55" i="22"/>
  <c r="AH55" i="22"/>
  <c r="O54" i="22"/>
  <c r="AH54" i="22"/>
  <c r="I55" i="5"/>
  <c r="X61" i="3"/>
  <c r="N53" i="22"/>
  <c r="AB53" i="22"/>
  <c r="AD53" i="22"/>
  <c r="Y61" i="3"/>
  <c r="J55" i="5"/>
  <c r="O53" i="22"/>
  <c r="AH53" i="22"/>
  <c r="I54" i="5"/>
  <c r="X60" i="3"/>
  <c r="N52" i="22"/>
  <c r="AB52" i="22"/>
  <c r="AD52" i="22"/>
  <c r="Y60" i="3"/>
  <c r="J54" i="5"/>
  <c r="O52" i="22"/>
  <c r="AH52" i="22"/>
  <c r="AD51" i="22"/>
  <c r="Y59" i="3"/>
  <c r="J53" i="5"/>
  <c r="O50" i="22"/>
  <c r="AH50" i="22"/>
  <c r="AD49" i="22"/>
  <c r="Y57" i="3"/>
  <c r="J51" i="5"/>
  <c r="I51" i="5"/>
  <c r="X57" i="3"/>
  <c r="N49" i="22"/>
  <c r="AB49" i="22"/>
  <c r="O49" i="22"/>
  <c r="AH49" i="22"/>
  <c r="Q48" i="22"/>
  <c r="L50" i="5" s="1"/>
  <c r="J48" i="22"/>
  <c r="I50" i="5"/>
  <c r="X56" i="3"/>
  <c r="N48" i="22"/>
  <c r="AB48" i="22"/>
  <c r="AD48" i="22"/>
  <c r="Y56" i="3"/>
  <c r="J50" i="5"/>
  <c r="J47" i="22"/>
  <c r="Q47" i="22"/>
  <c r="L49" i="5" s="1"/>
  <c r="AA47" i="22"/>
  <c r="U9" i="6" s="1"/>
  <c r="P47" i="22"/>
  <c r="K49" i="5" s="1"/>
  <c r="I47" i="22"/>
  <c r="I46" i="22"/>
  <c r="P46" i="22"/>
  <c r="K48" i="5" s="1"/>
  <c r="AA46" i="22"/>
  <c r="Q46" i="22"/>
  <c r="L48" i="5" s="1"/>
  <c r="J46" i="22"/>
  <c r="J45" i="5"/>
  <c r="Y51" i="3"/>
  <c r="AD43" i="22"/>
  <c r="Y26" i="6" s="1"/>
  <c r="I45" i="5"/>
  <c r="X51" i="3"/>
  <c r="N43" i="22"/>
  <c r="AB43" i="22"/>
  <c r="O43" i="22"/>
  <c r="AH43" i="22"/>
  <c r="AB42" i="22"/>
  <c r="N42" i="22"/>
  <c r="X50" i="3"/>
  <c r="I44" i="5"/>
  <c r="J44" i="5"/>
  <c r="Y50" i="3"/>
  <c r="AD42" i="22"/>
  <c r="O42" i="22"/>
  <c r="CS42" i="22" s="1"/>
  <c r="AH42" i="22"/>
  <c r="AB41" i="22"/>
  <c r="N41" i="22"/>
  <c r="X49" i="3"/>
  <c r="I43" i="5"/>
  <c r="J43" i="5"/>
  <c r="Y49" i="3"/>
  <c r="AD41" i="22"/>
  <c r="AH41" i="22"/>
  <c r="O41" i="22"/>
  <c r="I42" i="5"/>
  <c r="X48" i="3"/>
  <c r="N40" i="22"/>
  <c r="AB40" i="22"/>
  <c r="AD40" i="22"/>
  <c r="Y48" i="3"/>
  <c r="J42" i="5"/>
  <c r="O40" i="22"/>
  <c r="AH40" i="22"/>
  <c r="J41" i="5"/>
  <c r="Y47" i="3"/>
  <c r="AD39" i="22"/>
  <c r="P37" i="22"/>
  <c r="K39" i="5" s="1"/>
  <c r="AA37" i="22"/>
  <c r="I37" i="22"/>
  <c r="J37" i="22"/>
  <c r="Q37" i="22"/>
  <c r="L39" i="5" s="1"/>
  <c r="I38" i="5"/>
  <c r="X44" i="3"/>
  <c r="N36" i="22"/>
  <c r="CS36" i="22" s="1"/>
  <c r="AB36" i="22"/>
  <c r="AD36" i="22"/>
  <c r="Y44" i="3"/>
  <c r="J38" i="5"/>
  <c r="O36" i="22"/>
  <c r="AH36" i="22"/>
  <c r="AD35" i="22"/>
  <c r="Y43" i="3"/>
  <c r="J37" i="5"/>
  <c r="I37" i="5"/>
  <c r="X43" i="3"/>
  <c r="N35" i="22"/>
  <c r="AB35" i="22"/>
  <c r="O35" i="22"/>
  <c r="AH35" i="22"/>
  <c r="AD34" i="22"/>
  <c r="Y42" i="3"/>
  <c r="J36" i="5"/>
  <c r="AD33" i="22"/>
  <c r="Y41" i="3"/>
  <c r="J35" i="5"/>
  <c r="I33" i="5"/>
  <c r="X39" i="3"/>
  <c r="N31" i="22"/>
  <c r="AB31" i="22"/>
  <c r="AD31" i="22"/>
  <c r="Y39" i="3"/>
  <c r="J33" i="5"/>
  <c r="O31" i="22"/>
  <c r="AH31" i="22"/>
  <c r="AD30" i="22"/>
  <c r="Y38" i="3"/>
  <c r="J32" i="5"/>
  <c r="I32" i="5"/>
  <c r="X38" i="3"/>
  <c r="N30" i="22"/>
  <c r="AB30" i="22"/>
  <c r="O30" i="22"/>
  <c r="AH30" i="22"/>
  <c r="I29" i="22"/>
  <c r="P29" i="22"/>
  <c r="K31" i="5" s="1"/>
  <c r="AA29" i="22"/>
  <c r="U12" i="6" s="1"/>
  <c r="Q29" i="22"/>
  <c r="L31" i="5" s="1"/>
  <c r="J29" i="22"/>
  <c r="I30" i="5"/>
  <c r="X36" i="3"/>
  <c r="N28" i="22"/>
  <c r="AB28" i="22"/>
  <c r="AD28" i="22"/>
  <c r="Y36" i="3"/>
  <c r="J30" i="5"/>
  <c r="O28" i="22"/>
  <c r="AH28" i="22"/>
  <c r="I29" i="5"/>
  <c r="X35" i="3"/>
  <c r="N27" i="22"/>
  <c r="AB27" i="22"/>
  <c r="AD27" i="22"/>
  <c r="Y35" i="3"/>
  <c r="J29" i="5"/>
  <c r="O27" i="22"/>
  <c r="AH27" i="22"/>
  <c r="O25" i="22"/>
  <c r="AH25" i="22"/>
  <c r="I26" i="5"/>
  <c r="X32" i="3"/>
  <c r="N24" i="22"/>
  <c r="AB24" i="22"/>
  <c r="AD24" i="22"/>
  <c r="Y32" i="3"/>
  <c r="J26" i="5"/>
  <c r="O24" i="22"/>
  <c r="AH24" i="22"/>
  <c r="J25" i="5"/>
  <c r="Y31" i="3"/>
  <c r="AD23" i="22"/>
  <c r="AB23" i="22"/>
  <c r="N23" i="22"/>
  <c r="X31" i="3"/>
  <c r="I25" i="5"/>
  <c r="AH23" i="22"/>
  <c r="O23" i="22"/>
  <c r="Q22" i="22"/>
  <c r="L24" i="5" s="1"/>
  <c r="AA22" i="22"/>
  <c r="P22" i="22"/>
  <c r="K24" i="5" s="1"/>
  <c r="I22" i="22"/>
  <c r="I20" i="22"/>
  <c r="AA20" i="22"/>
  <c r="U24" i="6" s="1"/>
  <c r="P20" i="22"/>
  <c r="K22" i="5" s="1"/>
  <c r="I21" i="5"/>
  <c r="X27" i="3"/>
  <c r="N19" i="22"/>
  <c r="AB19" i="22"/>
  <c r="J21" i="5"/>
  <c r="Y27" i="3"/>
  <c r="AD19" i="22"/>
  <c r="AB18" i="22"/>
  <c r="N18" i="22"/>
  <c r="X26" i="3"/>
  <c r="I20" i="5"/>
  <c r="AD18" i="22"/>
  <c r="Y26" i="3"/>
  <c r="J20" i="5"/>
  <c r="O18" i="22"/>
  <c r="AH18" i="22"/>
  <c r="I19" i="5"/>
  <c r="X25" i="3"/>
  <c r="N17" i="22"/>
  <c r="AB17" i="22"/>
  <c r="AD17" i="22"/>
  <c r="Y25" i="3"/>
  <c r="J19" i="5"/>
  <c r="O17" i="22"/>
  <c r="AH17" i="22"/>
  <c r="I18" i="5"/>
  <c r="X24" i="3"/>
  <c r="N16" i="22"/>
  <c r="AB16" i="22"/>
  <c r="AD16" i="22"/>
  <c r="Y24" i="3"/>
  <c r="J18" i="5"/>
  <c r="O16" i="22"/>
  <c r="AH16" i="22"/>
  <c r="I17" i="5"/>
  <c r="X23" i="3"/>
  <c r="N15" i="22"/>
  <c r="AB15" i="22"/>
  <c r="AD15" i="22"/>
  <c r="Y23" i="3"/>
  <c r="J17" i="5"/>
  <c r="AH15" i="22"/>
  <c r="O15" i="22"/>
  <c r="CS15" i="22" s="1"/>
  <c r="P13" i="22"/>
  <c r="K15" i="5" s="1"/>
  <c r="AA13" i="22"/>
  <c r="I13" i="22"/>
  <c r="Q13" i="22"/>
  <c r="L15" i="5" s="1"/>
  <c r="J13" i="22"/>
  <c r="J12" i="22"/>
  <c r="Q12" i="22"/>
  <c r="L14" i="5" s="1"/>
  <c r="AD12" i="22"/>
  <c r="Y16" i="6" s="1"/>
  <c r="Y20" i="3"/>
  <c r="J14" i="5"/>
  <c r="I14" i="5"/>
  <c r="X20" i="3"/>
  <c r="N12" i="22"/>
  <c r="AB12" i="22"/>
  <c r="I13" i="5"/>
  <c r="X19" i="3"/>
  <c r="N11" i="22"/>
  <c r="AB11" i="22"/>
  <c r="AD11" i="22"/>
  <c r="Y19" i="3"/>
  <c r="J13" i="5"/>
  <c r="AH11" i="22"/>
  <c r="O11" i="22"/>
  <c r="I12" i="5"/>
  <c r="X18" i="3"/>
  <c r="N10" i="22"/>
  <c r="AB10" i="22"/>
  <c r="J12" i="5"/>
  <c r="Y18" i="3"/>
  <c r="AD10" i="22"/>
  <c r="O10" i="22"/>
  <c r="AH10" i="22"/>
  <c r="I11" i="5"/>
  <c r="X17" i="3"/>
  <c r="N9" i="22"/>
  <c r="AB9" i="22"/>
  <c r="AD9" i="22"/>
  <c r="Y17" i="3"/>
  <c r="J11" i="5"/>
  <c r="O9" i="22"/>
  <c r="AH9" i="22"/>
  <c r="AA7" i="22"/>
  <c r="U11" i="6" s="1"/>
  <c r="P7" i="22"/>
  <c r="K9" i="5" s="1"/>
  <c r="I7" i="22"/>
  <c r="J7" i="22"/>
  <c r="Q7" i="22"/>
  <c r="L9" i="5" s="1"/>
  <c r="Q6" i="22"/>
  <c r="L8" i="5" s="1"/>
  <c r="J6" i="22"/>
  <c r="I6" i="22"/>
  <c r="P6" i="22"/>
  <c r="K8" i="5" s="1"/>
  <c r="AA6" i="22"/>
  <c r="U10" i="6" s="1"/>
  <c r="I7" i="5"/>
  <c r="X13" i="3"/>
  <c r="N5" i="22"/>
  <c r="AB5" i="22"/>
  <c r="AD5" i="22"/>
  <c r="Y13" i="3"/>
  <c r="J7" i="5"/>
  <c r="O5" i="22"/>
  <c r="AH5" i="22"/>
  <c r="V8" i="6"/>
  <c r="V33" i="6"/>
  <c r="C18" i="14"/>
  <c r="AD4" i="22"/>
  <c r="Y12" i="3"/>
  <c r="J6" i="5"/>
  <c r="G22" i="15"/>
  <c r="C14" i="15" s="1"/>
  <c r="C15" i="15" s="1"/>
  <c r="C16" i="15" s="1"/>
  <c r="C17" i="15" s="1"/>
  <c r="AE8" i="6"/>
  <c r="AE33" i="6"/>
  <c r="J65" i="22"/>
  <c r="Q65" i="22"/>
  <c r="L67" i="5" s="1"/>
  <c r="AA65" i="22"/>
  <c r="I65" i="22"/>
  <c r="P65" i="22"/>
  <c r="K67" i="5" s="1"/>
  <c r="Q64" i="22"/>
  <c r="L66" i="5" s="1"/>
  <c r="J64" i="22"/>
  <c r="P64" i="22"/>
  <c r="K66" i="5" s="1"/>
  <c r="AA64" i="22"/>
  <c r="I64" i="22"/>
  <c r="AD45" i="22"/>
  <c r="Y53" i="3"/>
  <c r="J47" i="5"/>
  <c r="CQ54" i="22"/>
  <c r="P56" i="5"/>
  <c r="P52" i="5"/>
  <c r="CQ50" i="22"/>
  <c r="CQ53" i="22"/>
  <c r="P55" i="5"/>
  <c r="CQ32" i="22"/>
  <c r="P34" i="5"/>
  <c r="P28" i="5"/>
  <c r="CQ26" i="22"/>
  <c r="P10" i="5"/>
  <c r="CQ8" i="22"/>
  <c r="P65" i="5"/>
  <c r="CQ63" i="22"/>
  <c r="CQ55" i="22"/>
  <c r="P57" i="5"/>
  <c r="CQ62" i="22"/>
  <c r="P64" i="5"/>
  <c r="P63" i="5"/>
  <c r="CQ61" i="22"/>
  <c r="CQ58" i="22"/>
  <c r="P60" i="5"/>
  <c r="CQ52" i="22"/>
  <c r="P54" i="5"/>
  <c r="CQ42" i="22"/>
  <c r="P44" i="5"/>
  <c r="CQ40" i="22"/>
  <c r="P42" i="5"/>
  <c r="P41" i="5"/>
  <c r="CQ39" i="22"/>
  <c r="CQ9" i="22"/>
  <c r="P11" i="5"/>
  <c r="P38" i="5"/>
  <c r="CQ36" i="22"/>
  <c r="P32" i="5"/>
  <c r="CS30" i="22"/>
  <c r="CQ30" i="22"/>
  <c r="P21" i="5"/>
  <c r="CQ19" i="22"/>
  <c r="CQ28" i="22"/>
  <c r="P30" i="5"/>
  <c r="P29" i="5"/>
  <c r="CQ27" i="22"/>
  <c r="CQ24" i="22"/>
  <c r="P26" i="5"/>
  <c r="P20" i="5"/>
  <c r="CQ18" i="22"/>
  <c r="CQ16" i="22"/>
  <c r="P18" i="5"/>
  <c r="CQ15" i="22"/>
  <c r="P17" i="5"/>
  <c r="P13" i="5"/>
  <c r="CQ11" i="22"/>
  <c r="CQ10" i="22"/>
  <c r="P12" i="5"/>
  <c r="E40" i="15"/>
  <c r="F40" i="15" s="1"/>
  <c r="E39" i="15"/>
  <c r="F39" i="15" s="1"/>
  <c r="E38" i="15"/>
  <c r="F38" i="15" s="1"/>
  <c r="E37" i="15"/>
  <c r="F37" i="15" s="1"/>
  <c r="E36" i="15"/>
  <c r="F36" i="15" s="1"/>
  <c r="E35" i="15"/>
  <c r="F35" i="15" s="1"/>
  <c r="E34" i="15"/>
  <c r="F34" i="15" s="1"/>
  <c r="E33" i="15"/>
  <c r="F33" i="15" s="1"/>
  <c r="E32" i="15"/>
  <c r="F32" i="15" s="1"/>
  <c r="E31" i="15"/>
  <c r="F31" i="15" s="1"/>
  <c r="E30" i="15"/>
  <c r="F30" i="15" s="1"/>
  <c r="E29" i="15"/>
  <c r="F29" i="15" s="1"/>
  <c r="E3745" i="22"/>
  <c r="F71" i="22" s="1"/>
  <c r="D3745" i="22"/>
  <c r="E71" i="22" s="1"/>
  <c r="C3745" i="22"/>
  <c r="D71" i="22" s="1"/>
  <c r="CQ71" i="22"/>
  <c r="AA56" i="22"/>
  <c r="U18" i="6" s="1"/>
  <c r="P56" i="22"/>
  <c r="K58" i="5" s="1"/>
  <c r="I56" i="22"/>
  <c r="E2665" i="22"/>
  <c r="F51" i="22" s="1"/>
  <c r="D2665" i="22"/>
  <c r="E51" i="22" s="1"/>
  <c r="C2665" i="22"/>
  <c r="D51" i="22" s="1"/>
  <c r="P53" i="5"/>
  <c r="CQ51" i="22"/>
  <c r="E2017" i="22"/>
  <c r="F39" i="22" s="1"/>
  <c r="C2017" i="22"/>
  <c r="D39" i="22" s="1"/>
  <c r="E1963" i="22"/>
  <c r="F38" i="22" s="1"/>
  <c r="D1963" i="22"/>
  <c r="E38" i="22" s="1"/>
  <c r="C1963" i="22"/>
  <c r="D38" i="22" s="1"/>
  <c r="CQ38" i="22"/>
  <c r="P40" i="5"/>
  <c r="E1747" i="22"/>
  <c r="F34" i="22" s="1"/>
  <c r="C1747" i="22"/>
  <c r="D34" i="22" s="1"/>
  <c r="CQ34" i="22"/>
  <c r="P36" i="5"/>
  <c r="E1693" i="22"/>
  <c r="F33" i="22" s="1"/>
  <c r="D1693" i="22"/>
  <c r="E33" i="22" s="1"/>
  <c r="C1693" i="22"/>
  <c r="D33" i="22" s="1"/>
  <c r="P35" i="5"/>
  <c r="CQ33" i="22"/>
  <c r="E127" i="22"/>
  <c r="F4" i="22" s="1"/>
  <c r="D127" i="22"/>
  <c r="E4" i="22" s="1"/>
  <c r="C127" i="22"/>
  <c r="D4" i="22" s="1"/>
  <c r="P6" i="5"/>
  <c r="CQ4" i="22"/>
  <c r="J19" i="22"/>
  <c r="Q19" i="22"/>
  <c r="L21" i="5" s="1"/>
  <c r="V18" i="6"/>
  <c r="V12" i="6"/>
  <c r="V21" i="6"/>
  <c r="V24" i="6"/>
  <c r="V17" i="6"/>
  <c r="V27" i="6"/>
  <c r="U15" i="6"/>
  <c r="V15" i="6"/>
  <c r="U14" i="6"/>
  <c r="V14" i="6"/>
  <c r="Q58" i="22" l="1"/>
  <c r="L60" i="5" s="1"/>
  <c r="J58" i="22"/>
  <c r="AA58" i="22"/>
  <c r="U20" i="6" s="1"/>
  <c r="P58" i="22"/>
  <c r="K60" i="5" s="1"/>
  <c r="I58" i="22"/>
  <c r="CS32" i="22"/>
  <c r="CS26" i="22"/>
  <c r="CS8" i="22"/>
  <c r="CS63" i="22"/>
  <c r="CS62" i="22"/>
  <c r="CS61" i="22"/>
  <c r="CS55" i="22"/>
  <c r="CS53" i="22"/>
  <c r="CS52" i="22"/>
  <c r="CS40" i="22"/>
  <c r="Y28" i="6"/>
  <c r="U26" i="6"/>
  <c r="CS28" i="22"/>
  <c r="CS27" i="22"/>
  <c r="Y10" i="6"/>
  <c r="CS24" i="22"/>
  <c r="Y27" i="6"/>
  <c r="CS18" i="22"/>
  <c r="CS16" i="22"/>
  <c r="Y19" i="6"/>
  <c r="U17" i="6"/>
  <c r="CS11" i="22"/>
  <c r="CS10" i="22"/>
  <c r="CS9" i="22"/>
  <c r="Y9" i="6"/>
  <c r="X47" i="3"/>
  <c r="N39" i="22"/>
  <c r="AB39" i="22"/>
  <c r="I41" i="5"/>
  <c r="I36" i="5"/>
  <c r="X42" i="3"/>
  <c r="N34" i="22"/>
  <c r="AB34" i="22"/>
  <c r="CS69" i="22"/>
  <c r="AF69" i="22"/>
  <c r="M58" i="5"/>
  <c r="AJ56" i="22"/>
  <c r="O746" i="23"/>
  <c r="O1642" i="23"/>
  <c r="H56" i="5"/>
  <c r="G56" i="5"/>
  <c r="V62" i="3"/>
  <c r="W62" i="3"/>
  <c r="V17" i="4"/>
  <c r="W16" i="4"/>
  <c r="V16" i="4"/>
  <c r="W17" i="4"/>
  <c r="AF54" i="22"/>
  <c r="H52" i="5"/>
  <c r="G52" i="5"/>
  <c r="W58" i="3"/>
  <c r="V58" i="3"/>
  <c r="AF50" i="22"/>
  <c r="H34" i="5"/>
  <c r="G34" i="5"/>
  <c r="W40" i="3"/>
  <c r="V40" i="3"/>
  <c r="W42" i="4"/>
  <c r="V42" i="4"/>
  <c r="AF32" i="22"/>
  <c r="M34" i="5"/>
  <c r="AJ32" i="22"/>
  <c r="H28" i="5"/>
  <c r="G28" i="5"/>
  <c r="W34" i="3"/>
  <c r="V34" i="3"/>
  <c r="W38" i="4"/>
  <c r="V38" i="4"/>
  <c r="AF26" i="22"/>
  <c r="M28" i="5"/>
  <c r="AJ26" i="22"/>
  <c r="CS25" i="22"/>
  <c r="H27" i="5"/>
  <c r="G27" i="5"/>
  <c r="V33" i="3"/>
  <c r="W33" i="3"/>
  <c r="W36" i="4"/>
  <c r="V36" i="4"/>
  <c r="V37" i="4"/>
  <c r="W37" i="4"/>
  <c r="AF25" i="22"/>
  <c r="M22" i="5"/>
  <c r="AJ20" i="22"/>
  <c r="CS14" i="22"/>
  <c r="H16" i="5"/>
  <c r="G16" i="5"/>
  <c r="V22" i="3"/>
  <c r="W22" i="3"/>
  <c r="V27" i="4"/>
  <c r="W27" i="4"/>
  <c r="AF14" i="22"/>
  <c r="M16" i="5"/>
  <c r="AJ14" i="22"/>
  <c r="H10" i="5"/>
  <c r="G10" i="5"/>
  <c r="V16" i="3"/>
  <c r="W16" i="3"/>
  <c r="V21" i="4"/>
  <c r="W21" i="4"/>
  <c r="AF8" i="22"/>
  <c r="M10" i="5"/>
  <c r="AJ8" i="22"/>
  <c r="D114" i="12"/>
  <c r="BC71" i="17"/>
  <c r="G56" i="12"/>
  <c r="H56" i="12"/>
  <c r="J56" i="12" s="1"/>
  <c r="E56" i="12"/>
  <c r="D111" i="12"/>
  <c r="AZ71" i="17"/>
  <c r="H55" i="12"/>
  <c r="J55" i="12" s="1"/>
  <c r="E55" i="12"/>
  <c r="G55" i="12"/>
  <c r="V71" i="17"/>
  <c r="D81" i="12"/>
  <c r="D18" i="11"/>
  <c r="G33" i="2"/>
  <c r="H19" i="2"/>
  <c r="D28" i="2"/>
  <c r="D22" i="9"/>
  <c r="G72" i="12"/>
  <c r="G73" i="12"/>
  <c r="C19" i="13"/>
  <c r="D71" i="10"/>
  <c r="F12" i="9"/>
  <c r="G12" i="9" s="1"/>
  <c r="D25" i="2"/>
  <c r="E23" i="19"/>
  <c r="G23" i="19" s="1"/>
  <c r="B75" i="10"/>
  <c r="B33" i="11"/>
  <c r="J54" i="10"/>
  <c r="C16" i="13"/>
  <c r="C9" i="11"/>
  <c r="D9" i="11" s="1"/>
  <c r="D10" i="11" s="1"/>
  <c r="D11" i="11" s="1"/>
  <c r="C67" i="10"/>
  <c r="D67" i="10" s="1"/>
  <c r="D68" i="10" s="1"/>
  <c r="D69" i="10" s="1"/>
  <c r="D70" i="10" s="1"/>
  <c r="C54" i="10"/>
  <c r="C12" i="9"/>
  <c r="D12" i="9" s="1"/>
  <c r="C25" i="2"/>
  <c r="E22" i="19"/>
  <c r="G22" i="19" s="1"/>
  <c r="G29" i="2"/>
  <c r="D17" i="11"/>
  <c r="F19" i="2"/>
  <c r="D20" i="9"/>
  <c r="C28" i="2"/>
  <c r="D21" i="9"/>
  <c r="L82" i="12"/>
  <c r="H82" i="12"/>
  <c r="L83" i="12"/>
  <c r="H83" i="12"/>
  <c r="D84" i="12"/>
  <c r="Y71" i="17"/>
  <c r="L85" i="12"/>
  <c r="H85" i="12"/>
  <c r="L86" i="12"/>
  <c r="H86" i="12"/>
  <c r="D87" i="12"/>
  <c r="AB71" i="17"/>
  <c r="L88" i="12"/>
  <c r="H88" i="12"/>
  <c r="L89" i="12"/>
  <c r="H89" i="12"/>
  <c r="AE71" i="17"/>
  <c r="D90" i="12"/>
  <c r="L91" i="12"/>
  <c r="H91" i="12"/>
  <c r="L92" i="12"/>
  <c r="H92" i="12"/>
  <c r="AH71" i="17"/>
  <c r="D93" i="12"/>
  <c r="G49" i="12"/>
  <c r="E49" i="12"/>
  <c r="H49" i="12"/>
  <c r="J49" i="12" s="1"/>
  <c r="L94" i="12"/>
  <c r="H94" i="12"/>
  <c r="K94" i="12" s="1"/>
  <c r="J94" i="12"/>
  <c r="L95" i="12"/>
  <c r="H95" i="12"/>
  <c r="K95" i="12" s="1"/>
  <c r="J95" i="12"/>
  <c r="D96" i="12"/>
  <c r="AK71" i="17"/>
  <c r="G50" i="12"/>
  <c r="H50" i="12"/>
  <c r="J50" i="12" s="1"/>
  <c r="E50" i="12"/>
  <c r="L97" i="12"/>
  <c r="H97" i="12"/>
  <c r="K97" i="12" s="1"/>
  <c r="J97" i="12"/>
  <c r="L98" i="12"/>
  <c r="H98" i="12"/>
  <c r="K98" i="12" s="1"/>
  <c r="J98" i="12"/>
  <c r="D99" i="12"/>
  <c r="AN71" i="17"/>
  <c r="G51" i="12"/>
  <c r="H51" i="12"/>
  <c r="J51" i="12" s="1"/>
  <c r="E51" i="12"/>
  <c r="L100" i="12"/>
  <c r="H100" i="12"/>
  <c r="J100" i="12"/>
  <c r="L101" i="12"/>
  <c r="H101" i="12"/>
  <c r="J101" i="12"/>
  <c r="D102" i="12"/>
  <c r="AQ71" i="17"/>
  <c r="G52" i="12"/>
  <c r="H52" i="12"/>
  <c r="J52" i="12" s="1"/>
  <c r="E52" i="12"/>
  <c r="L103" i="12"/>
  <c r="H103" i="12"/>
  <c r="J103" i="12"/>
  <c r="L104" i="12"/>
  <c r="H104" i="12"/>
  <c r="J104" i="12"/>
  <c r="D105" i="12"/>
  <c r="AT71" i="17"/>
  <c r="E53" i="12"/>
  <c r="H53" i="12"/>
  <c r="J53" i="12" s="1"/>
  <c r="G53" i="12"/>
  <c r="L106" i="12"/>
  <c r="H106" i="12"/>
  <c r="J106" i="12"/>
  <c r="L107" i="12"/>
  <c r="H107" i="12"/>
  <c r="J107" i="12"/>
  <c r="D108" i="12"/>
  <c r="AW71" i="17"/>
  <c r="G54" i="12"/>
  <c r="H54" i="12"/>
  <c r="J54" i="12" s="1"/>
  <c r="E54" i="12"/>
  <c r="L109" i="12"/>
  <c r="H109" i="12"/>
  <c r="J109" i="12"/>
  <c r="L110" i="12"/>
  <c r="H110" i="12"/>
  <c r="J110" i="12"/>
  <c r="AA45" i="22"/>
  <c r="U28" i="6" s="1"/>
  <c r="P45" i="22"/>
  <c r="K47" i="5" s="1"/>
  <c r="I45" i="22"/>
  <c r="J45" i="22"/>
  <c r="Q45" i="22"/>
  <c r="L47" i="5" s="1"/>
  <c r="I44" i="22"/>
  <c r="P44" i="22"/>
  <c r="K46" i="5" s="1"/>
  <c r="AA44" i="22"/>
  <c r="U27" i="6" s="1"/>
  <c r="Q44" i="22"/>
  <c r="L46" i="5" s="1"/>
  <c r="J44" i="22"/>
  <c r="Q21" i="22"/>
  <c r="L23" i="5" s="1"/>
  <c r="J21" i="22"/>
  <c r="P21" i="22"/>
  <c r="K23" i="5" s="1"/>
  <c r="AA21" i="22"/>
  <c r="U25" i="6" s="1"/>
  <c r="I21" i="22"/>
  <c r="CS72" i="22"/>
  <c r="AF72" i="22"/>
  <c r="CS70" i="22"/>
  <c r="AF70" i="22"/>
  <c r="CS68" i="22"/>
  <c r="AF68" i="22"/>
  <c r="CS67" i="22"/>
  <c r="AF67" i="22"/>
  <c r="CS66" i="22"/>
  <c r="H68" i="5"/>
  <c r="G68" i="5"/>
  <c r="V74" i="3"/>
  <c r="W74" i="3"/>
  <c r="AF66" i="22"/>
  <c r="M68" i="5"/>
  <c r="AJ66" i="22"/>
  <c r="H65" i="5"/>
  <c r="G65" i="5"/>
  <c r="V71" i="3"/>
  <c r="W71" i="3"/>
  <c r="AF63" i="22"/>
  <c r="M65" i="5"/>
  <c r="AJ63" i="22"/>
  <c r="H64" i="5"/>
  <c r="G64" i="5"/>
  <c r="V70" i="3"/>
  <c r="W70" i="3"/>
  <c r="V68" i="4"/>
  <c r="W68" i="4"/>
  <c r="AF62" i="22"/>
  <c r="M64" i="5"/>
  <c r="AJ62" i="22"/>
  <c r="H63" i="5"/>
  <c r="G63" i="5"/>
  <c r="V69" i="3"/>
  <c r="W69" i="3"/>
  <c r="V66" i="4"/>
  <c r="W66" i="4"/>
  <c r="W67" i="4"/>
  <c r="V67" i="4"/>
  <c r="AF61" i="22"/>
  <c r="M63" i="5"/>
  <c r="AJ61" i="22"/>
  <c r="CS60" i="22"/>
  <c r="H62" i="5"/>
  <c r="G62" i="5"/>
  <c r="V68" i="3"/>
  <c r="W68" i="3"/>
  <c r="AF60" i="22"/>
  <c r="M62" i="5"/>
  <c r="AJ60" i="22"/>
  <c r="CS59" i="22"/>
  <c r="H61" i="5"/>
  <c r="G61" i="5"/>
  <c r="V67" i="3"/>
  <c r="W67" i="3"/>
  <c r="W65" i="4"/>
  <c r="V65" i="4"/>
  <c r="AF59" i="22"/>
  <c r="M61" i="5"/>
  <c r="AJ59" i="22"/>
  <c r="AH57" i="22"/>
  <c r="AD19" i="6" s="1"/>
  <c r="O57" i="22"/>
  <c r="AB57" i="22"/>
  <c r="X19" i="6" s="1"/>
  <c r="N57" i="22"/>
  <c r="X65" i="3"/>
  <c r="I59" i="5"/>
  <c r="H57" i="5"/>
  <c r="G57" i="5"/>
  <c r="V63" i="3"/>
  <c r="W63" i="3"/>
  <c r="W61" i="4"/>
  <c r="V61" i="4"/>
  <c r="AF55" i="22"/>
  <c r="M57" i="5"/>
  <c r="AJ55" i="22"/>
  <c r="M56" i="5"/>
  <c r="AJ54" i="22"/>
  <c r="H55" i="5"/>
  <c r="G55" i="5"/>
  <c r="V61" i="3"/>
  <c r="W61" i="3"/>
  <c r="V59" i="4"/>
  <c r="V60" i="4"/>
  <c r="W60" i="4"/>
  <c r="W59" i="4"/>
  <c r="AF53" i="22"/>
  <c r="M55" i="5"/>
  <c r="AJ53" i="22"/>
  <c r="H54" i="5"/>
  <c r="G54" i="5"/>
  <c r="V60" i="3"/>
  <c r="W60" i="3"/>
  <c r="V10" i="4"/>
  <c r="W10" i="4"/>
  <c r="AF52" i="22"/>
  <c r="M54" i="5"/>
  <c r="AJ52" i="22"/>
  <c r="M52" i="5"/>
  <c r="AJ50" i="22"/>
  <c r="CS49" i="22"/>
  <c r="H51" i="5"/>
  <c r="G51" i="5"/>
  <c r="W57" i="3"/>
  <c r="V57" i="3"/>
  <c r="W57" i="4"/>
  <c r="W58" i="4"/>
  <c r="V57" i="4"/>
  <c r="V58" i="4"/>
  <c r="AF49" i="22"/>
  <c r="M51" i="5"/>
  <c r="AJ49" i="22"/>
  <c r="O48" i="22"/>
  <c r="AH48" i="22"/>
  <c r="CS48" i="22"/>
  <c r="H50" i="5"/>
  <c r="G50" i="5"/>
  <c r="W56" i="3"/>
  <c r="V56" i="3"/>
  <c r="AF48" i="22"/>
  <c r="O47" i="22"/>
  <c r="AH47" i="22"/>
  <c r="AD9" i="6" s="1"/>
  <c r="I49" i="5"/>
  <c r="X55" i="3"/>
  <c r="N47" i="22"/>
  <c r="AB47" i="22"/>
  <c r="X9" i="6" s="1"/>
  <c r="I48" i="5"/>
  <c r="X54" i="3"/>
  <c r="N46" i="22"/>
  <c r="AB46" i="22"/>
  <c r="O46" i="22"/>
  <c r="AH46" i="22"/>
  <c r="CS43" i="22"/>
  <c r="H45" i="5"/>
  <c r="G45" i="5"/>
  <c r="V51" i="3"/>
  <c r="W51" i="3"/>
  <c r="W52" i="4"/>
  <c r="V52" i="4"/>
  <c r="AF43" i="22"/>
  <c r="M45" i="5"/>
  <c r="AJ43" i="22"/>
  <c r="H44" i="5"/>
  <c r="G44" i="5"/>
  <c r="V50" i="3"/>
  <c r="W50" i="3"/>
  <c r="AF42" i="22"/>
  <c r="M44" i="5"/>
  <c r="AJ42" i="22"/>
  <c r="CS41" i="22"/>
  <c r="H43" i="5"/>
  <c r="G43" i="5"/>
  <c r="W49" i="3"/>
  <c r="V49" i="3"/>
  <c r="W51" i="4"/>
  <c r="V50" i="4"/>
  <c r="V51" i="4"/>
  <c r="W50" i="4"/>
  <c r="AF41" i="22"/>
  <c r="M43" i="5"/>
  <c r="AJ41" i="22"/>
  <c r="H42" i="5"/>
  <c r="G42" i="5"/>
  <c r="V48" i="3"/>
  <c r="W48" i="3"/>
  <c r="V49" i="4"/>
  <c r="W49" i="4"/>
  <c r="AF40" i="22"/>
  <c r="M42" i="5"/>
  <c r="AJ40" i="22"/>
  <c r="H41" i="5"/>
  <c r="G41" i="5"/>
  <c r="W47" i="3"/>
  <c r="V47" i="3"/>
  <c r="AF39" i="22"/>
  <c r="AB37" i="22"/>
  <c r="N37" i="22"/>
  <c r="X45" i="3"/>
  <c r="I39" i="5"/>
  <c r="O37" i="22"/>
  <c r="AH37" i="22"/>
  <c r="H38" i="5"/>
  <c r="G38" i="5"/>
  <c r="V44" i="3"/>
  <c r="W44" i="3"/>
  <c r="AF36" i="22"/>
  <c r="M38" i="5"/>
  <c r="AJ36" i="22"/>
  <c r="CS35" i="22"/>
  <c r="H37" i="5"/>
  <c r="G37" i="5"/>
  <c r="V43" i="3"/>
  <c r="W43" i="3"/>
  <c r="V45" i="4"/>
  <c r="W45" i="4"/>
  <c r="AF35" i="22"/>
  <c r="M37" i="5"/>
  <c r="AJ35" i="22"/>
  <c r="G36" i="5"/>
  <c r="H36" i="5"/>
  <c r="W42" i="3"/>
  <c r="V42" i="3"/>
  <c r="W44" i="4"/>
  <c r="V44" i="4"/>
  <c r="AF34" i="22"/>
  <c r="CS31" i="22"/>
  <c r="H33" i="5"/>
  <c r="G33" i="5"/>
  <c r="W39" i="3"/>
  <c r="V39" i="3"/>
  <c r="V41" i="4"/>
  <c r="W41" i="4"/>
  <c r="AF31" i="22"/>
  <c r="M33" i="5"/>
  <c r="AJ31" i="22"/>
  <c r="H32" i="5"/>
  <c r="G32" i="5"/>
  <c r="W38" i="3"/>
  <c r="V38" i="3"/>
  <c r="AF30" i="22"/>
  <c r="M32" i="5"/>
  <c r="AJ30" i="22"/>
  <c r="I31" i="5"/>
  <c r="X37" i="3"/>
  <c r="N29" i="22"/>
  <c r="AB29" i="22"/>
  <c r="X12" i="6" s="1"/>
  <c r="O29" i="22"/>
  <c r="AH29" i="22"/>
  <c r="AD12" i="6" s="1"/>
  <c r="H30" i="5"/>
  <c r="G30" i="5"/>
  <c r="W36" i="3"/>
  <c r="V36" i="3"/>
  <c r="W14" i="4"/>
  <c r="W13" i="4"/>
  <c r="V13" i="4"/>
  <c r="V14" i="4"/>
  <c r="AF28" i="22"/>
  <c r="M30" i="5"/>
  <c r="AJ28" i="22"/>
  <c r="H29" i="5"/>
  <c r="G29" i="5"/>
  <c r="V35" i="3"/>
  <c r="W35" i="3"/>
  <c r="W12" i="4"/>
  <c r="W11" i="4"/>
  <c r="V12" i="4"/>
  <c r="V11" i="4"/>
  <c r="AF27" i="22"/>
  <c r="M29" i="5"/>
  <c r="AJ27" i="22"/>
  <c r="M27" i="5"/>
  <c r="AJ25" i="22"/>
  <c r="H26" i="5"/>
  <c r="G26" i="5"/>
  <c r="W32" i="3"/>
  <c r="V32" i="3"/>
  <c r="AF24" i="22"/>
  <c r="M26" i="5"/>
  <c r="AJ24" i="22"/>
  <c r="CS23" i="22"/>
  <c r="H25" i="5"/>
  <c r="G25" i="5"/>
  <c r="V31" i="3"/>
  <c r="W31" i="3"/>
  <c r="W35" i="4"/>
  <c r="V35" i="4"/>
  <c r="AF23" i="22"/>
  <c r="M25" i="5"/>
  <c r="AJ23" i="22"/>
  <c r="AB22" i="22"/>
  <c r="N22" i="22"/>
  <c r="X30" i="3"/>
  <c r="I24" i="5"/>
  <c r="I22" i="5"/>
  <c r="X28" i="3"/>
  <c r="N20" i="22"/>
  <c r="AB20" i="22"/>
  <c r="X24" i="6" s="1"/>
  <c r="H21" i="5"/>
  <c r="G21" i="5"/>
  <c r="W27" i="3"/>
  <c r="V27" i="3"/>
  <c r="V31" i="4"/>
  <c r="W31" i="4"/>
  <c r="AF19" i="22"/>
  <c r="H20" i="5"/>
  <c r="G20" i="5"/>
  <c r="W26" i="3"/>
  <c r="V26" i="3"/>
  <c r="AF18" i="22"/>
  <c r="M20" i="5"/>
  <c r="AJ18" i="22"/>
  <c r="CS17" i="22"/>
  <c r="H19" i="5"/>
  <c r="G19" i="5"/>
  <c r="V25" i="3"/>
  <c r="W25" i="3"/>
  <c r="W30" i="4"/>
  <c r="W29" i="4"/>
  <c r="V29" i="4"/>
  <c r="V30" i="4"/>
  <c r="AF17" i="22"/>
  <c r="M19" i="5"/>
  <c r="AJ17" i="22"/>
  <c r="H18" i="5"/>
  <c r="G18" i="5"/>
  <c r="W24" i="3"/>
  <c r="V24" i="3"/>
  <c r="V28" i="4"/>
  <c r="W28" i="4"/>
  <c r="AF16" i="22"/>
  <c r="M18" i="5"/>
  <c r="AJ16" i="22"/>
  <c r="H17" i="5"/>
  <c r="G17" i="5"/>
  <c r="W23" i="3"/>
  <c r="V23" i="3"/>
  <c r="AF15" i="22"/>
  <c r="M17" i="5"/>
  <c r="AJ15" i="22"/>
  <c r="I15" i="5"/>
  <c r="X21" i="3"/>
  <c r="N13" i="22"/>
  <c r="AB13" i="22"/>
  <c r="X17" i="6" s="1"/>
  <c r="O13" i="22"/>
  <c r="AH13" i="22"/>
  <c r="O12" i="22"/>
  <c r="AH12" i="22"/>
  <c r="CS12" i="22"/>
  <c r="H14" i="5"/>
  <c r="G14" i="5"/>
  <c r="V20" i="3"/>
  <c r="W20" i="3"/>
  <c r="AF12" i="22"/>
  <c r="H13" i="5"/>
  <c r="G13" i="5"/>
  <c r="V19" i="3"/>
  <c r="W19" i="3"/>
  <c r="W24" i="4"/>
  <c r="V24" i="4"/>
  <c r="AF11" i="22"/>
  <c r="AA15" i="6" s="1"/>
  <c r="M13" i="5"/>
  <c r="AJ11" i="22"/>
  <c r="AF15" i="6" s="1"/>
  <c r="H12" i="5"/>
  <c r="G12" i="5"/>
  <c r="V18" i="3"/>
  <c r="W18" i="3"/>
  <c r="V23" i="4"/>
  <c r="W23" i="4"/>
  <c r="AF10" i="22"/>
  <c r="M12" i="5"/>
  <c r="AJ10" i="22"/>
  <c r="H11" i="5"/>
  <c r="G11" i="5"/>
  <c r="W17" i="3"/>
  <c r="V17" i="3"/>
  <c r="W22" i="4"/>
  <c r="V22" i="4"/>
  <c r="V15" i="4"/>
  <c r="W15" i="4"/>
  <c r="AF9" i="22"/>
  <c r="M11" i="5"/>
  <c r="AJ9" i="22"/>
  <c r="AB7" i="22"/>
  <c r="X11" i="6" s="1"/>
  <c r="N7" i="22"/>
  <c r="X15" i="3"/>
  <c r="I9" i="5"/>
  <c r="O7" i="22"/>
  <c r="AH7" i="22"/>
  <c r="AD11" i="6" s="1"/>
  <c r="AH6" i="22"/>
  <c r="O6" i="22"/>
  <c r="AB6" i="22"/>
  <c r="X10" i="6" s="1"/>
  <c r="N6" i="22"/>
  <c r="X14" i="3"/>
  <c r="I8" i="5"/>
  <c r="CS5" i="22"/>
  <c r="H7" i="5"/>
  <c r="G7" i="5"/>
  <c r="V13" i="3"/>
  <c r="W13" i="3"/>
  <c r="V19" i="4"/>
  <c r="W18" i="4"/>
  <c r="V18" i="4"/>
  <c r="W19" i="4"/>
  <c r="AF5" i="22"/>
  <c r="M7" i="5"/>
  <c r="AJ5" i="22"/>
  <c r="Y8" i="6"/>
  <c r="Y33" i="6"/>
  <c r="U23" i="5"/>
  <c r="E28" i="19"/>
  <c r="G28" i="19" s="1"/>
  <c r="C18" i="15"/>
  <c r="D17" i="15"/>
  <c r="O65" i="22"/>
  <c r="AH65" i="22"/>
  <c r="I67" i="5"/>
  <c r="X73" i="3"/>
  <c r="N65" i="22"/>
  <c r="AB65" i="22"/>
  <c r="O64" i="22"/>
  <c r="AH64" i="22"/>
  <c r="AD26" i="6" s="1"/>
  <c r="I66" i="5"/>
  <c r="X72" i="3"/>
  <c r="N64" i="22"/>
  <c r="AB64" i="22"/>
  <c r="Q56" i="5"/>
  <c r="E62" i="19"/>
  <c r="G62" i="19" s="1"/>
  <c r="J71" i="22"/>
  <c r="Q71" i="22"/>
  <c r="AA71" i="22"/>
  <c r="I71" i="22"/>
  <c r="P71" i="22"/>
  <c r="I58" i="5"/>
  <c r="X64" i="3"/>
  <c r="N56" i="22"/>
  <c r="AB56" i="22"/>
  <c r="X18" i="6" s="1"/>
  <c r="Q51" i="22"/>
  <c r="L53" i="5" s="1"/>
  <c r="J51" i="22"/>
  <c r="AA51" i="22"/>
  <c r="U13" i="6" s="1"/>
  <c r="P51" i="22"/>
  <c r="K53" i="5" s="1"/>
  <c r="I51" i="22"/>
  <c r="Q39" i="22"/>
  <c r="L41" i="5" s="1"/>
  <c r="J39" i="22"/>
  <c r="J38" i="22"/>
  <c r="Q38" i="22"/>
  <c r="L40" i="5" s="1"/>
  <c r="P38" i="22"/>
  <c r="K40" i="5" s="1"/>
  <c r="I38" i="22"/>
  <c r="AA38" i="22"/>
  <c r="U21" i="6" s="1"/>
  <c r="J34" i="22"/>
  <c r="Q34" i="22"/>
  <c r="L36" i="5" s="1"/>
  <c r="J33" i="22"/>
  <c r="Q33" i="22"/>
  <c r="L35" i="5" s="1"/>
  <c r="I33" i="22"/>
  <c r="AA33" i="22"/>
  <c r="U16" i="6" s="1"/>
  <c r="P33" i="22"/>
  <c r="K35" i="5" s="1"/>
  <c r="Q4" i="22"/>
  <c r="J4" i="22"/>
  <c r="C15" i="14"/>
  <c r="E9" i="19"/>
  <c r="G9" i="19" s="1"/>
  <c r="I4" i="22"/>
  <c r="AA4" i="22"/>
  <c r="P4" i="22"/>
  <c r="K6" i="5" s="1"/>
  <c r="AH33" i="6"/>
  <c r="O19" i="22"/>
  <c r="AH19" i="22"/>
  <c r="AD23" i="6" s="1"/>
  <c r="Y25" i="6"/>
  <c r="Y24" i="6"/>
  <c r="Y17" i="6"/>
  <c r="Y11" i="6"/>
  <c r="X23" i="6"/>
  <c r="Y23" i="6"/>
  <c r="X22" i="6"/>
  <c r="Y22" i="6"/>
  <c r="Y21" i="6"/>
  <c r="Y20" i="6"/>
  <c r="X15" i="6"/>
  <c r="Y15" i="6"/>
  <c r="AD15" i="6"/>
  <c r="X14" i="6"/>
  <c r="AD14" i="6"/>
  <c r="Y14" i="6"/>
  <c r="Y13" i="6"/>
  <c r="G40" i="15"/>
  <c r="H40" i="15" s="1"/>
  <c r="I40" i="15" s="1"/>
  <c r="G39" i="15"/>
  <c r="H39" i="15" s="1"/>
  <c r="I39" i="15" s="1"/>
  <c r="G38" i="15"/>
  <c r="H38" i="15" s="1"/>
  <c r="I38" i="15" s="1"/>
  <c r="G37" i="15"/>
  <c r="H37" i="15" s="1"/>
  <c r="I37" i="15" s="1"/>
  <c r="G36" i="15"/>
  <c r="H36" i="15" s="1"/>
  <c r="I36" i="15" s="1"/>
  <c r="G35" i="15"/>
  <c r="H35" i="15" s="1"/>
  <c r="I35" i="15" s="1"/>
  <c r="G34" i="15"/>
  <c r="H34" i="15" s="1"/>
  <c r="I34" i="15" s="1"/>
  <c r="G33" i="15"/>
  <c r="H33" i="15" s="1"/>
  <c r="I33" i="15" s="1"/>
  <c r="G32" i="15"/>
  <c r="G31" i="15"/>
  <c r="H31" i="15" s="1"/>
  <c r="I31" i="15" s="1"/>
  <c r="G30" i="15"/>
  <c r="H30" i="15" s="1"/>
  <c r="I30" i="15" s="1"/>
  <c r="G29" i="15"/>
  <c r="H29" i="15" s="1"/>
  <c r="I29" i="15" s="1"/>
  <c r="AH16" i="6"/>
  <c r="AH58" i="22" l="1"/>
  <c r="AD20" i="6" s="1"/>
  <c r="O58" i="22"/>
  <c r="AB58" i="22"/>
  <c r="X20" i="6" s="1"/>
  <c r="N58" i="22"/>
  <c r="X66" i="3"/>
  <c r="I60" i="5"/>
  <c r="AA23" i="6"/>
  <c r="AA22" i="6"/>
  <c r="AD10" i="6"/>
  <c r="AA14" i="6"/>
  <c r="AF14" i="6"/>
  <c r="C112" i="8"/>
  <c r="C111" i="8"/>
  <c r="AC56" i="5"/>
  <c r="AB56" i="5"/>
  <c r="AC52" i="5"/>
  <c r="AB52" i="5"/>
  <c r="AC34" i="5"/>
  <c r="AB34" i="5"/>
  <c r="AC28" i="5"/>
  <c r="AB28" i="5"/>
  <c r="AC27" i="5"/>
  <c r="AB27" i="5"/>
  <c r="AC16" i="5"/>
  <c r="AB16" i="5"/>
  <c r="AC10" i="5"/>
  <c r="AB10" i="5"/>
  <c r="L114" i="12"/>
  <c r="H114" i="12"/>
  <c r="K114" i="12" s="1"/>
  <c r="J114" i="12"/>
  <c r="L111" i="12"/>
  <c r="H111" i="12"/>
  <c r="J111" i="12"/>
  <c r="L81" i="12"/>
  <c r="H81" i="12"/>
  <c r="G13" i="9"/>
  <c r="H12" i="9"/>
  <c r="D63" i="9"/>
  <c r="D13" i="9"/>
  <c r="E12" i="9"/>
  <c r="E63" i="9"/>
  <c r="C63" i="9"/>
  <c r="L84" i="12"/>
  <c r="H84" i="12"/>
  <c r="L87" i="12"/>
  <c r="H87" i="12"/>
  <c r="L90" i="12"/>
  <c r="H90" i="12"/>
  <c r="L93" i="12"/>
  <c r="H93" i="12"/>
  <c r="J93" i="12"/>
  <c r="L96" i="12"/>
  <c r="H96" i="12"/>
  <c r="K96" i="12" s="1"/>
  <c r="J96" i="12"/>
  <c r="L99" i="12"/>
  <c r="H99" i="12"/>
  <c r="K99" i="12" s="1"/>
  <c r="J99" i="12"/>
  <c r="K112" i="12"/>
  <c r="K100" i="12"/>
  <c r="K113" i="12"/>
  <c r="K101" i="12"/>
  <c r="L102" i="12"/>
  <c r="H102" i="12"/>
  <c r="K102" i="12" s="1"/>
  <c r="J102" i="12"/>
  <c r="K115" i="12"/>
  <c r="K103" i="12"/>
  <c r="K116" i="12"/>
  <c r="K104" i="12"/>
  <c r="L105" i="12"/>
  <c r="H105" i="12"/>
  <c r="J105" i="12"/>
  <c r="L108" i="12"/>
  <c r="H108" i="12"/>
  <c r="J108" i="12"/>
  <c r="I47" i="5"/>
  <c r="X53" i="3"/>
  <c r="N45" i="22"/>
  <c r="AB45" i="22"/>
  <c r="X28" i="6" s="1"/>
  <c r="O45" i="22"/>
  <c r="AH45" i="22"/>
  <c r="AD28" i="6" s="1"/>
  <c r="I46" i="5"/>
  <c r="X52" i="3"/>
  <c r="N44" i="22"/>
  <c r="AB44" i="22"/>
  <c r="X27" i="6" s="1"/>
  <c r="O44" i="22"/>
  <c r="AH44" i="22"/>
  <c r="AD27" i="6" s="1"/>
  <c r="O21" i="22"/>
  <c r="AH21" i="22"/>
  <c r="AD25" i="6" s="1"/>
  <c r="I23" i="5"/>
  <c r="X29" i="3"/>
  <c r="N21" i="22"/>
  <c r="AB21" i="22"/>
  <c r="X25" i="6" s="1"/>
  <c r="AC68" i="5"/>
  <c r="AB68" i="5"/>
  <c r="AC65" i="5"/>
  <c r="AB65" i="5"/>
  <c r="AC64" i="5"/>
  <c r="AB64" i="5"/>
  <c r="AC63" i="5"/>
  <c r="AB63" i="5"/>
  <c r="AC62" i="5"/>
  <c r="AB62" i="5"/>
  <c r="AC61" i="5"/>
  <c r="AB61" i="5"/>
  <c r="M59" i="5"/>
  <c r="AJ57" i="22"/>
  <c r="AF19" i="6" s="1"/>
  <c r="CS57" i="22"/>
  <c r="H59" i="5"/>
  <c r="G59" i="5"/>
  <c r="V65" i="3"/>
  <c r="W65" i="3"/>
  <c r="W63" i="4"/>
  <c r="V63" i="4"/>
  <c r="AF57" i="22"/>
  <c r="AA19" i="6" s="1"/>
  <c r="AB19" i="6" s="1"/>
  <c r="AC57" i="5"/>
  <c r="AB57" i="5"/>
  <c r="AC55" i="5"/>
  <c r="AB55" i="5"/>
  <c r="AC54" i="5"/>
  <c r="AB54" i="5"/>
  <c r="AC51" i="5"/>
  <c r="AB51" i="5"/>
  <c r="M50" i="5"/>
  <c r="AJ48" i="22"/>
  <c r="AC50" i="5"/>
  <c r="AB50" i="5"/>
  <c r="M49" i="5"/>
  <c r="AJ47" i="22"/>
  <c r="AF9" i="6" s="1"/>
  <c r="CS47" i="22"/>
  <c r="H49" i="5"/>
  <c r="G49" i="5"/>
  <c r="W55" i="3"/>
  <c r="V55" i="3"/>
  <c r="V56" i="4"/>
  <c r="W56" i="4"/>
  <c r="AF47" i="22"/>
  <c r="AA9" i="6" s="1"/>
  <c r="AB9" i="6" s="1"/>
  <c r="CS46" i="22"/>
  <c r="H48" i="5"/>
  <c r="G48" i="5"/>
  <c r="W54" i="3"/>
  <c r="V54" i="3"/>
  <c r="V55" i="4"/>
  <c r="W55" i="4"/>
  <c r="AF46" i="22"/>
  <c r="M48" i="5"/>
  <c r="AJ46" i="22"/>
  <c r="AC45" i="5"/>
  <c r="AB45" i="5"/>
  <c r="AC44" i="5"/>
  <c r="AB44" i="5"/>
  <c r="AC43" i="5"/>
  <c r="AB43" i="5"/>
  <c r="AC42" i="5"/>
  <c r="AB42" i="5"/>
  <c r="AC41" i="5"/>
  <c r="AB41" i="5"/>
  <c r="CS37" i="22"/>
  <c r="H39" i="5"/>
  <c r="G39" i="5"/>
  <c r="V45" i="3"/>
  <c r="W45" i="3"/>
  <c r="V47" i="4"/>
  <c r="W46" i="4"/>
  <c r="V46" i="4"/>
  <c r="W47" i="4"/>
  <c r="AF37" i="22"/>
  <c r="M39" i="5"/>
  <c r="AJ37" i="22"/>
  <c r="AC38" i="5"/>
  <c r="AB38" i="5"/>
  <c r="AC37" i="5"/>
  <c r="AB37" i="5"/>
  <c r="AC36" i="5"/>
  <c r="AB36" i="5"/>
  <c r="AC33" i="5"/>
  <c r="AB33" i="5"/>
  <c r="AC32" i="5"/>
  <c r="AB32" i="5"/>
  <c r="CS29" i="22"/>
  <c r="H31" i="5"/>
  <c r="G31" i="5"/>
  <c r="W37" i="3"/>
  <c r="V37" i="3"/>
  <c r="V39" i="4"/>
  <c r="W40" i="4"/>
  <c r="W39" i="4"/>
  <c r="V40" i="4"/>
  <c r="AF29" i="22"/>
  <c r="AA12" i="6" s="1"/>
  <c r="AB12" i="6" s="1"/>
  <c r="M31" i="5"/>
  <c r="AJ29" i="22"/>
  <c r="AF12" i="6" s="1"/>
  <c r="AC30" i="5"/>
  <c r="AB30" i="5"/>
  <c r="AC29" i="5"/>
  <c r="AB29" i="5"/>
  <c r="AC26" i="5"/>
  <c r="AB26" i="5"/>
  <c r="AC25" i="5"/>
  <c r="AB25" i="5"/>
  <c r="CS22" i="22"/>
  <c r="H24" i="5"/>
  <c r="G24" i="5"/>
  <c r="W30" i="3"/>
  <c r="V30" i="3"/>
  <c r="V34" i="4"/>
  <c r="W34" i="4"/>
  <c r="AF22" i="22"/>
  <c r="AA26" i="6" s="1"/>
  <c r="CS20" i="22"/>
  <c r="H22" i="5"/>
  <c r="G22" i="5"/>
  <c r="W28" i="3"/>
  <c r="V28" i="3"/>
  <c r="V32" i="4"/>
  <c r="W32" i="4"/>
  <c r="AF20" i="22"/>
  <c r="AA24" i="6" s="1"/>
  <c r="AB24" i="6" s="1"/>
  <c r="AC21" i="5"/>
  <c r="AB21" i="5"/>
  <c r="AC20" i="5"/>
  <c r="AB20" i="5"/>
  <c r="AC19" i="5"/>
  <c r="AB19" i="5"/>
  <c r="AC18" i="5"/>
  <c r="AB18" i="5"/>
  <c r="AC17" i="5"/>
  <c r="AB17" i="5"/>
  <c r="CS13" i="22"/>
  <c r="H15" i="5"/>
  <c r="G15" i="5"/>
  <c r="V21" i="3"/>
  <c r="W21" i="3"/>
  <c r="V25" i="4"/>
  <c r="W25" i="4"/>
  <c r="W26" i="4"/>
  <c r="V26" i="4"/>
  <c r="AF13" i="22"/>
  <c r="AA17" i="6" s="1"/>
  <c r="AB17" i="6" s="1"/>
  <c r="M15" i="5"/>
  <c r="AJ13" i="22"/>
  <c r="M14" i="5"/>
  <c r="AJ12" i="22"/>
  <c r="AC14" i="5"/>
  <c r="AB14" i="5"/>
  <c r="AC13" i="5"/>
  <c r="AB13" i="5"/>
  <c r="AC12" i="5"/>
  <c r="AB12" i="5"/>
  <c r="AC11" i="5"/>
  <c r="AB11" i="5"/>
  <c r="CS7" i="22"/>
  <c r="H9" i="5"/>
  <c r="G9" i="5"/>
  <c r="W20" i="4"/>
  <c r="V15" i="3"/>
  <c r="W15" i="3"/>
  <c r="V20" i="4"/>
  <c r="AF7" i="22"/>
  <c r="AA11" i="6" s="1"/>
  <c r="AB11" i="6" s="1"/>
  <c r="M9" i="5"/>
  <c r="AJ7" i="22"/>
  <c r="AF11" i="6" s="1"/>
  <c r="M8" i="5"/>
  <c r="AJ6" i="22"/>
  <c r="CS6" i="22"/>
  <c r="H8" i="5"/>
  <c r="G8" i="5"/>
  <c r="V14" i="3"/>
  <c r="W14" i="3"/>
  <c r="AF6" i="22"/>
  <c r="AA10" i="6" s="1"/>
  <c r="AB10" i="6" s="1"/>
  <c r="AC7" i="5"/>
  <c r="AB7" i="5"/>
  <c r="M67" i="5"/>
  <c r="AJ65" i="22"/>
  <c r="CS65" i="22"/>
  <c r="H67" i="5"/>
  <c r="G67" i="5"/>
  <c r="V73" i="3"/>
  <c r="W73" i="3"/>
  <c r="V70" i="4"/>
  <c r="V71" i="4"/>
  <c r="W71" i="4"/>
  <c r="W70" i="4"/>
  <c r="AF65" i="22"/>
  <c r="M66" i="5"/>
  <c r="AJ64" i="22"/>
  <c r="AF26" i="6" s="1"/>
  <c r="CS64" i="22"/>
  <c r="H66" i="5"/>
  <c r="G66" i="5"/>
  <c r="W72" i="3"/>
  <c r="V72" i="3"/>
  <c r="V69" i="4"/>
  <c r="W69" i="4"/>
  <c r="AF64" i="22"/>
  <c r="J8" i="19"/>
  <c r="K8" i="19"/>
  <c r="O71" i="22"/>
  <c r="AJ71" i="22" s="1"/>
  <c r="AH71" i="22"/>
  <c r="N71" i="22"/>
  <c r="AB71" i="22"/>
  <c r="CS56" i="22"/>
  <c r="H58" i="5"/>
  <c r="G58" i="5"/>
  <c r="W64" i="3"/>
  <c r="V64" i="3"/>
  <c r="V62" i="4"/>
  <c r="W62" i="4"/>
  <c r="AF56" i="22"/>
  <c r="O51" i="22"/>
  <c r="AH51" i="22"/>
  <c r="AD13" i="6" s="1"/>
  <c r="AB51" i="22"/>
  <c r="X13" i="6" s="1"/>
  <c r="N51" i="22"/>
  <c r="X59" i="3"/>
  <c r="I53" i="5"/>
  <c r="AH39" i="22"/>
  <c r="AD22" i="6" s="1"/>
  <c r="O39" i="22"/>
  <c r="O38" i="22"/>
  <c r="AH38" i="22"/>
  <c r="AD21" i="6" s="1"/>
  <c r="I40" i="5"/>
  <c r="X46" i="3"/>
  <c r="N38" i="22"/>
  <c r="AB38" i="22"/>
  <c r="X21" i="6" s="1"/>
  <c r="O34" i="22"/>
  <c r="AH34" i="22"/>
  <c r="AD17" i="6" s="1"/>
  <c r="AH33" i="22"/>
  <c r="AD16" i="6" s="1"/>
  <c r="O33" i="22"/>
  <c r="I35" i="5"/>
  <c r="X41" i="3"/>
  <c r="N33" i="22"/>
  <c r="AB33" i="22"/>
  <c r="X16" i="6" s="1"/>
  <c r="L6" i="5"/>
  <c r="C26" i="14"/>
  <c r="O4" i="22"/>
  <c r="AH4" i="22"/>
  <c r="C23" i="14"/>
  <c r="I6" i="5"/>
  <c r="X12" i="3"/>
  <c r="N4" i="22"/>
  <c r="AB4" i="22"/>
  <c r="C16" i="14"/>
  <c r="U33" i="6"/>
  <c r="U8" i="6"/>
  <c r="K77" i="5"/>
  <c r="K76" i="5"/>
  <c r="CS19" i="22"/>
  <c r="M21" i="5"/>
  <c r="AJ19" i="22"/>
  <c r="AF23" i="6" s="1"/>
  <c r="E29" i="19"/>
  <c r="G29" i="19" s="1"/>
  <c r="H32" i="15"/>
  <c r="I32" i="15" s="1"/>
  <c r="D42" i="15" s="1"/>
  <c r="AF24" i="6"/>
  <c r="AA18" i="6"/>
  <c r="AB18" i="6" s="1"/>
  <c r="AF18" i="6"/>
  <c r="E7" i="19"/>
  <c r="G7" i="19" s="1"/>
  <c r="K106" i="12"/>
  <c r="K107" i="12"/>
  <c r="K109" i="12"/>
  <c r="K110" i="12"/>
  <c r="X26" i="6"/>
  <c r="AB14" i="6"/>
  <c r="AB23" i="6"/>
  <c r="AB22" i="6"/>
  <c r="AB15" i="6"/>
  <c r="AJ58" i="22" l="1"/>
  <c r="AF20" i="6" s="1"/>
  <c r="M60" i="5"/>
  <c r="AF58" i="22"/>
  <c r="AA20" i="6" s="1"/>
  <c r="AB20" i="6" s="1"/>
  <c r="V64" i="4"/>
  <c r="W64" i="4"/>
  <c r="W66" i="3"/>
  <c r="V66" i="3"/>
  <c r="G60" i="5"/>
  <c r="H60" i="5"/>
  <c r="CS58" i="22"/>
  <c r="K111" i="12"/>
  <c r="AB26" i="6"/>
  <c r="AF10" i="6"/>
  <c r="H13" i="9"/>
  <c r="G14" i="9"/>
  <c r="E13" i="9"/>
  <c r="D14" i="9"/>
  <c r="D64" i="9"/>
  <c r="C65" i="9"/>
  <c r="E65" i="9"/>
  <c r="CS45" i="22"/>
  <c r="H47" i="5"/>
  <c r="G47" i="5"/>
  <c r="V53" i="3"/>
  <c r="W53" i="3"/>
  <c r="V54" i="4"/>
  <c r="W54" i="4"/>
  <c r="AF45" i="22"/>
  <c r="AA28" i="6" s="1"/>
  <c r="AB28" i="6" s="1"/>
  <c r="M47" i="5"/>
  <c r="AJ45" i="22"/>
  <c r="AF28" i="6" s="1"/>
  <c r="CS44" i="22"/>
  <c r="H46" i="5"/>
  <c r="G46" i="5"/>
  <c r="W52" i="3"/>
  <c r="V52" i="3"/>
  <c r="W53" i="4"/>
  <c r="V53" i="4"/>
  <c r="AF44" i="22"/>
  <c r="AA27" i="6" s="1"/>
  <c r="AB27" i="6" s="1"/>
  <c r="M46" i="5"/>
  <c r="AJ44" i="22"/>
  <c r="AF27" i="6" s="1"/>
  <c r="M23" i="5"/>
  <c r="AJ21" i="22"/>
  <c r="AF25" i="6" s="1"/>
  <c r="CS21" i="22"/>
  <c r="H23" i="5"/>
  <c r="G23" i="5"/>
  <c r="W29" i="3"/>
  <c r="V29" i="3"/>
  <c r="V33" i="4"/>
  <c r="W33" i="4"/>
  <c r="AF21" i="22"/>
  <c r="AA25" i="6" s="1"/>
  <c r="AB25" i="6" s="1"/>
  <c r="AC59" i="5"/>
  <c r="AB59" i="5"/>
  <c r="AC49" i="5"/>
  <c r="AB49" i="5"/>
  <c r="AC48" i="5"/>
  <c r="AB48" i="5"/>
  <c r="AC39" i="5"/>
  <c r="AB39" i="5"/>
  <c r="AC31" i="5"/>
  <c r="AB31" i="5"/>
  <c r="AC24" i="5"/>
  <c r="AB24" i="5"/>
  <c r="AC22" i="5"/>
  <c r="AB22" i="5"/>
  <c r="AC15" i="5"/>
  <c r="AB15" i="5"/>
  <c r="AC9" i="5"/>
  <c r="AB9" i="5"/>
  <c r="AC8" i="5"/>
  <c r="AB8" i="5"/>
  <c r="AC67" i="5"/>
  <c r="AB67" i="5"/>
  <c r="AC66" i="5"/>
  <c r="AB66" i="5"/>
  <c r="CS71" i="22"/>
  <c r="AF71" i="22"/>
  <c r="AC58" i="5"/>
  <c r="AB58" i="5"/>
  <c r="M53" i="5"/>
  <c r="AJ51" i="22"/>
  <c r="AF13" i="6" s="1"/>
  <c r="CS51" i="22"/>
  <c r="H53" i="5"/>
  <c r="G53" i="5"/>
  <c r="V59" i="3"/>
  <c r="W59" i="3"/>
  <c r="AF51" i="22"/>
  <c r="AA13" i="6" s="1"/>
  <c r="AB13" i="6" s="1"/>
  <c r="CS39" i="22"/>
  <c r="M41" i="5"/>
  <c r="AJ39" i="22"/>
  <c r="AF22" i="6" s="1"/>
  <c r="M40" i="5"/>
  <c r="AJ38" i="22"/>
  <c r="AF21" i="6" s="1"/>
  <c r="CS38" i="22"/>
  <c r="H40" i="5"/>
  <c r="G40" i="5"/>
  <c r="W46" i="3"/>
  <c r="V46" i="3"/>
  <c r="W48" i="4"/>
  <c r="V48" i="4"/>
  <c r="AF38" i="22"/>
  <c r="AA21" i="6" s="1"/>
  <c r="AB21" i="6" s="1"/>
  <c r="CS34" i="22"/>
  <c r="M36" i="5"/>
  <c r="AJ34" i="22"/>
  <c r="AF17" i="6" s="1"/>
  <c r="M35" i="5"/>
  <c r="AJ33" i="22"/>
  <c r="AF16" i="6" s="1"/>
  <c r="CS33" i="22"/>
  <c r="H35" i="5"/>
  <c r="G35" i="5"/>
  <c r="V41" i="3"/>
  <c r="W41" i="3"/>
  <c r="V43" i="4"/>
  <c r="W43" i="4"/>
  <c r="AF33" i="22"/>
  <c r="AA16" i="6" s="1"/>
  <c r="L76" i="5"/>
  <c r="L77" i="5"/>
  <c r="C25" i="14"/>
  <c r="M6" i="5"/>
  <c r="AJ4" i="22"/>
  <c r="AD8" i="6"/>
  <c r="AD33" i="6"/>
  <c r="CS4" i="22"/>
  <c r="C20" i="14"/>
  <c r="C21" i="14"/>
  <c r="H6" i="5"/>
  <c r="G6" i="5"/>
  <c r="V9" i="4"/>
  <c r="W12" i="3"/>
  <c r="V7" i="4"/>
  <c r="W7" i="4"/>
  <c r="W8" i="4"/>
  <c r="V8" i="4"/>
  <c r="V12" i="3"/>
  <c r="W9" i="4"/>
  <c r="AF4" i="22"/>
  <c r="X8" i="6"/>
  <c r="X33" i="6"/>
  <c r="U22" i="5"/>
  <c r="K93" i="12"/>
  <c r="K105" i="12"/>
  <c r="K108" i="12"/>
  <c r="E64" i="9"/>
  <c r="C64" i="9"/>
  <c r="AC60" i="5" l="1"/>
  <c r="AB60" i="5"/>
  <c r="AA59" i="5"/>
  <c r="AA49" i="5"/>
  <c r="AA48" i="5"/>
  <c r="AA39" i="5"/>
  <c r="AA31" i="5"/>
  <c r="AA24" i="5"/>
  <c r="AA22" i="5"/>
  <c r="AA15" i="5"/>
  <c r="AA8" i="5"/>
  <c r="AA9" i="5"/>
  <c r="H14" i="9"/>
  <c r="G15" i="9"/>
  <c r="E14" i="9"/>
  <c r="D15" i="9"/>
  <c r="D65" i="9"/>
  <c r="AC47" i="5"/>
  <c r="AB47" i="5"/>
  <c r="AA47" i="5"/>
  <c r="AC46" i="5"/>
  <c r="AB46" i="5"/>
  <c r="AA46" i="5"/>
  <c r="AC23" i="5"/>
  <c r="AB23" i="5"/>
  <c r="AA23" i="5"/>
  <c r="AC53" i="5"/>
  <c r="AB53" i="5"/>
  <c r="AA53" i="5"/>
  <c r="AC40" i="5"/>
  <c r="AB40" i="5"/>
  <c r="AA40" i="5"/>
  <c r="AC35" i="5"/>
  <c r="AB35" i="5"/>
  <c r="AA35" i="5"/>
  <c r="AI16" i="6"/>
  <c r="AB16" i="6"/>
  <c r="M76" i="5"/>
  <c r="M77" i="5"/>
  <c r="AF8" i="6"/>
  <c r="AF33" i="6"/>
  <c r="AA50" i="5"/>
  <c r="AA63" i="5"/>
  <c r="AA19" i="5"/>
  <c r="AA51" i="5"/>
  <c r="AA54" i="5"/>
  <c r="AA55" i="5"/>
  <c r="AA57" i="5"/>
  <c r="AA62" i="5"/>
  <c r="AA7" i="5"/>
  <c r="AA11" i="5"/>
  <c r="AA12" i="5"/>
  <c r="AA13" i="5"/>
  <c r="AA14" i="5"/>
  <c r="AA17" i="5"/>
  <c r="AA18" i="5"/>
  <c r="AA25" i="5"/>
  <c r="AA26" i="5"/>
  <c r="AA29" i="5"/>
  <c r="AA30" i="5"/>
  <c r="AA32" i="5"/>
  <c r="AA33" i="5"/>
  <c r="AA36" i="5"/>
  <c r="AA37" i="5"/>
  <c r="AA38" i="5"/>
  <c r="AA41" i="5"/>
  <c r="AA42" i="5"/>
  <c r="AA43" i="5"/>
  <c r="AA45" i="5"/>
  <c r="AA20" i="5"/>
  <c r="AA21" i="5"/>
  <c r="AA64" i="5"/>
  <c r="AA65" i="5"/>
  <c r="AA68" i="5"/>
  <c r="AA44" i="5"/>
  <c r="AA60" i="5"/>
  <c r="AA61" i="5"/>
  <c r="AA10" i="5"/>
  <c r="AA16" i="5"/>
  <c r="AA27" i="5"/>
  <c r="AA28" i="5"/>
  <c r="AA34" i="5"/>
  <c r="AA52" i="5"/>
  <c r="AA56" i="5"/>
  <c r="AC6" i="5"/>
  <c r="AB6" i="5"/>
  <c r="AA6" i="5"/>
  <c r="G76" i="5"/>
  <c r="G77" i="5"/>
  <c r="N19" i="2"/>
  <c r="AA8" i="6"/>
  <c r="AB8" i="6" s="1"/>
  <c r="AA33" i="6"/>
  <c r="E61" i="19"/>
  <c r="G61" i="19" s="1"/>
  <c r="AA67" i="5"/>
  <c r="AA66" i="5"/>
  <c r="AA58" i="5"/>
  <c r="E12" i="19" l="1"/>
  <c r="G12" i="19" s="1"/>
  <c r="G34" i="2"/>
  <c r="H15" i="9"/>
  <c r="D13" i="11"/>
  <c r="E26" i="19"/>
  <c r="G26" i="19" s="1"/>
  <c r="D29" i="2"/>
  <c r="C79" i="10"/>
  <c r="E13" i="19"/>
  <c r="G13" i="19" s="1"/>
  <c r="E49" i="19"/>
  <c r="G49" i="19" s="1"/>
  <c r="C78" i="10"/>
  <c r="E11" i="19"/>
  <c r="G11" i="19" s="1"/>
  <c r="B6" i="10"/>
  <c r="C80" i="10"/>
  <c r="B5" i="9"/>
  <c r="B5" i="10"/>
  <c r="B5" i="11"/>
  <c r="G28" i="2"/>
  <c r="D19" i="2"/>
  <c r="B32" i="11"/>
  <c r="B74" i="10"/>
  <c r="E15" i="9"/>
  <c r="F66" i="9"/>
  <c r="D12" i="11"/>
  <c r="C14" i="13"/>
  <c r="D25" i="16"/>
  <c r="E25" i="19"/>
  <c r="G25" i="19" s="1"/>
  <c r="E27" i="19"/>
  <c r="G27" i="19" s="1"/>
  <c r="C29" i="2"/>
  <c r="C35" i="2"/>
  <c r="Y16" i="5"/>
  <c r="Y15" i="5"/>
  <c r="Y14" i="5"/>
  <c r="Y13" i="5"/>
  <c r="Y12" i="5"/>
  <c r="Y11" i="5"/>
  <c r="Y10" i="5"/>
  <c r="Y9" i="5"/>
  <c r="Y8" i="5"/>
  <c r="Y7" i="5"/>
  <c r="H76" i="5"/>
  <c r="U25" i="5"/>
  <c r="U24" i="5"/>
  <c r="AI33" i="6"/>
  <c r="AB33" i="6"/>
  <c r="C3" i="19" l="1"/>
  <c r="K4" i="19"/>
  <c r="E3" i="19"/>
  <c r="J4" i="19"/>
  <c r="E15" i="13"/>
  <c r="D15" i="13"/>
  <c r="G15" i="13"/>
  <c r="F15" i="13"/>
  <c r="C15" i="13"/>
  <c r="C34" i="2"/>
  <c r="D26" i="16"/>
  <c r="F38" i="16"/>
  <c r="K6" i="19"/>
  <c r="J6" i="19"/>
  <c r="T16" i="5"/>
  <c r="U16" i="5"/>
  <c r="V16" i="5"/>
  <c r="W16" i="5"/>
  <c r="T15" i="5"/>
  <c r="U15" i="5"/>
  <c r="V15" i="5"/>
  <c r="W15" i="5"/>
  <c r="T14" i="5"/>
  <c r="U14" i="5"/>
  <c r="V14" i="5"/>
  <c r="W14" i="5"/>
  <c r="T13" i="5"/>
  <c r="U13" i="5"/>
  <c r="V13" i="5"/>
  <c r="W13" i="5"/>
  <c r="T12" i="5"/>
  <c r="U12" i="5"/>
  <c r="V12" i="5"/>
  <c r="W12" i="5"/>
  <c r="T11" i="5"/>
  <c r="U11" i="5"/>
  <c r="V11" i="5"/>
  <c r="W11" i="5"/>
  <c r="T10" i="5"/>
  <c r="U10" i="5"/>
  <c r="V10" i="5"/>
  <c r="W10" i="5"/>
  <c r="T9" i="5"/>
  <c r="U9" i="5"/>
  <c r="V9" i="5"/>
  <c r="W9" i="5"/>
  <c r="T8" i="5"/>
  <c r="U8" i="5"/>
  <c r="V8" i="5"/>
  <c r="W8" i="5"/>
  <c r="T7" i="5"/>
  <c r="U7" i="5"/>
  <c r="V7" i="5"/>
  <c r="W7" i="5"/>
  <c r="L19" i="2" l="1"/>
  <c r="D20" i="11"/>
  <c r="E26" i="16"/>
  <c r="D27" i="16"/>
  <c r="D39" i="16"/>
  <c r="C39" i="16"/>
  <c r="E39" i="16"/>
  <c r="E27" i="16" l="1"/>
  <c r="D28" i="16"/>
  <c r="D40" i="16"/>
  <c r="C40" i="16"/>
  <c r="E40" i="16"/>
  <c r="E28" i="16" l="1"/>
  <c r="D29" i="16"/>
  <c r="E42" i="16" s="1"/>
  <c r="D41" i="16"/>
  <c r="C42" i="16"/>
  <c r="C41" i="16"/>
  <c r="E41" i="16"/>
  <c r="E29" i="16" l="1"/>
  <c r="D30" i="16"/>
  <c r="F43" i="16" s="1"/>
  <c r="D42"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generator</author>
  </authors>
  <commentList>
    <comment ref="P11" authorId="0" shapeId="0" xr:uid="{00000000-0006-0000-0200-000001000000}">
      <text>
        <r>
          <rPr>
            <sz val="11"/>
            <color theme="1"/>
            <rFont val="Calibri"/>
            <family val="2"/>
            <scheme val="minor"/>
          </rPr>
          <t>Per-combo mod adjustment toggle. Set OFF if the indication's premium trend already reflects schedule mod drift — otherwise the drift is double-counted. The Control sheet master toggle must also be ON for the adjustment to apply.</t>
        </r>
      </text>
    </comment>
    <comment ref="Q11" authorId="0" shapeId="0" xr:uid="{00000000-0006-0000-0200-000002000000}">
      <text>
        <r>
          <rPr>
            <sz val="11"/>
            <color theme="1"/>
            <rFont val="Calibri"/>
            <family val="2"/>
            <scheme val="minor"/>
          </rPr>
          <t>OPTIONAL net rate selection (DECISIONS.md D39). When set, cohorts written on/after 1/1/P abandon the planned rate program and the projected mod path: each cohort's combined net price (rate x mod) renews this % above its year-ago cohort. History before 1/1/P still earns exactly as modeled. Blank = explicit program (classic). The P+1 column defaults to the P selection when blank.</t>
        </r>
      </text>
    </comment>
  </commentList>
</comments>
</file>

<file path=xl/sharedStrings.xml><?xml version="1.0" encoding="utf-8"?>
<sst xmlns="http://schemas.openxmlformats.org/spreadsheetml/2006/main" count="4787" uniqueCount="1767">
  <si>
    <t>Calendar-Year Plan Loss Ratio Workbook — Inland Marine</t>
  </si>
  <si>
    <t>Plan year 2027  |  one workbook per LOB; rows are BU x state  |  version 2.7.0  |  built 07/31/2026 by src/build_workbook.py (generator v2.7.0)  |  classic formula mode (Excel-2007-era functions only)</t>
  </si>
  <si>
    <t>Where to go</t>
  </si>
  <si>
    <t>Pick the plan year, BU and state; global toggles; the six headline KPIs.</t>
  </si>
  <si>
    <t>Enter or paste the book: loss ratios and mods (tbl_LR), seasonality, and the policy term.</t>
  </si>
  <si>
    <t>Enter or paste rate changes — every row shows its combo's plan LR moving as you type.</t>
  </si>
  <si>
    <t>Every BU x state combo at once, plus the Decision Board: top movers, contribution to the book, the portfolio bridge.</t>
  </si>
  <si>
    <t>One row per state with a BU filter ('All' = EP-weighted) — the leadership exhibit. Rate changes carry T/P status tokens and the plan LR is the visible product of the four factors beside it.</t>
  </si>
  <si>
    <t>What the program AS LOGGED is delivering — state x month YoY grids for the written rate, mod, and net legs (the descriptive twin of Net Delivery). 'All' = the EP-weighted book view.</t>
  </si>
  <si>
    <t>For net-target combos: the month-by-month rate leg and the pricing change that satisfies the target, plus the suggested filing.</t>
  </si>
  <si>
    <t>The selected combo's answer: projected LR -&gt; CY plan LR, factor by factor.</t>
  </si>
  <si>
    <t>The fully worked example — every calculation for the selected combo, start to finish.</t>
  </si>
  <si>
    <t>A print-ready brief of the selected combo — the page you hand a VP.</t>
  </si>
  <si>
    <t>When rate and price actually earn in — monthly flow charts, the runway, the carryover ledger.</t>
  </si>
  <si>
    <t>Four what-if lever sets side by side against Base (S1 ships seeded as a demo).</t>
  </si>
  <si>
    <t>Any two combos side by side across the full factor chain.</t>
  </si>
  <si>
    <t>Inverse planning: the required change for a target CY LR, and timing sensitivity — can follow Control or solve any combo.</t>
  </si>
  <si>
    <t>After the year closes: decompose actual vs plan into rate, timing, mod, and loss.</t>
  </si>
  <si>
    <t>Audit trail: 48 writing cohorts x earning matrix behind the earned rate level.</t>
  </si>
  <si>
    <t>Audit trail: the written schedule-mod path and the earned mod.</t>
  </si>
  <si>
    <t>The trust panel — must show ALL CHECKS PASS.</t>
  </si>
  <si>
    <t>The full writeup: formulas as implemented, conventions, named ranges.</t>
  </si>
  <si>
    <t>_lists / _calc / _netcalc / _oracle</t>
  </si>
  <si>
    <t>Hidden machinery: validation lists, the per-combo engine blocks, the Net Delivery blocks, and the baked oracle constants. Nothing to edit there.</t>
  </si>
  <si>
    <t>What this workbook does</t>
  </si>
  <si>
    <t>Converts the projected loss ratio from a rate level indication (policy-year basis, rate fully earned) into a CALENDAR-YEAR plan loss ratio at the plan year's average earned rate level — the number a plan is actually written against.</t>
  </si>
  <si>
    <t>Method: standard on-leveling (Werner &amp; Modlin, Basic Ratemaking, Ch. 5) through a monthly written-index x earning-matrix engine, extended with a schedule-mod adjustment, optional seasonality, and an optional net rate selection.</t>
  </si>
  <si>
    <t>Every displayed figure is calculated, never typed, and ties to an independent Python oracle at build time; the Checks sheet proves the workbook's integrity live.</t>
  </si>
  <si>
    <t>THE BRIDGE IN ONE LINE</t>
  </si>
  <si>
    <t>CY plan LR  =  projected LR (current level)  x  rate earn-in  x  mod drift  x  other adj</t>
  </si>
  <si>
    <t>The following year (indicative) additionally applies one year of net trend and uses that year's earn-in factors.</t>
  </si>
  <si>
    <t>Quick start</t>
  </si>
  <si>
    <t>1.</t>
  </si>
  <si>
    <t>Replace the SAMPLE rows with your book: tbl_LR, seasonality, and the policy term on Inputs; the rate change log (one row per change) on the Rate Log sheet. Do not insert or delete rows — spare rows are provided. Rename BUs and states directly in tbl_LR: every dropdown and exhibit follows the live roster automatically.</t>
  </si>
  <si>
    <t>2.</t>
  </si>
  <si>
    <t>On Control, pick the plan year, BU, and state, and set the global toggles (seasonality, the mod-adjustment master switch, the default net trend).</t>
  </si>
  <si>
    <t>3.</t>
  </si>
  <si>
    <t>Read the KPI row on Control; audit any figure through Rate Engine -&gt; Mod Engine -&gt; Bridge.</t>
  </si>
  <si>
    <t>4.</t>
  </si>
  <si>
    <t>State Summary is the per-state exhibit (BU filter; 'All' combines on adjusted-EP weights). Portfolio shows every combo at once.</t>
  </si>
  <si>
    <t>5.</t>
  </si>
  <si>
    <t>Scenarios: up to four lever sets (rate points, timing shift, achievement, mod path, net selection) side by side against Base.</t>
  </si>
  <si>
    <t>6.</t>
  </si>
  <si>
    <t>Optional NET RATE SELECTION per combo (tbl_LR): a combined rate + price year-over-year target from 1/1 of the plan year — see Methodology 6b for exactly what it supersedes.</t>
  </si>
  <si>
    <t>7.</t>
  </si>
  <si>
    <t>Solver: Mode A returns the single change needed for a target CY LR at a chosen date (it replaces the whole planned program — see the note there); Mode B shows the full-year LR under each possible start month.</t>
  </si>
  <si>
    <t>8.</t>
  </si>
  <si>
    <t>Attribution (after the year closes): enter achieved changes, actual dates, the actual mod path, and the actual CY LR for a plan-vs-actual waterfall.</t>
  </si>
  <si>
    <t>9.</t>
  </si>
  <si>
    <t>Checks must show ALL CHECKS PASS (also surfaced on Control). Oracle-tie rows apply only while the seeded sample is intact and report N/A afterward — regenerate the workbook to re-bake them for your data. For a new plan year, regenerate from config/config.yaml and paste inputs into the fresh copy (table schemas are stable).</t>
  </si>
  <si>
    <t>Color legend</t>
  </si>
  <si>
    <t>Blue font on light yellow</t>
  </si>
  <si>
    <t>Required input — enter a value</t>
  </si>
  <si>
    <t>Blue font, no fill</t>
  </si>
  <si>
    <t>Optional input / lever</t>
  </si>
  <si>
    <t>Black font</t>
  </si>
  <si>
    <t>Formula calculated on the same sheet</t>
  </si>
  <si>
    <t>Green font</t>
  </si>
  <si>
    <t>Link pulled from another sheet</t>
  </si>
  <si>
    <t>Grey small font</t>
  </si>
  <si>
    <t>Engine helper — do not edit</t>
  </si>
  <si>
    <t>Glossary — terms and symbols</t>
  </si>
  <si>
    <t>Indication rate level (CRL_ind)</t>
  </si>
  <si>
    <t>The cumulative rate level the indication assumed FULLY EARNED — the product of all rate changes flagged 'in indication'. This is the 'assumed rate in the indication'.</t>
  </si>
  <si>
    <t>Earned rate level (E_CY)</t>
  </si>
  <si>
    <t>The rate level the plan calendar year ACTUALLY earns. Policies written last year carry older rates into its early months, and new actions earn in only gradually as the book turns over — so the earned level rarely matches the indication's.</t>
  </si>
  <si>
    <t>Rate earn-in (A_rate)</t>
  </si>
  <si>
    <t>Indication rate level / earned rate level. Above 1.000: the plan year earns less rate than the indication assumed, pushing the plan LR up. Below 1.000: extra rate the indication never counted earns in, pushing it down.</t>
  </si>
  <si>
    <t>Schedule mods (M_ind / M_0 / M_1)</t>
  </si>
  <si>
    <t>The average schedule mod assumed in the indication; the current written average; the projected average at plan-year end. Optional anchors: M_prior (~a year before the as-of) and M_2 (end of the following year). Drift in the average mod is a price change that earns in exactly like rate.</t>
  </si>
  <si>
    <t>Earned mod / mod drift (A_mod)</t>
  </si>
  <si>
    <t>The average schedule mod the plan year's premium actually carries, and A_mod = M_ind / earned mod — the identical earn-in logic applied to the price lever.</t>
  </si>
  <si>
    <t>Written vs earned</t>
  </si>
  <si>
    <t>'Written' = the level at which new policies go on the books each month. 'Earned' = what the calendar year's premium actually carries, once each policy's term spreads it across months. Every factor in this workbook is an earned-basis answer.</t>
  </si>
  <si>
    <t>Achievement %</t>
  </si>
  <si>
    <t>For PLANNED rate changes only: the share of the filed change you expect to realize (80% of a +5% filing = +4.0% effective). Once a change is TAKEN, enter the achieved rate directly in Filed % — achievement is ignored on taken rows.</t>
  </si>
  <si>
    <t>In indication? (Y/N)</t>
  </si>
  <si>
    <t>Marks the rate changes the indication already counted in its projected loss ratio. They form CRL_ind; changes not counted there earn in as extra rate.</t>
  </si>
  <si>
    <t>Carryover</t>
  </si>
  <si>
    <t>E_CY(P+1) / E_CY(P) - 1: the earned rate change already locked in for the following year by this year's actions, before any new ones.</t>
  </si>
  <si>
    <t>Unearned runway</t>
  </si>
  <si>
    <t>Written level / earned level - 1 at a point in time: rate already on the books but not yet visible in earned premium — it will earn in over the coming months.</t>
  </si>
  <si>
    <t>Net rate selection (optional)</t>
  </si>
  <si>
    <t>Instead of an explicit program, a combo can target a combined rate + price year-over-year change from 1/1 of the plan year; history still earns as modeled, and planned rows plus the mod projection are superseded from that date (Methodology 6b). The bridge then shows one combined factor with mod drift = 1.000.</t>
  </si>
  <si>
    <t>Adjusted plan EP</t>
  </si>
  <si>
    <t>Adjusted plan earned premium (000s) — the weight behind every EP-weighted total on Portfolio and State Summary.</t>
  </si>
  <si>
    <t>Other adjustment (A_other)</t>
  </si>
  <si>
    <t>A manual factor for anything outside rate and mod earn-in; requires a written reason when it differs from 1.000.</t>
  </si>
  <si>
    <t>Conventions and notes</t>
  </si>
  <si>
    <t>Percentages are stored as decimal fractions (5.0% = 0.05) and formatted as percents.</t>
  </si>
  <si>
    <t>No VBA or macros anywhere. No merged cells. No external links. No volatile functions. Automatic calculation. Classic formula mode: only Excel-2007-era functions, so the file recalculates in LibreOffice and any corporate Excel build.</t>
  </si>
  <si>
    <t>Sheets are NOT protected (an intentional choice — the Checks panel is the integrity mechanism; protection without passwords would add friction without security).</t>
  </si>
  <si>
    <t>First-open checklist: (1) open the file and let it calculate; (2) confirm Control shows ALL CHECKS PASS; (3) confirm the Bridge shows 61.82% for ABD|AZ while sample data is intact; (4) replace sample inputs with your book.</t>
  </si>
  <si>
    <t>Version log</t>
  </si>
  <si>
    <t>v2.7.0 — 07/31/2026 — built from config/config.yaml (see DECISIONS.md in the repo for every judgment call).</t>
  </si>
  <si>
    <t>Calendar-Year Plan Loss Ratio — Inland Marine</t>
  </si>
  <si>
    <t>Plan year 2027 | one workbook per LOB; combos are BU x state | generated by src/build_workbook.py v2.7.0 | classic formula mode</t>
  </si>
  <si>
    <t>Jump to:</t>
  </si>
  <si>
    <t>Selection</t>
  </si>
  <si>
    <t>Plan year (P)</t>
  </si>
  <si>
    <t>Selected key</t>
  </si>
  <si>
    <t>Business unit</t>
  </si>
  <si>
    <t>ABD</t>
  </si>
  <si>
    <t>Combo found in tbl_LR?</t>
  </si>
  <si>
    <t>State</t>
  </si>
  <si>
    <t>AZ</t>
  </si>
  <si>
    <t>Policy term (months)</t>
  </si>
  <si>
    <t>Scenario in focus</t>
  </si>
  <si>
    <t>Base</t>
  </si>
  <si>
    <t>Line of business</t>
  </si>
  <si>
    <t>Inland Marine</t>
  </si>
  <si>
    <t>Global toggles</t>
  </si>
  <si>
    <t>Seasonality (written weights)</t>
  </si>
  <si>
    <t>OFF</t>
  </si>
  <si>
    <t>ON applies tbl_Seasonality weights for the selected STATE; OFF = uniform writings (classic parallelogram).</t>
  </si>
  <si>
    <t>Mod adjustment (master)</t>
  </si>
  <si>
    <t>ON</t>
  </si>
  <si>
    <t>Set OFF if the indication's premium trend already reflects schedule mod drift — otherwise the drift is double-counted.</t>
  </si>
  <si>
    <t>Projected-LR KPI shows</t>
  </si>
  <si>
    <t>As input</t>
  </si>
  <si>
    <t>Default net trend for CY 2028</t>
  </si>
  <si>
    <t>Annual net loss-over-premium trend applied once for the CY 2028 view wherever a combo's tbl_LR trend cell is blank; a per-state entry overrides this default.</t>
  </si>
  <si>
    <t>Key results — selected BU x state</t>
  </si>
  <si>
    <t>from the rate level indication</t>
  </si>
  <si>
    <t>projected LR x rate earn-in x mod drift x other</t>
  </si>
  <si>
    <t>how the year's earned rate compares with the level the indication assumed</t>
  </si>
  <si>
    <t>earned rate change already locked in for next year</t>
  </si>
  <si>
    <t>current written mod  /  projected at plan-year end</t>
  </si>
  <si>
    <t>see the Checks sheet</t>
  </si>
  <si>
    <t>plan LR if you book the logged program instead of the net target</t>
  </si>
  <si>
    <t>Rate and price flow summary</t>
  </si>
  <si>
    <t>Compare with another combo</t>
  </si>
  <si>
    <t>Metric</t>
  </si>
  <si>
    <t>This view</t>
  </si>
  <si>
    <t>Compare to: business unit</t>
  </si>
  <si>
    <t>Rate earn-in factor (A_rate)</t>
  </si>
  <si>
    <t>Compare to: state</t>
  </si>
  <si>
    <t>Earned schedule mod</t>
  </si>
  <si>
    <t>selected</t>
  </si>
  <si>
    <t>compare</t>
  </si>
  <si>
    <t>difference</t>
  </si>
  <si>
    <t>Mod drift factor (A_mod)</t>
  </si>
  <si>
    <t>Projected LR (current level)</t>
  </si>
  <si>
    <t>Earned rate chg (year over year)</t>
  </si>
  <si>
    <t>CY plan loss ratio</t>
  </si>
  <si>
    <t>Next-year column is indicative — see the canonical caveat on the Bridge.</t>
  </si>
  <si>
    <t>Mod drift (A_mod)</t>
  </si>
  <si>
    <t>Scenario spotlight</t>
  </si>
  <si>
    <t>CY plan LR under scenario</t>
  </si>
  <si>
    <t>Delta vs Base</t>
  </si>
  <si>
    <t>Pick a BU and state to light this up; the compare column reads the same hidden all-combo engine every exhibit uses.</t>
  </si>
  <si>
    <t>Scenario definitions live on the Scenarios sheet; the Bridge and engine sheets always show Base inputs (see Methodology).</t>
  </si>
  <si>
    <t>Inputs — Inland Marine</t>
  </si>
  <si>
    <t>Loss-ratio and mod inputs (one row per BU x state), seasonality, and the policy term — blue font = enter values; yellow fill = required. Rate changes live on the Rate Log sheet. Structure is fixed; do not insert or delete rows.</t>
  </si>
  <si>
    <t>Go to:</t>
  </si>
  <si>
    <t>SAMPLE DATA: every populated row below is illustrative and should be replaced with your book. ABD|AZ carries the documented worked example used by the Checks sheet.</t>
  </si>
  <si>
    <t>tbl_LR A:R is one contiguous paste block — keys, helpers, and live results sit to the right. The rate change log lives on the Rate Log sheet.</t>
  </si>
  <si>
    <t>Workbook parameters</t>
  </si>
  <si>
    <t>Applies to every BU x state in this workbook (one workbook per LOB, D37).</t>
  </si>
  <si>
    <t>tbl_LR — one row per BU x state (projected LR and mod inputs). Columns A:R are one contiguous paste block.</t>
  </si>
  <si>
    <t>engine helper — do not edit</t>
  </si>
  <si>
    <t>live results (formulas — do not edit)</t>
  </si>
  <si>
    <t>BU</t>
  </si>
  <si>
    <t>Projected loss ratio</t>
  </si>
  <si>
    <t>LR basis</t>
  </si>
  <si>
    <t>Indication selected chg (s)</t>
  </si>
  <si>
    <t>Mod assumed in indication (M_ind)</t>
  </si>
  <si>
    <t>Current avg written mod (M_0)</t>
  </si>
  <si>
    <t>Current mod as-of date</t>
  </si>
  <si>
    <t>Projected mod, end of plan yr (M_1)</t>
  </si>
  <si>
    <t>Mod ~1 yr before as-of (M_prior, opt)</t>
  </si>
  <si>
    <t>Projected mod, end plan yr+1 (M_2, opt)</t>
  </si>
  <si>
    <t>Adj plan EP (000s)</t>
  </si>
  <si>
    <t>Net trend, plan yr+1 (opt)</t>
  </si>
  <si>
    <t>Other adj factor (A_other)</t>
  </si>
  <si>
    <t>Reason for other adj</t>
  </si>
  <si>
    <t>Apply mod adjustment?</t>
  </si>
  <si>
    <t>Net rate selection, plan yr (opt)</t>
  </si>
  <si>
    <t>Net rate selection, plan yr+1 (opt)</t>
  </si>
  <si>
    <t>Key</t>
  </si>
  <si>
    <t>This combo's CY plan LR</t>
  </si>
  <si>
    <t>Chg vs projected (pts)</t>
  </si>
  <si>
    <t>current</t>
  </si>
  <si>
    <t>CO</t>
  </si>
  <si>
    <t>DE</t>
  </si>
  <si>
    <t>FL</t>
  </si>
  <si>
    <t>GA</t>
  </si>
  <si>
    <t>IA</t>
  </si>
  <si>
    <t>IL</t>
  </si>
  <si>
    <t>IN</t>
  </si>
  <si>
    <t>KY</t>
  </si>
  <si>
    <t>MD</t>
  </si>
  <si>
    <t>MI</t>
  </si>
  <si>
    <t>MN</t>
  </si>
  <si>
    <t>NM</t>
  </si>
  <si>
    <t>NC</t>
  </si>
  <si>
    <t>OH</t>
  </si>
  <si>
    <t>PA</t>
  </si>
  <si>
    <t>SC</t>
  </si>
  <si>
    <t>TN</t>
  </si>
  <si>
    <t>VA</t>
  </si>
  <si>
    <t>WV</t>
  </si>
  <si>
    <t>WI</t>
  </si>
  <si>
    <t>MM</t>
  </si>
  <si>
    <t>proposed</t>
  </si>
  <si>
    <t>Commission timing</t>
  </si>
  <si>
    <t>SBA</t>
  </si>
  <si>
    <t>tbl_Seasonality — optional per-STATE monthly written weights (relative; blank row = uniform)</t>
  </si>
  <si>
    <t>Jan</t>
  </si>
  <si>
    <t>Feb</t>
  </si>
  <si>
    <t>Mar</t>
  </si>
  <si>
    <t>Apr</t>
  </si>
  <si>
    <t>May</t>
  </si>
  <si>
    <t>Jun</t>
  </si>
  <si>
    <t>Jul</t>
  </si>
  <si>
    <t>Aug</t>
  </si>
  <si>
    <t>Sep</t>
  </si>
  <si>
    <t>Oct</t>
  </si>
  <si>
    <t>Nov</t>
  </si>
  <si>
    <t>Dec</t>
  </si>
  <si>
    <t>Row sum</t>
  </si>
  <si>
    <t>Rate Change Log — Inland Marine</t>
  </si>
  <si>
    <t>One row per rate change per BU x state. Columns A:H are one contiguous paste block; planned rows earn filed % x achievement %. The live columns on the right show the impact of every edit on the same row.</t>
  </si>
  <si>
    <t>SAMPLE DATA: replace the populated rows with your own log. Do not insert or delete rows — spare capacity is provided below the sample.</t>
  </si>
  <si>
    <t>engine helpers (formulas — do not edit)</t>
  </si>
  <si>
    <t>Effective date</t>
  </si>
  <si>
    <t>Filed chg %</t>
  </si>
  <si>
    <t>Status (taken / planned)</t>
  </si>
  <si>
    <t>Achievement % (planned)</t>
  </si>
  <si>
    <t>Comment</t>
  </si>
  <si>
    <t>r_eff</t>
  </si>
  <si>
    <t>ln(1+r)</t>
  </si>
  <si>
    <t>Eff month</t>
  </si>
  <si>
    <t>Days on/after</t>
  </si>
  <si>
    <t>Earlier cnt</t>
  </si>
  <si>
    <t>Same cnt</t>
  </si>
  <si>
    <t>First?</t>
  </si>
  <si>
    <t>Dup month?</t>
  </si>
  <si>
    <t>Seq</t>
  </si>
  <si>
    <t>1st planned</t>
  </si>
  <si>
    <t>1st taken</t>
  </si>
  <si>
    <t>% of plan yr this action earns (selected combo)</t>
  </si>
  <si>
    <t>Warnings</t>
  </si>
  <si>
    <t>taken</t>
  </si>
  <si>
    <t>Y</t>
  </si>
  <si>
    <t>Worked example (§9)</t>
  </si>
  <si>
    <t>planned</t>
  </si>
  <si>
    <t>N</t>
  </si>
  <si>
    <t>Planned spring increase</t>
  </si>
  <si>
    <t>Pattern: indication's selected change entered as a planned row</t>
  </si>
  <si>
    <t>Mid-month effective date example</t>
  </si>
  <si>
    <t>80% achievement assumed</t>
  </si>
  <si>
    <t>Net-selection showcase: fall filing (after the indication) feeds the +10% net target</t>
  </si>
  <si>
    <t>Planned filing the net-delivery default picks up</t>
  </si>
  <si>
    <t>Portfolio — every BU x state (Inland Marine)</t>
  </si>
  <si>
    <t>Computed simultaneously from the hidden _calc engine blocks (rows align 1:1 with tbl_LR). Heatmap: green = favorable vs projected.</t>
  </si>
  <si>
    <t>Decision Board</t>
  </si>
  <si>
    <t>Projected LR (as input)</t>
  </si>
  <si>
    <t>Basis</t>
  </si>
  <si>
    <t>Earned rate chg vs indication</t>
  </si>
  <si>
    <t>EP weight</t>
  </si>
  <si>
    <t>Plan LR — program basis</t>
  </si>
  <si>
    <t>Program vs asserted (pts)</t>
  </si>
  <si>
    <t>Top 10 adverse movers (plan vs projected)</t>
  </si>
  <si>
    <t>Rank (adverse)</t>
  </si>
  <si>
    <t>rk helper</t>
  </si>
  <si>
    <t>Contribution (pts)</t>
  </si>
  <si>
    <t>Combo</t>
  </si>
  <si>
    <t>Plan LR</t>
  </si>
  <si>
    <t>Chg (pts)</t>
  </si>
  <si>
    <t>Contribution = EP weight x change vs projected: which combos move the BOOK.</t>
  </si>
  <si>
    <t>Portfolio bridge (EP-weighted)</t>
  </si>
  <si>
    <t>x  rate earn-in (avg factor)</t>
  </si>
  <si>
    <t>x  mod drift (avg factor)</t>
  </si>
  <si>
    <t>Mix / interaction (pts)</t>
  </si>
  <si>
    <t>CY plan LR — exact EP-weighted total</t>
  </si>
  <si>
    <t>Factor averages don't compound exactly across a mixed book — the mix line is that honest residual.</t>
  </si>
  <si>
    <t>EP-weighted total *</t>
  </si>
  <si>
    <t>Simple average</t>
  </si>
  <si>
    <t>* Weighted by plan earned premium over the rows where EP is provided; rows without EP carry zero weight. The simple average covers every populated row equally.</t>
  </si>
  <si>
    <t>Filter freely; avoid SORTING this grid (rows are formulas aligned 1:1 with tbl_LR) — the Decision Board gives the sanctioned ranked view.</t>
  </si>
  <si>
    <t>State Summary — Inland Marine</t>
  </si>
  <si>
    <t>Plan-year view with the indicative following year. One row per state; choose a business unit or view all combined (adjusted-EP weighted). Every figure traces to the hidden _calc engine blocks and the Inputs tables.</t>
  </si>
  <si>
    <t>Business unit view</t>
  </si>
  <si>
    <t>All</t>
  </si>
  <si>
    <t>Volume</t>
  </si>
  <si>
    <t>Schedule mods</t>
  </si>
  <si>
    <t>Rate change history — chronological (single-BU view). T = taken, P = planned, * = not counted in the indication</t>
  </si>
  <si>
    <t>Engine levels</t>
  </si>
  <si>
    <t>Net selection — asserted vs the logged program</t>
  </si>
  <si>
    <t>Mod in indication</t>
  </si>
  <si>
    <t>Current mod</t>
  </si>
  <si>
    <t>Proj. mod, plan-yr end</t>
  </si>
  <si>
    <t>Chg 1 date</t>
  </si>
  <si>
    <t>Chg 1</t>
  </si>
  <si>
    <t>T/P</t>
  </si>
  <si>
    <t>Chg 2 date</t>
  </si>
  <si>
    <t>Chg 2</t>
  </si>
  <si>
    <t>Chg 3 date</t>
  </si>
  <si>
    <t>Chg 3</t>
  </si>
  <si>
    <t>Chg 4 date</t>
  </si>
  <si>
    <t>Chg 4</t>
  </si>
  <si>
    <t># taken</t>
  </si>
  <si>
    <t># planned</t>
  </si>
  <si>
    <t>Indication rate level</t>
  </si>
  <si>
    <t>x  Rate earn-in (A_rate)</t>
  </si>
  <si>
    <t>x  Mod drift (A_mod)</t>
  </si>
  <si>
    <t>x  Other adj (A_other)</t>
  </si>
  <si>
    <t>Mix (pts)</t>
  </si>
  <si>
    <t>Net rate sel</t>
  </si>
  <si>
    <t>TOTAL</t>
  </si>
  <si>
    <t>Weighted view: every metric is adjusted-plan-EP weighted across the business units in view (states with no EP fall back to a simple average).</t>
  </si>
  <si>
    <t>Rate change history is chronological and single-BU: T = taken, P = planned, * = NOT counted in the indication; percents are filed % x achievement. The # taken / # planned counts work in every view; past four changes see the rate log.</t>
  </si>
  <si>
    <t>Plan LR is the product of the four factors to its left, multiplied on this row — on rows that combine business units those factors are EP-weighted averages that do not multiply exactly, so the exact weighted value is shown and Mix is the difference. Displayed factors are rounded; the cells carry full precision.</t>
  </si>
  <si>
    <t>The following year is indicative — see the canonical caveat on the Bridge. It multiplies the same Projected LR and Other adj by (1 + net trend).</t>
  </si>
  <si>
    <t>Net sel: the net selection in force (— = explicit program); net combos carry the combined factor in A_rate with A_mod = 1.000.</t>
  </si>
  <si>
    <t>How this exhibit is calculated</t>
  </si>
  <si>
    <t>Every figure below the headers is calculated, never typed. Each state row is the adjusted-EP-weighted combination of its BU x state engine results for the business units in view.</t>
  </si>
  <si>
    <t>THE BRIDGE IN ONE LINE      CY plan LR  =  Projected LR (current level)  x  rate earn-in  x  mod drift  x  other adj      — and those are literally the four columns to its left</t>
  </si>
  <si>
    <t>Program Flow — what the logged program delivers (Inland Marine)</t>
  </si>
  <si>
    <t>Month-by-month YoY change on renewals from the rate changes and mod path AS LOGGED — taken rows plus planned rows at achievement. The descriptive twin of Net Delivery: no target, no suggestion, just the flow you are on today. 'All' = the EP-weighted book view (D60).</t>
  </si>
  <si>
    <t>Business unit in view</t>
  </si>
  <si>
    <t>Net target</t>
  </si>
  <si>
    <t>Avg YoY rate leg</t>
  </si>
  <si>
    <t>Avg YoY mod leg</t>
  </si>
  <si>
    <t>Avg YoY delivered net</t>
  </si>
  <si>
    <t>Δ vs net assertion</t>
  </si>
  <si>
    <t>Plan LR gap: program vs asserted (pts)</t>
  </si>
  <si>
    <t>key</t>
  </si>
  <si>
    <t>blk row</t>
  </si>
  <si>
    <t>|gap|</t>
  </si>
  <si>
    <t>Averages are written-weighted means of the monthly YoY ratios over the plan year (the Net Delivery convention); under 'All' they are EP-weighted across BUs, where delivered is the exact statistic (D60). Deep dive on one combo: set it on Control, then see the Flow Dashboard's written legs and locked/planned split.</t>
  </si>
  <si>
    <t>The rate leg — YoY written rate change on renewals</t>
  </si>
  <si>
    <t>History and planned filings at achievement, day-blended in their effective months. Steps mark anniversaries; a cliff is a filing finishing its year.  Bottom row: every state above collapsed onto one line, weighted by adjusted plan EP x written weight — the whole book when the picker is 'All' (BOOK AVG), otherwise the selected business unit (BU AVG). It is an average of the state rows, not a total.</t>
  </si>
  <si>
    <t>The pricing leg — YoY written schedule-mod change on renewals</t>
  </si>
  <si>
    <t>Drift along the anchored mod path (dash = the mod adjustment is off for the combo). Slow-motion price change, same YoY lens.  Bottom row: every state above collapsed onto one line, weighted by adjusted plan EP x written weight — the whole book when the picker is 'All' (BOOK AVG), otherwise the selected business unit (BU AVG). It is an average of the state rows, not a total.</t>
  </si>
  <si>
    <t>Delivered net — rate x pricing, the YoY change customers actually see</t>
  </si>
  <si>
    <t>The product of the two legs. For net-target combos compare against the asserted net: the shortfall months are Net Delivery's to close.  Bottom row: every state above collapsed onto one line, weighted by adjusted plan EP x written weight — the whole book when the picker is 'All' (BOOK AVG), otherwise the selected business unit (BU AVG). It is an average of the state rows, not a total.</t>
  </si>
  <si>
    <t>Program basis (D59): every Rate Log row enters exactly as logged — taken at filed %, planned at filed % x achievement. A net rate selection changes NOTHING here by design; this tab is the reality check against that assertion. Under 'All' (and on IN VIEW rows) legs are EP x weight means — rate x mod need not multiply to delivered exactly under mix; delivered is exact (D60).</t>
  </si>
  <si>
    <t>Net Delivery — how the net rate target gets delivered (Inland Marine)</t>
  </si>
  <si>
    <t>For combos on a net rate selection: month-by-month renewals must average the target. Given each state's rate-change date and the current flow, this tab shows the rate change coming through and the pricing change that satisfies the rest. Oracle-tied like everything else.</t>
  </si>
  <si>
    <t>Default effective date</t>
  </si>
  <si>
    <t>Eff date (enter)</t>
  </si>
  <si>
    <t>Filed % (enter; blank = your planned filing, else suggested)</t>
  </si>
  <si>
    <t>Planned filing date (rate log)</t>
  </si>
  <si>
    <t>Planned filed %</t>
  </si>
  <si>
    <t>Suggested change</t>
  </si>
  <si>
    <t>Change in force</t>
  </si>
  <si>
    <t>Filed equivalent</t>
  </si>
  <si>
    <t>Avg YoY pricing needed</t>
  </si>
  <si>
    <t>Implied yr-end mod</t>
  </si>
  <si>
    <t>vs projected M_1 (pts)</t>
  </si>
  <si>
    <t>Share written on/after date</t>
  </si>
  <si>
    <t>Flags</t>
  </si>
  <si>
    <t>IN VIEW</t>
  </si>
  <si>
    <t>Leave the two input columns blank to adopt the PLANNED filing already in the rate log for the plan year (shown beside them): its date and its effective % = filed x achievement. With no planned filing the tab falls back to the default date and the suggested change. Type in either column to override. A net selection supersedes planned rows in the engine (D39) — this tab is where you put one back to ask what pricing still has to carry.</t>
  </si>
  <si>
    <t>Only the FIRST planned filing inside the plan year is adopted (the model carries one change at one date); a state with more is flagged MULTI-PLANNED. The Solver answers a different question (CY plan LR under the explicit program, D13).</t>
  </si>
  <si>
    <t>How the target is delivered, month by month — the rate leg</t>
  </si>
  <si>
    <t>YoY change on renewals from the rate side: history plus the change in force at each state's date. Steps mark anniversaries of past changes and the new filing.</t>
  </si>
  <si>
    <t>…and the pricing change that satisfies the target</t>
  </si>
  <si>
    <t>Required YoY pricing (schedule-mod) change on renewals so that rate x pricing averages the target. Red = the months where the burden bites.</t>
  </si>
  <si>
    <t>One combo under the microscope</t>
  </si>
  <si>
    <t>Written weight w(m)</t>
  </si>
  <si>
    <t>YoY rate leg on renewals</t>
  </si>
  <si>
    <t>Required YoY pricing leg</t>
  </si>
  <si>
    <t>Required written mod level</t>
  </si>
  <si>
    <t>Projected written mod level</t>
  </si>
  <si>
    <t>Gap: required minus projected mod (pts)</t>
  </si>
  <si>
    <t>Implied year-end written mod (type into tbl_LR to make it concrete)</t>
  </si>
  <si>
    <t>Plan LR if you BOOK this program (live history + filing + mod walk)</t>
  </si>
  <si>
    <t>Plan LR as ASSERTED by the net selection</t>
  </si>
  <si>
    <t>Difference (earned-shape residual, pts)</t>
  </si>
  <si>
    <t>The solve matches the WRITTEN-basis average (the literal meaning of the target); the earned-shape residual above is the honest difference vs the asserted path. Attribution cannot track delivery under net mode.</t>
  </si>
  <si>
    <t>Chart data (formulas — do not edit)</t>
  </si>
  <si>
    <t>Month</t>
  </si>
  <si>
    <t>Rate share</t>
  </si>
  <si>
    <t>Pricing share</t>
  </si>
  <si>
    <t>Delivered @ proj mods</t>
  </si>
  <si>
    <t>Target</t>
  </si>
  <si>
    <t>Bridge — projected LR to calendar-year plan LR (Inland Marine)</t>
  </si>
  <si>
    <t>The selected combo's answer, factor by factor. Expand the grouped rows at the bottom to audit exactly which inputs feed the engines.</t>
  </si>
  <si>
    <t>Selected:</t>
  </si>
  <si>
    <t>Every factor below is calculated on the Rate Engine and Mod Engine for this combo.</t>
  </si>
  <si>
    <t>The bridge — plan year and the indicative following year</t>
  </si>
  <si>
    <t>Step</t>
  </si>
  <si>
    <t>Convert to current rate level x(1+s)</t>
  </si>
  <si>
    <t>Other  A_other</t>
  </si>
  <si>
    <t>The following-year column is indicative: it holds the indication fixed and applies the net trend input once (default 0.0% — a visible caveat, not a forecast).</t>
  </si>
  <si>
    <t>Communication metrics</t>
  </si>
  <si>
    <t>Rate changes for this combo — chronological</t>
  </si>
  <si>
    <t>#</t>
  </si>
  <si>
    <t>Effective</t>
  </si>
  <si>
    <t>Filed %</t>
  </si>
  <si>
    <t>Status</t>
  </si>
  <si>
    <t>In indication?</t>
  </si>
  <si>
    <t>Effective %</t>
  </si>
  <si>
    <t>Selection resolver — the tbl_LR inputs feeding the engines (audit detail)</t>
  </si>
  <si>
    <t>row in tbl_LR</t>
  </si>
  <si>
    <t>These cells ARE the engine inputs (named nr_*); they resolve the Control selection against tbl_LR. Grey = machinery, not results.</t>
  </si>
  <si>
    <t>Indication selected change (s)</t>
  </si>
  <si>
    <t>LR at current rate level</t>
  </si>
  <si>
    <t>Current mod as-of date (close of day)</t>
  </si>
  <si>
    <t>Mod ~1 yr before as-of (M_prior; 0 = not given)</t>
  </si>
  <si>
    <t>Projected mod, end plan yr+1 (M_2; 0 = use M_1)</t>
  </si>
  <si>
    <t>Net trend (P+1 view)</t>
  </si>
  <si>
    <t>Other adjustment factor (A_other)</t>
  </si>
  <si>
    <t>Reason for other adjustment</t>
  </si>
  <si>
    <t>Mod adjustment (combo row)</t>
  </si>
  <si>
    <t>Mod adjustment effective</t>
  </si>
  <si>
    <t>Net rate selection active?</t>
  </si>
  <si>
    <t>Net selection x (P)</t>
  </si>
  <si>
    <t>Net selection x (P+1; blank = carry)</t>
  </si>
  <si>
    <t>Waterfall chart data (formulas — do not edit)</t>
  </si>
  <si>
    <t>base</t>
  </si>
  <si>
    <t>up</t>
  </si>
  <si>
    <t>down</t>
  </si>
  <si>
    <t>total</t>
  </si>
  <si>
    <t>Projected LR</t>
  </si>
  <si>
    <t>Other</t>
  </si>
  <si>
    <t>Walkthrough — every calculation for one combo, start to finish</t>
  </si>
  <si>
    <t>Reads top to bottom like the method itself: inputs -&gt; rate level -&gt; earning -&gt; mod path -&gt; assembly. Live for the Control selection; nothing here is typed.</t>
  </si>
  <si>
    <t>synced to Control</t>
  </si>
  <si>
    <t>1.  What you gave us (tbl_LR, resolved for this combo)</t>
  </si>
  <si>
    <t>Each row links the live input; 'edit &gt;' opens the exact Inputs cell.</t>
  </si>
  <si>
    <t>current = today's rates; proposed = includes the indicated change s.</t>
  </si>
  <si>
    <t>Only used when the basis is 'proposed'.</t>
  </si>
  <si>
    <t>The average schedule mod the indication priced against — the mod benchmark.</t>
  </si>
  <si>
    <t>Where the written mod stands at the as-of date.</t>
  </si>
  <si>
    <t>M_0 as-of date</t>
  </si>
  <si>
    <t>Anchored close-of-day: 'as of 9/30' means the 10/1 boundary.</t>
  </si>
  <si>
    <t>Projected mod, plan-yr end (M_1)</t>
  </si>
  <si>
    <t>Where you project the written mod by 12/31 of the plan year.</t>
  </si>
  <si>
    <t>Mod ~1 yr before as-of (M_prior)</t>
  </si>
  <si>
    <t>Projected mod, next-yr end (M_2)</t>
  </si>
  <si>
    <t>Net trend (next-year view)</t>
  </si>
  <si>
    <t>Applied once, to the following year only (inherits the Control default when the tbl_LR cell is blank).</t>
  </si>
  <si>
    <t>Mod adjustment effective?</t>
  </si>
  <si>
    <t>Master toggle (Control) AND the combo's own toggle must both be ON.</t>
  </si>
  <si>
    <t>Net rate selection</t>
  </si>
  <si>
    <t>2.  Where the indication's rate level stands (CRL_ind)</t>
  </si>
  <si>
    <t>Chronological rate changes for this combo. The cumulative column multiplies (1 + change) over the rows flagged 'in indication' — that product is CRL_ind, the level the indication assumed FULLY EARNED.</t>
  </si>
  <si>
    <t>Cumulative level (considered rows)</t>
  </si>
  <si>
    <t>CRL_ind</t>
  </si>
  <si>
    <t>Computed as EXP(SUMPRODUCT(LN(1 + change))) over considered rows — the exact product identity, blank-row safe (Methodology 4).</t>
  </si>
  <si>
    <t>3.  How the calendar year earns it — three cohorts under the microscope</t>
  </si>
  <si>
    <t>The engine writes one cohort of policies per month (48 months of them) and earns each across its term. Three specimens: A carries last year's rates into the plan year; B catches a mid-month change; C straddles into the following year.</t>
  </si>
  <si>
    <t>Cohort A - carryover</t>
  </si>
  <si>
    <t>Cohort B - mid-month chg</t>
  </si>
  <si>
    <t>Cohort C - straddles</t>
  </si>
  <si>
    <t>Written month</t>
  </si>
  <si>
    <t>idx A</t>
  </si>
  <si>
    <t>When this cohort of policies goes on the books.</t>
  </si>
  <si>
    <t>Weight w</t>
  </si>
  <si>
    <t>idx B</t>
  </si>
  <si>
    <t>Written-exposure weight (seasonality-adjusted when active).</t>
  </si>
  <si>
    <t>Rate index before the month (W_pre)</t>
  </si>
  <si>
    <t>idx C</t>
  </si>
  <si>
    <t>Cumulative level from changes effective before the month.</t>
  </si>
  <si>
    <t>Rate index at month end (W_post)</t>
  </si>
  <si>
    <t>Cumulative level including in-month changes.</t>
  </si>
  <si>
    <t># changes in the month</t>
  </si>
  <si>
    <t>Cohort B catches one mid-month — see the split below.</t>
  </si>
  <si>
    <t>Days on/after the first change</t>
  </si>
  <si>
    <t>Of the days in the month, how many fall on/after the change date.</t>
  </si>
  <si>
    <t>Split p = days after / days in month</t>
  </si>
  <si>
    <t>The day-weighted share of the month's writings at the NEW level.</t>
  </si>
  <si>
    <t>Blended written index W = (1-p) x W_pre + p x W_post</t>
  </si>
  <si>
    <t>What this cohort actually goes on the books at.</t>
  </si>
  <si>
    <t>Share earned in the prior year</t>
  </si>
  <si>
    <t>Fractions of this cohort's premium falling in each calendar year;</t>
  </si>
  <si>
    <t>Share earned in the PLAN year</t>
  </si>
  <si>
    <t>they follow the mid-month rule C(o) = MIN(1, MAX(0, (o + 0.5) / T))</t>
  </si>
  <si>
    <t>Share earned in the following year</t>
  </si>
  <si>
    <t>and always sum to 1 across the window.</t>
  </si>
  <si>
    <t>Check: recompute the blend by hand</t>
  </si>
  <si>
    <t>Identical to the engine's W above — the split rule recomputed from its ingredients (cohorts without an in-month change blend trivially).</t>
  </si>
  <si>
    <t>4.  Adding it up — the year's earned rate level and A_rate</t>
  </si>
  <si>
    <t>E_CY is an aggregate ratio (never an average of monthly ratios): total rate-weighted earned exposure over total earned exposure, cohort by cohort, month by month.</t>
  </si>
  <si>
    <t>Numerator: SUM of w x e x W over the plan year</t>
  </si>
  <si>
    <t>Rate-weighted earned exposure across the plan year's 12 months.</t>
  </si>
  <si>
    <t>Denominator: SUM of w x e</t>
  </si>
  <si>
    <t>Total earned exposure in the plan year.</t>
  </si>
  <si>
    <t>Earned rate level  E_CY(P)</t>
  </si>
  <si>
    <t>Rate earn-in  A_rate = CRL_ind / E_CY</t>
  </si>
  <si>
    <t>5.  The schedule-mod path — the price lever, same earning logic</t>
  </si>
  <si>
    <t>The written mod runs straight lines through your anchors; each cohort samples it at mid-month, and the year averages those levels through the SAME earning matrix (mods are levels that average, not changes that compound).</t>
  </si>
  <si>
    <t>Backward anchor (as-of - 12 mo)</t>
  </si>
  <si>
    <t>M_0 at the as-of date</t>
  </si>
  <si>
    <t>M_1 at plan-year end</t>
  </si>
  <si>
    <t>M_2 at next-year end</t>
  </si>
  <si>
    <t>Path slope over the plan year (mod pts / month)</t>
  </si>
  <si>
    <t>How fast the written mod drifts; the identity below only holds for a globally straight path.</t>
  </si>
  <si>
    <t>Earned mod, plan year</t>
  </si>
  <si>
    <t>Mod drift  A_mod = M_ind / earned mod</t>
  </si>
  <si>
    <t>6.  Assembly — multiply the factors</t>
  </si>
  <si>
    <t>Projected LR at current rate level</t>
  </si>
  <si>
    <t>Step 1's loss pick, basis-normalized.</t>
  </si>
  <si>
    <t>x  rate earn-in  A_rate</t>
  </si>
  <si>
    <t>x  mod drift  A_mod</t>
  </si>
  <si>
    <t>x  other  A_other</t>
  </si>
  <si>
    <t>RESULT:  CY plan loss ratio</t>
  </si>
  <si>
    <t>Next year (indicative)</t>
  </si>
  <si>
    <t>Adds one year of net trend and swaps in next year's earn-in factors — indicative only (the canonical caveat lives on the Bridge).</t>
  </si>
  <si>
    <t>7.  Say it upward — two sentences for your VP</t>
  </si>
  <si>
    <t>8.  Trust it — this page reconciles to everything else</t>
  </si>
  <si>
    <t>This walkthrough vs the Bridge</t>
  </si>
  <si>
    <t>Same factors, same product.</t>
  </si>
  <si>
    <t>Bridge vs the hidden all-combo engine</t>
  </si>
  <si>
    <t>The visible engine equals the _calc block Portfolio and State Summary read.</t>
  </si>
  <si>
    <t>Workbook vs the independent Python oracle</t>
  </si>
  <si>
    <t>Constants baked at build time by src/engine.py; scoped to the seeded sample.</t>
  </si>
  <si>
    <t>One-Pager — Inland Marine</t>
  </si>
  <si>
    <t>Print-ready brief for the selected BU x state (synced to Control). Everything here is live; nothing is typed.</t>
  </si>
  <si>
    <t>Combo:</t>
  </si>
  <si>
    <t>The bridge</t>
  </si>
  <si>
    <t>x  other adjustment</t>
  </si>
  <si>
    <t>Key facts</t>
  </si>
  <si>
    <t>Adjusted plan EP (000s)</t>
  </si>
  <si>
    <t>Pricing program</t>
  </si>
  <si>
    <t>Workbook integrity</t>
  </si>
  <si>
    <t>Rate actions on the books (chronological)</t>
  </si>
  <si>
    <t>In two sentences</t>
  </si>
  <si>
    <t>Flow Dashboard — rate and price flow through the plan</t>
  </si>
  <si>
    <t>Selected BU x state. The plan year is shaded in the index chart. All series trace to the Rate Engine and Mod Engine sheets via the monthly detail table below.</t>
  </si>
  <si>
    <t>Watch the gap: written (steel) runs ahead of earned (navy) — the gap is rate still to earn in.</t>
  </si>
  <si>
    <t>Monthly grain shows the step when an action lands mid-month; quarterly bars hide it.</t>
  </si>
  <si>
    <t>Converges to zero as filed actions finish earning; jumps when new rate goes on the books.</t>
  </si>
  <si>
    <t>Mod drift reaches earned premium with the same lag as rate — a price change in slow motion.</t>
  </si>
  <si>
    <t>Rate x mod combined: the net price customers actually pay.</t>
  </si>
  <si>
    <t>Delivered (navy) = rate leg x mod leg on renewals; the dashed locked line is what survives if no planned action lands (see Program Flow).</t>
  </si>
  <si>
    <t>Quarterly earned rate and price change, and unearned runway — plan year and next</t>
  </si>
  <si>
    <t>Quarter</t>
  </si>
  <si>
    <t>Earned rate level (E_Q)</t>
  </si>
  <si>
    <t>Prior-year E_Q</t>
  </si>
  <si>
    <t>YoY earned rate chg</t>
  </si>
  <si>
    <t>Written level at qtr end</t>
  </si>
  <si>
    <t>Earned price level (P_Q)</t>
  </si>
  <si>
    <t>Prior-year P_Q</t>
  </si>
  <si>
    <t>YoY earned price chg</t>
  </si>
  <si>
    <t>Runway = written level / earned level - 1: rate locked in but not yet earned (D27). Price = rate x earned mod / M_ind (series coincide under a net selection). YoY compares the same period one year earlier.</t>
  </si>
  <si>
    <t>Carryover ledger — where the head start into the following year comes from</t>
  </si>
  <si>
    <t>Share of plan yr earned</t>
  </si>
  <si>
    <t>Share of next yr earned</t>
  </si>
  <si>
    <t>Carryover contribution</t>
  </si>
  <si>
    <t>Actions combined</t>
  </si>
  <si>
    <t>Timing / compounding interaction (residual)</t>
  </si>
  <si>
    <t>Total carryover (earned rate chg into next year)</t>
  </si>
  <si>
    <t>Monthly flow detail (formulas — the charts read this table)</t>
  </si>
  <si>
    <t>avg YoY delivered net, plan yr (w-weighted):</t>
  </si>
  <si>
    <t>Written idx W</t>
  </si>
  <si>
    <t>Earned idx E_m</t>
  </si>
  <si>
    <t>Written mod</t>
  </si>
  <si>
    <t>Earned mod</t>
  </si>
  <si>
    <t>Price idx (written)</t>
  </si>
  <si>
    <t>Price idx (earned)</t>
  </si>
  <si>
    <t>Plan year</t>
  </si>
  <si>
    <t>YoY earned rate</t>
  </si>
  <si>
    <t>YoY earned price</t>
  </si>
  <si>
    <t>YoY written rate leg</t>
  </si>
  <si>
    <t>YoY written mod leg</t>
  </si>
  <si>
    <t>YoY delivered net (program)</t>
  </si>
  <si>
    <t>Locked leg (taken only)</t>
  </si>
  <si>
    <t>Planned / residual leg</t>
  </si>
  <si>
    <t>Scenarios — selected BU x LOB</t>
  </si>
  <si>
    <t>Scenario levers (blue = enter; blank = same as Base)</t>
  </si>
  <si>
    <t>S1</t>
  </si>
  <si>
    <t>S2</t>
  </si>
  <si>
    <t>S3</t>
  </si>
  <si>
    <t>S4</t>
  </si>
  <si>
    <t>Extra filed rate on planned rows (+/- pts)</t>
  </si>
  <si>
    <t>e.g. 0.02 = +2.0 pts  (S1 ships seeded — clear to reset)</t>
  </si>
  <si>
    <t>Shift planned effective dates (+/- months)</t>
  </si>
  <si>
    <t>e.g. 2 = two months later</t>
  </si>
  <si>
    <t>Achievement override (planned rows)</t>
  </si>
  <si>
    <t>e.g. 0.80 = 80% achieved</t>
  </si>
  <si>
    <t>Shift projected mod path M_1/M_2 (+/-)</t>
  </si>
  <si>
    <t>e.g. 0.02 = +2 mod pts on M_1 and M_2</t>
  </si>
  <si>
    <t>Adjust net rate selection (+/- pts)</t>
  </si>
  <si>
    <t>e.g. 0.01 = +1 pt net target</t>
  </si>
  <si>
    <t>Results</t>
  </si>
  <si>
    <t>Change vs Base (pts)</t>
  </si>
  <si>
    <t>Scenario CY LR = LR_current x A_rate' x A_mod' x A_other. CRL_ind is unchanged (scenarios vary planned actions only, never the indication). When the selected combo carries a net rate selection, only the D-net lever moves results (planned-row levers are superseded, D39).</t>
  </si>
  <si>
    <t>Compare — any two combos, factor by factor</t>
  </si>
  <si>
    <t>Combo A</t>
  </si>
  <si>
    <t>Combo B</t>
  </si>
  <si>
    <t>B - A</t>
  </si>
  <si>
    <t>Current written mod (M_0)</t>
  </si>
  <si>
    <t>Earned mod (plan year)</t>
  </si>
  <si>
    <t>Net trend (next year)</t>
  </si>
  <si>
    <t>Rate earn-in, next yr</t>
  </si>
  <si>
    <t>Mod drift, next yr</t>
  </si>
  <si>
    <t>Carryover into next yr</t>
  </si>
  <si>
    <t>Blank column = pick a BU and state above (or the combo is not in tbl_LR). Differences show only when both combos resolve.</t>
  </si>
  <si>
    <t>Solver — inverse plan (closed form, no iteration)</t>
  </si>
  <si>
    <t>Solving for</t>
  </si>
  <si>
    <t>Follow the Control selection? (Y/N)</t>
  </si>
  <si>
    <t>Convention (D13): the Solver replaces the ENTIRE planned-rate program with a single action at the chosen date. Its base index W0 uses taken rows only.</t>
  </si>
  <si>
    <t>resolved key</t>
  </si>
  <si>
    <t>Override BU | state (used when N)</t>
  </si>
  <si>
    <t>resolved state</t>
  </si>
  <si>
    <t>Mode A — required rate for a target CY LR</t>
  </si>
  <si>
    <t>seeded with the sample book's own CY plan LR - the solver should return the seeded planned change (+5.0% at 4/1) while sample data is intact</t>
  </si>
  <si>
    <t>abs eff month</t>
  </si>
  <si>
    <t>month start</t>
  </si>
  <si>
    <t>Achievement % assumed</t>
  </si>
  <si>
    <t>month end</t>
  </si>
  <si>
    <t>days in month</t>
  </si>
  <si>
    <t>Old-rate earned exposure before the date (C_pre, cohort-months)</t>
  </si>
  <si>
    <t>days on/after eff</t>
  </si>
  <si>
    <t>Earnable exposure on/after the date (C_post, cohort-months)</t>
  </si>
  <si>
    <t>eff month in cohort window?</t>
  </si>
  <si>
    <t>Total CY earned exposure (D, cohort-months)</t>
  </si>
  <si>
    <t>cohort row index (clamped)</t>
  </si>
  <si>
    <t>Mod drift factor in force (A_mod)</t>
  </si>
  <si>
    <t>first taken-change days (same month)</t>
  </si>
  <si>
    <t>Rate earn-in factor needed (A_rate)</t>
  </si>
  <si>
    <t>split p (first-change rule, D4/D31)</t>
  </si>
  <si>
    <t>Earned rate level needed (E_CY)</t>
  </si>
  <si>
    <t>W0_pre at eff month</t>
  </si>
  <si>
    <t>REQUIRED CHANGE r</t>
  </si>
  <si>
    <t>W0_eom at eff month</t>
  </si>
  <si>
    <t>Filed-rate equivalent (r / achievement)</t>
  </si>
  <si>
    <t>w x ec at eff month</t>
  </si>
  <si>
    <t>Share of CY earned exposure on/after eff</t>
  </si>
  <si>
    <t>combo row (_calc)</t>
  </si>
  <si>
    <t>CRL_ind (combo)</t>
  </si>
  <si>
    <t>Reasonability bound |r|</t>
  </si>
  <si>
    <t>LR at current level (combo)</t>
  </si>
  <si>
    <t>Minimum post-eff exposure share</t>
  </si>
  <si>
    <t>A_mod in force (combo)</t>
  </si>
  <si>
    <t>A_other (combo)</t>
  </si>
  <si>
    <t>Mode B — timing sensitivity: the FULL-YEAR plan LR under each possible start month for the same change</t>
  </si>
  <si>
    <t>Rate change r to time</t>
  </si>
  <si>
    <t>Each row is a separate what-if, NOT the loss ratio moving through the year: the same increase made effective later earns in less during the plan year, so the full-year result lands higher. Mode A's target flags which start months still work.</t>
  </si>
  <si>
    <t>Effective month</t>
  </si>
  <si>
    <t>C_pre</t>
  </si>
  <si>
    <t>C_post</t>
  </si>
  <si>
    <t>E_CY(P)</t>
  </si>
  <si>
    <t>Full-yr plan LR</t>
  </si>
  <si>
    <t>Meets target?</t>
  </si>
  <si>
    <t>helper</t>
  </si>
  <si>
    <t>target</t>
  </si>
  <si>
    <t>Latest start month that still meets the target</t>
  </si>
  <si>
    <t>Attribution — plan vs actual</t>
  </si>
  <si>
    <t>Actuals — mod path and outcome (blank = as planned)</t>
  </si>
  <si>
    <t>Actual M_0</t>
  </si>
  <si>
    <t>The plan M_ind stays fixed - it is an indication property, not an actual (D31).</t>
  </si>
  <si>
    <t>Actual M_0 as-of</t>
  </si>
  <si>
    <t>Actual M_1 at 12/31/P</t>
  </si>
  <si>
    <t>Actual M_2 (optional)</t>
  </si>
  <si>
    <t>ACTUAL CY 2027 loss ratio</t>
  </si>
  <si>
    <t>Planned rate actions — enter actuals (blank = as planned)</t>
  </si>
  <si>
    <t>Planned effective</t>
  </si>
  <si>
    <t>Planned eff chg</t>
  </si>
  <si>
    <t>ACTUAL achieved chg</t>
  </si>
  <si>
    <t>ACTUAL effective</t>
  </si>
  <si>
    <t>Decomposition</t>
  </si>
  <si>
    <t>Factor</t>
  </si>
  <si>
    <t>LR after</t>
  </si>
  <si>
    <t>Plan CY LR</t>
  </si>
  <si>
    <t>1. Rate magnitude (achieved %, planned dates)</t>
  </si>
  <si>
    <t>2. Rate timing (achieved %, actual dates)</t>
  </si>
  <si>
    <t>3. Mod drift (actual mod path)</t>
  </si>
  <si>
    <t>4. Loss-side residual</t>
  </si>
  <si>
    <t>Actual CY LR</t>
  </si>
  <si>
    <t>Steps 1-3 recompute the CY earned rate index / earned mod with actuals substituted sequentially; step 4 is the remainder. A different ordering would allocate the interaction terms differently (stated per §7 E2). Taken rows are assumed booked as logged; only planned rows are re-achieved.</t>
  </si>
  <si>
    <t>Rate magnitude</t>
  </si>
  <si>
    <t>Rate timing</t>
  </si>
  <si>
    <t>Mod drift</t>
  </si>
  <si>
    <t>Loss residual</t>
  </si>
  <si>
    <t>Rate Engine — monthly written index x earning matrix</t>
  </si>
  <si>
    <t>Selected BU x LOB. 48 writing cohorts Jan (P-2) .. Dec (P+1); earned months Jan (P-1) .. Dec (P+1). Helper columns preferred over mega-formulas; every column defined on Methodology.</t>
  </si>
  <si>
    <t>Calendar-year aggregates</t>
  </si>
  <si>
    <t>Indication rate level, fully earned (CRL_ind)</t>
  </si>
  <si>
    <t>Policy term T (months, workbook-level)</t>
  </si>
  <si>
    <t>Seasonality row (0 = none)</t>
  </si>
  <si>
    <t>Seasonality row sum</t>
  </si>
  <si>
    <t>Seasonality active?</t>
  </si>
  <si>
    <t>Months Jan-Dec 2026 (abs index)</t>
  </si>
  <si>
    <t>Months Jan-Dec 2027 (abs index)</t>
  </si>
  <si>
    <t>CY earned rate chg vs indication</t>
  </si>
  <si>
    <t>Months Jan-Dec 2028 (abs index)</t>
  </si>
  <si>
    <t>E_CY(2027) recomputed from matrix</t>
  </si>
  <si>
    <t>Earning matrix e(k, m): share of cohort k earned in month m (mid-month convention)</t>
  </si>
  <si>
    <t>Writing cohorts (48 months) — index construction and CY earning fractions</t>
  </si>
  <si>
    <t>Month end</t>
  </si>
  <si>
    <t>Days</t>
  </si>
  <si>
    <t>Mo#</t>
  </si>
  <si>
    <t>Mid-month</t>
  </si>
  <si>
    <t>Abs mo#</t>
  </si>
  <si>
    <t>Index before mo (W_pre)</t>
  </si>
  <si>
    <t>Index at mo end (W_post)</t>
  </si>
  <si>
    <t># chgs in mo</t>
  </si>
  <si>
    <t>Days after 1st chg</t>
  </si>
  <si>
    <t>Split p</t>
  </si>
  <si>
    <t>Written rate index (W)</t>
  </si>
  <si>
    <t>Written mod (M_w)</t>
  </si>
  <si>
    <t>Earned in P-1 (ec)</t>
  </si>
  <si>
    <t>Earned in P (ec)</t>
  </si>
  <si>
    <t>Earned in P+1 (ec)</t>
  </si>
  <si>
    <t>Hist net price (q)</t>
  </si>
  <si>
    <t>Net path (Q)</t>
  </si>
  <si>
    <t>Index in force</t>
  </si>
  <si>
    <t>row-sum chk</t>
  </si>
  <si>
    <t>Monthly numerator  SUM w-e-W</t>
  </si>
  <si>
    <t>Monthly denominator  SUM w-e</t>
  </si>
  <si>
    <t>Earned index E_m</t>
  </si>
  <si>
    <t>min W over contributing cohorts</t>
  </si>
  <si>
    <t>max W over contributing cohorts</t>
  </si>
  <si>
    <t>bound violation (Checks)</t>
  </si>
  <si>
    <t>Earned mod by month (M_w from Mod Engine)</t>
  </si>
  <si>
    <t>Mod numerator SUM w-e-M (quarterly price)</t>
  </si>
  <si>
    <t>Mod Engine — written schedule-mod path and earned mod</t>
  </si>
  <si>
    <t>Piecewise-linear written mod path through the tbl_LR anchors; earned mod is the exposure-weighted AVERAGE through the same earning matrix (mods are levels, not changes).</t>
  </si>
  <si>
    <t>Inputs (from tbl_LR via Bridge)</t>
  </si>
  <si>
    <t>Mod path anchors (x = close-of-day boundary: date + 1; see Methodology)</t>
  </si>
  <si>
    <t>Earned mod and adjustment factors</t>
  </si>
  <si>
    <t>Anchor</t>
  </si>
  <si>
    <t>x (boundary date)</t>
  </si>
  <si>
    <t>M value</t>
  </si>
  <si>
    <t>Slope / day</t>
  </si>
  <si>
    <t>pts / month</t>
  </si>
  <si>
    <t>A0: backward (as-of - 12 mo)</t>
  </si>
  <si>
    <t>A1: M_0 as-of</t>
  </si>
  <si>
    <t>A2: M_1 at plan-yr end</t>
  </si>
  <si>
    <t>Mod drift factor  A_mod(2027) = M_ind / earned mod</t>
  </si>
  <si>
    <t>A3: M_2 at plan-yr+1 end</t>
  </si>
  <si>
    <t>Mod drift factor  A_mod(2028)</t>
  </si>
  <si>
    <t>Blank M_prior places A0 on the M_0-&gt;M_1 line (backward extrapolation of that segment, §3.3.1). Blank M_2 = M_1 (flat beyond 12/31/P).</t>
  </si>
  <si>
    <t>Identity: written mod at 1/1/P</t>
  </si>
  <si>
    <t>Identity applicable?</t>
  </si>
  <si>
    <t>Writing cohorts — written mod path (columns A-D, F-H link to the Rate Engine)</t>
  </si>
  <si>
    <t>Earned in P-1</t>
  </si>
  <si>
    <t>Earned in P</t>
  </si>
  <si>
    <t>Earned in P+1</t>
  </si>
  <si>
    <t>Checks — validation panel</t>
  </si>
  <si>
    <t>Live formulas versus structure, identities, and oracle constants baked at build time. FAIL = investigate before using results. WARN = review advisory.</t>
  </si>
  <si>
    <t>Overall status</t>
  </si>
  <si>
    <t>By category</t>
  </si>
  <si>
    <t>Structure</t>
  </si>
  <si>
    <t>Category</t>
  </si>
  <si>
    <t>Check</t>
  </si>
  <si>
    <t>Expected</t>
  </si>
  <si>
    <t>Actual</t>
  </si>
  <si>
    <t>Tolerance</t>
  </si>
  <si>
    <t>Fix at</t>
  </si>
  <si>
    <t>Identity</t>
  </si>
  <si>
    <t>Earning-profile row sums = 1 for every in-window cohort</t>
  </si>
  <si>
    <t>Oracle tie</t>
  </si>
  <si>
    <t>Monthly earned index within [min W, max W] of contributing cohorts</t>
  </si>
  <si>
    <t>Input sanity</t>
  </si>
  <si>
    <t>E_CY(P): monthly-matrix aggregation = closed-form ec aggregation</t>
  </si>
  <si>
    <t>Advisory</t>
  </si>
  <si>
    <t>E_CY(P): visible Rate Engine = hidden _calc block (selected combo)</t>
  </si>
  <si>
    <t>CRL_ind: visible Rate Engine = hidden _calc block (selected combo)</t>
  </si>
  <si>
    <t>Bridge chain: LR_cur x A_rate x A_mod x A_other = CY plan LR</t>
  </si>
  <si>
    <t>Bridge chain (P+1): with (1+trend) factor = CY LR(P+1)</t>
  </si>
  <si>
    <t>Portfolio row = Bridge result (selected combo)</t>
  </si>
  <si>
    <t>Scenario engine reproduces Base when all levers blank</t>
  </si>
  <si>
    <t>Linear-mod identity: CY P earned mod = written mod at 1/1/P (§3.3.5)</t>
  </si>
  <si>
    <t>Attribution factors multiply back to the actual CY LR</t>
  </si>
  <si>
    <t>CRL_ind ties oracle</t>
  </si>
  <si>
    <t>E_CY(P-1) ties oracle</t>
  </si>
  <si>
    <t>E_CY(P) ties oracle</t>
  </si>
  <si>
    <t>E_CY(P+1) ties oracle</t>
  </si>
  <si>
    <t>CY P earned mod ties oracle</t>
  </si>
  <si>
    <t>A_rate(P) ties oracle</t>
  </si>
  <si>
    <t>A_rate(P+1) ties oracle</t>
  </si>
  <si>
    <t>A_mod(P) ties oracle</t>
  </si>
  <si>
    <t>CY 2027 plan LR ties oracle (monthly convention)</t>
  </si>
  <si>
    <t>CY 2028 LR ties oracle</t>
  </si>
  <si>
    <t>CY 2027 plan LR within 0.10 pts of continuous closed form</t>
  </si>
  <si>
    <t>Solver Mode A returns the seeded planned change (acceptance §11.7)</t>
  </si>
  <si>
    <t>Solver Mode B April row equals the base CY plan LR</t>
  </si>
  <si>
    <t>Achievement % within [0%, 150%]</t>
  </si>
  <si>
    <t>Schedule mods (M_ind, M_0, M_1) within [0.5, 1.5]</t>
  </si>
  <si>
    <t>Optional mods (M_prior, M_2) within [0.5, 1.5]</t>
  </si>
  <si>
    <t>Every effective change keeps 1 + r &gt; 0</t>
  </si>
  <si>
    <t>M_0 as-of dates precede 12/31 of the plan year</t>
  </si>
  <si>
    <t>Rate-log status is taken/planned on every populated row</t>
  </si>
  <si>
    <t>LR basis is current/proposed (blank treated as current)</t>
  </si>
  <si>
    <t>Plan EP is non-negative</t>
  </si>
  <si>
    <t>Net rate selections within [-50%, +100%]</t>
  </si>
  <si>
    <t>Considered flags appear only on taken rows (§3.2.7)</t>
  </si>
  <si>
    <t>No two changes share a BU|LOB cohort month (exact-blend support, D4)</t>
  </si>
  <si>
    <t>Rate-change dates within the Jan (P-2) .. Dec (P+1) engine window</t>
  </si>
  <si>
    <t>A_other &lt;&gt; 1 carries a label</t>
  </si>
  <si>
    <t>Populated seasonality rows have a positive weight sum</t>
  </si>
  <si>
    <t>Considered? column is Y/N (blank counts as N)</t>
  </si>
  <si>
    <t>No duplicate BU x state combos in tbl_LR (roster integrity)</t>
  </si>
  <si>
    <t>Net selections pair with an active mod adjustment (else rate-only)</t>
  </si>
  <si>
    <t>No planned rows on/after 1/1/P are superseded by a net selection</t>
  </si>
  <si>
    <t>Selected BU|State exists in tbl_LR</t>
  </si>
  <si>
    <t>Walkthrough assembly equals the Bridge result</t>
  </si>
  <si>
    <t>Taken rows still carrying an achievement % (it is ignored — restate Filed % as achieved)</t>
  </si>
  <si>
    <t>Every distinct state fits on the State Summary display</t>
  </si>
  <si>
    <t>Net Delivery closed forms land on the target (max solve residual)</t>
  </si>
  <si>
    <t>Net Delivery year-ago base = full-log engine (band combo)</t>
  </si>
  <si>
    <t>Engine net path satisfies T(m)/T(m-12) = 1 + x (band combo)</t>
  </si>
  <si>
    <t>Net Delivery feasibility flags in view (mod/rate bounds, thin share)</t>
  </si>
  <si>
    <t>Locked (taken-only) block = Solver base block when the Solver follows Control</t>
  </si>
  <si>
    <t>Flow Dashboard avg YoY delivered = _calc block results (selected combo)</t>
  </si>
  <si>
    <t>Net combo(s) in the Program Flow view deliver 1pt+ off the asserted net on program basis (see Net Delivery)</t>
  </si>
  <si>
    <t>Net combo(s) ANYWHERE in the book deliver 1pt+ off their asserted net on program basis — view-independent (see Net Delivery)</t>
  </si>
  <si>
    <t>State Summary plan LR = the row's own factor product (projected LR x rate earn-in x mod drift x other adj)</t>
  </si>
  <si>
    <t>Program-basis plan LR equals the headline on every combo with NO net selection (one path, both years)</t>
  </si>
  <si>
    <t>Net combo(s) whose logged program lands 1pt+ from the asserted plan LR (see Net Delivery / Program Flow)</t>
  </si>
  <si>
    <t>Oracle ties compare live formulas to constants baked from src/engine.py for the seeded sample; N/A after you paste real data is EXPECTED, not breakage.</t>
  </si>
  <si>
    <t>Structural, identity, and sanity checks stay live forever. Regenerate the workbook to re-bake oracle constants for your own inputs.</t>
  </si>
  <si>
    <t>Methodology — as implemented</t>
  </si>
  <si>
    <t>Regulatory-defensibility writeup: every formula, convention, and named range in this workbook. Cf. Werner &amp; Modlin, Basic Ratemaking, Ch. 5 (on-leveling / current rate level).</t>
  </si>
  <si>
    <t>Contents</t>
  </si>
  <si>
    <t>1. Purpose and framework</t>
  </si>
  <si>
    <t>This workbook converts a projected loss ratio from a rate level indication (policy-year basis, rate fully earned) into a calendar-year plan loss ratio at the average earned rate level of the plan year, extended with a schedule-mod adjustment. The method is standard on-leveling / current-rate-level methodology (Werner &amp; Modlin, Basic Ratemaking, Chapter 5), implemented as a discretized monthly written-index x earning-matrix engine that reproduces the classical parallelogram under uniform writings and generalizes it to seasonal writings, sub-annual terms, mid-month effective dates, and partially-achieved planned changes.</t>
  </si>
  <si>
    <t>Dimensioning: each workbook covers ONE line of business (Inland Marine here) with a single workbook-level policy term; every input row, engine block, and Portfolio row is one business unit x state combination keyed BU|State (DECISIONS.md D37).</t>
  </si>
  <si>
    <t>2. Timeline alignment — why no additional loss trend</t>
  </si>
  <si>
    <t>The indication is assumed effective 7/1/2026. Its policy year has average loss date 7/1/2027 — the midpoint of plan year 2027. The indication's projected loss ratio is therefore already trended to the plan year's loss center of gravity, and no additional loss trending is applied for the plan-year result. The CY (P+1) view is indicative only: it holds the indication fixed and applies the net-trend input once.</t>
  </si>
  <si>
    <t>3. Conventions</t>
  </si>
  <si>
    <t>Rate-change effective dates are start-of-day: a change effective on the 1st applies to that whole day's writings. Schedule-mod as-of dates are close-of-day: 'M_0 as of 9/30' anchors the written-mod path at the 10/1 boundary, so mod anchors use serial date + 1 in-sheet (DECISIONS.md D2).</t>
  </si>
  <si>
    <t>Writing cohorts are monthly, written at mid-month, spanning Jan (P-2) .. Dec (P+1) — 48 months. The window extends 12 months earlier than the brief's 36 so that E_CY(P-1), required for the year-over-year earned rate change, is complete (D1).</t>
  </si>
  <si>
    <t>A cohort with term T earns 1/(2T) in its writing month, 1/T in each of the next T-1 months, and 1/(2T) in month T (mid-month convention). The closed-form year fraction used in compact blocks is ec(k,Y) = C(yEnd-k) - C(yStart-1-k) with C(o) = MIN(1, MAX(0, (o+0.5)/T)) — provably identical to summing the matrix row (D10).</t>
  </si>
  <si>
    <t>Mid-month effective dates split the cohort month's written weight at the FIRST in-month change date: weight p = days on/after that date / days in month at the fully-compounded end-of-month index, (1-p) at the pre-month index. Exact when at most one change lands in a BU|LOB month; a Checks advisory flags anything denser (D4).</t>
  </si>
  <si>
    <t>Planned rows earn filed % x achievement % (blank achievement = 100%). Taken rows always use filed %. CRL_ind is the product of (1 + effective change) over rows flagged considered-in-indication; a planned row flagged considered is included and flagged by a Checks advisory (D7).</t>
  </si>
  <si>
    <t>4. Rate engine</t>
  </si>
  <si>
    <t>W_k: cumulative product of all changes effective on or before the cohort date, base 1.000 before the first logged change; computed as EXP(SUMPRODUCT(conditions x ln(1+r))) — the exact log-sum identity, blank-row safe (D12).</t>
  </si>
  <si>
    <t>E_m = SUM_k w_k e(k,m) W_k / SUM_k w_k e(k,m);  E_CY(Y) aggregates numerator and denominator over the year's months (an aggregate ratio, never an average of monthly ratios).  A_rate(P) = CRL_ind / E_CY(P), likewise A_rate(P+1).</t>
  </si>
  <si>
    <t>Seasonality: optional 12-month written-weight vector per STATE (tbl_Seasonality), normalized in-engine; the global Control toggle AND a populated row are both required. Uniform writings reproduce the classical parallelogram.</t>
  </si>
  <si>
    <t>5. Schedule mod engine</t>
  </si>
  <si>
    <t>The written-mod path is piecewise-linear through (as-of, M_0), (12/31/P, M_1), (12/31/P+1, M_2 with blank = M_1), plus an optional (as-of - 12 months, M_prior) anchor. With M_prior blank the backward anchor is placed ON the M_0-&gt;M_1 line, so backward extrapolation is exactly that segment extended (§3.3.1). Cohort mods are evaluated at actual mid-month dates.</t>
  </si>
  <si>
    <t>The CY earned mod is the exposure-weighted AVERAGE of cohort written mods through the same earning matrix (mods are levels, not changes). A_mod(P) = M_ind / earned-mod(P) when both the tbl_LR combo toggle and the Control master toggle are ON; otherwise 1.000. Set the toggle OFF if the indication's premium trend already reflects mod drift — otherwise the drift is double-counted (§3.3.4).</t>
  </si>
  <si>
    <t>Identity check (§3.3.5): with uniform writings, annual term, and a globally linear path, the CY earned mod equals the written mod at 1/1 of that year, within 0.0002; the check self-suspends when its preconditions fail (D29).</t>
  </si>
  <si>
    <t>6. The bridge</t>
  </si>
  <si>
    <t>LR_current = LR_input x (1 + s) when the input basis is 'proposed'; unchanged when 'current'.  CY_LR(P) = LR_current x A_rate(P) x A_mod(P) x A_other.  CY_LR(P+1) = LR_current x (1 + net_trend) x A_rate(P+1) x A_mod(P+1) x A_other (indicative). A_other defaults to 1.000 and requires a text label when it differs.</t>
  </si>
  <si>
    <t>Communication metrics: CY earned rate change vs indication = E_CY(P)/CRL_ind - 1; year-over-year earned rate changes E_CY(P)/E_CY(P-1) - 1 and E_CY(P+1)/E_CY(P) - 1 (the carryover-plus-new-actions figures planning teams quote).</t>
  </si>
  <si>
    <t>State Summary shows this bridge as VISIBLE arithmetic (D61): on a row that resolves to a single BU x state combo the plan LR cell is literally the product of the four factor cells to its left, so the exhibit can be audited by multiplying across rather than trusting a lookup — a Checks row ties that product to the engine's own value at 1e-9. Where a row aggregates several combos (the 'All' view of a state served by more than one BU, and the total band) the factors shown are EP-weighted averages, whose product is NOT the EP-weighted plan LR; there the exact weighted value is displayed and the 'Mix' column carries the difference, the same residual convention as the Portfolio bridge. Rate-change slots carry a status token: T = taken, P = planned, and a trailing * marks a change the indication did not count (so it moves the plan but not CRL_ind).</t>
  </si>
  <si>
    <t>6b. Net rate selection (optional, per BU x state)</t>
  </si>
  <si>
    <t>When a combo's 'Net sel P' input is set (tbl_LR; blank = off), planning switches from the explicit rate program to an OUTCOME target: define the combined net price index q(k) = W(k) x M_w(k)/M_ind (rate and schedule-mod price together, normalized to the indication's mod). Cohorts written before 1/1/P keep their fully-modeled q — actual rate history and actual mod drift, the carryover half of CY P earnings. Cohorts written on/after 1/1/P instead renew at the selection: q(k) = q(k-12) x (1 + x), superseding planned rate rows and the projected mod path for those cohorts only. The optional P+1 selection covers cohorts written in P+1 (blank = carry x).</t>
  </si>
  <si>
    <t>Under a net selection the bridge shows one combined factor A_net = CRL_ind / E_CY[q] on the rate line and A_mod = 1 (rate and price are inseparable in a net target). Note the compounding consequence, visible in the Rate Engine's 'Q net' column: a cohort renewing business that already carries a recent increase compounds the selection on top of it — that is the literal meaning of an x% net target on renewals. Solver and Scenarios' planned-row levers describe the explicit-program counterfactual (on-sheet notes flag this); the D-net scenario lever varies the selection itself. Attribution suspends its premium-side steps for net-mode combos.</t>
  </si>
  <si>
    <t>6c. Net Delivery decomposition (D57)</t>
  </si>
  <si>
    <t>For a combo on a net selection, the target's month-by-month delivery on renewals factors exactly (the indication mod cancels): delivered(m) = [W(m)/W(m-12)] x [M(m)/M(m-12)]. The rate leg's base is the LIVE rows — taken rows plus planned rows effective before 1/1/P (only planned rows on/after 1/1/P are superseded; this deliberately differs from the Solver's taken-only D13 base). One new change r at the state's chosen date D enters each month affinely, W_new(m) = A(m) + B(m) x r, with the D31 first-in-month day-blend at the earlier of D and the first live in-month change.</t>
  </si>
  <si>
    <t>The suggested filed change solves the WRITTEN-basis average in closed form: with mods on the already-projected path, r* = ((1+x) x SUM w - C0) / C1. The dual solve expresses the pricing side as one number: plan-month mods are affine in M_1 along the anchor path, so the year-end written mod M_1' that delivers the target given r also solves in one sum. The required pricing change by month is (1+x)/(1+rate leg) - 1 — the Net Delivery grids.</t>
  </si>
  <si>
    <t>Constraints and honesty: D must lie inside the plan year (a prior-year vehicle also changes the year-ago comparison base — enter it in the Rate Log); the P+1 selection is out of scope (its year-ago base is itself the asserted net path); with the mod adjustment off the target is rate-only and pricing columns show a dash; the written-basis solve is disclosed against the earned shape via the 'plan LR if you book this program' reconciliation (a single filed change cannot match both averages at once).</t>
  </si>
  <si>
    <t>Defaults (D63): with both input columns blank the tab adopts the PLANNED filing already in the rate log for the plan year — its date, and its EFFECTIVE percent (filed x achievement), which is what actually earns. A net selection supersedes those rows in the engine (D39), so this is where one is deliberately put back: the question becomes 'if I book the filing I am already planning, how much does pricing still have to carry?' rather than 'what single filing would hit the target alone'. The suggested change stays on the exhibit beside it, so the gap between intent and requirement is visible. Only the FIRST planned filing inside the plan year is adopted (the decomposition carries one change at one date, and compounding two filings onto one date would misstate the D31 day-blend); a state with more is flagged MULTI-PLANNED. With no planned filing the tab falls back to the default date and the suggestion, exactly as before.</t>
  </si>
  <si>
    <t>6d. Program Flow (descriptive, D59)</t>
  </si>
  <si>
    <t>The descriptive twin of 6c: no target and no new change — the month-by-month YoY change on renewals from the program AS LOGGED. Rate leg = W(m)/W(m-12) - 1 on PROGRAM basis: every Rate Log row enters as logged, taken at filed %, planned at filed % x achievement. Mod leg = M_w(m)/M_w(m-12) - 1 along the anchored written-mod path (dash when the mod adjustment is off). Delivered net = the product. Net-mode supersession is deliberately NOT applied: for a net-target combo the gap between program-basis delivery and the asserted (1+x) is the exhibit's point, and Net Delivery prescribes what closes it.</t>
  </si>
  <si>
    <t>The Flow Dashboard's monthly detail carries the same legs for the selected combo plus a LOCKED leg — the rate leg recomputed on taken rows only (the Solver's D13 filter with the status-aware first-change flag, D58) — and the planned residual, (1 + rate leg)/(1 + locked) - 1: how much of each month's YoY still rides on planned actions. Per-state plan-year averages are written-weighted means of the monthly RATIOS (the Net Delivery delivered-average convention, not the calendar-year aggregate-ratio convention).</t>
  </si>
  <si>
    <t>The 'All' view (D60) combines business units on adjusted-EP weights: each combo's monthly legs are published as flat columns on the hidden results table, so every combined figure is a single EP x weight SUMPRODUCT. Within a state the seasonality weights cancel (they are keyed by state), making state rows pure EP-weighted means; the IN VIEW rows use EP x weight across states — the book-level flow line. Combined legs are weighted MEANS: rate x mod need not multiply to delivered exactly under mix (delivered is the exact statistic — the same honesty as the Portfolio bridge's mix line). The delta-vs-assertion column stays per-BU, and a view-independent Checks advisory watches every net combo's program-vs-assertion gap book-wide.</t>
  </si>
  <si>
    <t>6e. Program basis vs the assertion at the plan-LR level (D65). A net selection replaces the premium side with one asserted combined factor (A_mod = 1); the same combo also has an EXPLICIT valuation — its logged rate program earning in, times its projected mod path — and the workbook now publishes both. 'Plan LR - program basis' is LR_current x (CRL / E_CY on the written path) x mod drift x A_other; the gap against the headline is what booking the program instead of asserting the target would cost or save. It appears on State Summary (per state, EP-weighted), Portfolio (per combo), Program Flow (the plan-LR twin of its monthly leg gap), the Control KPI band (book-wide), and as a sentence on the Bridge. Combos with no net selection have only one path, so the two valuations are identical by construction — a Checks row asserts exactly that on every non-net row, which is what keeps the feature honest.</t>
  </si>
  <si>
    <t>7. Solver (E1)</t>
  </si>
  <si>
    <t>The CY earned index is linear in a single unknown change r, so the required rate solves in closed form: E(r) = (C_pre + (1+r) C_post) / D. The base index W0 uses taken rows only — the Solver replaces the ENTIRE planned program with one action at the chosen date (D13). When a taken change shares the effective month, the split follows the engine's first-change-date blend exactly (D31) — measured at the first TAKEN change: planned rows never enter the base, so an earlier planned row in the same month cannot steal the split (D58). Guard rails warn on thin post-effective exposure and on rates beyond the configured reasonability bound.</t>
  </si>
  <si>
    <t>8. Attribution (E2)</t>
  </si>
  <si>
    <t>Sequential multiplicative decomposition of (actual - plan) CY LR, in the stated order: 1) rate magnitude (achieved % at planned dates), 2) rate timing (achieved % at actual dates), 3) mod drift (actual mod path, plan M_ind held fixed — D31), 4) loss-side residual. The decomposition is order-dependent; a different ordering would allocate interaction terms differently. Taken rows are assumed booked as logged.</t>
  </si>
  <si>
    <t>9. Assumptions and limitations</t>
  </si>
  <si>
    <t>Rate changes apply to all written premium — no new/renewal split in v1 (future hook: differential new vs renewal rate achievement).</t>
  </si>
  <si>
    <t>Exposure/audit premium effects (e.g., WC payroll audits) are out of scope.</t>
  </si>
  <si>
    <t>No retention response to rate is modeled (future hook).</t>
  </si>
  <si>
    <t>Premium-volume planning (EP x LR -&gt; plan losses) is a future hook; plan EP here only weights the Portfolio total.</t>
  </si>
  <si>
    <t>Automated input refresh from Snowflake / Power Query is a future hook; in v1 all inputs are entered or pasted into the Inputs tables manually.</t>
  </si>
  <si>
    <t>Multiple rate changes within one BU|LOB cohort month blend at the first change date (advisory-flagged). Enter changes in distinct months for exact treatment.</t>
  </si>
  <si>
    <t>All ratios are currency-agnostic. Percent inputs are stored as decimal fractions.</t>
  </si>
  <si>
    <t>The engine window is Jan (P-2) .. Dec (P+1); changes before it fold into the base index, changes after it never earn and affect only CRL_ind if flagged considered.</t>
  </si>
  <si>
    <t>9b. Rate Engine column dictionary — the cohort block, column by column</t>
  </si>
  <si>
    <t>The 48-row cohort block appears on the Rate Engine and (same formulas) in every hidden _calc combo block. Each row is one monthly writing cohort, Jan (P-2) through Dec (P+1).</t>
  </si>
  <si>
    <t>A</t>
  </si>
  <si>
    <t>Cohort number, 1..48.</t>
  </si>
  <si>
    <t>B-D</t>
  </si>
  <si>
    <t>Written month / Month end / Days</t>
  </si>
  <si>
    <t>The month this cohort of policies is written, plus calendar helpers for the mid-month split.</t>
  </si>
  <si>
    <t>E</t>
  </si>
  <si>
    <t>Calendar month number — drives the seasonality weight lookup.</t>
  </si>
  <si>
    <t>F</t>
  </si>
  <si>
    <t>The serial date at the middle of the writing month; the cohort writes there and its mod is sampled there.</t>
  </si>
  <si>
    <t>G</t>
  </si>
  <si>
    <t>Absolute month index (year x 12 + month - 1); the earning matrix is keyed on it.</t>
  </si>
  <si>
    <t>H</t>
  </si>
  <si>
    <t>Written-exposure weight: 1.00 under uniform writings, or the state's normalized seasonality weight.</t>
  </si>
  <si>
    <t>I</t>
  </si>
  <si>
    <t>Cumulative rate index from changes effective strictly before the month.</t>
  </si>
  <si>
    <t>J</t>
  </si>
  <si>
    <t>Cumulative rate index including changes through month end.</t>
  </si>
  <si>
    <t>K</t>
  </si>
  <si>
    <t>Count of this combo's rate changes effective inside the month.</t>
  </si>
  <si>
    <t>L</t>
  </si>
  <si>
    <t>Days in the month on/after the first in-month change date.</t>
  </si>
  <si>
    <t>M</t>
  </si>
  <si>
    <t>Day-weighted share of the month's writings at the post-change level: p = L / days in month.</t>
  </si>
  <si>
    <t>The cohort's blended written index: (1 - p) x W_pre + p x W_post.</t>
  </si>
  <si>
    <t>O</t>
  </si>
  <si>
    <t>The written-mod path sampled at the cohort's mid-month (computed on the Mod Engine).</t>
  </si>
  <si>
    <t>P-R</t>
  </si>
  <si>
    <t>Earned in P-1 / P / P+1 (ec)</t>
  </si>
  <si>
    <t>The share of the cohort's premium each calendar year earns: ec = C(end) - C(start - 1) with C(o) = MIN(1, MAX(0, (o + 0.5) / T)).</t>
  </si>
  <si>
    <t>S</t>
  </si>
  <si>
    <t>W x M_w / M_ind — the cohort's combined net price as modeled (used under a net rate selection).</t>
  </si>
  <si>
    <t>T</t>
  </si>
  <si>
    <t>Equals q before 1/1/P; from 1/1/P each cohort renews at Q(k - 12) x (1 + net selection).</t>
  </si>
  <si>
    <t>U</t>
  </si>
  <si>
    <t>What the aggregates actually read: the net path Q under a net selection, the written index W otherwise.</t>
  </si>
  <si>
    <t>rows 66-73</t>
  </si>
  <si>
    <t>Aggregate strip</t>
  </si>
  <si>
    <t>Per earned month: numerator SUM w-e-W, denominator SUM w-e, earned index E_m, min/max W bounds with a violation check, earned mod by month, and the mod numerator behind the price series.</t>
  </si>
  <si>
    <t>10. Technical appendix — named-range dictionary (auto-generated)</t>
  </si>
  <si>
    <t>Every defined name in the workbook, for auditors and formula readers. Nothing below is needed to USE the workbook — the exhibits and the sections above are self-contained.</t>
  </si>
  <si>
    <t>Name</t>
  </si>
  <si>
    <t>Refers to</t>
  </si>
  <si>
    <t>Description</t>
  </si>
  <si>
    <t>att_actdate</t>
  </si>
  <si>
    <t>Attribution!$F$14:$F$21</t>
  </si>
  <si>
    <t>Attribution: actual effective date per planned row (blank = plan)</t>
  </si>
  <si>
    <t>att_actlr</t>
  </si>
  <si>
    <t>Attribution!$C$10</t>
  </si>
  <si>
    <t>Attribution: actual CY LR outcome</t>
  </si>
  <si>
    <t>att_actpct</t>
  </si>
  <si>
    <t>Attribution!$E$14:$E$21</t>
  </si>
  <si>
    <t>Attribution: actual achieved total change per planned row (blank = plan)</t>
  </si>
  <si>
    <t>att_asof</t>
  </si>
  <si>
    <t>Attribution!$C$7</t>
  </si>
  <si>
    <t>Attribution: actual as-of date (blank = plan)</t>
  </si>
  <si>
    <t>att_m0</t>
  </si>
  <si>
    <t>Attribution!$C$6</t>
  </si>
  <si>
    <t>Attribution: actual current written mod (blank = plan)</t>
  </si>
  <si>
    <t>att_m1</t>
  </si>
  <si>
    <t>Attribution!$C$8</t>
  </si>
  <si>
    <t>Attribution: actual written mod at 12/31/P</t>
  </si>
  <si>
    <t>att_m2</t>
  </si>
  <si>
    <t>Attribution!$C$9</t>
  </si>
  <si>
    <t>Attribution: actual written mod at 12/31/(P+1)</t>
  </si>
  <si>
    <t>att_reconciles</t>
  </si>
  <si>
    <t>Attribution!$B$32</t>
  </si>
  <si>
    <t>Attribution reconciliation status</t>
  </si>
  <si>
    <t>br_selrow</t>
  </si>
  <si>
    <t>Bridge!$F$36</t>
  </si>
  <si>
    <t>tbl_LR row of the selected combo (0 = absent)</t>
  </si>
  <si>
    <t>calc_amod_p</t>
  </si>
  <si>
    <t>_calc!$K$4:$K$72</t>
  </si>
  <si>
    <t>A_mod(P) by combo</t>
  </si>
  <si>
    <t>calc_amod_p1</t>
  </si>
  <si>
    <t>_calc!$L$4:$L$72</t>
  </si>
  <si>
    <t>A_mod(P+1) by combo</t>
  </si>
  <si>
    <t>calc_aother</t>
  </si>
  <si>
    <t>_calc!$R$4:$R$72</t>
  </si>
  <si>
    <t>A_other by combo (1 when blank)</t>
  </si>
  <si>
    <t>calc_arate_p</t>
  </si>
  <si>
    <t>_calc!$I$4:$I$72</t>
  </si>
  <si>
    <t>A_rate(P) by combo</t>
  </si>
  <si>
    <t>calc_arate_p1</t>
  </si>
  <si>
    <t>_calc!$J$4:$J$72</t>
  </si>
  <si>
    <t>A_rate(P+1) by combo</t>
  </si>
  <si>
    <t>calc_bu</t>
  </si>
  <si>
    <t>_calc!$U$4:$U$72</t>
  </si>
  <si>
    <t>BU echo, aligned with tbl_LR rows</t>
  </si>
  <si>
    <t>calc_carry</t>
  </si>
  <si>
    <t>_calc!$Q$4:$Q$72</t>
  </si>
  <si>
    <t>Carryover into P+1 by combo</t>
  </si>
  <si>
    <t>calc_crl</t>
  </si>
  <si>
    <t>_calc!$C$4:$C$72</t>
  </si>
  <si>
    <t>CRL_ind by combo</t>
  </si>
  <si>
    <t>calc_cylr1_prog</t>
  </si>
  <si>
    <t>_calc!$CP$4:$CP$72</t>
  </si>
  <si>
    <t>CY P+1 plan LR on the explicit paths</t>
  </si>
  <si>
    <t>calc_cylr_p</t>
  </si>
  <si>
    <t>_calc!$N$4:$N$72</t>
  </si>
  <si>
    <t>CY plan LR(P) by combo</t>
  </si>
  <si>
    <t>calc_cylr_p1</t>
  </si>
  <si>
    <t>_calc!$O$4:$O$72</t>
  </si>
  <si>
    <t>CY LR(P+1) indicative by combo</t>
  </si>
  <si>
    <t>calc_cylr_prog</t>
  </si>
  <si>
    <t>_calc!$CO$4:$CO$72</t>
  </si>
  <si>
    <t>CY P plan LR on the EXPLICIT rate x mod paths (D65)</t>
  </si>
  <si>
    <t>calc_echg</t>
  </si>
  <si>
    <t>_calc!$P$4:$P$72</t>
  </si>
  <si>
    <t>CY earned rate chg vs indication by combo</t>
  </si>
  <si>
    <t>calc_ecy_p</t>
  </si>
  <si>
    <t>_calc!$E$4:$E$72</t>
  </si>
  <si>
    <t>E_CY(P) by combo</t>
  </si>
  <si>
    <t>calc_ecy_p1</t>
  </si>
  <si>
    <t>_calc!$F$4:$F$72</t>
  </si>
  <si>
    <t>E_CY(P+1) by combo</t>
  </si>
  <si>
    <t>calc_ecy_pm1</t>
  </si>
  <si>
    <t>_calc!$D$4:$D$72</t>
  </si>
  <si>
    <t>E_CY(P-1) by combo</t>
  </si>
  <si>
    <t>calc_ep</t>
  </si>
  <si>
    <t>_calc!$V$4:$V$72</t>
  </si>
  <si>
    <t>Adjusted plan EP by combo (0 when blank)</t>
  </si>
  <si>
    <t>calc_key</t>
  </si>
  <si>
    <t>_calc!$A$4:$A$72</t>
  </si>
  <si>
    <t>Combo keys, aligned 1:1 with tbl_LR rows</t>
  </si>
  <si>
    <t>calc_lrcur</t>
  </si>
  <si>
    <t>_calc!$M$4:$M$72</t>
  </si>
  <si>
    <t>LR at current rate level by combo</t>
  </si>
  <si>
    <t>calc_mbar_p</t>
  </si>
  <si>
    <t>_calc!$G$4:$G$72</t>
  </si>
  <si>
    <t>CY P earned mod by combo</t>
  </si>
  <si>
    <t>calc_mbar_p1</t>
  </si>
  <si>
    <t>_calc!$H$4:$H$72</t>
  </si>
  <si>
    <t>CY P+1 earned mod by combo</t>
  </si>
  <si>
    <t>calc_netmode</t>
  </si>
  <si>
    <t>_calc!$AK$4:$AK$72</t>
  </si>
  <si>
    <t>1 when the combo carries a net rate selection (D39)</t>
  </si>
  <si>
    <t>calc_netx</t>
  </si>
  <si>
    <t>_calc!$AL$4:$AL$72</t>
  </si>
  <si>
    <t>Net selection x(P) by combo (0 when off)</t>
  </si>
  <si>
    <t>calc_nplanned</t>
  </si>
  <si>
    <t>_calc!$CV$4:$CV$72</t>
  </si>
  <si>
    <t>Count of PLANNED rate-log rows for the combo</t>
  </si>
  <si>
    <t>calc_ntaken</t>
  </si>
  <si>
    <t>_calc!$CU$4:$CU$72</t>
  </si>
  <si>
    <t>Count of TAKEN rate-log rows for the combo (D66)</t>
  </si>
  <si>
    <t>calc_proggap</t>
  </si>
  <si>
    <t>_calc!$CT$4:$CT$72</t>
  </si>
  <si>
    <t>Net rows: program basis minus the asserted plan LR, in points</t>
  </si>
  <si>
    <t>calc_progident</t>
  </si>
  <si>
    <t>_calc!$CS$4:$CS$72</t>
  </si>
  <si>
    <t>Non-net rows: |program basis - headline| for both years; 0 on net rows</t>
  </si>
  <si>
    <t>calc_state</t>
  </si>
  <si>
    <t>_calc!$T$4:$T$72</t>
  </si>
  <si>
    <t>State echo, aligned with tbl_LR rows</t>
  </si>
  <si>
    <t>calc_term</t>
  </si>
  <si>
    <t>_calc!$B$4:$B$72</t>
  </si>
  <si>
    <t>Policy term by combo</t>
  </si>
  <si>
    <t>calc_trend</t>
  </si>
  <si>
    <t>_calc!$S$4:$S$72</t>
  </si>
  <si>
    <t>Effective P+1 net trend by combo (blank inherits the default)</t>
  </si>
  <si>
    <t>calc_w_amod</t>
  </si>
  <si>
    <t>_calc!$AD$4:$AD$72</t>
  </si>
  <si>
    <t>A_mod(P) x EP</t>
  </si>
  <si>
    <t>calc_w_amod1</t>
  </si>
  <si>
    <t>_calc!$AI$4:$AI$72</t>
  </si>
  <si>
    <t>A_mod(P+1) x EP</t>
  </si>
  <si>
    <t>calc_w_aother</t>
  </si>
  <si>
    <t>_calc!$CN$4:$CN$72</t>
  </si>
  <si>
    <t>A_other x EP (State Summary bridge-chain weighting, D61)</t>
  </si>
  <si>
    <t>calc_w_arate</t>
  </si>
  <si>
    <t>_calc!$AB$4:$AB$72</t>
  </si>
  <si>
    <t>A_rate(P) x EP</t>
  </si>
  <si>
    <t>calc_w_arate1</t>
  </si>
  <si>
    <t>_calc!$AH$4:$AH$72</t>
  </si>
  <si>
    <t>A_rate(P+1) x EP</t>
  </si>
  <si>
    <t>calc_w_crl</t>
  </si>
  <si>
    <t>_calc!$Z$4:$Z$72</t>
  </si>
  <si>
    <t>CRL_ind x EP</t>
  </si>
  <si>
    <t>calc_w_cylr</t>
  </si>
  <si>
    <t>_calc!$AF$4:$AF$72</t>
  </si>
  <si>
    <t>CY plan LR(P) x EP</t>
  </si>
  <si>
    <t>calc_w_cylr1</t>
  </si>
  <si>
    <t>_calc!$AJ$4:$AJ$72</t>
  </si>
  <si>
    <t>CY LR(P+1) x EP</t>
  </si>
  <si>
    <t>calc_w_cylr1_prog</t>
  </si>
  <si>
    <t>_calc!$CR$4:$CR$72</t>
  </si>
  <si>
    <t>Program-basis CY P+1 plan LR x EP</t>
  </si>
  <si>
    <t>calc_w_cylr_prog</t>
  </si>
  <si>
    <t>_calc!$CQ$4:$CQ$72</t>
  </si>
  <si>
    <t>Program-basis CY P plan LR x EP</t>
  </si>
  <si>
    <t>calc_w_ecy</t>
  </si>
  <si>
    <t>_calc!$AA$4:$AA$72</t>
  </si>
  <si>
    <t>E_CY(P) x EP</t>
  </si>
  <si>
    <t>calc_w_lrcur</t>
  </si>
  <si>
    <t>_calc!$AE$4:$AE$72</t>
  </si>
  <si>
    <t>LR_current x EP</t>
  </si>
  <si>
    <t>calc_w_m0</t>
  </si>
  <si>
    <t>_calc!$X$4:$X$72</t>
  </si>
  <si>
    <t>M_0 x EP</t>
  </si>
  <si>
    <t>calc_w_m1</t>
  </si>
  <si>
    <t>_calc!$Y$4:$Y$72</t>
  </si>
  <si>
    <t>M_1 x EP</t>
  </si>
  <si>
    <t>calc_w_mbar</t>
  </si>
  <si>
    <t>_calc!$AC$4:$AC$72</t>
  </si>
  <si>
    <t>Earned mod(P) x EP</t>
  </si>
  <si>
    <t>calc_w_mind</t>
  </si>
  <si>
    <t>_calc!$W$4:$W$72</t>
  </si>
  <si>
    <t>M_ind x EP (State Summary weighting)</t>
  </si>
  <si>
    <t>calc_w_trend</t>
  </si>
  <si>
    <t>_calc!$AG$4:$AG$72</t>
  </si>
  <si>
    <t>Net trend x EP</t>
  </si>
  <si>
    <t>ck_overall</t>
  </si>
  <si>
    <t>Checks!$C$3</t>
  </si>
  <si>
    <t>Overall PASS/FAIL status (shown on Control)</t>
  </si>
  <si>
    <t>fd_avgdel</t>
  </si>
  <si>
    <t>'Flow Dashboard'!$U$79</t>
  </si>
  <si>
    <t>Plan-year w-weighted avg YoY delivered net from the visible engine path (ties the _calc block results, D59)</t>
  </si>
  <si>
    <t>fd_tkw</t>
  </si>
  <si>
    <t>_calc!$N$4729:$N$4776</t>
  </si>
  <si>
    <t>Taken-only written index for the Control selection (Flow Dashboard locked leg, D59)</t>
  </si>
  <si>
    <t>lr_aother</t>
  </si>
  <si>
    <t>Inputs!$N$12:$N$80</t>
  </si>
  <si>
    <t>A_other manual adjustment factor</t>
  </si>
  <si>
    <t>lr_aotherlbl</t>
  </si>
  <si>
    <t>Inputs!$O$12:$O$80</t>
  </si>
  <si>
    <t>Label required when A_other &lt;&gt; 1</t>
  </si>
  <si>
    <t>lr_basis</t>
  </si>
  <si>
    <t>Inputs!$D$12:$D$80</t>
  </si>
  <si>
    <t>LR basis: current | proposed</t>
  </si>
  <si>
    <t>lr_bu</t>
  </si>
  <si>
    <t>Inputs!$A$12:$A$80</t>
  </si>
  <si>
    <t>tbl_LR business unit</t>
  </si>
  <si>
    <t>lr_ep</t>
  </si>
  <si>
    <t>Inputs!$L$12:$L$80</t>
  </si>
  <si>
    <t>ADJUSTED plan earned premium (000s) — the weight behind Portfolio totals and State Summary aggregates</t>
  </si>
  <si>
    <t>lr_key</t>
  </si>
  <si>
    <t>Inputs!$T$12:$T$80</t>
  </si>
  <si>
    <t>Helper: concatenated BU|State key (right of the paste block, D40)</t>
  </si>
  <si>
    <t>lr_lrproj</t>
  </si>
  <si>
    <t>Inputs!$C$12:$C$80</t>
  </si>
  <si>
    <t>Projected loss ratio from the indication</t>
  </si>
  <si>
    <t>lr_m0</t>
  </si>
  <si>
    <t>Inputs!$G$12:$G$80</t>
  </si>
  <si>
    <t>M_0: current avg written mod</t>
  </si>
  <si>
    <t>lr_m0asof</t>
  </si>
  <si>
    <t>Inputs!$H$12:$H$80</t>
  </si>
  <si>
    <t>M_0 as-of date (close of day)</t>
  </si>
  <si>
    <t>lr_m1</t>
  </si>
  <si>
    <t>Inputs!$I$12:$I$80</t>
  </si>
  <si>
    <t>M_1: projected avg written mod at 12/31/P</t>
  </si>
  <si>
    <t>lr_m2</t>
  </si>
  <si>
    <t>Inputs!$K$12:$K$80</t>
  </si>
  <si>
    <t>M_2: projected avg written mod at 12/31/(P+1); blank = M_1</t>
  </si>
  <si>
    <t>lr_mind</t>
  </si>
  <si>
    <t>Inputs!$F$12:$F$80</t>
  </si>
  <si>
    <t>M_ind: avg schedule mod assumed in the indication</t>
  </si>
  <si>
    <t>lr_modadj</t>
  </si>
  <si>
    <t>Inputs!$P$12:$P$80</t>
  </si>
  <si>
    <t>Per-combo mod adjustment toggle (ON/OFF)</t>
  </si>
  <si>
    <t>lr_mprior</t>
  </si>
  <si>
    <t>Inputs!$J$12:$J$80</t>
  </si>
  <si>
    <t>M_prior: avg mod ~12 months before M_0 (optional)</t>
  </si>
  <si>
    <t>lr_netp</t>
  </si>
  <si>
    <t>Inputs!$Q$12:$Q$80</t>
  </si>
  <si>
    <t>OPTIONAL net rate selection for P: YoY combined rate x mod target from 1/1/P (blank = explicit program, D39)</t>
  </si>
  <si>
    <t>lr_netp1</t>
  </si>
  <si>
    <t>Inputs!$R$12:$R$80</t>
  </si>
  <si>
    <t>OPTIONAL net selection for P+1 (blank = carry the P selection)</t>
  </si>
  <si>
    <t>lr_s</t>
  </si>
  <si>
    <t>Inputs!$E$12:$E$80</t>
  </si>
  <si>
    <t>Selected/indicated change s (used when basis = proposed)</t>
  </si>
  <si>
    <t>lr_state</t>
  </si>
  <si>
    <t>Inputs!$B$12:$B$80</t>
  </si>
  <si>
    <t>tbl_LR state</t>
  </si>
  <si>
    <t>lr_trend</t>
  </si>
  <si>
    <t>Inputs!$M$12:$M$80</t>
  </si>
  <si>
    <t>Annual net loss-over-premium trend for the P+1 view</t>
  </si>
  <si>
    <t>lst_basis</t>
  </si>
  <si>
    <t>_lists!$E$3:$E$4</t>
  </si>
  <si>
    <t>lst_basisdisp</t>
  </si>
  <si>
    <t>_lists!$H$3:$H$4</t>
  </si>
  <si>
    <t>Projected-LR KPI display</t>
  </si>
  <si>
    <t>lst_bu</t>
  </si>
  <si>
    <t>_lists!$A$3:INDEX(_lists!$A$3:$A$71,MAX(1,_lists!$N$1))</t>
  </si>
  <si>
    <t>LIVE unique business units from tbl_LR (self-sizing, D42)</t>
  </si>
  <si>
    <t>lst_bu_all</t>
  </si>
  <si>
    <t>_lists!$I$3:INDEX(_lists!$I$3:$I$72,MAX(1,_lists!$N$1+1))</t>
  </si>
  <si>
    <t>State Summary BU filter: 'All' + live business units (D42)</t>
  </si>
  <si>
    <t>lst_onoff</t>
  </si>
  <si>
    <t>_lists!$F$3:$F$4</t>
  </si>
  <si>
    <t>Toggles</t>
  </si>
  <si>
    <t>lst_scenario</t>
  </si>
  <si>
    <t>_lists!$G$3:$G$7</t>
  </si>
  <si>
    <t>Scenario selector</t>
  </si>
  <si>
    <t>lst_state</t>
  </si>
  <si>
    <t>_lists!$B$3:INDEX(_lists!$B$3:$B$71,MAX(1,_lists!$P$1))</t>
  </si>
  <si>
    <t>LIVE unique states from tbl_LR (self-sizing, D42)</t>
  </si>
  <si>
    <t>lst_state_cnt</t>
  </si>
  <si>
    <t>_lists!$P$1</t>
  </si>
  <si>
    <t>Count of distinct states currently in tbl_LR</t>
  </si>
  <si>
    <t>lst_status</t>
  </si>
  <si>
    <t>_lists!$C$3:$C$4</t>
  </si>
  <si>
    <t>Rate change status</t>
  </si>
  <si>
    <t>lst_yn</t>
  </si>
  <si>
    <t>_lists!$D$3:$D$4</t>
  </si>
  <si>
    <t>Yes/No flags</t>
  </si>
  <si>
    <t>me_identity</t>
  </si>
  <si>
    <t>'Mod Engine'!$L$11</t>
  </si>
  <si>
    <t>Written mod at 1/1/P — equals CY P earned mod under the §3.3.5 identity</t>
  </si>
  <si>
    <t>me_identity_ok</t>
  </si>
  <si>
    <t>'Mod Engine'!$L$12</t>
  </si>
  <si>
    <t>TRUE when the linear-mod identity preconditions hold (no M_prior kink, annual term, uniform writings)</t>
  </si>
  <si>
    <t>me_mw_col</t>
  </si>
  <si>
    <t>'Mod Engine'!$E$17:$E$64</t>
  </si>
  <si>
    <t>Written mod M_w(k) by cohort</t>
  </si>
  <si>
    <t>nd_Ach</t>
  </si>
  <si>
    <t>'Net Delivery'!$I$5</t>
  </si>
  <si>
    <t>Assumed achievement on the suggested filing (filed equivalent = r / this)</t>
  </si>
  <si>
    <t>nd_BU</t>
  </si>
  <si>
    <t>'Net Delivery'!$B$5</t>
  </si>
  <si>
    <t>Net Delivery BU in view (delivery needs a single BU; All = roll-up only)</t>
  </si>
  <si>
    <t>nd_BandBU</t>
  </si>
  <si>
    <t>'Net Delivery'!$B$99</t>
  </si>
  <si>
    <t>Deep-dive band BU picker (independent of the table's BU filter)</t>
  </si>
  <si>
    <t>nd_BandState</t>
  </si>
  <si>
    <t>'Net Delivery'!$D$99</t>
  </si>
  <si>
    <t>Deep-dive band state picker</t>
  </si>
  <si>
    <t>nd_DefaultDate</t>
  </si>
  <si>
    <t>'Net Delivery'!$F$5</t>
  </si>
  <si>
    <t>Resolved default effective date for suggested changes</t>
  </si>
  <si>
    <t>nd_DefaultDateRaw</t>
  </si>
  <si>
    <t>'Net Delivery'!$E$5</t>
  </si>
  <si>
    <t>Default rate-change date (blank = April 1 of the plan year)</t>
  </si>
  <si>
    <t>nd_MaxResid</t>
  </si>
  <si>
    <t>_netcalc!$J$1</t>
  </si>
  <si>
    <t>Largest closed-form solve residual across all delivery blocks</t>
  </si>
  <si>
    <t>nd_NetSelfChk</t>
  </si>
  <si>
    <t>_netcalc!$R$1642</t>
  </si>
  <si>
    <t>Max |T(m)/T(m-12) - (1+x)| on the engine's own net path (band combo)</t>
  </si>
  <si>
    <t>nd_YagoDiff</t>
  </si>
  <si>
    <t>_netcalc!$Q$1642</t>
  </si>
  <si>
    <t>Max |live-filter year-ago index - full-log _calc index| (band combo)</t>
  </si>
  <si>
    <t>nd_band_top</t>
  </si>
  <si>
    <t>_netcalc!$A$1591</t>
  </si>
  <si>
    <t>Band block anchor (state echo)</t>
  </si>
  <si>
    <t>ndd_dates</t>
  </si>
  <si>
    <t>'Net Delivery'!$D$9:$D$32</t>
  </si>
  <si>
    <t>Per-state rate-change dates (blank = default)</t>
  </si>
  <si>
    <t>ndd_filed</t>
  </si>
  <si>
    <t>'Net Delivery'!$E$9:$E$32</t>
  </si>
  <si>
    <t>Per-state filed % overrides (blank = the planned filing, else suggested)</t>
  </si>
  <si>
    <t>ndd_flags</t>
  </si>
  <si>
    <t>'Net Delivery'!$P$9:$P$32</t>
  </si>
  <si>
    <t>Per-state feasibility flags (empty = clean; — = not on a net selection)</t>
  </si>
  <si>
    <t>ndd_states</t>
  </si>
  <si>
    <t>'Net Delivery'!$A$9:$A$32</t>
  </si>
  <si>
    <t>Net Delivery roster state column</t>
  </si>
  <si>
    <t>ndl_days</t>
  </si>
  <si>
    <t>_netcalc!$E$4:$E$243</t>
  </si>
  <si>
    <t>Live-row days on/after the change</t>
  </si>
  <si>
    <t>ndl_eff</t>
  </si>
  <si>
    <t>_netcalc!$B$4:$B$243</t>
  </si>
  <si>
    <t>Live-row effective date ('' when superseded)</t>
  </si>
  <si>
    <t>ndl_effmonth</t>
  </si>
  <si>
    <t>_netcalc!$C$4:$C$243</t>
  </si>
  <si>
    <t>Live-row effective month</t>
  </si>
  <si>
    <t>ndl_first</t>
  </si>
  <si>
    <t>_netcalc!$H$4:$H$243</t>
  </si>
  <si>
    <t>1 for the first LIVE change in its key + cohort month</t>
  </si>
  <si>
    <t>ndl_live</t>
  </si>
  <si>
    <t>_netcalc!$A$4:$A$243</t>
  </si>
  <si>
    <t>1 for rows live under a net selection (D57)</t>
  </si>
  <si>
    <t>ndl_ln</t>
  </si>
  <si>
    <t>_netcalc!$D$4:$D$243</t>
  </si>
  <si>
    <t>Live-row ln(1 + effective change); 0 when superseded</t>
  </si>
  <si>
    <t>nr_AOther</t>
  </si>
  <si>
    <t>Bridge!$C$51</t>
  </si>
  <si>
    <t>Manual adjustment factor (label required when &lt;&gt; 1)</t>
  </si>
  <si>
    <t>nr_AOtherLbl</t>
  </si>
  <si>
    <t>Bridge!$C$52</t>
  </si>
  <si>
    <t>Reason for A_other</t>
  </si>
  <si>
    <t>nr_Amod_P</t>
  </si>
  <si>
    <t>'Mod Engine'!$L$8</t>
  </si>
  <si>
    <t>Mod adjustment factor for the plan year (1 under a net selection, D39)</t>
  </si>
  <si>
    <t>nr_Amod_P1</t>
  </si>
  <si>
    <t>'Mod Engine'!$L$9</t>
  </si>
  <si>
    <t>Mod adjustment factor for plan year + 1 (1 under a net selection)</t>
  </si>
  <si>
    <t>nr_Arate_P</t>
  </si>
  <si>
    <t>'Rate Engine'!$C$9</t>
  </si>
  <si>
    <t>Rate adjustment factor for the plan year</t>
  </si>
  <si>
    <t>nr_Arate_P1</t>
  </si>
  <si>
    <t>'Rate Engine'!$C$10</t>
  </si>
  <si>
    <t>Rate adjustment factor for plan year + 1</t>
  </si>
  <si>
    <t>nr_Basis</t>
  </si>
  <si>
    <t>Bridge!$C$41</t>
  </si>
  <si>
    <t>Basis of the input LR: current | proposed</t>
  </si>
  <si>
    <t>nr_BasisDisp</t>
  </si>
  <si>
    <t>Control!$C$14</t>
  </si>
  <si>
    <t>Projected-LR KPI display basis</t>
  </si>
  <si>
    <t>nr_CRLind</t>
  </si>
  <si>
    <t>'Rate Engine'!$C$5</t>
  </si>
  <si>
    <t>Cumulative rate level in the indication: product over considered rows</t>
  </si>
  <si>
    <t>nr_CYLR_P</t>
  </si>
  <si>
    <t>Bridge!$D$15</t>
  </si>
  <si>
    <t>CY plan loss ratio for the plan year</t>
  </si>
  <si>
    <t>nr_CYLR_P1</t>
  </si>
  <si>
    <t>Bridge!$G$15</t>
  </si>
  <si>
    <t>Indicative CY LR for plan year + 1 (assumes no new indication)</t>
  </si>
  <si>
    <t>nr_ECY_P</t>
  </si>
  <si>
    <t>'Rate Engine'!$C$7</t>
  </si>
  <si>
    <t>Calendar-year earned rate index, plan year</t>
  </si>
  <si>
    <t>nr_ECY_P1</t>
  </si>
  <si>
    <t>'Rate Engine'!$C$8</t>
  </si>
  <si>
    <t>Calendar-year earned rate index, plan year + 1</t>
  </si>
  <si>
    <t>nr_ECY_Pm1</t>
  </si>
  <si>
    <t>'Rate Engine'!$C$6</t>
  </si>
  <si>
    <t>Calendar-year earned rate index, plan year minus 1</t>
  </si>
  <si>
    <t>nr_EChgVsInd</t>
  </si>
  <si>
    <t>'Rate Engine'!$C$11</t>
  </si>
  <si>
    <t>E_CY(P)/CRL_ind - 1</t>
  </si>
  <si>
    <t>nr_LRcur</t>
  </si>
  <si>
    <t>Bridge!$C$43</t>
  </si>
  <si>
    <t>Basis-normalized projected LR (§3.4.1)</t>
  </si>
  <si>
    <t>nr_LRproj</t>
  </si>
  <si>
    <t>Bridge!$C$40</t>
  </si>
  <si>
    <t>Projected loss ratio from the indication, as entered</t>
  </si>
  <si>
    <t>nr_M0</t>
  </si>
  <si>
    <t>Bridge!$C$45</t>
  </si>
  <si>
    <t>Current average written mod</t>
  </si>
  <si>
    <t>nr_M0Asof</t>
  </si>
  <si>
    <t>Bridge!$C$46</t>
  </si>
  <si>
    <t>As-of date of M_0 (anchored close-of-day, D2)</t>
  </si>
  <si>
    <t>nr_M1</t>
  </si>
  <si>
    <t>Bridge!$C$47</t>
  </si>
  <si>
    <t>Projected average written mod at 12/31/P</t>
  </si>
  <si>
    <t>nr_M2</t>
  </si>
  <si>
    <t>Bridge!$C$49</t>
  </si>
  <si>
    <t>Projected written mod at 12/31/(P+1); 0/blank = M_1</t>
  </si>
  <si>
    <t>nr_MEarned_P</t>
  </si>
  <si>
    <t>'Mod Engine'!$L$6</t>
  </si>
  <si>
    <t>Exposure-weighted CY P earned schedule mod</t>
  </si>
  <si>
    <t>nr_MEarned_P1</t>
  </si>
  <si>
    <t>'Mod Engine'!$L$7</t>
  </si>
  <si>
    <t>Exposure-weighted CY P+1 earned schedule mod</t>
  </si>
  <si>
    <t>nr_MEarned_Pm1</t>
  </si>
  <si>
    <t>'Mod Engine'!$L$5</t>
  </si>
  <si>
    <t>Exposure-weighted CY P-1 earned schedule mod</t>
  </si>
  <si>
    <t>nr_MEndP</t>
  </si>
  <si>
    <t>'Rate Engine'!$G$10</t>
  </si>
  <si>
    <t>Abs month index of Dec P</t>
  </si>
  <si>
    <t>nr_MEndP1</t>
  </si>
  <si>
    <t>'Rate Engine'!$G$11</t>
  </si>
  <si>
    <t>Abs month index of Dec (P+1)</t>
  </si>
  <si>
    <t>nr_MEndPm1</t>
  </si>
  <si>
    <t>'Rate Engine'!$G$9</t>
  </si>
  <si>
    <t>Abs month index of Dec (P-1)</t>
  </si>
  <si>
    <t>nr_MInd</t>
  </si>
  <si>
    <t>Bridge!$C$44</t>
  </si>
  <si>
    <t>Average schedule mod assumed in the indication</t>
  </si>
  <si>
    <t>nr_MPrior</t>
  </si>
  <si>
    <t>Bridge!$C$48</t>
  </si>
  <si>
    <t>Average mod ~12 months before M_0; 0/blank = extrapolate backward</t>
  </si>
  <si>
    <t>nr_MStartP</t>
  </si>
  <si>
    <t>'Rate Engine'!$F$10</t>
  </si>
  <si>
    <t>Absolute month index of Jan P</t>
  </si>
  <si>
    <t>nr_MStartP1</t>
  </si>
  <si>
    <t>'Rate Engine'!$F$11</t>
  </si>
  <si>
    <t>Absolute month index of Jan (P+1)</t>
  </si>
  <si>
    <t>nr_MStartPm1</t>
  </si>
  <si>
    <t>'Rate Engine'!$F$9</t>
  </si>
  <si>
    <t>Absolute month index of Jan (P-1); year*12+month-1 convention</t>
  </si>
  <si>
    <t>nr_ModAdjEff</t>
  </si>
  <si>
    <t>Bridge!$C$54</t>
  </si>
  <si>
    <t>TRUE state of the mod adjustment (master AND combo row)</t>
  </si>
  <si>
    <t>nr_ModAdjMaster</t>
  </si>
  <si>
    <t>Control!$C$13</t>
  </si>
  <si>
    <t>Master mod-adjustment toggle (ON/OFF)</t>
  </si>
  <si>
    <t>nr_ModAdjRow</t>
  </si>
  <si>
    <t>Bridge!$C$53</t>
  </si>
  <si>
    <t>Per-combo mod adjustment toggle from tbl_LR</t>
  </si>
  <si>
    <t>nr_NetMode</t>
  </si>
  <si>
    <t>Bridge!$C$55</t>
  </si>
  <si>
    <t>TRUE when this combo carries a net rate selection (D39)</t>
  </si>
  <si>
    <t>nr_NetSelP</t>
  </si>
  <si>
    <t>Bridge!$C$56</t>
  </si>
  <si>
    <t>YoY combined net price target for cohorts written from 1/1/P</t>
  </si>
  <si>
    <t>nr_NetSelP1</t>
  </si>
  <si>
    <t>Bridge!$C$57</t>
  </si>
  <si>
    <t>Net selection for P+1 cohorts (defaults to the P selection)</t>
  </si>
  <si>
    <t>nr_PlanYear</t>
  </si>
  <si>
    <t>Control!$C$6</t>
  </si>
  <si>
    <t>Plan year P</t>
  </si>
  <si>
    <t>nr_SeasonOn</t>
  </si>
  <si>
    <t>Control!$C$12</t>
  </si>
  <si>
    <t>Global seasonality toggle (ON/OFF)</t>
  </si>
  <si>
    <t>nr_SelBU</t>
  </si>
  <si>
    <t>Control!$C$7</t>
  </si>
  <si>
    <t>Selected business unit</t>
  </si>
  <si>
    <t>nr_SelKey</t>
  </si>
  <si>
    <t>Control!$F$6</t>
  </si>
  <si>
    <t>Selected BU|State key</t>
  </si>
  <si>
    <t>nr_SelOK</t>
  </si>
  <si>
    <t>Control!$G$7</t>
  </si>
  <si>
    <t>TRUE when the selected combo exists in tbl_LR</t>
  </si>
  <si>
    <t>nr_SelS</t>
  </si>
  <si>
    <t>Bridge!$C$42</t>
  </si>
  <si>
    <t>Selected/indicated change used for basis normalization</t>
  </si>
  <si>
    <t>nr_SelScenario</t>
  </si>
  <si>
    <t>Control!$C$9</t>
  </si>
  <si>
    <t>Scenario surfaced in the Control KPI row</t>
  </si>
  <si>
    <t>nr_SelState</t>
  </si>
  <si>
    <t>Control!$C$8</t>
  </si>
  <si>
    <t>Selected state</t>
  </si>
  <si>
    <t>nr_SolvMaxRate</t>
  </si>
  <si>
    <t>Solver!$C$21</t>
  </si>
  <si>
    <t>Solver reasonability bound (config)</t>
  </si>
  <si>
    <t>nr_SolvMinShare</t>
  </si>
  <si>
    <t>Solver!$C$22</t>
  </si>
  <si>
    <t>Solver post-share warning threshold (config)</t>
  </si>
  <si>
    <t>nr_SolverR</t>
  </si>
  <si>
    <t>Solver!$C$17</t>
  </si>
  <si>
    <t>Mode A required rate change</t>
  </si>
  <si>
    <t>nr_SumBU</t>
  </si>
  <si>
    <t>'State Summary'!$B$4</t>
  </si>
  <si>
    <t>State Summary business-unit filter (All = EP-weighted across BUs)</t>
  </si>
  <si>
    <t>nr_TermMonths</t>
  </si>
  <si>
    <t>Inputs!$B$8</t>
  </si>
  <si>
    <t>Workbook policy term in months (this workbook covers one LOB)</t>
  </si>
  <si>
    <t>nr_Trend</t>
  </si>
  <si>
    <t>Bridge!$C$50</t>
  </si>
  <si>
    <t>Effective P+1 net trend: tbl_LR value, or the Control default when blank</t>
  </si>
  <si>
    <t>nr_TrendDefault</t>
  </si>
  <si>
    <t>Control!$C$15</t>
  </si>
  <si>
    <t>Default net trend for the P+1 view (per-combo blank cells inherit it)</t>
  </si>
  <si>
    <t>nr_WalkLR</t>
  </si>
  <si>
    <t>Walkthrough!$D$70</t>
  </si>
  <si>
    <t>Walkthrough assembled CY plan LR (must tie nr_CYLR_P; Checks-enforced)</t>
  </si>
  <si>
    <t>nr_YoY_P</t>
  </si>
  <si>
    <t>'Rate Engine'!$C$12</t>
  </si>
  <si>
    <t>Year-over-year earned rate change into P</t>
  </si>
  <si>
    <t>nr_YoY_P1</t>
  </si>
  <si>
    <t>'Rate Engine'!$C$13</t>
  </si>
  <si>
    <t>Year-over-year earned rate change into P+1</t>
  </si>
  <si>
    <t>orc_amod_p</t>
  </si>
  <si>
    <t>_oracle!$B$11</t>
  </si>
  <si>
    <t>Oracle A_mod(P) (baked at build time)</t>
  </si>
  <si>
    <t>orc_arate_p</t>
  </si>
  <si>
    <t>_oracle!$B$9</t>
  </si>
  <si>
    <t>Oracle A_rate(P) (baked at build time)</t>
  </si>
  <si>
    <t>orc_arate_p1</t>
  </si>
  <si>
    <t>_oracle!$B$10</t>
  </si>
  <si>
    <t>Oracle A_rate(P+1) (baked at build time)</t>
  </si>
  <si>
    <t>orc_crl</t>
  </si>
  <si>
    <t>_oracle!$B$4</t>
  </si>
  <si>
    <t>Oracle CRL_ind (baked at build time)</t>
  </si>
  <si>
    <t>orc_cylr_p</t>
  </si>
  <si>
    <t>_oracle!$B$12</t>
  </si>
  <si>
    <t>Oracle CY plan LR(P), monthly convention (baked at build time)</t>
  </si>
  <si>
    <t>orc_cylr_p1</t>
  </si>
  <si>
    <t>_oracle!$B$13</t>
  </si>
  <si>
    <t>Oracle CY LR(P+1), monthly convention (baked at build time)</t>
  </si>
  <si>
    <t>orc_cylr_p_cont</t>
  </si>
  <si>
    <t>_oracle!$B$15</t>
  </si>
  <si>
    <t>Oracle CY plan LR(P), continuous closed form (baked at build time)</t>
  </si>
  <si>
    <t>orc_echg</t>
  </si>
  <si>
    <t>_oracle!$B$14</t>
  </si>
  <si>
    <t>Oracle earned chg vs indication (baked at build time)</t>
  </si>
  <si>
    <t>orc_ecy_p</t>
  </si>
  <si>
    <t>_oracle!$B$6</t>
  </si>
  <si>
    <t>Oracle E_CY(P), monthly convention (baked at build time)</t>
  </si>
  <si>
    <t>orc_ecy_p1</t>
  </si>
  <si>
    <t>_oracle!$B$7</t>
  </si>
  <si>
    <t>Oracle E_CY(P+1), monthly convention (baked at build time)</t>
  </si>
  <si>
    <t>orc_ecy_p_cont</t>
  </si>
  <si>
    <t>_oracle!$B$16</t>
  </si>
  <si>
    <t>Oracle E_CY(P), continuous closed form (baked at build time)</t>
  </si>
  <si>
    <t>orc_ecy_pm1</t>
  </si>
  <si>
    <t>_oracle!$B$5</t>
  </si>
  <si>
    <t>Oracle E_CY(P-1), monthly convention (baked at build time)</t>
  </si>
  <si>
    <t>orc_fp</t>
  </si>
  <si>
    <t>_oracle!$B$46</t>
  </si>
  <si>
    <t>TRUE while the seeded worked-example inputs are unchanged (scopes oracle ties)</t>
  </si>
  <si>
    <t>orc_mbar_p</t>
  </si>
  <si>
    <t>_oracle!$B$8</t>
  </si>
  <si>
    <t>Oracle CY P earned mod, monthly convention (baked at build time)</t>
  </si>
  <si>
    <t>orc_solver_r</t>
  </si>
  <si>
    <t>_oracle!$B$17</t>
  </si>
  <si>
    <t>Oracle solver required change (worked example) (baked at build time)</t>
  </si>
  <si>
    <t>pf_BU</t>
  </si>
  <si>
    <t>'Program Flow'!$B$5</t>
  </si>
  <si>
    <t>Program Flow BU in view ('All' = the EP-weighted book view, D60)</t>
  </si>
  <si>
    <t>pfd_bookgap</t>
  </si>
  <si>
    <t>_calc!$CM$4:$CM$72</t>
  </si>
  <si>
    <t>Per-combo abs gap: program-basis delivered avg vs the asserted net (0 = non-net) — book-wide, view-independent (D60)</t>
  </si>
  <si>
    <t>pfd_gap</t>
  </si>
  <si>
    <t>'Program Flow'!$Q$9:$Q$32</t>
  </si>
  <si>
    <t>Abs gap: program-basis delivered avg vs the asserted net (0 = non-net)</t>
  </si>
  <si>
    <t>pfd_states</t>
  </si>
  <si>
    <t>'Program Flow'!$A$9:$A$32</t>
  </si>
  <si>
    <t>Program Flow roster state column</t>
  </si>
  <si>
    <t>re_den_row</t>
  </si>
  <si>
    <t>'Rate Engine'!$V$67:$BE$67</t>
  </si>
  <si>
    <t>Monthly earned-exposure denominators</t>
  </si>
  <si>
    <t>re_ecy_matrix</t>
  </si>
  <si>
    <t>'Rate Engine'!$F$12</t>
  </si>
  <si>
    <t>Cross-check: E_CY(P) summed from the monthly matrix columns</t>
  </si>
  <si>
    <t>re_em_row</t>
  </si>
  <si>
    <t>'Rate Engine'!$V$68:$BE$68</t>
  </si>
  <si>
    <t>Monthly earned rate index E_m, Jan (P-1) .. Dec (P+1)</t>
  </si>
  <si>
    <t>re_rowsum_chk</t>
  </si>
  <si>
    <t>'Rate Engine'!$BF$17:$BF$64</t>
  </si>
  <si>
    <t>Per-cohort earning-profile row sums minus 1 (in-window cohorts; should be 0)</t>
  </si>
  <si>
    <t>re_season_active</t>
  </si>
  <si>
    <t>'Rate Engine'!$F$8</t>
  </si>
  <si>
    <t>TRUE when non-uniform written weights are in force</t>
  </si>
  <si>
    <t>re_srow</t>
  </si>
  <si>
    <t>'Rate Engine'!$F$6</t>
  </si>
  <si>
    <t>tbl_Seasonality row for the selected state, 0 if absent</t>
  </si>
  <si>
    <t>re_ssum</t>
  </si>
  <si>
    <t>'Rate Engine'!$F$7</t>
  </si>
  <si>
    <t>Sum of the selected state's 12 seasonality weights</t>
  </si>
  <si>
    <t>re_viol_row</t>
  </si>
  <si>
    <t>'Rate Engine'!$V$71:$BE$71</t>
  </si>
  <si>
    <t>Per-month earned-index bound violations (should be all 0)</t>
  </si>
  <si>
    <t>rl_ach</t>
  </si>
  <si>
    <t>'Rate Log'!$G$7:$G$246</t>
  </si>
  <si>
    <t>Achievement % (planned rows; blank = 100%)</t>
  </si>
  <si>
    <t>rl_bu</t>
  </si>
  <si>
    <t>'Rate Log'!$A$7:$A$246</t>
  </si>
  <si>
    <t>tbl_RateLog business unit</t>
  </si>
  <si>
    <t>rl_cons</t>
  </si>
  <si>
    <t>'Rate Log'!$F$7:$F$246</t>
  </si>
  <si>
    <t>Considered in the indication? (Y/N)</t>
  </si>
  <si>
    <t>rl_daysafter</t>
  </si>
  <si>
    <t>'Rate Log'!$N$7:$N$246</t>
  </si>
  <si>
    <t>Helper: days in effective month on/after the change</t>
  </si>
  <si>
    <t>rl_dup</t>
  </si>
  <si>
    <t>'Rate Log'!$R$7:$R$246</t>
  </si>
  <si>
    <t>Helper: 1 when &gt;1 change shares a BU|State cohort month</t>
  </si>
  <si>
    <t>rl_eff</t>
  </si>
  <si>
    <t>'Rate Log'!$C$7:$C$246</t>
  </si>
  <si>
    <t>Rate change effective date (start of day)</t>
  </si>
  <si>
    <t>rl_effmonth</t>
  </si>
  <si>
    <t>'Rate Log'!$M$7:$M$246</t>
  </si>
  <si>
    <t>Helper: first day of the effective month</t>
  </si>
  <si>
    <t>rl_filed</t>
  </si>
  <si>
    <t>'Rate Log'!$D$7:$D$246</t>
  </si>
  <si>
    <t>Filed rate change (decimal fraction)</t>
  </si>
  <si>
    <t>rl_first</t>
  </si>
  <si>
    <t>'Rate Log'!$Q$7:$Q$246</t>
  </si>
  <si>
    <t>Helper: 1 for the first change in its BU|State cohort month</t>
  </si>
  <si>
    <t>rl_firstplanned</t>
  </si>
  <si>
    <t>'Rate Log'!$T$7:$T$246</t>
  </si>
  <si>
    <t>Helper: 1 for the key's FIRST planned change effective inside the plan year (Net Delivery's default filing, D63)</t>
  </si>
  <si>
    <t>rl_firsttaken</t>
  </si>
  <si>
    <t>'Rate Log'!$U$7:$U$246</t>
  </si>
  <si>
    <t>Helper: 1 for the first TAKEN change in its key + cohort month (the Solver's status-aware split flag, D58)</t>
  </si>
  <si>
    <t>rl_key</t>
  </si>
  <si>
    <t>'Rate Log'!$J$7:$J$246</t>
  </si>
  <si>
    <t>Helper: BU|State key (right of the paste block, D40)</t>
  </si>
  <si>
    <t>rl_ln1p</t>
  </si>
  <si>
    <t>'Rate Log'!$L$7:$L$246</t>
  </si>
  <si>
    <t>Helper: ln(1 + effective change); 0 for blank rows</t>
  </si>
  <si>
    <t>rl_reff</t>
  </si>
  <si>
    <t>'Rate Log'!$K$7:$K$246</t>
  </si>
  <si>
    <t>Helper: effective change = filed x achievement (planned only)</t>
  </si>
  <si>
    <t>rl_seq</t>
  </si>
  <si>
    <t>'Rate Log'!$S$7:$S$246</t>
  </si>
  <si>
    <t>Helper: chronological rank of the change within its BU|State key</t>
  </si>
  <si>
    <t>rl_state</t>
  </si>
  <si>
    <t>'Rate Log'!$B$7:$B$246</t>
  </si>
  <si>
    <t>tbl_RateLog state</t>
  </si>
  <si>
    <t>rl_status</t>
  </si>
  <si>
    <t>'Rate Log'!$E$7:$E$246</t>
  </si>
  <si>
    <t>taken | planned</t>
  </si>
  <si>
    <t>sc_ach</t>
  </si>
  <si>
    <t>Scenarios!$C$8:$F$8</t>
  </si>
  <si>
    <t>Scenario lever: replaces achievement % on planned rows</t>
  </si>
  <si>
    <t>sc_dm1</t>
  </si>
  <si>
    <t>Scenarios!$C$9:$F$9</t>
  </si>
  <si>
    <t>Scenario lever: added to M_1 and M_2 anchors</t>
  </si>
  <si>
    <t>sc_dnet</t>
  </si>
  <si>
    <t>Scenarios!$C$10:$F$10</t>
  </si>
  <si>
    <t>Scenario lever: added to the net selection x for P and P+1 (D39)</t>
  </si>
  <si>
    <t>sc_dpts</t>
  </si>
  <si>
    <t>Scenarios!$C$6:$F$6</t>
  </si>
  <si>
    <t>Scenario lever: added to every planned row's filed %</t>
  </si>
  <si>
    <t>sc_res_cylr</t>
  </si>
  <si>
    <t>Scenarios!$C$14:$G$14</t>
  </si>
  <si>
    <t>CY plan LR by scenario</t>
  </si>
  <si>
    <t>sc_res_names</t>
  </si>
  <si>
    <t>Scenarios!$C$13:$G$13</t>
  </si>
  <si>
    <t>Scenario result column headers</t>
  </si>
  <si>
    <t>sc_shift</t>
  </si>
  <si>
    <t>Scenarios!$C$7:$F$7</t>
  </si>
  <si>
    <t>Scenario lever: EDATE month shift applied to planned rows</t>
  </si>
  <si>
    <t>se_block</t>
  </si>
  <si>
    <t>Inputs!$B$85:$M$108</t>
  </si>
  <si>
    <t>Seasonality 12-month weight block</t>
  </si>
  <si>
    <t>se_state</t>
  </si>
  <si>
    <t>Inputs!$A$85:$A$108</t>
  </si>
  <si>
    <t>Seasonality state column</t>
  </si>
  <si>
    <t>se_sum</t>
  </si>
  <si>
    <t>Inputs!$N$85:$N$108</t>
  </si>
  <si>
    <t>Helper: seasonality row sums</t>
  </si>
  <si>
    <t>slv_absmi</t>
  </si>
  <si>
    <t>_calc!$G$4675:$G$4722</t>
  </si>
  <si>
    <t>Solver block: absolute cohort month indices</t>
  </si>
  <si>
    <t>slv_amod</t>
  </si>
  <si>
    <t>Solver!$G$22</t>
  </si>
  <si>
    <t>Mod drift factor of the solve combo</t>
  </si>
  <si>
    <t>slv_aother</t>
  </si>
  <si>
    <t>Solver!$G$23</t>
  </si>
  <si>
    <t>Other adjustment factor of the solve combo</t>
  </si>
  <si>
    <t>slv_crl</t>
  </si>
  <si>
    <t>Solver!$G$20</t>
  </si>
  <si>
    <t>Indication rate level of the solve combo</t>
  </si>
  <si>
    <t>slv_cum</t>
  </si>
  <si>
    <t>_calc!$T$4675:$T$4722</t>
  </si>
  <si>
    <t>Solver block: cumulative w-ec-W0</t>
  </si>
  <si>
    <t>slv_den</t>
  </si>
  <si>
    <t>_calc!$B$4723</t>
  </si>
  <si>
    <t>Solver denominator D = SUM w-ec over CY P</t>
  </si>
  <si>
    <t>slv_dfirst</t>
  </si>
  <si>
    <t>_calc!$L$4675:$L$4722</t>
  </si>
  <si>
    <t>Solver block: first-taken-change days on/after</t>
  </si>
  <si>
    <t>slv_ecp</t>
  </si>
  <si>
    <t>_calc!$Q$4675:$Q$4722</t>
  </si>
  <si>
    <t>Solver block: CY P earning fractions</t>
  </si>
  <si>
    <t>slv_key</t>
  </si>
  <si>
    <t>Solver!$G$4</t>
  </si>
  <si>
    <t>Combo the Solver solves for (Control selection, or the local override)</t>
  </si>
  <si>
    <t>slv_lrcur</t>
  </si>
  <si>
    <t>Solver!$G$21</t>
  </si>
  <si>
    <t>Basis-normalized projected LR of the solve combo</t>
  </si>
  <si>
    <t>slv_row</t>
  </si>
  <si>
    <t>Solver!$G$19</t>
  </si>
  <si>
    <t>Row of the solve combo in the _calc results table (0 = absent)</t>
  </si>
  <si>
    <t>slv_state</t>
  </si>
  <si>
    <t>Solver!$G$5</t>
  </si>
  <si>
    <t>State of the combo the Solver solves for</t>
  </si>
  <si>
    <t>slv_total</t>
  </si>
  <si>
    <t>_calc!$C$4723</t>
  </si>
  <si>
    <t>Solver total SUM w-ec-W0 over CY P</t>
  </si>
  <si>
    <t>slv_w</t>
  </si>
  <si>
    <t>_calc!$H$4675:$H$4722</t>
  </si>
  <si>
    <t>Solver block: written weights</t>
  </si>
  <si>
    <t>slv_weom</t>
  </si>
  <si>
    <t>_calc!$J$4675:$J$4722</t>
  </si>
  <si>
    <t>Solver block: end-of-month index W0_eom</t>
  </si>
  <si>
    <t>slv_weom_c</t>
  </si>
  <si>
    <t>_calc!$U$4675:$U$4722</t>
  </si>
  <si>
    <t>Solver block: w-ec-W0_eom by cohort</t>
  </si>
  <si>
    <t>slv_widx</t>
  </si>
  <si>
    <t>_calc!$N$4675:$N$4722</t>
  </si>
  <si>
    <t>Solver block: taken-only written index W0 (blended)</t>
  </si>
  <si>
    <t>slv_wpre</t>
  </si>
  <si>
    <t>_calc!$I$4675:$I$4722</t>
  </si>
  <si>
    <t>Solver block: pre-month index W0_pre</t>
  </si>
  <si>
    <t>ss_mathchk</t>
  </si>
  <si>
    <t>'State Summary'!$AO$8:$AO$31</t>
  </si>
  <si>
    <t>Per-row |engine plan LR - the row's visible factor product| on single-combo rows, 0 elsewhere (D61)</t>
  </si>
  <si>
    <t>Validation lists (hidden). Columns A/B/I are LIVE unique values from tbl_LR; helper machinery in columns M:P (D42).</t>
  </si>
  <si>
    <t>count:</t>
  </si>
  <si>
    <t>Business units (live)</t>
  </si>
  <si>
    <t>States (live)</t>
  </si>
  <si>
    <t>BU filter (live)</t>
  </si>
  <si>
    <t>BU 1st?</t>
  </si>
  <si>
    <t>BU rank</t>
  </si>
  <si>
    <t>State 1st?</t>
  </si>
  <si>
    <t>State rank</t>
  </si>
  <si>
    <t>Current level</t>
  </si>
  <si>
    <t>_calc (hidden): per-combo engine blocks generated by src/build_workbook.py. Same formula pattern as the visible Rate Engine; do not edit.</t>
  </si>
  <si>
    <t>CRL</t>
  </si>
  <si>
    <t>E_CY(P-1)</t>
  </si>
  <si>
    <t>E_CY(P+1)</t>
  </si>
  <si>
    <t>Mbar(P)</t>
  </si>
  <si>
    <t>Mbar(P+1)</t>
  </si>
  <si>
    <t>A_rate(P)</t>
  </si>
  <si>
    <t>A_rate(P+1)</t>
  </si>
  <si>
    <t>A_mod(P)</t>
  </si>
  <si>
    <t>A_mod(P+1)</t>
  </si>
  <si>
    <t>LR_current</t>
  </si>
  <si>
    <t>CY LR(P)</t>
  </si>
  <si>
    <t>CY LR(P+1)</t>
  </si>
  <si>
    <t>EChg vs ind</t>
  </si>
  <si>
    <t>A_other</t>
  </si>
  <si>
    <t>trend</t>
  </si>
  <si>
    <t>block results:</t>
  </si>
  <si>
    <t>Scenario-transformed rate logs (S1..S4), row-aligned with tbl_RateLog</t>
  </si>
  <si>
    <t>S1 eff'</t>
  </si>
  <si>
    <t>S1 effmo'</t>
  </si>
  <si>
    <t>S1 ach'</t>
  </si>
  <si>
    <t>S1 r_eff'</t>
  </si>
  <si>
    <t>S1 ln'</t>
  </si>
  <si>
    <t>S1 days'</t>
  </si>
  <si>
    <t>S1 ecnt</t>
  </si>
  <si>
    <t>S1 scnt</t>
  </si>
  <si>
    <t>S1 first'</t>
  </si>
  <si>
    <t>S2 eff'</t>
  </si>
  <si>
    <t>S2 effmo'</t>
  </si>
  <si>
    <t>S2 ach'</t>
  </si>
  <si>
    <t>S2 r_eff'</t>
  </si>
  <si>
    <t>S2 ln'</t>
  </si>
  <si>
    <t>S2 days'</t>
  </si>
  <si>
    <t>S2 ecnt</t>
  </si>
  <si>
    <t>S2 scnt</t>
  </si>
  <si>
    <t>S2 first'</t>
  </si>
  <si>
    <t>S3 eff'</t>
  </si>
  <si>
    <t>S3 effmo'</t>
  </si>
  <si>
    <t>S3 ach'</t>
  </si>
  <si>
    <t>S3 r_eff'</t>
  </si>
  <si>
    <t>S3 ln'</t>
  </si>
  <si>
    <t>S3 days'</t>
  </si>
  <si>
    <t>S3 ecnt</t>
  </si>
  <si>
    <t>S3 scnt</t>
  </si>
  <si>
    <t>S3 first'</t>
  </si>
  <si>
    <t>S4 eff'</t>
  </si>
  <si>
    <t>S4 effmo'</t>
  </si>
  <si>
    <t>S4 ach'</t>
  </si>
  <si>
    <t>S4 r_eff'</t>
  </si>
  <si>
    <t>S4 ln'</t>
  </si>
  <si>
    <t>S4 days'</t>
  </si>
  <si>
    <t>S4 ecnt</t>
  </si>
  <si>
    <t>S4 scnt</t>
  </si>
  <si>
    <t>S4 first'</t>
  </si>
  <si>
    <t>Scenario S1 engine block (selected combo)</t>
  </si>
  <si>
    <t>S1 results:</t>
  </si>
  <si>
    <t>Scenario S2 engine block (selected combo)</t>
  </si>
  <si>
    <t>S2 results:</t>
  </si>
  <si>
    <t>Scenario S3 engine block (selected combo)</t>
  </si>
  <si>
    <t>S3 results:</t>
  </si>
  <si>
    <t>Scenario S4 engine block (selected combo)</t>
  </si>
  <si>
    <t>S4 results:</t>
  </si>
  <si>
    <t>Attribution: planned-row ranks and transformed logs (selected combo)</t>
  </si>
  <si>
    <t>rank</t>
  </si>
  <si>
    <t>r_eff mag</t>
  </si>
  <si>
    <t>ln mag</t>
  </si>
  <si>
    <t>eff act</t>
  </si>
  <si>
    <t>effmo act</t>
  </si>
  <si>
    <t>days act</t>
  </si>
  <si>
    <t>ecnt</t>
  </si>
  <si>
    <t>scnt</t>
  </si>
  <si>
    <t>first act</t>
  </si>
  <si>
    <t>Attribution block 1 — rate magnitude (achieved % at planned dates)</t>
  </si>
  <si>
    <t>Attribution block 2 — rate timing (achieved % at actual dates)</t>
  </si>
  <si>
    <t>Attribution block 3 — actual written-mod path</t>
  </si>
  <si>
    <t>Solver base block — taken rows only (planned program excluded, D13); keyed on slv_key so the Solver can follow Control OR its own override</t>
  </si>
  <si>
    <t>w-ec-W0</t>
  </si>
  <si>
    <t>cum</t>
  </si>
  <si>
    <t>w-ec-W0eom</t>
  </si>
  <si>
    <t>solver totals:</t>
  </si>
  <si>
    <t>Program-flow locked block — taken rows only (D13), keyed on nr_SelKey (the Solver base cannot be reused: slv_key can detach from Control via the override); status-aware first flag per D58</t>
  </si>
  <si>
    <t>_netcalc (hidden): net-delivery decomposition blocks (D57). Live-filtered log strip (taken + planned before 1/1/P), then one block per roster state plus the band block. Generated by src/sheets_netdelivery.py; do not edit.</t>
  </si>
  <si>
    <t>live?</t>
  </si>
  <si>
    <t>eff''</t>
  </si>
  <si>
    <t>effmo''</t>
  </si>
  <si>
    <t>ln''</t>
  </si>
  <si>
    <t>days''</t>
  </si>
  <si>
    <t>first''</t>
  </si>
  <si>
    <t>delivery results:</t>
  </si>
  <si>
    <t>band block (Net Delivery monthly deep-dive pickers)</t>
  </si>
  <si>
    <t>_oracle (hidden): constants computed by src/engine.py at build time for the seeded worked example, plus the input fingerprint that scopes the Checks oracle ties.</t>
  </si>
  <si>
    <t>Baked oracle constants</t>
  </si>
  <si>
    <t>Oracle CRL_ind</t>
  </si>
  <si>
    <t>Oracle E_CY(P-1), monthly convention</t>
  </si>
  <si>
    <t>Oracle E_CY(P), monthly convention</t>
  </si>
  <si>
    <t>Oracle E_CY(P+1), monthly convention</t>
  </si>
  <si>
    <t>Oracle CY P earned mod, monthly convention</t>
  </si>
  <si>
    <t>Oracle A_rate(P)</t>
  </si>
  <si>
    <t>Oracle A_rate(P+1)</t>
  </si>
  <si>
    <t>Oracle A_mod(P)</t>
  </si>
  <si>
    <t>Oracle CY plan LR(P), monthly convention</t>
  </si>
  <si>
    <t>Oracle CY LR(P+1), monthly convention</t>
  </si>
  <si>
    <t>Oracle earned chg vs indication</t>
  </si>
  <si>
    <t>Oracle CY plan LR(P), continuous closed form</t>
  </si>
  <si>
    <t>Oracle E_CY(P), continuous closed form</t>
  </si>
  <si>
    <t>Oracle solver required change (worked example)</t>
  </si>
  <si>
    <t>Worked-example input fingerprint (expected vs live)</t>
  </si>
  <si>
    <t>Input</t>
  </si>
  <si>
    <t>Live</t>
  </si>
  <si>
    <t>Match?</t>
  </si>
  <si>
    <t>ABD|AZ</t>
  </si>
  <si>
    <t>M_ind</t>
  </si>
  <si>
    <t>M_0</t>
  </si>
  <si>
    <t>M_0 as-of (serial)</t>
  </si>
  <si>
    <t>M_1</t>
  </si>
  <si>
    <t>M_prior (0 = blank)</t>
  </si>
  <si>
    <t>M_2 (0 = blank)</t>
  </si>
  <si>
    <t>Net trend (effective)</t>
  </si>
  <si>
    <t>Trend default (Control)</t>
  </si>
  <si>
    <t>Net rate selection off</t>
  </si>
  <si>
    <t>FALSE</t>
  </si>
  <si>
    <t>Mod adj (combo row)</t>
  </si>
  <si>
    <t>Mod adj (master)</t>
  </si>
  <si>
    <t>Seasonality inactive</t>
  </si>
  <si>
    <t>Term months</t>
  </si>
  <si>
    <t>Rate rows for combo</t>
  </si>
  <si>
    <t>Sum of filed %</t>
  </si>
  <si>
    <t>Sum of effective serials</t>
  </si>
  <si>
    <t>Sum of effective changes</t>
  </si>
  <si>
    <t>Planned rows</t>
  </si>
  <si>
    <t>Considered rows</t>
  </si>
  <si>
    <t>Fingerprint intact?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</si>
</sst>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164" formatCode="0.0%"/>
    <numFmt numFmtId="165" formatCode="0.000"/>
    <numFmt numFmtId="167" formatCode="mm/dd/yyyy"/>
    <numFmt numFmtId="168" formatCode="0.0000"/>
    <numFmt numFmtId="169" formatCode="\+0.00\ &quot;pts&quot;;\-0.00\ &quot;pts&quot;;0.00\ &quot;pts&quot;"/>
    <numFmt numFmtId="170" formatCode="\+0.00;\-0.00;0.00"/>
    <numFmt numFmtId="171" formatCode="\+0.0%;\-0.0%;0.0%"/>
    <numFmt numFmtId="172" formatCode="\+0.00&quot; pts&quot;;\-0.00&quot; pts&quot;;0.00&quot; pts&quot;"/>
    <numFmt numFmtId="173" formatCode="\+0.0000;\-0.0000;0.0000"/>
    <numFmt numFmtId="174" formatCode="mmm\ yyyy"/>
    <numFmt numFmtId="175" formatCode="0.0"/>
    <numFmt numFmtId="176" formatCode="0.000000"/>
    <numFmt numFmtId="177" formatCode="m/d/yy"/>
    <numFmt numFmtId="178" formatCode="\+0.00\ &quot;pts&quot;;\-0.00\ &quot;pts&quot;;&quot;&quot;"/>
    <numFmt numFmtId="179" formatCode="\+0.0%;\-0.0%;&quot;&quot;"/>
    <numFmt numFmtId="180" formatCode="0.0%;\-0.0%;&quot;&quot;"/>
    <numFmt numFmtId="181" formatCode="0.0000;\-0.0000;&quot;&quot;"/>
    <numFmt numFmtId="182" formatCode="#,##0;\-#,##0;&quot;&quot;"/>
    <numFmt numFmtId="183" formatCode="0.000%"/>
    <numFmt numFmtId="184" formatCode="0.0000000000"/>
    <numFmt numFmtId="185" formatCode="\+0.0;\-0.0;0.0"/>
    <numFmt numFmtId="186" formatCode="\+0.000%;\-0.000%;0.000%"/>
    <numFmt numFmtId="187" formatCode="0.0000000000;\-0.0000000000;0"/>
    <numFmt numFmtId="188" formatCode="0.#########"/>
    <numFmt numFmtId="189" formatCode="0.00000"/>
  </numFmts>
  <fonts count="38" x14ac:knownFonts="1">
    <font>
      <sz val="11"/>
      <color theme="1"/>
      <name val="Calibri"/>
      <family val="2"/>
      <scheme val="minor"/>
    </font>
    <font>
      <b/>
      <sz val="11"/>
      <color rgb="FF595959"/>
      <name val="Calibri"/>
    </font>
    <font>
      <sz val="11"/>
      <color rgb="FF595959"/>
      <name val="Calibri"/>
    </font>
    <font>
      <sz val="11"/>
      <color rgb="FF000000"/>
      <name val="Calibri"/>
    </font>
    <font>
      <b/>
      <sz val="16"/>
      <color rgb="FF1F3864"/>
      <name val="Calibri"/>
    </font>
    <font>
      <i/>
      <sz val="10"/>
      <color rgb="FF808080"/>
      <name val="Calibri"/>
    </font>
    <font>
      <sz val="9"/>
      <color rgb="FF595959"/>
      <name val="Calibri"/>
    </font>
    <font>
      <u/>
      <sz val="9"/>
      <color rgb="FF1F3864"/>
      <name val="Calibri"/>
    </font>
    <font>
      <b/>
      <i/>
      <sz val="11"/>
      <color rgb="FFC00000"/>
      <name val="Calibri"/>
    </font>
    <font>
      <i/>
      <sz val="9"/>
      <color rgb="FF595959"/>
      <name val="Calibri"/>
    </font>
    <font>
      <b/>
      <sz val="12"/>
      <color rgb="FF1F3864"/>
      <name val="Calibri"/>
    </font>
    <font>
      <b/>
      <sz val="11"/>
      <color rgb="FFFFFFFF"/>
      <name val="Calibri"/>
    </font>
    <font>
      <b/>
      <sz val="9"/>
      <color rgb="FF595959"/>
      <name val="Calibri"/>
    </font>
    <font>
      <sz val="11"/>
      <color rgb="FF0000FF"/>
      <name val="Calibri"/>
    </font>
    <font>
      <b/>
      <sz val="11"/>
      <color rgb="FF1F3864"/>
      <name val="Calibri"/>
    </font>
    <font>
      <i/>
      <sz val="9"/>
      <color rgb="FFC00000"/>
      <name val="Calibri"/>
    </font>
    <font>
      <sz val="8"/>
      <color rgb="FF595959"/>
      <name val="Calibri"/>
    </font>
    <font>
      <sz val="11"/>
      <color rgb="FF008000"/>
      <name val="Calibri"/>
    </font>
    <font>
      <b/>
      <sz val="9"/>
      <color rgb="FFBF8F00"/>
      <name val="Calibri"/>
    </font>
    <font>
      <b/>
      <sz val="11"/>
      <color rgb="FFC00000"/>
      <name val="Calibri"/>
    </font>
    <font>
      <b/>
      <sz val="11"/>
      <color rgb="FF008000"/>
      <name val="Calibri"/>
    </font>
    <font>
      <u/>
      <sz val="10"/>
      <color rgb="FF1F3864"/>
      <name val="Calibri"/>
    </font>
    <font>
      <b/>
      <sz val="11"/>
      <color rgb="FF000000"/>
      <name val="Calibri"/>
    </font>
    <font>
      <b/>
      <sz val="10"/>
      <color rgb="FF8497B0"/>
      <name val="Calibri"/>
    </font>
    <font>
      <b/>
      <sz val="14"/>
      <color rgb="FF1F3864"/>
      <name val="Calibri"/>
    </font>
    <font>
      <sz val="10"/>
      <color rgb="FF595959"/>
      <name val="Calibri"/>
    </font>
    <font>
      <i/>
      <sz val="9"/>
      <color rgb="FF1F3864"/>
      <name val="Calibri"/>
    </font>
    <font>
      <b/>
      <sz val="10"/>
      <color rgb="FF1F3864"/>
      <name val="Calibri"/>
    </font>
    <font>
      <i/>
      <sz val="11"/>
      <color rgb="FF595959"/>
      <name val="Calibri"/>
    </font>
    <font>
      <b/>
      <sz val="9"/>
      <color rgb="FF1F3864"/>
      <name val="Calibri"/>
    </font>
    <font>
      <b/>
      <sz val="9"/>
      <color rgb="FFFFFFFF"/>
      <name val="Calibri"/>
    </font>
    <font>
      <sz val="9"/>
      <color rgb="FFC00000"/>
      <name val="Calibri"/>
    </font>
    <font>
      <b/>
      <sz val="10"/>
      <color rgb="FFBF8F00"/>
      <name val="Calibri"/>
    </font>
    <font>
      <b/>
      <sz val="13"/>
      <color rgb="FF1F3864"/>
      <name val="Calibri"/>
    </font>
    <font>
      <i/>
      <sz val="10"/>
      <color rgb="FF595959"/>
      <name val="Calibri"/>
    </font>
    <font>
      <sz val="11"/>
      <color rgb="FF1F3864"/>
      <name val="Calibri"/>
    </font>
    <font>
      <sz val="9"/>
      <color rgb="FF1F3864"/>
      <name val="Calibri"/>
    </font>
    <font>
      <b/>
      <u/>
      <sz val="10"/>
      <color rgb="FF1F3864"/>
      <name val="Calibri"/>
    </font>
  </fonts>
  <fills count="8">
    <fill>
      <patternFill patternType="none"/>
    </fill>
    <fill>
      <patternFill patternType="gray125"/>
    </fill>
    <fill>
      <patternFill patternType="solid">
        <fgColor rgb="FF1F3864"/>
      </patternFill>
    </fill>
    <fill>
      <patternFill patternType="solid">
        <fgColor rgb="FFE7E6E6"/>
      </patternFill>
    </fill>
    <fill>
      <patternFill patternType="solid">
        <fgColor rgb="FFFFF7CC"/>
      </patternFill>
    </fill>
    <fill>
      <patternFill patternType="solid">
        <fgColor rgb="FFEDF1F5"/>
      </patternFill>
    </fill>
    <fill>
      <patternFill patternType="solid">
        <fgColor rgb="FFF7F9FB"/>
      </patternFill>
    </fill>
    <fill>
      <patternFill patternType="solid">
        <fgColor rgb="FFD6DCE4"/>
      </patternFill>
    </fill>
  </fills>
  <borders count="8">
    <border>
      <left/>
      <right/>
      <top/>
      <bottom/>
      <diagonal/>
    </border>
    <border>
      <left/>
      <right/>
      <top/>
      <bottom style="medium">
        <color rgb="FF1F3864"/>
      </bottom>
      <diagonal/>
    </border>
    <border>
      <left style="thin">
        <color rgb="FFD6DCE4"/>
      </left>
      <right style="thin">
        <color rgb="FFD6DCE4"/>
      </right>
      <top style="thin">
        <color rgb="FFD6DCE4"/>
      </top>
      <bottom style="thin">
        <color rgb="FFD6DCE4"/>
      </bottom>
      <diagonal/>
    </border>
    <border>
      <left style="medium">
        <color rgb="FF1F3864"/>
      </left>
      <right style="medium">
        <color rgb="FF1F3864"/>
      </right>
      <top style="medium">
        <color rgb="FF1F3864"/>
      </top>
      <bottom style="medium">
        <color rgb="FF1F3864"/>
      </bottom>
      <diagonal/>
    </border>
    <border>
      <left/>
      <right/>
      <top style="medium">
        <color rgb="FF8497B0"/>
      </top>
      <bottom/>
      <diagonal/>
    </border>
    <border>
      <left style="medium">
        <color rgb="FF8497B0"/>
      </left>
      <right/>
      <top/>
      <bottom/>
      <diagonal/>
    </border>
    <border>
      <left style="medium">
        <color rgb="FF8497B0"/>
      </left>
      <right style="thin">
        <color rgb="FFD6DCE4"/>
      </right>
      <top style="thin">
        <color rgb="FFD6DCE4"/>
      </top>
      <bottom style="thin">
        <color rgb="FFD6DCE4"/>
      </bottom>
      <diagonal/>
    </border>
    <border>
      <left style="medium">
        <color rgb="FF8497B0"/>
      </left>
      <right/>
      <top style="medium">
        <color rgb="FF8497B0"/>
      </top>
      <bottom/>
      <diagonal/>
    </border>
  </borders>
  <cellStyleXfs count="1">
    <xf numFmtId="0" fontId="0" fillId="0" borderId="0"/>
  </cellStyleXfs>
  <cellXfs count="284">
    <xf numFmtId="0" fontId="0" fillId="0" borderId="0" xfId="0"/>
    <xf numFmtId="0" fontId="4" fillId="0" borderId="0" xfId="0" applyFont="1" applyAlignment="1">
      <alignment horizontal="left" vertical="center"/>
    </xf>
    <xf numFmtId="0" fontId="5" fillId="0" borderId="0" xfId="0" applyFont="1"/>
    <xf numFmtId="0" fontId="10" fillId="0" borderId="1" xfId="0" applyFont="1" applyBorder="1"/>
    <xf numFmtId="0" fontId="37" fillId="0" borderId="0" xfId="0" applyFont="1"/>
    <xf numFmtId="0" fontId="25" fillId="0" borderId="0" xfId="0" applyFont="1" applyAlignment="1">
      <alignment horizontal="left" vertical="top" wrapText="1"/>
    </xf>
    <xf numFmtId="0" fontId="6" fillId="0" borderId="0" xfId="0" applyFont="1"/>
    <xf numFmtId="0" fontId="6" fillId="0" borderId="0" xfId="0" applyFont="1" applyAlignment="1">
      <alignment horizontal="left" vertical="top" wrapText="1"/>
    </xf>
    <xf numFmtId="0" fontId="14" fillId="6" borderId="0" xfId="0" applyFont="1" applyFill="1"/>
    <xf numFmtId="0" fontId="14" fillId="6" borderId="0" xfId="0" applyFont="1" applyFill="1" applyAlignment="1">
      <alignment horizontal="left" vertical="top" wrapText="1"/>
    </xf>
    <xf numFmtId="0" fontId="27" fillId="0" borderId="0" xfId="0" applyFont="1"/>
    <xf numFmtId="0" fontId="13" fillId="4" borderId="2" xfId="0" applyFont="1" applyFill="1" applyBorder="1"/>
    <xf numFmtId="0" fontId="25" fillId="0" borderId="0" xfId="0" applyFont="1"/>
    <xf numFmtId="0" fontId="13" fillId="0" borderId="2" xfId="0" applyFont="1" applyBorder="1"/>
    <xf numFmtId="0" fontId="2" fillId="0" borderId="2" xfId="0" applyFont="1" applyBorder="1"/>
    <xf numFmtId="0" fontId="17" fillId="0" borderId="2" xfId="0" applyFont="1" applyBorder="1"/>
    <xf numFmtId="0" fontId="6" fillId="3" borderId="2" xfId="0" applyFont="1" applyFill="1" applyBorder="1"/>
    <xf numFmtId="0" fontId="27" fillId="0" borderId="0" xfId="0" applyFont="1" applyAlignment="1">
      <alignment horizontal="left" vertical="top" wrapText="1"/>
    </xf>
    <xf numFmtId="0" fontId="1" fillId="0" borderId="0" xfId="0" applyFont="1"/>
    <xf numFmtId="0" fontId="7" fillId="0" borderId="0" xfId="0" applyFont="1"/>
    <xf numFmtId="0" fontId="2" fillId="0" borderId="0" xfId="0" applyFont="1"/>
    <xf numFmtId="1" fontId="13" fillId="4" borderId="2" xfId="0" applyNumberFormat="1" applyFont="1" applyFill="1" applyBorder="1"/>
    <xf numFmtId="0" fontId="3" fillId="0" borderId="0" xfId="0" applyFont="1"/>
    <xf numFmtId="0" fontId="16" fillId="0" borderId="0" xfId="0" applyFont="1"/>
    <xf numFmtId="1" fontId="17" fillId="0" borderId="0" xfId="0" applyNumberFormat="1" applyFont="1"/>
    <xf numFmtId="0" fontId="14" fillId="0" borderId="0" xfId="0" applyFont="1"/>
    <xf numFmtId="0" fontId="18" fillId="0" borderId="0" xfId="0" applyFont="1"/>
    <xf numFmtId="0" fontId="9" fillId="0" borderId="0" xfId="0" applyFont="1" applyAlignment="1">
      <alignment horizontal="left" vertical="top" wrapText="1"/>
    </xf>
    <xf numFmtId="0" fontId="15" fillId="0" borderId="0" xfId="0" applyFont="1" applyAlignment="1">
      <alignment horizontal="left" vertical="top" wrapText="1"/>
    </xf>
    <xf numFmtId="164" fontId="13" fillId="4" borderId="2" xfId="0" applyNumberFormat="1" applyFont="1" applyFill="1" applyBorder="1"/>
    <xf numFmtId="0" fontId="19" fillId="0" borderId="0" xfId="0" applyFont="1"/>
    <xf numFmtId="0" fontId="6" fillId="5" borderId="0" xfId="0" applyFont="1" applyFill="1" applyAlignment="1">
      <alignment horizontal="left" vertical="center"/>
    </xf>
    <xf numFmtId="0" fontId="0" fillId="5" borderId="0" xfId="0" applyFill="1"/>
    <xf numFmtId="164" fontId="4" fillId="6" borderId="0" xfId="0" applyNumberFormat="1" applyFont="1" applyFill="1" applyAlignment="1">
      <alignment horizontal="left" vertical="center"/>
    </xf>
    <xf numFmtId="0" fontId="0" fillId="6" borderId="0" xfId="0" applyFill="1"/>
    <xf numFmtId="171" fontId="4" fillId="6" borderId="0" xfId="0" applyNumberFormat="1" applyFont="1" applyFill="1" applyAlignment="1">
      <alignment horizontal="left" vertical="center"/>
    </xf>
    <xf numFmtId="165" fontId="4" fillId="6" borderId="0" xfId="0" applyNumberFormat="1" applyFont="1" applyFill="1" applyAlignment="1">
      <alignment horizontal="left" vertical="center"/>
    </xf>
    <xf numFmtId="0" fontId="4" fillId="6" borderId="0" xfId="0" applyFont="1" applyFill="1" applyAlignment="1">
      <alignment horizontal="left" vertical="center"/>
    </xf>
    <xf numFmtId="172" fontId="4" fillId="6" borderId="0" xfId="0" applyNumberFormat="1" applyFont="1" applyFill="1" applyAlignment="1">
      <alignment horizontal="left" vertical="center"/>
    </xf>
    <xf numFmtId="0" fontId="9" fillId="6" borderId="0" xfId="0" applyFont="1" applyFill="1"/>
    <xf numFmtId="0" fontId="11" fillId="2" borderId="0" xfId="0" applyFont="1" applyFill="1"/>
    <xf numFmtId="0" fontId="11" fillId="2" borderId="0" xfId="0" applyFont="1" applyFill="1" applyAlignment="1">
      <alignment horizontal="center" vertical="center"/>
    </xf>
    <xf numFmtId="168" fontId="17" fillId="0" borderId="0" xfId="0" applyNumberFormat="1" applyFont="1" applyAlignment="1">
      <alignment horizontal="center" vertical="center"/>
    </xf>
    <xf numFmtId="1" fontId="16" fillId="0" borderId="0" xfId="0" applyNumberFormat="1" applyFont="1"/>
    <xf numFmtId="165" fontId="17" fillId="0" borderId="0" xfId="0" applyNumberFormat="1" applyFont="1" applyAlignment="1">
      <alignment horizontal="center" vertical="center"/>
    </xf>
    <xf numFmtId="164" fontId="17" fillId="0" borderId="0" xfId="0" applyNumberFormat="1" applyFont="1" applyAlignment="1">
      <alignment horizontal="center" vertical="center"/>
    </xf>
    <xf numFmtId="164" fontId="3" fillId="0" borderId="0" xfId="0" applyNumberFormat="1" applyFont="1" applyAlignment="1">
      <alignment horizontal="center" vertical="center"/>
    </xf>
    <xf numFmtId="173" fontId="6" fillId="0" borderId="0" xfId="0" applyNumberFormat="1" applyFont="1" applyAlignment="1">
      <alignment horizontal="center" vertical="center"/>
    </xf>
    <xf numFmtId="171" fontId="17" fillId="0" borderId="0" xfId="0" applyNumberFormat="1" applyFont="1" applyAlignment="1">
      <alignment horizontal="center" vertical="center"/>
    </xf>
    <xf numFmtId="164" fontId="20" fillId="0" borderId="0" xfId="0" applyNumberFormat="1" applyFont="1" applyAlignment="1">
      <alignment horizontal="center" vertical="center"/>
    </xf>
    <xf numFmtId="168" fontId="3" fillId="0" borderId="0" xfId="0" applyNumberFormat="1" applyFont="1" applyAlignment="1">
      <alignment horizontal="center" vertical="center"/>
    </xf>
    <xf numFmtId="0" fontId="9" fillId="0" borderId="0" xfId="0" applyFont="1"/>
    <xf numFmtId="0" fontId="17" fillId="0" borderId="0" xfId="0" applyFont="1" applyAlignment="1">
      <alignment horizontal="center" vertical="center"/>
    </xf>
    <xf numFmtId="171" fontId="3" fillId="0" borderId="0" xfId="0" applyNumberFormat="1" applyFont="1" applyAlignment="1">
      <alignment horizontal="center" vertical="center"/>
    </xf>
    <xf numFmtId="169" fontId="17" fillId="0" borderId="0" xfId="0" applyNumberFormat="1" applyFont="1" applyAlignment="1">
      <alignment horizontal="center" vertical="center"/>
    </xf>
    <xf numFmtId="0" fontId="8" fillId="0" borderId="0" xfId="0" applyFont="1"/>
    <xf numFmtId="0" fontId="11" fillId="2" borderId="0" xfId="0" applyFont="1" applyFill="1" applyAlignment="1">
      <alignment horizontal="center" vertical="center" wrapText="1"/>
    </xf>
    <xf numFmtId="0" fontId="12" fillId="3" borderId="0" xfId="0" applyFont="1" applyFill="1"/>
    <xf numFmtId="0" fontId="12" fillId="3" borderId="0" xfId="0" applyFont="1" applyFill="1" applyAlignment="1">
      <alignment horizontal="center" vertical="center" wrapText="1"/>
    </xf>
    <xf numFmtId="164" fontId="13" fillId="0" borderId="2" xfId="0" applyNumberFormat="1" applyFont="1" applyBorder="1"/>
    <xf numFmtId="165" fontId="13" fillId="4" borderId="2" xfId="0" applyNumberFormat="1" applyFont="1" applyFill="1" applyBorder="1"/>
    <xf numFmtId="167" fontId="13" fillId="4" borderId="2" xfId="0" applyNumberFormat="1" applyFont="1" applyFill="1" applyBorder="1"/>
    <xf numFmtId="165" fontId="13" fillId="0" borderId="2" xfId="0" applyNumberFormat="1" applyFont="1" applyBorder="1"/>
    <xf numFmtId="3" fontId="13" fillId="0" borderId="2" xfId="0" applyNumberFormat="1" applyFont="1" applyBorder="1"/>
    <xf numFmtId="168" fontId="13" fillId="0" borderId="2" xfId="0" applyNumberFormat="1" applyFont="1" applyBorder="1"/>
    <xf numFmtId="0" fontId="6" fillId="0" borderId="2" xfId="0" applyFont="1" applyBorder="1"/>
    <xf numFmtId="164" fontId="6" fillId="0" borderId="0" xfId="0" applyNumberFormat="1" applyFont="1" applyAlignment="1">
      <alignment horizontal="center" vertical="center"/>
    </xf>
    <xf numFmtId="169" fontId="6" fillId="0" borderId="0" xfId="0" applyNumberFormat="1" applyFont="1" applyAlignment="1">
      <alignment horizontal="center" vertical="center"/>
    </xf>
    <xf numFmtId="168" fontId="6" fillId="0" borderId="0" xfId="0" applyNumberFormat="1" applyFont="1" applyAlignment="1">
      <alignment horizontal="center" vertical="center"/>
    </xf>
    <xf numFmtId="2" fontId="13" fillId="0" borderId="2" xfId="0" applyNumberFormat="1" applyFont="1" applyBorder="1"/>
    <xf numFmtId="2" fontId="6" fillId="0" borderId="0" xfId="0" applyNumberFormat="1" applyFont="1"/>
    <xf numFmtId="0" fontId="13" fillId="0" borderId="2" xfId="0" applyFont="1" applyBorder="1" applyAlignment="1">
      <alignment horizontal="left" vertical="center"/>
    </xf>
    <xf numFmtId="164" fontId="6" fillId="0" borderId="0" xfId="0" applyNumberFormat="1" applyFont="1"/>
    <xf numFmtId="168" fontId="6" fillId="0" borderId="0" xfId="0" applyNumberFormat="1" applyFont="1"/>
    <xf numFmtId="167" fontId="6" fillId="0" borderId="0" xfId="0" applyNumberFormat="1" applyFont="1"/>
    <xf numFmtId="1" fontId="6" fillId="0" borderId="0" xfId="0" applyNumberFormat="1" applyFont="1"/>
    <xf numFmtId="170" fontId="6" fillId="0" borderId="0" xfId="0" applyNumberFormat="1" applyFont="1" applyAlignment="1">
      <alignment horizontal="center" vertical="center"/>
    </xf>
    <xf numFmtId="9" fontId="6" fillId="0" borderId="0" xfId="0" applyNumberFormat="1" applyFont="1" applyAlignment="1">
      <alignment horizontal="center" vertical="center"/>
    </xf>
    <xf numFmtId="0" fontId="15" fillId="0" borderId="0" xfId="0" applyFont="1"/>
    <xf numFmtId="0" fontId="17" fillId="0" borderId="0" xfId="0" applyFont="1"/>
    <xf numFmtId="180" fontId="17" fillId="0" borderId="0" xfId="0" applyNumberFormat="1" applyFont="1" applyAlignment="1">
      <alignment horizontal="center" vertical="center"/>
    </xf>
    <xf numFmtId="180" fontId="20" fillId="0" borderId="0" xfId="0" applyNumberFormat="1" applyFont="1" applyAlignment="1">
      <alignment horizontal="center" vertical="center"/>
    </xf>
    <xf numFmtId="178" fontId="17" fillId="0" borderId="0" xfId="0" applyNumberFormat="1" applyFont="1" applyAlignment="1">
      <alignment horizontal="center" vertical="center"/>
    </xf>
    <xf numFmtId="181" fontId="17" fillId="0" borderId="0" xfId="0" applyNumberFormat="1" applyFont="1" applyAlignment="1">
      <alignment horizontal="center" vertical="center"/>
    </xf>
    <xf numFmtId="179" fontId="17" fillId="0" borderId="0" xfId="0" applyNumberFormat="1" applyFont="1" applyAlignment="1">
      <alignment horizontal="center" vertical="center"/>
    </xf>
    <xf numFmtId="182" fontId="17" fillId="0" borderId="0" xfId="0" applyNumberFormat="1" applyFont="1" applyAlignment="1">
      <alignment horizontal="center" vertical="center"/>
    </xf>
    <xf numFmtId="180" fontId="6" fillId="0" borderId="0" xfId="0" applyNumberFormat="1" applyFont="1" applyAlignment="1">
      <alignment horizontal="center" vertical="center"/>
    </xf>
    <xf numFmtId="170" fontId="3" fillId="0" borderId="0" xfId="0" applyNumberFormat="1" applyFont="1" applyAlignment="1">
      <alignment horizontal="center" vertical="center"/>
    </xf>
    <xf numFmtId="1" fontId="6" fillId="0" borderId="0" xfId="0" applyNumberFormat="1" applyFont="1" applyAlignment="1">
      <alignment horizontal="center" vertical="center"/>
    </xf>
    <xf numFmtId="0" fontId="3" fillId="0" borderId="0" xfId="0" applyFont="1" applyAlignment="1">
      <alignment horizontal="center" vertical="center"/>
    </xf>
    <xf numFmtId="180" fontId="3" fillId="0" borderId="0" xfId="0" applyNumberFormat="1" applyFont="1" applyAlignment="1">
      <alignment horizontal="center" vertical="center"/>
    </xf>
    <xf numFmtId="170" fontId="22" fillId="0" borderId="0" xfId="0" applyNumberFormat="1" applyFont="1" applyAlignment="1">
      <alignment horizontal="center" vertical="center"/>
    </xf>
    <xf numFmtId="164" fontId="22" fillId="6" borderId="0" xfId="0" applyNumberFormat="1" applyFont="1" applyFill="1" applyAlignment="1">
      <alignment horizontal="center" vertical="center"/>
    </xf>
    <xf numFmtId="164" fontId="3" fillId="6" borderId="0" xfId="0" applyNumberFormat="1" applyFont="1" applyFill="1" applyAlignment="1">
      <alignment horizontal="center" vertical="center"/>
    </xf>
    <xf numFmtId="178" fontId="3" fillId="6" borderId="0" xfId="0" applyNumberFormat="1" applyFont="1" applyFill="1" applyAlignment="1">
      <alignment horizontal="center" vertical="center"/>
    </xf>
    <xf numFmtId="179" fontId="3" fillId="6" borderId="0" xfId="0" applyNumberFormat="1" applyFont="1" applyFill="1" applyAlignment="1">
      <alignment horizontal="center" vertical="center"/>
    </xf>
    <xf numFmtId="182" fontId="3" fillId="6" borderId="0" xfId="0" applyNumberFormat="1" applyFont="1" applyFill="1" applyAlignment="1">
      <alignment horizontal="center" vertical="center"/>
    </xf>
    <xf numFmtId="179" fontId="3" fillId="0" borderId="0" xfId="0" applyNumberFormat="1" applyFont="1" applyAlignment="1">
      <alignment horizontal="center" vertical="center"/>
    </xf>
    <xf numFmtId="0" fontId="13" fillId="4" borderId="3" xfId="0" applyFont="1" applyFill="1" applyBorder="1" applyAlignment="1">
      <alignment horizontal="center" vertical="center"/>
    </xf>
    <xf numFmtId="0" fontId="28" fillId="0" borderId="0" xfId="0" applyFont="1"/>
    <xf numFmtId="0" fontId="29" fillId="5" borderId="0" xfId="0" applyFont="1" applyFill="1" applyAlignment="1">
      <alignment horizontal="centerContinuous" vertical="center"/>
    </xf>
    <xf numFmtId="0" fontId="29" fillId="5" borderId="5" xfId="0" applyFont="1" applyFill="1" applyBorder="1" applyAlignment="1">
      <alignment horizontal="centerContinuous" vertical="center"/>
    </xf>
    <xf numFmtId="0" fontId="11" fillId="2" borderId="5" xfId="0" applyFont="1" applyFill="1" applyBorder="1" applyAlignment="1">
      <alignment horizontal="center" vertical="center" wrapText="1"/>
    </xf>
    <xf numFmtId="0" fontId="20" fillId="0" borderId="2" xfId="0" applyFont="1" applyBorder="1" applyAlignment="1">
      <alignment horizontal="center" vertical="center"/>
    </xf>
    <xf numFmtId="3" fontId="3" fillId="0" borderId="2" xfId="0" applyNumberFormat="1" applyFont="1" applyBorder="1" applyAlignment="1">
      <alignment horizontal="center" vertical="center"/>
    </xf>
    <xf numFmtId="165" fontId="3" fillId="0" borderId="6" xfId="0" applyNumberFormat="1" applyFont="1" applyBorder="1" applyAlignment="1">
      <alignment horizontal="center" vertical="center"/>
    </xf>
    <xf numFmtId="165" fontId="3" fillId="0" borderId="2" xfId="0" applyNumberFormat="1" applyFont="1" applyBorder="1" applyAlignment="1">
      <alignment horizontal="center" vertical="center"/>
    </xf>
    <xf numFmtId="177" fontId="3" fillId="0" borderId="6" xfId="0" applyNumberFormat="1" applyFont="1" applyBorder="1" applyAlignment="1">
      <alignment horizontal="center" vertical="center"/>
    </xf>
    <xf numFmtId="171" fontId="3" fillId="0" borderId="2" xfId="0" applyNumberFormat="1" applyFont="1" applyBorder="1" applyAlignment="1">
      <alignment horizontal="center" vertical="center"/>
    </xf>
    <xf numFmtId="0" fontId="3" fillId="0" borderId="2" xfId="0" applyFont="1" applyBorder="1" applyAlignment="1">
      <alignment horizontal="center" vertical="center"/>
    </xf>
    <xf numFmtId="177" fontId="3" fillId="0" borderId="2" xfId="0" applyNumberFormat="1" applyFont="1" applyBorder="1" applyAlignment="1">
      <alignment horizontal="center" vertical="center"/>
    </xf>
    <xf numFmtId="1" fontId="3" fillId="0" borderId="2" xfId="0" applyNumberFormat="1" applyFont="1" applyBorder="1" applyAlignment="1">
      <alignment horizontal="center" vertical="center"/>
    </xf>
    <xf numFmtId="168" fontId="3" fillId="0" borderId="6" xfId="0" applyNumberFormat="1" applyFont="1" applyBorder="1" applyAlignment="1">
      <alignment horizontal="center" vertical="center"/>
    </xf>
    <xf numFmtId="168" fontId="3" fillId="0" borderId="2" xfId="0" applyNumberFormat="1" applyFont="1" applyBorder="1" applyAlignment="1">
      <alignment horizontal="center" vertical="center"/>
    </xf>
    <xf numFmtId="164" fontId="3" fillId="0" borderId="6" xfId="0" applyNumberFormat="1" applyFont="1" applyBorder="1" applyAlignment="1">
      <alignment horizontal="center" vertical="center"/>
    </xf>
    <xf numFmtId="164" fontId="22" fillId="0" borderId="2" xfId="0" applyNumberFormat="1" applyFont="1" applyBorder="1" applyAlignment="1">
      <alignment horizontal="center" vertical="center"/>
    </xf>
    <xf numFmtId="170" fontId="3" fillId="0" borderId="2" xfId="0" applyNumberFormat="1" applyFont="1" applyBorder="1" applyAlignment="1">
      <alignment horizontal="center" vertical="center"/>
    </xf>
    <xf numFmtId="171" fontId="3" fillId="0" borderId="6" xfId="0" applyNumberFormat="1" applyFont="1" applyBorder="1" applyAlignment="1">
      <alignment horizontal="center" vertical="center"/>
    </xf>
    <xf numFmtId="164" fontId="3" fillId="0" borderId="2" xfId="0" applyNumberFormat="1" applyFont="1" applyBorder="1" applyAlignment="1">
      <alignment horizontal="center" vertical="center"/>
    </xf>
    <xf numFmtId="170" fontId="22" fillId="0" borderId="2" xfId="0" applyNumberFormat="1" applyFont="1" applyBorder="1" applyAlignment="1">
      <alignment horizontal="center" vertical="center"/>
    </xf>
    <xf numFmtId="1" fontId="3" fillId="0" borderId="0" xfId="0" applyNumberFormat="1" applyFont="1"/>
    <xf numFmtId="168" fontId="3" fillId="0" borderId="0" xfId="0" applyNumberFormat="1" applyFont="1"/>
    <xf numFmtId="0" fontId="20" fillId="6" borderId="2" xfId="0" applyFont="1" applyFill="1" applyBorder="1" applyAlignment="1">
      <alignment horizontal="center" vertical="center"/>
    </xf>
    <xf numFmtId="3" fontId="3" fillId="6" borderId="2" xfId="0" applyNumberFormat="1" applyFont="1" applyFill="1" applyBorder="1" applyAlignment="1">
      <alignment horizontal="center" vertical="center"/>
    </xf>
    <xf numFmtId="165" fontId="3" fillId="6" borderId="6" xfId="0" applyNumberFormat="1" applyFont="1" applyFill="1" applyBorder="1" applyAlignment="1">
      <alignment horizontal="center" vertical="center"/>
    </xf>
    <xf numFmtId="165" fontId="3" fillId="6" borderId="2" xfId="0" applyNumberFormat="1" applyFont="1" applyFill="1" applyBorder="1" applyAlignment="1">
      <alignment horizontal="center" vertical="center"/>
    </xf>
    <xf numFmtId="177" fontId="3" fillId="6" borderId="6" xfId="0" applyNumberFormat="1" applyFont="1" applyFill="1" applyBorder="1" applyAlignment="1">
      <alignment horizontal="center" vertical="center"/>
    </xf>
    <xf numFmtId="171" fontId="3" fillId="6" borderId="2" xfId="0" applyNumberFormat="1" applyFont="1" applyFill="1" applyBorder="1" applyAlignment="1">
      <alignment horizontal="center" vertical="center"/>
    </xf>
    <xf numFmtId="0" fontId="3" fillId="6" borderId="2" xfId="0" applyFont="1" applyFill="1" applyBorder="1" applyAlignment="1">
      <alignment horizontal="center" vertical="center"/>
    </xf>
    <xf numFmtId="177" fontId="3" fillId="6" borderId="2" xfId="0" applyNumberFormat="1" applyFont="1" applyFill="1" applyBorder="1" applyAlignment="1">
      <alignment horizontal="center" vertical="center"/>
    </xf>
    <xf numFmtId="1" fontId="3" fillId="6" borderId="2" xfId="0" applyNumberFormat="1" applyFont="1" applyFill="1" applyBorder="1" applyAlignment="1">
      <alignment horizontal="center" vertical="center"/>
    </xf>
    <xf numFmtId="168" fontId="3" fillId="6" borderId="6" xfId="0" applyNumberFormat="1" applyFont="1" applyFill="1" applyBorder="1" applyAlignment="1">
      <alignment horizontal="center" vertical="center"/>
    </xf>
    <xf numFmtId="168" fontId="3" fillId="6" borderId="2" xfId="0" applyNumberFormat="1" applyFont="1" applyFill="1" applyBorder="1" applyAlignment="1">
      <alignment horizontal="center" vertical="center"/>
    </xf>
    <xf numFmtId="164" fontId="3" fillId="6" borderId="6" xfId="0" applyNumberFormat="1" applyFont="1" applyFill="1" applyBorder="1" applyAlignment="1">
      <alignment horizontal="center" vertical="center"/>
    </xf>
    <xf numFmtId="164" fontId="22" fillId="6" borderId="2" xfId="0" applyNumberFormat="1" applyFont="1" applyFill="1" applyBorder="1" applyAlignment="1">
      <alignment horizontal="center" vertical="center"/>
    </xf>
    <xf numFmtId="170" fontId="3" fillId="6" borderId="2" xfId="0" applyNumberFormat="1" applyFont="1" applyFill="1" applyBorder="1" applyAlignment="1">
      <alignment horizontal="center" vertical="center"/>
    </xf>
    <xf numFmtId="171" fontId="3" fillId="6" borderId="6" xfId="0" applyNumberFormat="1" applyFont="1" applyFill="1" applyBorder="1" applyAlignment="1">
      <alignment horizontal="center" vertical="center"/>
    </xf>
    <xf numFmtId="164" fontId="3" fillId="6" borderId="2" xfId="0" applyNumberFormat="1" applyFont="1" applyFill="1" applyBorder="1" applyAlignment="1">
      <alignment horizontal="center" vertical="center"/>
    </xf>
    <xf numFmtId="170" fontId="22" fillId="6" borderId="2" xfId="0" applyNumberFormat="1" applyFont="1" applyFill="1" applyBorder="1" applyAlignment="1">
      <alignment horizontal="center" vertical="center"/>
    </xf>
    <xf numFmtId="0" fontId="0" fillId="0" borderId="5" xfId="0" applyBorder="1"/>
    <xf numFmtId="0" fontId="14" fillId="7" borderId="4" xfId="0" applyFont="1" applyFill="1" applyBorder="1" applyAlignment="1">
      <alignment horizontal="center" vertical="center"/>
    </xf>
    <xf numFmtId="3" fontId="22" fillId="7" borderId="4" xfId="0" applyNumberFormat="1" applyFont="1" applyFill="1" applyBorder="1" applyAlignment="1">
      <alignment horizontal="center" vertical="center"/>
    </xf>
    <xf numFmtId="165" fontId="3" fillId="7" borderId="7" xfId="0" applyNumberFormat="1" applyFont="1" applyFill="1" applyBorder="1" applyAlignment="1">
      <alignment horizontal="center" vertical="center"/>
    </xf>
    <xf numFmtId="165" fontId="3" fillId="7" borderId="4" xfId="0" applyNumberFormat="1" applyFont="1" applyFill="1" applyBorder="1" applyAlignment="1">
      <alignment horizontal="center" vertical="center"/>
    </xf>
    <xf numFmtId="0" fontId="0" fillId="7" borderId="7" xfId="0" applyFill="1" applyBorder="1"/>
    <xf numFmtId="0" fontId="0" fillId="7" borderId="4" xfId="0" applyFill="1" applyBorder="1"/>
    <xf numFmtId="1" fontId="3" fillId="7" borderId="4" xfId="0" applyNumberFormat="1" applyFont="1" applyFill="1" applyBorder="1" applyAlignment="1">
      <alignment horizontal="center" vertical="center"/>
    </xf>
    <xf numFmtId="168" fontId="3" fillId="7" borderId="7" xfId="0" applyNumberFormat="1" applyFont="1" applyFill="1" applyBorder="1" applyAlignment="1">
      <alignment horizontal="center" vertical="center"/>
    </xf>
    <xf numFmtId="168" fontId="3" fillId="7" borderId="4" xfId="0" applyNumberFormat="1" applyFont="1" applyFill="1" applyBorder="1" applyAlignment="1">
      <alignment horizontal="center" vertical="center"/>
    </xf>
    <xf numFmtId="164" fontId="3" fillId="7" borderId="7" xfId="0" applyNumberFormat="1" applyFont="1" applyFill="1" applyBorder="1" applyAlignment="1">
      <alignment horizontal="center" vertical="center"/>
    </xf>
    <xf numFmtId="164" fontId="22" fillId="7" borderId="4" xfId="0" applyNumberFormat="1" applyFont="1" applyFill="1" applyBorder="1" applyAlignment="1">
      <alignment horizontal="center" vertical="center"/>
    </xf>
    <xf numFmtId="170" fontId="3" fillId="7" borderId="4" xfId="0" applyNumberFormat="1" applyFont="1" applyFill="1" applyBorder="1" applyAlignment="1">
      <alignment horizontal="center" vertical="center"/>
    </xf>
    <xf numFmtId="171" fontId="3" fillId="7" borderId="7" xfId="0" applyNumberFormat="1" applyFont="1" applyFill="1" applyBorder="1" applyAlignment="1">
      <alignment horizontal="center" vertical="center"/>
    </xf>
    <xf numFmtId="164" fontId="3" fillId="7" borderId="4" xfId="0" applyNumberFormat="1" applyFont="1" applyFill="1" applyBorder="1" applyAlignment="1">
      <alignment horizontal="center" vertical="center"/>
    </xf>
    <xf numFmtId="170" fontId="22" fillId="7" borderId="4" xfId="0" applyNumberFormat="1" applyFont="1" applyFill="1" applyBorder="1" applyAlignment="1">
      <alignment horizontal="center" vertical="center"/>
    </xf>
    <xf numFmtId="0" fontId="21" fillId="0" borderId="0" xfId="0" applyFont="1"/>
    <xf numFmtId="0" fontId="13" fillId="4" borderId="2" xfId="0" applyFont="1" applyFill="1" applyBorder="1" applyAlignment="1">
      <alignment horizontal="center" vertical="center"/>
    </xf>
    <xf numFmtId="0" fontId="16" fillId="0" borderId="0" xfId="0" applyFont="1" applyAlignment="1">
      <alignment horizontal="center" vertical="center"/>
    </xf>
    <xf numFmtId="182" fontId="3" fillId="0" borderId="2" xfId="0" applyNumberFormat="1" applyFont="1" applyBorder="1" applyAlignment="1">
      <alignment horizontal="center" vertical="center"/>
    </xf>
    <xf numFmtId="171" fontId="22" fillId="0" borderId="2" xfId="0" applyNumberFormat="1" applyFont="1" applyBorder="1" applyAlignment="1">
      <alignment horizontal="center" vertical="center"/>
    </xf>
    <xf numFmtId="168" fontId="16" fillId="0" borderId="0" xfId="0" applyNumberFormat="1" applyFont="1"/>
    <xf numFmtId="182" fontId="3" fillId="6" borderId="2" xfId="0" applyNumberFormat="1" applyFont="1" applyFill="1" applyBorder="1" applyAlignment="1">
      <alignment horizontal="center" vertical="center"/>
    </xf>
    <xf numFmtId="171" fontId="22" fillId="6" borderId="2" xfId="0" applyNumberFormat="1" applyFont="1" applyFill="1" applyBorder="1" applyAlignment="1">
      <alignment horizontal="center" vertical="center"/>
    </xf>
    <xf numFmtId="0" fontId="14" fillId="0" borderId="0" xfId="0" applyFont="1" applyAlignment="1">
      <alignment horizontal="center" vertical="center"/>
    </xf>
    <xf numFmtId="3" fontId="22" fillId="0" borderId="0" xfId="0" applyNumberFormat="1" applyFont="1" applyAlignment="1">
      <alignment horizontal="center" vertical="center"/>
    </xf>
    <xf numFmtId="0" fontId="30" fillId="2" borderId="0" xfId="0" applyFont="1" applyFill="1" applyAlignment="1">
      <alignment horizontal="center" vertical="center"/>
    </xf>
    <xf numFmtId="0" fontId="20" fillId="0" borderId="0" xfId="0" applyFont="1" applyAlignment="1">
      <alignment horizontal="center" vertical="center"/>
    </xf>
    <xf numFmtId="171" fontId="6" fillId="0" borderId="0" xfId="0" applyNumberFormat="1" applyFont="1" applyAlignment="1">
      <alignment horizontal="center" vertical="center"/>
    </xf>
    <xf numFmtId="0" fontId="29" fillId="0" borderId="0" xfId="0" applyFont="1" applyAlignment="1">
      <alignment horizontal="center" vertical="center"/>
    </xf>
    <xf numFmtId="171" fontId="29" fillId="0" borderId="0" xfId="0" applyNumberFormat="1" applyFont="1" applyAlignment="1">
      <alignment horizontal="center" vertical="center"/>
    </xf>
    <xf numFmtId="167" fontId="13" fillId="0" borderId="2" xfId="0" applyNumberFormat="1" applyFont="1" applyBorder="1"/>
    <xf numFmtId="177" fontId="13" fillId="0" borderId="2" xfId="0" applyNumberFormat="1" applyFont="1" applyBorder="1"/>
    <xf numFmtId="183" fontId="3" fillId="0" borderId="2" xfId="0" applyNumberFormat="1" applyFont="1" applyBorder="1" applyAlignment="1">
      <alignment horizontal="center" vertical="center"/>
    </xf>
    <xf numFmtId="183" fontId="22" fillId="0" borderId="2" xfId="0" applyNumberFormat="1" applyFont="1" applyBorder="1" applyAlignment="1">
      <alignment horizontal="center" vertical="center"/>
    </xf>
    <xf numFmtId="185" fontId="3" fillId="0" borderId="2" xfId="0" applyNumberFormat="1" applyFont="1" applyBorder="1" applyAlignment="1">
      <alignment horizontal="center" vertical="center"/>
    </xf>
    <xf numFmtId="183" fontId="3" fillId="6" borderId="2" xfId="0" applyNumberFormat="1" applyFont="1" applyFill="1" applyBorder="1" applyAlignment="1">
      <alignment horizontal="center" vertical="center"/>
    </xf>
    <xf numFmtId="183" fontId="22" fillId="6" borderId="2" xfId="0" applyNumberFormat="1" applyFont="1" applyFill="1" applyBorder="1" applyAlignment="1">
      <alignment horizontal="center" vertical="center"/>
    </xf>
    <xf numFmtId="185" fontId="3" fillId="6" borderId="2" xfId="0" applyNumberFormat="1" applyFont="1" applyFill="1" applyBorder="1" applyAlignment="1">
      <alignment horizontal="center" vertical="center"/>
    </xf>
    <xf numFmtId="0" fontId="0" fillId="3" borderId="0" xfId="0" applyFill="1"/>
    <xf numFmtId="0" fontId="12" fillId="3" borderId="0" xfId="0" applyFont="1" applyFill="1" applyAlignment="1">
      <alignment horizontal="center" vertical="center"/>
    </xf>
    <xf numFmtId="2" fontId="6" fillId="0" borderId="0" xfId="0" applyNumberFormat="1" applyFont="1" applyAlignment="1">
      <alignment horizontal="center" vertical="center"/>
    </xf>
    <xf numFmtId="165" fontId="6" fillId="0" borderId="0" xfId="0" applyNumberFormat="1" applyFont="1" applyAlignment="1">
      <alignment horizontal="center" vertical="center"/>
    </xf>
    <xf numFmtId="185" fontId="31" fillId="0" borderId="0" xfId="0" applyNumberFormat="1" applyFont="1" applyAlignment="1">
      <alignment horizontal="center" vertical="center"/>
    </xf>
    <xf numFmtId="171" fontId="16" fillId="0" borderId="0" xfId="0" applyNumberFormat="1" applyFont="1"/>
    <xf numFmtId="0" fontId="20" fillId="0" borderId="0" xfId="0" applyFont="1"/>
    <xf numFmtId="0" fontId="24" fillId="6" borderId="0" xfId="0" applyFont="1" applyFill="1"/>
    <xf numFmtId="178" fontId="3" fillId="0" borderId="0" xfId="0" applyNumberFormat="1" applyFont="1" applyAlignment="1">
      <alignment horizontal="center" vertical="center"/>
    </xf>
    <xf numFmtId="0" fontId="6" fillId="0" borderId="0" xfId="0" applyFont="1" applyAlignment="1">
      <alignment horizontal="center" vertical="center"/>
    </xf>
    <xf numFmtId="177" fontId="3" fillId="0" borderId="0" xfId="0" applyNumberFormat="1" applyFont="1" applyAlignment="1">
      <alignment horizontal="center" vertical="center"/>
    </xf>
    <xf numFmtId="0" fontId="26" fillId="0" borderId="0" xfId="0" applyFont="1"/>
    <xf numFmtId="0" fontId="25" fillId="0" borderId="2" xfId="0" applyFont="1" applyBorder="1"/>
    <xf numFmtId="164" fontId="25" fillId="0" borderId="2" xfId="0" applyNumberFormat="1" applyFont="1" applyBorder="1"/>
    <xf numFmtId="165" fontId="25" fillId="0" borderId="2" xfId="0" applyNumberFormat="1" applyFont="1" applyBorder="1"/>
    <xf numFmtId="167" fontId="25" fillId="0" borderId="2" xfId="0" applyNumberFormat="1" applyFont="1" applyBorder="1"/>
    <xf numFmtId="168" fontId="25" fillId="0" borderId="2" xfId="0" applyNumberFormat="1" applyFont="1" applyBorder="1"/>
    <xf numFmtId="0" fontId="33" fillId="6" borderId="0" xfId="0" applyFont="1" applyFill="1"/>
    <xf numFmtId="0" fontId="34" fillId="0" borderId="0" xfId="0" applyFont="1"/>
    <xf numFmtId="0" fontId="34" fillId="0" borderId="0" xfId="0" applyFont="1" applyAlignment="1">
      <alignment horizontal="left" vertical="top" wrapText="1"/>
    </xf>
    <xf numFmtId="164" fontId="17" fillId="0" borderId="2" xfId="0" applyNumberFormat="1" applyFont="1" applyBorder="1" applyAlignment="1">
      <alignment horizontal="center" vertical="center"/>
    </xf>
    <xf numFmtId="0" fontId="17" fillId="0" borderId="2" xfId="0" applyFont="1" applyBorder="1" applyAlignment="1">
      <alignment horizontal="center" vertical="center"/>
    </xf>
    <xf numFmtId="165" fontId="17" fillId="0" borderId="2" xfId="0" applyNumberFormat="1" applyFont="1" applyBorder="1" applyAlignment="1">
      <alignment horizontal="center" vertical="center"/>
    </xf>
    <xf numFmtId="14" fontId="17" fillId="0" borderId="2" xfId="0" applyNumberFormat="1" applyFont="1" applyBorder="1" applyAlignment="1">
      <alignment horizontal="center" vertical="center"/>
    </xf>
    <xf numFmtId="168" fontId="17" fillId="0" borderId="2" xfId="0" applyNumberFormat="1" applyFont="1" applyBorder="1" applyAlignment="1">
      <alignment horizontal="center" vertical="center"/>
    </xf>
    <xf numFmtId="168" fontId="20" fillId="6" borderId="0" xfId="0" applyNumberFormat="1" applyFont="1" applyFill="1" applyAlignment="1">
      <alignment horizontal="center" vertical="center"/>
    </xf>
    <xf numFmtId="174" fontId="3" fillId="0" borderId="0" xfId="0" applyNumberFormat="1" applyFont="1" applyAlignment="1">
      <alignment horizontal="center" vertical="center"/>
    </xf>
    <xf numFmtId="2" fontId="3" fillId="0" borderId="0" xfId="0" applyNumberFormat="1" applyFont="1" applyAlignment="1">
      <alignment horizontal="center" vertical="center"/>
    </xf>
    <xf numFmtId="1" fontId="3" fillId="0" borderId="0" xfId="0" applyNumberFormat="1" applyFont="1" applyAlignment="1">
      <alignment horizontal="center" vertical="center"/>
    </xf>
    <xf numFmtId="165" fontId="3" fillId="0" borderId="0" xfId="0" applyNumberFormat="1" applyFont="1" applyAlignment="1">
      <alignment horizontal="center" vertical="center"/>
    </xf>
    <xf numFmtId="168" fontId="3" fillId="6" borderId="0" xfId="0" applyNumberFormat="1" applyFont="1" applyFill="1" applyAlignment="1">
      <alignment horizontal="center" vertical="center"/>
    </xf>
    <xf numFmtId="168" fontId="20" fillId="0" borderId="2" xfId="0" applyNumberFormat="1" applyFont="1" applyBorder="1" applyAlignment="1">
      <alignment horizontal="center" vertical="center"/>
    </xf>
    <xf numFmtId="177" fontId="17" fillId="0" borderId="0" xfId="0" applyNumberFormat="1" applyFont="1" applyAlignment="1">
      <alignment horizontal="center" vertical="center"/>
    </xf>
    <xf numFmtId="2" fontId="17" fillId="0" borderId="0" xfId="0" applyNumberFormat="1" applyFont="1" applyAlignment="1">
      <alignment horizontal="center" vertical="center"/>
    </xf>
    <xf numFmtId="0" fontId="35" fillId="0" borderId="0" xfId="0" applyFont="1"/>
    <xf numFmtId="0" fontId="22" fillId="0" borderId="2" xfId="0" applyFont="1" applyBorder="1" applyAlignment="1">
      <alignment horizontal="center" vertical="center"/>
    </xf>
    <xf numFmtId="164" fontId="20" fillId="6" borderId="0" xfId="0" applyNumberFormat="1" applyFont="1" applyFill="1" applyAlignment="1">
      <alignment horizontal="center" vertical="center"/>
    </xf>
    <xf numFmtId="3" fontId="17" fillId="0" borderId="0" xfId="0" applyNumberFormat="1" applyFont="1" applyAlignment="1">
      <alignment horizontal="center" vertical="center"/>
    </xf>
    <xf numFmtId="171" fontId="22" fillId="6" borderId="0" xfId="0" applyNumberFormat="1" applyFont="1" applyFill="1" applyAlignment="1">
      <alignment horizontal="center" vertical="center"/>
    </xf>
    <xf numFmtId="171" fontId="20" fillId="6" borderId="0" xfId="0" applyNumberFormat="1" applyFont="1" applyFill="1" applyAlignment="1">
      <alignment horizontal="center" vertical="center"/>
    </xf>
    <xf numFmtId="186" fontId="16" fillId="0" borderId="0" xfId="0" applyNumberFormat="1" applyFont="1"/>
    <xf numFmtId="17" fontId="16" fillId="0" borderId="0" xfId="0" applyNumberFormat="1" applyFont="1"/>
    <xf numFmtId="165" fontId="16" fillId="0" borderId="0" xfId="0" applyNumberFormat="1" applyFont="1"/>
    <xf numFmtId="1" fontId="13" fillId="0" borderId="2" xfId="0" applyNumberFormat="1" applyFont="1" applyBorder="1"/>
    <xf numFmtId="164" fontId="22" fillId="0" borderId="0" xfId="0" applyNumberFormat="1" applyFont="1" applyAlignment="1">
      <alignment horizontal="center" vertical="center"/>
    </xf>
    <xf numFmtId="168" fontId="3" fillId="0" borderId="2" xfId="0" applyNumberFormat="1" applyFont="1" applyBorder="1"/>
    <xf numFmtId="165" fontId="6" fillId="0" borderId="0" xfId="0" applyNumberFormat="1" applyFont="1"/>
    <xf numFmtId="183" fontId="22" fillId="6" borderId="2" xfId="0" applyNumberFormat="1" applyFont="1" applyFill="1" applyBorder="1"/>
    <xf numFmtId="183" fontId="3" fillId="0" borderId="2" xfId="0" applyNumberFormat="1" applyFont="1" applyBorder="1"/>
    <xf numFmtId="164" fontId="3" fillId="0" borderId="2" xfId="0" applyNumberFormat="1" applyFont="1" applyBorder="1"/>
    <xf numFmtId="167" fontId="3" fillId="0" borderId="0" xfId="0" applyNumberFormat="1" applyFont="1" applyAlignment="1">
      <alignment horizontal="center" vertical="center"/>
    </xf>
    <xf numFmtId="164" fontId="16" fillId="0" borderId="0" xfId="0" applyNumberFormat="1" applyFont="1"/>
    <xf numFmtId="0" fontId="22" fillId="6" borderId="0" xfId="0" applyFont="1" applyFill="1"/>
    <xf numFmtId="0" fontId="32" fillId="0" borderId="0" xfId="0" applyFont="1"/>
    <xf numFmtId="167" fontId="17" fillId="0" borderId="0" xfId="0" applyNumberFormat="1" applyFont="1" applyAlignment="1">
      <alignment horizontal="center" vertical="center"/>
    </xf>
    <xf numFmtId="0" fontId="22" fillId="0" borderId="0" xfId="0" applyFont="1"/>
    <xf numFmtId="0" fontId="23" fillId="0" borderId="0" xfId="0" applyFont="1"/>
    <xf numFmtId="1" fontId="17" fillId="0" borderId="2" xfId="0" applyNumberFormat="1" applyFont="1" applyBorder="1"/>
    <xf numFmtId="1" fontId="3" fillId="0" borderId="2" xfId="0" applyNumberFormat="1" applyFont="1" applyBorder="1"/>
    <xf numFmtId="168" fontId="22" fillId="0" borderId="2" xfId="0" applyNumberFormat="1" applyFont="1" applyBorder="1"/>
    <xf numFmtId="2" fontId="3" fillId="0" borderId="2" xfId="0" applyNumberFormat="1" applyFont="1" applyBorder="1"/>
    <xf numFmtId="0" fontId="3" fillId="0" borderId="2" xfId="0" applyFont="1" applyBorder="1"/>
    <xf numFmtId="171" fontId="3" fillId="0" borderId="2" xfId="0" applyNumberFormat="1" applyFont="1" applyBorder="1"/>
    <xf numFmtId="17" fontId="11" fillId="2" borderId="0" xfId="0" applyNumberFormat="1" applyFont="1" applyFill="1" applyAlignment="1">
      <alignment horizontal="center" vertical="center"/>
    </xf>
    <xf numFmtId="174" fontId="3" fillId="0" borderId="0" xfId="0" applyNumberFormat="1" applyFont="1"/>
    <xf numFmtId="167" fontId="3" fillId="0" borderId="0" xfId="0" applyNumberFormat="1" applyFont="1"/>
    <xf numFmtId="22" fontId="3" fillId="0" borderId="0" xfId="0" applyNumberFormat="1" applyFont="1"/>
    <xf numFmtId="2" fontId="3" fillId="0" borderId="0" xfId="0" applyNumberFormat="1" applyFont="1"/>
    <xf numFmtId="165" fontId="3" fillId="0" borderId="0" xfId="0" applyNumberFormat="1" applyFont="1"/>
    <xf numFmtId="165" fontId="17" fillId="0" borderId="0" xfId="0" applyNumberFormat="1" applyFont="1"/>
    <xf numFmtId="176" fontId="16" fillId="0" borderId="0" xfId="0" applyNumberFormat="1" applyFont="1"/>
    <xf numFmtId="168" fontId="22" fillId="0" borderId="0" xfId="0" applyNumberFormat="1" applyFont="1"/>
    <xf numFmtId="165" fontId="17" fillId="0" borderId="2" xfId="0" applyNumberFormat="1" applyFont="1" applyBorder="1"/>
    <xf numFmtId="165" fontId="3" fillId="0" borderId="2" xfId="0" applyNumberFormat="1" applyFont="1" applyBorder="1"/>
    <xf numFmtId="177" fontId="3" fillId="0" borderId="2" xfId="0" applyNumberFormat="1" applyFont="1" applyBorder="1"/>
    <xf numFmtId="176" fontId="3" fillId="0" borderId="2" xfId="0" applyNumberFormat="1" applyFont="1" applyBorder="1"/>
    <xf numFmtId="2" fontId="6" fillId="0" borderId="2" xfId="0" applyNumberFormat="1" applyFont="1" applyBorder="1"/>
    <xf numFmtId="165" fontId="22" fillId="0" borderId="2" xfId="0" applyNumberFormat="1" applyFont="1" applyBorder="1"/>
    <xf numFmtId="167" fontId="17" fillId="0" borderId="2" xfId="0" applyNumberFormat="1" applyFont="1" applyBorder="1"/>
    <xf numFmtId="1" fontId="17" fillId="0" borderId="0" xfId="0" applyNumberFormat="1" applyFont="1" applyAlignment="1">
      <alignment horizontal="center" vertical="center"/>
    </xf>
    <xf numFmtId="174" fontId="17" fillId="0" borderId="0" xfId="0" applyNumberFormat="1" applyFont="1"/>
    <xf numFmtId="175" fontId="17" fillId="0" borderId="0" xfId="0" applyNumberFormat="1" applyFont="1"/>
    <xf numFmtId="2" fontId="17" fillId="0" borderId="0" xfId="0" applyNumberFormat="1" applyFont="1"/>
    <xf numFmtId="168" fontId="17" fillId="0" borderId="0" xfId="0" applyNumberFormat="1" applyFont="1"/>
    <xf numFmtId="0" fontId="22" fillId="0" borderId="0" xfId="0" applyFont="1" applyAlignment="1">
      <alignment horizontal="center" vertical="center"/>
    </xf>
    <xf numFmtId="187" fontId="3" fillId="0" borderId="0" xfId="0" applyNumberFormat="1" applyFont="1" applyAlignment="1">
      <alignment horizontal="center" vertical="center"/>
    </xf>
    <xf numFmtId="188" fontId="6" fillId="0" borderId="0" xfId="0" applyNumberFormat="1" applyFont="1" applyAlignment="1">
      <alignment horizontal="center" vertical="center"/>
    </xf>
    <xf numFmtId="189" fontId="6" fillId="0" borderId="0" xfId="0" applyNumberFormat="1" applyFont="1" applyAlignment="1">
      <alignment horizontal="center" vertical="center"/>
    </xf>
    <xf numFmtId="183" fontId="3" fillId="0" borderId="0" xfId="0" applyNumberFormat="1" applyFont="1" applyAlignment="1">
      <alignment horizontal="center" vertical="center"/>
    </xf>
    <xf numFmtId="0" fontId="29" fillId="0" borderId="0" xfId="0" applyFont="1"/>
    <xf numFmtId="0" fontId="12" fillId="0" borderId="0" xfId="0" applyFont="1" applyAlignment="1">
      <alignment horizontal="left" vertical="top" wrapText="1"/>
    </xf>
    <xf numFmtId="0" fontId="36" fillId="0" borderId="0" xfId="0" applyFont="1"/>
    <xf numFmtId="0" fontId="12" fillId="0" borderId="0" xfId="0" applyFont="1"/>
    <xf numFmtId="3" fontId="6" fillId="0" borderId="0" xfId="0" applyNumberFormat="1" applyFont="1"/>
    <xf numFmtId="170" fontId="6" fillId="0" borderId="0" xfId="0" applyNumberFormat="1" applyFont="1"/>
    <xf numFmtId="177" fontId="6" fillId="0" borderId="0" xfId="0" applyNumberFormat="1" applyFont="1"/>
    <xf numFmtId="171" fontId="6" fillId="0" borderId="0" xfId="0" applyNumberFormat="1" applyFont="1"/>
    <xf numFmtId="175" fontId="3" fillId="0" borderId="0" xfId="0" applyNumberFormat="1" applyFont="1"/>
    <xf numFmtId="0" fontId="16" fillId="3" borderId="0" xfId="0" applyFont="1" applyFill="1" applyAlignment="1">
      <alignment horizontal="center" vertical="center" wrapText="1"/>
    </xf>
    <xf numFmtId="184" fontId="3" fillId="0" borderId="0" xfId="0" applyNumberFormat="1" applyFont="1"/>
    <xf numFmtId="167" fontId="16" fillId="0" borderId="0" xfId="0" applyNumberFormat="1" applyFont="1"/>
    <xf numFmtId="2" fontId="16" fillId="0" borderId="0" xfId="0" applyNumberFormat="1" applyFont="1"/>
    <xf numFmtId="10" fontId="16" fillId="0" borderId="0" xfId="0" applyNumberFormat="1" applyFont="1"/>
    <xf numFmtId="183" fontId="16" fillId="0" borderId="0" xfId="0" applyNumberFormat="1" applyFont="1"/>
    <xf numFmtId="184" fontId="16" fillId="0" borderId="0" xfId="0" applyNumberFormat="1" applyFont="1"/>
    <xf numFmtId="184" fontId="2" fillId="0" borderId="0" xfId="0" applyNumberFormat="1" applyFont="1"/>
  </cellXfs>
  <cellStyles count="1">
    <cellStyle name="Normal" xfId="0" builtinId="0"/>
  </cellStyles>
  <dxfs count="21">
    <dxf>
      <font>
        <b/>
        <sz val="11"/>
        <color rgb="FF595959"/>
        <name val="Calibri"/>
      </font>
      <fill>
        <patternFill patternType="solid">
          <fgColor rgb="FFE7E6E6"/>
        </patternFill>
      </fill>
    </dxf>
    <dxf>
      <font>
        <b/>
        <sz val="11"/>
        <color rgb="FF7F6000"/>
        <name val="Calibri"/>
      </font>
      <fill>
        <patternFill patternType="solid">
          <fgColor rgb="FFFFE8A6"/>
        </patternFill>
      </fill>
    </dxf>
    <dxf>
      <font>
        <b/>
        <sz val="11"/>
        <color rgb="FFC00000"/>
        <name val="Calibri"/>
      </font>
      <fill>
        <patternFill patternType="solid">
          <fgColor rgb="FFF8CBCC"/>
        </patternFill>
      </fill>
    </dxf>
    <dxf>
      <font>
        <b/>
        <sz val="11"/>
        <color rgb="FF2E7D32"/>
        <name val="Calibri"/>
      </font>
      <fill>
        <patternFill patternType="solid">
          <fgColor rgb="FFD6E8D5"/>
        </patternFill>
      </fill>
    </dxf>
    <dxf>
      <font>
        <b/>
        <sz val="11"/>
        <color rgb="FF595959"/>
        <name val="Calibri"/>
      </font>
      <fill>
        <patternFill patternType="solid">
          <fgColor rgb="FFE7E6E6"/>
        </patternFill>
      </fill>
    </dxf>
    <dxf>
      <font>
        <b/>
        <sz val="11"/>
        <color rgb="FF7F6000"/>
        <name val="Calibri"/>
      </font>
      <fill>
        <patternFill patternType="solid">
          <fgColor rgb="FFFFE8A6"/>
        </patternFill>
      </fill>
    </dxf>
    <dxf>
      <font>
        <b/>
        <sz val="11"/>
        <color rgb="FFC00000"/>
        <name val="Calibri"/>
      </font>
      <fill>
        <patternFill patternType="solid">
          <fgColor rgb="FFF8CBCC"/>
        </patternFill>
      </fill>
    </dxf>
    <dxf>
      <font>
        <b/>
        <sz val="11"/>
        <color rgb="FF2E7D32"/>
        <name val="Calibri"/>
      </font>
      <fill>
        <patternFill patternType="solid">
          <fgColor rgb="FFD6E8D5"/>
        </patternFill>
      </fill>
    </dxf>
    <dxf>
      <font>
        <b/>
        <sz val="11"/>
        <color rgb="FFC00000"/>
        <name val="Calibri"/>
      </font>
      <fill>
        <patternFill patternType="solid">
          <fgColor rgb="FFF8CBCC"/>
        </patternFill>
      </fill>
    </dxf>
    <dxf>
      <font>
        <b/>
        <sz val="11"/>
        <color rgb="FF2E7D32"/>
        <name val="Calibri"/>
      </font>
      <fill>
        <patternFill patternType="solid">
          <fgColor rgb="FFD6E8D5"/>
        </patternFill>
      </fill>
    </dxf>
    <dxf>
      <font>
        <sz val="11"/>
        <color rgb="FFBFBFBF"/>
        <name val="Calibri"/>
      </font>
    </dxf>
    <dxf>
      <font>
        <b/>
        <sz val="11"/>
        <color rgb="FFC00000"/>
        <name val="Calibri"/>
      </font>
      <fill>
        <patternFill patternType="solid">
          <fgColor rgb="FFF8CBCC"/>
        </patternFill>
      </fill>
    </dxf>
    <dxf>
      <font>
        <b/>
        <sz val="11"/>
        <color rgb="FF2E7D32"/>
        <name val="Calibri"/>
      </font>
      <fill>
        <patternFill patternType="solid">
          <fgColor rgb="FFD6E8D5"/>
        </patternFill>
      </fill>
    </dxf>
    <dxf>
      <font>
        <b/>
        <sz val="11"/>
        <color rgb="FFC00000"/>
        <name val="Calibri"/>
      </font>
      <fill>
        <patternFill patternType="solid">
          <fgColor rgb="FFF8CBCC"/>
        </patternFill>
      </fill>
    </dxf>
    <dxf>
      <font>
        <b/>
        <sz val="11"/>
        <color rgb="FF2E7D32"/>
        <name val="Calibri"/>
      </font>
      <fill>
        <patternFill patternType="solid">
          <fgColor rgb="FFD6E8D5"/>
        </patternFill>
      </fill>
    </dxf>
    <dxf>
      <font>
        <b/>
        <i/>
        <sz val="9"/>
        <color rgb="FFFFC000"/>
        <name val="Calibri"/>
      </font>
    </dxf>
    <dxf>
      <font>
        <b/>
        <i/>
        <sz val="9"/>
        <color rgb="FFFFC000"/>
        <name val="Calibri"/>
      </font>
    </dxf>
    <dxf>
      <font>
        <b/>
        <i/>
        <sz val="9"/>
        <color rgb="FFFFC000"/>
        <name val="Calibri"/>
      </font>
    </dxf>
    <dxf>
      <font>
        <b/>
        <i/>
        <sz val="9"/>
        <color rgb="FFFFC000"/>
        <name val="Calibri"/>
      </font>
    </dxf>
    <dxf>
      <font>
        <b/>
        <sz val="14"/>
        <color rgb="FFC00000"/>
        <name val="Calibri"/>
      </font>
      <fill>
        <patternFill patternType="solid">
          <fgColor rgb="FFF8CBCC"/>
        </patternFill>
      </fill>
    </dxf>
    <dxf>
      <font>
        <b/>
        <sz val="14"/>
        <color rgb="FF2E7D32"/>
        <name val="Calibri"/>
      </font>
      <fill>
        <patternFill patternType="solid">
          <fgColor rgb="FFD6E8D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Who moves the book — EP-weighted contribution (pts)</a:t>
            </a:r>
          </a:p>
        </c:rich>
      </c:tx>
      <c:overlay val="1"/>
    </c:title>
    <c:autoTitleDeleted val="0"/>
    <c:plotArea>
      <c:layout/>
      <c:barChart>
        <c:barDir val="bar"/>
        <c:grouping val="clustered"/>
        <c:varyColors val="1"/>
        <c:ser>
          <c:idx val="0"/>
          <c:order val="0"/>
          <c:tx>
            <c:strRef>
              <c:f>Portfolio!$W$6</c:f>
              <c:strCache>
                <c:ptCount val="1"/>
                <c:pt idx="0">
                  <c:v>Contribution (pts)</c:v>
                </c:pt>
              </c:strCache>
            </c:strRef>
          </c:tx>
          <c:spPr>
            <a:solidFill>
              <a:srgbClr val="8497B0"/>
            </a:solidFill>
            <a:ln>
              <a:prstDash val="solid"/>
            </a:ln>
          </c:spPr>
          <c:invertIfNegative val="1"/>
          <c:cat>
            <c:strRef>
              <c:f>Portfolio!$T$7:$T$16</c:f>
              <c:strCache>
                <c:ptCount val="10"/>
                <c:pt idx="0">
                  <c:v>ABD|OH</c:v>
                </c:pt>
                <c:pt idx="1">
                  <c:v>MM|IN</c:v>
                </c:pt>
                <c:pt idx="2">
                  <c:v>SBA|AZ</c:v>
                </c:pt>
                <c:pt idx="3">
                  <c:v>ABD|IN</c:v>
                </c:pt>
                <c:pt idx="4">
                  <c:v>SBA|OH</c:v>
                </c:pt>
                <c:pt idx="5">
                  <c:v>MM|OH</c:v>
                </c:pt>
                <c:pt idx="6">
                  <c:v>SBA|IA</c:v>
                </c:pt>
                <c:pt idx="7">
                  <c:v>MM|CO</c:v>
                </c:pt>
                <c:pt idx="8">
                  <c:v>ABD|NM</c:v>
                </c:pt>
                <c:pt idx="9">
                  <c:v>MM|IA</c:v>
                </c:pt>
              </c:strCache>
            </c:strRef>
          </c:cat>
          <c:val>
            <c:numRef>
              <c:f>Portfolio!$W$7:$W$16</c:f>
              <c:numCache>
                <c:formatCode>\+0.00;\-0.00;0.00</c:formatCode>
                <c:ptCount val="10"/>
                <c:pt idx="0">
                  <c:v>1.8440787111119121E-2</c:v>
                </c:pt>
                <c:pt idx="1">
                  <c:v>1.3738386397783707E-2</c:v>
                </c:pt>
                <c:pt idx="2">
                  <c:v>9.097454974818937E-3</c:v>
                </c:pt>
                <c:pt idx="3">
                  <c:v>1.2697458695645094E-2</c:v>
                </c:pt>
                <c:pt idx="4">
                  <c:v>1.9879168505786488E-2</c:v>
                </c:pt>
                <c:pt idx="5">
                  <c:v>1.8459227898230329E-2</c:v>
                </c:pt>
                <c:pt idx="6">
                  <c:v>1.8930179444424183E-2</c:v>
                </c:pt>
                <c:pt idx="7">
                  <c:v>1.735099973699402E-2</c:v>
                </c:pt>
                <c:pt idx="8">
                  <c:v>8.5028056004539145E-3</c:v>
                </c:pt>
                <c:pt idx="9">
                  <c:v>1.7657650715104528E-2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6B1-4CBC-AB9F-A62D63F746E5}"/>
            </c:ext>
          </c:extLst>
        </c:ser>
        <c:dLbls>
          <c:showLegendKey val="0"/>
          <c:showVal val="0"/>
          <c:showCatName val="0"/>
          <c:showSerName val="0"/>
          <c:showPercent val="0"/>
          <c:showBubbleSize val="0"/>
        </c:dLbls>
        <c:gapWidth val="4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title>
          <c:tx>
            <c:rich>
              <a:bodyPr/>
              <a:lstStyle/>
              <a:p>
                <a:pPr>
                  <a:defRPr/>
                </a:pPr>
                <a:r>
                  <a:t>Contribution (pts)</a:t>
                </a:r>
              </a:p>
            </c:rich>
          </c:tx>
          <c:overlay val="1"/>
        </c:title>
        <c:numFmt formatCode="0.0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How the month gets to the target: rate share + pricing share (log-scaled to sum to x)</a:t>
            </a:r>
          </a:p>
        </c:rich>
      </c:tx>
      <c:overlay val="1"/>
    </c:title>
    <c:autoTitleDeleted val="0"/>
    <c:plotArea>
      <c:layout/>
      <c:barChart>
        <c:barDir val="col"/>
        <c:grouping val="stacked"/>
        <c:varyColors val="1"/>
        <c:ser>
          <c:idx val="0"/>
          <c:order val="0"/>
          <c:tx>
            <c:strRef>
              <c:f>'Net Delivery'!$B$129</c:f>
              <c:strCache>
                <c:ptCount val="1"/>
                <c:pt idx="0">
                  <c:v>Rate share</c:v>
                </c:pt>
              </c:strCache>
            </c:strRef>
          </c:tx>
          <c:spPr>
            <a:solidFill>
              <a:srgbClr val="8497B0"/>
            </a:solidFill>
            <a:ln>
              <a:prstDash val="solid"/>
            </a:ln>
          </c:spPr>
          <c:invertIfNegative val="1"/>
          <c:cat>
            <c:strRef>
              <c:f>'Net Delivery'!$A$130:$A$141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'Net Delivery'!$B$130:$B$141</c:f>
              <c:numCache>
                <c:formatCode>\+0.0%;\-0.0%;0.0%</c:formatCode>
                <c:ptCount val="12"/>
                <c:pt idx="0">
                  <c:v>0.10000000000000002</c:v>
                </c:pt>
                <c:pt idx="1">
                  <c:v>0.10000000000000002</c:v>
                </c:pt>
                <c:pt idx="2">
                  <c:v>0.10000000000000002</c:v>
                </c:pt>
                <c:pt idx="3">
                  <c:v>0.14115060241603025</c:v>
                </c:pt>
                <c:pt idx="4">
                  <c:v>0.14115060241603025</c:v>
                </c:pt>
                <c:pt idx="5">
                  <c:v>0.14115060241603025</c:v>
                </c:pt>
                <c:pt idx="6">
                  <c:v>0.14115060241603025</c:v>
                </c:pt>
                <c:pt idx="7">
                  <c:v>0.14115060241603025</c:v>
                </c:pt>
                <c:pt idx="8">
                  <c:v>0.14115060241603025</c:v>
                </c:pt>
                <c:pt idx="9">
                  <c:v>4.1150602416030274E-2</c:v>
                </c:pt>
                <c:pt idx="10">
                  <c:v>4.1150602416030274E-2</c:v>
                </c:pt>
                <c:pt idx="11">
                  <c:v>4.1150602416030274E-2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6701-4B70-A4DD-50B148A62F84}"/>
            </c:ext>
          </c:extLst>
        </c:ser>
        <c:ser>
          <c:idx val="1"/>
          <c:order val="1"/>
          <c:tx>
            <c:strRef>
              <c:f>'Net Delivery'!$C$129</c:f>
              <c:strCache>
                <c:ptCount val="1"/>
                <c:pt idx="0">
                  <c:v>Pricing share</c:v>
                </c:pt>
              </c:strCache>
            </c:strRef>
          </c:tx>
          <c:spPr>
            <a:solidFill>
              <a:srgbClr val="F4B8B8"/>
            </a:solidFill>
            <a:ln>
              <a:prstDash val="solid"/>
            </a:ln>
          </c:spPr>
          <c:invertIfNegative val="1"/>
          <c:cat>
            <c:strRef>
              <c:f>'Net Delivery'!$A$130:$A$141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'Net Delivery'!$C$130:$C$141</c:f>
              <c:numCache>
                <c:formatCode>\+0.0%;\-0.0%;0.0%</c:formatCode>
                <c:ptCount val="12"/>
                <c:pt idx="0">
                  <c:v>0</c:v>
                </c:pt>
                <c:pt idx="1">
                  <c:v>0</c:v>
                </c:pt>
                <c:pt idx="2">
                  <c:v>0</c:v>
                </c:pt>
                <c:pt idx="3">
                  <c:v>-4.1150602416030198E-2</c:v>
                </c:pt>
                <c:pt idx="4">
                  <c:v>-4.1150602416030198E-2</c:v>
                </c:pt>
                <c:pt idx="5">
                  <c:v>-4.1150602416030198E-2</c:v>
                </c:pt>
                <c:pt idx="6">
                  <c:v>-4.1150602416030198E-2</c:v>
                </c:pt>
                <c:pt idx="7">
                  <c:v>-4.1150602416030198E-2</c:v>
                </c:pt>
                <c:pt idx="8">
                  <c:v>-4.1150602416030198E-2</c:v>
                </c:pt>
                <c:pt idx="9">
                  <c:v>5.8849397583969704E-2</c:v>
                </c:pt>
                <c:pt idx="10">
                  <c:v>5.8849397583969704E-2</c:v>
                </c:pt>
                <c:pt idx="11">
                  <c:v>5.8849397583969704E-2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6701-4B70-A4DD-50B148A62F84}"/>
            </c:ext>
          </c:extLst>
        </c:ser>
        <c:dLbls>
          <c:showLegendKey val="0"/>
          <c:showVal val="0"/>
          <c:showCatName val="0"/>
          <c:showSerName val="0"/>
          <c:showPercent val="0"/>
          <c:showBubbleSize val="0"/>
        </c:dLbls>
        <c:gapWidth val="45"/>
        <c:overlap val="100"/>
        <c:axId val="10"/>
        <c:axId val="100"/>
      </c:barChart>
      <c:lineChart>
        <c:grouping val="standard"/>
        <c:varyColors val="1"/>
        <c:ser>
          <c:idx val="2"/>
          <c:order val="2"/>
          <c:tx>
            <c:strRef>
              <c:f>'Net Delivery'!$D$129</c:f>
              <c:strCache>
                <c:ptCount val="1"/>
                <c:pt idx="0">
                  <c:v>Delivered @ proj mods</c:v>
                </c:pt>
              </c:strCache>
            </c:strRef>
          </c:tx>
          <c:spPr>
            <a:ln w="25400">
              <a:solidFill>
                <a:srgbClr val="1F3864"/>
              </a:solidFill>
              <a:prstDash val="solid"/>
            </a:ln>
          </c:spPr>
          <c:marker>
            <c:symbol val="none"/>
          </c:marker>
          <c:cat>
            <c:strRef>
              <c:f>'Net Delivery'!$A$130:$A$141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'Net Delivery'!$D$130:$D$141</c:f>
              <c:numCache>
                <c:formatCode>\+0.0%;\-0.0%;0.0%</c:formatCode>
                <c:ptCount val="12"/>
                <c:pt idx="0">
                  <c:v>0.10484222078838368</c:v>
                </c:pt>
                <c:pt idx="1">
                  <c:v>0.10484049863766809</c:v>
                </c:pt>
                <c:pt idx="2">
                  <c:v>0.10483877771149319</c:v>
                </c:pt>
                <c:pt idx="3">
                  <c:v>0.14903047972435757</c:v>
                </c:pt>
                <c:pt idx="4">
                  <c:v>0.14902863198713834</c:v>
                </c:pt>
                <c:pt idx="5">
                  <c:v>0.14902678560679949</c:v>
                </c:pt>
                <c:pt idx="6">
                  <c:v>0.14902494058184668</c:v>
                </c:pt>
                <c:pt idx="7">
                  <c:v>0.14902306669794352</c:v>
                </c:pt>
                <c:pt idx="8">
                  <c:v>0.14902122440144794</c:v>
                </c:pt>
                <c:pt idx="9">
                  <c:v>4.456307586894992E-2</c:v>
                </c:pt>
                <c:pt idx="10">
                  <c:v>4.4561403508771802E-2</c:v>
                </c:pt>
                <c:pt idx="11">
                  <c:v>4.4559732373979699E-2</c:v>
                </c:pt>
              </c:numCache>
            </c:numRef>
          </c:val>
          <c:smooth val="0"/>
          <c:extLst>
            <c:ext xmlns:c16="http://schemas.microsoft.com/office/drawing/2014/chart" uri="{C3380CC4-5D6E-409C-BE32-E72D297353CC}">
              <c16:uniqueId val="{00000002-6701-4B70-A4DD-50B148A62F84}"/>
            </c:ext>
          </c:extLst>
        </c:ser>
        <c:ser>
          <c:idx val="3"/>
          <c:order val="3"/>
          <c:tx>
            <c:strRef>
              <c:f>'Net Delivery'!$E$129</c:f>
              <c:strCache>
                <c:ptCount val="1"/>
                <c:pt idx="0">
                  <c:v>Target</c:v>
                </c:pt>
              </c:strCache>
            </c:strRef>
          </c:tx>
          <c:spPr>
            <a:ln w="25400">
              <a:solidFill>
                <a:srgbClr val="C00000"/>
              </a:solidFill>
              <a:prstDash val="dash"/>
            </a:ln>
          </c:spPr>
          <c:marker>
            <c:symbol val="none"/>
          </c:marker>
          <c:cat>
            <c:strRef>
              <c:f>'Net Delivery'!$A$130:$A$141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'Net Delivery'!$E$130:$E$141</c:f>
              <c:numCache>
                <c:formatCode>\+0.0%;\-0.0%;0.0%</c:formatCode>
                <c:ptCount val="12"/>
                <c:pt idx="0">
                  <c:v>0.1</c:v>
                </c:pt>
                <c:pt idx="1">
                  <c:v>0.1</c:v>
                </c:pt>
                <c:pt idx="2">
                  <c:v>0.1</c:v>
                </c:pt>
                <c:pt idx="3">
                  <c:v>0.1</c:v>
                </c:pt>
                <c:pt idx="4">
                  <c:v>0.1</c:v>
                </c:pt>
                <c:pt idx="5">
                  <c:v>0.1</c:v>
                </c:pt>
                <c:pt idx="6">
                  <c:v>0.1</c:v>
                </c:pt>
                <c:pt idx="7">
                  <c:v>0.1</c:v>
                </c:pt>
                <c:pt idx="8">
                  <c:v>0.1</c:v>
                </c:pt>
                <c:pt idx="9">
                  <c:v>0.1</c:v>
                </c:pt>
                <c:pt idx="10">
                  <c:v>0.1</c:v>
                </c:pt>
                <c:pt idx="11">
                  <c:v>0.1</c:v>
                </c:pt>
              </c:numCache>
            </c:numRef>
          </c:val>
          <c:smooth val="0"/>
          <c:extLst>
            <c:ext xmlns:c16="http://schemas.microsoft.com/office/drawing/2014/chart" uri="{C3380CC4-5D6E-409C-BE32-E72D297353CC}">
              <c16:uniqueId val="{00000003-6701-4B70-A4DD-50B148A62F84}"/>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Projected LR -&gt; CY plan loss ratio (stacked-column waterfall)</a:t>
            </a:r>
          </a:p>
        </c:rich>
      </c:tx>
      <c:overlay val="1"/>
    </c:title>
    <c:autoTitleDeleted val="0"/>
    <c:plotArea>
      <c:layout/>
      <c:barChart>
        <c:barDir val="col"/>
        <c:grouping val="stacked"/>
        <c:varyColors val="1"/>
        <c:ser>
          <c:idx val="0"/>
          <c:order val="0"/>
          <c:tx>
            <c:strRef>
              <c:f>Bridge!$C$60</c:f>
              <c:strCache>
                <c:ptCount val="1"/>
                <c:pt idx="0">
                  <c:v>base</c:v>
                </c:pt>
              </c:strCache>
            </c:strRef>
          </c:tx>
          <c:spPr>
            <a:no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Bridge!$C$61:$C$66</c:f>
              <c:numCache>
                <c:formatCode>0.0%</c:formatCode>
                <c:ptCount val="6"/>
                <c:pt idx="0">
                  <c:v>0</c:v>
                </c:pt>
                <c:pt idx="1">
                  <c:v>0.65</c:v>
                </c:pt>
                <c:pt idx="2">
                  <c:v>0.63414634146341464</c:v>
                </c:pt>
                <c:pt idx="3">
                  <c:v>0.61816313641421827</c:v>
                </c:pt>
                <c:pt idx="4">
                  <c:v>0.61816313641421827</c:v>
                </c:pt>
                <c:pt idx="5">
                  <c:v>0</c:v>
                </c:pt>
              </c:numCache>
            </c:numRef>
          </c:val>
          <c:extLst>
            <c:ext xmlns:c16="http://schemas.microsoft.com/office/drawing/2014/chart" uri="{C3380CC4-5D6E-409C-BE32-E72D297353CC}">
              <c16:uniqueId val="{00000000-6CB5-4579-8BC1-C383F08F5261}"/>
            </c:ext>
          </c:extLst>
        </c:ser>
        <c:ser>
          <c:idx val="1"/>
          <c:order val="1"/>
          <c:tx>
            <c:strRef>
              <c:f>Bridge!$D$60</c:f>
              <c:strCache>
                <c:ptCount val="1"/>
                <c:pt idx="0">
                  <c:v>up</c:v>
                </c:pt>
              </c:strCache>
            </c:strRef>
          </c:tx>
          <c:spPr>
            <a:solidFill>
              <a:srgbClr val="8497B0"/>
            </a:solid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Bridge!$D$61:$D$66</c:f>
              <c:numCache>
                <c:formatCode>0.0%</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6CB5-4579-8BC1-C383F08F5261}"/>
            </c:ext>
          </c:extLst>
        </c:ser>
        <c:ser>
          <c:idx val="2"/>
          <c:order val="2"/>
          <c:tx>
            <c:strRef>
              <c:f>Bridge!$E$60</c:f>
              <c:strCache>
                <c:ptCount val="1"/>
                <c:pt idx="0">
                  <c:v>down</c:v>
                </c:pt>
              </c:strCache>
            </c:strRef>
          </c:tx>
          <c:spPr>
            <a:solidFill>
              <a:srgbClr val="1F3864"/>
            </a:solid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Bridge!$E$61:$E$66</c:f>
              <c:numCache>
                <c:formatCode>0.0%</c:formatCode>
                <c:ptCount val="6"/>
                <c:pt idx="0">
                  <c:v>0</c:v>
                </c:pt>
                <c:pt idx="1">
                  <c:v>0</c:v>
                </c:pt>
                <c:pt idx="2">
                  <c:v>1.585365853658538E-2</c:v>
                </c:pt>
                <c:pt idx="3">
                  <c:v>1.598320504919637E-2</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6CB5-4579-8BC1-C383F08F5261}"/>
            </c:ext>
          </c:extLst>
        </c:ser>
        <c:ser>
          <c:idx val="3"/>
          <c:order val="3"/>
          <c:tx>
            <c:strRef>
              <c:f>Bridge!$F$60</c:f>
              <c:strCache>
                <c:ptCount val="1"/>
                <c:pt idx="0">
                  <c:v>total</c:v>
                </c:pt>
              </c:strCache>
            </c:strRef>
          </c:tx>
          <c:spPr>
            <a:solidFill>
              <a:srgbClr val="548235"/>
            </a:solid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Bridge!$F$61:$F$66</c:f>
              <c:numCache>
                <c:formatCode>0.0%</c:formatCode>
                <c:ptCount val="6"/>
                <c:pt idx="0">
                  <c:v>0.65</c:v>
                </c:pt>
                <c:pt idx="1">
                  <c:v>0</c:v>
                </c:pt>
                <c:pt idx="2">
                  <c:v>0</c:v>
                </c:pt>
                <c:pt idx="3">
                  <c:v>0</c:v>
                </c:pt>
                <c:pt idx="4">
                  <c:v>0</c:v>
                </c:pt>
                <c:pt idx="5">
                  <c:v>0.61816313641421827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6CB5-4579-8BC1-C383F08F5261}"/>
            </c:ext>
          </c:extLst>
        </c:ser>
        <c:dLbls>
          <c:showLegendKey val="0"/>
          <c:showVal val="0"/>
          <c:showCatName val="0"/>
          <c:showSerName val="0"/>
          <c:showPercent val="0"/>
          <c:showBubbleSize val="0"/>
        </c:dLbls>
        <c:gapWidth val="6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Loss ratio</a:t>
                </a:r>
              </a:p>
            </c:rich>
          </c:tx>
          <c:overlay val="1"/>
        </c:title>
        <c:numFmt formatCode="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Written vs earned mod path</a:t>
            </a:r>
          </a:p>
        </c:rich>
      </c:tx>
      <c:overlay val="1"/>
    </c:title>
    <c:autoTitleDeleted val="0"/>
    <c:plotArea>
      <c:layout/>
      <c:lineChart>
        <c:grouping val="standard"/>
        <c:varyColors val="1"/>
        <c:ser>
          <c:idx val="0"/>
          <c:order val="0"/>
          <c:tx>
            <c:strRef>
              <c:f>'Flow Dashboard'!$E$80</c:f>
              <c:strCache>
                <c:ptCount val="1"/>
                <c:pt idx="0">
                  <c:v>Written mod</c:v>
                </c:pt>
              </c:strCache>
            </c:strRef>
          </c:tx>
          <c:spPr>
            <a:ln w="28575">
              <a:solidFill>
                <a:srgbClr val="8497B0"/>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Dashboard'!$E$81:$E$116</c:f>
              <c:numCache>
                <c:formatCode>0.000</c:formatCode>
                <c:ptCount val="36"/>
                <c:pt idx="0">
                  <c:v>0.84309628008752735</c:v>
                </c:pt>
                <c:pt idx="1">
                  <c:v>0.84503282275711156</c:v>
                </c:pt>
                <c:pt idx="2">
                  <c:v>0.84696936542669587</c:v>
                </c:pt>
                <c:pt idx="3">
                  <c:v>0.84897155361050325</c:v>
                </c:pt>
                <c:pt idx="4">
                  <c:v>0.85097374179431073</c:v>
                </c:pt>
                <c:pt idx="5">
                  <c:v>0.85297592997811811</c:v>
                </c:pt>
                <c:pt idx="6">
                  <c:v>0.85497811816192559</c:v>
                </c:pt>
                <c:pt idx="7">
                  <c:v>0.85701312910284466</c:v>
                </c:pt>
                <c:pt idx="8">
                  <c:v>0.85901531728665204</c:v>
                </c:pt>
                <c:pt idx="9">
                  <c:v>0.86101750547045952</c:v>
                </c:pt>
                <c:pt idx="10">
                  <c:v>0.8630196936542669</c:v>
                </c:pt>
                <c:pt idx="11">
                  <c:v>0.86502188183807438</c:v>
                </c:pt>
                <c:pt idx="12">
                  <c:v>0.86705689277899345</c:v>
                </c:pt>
                <c:pt idx="13">
                  <c:v>0.86899343544857766</c:v>
                </c:pt>
                <c:pt idx="14">
                  <c:v>0.87092997811816197</c:v>
                </c:pt>
                <c:pt idx="15">
                  <c:v>0.87293216630196935</c:v>
                </c:pt>
                <c:pt idx="16">
                  <c:v>0.87493435448577683</c:v>
                </c:pt>
                <c:pt idx="17">
                  <c:v>0.87693654266958421</c:v>
                </c:pt>
                <c:pt idx="18">
                  <c:v>0.87893873085339169</c:v>
                </c:pt>
                <c:pt idx="19">
                  <c:v>0.88097374179431076</c:v>
                </c:pt>
                <c:pt idx="20">
                  <c:v>0.88297592997811813</c:v>
                </c:pt>
                <c:pt idx="21">
                  <c:v>0.88497811816192562</c:v>
                </c:pt>
                <c:pt idx="22">
                  <c:v>0.8869803063457331</c:v>
                </c:pt>
                <c:pt idx="23">
                  <c:v>0.88898249452954048</c:v>
                </c:pt>
                <c:pt idx="24">
                  <c:v>0.89</c:v>
                </c:pt>
                <c:pt idx="25">
                  <c:v>0.89</c:v>
                </c:pt>
                <c:pt idx="26">
                  <c:v>0.89</c:v>
                </c:pt>
                <c:pt idx="27">
                  <c:v>0.89</c:v>
                </c:pt>
                <c:pt idx="28">
                  <c:v>0.89</c:v>
                </c:pt>
                <c:pt idx="29">
                  <c:v>0.89</c:v>
                </c:pt>
                <c:pt idx="30">
                  <c:v>0.89</c:v>
                </c:pt>
                <c:pt idx="31">
                  <c:v>0.89</c:v>
                </c:pt>
                <c:pt idx="32">
                  <c:v>0.89</c:v>
                </c:pt>
                <c:pt idx="33">
                  <c:v>0.89</c:v>
                </c:pt>
                <c:pt idx="34">
                  <c:v>0.89</c:v>
                </c:pt>
                <c:pt idx="35">
                  <c:v>0.89</c:v>
                </c:pt>
              </c:numCache>
            </c:numRef>
          </c:val>
          <c:smooth val="0"/>
          <c:extLst>
            <c:ext xmlns:c16="http://schemas.microsoft.com/office/drawing/2014/chart" uri="{C3380CC4-5D6E-409C-BE32-E72D297353CC}">
              <c16:uniqueId val="{00000000-7735-4D29-B02D-C1A7EE61BAF3}"/>
            </c:ext>
          </c:extLst>
        </c:ser>
        <c:ser>
          <c:idx val="1"/>
          <c:order val="1"/>
          <c:tx>
            <c:strRef>
              <c:f>'Flow Dashboard'!$F$80</c:f>
              <c:strCache>
                <c:ptCount val="1"/>
                <c:pt idx="0">
                  <c:v>Earned mod</c:v>
                </c:pt>
              </c:strCache>
            </c:strRef>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Dashboard'!$F$81:$F$116</c:f>
              <c:numCache>
                <c:formatCode>0.000</c:formatCode>
                <c:ptCount val="36"/>
                <c:pt idx="0">
                  <c:v>0.83705689277899342</c:v>
                </c:pt>
                <c:pt idx="1">
                  <c:v>0.83906181619256015</c:v>
                </c:pt>
                <c:pt idx="2">
                  <c:v>0.84105306345733044</c:v>
                </c:pt>
                <c:pt idx="3">
                  <c:v>0.84303884026258202</c:v>
                </c:pt>
                <c:pt idx="4">
                  <c:v>0.84502461706783372</c:v>
                </c:pt>
                <c:pt idx="5">
                  <c:v>0.84701039387308541</c:v>
                </c:pt>
                <c:pt idx="6">
                  <c:v>0.84899343544857786</c:v>
                </c:pt>
                <c:pt idx="7">
                  <c:v>0.85098194748358869</c:v>
                </c:pt>
                <c:pt idx="8">
                  <c:v>0.85298413566739617</c:v>
                </c:pt>
                <c:pt idx="9">
                  <c:v>0.85499179431072225</c:v>
                </c:pt>
                <c:pt idx="10">
                  <c:v>0.85699945295404822</c:v>
                </c:pt>
                <c:pt idx="11">
                  <c:v>0.8590071115973742</c:v>
                </c:pt>
                <c:pt idx="12">
                  <c:v>0.86101750547045963</c:v>
                </c:pt>
                <c:pt idx="13">
                  <c:v>0.86302242888402625</c:v>
                </c:pt>
                <c:pt idx="14">
                  <c:v>0.86501367614879665</c:v>
                </c:pt>
                <c:pt idx="15">
                  <c:v>0.86699945295404823</c:v>
                </c:pt>
                <c:pt idx="16">
                  <c:v>0.86898522975929982</c:v>
                </c:pt>
                <c:pt idx="17">
                  <c:v>0.8709710065645514</c:v>
                </c:pt>
                <c:pt idx="18">
                  <c:v>0.87295404814004385</c:v>
                </c:pt>
                <c:pt idx="19">
                  <c:v>0.87494256017505478</c:v>
                </c:pt>
                <c:pt idx="20">
                  <c:v>0.87694474835886227</c:v>
                </c:pt>
                <c:pt idx="21">
                  <c:v>0.87895240700218802</c:v>
                </c:pt>
                <c:pt idx="22">
                  <c:v>0.88096006564551421</c:v>
                </c:pt>
                <c:pt idx="23">
                  <c:v>0.88296772428884029</c:v>
                </c:pt>
                <c:pt idx="24">
                  <c:v>0.88489332603938731</c:v>
                </c:pt>
                <c:pt idx="25">
                  <c:v>0.88656728665207873</c:v>
                </c:pt>
                <c:pt idx="26">
                  <c:v>0.88790481400437649</c:v>
                </c:pt>
                <c:pt idx="27">
                  <c:v>0.88890864332603947</c:v>
                </c:pt>
                <c:pt idx="28">
                  <c:v>0.88957877461706791</c:v>
                </c:pt>
                <c:pt idx="29">
                  <c:v>0.88991520787746181</c:v>
                </c:pt>
                <c:pt idx="30">
                  <c:v>0.89</c:v>
                </c:pt>
                <c:pt idx="31">
                  <c:v>0.89</c:v>
                </c:pt>
                <c:pt idx="32">
                  <c:v>0.89</c:v>
                </c:pt>
                <c:pt idx="33">
                  <c:v>0.89</c:v>
                </c:pt>
                <c:pt idx="34">
                  <c:v>0.89</c:v>
                </c:pt>
                <c:pt idx="35">
                  <c:v>0.89</c:v>
                </c:pt>
              </c:numCache>
            </c:numRef>
          </c:val>
          <c:smooth val="0"/>
          <c:extLst>
            <c:ext xmlns:c16="http://schemas.microsoft.com/office/drawing/2014/chart" uri="{C3380CC4-5D6E-409C-BE32-E72D297353CC}">
              <c16:uniqueId val="{00000001-7735-4D29-B02D-C1A7EE61BAF3}"/>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numFmt formatCode="0.0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Projected -&gt; plan loss ratio</a:t>
            </a:r>
          </a:p>
        </c:rich>
      </c:tx>
      <c:overlay val="1"/>
    </c:title>
    <c:autoTitleDeleted val="0"/>
    <c:plotArea>
      <c:layout/>
      <c:barChart>
        <c:barDir val="col"/>
        <c:grouping val="stacked"/>
        <c:varyColors val="1"/>
        <c:ser>
          <c:idx val="0"/>
          <c:order val="0"/>
          <c:tx>
            <c:strRef>
              <c:f>Bridge!$C$60</c:f>
              <c:strCache>
                <c:ptCount val="1"/>
                <c:pt idx="0">
                  <c:v>base</c:v>
                </c:pt>
              </c:strCache>
            </c:strRef>
          </c:tx>
          <c:spPr>
            <a:no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Bridge!$C$61:$C$66</c:f>
              <c:numCache>
                <c:formatCode>0.0%</c:formatCode>
                <c:ptCount val="6"/>
                <c:pt idx="0">
                  <c:v>0</c:v>
                </c:pt>
                <c:pt idx="1">
                  <c:v>0.65</c:v>
                </c:pt>
                <c:pt idx="2">
                  <c:v>0.63414634146341464</c:v>
                </c:pt>
                <c:pt idx="3">
                  <c:v>0.61816313641421827</c:v>
                </c:pt>
                <c:pt idx="4">
                  <c:v>0.61816313641421827</c:v>
                </c:pt>
                <c:pt idx="5">
                  <c:v>0</c:v>
                </c:pt>
              </c:numCache>
            </c:numRef>
          </c:val>
          <c:extLst>
            <c:ext xmlns:c16="http://schemas.microsoft.com/office/drawing/2014/chart" uri="{C3380CC4-5D6E-409C-BE32-E72D297353CC}">
              <c16:uniqueId val="{00000000-1228-4AE6-BD1C-E6192637EBB9}"/>
            </c:ext>
          </c:extLst>
        </c:ser>
        <c:ser>
          <c:idx val="1"/>
          <c:order val="1"/>
          <c:tx>
            <c:strRef>
              <c:f>Bridge!$D$60</c:f>
              <c:strCache>
                <c:ptCount val="1"/>
                <c:pt idx="0">
                  <c:v>up</c:v>
                </c:pt>
              </c:strCache>
            </c:strRef>
          </c:tx>
          <c:spPr>
            <a:solidFill>
              <a:srgbClr val="8497B0"/>
            </a:solid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Bridge!$D$61:$D$66</c:f>
              <c:numCache>
                <c:formatCode>0.0%</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1228-4AE6-BD1C-E6192637EBB9}"/>
            </c:ext>
          </c:extLst>
        </c:ser>
        <c:ser>
          <c:idx val="2"/>
          <c:order val="2"/>
          <c:tx>
            <c:strRef>
              <c:f>Bridge!$E$60</c:f>
              <c:strCache>
                <c:ptCount val="1"/>
                <c:pt idx="0">
                  <c:v>down</c:v>
                </c:pt>
              </c:strCache>
            </c:strRef>
          </c:tx>
          <c:spPr>
            <a:solidFill>
              <a:srgbClr val="1F3864"/>
            </a:solid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Bridge!$E$61:$E$66</c:f>
              <c:numCache>
                <c:formatCode>0.0%</c:formatCode>
                <c:ptCount val="6"/>
                <c:pt idx="0">
                  <c:v>0</c:v>
                </c:pt>
                <c:pt idx="1">
                  <c:v>0</c:v>
                </c:pt>
                <c:pt idx="2">
                  <c:v>1.585365853658538E-2</c:v>
                </c:pt>
                <c:pt idx="3">
                  <c:v>1.598320504919637E-2</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1228-4AE6-BD1C-E6192637EBB9}"/>
            </c:ext>
          </c:extLst>
        </c:ser>
        <c:ser>
          <c:idx val="3"/>
          <c:order val="3"/>
          <c:tx>
            <c:strRef>
              <c:f>Bridge!$F$60</c:f>
              <c:strCache>
                <c:ptCount val="1"/>
                <c:pt idx="0">
                  <c:v>total</c:v>
                </c:pt>
              </c:strCache>
            </c:strRef>
          </c:tx>
          <c:spPr>
            <a:solidFill>
              <a:srgbClr val="548235"/>
            </a:solid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Bridge!$F$61:$F$66</c:f>
              <c:numCache>
                <c:formatCode>0.0%</c:formatCode>
                <c:ptCount val="6"/>
                <c:pt idx="0">
                  <c:v>0.65</c:v>
                </c:pt>
                <c:pt idx="1">
                  <c:v>0</c:v>
                </c:pt>
                <c:pt idx="2">
                  <c:v>0</c:v>
                </c:pt>
                <c:pt idx="3">
                  <c:v>0</c:v>
                </c:pt>
                <c:pt idx="4">
                  <c:v>0</c:v>
                </c:pt>
                <c:pt idx="5">
                  <c:v>0.61816313641421827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1228-4AE6-BD1C-E6192637EBB9}"/>
            </c:ext>
          </c:extLst>
        </c:ser>
        <c:dLbls>
          <c:showLegendKey val="0"/>
          <c:showVal val="0"/>
          <c:showCatName val="0"/>
          <c:showSerName val="0"/>
          <c:showPercent val="0"/>
          <c:showBubbleSize val="0"/>
        </c:dLbls>
        <c:gapWidth val="6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Rate still to earn in (unearned runway)</a:t>
            </a:r>
          </a:p>
        </c:rich>
      </c:tx>
      <c:overlay val="1"/>
    </c:title>
    <c:autoTitleDeleted val="0"/>
    <c:plotArea>
      <c:layout/>
      <c:lineChart>
        <c:grouping val="standard"/>
        <c:varyColors val="1"/>
        <c:ser>
          <c:idx val="0"/>
          <c:order val="0"/>
          <c:tx>
            <c:strRef>
              <c:f>'Flow Dashboard'!$L$80</c:f>
              <c:strCache>
                <c:ptCount val="1"/>
                <c:pt idx="0">
                  <c:v>Unearned runway</c:v>
                </c:pt>
              </c:strCache>
            </c:strRef>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Dashboard'!$L$81:$L$116</c:f>
              <c:numCache>
                <c:formatCode>\+0.0%;\-0.0%;0.0%</c:formatCode>
                <c:ptCount val="36"/>
                <c:pt idx="0">
                  <c:v>-2.2204460492503131E-16</c:v>
                </c:pt>
                <c:pt idx="1">
                  <c:v>-2.2204460492503131E-16</c:v>
                </c:pt>
                <c:pt idx="2">
                  <c:v>-2.2204460492503131E-16</c:v>
                </c:pt>
                <c:pt idx="3">
                  <c:v>-2.2204460492503131E-16</c:v>
                </c:pt>
                <c:pt idx="4">
                  <c:v>-2.2204460492503131E-16</c:v>
                </c:pt>
                <c:pt idx="5">
                  <c:v>-2.2204460492503131E-16</c:v>
                </c:pt>
                <c:pt idx="6">
                  <c:v>5.472636815920362E-2</c:v>
                </c:pt>
                <c:pt idx="7">
                  <c:v>4.4334975369457963E-2</c:v>
                </c:pt>
                <c:pt idx="8">
                  <c:v>3.4146341463414442E-2</c:v>
                </c:pt>
                <c:pt idx="9">
                  <c:v>2.4154589371980562E-2</c:v>
                </c:pt>
                <c:pt idx="10">
                  <c:v>1.4354066985645675E-2</c:v>
                </c:pt>
                <c:pt idx="11">
                  <c:v>4.7393364928909332E-3</c:v>
                </c:pt>
                <c:pt idx="12">
                  <c:v>-2.2204460492503131E-16</c:v>
                </c:pt>
                <c:pt idx="13">
                  <c:v>-2.2204460492503131E-16</c:v>
                </c:pt>
                <c:pt idx="14">
                  <c:v>-2.2204460492503131E-16</c:v>
                </c:pt>
                <c:pt idx="15">
                  <c:v>4.5643153526970792E-2</c:v>
                </c:pt>
                <c:pt idx="16">
                  <c:v>3.7037037037036979E-2</c:v>
                </c:pt>
                <c:pt idx="17">
                  <c:v>2.857142857142847E-2</c:v>
                </c:pt>
                <c:pt idx="18">
                  <c:v>2.0242914979756943E-2</c:v>
                </c:pt>
                <c:pt idx="19">
                  <c:v>1.2048192771084265E-2</c:v>
                </c:pt>
                <c:pt idx="20">
                  <c:v>3.9840637450199168E-3</c:v>
                </c:pt>
                <c:pt idx="21">
                  <c:v>-2.2204460492503131E-16</c:v>
                </c:pt>
                <c:pt idx="22">
                  <c:v>-2.2204460492503131E-16</c:v>
                </c:pt>
                <c:pt idx="23">
                  <c:v>-2.2204460492503131E-16</c:v>
                </c:pt>
                <c:pt idx="24">
                  <c:v>-2.2204460492503131E-16</c:v>
                </c:pt>
                <c:pt idx="25">
                  <c:v>-2.2204460492503131E-16</c:v>
                </c:pt>
                <c:pt idx="26">
                  <c:v>-2.2204460492503131E-16</c:v>
                </c:pt>
                <c:pt idx="27">
                  <c:v>-2.2204460492503131E-16</c:v>
                </c:pt>
                <c:pt idx="28">
                  <c:v>-2.2204460492503131E-16</c:v>
                </c:pt>
                <c:pt idx="29">
                  <c:v>-2.2204460492503131E-16</c:v>
                </c:pt>
                <c:pt idx="30">
                  <c:v>-2.2204460492503131E-16</c:v>
                </c:pt>
                <c:pt idx="31">
                  <c:v>-2.2204460492503131E-16</c:v>
                </c:pt>
                <c:pt idx="32">
                  <c:v>-2.2204460492503131E-16</c:v>
                </c:pt>
                <c:pt idx="33">
                  <c:v>-2.2204460492503131E-16</c:v>
                </c:pt>
                <c:pt idx="34">
                  <c:v>-2.2204460492503131E-16</c:v>
                </c:pt>
                <c:pt idx="35">
                  <c:v>-2.2204460492503131E-16</c:v>
                </c:pt>
              </c:numCache>
            </c:numRef>
          </c:val>
          <c:smooth val="0"/>
          <c:extLst>
            <c:ext xmlns:c16="http://schemas.microsoft.com/office/drawing/2014/chart" uri="{C3380CC4-5D6E-409C-BE32-E72D297353CC}">
              <c16:uniqueId val="{00000000-71B7-44FB-BFE4-9F0DCF207D39}"/>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numFmt formatCode="0.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Cumulative written vs earned rate index (plan year shaded)</a:t>
            </a:r>
          </a:p>
        </c:rich>
      </c:tx>
      <c:overlay val="1"/>
    </c:title>
    <c:autoTitleDeleted val="0"/>
    <c:plotArea>
      <c:layout/>
      <c:barChart>
        <c:barDir val="col"/>
        <c:grouping val="clustered"/>
        <c:varyColors val="1"/>
        <c:ser>
          <c:idx val="0"/>
          <c:order val="0"/>
          <c:tx>
            <c:strRef>
              <c:f>'Flow Dashboard'!$I$80</c:f>
              <c:strCache>
                <c:ptCount val="1"/>
                <c:pt idx="0">
                  <c:v>Plan year</c:v>
                </c:pt>
              </c:strCache>
            </c:strRef>
          </c:tx>
          <c:spPr>
            <a:solidFill>
              <a:srgbClr val="DDEBF7"/>
            </a:solidFill>
            <a:ln>
              <a:noFill/>
              <a:prstDash val="solid"/>
            </a:ln>
          </c:spPr>
          <c:invertIfNegative val="1"/>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Dashboard'!$I$81:$I$116</c:f>
              <c:numCache>
                <c:formatCode>0</c:formatCode>
                <c:ptCount val="36"/>
                <c:pt idx="0">
                  <c:v>0</c:v>
                </c:pt>
                <c:pt idx="1">
                  <c:v>0</c:v>
                </c:pt>
                <c:pt idx="2">
                  <c:v>0</c:v>
                </c:pt>
                <c:pt idx="3">
                  <c:v>0</c:v>
                </c:pt>
                <c:pt idx="4">
                  <c:v>0</c:v>
                </c:pt>
                <c:pt idx="5">
                  <c:v>0</c:v>
                </c:pt>
                <c:pt idx="6">
                  <c:v>0</c:v>
                </c:pt>
                <c:pt idx="7">
                  <c:v>0</c:v>
                </c:pt>
                <c:pt idx="8">
                  <c:v>0</c:v>
                </c:pt>
                <c:pt idx="9">
                  <c:v>0</c:v>
                </c:pt>
                <c:pt idx="10">
                  <c:v>0</c:v>
                </c:pt>
                <c:pt idx="11">
                  <c:v>0</c:v>
                </c:pt>
                <c:pt idx="12">
                  <c:v>1</c:v>
                </c:pt>
                <c:pt idx="13">
                  <c:v>1</c:v>
                </c:pt>
                <c:pt idx="14">
                  <c:v>1</c:v>
                </c:pt>
                <c:pt idx="15">
                  <c:v>1</c:v>
                </c:pt>
                <c:pt idx="16">
                  <c:v>1</c:v>
                </c:pt>
                <c:pt idx="17">
                  <c:v>1</c:v>
                </c:pt>
                <c:pt idx="18">
                  <c:v>1</c:v>
                </c:pt>
                <c:pt idx="19">
                  <c:v>1</c:v>
                </c:pt>
                <c:pt idx="20">
                  <c:v>1</c:v>
                </c:pt>
                <c:pt idx="21">
                  <c:v>1</c:v>
                </c:pt>
                <c:pt idx="22">
                  <c:v>1</c:v>
                </c:pt>
                <c:pt idx="23">
                  <c:v>1</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49AE-4A7F-824A-A491C633F3D6}"/>
            </c:ext>
          </c:extLst>
        </c:ser>
        <c:dLbls>
          <c:showLegendKey val="0"/>
          <c:showVal val="0"/>
          <c:showCatName val="0"/>
          <c:showSerName val="0"/>
          <c:showPercent val="0"/>
          <c:showBubbleSize val="0"/>
        </c:dLbls>
        <c:gapWidth val="0"/>
        <c:axId val="10"/>
        <c:axId val="100"/>
      </c:barChart>
      <c:lineChart>
        <c:grouping val="standard"/>
        <c:varyColors val="1"/>
        <c:ser>
          <c:idx val="1"/>
          <c:order val="1"/>
          <c:tx>
            <c:strRef>
              <c:f>'Flow Dashboard'!$C$80</c:f>
              <c:strCache>
                <c:ptCount val="1"/>
                <c:pt idx="0">
                  <c:v>Written idx W</c:v>
                </c:pt>
              </c:strCache>
            </c:strRef>
          </c:tx>
          <c:spPr>
            <a:ln w="28575">
              <a:solidFill>
                <a:srgbClr val="8497B0"/>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Dashboard'!$C$81:$C$116</c:f>
              <c:numCache>
                <c:formatCode>0.0000</c:formatCode>
                <c:ptCount val="36"/>
                <c:pt idx="0">
                  <c:v>1.04</c:v>
                </c:pt>
                <c:pt idx="1">
                  <c:v>1.04</c:v>
                </c:pt>
                <c:pt idx="2">
                  <c:v>1.04</c:v>
                </c:pt>
                <c:pt idx="3">
                  <c:v>1.04</c:v>
                </c:pt>
                <c:pt idx="4">
                  <c:v>1.04</c:v>
                </c:pt>
                <c:pt idx="5">
                  <c:v>1.04</c:v>
                </c:pt>
                <c:pt idx="6">
                  <c:v>1.1024</c:v>
                </c:pt>
                <c:pt idx="7">
                  <c:v>1.1024</c:v>
                </c:pt>
                <c:pt idx="8">
                  <c:v>1.1024</c:v>
                </c:pt>
                <c:pt idx="9">
                  <c:v>1.1024</c:v>
                </c:pt>
                <c:pt idx="10">
                  <c:v>1.1024</c:v>
                </c:pt>
                <c:pt idx="11">
                  <c:v>1.1024</c:v>
                </c:pt>
                <c:pt idx="12">
                  <c:v>1.1024</c:v>
                </c:pt>
                <c:pt idx="13">
                  <c:v>1.1024</c:v>
                </c:pt>
                <c:pt idx="14">
                  <c:v>1.1024</c:v>
                </c:pt>
                <c:pt idx="15">
                  <c:v>1.1575200000000001</c:v>
                </c:pt>
                <c:pt idx="16">
                  <c:v>1.1575200000000001</c:v>
                </c:pt>
                <c:pt idx="17">
                  <c:v>1.1575200000000001</c:v>
                </c:pt>
                <c:pt idx="18">
                  <c:v>1.1575200000000001</c:v>
                </c:pt>
                <c:pt idx="19">
                  <c:v>1.1575200000000001</c:v>
                </c:pt>
                <c:pt idx="20">
                  <c:v>1.1575200000000001</c:v>
                </c:pt>
                <c:pt idx="21">
                  <c:v>1.1575200000000001</c:v>
                </c:pt>
                <c:pt idx="22">
                  <c:v>1.1575200000000001</c:v>
                </c:pt>
                <c:pt idx="23">
                  <c:v>1.1575200000000001</c:v>
                </c:pt>
                <c:pt idx="24">
                  <c:v>1.1575200000000001</c:v>
                </c:pt>
                <c:pt idx="25">
                  <c:v>1.1575200000000001</c:v>
                </c:pt>
                <c:pt idx="26">
                  <c:v>1.1575200000000001</c:v>
                </c:pt>
                <c:pt idx="27">
                  <c:v>1.1575200000000001</c:v>
                </c:pt>
                <c:pt idx="28">
                  <c:v>1.1575200000000001</c:v>
                </c:pt>
                <c:pt idx="29">
                  <c:v>1.1575200000000001</c:v>
                </c:pt>
                <c:pt idx="30">
                  <c:v>1.1575200000000001</c:v>
                </c:pt>
                <c:pt idx="31">
                  <c:v>1.1575200000000001</c:v>
                </c:pt>
                <c:pt idx="32">
                  <c:v>1.1575200000000001</c:v>
                </c:pt>
                <c:pt idx="33">
                  <c:v>1.1575200000000001</c:v>
                </c:pt>
                <c:pt idx="34">
                  <c:v>1.1575200000000001</c:v>
                </c:pt>
                <c:pt idx="35">
                  <c:v>1.1575200000000001</c:v>
                </c:pt>
              </c:numCache>
            </c:numRef>
          </c:val>
          <c:smooth val="0"/>
          <c:extLst>
            <c:ext xmlns:c16="http://schemas.microsoft.com/office/drawing/2014/chart" uri="{C3380CC4-5D6E-409C-BE32-E72D297353CC}">
              <c16:uniqueId val="{00000001-49AE-4A7F-824A-A491C633F3D6}"/>
            </c:ext>
          </c:extLst>
        </c:ser>
        <c:ser>
          <c:idx val="2"/>
          <c:order val="2"/>
          <c:tx>
            <c:strRef>
              <c:f>'Flow Dashboard'!$D$80</c:f>
              <c:strCache>
                <c:ptCount val="1"/>
                <c:pt idx="0">
                  <c:v>Earned idx E_m</c:v>
                </c:pt>
              </c:strCache>
            </c:strRef>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Dashboard'!$D$81:$D$116</c:f>
              <c:numCache>
                <c:formatCode>0.0000</c:formatCode>
                <c:ptCount val="36"/>
                <c:pt idx="0">
                  <c:v>1.0400000000000003</c:v>
                </c:pt>
                <c:pt idx="1">
                  <c:v>1.0400000000000003</c:v>
                </c:pt>
                <c:pt idx="2">
                  <c:v>1.0400000000000003</c:v>
                </c:pt>
                <c:pt idx="3">
                  <c:v>1.0400000000000003</c:v>
                </c:pt>
                <c:pt idx="4">
                  <c:v>1.0400000000000003</c:v>
                </c:pt>
                <c:pt idx="5">
                  <c:v>1.0400000000000003</c:v>
                </c:pt>
                <c:pt idx="6">
                  <c:v>1.0452000000000004</c:v>
                </c:pt>
                <c:pt idx="7">
                  <c:v>1.0556000000000003</c:v>
                </c:pt>
                <c:pt idx="8">
                  <c:v>1.0660000000000003</c:v>
                </c:pt>
                <c:pt idx="9">
                  <c:v>1.0764000000000002</c:v>
                </c:pt>
                <c:pt idx="10">
                  <c:v>1.0868000000000002</c:v>
                </c:pt>
                <c:pt idx="11">
                  <c:v>1.0972000000000002</c:v>
                </c:pt>
                <c:pt idx="12">
                  <c:v>1.1024000000000003</c:v>
                </c:pt>
                <c:pt idx="13">
                  <c:v>1.1024000000000003</c:v>
                </c:pt>
                <c:pt idx="14">
                  <c:v>1.1024000000000003</c:v>
                </c:pt>
                <c:pt idx="15">
                  <c:v>1.1069933333333335</c:v>
                </c:pt>
                <c:pt idx="16">
                  <c:v>1.1161800000000002</c:v>
                </c:pt>
                <c:pt idx="17">
                  <c:v>1.1253666666666668</c:v>
                </c:pt>
                <c:pt idx="18">
                  <c:v>1.1345533333333335</c:v>
                </c:pt>
                <c:pt idx="19">
                  <c:v>1.1437400000000002</c:v>
                </c:pt>
                <c:pt idx="20">
                  <c:v>1.1529266666666669</c:v>
                </c:pt>
                <c:pt idx="21">
                  <c:v>1.1575200000000003</c:v>
                </c:pt>
                <c:pt idx="22">
                  <c:v>1.1575200000000003</c:v>
                </c:pt>
                <c:pt idx="23">
                  <c:v>1.1575200000000003</c:v>
                </c:pt>
                <c:pt idx="24">
                  <c:v>1.1575200000000003</c:v>
                </c:pt>
                <c:pt idx="25">
                  <c:v>1.1575200000000003</c:v>
                </c:pt>
                <c:pt idx="26">
                  <c:v>1.1575200000000003</c:v>
                </c:pt>
                <c:pt idx="27">
                  <c:v>1.1575200000000003</c:v>
                </c:pt>
                <c:pt idx="28">
                  <c:v>1.1575200000000003</c:v>
                </c:pt>
                <c:pt idx="29">
                  <c:v>1.1575200000000003</c:v>
                </c:pt>
                <c:pt idx="30">
                  <c:v>1.1575200000000003</c:v>
                </c:pt>
                <c:pt idx="31">
                  <c:v>1.1575200000000003</c:v>
                </c:pt>
                <c:pt idx="32">
                  <c:v>1.1575200000000003</c:v>
                </c:pt>
                <c:pt idx="33">
                  <c:v>1.1575200000000003</c:v>
                </c:pt>
                <c:pt idx="34">
                  <c:v>1.1575200000000003</c:v>
                </c:pt>
                <c:pt idx="35">
                  <c:v>1.1575200000000003</c:v>
                </c:pt>
              </c:numCache>
            </c:numRef>
          </c:val>
          <c:smooth val="0"/>
          <c:extLst>
            <c:ext xmlns:c16="http://schemas.microsoft.com/office/drawing/2014/chart" uri="{C3380CC4-5D6E-409C-BE32-E72D297353CC}">
              <c16:uniqueId val="{00000002-49AE-4A7F-824A-A491C633F3D6}"/>
            </c:ext>
          </c:extLst>
        </c:ser>
        <c:dLbls>
          <c:showLegendKey val="0"/>
          <c:showVal val="0"/>
          <c:showCatName val="0"/>
          <c:showSerName val="0"/>
          <c:showPercent val="0"/>
          <c:showBubbleSize val="0"/>
        </c:dLbls>
        <c:marker val="1"/>
        <c:smooth val="0"/>
        <c:axId val="10"/>
        <c:axId val="2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max val="1"/>
          <c:min val="0"/>
        </c:scaling>
        <c:delete val="1"/>
        <c:axPos val="l"/>
        <c:majorGridlines/>
        <c:numFmt formatCode="0" sourceLinked="1"/>
        <c:majorTickMark val="none"/>
        <c:minorTickMark val="none"/>
        <c:tickLblPos val="nextTo"/>
        <c:crossAx val="10"/>
        <c:crosses val="autoZero"/>
        <c:crossBetween val="between"/>
      </c:valAx>
      <c:valAx>
        <c:axId val="200"/>
        <c:scaling>
          <c:orientation val="minMax"/>
        </c:scaling>
        <c:delete val="0"/>
        <c:axPos val="r"/>
        <c:majorGridlines/>
        <c:title>
          <c:tx>
            <c:rich>
              <a:bodyPr/>
              <a:lstStyle/>
              <a:p>
                <a:pPr>
                  <a:defRPr/>
                </a:pPr>
                <a:r>
                  <a:t>Rate index</a:t>
                </a:r>
              </a:p>
            </c:rich>
          </c:tx>
          <c:overlay val="1"/>
        </c:title>
        <c:numFmt formatCode="0.00" sourceLinked="0"/>
        <c:majorTickMark val="none"/>
        <c:minorTickMark val="none"/>
        <c:tickLblPos val="nextTo"/>
        <c:crossAx val="10"/>
        <c:crosses val="max"/>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Written vs earned schedule mod path</a:t>
            </a:r>
          </a:p>
        </c:rich>
      </c:tx>
      <c:overlay val="1"/>
    </c:title>
    <c:autoTitleDeleted val="0"/>
    <c:plotArea>
      <c:layout/>
      <c:lineChart>
        <c:grouping val="standard"/>
        <c:varyColors val="1"/>
        <c:ser>
          <c:idx val="0"/>
          <c:order val="0"/>
          <c:tx>
            <c:strRef>
              <c:f>'Flow Dashboard'!$E$80</c:f>
              <c:strCache>
                <c:ptCount val="1"/>
                <c:pt idx="0">
                  <c:v>Written mod</c:v>
                </c:pt>
              </c:strCache>
            </c:strRef>
          </c:tx>
          <c:spPr>
            <a:ln w="28575">
              <a:solidFill>
                <a:srgbClr val="8497B0"/>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Dashboard'!$E$81:$E$116</c:f>
              <c:numCache>
                <c:formatCode>0.000</c:formatCode>
                <c:ptCount val="36"/>
                <c:pt idx="0">
                  <c:v>0.84309628008752735</c:v>
                </c:pt>
                <c:pt idx="1">
                  <c:v>0.84503282275711156</c:v>
                </c:pt>
                <c:pt idx="2">
                  <c:v>0.84696936542669587</c:v>
                </c:pt>
                <c:pt idx="3">
                  <c:v>0.84897155361050325</c:v>
                </c:pt>
                <c:pt idx="4">
                  <c:v>0.85097374179431073</c:v>
                </c:pt>
                <c:pt idx="5">
                  <c:v>0.85297592997811811</c:v>
                </c:pt>
                <c:pt idx="6">
                  <c:v>0.85497811816192559</c:v>
                </c:pt>
                <c:pt idx="7">
                  <c:v>0.85701312910284466</c:v>
                </c:pt>
                <c:pt idx="8">
                  <c:v>0.85901531728665204</c:v>
                </c:pt>
                <c:pt idx="9">
                  <c:v>0.86101750547045952</c:v>
                </c:pt>
                <c:pt idx="10">
                  <c:v>0.8630196936542669</c:v>
                </c:pt>
                <c:pt idx="11">
                  <c:v>0.86502188183807438</c:v>
                </c:pt>
                <c:pt idx="12">
                  <c:v>0.86705689277899345</c:v>
                </c:pt>
                <c:pt idx="13">
                  <c:v>0.86899343544857766</c:v>
                </c:pt>
                <c:pt idx="14">
                  <c:v>0.87092997811816197</c:v>
                </c:pt>
                <c:pt idx="15">
                  <c:v>0.87293216630196935</c:v>
                </c:pt>
                <c:pt idx="16">
                  <c:v>0.87493435448577683</c:v>
                </c:pt>
                <c:pt idx="17">
                  <c:v>0.87693654266958421</c:v>
                </c:pt>
                <c:pt idx="18">
                  <c:v>0.87893873085339169</c:v>
                </c:pt>
                <c:pt idx="19">
                  <c:v>0.88097374179431076</c:v>
                </c:pt>
                <c:pt idx="20">
                  <c:v>0.88297592997811813</c:v>
                </c:pt>
                <c:pt idx="21">
                  <c:v>0.88497811816192562</c:v>
                </c:pt>
                <c:pt idx="22">
                  <c:v>0.8869803063457331</c:v>
                </c:pt>
                <c:pt idx="23">
                  <c:v>0.88898249452954048</c:v>
                </c:pt>
                <c:pt idx="24">
                  <c:v>0.89</c:v>
                </c:pt>
                <c:pt idx="25">
                  <c:v>0.89</c:v>
                </c:pt>
                <c:pt idx="26">
                  <c:v>0.89</c:v>
                </c:pt>
                <c:pt idx="27">
                  <c:v>0.89</c:v>
                </c:pt>
                <c:pt idx="28">
                  <c:v>0.89</c:v>
                </c:pt>
                <c:pt idx="29">
                  <c:v>0.89</c:v>
                </c:pt>
                <c:pt idx="30">
                  <c:v>0.89</c:v>
                </c:pt>
                <c:pt idx="31">
                  <c:v>0.89</c:v>
                </c:pt>
                <c:pt idx="32">
                  <c:v>0.89</c:v>
                </c:pt>
                <c:pt idx="33">
                  <c:v>0.89</c:v>
                </c:pt>
                <c:pt idx="34">
                  <c:v>0.89</c:v>
                </c:pt>
                <c:pt idx="35">
                  <c:v>0.89</c:v>
                </c:pt>
              </c:numCache>
            </c:numRef>
          </c:val>
          <c:smooth val="0"/>
          <c:extLst>
            <c:ext xmlns:c16="http://schemas.microsoft.com/office/drawing/2014/chart" uri="{C3380CC4-5D6E-409C-BE32-E72D297353CC}">
              <c16:uniqueId val="{00000000-3E9E-4DE9-B756-E93515A3CDA9}"/>
            </c:ext>
          </c:extLst>
        </c:ser>
        <c:ser>
          <c:idx val="1"/>
          <c:order val="1"/>
          <c:tx>
            <c:strRef>
              <c:f>'Flow Dashboard'!$F$80</c:f>
              <c:strCache>
                <c:ptCount val="1"/>
                <c:pt idx="0">
                  <c:v>Earned mod</c:v>
                </c:pt>
              </c:strCache>
            </c:strRef>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Dashboard'!$F$81:$F$116</c:f>
              <c:numCache>
                <c:formatCode>0.000</c:formatCode>
                <c:ptCount val="36"/>
                <c:pt idx="0">
                  <c:v>0.83705689277899342</c:v>
                </c:pt>
                <c:pt idx="1">
                  <c:v>0.83906181619256015</c:v>
                </c:pt>
                <c:pt idx="2">
                  <c:v>0.84105306345733044</c:v>
                </c:pt>
                <c:pt idx="3">
                  <c:v>0.84303884026258202</c:v>
                </c:pt>
                <c:pt idx="4">
                  <c:v>0.84502461706783372</c:v>
                </c:pt>
                <c:pt idx="5">
                  <c:v>0.84701039387308541</c:v>
                </c:pt>
                <c:pt idx="6">
                  <c:v>0.84899343544857786</c:v>
                </c:pt>
                <c:pt idx="7">
                  <c:v>0.85098194748358869</c:v>
                </c:pt>
                <c:pt idx="8">
                  <c:v>0.85298413566739617</c:v>
                </c:pt>
                <c:pt idx="9">
                  <c:v>0.85499179431072225</c:v>
                </c:pt>
                <c:pt idx="10">
                  <c:v>0.85699945295404822</c:v>
                </c:pt>
                <c:pt idx="11">
                  <c:v>0.8590071115973742</c:v>
                </c:pt>
                <c:pt idx="12">
                  <c:v>0.86101750547045963</c:v>
                </c:pt>
                <c:pt idx="13">
                  <c:v>0.86302242888402625</c:v>
                </c:pt>
                <c:pt idx="14">
                  <c:v>0.86501367614879665</c:v>
                </c:pt>
                <c:pt idx="15">
                  <c:v>0.86699945295404823</c:v>
                </c:pt>
                <c:pt idx="16">
                  <c:v>0.86898522975929982</c:v>
                </c:pt>
                <c:pt idx="17">
                  <c:v>0.8709710065645514</c:v>
                </c:pt>
                <c:pt idx="18">
                  <c:v>0.87295404814004385</c:v>
                </c:pt>
                <c:pt idx="19">
                  <c:v>0.87494256017505478</c:v>
                </c:pt>
                <c:pt idx="20">
                  <c:v>0.87694474835886227</c:v>
                </c:pt>
                <c:pt idx="21">
                  <c:v>0.87895240700218802</c:v>
                </c:pt>
                <c:pt idx="22">
                  <c:v>0.88096006564551421</c:v>
                </c:pt>
                <c:pt idx="23">
                  <c:v>0.88296772428884029</c:v>
                </c:pt>
                <c:pt idx="24">
                  <c:v>0.88489332603938731</c:v>
                </c:pt>
                <c:pt idx="25">
                  <c:v>0.88656728665207873</c:v>
                </c:pt>
                <c:pt idx="26">
                  <c:v>0.88790481400437649</c:v>
                </c:pt>
                <c:pt idx="27">
                  <c:v>0.88890864332603947</c:v>
                </c:pt>
                <c:pt idx="28">
                  <c:v>0.88957877461706791</c:v>
                </c:pt>
                <c:pt idx="29">
                  <c:v>0.88991520787746181</c:v>
                </c:pt>
                <c:pt idx="30">
                  <c:v>0.89</c:v>
                </c:pt>
                <c:pt idx="31">
                  <c:v>0.89</c:v>
                </c:pt>
                <c:pt idx="32">
                  <c:v>0.89</c:v>
                </c:pt>
                <c:pt idx="33">
                  <c:v>0.89</c:v>
                </c:pt>
                <c:pt idx="34">
                  <c:v>0.89</c:v>
                </c:pt>
                <c:pt idx="35">
                  <c:v>0.89</c:v>
                </c:pt>
              </c:numCache>
            </c:numRef>
          </c:val>
          <c:smooth val="0"/>
          <c:extLst>
            <c:ext xmlns:c16="http://schemas.microsoft.com/office/drawing/2014/chart" uri="{C3380CC4-5D6E-409C-BE32-E72D297353CC}">
              <c16:uniqueId val="{00000001-3E9E-4DE9-B756-E93515A3CDA9}"/>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title>
          <c:tx>
            <c:rich>
              <a:bodyPr/>
              <a:lstStyle/>
              <a:p>
                <a:pPr>
                  <a:defRPr/>
                </a:pPr>
                <a:r>
                  <a:t>Avg schedule mod</a:t>
                </a:r>
              </a:p>
            </c:rich>
          </c:tx>
          <c:overlay val="1"/>
        </c:title>
        <c:numFmt formatCode="0.0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Combined price index = rate index x (mod / M_ind)</a:t>
            </a:r>
          </a:p>
        </c:rich>
      </c:tx>
      <c:overlay val="1"/>
    </c:title>
    <c:autoTitleDeleted val="0"/>
    <c:plotArea>
      <c:layout/>
      <c:lineChart>
        <c:grouping val="standard"/>
        <c:varyColors val="1"/>
        <c:ser>
          <c:idx val="0"/>
          <c:order val="0"/>
          <c:tx>
            <c:strRef>
              <c:f>'Flow Dashboard'!$G$80</c:f>
              <c:strCache>
                <c:ptCount val="1"/>
                <c:pt idx="0">
                  <c:v>Price idx (written)</c:v>
                </c:pt>
              </c:strCache>
            </c:strRef>
          </c:tx>
          <c:spPr>
            <a:ln w="28575">
              <a:solidFill>
                <a:srgbClr val="8497B0"/>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Dashboard'!$G$81:$G$116</c:f>
              <c:numCache>
                <c:formatCode>0.0000</c:formatCode>
                <c:ptCount val="36"/>
                <c:pt idx="0">
                  <c:v>1.031553095636504</c:v>
                </c:pt>
                <c:pt idx="1">
                  <c:v>1.0339225125498777</c:v>
                </c:pt>
                <c:pt idx="2">
                  <c:v>1.0362919294632515</c:v>
                </c:pt>
                <c:pt idx="3">
                  <c:v>1.0387416655940276</c:v>
                </c:pt>
                <c:pt idx="4">
                  <c:v>1.0411914017248036</c:v>
                </c:pt>
                <c:pt idx="5">
                  <c:v>1.0436411378555797</c:v>
                </c:pt>
                <c:pt idx="6">
                  <c:v>1.1088563264255376</c:v>
                </c:pt>
                <c:pt idx="7">
                  <c:v>1.1114956159093834</c:v>
                </c:pt>
                <c:pt idx="8">
                  <c:v>1.1140923362080062</c:v>
                </c:pt>
                <c:pt idx="9">
                  <c:v>1.116689056506629</c:v>
                </c:pt>
                <c:pt idx="10">
                  <c:v>1.1192857768052518</c:v>
                </c:pt>
                <c:pt idx="11">
                  <c:v>1.1218824971038743</c:v>
                </c:pt>
                <c:pt idx="12">
                  <c:v>1.1245217865877206</c:v>
                </c:pt>
                <c:pt idx="13">
                  <c:v>1.1270333685158964</c:v>
                </c:pt>
                <c:pt idx="14">
                  <c:v>1.1295449504440729</c:v>
                </c:pt>
                <c:pt idx="15">
                  <c:v>1.1887487542798303</c:v>
                </c:pt>
                <c:pt idx="16">
                  <c:v>1.191475310593384</c:v>
                </c:pt>
                <c:pt idx="17">
                  <c:v>1.1942018669069379</c:v>
                </c:pt>
                <c:pt idx="18">
                  <c:v>1.1969284232204918</c:v>
                </c:pt>
                <c:pt idx="19">
                  <c:v>1.1996996771785302</c:v>
                </c:pt>
                <c:pt idx="20">
                  <c:v>1.2024262334920839</c:v>
                </c:pt>
                <c:pt idx="21">
                  <c:v>1.205152789805638</c:v>
                </c:pt>
                <c:pt idx="22">
                  <c:v>1.2078793461191919</c:v>
                </c:pt>
                <c:pt idx="23">
                  <c:v>1.2106059024327456</c:v>
                </c:pt>
                <c:pt idx="24">
                  <c:v>1.2119915294117649</c:v>
                </c:pt>
                <c:pt idx="25">
                  <c:v>1.2119915294117649</c:v>
                </c:pt>
                <c:pt idx="26">
                  <c:v>1.2119915294117649</c:v>
                </c:pt>
                <c:pt idx="27">
                  <c:v>1.2119915294117649</c:v>
                </c:pt>
                <c:pt idx="28">
                  <c:v>1.2119915294117649</c:v>
                </c:pt>
                <c:pt idx="29">
                  <c:v>1.2119915294117649</c:v>
                </c:pt>
                <c:pt idx="30">
                  <c:v>1.2119915294117649</c:v>
                </c:pt>
                <c:pt idx="31">
                  <c:v>1.2119915294117649</c:v>
                </c:pt>
                <c:pt idx="32">
                  <c:v>1.2119915294117649</c:v>
                </c:pt>
                <c:pt idx="33">
                  <c:v>1.2119915294117649</c:v>
                </c:pt>
                <c:pt idx="34">
                  <c:v>1.2119915294117649</c:v>
                </c:pt>
                <c:pt idx="35">
                  <c:v>1.2119915294117649</c:v>
                </c:pt>
              </c:numCache>
            </c:numRef>
          </c:val>
          <c:smooth val="0"/>
          <c:extLst>
            <c:ext xmlns:c16="http://schemas.microsoft.com/office/drawing/2014/chart" uri="{C3380CC4-5D6E-409C-BE32-E72D297353CC}">
              <c16:uniqueId val="{00000000-DD67-4B32-BED8-8FC6E2422138}"/>
            </c:ext>
          </c:extLst>
        </c:ser>
        <c:ser>
          <c:idx val="1"/>
          <c:order val="1"/>
          <c:tx>
            <c:strRef>
              <c:f>'Flow Dashboard'!$H$80</c:f>
              <c:strCache>
                <c:ptCount val="1"/>
                <c:pt idx="0">
                  <c:v>Price idx (earned)</c:v>
                </c:pt>
              </c:strCache>
            </c:strRef>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Dashboard'!$H$81:$H$116</c:f>
              <c:numCache>
                <c:formatCode>0.0000</c:formatCode>
                <c:ptCount val="36"/>
                <c:pt idx="0">
                  <c:v>1.0241637276354747</c:v>
                </c:pt>
                <c:pt idx="1">
                  <c:v>1.0266168104003091</c:v>
                </c:pt>
                <c:pt idx="2">
                  <c:v>1.0290531599948516</c:v>
                </c:pt>
                <c:pt idx="3">
                  <c:v>1.0314828163212773</c:v>
                </c:pt>
                <c:pt idx="4">
                  <c:v>1.0339124726477027</c:v>
                </c:pt>
                <c:pt idx="5">
                  <c:v>1.0363421289741284</c:v>
                </c:pt>
                <c:pt idx="6">
                  <c:v>1.0439622808598281</c:v>
                </c:pt>
                <c:pt idx="7">
                  <c:v>1.0568194632513841</c:v>
                </c:pt>
                <c:pt idx="8">
                  <c:v>1.0697424572016996</c:v>
                </c:pt>
                <c:pt idx="9">
                  <c:v>1.0827213734071313</c:v>
                </c:pt>
                <c:pt idx="10">
                  <c:v>1.0957494182005409</c:v>
                </c:pt>
                <c:pt idx="11">
                  <c:v>1.1088265915819284</c:v>
                </c:pt>
                <c:pt idx="12">
                  <c:v>1.1166890565066292</c:v>
                </c:pt>
                <c:pt idx="13">
                  <c:v>1.1192893242373538</c:v>
                </c:pt>
                <c:pt idx="14">
                  <c:v>1.1218718548075692</c:v>
                </c:pt>
                <c:pt idx="15">
                  <c:v>1.1291324875573865</c:v>
                </c:pt>
                <c:pt idx="16">
                  <c:v>1.1411105102973358</c:v>
                </c:pt>
                <c:pt idx="17">
                  <c:v>1.1531314569657187</c:v>
                </c:pt>
                <c:pt idx="18">
                  <c:v>1.1651916766636634</c:v>
                </c:pt>
                <c:pt idx="19">
                  <c:v>1.1773021220877851</c:v>
                </c:pt>
                <c:pt idx="20">
                  <c:v>1.1894741006779084</c:v>
                </c:pt>
                <c:pt idx="21">
                  <c:v>1.1969470472390271</c:v>
                </c:pt>
                <c:pt idx="22">
                  <c:v>1.1996810531599951</c:v>
                </c:pt>
                <c:pt idx="23">
                  <c:v>1.2024150590809632</c:v>
                </c:pt>
                <c:pt idx="24">
                  <c:v>1.2050373208907199</c:v>
                </c:pt>
                <c:pt idx="25">
                  <c:v>1.2073169007594289</c:v>
                </c:pt>
                <c:pt idx="26">
                  <c:v>1.2091383297721721</c:v>
                </c:pt>
                <c:pt idx="27">
                  <c:v>1.210505332732656</c:v>
                </c:pt>
                <c:pt idx="28">
                  <c:v>1.2114179096408808</c:v>
                </c:pt>
                <c:pt idx="29">
                  <c:v>1.211876060496847</c:v>
                </c:pt>
                <c:pt idx="30">
                  <c:v>1.2119915294117651</c:v>
                </c:pt>
                <c:pt idx="31">
                  <c:v>1.2119915294117651</c:v>
                </c:pt>
                <c:pt idx="32">
                  <c:v>1.2119915294117651</c:v>
                </c:pt>
                <c:pt idx="33">
                  <c:v>1.2119915294117651</c:v>
                </c:pt>
                <c:pt idx="34">
                  <c:v>1.2119915294117651</c:v>
                </c:pt>
                <c:pt idx="35">
                  <c:v>1.2119915294117651</c:v>
                </c:pt>
              </c:numCache>
            </c:numRef>
          </c:val>
          <c:smooth val="0"/>
          <c:extLst>
            <c:ext xmlns:c16="http://schemas.microsoft.com/office/drawing/2014/chart" uri="{C3380CC4-5D6E-409C-BE32-E72D297353CC}">
              <c16:uniqueId val="{00000001-DD67-4B32-BED8-8FC6E2422138}"/>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title>
          <c:tx>
            <c:rich>
              <a:bodyPr/>
              <a:lstStyle/>
              <a:p>
                <a:pPr>
                  <a:defRPr/>
                </a:pPr>
                <a:r>
                  <a:t>Price index</a:t>
                </a:r>
              </a:p>
            </c:rich>
          </c:tx>
          <c:overlay val="1"/>
        </c:title>
        <c:numFmt formatCode="0.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YoY earned RATE vs PRICE change by MONTH — plan year and next</a:t>
            </a:r>
          </a:p>
        </c:rich>
      </c:tx>
      <c:overlay val="1"/>
    </c:title>
    <c:autoTitleDeleted val="0"/>
    <c:plotArea>
      <c:layout/>
      <c:barChart>
        <c:barDir val="col"/>
        <c:grouping val="clustered"/>
        <c:varyColors val="1"/>
        <c:ser>
          <c:idx val="0"/>
          <c:order val="0"/>
          <c:tx>
            <c:v>Earned RATE chg, YoY</c:v>
          </c:tx>
          <c:spPr>
            <a:solidFill>
              <a:srgbClr val="8497B0"/>
            </a:solidFill>
            <a:ln>
              <a:prstDash val="solid"/>
            </a:ln>
          </c:spPr>
          <c:invertIfNegative val="1"/>
          <c:cat>
            <c:numRef>
              <c:f>'Flow Dashboard'!$B$93:$B$116</c:f>
              <c:numCache>
                <c:formatCode>mmm\-yy</c:formatCode>
                <c:ptCount val="24"/>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pt idx="12">
                  <c:v>46753</c:v>
                </c:pt>
                <c:pt idx="13">
                  <c:v>46784</c:v>
                </c:pt>
                <c:pt idx="14">
                  <c:v>46813</c:v>
                </c:pt>
                <c:pt idx="15">
                  <c:v>46844</c:v>
                </c:pt>
                <c:pt idx="16">
                  <c:v>46874</c:v>
                </c:pt>
                <c:pt idx="17">
                  <c:v>46905</c:v>
                </c:pt>
                <c:pt idx="18">
                  <c:v>46935</c:v>
                </c:pt>
                <c:pt idx="19">
                  <c:v>46966</c:v>
                </c:pt>
                <c:pt idx="20">
                  <c:v>46997</c:v>
                </c:pt>
                <c:pt idx="21">
                  <c:v>47027</c:v>
                </c:pt>
                <c:pt idx="22">
                  <c:v>47058</c:v>
                </c:pt>
                <c:pt idx="23">
                  <c:v>47088</c:v>
                </c:pt>
              </c:numCache>
            </c:numRef>
          </c:cat>
          <c:val>
            <c:numRef>
              <c:f>'Flow Dashboard'!$J$93:$J$116</c:f>
              <c:numCache>
                <c:formatCode>\+0.0%;\-0.0%;0.0%</c:formatCode>
                <c:ptCount val="24"/>
                <c:pt idx="0">
                  <c:v>6.0000000000000053E-2</c:v>
                </c:pt>
                <c:pt idx="1">
                  <c:v>6.0000000000000053E-2</c:v>
                </c:pt>
                <c:pt idx="2">
                  <c:v>6.0000000000000053E-2</c:v>
                </c:pt>
                <c:pt idx="3">
                  <c:v>6.4416666666666567E-2</c:v>
                </c:pt>
                <c:pt idx="4">
                  <c:v>7.3249999999999815E-2</c:v>
                </c:pt>
                <c:pt idx="5">
                  <c:v>8.2083333333333286E-2</c:v>
                </c:pt>
                <c:pt idx="6">
                  <c:v>8.5489220563847335E-2</c:v>
                </c:pt>
                <c:pt idx="7">
                  <c:v>8.3497536945812634E-2</c:v>
                </c:pt>
                <c:pt idx="8">
                  <c:v>8.154471544715447E-2</c:v>
                </c:pt>
                <c:pt idx="9">
                  <c:v>7.5362318840579867E-2</c:v>
                </c:pt>
                <c:pt idx="10">
                  <c:v>6.5071770334928392E-2</c:v>
                </c:pt>
                <c:pt idx="11">
                  <c:v>5.4976303317535669E-2</c:v>
                </c:pt>
                <c:pt idx="12">
                  <c:v>5.0000000000000044E-2</c:v>
                </c:pt>
                <c:pt idx="13">
                  <c:v>5.0000000000000044E-2</c:v>
                </c:pt>
                <c:pt idx="14">
                  <c:v>5.0000000000000044E-2</c:v>
                </c:pt>
                <c:pt idx="15">
                  <c:v>4.5643153526971014E-2</c:v>
                </c:pt>
                <c:pt idx="16">
                  <c:v>3.7037037037037202E-2</c:v>
                </c:pt>
                <c:pt idx="17">
                  <c:v>2.8571428571428692E-2</c:v>
                </c:pt>
                <c:pt idx="18">
                  <c:v>2.0242914979757165E-2</c:v>
                </c:pt>
                <c:pt idx="19">
                  <c:v>1.2048192771084487E-2</c:v>
                </c:pt>
                <c:pt idx="20">
                  <c:v>3.9840637450199168E-3</c:v>
                </c:pt>
                <c:pt idx="21">
                  <c:v>0</c:v>
                </c:pt>
                <c:pt idx="22">
                  <c:v>0</c:v>
                </c:pt>
                <c:pt idx="23">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ACD0-4D7D-9600-BB226F589773}"/>
            </c:ext>
          </c:extLst>
        </c:ser>
        <c:ser>
          <c:idx val="1"/>
          <c:order val="1"/>
          <c:tx>
            <c:v>Earned PRICE chg, YoY</c:v>
          </c:tx>
          <c:spPr>
            <a:solidFill>
              <a:srgbClr val="1F3864"/>
            </a:solidFill>
            <a:ln>
              <a:prstDash val="solid"/>
            </a:ln>
          </c:spPr>
          <c:invertIfNegative val="1"/>
          <c:cat>
            <c:numRef>
              <c:f>'Flow Dashboard'!$B$93:$B$116</c:f>
              <c:numCache>
                <c:formatCode>mmm\-yy</c:formatCode>
                <c:ptCount val="24"/>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pt idx="12">
                  <c:v>46753</c:v>
                </c:pt>
                <c:pt idx="13">
                  <c:v>46784</c:v>
                </c:pt>
                <c:pt idx="14">
                  <c:v>46813</c:v>
                </c:pt>
                <c:pt idx="15">
                  <c:v>46844</c:v>
                </c:pt>
                <c:pt idx="16">
                  <c:v>46874</c:v>
                </c:pt>
                <c:pt idx="17">
                  <c:v>46905</c:v>
                </c:pt>
                <c:pt idx="18">
                  <c:v>46935</c:v>
                </c:pt>
                <c:pt idx="19">
                  <c:v>46966</c:v>
                </c:pt>
                <c:pt idx="20">
                  <c:v>46997</c:v>
                </c:pt>
                <c:pt idx="21">
                  <c:v>47027</c:v>
                </c:pt>
                <c:pt idx="22">
                  <c:v>47058</c:v>
                </c:pt>
                <c:pt idx="23">
                  <c:v>47088</c:v>
                </c:pt>
              </c:numCache>
            </c:numRef>
          </c:cat>
          <c:val>
            <c:numRef>
              <c:f>'Flow Dashboard'!$K$93:$K$116</c:f>
              <c:numCache>
                <c:formatCode>\+0.0%;\-0.0%;0.0%</c:formatCode>
                <c:ptCount val="24"/>
                <c:pt idx="0">
                  <c:v>9.0342321617629562E-2</c:v>
                </c:pt>
                <c:pt idx="1">
                  <c:v>9.0269819175188504E-2</c:v>
                </c:pt>
                <c:pt idx="2">
                  <c:v>9.0198153429879246E-2</c:v>
                </c:pt>
                <c:pt idx="3">
                  <c:v>9.4669217645690917E-2</c:v>
                </c:pt>
                <c:pt idx="4">
                  <c:v>0.10368192713171753</c:v>
                </c:pt>
                <c:pt idx="5">
                  <c:v>0.11269379553950953</c:v>
                </c:pt>
                <c:pt idx="6">
                  <c:v>0.1161243064299109</c:v>
                </c:pt>
                <c:pt idx="7">
                  <c:v>0.11400495829791701</c:v>
                </c:pt>
                <c:pt idx="8">
                  <c:v>0.11192567208130688</c:v>
                </c:pt>
                <c:pt idx="9">
                  <c:v>0.1054986782725531</c:v>
                </c:pt>
                <c:pt idx="10">
                  <c:v>9.4849819888686238E-2</c:v>
                </c:pt>
                <c:pt idx="11">
                  <c:v>8.4403159348401813E-2</c:v>
                </c:pt>
                <c:pt idx="12">
                  <c:v>7.9116262373406965E-2</c:v>
                </c:pt>
                <c:pt idx="13">
                  <c:v>7.8645953835085658E-2</c:v>
                </c:pt>
                <c:pt idx="14">
                  <c:v>7.7786491024477433E-2</c:v>
                </c:pt>
                <c:pt idx="15">
                  <c:v>7.2066693742291132E-2</c:v>
                </c:pt>
                <c:pt idx="16">
                  <c:v>6.1613137999425804E-2</c:v>
                </c:pt>
                <c:pt idx="17">
                  <c:v>5.0943544360246173E-2</c:v>
                </c:pt>
                <c:pt idx="18">
                  <c:v>4.0164939112941056E-2</c:v>
                </c:pt>
                <c:pt idx="19">
                  <c:v>2.9465170131914187E-2</c:v>
                </c:pt>
                <c:pt idx="20">
                  <c:v>1.8930575050792209E-2</c:v>
                </c:pt>
                <c:pt idx="21">
                  <c:v>1.2569045729667661E-2</c:v>
                </c:pt>
                <c:pt idx="22">
                  <c:v>1.0261457592702694E-2</c:v>
                </c:pt>
                <c:pt idx="23">
                  <c:v>7.9643632691372979E-3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ACD0-4D7D-9600-BB226F589773}"/>
            </c:ext>
          </c:extLst>
        </c:ser>
        <c:dLbls>
          <c:showLegendKey val="0"/>
          <c:showVal val="0"/>
          <c:showCatName val="0"/>
          <c:showSerName val="0"/>
          <c:showPercent val="0"/>
          <c:showBubbleSize val="0"/>
        </c:dLbls>
        <c:gapWidth val="40"/>
        <c:axId val="10"/>
        <c:axId val="100"/>
      </c:bar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title>
          <c:tx>
            <c:rich>
              <a:bodyPr/>
              <a:lstStyle/>
              <a:p>
                <a:pPr>
                  <a:defRPr/>
                </a:pPr>
                <a:r>
                  <a:t>YoY earned change</a:t>
                </a:r>
              </a:p>
            </c:rich>
          </c:tx>
          <c:overlay val="1"/>
        </c:title>
        <c:numFmt formatCode="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Unearned runway: rate on the books not yet earned (written / earned - 1)</a:t>
            </a:r>
          </a:p>
        </c:rich>
      </c:tx>
      <c:overlay val="1"/>
    </c:title>
    <c:autoTitleDeleted val="0"/>
    <c:plotArea>
      <c:layout/>
      <c:lineChart>
        <c:grouping val="standard"/>
        <c:varyColors val="1"/>
        <c:ser>
          <c:idx val="0"/>
          <c:order val="0"/>
          <c:tx>
            <c:v>Unearned runway</c:v>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Dashboard'!$L$81:$L$116</c:f>
              <c:numCache>
                <c:formatCode>\+0.0%;\-0.0%;0.0%</c:formatCode>
                <c:ptCount val="36"/>
                <c:pt idx="0">
                  <c:v>-2.2204460492503131E-16</c:v>
                </c:pt>
                <c:pt idx="1">
                  <c:v>-2.2204460492503131E-16</c:v>
                </c:pt>
                <c:pt idx="2">
                  <c:v>-2.2204460492503131E-16</c:v>
                </c:pt>
                <c:pt idx="3">
                  <c:v>-2.2204460492503131E-16</c:v>
                </c:pt>
                <c:pt idx="4">
                  <c:v>-2.2204460492503131E-16</c:v>
                </c:pt>
                <c:pt idx="5">
                  <c:v>-2.2204460492503131E-16</c:v>
                </c:pt>
                <c:pt idx="6">
                  <c:v>5.472636815920362E-2</c:v>
                </c:pt>
                <c:pt idx="7">
                  <c:v>4.4334975369457963E-2</c:v>
                </c:pt>
                <c:pt idx="8">
                  <c:v>3.4146341463414442E-2</c:v>
                </c:pt>
                <c:pt idx="9">
                  <c:v>2.4154589371980562E-2</c:v>
                </c:pt>
                <c:pt idx="10">
                  <c:v>1.4354066985645675E-2</c:v>
                </c:pt>
                <c:pt idx="11">
                  <c:v>4.7393364928909332E-3</c:v>
                </c:pt>
                <c:pt idx="12">
                  <c:v>-2.2204460492503131E-16</c:v>
                </c:pt>
                <c:pt idx="13">
                  <c:v>-2.2204460492503131E-16</c:v>
                </c:pt>
                <c:pt idx="14">
                  <c:v>-2.2204460492503131E-16</c:v>
                </c:pt>
                <c:pt idx="15">
                  <c:v>4.5643153526970792E-2</c:v>
                </c:pt>
                <c:pt idx="16">
                  <c:v>3.7037037037036979E-2</c:v>
                </c:pt>
                <c:pt idx="17">
                  <c:v>2.857142857142847E-2</c:v>
                </c:pt>
                <c:pt idx="18">
                  <c:v>2.0242914979756943E-2</c:v>
                </c:pt>
                <c:pt idx="19">
                  <c:v>1.2048192771084265E-2</c:v>
                </c:pt>
                <c:pt idx="20">
                  <c:v>3.9840637450199168E-3</c:v>
                </c:pt>
                <c:pt idx="21">
                  <c:v>-2.2204460492503131E-16</c:v>
                </c:pt>
                <c:pt idx="22">
                  <c:v>-2.2204460492503131E-16</c:v>
                </c:pt>
                <c:pt idx="23">
                  <c:v>-2.2204460492503131E-16</c:v>
                </c:pt>
                <c:pt idx="24">
                  <c:v>-2.2204460492503131E-16</c:v>
                </c:pt>
                <c:pt idx="25">
                  <c:v>-2.2204460492503131E-16</c:v>
                </c:pt>
                <c:pt idx="26">
                  <c:v>-2.2204460492503131E-16</c:v>
                </c:pt>
                <c:pt idx="27">
                  <c:v>-2.2204460492503131E-16</c:v>
                </c:pt>
                <c:pt idx="28">
                  <c:v>-2.2204460492503131E-16</c:v>
                </c:pt>
                <c:pt idx="29">
                  <c:v>-2.2204460492503131E-16</c:v>
                </c:pt>
                <c:pt idx="30">
                  <c:v>-2.2204460492503131E-16</c:v>
                </c:pt>
                <c:pt idx="31">
                  <c:v>-2.2204460492503131E-16</c:v>
                </c:pt>
                <c:pt idx="32">
                  <c:v>-2.2204460492503131E-16</c:v>
                </c:pt>
                <c:pt idx="33">
                  <c:v>-2.2204460492503131E-16</c:v>
                </c:pt>
                <c:pt idx="34">
                  <c:v>-2.2204460492503131E-16</c:v>
                </c:pt>
                <c:pt idx="35">
                  <c:v>-2.2204460492503131E-16</c:v>
                </c:pt>
              </c:numCache>
            </c:numRef>
          </c:val>
          <c:smooth val="0"/>
          <c:extLst>
            <c:ext xmlns:c16="http://schemas.microsoft.com/office/drawing/2014/chart" uri="{C3380CC4-5D6E-409C-BE32-E72D297353CC}">
              <c16:uniqueId val="{00000000-68BC-4AB1-90E9-5E17CECE7E9C}"/>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numFmt formatCode="0.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Program delivery on renewals: delivered vs rate leg vs locked</a:t>
            </a:r>
          </a:p>
        </c:rich>
      </c:tx>
      <c:overlay val="1"/>
    </c:title>
    <c:autoTitleDeleted val="0"/>
    <c:plotArea>
      <c:layout/>
      <c:lineChart>
        <c:grouping val="standard"/>
        <c:varyColors val="1"/>
        <c:ser>
          <c:idx val="0"/>
          <c:order val="0"/>
          <c:tx>
            <c:v>YoY delivered net (program)</c:v>
          </c:tx>
          <c:spPr>
            <a:ln w="28575">
              <a:solidFill>
                <a:srgbClr val="1F3864"/>
              </a:solidFill>
              <a:prstDash val="solid"/>
            </a:ln>
          </c:spPr>
          <c:marker>
            <c:symbol val="none"/>
          </c:marker>
          <c:cat>
            <c:numRef>
              <c:f>'Flow Dashboard'!$B$93:$B$116</c:f>
              <c:numCache>
                <c:formatCode>mmm\-yy</c:formatCode>
                <c:ptCount val="24"/>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pt idx="12">
                  <c:v>46753</c:v>
                </c:pt>
                <c:pt idx="13">
                  <c:v>46784</c:v>
                </c:pt>
                <c:pt idx="14">
                  <c:v>46813</c:v>
                </c:pt>
                <c:pt idx="15">
                  <c:v>46844</c:v>
                </c:pt>
                <c:pt idx="16">
                  <c:v>46874</c:v>
                </c:pt>
                <c:pt idx="17">
                  <c:v>46905</c:v>
                </c:pt>
                <c:pt idx="18">
                  <c:v>46935</c:v>
                </c:pt>
                <c:pt idx="19">
                  <c:v>46966</c:v>
                </c:pt>
                <c:pt idx="20">
                  <c:v>46997</c:v>
                </c:pt>
                <c:pt idx="21">
                  <c:v>47027</c:v>
                </c:pt>
                <c:pt idx="22">
                  <c:v>47058</c:v>
                </c:pt>
                <c:pt idx="23">
                  <c:v>47088</c:v>
                </c:pt>
              </c:numCache>
            </c:numRef>
          </c:cat>
          <c:val>
            <c:numRef>
              <c:f>'Flow Dashboard'!$O$93:$O$116</c:f>
              <c:numCache>
                <c:formatCode>\+0.0%;\-0.0%;0.0%</c:formatCode>
                <c:ptCount val="24"/>
                <c:pt idx="0">
                  <c:v>9.0124969179460113E-2</c:v>
                </c:pt>
                <c:pt idx="1">
                  <c:v>9.0055932466725386E-2</c:v>
                </c:pt>
                <c:pt idx="2">
                  <c:v>8.998721145027333E-2</c:v>
                </c:pt>
                <c:pt idx="3">
                  <c:v>0.14441231506778696</c:v>
                </c:pt>
                <c:pt idx="4">
                  <c:v>0.14433840753931015</c:v>
                </c:pt>
                <c:pt idx="5">
                  <c:v>0.14426484697673225</c:v>
                </c:pt>
                <c:pt idx="6">
                  <c:v>7.9426066926866712E-2</c:v>
                </c:pt>
                <c:pt idx="7">
                  <c:v>7.9356193588745461E-2</c:v>
                </c:pt>
                <c:pt idx="8">
                  <c:v>7.9287770333953178E-2</c:v>
                </c:pt>
                <c:pt idx="9">
                  <c:v>7.9219665298550179E-2</c:v>
                </c:pt>
                <c:pt idx="10">
                  <c:v>7.9151876267748777E-2</c:v>
                </c:pt>
                <c:pt idx="11">
                  <c:v>7.9084401047266217E-2</c:v>
                </c:pt>
                <c:pt idx="12">
                  <c:v>7.7783946800590531E-2</c:v>
                </c:pt>
                <c:pt idx="13">
                  <c:v>7.5382116687230827E-2</c:v>
                </c:pt>
                <c:pt idx="14">
                  <c:v>7.2990967677097673E-2</c:v>
                </c:pt>
                <c:pt idx="15">
                  <c:v>1.95523024089439E-2</c:v>
                </c:pt>
                <c:pt idx="16">
                  <c:v>1.7219172429316254E-2</c:v>
                </c:pt>
                <c:pt idx="17">
                  <c:v>1.4896696277073573E-2</c:v>
                </c:pt>
                <c:pt idx="18">
                  <c:v>1.2584801145204549E-2</c:v>
                </c:pt>
                <c:pt idx="19">
                  <c:v>1.0245774394257445E-2</c:v>
                </c:pt>
                <c:pt idx="20">
                  <c:v>7.9549960348930249E-3</c:v>
                </c:pt>
                <c:pt idx="21">
                  <c:v>5.6745830603186498E-3</c:v>
                </c:pt>
                <c:pt idx="22">
                  <c:v>3.4044652769211758E-3</c:v>
                </c:pt>
                <c:pt idx="23">
                  <c:v>1.1445731234538403E-3</c:v>
                </c:pt>
              </c:numCache>
            </c:numRef>
          </c:val>
          <c:smooth val="0"/>
          <c:extLst>
            <c:ext xmlns:c16="http://schemas.microsoft.com/office/drawing/2014/chart" uri="{C3380CC4-5D6E-409C-BE32-E72D297353CC}">
              <c16:uniqueId val="{00000000-6710-4DBE-957C-5ADA0519EB11}"/>
            </c:ext>
          </c:extLst>
        </c:ser>
        <c:ser>
          <c:idx val="1"/>
          <c:order val="1"/>
          <c:tx>
            <c:v>Written rate leg</c:v>
          </c:tx>
          <c:spPr>
            <a:ln w="28575">
              <a:solidFill>
                <a:srgbClr val="8497B0"/>
              </a:solidFill>
              <a:prstDash val="solid"/>
            </a:ln>
          </c:spPr>
          <c:marker>
            <c:symbol val="none"/>
          </c:marker>
          <c:cat>
            <c:numRef>
              <c:f>'Flow Dashboard'!$B$93:$B$116</c:f>
              <c:numCache>
                <c:formatCode>mmm\-yy</c:formatCode>
                <c:ptCount val="24"/>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pt idx="12">
                  <c:v>46753</c:v>
                </c:pt>
                <c:pt idx="13">
                  <c:v>46784</c:v>
                </c:pt>
                <c:pt idx="14">
                  <c:v>46813</c:v>
                </c:pt>
                <c:pt idx="15">
                  <c:v>46844</c:v>
                </c:pt>
                <c:pt idx="16">
                  <c:v>46874</c:v>
                </c:pt>
                <c:pt idx="17">
                  <c:v>46905</c:v>
                </c:pt>
                <c:pt idx="18">
                  <c:v>46935</c:v>
                </c:pt>
                <c:pt idx="19">
                  <c:v>46966</c:v>
                </c:pt>
                <c:pt idx="20">
                  <c:v>46997</c:v>
                </c:pt>
                <c:pt idx="21">
                  <c:v>47027</c:v>
                </c:pt>
                <c:pt idx="22">
                  <c:v>47058</c:v>
                </c:pt>
                <c:pt idx="23">
                  <c:v>47088</c:v>
                </c:pt>
              </c:numCache>
            </c:numRef>
          </c:cat>
          <c:val>
            <c:numRef>
              <c:f>'Flow Dashboard'!$M$93:$M$116</c:f>
              <c:numCache>
                <c:formatCode>\+0.0%;\-0.0%;0.0%</c:formatCode>
                <c:ptCount val="24"/>
                <c:pt idx="0">
                  <c:v>6.0000000000000053E-2</c:v>
                </c:pt>
                <c:pt idx="1">
                  <c:v>6.0000000000000053E-2</c:v>
                </c:pt>
                <c:pt idx="2">
                  <c:v>6.0000000000000053E-2</c:v>
                </c:pt>
                <c:pt idx="3">
                  <c:v>0.11299999999999999</c:v>
                </c:pt>
                <c:pt idx="4">
                  <c:v>0.11299999999999999</c:v>
                </c:pt>
                <c:pt idx="5">
                  <c:v>0.11299999999999999</c:v>
                </c:pt>
                <c:pt idx="6">
                  <c:v>5.0000000000000044E-2</c:v>
                </c:pt>
                <c:pt idx="7">
                  <c:v>5.0000000000000044E-2</c:v>
                </c:pt>
                <c:pt idx="8">
                  <c:v>5.0000000000000044E-2</c:v>
                </c:pt>
                <c:pt idx="9">
                  <c:v>5.0000000000000044E-2</c:v>
                </c:pt>
                <c:pt idx="10">
                  <c:v>5.0000000000000044E-2</c:v>
                </c:pt>
                <c:pt idx="11">
                  <c:v>5.0000000000000044E-2</c:v>
                </c:pt>
                <c:pt idx="12">
                  <c:v>5.0000000000000044E-2</c:v>
                </c:pt>
                <c:pt idx="13">
                  <c:v>5.0000000000000044E-2</c:v>
                </c:pt>
                <c:pt idx="14">
                  <c:v>5.0000000000000044E-2</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6710-4DBE-957C-5ADA0519EB11}"/>
            </c:ext>
          </c:extLst>
        </c:ser>
        <c:ser>
          <c:idx val="2"/>
          <c:order val="2"/>
          <c:tx>
            <c:v>Locked (taken-only) leg</c:v>
          </c:tx>
          <c:spPr>
            <a:ln w="28575">
              <a:solidFill>
                <a:srgbClr val="595959"/>
              </a:solidFill>
              <a:prstDash val="dash"/>
            </a:ln>
          </c:spPr>
          <c:marker>
            <c:symbol val="none"/>
          </c:marker>
          <c:cat>
            <c:numRef>
              <c:f>'Flow Dashboard'!$B$93:$B$116</c:f>
              <c:numCache>
                <c:formatCode>mmm\-yy</c:formatCode>
                <c:ptCount val="24"/>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pt idx="12">
                  <c:v>46753</c:v>
                </c:pt>
                <c:pt idx="13">
                  <c:v>46784</c:v>
                </c:pt>
                <c:pt idx="14">
                  <c:v>46813</c:v>
                </c:pt>
                <c:pt idx="15">
                  <c:v>46844</c:v>
                </c:pt>
                <c:pt idx="16">
                  <c:v>46874</c:v>
                </c:pt>
                <c:pt idx="17">
                  <c:v>46905</c:v>
                </c:pt>
                <c:pt idx="18">
                  <c:v>46935</c:v>
                </c:pt>
                <c:pt idx="19">
                  <c:v>46966</c:v>
                </c:pt>
                <c:pt idx="20">
                  <c:v>46997</c:v>
                </c:pt>
                <c:pt idx="21">
                  <c:v>47027</c:v>
                </c:pt>
                <c:pt idx="22">
                  <c:v>47058</c:v>
                </c:pt>
                <c:pt idx="23">
                  <c:v>47088</c:v>
                </c:pt>
              </c:numCache>
            </c:numRef>
          </c:cat>
          <c:val>
            <c:numRef>
              <c:f>'Flow Dashboard'!$P$93:$P$116</c:f>
              <c:numCache>
                <c:formatCode>\+0.0%;\-0.0%;0.0%</c:formatCode>
                <c:ptCount val="24"/>
                <c:pt idx="0">
                  <c:v>6.0000000000000053E-2</c:v>
                </c:pt>
                <c:pt idx="1">
                  <c:v>6.0000000000000053E-2</c:v>
                </c:pt>
                <c:pt idx="2">
                  <c:v>6.0000000000000053E-2</c:v>
                </c:pt>
                <c:pt idx="3">
                  <c:v>6.0000000000000053E-2</c:v>
                </c:pt>
                <c:pt idx="4">
                  <c:v>6.0000000000000053E-2</c:v>
                </c:pt>
                <c:pt idx="5">
                  <c:v>6.0000000000000053E-2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6710-4DBE-957C-5ADA0519EB11}"/>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title>
          <c:tx>
            <c:rich>
              <a:bodyPr/>
              <a:lstStyle/>
              <a:p>
                <a:pPr>
                  <a:defRPr/>
                </a:pPr>
                <a:r>
                  <a:t>YoY written-basis change</a:t>
                </a:r>
              </a:p>
            </c:rich>
          </c:tx>
          <c:overlay val="1"/>
        </c:title>
        <c:numFmt formatCode="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Change vs Base (pts of loss ratio) — zero line = Base</a:t>
            </a:r>
          </a:p>
        </c:rich>
      </c:tx>
      <c:overlay val="1"/>
    </c:title>
    <c:autoTitleDeleted val="0"/>
    <c:plotArea>
      <c:layout/>
      <c:barChart>
        <c:barDir val="col"/>
        <c:grouping val="clustered"/>
        <c:varyColors val="1"/>
        <c:ser>
          <c:idx val="0"/>
          <c:order val="0"/>
          <c:spPr>
            <a:solidFill>
              <a:srgbClr val="8497B0"/>
            </a:solidFill>
            <a:ln>
              <a:prstDash val="solid"/>
            </a:ln>
          </c:spPr>
          <c:invertIfNegative val="1"/>
          <c:cat>
            <c:strRef>
              <c:f>Scenarios!$D$13:$G$13</c:f>
              <c:strCache>
                <c:ptCount val="4"/>
                <c:pt idx="0">
                  <c:v>S1</c:v>
                </c:pt>
                <c:pt idx="1">
                  <c:v>S2</c:v>
                </c:pt>
                <c:pt idx="2">
                  <c:v>S3</c:v>
                </c:pt>
                <c:pt idx="3">
                  <c:v>S4</c:v>
                </c:pt>
              </c:strCache>
            </c:strRef>
          </c:cat>
          <c:val>
            <c:numRef>
              <c:f>Scenarios!$D$15:$G$15</c:f>
              <c:numCache>
                <c:formatCode>\+0.00\ "pts";\-0.00\ "pts";""</c:formatCode>
                <c:ptCount val="4"/>
                <c:pt idx="0">
                  <c:v>-0.59725906899925629</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6B31-448F-9D62-FA6DF5958F98}"/>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Change vs Base (pts)</a:t>
                </a:r>
              </a:p>
            </c:rich>
          </c:tx>
          <c:overlay val="1"/>
        </c:title>
        <c:numFmt formatCode="0.0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Timing sensitivity: full-year plan LR if the change starts in each month (later start = less earned benefit; dashed = target)</a:t>
            </a:r>
          </a:p>
        </c:rich>
      </c:tx>
      <c:overlay val="1"/>
    </c:title>
    <c:autoTitleDeleted val="0"/>
    <c:plotArea>
      <c:layout/>
      <c:lineChart>
        <c:grouping val="standard"/>
        <c:varyColors val="1"/>
        <c:ser>
          <c:idx val="0"/>
          <c:order val="0"/>
          <c:tx>
            <c:strRef>
              <c:f>Solver!$G$28</c:f>
              <c:strCache>
                <c:ptCount val="1"/>
                <c:pt idx="0">
                  <c:v>Full-yr plan LR</c:v>
                </c:pt>
              </c:strCache>
            </c:strRef>
          </c:tx>
          <c:spPr>
            <a:ln w="28575">
              <a:solidFill>
                <a:srgbClr val="1F3864"/>
              </a:solidFill>
              <a:prstDash val="solid"/>
            </a:ln>
          </c:spPr>
          <c:marker>
            <c:symbol val="none"/>
          </c:marker>
          <c:cat>
            <c:strRef>
              <c:f>Solver!$B$29:$B$40</c:f>
              <c:strCache>
                <c:ptCount val="12"/>
                <c:pt idx="0">
                  <c:v>Jan 2027</c:v>
                </c:pt>
                <c:pt idx="1">
                  <c:v>Feb 2027</c:v>
                </c:pt>
                <c:pt idx="2">
                  <c:v>Mar 2027</c:v>
                </c:pt>
                <c:pt idx="3">
                  <c:v>Apr 2027</c:v>
                </c:pt>
                <c:pt idx="4">
                  <c:v>May 2027</c:v>
                </c:pt>
                <c:pt idx="5">
                  <c:v>Jun 2027</c:v>
                </c:pt>
                <c:pt idx="6">
                  <c:v>Jul 2027</c:v>
                </c:pt>
                <c:pt idx="7">
                  <c:v>Aug 2027</c:v>
                </c:pt>
                <c:pt idx="8">
                  <c:v>Sep 2027</c:v>
                </c:pt>
                <c:pt idx="9">
                  <c:v>Oct 2027</c:v>
                </c:pt>
                <c:pt idx="10">
                  <c:v>Nov 2027</c:v>
                </c:pt>
                <c:pt idx="11">
                  <c:v>Dec 2027</c:v>
                </c:pt>
              </c:strCache>
            </c:strRef>
          </c:cat>
          <c:val>
            <c:numRef>
              <c:f>Solver!$G$29:$G$40</c:f>
              <c:numCache>
                <c:formatCode>0.0%</c:formatCode>
                <c:ptCount val="12"/>
                <c:pt idx="0">
                  <c:v>0.61071538778272183</c:v>
                </c:pt>
                <c:pt idx="1">
                  <c:v>0.61317794983023266</c:v>
                </c:pt>
                <c:pt idx="2">
                  <c:v>0.61566045165140781</c:v>
                </c:pt>
                <c:pt idx="3">
                  <c:v>0.61816313641421838</c:v>
                </c:pt>
                <c:pt idx="4">
                  <c:v>0.62068625125672539</c:v>
                </c:pt>
                <c:pt idx="5">
                  <c:v>0.62323004736843324</c:v>
                </c:pt>
                <c:pt idx="6">
                  <c:v>0.62579478007365319</c:v>
                </c:pt>
                <c:pt idx="7">
                  <c:v>0.62816439886222808</c:v>
                </c:pt>
                <c:pt idx="8">
                  <c:v>0.63011656722885778</c:v>
                </c:pt>
                <c:pt idx="9">
                  <c:v>0.6316433294201359</c:v>
                </c:pt>
                <c:pt idx="10">
                  <c:v>0.63273841147530252</c:v>
                </c:pt>
                <c:pt idx="11">
                  <c:v>0.63339728521165306</c:v>
                </c:pt>
              </c:numCache>
            </c:numRef>
          </c:val>
          <c:smooth val="0"/>
          <c:extLst>
            <c:ext xmlns:c16="http://schemas.microsoft.com/office/drawing/2014/chart" uri="{C3380CC4-5D6E-409C-BE32-E72D297353CC}">
              <c16:uniqueId val="{00000000-0382-4B56-9431-78706A1774F0}"/>
            </c:ext>
          </c:extLst>
        </c:ser>
        <c:ser>
          <c:idx val="1"/>
          <c:order val="1"/>
          <c:tx>
            <c:strRef>
              <c:f>Solver!$J$28</c:f>
              <c:strCache>
                <c:ptCount val="1"/>
                <c:pt idx="0">
                  <c:v>target</c:v>
                </c:pt>
              </c:strCache>
            </c:strRef>
          </c:tx>
          <c:spPr>
            <a:ln w="15875">
              <a:solidFill>
                <a:srgbClr val="C00000"/>
              </a:solidFill>
              <a:prstDash val="dash"/>
            </a:ln>
          </c:spPr>
          <c:marker>
            <c:symbol val="none"/>
          </c:marker>
          <c:cat>
            <c:strRef>
              <c:f>Solver!$B$29:$B$40</c:f>
              <c:strCache>
                <c:ptCount val="12"/>
                <c:pt idx="0">
                  <c:v>Jan 2027</c:v>
                </c:pt>
                <c:pt idx="1">
                  <c:v>Feb 2027</c:v>
                </c:pt>
                <c:pt idx="2">
                  <c:v>Mar 2027</c:v>
                </c:pt>
                <c:pt idx="3">
                  <c:v>Apr 2027</c:v>
                </c:pt>
                <c:pt idx="4">
                  <c:v>May 2027</c:v>
                </c:pt>
                <c:pt idx="5">
                  <c:v>Jun 2027</c:v>
                </c:pt>
                <c:pt idx="6">
                  <c:v>Jul 2027</c:v>
                </c:pt>
                <c:pt idx="7">
                  <c:v>Aug 2027</c:v>
                </c:pt>
                <c:pt idx="8">
                  <c:v>Sep 2027</c:v>
                </c:pt>
                <c:pt idx="9">
                  <c:v>Oct 2027</c:v>
                </c:pt>
                <c:pt idx="10">
                  <c:v>Nov 2027</c:v>
                </c:pt>
                <c:pt idx="11">
                  <c:v>Dec 2027</c:v>
                </c:pt>
              </c:strCache>
            </c:strRef>
          </c:cat>
          <c:val>
            <c:numRef>
              <c:f>Solver!$J$29:$J$40</c:f>
              <c:numCache>
                <c:formatCode>0.0%</c:formatCode>
                <c:ptCount val="12"/>
                <c:pt idx="0">
                  <c:v>0.61816313641421827</c:v>
                </c:pt>
                <c:pt idx="1">
                  <c:v>0.61816313641421827</c:v>
                </c:pt>
                <c:pt idx="2">
                  <c:v>0.61816313641421827</c:v>
                </c:pt>
                <c:pt idx="3">
                  <c:v>0.61816313641421827</c:v>
                </c:pt>
                <c:pt idx="4">
                  <c:v>0.61816313641421827</c:v>
                </c:pt>
                <c:pt idx="5">
                  <c:v>0.61816313641421827</c:v>
                </c:pt>
                <c:pt idx="6">
                  <c:v>0.61816313641421827</c:v>
                </c:pt>
                <c:pt idx="7">
                  <c:v>0.61816313641421827</c:v>
                </c:pt>
                <c:pt idx="8">
                  <c:v>0.61816313641421827</c:v>
                </c:pt>
                <c:pt idx="9">
                  <c:v>0.61816313641421827</c:v>
                </c:pt>
                <c:pt idx="10">
                  <c:v>0.61816313641421827</c:v>
                </c:pt>
                <c:pt idx="11">
                  <c:v>0.61816313641421827</c:v>
                </c:pt>
              </c:numCache>
            </c:numRef>
          </c:val>
          <c:smooth val="0"/>
          <c:extLst>
            <c:ext xmlns:c16="http://schemas.microsoft.com/office/drawing/2014/chart" uri="{C3380CC4-5D6E-409C-BE32-E72D297353CC}">
              <c16:uniqueId val="{00000001-0382-4B56-9431-78706A1774F0}"/>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Full-year plan LR</a:t>
                </a:r>
              </a:p>
            </c:rich>
          </c:tx>
          <c:overlay val="1"/>
        </c:title>
        <c:numFmt formatCode="0.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Plan -&gt; actual CY LR attribution</a:t>
            </a:r>
          </a:p>
        </c:rich>
      </c:tx>
      <c:overlay val="1"/>
    </c:title>
    <c:autoTitleDeleted val="0"/>
    <c:plotArea>
      <c:layout/>
      <c:barChart>
        <c:barDir val="col"/>
        <c:grouping val="stacked"/>
        <c:varyColors val="1"/>
        <c:ser>
          <c:idx val="0"/>
          <c:order val="0"/>
          <c:tx>
            <c:strRef>
              <c:f>Attribution!$C$37</c:f>
              <c:strCache>
                <c:ptCount val="1"/>
                <c:pt idx="0">
                  <c:v>base</c:v>
                </c:pt>
              </c:strCache>
            </c:strRef>
          </c:tx>
          <c:spPr>
            <a:noFill/>
            <a:ln>
              <a:prstDash val="solid"/>
            </a:ln>
          </c:spPr>
          <c:invertIfNegative val="1"/>
          <c:cat>
            <c:strRef>
              <c:f>Attribution!$B$38:$B$43</c:f>
              <c:strCache>
                <c:ptCount val="6"/>
                <c:pt idx="0">
                  <c:v>Plan CY LR</c:v>
                </c:pt>
                <c:pt idx="1">
                  <c:v>Rate magnitude</c:v>
                </c:pt>
                <c:pt idx="2">
                  <c:v>Rate timing</c:v>
                </c:pt>
                <c:pt idx="3">
                  <c:v>Mod drift</c:v>
                </c:pt>
                <c:pt idx="4">
                  <c:v>Loss residual</c:v>
                </c:pt>
                <c:pt idx="5">
                  <c:v>Actual CY LR</c:v>
                </c:pt>
              </c:strCache>
            </c:strRef>
          </c:cat>
          <c:val>
            <c:numRef>
              <c:f>Attribution!$C$38:$C$43</c:f>
              <c:numCache>
                <c:formatCode>0.0%</c:formatCode>
                <c:ptCount val="6"/>
                <c:pt idx="0">
                  <c:v>0</c:v>
                </c:pt>
                <c:pt idx="1">
                  <c:v>0.61816313641421827</c:v>
                </c:pt>
                <c:pt idx="2">
                  <c:v>0.61816313641421827</c:v>
                </c:pt>
                <c:pt idx="3">
                  <c:v>0.61816313641421827</c:v>
                </c:pt>
                <c:pt idx="4">
                  <c:v>0.61816313641421827</c:v>
                </c:pt>
                <c:pt idx="5">
                  <c:v>0</c:v>
                </c:pt>
              </c:numCache>
            </c:numRef>
          </c:val>
          <c:extLst>
            <c:ext xmlns:c16="http://schemas.microsoft.com/office/drawing/2014/chart" uri="{C3380CC4-5D6E-409C-BE32-E72D297353CC}">
              <c16:uniqueId val="{00000000-EC0F-4C96-B87A-CD7EEA91E6B1}"/>
            </c:ext>
          </c:extLst>
        </c:ser>
        <c:ser>
          <c:idx val="1"/>
          <c:order val="1"/>
          <c:tx>
            <c:strRef>
              <c:f>Attribution!$D$37</c:f>
              <c:strCache>
                <c:ptCount val="1"/>
                <c:pt idx="0">
                  <c:v>up</c:v>
                </c:pt>
              </c:strCache>
            </c:strRef>
          </c:tx>
          <c:spPr>
            <a:solidFill>
              <a:srgbClr val="8497B0"/>
            </a:solidFill>
            <a:ln>
              <a:prstDash val="solid"/>
            </a:ln>
          </c:spPr>
          <c:invertIfNegative val="1"/>
          <c:cat>
            <c:strRef>
              <c:f>Attribution!$B$38:$B$43</c:f>
              <c:strCache>
                <c:ptCount val="6"/>
                <c:pt idx="0">
                  <c:v>Plan CY LR</c:v>
                </c:pt>
                <c:pt idx="1">
                  <c:v>Rate magnitude</c:v>
                </c:pt>
                <c:pt idx="2">
                  <c:v>Rate timing</c:v>
                </c:pt>
                <c:pt idx="3">
                  <c:v>Mod drift</c:v>
                </c:pt>
                <c:pt idx="4">
                  <c:v>Loss residual</c:v>
                </c:pt>
                <c:pt idx="5">
                  <c:v>Actual CY LR</c:v>
                </c:pt>
              </c:strCache>
            </c:strRef>
          </c:cat>
          <c:val>
            <c:numRef>
              <c:f>Attribution!$D$38:$D$43</c:f>
              <c:numCache>
                <c:formatCode>0.0%</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EC0F-4C96-B87A-CD7EEA91E6B1}"/>
            </c:ext>
          </c:extLst>
        </c:ser>
        <c:ser>
          <c:idx val="2"/>
          <c:order val="2"/>
          <c:tx>
            <c:strRef>
              <c:f>Attribution!$E$37</c:f>
              <c:strCache>
                <c:ptCount val="1"/>
                <c:pt idx="0">
                  <c:v>down</c:v>
                </c:pt>
              </c:strCache>
            </c:strRef>
          </c:tx>
          <c:spPr>
            <a:solidFill>
              <a:srgbClr val="1F3864"/>
            </a:solidFill>
            <a:ln>
              <a:prstDash val="solid"/>
            </a:ln>
          </c:spPr>
          <c:invertIfNegative val="1"/>
          <c:cat>
            <c:strRef>
              <c:f>Attribution!$B$38:$B$43</c:f>
              <c:strCache>
                <c:ptCount val="6"/>
                <c:pt idx="0">
                  <c:v>Plan CY LR</c:v>
                </c:pt>
                <c:pt idx="1">
                  <c:v>Rate magnitude</c:v>
                </c:pt>
                <c:pt idx="2">
                  <c:v>Rate timing</c:v>
                </c:pt>
                <c:pt idx="3">
                  <c:v>Mod drift</c:v>
                </c:pt>
                <c:pt idx="4">
                  <c:v>Loss residual</c:v>
                </c:pt>
                <c:pt idx="5">
                  <c:v>Actual CY LR</c:v>
                </c:pt>
              </c:strCache>
            </c:strRef>
          </c:cat>
          <c:val>
            <c:numRef>
              <c:f>Attribution!$E$38:$E$43</c:f>
              <c:numCache>
                <c:formatCode>0.0%</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EC0F-4C96-B87A-CD7EEA91E6B1}"/>
            </c:ext>
          </c:extLst>
        </c:ser>
        <c:ser>
          <c:idx val="3"/>
          <c:order val="3"/>
          <c:tx>
            <c:strRef>
              <c:f>Attribution!$F$37</c:f>
              <c:strCache>
                <c:ptCount val="1"/>
                <c:pt idx="0">
                  <c:v>total</c:v>
                </c:pt>
              </c:strCache>
            </c:strRef>
          </c:tx>
          <c:spPr>
            <a:solidFill>
              <a:srgbClr val="548235"/>
            </a:solidFill>
            <a:ln>
              <a:prstDash val="solid"/>
            </a:ln>
          </c:spPr>
          <c:invertIfNegative val="1"/>
          <c:cat>
            <c:strRef>
              <c:f>Attribution!$B$38:$B$43</c:f>
              <c:strCache>
                <c:ptCount val="6"/>
                <c:pt idx="0">
                  <c:v>Plan CY LR</c:v>
                </c:pt>
                <c:pt idx="1">
                  <c:v>Rate magnitude</c:v>
                </c:pt>
                <c:pt idx="2">
                  <c:v>Rate timing</c:v>
                </c:pt>
                <c:pt idx="3">
                  <c:v>Mod drift</c:v>
                </c:pt>
                <c:pt idx="4">
                  <c:v>Loss residual</c:v>
                </c:pt>
                <c:pt idx="5">
                  <c:v>Actual CY LR</c:v>
                </c:pt>
              </c:strCache>
            </c:strRef>
          </c:cat>
          <c:val>
            <c:numRef>
              <c:f>Attribution!$F$38:$F$43</c:f>
              <c:numCache>
                <c:formatCode>0.0%</c:formatCode>
                <c:ptCount val="6"/>
                <c:pt idx="0">
                  <c:v>0.61816313641421827</c:v>
                </c:pt>
                <c:pt idx="1">
                  <c:v>0</c:v>
                </c:pt>
                <c:pt idx="2">
                  <c:v>0</c:v>
                </c:pt>
                <c:pt idx="3">
                  <c:v>0</c:v>
                </c:pt>
                <c:pt idx="4">
                  <c:v>0</c:v>
                </c:pt>
                <c:pt idx="5">
                  <c:v>0.61816313641421827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EC0F-4C96-B87A-CD7EEA91E6B1}"/>
            </c:ext>
          </c:extLst>
        </c:ser>
        <c:dLbls>
          <c:showLegendKey val="0"/>
          <c:showVal val="0"/>
          <c:showCatName val="0"/>
          <c:showSerName val="0"/>
          <c:showPercent val="0"/>
          <c:showBubbleSize val="0"/>
        </c:dLbls>
        <c:gapWidth val="6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Loss ratio</a:t>
                </a:r>
              </a:p>
            </c:rich>
          </c:tx>
          <c:overlay val="1"/>
        </c:title>
        <c:numFmt formatCode="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Written vs earned schedule mod path</a:t>
            </a:r>
          </a:p>
        </c:rich>
      </c:tx>
      <c:overlay val="1"/>
    </c:title>
    <c:autoTitleDeleted val="0"/>
    <c:plotArea>
      <c:layout/>
      <c:lineChart>
        <c:grouping val="standard"/>
        <c:varyColors val="1"/>
        <c:ser>
          <c:idx val="0"/>
          <c:order val="0"/>
          <c:tx>
            <c:strRef>
              <c:f>'Flow Dashboard'!$E$80</c:f>
              <c:strCache>
                <c:ptCount val="1"/>
                <c:pt idx="0">
                  <c:v>Written mod</c:v>
                </c:pt>
              </c:strCache>
            </c:strRef>
          </c:tx>
          <c:spPr>
            <a:ln w="28575">
              <a:solidFill>
                <a:srgbClr val="8497B0"/>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Dashboard'!$E$81:$E$116</c:f>
              <c:numCache>
                <c:formatCode>0.000</c:formatCode>
                <c:ptCount val="36"/>
                <c:pt idx="0">
                  <c:v>0.84309628008752735</c:v>
                </c:pt>
                <c:pt idx="1">
                  <c:v>0.84503282275711156</c:v>
                </c:pt>
                <c:pt idx="2">
                  <c:v>0.84696936542669587</c:v>
                </c:pt>
                <c:pt idx="3">
                  <c:v>0.84897155361050325</c:v>
                </c:pt>
                <c:pt idx="4">
                  <c:v>0.85097374179431073</c:v>
                </c:pt>
                <c:pt idx="5">
                  <c:v>0.85297592997811811</c:v>
                </c:pt>
                <c:pt idx="6">
                  <c:v>0.85497811816192559</c:v>
                </c:pt>
                <c:pt idx="7">
                  <c:v>0.85701312910284466</c:v>
                </c:pt>
                <c:pt idx="8">
                  <c:v>0.85901531728665204</c:v>
                </c:pt>
                <c:pt idx="9">
                  <c:v>0.86101750547045952</c:v>
                </c:pt>
                <c:pt idx="10">
                  <c:v>0.8630196936542669</c:v>
                </c:pt>
                <c:pt idx="11">
                  <c:v>0.86502188183807438</c:v>
                </c:pt>
                <c:pt idx="12">
                  <c:v>0.86705689277899345</c:v>
                </c:pt>
                <c:pt idx="13">
                  <c:v>0.86899343544857766</c:v>
                </c:pt>
                <c:pt idx="14">
                  <c:v>0.87092997811816197</c:v>
                </c:pt>
                <c:pt idx="15">
                  <c:v>0.87293216630196935</c:v>
                </c:pt>
                <c:pt idx="16">
                  <c:v>0.87493435448577683</c:v>
                </c:pt>
                <c:pt idx="17">
                  <c:v>0.87693654266958421</c:v>
                </c:pt>
                <c:pt idx="18">
                  <c:v>0.87893873085339169</c:v>
                </c:pt>
                <c:pt idx="19">
                  <c:v>0.88097374179431076</c:v>
                </c:pt>
                <c:pt idx="20">
                  <c:v>0.88297592997811813</c:v>
                </c:pt>
                <c:pt idx="21">
                  <c:v>0.88497811816192562</c:v>
                </c:pt>
                <c:pt idx="22">
                  <c:v>0.8869803063457331</c:v>
                </c:pt>
                <c:pt idx="23">
                  <c:v>0.88898249452954048</c:v>
                </c:pt>
                <c:pt idx="24">
                  <c:v>0.89</c:v>
                </c:pt>
                <c:pt idx="25">
                  <c:v>0.89</c:v>
                </c:pt>
                <c:pt idx="26">
                  <c:v>0.89</c:v>
                </c:pt>
                <c:pt idx="27">
                  <c:v>0.89</c:v>
                </c:pt>
                <c:pt idx="28">
                  <c:v>0.89</c:v>
                </c:pt>
                <c:pt idx="29">
                  <c:v>0.89</c:v>
                </c:pt>
                <c:pt idx="30">
                  <c:v>0.89</c:v>
                </c:pt>
                <c:pt idx="31">
                  <c:v>0.89</c:v>
                </c:pt>
                <c:pt idx="32">
                  <c:v>0.89</c:v>
                </c:pt>
                <c:pt idx="33">
                  <c:v>0.89</c:v>
                </c:pt>
                <c:pt idx="34">
                  <c:v>0.89</c:v>
                </c:pt>
                <c:pt idx="35">
                  <c:v>0.89</c:v>
                </c:pt>
              </c:numCache>
            </c:numRef>
          </c:val>
          <c:smooth val="0"/>
          <c:extLst>
            <c:ext xmlns:c16="http://schemas.microsoft.com/office/drawing/2014/chart" uri="{C3380CC4-5D6E-409C-BE32-E72D297353CC}">
              <c16:uniqueId val="{00000000-210F-4C02-ABD5-1CCDA660AC3E}"/>
            </c:ext>
          </c:extLst>
        </c:ser>
        <c:ser>
          <c:idx val="1"/>
          <c:order val="1"/>
          <c:tx>
            <c:strRef>
              <c:f>'Flow Dashboard'!$F$80</c:f>
              <c:strCache>
                <c:ptCount val="1"/>
                <c:pt idx="0">
                  <c:v>Earned mod</c:v>
                </c:pt>
              </c:strCache>
            </c:strRef>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Dashboard'!$F$81:$F$116</c:f>
              <c:numCache>
                <c:formatCode>0.000</c:formatCode>
                <c:ptCount val="36"/>
                <c:pt idx="0">
                  <c:v>0.83705689277899342</c:v>
                </c:pt>
                <c:pt idx="1">
                  <c:v>0.83906181619256015</c:v>
                </c:pt>
                <c:pt idx="2">
                  <c:v>0.84105306345733044</c:v>
                </c:pt>
                <c:pt idx="3">
                  <c:v>0.84303884026258202</c:v>
                </c:pt>
                <c:pt idx="4">
                  <c:v>0.84502461706783372</c:v>
                </c:pt>
                <c:pt idx="5">
                  <c:v>0.84701039387308541</c:v>
                </c:pt>
                <c:pt idx="6">
                  <c:v>0.84899343544857786</c:v>
                </c:pt>
                <c:pt idx="7">
                  <c:v>0.85098194748358869</c:v>
                </c:pt>
                <c:pt idx="8">
                  <c:v>0.85298413566739617</c:v>
                </c:pt>
                <c:pt idx="9">
                  <c:v>0.85499179431072225</c:v>
                </c:pt>
                <c:pt idx="10">
                  <c:v>0.85699945295404822</c:v>
                </c:pt>
                <c:pt idx="11">
                  <c:v>0.8590071115973742</c:v>
                </c:pt>
                <c:pt idx="12">
                  <c:v>0.86101750547045963</c:v>
                </c:pt>
                <c:pt idx="13">
                  <c:v>0.86302242888402625</c:v>
                </c:pt>
                <c:pt idx="14">
                  <c:v>0.86501367614879665</c:v>
                </c:pt>
                <c:pt idx="15">
                  <c:v>0.86699945295404823</c:v>
                </c:pt>
                <c:pt idx="16">
                  <c:v>0.86898522975929982</c:v>
                </c:pt>
                <c:pt idx="17">
                  <c:v>0.8709710065645514</c:v>
                </c:pt>
                <c:pt idx="18">
                  <c:v>0.87295404814004385</c:v>
                </c:pt>
                <c:pt idx="19">
                  <c:v>0.87494256017505478</c:v>
                </c:pt>
                <c:pt idx="20">
                  <c:v>0.87694474835886227</c:v>
                </c:pt>
                <c:pt idx="21">
                  <c:v>0.87895240700218802</c:v>
                </c:pt>
                <c:pt idx="22">
                  <c:v>0.88096006564551421</c:v>
                </c:pt>
                <c:pt idx="23">
                  <c:v>0.88296772428884029</c:v>
                </c:pt>
                <c:pt idx="24">
                  <c:v>0.88489332603938731</c:v>
                </c:pt>
                <c:pt idx="25">
                  <c:v>0.88656728665207873</c:v>
                </c:pt>
                <c:pt idx="26">
                  <c:v>0.88790481400437649</c:v>
                </c:pt>
                <c:pt idx="27">
                  <c:v>0.88890864332603947</c:v>
                </c:pt>
                <c:pt idx="28">
                  <c:v>0.88957877461706791</c:v>
                </c:pt>
                <c:pt idx="29">
                  <c:v>0.88991520787746181</c:v>
                </c:pt>
                <c:pt idx="30">
                  <c:v>0.89</c:v>
                </c:pt>
                <c:pt idx="31">
                  <c:v>0.89</c:v>
                </c:pt>
                <c:pt idx="32">
                  <c:v>0.89</c:v>
                </c:pt>
                <c:pt idx="33">
                  <c:v>0.89</c:v>
                </c:pt>
                <c:pt idx="34">
                  <c:v>0.89</c:v>
                </c:pt>
                <c:pt idx="35">
                  <c:v>0.89</c:v>
                </c:pt>
              </c:numCache>
            </c:numRef>
          </c:val>
          <c:smooth val="0"/>
          <c:extLst>
            <c:ext xmlns:c16="http://schemas.microsoft.com/office/drawing/2014/chart" uri="{C3380CC4-5D6E-409C-BE32-E72D297353CC}">
              <c16:uniqueId val="{00000001-210F-4C02-ABD5-1CCDA660AC3E}"/>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numFmt formatCode="0.0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oneCellAnchor>
    <xdr:from>
      <xdr:col>19</xdr:col>
      <xdr:colOff>0</xdr:colOff>
      <xdr:row>28</xdr:row>
      <xdr:rowOff>0</xdr:rowOff>
    </xdr:from>
    <xdr:ext cx="3960000" cy="324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5</xdr:col>
      <xdr:colOff>0</xdr:colOff>
      <xdr:row>115</xdr:row>
      <xdr:rowOff>0</xdr:rowOff>
    </xdr:from>
    <xdr:ext cx="5760000" cy="306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4</xdr:row>
      <xdr:rowOff>0</xdr:rowOff>
    </xdr:from>
    <xdr:ext cx="5400000" cy="324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10</xdr:col>
      <xdr:colOff>0</xdr:colOff>
      <xdr:row>7</xdr:row>
      <xdr:rowOff>0</xdr:rowOff>
    </xdr:from>
    <xdr:ext cx="3960000" cy="234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35</xdr:row>
      <xdr:rowOff>0</xdr:rowOff>
    </xdr:from>
    <xdr:ext cx="4680000" cy="252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50</xdr:row>
      <xdr:rowOff>0</xdr:rowOff>
    </xdr:from>
    <xdr:ext cx="4680000" cy="2520000"/>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3</xdr:row>
      <xdr:rowOff>0</xdr:rowOff>
    </xdr:from>
    <xdr:ext cx="5760000" cy="306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21</xdr:row>
      <xdr:rowOff>0</xdr:rowOff>
    </xdr:from>
    <xdr:ext cx="5760000" cy="3060000"/>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10</xdr:col>
      <xdr:colOff>0</xdr:colOff>
      <xdr:row>21</xdr:row>
      <xdr:rowOff>0</xdr:rowOff>
    </xdr:from>
    <xdr:ext cx="5760000" cy="3060000"/>
    <xdr:graphicFrame macro="">
      <xdr:nvGraphicFramePr>
        <xdr:cNvPr id="4" name="Chart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10</xdr:col>
      <xdr:colOff>0</xdr:colOff>
      <xdr:row>3</xdr:row>
      <xdr:rowOff>0</xdr:rowOff>
    </xdr:from>
    <xdr:ext cx="5760000" cy="3060000"/>
    <xdr:graphicFrame macro="">
      <xdr:nvGraphicFramePr>
        <xdr:cNvPr id="5" name="Chart 4">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19</xdr:col>
      <xdr:colOff>0</xdr:colOff>
      <xdr:row>3</xdr:row>
      <xdr:rowOff>0</xdr:rowOff>
    </xdr:from>
    <xdr:ext cx="5040000" cy="3060000"/>
    <xdr:graphicFrame macro="">
      <xdr:nvGraphicFramePr>
        <xdr:cNvPr id="6" name="Chart 5">
          <a:extLst>
            <a:ext uri="{FF2B5EF4-FFF2-40B4-BE49-F238E27FC236}">
              <a16:creationId xmlns:a16="http://schemas.microsoft.com/office/drawing/2014/main" id="{00000000-0008-0000-0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19</xdr:col>
      <xdr:colOff>0</xdr:colOff>
      <xdr:row>21</xdr:row>
      <xdr:rowOff>0</xdr:rowOff>
    </xdr:from>
    <xdr:ext cx="5040000" cy="3060000"/>
    <xdr:graphicFrame macro="">
      <xdr:nvGraphicFramePr>
        <xdr:cNvPr id="7" name="Chart 6">
          <a:extLst>
            <a:ext uri="{FF2B5EF4-FFF2-40B4-BE49-F238E27FC236}">
              <a16:creationId xmlns:a16="http://schemas.microsoft.com/office/drawing/2014/main" id="{00000000-0008-0000-0B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23</xdr:row>
      <xdr:rowOff>0</xdr:rowOff>
    </xdr:from>
    <xdr:ext cx="4680000" cy="2880000"/>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8.xml><?xml version="1.0" encoding="utf-8"?>
<xdr:wsDr xmlns:xdr="http://schemas.openxmlformats.org/drawingml/2006/spreadsheetDrawing" xmlns:a="http://schemas.openxmlformats.org/drawingml/2006/main">
  <xdr:oneCellAnchor>
    <xdr:from>
      <xdr:col>10</xdr:col>
      <xdr:colOff>0</xdr:colOff>
      <xdr:row>27</xdr:row>
      <xdr:rowOff>0</xdr:rowOff>
    </xdr:from>
    <xdr:ext cx="5040000" cy="2880000"/>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9.xml><?xml version="1.0" encoding="utf-8"?>
<xdr:wsDr xmlns:xdr="http://schemas.openxmlformats.org/drawingml/2006/spreadsheetDrawing" xmlns:a="http://schemas.openxmlformats.org/drawingml/2006/main">
  <xdr:oneCellAnchor>
    <xdr:from>
      <xdr:col>7</xdr:col>
      <xdr:colOff>0</xdr:colOff>
      <xdr:row>4</xdr:row>
      <xdr:rowOff>0</xdr:rowOff>
    </xdr:from>
    <xdr:ext cx="5040000" cy="306000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0.xml><?xml version="1.0" encoding="utf-8"?>
<xdr:wsDr xmlns:xdr="http://schemas.openxmlformats.org/drawingml/2006/spreadsheetDrawing" xmlns:a="http://schemas.openxmlformats.org/drawingml/2006/main">
  <xdr:oneCellAnchor>
    <xdr:from>
      <xdr:col>9</xdr:col>
      <xdr:colOff>0</xdr:colOff>
      <xdr:row>13</xdr:row>
      <xdr:rowOff>0</xdr:rowOff>
    </xdr:from>
    <xdr:ext cx="4680000" cy="2700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LR" displayName="tbl_LR" ref="A11:R80">
  <autoFilter ref="A11:R80" xr:uid="{00000000-0009-0000-0100-000001000000}"/>
  <tableColumns count="18">
    <tableColumn id="1" xr3:uid="{00000000-0010-0000-0000-000001000000}" name="BU"/>
    <tableColumn id="2" xr3:uid="{00000000-0010-0000-0000-000002000000}" name="State"/>
    <tableColumn id="3" xr3:uid="{00000000-0010-0000-0000-000003000000}" name="Projected loss ratio"/>
    <tableColumn id="4" xr3:uid="{00000000-0010-0000-0000-000004000000}" name="LR basis"/>
    <tableColumn id="5" xr3:uid="{00000000-0010-0000-0000-000005000000}" name="Indication selected chg (s)"/>
    <tableColumn id="6" xr3:uid="{00000000-0010-0000-0000-000006000000}" name="Mod assumed in indication (M_ind)"/>
    <tableColumn id="7" xr3:uid="{00000000-0010-0000-0000-000007000000}" name="Current avg written mod (M_0)"/>
    <tableColumn id="8" xr3:uid="{00000000-0010-0000-0000-000008000000}" name="Current mod as-of date"/>
    <tableColumn id="9" xr3:uid="{00000000-0010-0000-0000-000009000000}" name="Projected mod, end of plan yr (M_1)"/>
    <tableColumn id="10" xr3:uid="{00000000-0010-0000-0000-00000A000000}" name="Mod ~1 yr before as-of (M_prior, opt)"/>
    <tableColumn id="11" xr3:uid="{00000000-0010-0000-0000-00000B000000}" name="Projected mod, end plan yr+1 (M_2, opt)"/>
    <tableColumn id="12" xr3:uid="{00000000-0010-0000-0000-00000C000000}" name="Adj plan EP (000s)"/>
    <tableColumn id="13" xr3:uid="{00000000-0010-0000-0000-00000D000000}" name="Net trend, plan yr+1 (opt)"/>
    <tableColumn id="14" xr3:uid="{00000000-0010-0000-0000-00000E000000}" name="Other adj factor (A_other)"/>
    <tableColumn id="15" xr3:uid="{00000000-0010-0000-0000-00000F000000}" name="Reason for other adj"/>
    <tableColumn id="16" xr3:uid="{00000000-0010-0000-0000-000010000000}" name="Apply mod adjustment?"/>
    <tableColumn id="17" xr3:uid="{00000000-0010-0000-0000-000011000000}" name="Net rate selection, plan yr (opt)"/>
    <tableColumn id="18" xr3:uid="{00000000-0010-0000-0000-000012000000}" name="Net rate selection, plan yr+1 (op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Seasonality" displayName="tbl_Seasonality" ref="A84:M108">
  <autoFilter ref="A84:M108" xr:uid="{00000000-0009-0000-0100-000002000000}"/>
  <tableColumns count="13">
    <tableColumn id="1" xr3:uid="{00000000-0010-0000-0100-000001000000}" name="State"/>
    <tableColumn id="2" xr3:uid="{00000000-0010-0000-0100-000002000000}" name="Jan"/>
    <tableColumn id="3" xr3:uid="{00000000-0010-0000-0100-000003000000}" name="Feb"/>
    <tableColumn id="4" xr3:uid="{00000000-0010-0000-0100-000004000000}" name="Mar"/>
    <tableColumn id="5" xr3:uid="{00000000-0010-0000-0100-000005000000}" name="Apr"/>
    <tableColumn id="6" xr3:uid="{00000000-0010-0000-0100-000006000000}" name="May"/>
    <tableColumn id="7" xr3:uid="{00000000-0010-0000-0100-000007000000}" name="Jun"/>
    <tableColumn id="8" xr3:uid="{00000000-0010-0000-0100-000008000000}" name="Jul"/>
    <tableColumn id="9" xr3:uid="{00000000-0010-0000-0100-000009000000}" name="Aug"/>
    <tableColumn id="10" xr3:uid="{00000000-0010-0000-0100-00000A000000}" name="Sep"/>
    <tableColumn id="11" xr3:uid="{00000000-0010-0000-0100-00000B000000}" name="Oct"/>
    <tableColumn id="12" xr3:uid="{00000000-0010-0000-0100-00000C000000}" name="Nov"/>
    <tableColumn id="13" xr3:uid="{00000000-0010-0000-0100-00000D000000}" name="Dec"/>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RateLog" displayName="tbl_RateLog" ref="A6:H246">
  <autoFilter ref="A6:H246" xr:uid="{00000000-0009-0000-0100-000003000000}"/>
  <tableColumns count="8">
    <tableColumn id="1" xr3:uid="{00000000-0010-0000-0200-000001000000}" name="BU"/>
    <tableColumn id="2" xr3:uid="{00000000-0010-0000-0200-000002000000}" name="State"/>
    <tableColumn id="3" xr3:uid="{00000000-0010-0000-0200-000003000000}" name="Effective date"/>
    <tableColumn id="4" xr3:uid="{00000000-0010-0000-0200-000004000000}" name="Filed chg %"/>
    <tableColumn id="5" xr3:uid="{00000000-0010-0000-0200-000005000000}" name="Status (taken / planned)"/>
    <tableColumn id="6" xr3:uid="{00000000-0010-0000-0200-000006000000}" name="In indication? (Y/N)"/>
    <tableColumn id="7" xr3:uid="{00000000-0010-0000-0200-000007000000}" name="Achievement % (planned)"/>
    <tableColumn id="8" xr3:uid="{00000000-0010-0000-0200-000008000000}" name="Com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9D9D9"/>
    <pageSetUpPr fitToPage="1"/>
  </sheetPr>
  <dimension ref="B2:C75"/>
  <sheetViews>
    <sheetView showGridLines="0" tabSelected="1" workbookViewId="0"/>
  </sheetViews>
  <sheetFormatPr defaultRowHeight="14.4" x14ac:dyDescent="0.3"/>
  <cols>
    <col min="1" max="1" width="2" customWidth="1"/>
    <col min="2" max="2" width="30" customWidth="1"/>
    <col min="3" max="3" width="100" customWidth="1"/>
  </cols>
  <sheetData>
    <row r="2" spans="2:3" ht="21" x14ac:dyDescent="0.3">
      <c r="B2" s="1" t="s">
        <v>0</v>
      </c>
    </row>
    <row r="3" spans="2:3" x14ac:dyDescent="0.3">
      <c r="B3" s="2" t="s">
        <v>1</v>
      </c>
    </row>
    <row r="5" spans="2:3" ht="15.6" x14ac:dyDescent="0.3">
      <c r="B5" s="3" t="s">
        <v>2</v>
      </c>
    </row>
    <row r="6" spans="2:3" ht="19.95" customHeight="1" x14ac:dyDescent="0.3">
      <c r="B6" s="4" t="str">
        <f>HYPERLINK("#Control!A1","Control")</f>
        <v>Control</v>
      </c>
      <c r="C6" s="5" t="s">
        <v>3</v>
      </c>
    </row>
    <row r="7" spans="2:3" ht="19.95" customHeight="1" x14ac:dyDescent="0.3">
      <c r="B7" s="4" t="str">
        <f>HYPERLINK("#Inputs!A1","Inputs")</f>
        <v>Inputs</v>
      </c>
      <c r="C7" s="5" t="s">
        <v>4</v>
      </c>
    </row>
    <row r="8" spans="2:3" ht="19.95" customHeight="1" x14ac:dyDescent="0.3">
      <c r="B8" s="4" t="str">
        <f>HYPERLINK("#'Rate Log'!A1","Rate Log")</f>
        <v>Rate Log</v>
      </c>
      <c r="C8" s="5" t="s">
        <v>5</v>
      </c>
    </row>
    <row r="9" spans="2:3" ht="34.049999999999997" customHeight="1" x14ac:dyDescent="0.3">
      <c r="B9" s="4" t="str">
        <f>HYPERLINK("#Portfolio!A1","Portfolio")</f>
        <v>Portfolio</v>
      </c>
      <c r="C9" s="5" t="s">
        <v>6</v>
      </c>
    </row>
    <row r="10" spans="2:3" ht="48" customHeight="1" x14ac:dyDescent="0.3">
      <c r="B10" s="4" t="str">
        <f>HYPERLINK("#'State Summary'!A1","State Summary")</f>
        <v>State Summary</v>
      </c>
      <c r="C10" s="5" t="s">
        <v>7</v>
      </c>
    </row>
    <row r="11" spans="2:3" ht="34.049999999999997" customHeight="1" x14ac:dyDescent="0.3">
      <c r="B11" s="4" t="str">
        <f>HYPERLINK("#'Program Flow'!A1","Program Flow")</f>
        <v>Program Flow</v>
      </c>
      <c r="C11" s="5" t="s">
        <v>8</v>
      </c>
    </row>
    <row r="12" spans="2:3" ht="34.049999999999997" customHeight="1" x14ac:dyDescent="0.3">
      <c r="B12" s="4" t="str">
        <f>HYPERLINK("#'Net Delivery'!A1","Net Delivery")</f>
        <v>Net Delivery</v>
      </c>
      <c r="C12" s="5" t="s">
        <v>9</v>
      </c>
    </row>
    <row r="13" spans="2:3" ht="19.95" customHeight="1" x14ac:dyDescent="0.3">
      <c r="B13" s="4" t="str">
        <f>HYPERLINK("#Bridge!A1","Bridge")</f>
        <v>Bridge</v>
      </c>
      <c r="C13" s="5" t="s">
        <v>10</v>
      </c>
    </row>
    <row r="14" spans="2:3" ht="19.95" customHeight="1" x14ac:dyDescent="0.3">
      <c r="B14" s="4" t="str">
        <f>HYPERLINK("#Walkthrough!A1","Walkthrough")</f>
        <v>Walkthrough</v>
      </c>
      <c r="C14" s="5" t="s">
        <v>11</v>
      </c>
    </row>
    <row r="15" spans="2:3" ht="19.95" customHeight="1" x14ac:dyDescent="0.3">
      <c r="B15" s="4" t="str">
        <f>HYPERLINK("#'One-Pager'!A1","One-Pager")</f>
        <v>One-Pager</v>
      </c>
      <c r="C15" s="5" t="s">
        <v>12</v>
      </c>
    </row>
    <row r="16" spans="2:3" ht="19.95" customHeight="1" x14ac:dyDescent="0.3">
      <c r="B16" s="4" t="str">
        <f>HYPERLINK("#'Flow Dashboard'!A1","Flow Dashboard")</f>
        <v>Flow Dashboard</v>
      </c>
      <c r="C16" s="5" t="s">
        <v>13</v>
      </c>
    </row>
    <row r="17" spans="2:3" ht="19.95" customHeight="1" x14ac:dyDescent="0.3">
      <c r="B17" s="4" t="str">
        <f>HYPERLINK("#Scenarios!A1","Scenarios")</f>
        <v>Scenarios</v>
      </c>
      <c r="C17" s="5" t="s">
        <v>14</v>
      </c>
    </row>
    <row r="18" spans="2:3" ht="19.95" customHeight="1" x14ac:dyDescent="0.3">
      <c r="B18" s="4" t="str">
        <f>HYPERLINK("#Compare!A1","Compare")</f>
        <v>Compare</v>
      </c>
      <c r="C18" s="5" t="s">
        <v>15</v>
      </c>
    </row>
    <row r="19" spans="2:3" ht="34.049999999999997" customHeight="1" x14ac:dyDescent="0.3">
      <c r="B19" s="4" t="str">
        <f>HYPERLINK("#Solver!A1","Solver")</f>
        <v>Solver</v>
      </c>
      <c r="C19" s="5" t="s">
        <v>16</v>
      </c>
    </row>
    <row r="20" spans="2:3" ht="19.95" customHeight="1" x14ac:dyDescent="0.3">
      <c r="B20" s="4" t="str">
        <f>HYPERLINK("#Attribution!A1","Attribution")</f>
        <v>Attribution</v>
      </c>
      <c r="C20" s="5" t="s">
        <v>17</v>
      </c>
    </row>
    <row r="21" spans="2:3" ht="19.95" customHeight="1" x14ac:dyDescent="0.3">
      <c r="B21" s="4" t="str">
        <f>HYPERLINK("#'Rate Engine'!A1","Rate Engine")</f>
        <v>Rate Engine</v>
      </c>
      <c r="C21" s="5" t="s">
        <v>18</v>
      </c>
    </row>
    <row r="22" spans="2:3" ht="19.95" customHeight="1" x14ac:dyDescent="0.3">
      <c r="B22" s="4" t="str">
        <f>HYPERLINK("#'Mod Engine'!A1","Mod Engine")</f>
        <v>Mod Engine</v>
      </c>
      <c r="C22" s="5" t="s">
        <v>19</v>
      </c>
    </row>
    <row r="23" spans="2:3" ht="19.95" customHeight="1" x14ac:dyDescent="0.3">
      <c r="B23" s="4" t="str">
        <f>HYPERLINK("#Checks!A1","Checks")</f>
        <v>Checks</v>
      </c>
      <c r="C23" s="5" t="s">
        <v>20</v>
      </c>
    </row>
    <row r="24" spans="2:3" ht="19.95" customHeight="1" x14ac:dyDescent="0.3">
      <c r="B24" s="4" t="str">
        <f>HYPERLINK("#Methodology!A1","Methodology")</f>
        <v>Methodology</v>
      </c>
      <c r="C24" s="5" t="s">
        <v>21</v>
      </c>
    </row>
    <row r="25" spans="2:3" ht="31.95" customHeight="1" x14ac:dyDescent="0.3">
      <c r="B25" s="6" t="s">
        <v>22</v>
      </c>
      <c r="C25" s="7" t="s">
        <v>23</v>
      </c>
    </row>
    <row r="27" spans="2:3" ht="15.6" x14ac:dyDescent="0.3">
      <c r="B27" s="3" t="s">
        <v>24</v>
      </c>
    </row>
    <row r="28" spans="2:3" ht="48" customHeight="1" x14ac:dyDescent="0.3">
      <c r="C28" s="5" t="s">
        <v>25</v>
      </c>
    </row>
    <row r="29" spans="2:3" ht="48" customHeight="1" x14ac:dyDescent="0.3">
      <c r="C29" s="5" t="s">
        <v>26</v>
      </c>
    </row>
    <row r="30" spans="2:3" ht="34.049999999999997" customHeight="1" x14ac:dyDescent="0.3">
      <c r="C30" s="5" t="s">
        <v>27</v>
      </c>
    </row>
    <row r="32" spans="2:3" ht="36" customHeight="1" x14ac:dyDescent="0.3">
      <c r="B32" s="8" t="s">
        <v>28</v>
      </c>
      <c r="C32" s="9" t="s">
        <v>29</v>
      </c>
    </row>
    <row r="33" spans="2:3" ht="31.95" customHeight="1" x14ac:dyDescent="0.3">
      <c r="C33" s="7" t="s">
        <v>30</v>
      </c>
    </row>
    <row r="35" spans="2:3" ht="15.6" x14ac:dyDescent="0.3">
      <c r="B35" s="3" t="s">
        <v>31</v>
      </c>
    </row>
    <row r="36" spans="2:3" ht="61.95" customHeight="1" x14ac:dyDescent="0.3">
      <c r="B36" s="10" t="s">
        <v>32</v>
      </c>
      <c r="C36" s="5" t="s">
        <v>33</v>
      </c>
    </row>
    <row r="37" spans="2:3" ht="34.049999999999997" customHeight="1" x14ac:dyDescent="0.3">
      <c r="B37" s="10" t="s">
        <v>34</v>
      </c>
      <c r="C37" s="5" t="s">
        <v>35</v>
      </c>
    </row>
    <row r="38" spans="2:3" ht="19.95" customHeight="1" x14ac:dyDescent="0.3">
      <c r="B38" s="10" t="s">
        <v>36</v>
      </c>
      <c r="C38" s="5" t="s">
        <v>37</v>
      </c>
    </row>
    <row r="39" spans="2:3" ht="34.049999999999997" customHeight="1" x14ac:dyDescent="0.3">
      <c r="B39" s="10" t="s">
        <v>38</v>
      </c>
      <c r="C39" s="5" t="s">
        <v>39</v>
      </c>
    </row>
    <row r="40" spans="2:3" ht="34.049999999999997" customHeight="1" x14ac:dyDescent="0.3">
      <c r="B40" s="10" t="s">
        <v>40</v>
      </c>
      <c r="C40" s="5" t="s">
        <v>41</v>
      </c>
    </row>
    <row r="41" spans="2:3" ht="34.049999999999997" customHeight="1" x14ac:dyDescent="0.3">
      <c r="B41" s="10" t="s">
        <v>42</v>
      </c>
      <c r="C41" s="5" t="s">
        <v>43</v>
      </c>
    </row>
    <row r="42" spans="2:3" ht="48" customHeight="1" x14ac:dyDescent="0.3">
      <c r="B42" s="10" t="s">
        <v>44</v>
      </c>
      <c r="C42" s="5" t="s">
        <v>45</v>
      </c>
    </row>
    <row r="43" spans="2:3" ht="34.049999999999997" customHeight="1" x14ac:dyDescent="0.3">
      <c r="B43" s="10" t="s">
        <v>46</v>
      </c>
      <c r="C43" s="5" t="s">
        <v>47</v>
      </c>
    </row>
    <row r="44" spans="2:3" ht="61.95" customHeight="1" x14ac:dyDescent="0.3">
      <c r="B44" s="10" t="s">
        <v>48</v>
      </c>
      <c r="C44" s="5" t="s">
        <v>49</v>
      </c>
    </row>
    <row r="46" spans="2:3" ht="15.6" x14ac:dyDescent="0.3">
      <c r="B46" s="3" t="s">
        <v>50</v>
      </c>
    </row>
    <row r="47" spans="2:3" x14ac:dyDescent="0.3">
      <c r="B47" s="11" t="s">
        <v>51</v>
      </c>
      <c r="C47" s="12" t="s">
        <v>52</v>
      </c>
    </row>
    <row r="48" spans="2:3" x14ac:dyDescent="0.3">
      <c r="B48" s="13" t="s">
        <v>53</v>
      </c>
      <c r="C48" s="12" t="s">
        <v>54</v>
      </c>
    </row>
    <row r="49" spans="2:3" x14ac:dyDescent="0.3">
      <c r="B49" s="14" t="s">
        <v>55</v>
      </c>
      <c r="C49" s="12" t="s">
        <v>56</v>
      </c>
    </row>
    <row r="50" spans="2:3" x14ac:dyDescent="0.3">
      <c r="B50" s="15" t="s">
        <v>57</v>
      </c>
      <c r="C50" s="12" t="s">
        <v>58</v>
      </c>
    </row>
    <row r="51" spans="2:3" x14ac:dyDescent="0.3">
      <c r="B51" s="16" t="s">
        <v>59</v>
      </c>
      <c r="C51" s="12" t="s">
        <v>60</v>
      </c>
    </row>
    <row r="53" spans="2:3" ht="15.6" x14ac:dyDescent="0.3">
      <c r="B53" s="3" t="s">
        <v>61</v>
      </c>
    </row>
    <row r="54" spans="2:3" ht="34.049999999999997" customHeight="1" x14ac:dyDescent="0.3">
      <c r="B54" s="17" t="s">
        <v>62</v>
      </c>
      <c r="C54" s="5" t="s">
        <v>63</v>
      </c>
    </row>
    <row r="55" spans="2:3" ht="48" customHeight="1" x14ac:dyDescent="0.3">
      <c r="B55" s="17" t="s">
        <v>64</v>
      </c>
      <c r="C55" s="5" t="s">
        <v>65</v>
      </c>
    </row>
    <row r="56" spans="2:3" ht="48" customHeight="1" x14ac:dyDescent="0.3">
      <c r="B56" s="17" t="s">
        <v>66</v>
      </c>
      <c r="C56" s="5" t="s">
        <v>67</v>
      </c>
    </row>
    <row r="57" spans="2:3" ht="61.95" customHeight="1" x14ac:dyDescent="0.3">
      <c r="B57" s="17" t="s">
        <v>68</v>
      </c>
      <c r="C57" s="5" t="s">
        <v>69</v>
      </c>
    </row>
    <row r="58" spans="2:3" ht="34.049999999999997" customHeight="1" x14ac:dyDescent="0.3">
      <c r="B58" s="17" t="s">
        <v>70</v>
      </c>
      <c r="C58" s="5" t="s">
        <v>71</v>
      </c>
    </row>
    <row r="59" spans="2:3" ht="48" customHeight="1" x14ac:dyDescent="0.3">
      <c r="B59" s="17" t="s">
        <v>72</v>
      </c>
      <c r="C59" s="5" t="s">
        <v>73</v>
      </c>
    </row>
    <row r="60" spans="2:3" ht="48" customHeight="1" x14ac:dyDescent="0.3">
      <c r="B60" s="17" t="s">
        <v>74</v>
      </c>
      <c r="C60" s="5" t="s">
        <v>75</v>
      </c>
    </row>
    <row r="61" spans="2:3" ht="34.049999999999997" customHeight="1" x14ac:dyDescent="0.3">
      <c r="B61" s="17" t="s">
        <v>76</v>
      </c>
      <c r="C61" s="5" t="s">
        <v>77</v>
      </c>
    </row>
    <row r="62" spans="2:3" ht="34.049999999999997" customHeight="1" x14ac:dyDescent="0.3">
      <c r="B62" s="17" t="s">
        <v>78</v>
      </c>
      <c r="C62" s="5" t="s">
        <v>79</v>
      </c>
    </row>
    <row r="63" spans="2:3" ht="34.049999999999997" customHeight="1" x14ac:dyDescent="0.3">
      <c r="B63" s="17" t="s">
        <v>80</v>
      </c>
      <c r="C63" s="5" t="s">
        <v>81</v>
      </c>
    </row>
    <row r="64" spans="2:3" ht="61.95" customHeight="1" x14ac:dyDescent="0.3">
      <c r="B64" s="17" t="s">
        <v>82</v>
      </c>
      <c r="C64" s="5" t="s">
        <v>83</v>
      </c>
    </row>
    <row r="65" spans="2:3" ht="34.049999999999997" customHeight="1" x14ac:dyDescent="0.3">
      <c r="B65" s="17" t="s">
        <v>84</v>
      </c>
      <c r="C65" s="5" t="s">
        <v>85</v>
      </c>
    </row>
    <row r="66" spans="2:3" ht="34.049999999999997" customHeight="1" x14ac:dyDescent="0.3">
      <c r="B66" s="17" t="s">
        <v>86</v>
      </c>
      <c r="C66" s="5" t="s">
        <v>87</v>
      </c>
    </row>
    <row r="68" spans="2:3" ht="15.6" x14ac:dyDescent="0.3">
      <c r="B68" s="3" t="s">
        <v>88</v>
      </c>
    </row>
    <row r="69" spans="2:3" ht="19.95" customHeight="1" x14ac:dyDescent="0.3">
      <c r="C69" s="5" t="s">
        <v>89</v>
      </c>
    </row>
    <row r="70" spans="2:3" ht="48" customHeight="1" x14ac:dyDescent="0.3">
      <c r="C70" s="5" t="s">
        <v>90</v>
      </c>
    </row>
    <row r="71" spans="2:3" ht="34.049999999999997" customHeight="1" x14ac:dyDescent="0.3">
      <c r="C71" s="5" t="s">
        <v>91</v>
      </c>
    </row>
    <row r="72" spans="2:3" ht="48" customHeight="1" x14ac:dyDescent="0.3">
      <c r="C72" s="5" t="s">
        <v>92</v>
      </c>
    </row>
    <row r="74" spans="2:3" ht="15.6" x14ac:dyDescent="0.3">
      <c r="B74" s="3" t="s">
        <v>93</v>
      </c>
    </row>
    <row r="75" spans="2:3" x14ac:dyDescent="0.3">
      <c r="C75" s="12" t="s">
        <v>94</v>
      </c>
    </row>
  </sheetData>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B2:U37"/>
  <sheetViews>
    <sheetView showGridLines="0" workbookViewId="0"/>
  </sheetViews>
  <sheetFormatPr defaultRowHeight="14.4" x14ac:dyDescent="0.3"/>
  <cols>
    <col min="1" max="1" width="2" customWidth="1"/>
    <col min="2" max="2" width="30" customWidth="1"/>
    <col min="3" max="4" width="16" customWidth="1"/>
    <col min="5" max="5" width="22" customWidth="1"/>
    <col min="6" max="6" width="16" customWidth="1"/>
    <col min="7" max="7" width="14" customWidth="1"/>
    <col min="8" max="8" width="16" customWidth="1"/>
    <col min="9" max="9" width="14" customWidth="1"/>
    <col min="10" max="10" width="16" customWidth="1"/>
    <col min="11" max="11" width="14" customWidth="1"/>
    <col min="12" max="12" width="16" customWidth="1"/>
    <col min="13" max="13" width="14" customWidth="1"/>
  </cols>
  <sheetData>
    <row r="2" spans="2:21" ht="21" x14ac:dyDescent="0.3">
      <c r="B2" s="1" t="s">
        <v>95</v>
      </c>
    </row>
    <row r="3" spans="2:21" x14ac:dyDescent="0.3">
      <c r="B3" s="2" t="s">
        <v>96</v>
      </c>
    </row>
    <row r="4" spans="2:21" x14ac:dyDescent="0.3">
      <c r="B4" s="18" t="s">
        <v>97</v>
      </c>
      <c r="C4" s="19" t="str">
        <f>HYPERLINK("#Inputs!A1","Inputs")</f>
        <v>Inputs</v>
      </c>
      <c r="D4" s="19" t="str">
        <f>HYPERLINK("#'Rate Log'!A1","Rate Log")</f>
        <v>Rate Log</v>
      </c>
      <c r="E4" s="19" t="str">
        <f>HYPERLINK("#Portfolio!A1","Portfolio")</f>
        <v>Portfolio</v>
      </c>
      <c r="F4" s="19" t="str">
        <f>HYPERLINK("#'State Summary'!A1","State Summary")</f>
        <v>State Summary</v>
      </c>
      <c r="G4" s="19" t="str">
        <f>HYPERLINK("#'Program Flow'!A1","Program Flow")</f>
        <v>Program Flow</v>
      </c>
      <c r="H4" s="19" t="str">
        <f>HYPERLINK("#'Net Delivery'!A1","Net Delivery")</f>
        <v>Net Delivery</v>
      </c>
      <c r="I4" s="19" t="str">
        <f>HYPERLINK("#Bridge!A1","Bridge")</f>
        <v>Bridge</v>
      </c>
      <c r="J4" s="19" t="str">
        <f>HYPERLINK("#Walkthrough!A1","Walkthrough")</f>
        <v>Walkthrough</v>
      </c>
      <c r="K4" s="19" t="str">
        <f>HYPERLINK("#One-Pager!A1","One-Pager")</f>
        <v>One-Pager</v>
      </c>
      <c r="L4" s="19" t="str">
        <f>HYPERLINK("#'Flow Dashboard'!A1","Flow Dashboard")</f>
        <v>Flow Dashboard</v>
      </c>
      <c r="M4" s="19" t="str">
        <f>HYPERLINK("#Scenarios!A1","Scenarios")</f>
        <v>Scenarios</v>
      </c>
      <c r="N4" s="19" t="str">
        <f>HYPERLINK("#Compare!A1","Compare")</f>
        <v>Compare</v>
      </c>
      <c r="O4" s="19" t="str">
        <f>HYPERLINK("#Solver!A1","Solver")</f>
        <v>Solver</v>
      </c>
      <c r="P4" s="19" t="str">
        <f>HYPERLINK("#Attribution!A1","Attribution")</f>
        <v>Attribution</v>
      </c>
      <c r="Q4" s="19" t="str">
        <f>HYPERLINK("#'Rate Engine'!A1","Rate Engine")</f>
        <v>Rate Engine</v>
      </c>
      <c r="R4" s="19" t="str">
        <f>HYPERLINK("#'Mod Engine'!A1","Mod Engine")</f>
        <v>Mod Engine</v>
      </c>
      <c r="S4" s="19" t="str">
        <f>HYPERLINK("#Checks!A1","Checks")</f>
        <v>Checks</v>
      </c>
      <c r="T4" s="19" t="str">
        <f>HYPERLINK("#Methodology!A1","Methodology")</f>
        <v>Methodology</v>
      </c>
      <c r="U4" s="19" t="str">
        <f>HYPERLINK("#'Read Me'!A1","Read Me")</f>
        <v>Read Me</v>
      </c>
    </row>
    <row r="5" spans="2:21" ht="15.6" x14ac:dyDescent="0.3">
      <c r="B5" s="3" t="s">
        <v>98</v>
      </c>
    </row>
    <row r="6" spans="2:21" x14ac:dyDescent="0.3">
      <c r="B6" s="20" t="s">
        <v>99</v>
      </c>
      <c r="C6" s="21">
        <v>2027</v>
      </c>
      <c r="E6" s="20" t="s">
        <v>100</v>
      </c>
      <c r="F6" s="22" t="str">
        <f>$C$7&amp;"|"&amp;$C$8</f>
        <v>ABD|AZ</v>
      </c>
    </row>
    <row r="7" spans="2:21" x14ac:dyDescent="0.3">
      <c r="B7" s="20" t="s">
        <v>101</v>
      </c>
      <c r="C7" s="11" t="s">
        <v>102</v>
      </c>
      <c r="E7" s="20" t="s">
        <v>103</v>
      </c>
      <c r="F7" s="22" t="str">
        <f>IF($G$7,"yes","NO — add the row to tbl_LR")</f>
        <v>yes</v>
      </c>
      <c r="G7" s="23" t="b">
        <f>COUNTIF(lr_key,$F$6)&gt;0</f>
        <v>1</v>
      </c>
    </row>
    <row r="8" spans="2:21" x14ac:dyDescent="0.3">
      <c r="B8" s="20" t="s">
        <v>104</v>
      </c>
      <c r="C8" s="11" t="s">
        <v>105</v>
      </c>
      <c r="E8" s="20" t="s">
        <v>106</v>
      </c>
      <c r="F8" s="24">
        <f>nr_TermMonths</f>
        <v>6</v>
      </c>
    </row>
    <row r="9" spans="2:21" x14ac:dyDescent="0.3">
      <c r="B9" s="20" t="s">
        <v>107</v>
      </c>
      <c r="C9" s="13" t="s">
        <v>108</v>
      </c>
      <c r="E9" s="20" t="s">
        <v>109</v>
      </c>
      <c r="F9" s="25" t="s">
        <v>110</v>
      </c>
    </row>
    <row r="10" spans="2:21" x14ac:dyDescent="0.3">
      <c r="B10" s="26" t="str">
        <f>IF(nr_PlanYear=2027,"","NOTE: plan year differs from the generated 2027. All CALCULATIONS follow the plan year entered above; sample data and some printed notes still describe the generated book. Regenerate for a clean copy.")</f>
        <v/>
      </c>
    </row>
    <row r="11" spans="2:21" ht="15.6" x14ac:dyDescent="0.3">
      <c r="B11" s="3" t="s">
        <v>111</v>
      </c>
    </row>
    <row r="12" spans="2:21" ht="84" x14ac:dyDescent="0.3">
      <c r="B12" s="20" t="s">
        <v>112</v>
      </c>
      <c r="C12" s="11" t="s">
        <v>113</v>
      </c>
      <c r="D12" s="27" t="s">
        <v>114</v>
      </c>
    </row>
    <row r="13" spans="2:21" ht="72" x14ac:dyDescent="0.3">
      <c r="B13" s="20" t="s">
        <v>115</v>
      </c>
      <c r="C13" s="11" t="s">
        <v>116</v>
      </c>
      <c r="D13" s="28" t="s">
        <v>117</v>
      </c>
    </row>
    <row r="14" spans="2:21" x14ac:dyDescent="0.3">
      <c r="B14" s="20" t="s">
        <v>118</v>
      </c>
      <c r="C14" s="13" t="s">
        <v>119</v>
      </c>
    </row>
    <row r="15" spans="2:21" ht="108" x14ac:dyDescent="0.3">
      <c r="B15" s="20" t="s">
        <v>120</v>
      </c>
      <c r="C15" s="29">
        <v>0</v>
      </c>
      <c r="D15" s="27" t="s">
        <v>121</v>
      </c>
    </row>
    <row r="16" spans="2:21" x14ac:dyDescent="0.3">
      <c r="B16" s="30" t="str">
        <f>IF(nr_SelOK,"","WARNING: the selected BU | state has no row in tbl_LR - engines show neutral factors until a row is added.")</f>
        <v/>
      </c>
    </row>
    <row r="17" spans="2:15" ht="15.6" x14ac:dyDescent="0.3">
      <c r="B17" s="3" t="s">
        <v>122</v>
      </c>
    </row>
    <row r="18" spans="2:15" x14ac:dyDescent="0.3">
      <c r="B18" s="31" t="str">
        <f>IF(nr_BasisDisp="As input","Projected LR (as input)","Projected LR (current level)")</f>
        <v>Projected LR (as input)</v>
      </c>
      <c r="C18" s="32"/>
      <c r="D18" s="31" t="str">
        <f>"CY "&amp;nr_PlanYear&amp;" plan loss ratio"</f>
        <v>CY 2027 plan loss ratio</v>
      </c>
      <c r="E18" s="32"/>
      <c r="F18" s="31" t="str">
        <f>"CY earned rate chg vs indication"</f>
        <v>CY earned rate chg vs indication</v>
      </c>
      <c r="G18" s="32"/>
      <c r="H18" s="31" t="str">
        <f>"Carryover into "&amp;(nr_PlanYear+1)</f>
        <v>Carryover into 2028</v>
      </c>
      <c r="I18" s="32"/>
      <c r="J18" s="31" t="str">
        <f>"Written mod: current / projected"</f>
        <v>Written mod: current / projected</v>
      </c>
      <c r="K18" s="32"/>
      <c r="L18" s="31" t="str">
        <f>"Checks status"</f>
        <v>Checks status</v>
      </c>
      <c r="M18" s="32"/>
      <c r="N18" s="31" t="str">
        <f>"Book: program vs asserted"</f>
        <v>Book: program vs asserted</v>
      </c>
      <c r="O18" s="32"/>
    </row>
    <row r="19" spans="2:15" ht="21" x14ac:dyDescent="0.3">
      <c r="B19" s="33">
        <f>IF(nr_SelOK,IF(nr_BasisDisp="As input",nr_LRproj,nr_LRcur),"—")</f>
        <v>0.65</v>
      </c>
      <c r="C19" s="34"/>
      <c r="D19" s="33">
        <f>IF(nr_SelOK,nr_CYLR_P,"—")</f>
        <v>0.61816313641421827</v>
      </c>
      <c r="E19" s="34"/>
      <c r="F19" s="35">
        <f>IF(nr_SelOK,nr_EChgVsInd,"—")</f>
        <v>2.5000000000000133E-2</v>
      </c>
      <c r="G19" s="34"/>
      <c r="H19" s="35">
        <f>IF(nr_SelOK,nr_YoY_P1,"—")</f>
        <v>2.4390243902439046E-2</v>
      </c>
      <c r="I19" s="34"/>
      <c r="J19" s="36">
        <f>IF(nr_SelOK,nr_M0,"—")</f>
        <v>0.86</v>
      </c>
      <c r="K19" s="36">
        <f>IF(nr_SelOK,nr_M1,"—")</f>
        <v>0.89</v>
      </c>
      <c r="L19" s="37" t="str">
        <f>ck_overall</f>
        <v>ALL CHECKS PASS</v>
      </c>
      <c r="M19" s="34"/>
      <c r="N19" s="38">
        <f>IF(OR(SUMPRODUCT(calc_netmode)=0,SUM(calc_ep)=0),"—",(SUM(calc_w_cylr_prog)-SUM(calc_w_cylr))/SUM(calc_ep)*100)</f>
        <v>-1.0987576912330993E-2</v>
      </c>
      <c r="O19" s="34"/>
    </row>
    <row r="20" spans="2:15" x14ac:dyDescent="0.3">
      <c r="B20" s="39" t="s">
        <v>123</v>
      </c>
      <c r="C20" s="34"/>
      <c r="D20" s="39" t="s">
        <v>124</v>
      </c>
      <c r="E20" s="34"/>
      <c r="F20" s="39" t="s">
        <v>125</v>
      </c>
      <c r="G20" s="34"/>
      <c r="H20" s="39" t="s">
        <v>126</v>
      </c>
      <c r="I20" s="34"/>
      <c r="J20" s="39" t="s">
        <v>127</v>
      </c>
      <c r="K20" s="34"/>
      <c r="L20" s="39" t="s">
        <v>128</v>
      </c>
      <c r="M20" s="34"/>
      <c r="N20" s="39" t="s">
        <v>129</v>
      </c>
      <c r="O20" s="34"/>
    </row>
    <row r="22" spans="2:15" ht="15.6" x14ac:dyDescent="0.3">
      <c r="B22" s="3" t="s">
        <v>130</v>
      </c>
      <c r="F22" s="3" t="s">
        <v>131</v>
      </c>
    </row>
    <row r="23" spans="2:15" x14ac:dyDescent="0.3">
      <c r="B23" s="40" t="s">
        <v>132</v>
      </c>
      <c r="C23" s="41" t="str">
        <f>"CY "&amp;nr_PlanYear</f>
        <v>CY 2027</v>
      </c>
      <c r="D23" s="41" t="str">
        <f>"CY "&amp;(nr_PlanYear+1)&amp;" (indicative)"</f>
        <v>CY 2028 (indicative)</v>
      </c>
      <c r="F23" s="20" t="s">
        <v>133</v>
      </c>
      <c r="G23" s="25" t="str">
        <f>nr_SelKey</f>
        <v>ABD|AZ</v>
      </c>
    </row>
    <row r="24" spans="2:15" x14ac:dyDescent="0.3">
      <c r="B24" s="20" t="s">
        <v>64</v>
      </c>
      <c r="C24" s="42">
        <f>nr_ECY_P</f>
        <v>1.1299600000000001</v>
      </c>
      <c r="D24" s="42">
        <f>nr_ECY_P1</f>
        <v>1.1575200000000001</v>
      </c>
      <c r="F24" s="20" t="s">
        <v>134</v>
      </c>
      <c r="G24" s="13"/>
      <c r="I24" s="23" t="str">
        <f>IF(OR($G$24="",$G$25=""),"",$G$24&amp;"|"&amp;$G$25)</f>
        <v/>
      </c>
    </row>
    <row r="25" spans="2:15" x14ac:dyDescent="0.3">
      <c r="B25" s="20" t="s">
        <v>135</v>
      </c>
      <c r="C25" s="42">
        <f>nr_Arate_P</f>
        <v>0.97560975609756095</v>
      </c>
      <c r="D25" s="42">
        <f>nr_Arate_P1</f>
        <v>0.95238095238095233</v>
      </c>
      <c r="F25" s="20" t="s">
        <v>136</v>
      </c>
      <c r="G25" s="13"/>
      <c r="I25" s="43">
        <f>IF($I$24="",0,IF(COUNTIF(calc_key,$I$24)=0,0,MATCH($I$24,calc_key,0)))</f>
        <v>0</v>
      </c>
    </row>
    <row r="26" spans="2:15" x14ac:dyDescent="0.3">
      <c r="B26" s="20" t="s">
        <v>137</v>
      </c>
      <c r="C26" s="44">
        <f>nr_MEarned_P</f>
        <v>0.87197757111597374</v>
      </c>
      <c r="D26" s="44">
        <f>nr_MEarned_P1</f>
        <v>0.88898067104303424</v>
      </c>
      <c r="G26" s="6" t="s">
        <v>138</v>
      </c>
      <c r="H26" s="6" t="s">
        <v>139</v>
      </c>
      <c r="I26" s="6" t="s">
        <v>140</v>
      </c>
    </row>
    <row r="27" spans="2:15" x14ac:dyDescent="0.3">
      <c r="B27" s="20" t="s">
        <v>141</v>
      </c>
      <c r="C27" s="42">
        <f>nr_Amod_P</f>
        <v>0.97479571511472884</v>
      </c>
      <c r="D27" s="42">
        <f>nr_Amod_P1</f>
        <v>0.95615127267356836</v>
      </c>
      <c r="F27" s="20" t="s">
        <v>142</v>
      </c>
      <c r="G27" s="45">
        <f>IF(nr_SelOK,nr_LRcur,"—")</f>
        <v>0.65</v>
      </c>
      <c r="H27" s="46" t="str">
        <f>IF($I$25=0,"—",INDEX(calc_lrcur,$I$25))</f>
        <v>—</v>
      </c>
      <c r="I27" s="47" t="str">
        <f t="shared" ref="I27:I34" si="0">IF(OR($I$25=0,NOT(nr_SelOK)),"",IF(AND(ISNUMBER($G27),ISNUMBER($H27)),$H27-$G27,""))</f>
        <v/>
      </c>
    </row>
    <row r="28" spans="2:15" x14ac:dyDescent="0.3">
      <c r="B28" s="20" t="s">
        <v>143</v>
      </c>
      <c r="C28" s="48">
        <f>nr_YoY_P</f>
        <v>7.0443349753694706E-2</v>
      </c>
      <c r="D28" s="48">
        <f>nr_YoY_P1</f>
        <v>2.4390243902439046E-2</v>
      </c>
      <c r="F28" s="20" t="str">
        <f>"CY "&amp;nr_PlanYear&amp;" plan LR"</f>
        <v>CY 2027 plan LR</v>
      </c>
      <c r="G28" s="45">
        <f>IF(nr_SelOK,nr_CYLR_P,"—")</f>
        <v>0.61816313641421827</v>
      </c>
      <c r="H28" s="46" t="str">
        <f>IF($I$25=0,"—",INDEX(calc_cylr_p,$I$25))</f>
        <v>—</v>
      </c>
      <c r="I28" s="47" t="str">
        <f t="shared" si="0"/>
        <v/>
      </c>
    </row>
    <row r="29" spans="2:15" x14ac:dyDescent="0.3">
      <c r="B29" s="20" t="s">
        <v>144</v>
      </c>
      <c r="C29" s="49">
        <f>nr_CYLR_P</f>
        <v>0.61816313641421827</v>
      </c>
      <c r="D29" s="49">
        <f>nr_CYLR_P1</f>
        <v>0.59190316879792326</v>
      </c>
      <c r="F29" s="20" t="s">
        <v>66</v>
      </c>
      <c r="G29" s="42">
        <f>IF(nr_SelOK,nr_Arate_P,"—")</f>
        <v>0.97560975609756095</v>
      </c>
      <c r="H29" s="50" t="str">
        <f>IF($I$25=0,"—",INDEX(calc_arate_p,$I$25))</f>
        <v>—</v>
      </c>
      <c r="I29" s="47" t="str">
        <f t="shared" si="0"/>
        <v/>
      </c>
    </row>
    <row r="30" spans="2:15" x14ac:dyDescent="0.3">
      <c r="B30" s="51" t="s">
        <v>145</v>
      </c>
      <c r="F30" s="20" t="s">
        <v>146</v>
      </c>
      <c r="G30" s="42">
        <f>IF(nr_SelOK,nr_Amod_P,"—")</f>
        <v>0.97479571511472884</v>
      </c>
      <c r="H30" s="50" t="str">
        <f>IF($I$25=0,"—",INDEX(calc_amod_p,$I$25))</f>
        <v>—</v>
      </c>
      <c r="I30" s="47" t="str">
        <f t="shared" si="0"/>
        <v/>
      </c>
    </row>
    <row r="31" spans="2:15" x14ac:dyDescent="0.3">
      <c r="F31" s="20" t="s">
        <v>64</v>
      </c>
      <c r="G31" s="42">
        <f>IF(nr_SelOK,nr_ECY_P,"—")</f>
        <v>1.1299600000000001</v>
      </c>
      <c r="H31" s="50" t="str">
        <f>IF($I$25=0,"—",INDEX(calc_ecy_p,$I$25))</f>
        <v>—</v>
      </c>
      <c r="I31" s="47" t="str">
        <f t="shared" si="0"/>
        <v/>
      </c>
    </row>
    <row r="32" spans="2:15" ht="15.6" x14ac:dyDescent="0.3">
      <c r="B32" s="3" t="s">
        <v>147</v>
      </c>
      <c r="F32" s="20" t="s">
        <v>62</v>
      </c>
      <c r="G32" s="42">
        <f>IF(nr_SelOK,nr_CRLind,"—")</f>
        <v>1.1024</v>
      </c>
      <c r="H32" s="50" t="str">
        <f>IF($I$25=0,"—",INDEX(calc_crl,$I$25))</f>
        <v>—</v>
      </c>
      <c r="I32" s="47" t="str">
        <f t="shared" si="0"/>
        <v/>
      </c>
    </row>
    <row r="33" spans="2:9" x14ac:dyDescent="0.3">
      <c r="B33" s="20" t="s">
        <v>107</v>
      </c>
      <c r="C33" s="52" t="str">
        <f>nr_SelScenario</f>
        <v>Base</v>
      </c>
      <c r="F33" s="20" t="str">
        <f>"Carryover into "&amp;(nr_PlanYear+1)</f>
        <v>Carryover into 2028</v>
      </c>
      <c r="G33" s="48">
        <f>IF(nr_SelOK,nr_YoY_P1,"—")</f>
        <v>2.4390243902439046E-2</v>
      </c>
      <c r="H33" s="53" t="str">
        <f>IF($I$25=0,"—",INDEX(calc_carry,$I$25))</f>
        <v>—</v>
      </c>
      <c r="I33" s="47" t="str">
        <f t="shared" si="0"/>
        <v/>
      </c>
    </row>
    <row r="34" spans="2:9" x14ac:dyDescent="0.3">
      <c r="B34" s="20" t="s">
        <v>148</v>
      </c>
      <c r="C34" s="49">
        <f>INDEX(sc_res_cylr,MATCH(nr_SelScenario,sc_res_names,0))</f>
        <v>0.61816313641421827</v>
      </c>
      <c r="F34" s="20" t="str">
        <f>"CY "&amp;(nr_PlanYear+1)&amp;" plan LR"</f>
        <v>CY 2028 plan LR</v>
      </c>
      <c r="G34" s="45">
        <f>IF(nr_SelOK,nr_CYLR_P1,"—")</f>
        <v>0.59190316879792326</v>
      </c>
      <c r="H34" s="46" t="str">
        <f>IF($I$25=0,"—",INDEX(calc_cylr_p1,$I$25))</f>
        <v>—</v>
      </c>
      <c r="I34" s="47" t="str">
        <f t="shared" si="0"/>
        <v/>
      </c>
    </row>
    <row r="35" spans="2:9" x14ac:dyDescent="0.3">
      <c r="B35" s="20" t="s">
        <v>149</v>
      </c>
      <c r="C35" s="54">
        <f>(INDEX(sc_res_cylr,MATCH(nr_SelScenario,sc_res_names,0))-nr_CYLR_P)*100</f>
        <v>0</v>
      </c>
      <c r="F35" s="51" t="s">
        <v>150</v>
      </c>
    </row>
    <row r="37" spans="2:9" ht="48" x14ac:dyDescent="0.3">
      <c r="B37" s="27" t="s">
        <v>151</v>
      </c>
    </row>
  </sheetData>
  <conditionalFormatting sqref="L19">
    <cfRule type="cellIs" dxfId="20" priority="1" operator="equal">
      <formula>"ALL CHECKS PASS"</formula>
    </cfRule>
    <cfRule type="cellIs" dxfId="19" priority="2" operator="notEqual">
      <formula>"ALL CHECKS PASS"</formula>
    </cfRule>
  </conditionalFormatting>
  <dataValidations count="9">
    <dataValidation type="list" allowBlank="1" sqref="G24" xr:uid="{00000000-0002-0000-0100-000000000000}">
      <formula1>lst_bu</formula1>
    </dataValidation>
    <dataValidation type="list" allowBlank="1" sqref="G25" xr:uid="{00000000-0002-0000-0100-000001000000}">
      <formula1>lst_state</formula1>
    </dataValidation>
    <dataValidation type="list" allowBlank="1" showErrorMessage="1" sqref="C7" xr:uid="{00000000-0002-0000-0100-000002000000}">
      <formula1>lst_bu</formula1>
    </dataValidation>
    <dataValidation type="list" allowBlank="1" showErrorMessage="1" sqref="C8" xr:uid="{00000000-0002-0000-0100-000003000000}">
      <formula1>lst_state</formula1>
    </dataValidation>
    <dataValidation type="list" allowBlank="1" showErrorMessage="1" sqref="C9" xr:uid="{00000000-0002-0000-0100-000004000000}">
      <formula1>lst_scenario</formula1>
    </dataValidation>
    <dataValidation type="list" allowBlank="1" showErrorMessage="1" sqref="C12 C13" xr:uid="{00000000-0002-0000-0100-000005000000}">
      <formula1>lst_onoff</formula1>
    </dataValidation>
    <dataValidation type="list" allowBlank="1" showErrorMessage="1" sqref="C14" xr:uid="{00000000-0002-0000-0100-000006000000}">
      <formula1>lst_basisdisp</formula1>
    </dataValidation>
    <dataValidation type="whole" allowBlank="1" showErrorMessage="1" error="Plan year must be a 4-digit year." sqref="C6" xr:uid="{00000000-0002-0000-0100-000007000000}">
      <formula1>2000</formula1>
      <formula2>2100</formula2>
    </dataValidation>
    <dataValidation type="decimal" allowBlank="1" showErrorMessage="1" error="Enter a decimal fraction between -50% and +100%." sqref="C15" xr:uid="{00000000-0002-0000-0100-000008000000}">
      <formula1>-0.5</formula1>
      <formula2>1</formula2>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Y108"/>
  <sheetViews>
    <sheetView workbookViewId="0">
      <pane xSplit="2" ySplit="11" topLeftCell="C12" activePane="bottomRight" state="frozen"/>
      <selection pane="topRight"/>
      <selection pane="bottomLeft"/>
      <selection pane="bottomRight"/>
    </sheetView>
  </sheetViews>
  <sheetFormatPr defaultRowHeight="14.4" x14ac:dyDescent="0.3"/>
  <cols>
    <col min="1" max="1" width="9" customWidth="1"/>
    <col min="2" max="13" width="7" customWidth="1"/>
    <col min="14" max="14" width="9" customWidth="1"/>
    <col min="15" max="15" width="18" customWidth="1"/>
    <col min="16" max="16" width="11" customWidth="1"/>
    <col min="17" max="18" width="12" customWidth="1"/>
    <col min="22" max="22" width="13" customWidth="1"/>
    <col min="23" max="23" width="12" customWidth="1"/>
    <col min="24" max="25" width="11" customWidth="1"/>
  </cols>
  <sheetData>
    <row r="1" spans="1:25" ht="21" x14ac:dyDescent="0.3">
      <c r="A1" s="1" t="s">
        <v>152</v>
      </c>
    </row>
    <row r="2" spans="1:25" x14ac:dyDescent="0.3">
      <c r="A2" s="2" t="s">
        <v>153</v>
      </c>
    </row>
    <row r="3" spans="1:25" x14ac:dyDescent="0.3">
      <c r="A3" s="6" t="s">
        <v>154</v>
      </c>
      <c r="C3" s="19" t="str">
        <f>HYPERLINK("#Control!A1","Control")</f>
        <v>Control</v>
      </c>
      <c r="E3" s="19" t="str">
        <f>HYPERLINK("#'Rate Log'!A1","Rate Log")</f>
        <v>Rate Log</v>
      </c>
      <c r="G3" s="19" t="str">
        <f>HYPERLINK("#Bridge!A1","Bridge")</f>
        <v>Bridge</v>
      </c>
      <c r="I3" s="19" t="str">
        <f>HYPERLINK("#'State Summary'!A1","State Summary")</f>
        <v>State Summary</v>
      </c>
      <c r="K3" s="19" t="str">
        <f>HYPERLINK("#Checks!A1","Checks")</f>
        <v>Checks</v>
      </c>
      <c r="M3" s="19" t="str">
        <f>HYPERLINK("#'Read Me'!A1","Read Me")</f>
        <v>Read Me</v>
      </c>
    </row>
    <row r="4" spans="1:25" x14ac:dyDescent="0.3">
      <c r="A4" s="55" t="s">
        <v>155</v>
      </c>
      <c r="T4" s="51" t="s">
        <v>156</v>
      </c>
    </row>
    <row r="6" spans="1:25" ht="15.6" x14ac:dyDescent="0.3">
      <c r="A6" s="3" t="s">
        <v>157</v>
      </c>
    </row>
    <row r="7" spans="1:25" x14ac:dyDescent="0.3">
      <c r="A7" s="20" t="s">
        <v>109</v>
      </c>
      <c r="B7" s="25" t="s">
        <v>110</v>
      </c>
    </row>
    <row r="8" spans="1:25" x14ac:dyDescent="0.3">
      <c r="A8" s="20" t="s">
        <v>106</v>
      </c>
      <c r="B8" s="21">
        <v>6</v>
      </c>
      <c r="C8" s="51" t="s">
        <v>158</v>
      </c>
    </row>
    <row r="10" spans="1:25" ht="15.6" x14ac:dyDescent="0.3">
      <c r="A10" s="3" t="s">
        <v>159</v>
      </c>
      <c r="T10" s="51" t="s">
        <v>160</v>
      </c>
      <c r="V10" s="51" t="s">
        <v>161</v>
      </c>
    </row>
    <row r="11" spans="1:25" ht="43.95" customHeight="1" x14ac:dyDescent="0.3">
      <c r="A11" s="56" t="s">
        <v>162</v>
      </c>
      <c r="B11" s="56" t="s">
        <v>104</v>
      </c>
      <c r="C11" s="56" t="s">
        <v>163</v>
      </c>
      <c r="D11" s="56" t="s">
        <v>164</v>
      </c>
      <c r="E11" s="56" t="s">
        <v>165</v>
      </c>
      <c r="F11" s="56" t="s">
        <v>166</v>
      </c>
      <c r="G11" s="56" t="s">
        <v>167</v>
      </c>
      <c r="H11" s="56" t="s">
        <v>168</v>
      </c>
      <c r="I11" s="56" t="s">
        <v>169</v>
      </c>
      <c r="J11" s="56" t="s">
        <v>170</v>
      </c>
      <c r="K11" s="56" t="s">
        <v>171</v>
      </c>
      <c r="L11" s="56" t="s">
        <v>172</v>
      </c>
      <c r="M11" s="56" t="s">
        <v>173</v>
      </c>
      <c r="N11" s="56" t="s">
        <v>174</v>
      </c>
      <c r="O11" s="56" t="s">
        <v>175</v>
      </c>
      <c r="P11" s="56" t="s">
        <v>176</v>
      </c>
      <c r="Q11" s="56" t="s">
        <v>177</v>
      </c>
      <c r="R11" s="56" t="s">
        <v>178</v>
      </c>
      <c r="T11" s="57" t="s">
        <v>179</v>
      </c>
      <c r="V11" s="58" t="s">
        <v>180</v>
      </c>
      <c r="W11" s="58" t="s">
        <v>181</v>
      </c>
      <c r="X11" s="58" t="s">
        <v>66</v>
      </c>
      <c r="Y11" s="58" t="s">
        <v>146</v>
      </c>
    </row>
    <row r="12" spans="1:25" x14ac:dyDescent="0.3">
      <c r="A12" s="11" t="s">
        <v>102</v>
      </c>
      <c r="B12" s="11" t="s">
        <v>105</v>
      </c>
      <c r="C12" s="29">
        <v>0.65</v>
      </c>
      <c r="D12" s="11" t="s">
        <v>182</v>
      </c>
      <c r="E12" s="59">
        <v>0.05</v>
      </c>
      <c r="F12" s="60">
        <v>0.85</v>
      </c>
      <c r="G12" s="60">
        <v>0.86</v>
      </c>
      <c r="H12" s="61">
        <v>46295</v>
      </c>
      <c r="I12" s="60">
        <v>0.89</v>
      </c>
      <c r="J12" s="62"/>
      <c r="K12" s="62"/>
      <c r="L12" s="63">
        <v>6400</v>
      </c>
      <c r="M12" s="59"/>
      <c r="N12" s="64">
        <v>1</v>
      </c>
      <c r="O12" s="13"/>
      <c r="P12" s="11" t="s">
        <v>116</v>
      </c>
      <c r="Q12" s="59"/>
      <c r="R12" s="59"/>
      <c r="T12" s="65" t="str">
        <f t="shared" ref="T12:T43" si="0">IF(OR($A12="",$B12=""),"",$A12&amp;"|"&amp;$B12)</f>
        <v>ABD|AZ</v>
      </c>
      <c r="V12" s="66">
        <f>IF($T12="","",INDEX(calc_cylr_p,1))</f>
        <v>0.61816313641421827</v>
      </c>
      <c r="W12" s="67">
        <f>IF($T12="","",(INDEX(calc_cylr_p,1)-INDEX(calc_lrcur,1))*100)</f>
        <v>-3.1836863585781749</v>
      </c>
      <c r="X12" s="68">
        <f>IF($T12="","",INDEX(calc_arate_p,1))</f>
        <v>0.97560975609756095</v>
      </c>
      <c r="Y12" s="68">
        <f>IF($T12="","",INDEX(calc_amod_p,1))</f>
        <v>0.97479571511472884</v>
      </c>
    </row>
    <row r="13" spans="1:25" x14ac:dyDescent="0.3">
      <c r="A13" s="11" t="s">
        <v>102</v>
      </c>
      <c r="B13" s="11" t="s">
        <v>183</v>
      </c>
      <c r="C13" s="29">
        <v>0.58799999999999997</v>
      </c>
      <c r="D13" s="11" t="s">
        <v>182</v>
      </c>
      <c r="E13" s="59">
        <v>0.05</v>
      </c>
      <c r="F13" s="60">
        <v>0.92</v>
      </c>
      <c r="G13" s="60">
        <v>0.91</v>
      </c>
      <c r="H13" s="61">
        <v>46295</v>
      </c>
      <c r="I13" s="60">
        <v>0.91500000000000004</v>
      </c>
      <c r="J13" s="62"/>
      <c r="K13" s="62"/>
      <c r="L13" s="63">
        <v>16800</v>
      </c>
      <c r="M13" s="59"/>
      <c r="N13" s="64">
        <v>1</v>
      </c>
      <c r="O13" s="13"/>
      <c r="P13" s="11" t="s">
        <v>116</v>
      </c>
      <c r="Q13" s="59"/>
      <c r="R13" s="59"/>
      <c r="T13" s="65" t="str">
        <f t="shared" si="0"/>
        <v>ABD|CO</v>
      </c>
      <c r="V13" s="66">
        <f>IF($T13="","",INDEX(calc_cylr_p,2))</f>
        <v>0.57775356429499869</v>
      </c>
      <c r="W13" s="67">
        <f>IF($T13="","",(INDEX(calc_cylr_p,2)-INDEX(calc_lrcur,2))*100)</f>
        <v>-1.0246435705001278</v>
      </c>
      <c r="X13" s="68">
        <f>IF($T13="","",INDEX(calc_arate_p,2))</f>
        <v>0.9740259740259738</v>
      </c>
      <c r="Y13" s="68">
        <f>IF($T13="","",INDEX(calc_amod_p,2))</f>
        <v>1.0087760646420616</v>
      </c>
    </row>
    <row r="14" spans="1:25" x14ac:dyDescent="0.3">
      <c r="A14" s="11" t="s">
        <v>102</v>
      </c>
      <c r="B14" s="11" t="s">
        <v>184</v>
      </c>
      <c r="C14" s="29">
        <v>0.57199999999999995</v>
      </c>
      <c r="D14" s="11" t="s">
        <v>182</v>
      </c>
      <c r="E14" s="59">
        <v>0.05</v>
      </c>
      <c r="F14" s="60">
        <v>0.92</v>
      </c>
      <c r="G14" s="60">
        <v>0.91</v>
      </c>
      <c r="H14" s="61">
        <v>46295</v>
      </c>
      <c r="I14" s="60">
        <v>0.93</v>
      </c>
      <c r="J14" s="62"/>
      <c r="K14" s="62"/>
      <c r="L14" s="63">
        <v>13600</v>
      </c>
      <c r="M14" s="59"/>
      <c r="N14" s="64">
        <v>1</v>
      </c>
      <c r="O14" s="13"/>
      <c r="P14" s="11" t="s">
        <v>116</v>
      </c>
      <c r="Q14" s="59"/>
      <c r="R14" s="59"/>
      <c r="T14" s="65" t="str">
        <f t="shared" si="0"/>
        <v>ABD|DE</v>
      </c>
      <c r="V14" s="66">
        <f>IF($T14="","",INDEX(calc_cylr_p,3))</f>
        <v>0.57325552467805407</v>
      </c>
      <c r="W14" s="67">
        <f>IF($T14="","",(INDEX(calc_cylr_p,3)-INDEX(calc_lrcur,3))*100)</f>
        <v>0.12555246780541207</v>
      </c>
      <c r="X14" s="68">
        <f>IF($T14="","",INDEX(calc_arate_p,3))</f>
        <v>1</v>
      </c>
      <c r="Y14" s="68">
        <f>IF($T14="","",INDEX(calc_amod_p,3))</f>
        <v>1.0021949732133812</v>
      </c>
    </row>
    <row r="15" spans="1:25" x14ac:dyDescent="0.3">
      <c r="A15" s="11" t="s">
        <v>102</v>
      </c>
      <c r="B15" s="11" t="s">
        <v>185</v>
      </c>
      <c r="C15" s="29">
        <v>0.6</v>
      </c>
      <c r="D15" s="11" t="s">
        <v>182</v>
      </c>
      <c r="E15" s="59">
        <v>0.05</v>
      </c>
      <c r="F15" s="60">
        <v>0.92</v>
      </c>
      <c r="G15" s="60">
        <v>0.92</v>
      </c>
      <c r="H15" s="61">
        <v>46295</v>
      </c>
      <c r="I15" s="60">
        <v>0.92</v>
      </c>
      <c r="J15" s="62"/>
      <c r="K15" s="62"/>
      <c r="L15" s="63">
        <v>10400</v>
      </c>
      <c r="M15" s="59"/>
      <c r="N15" s="64">
        <v>1</v>
      </c>
      <c r="O15" s="13"/>
      <c r="P15" s="11" t="s">
        <v>113</v>
      </c>
      <c r="Q15" s="59"/>
      <c r="R15" s="59"/>
      <c r="T15" s="65" t="str">
        <f t="shared" si="0"/>
        <v>ABD|FL</v>
      </c>
      <c r="V15" s="66">
        <f>IF($T15="","",INDEX(calc_cylr_p,4))</f>
        <v>0.6</v>
      </c>
      <c r="W15" s="67">
        <f>IF($T15="","",(INDEX(calc_cylr_p,4)-INDEX(calc_lrcur,4))*100)</f>
        <v>0</v>
      </c>
      <c r="X15" s="68">
        <f>IF($T15="","",INDEX(calc_arate_p,4))</f>
        <v>1</v>
      </c>
      <c r="Y15" s="68">
        <f>IF($T15="","",INDEX(calc_amod_p,4))</f>
        <v>1</v>
      </c>
    </row>
    <row r="16" spans="1:25" x14ac:dyDescent="0.3">
      <c r="A16" s="11" t="s">
        <v>102</v>
      </c>
      <c r="B16" s="11" t="s">
        <v>186</v>
      </c>
      <c r="C16" s="29">
        <v>0.58399999999999996</v>
      </c>
      <c r="D16" s="11" t="s">
        <v>182</v>
      </c>
      <c r="E16" s="59">
        <v>0.05</v>
      </c>
      <c r="F16" s="60">
        <v>0.92</v>
      </c>
      <c r="G16" s="60">
        <v>0.91</v>
      </c>
      <c r="H16" s="61">
        <v>46295</v>
      </c>
      <c r="I16" s="60">
        <v>0.92500000000000004</v>
      </c>
      <c r="J16" s="62"/>
      <c r="K16" s="62"/>
      <c r="L16" s="63">
        <v>7200</v>
      </c>
      <c r="M16" s="59"/>
      <c r="N16" s="64">
        <v>1</v>
      </c>
      <c r="O16" s="13"/>
      <c r="P16" s="11" t="s">
        <v>116</v>
      </c>
      <c r="Q16" s="59"/>
      <c r="R16" s="59"/>
      <c r="T16" s="65" t="str">
        <f t="shared" si="0"/>
        <v>ABD|GA</v>
      </c>
      <c r="V16" s="66">
        <f>IF($T16="","",INDEX(calc_cylr_p,5))</f>
        <v>0.58655739946937091</v>
      </c>
      <c r="W16" s="67">
        <f>IF($T16="","",(INDEX(calc_cylr_p,5)-INDEX(calc_lrcur,5))*100)</f>
        <v>0.25573994693709468</v>
      </c>
      <c r="X16" s="68">
        <f>IF($T16="","",INDEX(calc_arate_p,5))</f>
        <v>0.99999999999999978</v>
      </c>
      <c r="Y16" s="68">
        <f>IF($T16="","",INDEX(calc_amod_p,5))</f>
        <v>1.0043791086804299</v>
      </c>
    </row>
    <row r="17" spans="1:25" x14ac:dyDescent="0.3">
      <c r="A17" s="11" t="s">
        <v>102</v>
      </c>
      <c r="B17" s="11" t="s">
        <v>187</v>
      </c>
      <c r="C17" s="29">
        <v>0.56799999999999995</v>
      </c>
      <c r="D17" s="11" t="s">
        <v>182</v>
      </c>
      <c r="E17" s="59">
        <v>0.05</v>
      </c>
      <c r="F17" s="60">
        <v>0.92</v>
      </c>
      <c r="G17" s="60">
        <v>0.91</v>
      </c>
      <c r="H17" s="61">
        <v>46295</v>
      </c>
      <c r="I17" s="60">
        <v>0.90500000000000003</v>
      </c>
      <c r="J17" s="62">
        <v>0.9</v>
      </c>
      <c r="K17" s="62">
        <v>0.91</v>
      </c>
      <c r="L17" s="63">
        <v>17600</v>
      </c>
      <c r="M17" s="59"/>
      <c r="N17" s="64">
        <v>1</v>
      </c>
      <c r="O17" s="13"/>
      <c r="P17" s="11" t="s">
        <v>116</v>
      </c>
      <c r="Q17" s="59"/>
      <c r="R17" s="59"/>
      <c r="T17" s="65" t="str">
        <f t="shared" si="0"/>
        <v>ABD|IA</v>
      </c>
      <c r="V17" s="66">
        <f>IF($T17="","",INDEX(calc_cylr_p,6))</f>
        <v>0.56797977748384532</v>
      </c>
      <c r="W17" s="67">
        <f>IF($T17="","",(INDEX(calc_cylr_p,6)-INDEX(calc_lrcur,6))*100)</f>
        <v>-2.0222516154633219E-3</v>
      </c>
      <c r="X17" s="68">
        <f>IF($T17="","",INDEX(calc_arate_p,6))</f>
        <v>0.9868421052631583</v>
      </c>
      <c r="Y17" s="68">
        <f>IF($T17="","",INDEX(calc_amod_p,6))</f>
        <v>1.013297255604982</v>
      </c>
    </row>
    <row r="18" spans="1:25" x14ac:dyDescent="0.3">
      <c r="A18" s="11" t="s">
        <v>102</v>
      </c>
      <c r="B18" s="11" t="s">
        <v>188</v>
      </c>
      <c r="C18" s="29">
        <v>0.59599999999999997</v>
      </c>
      <c r="D18" s="11" t="s">
        <v>182</v>
      </c>
      <c r="E18" s="59">
        <v>0.05</v>
      </c>
      <c r="F18" s="60">
        <v>0.92</v>
      </c>
      <c r="G18" s="60">
        <v>0.91</v>
      </c>
      <c r="H18" s="61">
        <v>46295</v>
      </c>
      <c r="I18" s="60">
        <v>0.92</v>
      </c>
      <c r="J18" s="62"/>
      <c r="K18" s="62"/>
      <c r="L18" s="63">
        <v>14400</v>
      </c>
      <c r="M18" s="59"/>
      <c r="N18" s="64">
        <v>1</v>
      </c>
      <c r="O18" s="13"/>
      <c r="P18" s="11" t="s">
        <v>116</v>
      </c>
      <c r="Q18" s="59"/>
      <c r="R18" s="59"/>
      <c r="T18" s="65" t="str">
        <f t="shared" si="0"/>
        <v>ABD|IL</v>
      </c>
      <c r="V18" s="66">
        <f>IF($T18="","",INDEX(calc_cylr_p,7))</f>
        <v>0.59991737982397431</v>
      </c>
      <c r="W18" s="67">
        <f>IF($T18="","",(INDEX(calc_cylr_p,7)-INDEX(calc_lrcur,7))*100)</f>
        <v>0.39173798239743318</v>
      </c>
      <c r="X18" s="68">
        <f>IF($T18="","",INDEX(calc_arate_p,7))</f>
        <v>1</v>
      </c>
      <c r="Y18" s="68">
        <f>IF($T18="","",INDEX(calc_amod_p,7))</f>
        <v>1.0065727849395543</v>
      </c>
    </row>
    <row r="19" spans="1:25" x14ac:dyDescent="0.3">
      <c r="A19" s="11" t="s">
        <v>102</v>
      </c>
      <c r="B19" s="11" t="s">
        <v>189</v>
      </c>
      <c r="C19" s="29">
        <v>0.57999999999999996</v>
      </c>
      <c r="D19" s="11" t="s">
        <v>182</v>
      </c>
      <c r="E19" s="59">
        <v>0.05</v>
      </c>
      <c r="F19" s="60">
        <v>0.92</v>
      </c>
      <c r="G19" s="60">
        <v>0.91</v>
      </c>
      <c r="H19" s="61">
        <v>46295</v>
      </c>
      <c r="I19" s="60">
        <v>0.9</v>
      </c>
      <c r="J19" s="62"/>
      <c r="K19" s="62"/>
      <c r="L19" s="63">
        <v>11200</v>
      </c>
      <c r="M19" s="59"/>
      <c r="N19" s="64">
        <v>1</v>
      </c>
      <c r="O19" s="13"/>
      <c r="P19" s="11" t="s">
        <v>116</v>
      </c>
      <c r="Q19" s="59"/>
      <c r="R19" s="59"/>
      <c r="T19" s="65" t="str">
        <f t="shared" si="0"/>
        <v>ABD|IN</v>
      </c>
      <c r="V19" s="66">
        <f>IF($T19="","",INDEX(calc_cylr_p,8))</f>
        <v>0.58911496142080233</v>
      </c>
      <c r="W19" s="67">
        <f>IF($T19="","",(INDEX(calc_cylr_p,8)-INDEX(calc_lrcur,8))*100)</f>
        <v>0.91149614208023699</v>
      </c>
      <c r="X19" s="68">
        <f>IF($T19="","",INDEX(calc_arate_p,8))</f>
        <v>1.0002671653753676</v>
      </c>
      <c r="Y19" s="68">
        <f>IF($T19="","",INDEX(calc_amod_p,8))</f>
        <v>1.0154441592055623</v>
      </c>
    </row>
    <row r="20" spans="1:25" x14ac:dyDescent="0.3">
      <c r="A20" s="11" t="s">
        <v>102</v>
      </c>
      <c r="B20" s="11" t="s">
        <v>190</v>
      </c>
      <c r="C20" s="29">
        <v>0.56399999999999995</v>
      </c>
      <c r="D20" s="11" t="s">
        <v>182</v>
      </c>
      <c r="E20" s="59">
        <v>0.05</v>
      </c>
      <c r="F20" s="60">
        <v>0.92</v>
      </c>
      <c r="G20" s="60">
        <v>0.91</v>
      </c>
      <c r="H20" s="61">
        <v>46295</v>
      </c>
      <c r="I20" s="60">
        <v>0.91500000000000004</v>
      </c>
      <c r="J20" s="62"/>
      <c r="K20" s="62"/>
      <c r="L20" s="63">
        <v>8000</v>
      </c>
      <c r="M20" s="59"/>
      <c r="N20" s="64">
        <v>1</v>
      </c>
      <c r="O20" s="13"/>
      <c r="P20" s="11" t="s">
        <v>116</v>
      </c>
      <c r="Q20" s="59"/>
      <c r="R20" s="59"/>
      <c r="T20" s="65" t="str">
        <f t="shared" si="0"/>
        <v>ABD|KY</v>
      </c>
      <c r="V20" s="66">
        <f>IF($T20="","",INDEX(calc_cylr_p,9))</f>
        <v>0.56894970045812265</v>
      </c>
      <c r="W20" s="67">
        <f>IF($T20="","",(INDEX(calc_cylr_p,9)-INDEX(calc_lrcur,9))*100)</f>
        <v>0.49497004581227078</v>
      </c>
      <c r="X20" s="68">
        <f>IF($T20="","",INDEX(calc_arate_p,9))</f>
        <v>1</v>
      </c>
      <c r="Y20" s="68">
        <f>IF($T20="","",INDEX(calc_amod_p,9))</f>
        <v>1.0087760646420616</v>
      </c>
    </row>
    <row r="21" spans="1:25" x14ac:dyDescent="0.3">
      <c r="A21" s="11" t="s">
        <v>102</v>
      </c>
      <c r="B21" s="11" t="s">
        <v>191</v>
      </c>
      <c r="C21" s="29">
        <v>0.59199999999999997</v>
      </c>
      <c r="D21" s="11" t="s">
        <v>182</v>
      </c>
      <c r="E21" s="59">
        <v>0.05</v>
      </c>
      <c r="F21" s="60">
        <v>0.92</v>
      </c>
      <c r="G21" s="60">
        <v>0.91</v>
      </c>
      <c r="H21" s="61">
        <v>46295</v>
      </c>
      <c r="I21" s="60">
        <v>0.93</v>
      </c>
      <c r="J21" s="62"/>
      <c r="K21" s="62"/>
      <c r="L21" s="63">
        <v>18400</v>
      </c>
      <c r="M21" s="59"/>
      <c r="N21" s="64">
        <v>1</v>
      </c>
      <c r="O21" s="13"/>
      <c r="P21" s="11" t="s">
        <v>116</v>
      </c>
      <c r="Q21" s="59"/>
      <c r="R21" s="59"/>
      <c r="T21" s="65" t="str">
        <f t="shared" si="0"/>
        <v>ABD|MD</v>
      </c>
      <c r="V21" s="66">
        <f>IF($T21="","",INDEX(calc_cylr_p,10))</f>
        <v>0.59391575180929357</v>
      </c>
      <c r="W21" s="67">
        <f>IF($T21="","",(INDEX(calc_cylr_p,10)-INDEX(calc_lrcur,10))*100)</f>
        <v>0.19157518092935977</v>
      </c>
      <c r="X21" s="68">
        <f>IF($T21="","",INDEX(calc_arate_p,10))</f>
        <v>1.0010388138634432</v>
      </c>
      <c r="Y21" s="68">
        <f>IF($T21="","",INDEX(calc_amod_p,10))</f>
        <v>1.0021949732133812</v>
      </c>
    </row>
    <row r="22" spans="1:25" x14ac:dyDescent="0.3">
      <c r="A22" s="11" t="s">
        <v>102</v>
      </c>
      <c r="B22" s="11" t="s">
        <v>192</v>
      </c>
      <c r="C22" s="29">
        <v>0.57599999999999996</v>
      </c>
      <c r="D22" s="11" t="s">
        <v>182</v>
      </c>
      <c r="E22" s="59">
        <v>0.05</v>
      </c>
      <c r="F22" s="60">
        <v>0.92</v>
      </c>
      <c r="G22" s="60">
        <v>0.91</v>
      </c>
      <c r="H22" s="61">
        <v>46295</v>
      </c>
      <c r="I22" s="60">
        <v>0.91</v>
      </c>
      <c r="J22" s="62"/>
      <c r="K22" s="62"/>
      <c r="L22" s="63">
        <v>15200</v>
      </c>
      <c r="M22" s="59"/>
      <c r="N22" s="64">
        <v>1</v>
      </c>
      <c r="O22" s="13"/>
      <c r="P22" s="11" t="s">
        <v>116</v>
      </c>
      <c r="Q22" s="59"/>
      <c r="R22" s="59"/>
      <c r="T22" s="65" t="str">
        <f t="shared" si="0"/>
        <v>ABD|MI</v>
      </c>
      <c r="V22" s="66">
        <f>IF($T22="","",INDEX(calc_cylr_p,11))</f>
        <v>0.58360113249196222</v>
      </c>
      <c r="W22" s="67">
        <f>IF($T22="","",(INDEX(calc_cylr_p,11)-INDEX(calc_lrcur,11))*100)</f>
        <v>0.76011324919622592</v>
      </c>
      <c r="X22" s="68">
        <f>IF($T22="","",INDEX(calc_arate_p,11))</f>
        <v>1.0021834061135371</v>
      </c>
      <c r="Y22" s="68">
        <f>IF($T22="","",INDEX(calc_amod_p,11))</f>
        <v>1.0109890109890112</v>
      </c>
    </row>
    <row r="23" spans="1:25" x14ac:dyDescent="0.3">
      <c r="A23" s="11" t="s">
        <v>102</v>
      </c>
      <c r="B23" s="11" t="s">
        <v>193</v>
      </c>
      <c r="C23" s="29">
        <v>0.56000000000000005</v>
      </c>
      <c r="D23" s="11" t="s">
        <v>182</v>
      </c>
      <c r="E23" s="59">
        <v>0.05</v>
      </c>
      <c r="F23" s="60">
        <v>0.92</v>
      </c>
      <c r="G23" s="60">
        <v>0.91</v>
      </c>
      <c r="H23" s="61">
        <v>46295</v>
      </c>
      <c r="I23" s="60">
        <v>0.92500000000000004</v>
      </c>
      <c r="J23" s="62"/>
      <c r="K23" s="62"/>
      <c r="L23" s="63">
        <v>12000</v>
      </c>
      <c r="M23" s="59"/>
      <c r="N23" s="64">
        <v>1</v>
      </c>
      <c r="O23" s="13"/>
      <c r="P23" s="11" t="s">
        <v>116</v>
      </c>
      <c r="Q23" s="59"/>
      <c r="R23" s="59"/>
      <c r="T23" s="65" t="str">
        <f t="shared" si="0"/>
        <v>ABD|MN</v>
      </c>
      <c r="V23" s="66">
        <f>IF($T23="","",INDEX(calc_cylr_p,12))</f>
        <v>0.56245230086104081</v>
      </c>
      <c r="W23" s="67">
        <f>IF($T23="","",(INDEX(calc_cylr_p,12)-INDEX(calc_lrcur,12))*100)</f>
        <v>0.24523008610407571</v>
      </c>
      <c r="X23" s="68">
        <f>IF($T23="","",INDEX(calc_arate_p,12))</f>
        <v>1</v>
      </c>
      <c r="Y23" s="68">
        <f>IF($T23="","",INDEX(calc_amod_p,12))</f>
        <v>1.0043791086804299</v>
      </c>
    </row>
    <row r="24" spans="1:25" x14ac:dyDescent="0.3">
      <c r="A24" s="11" t="s">
        <v>102</v>
      </c>
      <c r="B24" s="11" t="s">
        <v>194</v>
      </c>
      <c r="C24" s="29">
        <v>0.58799999999999997</v>
      </c>
      <c r="D24" s="11" t="s">
        <v>182</v>
      </c>
      <c r="E24" s="59">
        <v>0.05</v>
      </c>
      <c r="F24" s="60">
        <v>0.92</v>
      </c>
      <c r="G24" s="60">
        <v>0.91</v>
      </c>
      <c r="H24" s="61">
        <v>46295</v>
      </c>
      <c r="I24" s="60">
        <v>0.90500000000000003</v>
      </c>
      <c r="J24" s="62"/>
      <c r="K24" s="62"/>
      <c r="L24" s="63">
        <v>8800</v>
      </c>
      <c r="M24" s="59"/>
      <c r="N24" s="64">
        <v>1</v>
      </c>
      <c r="O24" s="13"/>
      <c r="P24" s="11" t="s">
        <v>116</v>
      </c>
      <c r="Q24" s="59"/>
      <c r="R24" s="59"/>
      <c r="T24" s="65" t="str">
        <f t="shared" si="0"/>
        <v>ABD|NM</v>
      </c>
      <c r="V24" s="66">
        <f>IF($T24="","",INDEX(calc_cylr_p,13))</f>
        <v>0.59576847238950559</v>
      </c>
      <c r="W24" s="67">
        <f>IF($T24="","",(INDEX(calc_cylr_p,13)-INDEX(calc_lrcur,13))*100)</f>
        <v>0.77684723895056207</v>
      </c>
      <c r="X24" s="68">
        <f>IF($T24="","",INDEX(calc_arate_p,13))</f>
        <v>1.0000000000000002</v>
      </c>
      <c r="Y24" s="68">
        <f>IF($T24="","",INDEX(calc_amod_p,13))</f>
        <v>1.0132116877372543</v>
      </c>
    </row>
    <row r="25" spans="1:25" x14ac:dyDescent="0.3">
      <c r="A25" s="11" t="s">
        <v>102</v>
      </c>
      <c r="B25" s="11" t="s">
        <v>195</v>
      </c>
      <c r="C25" s="29">
        <v>0.57199999999999995</v>
      </c>
      <c r="D25" s="11" t="s">
        <v>182</v>
      </c>
      <c r="E25" s="59">
        <v>0.05</v>
      </c>
      <c r="F25" s="60">
        <v>0.92</v>
      </c>
      <c r="G25" s="60">
        <v>0.91</v>
      </c>
      <c r="H25" s="61">
        <v>46295</v>
      </c>
      <c r="I25" s="60">
        <v>0.92</v>
      </c>
      <c r="J25" s="62"/>
      <c r="K25" s="62"/>
      <c r="L25" s="63">
        <v>19200</v>
      </c>
      <c r="M25" s="59"/>
      <c r="N25" s="64">
        <v>1</v>
      </c>
      <c r="O25" s="13"/>
      <c r="P25" s="11" t="s">
        <v>116</v>
      </c>
      <c r="Q25" s="59"/>
      <c r="R25" s="59"/>
      <c r="T25" s="65" t="str">
        <f t="shared" si="0"/>
        <v>ABD|NC</v>
      </c>
      <c r="V25" s="66">
        <f>IF($T25="","",INDEX(calc_cylr_p,14))</f>
        <v>0.56447022841708339</v>
      </c>
      <c r="W25" s="67">
        <f>IF($T25="","",(INDEX(calc_cylr_p,14)-INDEX(calc_lrcur,14))*100)</f>
        <v>-0.75297715829165668</v>
      </c>
      <c r="X25" s="68">
        <f>IF($T25="","",INDEX(calc_arate_p,14))</f>
        <v>0.98039215686274517</v>
      </c>
      <c r="Y25" s="68">
        <f>IF($T25="","",INDEX(calc_amod_p,14))</f>
        <v>1.0065727849395543</v>
      </c>
    </row>
    <row r="26" spans="1:25" x14ac:dyDescent="0.3">
      <c r="A26" s="11" t="s">
        <v>102</v>
      </c>
      <c r="B26" s="11" t="s">
        <v>196</v>
      </c>
      <c r="C26" s="29">
        <v>0.6</v>
      </c>
      <c r="D26" s="11" t="s">
        <v>182</v>
      </c>
      <c r="E26" s="59">
        <v>0.05</v>
      </c>
      <c r="F26" s="60">
        <v>0.92</v>
      </c>
      <c r="G26" s="60">
        <v>0.91</v>
      </c>
      <c r="H26" s="61">
        <v>46295</v>
      </c>
      <c r="I26" s="60">
        <v>0.9</v>
      </c>
      <c r="J26" s="62"/>
      <c r="K26" s="62"/>
      <c r="L26" s="63">
        <v>16000</v>
      </c>
      <c r="M26" s="59"/>
      <c r="N26" s="64">
        <v>1</v>
      </c>
      <c r="O26" s="13"/>
      <c r="P26" s="11" t="s">
        <v>116</v>
      </c>
      <c r="Q26" s="59"/>
      <c r="R26" s="59"/>
      <c r="T26" s="65" t="str">
        <f t="shared" si="0"/>
        <v>ABD|OH</v>
      </c>
      <c r="V26" s="66">
        <f>IF($T26="","",INDEX(calc_cylr_p,15))</f>
        <v>0.60926649552333734</v>
      </c>
      <c r="W26" s="67">
        <f>IF($T26="","",(INDEX(calc_cylr_p,15)-INDEX(calc_lrcur,15))*100)</f>
        <v>0.92664955233373592</v>
      </c>
      <c r="X26" s="68">
        <f>IF($T26="","",INDEX(calc_arate_p,15))</f>
        <v>1</v>
      </c>
      <c r="Y26" s="68">
        <f>IF($T26="","",INDEX(calc_amod_p,15))</f>
        <v>1.0154441592055623</v>
      </c>
    </row>
    <row r="27" spans="1:25" x14ac:dyDescent="0.3">
      <c r="A27" s="11" t="s">
        <v>102</v>
      </c>
      <c r="B27" s="11" t="s">
        <v>197</v>
      </c>
      <c r="C27" s="29">
        <v>0.58399999999999996</v>
      </c>
      <c r="D27" s="11" t="s">
        <v>182</v>
      </c>
      <c r="E27" s="59">
        <v>0.05</v>
      </c>
      <c r="F27" s="60">
        <v>0.92</v>
      </c>
      <c r="G27" s="60">
        <v>0.91</v>
      </c>
      <c r="H27" s="61">
        <v>46295</v>
      </c>
      <c r="I27" s="60">
        <v>0.91500000000000004</v>
      </c>
      <c r="J27" s="62"/>
      <c r="K27" s="62"/>
      <c r="L27" s="63">
        <v>12800</v>
      </c>
      <c r="M27" s="59"/>
      <c r="N27" s="64">
        <v>1</v>
      </c>
      <c r="O27" s="13"/>
      <c r="P27" s="11" t="s">
        <v>116</v>
      </c>
      <c r="Q27" s="59"/>
      <c r="R27" s="59"/>
      <c r="T27" s="65" t="str">
        <f t="shared" si="0"/>
        <v>ABD|PA</v>
      </c>
      <c r="V27" s="66">
        <f>IF($T27="","",INDEX(calc_cylr_p,16))</f>
        <v>0.58912522175096382</v>
      </c>
      <c r="W27" s="67">
        <f>IF($T27="","",(INDEX(calc_cylr_p,16)-INDEX(calc_lrcur,16))*100)</f>
        <v>0.51252217509638598</v>
      </c>
      <c r="X27" s="68">
        <f>IF($T27="","",INDEX(calc_arate_p,16))</f>
        <v>0.99999999999999978</v>
      </c>
      <c r="Y27" s="68">
        <f>IF($T27="","",INDEX(calc_amod_p,16))</f>
        <v>1.0087760646420616</v>
      </c>
    </row>
    <row r="28" spans="1:25" x14ac:dyDescent="0.3">
      <c r="A28" s="11" t="s">
        <v>102</v>
      </c>
      <c r="B28" s="11" t="s">
        <v>198</v>
      </c>
      <c r="C28" s="29">
        <v>0.56799999999999995</v>
      </c>
      <c r="D28" s="11" t="s">
        <v>182</v>
      </c>
      <c r="E28" s="59">
        <v>0.05</v>
      </c>
      <c r="F28" s="60">
        <v>0.92</v>
      </c>
      <c r="G28" s="60">
        <v>0.91</v>
      </c>
      <c r="H28" s="61">
        <v>46295</v>
      </c>
      <c r="I28" s="60">
        <v>0.93</v>
      </c>
      <c r="J28" s="62"/>
      <c r="K28" s="62"/>
      <c r="L28" s="63">
        <v>9600</v>
      </c>
      <c r="M28" s="59"/>
      <c r="N28" s="64">
        <v>1</v>
      </c>
      <c r="O28" s="13"/>
      <c r="P28" s="11" t="s">
        <v>116</v>
      </c>
      <c r="Q28" s="59"/>
      <c r="R28" s="59"/>
      <c r="T28" s="65" t="str">
        <f t="shared" si="0"/>
        <v>ABD|SC</v>
      </c>
      <c r="V28" s="66">
        <f>IF($T28="","",INDEX(calc_cylr_p,17))</f>
        <v>0.56924674478520054</v>
      </c>
      <c r="W28" s="67">
        <f>IF($T28="","",(INDEX(calc_cylr_p,17)-INDEX(calc_lrcur,17))*100)</f>
        <v>0.12467447852005931</v>
      </c>
      <c r="X28" s="68">
        <f>IF($T28="","",INDEX(calc_arate_p,17))</f>
        <v>1</v>
      </c>
      <c r="Y28" s="68">
        <f>IF($T28="","",INDEX(calc_amod_p,17))</f>
        <v>1.0021949732133812</v>
      </c>
    </row>
    <row r="29" spans="1:25" x14ac:dyDescent="0.3">
      <c r="A29" s="11" t="s">
        <v>102</v>
      </c>
      <c r="B29" s="11" t="s">
        <v>199</v>
      </c>
      <c r="C29" s="29">
        <v>0.59599999999999997</v>
      </c>
      <c r="D29" s="11" t="s">
        <v>182</v>
      </c>
      <c r="E29" s="59">
        <v>0.05</v>
      </c>
      <c r="F29" s="60">
        <v>0.92</v>
      </c>
      <c r="G29" s="60">
        <v>0.91</v>
      </c>
      <c r="H29" s="61">
        <v>46295</v>
      </c>
      <c r="I29" s="60">
        <v>0.91</v>
      </c>
      <c r="J29" s="62"/>
      <c r="K29" s="62"/>
      <c r="L29" s="63">
        <v>6400</v>
      </c>
      <c r="M29" s="59"/>
      <c r="N29" s="64">
        <v>1</v>
      </c>
      <c r="O29" s="13"/>
      <c r="P29" s="11" t="s">
        <v>116</v>
      </c>
      <c r="Q29" s="59"/>
      <c r="R29" s="59"/>
      <c r="T29" s="65" t="str">
        <f t="shared" si="0"/>
        <v>ABD|TN</v>
      </c>
      <c r="V29" s="66">
        <f>IF($T29="","",INDEX(calc_cylr_p,18))</f>
        <v>0.59839393709738542</v>
      </c>
      <c r="W29" s="67">
        <f>IF($T29="","",(INDEX(calc_cylr_p,18)-INDEX(calc_lrcur,18))*100)</f>
        <v>0.23939370973854457</v>
      </c>
      <c r="X29" s="68">
        <f>IF($T29="","",INDEX(calc_arate_p,18))</f>
        <v>0.99310344827586206</v>
      </c>
      <c r="Y29" s="68">
        <f>IF($T29="","",INDEX(calc_amod_p,18))</f>
        <v>1.0109890109890112</v>
      </c>
    </row>
    <row r="30" spans="1:25" x14ac:dyDescent="0.3">
      <c r="A30" s="11" t="s">
        <v>102</v>
      </c>
      <c r="B30" s="11" t="s">
        <v>200</v>
      </c>
      <c r="C30" s="29">
        <v>0.57999999999999996</v>
      </c>
      <c r="D30" s="11" t="s">
        <v>182</v>
      </c>
      <c r="E30" s="59">
        <v>0.05</v>
      </c>
      <c r="F30" s="60">
        <v>0.92</v>
      </c>
      <c r="G30" s="60">
        <v>0.91</v>
      </c>
      <c r="H30" s="61">
        <v>46295</v>
      </c>
      <c r="I30" s="60">
        <v>0.92500000000000004</v>
      </c>
      <c r="J30" s="62"/>
      <c r="K30" s="62"/>
      <c r="L30" s="63">
        <v>16800</v>
      </c>
      <c r="M30" s="59"/>
      <c r="N30" s="64">
        <v>1</v>
      </c>
      <c r="O30" s="13"/>
      <c r="P30" s="11" t="s">
        <v>116</v>
      </c>
      <c r="Q30" s="59"/>
      <c r="R30" s="59"/>
      <c r="T30" s="65" t="str">
        <f t="shared" si="0"/>
        <v>ABD|VA</v>
      </c>
      <c r="V30" s="66">
        <f>IF($T30="","",INDEX(calc_cylr_p,19))</f>
        <v>0.58253988303464932</v>
      </c>
      <c r="W30" s="67">
        <f>IF($T30="","",(INDEX(calc_cylr_p,19)-INDEX(calc_lrcur,19))*100)</f>
        <v>0.25398830346493595</v>
      </c>
      <c r="X30" s="68">
        <f>IF($T30="","",INDEX(calc_arate_p,19))</f>
        <v>1</v>
      </c>
      <c r="Y30" s="68">
        <f>IF($T30="","",INDEX(calc_amod_p,19))</f>
        <v>1.0043791086804299</v>
      </c>
    </row>
    <row r="31" spans="1:25" x14ac:dyDescent="0.3">
      <c r="A31" s="11" t="s">
        <v>102</v>
      </c>
      <c r="B31" s="11" t="s">
        <v>201</v>
      </c>
      <c r="C31" s="29">
        <v>0.56399999999999995</v>
      </c>
      <c r="D31" s="11" t="s">
        <v>182</v>
      </c>
      <c r="E31" s="59">
        <v>0.05</v>
      </c>
      <c r="F31" s="60">
        <v>0.92</v>
      </c>
      <c r="G31" s="60">
        <v>0.91</v>
      </c>
      <c r="H31" s="61">
        <v>46295</v>
      </c>
      <c r="I31" s="60">
        <v>0.90500000000000003</v>
      </c>
      <c r="J31" s="62"/>
      <c r="K31" s="62"/>
      <c r="L31" s="63">
        <v>13600</v>
      </c>
      <c r="M31" s="59"/>
      <c r="N31" s="64">
        <v>1</v>
      </c>
      <c r="O31" s="13"/>
      <c r="P31" s="11" t="s">
        <v>116</v>
      </c>
      <c r="Q31" s="59"/>
      <c r="R31" s="59"/>
      <c r="T31" s="65" t="str">
        <f t="shared" si="0"/>
        <v>ABD|WV</v>
      </c>
      <c r="V31" s="66">
        <f>IF($T31="","",INDEX(calc_cylr_p,20))</f>
        <v>0.57167610733480778</v>
      </c>
      <c r="W31" s="67">
        <f>IF($T31="","",(INDEX(calc_cylr_p,20)-INDEX(calc_lrcur,20))*100)</f>
        <v>0.76761073348078357</v>
      </c>
      <c r="X31" s="68">
        <f>IF($T31="","",INDEX(calc_arate_p,20))</f>
        <v>1.0003932363350372</v>
      </c>
      <c r="Y31" s="68">
        <f>IF($T31="","",INDEX(calc_amod_p,20))</f>
        <v>1.0132116877372543</v>
      </c>
    </row>
    <row r="32" spans="1:25" x14ac:dyDescent="0.3">
      <c r="A32" s="11" t="s">
        <v>102</v>
      </c>
      <c r="B32" s="11" t="s">
        <v>202</v>
      </c>
      <c r="C32" s="29">
        <v>0.59199999999999997</v>
      </c>
      <c r="D32" s="11" t="s">
        <v>182</v>
      </c>
      <c r="E32" s="59">
        <v>0.05</v>
      </c>
      <c r="F32" s="60">
        <v>0.92</v>
      </c>
      <c r="G32" s="60">
        <v>0.91</v>
      </c>
      <c r="H32" s="61">
        <v>46295</v>
      </c>
      <c r="I32" s="60">
        <v>0.92</v>
      </c>
      <c r="J32" s="62"/>
      <c r="K32" s="62"/>
      <c r="L32" s="63">
        <v>10400</v>
      </c>
      <c r="M32" s="59"/>
      <c r="N32" s="64">
        <v>1</v>
      </c>
      <c r="O32" s="13"/>
      <c r="P32" s="11" t="s">
        <v>116</v>
      </c>
      <c r="Q32" s="59"/>
      <c r="R32" s="59"/>
      <c r="T32" s="65" t="str">
        <f t="shared" si="0"/>
        <v>ABD|WI</v>
      </c>
      <c r="V32" s="66">
        <f>IF($T32="","",INDEX(calc_cylr_p,21))</f>
        <v>0.59589108868421614</v>
      </c>
      <c r="W32" s="67">
        <f>IF($T32="","",(INDEX(calc_cylr_p,21)-INDEX(calc_lrcur,21))*100)</f>
        <v>0.38910886842161707</v>
      </c>
      <c r="X32" s="68">
        <f>IF($T32="","",INDEX(calc_arate_p,21))</f>
        <v>1</v>
      </c>
      <c r="Y32" s="68">
        <f>IF($T32="","",INDEX(calc_amod_p,21))</f>
        <v>1.0065727849395543</v>
      </c>
    </row>
    <row r="33" spans="1:25" x14ac:dyDescent="0.3">
      <c r="A33" s="11" t="s">
        <v>203</v>
      </c>
      <c r="B33" s="11" t="s">
        <v>105</v>
      </c>
      <c r="C33" s="29">
        <v>0.57599999999999996</v>
      </c>
      <c r="D33" s="11" t="s">
        <v>182</v>
      </c>
      <c r="E33" s="59">
        <v>0.05</v>
      </c>
      <c r="F33" s="60">
        <v>0.92</v>
      </c>
      <c r="G33" s="60">
        <v>0.91</v>
      </c>
      <c r="H33" s="61">
        <v>46295</v>
      </c>
      <c r="I33" s="60">
        <v>0.9</v>
      </c>
      <c r="J33" s="62"/>
      <c r="K33" s="62"/>
      <c r="L33" s="63">
        <v>7200</v>
      </c>
      <c r="M33" s="59"/>
      <c r="N33" s="64">
        <v>1</v>
      </c>
      <c r="O33" s="13"/>
      <c r="P33" s="11" t="s">
        <v>116</v>
      </c>
      <c r="Q33" s="59"/>
      <c r="R33" s="59"/>
      <c r="T33" s="65" t="str">
        <f t="shared" si="0"/>
        <v>MM|AZ</v>
      </c>
      <c r="V33" s="66">
        <f>IF($T33="","",INDEX(calc_cylr_p,22))</f>
        <v>0.57071567519650979</v>
      </c>
      <c r="W33" s="67">
        <f>IF($T33="","",(INDEX(calc_cylr_p,22)-INDEX(calc_lrcur,22))*100)</f>
        <v>-0.52843248034901702</v>
      </c>
      <c r="X33" s="68">
        <f>IF($T33="","",INDEX(calc_arate_p,22))</f>
        <v>0.97575609255472817</v>
      </c>
      <c r="Y33" s="68">
        <f>IF($T33="","",INDEX(calc_amod_p,22))</f>
        <v>1.0154441592055623</v>
      </c>
    </row>
    <row r="34" spans="1:25" x14ac:dyDescent="0.3">
      <c r="A34" s="11" t="s">
        <v>203</v>
      </c>
      <c r="B34" s="11" t="s">
        <v>183</v>
      </c>
      <c r="C34" s="29">
        <v>0.56000000000000005</v>
      </c>
      <c r="D34" s="11" t="s">
        <v>204</v>
      </c>
      <c r="E34" s="59">
        <v>0.08</v>
      </c>
      <c r="F34" s="60">
        <v>0.92</v>
      </c>
      <c r="G34" s="60">
        <v>0.91</v>
      </c>
      <c r="H34" s="61">
        <v>46295</v>
      </c>
      <c r="I34" s="60">
        <v>0.91500000000000004</v>
      </c>
      <c r="J34" s="62"/>
      <c r="K34" s="62"/>
      <c r="L34" s="63">
        <v>17600</v>
      </c>
      <c r="M34" s="59">
        <v>0.01</v>
      </c>
      <c r="N34" s="64">
        <v>1</v>
      </c>
      <c r="O34" s="13"/>
      <c r="P34" s="11" t="s">
        <v>116</v>
      </c>
      <c r="Q34" s="59"/>
      <c r="R34" s="59"/>
      <c r="T34" s="65" t="str">
        <f t="shared" si="0"/>
        <v>MM|CO</v>
      </c>
      <c r="V34" s="66">
        <f>IF($T34="","",INDEX(calc_cylr_p,23))</f>
        <v>0.61272625215258147</v>
      </c>
      <c r="W34" s="67">
        <f>IF($T34="","",(INDEX(calc_cylr_p,23)-INDEX(calc_lrcur,23))*100)</f>
        <v>0.7926252152581359</v>
      </c>
      <c r="X34" s="68">
        <f>IF($T34="","",INDEX(calc_arate_p,23))</f>
        <v>1.0042918454935625</v>
      </c>
      <c r="Y34" s="68">
        <f>IF($T34="","",INDEX(calc_amod_p,23))</f>
        <v>1.0087760646420616</v>
      </c>
    </row>
    <row r="35" spans="1:25" x14ac:dyDescent="0.3">
      <c r="A35" s="11" t="s">
        <v>203</v>
      </c>
      <c r="B35" s="11" t="s">
        <v>184</v>
      </c>
      <c r="C35" s="29">
        <v>0.58799999999999997</v>
      </c>
      <c r="D35" s="11" t="s">
        <v>182</v>
      </c>
      <c r="E35" s="59">
        <v>0.05</v>
      </c>
      <c r="F35" s="60">
        <v>0.92</v>
      </c>
      <c r="G35" s="60">
        <v>0.91</v>
      </c>
      <c r="H35" s="61">
        <v>46295</v>
      </c>
      <c r="I35" s="60">
        <v>0.93</v>
      </c>
      <c r="J35" s="62"/>
      <c r="K35" s="62"/>
      <c r="L35" s="63">
        <v>14400</v>
      </c>
      <c r="M35" s="59"/>
      <c r="N35" s="64">
        <v>1.02</v>
      </c>
      <c r="O35" s="13" t="s">
        <v>205</v>
      </c>
      <c r="P35" s="11" t="s">
        <v>116</v>
      </c>
      <c r="Q35" s="59"/>
      <c r="R35" s="59"/>
      <c r="T35" s="65" t="str">
        <f t="shared" si="0"/>
        <v>MM|DE</v>
      </c>
      <c r="V35" s="66">
        <f>IF($T35="","",INDEX(calc_cylr_p,24))</f>
        <v>0.59431848086016048</v>
      </c>
      <c r="W35" s="67">
        <f>IF($T35="","",(INDEX(calc_cylr_p,24)-INDEX(calc_lrcur,24))*100)</f>
        <v>0.63184808601605136</v>
      </c>
      <c r="X35" s="68">
        <f>IF($T35="","",INDEX(calc_arate_p,24))</f>
        <v>0.98875687744199026</v>
      </c>
      <c r="Y35" s="68">
        <f>IF($T35="","",INDEX(calc_amod_p,24))</f>
        <v>1.0021949732133812</v>
      </c>
    </row>
    <row r="36" spans="1:25" x14ac:dyDescent="0.3">
      <c r="A36" s="11" t="s">
        <v>203</v>
      </c>
      <c r="B36" s="11" t="s">
        <v>185</v>
      </c>
      <c r="C36" s="29">
        <v>0.57199999999999995</v>
      </c>
      <c r="D36" s="11" t="s">
        <v>182</v>
      </c>
      <c r="E36" s="59">
        <v>0.05</v>
      </c>
      <c r="F36" s="60">
        <v>0.92</v>
      </c>
      <c r="G36" s="60">
        <v>0.91</v>
      </c>
      <c r="H36" s="61">
        <v>46295</v>
      </c>
      <c r="I36" s="60">
        <v>0.91</v>
      </c>
      <c r="J36" s="62"/>
      <c r="K36" s="62"/>
      <c r="L36" s="63">
        <v>11200</v>
      </c>
      <c r="M36" s="59"/>
      <c r="N36" s="64">
        <v>1</v>
      </c>
      <c r="O36" s="13"/>
      <c r="P36" s="11" t="s">
        <v>116</v>
      </c>
      <c r="Q36" s="59"/>
      <c r="R36" s="59"/>
      <c r="T36" s="65" t="str">
        <f t="shared" si="0"/>
        <v>MM|FL</v>
      </c>
      <c r="V36" s="66">
        <f>IF($T36="","",INDEX(calc_cylr_p,25))</f>
        <v>0.56507959486498094</v>
      </c>
      <c r="W36" s="67">
        <f>IF($T36="","",(INDEX(calc_cylr_p,25)-INDEX(calc_lrcur,25))*100)</f>
        <v>-0.69204051350190143</v>
      </c>
      <c r="X36" s="68">
        <f>IF($T36="","",INDEX(calc_arate_p,25))</f>
        <v>0.97716333104122188</v>
      </c>
      <c r="Y36" s="68">
        <f>IF($T36="","",INDEX(calc_amod_p,25))</f>
        <v>1.0109890109890112</v>
      </c>
    </row>
    <row r="37" spans="1:25" x14ac:dyDescent="0.3">
      <c r="A37" s="11" t="s">
        <v>203</v>
      </c>
      <c r="B37" s="11" t="s">
        <v>186</v>
      </c>
      <c r="C37" s="29">
        <v>0.6</v>
      </c>
      <c r="D37" s="11" t="s">
        <v>182</v>
      </c>
      <c r="E37" s="59">
        <v>0.05</v>
      </c>
      <c r="F37" s="60">
        <v>0.92</v>
      </c>
      <c r="G37" s="60">
        <v>0.91</v>
      </c>
      <c r="H37" s="61">
        <v>46295</v>
      </c>
      <c r="I37" s="60">
        <v>0.92500000000000004</v>
      </c>
      <c r="J37" s="62"/>
      <c r="K37" s="62"/>
      <c r="L37" s="63">
        <v>8000</v>
      </c>
      <c r="M37" s="59"/>
      <c r="N37" s="64">
        <v>1</v>
      </c>
      <c r="O37" s="13"/>
      <c r="P37" s="11" t="s">
        <v>116</v>
      </c>
      <c r="Q37" s="59"/>
      <c r="R37" s="59"/>
      <c r="T37" s="65" t="str">
        <f t="shared" si="0"/>
        <v>MM|GA</v>
      </c>
      <c r="V37" s="66">
        <f>IF($T37="","",INDEX(calc_cylr_p,26))</f>
        <v>0.5946981564555176</v>
      </c>
      <c r="W37" s="67">
        <f>IF($T37="","",(INDEX(calc_cylr_p,26)-INDEX(calc_lrcur,26))*100)</f>
        <v>-0.53018435444823764</v>
      </c>
      <c r="X37" s="68">
        <f>IF($T37="","",INDEX(calc_arate_p,26))</f>
        <v>0.98684210526315785</v>
      </c>
      <c r="Y37" s="68">
        <f>IF($T37="","",INDEX(calc_amod_p,26))</f>
        <v>1.0043791086804299</v>
      </c>
    </row>
    <row r="38" spans="1:25" x14ac:dyDescent="0.3">
      <c r="A38" s="11" t="s">
        <v>203</v>
      </c>
      <c r="B38" s="11" t="s">
        <v>187</v>
      </c>
      <c r="C38" s="29">
        <v>0.58399999999999996</v>
      </c>
      <c r="D38" s="11" t="s">
        <v>182</v>
      </c>
      <c r="E38" s="59">
        <v>0.05</v>
      </c>
      <c r="F38" s="60">
        <v>0.92</v>
      </c>
      <c r="G38" s="60">
        <v>0.91</v>
      </c>
      <c r="H38" s="61">
        <v>46295</v>
      </c>
      <c r="I38" s="60">
        <v>0.90500000000000003</v>
      </c>
      <c r="J38" s="62"/>
      <c r="K38" s="62"/>
      <c r="L38" s="63">
        <v>18400</v>
      </c>
      <c r="M38" s="59"/>
      <c r="N38" s="64">
        <v>1</v>
      </c>
      <c r="O38" s="13"/>
      <c r="P38" s="11" t="s">
        <v>116</v>
      </c>
      <c r="Q38" s="59"/>
      <c r="R38" s="59"/>
      <c r="T38" s="65" t="str">
        <f t="shared" si="0"/>
        <v>MM|IA</v>
      </c>
      <c r="V38" s="66">
        <f>IF($T38="","",INDEX(calc_cylr_p,27))</f>
        <v>0.59171562563855651</v>
      </c>
      <c r="W38" s="67">
        <f>IF($T38="","",(INDEX(calc_cylr_p,27)-INDEX(calc_lrcur,27))*100)</f>
        <v>0.77156256385565447</v>
      </c>
      <c r="X38" s="68">
        <f>IF($T38="","",INDEX(calc_arate_p,27))</f>
        <v>1</v>
      </c>
      <c r="Y38" s="68">
        <f>IF($T38="","",INDEX(calc_amod_p,27))</f>
        <v>1.0132116877372543</v>
      </c>
    </row>
    <row r="39" spans="1:25" x14ac:dyDescent="0.3">
      <c r="A39" s="11" t="s">
        <v>203</v>
      </c>
      <c r="B39" s="11" t="s">
        <v>188</v>
      </c>
      <c r="C39" s="29">
        <v>0.56799999999999995</v>
      </c>
      <c r="D39" s="11" t="s">
        <v>182</v>
      </c>
      <c r="E39" s="59">
        <v>0.05</v>
      </c>
      <c r="F39" s="60">
        <v>0.92</v>
      </c>
      <c r="G39" s="60">
        <v>0.91</v>
      </c>
      <c r="H39" s="61">
        <v>46295</v>
      </c>
      <c r="I39" s="60">
        <v>0.92</v>
      </c>
      <c r="J39" s="62"/>
      <c r="K39" s="62"/>
      <c r="L39" s="63">
        <v>15200</v>
      </c>
      <c r="M39" s="59"/>
      <c r="N39" s="64">
        <v>1</v>
      </c>
      <c r="O39" s="13"/>
      <c r="P39" s="11" t="s">
        <v>116</v>
      </c>
      <c r="Q39" s="59"/>
      <c r="R39" s="59"/>
      <c r="T39" s="65" t="str">
        <f t="shared" si="0"/>
        <v>MM|IL</v>
      </c>
      <c r="V39" s="66">
        <f>IF($T39="","",INDEX(calc_cylr_p,28))</f>
        <v>0.57173334184566693</v>
      </c>
      <c r="W39" s="67">
        <f>IF($T39="","",(INDEX(calc_cylr_p,28)-INDEX(calc_lrcur,28))*100)</f>
        <v>0.3733341845666982</v>
      </c>
      <c r="X39" s="68">
        <f>IF($T39="","",INDEX(calc_arate_p,28))</f>
        <v>1.0000000000000002</v>
      </c>
      <c r="Y39" s="68">
        <f>IF($T39="","",INDEX(calc_amod_p,28))</f>
        <v>1.0065727849395543</v>
      </c>
    </row>
    <row r="40" spans="1:25" x14ac:dyDescent="0.3">
      <c r="A40" s="11" t="s">
        <v>203</v>
      </c>
      <c r="B40" s="11" t="s">
        <v>189</v>
      </c>
      <c r="C40" s="29">
        <v>0.59599999999999997</v>
      </c>
      <c r="D40" s="11" t="s">
        <v>182</v>
      </c>
      <c r="E40" s="59">
        <v>0.05</v>
      </c>
      <c r="F40" s="60">
        <v>0.92</v>
      </c>
      <c r="G40" s="60">
        <v>0.91</v>
      </c>
      <c r="H40" s="61">
        <v>46295</v>
      </c>
      <c r="I40" s="60">
        <v>0.9</v>
      </c>
      <c r="J40" s="62"/>
      <c r="K40" s="62"/>
      <c r="L40" s="63">
        <v>12000</v>
      </c>
      <c r="M40" s="59"/>
      <c r="N40" s="64">
        <v>1</v>
      </c>
      <c r="O40" s="13"/>
      <c r="P40" s="11" t="s">
        <v>116</v>
      </c>
      <c r="Q40" s="59"/>
      <c r="R40" s="59"/>
      <c r="T40" s="65" t="str">
        <f t="shared" si="0"/>
        <v>MM|IN</v>
      </c>
      <c r="V40" s="66">
        <f>IF($T40="","",INDEX(calc_cylr_p,29))</f>
        <v>0.60520471888651506</v>
      </c>
      <c r="W40" s="67">
        <f>IF($T40="","",(INDEX(calc_cylr_p,29)-INDEX(calc_lrcur,29))*100)</f>
        <v>0.92047188865150842</v>
      </c>
      <c r="X40" s="68">
        <f>IF($T40="","",INDEX(calc_arate_p,29))</f>
        <v>1</v>
      </c>
      <c r="Y40" s="68">
        <f>IF($T40="","",INDEX(calc_amod_p,29))</f>
        <v>1.0154441592055623</v>
      </c>
    </row>
    <row r="41" spans="1:25" x14ac:dyDescent="0.3">
      <c r="A41" s="11" t="s">
        <v>203</v>
      </c>
      <c r="B41" s="11" t="s">
        <v>190</v>
      </c>
      <c r="C41" s="29">
        <v>0.57999999999999996</v>
      </c>
      <c r="D41" s="11" t="s">
        <v>182</v>
      </c>
      <c r="E41" s="59">
        <v>0.05</v>
      </c>
      <c r="F41" s="60">
        <v>0.92</v>
      </c>
      <c r="G41" s="60">
        <v>0.91</v>
      </c>
      <c r="H41" s="61">
        <v>46295</v>
      </c>
      <c r="I41" s="60">
        <v>0.91500000000000004</v>
      </c>
      <c r="J41" s="62"/>
      <c r="K41" s="62"/>
      <c r="L41" s="63">
        <v>8800</v>
      </c>
      <c r="M41" s="59"/>
      <c r="N41" s="64">
        <v>1</v>
      </c>
      <c r="O41" s="13"/>
      <c r="P41" s="11" t="s">
        <v>116</v>
      </c>
      <c r="Q41" s="59"/>
      <c r="R41" s="59"/>
      <c r="T41" s="65" t="str">
        <f t="shared" si="0"/>
        <v>MM|KY</v>
      </c>
      <c r="V41" s="66">
        <f>IF($T41="","",INDEX(calc_cylr_p,30))</f>
        <v>0.58363103989266396</v>
      </c>
      <c r="W41" s="67">
        <f>IF($T41="","",(INDEX(calc_cylr_p,30)-INDEX(calc_lrcur,30))*100)</f>
        <v>0.36310398926640008</v>
      </c>
      <c r="X41" s="68">
        <f>IF($T41="","",INDEX(calc_arate_p,30))</f>
        <v>0.99750623441396513</v>
      </c>
      <c r="Y41" s="68">
        <f>IF($T41="","",INDEX(calc_amod_p,30))</f>
        <v>1.0087760646420616</v>
      </c>
    </row>
    <row r="42" spans="1:25" x14ac:dyDescent="0.3">
      <c r="A42" s="11" t="s">
        <v>203</v>
      </c>
      <c r="B42" s="11" t="s">
        <v>191</v>
      </c>
      <c r="C42" s="29">
        <v>0.56399999999999995</v>
      </c>
      <c r="D42" s="11" t="s">
        <v>182</v>
      </c>
      <c r="E42" s="59">
        <v>0.05</v>
      </c>
      <c r="F42" s="60">
        <v>0.92</v>
      </c>
      <c r="G42" s="60">
        <v>0.91</v>
      </c>
      <c r="H42" s="61">
        <v>46295</v>
      </c>
      <c r="I42" s="60">
        <v>0.93</v>
      </c>
      <c r="J42" s="62"/>
      <c r="K42" s="62"/>
      <c r="L42" s="63">
        <v>19200</v>
      </c>
      <c r="M42" s="59"/>
      <c r="N42" s="64">
        <v>1</v>
      </c>
      <c r="O42" s="13"/>
      <c r="P42" s="11" t="s">
        <v>116</v>
      </c>
      <c r="Q42" s="59"/>
      <c r="R42" s="59"/>
      <c r="T42" s="65" t="str">
        <f t="shared" si="0"/>
        <v>MM|MD</v>
      </c>
      <c r="V42" s="66">
        <f>IF($T42="","",INDEX(calc_cylr_p,31))</f>
        <v>0.5652379648923469</v>
      </c>
      <c r="W42" s="67">
        <f>IF($T42="","",(INDEX(calc_cylr_p,31)-INDEX(calc_lrcur,31))*100)</f>
        <v>0.12379648923469544</v>
      </c>
      <c r="X42" s="68">
        <f>IF($T42="","",INDEX(calc_arate_p,31))</f>
        <v>0.99999999999999978</v>
      </c>
      <c r="Y42" s="68">
        <f>IF($T42="","",INDEX(calc_amod_p,31))</f>
        <v>1.0021949732133812</v>
      </c>
    </row>
    <row r="43" spans="1:25" x14ac:dyDescent="0.3">
      <c r="A43" s="11" t="s">
        <v>203</v>
      </c>
      <c r="B43" s="11" t="s">
        <v>192</v>
      </c>
      <c r="C43" s="29">
        <v>0.59199999999999997</v>
      </c>
      <c r="D43" s="11" t="s">
        <v>182</v>
      </c>
      <c r="E43" s="59">
        <v>0.05</v>
      </c>
      <c r="F43" s="60">
        <v>0.92</v>
      </c>
      <c r="G43" s="60">
        <v>0.91</v>
      </c>
      <c r="H43" s="61">
        <v>46295</v>
      </c>
      <c r="I43" s="60">
        <v>0.91</v>
      </c>
      <c r="J43" s="62"/>
      <c r="K43" s="62"/>
      <c r="L43" s="63">
        <v>16000</v>
      </c>
      <c r="M43" s="59"/>
      <c r="N43" s="64">
        <v>1</v>
      </c>
      <c r="O43" s="13"/>
      <c r="P43" s="11" t="s">
        <v>116</v>
      </c>
      <c r="Q43" s="59"/>
      <c r="R43" s="59"/>
      <c r="T43" s="65" t="str">
        <f t="shared" si="0"/>
        <v>MM|MI</v>
      </c>
      <c r="V43" s="66">
        <f>IF($T43="","",INDEX(calc_cylr_p,32))</f>
        <v>0.59862657593266544</v>
      </c>
      <c r="W43" s="67">
        <f>IF($T43="","",(INDEX(calc_cylr_p,32)-INDEX(calc_lrcur,32))*100)</f>
        <v>0.66265759326654683</v>
      </c>
      <c r="X43" s="68">
        <f>IF($T43="","",INDEX(calc_arate_p,32))</f>
        <v>1.0002023062917256</v>
      </c>
      <c r="Y43" s="68">
        <f>IF($T43="","",INDEX(calc_amod_p,32))</f>
        <v>1.0109890109890112</v>
      </c>
    </row>
    <row r="44" spans="1:25" x14ac:dyDescent="0.3">
      <c r="A44" s="11" t="s">
        <v>203</v>
      </c>
      <c r="B44" s="11" t="s">
        <v>193</v>
      </c>
      <c r="C44" s="29">
        <v>0.57599999999999996</v>
      </c>
      <c r="D44" s="11" t="s">
        <v>182</v>
      </c>
      <c r="E44" s="59">
        <v>0.05</v>
      </c>
      <c r="F44" s="60">
        <v>0.92</v>
      </c>
      <c r="G44" s="60">
        <v>0.91</v>
      </c>
      <c r="H44" s="61">
        <v>46295</v>
      </c>
      <c r="I44" s="60">
        <v>0.92500000000000004</v>
      </c>
      <c r="J44" s="62"/>
      <c r="K44" s="62"/>
      <c r="L44" s="63">
        <v>12800</v>
      </c>
      <c r="M44" s="59"/>
      <c r="N44" s="64">
        <v>1</v>
      </c>
      <c r="O44" s="13"/>
      <c r="P44" s="11" t="s">
        <v>116</v>
      </c>
      <c r="Q44" s="59"/>
      <c r="R44" s="59"/>
      <c r="T44" s="65" t="str">
        <f t="shared" ref="T44:T80" si="1">IF(OR($A44="",$B44=""),"",$A44&amp;"|"&amp;$B44)</f>
        <v>MM|MN</v>
      </c>
      <c r="V44" s="66">
        <f>IF($T44="","",INDEX(calc_cylr_p,33))</f>
        <v>0.57852236659992762</v>
      </c>
      <c r="W44" s="67">
        <f>IF($T44="","",(INDEX(calc_cylr_p,33)-INDEX(calc_lrcur,33))*100)</f>
        <v>0.25223665999276612</v>
      </c>
      <c r="X44" s="68">
        <f>IF($T44="","",INDEX(calc_arate_p,33))</f>
        <v>1</v>
      </c>
      <c r="Y44" s="68">
        <f>IF($T44="","",INDEX(calc_amod_p,33))</f>
        <v>1.0043791086804299</v>
      </c>
    </row>
    <row r="45" spans="1:25" x14ac:dyDescent="0.3">
      <c r="A45" s="11" t="s">
        <v>203</v>
      </c>
      <c r="B45" s="11" t="s">
        <v>194</v>
      </c>
      <c r="C45" s="29">
        <v>0.56000000000000005</v>
      </c>
      <c r="D45" s="11" t="s">
        <v>182</v>
      </c>
      <c r="E45" s="59">
        <v>0.05</v>
      </c>
      <c r="F45" s="60">
        <v>0.92</v>
      </c>
      <c r="G45" s="60">
        <v>0.91</v>
      </c>
      <c r="H45" s="61">
        <v>46295</v>
      </c>
      <c r="I45" s="60">
        <v>0.90500000000000003</v>
      </c>
      <c r="J45" s="62"/>
      <c r="K45" s="62"/>
      <c r="L45" s="63">
        <v>9600</v>
      </c>
      <c r="M45" s="59"/>
      <c r="N45" s="64">
        <v>1</v>
      </c>
      <c r="O45" s="13"/>
      <c r="P45" s="11" t="s">
        <v>116</v>
      </c>
      <c r="Q45" s="59"/>
      <c r="R45" s="59"/>
      <c r="T45" s="65" t="str">
        <f t="shared" si="1"/>
        <v>MM|NM</v>
      </c>
      <c r="V45" s="66">
        <f>IF($T45="","",INDEX(calc_cylr_p,34))</f>
        <v>0.55790094570011051</v>
      </c>
      <c r="W45" s="67">
        <f>IF($T45="","",(INDEX(calc_cylr_p,34)-INDEX(calc_lrcur,34))*100)</f>
        <v>-0.20990542998895467</v>
      </c>
      <c r="X45" s="68">
        <f>IF($T45="","",INDEX(calc_arate_p,34))</f>
        <v>0.98326114947910559</v>
      </c>
      <c r="Y45" s="68">
        <f>IF($T45="","",INDEX(calc_amod_p,34))</f>
        <v>1.0132116877372543</v>
      </c>
    </row>
    <row r="46" spans="1:25" x14ac:dyDescent="0.3">
      <c r="A46" s="11" t="s">
        <v>203</v>
      </c>
      <c r="B46" s="11" t="s">
        <v>195</v>
      </c>
      <c r="C46" s="29">
        <v>0.58799999999999997</v>
      </c>
      <c r="D46" s="11" t="s">
        <v>182</v>
      </c>
      <c r="E46" s="59">
        <v>0.05</v>
      </c>
      <c r="F46" s="60">
        <v>0.92</v>
      </c>
      <c r="G46" s="60">
        <v>0.91</v>
      </c>
      <c r="H46" s="61">
        <v>46295</v>
      </c>
      <c r="I46" s="60">
        <v>0.92</v>
      </c>
      <c r="J46" s="62"/>
      <c r="K46" s="62"/>
      <c r="L46" s="63">
        <v>6400</v>
      </c>
      <c r="M46" s="59"/>
      <c r="N46" s="64">
        <v>1</v>
      </c>
      <c r="O46" s="13"/>
      <c r="P46" s="11" t="s">
        <v>116</v>
      </c>
      <c r="Q46" s="59"/>
      <c r="R46" s="59"/>
      <c r="T46" s="65" t="str">
        <f t="shared" si="1"/>
        <v>MM|NC</v>
      </c>
      <c r="V46" s="66">
        <f>IF($T46="","",INDEX(calc_cylr_p,35))</f>
        <v>0.59561077727575185</v>
      </c>
      <c r="W46" s="67">
        <f>IF($T46="","",(INDEX(calc_cylr_p,35)-INDEX(calc_lrcur,35))*100)</f>
        <v>0.76107772757518788</v>
      </c>
      <c r="X46" s="68">
        <f>IF($T46="","",INDEX(calc_arate_p,35))</f>
        <v>1.0063291139240507</v>
      </c>
      <c r="Y46" s="68">
        <f>IF($T46="","",INDEX(calc_amod_p,35))</f>
        <v>1.0065727849395543</v>
      </c>
    </row>
    <row r="47" spans="1:25" x14ac:dyDescent="0.3">
      <c r="A47" s="11" t="s">
        <v>203</v>
      </c>
      <c r="B47" s="11" t="s">
        <v>196</v>
      </c>
      <c r="C47" s="29">
        <v>0.57199999999999995</v>
      </c>
      <c r="D47" s="11" t="s">
        <v>182</v>
      </c>
      <c r="E47" s="59">
        <v>0.05</v>
      </c>
      <c r="F47" s="60">
        <v>0.92</v>
      </c>
      <c r="G47" s="60">
        <v>0.91</v>
      </c>
      <c r="H47" s="61">
        <v>46295</v>
      </c>
      <c r="I47" s="60">
        <v>0.9</v>
      </c>
      <c r="J47" s="62"/>
      <c r="K47" s="62"/>
      <c r="L47" s="63">
        <v>16800</v>
      </c>
      <c r="M47" s="59"/>
      <c r="N47" s="64">
        <v>1</v>
      </c>
      <c r="O47" s="13"/>
      <c r="P47" s="11" t="s">
        <v>116</v>
      </c>
      <c r="Q47" s="59"/>
      <c r="R47" s="59"/>
      <c r="T47" s="65" t="str">
        <f t="shared" si="1"/>
        <v>MM|OH</v>
      </c>
      <c r="V47" s="66">
        <f>IF($T47="","",INDEX(calc_cylr_p,36))</f>
        <v>0.58083405906558161</v>
      </c>
      <c r="W47" s="67">
        <f>IF($T47="","",(INDEX(calc_cylr_p,36)-INDEX(calc_lrcur,36))*100)</f>
        <v>0.88340590655816564</v>
      </c>
      <c r="X47" s="68">
        <f>IF($T47="","",INDEX(calc_arate_p,36))</f>
        <v>1</v>
      </c>
      <c r="Y47" s="68">
        <f>IF($T47="","",INDEX(calc_amod_p,36))</f>
        <v>1.0154441592055623</v>
      </c>
    </row>
    <row r="48" spans="1:25" x14ac:dyDescent="0.3">
      <c r="A48" s="11" t="s">
        <v>203</v>
      </c>
      <c r="B48" s="11" t="s">
        <v>197</v>
      </c>
      <c r="C48" s="29">
        <v>0.6</v>
      </c>
      <c r="D48" s="11" t="s">
        <v>182</v>
      </c>
      <c r="E48" s="59">
        <v>0.05</v>
      </c>
      <c r="F48" s="60">
        <v>0.92</v>
      </c>
      <c r="G48" s="60">
        <v>0.91</v>
      </c>
      <c r="H48" s="61">
        <v>46295</v>
      </c>
      <c r="I48" s="60">
        <v>0.91500000000000004</v>
      </c>
      <c r="J48" s="62"/>
      <c r="K48" s="62"/>
      <c r="L48" s="63">
        <v>13600</v>
      </c>
      <c r="M48" s="59"/>
      <c r="N48" s="64">
        <v>1</v>
      </c>
      <c r="O48" s="13"/>
      <c r="P48" s="11" t="s">
        <v>116</v>
      </c>
      <c r="Q48" s="59"/>
      <c r="R48" s="59"/>
      <c r="T48" s="65" t="str">
        <f t="shared" si="1"/>
        <v>MM|PA</v>
      </c>
      <c r="V48" s="66">
        <f>IF($T48="","",INDEX(calc_cylr_p,37))</f>
        <v>0.60526563878523698</v>
      </c>
      <c r="W48" s="67">
        <f>IF($T48="","",(INDEX(calc_cylr_p,37)-INDEX(calc_lrcur,37))*100)</f>
        <v>0.52656387852370035</v>
      </c>
      <c r="X48" s="68">
        <f>IF($T48="","",INDEX(calc_arate_p,37))</f>
        <v>1</v>
      </c>
      <c r="Y48" s="68">
        <f>IF($T48="","",INDEX(calc_amod_p,37))</f>
        <v>1.0087760646420616</v>
      </c>
    </row>
    <row r="49" spans="1:25" x14ac:dyDescent="0.3">
      <c r="A49" s="11" t="s">
        <v>203</v>
      </c>
      <c r="B49" s="11" t="s">
        <v>198</v>
      </c>
      <c r="C49" s="29">
        <v>0.58399999999999996</v>
      </c>
      <c r="D49" s="11" t="s">
        <v>182</v>
      </c>
      <c r="E49" s="59">
        <v>0.05</v>
      </c>
      <c r="F49" s="60">
        <v>0.92</v>
      </c>
      <c r="G49" s="60">
        <v>0.91</v>
      </c>
      <c r="H49" s="61">
        <v>46295</v>
      </c>
      <c r="I49" s="60">
        <v>0.93</v>
      </c>
      <c r="J49" s="62"/>
      <c r="K49" s="62"/>
      <c r="L49" s="63">
        <v>10400</v>
      </c>
      <c r="M49" s="59"/>
      <c r="N49" s="64">
        <v>1</v>
      </c>
      <c r="O49" s="13"/>
      <c r="P49" s="11" t="s">
        <v>116</v>
      </c>
      <c r="Q49" s="59"/>
      <c r="R49" s="59"/>
      <c r="T49" s="65" t="str">
        <f t="shared" si="1"/>
        <v>MM|SC</v>
      </c>
      <c r="V49" s="66">
        <f>IF($T49="","",INDEX(calc_cylr_p,38))</f>
        <v>0.58124543770587933</v>
      </c>
      <c r="W49" s="67">
        <f>IF($T49="","",(INDEX(calc_cylr_p,38)-INDEX(calc_lrcur,38))*100)</f>
        <v>-0.27545622941206327</v>
      </c>
      <c r="X49" s="68">
        <f>IF($T49="","",INDEX(calc_arate_p,38))</f>
        <v>0.99310344827586206</v>
      </c>
      <c r="Y49" s="68">
        <f>IF($T49="","",INDEX(calc_amod_p,38))</f>
        <v>1.0021949732133812</v>
      </c>
    </row>
    <row r="50" spans="1:25" x14ac:dyDescent="0.3">
      <c r="A50" s="11" t="s">
        <v>203</v>
      </c>
      <c r="B50" s="11" t="s">
        <v>199</v>
      </c>
      <c r="C50" s="29">
        <v>0.56799999999999995</v>
      </c>
      <c r="D50" s="11" t="s">
        <v>182</v>
      </c>
      <c r="E50" s="59">
        <v>0.05</v>
      </c>
      <c r="F50" s="60">
        <v>0.92</v>
      </c>
      <c r="G50" s="60">
        <v>0.91</v>
      </c>
      <c r="H50" s="61">
        <v>46295</v>
      </c>
      <c r="I50" s="60">
        <v>0.91</v>
      </c>
      <c r="J50" s="62"/>
      <c r="K50" s="62"/>
      <c r="L50" s="63">
        <v>7200</v>
      </c>
      <c r="M50" s="59"/>
      <c r="N50" s="64">
        <v>1</v>
      </c>
      <c r="O50" s="13"/>
      <c r="P50" s="11" t="s">
        <v>116</v>
      </c>
      <c r="Q50" s="59"/>
      <c r="R50" s="59"/>
      <c r="T50" s="65" t="str">
        <f t="shared" si="1"/>
        <v>MM|TN</v>
      </c>
      <c r="V50" s="66">
        <f>IF($T50="","",INDEX(calc_cylr_p,39))</f>
        <v>0.57424175824175827</v>
      </c>
      <c r="W50" s="67">
        <f>IF($T50="","",(INDEX(calc_cylr_p,39)-INDEX(calc_lrcur,39))*100)</f>
        <v>0.62417582417583217</v>
      </c>
      <c r="X50" s="68">
        <f>IF($T50="","",INDEX(calc_arate_p,39))</f>
        <v>1</v>
      </c>
      <c r="Y50" s="68">
        <f>IF($T50="","",INDEX(calc_amod_p,39))</f>
        <v>1.0109890109890112</v>
      </c>
    </row>
    <row r="51" spans="1:25" x14ac:dyDescent="0.3">
      <c r="A51" s="11" t="s">
        <v>203</v>
      </c>
      <c r="B51" s="11" t="s">
        <v>200</v>
      </c>
      <c r="C51" s="29">
        <v>0.59599999999999997</v>
      </c>
      <c r="D51" s="11" t="s">
        <v>182</v>
      </c>
      <c r="E51" s="59">
        <v>0.05</v>
      </c>
      <c r="F51" s="60">
        <v>0.92</v>
      </c>
      <c r="G51" s="60">
        <v>0.91</v>
      </c>
      <c r="H51" s="61">
        <v>46295</v>
      </c>
      <c r="I51" s="60">
        <v>0.92500000000000004</v>
      </c>
      <c r="J51" s="62"/>
      <c r="K51" s="62"/>
      <c r="L51" s="63">
        <v>17600</v>
      </c>
      <c r="M51" s="59"/>
      <c r="N51" s="64">
        <v>1</v>
      </c>
      <c r="O51" s="13"/>
      <c r="P51" s="11" t="s">
        <v>116</v>
      </c>
      <c r="Q51" s="59"/>
      <c r="R51" s="59"/>
      <c r="T51" s="65" t="str">
        <f t="shared" si="1"/>
        <v>MM|VA</v>
      </c>
      <c r="V51" s="66">
        <f>IF($T51="","",INDEX(calc_cylr_p,40))</f>
        <v>0.59860994877353613</v>
      </c>
      <c r="W51" s="67">
        <f>IF($T51="","",(INDEX(calc_cylr_p,40)-INDEX(calc_lrcur,40))*100)</f>
        <v>0.26099487735361526</v>
      </c>
      <c r="X51" s="68">
        <f>IF($T51="","",INDEX(calc_arate_p,40))</f>
        <v>0.99999999999999978</v>
      </c>
      <c r="Y51" s="68">
        <f>IF($T51="","",INDEX(calc_amod_p,40))</f>
        <v>1.0043791086804299</v>
      </c>
    </row>
    <row r="52" spans="1:25" x14ac:dyDescent="0.3">
      <c r="A52" s="11" t="s">
        <v>203</v>
      </c>
      <c r="B52" s="11" t="s">
        <v>201</v>
      </c>
      <c r="C52" s="29">
        <v>0.57999999999999996</v>
      </c>
      <c r="D52" s="11" t="s">
        <v>182</v>
      </c>
      <c r="E52" s="59">
        <v>0.05</v>
      </c>
      <c r="F52" s="60">
        <v>0.92</v>
      </c>
      <c r="G52" s="60">
        <v>0.91</v>
      </c>
      <c r="H52" s="61">
        <v>46295</v>
      </c>
      <c r="I52" s="60">
        <v>0.90500000000000003</v>
      </c>
      <c r="J52" s="62"/>
      <c r="K52" s="62"/>
      <c r="L52" s="63">
        <v>14400</v>
      </c>
      <c r="M52" s="59"/>
      <c r="N52" s="64">
        <v>1</v>
      </c>
      <c r="O52" s="13"/>
      <c r="P52" s="11" t="s">
        <v>116</v>
      </c>
      <c r="Q52" s="59"/>
      <c r="R52" s="59"/>
      <c r="T52" s="65" t="str">
        <f t="shared" si="1"/>
        <v>MM|WV</v>
      </c>
      <c r="V52" s="66">
        <f>IF($T52="","",INDEX(calc_cylr_p,41))</f>
        <v>0.58766277888760732</v>
      </c>
      <c r="W52" s="67">
        <f>IF($T52="","",(INDEX(calc_cylr_p,41)-INDEX(calc_lrcur,41))*100)</f>
        <v>0.76627788876073577</v>
      </c>
      <c r="X52" s="68">
        <f>IF($T52="","",INDEX(calc_arate_p,41))</f>
        <v>0.99999999999999978</v>
      </c>
      <c r="Y52" s="68">
        <f>IF($T52="","",INDEX(calc_amod_p,41))</f>
        <v>1.0132116877372543</v>
      </c>
    </row>
    <row r="53" spans="1:25" x14ac:dyDescent="0.3">
      <c r="A53" s="11" t="s">
        <v>203</v>
      </c>
      <c r="B53" s="11" t="s">
        <v>202</v>
      </c>
      <c r="C53" s="29">
        <v>0.56399999999999995</v>
      </c>
      <c r="D53" s="11" t="s">
        <v>182</v>
      </c>
      <c r="E53" s="59">
        <v>0.05</v>
      </c>
      <c r="F53" s="60">
        <v>0.92</v>
      </c>
      <c r="G53" s="60">
        <v>0.91</v>
      </c>
      <c r="H53" s="61">
        <v>46295</v>
      </c>
      <c r="I53" s="60">
        <v>0.92</v>
      </c>
      <c r="J53" s="62"/>
      <c r="K53" s="62"/>
      <c r="L53" s="63">
        <v>11200</v>
      </c>
      <c r="M53" s="59"/>
      <c r="N53" s="64">
        <v>1</v>
      </c>
      <c r="O53" s="13"/>
      <c r="P53" s="11" t="s">
        <v>116</v>
      </c>
      <c r="Q53" s="59"/>
      <c r="R53" s="59"/>
      <c r="T53" s="65" t="str">
        <f t="shared" si="1"/>
        <v>MM|WI</v>
      </c>
      <c r="V53" s="66">
        <f>IF($T53="","",INDEX(calc_cylr_p,42))</f>
        <v>0.55296141302523572</v>
      </c>
      <c r="W53" s="67">
        <f>IF($T53="","",(INDEX(calc_cylr_p,42)-INDEX(calc_lrcur,42))*100)</f>
        <v>-1.1038586974764231</v>
      </c>
      <c r="X53" s="68">
        <f>IF($T53="","",INDEX(calc_arate_p,42))</f>
        <v>0.97402597402597413</v>
      </c>
      <c r="Y53" s="68">
        <f>IF($T53="","",INDEX(calc_amod_p,42))</f>
        <v>1.0065727849395543</v>
      </c>
    </row>
    <row r="54" spans="1:25" x14ac:dyDescent="0.3">
      <c r="A54" s="11" t="s">
        <v>206</v>
      </c>
      <c r="B54" s="11" t="s">
        <v>105</v>
      </c>
      <c r="C54" s="29">
        <v>0.59199999999999997</v>
      </c>
      <c r="D54" s="11" t="s">
        <v>182</v>
      </c>
      <c r="E54" s="59">
        <v>0.05</v>
      </c>
      <c r="F54" s="60">
        <v>0.92</v>
      </c>
      <c r="G54" s="60">
        <v>0.91</v>
      </c>
      <c r="H54" s="61">
        <v>46295</v>
      </c>
      <c r="I54" s="60">
        <v>0.9</v>
      </c>
      <c r="J54" s="62"/>
      <c r="K54" s="62"/>
      <c r="L54" s="63">
        <v>8000</v>
      </c>
      <c r="M54" s="59"/>
      <c r="N54" s="64">
        <v>1</v>
      </c>
      <c r="O54" s="13"/>
      <c r="P54" s="11" t="s">
        <v>116</v>
      </c>
      <c r="Q54" s="59"/>
      <c r="R54" s="59"/>
      <c r="T54" s="65" t="str">
        <f t="shared" si="1"/>
        <v>SBA|AZ</v>
      </c>
      <c r="V54" s="66">
        <f>IF($T54="","",INDEX(calc_cylr_p,43))</f>
        <v>0.601142942249693</v>
      </c>
      <c r="W54" s="67">
        <f>IF($T54="","",(INDEX(calc_cylr_p,43)-INDEX(calc_lrcur,43))*100)</f>
        <v>0.91429422496930313</v>
      </c>
      <c r="X54" s="68">
        <f>IF($T54="","",INDEX(calc_arate_p,43))</f>
        <v>1.0000000000000002</v>
      </c>
      <c r="Y54" s="68">
        <f>IF($T54="","",INDEX(calc_amod_p,43))</f>
        <v>1.0154441592055623</v>
      </c>
    </row>
    <row r="55" spans="1:25" x14ac:dyDescent="0.3">
      <c r="A55" s="11" t="s">
        <v>206</v>
      </c>
      <c r="B55" s="11" t="s">
        <v>183</v>
      </c>
      <c r="C55" s="29">
        <v>0.57599999999999996</v>
      </c>
      <c r="D55" s="11" t="s">
        <v>182</v>
      </c>
      <c r="E55" s="59">
        <v>0.05</v>
      </c>
      <c r="F55" s="60">
        <v>0.92</v>
      </c>
      <c r="G55" s="60">
        <v>0.91</v>
      </c>
      <c r="H55" s="61">
        <v>46295</v>
      </c>
      <c r="I55" s="60">
        <v>0.91500000000000004</v>
      </c>
      <c r="J55" s="62"/>
      <c r="K55" s="62"/>
      <c r="L55" s="63">
        <v>18400</v>
      </c>
      <c r="M55" s="59"/>
      <c r="N55" s="64">
        <v>1</v>
      </c>
      <c r="O55" s="13"/>
      <c r="P55" s="11" t="s">
        <v>116</v>
      </c>
      <c r="Q55" s="59"/>
      <c r="R55" s="59"/>
      <c r="T55" s="65" t="str">
        <f t="shared" si="1"/>
        <v>SBA|CO</v>
      </c>
      <c r="V55" s="66">
        <f>IF($T55="","",INDEX(calc_cylr_p,44))</f>
        <v>0.58124722461762945</v>
      </c>
      <c r="W55" s="67">
        <f>IF($T55="","",(INDEX(calc_cylr_p,44)-INDEX(calc_lrcur,44))*100)</f>
        <v>0.52472246176294979</v>
      </c>
      <c r="X55" s="68">
        <f>IF($T55="","",INDEX(calc_arate_p,44))</f>
        <v>1.0003307972213031</v>
      </c>
      <c r="Y55" s="68">
        <f>IF($T55="","",INDEX(calc_amod_p,44))</f>
        <v>1.0087760646420616</v>
      </c>
    </row>
    <row r="56" spans="1:25" x14ac:dyDescent="0.3">
      <c r="A56" s="11" t="s">
        <v>206</v>
      </c>
      <c r="B56" s="11" t="s">
        <v>184</v>
      </c>
      <c r="C56" s="29">
        <v>0.56000000000000005</v>
      </c>
      <c r="D56" s="11" t="s">
        <v>182</v>
      </c>
      <c r="E56" s="59">
        <v>0.05</v>
      </c>
      <c r="F56" s="60">
        <v>0.92</v>
      </c>
      <c r="G56" s="60">
        <v>0.91</v>
      </c>
      <c r="H56" s="61">
        <v>46295</v>
      </c>
      <c r="I56" s="60">
        <v>0.93</v>
      </c>
      <c r="J56" s="62"/>
      <c r="K56" s="62"/>
      <c r="L56" s="63">
        <v>15200</v>
      </c>
      <c r="M56" s="59"/>
      <c r="N56" s="64">
        <v>1</v>
      </c>
      <c r="O56" s="13"/>
      <c r="P56" s="11" t="s">
        <v>116</v>
      </c>
      <c r="Q56" s="59"/>
      <c r="R56" s="59"/>
      <c r="T56" s="65" t="str">
        <f t="shared" si="1"/>
        <v>SBA|DE</v>
      </c>
      <c r="V56" s="66">
        <f>IF($T56="","",INDEX(calc_cylr_p,45))</f>
        <v>0.56122918499949359</v>
      </c>
      <c r="W56" s="67">
        <f>IF($T56="","",(INDEX(calc_cylr_p,45)-INDEX(calc_lrcur,45))*100)</f>
        <v>0.12291849994935378</v>
      </c>
      <c r="X56" s="68">
        <f>IF($T56="","",INDEX(calc_arate_p,45))</f>
        <v>1</v>
      </c>
      <c r="Y56" s="68">
        <f>IF($T56="","",INDEX(calc_amod_p,45))</f>
        <v>1.0021949732133812</v>
      </c>
    </row>
    <row r="57" spans="1:25" x14ac:dyDescent="0.3">
      <c r="A57" s="11" t="s">
        <v>206</v>
      </c>
      <c r="B57" s="11" t="s">
        <v>185</v>
      </c>
      <c r="C57" s="29">
        <v>0.58799999999999997</v>
      </c>
      <c r="D57" s="11" t="s">
        <v>182</v>
      </c>
      <c r="E57" s="59">
        <v>0.05</v>
      </c>
      <c r="F57" s="60">
        <v>0.92</v>
      </c>
      <c r="G57" s="60">
        <v>0.91</v>
      </c>
      <c r="H57" s="61">
        <v>46295</v>
      </c>
      <c r="I57" s="60">
        <v>0.91</v>
      </c>
      <c r="J57" s="62"/>
      <c r="K57" s="62"/>
      <c r="L57" s="63">
        <v>12000</v>
      </c>
      <c r="M57" s="59"/>
      <c r="N57" s="64">
        <v>1</v>
      </c>
      <c r="O57" s="13"/>
      <c r="P57" s="11" t="s">
        <v>116</v>
      </c>
      <c r="Q57" s="59"/>
      <c r="R57" s="59"/>
      <c r="T57" s="65" t="str">
        <f t="shared" si="1"/>
        <v>SBA|FL</v>
      </c>
      <c r="V57" s="66">
        <f>IF($T57="","",INDEX(calc_cylr_p,46))</f>
        <v>0.58734999683321487</v>
      </c>
      <c r="W57" s="67">
        <f>IF($T57="","",(INDEX(calc_cylr_p,46)-INDEX(calc_lrcur,46))*100)</f>
        <v>-6.5000316678509584E-2</v>
      </c>
      <c r="X57" s="68">
        <f>IF($T57="","",INDEX(calc_arate_p,46))</f>
        <v>0.98803700295442454</v>
      </c>
      <c r="Y57" s="68">
        <f>IF($T57="","",INDEX(calc_amod_p,46))</f>
        <v>1.0109890109890112</v>
      </c>
    </row>
    <row r="58" spans="1:25" x14ac:dyDescent="0.3">
      <c r="A58" s="11" t="s">
        <v>206</v>
      </c>
      <c r="B58" s="11" t="s">
        <v>186</v>
      </c>
      <c r="C58" s="29">
        <v>0.57199999999999995</v>
      </c>
      <c r="D58" s="11" t="s">
        <v>182</v>
      </c>
      <c r="E58" s="59">
        <v>0.05</v>
      </c>
      <c r="F58" s="60">
        <v>0.92</v>
      </c>
      <c r="G58" s="60">
        <v>0.91</v>
      </c>
      <c r="H58" s="61">
        <v>46295</v>
      </c>
      <c r="I58" s="60">
        <v>0.92500000000000004</v>
      </c>
      <c r="J58" s="62"/>
      <c r="K58" s="62"/>
      <c r="L58" s="63">
        <v>8800</v>
      </c>
      <c r="M58" s="59"/>
      <c r="N58" s="64">
        <v>1</v>
      </c>
      <c r="O58" s="13"/>
      <c r="P58" s="11" t="s">
        <v>116</v>
      </c>
      <c r="Q58" s="59"/>
      <c r="R58" s="59"/>
      <c r="T58" s="65" t="str">
        <f t="shared" si="1"/>
        <v>SBA|GA</v>
      </c>
      <c r="V58" s="66">
        <f>IF($T58="","",INDEX(calc_cylr_p,47))</f>
        <v>0.5745048501652058</v>
      </c>
      <c r="W58" s="67">
        <f>IF($T58="","",(INDEX(calc_cylr_p,47)-INDEX(calc_lrcur,47))*100)</f>
        <v>0.25048501652058519</v>
      </c>
      <c r="X58" s="68">
        <f>IF($T58="","",INDEX(calc_arate_p,47))</f>
        <v>1</v>
      </c>
      <c r="Y58" s="68">
        <f>IF($T58="","",INDEX(calc_amod_p,47))</f>
        <v>1.0043791086804299</v>
      </c>
    </row>
    <row r="59" spans="1:25" x14ac:dyDescent="0.3">
      <c r="A59" s="11" t="s">
        <v>206</v>
      </c>
      <c r="B59" s="11" t="s">
        <v>187</v>
      </c>
      <c r="C59" s="29">
        <v>0.6</v>
      </c>
      <c r="D59" s="11" t="s">
        <v>182</v>
      </c>
      <c r="E59" s="59">
        <v>0.05</v>
      </c>
      <c r="F59" s="60">
        <v>0.92</v>
      </c>
      <c r="G59" s="60">
        <v>0.91</v>
      </c>
      <c r="H59" s="61">
        <v>46295</v>
      </c>
      <c r="I59" s="60">
        <v>0.90500000000000003</v>
      </c>
      <c r="J59" s="62"/>
      <c r="K59" s="62"/>
      <c r="L59" s="63">
        <v>19200</v>
      </c>
      <c r="M59" s="59"/>
      <c r="N59" s="64">
        <v>1</v>
      </c>
      <c r="O59" s="13"/>
      <c r="P59" s="11" t="s">
        <v>116</v>
      </c>
      <c r="Q59" s="59"/>
      <c r="R59" s="59"/>
      <c r="T59" s="65" t="str">
        <f t="shared" si="1"/>
        <v>SBA|IA</v>
      </c>
      <c r="V59" s="66">
        <f>IF($T59="","",INDEX(calc_cylr_p,48))</f>
        <v>0.6079270126423526</v>
      </c>
      <c r="W59" s="67">
        <f>IF($T59="","",(INDEX(calc_cylr_p,48)-INDEX(calc_lrcur,48))*100)</f>
        <v>0.79270126423526266</v>
      </c>
      <c r="X59" s="68">
        <f>IF($T59="","",INDEX(calc_arate_p,48))</f>
        <v>1</v>
      </c>
      <c r="Y59" s="68">
        <f>IF($T59="","",INDEX(calc_amod_p,48))</f>
        <v>1.0132116877372543</v>
      </c>
    </row>
    <row r="60" spans="1:25" x14ac:dyDescent="0.3">
      <c r="A60" s="11" t="s">
        <v>206</v>
      </c>
      <c r="B60" s="11" t="s">
        <v>188</v>
      </c>
      <c r="C60" s="29">
        <v>0.58399999999999996</v>
      </c>
      <c r="D60" s="11" t="s">
        <v>182</v>
      </c>
      <c r="E60" s="59">
        <v>6.5000000000000002E-2</v>
      </c>
      <c r="F60" s="60">
        <v>0.92</v>
      </c>
      <c r="G60" s="60">
        <v>0.91</v>
      </c>
      <c r="H60" s="61">
        <v>46295</v>
      </c>
      <c r="I60" s="60">
        <v>0.92</v>
      </c>
      <c r="J60" s="62"/>
      <c r="K60" s="62"/>
      <c r="L60" s="63">
        <v>16000</v>
      </c>
      <c r="M60" s="59"/>
      <c r="N60" s="64">
        <v>1</v>
      </c>
      <c r="O60" s="13"/>
      <c r="P60" s="11" t="s">
        <v>116</v>
      </c>
      <c r="Q60" s="59"/>
      <c r="R60" s="59"/>
      <c r="T60" s="65" t="str">
        <f t="shared" si="1"/>
        <v>SBA|IL</v>
      </c>
      <c r="V60" s="66">
        <f>IF($T60="","",INDEX(calc_cylr_p,49))</f>
        <v>0.55196103887765247</v>
      </c>
      <c r="W60" s="67">
        <f>IF($T60="","",(INDEX(calc_cylr_p,49)-INDEX(calc_lrcur,49))*100)</f>
        <v>-3.2038961122347498</v>
      </c>
      <c r="X60" s="68">
        <f>IF($T60="","",INDEX(calc_arate_p,49))</f>
        <v>0.93896713615023497</v>
      </c>
      <c r="Y60" s="68">
        <f>IF($T60="","",INDEX(calc_amod_p,49))</f>
        <v>1.0065727849395543</v>
      </c>
    </row>
    <row r="61" spans="1:25" x14ac:dyDescent="0.3">
      <c r="A61" s="11" t="s">
        <v>206</v>
      </c>
      <c r="B61" s="11" t="s">
        <v>189</v>
      </c>
      <c r="C61" s="29">
        <v>0.56799999999999995</v>
      </c>
      <c r="D61" s="11" t="s">
        <v>182</v>
      </c>
      <c r="E61" s="59">
        <v>0.05</v>
      </c>
      <c r="F61" s="60">
        <v>0.92</v>
      </c>
      <c r="G61" s="60">
        <v>0.91</v>
      </c>
      <c r="H61" s="61">
        <v>46295</v>
      </c>
      <c r="I61" s="60">
        <v>0.9</v>
      </c>
      <c r="J61" s="62"/>
      <c r="K61" s="62"/>
      <c r="L61" s="63">
        <v>12800</v>
      </c>
      <c r="M61" s="59"/>
      <c r="N61" s="64">
        <v>1</v>
      </c>
      <c r="O61" s="13"/>
      <c r="P61" s="11" t="s">
        <v>116</v>
      </c>
      <c r="Q61" s="59"/>
      <c r="R61" s="59"/>
      <c r="T61" s="65" t="str">
        <f t="shared" si="1"/>
        <v>SBA|IN</v>
      </c>
      <c r="V61" s="66">
        <f>IF($T61="","",INDEX(calc_cylr_p,50))</f>
        <v>0.57533394755985956</v>
      </c>
      <c r="W61" s="67">
        <f>IF($T61="","",(INDEX(calc_cylr_p,50)-INDEX(calc_lrcur,50))*100)</f>
        <v>0.73339475598596104</v>
      </c>
      <c r="X61" s="68">
        <f>IF($T61="","",INDEX(calc_arate_p,50))</f>
        <v>0.9975062344139648</v>
      </c>
      <c r="Y61" s="68">
        <f>IF($T61="","",INDEX(calc_amod_p,50))</f>
        <v>1.0154441592055623</v>
      </c>
    </row>
    <row r="62" spans="1:25" x14ac:dyDescent="0.3">
      <c r="A62" s="11" t="s">
        <v>206</v>
      </c>
      <c r="B62" s="11" t="s">
        <v>190</v>
      </c>
      <c r="C62" s="29">
        <v>0.59599999999999997</v>
      </c>
      <c r="D62" s="11" t="s">
        <v>182</v>
      </c>
      <c r="E62" s="59">
        <v>0.05</v>
      </c>
      <c r="F62" s="60">
        <v>0.92</v>
      </c>
      <c r="G62" s="60">
        <v>0.91</v>
      </c>
      <c r="H62" s="61">
        <v>46295</v>
      </c>
      <c r="I62" s="60">
        <v>0.91500000000000004</v>
      </c>
      <c r="J62" s="62"/>
      <c r="K62" s="62"/>
      <c r="L62" s="63">
        <v>9600</v>
      </c>
      <c r="M62" s="59"/>
      <c r="N62" s="64">
        <v>1</v>
      </c>
      <c r="O62" s="13"/>
      <c r="P62" s="11" t="s">
        <v>116</v>
      </c>
      <c r="Q62" s="59">
        <v>0.1</v>
      </c>
      <c r="R62" s="59"/>
      <c r="T62" s="65" t="str">
        <f t="shared" si="1"/>
        <v>SBA|KY</v>
      </c>
      <c r="V62" s="66">
        <f>IF($T62="","",INDEX(calc_cylr_p,51))</f>
        <v>0.54805984563196153</v>
      </c>
      <c r="W62" s="67">
        <f>IF($T62="","",(INDEX(calc_cylr_p,51)-INDEX(calc_lrcur,51))*100)</f>
        <v>-4.7940154368038446</v>
      </c>
      <c r="X62" s="68">
        <f>IF($T62="","",INDEX(calc_arate_p,51))</f>
        <v>0.91956349938248583</v>
      </c>
      <c r="Y62" s="68">
        <f>IF($T62="","",INDEX(calc_amod_p,51))</f>
        <v>1</v>
      </c>
    </row>
    <row r="63" spans="1:25" x14ac:dyDescent="0.3">
      <c r="A63" s="11" t="s">
        <v>206</v>
      </c>
      <c r="B63" s="11" t="s">
        <v>191</v>
      </c>
      <c r="C63" s="29">
        <v>0.57999999999999996</v>
      </c>
      <c r="D63" s="11" t="s">
        <v>182</v>
      </c>
      <c r="E63" s="59">
        <v>0.05</v>
      </c>
      <c r="F63" s="60">
        <v>0.92</v>
      </c>
      <c r="G63" s="60">
        <v>0.91</v>
      </c>
      <c r="H63" s="61">
        <v>46295</v>
      </c>
      <c r="I63" s="60">
        <v>0.93</v>
      </c>
      <c r="J63" s="62"/>
      <c r="K63" s="62"/>
      <c r="L63" s="63">
        <v>6400</v>
      </c>
      <c r="M63" s="59"/>
      <c r="N63" s="64">
        <v>1</v>
      </c>
      <c r="O63" s="13"/>
      <c r="P63" s="11" t="s">
        <v>116</v>
      </c>
      <c r="Q63" s="59"/>
      <c r="R63" s="59"/>
      <c r="T63" s="65" t="str">
        <f t="shared" si="1"/>
        <v>SBA|MD</v>
      </c>
      <c r="V63" s="66">
        <f>IF($T63="","",INDEX(calc_cylr_p,52))</f>
        <v>0.58127308446376114</v>
      </c>
      <c r="W63" s="67">
        <f>IF($T63="","",(INDEX(calc_cylr_p,52)-INDEX(calc_lrcur,52))*100)</f>
        <v>0.1273084463761176</v>
      </c>
      <c r="X63" s="68">
        <f>IF($T63="","",INDEX(calc_arate_p,52))</f>
        <v>1</v>
      </c>
      <c r="Y63" s="68">
        <f>IF($T63="","",INDEX(calc_amod_p,52))</f>
        <v>1.0021949732133812</v>
      </c>
    </row>
    <row r="64" spans="1:25" x14ac:dyDescent="0.3">
      <c r="A64" s="11" t="s">
        <v>206</v>
      </c>
      <c r="B64" s="11" t="s">
        <v>192</v>
      </c>
      <c r="C64" s="29">
        <v>0.56399999999999995</v>
      </c>
      <c r="D64" s="11" t="s">
        <v>182</v>
      </c>
      <c r="E64" s="59">
        <v>0.05</v>
      </c>
      <c r="F64" s="60">
        <v>0.92</v>
      </c>
      <c r="G64" s="60">
        <v>0.91</v>
      </c>
      <c r="H64" s="61">
        <v>46295</v>
      </c>
      <c r="I64" s="60">
        <v>0.91</v>
      </c>
      <c r="J64" s="62"/>
      <c r="K64" s="62"/>
      <c r="L64" s="63">
        <v>16800</v>
      </c>
      <c r="M64" s="59"/>
      <c r="N64" s="64">
        <v>1</v>
      </c>
      <c r="O64" s="13"/>
      <c r="P64" s="11" t="s">
        <v>116</v>
      </c>
      <c r="Q64" s="59"/>
      <c r="R64" s="59"/>
      <c r="T64" s="65" t="str">
        <f t="shared" si="1"/>
        <v>SBA|MI</v>
      </c>
      <c r="V64" s="66">
        <f>IF($T64="","",INDEX(calc_cylr_p,53))</f>
        <v>0.57019780219780236</v>
      </c>
      <c r="W64" s="67">
        <f>IF($T64="","",(INDEX(calc_cylr_p,53)-INDEX(calc_lrcur,53))*100)</f>
        <v>0.61978021978024156</v>
      </c>
      <c r="X64" s="68">
        <f>IF($T64="","",INDEX(calc_arate_p,53))</f>
        <v>1.0000000000000002</v>
      </c>
      <c r="Y64" s="68">
        <f>IF($T64="","",INDEX(calc_amod_p,53))</f>
        <v>1.0109890109890112</v>
      </c>
    </row>
    <row r="65" spans="1:25" x14ac:dyDescent="0.3">
      <c r="A65" s="11" t="s">
        <v>206</v>
      </c>
      <c r="B65" s="11" t="s">
        <v>193</v>
      </c>
      <c r="C65" s="29">
        <v>0.59199999999999997</v>
      </c>
      <c r="D65" s="11" t="s">
        <v>182</v>
      </c>
      <c r="E65" s="59">
        <v>0.05</v>
      </c>
      <c r="F65" s="60">
        <v>0.92</v>
      </c>
      <c r="G65" s="60">
        <v>0.91</v>
      </c>
      <c r="H65" s="61">
        <v>46295</v>
      </c>
      <c r="I65" s="60">
        <v>0.92500000000000004</v>
      </c>
      <c r="J65" s="62"/>
      <c r="K65" s="62"/>
      <c r="L65" s="63">
        <v>13600</v>
      </c>
      <c r="M65" s="59"/>
      <c r="N65" s="64">
        <v>1</v>
      </c>
      <c r="O65" s="13"/>
      <c r="P65" s="11" t="s">
        <v>116</v>
      </c>
      <c r="Q65" s="59"/>
      <c r="R65" s="59"/>
      <c r="T65" s="65" t="str">
        <f t="shared" si="1"/>
        <v>SBA|MN</v>
      </c>
      <c r="V65" s="66">
        <f>IF($T65="","",INDEX(calc_cylr_p,54))</f>
        <v>0.58293375719491614</v>
      </c>
      <c r="W65" s="67">
        <f>IF($T65="","",(INDEX(calc_cylr_p,54)-INDEX(calc_lrcur,54))*100)</f>
        <v>-0.90662428050838351</v>
      </c>
      <c r="X65" s="68">
        <f>IF($T65="","",INDEX(calc_arate_p,54))</f>
        <v>0.98039215686274506</v>
      </c>
      <c r="Y65" s="68">
        <f>IF($T65="","",INDEX(calc_amod_p,54))</f>
        <v>1.0043791086804299</v>
      </c>
    </row>
    <row r="66" spans="1:25" x14ac:dyDescent="0.3">
      <c r="A66" s="11" t="s">
        <v>206</v>
      </c>
      <c r="B66" s="11" t="s">
        <v>194</v>
      </c>
      <c r="C66" s="29">
        <v>0.57599999999999996</v>
      </c>
      <c r="D66" s="11" t="s">
        <v>182</v>
      </c>
      <c r="E66" s="59">
        <v>0.05</v>
      </c>
      <c r="F66" s="60">
        <v>0.92</v>
      </c>
      <c r="G66" s="60">
        <v>0.91</v>
      </c>
      <c r="H66" s="61">
        <v>46295</v>
      </c>
      <c r="I66" s="60">
        <v>0.90500000000000003</v>
      </c>
      <c r="J66" s="62"/>
      <c r="K66" s="62"/>
      <c r="L66" s="63">
        <v>10400</v>
      </c>
      <c r="M66" s="59"/>
      <c r="N66" s="64">
        <v>1</v>
      </c>
      <c r="O66" s="13"/>
      <c r="P66" s="11" t="s">
        <v>116</v>
      </c>
      <c r="Q66" s="59"/>
      <c r="R66" s="59"/>
      <c r="T66" s="65" t="str">
        <f t="shared" si="1"/>
        <v>SBA|NM</v>
      </c>
      <c r="V66" s="66">
        <f>IF($T66="","",INDEX(calc_cylr_p,55))</f>
        <v>0.58360993213665835</v>
      </c>
      <c r="W66" s="67">
        <f>IF($T66="","",(INDEX(calc_cylr_p,55)-INDEX(calc_lrcur,55))*100)</f>
        <v>0.76099321366583927</v>
      </c>
      <c r="X66" s="68">
        <f>IF($T66="","",INDEX(calc_arate_p,55))</f>
        <v>0.99999999999999978</v>
      </c>
      <c r="Y66" s="68">
        <f>IF($T66="","",INDEX(calc_amod_p,55))</f>
        <v>1.0132116877372543</v>
      </c>
    </row>
    <row r="67" spans="1:25" x14ac:dyDescent="0.3">
      <c r="A67" s="11" t="s">
        <v>206</v>
      </c>
      <c r="B67" s="11" t="s">
        <v>195</v>
      </c>
      <c r="C67" s="29">
        <v>0.56000000000000005</v>
      </c>
      <c r="D67" s="11" t="s">
        <v>182</v>
      </c>
      <c r="E67" s="59">
        <v>0.05</v>
      </c>
      <c r="F67" s="60">
        <v>0.92</v>
      </c>
      <c r="G67" s="60">
        <v>0.91</v>
      </c>
      <c r="H67" s="61">
        <v>46295</v>
      </c>
      <c r="I67" s="60">
        <v>0.92</v>
      </c>
      <c r="J67" s="62"/>
      <c r="K67" s="62"/>
      <c r="L67" s="63">
        <v>7200</v>
      </c>
      <c r="M67" s="59"/>
      <c r="N67" s="64">
        <v>1</v>
      </c>
      <c r="O67" s="13"/>
      <c r="P67" s="11" t="s">
        <v>116</v>
      </c>
      <c r="Q67" s="59"/>
      <c r="R67" s="59"/>
      <c r="T67" s="65" t="str">
        <f t="shared" si="1"/>
        <v>SBA|NC</v>
      </c>
      <c r="V67" s="66">
        <f>IF($T67="","",INDEX(calc_cylr_p,56))</f>
        <v>0.56375752393487788</v>
      </c>
      <c r="W67" s="67">
        <f>IF($T67="","",(INDEX(calc_cylr_p,56)-INDEX(calc_lrcur,56))*100)</f>
        <v>0.37575239348778267</v>
      </c>
      <c r="X67" s="68">
        <f>IF($T67="","",INDEX(calc_arate_p,56))</f>
        <v>1.0001361841209313</v>
      </c>
      <c r="Y67" s="68">
        <f>IF($T67="","",INDEX(calc_amod_p,56))</f>
        <v>1.0065727849395543</v>
      </c>
    </row>
    <row r="68" spans="1:25" x14ac:dyDescent="0.3">
      <c r="A68" s="11" t="s">
        <v>206</v>
      </c>
      <c r="B68" s="11" t="s">
        <v>196</v>
      </c>
      <c r="C68" s="29">
        <v>0.58799999999999997</v>
      </c>
      <c r="D68" s="11" t="s">
        <v>182</v>
      </c>
      <c r="E68" s="59">
        <v>0.05</v>
      </c>
      <c r="F68" s="60">
        <v>0.92</v>
      </c>
      <c r="G68" s="60">
        <v>0.91</v>
      </c>
      <c r="H68" s="61">
        <v>46295</v>
      </c>
      <c r="I68" s="60">
        <v>0.9</v>
      </c>
      <c r="J68" s="62"/>
      <c r="K68" s="62"/>
      <c r="L68" s="63">
        <v>17600</v>
      </c>
      <c r="M68" s="59"/>
      <c r="N68" s="64">
        <v>1</v>
      </c>
      <c r="O68" s="13"/>
      <c r="P68" s="11" t="s">
        <v>116</v>
      </c>
      <c r="Q68" s="59"/>
      <c r="R68" s="59"/>
      <c r="T68" s="65" t="str">
        <f t="shared" si="1"/>
        <v>SBA|OH</v>
      </c>
      <c r="V68" s="66">
        <f>IF($T68="","",INDEX(calc_cylr_p,57))</f>
        <v>0.59708116561287061</v>
      </c>
      <c r="W68" s="67">
        <f>IF($T68="","",(INDEX(calc_cylr_p,57)-INDEX(calc_lrcur,57))*100)</f>
        <v>0.90811656128706453</v>
      </c>
      <c r="X68" s="68">
        <f>IF($T68="","",INDEX(calc_arate_p,57))</f>
        <v>1</v>
      </c>
      <c r="Y68" s="68">
        <f>IF($T68="","",INDEX(calc_amod_p,57))</f>
        <v>1.0154441592055623</v>
      </c>
    </row>
    <row r="69" spans="1:25" x14ac:dyDescent="0.3">
      <c r="A69" s="11" t="s">
        <v>206</v>
      </c>
      <c r="B69" s="11" t="s">
        <v>197</v>
      </c>
      <c r="C69" s="29">
        <v>0.57199999999999995</v>
      </c>
      <c r="D69" s="11" t="s">
        <v>182</v>
      </c>
      <c r="E69" s="59">
        <v>0.05</v>
      </c>
      <c r="F69" s="60">
        <v>0.92</v>
      </c>
      <c r="G69" s="60">
        <v>0.91</v>
      </c>
      <c r="H69" s="61">
        <v>46295</v>
      </c>
      <c r="I69" s="60">
        <v>0.91500000000000004</v>
      </c>
      <c r="J69" s="62"/>
      <c r="K69" s="62"/>
      <c r="L69" s="63">
        <v>14400</v>
      </c>
      <c r="M69" s="59"/>
      <c r="N69" s="64">
        <v>1</v>
      </c>
      <c r="O69" s="13"/>
      <c r="P69" s="11" t="s">
        <v>116</v>
      </c>
      <c r="Q69" s="59"/>
      <c r="R69" s="59"/>
      <c r="T69" s="65" t="str">
        <f t="shared" si="1"/>
        <v>SBA|PA</v>
      </c>
      <c r="V69" s="66">
        <f>IF($T69="","",INDEX(calc_cylr_p,58))</f>
        <v>0.57441173602854845</v>
      </c>
      <c r="W69" s="67">
        <f>IF($T69="","",(INDEX(calc_cylr_p,58)-INDEX(calc_lrcur,58))*100)</f>
        <v>0.24117360285484946</v>
      </c>
      <c r="X69" s="68">
        <f>IF($T69="","",INDEX(calc_arate_p,58))</f>
        <v>0.99547992555171516</v>
      </c>
      <c r="Y69" s="68">
        <f>IF($T69="","",INDEX(calc_amod_p,58))</f>
        <v>1.0087760646420616</v>
      </c>
    </row>
    <row r="70" spans="1:25" x14ac:dyDescent="0.3">
      <c r="A70" s="11" t="s">
        <v>206</v>
      </c>
      <c r="B70" s="11" t="s">
        <v>198</v>
      </c>
      <c r="C70" s="29">
        <v>0.6</v>
      </c>
      <c r="D70" s="11" t="s">
        <v>182</v>
      </c>
      <c r="E70" s="59">
        <v>0.05</v>
      </c>
      <c r="F70" s="60">
        <v>0.92</v>
      </c>
      <c r="G70" s="60">
        <v>0.91</v>
      </c>
      <c r="H70" s="61">
        <v>46295</v>
      </c>
      <c r="I70" s="60">
        <v>0.93</v>
      </c>
      <c r="J70" s="62"/>
      <c r="K70" s="62"/>
      <c r="L70" s="63">
        <v>11200</v>
      </c>
      <c r="M70" s="59"/>
      <c r="N70" s="64">
        <v>1</v>
      </c>
      <c r="O70" s="13"/>
      <c r="P70" s="11" t="s">
        <v>116</v>
      </c>
      <c r="Q70" s="59"/>
      <c r="R70" s="59"/>
      <c r="T70" s="65" t="str">
        <f t="shared" si="1"/>
        <v>SBA|SC</v>
      </c>
      <c r="V70" s="66">
        <f>IF($T70="","",INDEX(calc_cylr_p,59))</f>
        <v>0.6045154785233906</v>
      </c>
      <c r="W70" s="67">
        <f>IF($T70="","",(INDEX(calc_cylr_p,59)-INDEX(calc_lrcur,59))*100)</f>
        <v>0.45154785233906258</v>
      </c>
      <c r="X70" s="68">
        <f>IF($T70="","",INDEX(calc_arate_p,59))</f>
        <v>1.0053191489361701</v>
      </c>
      <c r="Y70" s="68">
        <f>IF($T70="","",INDEX(calc_amod_p,59))</f>
        <v>1.0021949732133812</v>
      </c>
    </row>
    <row r="71" spans="1:25" x14ac:dyDescent="0.3">
      <c r="A71" s="11" t="s">
        <v>206</v>
      </c>
      <c r="B71" s="11" t="s">
        <v>199</v>
      </c>
      <c r="C71" s="29">
        <v>0.58399999999999996</v>
      </c>
      <c r="D71" s="11" t="s">
        <v>182</v>
      </c>
      <c r="E71" s="59">
        <v>0.05</v>
      </c>
      <c r="F71" s="60">
        <v>0.92</v>
      </c>
      <c r="G71" s="60">
        <v>0.91</v>
      </c>
      <c r="H71" s="61">
        <v>46295</v>
      </c>
      <c r="I71" s="60">
        <v>0.91</v>
      </c>
      <c r="J71" s="62"/>
      <c r="K71" s="62"/>
      <c r="L71" s="63">
        <v>8000</v>
      </c>
      <c r="M71" s="59"/>
      <c r="N71" s="64">
        <v>1</v>
      </c>
      <c r="O71" s="13"/>
      <c r="P71" s="11" t="s">
        <v>116</v>
      </c>
      <c r="Q71" s="59"/>
      <c r="R71" s="59"/>
      <c r="T71" s="65" t="str">
        <f t="shared" si="1"/>
        <v>SBA|TN</v>
      </c>
      <c r="V71" s="66">
        <f>IF($T71="","",INDEX(calc_cylr_p,60))</f>
        <v>0.59041758241758246</v>
      </c>
      <c r="W71" s="67">
        <f>IF($T71="","",(INDEX(calc_cylr_p,60)-INDEX(calc_lrcur,60))*100)</f>
        <v>0.64175824175825014</v>
      </c>
      <c r="X71" s="68">
        <f>IF($T71="","",INDEX(calc_arate_p,60))</f>
        <v>1</v>
      </c>
      <c r="Y71" s="68">
        <f>IF($T71="","",INDEX(calc_amod_p,60))</f>
        <v>1.0109890109890112</v>
      </c>
    </row>
    <row r="72" spans="1:25" x14ac:dyDescent="0.3">
      <c r="A72" s="11" t="s">
        <v>206</v>
      </c>
      <c r="B72" s="11" t="s">
        <v>200</v>
      </c>
      <c r="C72" s="29">
        <v>0.56799999999999995</v>
      </c>
      <c r="D72" s="11" t="s">
        <v>182</v>
      </c>
      <c r="E72" s="59">
        <v>0.05</v>
      </c>
      <c r="F72" s="60">
        <v>0.92</v>
      </c>
      <c r="G72" s="60">
        <v>0.91</v>
      </c>
      <c r="H72" s="61">
        <v>46295</v>
      </c>
      <c r="I72" s="60">
        <v>0.92500000000000004</v>
      </c>
      <c r="J72" s="62"/>
      <c r="K72" s="62"/>
      <c r="L72" s="63">
        <v>18400</v>
      </c>
      <c r="M72" s="59"/>
      <c r="N72" s="64">
        <v>1</v>
      </c>
      <c r="O72" s="13"/>
      <c r="P72" s="11" t="s">
        <v>116</v>
      </c>
      <c r="Q72" s="59"/>
      <c r="R72" s="59"/>
      <c r="T72" s="65" t="str">
        <f t="shared" si="1"/>
        <v>SBA|VA</v>
      </c>
      <c r="V72" s="66">
        <f>IF($T72="","",INDEX(calc_cylr_p,61))</f>
        <v>0.57048733373048399</v>
      </c>
      <c r="W72" s="67">
        <f>IF($T72="","",(INDEX(calc_cylr_p,61)-INDEX(calc_lrcur,61))*100)</f>
        <v>0.24873337304840426</v>
      </c>
      <c r="X72" s="68">
        <f>IF($T72="","",INDEX(calc_arate_p,61))</f>
        <v>0.99999999999999978</v>
      </c>
      <c r="Y72" s="68">
        <f>IF($T72="","",INDEX(calc_amod_p,61))</f>
        <v>1.0043791086804299</v>
      </c>
    </row>
    <row r="73" spans="1:25" x14ac:dyDescent="0.3">
      <c r="A73" s="11" t="s">
        <v>206</v>
      </c>
      <c r="B73" s="11" t="s">
        <v>201</v>
      </c>
      <c r="C73" s="29">
        <v>0.59599999999999997</v>
      </c>
      <c r="D73" s="11" t="s">
        <v>182</v>
      </c>
      <c r="E73" s="59">
        <v>0.05</v>
      </c>
      <c r="F73" s="60">
        <v>0.92</v>
      </c>
      <c r="G73" s="60">
        <v>0.91</v>
      </c>
      <c r="H73" s="61">
        <v>46295</v>
      </c>
      <c r="I73" s="60">
        <v>0.90500000000000003</v>
      </c>
      <c r="J73" s="62"/>
      <c r="K73" s="62"/>
      <c r="L73" s="63">
        <v>15200</v>
      </c>
      <c r="M73" s="59"/>
      <c r="N73" s="64">
        <v>1</v>
      </c>
      <c r="O73" s="13"/>
      <c r="P73" s="11" t="s">
        <v>116</v>
      </c>
      <c r="Q73" s="59"/>
      <c r="R73" s="59"/>
      <c r="T73" s="65" t="str">
        <f t="shared" si="1"/>
        <v>SBA|WV</v>
      </c>
      <c r="V73" s="66">
        <f>IF($T73="","",INDEX(calc_cylr_p,62))</f>
        <v>0.58818912262149681</v>
      </c>
      <c r="W73" s="67">
        <f>IF($T73="","",(INDEX(calc_cylr_p,62)-INDEX(calc_lrcur,62))*100)</f>
        <v>-0.78108773785031671</v>
      </c>
      <c r="X73" s="68">
        <f>IF($T73="","",INDEX(calc_arate_p,62))</f>
        <v>0.9740259740259738</v>
      </c>
      <c r="Y73" s="68">
        <f>IF($T73="","",INDEX(calc_amod_p,62))</f>
        <v>1.0132116877372543</v>
      </c>
    </row>
    <row r="74" spans="1:25" x14ac:dyDescent="0.3">
      <c r="A74" s="11" t="s">
        <v>206</v>
      </c>
      <c r="B74" s="11" t="s">
        <v>202</v>
      </c>
      <c r="C74" s="29">
        <v>0.57999999999999996</v>
      </c>
      <c r="D74" s="11" t="s">
        <v>182</v>
      </c>
      <c r="E74" s="59">
        <v>0.05</v>
      </c>
      <c r="F74" s="60">
        <v>0.92</v>
      </c>
      <c r="G74" s="60">
        <v>0.91</v>
      </c>
      <c r="H74" s="61">
        <v>46295</v>
      </c>
      <c r="I74" s="60">
        <v>0.92</v>
      </c>
      <c r="J74" s="62"/>
      <c r="K74" s="62"/>
      <c r="L74" s="63">
        <v>12000</v>
      </c>
      <c r="M74" s="59"/>
      <c r="N74" s="64">
        <v>1</v>
      </c>
      <c r="O74" s="13"/>
      <c r="P74" s="11" t="s">
        <v>116</v>
      </c>
      <c r="Q74" s="59"/>
      <c r="R74" s="59"/>
      <c r="T74" s="65" t="str">
        <f t="shared" si="1"/>
        <v>SBA|WI</v>
      </c>
      <c r="V74" s="66">
        <f>IF($T74="","",INDEX(calc_cylr_p,63))</f>
        <v>0.58381221526494143</v>
      </c>
      <c r="W74" s="67">
        <f>IF($T74="","",(INDEX(calc_cylr_p,63)-INDEX(calc_lrcur,63))*100)</f>
        <v>0.38122152649414653</v>
      </c>
      <c r="X74" s="68">
        <f>IF($T74="","",INDEX(calc_arate_p,63))</f>
        <v>1</v>
      </c>
      <c r="Y74" s="68">
        <f>IF($T74="","",INDEX(calc_amod_p,63))</f>
        <v>1.0065727849395543</v>
      </c>
    </row>
    <row r="75" spans="1:25" x14ac:dyDescent="0.3">
      <c r="A75" s="11"/>
      <c r="B75" s="11"/>
      <c r="C75" s="29"/>
      <c r="D75" s="11"/>
      <c r="E75" s="59"/>
      <c r="F75" s="60"/>
      <c r="G75" s="60"/>
      <c r="H75" s="61"/>
      <c r="I75" s="60"/>
      <c r="J75" s="62"/>
      <c r="K75" s="62"/>
      <c r="L75" s="63"/>
      <c r="M75" s="59"/>
      <c r="N75" s="64"/>
      <c r="O75" s="13"/>
      <c r="P75" s="11"/>
      <c r="Q75" s="59"/>
      <c r="R75" s="59"/>
      <c r="T75" s="65" t="str">
        <f t="shared" si="1"/>
        <v/>
      </c>
      <c r="V75" s="66" t="str">
        <f>IF($T75="","",INDEX(calc_cylr_p,64))</f>
        <v/>
      </c>
      <c r="W75" s="67" t="str">
        <f>IF($T75="","",(INDEX(calc_cylr_p,64)-INDEX(calc_lrcur,64))*100)</f>
        <v/>
      </c>
      <c r="X75" s="68" t="str">
        <f>IF($T75="","",INDEX(calc_arate_p,64))</f>
        <v/>
      </c>
      <c r="Y75" s="68" t="str">
        <f>IF($T75="","",INDEX(calc_amod_p,64))</f>
        <v/>
      </c>
    </row>
    <row r="76" spans="1:25" x14ac:dyDescent="0.3">
      <c r="A76" s="11"/>
      <c r="B76" s="11"/>
      <c r="C76" s="29"/>
      <c r="D76" s="11"/>
      <c r="E76" s="59"/>
      <c r="F76" s="60"/>
      <c r="G76" s="60"/>
      <c r="H76" s="61"/>
      <c r="I76" s="60"/>
      <c r="J76" s="62"/>
      <c r="K76" s="62"/>
      <c r="L76" s="63"/>
      <c r="M76" s="59"/>
      <c r="N76" s="64"/>
      <c r="O76" s="13"/>
      <c r="P76" s="11"/>
      <c r="Q76" s="59"/>
      <c r="R76" s="59"/>
      <c r="T76" s="65" t="str">
        <f t="shared" si="1"/>
        <v/>
      </c>
      <c r="V76" s="66" t="str">
        <f>IF($T76="","",INDEX(calc_cylr_p,65))</f>
        <v/>
      </c>
      <c r="W76" s="67" t="str">
        <f>IF($T76="","",(INDEX(calc_cylr_p,65)-INDEX(calc_lrcur,65))*100)</f>
        <v/>
      </c>
      <c r="X76" s="68" t="str">
        <f>IF($T76="","",INDEX(calc_arate_p,65))</f>
        <v/>
      </c>
      <c r="Y76" s="68" t="str">
        <f>IF($T76="","",INDEX(calc_amod_p,65))</f>
        <v/>
      </c>
    </row>
    <row r="77" spans="1:25" x14ac:dyDescent="0.3">
      <c r="A77" s="11"/>
      <c r="B77" s="11"/>
      <c r="C77" s="29"/>
      <c r="D77" s="11"/>
      <c r="E77" s="59"/>
      <c r="F77" s="60"/>
      <c r="G77" s="60"/>
      <c r="H77" s="61"/>
      <c r="I77" s="60"/>
      <c r="J77" s="62"/>
      <c r="K77" s="62"/>
      <c r="L77" s="63"/>
      <c r="M77" s="59"/>
      <c r="N77" s="64"/>
      <c r="O77" s="13"/>
      <c r="P77" s="11"/>
      <c r="Q77" s="59"/>
      <c r="R77" s="59"/>
      <c r="T77" s="65" t="str">
        <f t="shared" si="1"/>
        <v/>
      </c>
      <c r="V77" s="66" t="str">
        <f>IF($T77="","",INDEX(calc_cylr_p,66))</f>
        <v/>
      </c>
      <c r="W77" s="67" t="str">
        <f>IF($T77="","",(INDEX(calc_cylr_p,66)-INDEX(calc_lrcur,66))*100)</f>
        <v/>
      </c>
      <c r="X77" s="68" t="str">
        <f>IF($T77="","",INDEX(calc_arate_p,66))</f>
        <v/>
      </c>
      <c r="Y77" s="68" t="str">
        <f>IF($T77="","",INDEX(calc_amod_p,66))</f>
        <v/>
      </c>
    </row>
    <row r="78" spans="1:25" x14ac:dyDescent="0.3">
      <c r="A78" s="11"/>
      <c r="B78" s="11"/>
      <c r="C78" s="29"/>
      <c r="D78" s="11"/>
      <c r="E78" s="59"/>
      <c r="F78" s="60"/>
      <c r="G78" s="60"/>
      <c r="H78" s="61"/>
      <c r="I78" s="60"/>
      <c r="J78" s="62"/>
      <c r="K78" s="62"/>
      <c r="L78" s="63"/>
      <c r="M78" s="59"/>
      <c r="N78" s="64"/>
      <c r="O78" s="13"/>
      <c r="P78" s="11"/>
      <c r="Q78" s="59"/>
      <c r="R78" s="59"/>
      <c r="T78" s="65" t="str">
        <f t="shared" si="1"/>
        <v/>
      </c>
      <c r="V78" s="66" t="str">
        <f>IF($T78="","",INDEX(calc_cylr_p,67))</f>
        <v/>
      </c>
      <c r="W78" s="67" t="str">
        <f>IF($T78="","",(INDEX(calc_cylr_p,67)-INDEX(calc_lrcur,67))*100)</f>
        <v/>
      </c>
      <c r="X78" s="68" t="str">
        <f>IF($T78="","",INDEX(calc_arate_p,67))</f>
        <v/>
      </c>
      <c r="Y78" s="68" t="str">
        <f>IF($T78="","",INDEX(calc_amod_p,67))</f>
        <v/>
      </c>
    </row>
    <row r="79" spans="1:25" x14ac:dyDescent="0.3">
      <c r="A79" s="11"/>
      <c r="B79" s="11"/>
      <c r="C79" s="29"/>
      <c r="D79" s="11"/>
      <c r="E79" s="59"/>
      <c r="F79" s="60"/>
      <c r="G79" s="60"/>
      <c r="H79" s="61"/>
      <c r="I79" s="60"/>
      <c r="J79" s="62"/>
      <c r="K79" s="62"/>
      <c r="L79" s="63"/>
      <c r="M79" s="59"/>
      <c r="N79" s="64"/>
      <c r="O79" s="13"/>
      <c r="P79" s="11"/>
      <c r="Q79" s="59"/>
      <c r="R79" s="59"/>
      <c r="T79" s="65" t="str">
        <f t="shared" si="1"/>
        <v/>
      </c>
      <c r="V79" s="66" t="str">
        <f>IF($T79="","",INDEX(calc_cylr_p,68))</f>
        <v/>
      </c>
      <c r="W79" s="67" t="str">
        <f>IF($T79="","",(INDEX(calc_cylr_p,68)-INDEX(calc_lrcur,68))*100)</f>
        <v/>
      </c>
      <c r="X79" s="68" t="str">
        <f>IF($T79="","",INDEX(calc_arate_p,68))</f>
        <v/>
      </c>
      <c r="Y79" s="68" t="str">
        <f>IF($T79="","",INDEX(calc_amod_p,68))</f>
        <v/>
      </c>
    </row>
    <row r="80" spans="1:25" x14ac:dyDescent="0.3">
      <c r="A80" s="11"/>
      <c r="B80" s="11"/>
      <c r="C80" s="29"/>
      <c r="D80" s="11"/>
      <c r="E80" s="59"/>
      <c r="F80" s="60"/>
      <c r="G80" s="60"/>
      <c r="H80" s="61"/>
      <c r="I80" s="60"/>
      <c r="J80" s="62"/>
      <c r="K80" s="62"/>
      <c r="L80" s="63"/>
      <c r="M80" s="59"/>
      <c r="N80" s="64"/>
      <c r="O80" s="13"/>
      <c r="P80" s="11"/>
      <c r="Q80" s="59"/>
      <c r="R80" s="59"/>
      <c r="T80" s="65" t="str">
        <f t="shared" si="1"/>
        <v/>
      </c>
      <c r="V80" s="66" t="str">
        <f>IF($T80="","",INDEX(calc_cylr_p,69))</f>
        <v/>
      </c>
      <c r="W80" s="67" t="str">
        <f>IF($T80="","",(INDEX(calc_cylr_p,69)-INDEX(calc_lrcur,69))*100)</f>
        <v/>
      </c>
      <c r="X80" s="68" t="str">
        <f>IF($T80="","",INDEX(calc_arate_p,69))</f>
        <v/>
      </c>
      <c r="Y80" s="68" t="str">
        <f>IF($T80="","",INDEX(calc_amod_p,69))</f>
        <v/>
      </c>
    </row>
    <row r="83" spans="1:14" ht="15.6" x14ac:dyDescent="0.3">
      <c r="A83" s="3" t="s">
        <v>207</v>
      </c>
    </row>
    <row r="84" spans="1:14" x14ac:dyDescent="0.3">
      <c r="A84" s="56" t="s">
        <v>104</v>
      </c>
      <c r="B84" s="56" t="s">
        <v>208</v>
      </c>
      <c r="C84" s="56" t="s">
        <v>209</v>
      </c>
      <c r="D84" s="56" t="s">
        <v>210</v>
      </c>
      <c r="E84" s="56" t="s">
        <v>211</v>
      </c>
      <c r="F84" s="56" t="s">
        <v>212</v>
      </c>
      <c r="G84" s="56" t="s">
        <v>213</v>
      </c>
      <c r="H84" s="56" t="s">
        <v>214</v>
      </c>
      <c r="I84" s="56" t="s">
        <v>215</v>
      </c>
      <c r="J84" s="56" t="s">
        <v>216</v>
      </c>
      <c r="K84" s="56" t="s">
        <v>217</v>
      </c>
      <c r="L84" s="56" t="s">
        <v>218</v>
      </c>
      <c r="M84" s="56" t="s">
        <v>219</v>
      </c>
      <c r="N84" s="56" t="s">
        <v>220</v>
      </c>
    </row>
    <row r="85" spans="1:14" x14ac:dyDescent="0.3">
      <c r="A85" s="13" t="s">
        <v>188</v>
      </c>
      <c r="B85" s="69">
        <v>2</v>
      </c>
      <c r="C85" s="69">
        <v>0.6</v>
      </c>
      <c r="D85" s="69">
        <v>0.6</v>
      </c>
      <c r="E85" s="69">
        <v>0.8</v>
      </c>
      <c r="F85" s="69">
        <v>0.8</v>
      </c>
      <c r="G85" s="69">
        <v>1</v>
      </c>
      <c r="H85" s="69">
        <v>2</v>
      </c>
      <c r="I85" s="69">
        <v>0.8</v>
      </c>
      <c r="J85" s="69">
        <v>0.6</v>
      </c>
      <c r="K85" s="69">
        <v>0.6</v>
      </c>
      <c r="L85" s="69">
        <v>0.6</v>
      </c>
      <c r="M85" s="69">
        <v>1.6</v>
      </c>
      <c r="N85" s="70">
        <f t="shared" ref="N85:N108" si="2">IF($A85="","",SUM($B85:$M85))</f>
        <v>11.999999999999998</v>
      </c>
    </row>
    <row r="86" spans="1:14" x14ac:dyDescent="0.3">
      <c r="A86" s="13" t="s">
        <v>189</v>
      </c>
      <c r="B86" s="69">
        <v>2</v>
      </c>
      <c r="C86" s="69">
        <v>0.6</v>
      </c>
      <c r="D86" s="69">
        <v>0.6</v>
      </c>
      <c r="E86" s="69">
        <v>0.8</v>
      </c>
      <c r="F86" s="69">
        <v>0.8</v>
      </c>
      <c r="G86" s="69">
        <v>1</v>
      </c>
      <c r="H86" s="69">
        <v>2</v>
      </c>
      <c r="I86" s="69">
        <v>0.8</v>
      </c>
      <c r="J86" s="69">
        <v>0.6</v>
      </c>
      <c r="K86" s="69">
        <v>0.6</v>
      </c>
      <c r="L86" s="69">
        <v>0.6</v>
      </c>
      <c r="M86" s="69">
        <v>1.6</v>
      </c>
      <c r="N86" s="70">
        <f t="shared" si="2"/>
        <v>11.999999999999998</v>
      </c>
    </row>
    <row r="87" spans="1:14" x14ac:dyDescent="0.3">
      <c r="A87" s="13"/>
      <c r="B87" s="69"/>
      <c r="C87" s="69"/>
      <c r="D87" s="69"/>
      <c r="E87" s="69"/>
      <c r="F87" s="69"/>
      <c r="G87" s="69"/>
      <c r="H87" s="69"/>
      <c r="I87" s="69"/>
      <c r="J87" s="69"/>
      <c r="K87" s="69"/>
      <c r="L87" s="69"/>
      <c r="M87" s="69"/>
      <c r="N87" s="70" t="str">
        <f t="shared" si="2"/>
        <v/>
      </c>
    </row>
    <row r="88" spans="1:14" x14ac:dyDescent="0.3">
      <c r="A88" s="13"/>
      <c r="B88" s="69"/>
      <c r="C88" s="69"/>
      <c r="D88" s="69"/>
      <c r="E88" s="69"/>
      <c r="F88" s="69"/>
      <c r="G88" s="69"/>
      <c r="H88" s="69"/>
      <c r="I88" s="69"/>
      <c r="J88" s="69"/>
      <c r="K88" s="69"/>
      <c r="L88" s="69"/>
      <c r="M88" s="69"/>
      <c r="N88" s="70" t="str">
        <f t="shared" si="2"/>
        <v/>
      </c>
    </row>
    <row r="89" spans="1:14" x14ac:dyDescent="0.3">
      <c r="A89" s="13"/>
      <c r="B89" s="69"/>
      <c r="C89" s="69"/>
      <c r="D89" s="69"/>
      <c r="E89" s="69"/>
      <c r="F89" s="69"/>
      <c r="G89" s="69"/>
      <c r="H89" s="69"/>
      <c r="I89" s="69"/>
      <c r="J89" s="69"/>
      <c r="K89" s="69"/>
      <c r="L89" s="69"/>
      <c r="M89" s="69"/>
      <c r="N89" s="70" t="str">
        <f t="shared" si="2"/>
        <v/>
      </c>
    </row>
    <row r="90" spans="1:14" x14ac:dyDescent="0.3">
      <c r="A90" s="13"/>
      <c r="B90" s="69"/>
      <c r="C90" s="69"/>
      <c r="D90" s="69"/>
      <c r="E90" s="69"/>
      <c r="F90" s="69"/>
      <c r="G90" s="69"/>
      <c r="H90" s="69"/>
      <c r="I90" s="69"/>
      <c r="J90" s="69"/>
      <c r="K90" s="69"/>
      <c r="L90" s="69"/>
      <c r="M90" s="69"/>
      <c r="N90" s="70" t="str">
        <f t="shared" si="2"/>
        <v/>
      </c>
    </row>
    <row r="91" spans="1:14" x14ac:dyDescent="0.3">
      <c r="A91" s="13"/>
      <c r="B91" s="69"/>
      <c r="C91" s="69"/>
      <c r="D91" s="69"/>
      <c r="E91" s="69"/>
      <c r="F91" s="69"/>
      <c r="G91" s="69"/>
      <c r="H91" s="69"/>
      <c r="I91" s="69"/>
      <c r="J91" s="69"/>
      <c r="K91" s="69"/>
      <c r="L91" s="69"/>
      <c r="M91" s="69"/>
      <c r="N91" s="70" t="str">
        <f t="shared" si="2"/>
        <v/>
      </c>
    </row>
    <row r="92" spans="1:14" x14ac:dyDescent="0.3">
      <c r="A92" s="13"/>
      <c r="B92" s="69"/>
      <c r="C92" s="69"/>
      <c r="D92" s="69"/>
      <c r="E92" s="69"/>
      <c r="F92" s="69"/>
      <c r="G92" s="69"/>
      <c r="H92" s="69"/>
      <c r="I92" s="69"/>
      <c r="J92" s="69"/>
      <c r="K92" s="69"/>
      <c r="L92" s="69"/>
      <c r="M92" s="69"/>
      <c r="N92" s="70" t="str">
        <f t="shared" si="2"/>
        <v/>
      </c>
    </row>
    <row r="93" spans="1:14" x14ac:dyDescent="0.3">
      <c r="A93" s="13"/>
      <c r="B93" s="69"/>
      <c r="C93" s="69"/>
      <c r="D93" s="69"/>
      <c r="E93" s="69"/>
      <c r="F93" s="69"/>
      <c r="G93" s="69"/>
      <c r="H93" s="69"/>
      <c r="I93" s="69"/>
      <c r="J93" s="69"/>
      <c r="K93" s="69"/>
      <c r="L93" s="69"/>
      <c r="M93" s="69"/>
      <c r="N93" s="70" t="str">
        <f t="shared" si="2"/>
        <v/>
      </c>
    </row>
    <row r="94" spans="1:14" x14ac:dyDescent="0.3">
      <c r="A94" s="13"/>
      <c r="B94" s="69"/>
      <c r="C94" s="69"/>
      <c r="D94" s="69"/>
      <c r="E94" s="69"/>
      <c r="F94" s="69"/>
      <c r="G94" s="69"/>
      <c r="H94" s="69"/>
      <c r="I94" s="69"/>
      <c r="J94" s="69"/>
      <c r="K94" s="69"/>
      <c r="L94" s="69"/>
      <c r="M94" s="69"/>
      <c r="N94" s="70" t="str">
        <f t="shared" si="2"/>
        <v/>
      </c>
    </row>
    <row r="95" spans="1:14" x14ac:dyDescent="0.3">
      <c r="A95" s="13"/>
      <c r="B95" s="69"/>
      <c r="C95" s="69"/>
      <c r="D95" s="69"/>
      <c r="E95" s="69"/>
      <c r="F95" s="69"/>
      <c r="G95" s="69"/>
      <c r="H95" s="69"/>
      <c r="I95" s="69"/>
      <c r="J95" s="69"/>
      <c r="K95" s="69"/>
      <c r="L95" s="69"/>
      <c r="M95" s="69"/>
      <c r="N95" s="70" t="str">
        <f t="shared" si="2"/>
        <v/>
      </c>
    </row>
    <row r="96" spans="1:14" x14ac:dyDescent="0.3">
      <c r="A96" s="13"/>
      <c r="B96" s="69"/>
      <c r="C96" s="69"/>
      <c r="D96" s="69"/>
      <c r="E96" s="69"/>
      <c r="F96" s="69"/>
      <c r="G96" s="69"/>
      <c r="H96" s="69"/>
      <c r="I96" s="69"/>
      <c r="J96" s="69"/>
      <c r="K96" s="69"/>
      <c r="L96" s="69"/>
      <c r="M96" s="69"/>
      <c r="N96" s="70" t="str">
        <f t="shared" si="2"/>
        <v/>
      </c>
    </row>
    <row r="97" spans="1:14" x14ac:dyDescent="0.3">
      <c r="A97" s="13"/>
      <c r="B97" s="69"/>
      <c r="C97" s="69"/>
      <c r="D97" s="69"/>
      <c r="E97" s="69"/>
      <c r="F97" s="69"/>
      <c r="G97" s="69"/>
      <c r="H97" s="69"/>
      <c r="I97" s="69"/>
      <c r="J97" s="69"/>
      <c r="K97" s="69"/>
      <c r="L97" s="69"/>
      <c r="M97" s="69"/>
      <c r="N97" s="70" t="str">
        <f t="shared" si="2"/>
        <v/>
      </c>
    </row>
    <row r="98" spans="1:14" x14ac:dyDescent="0.3">
      <c r="A98" s="13"/>
      <c r="B98" s="69"/>
      <c r="C98" s="69"/>
      <c r="D98" s="69"/>
      <c r="E98" s="69"/>
      <c r="F98" s="69"/>
      <c r="G98" s="69"/>
      <c r="H98" s="69"/>
      <c r="I98" s="69"/>
      <c r="J98" s="69"/>
      <c r="K98" s="69"/>
      <c r="L98" s="69"/>
      <c r="M98" s="69"/>
      <c r="N98" s="70" t="str">
        <f t="shared" si="2"/>
        <v/>
      </c>
    </row>
    <row r="99" spans="1:14" x14ac:dyDescent="0.3">
      <c r="A99" s="13"/>
      <c r="B99" s="69"/>
      <c r="C99" s="69"/>
      <c r="D99" s="69"/>
      <c r="E99" s="69"/>
      <c r="F99" s="69"/>
      <c r="G99" s="69"/>
      <c r="H99" s="69"/>
      <c r="I99" s="69"/>
      <c r="J99" s="69"/>
      <c r="K99" s="69"/>
      <c r="L99" s="69"/>
      <c r="M99" s="69"/>
      <c r="N99" s="70" t="str">
        <f t="shared" si="2"/>
        <v/>
      </c>
    </row>
    <row r="100" spans="1:14" x14ac:dyDescent="0.3">
      <c r="A100" s="13"/>
      <c r="B100" s="69"/>
      <c r="C100" s="69"/>
      <c r="D100" s="69"/>
      <c r="E100" s="69"/>
      <c r="F100" s="69"/>
      <c r="G100" s="69"/>
      <c r="H100" s="69"/>
      <c r="I100" s="69"/>
      <c r="J100" s="69"/>
      <c r="K100" s="69"/>
      <c r="L100" s="69"/>
      <c r="M100" s="69"/>
      <c r="N100" s="70" t="str">
        <f t="shared" si="2"/>
        <v/>
      </c>
    </row>
    <row r="101" spans="1:14" x14ac:dyDescent="0.3">
      <c r="A101" s="13"/>
      <c r="B101" s="69"/>
      <c r="C101" s="69"/>
      <c r="D101" s="69"/>
      <c r="E101" s="69"/>
      <c r="F101" s="69"/>
      <c r="G101" s="69"/>
      <c r="H101" s="69"/>
      <c r="I101" s="69"/>
      <c r="J101" s="69"/>
      <c r="K101" s="69"/>
      <c r="L101" s="69"/>
      <c r="M101" s="69"/>
      <c r="N101" s="70" t="str">
        <f t="shared" si="2"/>
        <v/>
      </c>
    </row>
    <row r="102" spans="1:14" x14ac:dyDescent="0.3">
      <c r="A102" s="13"/>
      <c r="B102" s="69"/>
      <c r="C102" s="69"/>
      <c r="D102" s="69"/>
      <c r="E102" s="69"/>
      <c r="F102" s="69"/>
      <c r="G102" s="69"/>
      <c r="H102" s="69"/>
      <c r="I102" s="69"/>
      <c r="J102" s="69"/>
      <c r="K102" s="69"/>
      <c r="L102" s="69"/>
      <c r="M102" s="69"/>
      <c r="N102" s="70" t="str">
        <f t="shared" si="2"/>
        <v/>
      </c>
    </row>
    <row r="103" spans="1:14" x14ac:dyDescent="0.3">
      <c r="A103" s="13"/>
      <c r="B103" s="69"/>
      <c r="C103" s="69"/>
      <c r="D103" s="69"/>
      <c r="E103" s="69"/>
      <c r="F103" s="69"/>
      <c r="G103" s="69"/>
      <c r="H103" s="69"/>
      <c r="I103" s="69"/>
      <c r="J103" s="69"/>
      <c r="K103" s="69"/>
      <c r="L103" s="69"/>
      <c r="M103" s="69"/>
      <c r="N103" s="70" t="str">
        <f t="shared" si="2"/>
        <v/>
      </c>
    </row>
    <row r="104" spans="1:14" x14ac:dyDescent="0.3">
      <c r="A104" s="13"/>
      <c r="B104" s="69"/>
      <c r="C104" s="69"/>
      <c r="D104" s="69"/>
      <c r="E104" s="69"/>
      <c r="F104" s="69"/>
      <c r="G104" s="69"/>
      <c r="H104" s="69"/>
      <c r="I104" s="69"/>
      <c r="J104" s="69"/>
      <c r="K104" s="69"/>
      <c r="L104" s="69"/>
      <c r="M104" s="69"/>
      <c r="N104" s="70" t="str">
        <f t="shared" si="2"/>
        <v/>
      </c>
    </row>
    <row r="105" spans="1:14" x14ac:dyDescent="0.3">
      <c r="A105" s="13"/>
      <c r="B105" s="69"/>
      <c r="C105" s="69"/>
      <c r="D105" s="69"/>
      <c r="E105" s="69"/>
      <c r="F105" s="69"/>
      <c r="G105" s="69"/>
      <c r="H105" s="69"/>
      <c r="I105" s="69"/>
      <c r="J105" s="69"/>
      <c r="K105" s="69"/>
      <c r="L105" s="69"/>
      <c r="M105" s="69"/>
      <c r="N105" s="70" t="str">
        <f t="shared" si="2"/>
        <v/>
      </c>
    </row>
    <row r="106" spans="1:14" x14ac:dyDescent="0.3">
      <c r="A106" s="13"/>
      <c r="B106" s="69"/>
      <c r="C106" s="69"/>
      <c r="D106" s="69"/>
      <c r="E106" s="69"/>
      <c r="F106" s="69"/>
      <c r="G106" s="69"/>
      <c r="H106" s="69"/>
      <c r="I106" s="69"/>
      <c r="J106" s="69"/>
      <c r="K106" s="69"/>
      <c r="L106" s="69"/>
      <c r="M106" s="69"/>
      <c r="N106" s="70" t="str">
        <f t="shared" si="2"/>
        <v/>
      </c>
    </row>
    <row r="107" spans="1:14" x14ac:dyDescent="0.3">
      <c r="A107" s="13"/>
      <c r="B107" s="69"/>
      <c r="C107" s="69"/>
      <c r="D107" s="69"/>
      <c r="E107" s="69"/>
      <c r="F107" s="69"/>
      <c r="G107" s="69"/>
      <c r="H107" s="69"/>
      <c r="I107" s="69"/>
      <c r="J107" s="69"/>
      <c r="K107" s="69"/>
      <c r="L107" s="69"/>
      <c r="M107" s="69"/>
      <c r="N107" s="70" t="str">
        <f t="shared" si="2"/>
        <v/>
      </c>
    </row>
    <row r="108" spans="1:14" x14ac:dyDescent="0.3">
      <c r="A108" s="13"/>
      <c r="B108" s="69"/>
      <c r="C108" s="69"/>
      <c r="D108" s="69"/>
      <c r="E108" s="69"/>
      <c r="F108" s="69"/>
      <c r="G108" s="69"/>
      <c r="H108" s="69"/>
      <c r="I108" s="69"/>
      <c r="J108" s="69"/>
      <c r="K108" s="69"/>
      <c r="L108" s="69"/>
      <c r="M108" s="69"/>
      <c r="N108" s="70" t="str">
        <f t="shared" si="2"/>
        <v/>
      </c>
    </row>
  </sheetData>
  <dataValidations count="14">
    <dataValidation type="list" allowBlank="1" sqref="A12:A80" xr:uid="{00000000-0002-0000-0200-000000000000}">
      <formula1>lst_bu</formula1>
    </dataValidation>
    <dataValidation type="list" allowBlank="1" sqref="B12:B80" xr:uid="{00000000-0002-0000-0200-000001000000}">
      <formula1>lst_state</formula1>
    </dataValidation>
    <dataValidation type="list" allowBlank="1" showErrorMessage="1" sqref="D12:D80" xr:uid="{00000000-0002-0000-0200-000002000000}">
      <formula1>lst_basis</formula1>
    </dataValidation>
    <dataValidation type="list" allowBlank="1" showErrorMessage="1" sqref="P12:P80" xr:uid="{00000000-0002-0000-0200-000003000000}">
      <formula1>lst_onoff</formula1>
    </dataValidation>
    <dataValidation type="decimal" allowBlank="1" showErrorMessage="1" error="Loss ratio must be between 0 and 300% (entered as a fraction)." sqref="C12:C80" xr:uid="{00000000-0002-0000-0200-000004000000}">
      <formula1>0</formula1>
      <formula2>3</formula2>
    </dataValidation>
    <dataValidation type="decimal" allowBlank="1" showErrorMessage="1" error="Enter a decimal fraction between -50% and +100%." sqref="E12:E80 M12:M80" xr:uid="{00000000-0002-0000-0200-000005000000}">
      <formula1>-0.5</formula1>
      <formula2>1</formula2>
    </dataValidation>
    <dataValidation type="decimal" allowBlank="1" showErrorMessage="1" error="Schedule mods must lie in [0.5, 1.5]." sqref="F12:F80 G12:G80 I12:I80 J12:J80 K12:K80" xr:uid="{00000000-0002-0000-0200-000006000000}">
      <formula1>0.5</formula1>
      <formula2>1.5</formula2>
    </dataValidation>
    <dataValidation type="decimal" operator="greaterThanOrEqual" allowBlank="1" showErrorMessage="1" error="Plan EP must be non-negative." sqref="L12:L80" xr:uid="{00000000-0002-0000-0200-000007000000}">
      <formula1>0</formula1>
    </dataValidation>
    <dataValidation type="decimal" allowBlank="1" showErrorMessage="1" error="A_other must lie in [0.5, 2.0]." sqref="N12:N80" xr:uid="{00000000-0002-0000-0200-000008000000}">
      <formula1>0.5</formula1>
      <formula2>2</formula2>
    </dataValidation>
    <dataValidation type="date" allowBlank="1" showErrorMessage="1" error="Enter a real as-of date (it must precede 12/31 of the plan year; the Checks sheet enforces that bound)." sqref="H12:H80" xr:uid="{00000000-0002-0000-0200-000009000000}">
      <formula1>DATE(1990,1,1)</formula1>
      <formula2>DATE(2100,12,31)</formula2>
    </dataValidation>
    <dataValidation type="decimal" allowBlank="1" showErrorMessage="1" error="Net rate selection must lie in [-50%, +100%] (decimal fraction; blank = off)." sqref="Q12:Q80 R12:R80" xr:uid="{00000000-0002-0000-0200-00000A000000}">
      <formula1>-0.5</formula1>
      <formula2>1</formula2>
    </dataValidation>
    <dataValidation type="decimal" allowBlank="1" showErrorMessage="1" error="Seasonality weights are non-negative." sqref="B85:M108" xr:uid="{00000000-0002-0000-0200-00000B000000}">
      <formula1>0</formula1>
      <formula2>100</formula2>
    </dataValidation>
    <dataValidation type="list" allowBlank="1" showErrorMessage="1" sqref="A85:A108" xr:uid="{00000000-0002-0000-0200-00000C000000}">
      <formula1>lst_state</formula1>
    </dataValidation>
    <dataValidation type="whole" allowBlank="1" showErrorMessage="1" error="Term must be 1..12 months." sqref="B8" xr:uid="{00000000-0002-0000-0200-00000D000000}">
      <formula1>1</formula1>
      <formula2>12</formula2>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legacy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Y246"/>
  <sheetViews>
    <sheetView workbookViewId="0">
      <pane xSplit="2" ySplit="6" topLeftCell="C7" activePane="bottomRight" state="frozen"/>
      <selection pane="topRight"/>
      <selection pane="bottomLeft"/>
      <selection pane="bottomRight"/>
    </sheetView>
  </sheetViews>
  <sheetFormatPr defaultRowHeight="14.4" x14ac:dyDescent="0.3"/>
  <cols>
    <col min="1" max="1" width="9" customWidth="1"/>
    <col min="2" max="2" width="8" customWidth="1"/>
    <col min="3" max="3" width="11" customWidth="1"/>
    <col min="4" max="4" width="9" customWidth="1"/>
    <col min="5" max="6" width="12" customWidth="1"/>
    <col min="7" max="7" width="13" customWidth="1"/>
    <col min="8" max="8" width="34" customWidth="1"/>
    <col min="9" max="9" width="2" customWidth="1"/>
    <col min="10" max="10" width="14" customWidth="1"/>
    <col min="11" max="12" width="8" customWidth="1"/>
    <col min="13" max="13" width="11" customWidth="1"/>
    <col min="14" max="14" width="12" customWidth="1"/>
    <col min="15" max="15" width="10" customWidth="1"/>
    <col min="16" max="16" width="9" customWidth="1"/>
    <col min="17" max="17" width="7" customWidth="1"/>
    <col min="18" max="18" width="11" customWidth="1"/>
    <col min="19" max="20" width="6" customWidth="1"/>
    <col min="21" max="21" width="7" customWidth="1"/>
    <col min="22" max="22" width="13" customWidth="1"/>
    <col min="23" max="23" width="12" customWidth="1"/>
    <col min="24" max="24" width="15" customWidth="1"/>
    <col min="25" max="25" width="24" customWidth="1"/>
  </cols>
  <sheetData>
    <row r="1" spans="1:25" ht="21" x14ac:dyDescent="0.3">
      <c r="A1" s="1" t="s">
        <v>221</v>
      </c>
    </row>
    <row r="2" spans="1:25" x14ac:dyDescent="0.3">
      <c r="A2" s="2" t="s">
        <v>222</v>
      </c>
    </row>
    <row r="3" spans="1:25" x14ac:dyDescent="0.3">
      <c r="A3" s="6" t="s">
        <v>154</v>
      </c>
      <c r="C3" s="19" t="str">
        <f>HYPERLINK("#Control!A1","Control")</f>
        <v>Control</v>
      </c>
      <c r="E3" s="19" t="str">
        <f>HYPERLINK("#Inputs!A1","Inputs")</f>
        <v>Inputs</v>
      </c>
      <c r="G3" s="19" t="str">
        <f>HYPERLINK("#Bridge!A1","Bridge")</f>
        <v>Bridge</v>
      </c>
      <c r="I3" s="19" t="str">
        <f>HYPERLINK("#Walkthrough!A1","Walkthrough")</f>
        <v>Walkthrough</v>
      </c>
      <c r="K3" s="19" t="str">
        <f>HYPERLINK("#Checks!A1","Checks")</f>
        <v>Checks</v>
      </c>
    </row>
    <row r="4" spans="1:25" x14ac:dyDescent="0.3">
      <c r="A4" s="55" t="s">
        <v>223</v>
      </c>
    </row>
    <row r="5" spans="1:25" x14ac:dyDescent="0.3">
      <c r="J5" s="51" t="s">
        <v>224</v>
      </c>
      <c r="V5" s="51" t="s">
        <v>161</v>
      </c>
    </row>
    <row r="6" spans="1:25" ht="30" customHeight="1" x14ac:dyDescent="0.3">
      <c r="A6" s="56" t="s">
        <v>162</v>
      </c>
      <c r="B6" s="56" t="s">
        <v>104</v>
      </c>
      <c r="C6" s="56" t="s">
        <v>225</v>
      </c>
      <c r="D6" s="56" t="s">
        <v>226</v>
      </c>
      <c r="E6" s="56" t="s">
        <v>227</v>
      </c>
      <c r="F6" s="56" t="s">
        <v>76</v>
      </c>
      <c r="G6" s="56" t="s">
        <v>228</v>
      </c>
      <c r="H6" s="56" t="s">
        <v>229</v>
      </c>
      <c r="J6" s="58" t="s">
        <v>179</v>
      </c>
      <c r="K6" s="58" t="s">
        <v>230</v>
      </c>
      <c r="L6" s="58" t="s">
        <v>231</v>
      </c>
      <c r="M6" s="58" t="s">
        <v>232</v>
      </c>
      <c r="N6" s="58" t="s">
        <v>233</v>
      </c>
      <c r="O6" s="58" t="s">
        <v>234</v>
      </c>
      <c r="P6" s="58" t="s">
        <v>235</v>
      </c>
      <c r="Q6" s="58" t="s">
        <v>236</v>
      </c>
      <c r="R6" s="58" t="s">
        <v>237</v>
      </c>
      <c r="S6" s="58" t="s">
        <v>238</v>
      </c>
      <c r="T6" s="58" t="s">
        <v>239</v>
      </c>
      <c r="U6" s="58" t="s">
        <v>240</v>
      </c>
      <c r="V6" s="58" t="s">
        <v>180</v>
      </c>
      <c r="W6" s="58" t="s">
        <v>181</v>
      </c>
      <c r="X6" s="58" t="s">
        <v>241</v>
      </c>
      <c r="Y6" s="58" t="s">
        <v>242</v>
      </c>
    </row>
    <row r="7" spans="1:25" x14ac:dyDescent="0.3">
      <c r="A7" s="11" t="s">
        <v>102</v>
      </c>
      <c r="B7" s="11" t="s">
        <v>105</v>
      </c>
      <c r="C7" s="61">
        <v>45839</v>
      </c>
      <c r="D7" s="29">
        <v>0.04</v>
      </c>
      <c r="E7" s="11" t="s">
        <v>243</v>
      </c>
      <c r="F7" s="11" t="s">
        <v>244</v>
      </c>
      <c r="G7" s="59"/>
      <c r="H7" s="71" t="s">
        <v>245</v>
      </c>
      <c r="J7" s="65" t="str">
        <f t="shared" ref="J7:J70" si="0">IF(OR($A7="",$B7=""),"",$A7&amp;"|"&amp;$B7)</f>
        <v>ABD|AZ</v>
      </c>
      <c r="K7" s="72">
        <f t="shared" ref="K7:K70" si="1">IF($C7="","",$D7*IF($E7="planned",IF($G7="",1,$G7),1))</f>
        <v>0.04</v>
      </c>
      <c r="L7" s="73">
        <f t="shared" ref="L7:L70" si="2">IF($C7="",0,IF(1+$K7&gt;0,LN(1+$K7),0))</f>
        <v>3.9220713153281329E-2</v>
      </c>
      <c r="M7" s="74">
        <f t="shared" ref="M7:M70" si="3">IF($C7="","",DATE(YEAR($C7),MONTH($C7),1))</f>
        <v>45839</v>
      </c>
      <c r="N7" s="75">
        <f t="shared" ref="N7:N70" si="4">IF($C7="",0,EOMONTH($C7,0)-$C7+1)</f>
        <v>31</v>
      </c>
      <c r="O7" s="75">
        <f t="shared" ref="O7:O70" si="5">IF($C7="",0,COUNTIFS(rl_key,$J7,rl_effmonth,$M7,rl_eff,"&lt;"&amp;$C7))</f>
        <v>0</v>
      </c>
      <c r="P7" s="75">
        <f>IF($C7="",0,COUNTIFS($J$7:$J7,$J7,$M$7:$M7,$M7,$C$7:$C7,$C7))</f>
        <v>1</v>
      </c>
      <c r="Q7" s="75">
        <f t="shared" ref="Q7:Q70" si="6">IF($C7="",0,IF(AND($O7=0,$P7=1),1,0))</f>
        <v>1</v>
      </c>
      <c r="R7" s="75">
        <f t="shared" ref="R7:R70" si="7">IF($C7="",0,IF(COUNTIFS(rl_key,$J7,rl_effmonth,$M7)&gt;1,1,0))</f>
        <v>0</v>
      </c>
      <c r="S7" s="75">
        <f>IF($C7="",0,COUNTIFS(rl_key,$J7,rl_eff,"&lt;"&amp;$C7)+COUNTIFS($J$7:$J7,$J7,$C$7:$C7,$C7))</f>
        <v>1</v>
      </c>
      <c r="T7" s="75">
        <f>IF(OR($C7="",$E7&lt;&gt;"planned",$C7&lt;DATE(nr_PlanYear,1,1),$C7&gt;DATE(nr_PlanYear,12,31)),0,IF(AND(COUNTIFS(rl_key,$J7,rl_status,"planned",rl_eff,"&gt;="&amp;DATE(nr_PlanYear,1,1),rl_eff,"&lt;"&amp;$C7)=0,COUNTIFS($J$7:$J7,$J7,$E$7:$E7,"planned",$C$7:$C7,$C7)=1),1,0))</f>
        <v>0</v>
      </c>
      <c r="U7" s="75">
        <f>IF(OR($C7="",$E7&lt;&gt;"taken"),0,IF(AND(COUNTIFS(rl_key,$J7,rl_effmonth,$M7,rl_eff,"&lt;"&amp;$C7,rl_status,"taken")=0,COUNTIFS($J$7:$J7,$J7,$M$7:$M7,$M7,$C$7:$C7,$C7,$E$7:$E7,"taken")=1),1,0))</f>
        <v>1</v>
      </c>
      <c r="V7" s="66">
        <f t="shared" ref="V7:V70" si="8">IF($J7="","",IF(COUNTIF(lr_key,$J7)=0,"not in tbl_LR",INDEX(calc_cylr_p,MATCH($J7,lr_key,0))))</f>
        <v>0.61816313641421827</v>
      </c>
      <c r="W7" s="76">
        <f t="shared" ref="W7:W70" si="9">IF(OR($J7="",COUNTIF(lr_key,$J7)=0),"",(INDEX(calc_cylr_p,MATCH($J7,lr_key,0))-INDEX(calc_lrcur,MATCH($J7,lr_key,0)))*100)</f>
        <v>-3.1836863585781749</v>
      </c>
      <c r="X7" s="77">
        <f>IF(OR($C7="",$J7&lt;&gt;nr_SelKey),"",(SUMPRODUCT(('Rate Engine'!$G$17:$G$64&gt;YEAR($C7)*12+MONTH($C7)-1)*'Rate Engine'!$H$17:$H$64,'Rate Engine'!$Q$17:$Q$64)+(EOMONTH($C7,0)-$C7+1)/DAY(EOMONTH($C7,0))*SUMPRODUCT(('Rate Engine'!$G$17:$G$64=YEAR($C7)*12+MONTH($C7)-1)*'Rate Engine'!$H$17:$H$64,'Rate Engine'!$Q$17:$Q$64))/SUMPRODUCT('Rate Engine'!$H$17:$H$64,'Rate Engine'!$Q$17:$Q$64))</f>
        <v>1</v>
      </c>
      <c r="Y7" s="78" t="str">
        <f t="shared" ref="Y7:Y70" si="10">IF($C7="","",IF(AND($E7="taken",$G7&lt;&gt;"",$G7&lt;&gt;1),"achievement ignored — restate Filed %",""))</f>
        <v/>
      </c>
    </row>
    <row r="8" spans="1:25" x14ac:dyDescent="0.3">
      <c r="A8" s="11" t="s">
        <v>102</v>
      </c>
      <c r="B8" s="11" t="s">
        <v>105</v>
      </c>
      <c r="C8" s="61">
        <v>46204</v>
      </c>
      <c r="D8" s="29">
        <v>0.06</v>
      </c>
      <c r="E8" s="11" t="s">
        <v>243</v>
      </c>
      <c r="F8" s="11" t="s">
        <v>244</v>
      </c>
      <c r="G8" s="59"/>
      <c r="H8" s="71" t="s">
        <v>245</v>
      </c>
      <c r="J8" s="65" t="str">
        <f t="shared" si="0"/>
        <v>ABD|AZ</v>
      </c>
      <c r="K8" s="72">
        <f t="shared" si="1"/>
        <v>0.06</v>
      </c>
      <c r="L8" s="73">
        <f t="shared" si="2"/>
        <v>5.8268908123975824E-2</v>
      </c>
      <c r="M8" s="74">
        <f t="shared" si="3"/>
        <v>46204</v>
      </c>
      <c r="N8" s="75">
        <f t="shared" si="4"/>
        <v>31</v>
      </c>
      <c r="O8" s="75">
        <f t="shared" si="5"/>
        <v>0</v>
      </c>
      <c r="P8" s="75">
        <f>IF($C8="",0,COUNTIFS($J$7:$J8,$J8,$M$7:$M8,$M8,$C$7:$C8,$C8))</f>
        <v>1</v>
      </c>
      <c r="Q8" s="75">
        <f t="shared" si="6"/>
        <v>1</v>
      </c>
      <c r="R8" s="75">
        <f t="shared" si="7"/>
        <v>0</v>
      </c>
      <c r="S8" s="75">
        <f>IF($C8="",0,COUNTIFS(rl_key,$J8,rl_eff,"&lt;"&amp;$C8)+COUNTIFS($J$7:$J8,$J8,$C$7:$C8,$C8))</f>
        <v>2</v>
      </c>
      <c r="T8" s="75">
        <f>IF(OR($C8="",$E8&lt;&gt;"planned",$C8&lt;DATE(nr_PlanYear,1,1),$C8&gt;DATE(nr_PlanYear,12,31)),0,IF(AND(COUNTIFS(rl_key,$J8,rl_status,"planned",rl_eff,"&gt;="&amp;DATE(nr_PlanYear,1,1),rl_eff,"&lt;"&amp;$C8)=0,COUNTIFS($J$7:$J8,$J8,$E$7:$E8,"planned",$C$7:$C8,$C8)=1),1,0))</f>
        <v>0</v>
      </c>
      <c r="U8" s="75">
        <f>IF(OR($C8="",$E8&lt;&gt;"taken"),0,IF(AND(COUNTIFS(rl_key,$J8,rl_effmonth,$M8,rl_eff,"&lt;"&amp;$C8,rl_status,"taken")=0,COUNTIFS($J$7:$J8,$J8,$M$7:$M8,$M8,$C$7:$C8,$C8,$E$7:$E8,"taken")=1),1,0))</f>
        <v>1</v>
      </c>
      <c r="V8" s="66">
        <f t="shared" si="8"/>
        <v>0.61816313641421827</v>
      </c>
      <c r="W8" s="76">
        <f t="shared" si="9"/>
        <v>-3.1836863585781749</v>
      </c>
      <c r="X8" s="77">
        <f>IF(OR($C8="",$J8&lt;&gt;nr_SelKey),"",(SUMPRODUCT(('Rate Engine'!$G$17:$G$64&gt;YEAR($C8)*12+MONTH($C8)-1)*'Rate Engine'!$H$17:$H$64,'Rate Engine'!$Q$17:$Q$64)+(EOMONTH($C8,0)-$C8+1)/DAY(EOMONTH($C8,0))*SUMPRODUCT(('Rate Engine'!$G$17:$G$64=YEAR($C8)*12+MONTH($C8)-1)*'Rate Engine'!$H$17:$H$64,'Rate Engine'!$Q$17:$Q$64))/SUMPRODUCT('Rate Engine'!$H$17:$H$64,'Rate Engine'!$Q$17:$Q$64))</f>
        <v>1</v>
      </c>
      <c r="Y8" s="78" t="str">
        <f t="shared" si="10"/>
        <v/>
      </c>
    </row>
    <row r="9" spans="1:25" x14ac:dyDescent="0.3">
      <c r="A9" s="11" t="s">
        <v>102</v>
      </c>
      <c r="B9" s="11" t="s">
        <v>105</v>
      </c>
      <c r="C9" s="61">
        <v>46478</v>
      </c>
      <c r="D9" s="29">
        <v>0.05</v>
      </c>
      <c r="E9" s="11" t="s">
        <v>246</v>
      </c>
      <c r="F9" s="11" t="s">
        <v>247</v>
      </c>
      <c r="G9" s="59">
        <v>1</v>
      </c>
      <c r="H9" s="71" t="s">
        <v>248</v>
      </c>
      <c r="J9" s="65" t="str">
        <f t="shared" si="0"/>
        <v>ABD|AZ</v>
      </c>
      <c r="K9" s="72">
        <f t="shared" si="1"/>
        <v>0.05</v>
      </c>
      <c r="L9" s="73">
        <f t="shared" si="2"/>
        <v>4.8790164169432049E-2</v>
      </c>
      <c r="M9" s="74">
        <f t="shared" si="3"/>
        <v>46478</v>
      </c>
      <c r="N9" s="75">
        <f t="shared" si="4"/>
        <v>30</v>
      </c>
      <c r="O9" s="75">
        <f t="shared" si="5"/>
        <v>0</v>
      </c>
      <c r="P9" s="75">
        <f>IF($C9="",0,COUNTIFS($J$7:$J9,$J9,$M$7:$M9,$M9,$C$7:$C9,$C9))</f>
        <v>1</v>
      </c>
      <c r="Q9" s="75">
        <f t="shared" si="6"/>
        <v>1</v>
      </c>
      <c r="R9" s="75">
        <f t="shared" si="7"/>
        <v>0</v>
      </c>
      <c r="S9" s="75">
        <f>IF($C9="",0,COUNTIFS(rl_key,$J9,rl_eff,"&lt;"&amp;$C9)+COUNTIFS($J$7:$J9,$J9,$C$7:$C9,$C9))</f>
        <v>3</v>
      </c>
      <c r="T9" s="75">
        <f>IF(OR($C9="",$E9&lt;&gt;"planned",$C9&lt;DATE(nr_PlanYear,1,1),$C9&gt;DATE(nr_PlanYear,12,31)),0,IF(AND(COUNTIFS(rl_key,$J9,rl_status,"planned",rl_eff,"&gt;="&amp;DATE(nr_PlanYear,1,1),rl_eff,"&lt;"&amp;$C9)=0,COUNTIFS($J$7:$J9,$J9,$E$7:$E9,"planned",$C$7:$C9,$C9)=1),1,0))</f>
        <v>1</v>
      </c>
      <c r="U9" s="75">
        <f>IF(OR($C9="",$E9&lt;&gt;"taken"),0,IF(AND(COUNTIFS(rl_key,$J9,rl_effmonth,$M9,rl_eff,"&lt;"&amp;$C9,rl_status,"taken")=0,COUNTIFS($J$7:$J9,$J9,$M$7:$M9,$M9,$C$7:$C9,$C9,$E$7:$E9,"taken")=1),1,0))</f>
        <v>0</v>
      </c>
      <c r="V9" s="66">
        <f t="shared" si="8"/>
        <v>0.61816313641421827</v>
      </c>
      <c r="W9" s="76">
        <f t="shared" si="9"/>
        <v>-3.1836863585781749</v>
      </c>
      <c r="X9" s="77">
        <f>IF(OR($C9="",$J9&lt;&gt;nr_SelKey),"",(SUMPRODUCT(('Rate Engine'!$G$17:$G$64&gt;YEAR($C9)*12+MONTH($C9)-1)*'Rate Engine'!$H$17:$H$64,'Rate Engine'!$Q$17:$Q$64)+(EOMONTH($C9,0)-$C9+1)/DAY(EOMONTH($C9,0))*SUMPRODUCT(('Rate Engine'!$G$17:$G$64=YEAR($C9)*12+MONTH($C9)-1)*'Rate Engine'!$H$17:$H$64,'Rate Engine'!$Q$17:$Q$64))/SUMPRODUCT('Rate Engine'!$H$17:$H$64,'Rate Engine'!$Q$17:$Q$64))</f>
        <v>0.5</v>
      </c>
      <c r="Y9" s="78" t="str">
        <f t="shared" si="10"/>
        <v/>
      </c>
    </row>
    <row r="10" spans="1:25" x14ac:dyDescent="0.3">
      <c r="A10" s="11" t="s">
        <v>206</v>
      </c>
      <c r="B10" s="11" t="s">
        <v>188</v>
      </c>
      <c r="C10" s="61">
        <v>46204</v>
      </c>
      <c r="D10" s="29">
        <v>6.5000000000000002E-2</v>
      </c>
      <c r="E10" s="11" t="s">
        <v>246</v>
      </c>
      <c r="F10" s="11" t="s">
        <v>247</v>
      </c>
      <c r="G10" s="59">
        <v>1</v>
      </c>
      <c r="H10" s="71" t="s">
        <v>249</v>
      </c>
      <c r="J10" s="65" t="str">
        <f t="shared" si="0"/>
        <v>SBA|IL</v>
      </c>
      <c r="K10" s="72">
        <f t="shared" si="1"/>
        <v>6.5000000000000002E-2</v>
      </c>
      <c r="L10" s="73">
        <f t="shared" si="2"/>
        <v>6.2974799161388387E-2</v>
      </c>
      <c r="M10" s="74">
        <f t="shared" si="3"/>
        <v>46204</v>
      </c>
      <c r="N10" s="75">
        <f t="shared" si="4"/>
        <v>31</v>
      </c>
      <c r="O10" s="75">
        <f t="shared" si="5"/>
        <v>0</v>
      </c>
      <c r="P10" s="75">
        <f>IF($C10="",0,COUNTIFS($J$7:$J10,$J10,$M$7:$M10,$M10,$C$7:$C10,$C10))</f>
        <v>1</v>
      </c>
      <c r="Q10" s="75">
        <f t="shared" si="6"/>
        <v>1</v>
      </c>
      <c r="R10" s="75">
        <f t="shared" si="7"/>
        <v>0</v>
      </c>
      <c r="S10" s="75">
        <f>IF($C10="",0,COUNTIFS(rl_key,$J10,rl_eff,"&lt;"&amp;$C10)+COUNTIFS($J$7:$J10,$J10,$C$7:$C10,$C10))</f>
        <v>1</v>
      </c>
      <c r="T10" s="75">
        <f>IF(OR($C10="",$E10&lt;&gt;"planned",$C10&lt;DATE(nr_PlanYear,1,1),$C10&gt;DATE(nr_PlanYear,12,31)),0,IF(AND(COUNTIFS(rl_key,$J10,rl_status,"planned",rl_eff,"&gt;="&amp;DATE(nr_PlanYear,1,1),rl_eff,"&lt;"&amp;$C10)=0,COUNTIFS($J$7:$J10,$J10,$E$7:$E10,"planned",$C$7:$C10,$C10)=1),1,0))</f>
        <v>0</v>
      </c>
      <c r="U10" s="75">
        <f>IF(OR($C10="",$E10&lt;&gt;"taken"),0,IF(AND(COUNTIFS(rl_key,$J10,rl_effmonth,$M10,rl_eff,"&lt;"&amp;$C10,rl_status,"taken")=0,COUNTIFS($J$7:$J10,$J10,$M$7:$M10,$M10,$C$7:$C10,$C10,$E$7:$E10,"taken")=1),1,0))</f>
        <v>0</v>
      </c>
      <c r="V10" s="66">
        <f t="shared" si="8"/>
        <v>0.55196103887765247</v>
      </c>
      <c r="W10" s="76">
        <f t="shared" si="9"/>
        <v>-3.2038961122347498</v>
      </c>
      <c r="X10" s="77" t="str">
        <f>IF(OR($C10="",$J10&lt;&gt;nr_SelKey),"",(SUMPRODUCT(('Rate Engine'!$G$17:$G$64&gt;YEAR($C10)*12+MONTH($C10)-1)*'Rate Engine'!$H$17:$H$64,'Rate Engine'!$Q$17:$Q$64)+(EOMONTH($C10,0)-$C10+1)/DAY(EOMONTH($C10,0))*SUMPRODUCT(('Rate Engine'!$G$17:$G$64=YEAR($C10)*12+MONTH($C10)-1)*'Rate Engine'!$H$17:$H$64,'Rate Engine'!$Q$17:$Q$64))/SUMPRODUCT('Rate Engine'!$H$17:$H$64,'Rate Engine'!$Q$17:$Q$64))</f>
        <v/>
      </c>
      <c r="Y10" s="78" t="str">
        <f t="shared" si="10"/>
        <v/>
      </c>
    </row>
    <row r="11" spans="1:25" x14ac:dyDescent="0.3">
      <c r="A11" s="11" t="s">
        <v>203</v>
      </c>
      <c r="B11" s="11" t="s">
        <v>184</v>
      </c>
      <c r="C11" s="61">
        <v>46113</v>
      </c>
      <c r="D11" s="29">
        <v>0.05</v>
      </c>
      <c r="E11" s="11" t="s">
        <v>243</v>
      </c>
      <c r="F11" s="11" t="s">
        <v>244</v>
      </c>
      <c r="G11" s="59"/>
      <c r="H11" s="71"/>
      <c r="J11" s="65" t="str">
        <f t="shared" si="0"/>
        <v>MM|DE</v>
      </c>
      <c r="K11" s="72">
        <f t="shared" si="1"/>
        <v>0.05</v>
      </c>
      <c r="L11" s="73">
        <f t="shared" si="2"/>
        <v>4.8790164169432049E-2</v>
      </c>
      <c r="M11" s="74">
        <f t="shared" si="3"/>
        <v>46113</v>
      </c>
      <c r="N11" s="75">
        <f t="shared" si="4"/>
        <v>30</v>
      </c>
      <c r="O11" s="75">
        <f t="shared" si="5"/>
        <v>0</v>
      </c>
      <c r="P11" s="75">
        <f>IF($C11="",0,COUNTIFS($J$7:$J11,$J11,$M$7:$M11,$M11,$C$7:$C11,$C11))</f>
        <v>1</v>
      </c>
      <c r="Q11" s="75">
        <f t="shared" si="6"/>
        <v>1</v>
      </c>
      <c r="R11" s="75">
        <f t="shared" si="7"/>
        <v>0</v>
      </c>
      <c r="S11" s="75">
        <f>IF($C11="",0,COUNTIFS(rl_key,$J11,rl_eff,"&lt;"&amp;$C11)+COUNTIFS($J$7:$J11,$J11,$C$7:$C11,$C11))</f>
        <v>1</v>
      </c>
      <c r="T11" s="75">
        <f>IF(OR($C11="",$E11&lt;&gt;"planned",$C11&lt;DATE(nr_PlanYear,1,1),$C11&gt;DATE(nr_PlanYear,12,31)),0,IF(AND(COUNTIFS(rl_key,$J11,rl_status,"planned",rl_eff,"&gt;="&amp;DATE(nr_PlanYear,1,1),rl_eff,"&lt;"&amp;$C11)=0,COUNTIFS($J$7:$J11,$J11,$E$7:$E11,"planned",$C$7:$C11,$C11)=1),1,0))</f>
        <v>0</v>
      </c>
      <c r="U11" s="75">
        <f>IF(OR($C11="",$E11&lt;&gt;"taken"),0,IF(AND(COUNTIFS(rl_key,$J11,rl_effmonth,$M11,rl_eff,"&lt;"&amp;$C11,rl_status,"taken")=0,COUNTIFS($J$7:$J11,$J11,$M$7:$M11,$M11,$C$7:$C11,$C11,$E$7:$E11,"taken")=1),1,0))</f>
        <v>1</v>
      </c>
      <c r="V11" s="66">
        <f t="shared" si="8"/>
        <v>0.59431848086016048</v>
      </c>
      <c r="W11" s="76">
        <f t="shared" si="9"/>
        <v>0.63184808601605136</v>
      </c>
      <c r="X11" s="77" t="str">
        <f>IF(OR($C11="",$J11&lt;&gt;nr_SelKey),"",(SUMPRODUCT(('Rate Engine'!$G$17:$G$64&gt;YEAR($C11)*12+MONTH($C11)-1)*'Rate Engine'!$H$17:$H$64,'Rate Engine'!$Q$17:$Q$64)+(EOMONTH($C11,0)-$C11+1)/DAY(EOMONTH($C11,0))*SUMPRODUCT(('Rate Engine'!$G$17:$G$64=YEAR($C11)*12+MONTH($C11)-1)*'Rate Engine'!$H$17:$H$64,'Rate Engine'!$Q$17:$Q$64))/SUMPRODUCT('Rate Engine'!$H$17:$H$64,'Rate Engine'!$Q$17:$Q$64))</f>
        <v/>
      </c>
      <c r="Y11" s="78" t="str">
        <f t="shared" si="10"/>
        <v/>
      </c>
    </row>
    <row r="12" spans="1:25" x14ac:dyDescent="0.3">
      <c r="A12" s="11" t="s">
        <v>203</v>
      </c>
      <c r="B12" s="11" t="s">
        <v>184</v>
      </c>
      <c r="C12" s="61">
        <v>46522</v>
      </c>
      <c r="D12" s="29">
        <v>0.03</v>
      </c>
      <c r="E12" s="11" t="s">
        <v>246</v>
      </c>
      <c r="F12" s="11" t="s">
        <v>247</v>
      </c>
      <c r="G12" s="59">
        <v>1</v>
      </c>
      <c r="H12" s="71" t="s">
        <v>250</v>
      </c>
      <c r="J12" s="65" t="str">
        <f t="shared" si="0"/>
        <v>MM|DE</v>
      </c>
      <c r="K12" s="72">
        <f t="shared" si="1"/>
        <v>0.03</v>
      </c>
      <c r="L12" s="73">
        <f t="shared" si="2"/>
        <v>2.9558802241544429E-2</v>
      </c>
      <c r="M12" s="74">
        <f t="shared" si="3"/>
        <v>46508</v>
      </c>
      <c r="N12" s="75">
        <f t="shared" si="4"/>
        <v>17</v>
      </c>
      <c r="O12" s="75">
        <f t="shared" si="5"/>
        <v>0</v>
      </c>
      <c r="P12" s="75">
        <f>IF($C12="",0,COUNTIFS($J$7:$J12,$J12,$M$7:$M12,$M12,$C$7:$C12,$C12))</f>
        <v>1</v>
      </c>
      <c r="Q12" s="75">
        <f t="shared" si="6"/>
        <v>1</v>
      </c>
      <c r="R12" s="75">
        <f t="shared" si="7"/>
        <v>0</v>
      </c>
      <c r="S12" s="75">
        <f>IF($C12="",0,COUNTIFS(rl_key,$J12,rl_eff,"&lt;"&amp;$C12)+COUNTIFS($J$7:$J12,$J12,$C$7:$C12,$C12))</f>
        <v>2</v>
      </c>
      <c r="T12" s="75">
        <f>IF(OR($C12="",$E12&lt;&gt;"planned",$C12&lt;DATE(nr_PlanYear,1,1),$C12&gt;DATE(nr_PlanYear,12,31)),0,IF(AND(COUNTIFS(rl_key,$J12,rl_status,"planned",rl_eff,"&gt;="&amp;DATE(nr_PlanYear,1,1),rl_eff,"&lt;"&amp;$C12)=0,COUNTIFS($J$7:$J12,$J12,$E$7:$E12,"planned",$C$7:$C12,$C12)=1),1,0))</f>
        <v>1</v>
      </c>
      <c r="U12" s="75">
        <f>IF(OR($C12="",$E12&lt;&gt;"taken"),0,IF(AND(COUNTIFS(rl_key,$J12,rl_effmonth,$M12,rl_eff,"&lt;"&amp;$C12,rl_status,"taken")=0,COUNTIFS($J$7:$J12,$J12,$M$7:$M12,$M12,$C$7:$C12,$C12,$E$7:$E12,"taken")=1),1,0))</f>
        <v>0</v>
      </c>
      <c r="V12" s="66">
        <f t="shared" si="8"/>
        <v>0.59431848086016048</v>
      </c>
      <c r="W12" s="76">
        <f t="shared" si="9"/>
        <v>0.63184808601605136</v>
      </c>
      <c r="X12" s="77" t="str">
        <f>IF(OR($C12="",$J12&lt;&gt;nr_SelKey),"",(SUMPRODUCT(('Rate Engine'!$G$17:$G$64&gt;YEAR($C12)*12+MONTH($C12)-1)*'Rate Engine'!$H$17:$H$64,'Rate Engine'!$Q$17:$Q$64)+(EOMONTH($C12,0)-$C12+1)/DAY(EOMONTH($C12,0))*SUMPRODUCT(('Rate Engine'!$G$17:$G$64=YEAR($C12)*12+MONTH($C12)-1)*'Rate Engine'!$H$17:$H$64,'Rate Engine'!$Q$17:$Q$64))/SUMPRODUCT('Rate Engine'!$H$17:$H$64,'Rate Engine'!$Q$17:$Q$64))</f>
        <v/>
      </c>
      <c r="Y12" s="78" t="str">
        <f t="shared" si="10"/>
        <v/>
      </c>
    </row>
    <row r="13" spans="1:25" x14ac:dyDescent="0.3">
      <c r="A13" s="11" t="s">
        <v>203</v>
      </c>
      <c r="B13" s="11" t="s">
        <v>185</v>
      </c>
      <c r="C13" s="61">
        <v>46296</v>
      </c>
      <c r="D13" s="29">
        <v>0.08</v>
      </c>
      <c r="E13" s="11" t="s">
        <v>243</v>
      </c>
      <c r="F13" s="11" t="s">
        <v>244</v>
      </c>
      <c r="G13" s="59"/>
      <c r="H13" s="71"/>
      <c r="J13" s="65" t="str">
        <f t="shared" si="0"/>
        <v>MM|FL</v>
      </c>
      <c r="K13" s="72">
        <f t="shared" si="1"/>
        <v>0.08</v>
      </c>
      <c r="L13" s="73">
        <f t="shared" si="2"/>
        <v>7.6961041136128394E-2</v>
      </c>
      <c r="M13" s="74">
        <f t="shared" si="3"/>
        <v>46296</v>
      </c>
      <c r="N13" s="75">
        <f t="shared" si="4"/>
        <v>31</v>
      </c>
      <c r="O13" s="75">
        <f t="shared" si="5"/>
        <v>0</v>
      </c>
      <c r="P13" s="75">
        <f>IF($C13="",0,COUNTIFS($J$7:$J13,$J13,$M$7:$M13,$M13,$C$7:$C13,$C13))</f>
        <v>1</v>
      </c>
      <c r="Q13" s="75">
        <f t="shared" si="6"/>
        <v>1</v>
      </c>
      <c r="R13" s="75">
        <f t="shared" si="7"/>
        <v>0</v>
      </c>
      <c r="S13" s="75">
        <f>IF($C13="",0,COUNTIFS(rl_key,$J13,rl_eff,"&lt;"&amp;$C13)+COUNTIFS($J$7:$J13,$J13,$C$7:$C13,$C13))</f>
        <v>1</v>
      </c>
      <c r="T13" s="75">
        <f>IF(OR($C13="",$E13&lt;&gt;"planned",$C13&lt;DATE(nr_PlanYear,1,1),$C13&gt;DATE(nr_PlanYear,12,31)),0,IF(AND(COUNTIFS(rl_key,$J13,rl_status,"planned",rl_eff,"&gt;="&amp;DATE(nr_PlanYear,1,1),rl_eff,"&lt;"&amp;$C13)=0,COUNTIFS($J$7:$J13,$J13,$E$7:$E13,"planned",$C$7:$C13,$C13)=1),1,0))</f>
        <v>0</v>
      </c>
      <c r="U13" s="75">
        <f>IF(OR($C13="",$E13&lt;&gt;"taken"),0,IF(AND(COUNTIFS(rl_key,$J13,rl_effmonth,$M13,rl_eff,"&lt;"&amp;$C13,rl_status,"taken")=0,COUNTIFS($J$7:$J13,$J13,$M$7:$M13,$M13,$C$7:$C13,$C13,$E$7:$E13,"taken")=1),1,0))</f>
        <v>1</v>
      </c>
      <c r="V13" s="66">
        <f t="shared" si="8"/>
        <v>0.56507959486498094</v>
      </c>
      <c r="W13" s="76">
        <f t="shared" si="9"/>
        <v>-0.69204051350190143</v>
      </c>
      <c r="X13" s="77" t="str">
        <f>IF(OR($C13="",$J13&lt;&gt;nr_SelKey),"",(SUMPRODUCT(('Rate Engine'!$G$17:$G$64&gt;YEAR($C13)*12+MONTH($C13)-1)*'Rate Engine'!$H$17:$H$64,'Rate Engine'!$Q$17:$Q$64)+(EOMONTH($C13,0)-$C13+1)/DAY(EOMONTH($C13,0))*SUMPRODUCT(('Rate Engine'!$G$17:$G$64=YEAR($C13)*12+MONTH($C13)-1)*'Rate Engine'!$H$17:$H$64,'Rate Engine'!$Q$17:$Q$64))/SUMPRODUCT('Rate Engine'!$H$17:$H$64,'Rate Engine'!$Q$17:$Q$64))</f>
        <v/>
      </c>
      <c r="Y13" s="78" t="str">
        <f t="shared" si="10"/>
        <v/>
      </c>
    </row>
    <row r="14" spans="1:25" x14ac:dyDescent="0.3">
      <c r="A14" s="11" t="s">
        <v>203</v>
      </c>
      <c r="B14" s="11" t="s">
        <v>185</v>
      </c>
      <c r="C14" s="61">
        <v>46447</v>
      </c>
      <c r="D14" s="29">
        <v>0.06</v>
      </c>
      <c r="E14" s="11" t="s">
        <v>246</v>
      </c>
      <c r="F14" s="11" t="s">
        <v>247</v>
      </c>
      <c r="G14" s="59">
        <v>0.8</v>
      </c>
      <c r="H14" s="71" t="s">
        <v>251</v>
      </c>
      <c r="J14" s="65" t="str">
        <f t="shared" si="0"/>
        <v>MM|FL</v>
      </c>
      <c r="K14" s="72">
        <f t="shared" si="1"/>
        <v>4.8000000000000001E-2</v>
      </c>
      <c r="L14" s="73">
        <f t="shared" si="2"/>
        <v>4.6883585898850458E-2</v>
      </c>
      <c r="M14" s="74">
        <f t="shared" si="3"/>
        <v>46447</v>
      </c>
      <c r="N14" s="75">
        <f t="shared" si="4"/>
        <v>31</v>
      </c>
      <c r="O14" s="75">
        <f t="shared" si="5"/>
        <v>0</v>
      </c>
      <c r="P14" s="75">
        <f>IF($C14="",0,COUNTIFS($J$7:$J14,$J14,$M$7:$M14,$M14,$C$7:$C14,$C14))</f>
        <v>1</v>
      </c>
      <c r="Q14" s="75">
        <f t="shared" si="6"/>
        <v>1</v>
      </c>
      <c r="R14" s="75">
        <f t="shared" si="7"/>
        <v>0</v>
      </c>
      <c r="S14" s="75">
        <f>IF($C14="",0,COUNTIFS(rl_key,$J14,rl_eff,"&lt;"&amp;$C14)+COUNTIFS($J$7:$J14,$J14,$C$7:$C14,$C14))</f>
        <v>2</v>
      </c>
      <c r="T14" s="75">
        <f>IF(OR($C14="",$E14&lt;&gt;"planned",$C14&lt;DATE(nr_PlanYear,1,1),$C14&gt;DATE(nr_PlanYear,12,31)),0,IF(AND(COUNTIFS(rl_key,$J14,rl_status,"planned",rl_eff,"&gt;="&amp;DATE(nr_PlanYear,1,1),rl_eff,"&lt;"&amp;$C14)=0,COUNTIFS($J$7:$J14,$J14,$E$7:$E14,"planned",$C$7:$C14,$C14)=1),1,0))</f>
        <v>1</v>
      </c>
      <c r="U14" s="75">
        <f>IF(OR($C14="",$E14&lt;&gt;"taken"),0,IF(AND(COUNTIFS(rl_key,$J14,rl_effmonth,$M14,rl_eff,"&lt;"&amp;$C14,rl_status,"taken")=0,COUNTIFS($J$7:$J14,$J14,$M$7:$M14,$M14,$C$7:$C14,$C14,$E$7:$E14,"taken")=1),1,0))</f>
        <v>0</v>
      </c>
      <c r="V14" s="66">
        <f t="shared" si="8"/>
        <v>0.56507959486498094</v>
      </c>
      <c r="W14" s="76">
        <f t="shared" si="9"/>
        <v>-0.69204051350190143</v>
      </c>
      <c r="X14" s="77" t="str">
        <f>IF(OR($C14="",$J14&lt;&gt;nr_SelKey),"",(SUMPRODUCT(('Rate Engine'!$G$17:$G$64&gt;YEAR($C14)*12+MONTH($C14)-1)*'Rate Engine'!$H$17:$H$64,'Rate Engine'!$Q$17:$Q$64)+(EOMONTH($C14,0)-$C14+1)/DAY(EOMONTH($C14,0))*SUMPRODUCT(('Rate Engine'!$G$17:$G$64=YEAR($C14)*12+MONTH($C14)-1)*'Rate Engine'!$H$17:$H$64,'Rate Engine'!$Q$17:$Q$64))/SUMPRODUCT('Rate Engine'!$H$17:$H$64,'Rate Engine'!$Q$17:$Q$64))</f>
        <v/>
      </c>
      <c r="Y14" s="78" t="str">
        <f t="shared" si="10"/>
        <v/>
      </c>
    </row>
    <row r="15" spans="1:25" x14ac:dyDescent="0.3">
      <c r="A15" s="11" t="s">
        <v>102</v>
      </c>
      <c r="B15" s="11" t="s">
        <v>187</v>
      </c>
      <c r="C15" s="61">
        <v>46174</v>
      </c>
      <c r="D15" s="29">
        <v>4.4999999999999998E-2</v>
      </c>
      <c r="E15" s="11" t="s">
        <v>243</v>
      </c>
      <c r="F15" s="11" t="s">
        <v>244</v>
      </c>
      <c r="G15" s="59"/>
      <c r="H15" s="71"/>
      <c r="J15" s="65" t="str">
        <f t="shared" si="0"/>
        <v>ABD|IA</v>
      </c>
      <c r="K15" s="72">
        <f t="shared" si="1"/>
        <v>4.4999999999999998E-2</v>
      </c>
      <c r="L15" s="73">
        <f t="shared" si="2"/>
        <v>4.401688541677426E-2</v>
      </c>
      <c r="M15" s="74">
        <f t="shared" si="3"/>
        <v>46174</v>
      </c>
      <c r="N15" s="75">
        <f t="shared" si="4"/>
        <v>30</v>
      </c>
      <c r="O15" s="75">
        <f t="shared" si="5"/>
        <v>0</v>
      </c>
      <c r="P15" s="75">
        <f>IF($C15="",0,COUNTIFS($J$7:$J15,$J15,$M$7:$M15,$M15,$C$7:$C15,$C15))</f>
        <v>1</v>
      </c>
      <c r="Q15" s="75">
        <f t="shared" si="6"/>
        <v>1</v>
      </c>
      <c r="R15" s="75">
        <f t="shared" si="7"/>
        <v>0</v>
      </c>
      <c r="S15" s="75">
        <f>IF($C15="",0,COUNTIFS(rl_key,$J15,rl_eff,"&lt;"&amp;$C15)+COUNTIFS($J$7:$J15,$J15,$C$7:$C15,$C15))</f>
        <v>1</v>
      </c>
      <c r="T15" s="75">
        <f>IF(OR($C15="",$E15&lt;&gt;"planned",$C15&lt;DATE(nr_PlanYear,1,1),$C15&gt;DATE(nr_PlanYear,12,31)),0,IF(AND(COUNTIFS(rl_key,$J15,rl_status,"planned",rl_eff,"&gt;="&amp;DATE(nr_PlanYear,1,1),rl_eff,"&lt;"&amp;$C15)=0,COUNTIFS($J$7:$J15,$J15,$E$7:$E15,"planned",$C$7:$C15,$C15)=1),1,0))</f>
        <v>0</v>
      </c>
      <c r="U15" s="75">
        <f>IF(OR($C15="",$E15&lt;&gt;"taken"),0,IF(AND(COUNTIFS(rl_key,$J15,rl_effmonth,$M15,rl_eff,"&lt;"&amp;$C15,rl_status,"taken")=0,COUNTIFS($J$7:$J15,$J15,$M$7:$M15,$M15,$C$7:$C15,$C15,$E$7:$E15,"taken")=1),1,0))</f>
        <v>1</v>
      </c>
      <c r="V15" s="66">
        <f t="shared" si="8"/>
        <v>0.56797977748384532</v>
      </c>
      <c r="W15" s="76">
        <f t="shared" si="9"/>
        <v>-2.0222516154633219E-3</v>
      </c>
      <c r="X15" s="77" t="str">
        <f>IF(OR($C15="",$J15&lt;&gt;nr_SelKey),"",(SUMPRODUCT(('Rate Engine'!$G$17:$G$64&gt;YEAR($C15)*12+MONTH($C15)-1)*'Rate Engine'!$H$17:$H$64,'Rate Engine'!$Q$17:$Q$64)+(EOMONTH($C15,0)-$C15+1)/DAY(EOMONTH($C15,0))*SUMPRODUCT(('Rate Engine'!$G$17:$G$64=YEAR($C15)*12+MONTH($C15)-1)*'Rate Engine'!$H$17:$H$64,'Rate Engine'!$Q$17:$Q$64))/SUMPRODUCT('Rate Engine'!$H$17:$H$64,'Rate Engine'!$Q$17:$Q$64))</f>
        <v/>
      </c>
      <c r="Y15" s="78" t="str">
        <f t="shared" si="10"/>
        <v/>
      </c>
    </row>
    <row r="16" spans="1:25" x14ac:dyDescent="0.3">
      <c r="A16" s="11" t="s">
        <v>206</v>
      </c>
      <c r="B16" s="11" t="s">
        <v>190</v>
      </c>
      <c r="C16" s="61">
        <v>46296</v>
      </c>
      <c r="D16" s="29">
        <v>0.1</v>
      </c>
      <c r="E16" s="11" t="s">
        <v>243</v>
      </c>
      <c r="F16" s="11" t="s">
        <v>247</v>
      </c>
      <c r="G16" s="59"/>
      <c r="H16" s="71" t="s">
        <v>252</v>
      </c>
      <c r="J16" s="65" t="str">
        <f t="shared" si="0"/>
        <v>SBA|KY</v>
      </c>
      <c r="K16" s="72">
        <f t="shared" si="1"/>
        <v>0.1</v>
      </c>
      <c r="L16" s="73">
        <f t="shared" si="2"/>
        <v>9.5310179804324935E-2</v>
      </c>
      <c r="M16" s="74">
        <f t="shared" si="3"/>
        <v>46296</v>
      </c>
      <c r="N16" s="75">
        <f t="shared" si="4"/>
        <v>31</v>
      </c>
      <c r="O16" s="75">
        <f t="shared" si="5"/>
        <v>0</v>
      </c>
      <c r="P16" s="75">
        <f>IF($C16="",0,COUNTIFS($J$7:$J16,$J16,$M$7:$M16,$M16,$C$7:$C16,$C16))</f>
        <v>1</v>
      </c>
      <c r="Q16" s="75">
        <f t="shared" si="6"/>
        <v>1</v>
      </c>
      <c r="R16" s="75">
        <f t="shared" si="7"/>
        <v>0</v>
      </c>
      <c r="S16" s="75">
        <f>IF($C16="",0,COUNTIFS(rl_key,$J16,rl_eff,"&lt;"&amp;$C16)+COUNTIFS($J$7:$J16,$J16,$C$7:$C16,$C16))</f>
        <v>1</v>
      </c>
      <c r="T16" s="75">
        <f>IF(OR($C16="",$E16&lt;&gt;"planned",$C16&lt;DATE(nr_PlanYear,1,1),$C16&gt;DATE(nr_PlanYear,12,31)),0,IF(AND(COUNTIFS(rl_key,$J16,rl_status,"planned",rl_eff,"&gt;="&amp;DATE(nr_PlanYear,1,1),rl_eff,"&lt;"&amp;$C16)=0,COUNTIFS($J$7:$J16,$J16,$E$7:$E16,"planned",$C$7:$C16,$C16)=1),1,0))</f>
        <v>0</v>
      </c>
      <c r="U16" s="75">
        <f>IF(OR($C16="",$E16&lt;&gt;"taken"),0,IF(AND(COUNTIFS(rl_key,$J16,rl_effmonth,$M16,rl_eff,"&lt;"&amp;$C16,rl_status,"taken")=0,COUNTIFS($J$7:$J16,$J16,$M$7:$M16,$M16,$C$7:$C16,$C16,$E$7:$E16,"taken")=1),1,0))</f>
        <v>1</v>
      </c>
      <c r="V16" s="66">
        <f t="shared" si="8"/>
        <v>0.54805984563196153</v>
      </c>
      <c r="W16" s="76">
        <f t="shared" si="9"/>
        <v>-4.7940154368038446</v>
      </c>
      <c r="X16" s="77" t="str">
        <f>IF(OR($C16="",$J16&lt;&gt;nr_SelKey),"",(SUMPRODUCT(('Rate Engine'!$G$17:$G$64&gt;YEAR($C16)*12+MONTH($C16)-1)*'Rate Engine'!$H$17:$H$64,'Rate Engine'!$Q$17:$Q$64)+(EOMONTH($C16,0)-$C16+1)/DAY(EOMONTH($C16,0))*SUMPRODUCT(('Rate Engine'!$G$17:$G$64=YEAR($C16)*12+MONTH($C16)-1)*'Rate Engine'!$H$17:$H$64,'Rate Engine'!$Q$17:$Q$64))/SUMPRODUCT('Rate Engine'!$H$17:$H$64,'Rate Engine'!$Q$17:$Q$64))</f>
        <v/>
      </c>
      <c r="Y16" s="78" t="str">
        <f t="shared" si="10"/>
        <v/>
      </c>
    </row>
    <row r="17" spans="1:25" x14ac:dyDescent="0.3">
      <c r="A17" s="11" t="s">
        <v>206</v>
      </c>
      <c r="B17" s="11" t="s">
        <v>190</v>
      </c>
      <c r="C17" s="61">
        <v>46478</v>
      </c>
      <c r="D17" s="29">
        <v>0.04</v>
      </c>
      <c r="E17" s="11" t="s">
        <v>246</v>
      </c>
      <c r="F17" s="11" t="s">
        <v>247</v>
      </c>
      <c r="G17" s="59">
        <v>1</v>
      </c>
      <c r="H17" s="71" t="s">
        <v>253</v>
      </c>
      <c r="J17" s="65" t="str">
        <f t="shared" si="0"/>
        <v>SBA|KY</v>
      </c>
      <c r="K17" s="72">
        <f t="shared" si="1"/>
        <v>0.04</v>
      </c>
      <c r="L17" s="73">
        <f t="shared" si="2"/>
        <v>3.9220713153281329E-2</v>
      </c>
      <c r="M17" s="74">
        <f t="shared" si="3"/>
        <v>46478</v>
      </c>
      <c r="N17" s="75">
        <f t="shared" si="4"/>
        <v>30</v>
      </c>
      <c r="O17" s="75">
        <f t="shared" si="5"/>
        <v>0</v>
      </c>
      <c r="P17" s="75">
        <f>IF($C17="",0,COUNTIFS($J$7:$J17,$J17,$M$7:$M17,$M17,$C$7:$C17,$C17))</f>
        <v>1</v>
      </c>
      <c r="Q17" s="75">
        <f t="shared" si="6"/>
        <v>1</v>
      </c>
      <c r="R17" s="75">
        <f t="shared" si="7"/>
        <v>0</v>
      </c>
      <c r="S17" s="75">
        <f>IF($C17="",0,COUNTIFS(rl_key,$J17,rl_eff,"&lt;"&amp;$C17)+COUNTIFS($J$7:$J17,$J17,$C$7:$C17,$C17))</f>
        <v>2</v>
      </c>
      <c r="T17" s="75">
        <f>IF(OR($C17="",$E17&lt;&gt;"planned",$C17&lt;DATE(nr_PlanYear,1,1),$C17&gt;DATE(nr_PlanYear,12,31)),0,IF(AND(COUNTIFS(rl_key,$J17,rl_status,"planned",rl_eff,"&gt;="&amp;DATE(nr_PlanYear,1,1),rl_eff,"&lt;"&amp;$C17)=0,COUNTIFS($J$7:$J17,$J17,$E$7:$E17,"planned",$C$7:$C17,$C17)=1),1,0))</f>
        <v>1</v>
      </c>
      <c r="U17" s="75">
        <f>IF(OR($C17="",$E17&lt;&gt;"taken"),0,IF(AND(COUNTIFS(rl_key,$J17,rl_effmonth,$M17,rl_eff,"&lt;"&amp;$C17,rl_status,"taken")=0,COUNTIFS($J$7:$J17,$J17,$M$7:$M17,$M17,$C$7:$C17,$C17,$E$7:$E17,"taken")=1),1,0))</f>
        <v>0</v>
      </c>
      <c r="V17" s="66">
        <f t="shared" si="8"/>
        <v>0.54805984563196153</v>
      </c>
      <c r="W17" s="76">
        <f t="shared" si="9"/>
        <v>-4.7940154368038446</v>
      </c>
      <c r="X17" s="77" t="str">
        <f>IF(OR($C17="",$J17&lt;&gt;nr_SelKey),"",(SUMPRODUCT(('Rate Engine'!$G$17:$G$64&gt;YEAR($C17)*12+MONTH($C17)-1)*'Rate Engine'!$H$17:$H$64,'Rate Engine'!$Q$17:$Q$64)+(EOMONTH($C17,0)-$C17+1)/DAY(EOMONTH($C17,0))*SUMPRODUCT(('Rate Engine'!$G$17:$G$64=YEAR($C17)*12+MONTH($C17)-1)*'Rate Engine'!$H$17:$H$64,'Rate Engine'!$Q$17:$Q$64))/SUMPRODUCT('Rate Engine'!$H$17:$H$64,'Rate Engine'!$Q$17:$Q$64))</f>
        <v/>
      </c>
      <c r="Y17" s="78" t="str">
        <f t="shared" si="10"/>
        <v/>
      </c>
    </row>
    <row r="18" spans="1:25" x14ac:dyDescent="0.3">
      <c r="A18" s="11" t="s">
        <v>102</v>
      </c>
      <c r="B18" s="11" t="s">
        <v>183</v>
      </c>
      <c r="C18" s="61">
        <v>46054</v>
      </c>
      <c r="D18" s="29">
        <v>0.03</v>
      </c>
      <c r="E18" s="11" t="s">
        <v>243</v>
      </c>
      <c r="F18" s="11" t="s">
        <v>244</v>
      </c>
      <c r="G18" s="59"/>
      <c r="H18" s="71"/>
      <c r="J18" s="65" t="str">
        <f t="shared" si="0"/>
        <v>ABD|CO</v>
      </c>
      <c r="K18" s="72">
        <f t="shared" si="1"/>
        <v>0.03</v>
      </c>
      <c r="L18" s="73">
        <f t="shared" si="2"/>
        <v>2.9558802241544429E-2</v>
      </c>
      <c r="M18" s="74">
        <f t="shared" si="3"/>
        <v>46054</v>
      </c>
      <c r="N18" s="75">
        <f t="shared" si="4"/>
        <v>28</v>
      </c>
      <c r="O18" s="75">
        <f t="shared" si="5"/>
        <v>0</v>
      </c>
      <c r="P18" s="75">
        <f>IF($C18="",0,COUNTIFS($J$7:$J18,$J18,$M$7:$M18,$M18,$C$7:$C18,$C18))</f>
        <v>1</v>
      </c>
      <c r="Q18" s="75">
        <f t="shared" si="6"/>
        <v>1</v>
      </c>
      <c r="R18" s="75">
        <f t="shared" si="7"/>
        <v>0</v>
      </c>
      <c r="S18" s="75">
        <f>IF($C18="",0,COUNTIFS(rl_key,$J18,rl_eff,"&lt;"&amp;$C18)+COUNTIFS($J$7:$J18,$J18,$C$7:$C18,$C18))</f>
        <v>1</v>
      </c>
      <c r="T18" s="75">
        <f>IF(OR($C18="",$E18&lt;&gt;"planned",$C18&lt;DATE(nr_PlanYear,1,1),$C18&gt;DATE(nr_PlanYear,12,31)),0,IF(AND(COUNTIFS(rl_key,$J18,rl_status,"planned",rl_eff,"&gt;="&amp;DATE(nr_PlanYear,1,1),rl_eff,"&lt;"&amp;$C18)=0,COUNTIFS($J$7:$J18,$J18,$E$7:$E18,"planned",$C$7:$C18,$C18)=1),1,0))</f>
        <v>0</v>
      </c>
      <c r="U18" s="75">
        <f>IF(OR($C18="",$E18&lt;&gt;"taken"),0,IF(AND(COUNTIFS(rl_key,$J18,rl_effmonth,$M18,rl_eff,"&lt;"&amp;$C18,rl_status,"taken")=0,COUNTIFS($J$7:$J18,$J18,$M$7:$M18,$M18,$C$7:$C18,$C18,$E$7:$E18,"taken")=1),1,0))</f>
        <v>1</v>
      </c>
      <c r="V18" s="66">
        <f t="shared" si="8"/>
        <v>0.57775356429499869</v>
      </c>
      <c r="W18" s="76">
        <f t="shared" si="9"/>
        <v>-1.0246435705001278</v>
      </c>
      <c r="X18" s="77" t="str">
        <f>IF(OR($C18="",$J18&lt;&gt;nr_SelKey),"",(SUMPRODUCT(('Rate Engine'!$G$17:$G$64&gt;YEAR($C18)*12+MONTH($C18)-1)*'Rate Engine'!$H$17:$H$64,'Rate Engine'!$Q$17:$Q$64)+(EOMONTH($C18,0)-$C18+1)/DAY(EOMONTH($C18,0))*SUMPRODUCT(('Rate Engine'!$G$17:$G$64=YEAR($C18)*12+MONTH($C18)-1)*'Rate Engine'!$H$17:$H$64,'Rate Engine'!$Q$17:$Q$64))/SUMPRODUCT('Rate Engine'!$H$17:$H$64,'Rate Engine'!$Q$17:$Q$64))</f>
        <v/>
      </c>
      <c r="Y18" s="78" t="str">
        <f t="shared" si="10"/>
        <v/>
      </c>
    </row>
    <row r="19" spans="1:25" x14ac:dyDescent="0.3">
      <c r="A19" s="11" t="s">
        <v>102</v>
      </c>
      <c r="B19" s="11" t="s">
        <v>183</v>
      </c>
      <c r="C19" s="61">
        <v>46419</v>
      </c>
      <c r="D19" s="29">
        <v>0.04</v>
      </c>
      <c r="E19" s="11" t="s">
        <v>246</v>
      </c>
      <c r="F19" s="11" t="s">
        <v>247</v>
      </c>
      <c r="G19" s="59">
        <v>1</v>
      </c>
      <c r="H19" s="71"/>
      <c r="J19" s="65" t="str">
        <f t="shared" si="0"/>
        <v>ABD|CO</v>
      </c>
      <c r="K19" s="72">
        <f t="shared" si="1"/>
        <v>0.04</v>
      </c>
      <c r="L19" s="73">
        <f t="shared" si="2"/>
        <v>3.9220713153281329E-2</v>
      </c>
      <c r="M19" s="74">
        <f t="shared" si="3"/>
        <v>46419</v>
      </c>
      <c r="N19" s="75">
        <f t="shared" si="4"/>
        <v>28</v>
      </c>
      <c r="O19" s="75">
        <f t="shared" si="5"/>
        <v>0</v>
      </c>
      <c r="P19" s="75">
        <f>IF($C19="",0,COUNTIFS($J$7:$J19,$J19,$M$7:$M19,$M19,$C$7:$C19,$C19))</f>
        <v>1</v>
      </c>
      <c r="Q19" s="75">
        <f t="shared" si="6"/>
        <v>1</v>
      </c>
      <c r="R19" s="75">
        <f t="shared" si="7"/>
        <v>0</v>
      </c>
      <c r="S19" s="75">
        <f>IF($C19="",0,COUNTIFS(rl_key,$J19,rl_eff,"&lt;"&amp;$C19)+COUNTIFS($J$7:$J19,$J19,$C$7:$C19,$C19))</f>
        <v>2</v>
      </c>
      <c r="T19" s="75">
        <f>IF(OR($C19="",$E19&lt;&gt;"planned",$C19&lt;DATE(nr_PlanYear,1,1),$C19&gt;DATE(nr_PlanYear,12,31)),0,IF(AND(COUNTIFS(rl_key,$J19,rl_status,"planned",rl_eff,"&gt;="&amp;DATE(nr_PlanYear,1,1),rl_eff,"&lt;"&amp;$C19)=0,COUNTIFS($J$7:$J19,$J19,$E$7:$E19,"planned",$C$7:$C19,$C19)=1),1,0))</f>
        <v>1</v>
      </c>
      <c r="U19" s="75">
        <f>IF(OR($C19="",$E19&lt;&gt;"taken"),0,IF(AND(COUNTIFS(rl_key,$J19,rl_effmonth,$M19,rl_eff,"&lt;"&amp;$C19,rl_status,"taken")=0,COUNTIFS($J$7:$J19,$J19,$M$7:$M19,$M19,$C$7:$C19,$C19,$E$7:$E19,"taken")=1),1,0))</f>
        <v>0</v>
      </c>
      <c r="V19" s="66">
        <f t="shared" si="8"/>
        <v>0.57775356429499869</v>
      </c>
      <c r="W19" s="76">
        <f t="shared" si="9"/>
        <v>-1.0246435705001278</v>
      </c>
      <c r="X19" s="77" t="str">
        <f>IF(OR($C19="",$J19&lt;&gt;nr_SelKey),"",(SUMPRODUCT(('Rate Engine'!$G$17:$G$64&gt;YEAR($C19)*12+MONTH($C19)-1)*'Rate Engine'!$H$17:$H$64,'Rate Engine'!$Q$17:$Q$64)+(EOMONTH($C19,0)-$C19+1)/DAY(EOMONTH($C19,0))*SUMPRODUCT(('Rate Engine'!$G$17:$G$64=YEAR($C19)*12+MONTH($C19)-1)*'Rate Engine'!$H$17:$H$64,'Rate Engine'!$Q$17:$Q$64))/SUMPRODUCT('Rate Engine'!$H$17:$H$64,'Rate Engine'!$Q$17:$Q$64))</f>
        <v/>
      </c>
      <c r="Y19" s="78" t="str">
        <f t="shared" si="10"/>
        <v/>
      </c>
    </row>
    <row r="20" spans="1:25" x14ac:dyDescent="0.3">
      <c r="A20" s="11" t="s">
        <v>102</v>
      </c>
      <c r="B20" s="11" t="s">
        <v>185</v>
      </c>
      <c r="C20" s="61">
        <v>46113</v>
      </c>
      <c r="D20" s="29">
        <v>0.05</v>
      </c>
      <c r="E20" s="11" t="s">
        <v>243</v>
      </c>
      <c r="F20" s="11" t="s">
        <v>244</v>
      </c>
      <c r="G20" s="59"/>
      <c r="H20" s="71"/>
      <c r="J20" s="65" t="str">
        <f t="shared" si="0"/>
        <v>ABD|FL</v>
      </c>
      <c r="K20" s="72">
        <f t="shared" si="1"/>
        <v>0.05</v>
      </c>
      <c r="L20" s="73">
        <f t="shared" si="2"/>
        <v>4.8790164169432049E-2</v>
      </c>
      <c r="M20" s="74">
        <f t="shared" si="3"/>
        <v>46113</v>
      </c>
      <c r="N20" s="75">
        <f t="shared" si="4"/>
        <v>30</v>
      </c>
      <c r="O20" s="75">
        <f t="shared" si="5"/>
        <v>0</v>
      </c>
      <c r="P20" s="75">
        <f>IF($C20="",0,COUNTIFS($J$7:$J20,$J20,$M$7:$M20,$M20,$C$7:$C20,$C20))</f>
        <v>1</v>
      </c>
      <c r="Q20" s="75">
        <f t="shared" si="6"/>
        <v>1</v>
      </c>
      <c r="R20" s="75">
        <f t="shared" si="7"/>
        <v>0</v>
      </c>
      <c r="S20" s="75">
        <f>IF($C20="",0,COUNTIFS(rl_key,$J20,rl_eff,"&lt;"&amp;$C20)+COUNTIFS($J$7:$J20,$J20,$C$7:$C20,$C20))</f>
        <v>1</v>
      </c>
      <c r="T20" s="75">
        <f>IF(OR($C20="",$E20&lt;&gt;"planned",$C20&lt;DATE(nr_PlanYear,1,1),$C20&gt;DATE(nr_PlanYear,12,31)),0,IF(AND(COUNTIFS(rl_key,$J20,rl_status,"planned",rl_eff,"&gt;="&amp;DATE(nr_PlanYear,1,1),rl_eff,"&lt;"&amp;$C20)=0,COUNTIFS($J$7:$J20,$J20,$E$7:$E20,"planned",$C$7:$C20,$C20)=1),1,0))</f>
        <v>0</v>
      </c>
      <c r="U20" s="75">
        <f>IF(OR($C20="",$E20&lt;&gt;"taken"),0,IF(AND(COUNTIFS(rl_key,$J20,rl_effmonth,$M20,rl_eff,"&lt;"&amp;$C20,rl_status,"taken")=0,COUNTIFS($J$7:$J20,$J20,$M$7:$M20,$M20,$C$7:$C20,$C20,$E$7:$E20,"taken")=1),1,0))</f>
        <v>1</v>
      </c>
      <c r="V20" s="66">
        <f t="shared" si="8"/>
        <v>0.6</v>
      </c>
      <c r="W20" s="76">
        <f t="shared" si="9"/>
        <v>0</v>
      </c>
      <c r="X20" s="77" t="str">
        <f>IF(OR($C20="",$J20&lt;&gt;nr_SelKey),"",(SUMPRODUCT(('Rate Engine'!$G$17:$G$64&gt;YEAR($C20)*12+MONTH($C20)-1)*'Rate Engine'!$H$17:$H$64,'Rate Engine'!$Q$17:$Q$64)+(EOMONTH($C20,0)-$C20+1)/DAY(EOMONTH($C20,0))*SUMPRODUCT(('Rate Engine'!$G$17:$G$64=YEAR($C20)*12+MONTH($C20)-1)*'Rate Engine'!$H$17:$H$64,'Rate Engine'!$Q$17:$Q$64))/SUMPRODUCT('Rate Engine'!$H$17:$H$64,'Rate Engine'!$Q$17:$Q$64))</f>
        <v/>
      </c>
      <c r="Y20" s="78" t="str">
        <f t="shared" si="10"/>
        <v/>
      </c>
    </row>
    <row r="21" spans="1:25" x14ac:dyDescent="0.3">
      <c r="A21" s="11" t="s">
        <v>102</v>
      </c>
      <c r="B21" s="11" t="s">
        <v>186</v>
      </c>
      <c r="C21" s="61">
        <v>46143</v>
      </c>
      <c r="D21" s="29">
        <v>0.06</v>
      </c>
      <c r="E21" s="11" t="s">
        <v>243</v>
      </c>
      <c r="F21" s="11" t="s">
        <v>244</v>
      </c>
      <c r="G21" s="59"/>
      <c r="H21" s="71"/>
      <c r="J21" s="65" t="str">
        <f t="shared" si="0"/>
        <v>ABD|GA</v>
      </c>
      <c r="K21" s="72">
        <f t="shared" si="1"/>
        <v>0.06</v>
      </c>
      <c r="L21" s="73">
        <f t="shared" si="2"/>
        <v>5.8268908123975824E-2</v>
      </c>
      <c r="M21" s="74">
        <f t="shared" si="3"/>
        <v>46143</v>
      </c>
      <c r="N21" s="75">
        <f t="shared" si="4"/>
        <v>31</v>
      </c>
      <c r="O21" s="75">
        <f t="shared" si="5"/>
        <v>0</v>
      </c>
      <c r="P21" s="75">
        <f>IF($C21="",0,COUNTIFS($J$7:$J21,$J21,$M$7:$M21,$M21,$C$7:$C21,$C21))</f>
        <v>1</v>
      </c>
      <c r="Q21" s="75">
        <f t="shared" si="6"/>
        <v>1</v>
      </c>
      <c r="R21" s="75">
        <f t="shared" si="7"/>
        <v>0</v>
      </c>
      <c r="S21" s="75">
        <f>IF($C21="",0,COUNTIFS(rl_key,$J21,rl_eff,"&lt;"&amp;$C21)+COUNTIFS($J$7:$J21,$J21,$C$7:$C21,$C21))</f>
        <v>1</v>
      </c>
      <c r="T21" s="75">
        <f>IF(OR($C21="",$E21&lt;&gt;"planned",$C21&lt;DATE(nr_PlanYear,1,1),$C21&gt;DATE(nr_PlanYear,12,31)),0,IF(AND(COUNTIFS(rl_key,$J21,rl_status,"planned",rl_eff,"&gt;="&amp;DATE(nr_PlanYear,1,1),rl_eff,"&lt;"&amp;$C21)=0,COUNTIFS($J$7:$J21,$J21,$E$7:$E21,"planned",$C$7:$C21,$C21)=1),1,0))</f>
        <v>0</v>
      </c>
      <c r="U21" s="75">
        <f>IF(OR($C21="",$E21&lt;&gt;"taken"),0,IF(AND(COUNTIFS(rl_key,$J21,rl_effmonth,$M21,rl_eff,"&lt;"&amp;$C21,rl_status,"taken")=0,COUNTIFS($J$7:$J21,$J21,$M$7:$M21,$M21,$C$7:$C21,$C21,$E$7:$E21,"taken")=1),1,0))</f>
        <v>1</v>
      </c>
      <c r="V21" s="66">
        <f t="shared" si="8"/>
        <v>0.58655739946937091</v>
      </c>
      <c r="W21" s="76">
        <f t="shared" si="9"/>
        <v>0.25573994693709468</v>
      </c>
      <c r="X21" s="77" t="str">
        <f>IF(OR($C21="",$J21&lt;&gt;nr_SelKey),"",(SUMPRODUCT(('Rate Engine'!$G$17:$G$64&gt;YEAR($C21)*12+MONTH($C21)-1)*'Rate Engine'!$H$17:$H$64,'Rate Engine'!$Q$17:$Q$64)+(EOMONTH($C21,0)-$C21+1)/DAY(EOMONTH($C21,0))*SUMPRODUCT(('Rate Engine'!$G$17:$G$64=YEAR($C21)*12+MONTH($C21)-1)*'Rate Engine'!$H$17:$H$64,'Rate Engine'!$Q$17:$Q$64))/SUMPRODUCT('Rate Engine'!$H$17:$H$64,'Rate Engine'!$Q$17:$Q$64))</f>
        <v/>
      </c>
      <c r="Y21" s="78" t="str">
        <f t="shared" si="10"/>
        <v/>
      </c>
    </row>
    <row r="22" spans="1:25" x14ac:dyDescent="0.3">
      <c r="A22" s="11" t="s">
        <v>102</v>
      </c>
      <c r="B22" s="11" t="s">
        <v>187</v>
      </c>
      <c r="C22" s="61">
        <v>46539</v>
      </c>
      <c r="D22" s="29">
        <v>0.04</v>
      </c>
      <c r="E22" s="11" t="s">
        <v>246</v>
      </c>
      <c r="F22" s="11" t="s">
        <v>247</v>
      </c>
      <c r="G22" s="59">
        <v>1</v>
      </c>
      <c r="H22" s="71"/>
      <c r="J22" s="65" t="str">
        <f t="shared" si="0"/>
        <v>ABD|IA</v>
      </c>
      <c r="K22" s="72">
        <f t="shared" si="1"/>
        <v>0.04</v>
      </c>
      <c r="L22" s="73">
        <f t="shared" si="2"/>
        <v>3.9220713153281329E-2</v>
      </c>
      <c r="M22" s="74">
        <f t="shared" si="3"/>
        <v>46539</v>
      </c>
      <c r="N22" s="75">
        <f t="shared" si="4"/>
        <v>30</v>
      </c>
      <c r="O22" s="75">
        <f t="shared" si="5"/>
        <v>0</v>
      </c>
      <c r="P22" s="75">
        <f>IF($C22="",0,COUNTIFS($J$7:$J22,$J22,$M$7:$M22,$M22,$C$7:$C22,$C22))</f>
        <v>1</v>
      </c>
      <c r="Q22" s="75">
        <f t="shared" si="6"/>
        <v>1</v>
      </c>
      <c r="R22" s="75">
        <f t="shared" si="7"/>
        <v>0</v>
      </c>
      <c r="S22" s="75">
        <f>IF($C22="",0,COUNTIFS(rl_key,$J22,rl_eff,"&lt;"&amp;$C22)+COUNTIFS($J$7:$J22,$J22,$C$7:$C22,$C22))</f>
        <v>2</v>
      </c>
      <c r="T22" s="75">
        <f>IF(OR($C22="",$E22&lt;&gt;"planned",$C22&lt;DATE(nr_PlanYear,1,1),$C22&gt;DATE(nr_PlanYear,12,31)),0,IF(AND(COUNTIFS(rl_key,$J22,rl_status,"planned",rl_eff,"&gt;="&amp;DATE(nr_PlanYear,1,1),rl_eff,"&lt;"&amp;$C22)=0,COUNTIFS($J$7:$J22,$J22,$E$7:$E22,"planned",$C$7:$C22,$C22)=1),1,0))</f>
        <v>1</v>
      </c>
      <c r="U22" s="75">
        <f>IF(OR($C22="",$E22&lt;&gt;"taken"),0,IF(AND(COUNTIFS(rl_key,$J22,rl_effmonth,$M22,rl_eff,"&lt;"&amp;$C22,rl_status,"taken")=0,COUNTIFS($J$7:$J22,$J22,$M$7:$M22,$M22,$C$7:$C22,$C22,$E$7:$E22,"taken")=1),1,0))</f>
        <v>0</v>
      </c>
      <c r="V22" s="66">
        <f t="shared" si="8"/>
        <v>0.56797977748384532</v>
      </c>
      <c r="W22" s="76">
        <f t="shared" si="9"/>
        <v>-2.0222516154633219E-3</v>
      </c>
      <c r="X22" s="77" t="str">
        <f>IF(OR($C22="",$J22&lt;&gt;nr_SelKey),"",(SUMPRODUCT(('Rate Engine'!$G$17:$G$64&gt;YEAR($C22)*12+MONTH($C22)-1)*'Rate Engine'!$H$17:$H$64,'Rate Engine'!$Q$17:$Q$64)+(EOMONTH($C22,0)-$C22+1)/DAY(EOMONTH($C22,0))*SUMPRODUCT(('Rate Engine'!$G$17:$G$64=YEAR($C22)*12+MONTH($C22)-1)*'Rate Engine'!$H$17:$H$64,'Rate Engine'!$Q$17:$Q$64))/SUMPRODUCT('Rate Engine'!$H$17:$H$64,'Rate Engine'!$Q$17:$Q$64))</f>
        <v/>
      </c>
      <c r="Y22" s="78" t="str">
        <f t="shared" si="10"/>
        <v/>
      </c>
    </row>
    <row r="23" spans="1:25" x14ac:dyDescent="0.3">
      <c r="A23" s="11" t="s">
        <v>102</v>
      </c>
      <c r="B23" s="11" t="s">
        <v>188</v>
      </c>
      <c r="C23" s="61">
        <v>46204</v>
      </c>
      <c r="D23" s="29">
        <v>0.03</v>
      </c>
      <c r="E23" s="11" t="s">
        <v>243</v>
      </c>
      <c r="F23" s="11" t="s">
        <v>244</v>
      </c>
      <c r="G23" s="59"/>
      <c r="H23" s="71"/>
      <c r="J23" s="65" t="str">
        <f t="shared" si="0"/>
        <v>ABD|IL</v>
      </c>
      <c r="K23" s="72">
        <f t="shared" si="1"/>
        <v>0.03</v>
      </c>
      <c r="L23" s="73">
        <f t="shared" si="2"/>
        <v>2.9558802241544429E-2</v>
      </c>
      <c r="M23" s="74">
        <f t="shared" si="3"/>
        <v>46204</v>
      </c>
      <c r="N23" s="75">
        <f t="shared" si="4"/>
        <v>31</v>
      </c>
      <c r="O23" s="75">
        <f t="shared" si="5"/>
        <v>0</v>
      </c>
      <c r="P23" s="75">
        <f>IF($C23="",0,COUNTIFS($J$7:$J23,$J23,$M$7:$M23,$M23,$C$7:$C23,$C23))</f>
        <v>1</v>
      </c>
      <c r="Q23" s="75">
        <f t="shared" si="6"/>
        <v>1</v>
      </c>
      <c r="R23" s="75">
        <f t="shared" si="7"/>
        <v>0</v>
      </c>
      <c r="S23" s="75">
        <f>IF($C23="",0,COUNTIFS(rl_key,$J23,rl_eff,"&lt;"&amp;$C23)+COUNTIFS($J$7:$J23,$J23,$C$7:$C23,$C23))</f>
        <v>1</v>
      </c>
      <c r="T23" s="75">
        <f>IF(OR($C23="",$E23&lt;&gt;"planned",$C23&lt;DATE(nr_PlanYear,1,1),$C23&gt;DATE(nr_PlanYear,12,31)),0,IF(AND(COUNTIFS(rl_key,$J23,rl_status,"planned",rl_eff,"&gt;="&amp;DATE(nr_PlanYear,1,1),rl_eff,"&lt;"&amp;$C23)=0,COUNTIFS($J$7:$J23,$J23,$E$7:$E23,"planned",$C$7:$C23,$C23)=1),1,0))</f>
        <v>0</v>
      </c>
      <c r="U23" s="75">
        <f>IF(OR($C23="",$E23&lt;&gt;"taken"),0,IF(AND(COUNTIFS(rl_key,$J23,rl_effmonth,$M23,rl_eff,"&lt;"&amp;$C23,rl_status,"taken")=0,COUNTIFS($J$7:$J23,$J23,$M$7:$M23,$M23,$C$7:$C23,$C23,$E$7:$E23,"taken")=1),1,0))</f>
        <v>1</v>
      </c>
      <c r="V23" s="66">
        <f t="shared" si="8"/>
        <v>0.59991737982397431</v>
      </c>
      <c r="W23" s="76">
        <f t="shared" si="9"/>
        <v>0.39173798239743318</v>
      </c>
      <c r="X23" s="77" t="str">
        <f>IF(OR($C23="",$J23&lt;&gt;nr_SelKey),"",(SUMPRODUCT(('Rate Engine'!$G$17:$G$64&gt;YEAR($C23)*12+MONTH($C23)-1)*'Rate Engine'!$H$17:$H$64,'Rate Engine'!$Q$17:$Q$64)+(EOMONTH($C23,0)-$C23+1)/DAY(EOMONTH($C23,0))*SUMPRODUCT(('Rate Engine'!$G$17:$G$64=YEAR($C23)*12+MONTH($C23)-1)*'Rate Engine'!$H$17:$H$64,'Rate Engine'!$Q$17:$Q$64))/SUMPRODUCT('Rate Engine'!$H$17:$H$64,'Rate Engine'!$Q$17:$Q$64))</f>
        <v/>
      </c>
      <c r="Y23" s="78" t="str">
        <f t="shared" si="10"/>
        <v/>
      </c>
    </row>
    <row r="24" spans="1:25" x14ac:dyDescent="0.3">
      <c r="A24" s="11" t="s">
        <v>102</v>
      </c>
      <c r="B24" s="11" t="s">
        <v>189</v>
      </c>
      <c r="C24" s="61">
        <v>46235</v>
      </c>
      <c r="D24" s="29">
        <v>0.04</v>
      </c>
      <c r="E24" s="11" t="s">
        <v>243</v>
      </c>
      <c r="F24" s="11" t="s">
        <v>244</v>
      </c>
      <c r="G24" s="59"/>
      <c r="H24" s="71"/>
      <c r="J24" s="65" t="str">
        <f t="shared" si="0"/>
        <v>ABD|IN</v>
      </c>
      <c r="K24" s="72">
        <f t="shared" si="1"/>
        <v>0.04</v>
      </c>
      <c r="L24" s="73">
        <f t="shared" si="2"/>
        <v>3.9220713153281329E-2</v>
      </c>
      <c r="M24" s="74">
        <f t="shared" si="3"/>
        <v>46235</v>
      </c>
      <c r="N24" s="75">
        <f t="shared" si="4"/>
        <v>31</v>
      </c>
      <c r="O24" s="75">
        <f t="shared" si="5"/>
        <v>0</v>
      </c>
      <c r="P24" s="75">
        <f>IF($C24="",0,COUNTIFS($J$7:$J24,$J24,$M$7:$M24,$M24,$C$7:$C24,$C24))</f>
        <v>1</v>
      </c>
      <c r="Q24" s="75">
        <f t="shared" si="6"/>
        <v>1</v>
      </c>
      <c r="R24" s="75">
        <f t="shared" si="7"/>
        <v>0</v>
      </c>
      <c r="S24" s="75">
        <f>IF($C24="",0,COUNTIFS(rl_key,$J24,rl_eff,"&lt;"&amp;$C24)+COUNTIFS($J$7:$J24,$J24,$C$7:$C24,$C24))</f>
        <v>1</v>
      </c>
      <c r="T24" s="75">
        <f>IF(OR($C24="",$E24&lt;&gt;"planned",$C24&lt;DATE(nr_PlanYear,1,1),$C24&gt;DATE(nr_PlanYear,12,31)),0,IF(AND(COUNTIFS(rl_key,$J24,rl_status,"planned",rl_eff,"&gt;="&amp;DATE(nr_PlanYear,1,1),rl_eff,"&lt;"&amp;$C24)=0,COUNTIFS($J$7:$J24,$J24,$E$7:$E24,"planned",$C$7:$C24,$C24)=1),1,0))</f>
        <v>0</v>
      </c>
      <c r="U24" s="75">
        <f>IF(OR($C24="",$E24&lt;&gt;"taken"),0,IF(AND(COUNTIFS(rl_key,$J24,rl_effmonth,$M24,rl_eff,"&lt;"&amp;$C24,rl_status,"taken")=0,COUNTIFS($J$7:$J24,$J24,$M$7:$M24,$M24,$C$7:$C24,$C24,$E$7:$E24,"taken")=1),1,0))</f>
        <v>1</v>
      </c>
      <c r="V24" s="66">
        <f t="shared" si="8"/>
        <v>0.58911496142080233</v>
      </c>
      <c r="W24" s="76">
        <f t="shared" si="9"/>
        <v>0.91149614208023699</v>
      </c>
      <c r="X24" s="77" t="str">
        <f>IF(OR($C24="",$J24&lt;&gt;nr_SelKey),"",(SUMPRODUCT(('Rate Engine'!$G$17:$G$64&gt;YEAR($C24)*12+MONTH($C24)-1)*'Rate Engine'!$H$17:$H$64,'Rate Engine'!$Q$17:$Q$64)+(EOMONTH($C24,0)-$C24+1)/DAY(EOMONTH($C24,0))*SUMPRODUCT(('Rate Engine'!$G$17:$G$64=YEAR($C24)*12+MONTH($C24)-1)*'Rate Engine'!$H$17:$H$64,'Rate Engine'!$Q$17:$Q$64))/SUMPRODUCT('Rate Engine'!$H$17:$H$64,'Rate Engine'!$Q$17:$Q$64))</f>
        <v/>
      </c>
      <c r="Y24" s="78" t="str">
        <f t="shared" si="10"/>
        <v/>
      </c>
    </row>
    <row r="25" spans="1:25" x14ac:dyDescent="0.3">
      <c r="A25" s="11" t="s">
        <v>102</v>
      </c>
      <c r="B25" s="11" t="s">
        <v>191</v>
      </c>
      <c r="C25" s="61">
        <v>46296</v>
      </c>
      <c r="D25" s="29">
        <v>0.06</v>
      </c>
      <c r="E25" s="11" t="s">
        <v>243</v>
      </c>
      <c r="F25" s="11" t="s">
        <v>244</v>
      </c>
      <c r="G25" s="59"/>
      <c r="H25" s="71"/>
      <c r="J25" s="65" t="str">
        <f t="shared" si="0"/>
        <v>ABD|MD</v>
      </c>
      <c r="K25" s="72">
        <f t="shared" si="1"/>
        <v>0.06</v>
      </c>
      <c r="L25" s="73">
        <f t="shared" si="2"/>
        <v>5.8268908123975824E-2</v>
      </c>
      <c r="M25" s="74">
        <f t="shared" si="3"/>
        <v>46296</v>
      </c>
      <c r="N25" s="75">
        <f t="shared" si="4"/>
        <v>31</v>
      </c>
      <c r="O25" s="75">
        <f t="shared" si="5"/>
        <v>0</v>
      </c>
      <c r="P25" s="75">
        <f>IF($C25="",0,COUNTIFS($J$7:$J25,$J25,$M$7:$M25,$M25,$C$7:$C25,$C25))</f>
        <v>1</v>
      </c>
      <c r="Q25" s="75">
        <f t="shared" si="6"/>
        <v>1</v>
      </c>
      <c r="R25" s="75">
        <f t="shared" si="7"/>
        <v>0</v>
      </c>
      <c r="S25" s="75">
        <f>IF($C25="",0,COUNTIFS(rl_key,$J25,rl_eff,"&lt;"&amp;$C25)+COUNTIFS($J$7:$J25,$J25,$C$7:$C25,$C25))</f>
        <v>1</v>
      </c>
      <c r="T25" s="75">
        <f>IF(OR($C25="",$E25&lt;&gt;"planned",$C25&lt;DATE(nr_PlanYear,1,1),$C25&gt;DATE(nr_PlanYear,12,31)),0,IF(AND(COUNTIFS(rl_key,$J25,rl_status,"planned",rl_eff,"&gt;="&amp;DATE(nr_PlanYear,1,1),rl_eff,"&lt;"&amp;$C25)=0,COUNTIFS($J$7:$J25,$J25,$E$7:$E25,"planned",$C$7:$C25,$C25)=1),1,0))</f>
        <v>0</v>
      </c>
      <c r="U25" s="75">
        <f>IF(OR($C25="",$E25&lt;&gt;"taken"),0,IF(AND(COUNTIFS(rl_key,$J25,rl_effmonth,$M25,rl_eff,"&lt;"&amp;$C25,rl_status,"taken")=0,COUNTIFS($J$7:$J25,$J25,$M$7:$M25,$M25,$C$7:$C25,$C25,$E$7:$E25,"taken")=1),1,0))</f>
        <v>1</v>
      </c>
      <c r="V25" s="66">
        <f t="shared" si="8"/>
        <v>0.59391575180929357</v>
      </c>
      <c r="W25" s="76">
        <f t="shared" si="9"/>
        <v>0.19157518092935977</v>
      </c>
      <c r="X25" s="77" t="str">
        <f>IF(OR($C25="",$J25&lt;&gt;nr_SelKey),"",(SUMPRODUCT(('Rate Engine'!$G$17:$G$64&gt;YEAR($C25)*12+MONTH($C25)-1)*'Rate Engine'!$H$17:$H$64,'Rate Engine'!$Q$17:$Q$64)+(EOMONTH($C25,0)-$C25+1)/DAY(EOMONTH($C25,0))*SUMPRODUCT(('Rate Engine'!$G$17:$G$64=YEAR($C25)*12+MONTH($C25)-1)*'Rate Engine'!$H$17:$H$64,'Rate Engine'!$Q$17:$Q$64))/SUMPRODUCT('Rate Engine'!$H$17:$H$64,'Rate Engine'!$Q$17:$Q$64))</f>
        <v/>
      </c>
      <c r="Y25" s="78" t="str">
        <f t="shared" si="10"/>
        <v/>
      </c>
    </row>
    <row r="26" spans="1:25" x14ac:dyDescent="0.3">
      <c r="A26" s="11" t="s">
        <v>102</v>
      </c>
      <c r="B26" s="11" t="s">
        <v>191</v>
      </c>
      <c r="C26" s="61">
        <v>46661</v>
      </c>
      <c r="D26" s="29">
        <v>0.04</v>
      </c>
      <c r="E26" s="11" t="s">
        <v>246</v>
      </c>
      <c r="F26" s="11" t="s">
        <v>247</v>
      </c>
      <c r="G26" s="59">
        <v>1</v>
      </c>
      <c r="H26" s="71"/>
      <c r="J26" s="65" t="str">
        <f t="shared" si="0"/>
        <v>ABD|MD</v>
      </c>
      <c r="K26" s="72">
        <f t="shared" si="1"/>
        <v>0.04</v>
      </c>
      <c r="L26" s="73">
        <f t="shared" si="2"/>
        <v>3.9220713153281329E-2</v>
      </c>
      <c r="M26" s="74">
        <f t="shared" si="3"/>
        <v>46661</v>
      </c>
      <c r="N26" s="75">
        <f t="shared" si="4"/>
        <v>31</v>
      </c>
      <c r="O26" s="75">
        <f t="shared" si="5"/>
        <v>0</v>
      </c>
      <c r="P26" s="75">
        <f>IF($C26="",0,COUNTIFS($J$7:$J26,$J26,$M$7:$M26,$M26,$C$7:$C26,$C26))</f>
        <v>1</v>
      </c>
      <c r="Q26" s="75">
        <f t="shared" si="6"/>
        <v>1</v>
      </c>
      <c r="R26" s="75">
        <f t="shared" si="7"/>
        <v>0</v>
      </c>
      <c r="S26" s="75">
        <f>IF($C26="",0,COUNTIFS(rl_key,$J26,rl_eff,"&lt;"&amp;$C26)+COUNTIFS($J$7:$J26,$J26,$C$7:$C26,$C26))</f>
        <v>2</v>
      </c>
      <c r="T26" s="75">
        <f>IF(OR($C26="",$E26&lt;&gt;"planned",$C26&lt;DATE(nr_PlanYear,1,1),$C26&gt;DATE(nr_PlanYear,12,31)),0,IF(AND(COUNTIFS(rl_key,$J26,rl_status,"planned",rl_eff,"&gt;="&amp;DATE(nr_PlanYear,1,1),rl_eff,"&lt;"&amp;$C26)=0,COUNTIFS($J$7:$J26,$J26,$E$7:$E26,"planned",$C$7:$C26,$C26)=1),1,0))</f>
        <v>1</v>
      </c>
      <c r="U26" s="75">
        <f>IF(OR($C26="",$E26&lt;&gt;"taken"),0,IF(AND(COUNTIFS(rl_key,$J26,rl_effmonth,$M26,rl_eff,"&lt;"&amp;$C26,rl_status,"taken")=0,COUNTIFS($J$7:$J26,$J26,$M$7:$M26,$M26,$C$7:$C26,$C26,$E$7:$E26,"taken")=1),1,0))</f>
        <v>0</v>
      </c>
      <c r="V26" s="66">
        <f t="shared" si="8"/>
        <v>0.59391575180929357</v>
      </c>
      <c r="W26" s="76">
        <f t="shared" si="9"/>
        <v>0.19157518092935977</v>
      </c>
      <c r="X26" s="77" t="str">
        <f>IF(OR($C26="",$J26&lt;&gt;nr_SelKey),"",(SUMPRODUCT(('Rate Engine'!$G$17:$G$64&gt;YEAR($C26)*12+MONTH($C26)-1)*'Rate Engine'!$H$17:$H$64,'Rate Engine'!$Q$17:$Q$64)+(EOMONTH($C26,0)-$C26+1)/DAY(EOMONTH($C26,0))*SUMPRODUCT(('Rate Engine'!$G$17:$G$64=YEAR($C26)*12+MONTH($C26)-1)*'Rate Engine'!$H$17:$H$64,'Rate Engine'!$Q$17:$Q$64))/SUMPRODUCT('Rate Engine'!$H$17:$H$64,'Rate Engine'!$Q$17:$Q$64))</f>
        <v/>
      </c>
      <c r="Y26" s="78" t="str">
        <f t="shared" si="10"/>
        <v/>
      </c>
    </row>
    <row r="27" spans="1:25" x14ac:dyDescent="0.3">
      <c r="A27" s="11" t="s">
        <v>102</v>
      </c>
      <c r="B27" s="11" t="s">
        <v>192</v>
      </c>
      <c r="C27" s="61">
        <v>46327</v>
      </c>
      <c r="D27" s="29">
        <v>0.02</v>
      </c>
      <c r="E27" s="11" t="s">
        <v>243</v>
      </c>
      <c r="F27" s="11" t="s">
        <v>244</v>
      </c>
      <c r="G27" s="59"/>
      <c r="H27" s="71"/>
      <c r="J27" s="65" t="str">
        <f t="shared" si="0"/>
        <v>ABD|MI</v>
      </c>
      <c r="K27" s="72">
        <f t="shared" si="1"/>
        <v>0.02</v>
      </c>
      <c r="L27" s="73">
        <f t="shared" si="2"/>
        <v>1.980262729617973E-2</v>
      </c>
      <c r="M27" s="74">
        <f t="shared" si="3"/>
        <v>46327</v>
      </c>
      <c r="N27" s="75">
        <f t="shared" si="4"/>
        <v>30</v>
      </c>
      <c r="O27" s="75">
        <f t="shared" si="5"/>
        <v>0</v>
      </c>
      <c r="P27" s="75">
        <f>IF($C27="",0,COUNTIFS($J$7:$J27,$J27,$M$7:$M27,$M27,$C$7:$C27,$C27))</f>
        <v>1</v>
      </c>
      <c r="Q27" s="75">
        <f t="shared" si="6"/>
        <v>1</v>
      </c>
      <c r="R27" s="75">
        <f t="shared" si="7"/>
        <v>0</v>
      </c>
      <c r="S27" s="75">
        <f>IF($C27="",0,COUNTIFS(rl_key,$J27,rl_eff,"&lt;"&amp;$C27)+COUNTIFS($J$7:$J27,$J27,$C$7:$C27,$C27))</f>
        <v>1</v>
      </c>
      <c r="T27" s="75">
        <f>IF(OR($C27="",$E27&lt;&gt;"planned",$C27&lt;DATE(nr_PlanYear,1,1),$C27&gt;DATE(nr_PlanYear,12,31)),0,IF(AND(COUNTIFS(rl_key,$J27,rl_status,"planned",rl_eff,"&gt;="&amp;DATE(nr_PlanYear,1,1),rl_eff,"&lt;"&amp;$C27)=0,COUNTIFS($J$7:$J27,$J27,$E$7:$E27,"planned",$C$7:$C27,$C27)=1),1,0))</f>
        <v>0</v>
      </c>
      <c r="U27" s="75">
        <f>IF(OR($C27="",$E27&lt;&gt;"taken"),0,IF(AND(COUNTIFS(rl_key,$J27,rl_effmonth,$M27,rl_eff,"&lt;"&amp;$C27,rl_status,"taken")=0,COUNTIFS($J$7:$J27,$J27,$M$7:$M27,$M27,$C$7:$C27,$C27,$E$7:$E27,"taken")=1),1,0))</f>
        <v>1</v>
      </c>
      <c r="V27" s="66">
        <f t="shared" si="8"/>
        <v>0.58360113249196222</v>
      </c>
      <c r="W27" s="76">
        <f t="shared" si="9"/>
        <v>0.76011324919622592</v>
      </c>
      <c r="X27" s="77" t="str">
        <f>IF(OR($C27="",$J27&lt;&gt;nr_SelKey),"",(SUMPRODUCT(('Rate Engine'!$G$17:$G$64&gt;YEAR($C27)*12+MONTH($C27)-1)*'Rate Engine'!$H$17:$H$64,'Rate Engine'!$Q$17:$Q$64)+(EOMONTH($C27,0)-$C27+1)/DAY(EOMONTH($C27,0))*SUMPRODUCT(('Rate Engine'!$G$17:$G$64=YEAR($C27)*12+MONTH($C27)-1)*'Rate Engine'!$H$17:$H$64,'Rate Engine'!$Q$17:$Q$64))/SUMPRODUCT('Rate Engine'!$H$17:$H$64,'Rate Engine'!$Q$17:$Q$64))</f>
        <v/>
      </c>
      <c r="Y27" s="78" t="str">
        <f t="shared" si="10"/>
        <v/>
      </c>
    </row>
    <row r="28" spans="1:25" x14ac:dyDescent="0.3">
      <c r="A28" s="11" t="s">
        <v>102</v>
      </c>
      <c r="B28" s="11" t="s">
        <v>194</v>
      </c>
      <c r="C28" s="61">
        <v>46023</v>
      </c>
      <c r="D28" s="29">
        <v>0.04</v>
      </c>
      <c r="E28" s="11" t="s">
        <v>243</v>
      </c>
      <c r="F28" s="11" t="s">
        <v>244</v>
      </c>
      <c r="G28" s="59"/>
      <c r="H28" s="71"/>
      <c r="J28" s="65" t="str">
        <f t="shared" si="0"/>
        <v>ABD|NM</v>
      </c>
      <c r="K28" s="72">
        <f t="shared" si="1"/>
        <v>0.04</v>
      </c>
      <c r="L28" s="73">
        <f t="shared" si="2"/>
        <v>3.9220713153281329E-2</v>
      </c>
      <c r="M28" s="74">
        <f t="shared" si="3"/>
        <v>46023</v>
      </c>
      <c r="N28" s="75">
        <f t="shared" si="4"/>
        <v>31</v>
      </c>
      <c r="O28" s="75">
        <f t="shared" si="5"/>
        <v>0</v>
      </c>
      <c r="P28" s="75">
        <f>IF($C28="",0,COUNTIFS($J$7:$J28,$J28,$M$7:$M28,$M28,$C$7:$C28,$C28))</f>
        <v>1</v>
      </c>
      <c r="Q28" s="75">
        <f t="shared" si="6"/>
        <v>1</v>
      </c>
      <c r="R28" s="75">
        <f t="shared" si="7"/>
        <v>0</v>
      </c>
      <c r="S28" s="75">
        <f>IF($C28="",0,COUNTIFS(rl_key,$J28,rl_eff,"&lt;"&amp;$C28)+COUNTIFS($J$7:$J28,$J28,$C$7:$C28,$C28))</f>
        <v>1</v>
      </c>
      <c r="T28" s="75">
        <f>IF(OR($C28="",$E28&lt;&gt;"planned",$C28&lt;DATE(nr_PlanYear,1,1),$C28&gt;DATE(nr_PlanYear,12,31)),0,IF(AND(COUNTIFS(rl_key,$J28,rl_status,"planned",rl_eff,"&gt;="&amp;DATE(nr_PlanYear,1,1),rl_eff,"&lt;"&amp;$C28)=0,COUNTIFS($J$7:$J28,$J28,$E$7:$E28,"planned",$C$7:$C28,$C28)=1),1,0))</f>
        <v>0</v>
      </c>
      <c r="U28" s="75">
        <f>IF(OR($C28="",$E28&lt;&gt;"taken"),0,IF(AND(COUNTIFS(rl_key,$J28,rl_effmonth,$M28,rl_eff,"&lt;"&amp;$C28,rl_status,"taken")=0,COUNTIFS($J$7:$J28,$J28,$M$7:$M28,$M28,$C$7:$C28,$C28,$E$7:$E28,"taken")=1),1,0))</f>
        <v>1</v>
      </c>
      <c r="V28" s="66">
        <f t="shared" si="8"/>
        <v>0.59576847238950559</v>
      </c>
      <c r="W28" s="76">
        <f t="shared" si="9"/>
        <v>0.77684723895056207</v>
      </c>
      <c r="X28" s="77" t="str">
        <f>IF(OR($C28="",$J28&lt;&gt;nr_SelKey),"",(SUMPRODUCT(('Rate Engine'!$G$17:$G$64&gt;YEAR($C28)*12+MONTH($C28)-1)*'Rate Engine'!$H$17:$H$64,'Rate Engine'!$Q$17:$Q$64)+(EOMONTH($C28,0)-$C28+1)/DAY(EOMONTH($C28,0))*SUMPRODUCT(('Rate Engine'!$G$17:$G$64=YEAR($C28)*12+MONTH($C28)-1)*'Rate Engine'!$H$17:$H$64,'Rate Engine'!$Q$17:$Q$64))/SUMPRODUCT('Rate Engine'!$H$17:$H$64,'Rate Engine'!$Q$17:$Q$64))</f>
        <v/>
      </c>
      <c r="Y28" s="78" t="str">
        <f t="shared" si="10"/>
        <v/>
      </c>
    </row>
    <row r="29" spans="1:25" x14ac:dyDescent="0.3">
      <c r="A29" s="11" t="s">
        <v>102</v>
      </c>
      <c r="B29" s="11" t="s">
        <v>195</v>
      </c>
      <c r="C29" s="61">
        <v>46054</v>
      </c>
      <c r="D29" s="29">
        <v>0.05</v>
      </c>
      <c r="E29" s="11" t="s">
        <v>243</v>
      </c>
      <c r="F29" s="11" t="s">
        <v>244</v>
      </c>
      <c r="G29" s="59"/>
      <c r="H29" s="71"/>
      <c r="J29" s="65" t="str">
        <f t="shared" si="0"/>
        <v>ABD|NC</v>
      </c>
      <c r="K29" s="72">
        <f t="shared" si="1"/>
        <v>0.05</v>
      </c>
      <c r="L29" s="73">
        <f t="shared" si="2"/>
        <v>4.8790164169432049E-2</v>
      </c>
      <c r="M29" s="74">
        <f t="shared" si="3"/>
        <v>46054</v>
      </c>
      <c r="N29" s="75">
        <f t="shared" si="4"/>
        <v>28</v>
      </c>
      <c r="O29" s="75">
        <f t="shared" si="5"/>
        <v>0</v>
      </c>
      <c r="P29" s="75">
        <f>IF($C29="",0,COUNTIFS($J$7:$J29,$J29,$M$7:$M29,$M29,$C$7:$C29,$C29))</f>
        <v>1</v>
      </c>
      <c r="Q29" s="75">
        <f t="shared" si="6"/>
        <v>1</v>
      </c>
      <c r="R29" s="75">
        <f t="shared" si="7"/>
        <v>0</v>
      </c>
      <c r="S29" s="75">
        <f>IF($C29="",0,COUNTIFS(rl_key,$J29,rl_eff,"&lt;"&amp;$C29)+COUNTIFS($J$7:$J29,$J29,$C$7:$C29,$C29))</f>
        <v>1</v>
      </c>
      <c r="T29" s="75">
        <f>IF(OR($C29="",$E29&lt;&gt;"planned",$C29&lt;DATE(nr_PlanYear,1,1),$C29&gt;DATE(nr_PlanYear,12,31)),0,IF(AND(COUNTIFS(rl_key,$J29,rl_status,"planned",rl_eff,"&gt;="&amp;DATE(nr_PlanYear,1,1),rl_eff,"&lt;"&amp;$C29)=0,COUNTIFS($J$7:$J29,$J29,$E$7:$E29,"planned",$C$7:$C29,$C29)=1),1,0))</f>
        <v>0</v>
      </c>
      <c r="U29" s="75">
        <f>IF(OR($C29="",$E29&lt;&gt;"taken"),0,IF(AND(COUNTIFS(rl_key,$J29,rl_effmonth,$M29,rl_eff,"&lt;"&amp;$C29,rl_status,"taken")=0,COUNTIFS($J$7:$J29,$J29,$M$7:$M29,$M29,$C$7:$C29,$C29,$E$7:$E29,"taken")=1),1,0))</f>
        <v>1</v>
      </c>
      <c r="V29" s="66">
        <f t="shared" si="8"/>
        <v>0.56447022841708339</v>
      </c>
      <c r="W29" s="76">
        <f t="shared" si="9"/>
        <v>-0.75297715829165668</v>
      </c>
      <c r="X29" s="77" t="str">
        <f>IF(OR($C29="",$J29&lt;&gt;nr_SelKey),"",(SUMPRODUCT(('Rate Engine'!$G$17:$G$64&gt;YEAR($C29)*12+MONTH($C29)-1)*'Rate Engine'!$H$17:$H$64,'Rate Engine'!$Q$17:$Q$64)+(EOMONTH($C29,0)-$C29+1)/DAY(EOMONTH($C29,0))*SUMPRODUCT(('Rate Engine'!$G$17:$G$64=YEAR($C29)*12+MONTH($C29)-1)*'Rate Engine'!$H$17:$H$64,'Rate Engine'!$Q$17:$Q$64))/SUMPRODUCT('Rate Engine'!$H$17:$H$64,'Rate Engine'!$Q$17:$Q$64))</f>
        <v/>
      </c>
      <c r="Y29" s="78" t="str">
        <f t="shared" si="10"/>
        <v/>
      </c>
    </row>
    <row r="30" spans="1:25" x14ac:dyDescent="0.3">
      <c r="A30" s="11" t="s">
        <v>102</v>
      </c>
      <c r="B30" s="11" t="s">
        <v>195</v>
      </c>
      <c r="C30" s="61">
        <v>46478</v>
      </c>
      <c r="D30" s="29">
        <v>0.04</v>
      </c>
      <c r="E30" s="11" t="s">
        <v>246</v>
      </c>
      <c r="F30" s="11" t="s">
        <v>247</v>
      </c>
      <c r="G30" s="59">
        <v>1</v>
      </c>
      <c r="H30" s="71"/>
      <c r="J30" s="65" t="str">
        <f t="shared" si="0"/>
        <v>ABD|NC</v>
      </c>
      <c r="K30" s="72">
        <f t="shared" si="1"/>
        <v>0.04</v>
      </c>
      <c r="L30" s="73">
        <f t="shared" si="2"/>
        <v>3.9220713153281329E-2</v>
      </c>
      <c r="M30" s="74">
        <f t="shared" si="3"/>
        <v>46478</v>
      </c>
      <c r="N30" s="75">
        <f t="shared" si="4"/>
        <v>30</v>
      </c>
      <c r="O30" s="75">
        <f t="shared" si="5"/>
        <v>0</v>
      </c>
      <c r="P30" s="75">
        <f>IF($C30="",0,COUNTIFS($J$7:$J30,$J30,$M$7:$M30,$M30,$C$7:$C30,$C30))</f>
        <v>1</v>
      </c>
      <c r="Q30" s="75">
        <f t="shared" si="6"/>
        <v>1</v>
      </c>
      <c r="R30" s="75">
        <f t="shared" si="7"/>
        <v>0</v>
      </c>
      <c r="S30" s="75">
        <f>IF($C30="",0,COUNTIFS(rl_key,$J30,rl_eff,"&lt;"&amp;$C30)+COUNTIFS($J$7:$J30,$J30,$C$7:$C30,$C30))</f>
        <v>2</v>
      </c>
      <c r="T30" s="75">
        <f>IF(OR($C30="",$E30&lt;&gt;"planned",$C30&lt;DATE(nr_PlanYear,1,1),$C30&gt;DATE(nr_PlanYear,12,31)),0,IF(AND(COUNTIFS(rl_key,$J30,rl_status,"planned",rl_eff,"&gt;="&amp;DATE(nr_PlanYear,1,1),rl_eff,"&lt;"&amp;$C30)=0,COUNTIFS($J$7:$J30,$J30,$E$7:$E30,"planned",$C$7:$C30,$C30)=1),1,0))</f>
        <v>1</v>
      </c>
      <c r="U30" s="75">
        <f>IF(OR($C30="",$E30&lt;&gt;"taken"),0,IF(AND(COUNTIFS(rl_key,$J30,rl_effmonth,$M30,rl_eff,"&lt;"&amp;$C30,rl_status,"taken")=0,COUNTIFS($J$7:$J30,$J30,$M$7:$M30,$M30,$C$7:$C30,$C30,$E$7:$E30,"taken")=1),1,0))</f>
        <v>0</v>
      </c>
      <c r="V30" s="66">
        <f t="shared" si="8"/>
        <v>0.56447022841708339</v>
      </c>
      <c r="W30" s="76">
        <f t="shared" si="9"/>
        <v>-0.75297715829165668</v>
      </c>
      <c r="X30" s="77" t="str">
        <f>IF(OR($C30="",$J30&lt;&gt;nr_SelKey),"",(SUMPRODUCT(('Rate Engine'!$G$17:$G$64&gt;YEAR($C30)*12+MONTH($C30)-1)*'Rate Engine'!$H$17:$H$64,'Rate Engine'!$Q$17:$Q$64)+(EOMONTH($C30,0)-$C30+1)/DAY(EOMONTH($C30,0))*SUMPRODUCT(('Rate Engine'!$G$17:$G$64=YEAR($C30)*12+MONTH($C30)-1)*'Rate Engine'!$H$17:$H$64,'Rate Engine'!$Q$17:$Q$64))/SUMPRODUCT('Rate Engine'!$H$17:$H$64,'Rate Engine'!$Q$17:$Q$64))</f>
        <v/>
      </c>
      <c r="Y30" s="78" t="str">
        <f t="shared" si="10"/>
        <v/>
      </c>
    </row>
    <row r="31" spans="1:25" x14ac:dyDescent="0.3">
      <c r="A31" s="11" t="s">
        <v>102</v>
      </c>
      <c r="B31" s="11" t="s">
        <v>197</v>
      </c>
      <c r="C31" s="61">
        <v>46113</v>
      </c>
      <c r="D31" s="29">
        <v>0.02</v>
      </c>
      <c r="E31" s="11" t="s">
        <v>243</v>
      </c>
      <c r="F31" s="11" t="s">
        <v>244</v>
      </c>
      <c r="G31" s="59"/>
      <c r="H31" s="71"/>
      <c r="J31" s="65" t="str">
        <f t="shared" si="0"/>
        <v>ABD|PA</v>
      </c>
      <c r="K31" s="72">
        <f t="shared" si="1"/>
        <v>0.02</v>
      </c>
      <c r="L31" s="73">
        <f t="shared" si="2"/>
        <v>1.980262729617973E-2</v>
      </c>
      <c r="M31" s="74">
        <f t="shared" si="3"/>
        <v>46113</v>
      </c>
      <c r="N31" s="75">
        <f t="shared" si="4"/>
        <v>30</v>
      </c>
      <c r="O31" s="75">
        <f t="shared" si="5"/>
        <v>0</v>
      </c>
      <c r="P31" s="75">
        <f>IF($C31="",0,COUNTIFS($J$7:$J31,$J31,$M$7:$M31,$M31,$C$7:$C31,$C31))</f>
        <v>1</v>
      </c>
      <c r="Q31" s="75">
        <f t="shared" si="6"/>
        <v>1</v>
      </c>
      <c r="R31" s="75">
        <f t="shared" si="7"/>
        <v>0</v>
      </c>
      <c r="S31" s="75">
        <f>IF($C31="",0,COUNTIFS(rl_key,$J31,rl_eff,"&lt;"&amp;$C31)+COUNTIFS($J$7:$J31,$J31,$C$7:$C31,$C31))</f>
        <v>1</v>
      </c>
      <c r="T31" s="75">
        <f>IF(OR($C31="",$E31&lt;&gt;"planned",$C31&lt;DATE(nr_PlanYear,1,1),$C31&gt;DATE(nr_PlanYear,12,31)),0,IF(AND(COUNTIFS(rl_key,$J31,rl_status,"planned",rl_eff,"&gt;="&amp;DATE(nr_PlanYear,1,1),rl_eff,"&lt;"&amp;$C31)=0,COUNTIFS($J$7:$J31,$J31,$E$7:$E31,"planned",$C$7:$C31,$C31)=1),1,0))</f>
        <v>0</v>
      </c>
      <c r="U31" s="75">
        <f>IF(OR($C31="",$E31&lt;&gt;"taken"),0,IF(AND(COUNTIFS(rl_key,$J31,rl_effmonth,$M31,rl_eff,"&lt;"&amp;$C31,rl_status,"taken")=0,COUNTIFS($J$7:$J31,$J31,$M$7:$M31,$M31,$C$7:$C31,$C31,$E$7:$E31,"taken")=1),1,0))</f>
        <v>1</v>
      </c>
      <c r="V31" s="66">
        <f t="shared" si="8"/>
        <v>0.58912522175096382</v>
      </c>
      <c r="W31" s="76">
        <f t="shared" si="9"/>
        <v>0.51252217509638598</v>
      </c>
      <c r="X31" s="77" t="str">
        <f>IF(OR($C31="",$J31&lt;&gt;nr_SelKey),"",(SUMPRODUCT(('Rate Engine'!$G$17:$G$64&gt;YEAR($C31)*12+MONTH($C31)-1)*'Rate Engine'!$H$17:$H$64,'Rate Engine'!$Q$17:$Q$64)+(EOMONTH($C31,0)-$C31+1)/DAY(EOMONTH($C31,0))*SUMPRODUCT(('Rate Engine'!$G$17:$G$64=YEAR($C31)*12+MONTH($C31)-1)*'Rate Engine'!$H$17:$H$64,'Rate Engine'!$Q$17:$Q$64))/SUMPRODUCT('Rate Engine'!$H$17:$H$64,'Rate Engine'!$Q$17:$Q$64))</f>
        <v/>
      </c>
      <c r="Y31" s="78" t="str">
        <f t="shared" si="10"/>
        <v/>
      </c>
    </row>
    <row r="32" spans="1:25" x14ac:dyDescent="0.3">
      <c r="A32" s="11" t="s">
        <v>102</v>
      </c>
      <c r="B32" s="11" t="s">
        <v>198</v>
      </c>
      <c r="C32" s="61">
        <v>46143</v>
      </c>
      <c r="D32" s="29">
        <v>0.03</v>
      </c>
      <c r="E32" s="11" t="s">
        <v>243</v>
      </c>
      <c r="F32" s="11" t="s">
        <v>244</v>
      </c>
      <c r="G32" s="59"/>
      <c r="H32" s="71"/>
      <c r="J32" s="65" t="str">
        <f t="shared" si="0"/>
        <v>ABD|SC</v>
      </c>
      <c r="K32" s="72">
        <f t="shared" si="1"/>
        <v>0.03</v>
      </c>
      <c r="L32" s="73">
        <f t="shared" si="2"/>
        <v>2.9558802241544429E-2</v>
      </c>
      <c r="M32" s="74">
        <f t="shared" si="3"/>
        <v>46143</v>
      </c>
      <c r="N32" s="75">
        <f t="shared" si="4"/>
        <v>31</v>
      </c>
      <c r="O32" s="75">
        <f t="shared" si="5"/>
        <v>0</v>
      </c>
      <c r="P32" s="75">
        <f>IF($C32="",0,COUNTIFS($J$7:$J32,$J32,$M$7:$M32,$M32,$C$7:$C32,$C32))</f>
        <v>1</v>
      </c>
      <c r="Q32" s="75">
        <f t="shared" si="6"/>
        <v>1</v>
      </c>
      <c r="R32" s="75">
        <f t="shared" si="7"/>
        <v>0</v>
      </c>
      <c r="S32" s="75">
        <f>IF($C32="",0,COUNTIFS(rl_key,$J32,rl_eff,"&lt;"&amp;$C32)+COUNTIFS($J$7:$J32,$J32,$C$7:$C32,$C32))</f>
        <v>1</v>
      </c>
      <c r="T32" s="75">
        <f>IF(OR($C32="",$E32&lt;&gt;"planned",$C32&lt;DATE(nr_PlanYear,1,1),$C32&gt;DATE(nr_PlanYear,12,31)),0,IF(AND(COUNTIFS(rl_key,$J32,rl_status,"planned",rl_eff,"&gt;="&amp;DATE(nr_PlanYear,1,1),rl_eff,"&lt;"&amp;$C32)=0,COUNTIFS($J$7:$J32,$J32,$E$7:$E32,"planned",$C$7:$C32,$C32)=1),1,0))</f>
        <v>0</v>
      </c>
      <c r="U32" s="75">
        <f>IF(OR($C32="",$E32&lt;&gt;"taken"),0,IF(AND(COUNTIFS(rl_key,$J32,rl_effmonth,$M32,rl_eff,"&lt;"&amp;$C32,rl_status,"taken")=0,COUNTIFS($J$7:$J32,$J32,$M$7:$M32,$M32,$C$7:$C32,$C32,$E$7:$E32,"taken")=1),1,0))</f>
        <v>1</v>
      </c>
      <c r="V32" s="66">
        <f t="shared" si="8"/>
        <v>0.56924674478520054</v>
      </c>
      <c r="W32" s="76">
        <f t="shared" si="9"/>
        <v>0.12467447852005931</v>
      </c>
      <c r="X32" s="77" t="str">
        <f>IF(OR($C32="",$J32&lt;&gt;nr_SelKey),"",(SUMPRODUCT(('Rate Engine'!$G$17:$G$64&gt;YEAR($C32)*12+MONTH($C32)-1)*'Rate Engine'!$H$17:$H$64,'Rate Engine'!$Q$17:$Q$64)+(EOMONTH($C32,0)-$C32+1)/DAY(EOMONTH($C32,0))*SUMPRODUCT(('Rate Engine'!$G$17:$G$64=YEAR($C32)*12+MONTH($C32)-1)*'Rate Engine'!$H$17:$H$64,'Rate Engine'!$Q$17:$Q$64))/SUMPRODUCT('Rate Engine'!$H$17:$H$64,'Rate Engine'!$Q$17:$Q$64))</f>
        <v/>
      </c>
      <c r="Y32" s="78" t="str">
        <f t="shared" si="10"/>
        <v/>
      </c>
    </row>
    <row r="33" spans="1:25" x14ac:dyDescent="0.3">
      <c r="A33" s="11" t="s">
        <v>102</v>
      </c>
      <c r="B33" s="11" t="s">
        <v>199</v>
      </c>
      <c r="C33" s="61">
        <v>46600</v>
      </c>
      <c r="D33" s="29">
        <v>0.04</v>
      </c>
      <c r="E33" s="11" t="s">
        <v>246</v>
      </c>
      <c r="F33" s="11" t="s">
        <v>247</v>
      </c>
      <c r="G33" s="59">
        <v>1</v>
      </c>
      <c r="H33" s="71"/>
      <c r="J33" s="65" t="str">
        <f t="shared" si="0"/>
        <v>ABD|TN</v>
      </c>
      <c r="K33" s="72">
        <f t="shared" si="1"/>
        <v>0.04</v>
      </c>
      <c r="L33" s="73">
        <f t="shared" si="2"/>
        <v>3.9220713153281329E-2</v>
      </c>
      <c r="M33" s="74">
        <f t="shared" si="3"/>
        <v>46600</v>
      </c>
      <c r="N33" s="75">
        <f t="shared" si="4"/>
        <v>31</v>
      </c>
      <c r="O33" s="75">
        <f t="shared" si="5"/>
        <v>0</v>
      </c>
      <c r="P33" s="75">
        <f>IF($C33="",0,COUNTIFS($J$7:$J33,$J33,$M$7:$M33,$M33,$C$7:$C33,$C33))</f>
        <v>1</v>
      </c>
      <c r="Q33" s="75">
        <f t="shared" si="6"/>
        <v>1</v>
      </c>
      <c r="R33" s="75">
        <f t="shared" si="7"/>
        <v>0</v>
      </c>
      <c r="S33" s="75">
        <f>IF($C33="",0,COUNTIFS(rl_key,$J33,rl_eff,"&lt;"&amp;$C33)+COUNTIFS($J$7:$J33,$J33,$C$7:$C33,$C33))</f>
        <v>1</v>
      </c>
      <c r="T33" s="75">
        <f>IF(OR($C33="",$E33&lt;&gt;"planned",$C33&lt;DATE(nr_PlanYear,1,1),$C33&gt;DATE(nr_PlanYear,12,31)),0,IF(AND(COUNTIFS(rl_key,$J33,rl_status,"planned",rl_eff,"&gt;="&amp;DATE(nr_PlanYear,1,1),rl_eff,"&lt;"&amp;$C33)=0,COUNTIFS($J$7:$J33,$J33,$E$7:$E33,"planned",$C$7:$C33,$C33)=1),1,0))</f>
        <v>1</v>
      </c>
      <c r="U33" s="75">
        <f>IF(OR($C33="",$E33&lt;&gt;"taken"),0,IF(AND(COUNTIFS(rl_key,$J33,rl_effmonth,$M33,rl_eff,"&lt;"&amp;$C33,rl_status,"taken")=0,COUNTIFS($J$7:$J33,$J33,$M$7:$M33,$M33,$C$7:$C33,$C33,$E$7:$E33,"taken")=1),1,0))</f>
        <v>0</v>
      </c>
      <c r="V33" s="66">
        <f t="shared" si="8"/>
        <v>0.59839393709738542</v>
      </c>
      <c r="W33" s="76">
        <f t="shared" si="9"/>
        <v>0.23939370973854457</v>
      </c>
      <c r="X33" s="77" t="str">
        <f>IF(OR($C33="",$J33&lt;&gt;nr_SelKey),"",(SUMPRODUCT(('Rate Engine'!$G$17:$G$64&gt;YEAR($C33)*12+MONTH($C33)-1)*'Rate Engine'!$H$17:$H$64,'Rate Engine'!$Q$17:$Q$64)+(EOMONTH($C33,0)-$C33+1)/DAY(EOMONTH($C33,0))*SUMPRODUCT(('Rate Engine'!$G$17:$G$64=YEAR($C33)*12+MONTH($C33)-1)*'Rate Engine'!$H$17:$H$64,'Rate Engine'!$Q$17:$Q$64))/SUMPRODUCT('Rate Engine'!$H$17:$H$64,'Rate Engine'!$Q$17:$Q$64))</f>
        <v/>
      </c>
      <c r="Y33" s="78" t="str">
        <f t="shared" si="10"/>
        <v/>
      </c>
    </row>
    <row r="34" spans="1:25" x14ac:dyDescent="0.3">
      <c r="A34" s="11" t="s">
        <v>102</v>
      </c>
      <c r="B34" s="11" t="s">
        <v>200</v>
      </c>
      <c r="C34" s="61">
        <v>46204</v>
      </c>
      <c r="D34" s="29">
        <v>0.05</v>
      </c>
      <c r="E34" s="11" t="s">
        <v>243</v>
      </c>
      <c r="F34" s="11" t="s">
        <v>244</v>
      </c>
      <c r="G34" s="59"/>
      <c r="H34" s="71"/>
      <c r="J34" s="65" t="str">
        <f t="shared" si="0"/>
        <v>ABD|VA</v>
      </c>
      <c r="K34" s="72">
        <f t="shared" si="1"/>
        <v>0.05</v>
      </c>
      <c r="L34" s="73">
        <f t="shared" si="2"/>
        <v>4.8790164169432049E-2</v>
      </c>
      <c r="M34" s="74">
        <f t="shared" si="3"/>
        <v>46204</v>
      </c>
      <c r="N34" s="75">
        <f t="shared" si="4"/>
        <v>31</v>
      </c>
      <c r="O34" s="75">
        <f t="shared" si="5"/>
        <v>0</v>
      </c>
      <c r="P34" s="75">
        <f>IF($C34="",0,COUNTIFS($J$7:$J34,$J34,$M$7:$M34,$M34,$C$7:$C34,$C34))</f>
        <v>1</v>
      </c>
      <c r="Q34" s="75">
        <f t="shared" si="6"/>
        <v>1</v>
      </c>
      <c r="R34" s="75">
        <f t="shared" si="7"/>
        <v>0</v>
      </c>
      <c r="S34" s="75">
        <f>IF($C34="",0,COUNTIFS(rl_key,$J34,rl_eff,"&lt;"&amp;$C34)+COUNTIFS($J$7:$J34,$J34,$C$7:$C34,$C34))</f>
        <v>1</v>
      </c>
      <c r="T34" s="75">
        <f>IF(OR($C34="",$E34&lt;&gt;"planned",$C34&lt;DATE(nr_PlanYear,1,1),$C34&gt;DATE(nr_PlanYear,12,31)),0,IF(AND(COUNTIFS(rl_key,$J34,rl_status,"planned",rl_eff,"&gt;="&amp;DATE(nr_PlanYear,1,1),rl_eff,"&lt;"&amp;$C34)=0,COUNTIFS($J$7:$J34,$J34,$E$7:$E34,"planned",$C$7:$C34,$C34)=1),1,0))</f>
        <v>0</v>
      </c>
      <c r="U34" s="75">
        <f>IF(OR($C34="",$E34&lt;&gt;"taken"),0,IF(AND(COUNTIFS(rl_key,$J34,rl_effmonth,$M34,rl_eff,"&lt;"&amp;$C34,rl_status,"taken")=0,COUNTIFS($J$7:$J34,$J34,$M$7:$M34,$M34,$C$7:$C34,$C34,$E$7:$E34,"taken")=1),1,0))</f>
        <v>1</v>
      </c>
      <c r="V34" s="66">
        <f t="shared" si="8"/>
        <v>0.58253988303464932</v>
      </c>
      <c r="W34" s="76">
        <f t="shared" si="9"/>
        <v>0.25398830346493595</v>
      </c>
      <c r="X34" s="77" t="str">
        <f>IF(OR($C34="",$J34&lt;&gt;nr_SelKey),"",(SUMPRODUCT(('Rate Engine'!$G$17:$G$64&gt;YEAR($C34)*12+MONTH($C34)-1)*'Rate Engine'!$H$17:$H$64,'Rate Engine'!$Q$17:$Q$64)+(EOMONTH($C34,0)-$C34+1)/DAY(EOMONTH($C34,0))*SUMPRODUCT(('Rate Engine'!$G$17:$G$64=YEAR($C34)*12+MONTH($C34)-1)*'Rate Engine'!$H$17:$H$64,'Rate Engine'!$Q$17:$Q$64))/SUMPRODUCT('Rate Engine'!$H$17:$H$64,'Rate Engine'!$Q$17:$Q$64))</f>
        <v/>
      </c>
      <c r="Y34" s="78" t="str">
        <f t="shared" si="10"/>
        <v/>
      </c>
    </row>
    <row r="35" spans="1:25" x14ac:dyDescent="0.3">
      <c r="A35" s="11" t="s">
        <v>102</v>
      </c>
      <c r="B35" s="11" t="s">
        <v>201</v>
      </c>
      <c r="C35" s="61">
        <v>46235</v>
      </c>
      <c r="D35" s="29">
        <v>0.06</v>
      </c>
      <c r="E35" s="11" t="s">
        <v>243</v>
      </c>
      <c r="F35" s="11" t="s">
        <v>244</v>
      </c>
      <c r="G35" s="59"/>
      <c r="H35" s="71"/>
      <c r="J35" s="65" t="str">
        <f t="shared" si="0"/>
        <v>ABD|WV</v>
      </c>
      <c r="K35" s="72">
        <f t="shared" si="1"/>
        <v>0.06</v>
      </c>
      <c r="L35" s="73">
        <f t="shared" si="2"/>
        <v>5.8268908123975824E-2</v>
      </c>
      <c r="M35" s="74">
        <f t="shared" si="3"/>
        <v>46235</v>
      </c>
      <c r="N35" s="75">
        <f t="shared" si="4"/>
        <v>31</v>
      </c>
      <c r="O35" s="75">
        <f t="shared" si="5"/>
        <v>0</v>
      </c>
      <c r="P35" s="75">
        <f>IF($C35="",0,COUNTIFS($J$7:$J35,$J35,$M$7:$M35,$M35,$C$7:$C35,$C35))</f>
        <v>1</v>
      </c>
      <c r="Q35" s="75">
        <f t="shared" si="6"/>
        <v>1</v>
      </c>
      <c r="R35" s="75">
        <f t="shared" si="7"/>
        <v>0</v>
      </c>
      <c r="S35" s="75">
        <f>IF($C35="",0,COUNTIFS(rl_key,$J35,rl_eff,"&lt;"&amp;$C35)+COUNTIFS($J$7:$J35,$J35,$C$7:$C35,$C35))</f>
        <v>1</v>
      </c>
      <c r="T35" s="75">
        <f>IF(OR($C35="",$E35&lt;&gt;"planned",$C35&lt;DATE(nr_PlanYear,1,1),$C35&gt;DATE(nr_PlanYear,12,31)),0,IF(AND(COUNTIFS(rl_key,$J35,rl_status,"planned",rl_eff,"&gt;="&amp;DATE(nr_PlanYear,1,1),rl_eff,"&lt;"&amp;$C35)=0,COUNTIFS($J$7:$J35,$J35,$E$7:$E35,"planned",$C$7:$C35,$C35)=1),1,0))</f>
        <v>0</v>
      </c>
      <c r="U35" s="75">
        <f>IF(OR($C35="",$E35&lt;&gt;"taken"),0,IF(AND(COUNTIFS(rl_key,$J35,rl_effmonth,$M35,rl_eff,"&lt;"&amp;$C35,rl_status,"taken")=0,COUNTIFS($J$7:$J35,$J35,$M$7:$M35,$M35,$C$7:$C35,$C35,$E$7:$E35,"taken")=1),1,0))</f>
        <v>1</v>
      </c>
      <c r="V35" s="66">
        <f t="shared" si="8"/>
        <v>0.57167610733480778</v>
      </c>
      <c r="W35" s="76">
        <f t="shared" si="9"/>
        <v>0.76761073348078357</v>
      </c>
      <c r="X35" s="77" t="str">
        <f>IF(OR($C35="",$J35&lt;&gt;nr_SelKey),"",(SUMPRODUCT(('Rate Engine'!$G$17:$G$64&gt;YEAR($C35)*12+MONTH($C35)-1)*'Rate Engine'!$H$17:$H$64,'Rate Engine'!$Q$17:$Q$64)+(EOMONTH($C35,0)-$C35+1)/DAY(EOMONTH($C35,0))*SUMPRODUCT(('Rate Engine'!$G$17:$G$64=YEAR($C35)*12+MONTH($C35)-1)*'Rate Engine'!$H$17:$H$64,'Rate Engine'!$Q$17:$Q$64))/SUMPRODUCT('Rate Engine'!$H$17:$H$64,'Rate Engine'!$Q$17:$Q$64))</f>
        <v/>
      </c>
      <c r="Y35" s="78" t="str">
        <f t="shared" si="10"/>
        <v/>
      </c>
    </row>
    <row r="36" spans="1:25" x14ac:dyDescent="0.3">
      <c r="A36" s="11" t="s">
        <v>203</v>
      </c>
      <c r="B36" s="11" t="s">
        <v>105</v>
      </c>
      <c r="C36" s="61">
        <v>46296</v>
      </c>
      <c r="D36" s="29">
        <v>0.03</v>
      </c>
      <c r="E36" s="11" t="s">
        <v>243</v>
      </c>
      <c r="F36" s="11" t="s">
        <v>244</v>
      </c>
      <c r="G36" s="59"/>
      <c r="H36" s="71"/>
      <c r="J36" s="65" t="str">
        <f t="shared" si="0"/>
        <v>MM|AZ</v>
      </c>
      <c r="K36" s="72">
        <f t="shared" si="1"/>
        <v>0.03</v>
      </c>
      <c r="L36" s="73">
        <f t="shared" si="2"/>
        <v>2.9558802241544429E-2</v>
      </c>
      <c r="M36" s="74">
        <f t="shared" si="3"/>
        <v>46296</v>
      </c>
      <c r="N36" s="75">
        <f t="shared" si="4"/>
        <v>31</v>
      </c>
      <c r="O36" s="75">
        <f t="shared" si="5"/>
        <v>0</v>
      </c>
      <c r="P36" s="75">
        <f>IF($C36="",0,COUNTIFS($J$7:$J36,$J36,$M$7:$M36,$M36,$C$7:$C36,$C36))</f>
        <v>1</v>
      </c>
      <c r="Q36" s="75">
        <f t="shared" si="6"/>
        <v>1</v>
      </c>
      <c r="R36" s="75">
        <f t="shared" si="7"/>
        <v>0</v>
      </c>
      <c r="S36" s="75">
        <f>IF($C36="",0,COUNTIFS(rl_key,$J36,rl_eff,"&lt;"&amp;$C36)+COUNTIFS($J$7:$J36,$J36,$C$7:$C36,$C36))</f>
        <v>1</v>
      </c>
      <c r="T36" s="75">
        <f>IF(OR($C36="",$E36&lt;&gt;"planned",$C36&lt;DATE(nr_PlanYear,1,1),$C36&gt;DATE(nr_PlanYear,12,31)),0,IF(AND(COUNTIFS(rl_key,$J36,rl_status,"planned",rl_eff,"&gt;="&amp;DATE(nr_PlanYear,1,1),rl_eff,"&lt;"&amp;$C36)=0,COUNTIFS($J$7:$J36,$J36,$E$7:$E36,"planned",$C$7:$C36,$C36)=1),1,0))</f>
        <v>0</v>
      </c>
      <c r="U36" s="75">
        <f>IF(OR($C36="",$E36&lt;&gt;"taken"),0,IF(AND(COUNTIFS(rl_key,$J36,rl_effmonth,$M36,rl_eff,"&lt;"&amp;$C36,rl_status,"taken")=0,COUNTIFS($J$7:$J36,$J36,$M$7:$M36,$M36,$C$7:$C36,$C36,$E$7:$E36,"taken")=1),1,0))</f>
        <v>1</v>
      </c>
      <c r="V36" s="66">
        <f t="shared" si="8"/>
        <v>0.57071567519650979</v>
      </c>
      <c r="W36" s="76">
        <f t="shared" si="9"/>
        <v>-0.52843248034901702</v>
      </c>
      <c r="X36" s="77" t="str">
        <f>IF(OR($C36="",$J36&lt;&gt;nr_SelKey),"",(SUMPRODUCT(('Rate Engine'!$G$17:$G$64&gt;YEAR($C36)*12+MONTH($C36)-1)*'Rate Engine'!$H$17:$H$64,'Rate Engine'!$Q$17:$Q$64)+(EOMONTH($C36,0)-$C36+1)/DAY(EOMONTH($C36,0))*SUMPRODUCT(('Rate Engine'!$G$17:$G$64=YEAR($C36)*12+MONTH($C36)-1)*'Rate Engine'!$H$17:$H$64,'Rate Engine'!$Q$17:$Q$64))/SUMPRODUCT('Rate Engine'!$H$17:$H$64,'Rate Engine'!$Q$17:$Q$64))</f>
        <v/>
      </c>
      <c r="Y36" s="78" t="str">
        <f t="shared" si="10"/>
        <v/>
      </c>
    </row>
    <row r="37" spans="1:25" x14ac:dyDescent="0.3">
      <c r="A37" s="11" t="s">
        <v>203</v>
      </c>
      <c r="B37" s="11" t="s">
        <v>105</v>
      </c>
      <c r="C37" s="61">
        <v>46419</v>
      </c>
      <c r="D37" s="29">
        <v>0.04</v>
      </c>
      <c r="E37" s="11" t="s">
        <v>246</v>
      </c>
      <c r="F37" s="11" t="s">
        <v>247</v>
      </c>
      <c r="G37" s="59">
        <v>1</v>
      </c>
      <c r="H37" s="71"/>
      <c r="J37" s="65" t="str">
        <f t="shared" si="0"/>
        <v>MM|AZ</v>
      </c>
      <c r="K37" s="72">
        <f t="shared" si="1"/>
        <v>0.04</v>
      </c>
      <c r="L37" s="73">
        <f t="shared" si="2"/>
        <v>3.9220713153281329E-2</v>
      </c>
      <c r="M37" s="74">
        <f t="shared" si="3"/>
        <v>46419</v>
      </c>
      <c r="N37" s="75">
        <f t="shared" si="4"/>
        <v>28</v>
      </c>
      <c r="O37" s="75">
        <f t="shared" si="5"/>
        <v>0</v>
      </c>
      <c r="P37" s="75">
        <f>IF($C37="",0,COUNTIFS($J$7:$J37,$J37,$M$7:$M37,$M37,$C$7:$C37,$C37))</f>
        <v>1</v>
      </c>
      <c r="Q37" s="75">
        <f t="shared" si="6"/>
        <v>1</v>
      </c>
      <c r="R37" s="75">
        <f t="shared" si="7"/>
        <v>0</v>
      </c>
      <c r="S37" s="75">
        <f>IF($C37="",0,COUNTIFS(rl_key,$J37,rl_eff,"&lt;"&amp;$C37)+COUNTIFS($J$7:$J37,$J37,$C$7:$C37,$C37))</f>
        <v>2</v>
      </c>
      <c r="T37" s="75">
        <f>IF(OR($C37="",$E37&lt;&gt;"planned",$C37&lt;DATE(nr_PlanYear,1,1),$C37&gt;DATE(nr_PlanYear,12,31)),0,IF(AND(COUNTIFS(rl_key,$J37,rl_status,"planned",rl_eff,"&gt;="&amp;DATE(nr_PlanYear,1,1),rl_eff,"&lt;"&amp;$C37)=0,COUNTIFS($J$7:$J37,$J37,$E$7:$E37,"planned",$C$7:$C37,$C37)=1),1,0))</f>
        <v>1</v>
      </c>
      <c r="U37" s="75">
        <f>IF(OR($C37="",$E37&lt;&gt;"taken"),0,IF(AND(COUNTIFS(rl_key,$J37,rl_effmonth,$M37,rl_eff,"&lt;"&amp;$C37,rl_status,"taken")=0,COUNTIFS($J$7:$J37,$J37,$M$7:$M37,$M37,$C$7:$C37,$C37,$E$7:$E37,"taken")=1),1,0))</f>
        <v>0</v>
      </c>
      <c r="V37" s="66">
        <f t="shared" si="8"/>
        <v>0.57071567519650979</v>
      </c>
      <c r="W37" s="76">
        <f t="shared" si="9"/>
        <v>-0.52843248034901702</v>
      </c>
      <c r="X37" s="77" t="str">
        <f>IF(OR($C37="",$J37&lt;&gt;nr_SelKey),"",(SUMPRODUCT(('Rate Engine'!$G$17:$G$64&gt;YEAR($C37)*12+MONTH($C37)-1)*'Rate Engine'!$H$17:$H$64,'Rate Engine'!$Q$17:$Q$64)+(EOMONTH($C37,0)-$C37+1)/DAY(EOMONTH($C37,0))*SUMPRODUCT(('Rate Engine'!$G$17:$G$64=YEAR($C37)*12+MONTH($C37)-1)*'Rate Engine'!$H$17:$H$64,'Rate Engine'!$Q$17:$Q$64))/SUMPRODUCT('Rate Engine'!$H$17:$H$64,'Rate Engine'!$Q$17:$Q$64))</f>
        <v/>
      </c>
      <c r="Y37" s="78" t="str">
        <f t="shared" si="10"/>
        <v/>
      </c>
    </row>
    <row r="38" spans="1:25" x14ac:dyDescent="0.3">
      <c r="A38" s="11" t="s">
        <v>203</v>
      </c>
      <c r="B38" s="11" t="s">
        <v>183</v>
      </c>
      <c r="C38" s="61">
        <v>46327</v>
      </c>
      <c r="D38" s="29">
        <v>0.04</v>
      </c>
      <c r="E38" s="11" t="s">
        <v>243</v>
      </c>
      <c r="F38" s="11" t="s">
        <v>244</v>
      </c>
      <c r="G38" s="59"/>
      <c r="H38" s="71"/>
      <c r="J38" s="65" t="str">
        <f t="shared" si="0"/>
        <v>MM|CO</v>
      </c>
      <c r="K38" s="72">
        <f t="shared" si="1"/>
        <v>0.04</v>
      </c>
      <c r="L38" s="73">
        <f t="shared" si="2"/>
        <v>3.9220713153281329E-2</v>
      </c>
      <c r="M38" s="74">
        <f t="shared" si="3"/>
        <v>46327</v>
      </c>
      <c r="N38" s="75">
        <f t="shared" si="4"/>
        <v>30</v>
      </c>
      <c r="O38" s="75">
        <f t="shared" si="5"/>
        <v>0</v>
      </c>
      <c r="P38" s="75">
        <f>IF($C38="",0,COUNTIFS($J$7:$J38,$J38,$M$7:$M38,$M38,$C$7:$C38,$C38))</f>
        <v>1</v>
      </c>
      <c r="Q38" s="75">
        <f t="shared" si="6"/>
        <v>1</v>
      </c>
      <c r="R38" s="75">
        <f t="shared" si="7"/>
        <v>0</v>
      </c>
      <c r="S38" s="75">
        <f>IF($C38="",0,COUNTIFS(rl_key,$J38,rl_eff,"&lt;"&amp;$C38)+COUNTIFS($J$7:$J38,$J38,$C$7:$C38,$C38))</f>
        <v>1</v>
      </c>
      <c r="T38" s="75">
        <f>IF(OR($C38="",$E38&lt;&gt;"planned",$C38&lt;DATE(nr_PlanYear,1,1),$C38&gt;DATE(nr_PlanYear,12,31)),0,IF(AND(COUNTIFS(rl_key,$J38,rl_status,"planned",rl_eff,"&gt;="&amp;DATE(nr_PlanYear,1,1),rl_eff,"&lt;"&amp;$C38)=0,COUNTIFS($J$7:$J38,$J38,$E$7:$E38,"planned",$C$7:$C38,$C38)=1),1,0))</f>
        <v>0</v>
      </c>
      <c r="U38" s="75">
        <f>IF(OR($C38="",$E38&lt;&gt;"taken"),0,IF(AND(COUNTIFS(rl_key,$J38,rl_effmonth,$M38,rl_eff,"&lt;"&amp;$C38,rl_status,"taken")=0,COUNTIFS($J$7:$J38,$J38,$M$7:$M38,$M38,$C$7:$C38,$C38,$E$7:$E38,"taken")=1),1,0))</f>
        <v>1</v>
      </c>
      <c r="V38" s="66">
        <f t="shared" si="8"/>
        <v>0.61272625215258147</v>
      </c>
      <c r="W38" s="76">
        <f t="shared" si="9"/>
        <v>0.7926252152581359</v>
      </c>
      <c r="X38" s="77" t="str">
        <f>IF(OR($C38="",$J38&lt;&gt;nr_SelKey),"",(SUMPRODUCT(('Rate Engine'!$G$17:$G$64&gt;YEAR($C38)*12+MONTH($C38)-1)*'Rate Engine'!$H$17:$H$64,'Rate Engine'!$Q$17:$Q$64)+(EOMONTH($C38,0)-$C38+1)/DAY(EOMONTH($C38,0))*SUMPRODUCT(('Rate Engine'!$G$17:$G$64=YEAR($C38)*12+MONTH($C38)-1)*'Rate Engine'!$H$17:$H$64,'Rate Engine'!$Q$17:$Q$64))/SUMPRODUCT('Rate Engine'!$H$17:$H$64,'Rate Engine'!$Q$17:$Q$64))</f>
        <v/>
      </c>
      <c r="Y38" s="78" t="str">
        <f t="shared" si="10"/>
        <v/>
      </c>
    </row>
    <row r="39" spans="1:25" x14ac:dyDescent="0.3">
      <c r="A39" s="11" t="s">
        <v>203</v>
      </c>
      <c r="B39" s="11" t="s">
        <v>186</v>
      </c>
      <c r="C39" s="61">
        <v>46054</v>
      </c>
      <c r="D39" s="29">
        <v>0.02</v>
      </c>
      <c r="E39" s="11" t="s">
        <v>243</v>
      </c>
      <c r="F39" s="11" t="s">
        <v>244</v>
      </c>
      <c r="G39" s="59"/>
      <c r="H39" s="71"/>
      <c r="J39" s="65" t="str">
        <f t="shared" si="0"/>
        <v>MM|GA</v>
      </c>
      <c r="K39" s="72">
        <f t="shared" si="1"/>
        <v>0.02</v>
      </c>
      <c r="L39" s="73">
        <f t="shared" si="2"/>
        <v>1.980262729617973E-2</v>
      </c>
      <c r="M39" s="74">
        <f t="shared" si="3"/>
        <v>46054</v>
      </c>
      <c r="N39" s="75">
        <f t="shared" si="4"/>
        <v>28</v>
      </c>
      <c r="O39" s="75">
        <f t="shared" si="5"/>
        <v>0</v>
      </c>
      <c r="P39" s="75">
        <f>IF($C39="",0,COUNTIFS($J$7:$J39,$J39,$M$7:$M39,$M39,$C$7:$C39,$C39))</f>
        <v>1</v>
      </c>
      <c r="Q39" s="75">
        <f t="shared" si="6"/>
        <v>1</v>
      </c>
      <c r="R39" s="75">
        <f t="shared" si="7"/>
        <v>0</v>
      </c>
      <c r="S39" s="75">
        <f>IF($C39="",0,COUNTIFS(rl_key,$J39,rl_eff,"&lt;"&amp;$C39)+COUNTIFS($J$7:$J39,$J39,$C$7:$C39,$C39))</f>
        <v>1</v>
      </c>
      <c r="T39" s="75">
        <f>IF(OR($C39="",$E39&lt;&gt;"planned",$C39&lt;DATE(nr_PlanYear,1,1),$C39&gt;DATE(nr_PlanYear,12,31)),0,IF(AND(COUNTIFS(rl_key,$J39,rl_status,"planned",rl_eff,"&gt;="&amp;DATE(nr_PlanYear,1,1),rl_eff,"&lt;"&amp;$C39)=0,COUNTIFS($J$7:$J39,$J39,$E$7:$E39,"planned",$C$7:$C39,$C39)=1),1,0))</f>
        <v>0</v>
      </c>
      <c r="U39" s="75">
        <f>IF(OR($C39="",$E39&lt;&gt;"taken"),0,IF(AND(COUNTIFS(rl_key,$J39,rl_effmonth,$M39,rl_eff,"&lt;"&amp;$C39,rl_status,"taken")=0,COUNTIFS($J$7:$J39,$J39,$M$7:$M39,$M39,$C$7:$C39,$C39,$E$7:$E39,"taken")=1),1,0))</f>
        <v>1</v>
      </c>
      <c r="V39" s="66">
        <f t="shared" si="8"/>
        <v>0.5946981564555176</v>
      </c>
      <c r="W39" s="76">
        <f t="shared" si="9"/>
        <v>-0.53018435444823764</v>
      </c>
      <c r="X39" s="77" t="str">
        <f>IF(OR($C39="",$J39&lt;&gt;nr_SelKey),"",(SUMPRODUCT(('Rate Engine'!$G$17:$G$64&gt;YEAR($C39)*12+MONTH($C39)-1)*'Rate Engine'!$H$17:$H$64,'Rate Engine'!$Q$17:$Q$64)+(EOMONTH($C39,0)-$C39+1)/DAY(EOMONTH($C39,0))*SUMPRODUCT(('Rate Engine'!$G$17:$G$64=YEAR($C39)*12+MONTH($C39)-1)*'Rate Engine'!$H$17:$H$64,'Rate Engine'!$Q$17:$Q$64))/SUMPRODUCT('Rate Engine'!$H$17:$H$64,'Rate Engine'!$Q$17:$Q$64))</f>
        <v/>
      </c>
      <c r="Y39" s="78" t="str">
        <f t="shared" si="10"/>
        <v/>
      </c>
    </row>
    <row r="40" spans="1:25" x14ac:dyDescent="0.3">
      <c r="A40" s="11" t="s">
        <v>203</v>
      </c>
      <c r="B40" s="11" t="s">
        <v>186</v>
      </c>
      <c r="C40" s="61">
        <v>46539</v>
      </c>
      <c r="D40" s="29">
        <v>0.04</v>
      </c>
      <c r="E40" s="11" t="s">
        <v>246</v>
      </c>
      <c r="F40" s="11" t="s">
        <v>247</v>
      </c>
      <c r="G40" s="59">
        <v>1</v>
      </c>
      <c r="H40" s="71"/>
      <c r="J40" s="65" t="str">
        <f t="shared" si="0"/>
        <v>MM|GA</v>
      </c>
      <c r="K40" s="72">
        <f t="shared" si="1"/>
        <v>0.04</v>
      </c>
      <c r="L40" s="73">
        <f t="shared" si="2"/>
        <v>3.9220713153281329E-2</v>
      </c>
      <c r="M40" s="74">
        <f t="shared" si="3"/>
        <v>46539</v>
      </c>
      <c r="N40" s="75">
        <f t="shared" si="4"/>
        <v>30</v>
      </c>
      <c r="O40" s="75">
        <f t="shared" si="5"/>
        <v>0</v>
      </c>
      <c r="P40" s="75">
        <f>IF($C40="",0,COUNTIFS($J$7:$J40,$J40,$M$7:$M40,$M40,$C$7:$C40,$C40))</f>
        <v>1</v>
      </c>
      <c r="Q40" s="75">
        <f t="shared" si="6"/>
        <v>1</v>
      </c>
      <c r="R40" s="75">
        <f t="shared" si="7"/>
        <v>0</v>
      </c>
      <c r="S40" s="75">
        <f>IF($C40="",0,COUNTIFS(rl_key,$J40,rl_eff,"&lt;"&amp;$C40)+COUNTIFS($J$7:$J40,$J40,$C$7:$C40,$C40))</f>
        <v>2</v>
      </c>
      <c r="T40" s="75">
        <f>IF(OR($C40="",$E40&lt;&gt;"planned",$C40&lt;DATE(nr_PlanYear,1,1),$C40&gt;DATE(nr_PlanYear,12,31)),0,IF(AND(COUNTIFS(rl_key,$J40,rl_status,"planned",rl_eff,"&gt;="&amp;DATE(nr_PlanYear,1,1),rl_eff,"&lt;"&amp;$C40)=0,COUNTIFS($J$7:$J40,$J40,$E$7:$E40,"planned",$C$7:$C40,$C40)=1),1,0))</f>
        <v>1</v>
      </c>
      <c r="U40" s="75">
        <f>IF(OR($C40="",$E40&lt;&gt;"taken"),0,IF(AND(COUNTIFS(rl_key,$J40,rl_effmonth,$M40,rl_eff,"&lt;"&amp;$C40,rl_status,"taken")=0,COUNTIFS($J$7:$J40,$J40,$M$7:$M40,$M40,$C$7:$C40,$C40,$E$7:$E40,"taken")=1),1,0))</f>
        <v>0</v>
      </c>
      <c r="V40" s="66">
        <f t="shared" si="8"/>
        <v>0.5946981564555176</v>
      </c>
      <c r="W40" s="76">
        <f t="shared" si="9"/>
        <v>-0.53018435444823764</v>
      </c>
      <c r="X40" s="77" t="str">
        <f>IF(OR($C40="",$J40&lt;&gt;nr_SelKey),"",(SUMPRODUCT(('Rate Engine'!$G$17:$G$64&gt;YEAR($C40)*12+MONTH($C40)-1)*'Rate Engine'!$H$17:$H$64,'Rate Engine'!$Q$17:$Q$64)+(EOMONTH($C40,0)-$C40+1)/DAY(EOMONTH($C40,0))*SUMPRODUCT(('Rate Engine'!$G$17:$G$64=YEAR($C40)*12+MONTH($C40)-1)*'Rate Engine'!$H$17:$H$64,'Rate Engine'!$Q$17:$Q$64))/SUMPRODUCT('Rate Engine'!$H$17:$H$64,'Rate Engine'!$Q$17:$Q$64))</f>
        <v/>
      </c>
      <c r="Y40" s="78" t="str">
        <f t="shared" si="10"/>
        <v/>
      </c>
    </row>
    <row r="41" spans="1:25" x14ac:dyDescent="0.3">
      <c r="A41" s="11" t="s">
        <v>203</v>
      </c>
      <c r="B41" s="11" t="s">
        <v>188</v>
      </c>
      <c r="C41" s="61">
        <v>46113</v>
      </c>
      <c r="D41" s="29">
        <v>0.04</v>
      </c>
      <c r="E41" s="11" t="s">
        <v>243</v>
      </c>
      <c r="F41" s="11" t="s">
        <v>244</v>
      </c>
      <c r="G41" s="59"/>
      <c r="H41" s="71"/>
      <c r="J41" s="65" t="str">
        <f t="shared" si="0"/>
        <v>MM|IL</v>
      </c>
      <c r="K41" s="72">
        <f t="shared" si="1"/>
        <v>0.04</v>
      </c>
      <c r="L41" s="73">
        <f t="shared" si="2"/>
        <v>3.9220713153281329E-2</v>
      </c>
      <c r="M41" s="74">
        <f t="shared" si="3"/>
        <v>46113</v>
      </c>
      <c r="N41" s="75">
        <f t="shared" si="4"/>
        <v>30</v>
      </c>
      <c r="O41" s="75">
        <f t="shared" si="5"/>
        <v>0</v>
      </c>
      <c r="P41" s="75">
        <f>IF($C41="",0,COUNTIFS($J$7:$J41,$J41,$M$7:$M41,$M41,$C$7:$C41,$C41))</f>
        <v>1</v>
      </c>
      <c r="Q41" s="75">
        <f t="shared" si="6"/>
        <v>1</v>
      </c>
      <c r="R41" s="75">
        <f t="shared" si="7"/>
        <v>0</v>
      </c>
      <c r="S41" s="75">
        <f>IF($C41="",0,COUNTIFS(rl_key,$J41,rl_eff,"&lt;"&amp;$C41)+COUNTIFS($J$7:$J41,$J41,$C$7:$C41,$C41))</f>
        <v>1</v>
      </c>
      <c r="T41" s="75">
        <f>IF(OR($C41="",$E41&lt;&gt;"planned",$C41&lt;DATE(nr_PlanYear,1,1),$C41&gt;DATE(nr_PlanYear,12,31)),0,IF(AND(COUNTIFS(rl_key,$J41,rl_status,"planned",rl_eff,"&gt;="&amp;DATE(nr_PlanYear,1,1),rl_eff,"&lt;"&amp;$C41)=0,COUNTIFS($J$7:$J41,$J41,$E$7:$E41,"planned",$C$7:$C41,$C41)=1),1,0))</f>
        <v>0</v>
      </c>
      <c r="U41" s="75">
        <f>IF(OR($C41="",$E41&lt;&gt;"taken"),0,IF(AND(COUNTIFS(rl_key,$J41,rl_effmonth,$M41,rl_eff,"&lt;"&amp;$C41,rl_status,"taken")=0,COUNTIFS($J$7:$J41,$J41,$M$7:$M41,$M41,$C$7:$C41,$C41,$E$7:$E41,"taken")=1),1,0))</f>
        <v>1</v>
      </c>
      <c r="V41" s="66">
        <f t="shared" si="8"/>
        <v>0.57173334184566693</v>
      </c>
      <c r="W41" s="76">
        <f t="shared" si="9"/>
        <v>0.3733341845666982</v>
      </c>
      <c r="X41" s="77" t="str">
        <f>IF(OR($C41="",$J41&lt;&gt;nr_SelKey),"",(SUMPRODUCT(('Rate Engine'!$G$17:$G$64&gt;YEAR($C41)*12+MONTH($C41)-1)*'Rate Engine'!$H$17:$H$64,'Rate Engine'!$Q$17:$Q$64)+(EOMONTH($C41,0)-$C41+1)/DAY(EOMONTH($C41,0))*SUMPRODUCT(('Rate Engine'!$G$17:$G$64=YEAR($C41)*12+MONTH($C41)-1)*'Rate Engine'!$H$17:$H$64,'Rate Engine'!$Q$17:$Q$64))/SUMPRODUCT('Rate Engine'!$H$17:$H$64,'Rate Engine'!$Q$17:$Q$64))</f>
        <v/>
      </c>
      <c r="Y41" s="78" t="str">
        <f t="shared" si="10"/>
        <v/>
      </c>
    </row>
    <row r="42" spans="1:25" x14ac:dyDescent="0.3">
      <c r="A42" s="11" t="s">
        <v>203</v>
      </c>
      <c r="B42" s="11" t="s">
        <v>189</v>
      </c>
      <c r="C42" s="61">
        <v>46143</v>
      </c>
      <c r="D42" s="29">
        <v>0.05</v>
      </c>
      <c r="E42" s="11" t="s">
        <v>243</v>
      </c>
      <c r="F42" s="11" t="s">
        <v>244</v>
      </c>
      <c r="G42" s="59"/>
      <c r="H42" s="71"/>
      <c r="J42" s="65" t="str">
        <f t="shared" si="0"/>
        <v>MM|IN</v>
      </c>
      <c r="K42" s="72">
        <f t="shared" si="1"/>
        <v>0.05</v>
      </c>
      <c r="L42" s="73">
        <f t="shared" si="2"/>
        <v>4.8790164169432049E-2</v>
      </c>
      <c r="M42" s="74">
        <f t="shared" si="3"/>
        <v>46143</v>
      </c>
      <c r="N42" s="75">
        <f t="shared" si="4"/>
        <v>31</v>
      </c>
      <c r="O42" s="75">
        <f t="shared" si="5"/>
        <v>0</v>
      </c>
      <c r="P42" s="75">
        <f>IF($C42="",0,COUNTIFS($J$7:$J42,$J42,$M$7:$M42,$M42,$C$7:$C42,$C42))</f>
        <v>1</v>
      </c>
      <c r="Q42" s="75">
        <f t="shared" si="6"/>
        <v>1</v>
      </c>
      <c r="R42" s="75">
        <f t="shared" si="7"/>
        <v>0</v>
      </c>
      <c r="S42" s="75">
        <f>IF($C42="",0,COUNTIFS(rl_key,$J42,rl_eff,"&lt;"&amp;$C42)+COUNTIFS($J$7:$J42,$J42,$C$7:$C42,$C42))</f>
        <v>1</v>
      </c>
      <c r="T42" s="75">
        <f>IF(OR($C42="",$E42&lt;&gt;"planned",$C42&lt;DATE(nr_PlanYear,1,1),$C42&gt;DATE(nr_PlanYear,12,31)),0,IF(AND(COUNTIFS(rl_key,$J42,rl_status,"planned",rl_eff,"&gt;="&amp;DATE(nr_PlanYear,1,1),rl_eff,"&lt;"&amp;$C42)=0,COUNTIFS($J$7:$J42,$J42,$E$7:$E42,"planned",$C$7:$C42,$C42)=1),1,0))</f>
        <v>0</v>
      </c>
      <c r="U42" s="75">
        <f>IF(OR($C42="",$E42&lt;&gt;"taken"),0,IF(AND(COUNTIFS(rl_key,$J42,rl_effmonth,$M42,rl_eff,"&lt;"&amp;$C42,rl_status,"taken")=0,COUNTIFS($J$7:$J42,$J42,$M$7:$M42,$M42,$C$7:$C42,$C42,$E$7:$E42,"taken")=1),1,0))</f>
        <v>1</v>
      </c>
      <c r="V42" s="66">
        <f t="shared" si="8"/>
        <v>0.60520471888651506</v>
      </c>
      <c r="W42" s="76">
        <f t="shared" si="9"/>
        <v>0.92047188865150842</v>
      </c>
      <c r="X42" s="77" t="str">
        <f>IF(OR($C42="",$J42&lt;&gt;nr_SelKey),"",(SUMPRODUCT(('Rate Engine'!$G$17:$G$64&gt;YEAR($C42)*12+MONTH($C42)-1)*'Rate Engine'!$H$17:$H$64,'Rate Engine'!$Q$17:$Q$64)+(EOMONTH($C42,0)-$C42+1)/DAY(EOMONTH($C42,0))*SUMPRODUCT(('Rate Engine'!$G$17:$G$64=YEAR($C42)*12+MONTH($C42)-1)*'Rate Engine'!$H$17:$H$64,'Rate Engine'!$Q$17:$Q$64))/SUMPRODUCT('Rate Engine'!$H$17:$H$64,'Rate Engine'!$Q$17:$Q$64))</f>
        <v/>
      </c>
      <c r="Y42" s="78" t="str">
        <f t="shared" si="10"/>
        <v/>
      </c>
    </row>
    <row r="43" spans="1:25" x14ac:dyDescent="0.3">
      <c r="A43" s="11" t="s">
        <v>203</v>
      </c>
      <c r="B43" s="11" t="s">
        <v>190</v>
      </c>
      <c r="C43" s="61">
        <v>46661</v>
      </c>
      <c r="D43" s="29">
        <v>0.04</v>
      </c>
      <c r="E43" s="11" t="s">
        <v>246</v>
      </c>
      <c r="F43" s="11" t="s">
        <v>247</v>
      </c>
      <c r="G43" s="59">
        <v>1</v>
      </c>
      <c r="H43" s="71"/>
      <c r="J43" s="65" t="str">
        <f t="shared" si="0"/>
        <v>MM|KY</v>
      </c>
      <c r="K43" s="72">
        <f t="shared" si="1"/>
        <v>0.04</v>
      </c>
      <c r="L43" s="73">
        <f t="shared" si="2"/>
        <v>3.9220713153281329E-2</v>
      </c>
      <c r="M43" s="74">
        <f t="shared" si="3"/>
        <v>46661</v>
      </c>
      <c r="N43" s="75">
        <f t="shared" si="4"/>
        <v>31</v>
      </c>
      <c r="O43" s="75">
        <f t="shared" si="5"/>
        <v>0</v>
      </c>
      <c r="P43" s="75">
        <f>IF($C43="",0,COUNTIFS($J$7:$J43,$J43,$M$7:$M43,$M43,$C$7:$C43,$C43))</f>
        <v>1</v>
      </c>
      <c r="Q43" s="75">
        <f t="shared" si="6"/>
        <v>1</v>
      </c>
      <c r="R43" s="75">
        <f t="shared" si="7"/>
        <v>0</v>
      </c>
      <c r="S43" s="75">
        <f>IF($C43="",0,COUNTIFS(rl_key,$J43,rl_eff,"&lt;"&amp;$C43)+COUNTIFS($J$7:$J43,$J43,$C$7:$C43,$C43))</f>
        <v>1</v>
      </c>
      <c r="T43" s="75">
        <f>IF(OR($C43="",$E43&lt;&gt;"planned",$C43&lt;DATE(nr_PlanYear,1,1),$C43&gt;DATE(nr_PlanYear,12,31)),0,IF(AND(COUNTIFS(rl_key,$J43,rl_status,"planned",rl_eff,"&gt;="&amp;DATE(nr_PlanYear,1,1),rl_eff,"&lt;"&amp;$C43)=0,COUNTIFS($J$7:$J43,$J43,$E$7:$E43,"planned",$C$7:$C43,$C43)=1),1,0))</f>
        <v>1</v>
      </c>
      <c r="U43" s="75">
        <f>IF(OR($C43="",$E43&lt;&gt;"taken"),0,IF(AND(COUNTIFS(rl_key,$J43,rl_effmonth,$M43,rl_eff,"&lt;"&amp;$C43,rl_status,"taken")=0,COUNTIFS($J$7:$J43,$J43,$M$7:$M43,$M43,$C$7:$C43,$C43,$E$7:$E43,"taken")=1),1,0))</f>
        <v>0</v>
      </c>
      <c r="V43" s="66">
        <f t="shared" si="8"/>
        <v>0.58363103989266396</v>
      </c>
      <c r="W43" s="76">
        <f t="shared" si="9"/>
        <v>0.36310398926640008</v>
      </c>
      <c r="X43" s="77" t="str">
        <f>IF(OR($C43="",$J43&lt;&gt;nr_SelKey),"",(SUMPRODUCT(('Rate Engine'!$G$17:$G$64&gt;YEAR($C43)*12+MONTH($C43)-1)*'Rate Engine'!$H$17:$H$64,'Rate Engine'!$Q$17:$Q$64)+(EOMONTH($C43,0)-$C43+1)/DAY(EOMONTH($C43,0))*SUMPRODUCT(('Rate Engine'!$G$17:$G$64=YEAR($C43)*12+MONTH($C43)-1)*'Rate Engine'!$H$17:$H$64,'Rate Engine'!$Q$17:$Q$64))/SUMPRODUCT('Rate Engine'!$H$17:$H$64,'Rate Engine'!$Q$17:$Q$64))</f>
        <v/>
      </c>
      <c r="Y43" s="78" t="str">
        <f t="shared" si="10"/>
        <v/>
      </c>
    </row>
    <row r="44" spans="1:25" x14ac:dyDescent="0.3">
      <c r="A44" s="11" t="s">
        <v>203</v>
      </c>
      <c r="B44" s="11" t="s">
        <v>191</v>
      </c>
      <c r="C44" s="61">
        <v>46204</v>
      </c>
      <c r="D44" s="29">
        <v>0.02</v>
      </c>
      <c r="E44" s="11" t="s">
        <v>243</v>
      </c>
      <c r="F44" s="11" t="s">
        <v>244</v>
      </c>
      <c r="G44" s="59"/>
      <c r="H44" s="71"/>
      <c r="J44" s="65" t="str">
        <f t="shared" si="0"/>
        <v>MM|MD</v>
      </c>
      <c r="K44" s="72">
        <f t="shared" si="1"/>
        <v>0.02</v>
      </c>
      <c r="L44" s="73">
        <f t="shared" si="2"/>
        <v>1.980262729617973E-2</v>
      </c>
      <c r="M44" s="74">
        <f t="shared" si="3"/>
        <v>46204</v>
      </c>
      <c r="N44" s="75">
        <f t="shared" si="4"/>
        <v>31</v>
      </c>
      <c r="O44" s="75">
        <f t="shared" si="5"/>
        <v>0</v>
      </c>
      <c r="P44" s="75">
        <f>IF($C44="",0,COUNTIFS($J$7:$J44,$J44,$M$7:$M44,$M44,$C$7:$C44,$C44))</f>
        <v>1</v>
      </c>
      <c r="Q44" s="75">
        <f t="shared" si="6"/>
        <v>1</v>
      </c>
      <c r="R44" s="75">
        <f t="shared" si="7"/>
        <v>0</v>
      </c>
      <c r="S44" s="75">
        <f>IF($C44="",0,COUNTIFS(rl_key,$J44,rl_eff,"&lt;"&amp;$C44)+COUNTIFS($J$7:$J44,$J44,$C$7:$C44,$C44))</f>
        <v>1</v>
      </c>
      <c r="T44" s="75">
        <f>IF(OR($C44="",$E44&lt;&gt;"planned",$C44&lt;DATE(nr_PlanYear,1,1),$C44&gt;DATE(nr_PlanYear,12,31)),0,IF(AND(COUNTIFS(rl_key,$J44,rl_status,"planned",rl_eff,"&gt;="&amp;DATE(nr_PlanYear,1,1),rl_eff,"&lt;"&amp;$C44)=0,COUNTIFS($J$7:$J44,$J44,$E$7:$E44,"planned",$C$7:$C44,$C44)=1),1,0))</f>
        <v>0</v>
      </c>
      <c r="U44" s="75">
        <f>IF(OR($C44="",$E44&lt;&gt;"taken"),0,IF(AND(COUNTIFS(rl_key,$J44,rl_effmonth,$M44,rl_eff,"&lt;"&amp;$C44,rl_status,"taken")=0,COUNTIFS($J$7:$J44,$J44,$M$7:$M44,$M44,$C$7:$C44,$C44,$E$7:$E44,"taken")=1),1,0))</f>
        <v>1</v>
      </c>
      <c r="V44" s="66">
        <f t="shared" si="8"/>
        <v>0.5652379648923469</v>
      </c>
      <c r="W44" s="76">
        <f t="shared" si="9"/>
        <v>0.12379648923469544</v>
      </c>
      <c r="X44" s="77" t="str">
        <f>IF(OR($C44="",$J44&lt;&gt;nr_SelKey),"",(SUMPRODUCT(('Rate Engine'!$G$17:$G$64&gt;YEAR($C44)*12+MONTH($C44)-1)*'Rate Engine'!$H$17:$H$64,'Rate Engine'!$Q$17:$Q$64)+(EOMONTH($C44,0)-$C44+1)/DAY(EOMONTH($C44,0))*SUMPRODUCT(('Rate Engine'!$G$17:$G$64=YEAR($C44)*12+MONTH($C44)-1)*'Rate Engine'!$H$17:$H$64,'Rate Engine'!$Q$17:$Q$64))/SUMPRODUCT('Rate Engine'!$H$17:$H$64,'Rate Engine'!$Q$17:$Q$64))</f>
        <v/>
      </c>
      <c r="Y44" s="78" t="str">
        <f t="shared" si="10"/>
        <v/>
      </c>
    </row>
    <row r="45" spans="1:25" x14ac:dyDescent="0.3">
      <c r="A45" s="11" t="s">
        <v>203</v>
      </c>
      <c r="B45" s="11" t="s">
        <v>192</v>
      </c>
      <c r="C45" s="61">
        <v>46235</v>
      </c>
      <c r="D45" s="29">
        <v>0.03</v>
      </c>
      <c r="E45" s="11" t="s">
        <v>243</v>
      </c>
      <c r="F45" s="11" t="s">
        <v>244</v>
      </c>
      <c r="G45" s="59"/>
      <c r="H45" s="71"/>
      <c r="J45" s="65" t="str">
        <f t="shared" si="0"/>
        <v>MM|MI</v>
      </c>
      <c r="K45" s="72">
        <f t="shared" si="1"/>
        <v>0.03</v>
      </c>
      <c r="L45" s="73">
        <f t="shared" si="2"/>
        <v>2.9558802241544429E-2</v>
      </c>
      <c r="M45" s="74">
        <f t="shared" si="3"/>
        <v>46235</v>
      </c>
      <c r="N45" s="75">
        <f t="shared" si="4"/>
        <v>31</v>
      </c>
      <c r="O45" s="75">
        <f t="shared" si="5"/>
        <v>0</v>
      </c>
      <c r="P45" s="75">
        <f>IF($C45="",0,COUNTIFS($J$7:$J45,$J45,$M$7:$M45,$M45,$C$7:$C45,$C45))</f>
        <v>1</v>
      </c>
      <c r="Q45" s="75">
        <f t="shared" si="6"/>
        <v>1</v>
      </c>
      <c r="R45" s="75">
        <f t="shared" si="7"/>
        <v>0</v>
      </c>
      <c r="S45" s="75">
        <f>IF($C45="",0,COUNTIFS(rl_key,$J45,rl_eff,"&lt;"&amp;$C45)+COUNTIFS($J$7:$J45,$J45,$C$7:$C45,$C45))</f>
        <v>1</v>
      </c>
      <c r="T45" s="75">
        <f>IF(OR($C45="",$E45&lt;&gt;"planned",$C45&lt;DATE(nr_PlanYear,1,1),$C45&gt;DATE(nr_PlanYear,12,31)),0,IF(AND(COUNTIFS(rl_key,$J45,rl_status,"planned",rl_eff,"&gt;="&amp;DATE(nr_PlanYear,1,1),rl_eff,"&lt;"&amp;$C45)=0,COUNTIFS($J$7:$J45,$J45,$E$7:$E45,"planned",$C$7:$C45,$C45)=1),1,0))</f>
        <v>0</v>
      </c>
      <c r="U45" s="75">
        <f>IF(OR($C45="",$E45&lt;&gt;"taken"),0,IF(AND(COUNTIFS(rl_key,$J45,rl_effmonth,$M45,rl_eff,"&lt;"&amp;$C45,rl_status,"taken")=0,COUNTIFS($J$7:$J45,$J45,$M$7:$M45,$M45,$C$7:$C45,$C45,$E$7:$E45,"taken")=1),1,0))</f>
        <v>1</v>
      </c>
      <c r="V45" s="66">
        <f t="shared" si="8"/>
        <v>0.59862657593266544</v>
      </c>
      <c r="W45" s="76">
        <f t="shared" si="9"/>
        <v>0.66265759326654683</v>
      </c>
      <c r="X45" s="77" t="str">
        <f>IF(OR($C45="",$J45&lt;&gt;nr_SelKey),"",(SUMPRODUCT(('Rate Engine'!$G$17:$G$64&gt;YEAR($C45)*12+MONTH($C45)-1)*'Rate Engine'!$H$17:$H$64,'Rate Engine'!$Q$17:$Q$64)+(EOMONTH($C45,0)-$C45+1)/DAY(EOMONTH($C45,0))*SUMPRODUCT(('Rate Engine'!$G$17:$G$64=YEAR($C45)*12+MONTH($C45)-1)*'Rate Engine'!$H$17:$H$64,'Rate Engine'!$Q$17:$Q$64))/SUMPRODUCT('Rate Engine'!$H$17:$H$64,'Rate Engine'!$Q$17:$Q$64))</f>
        <v/>
      </c>
      <c r="Y45" s="78" t="str">
        <f t="shared" si="10"/>
        <v/>
      </c>
    </row>
    <row r="46" spans="1:25" x14ac:dyDescent="0.3">
      <c r="A46" s="11" t="s">
        <v>203</v>
      </c>
      <c r="B46" s="11" t="s">
        <v>194</v>
      </c>
      <c r="C46" s="61">
        <v>46296</v>
      </c>
      <c r="D46" s="29">
        <v>0.05</v>
      </c>
      <c r="E46" s="11" t="s">
        <v>243</v>
      </c>
      <c r="F46" s="11" t="s">
        <v>244</v>
      </c>
      <c r="G46" s="59"/>
      <c r="H46" s="71"/>
      <c r="J46" s="65" t="str">
        <f t="shared" si="0"/>
        <v>MM|NM</v>
      </c>
      <c r="K46" s="72">
        <f t="shared" si="1"/>
        <v>0.05</v>
      </c>
      <c r="L46" s="73">
        <f t="shared" si="2"/>
        <v>4.8790164169432049E-2</v>
      </c>
      <c r="M46" s="74">
        <f t="shared" si="3"/>
        <v>46296</v>
      </c>
      <c r="N46" s="75">
        <f t="shared" si="4"/>
        <v>31</v>
      </c>
      <c r="O46" s="75">
        <f t="shared" si="5"/>
        <v>0</v>
      </c>
      <c r="P46" s="75">
        <f>IF($C46="",0,COUNTIFS($J$7:$J46,$J46,$M$7:$M46,$M46,$C$7:$C46,$C46))</f>
        <v>1</v>
      </c>
      <c r="Q46" s="75">
        <f t="shared" si="6"/>
        <v>1</v>
      </c>
      <c r="R46" s="75">
        <f t="shared" si="7"/>
        <v>0</v>
      </c>
      <c r="S46" s="75">
        <f>IF($C46="",0,COUNTIFS(rl_key,$J46,rl_eff,"&lt;"&amp;$C46)+COUNTIFS($J$7:$J46,$J46,$C$7:$C46,$C46))</f>
        <v>1</v>
      </c>
      <c r="T46" s="75">
        <f>IF(OR($C46="",$E46&lt;&gt;"planned",$C46&lt;DATE(nr_PlanYear,1,1),$C46&gt;DATE(nr_PlanYear,12,31)),0,IF(AND(COUNTIFS(rl_key,$J46,rl_status,"planned",rl_eff,"&gt;="&amp;DATE(nr_PlanYear,1,1),rl_eff,"&lt;"&amp;$C46)=0,COUNTIFS($J$7:$J46,$J46,$E$7:$E46,"planned",$C$7:$C46,$C46)=1),1,0))</f>
        <v>0</v>
      </c>
      <c r="U46" s="75">
        <f>IF(OR($C46="",$E46&lt;&gt;"taken"),0,IF(AND(COUNTIFS(rl_key,$J46,rl_effmonth,$M46,rl_eff,"&lt;"&amp;$C46,rl_status,"taken")=0,COUNTIFS($J$7:$J46,$J46,$M$7:$M46,$M46,$C$7:$C46,$C46,$E$7:$E46,"taken")=1),1,0))</f>
        <v>1</v>
      </c>
      <c r="V46" s="66">
        <f t="shared" si="8"/>
        <v>0.55790094570011051</v>
      </c>
      <c r="W46" s="76">
        <f t="shared" si="9"/>
        <v>-0.20990542998895467</v>
      </c>
      <c r="X46" s="77" t="str">
        <f>IF(OR($C46="",$J46&lt;&gt;nr_SelKey),"",(SUMPRODUCT(('Rate Engine'!$G$17:$G$64&gt;YEAR($C46)*12+MONTH($C46)-1)*'Rate Engine'!$H$17:$H$64,'Rate Engine'!$Q$17:$Q$64)+(EOMONTH($C46,0)-$C46+1)/DAY(EOMONTH($C46,0))*SUMPRODUCT(('Rate Engine'!$G$17:$G$64=YEAR($C46)*12+MONTH($C46)-1)*'Rate Engine'!$H$17:$H$64,'Rate Engine'!$Q$17:$Q$64))/SUMPRODUCT('Rate Engine'!$H$17:$H$64,'Rate Engine'!$Q$17:$Q$64))</f>
        <v/>
      </c>
      <c r="Y46" s="78" t="str">
        <f t="shared" si="10"/>
        <v/>
      </c>
    </row>
    <row r="47" spans="1:25" x14ac:dyDescent="0.3">
      <c r="A47" s="11" t="s">
        <v>203</v>
      </c>
      <c r="B47" s="11" t="s">
        <v>194</v>
      </c>
      <c r="C47" s="61">
        <v>46478</v>
      </c>
      <c r="D47" s="29">
        <v>0.04</v>
      </c>
      <c r="E47" s="11" t="s">
        <v>246</v>
      </c>
      <c r="F47" s="11" t="s">
        <v>247</v>
      </c>
      <c r="G47" s="59">
        <v>1</v>
      </c>
      <c r="H47" s="71"/>
      <c r="J47" s="65" t="str">
        <f t="shared" si="0"/>
        <v>MM|NM</v>
      </c>
      <c r="K47" s="72">
        <f t="shared" si="1"/>
        <v>0.04</v>
      </c>
      <c r="L47" s="73">
        <f t="shared" si="2"/>
        <v>3.9220713153281329E-2</v>
      </c>
      <c r="M47" s="74">
        <f t="shared" si="3"/>
        <v>46478</v>
      </c>
      <c r="N47" s="75">
        <f t="shared" si="4"/>
        <v>30</v>
      </c>
      <c r="O47" s="75">
        <f t="shared" si="5"/>
        <v>0</v>
      </c>
      <c r="P47" s="75">
        <f>IF($C47="",0,COUNTIFS($J$7:$J47,$J47,$M$7:$M47,$M47,$C$7:$C47,$C47))</f>
        <v>1</v>
      </c>
      <c r="Q47" s="75">
        <f t="shared" si="6"/>
        <v>1</v>
      </c>
      <c r="R47" s="75">
        <f t="shared" si="7"/>
        <v>0</v>
      </c>
      <c r="S47" s="75">
        <f>IF($C47="",0,COUNTIFS(rl_key,$J47,rl_eff,"&lt;"&amp;$C47)+COUNTIFS($J$7:$J47,$J47,$C$7:$C47,$C47))</f>
        <v>2</v>
      </c>
      <c r="T47" s="75">
        <f>IF(OR($C47="",$E47&lt;&gt;"planned",$C47&lt;DATE(nr_PlanYear,1,1),$C47&gt;DATE(nr_PlanYear,12,31)),0,IF(AND(COUNTIFS(rl_key,$J47,rl_status,"planned",rl_eff,"&gt;="&amp;DATE(nr_PlanYear,1,1),rl_eff,"&lt;"&amp;$C47)=0,COUNTIFS($J$7:$J47,$J47,$E$7:$E47,"planned",$C$7:$C47,$C47)=1),1,0))</f>
        <v>1</v>
      </c>
      <c r="U47" s="75">
        <f>IF(OR($C47="",$E47&lt;&gt;"taken"),0,IF(AND(COUNTIFS(rl_key,$J47,rl_effmonth,$M47,rl_eff,"&lt;"&amp;$C47,rl_status,"taken")=0,COUNTIFS($J$7:$J47,$J47,$M$7:$M47,$M47,$C$7:$C47,$C47,$E$7:$E47,"taken")=1),1,0))</f>
        <v>0</v>
      </c>
      <c r="V47" s="66">
        <f t="shared" si="8"/>
        <v>0.55790094570011051</v>
      </c>
      <c r="W47" s="76">
        <f t="shared" si="9"/>
        <v>-0.20990542998895467</v>
      </c>
      <c r="X47" s="77" t="str">
        <f>IF(OR($C47="",$J47&lt;&gt;nr_SelKey),"",(SUMPRODUCT(('Rate Engine'!$G$17:$G$64&gt;YEAR($C47)*12+MONTH($C47)-1)*'Rate Engine'!$H$17:$H$64,'Rate Engine'!$Q$17:$Q$64)+(EOMONTH($C47,0)-$C47+1)/DAY(EOMONTH($C47,0))*SUMPRODUCT(('Rate Engine'!$G$17:$G$64=YEAR($C47)*12+MONTH($C47)-1)*'Rate Engine'!$H$17:$H$64,'Rate Engine'!$Q$17:$Q$64))/SUMPRODUCT('Rate Engine'!$H$17:$H$64,'Rate Engine'!$Q$17:$Q$64))</f>
        <v/>
      </c>
      <c r="Y47" s="78" t="str">
        <f t="shared" si="10"/>
        <v/>
      </c>
    </row>
    <row r="48" spans="1:25" x14ac:dyDescent="0.3">
      <c r="A48" s="11" t="s">
        <v>203</v>
      </c>
      <c r="B48" s="11" t="s">
        <v>195</v>
      </c>
      <c r="C48" s="61">
        <v>46327</v>
      </c>
      <c r="D48" s="29">
        <v>0.06</v>
      </c>
      <c r="E48" s="11" t="s">
        <v>243</v>
      </c>
      <c r="F48" s="11" t="s">
        <v>244</v>
      </c>
      <c r="G48" s="59"/>
      <c r="H48" s="71"/>
      <c r="J48" s="65" t="str">
        <f t="shared" si="0"/>
        <v>MM|NC</v>
      </c>
      <c r="K48" s="72">
        <f t="shared" si="1"/>
        <v>0.06</v>
      </c>
      <c r="L48" s="73">
        <f t="shared" si="2"/>
        <v>5.8268908123975824E-2</v>
      </c>
      <c r="M48" s="74">
        <f t="shared" si="3"/>
        <v>46327</v>
      </c>
      <c r="N48" s="75">
        <f t="shared" si="4"/>
        <v>30</v>
      </c>
      <c r="O48" s="75">
        <f t="shared" si="5"/>
        <v>0</v>
      </c>
      <c r="P48" s="75">
        <f>IF($C48="",0,COUNTIFS($J$7:$J48,$J48,$M$7:$M48,$M48,$C$7:$C48,$C48))</f>
        <v>1</v>
      </c>
      <c r="Q48" s="75">
        <f t="shared" si="6"/>
        <v>1</v>
      </c>
      <c r="R48" s="75">
        <f t="shared" si="7"/>
        <v>0</v>
      </c>
      <c r="S48" s="75">
        <f>IF($C48="",0,COUNTIFS(rl_key,$J48,rl_eff,"&lt;"&amp;$C48)+COUNTIFS($J$7:$J48,$J48,$C$7:$C48,$C48))</f>
        <v>1</v>
      </c>
      <c r="T48" s="75">
        <f>IF(OR($C48="",$E48&lt;&gt;"planned",$C48&lt;DATE(nr_PlanYear,1,1),$C48&gt;DATE(nr_PlanYear,12,31)),0,IF(AND(COUNTIFS(rl_key,$J48,rl_status,"planned",rl_eff,"&gt;="&amp;DATE(nr_PlanYear,1,1),rl_eff,"&lt;"&amp;$C48)=0,COUNTIFS($J$7:$J48,$J48,$E$7:$E48,"planned",$C$7:$C48,$C48)=1),1,0))</f>
        <v>0</v>
      </c>
      <c r="U48" s="75">
        <f>IF(OR($C48="",$E48&lt;&gt;"taken"),0,IF(AND(COUNTIFS(rl_key,$J48,rl_effmonth,$M48,rl_eff,"&lt;"&amp;$C48,rl_status,"taken")=0,COUNTIFS($J$7:$J48,$J48,$M$7:$M48,$M48,$C$7:$C48,$C48,$E$7:$E48,"taken")=1),1,0))</f>
        <v>1</v>
      </c>
      <c r="V48" s="66">
        <f t="shared" si="8"/>
        <v>0.59561077727575185</v>
      </c>
      <c r="W48" s="76">
        <f t="shared" si="9"/>
        <v>0.76107772757518788</v>
      </c>
      <c r="X48" s="77" t="str">
        <f>IF(OR($C48="",$J48&lt;&gt;nr_SelKey),"",(SUMPRODUCT(('Rate Engine'!$G$17:$G$64&gt;YEAR($C48)*12+MONTH($C48)-1)*'Rate Engine'!$H$17:$H$64,'Rate Engine'!$Q$17:$Q$64)+(EOMONTH($C48,0)-$C48+1)/DAY(EOMONTH($C48,0))*SUMPRODUCT(('Rate Engine'!$G$17:$G$64=YEAR($C48)*12+MONTH($C48)-1)*'Rate Engine'!$H$17:$H$64,'Rate Engine'!$Q$17:$Q$64))/SUMPRODUCT('Rate Engine'!$H$17:$H$64,'Rate Engine'!$Q$17:$Q$64))</f>
        <v/>
      </c>
      <c r="Y48" s="78" t="str">
        <f t="shared" si="10"/>
        <v/>
      </c>
    </row>
    <row r="49" spans="1:25" x14ac:dyDescent="0.3">
      <c r="A49" s="11" t="s">
        <v>203</v>
      </c>
      <c r="B49" s="11" t="s">
        <v>197</v>
      </c>
      <c r="C49" s="61">
        <v>46023</v>
      </c>
      <c r="D49" s="29">
        <v>0.03</v>
      </c>
      <c r="E49" s="11" t="s">
        <v>243</v>
      </c>
      <c r="F49" s="11" t="s">
        <v>244</v>
      </c>
      <c r="G49" s="59"/>
      <c r="H49" s="71"/>
      <c r="J49" s="65" t="str">
        <f t="shared" si="0"/>
        <v>MM|PA</v>
      </c>
      <c r="K49" s="72">
        <f t="shared" si="1"/>
        <v>0.03</v>
      </c>
      <c r="L49" s="73">
        <f t="shared" si="2"/>
        <v>2.9558802241544429E-2</v>
      </c>
      <c r="M49" s="74">
        <f t="shared" si="3"/>
        <v>46023</v>
      </c>
      <c r="N49" s="75">
        <f t="shared" si="4"/>
        <v>31</v>
      </c>
      <c r="O49" s="75">
        <f t="shared" si="5"/>
        <v>0</v>
      </c>
      <c r="P49" s="75">
        <f>IF($C49="",0,COUNTIFS($J$7:$J49,$J49,$M$7:$M49,$M49,$C$7:$C49,$C49))</f>
        <v>1</v>
      </c>
      <c r="Q49" s="75">
        <f t="shared" si="6"/>
        <v>1</v>
      </c>
      <c r="R49" s="75">
        <f t="shared" si="7"/>
        <v>0</v>
      </c>
      <c r="S49" s="75">
        <f>IF($C49="",0,COUNTIFS(rl_key,$J49,rl_eff,"&lt;"&amp;$C49)+COUNTIFS($J$7:$J49,$J49,$C$7:$C49,$C49))</f>
        <v>1</v>
      </c>
      <c r="T49" s="75">
        <f>IF(OR($C49="",$E49&lt;&gt;"planned",$C49&lt;DATE(nr_PlanYear,1,1),$C49&gt;DATE(nr_PlanYear,12,31)),0,IF(AND(COUNTIFS(rl_key,$J49,rl_status,"planned",rl_eff,"&gt;="&amp;DATE(nr_PlanYear,1,1),rl_eff,"&lt;"&amp;$C49)=0,COUNTIFS($J$7:$J49,$J49,$E$7:$E49,"planned",$C$7:$C49,$C49)=1),1,0))</f>
        <v>0</v>
      </c>
      <c r="U49" s="75">
        <f>IF(OR($C49="",$E49&lt;&gt;"taken"),0,IF(AND(COUNTIFS(rl_key,$J49,rl_effmonth,$M49,rl_eff,"&lt;"&amp;$C49,rl_status,"taken")=0,COUNTIFS($J$7:$J49,$J49,$M$7:$M49,$M49,$C$7:$C49,$C49,$E$7:$E49,"taken")=1),1,0))</f>
        <v>1</v>
      </c>
      <c r="V49" s="66">
        <f t="shared" si="8"/>
        <v>0.60526563878523698</v>
      </c>
      <c r="W49" s="76">
        <f t="shared" si="9"/>
        <v>0.52656387852370035</v>
      </c>
      <c r="X49" s="77" t="str">
        <f>IF(OR($C49="",$J49&lt;&gt;nr_SelKey),"",(SUMPRODUCT(('Rate Engine'!$G$17:$G$64&gt;YEAR($C49)*12+MONTH($C49)-1)*'Rate Engine'!$H$17:$H$64,'Rate Engine'!$Q$17:$Q$64)+(EOMONTH($C49,0)-$C49+1)/DAY(EOMONTH($C49,0))*SUMPRODUCT(('Rate Engine'!$G$17:$G$64=YEAR($C49)*12+MONTH($C49)-1)*'Rate Engine'!$H$17:$H$64,'Rate Engine'!$Q$17:$Q$64))/SUMPRODUCT('Rate Engine'!$H$17:$H$64,'Rate Engine'!$Q$17:$Q$64))</f>
        <v/>
      </c>
      <c r="Y49" s="78" t="str">
        <f t="shared" si="10"/>
        <v/>
      </c>
    </row>
    <row r="50" spans="1:25" x14ac:dyDescent="0.3">
      <c r="A50" s="11" t="s">
        <v>203</v>
      </c>
      <c r="B50" s="11" t="s">
        <v>198</v>
      </c>
      <c r="C50" s="61">
        <v>46054</v>
      </c>
      <c r="D50" s="29">
        <v>0.04</v>
      </c>
      <c r="E50" s="11" t="s">
        <v>243</v>
      </c>
      <c r="F50" s="11" t="s">
        <v>244</v>
      </c>
      <c r="G50" s="59"/>
      <c r="H50" s="71"/>
      <c r="J50" s="65" t="str">
        <f t="shared" si="0"/>
        <v>MM|SC</v>
      </c>
      <c r="K50" s="72">
        <f t="shared" si="1"/>
        <v>0.04</v>
      </c>
      <c r="L50" s="73">
        <f t="shared" si="2"/>
        <v>3.9220713153281329E-2</v>
      </c>
      <c r="M50" s="74">
        <f t="shared" si="3"/>
        <v>46054</v>
      </c>
      <c r="N50" s="75">
        <f t="shared" si="4"/>
        <v>28</v>
      </c>
      <c r="O50" s="75">
        <f t="shared" si="5"/>
        <v>0</v>
      </c>
      <c r="P50" s="75">
        <f>IF($C50="",0,COUNTIFS($J$7:$J50,$J50,$M$7:$M50,$M50,$C$7:$C50,$C50))</f>
        <v>1</v>
      </c>
      <c r="Q50" s="75">
        <f t="shared" si="6"/>
        <v>1</v>
      </c>
      <c r="R50" s="75">
        <f t="shared" si="7"/>
        <v>0</v>
      </c>
      <c r="S50" s="75">
        <f>IF($C50="",0,COUNTIFS(rl_key,$J50,rl_eff,"&lt;"&amp;$C50)+COUNTIFS($J$7:$J50,$J50,$C$7:$C50,$C50))</f>
        <v>1</v>
      </c>
      <c r="T50" s="75">
        <f>IF(OR($C50="",$E50&lt;&gt;"planned",$C50&lt;DATE(nr_PlanYear,1,1),$C50&gt;DATE(nr_PlanYear,12,31)),0,IF(AND(COUNTIFS(rl_key,$J50,rl_status,"planned",rl_eff,"&gt;="&amp;DATE(nr_PlanYear,1,1),rl_eff,"&lt;"&amp;$C50)=0,COUNTIFS($J$7:$J50,$J50,$E$7:$E50,"planned",$C$7:$C50,$C50)=1),1,0))</f>
        <v>0</v>
      </c>
      <c r="U50" s="75">
        <f>IF(OR($C50="",$E50&lt;&gt;"taken"),0,IF(AND(COUNTIFS(rl_key,$J50,rl_effmonth,$M50,rl_eff,"&lt;"&amp;$C50,rl_status,"taken")=0,COUNTIFS($J$7:$J50,$J50,$M$7:$M50,$M50,$C$7:$C50,$C50,$E$7:$E50,"taken")=1),1,0))</f>
        <v>1</v>
      </c>
      <c r="V50" s="66">
        <f t="shared" si="8"/>
        <v>0.58124543770587933</v>
      </c>
      <c r="W50" s="76">
        <f t="shared" si="9"/>
        <v>-0.27545622941206327</v>
      </c>
      <c r="X50" s="77" t="str">
        <f>IF(OR($C50="",$J50&lt;&gt;nr_SelKey),"",(SUMPRODUCT(('Rate Engine'!$G$17:$G$64&gt;YEAR($C50)*12+MONTH($C50)-1)*'Rate Engine'!$H$17:$H$64,'Rate Engine'!$Q$17:$Q$64)+(EOMONTH($C50,0)-$C50+1)/DAY(EOMONTH($C50,0))*SUMPRODUCT(('Rate Engine'!$G$17:$G$64=YEAR($C50)*12+MONTH($C50)-1)*'Rate Engine'!$H$17:$H$64,'Rate Engine'!$Q$17:$Q$64))/SUMPRODUCT('Rate Engine'!$H$17:$H$64,'Rate Engine'!$Q$17:$Q$64))</f>
        <v/>
      </c>
      <c r="Y50" s="78" t="str">
        <f t="shared" si="10"/>
        <v/>
      </c>
    </row>
    <row r="51" spans="1:25" x14ac:dyDescent="0.3">
      <c r="A51" s="11" t="s">
        <v>203</v>
      </c>
      <c r="B51" s="11" t="s">
        <v>198</v>
      </c>
      <c r="C51" s="61">
        <v>46600</v>
      </c>
      <c r="D51" s="29">
        <v>0.04</v>
      </c>
      <c r="E51" s="11" t="s">
        <v>246</v>
      </c>
      <c r="F51" s="11" t="s">
        <v>247</v>
      </c>
      <c r="G51" s="59">
        <v>1</v>
      </c>
      <c r="H51" s="71"/>
      <c r="J51" s="65" t="str">
        <f t="shared" si="0"/>
        <v>MM|SC</v>
      </c>
      <c r="K51" s="72">
        <f t="shared" si="1"/>
        <v>0.04</v>
      </c>
      <c r="L51" s="73">
        <f t="shared" si="2"/>
        <v>3.9220713153281329E-2</v>
      </c>
      <c r="M51" s="74">
        <f t="shared" si="3"/>
        <v>46600</v>
      </c>
      <c r="N51" s="75">
        <f t="shared" si="4"/>
        <v>31</v>
      </c>
      <c r="O51" s="75">
        <f t="shared" si="5"/>
        <v>0</v>
      </c>
      <c r="P51" s="75">
        <f>IF($C51="",0,COUNTIFS($J$7:$J51,$J51,$M$7:$M51,$M51,$C$7:$C51,$C51))</f>
        <v>1</v>
      </c>
      <c r="Q51" s="75">
        <f t="shared" si="6"/>
        <v>1</v>
      </c>
      <c r="R51" s="75">
        <f t="shared" si="7"/>
        <v>0</v>
      </c>
      <c r="S51" s="75">
        <f>IF($C51="",0,COUNTIFS(rl_key,$J51,rl_eff,"&lt;"&amp;$C51)+COUNTIFS($J$7:$J51,$J51,$C$7:$C51,$C51))</f>
        <v>2</v>
      </c>
      <c r="T51" s="75">
        <f>IF(OR($C51="",$E51&lt;&gt;"planned",$C51&lt;DATE(nr_PlanYear,1,1),$C51&gt;DATE(nr_PlanYear,12,31)),0,IF(AND(COUNTIFS(rl_key,$J51,rl_status,"planned",rl_eff,"&gt;="&amp;DATE(nr_PlanYear,1,1),rl_eff,"&lt;"&amp;$C51)=0,COUNTIFS($J$7:$J51,$J51,$E$7:$E51,"planned",$C$7:$C51,$C51)=1),1,0))</f>
        <v>1</v>
      </c>
      <c r="U51" s="75">
        <f>IF(OR($C51="",$E51&lt;&gt;"taken"),0,IF(AND(COUNTIFS(rl_key,$J51,rl_effmonth,$M51,rl_eff,"&lt;"&amp;$C51,rl_status,"taken")=0,COUNTIFS($J$7:$J51,$J51,$M$7:$M51,$M51,$C$7:$C51,$C51,$E$7:$E51,"taken")=1),1,0))</f>
        <v>0</v>
      </c>
      <c r="V51" s="66">
        <f t="shared" si="8"/>
        <v>0.58124543770587933</v>
      </c>
      <c r="W51" s="76">
        <f t="shared" si="9"/>
        <v>-0.27545622941206327</v>
      </c>
      <c r="X51" s="77" t="str">
        <f>IF(OR($C51="",$J51&lt;&gt;nr_SelKey),"",(SUMPRODUCT(('Rate Engine'!$G$17:$G$64&gt;YEAR($C51)*12+MONTH($C51)-1)*'Rate Engine'!$H$17:$H$64,'Rate Engine'!$Q$17:$Q$64)+(EOMONTH($C51,0)-$C51+1)/DAY(EOMONTH($C51,0))*SUMPRODUCT(('Rate Engine'!$G$17:$G$64=YEAR($C51)*12+MONTH($C51)-1)*'Rate Engine'!$H$17:$H$64,'Rate Engine'!$Q$17:$Q$64))/SUMPRODUCT('Rate Engine'!$H$17:$H$64,'Rate Engine'!$Q$17:$Q$64))</f>
        <v/>
      </c>
      <c r="Y51" s="78" t="str">
        <f t="shared" si="10"/>
        <v/>
      </c>
    </row>
    <row r="52" spans="1:25" x14ac:dyDescent="0.3">
      <c r="A52" s="11" t="s">
        <v>203</v>
      </c>
      <c r="B52" s="11" t="s">
        <v>200</v>
      </c>
      <c r="C52" s="61">
        <v>46113</v>
      </c>
      <c r="D52" s="29">
        <v>0.06</v>
      </c>
      <c r="E52" s="11" t="s">
        <v>243</v>
      </c>
      <c r="F52" s="11" t="s">
        <v>244</v>
      </c>
      <c r="G52" s="59"/>
      <c r="H52" s="71"/>
      <c r="J52" s="65" t="str">
        <f t="shared" si="0"/>
        <v>MM|VA</v>
      </c>
      <c r="K52" s="72">
        <f t="shared" si="1"/>
        <v>0.06</v>
      </c>
      <c r="L52" s="73">
        <f t="shared" si="2"/>
        <v>5.8268908123975824E-2</v>
      </c>
      <c r="M52" s="74">
        <f t="shared" si="3"/>
        <v>46113</v>
      </c>
      <c r="N52" s="75">
        <f t="shared" si="4"/>
        <v>30</v>
      </c>
      <c r="O52" s="75">
        <f t="shared" si="5"/>
        <v>0</v>
      </c>
      <c r="P52" s="75">
        <f>IF($C52="",0,COUNTIFS($J$7:$J52,$J52,$M$7:$M52,$M52,$C$7:$C52,$C52))</f>
        <v>1</v>
      </c>
      <c r="Q52" s="75">
        <f t="shared" si="6"/>
        <v>1</v>
      </c>
      <c r="R52" s="75">
        <f t="shared" si="7"/>
        <v>0</v>
      </c>
      <c r="S52" s="75">
        <f>IF($C52="",0,COUNTIFS(rl_key,$J52,rl_eff,"&lt;"&amp;$C52)+COUNTIFS($J$7:$J52,$J52,$C$7:$C52,$C52))</f>
        <v>1</v>
      </c>
      <c r="T52" s="75">
        <f>IF(OR($C52="",$E52&lt;&gt;"planned",$C52&lt;DATE(nr_PlanYear,1,1),$C52&gt;DATE(nr_PlanYear,12,31)),0,IF(AND(COUNTIFS(rl_key,$J52,rl_status,"planned",rl_eff,"&gt;="&amp;DATE(nr_PlanYear,1,1),rl_eff,"&lt;"&amp;$C52)=0,COUNTIFS($J$7:$J52,$J52,$E$7:$E52,"planned",$C$7:$C52,$C52)=1),1,0))</f>
        <v>0</v>
      </c>
      <c r="U52" s="75">
        <f>IF(OR($C52="",$E52&lt;&gt;"taken"),0,IF(AND(COUNTIFS(rl_key,$J52,rl_effmonth,$M52,rl_eff,"&lt;"&amp;$C52,rl_status,"taken")=0,COUNTIFS($J$7:$J52,$J52,$M$7:$M52,$M52,$C$7:$C52,$C52,$E$7:$E52,"taken")=1),1,0))</f>
        <v>1</v>
      </c>
      <c r="V52" s="66">
        <f t="shared" si="8"/>
        <v>0.59860994877353613</v>
      </c>
      <c r="W52" s="76">
        <f t="shared" si="9"/>
        <v>0.26099487735361526</v>
      </c>
      <c r="X52" s="77" t="str">
        <f>IF(OR($C52="",$J52&lt;&gt;nr_SelKey),"",(SUMPRODUCT(('Rate Engine'!$G$17:$G$64&gt;YEAR($C52)*12+MONTH($C52)-1)*'Rate Engine'!$H$17:$H$64,'Rate Engine'!$Q$17:$Q$64)+(EOMONTH($C52,0)-$C52+1)/DAY(EOMONTH($C52,0))*SUMPRODUCT(('Rate Engine'!$G$17:$G$64=YEAR($C52)*12+MONTH($C52)-1)*'Rate Engine'!$H$17:$H$64,'Rate Engine'!$Q$17:$Q$64))/SUMPRODUCT('Rate Engine'!$H$17:$H$64,'Rate Engine'!$Q$17:$Q$64))</f>
        <v/>
      </c>
      <c r="Y52" s="78" t="str">
        <f t="shared" si="10"/>
        <v/>
      </c>
    </row>
    <row r="53" spans="1:25" x14ac:dyDescent="0.3">
      <c r="A53" s="11" t="s">
        <v>203</v>
      </c>
      <c r="B53" s="11" t="s">
        <v>201</v>
      </c>
      <c r="C53" s="61">
        <v>46143</v>
      </c>
      <c r="D53" s="29">
        <v>0.02</v>
      </c>
      <c r="E53" s="11" t="s">
        <v>243</v>
      </c>
      <c r="F53" s="11" t="s">
        <v>244</v>
      </c>
      <c r="G53" s="59"/>
      <c r="H53" s="71"/>
      <c r="J53" s="65" t="str">
        <f t="shared" si="0"/>
        <v>MM|WV</v>
      </c>
      <c r="K53" s="72">
        <f t="shared" si="1"/>
        <v>0.02</v>
      </c>
      <c r="L53" s="73">
        <f t="shared" si="2"/>
        <v>1.980262729617973E-2</v>
      </c>
      <c r="M53" s="74">
        <f t="shared" si="3"/>
        <v>46143</v>
      </c>
      <c r="N53" s="75">
        <f t="shared" si="4"/>
        <v>31</v>
      </c>
      <c r="O53" s="75">
        <f t="shared" si="5"/>
        <v>0</v>
      </c>
      <c r="P53" s="75">
        <f>IF($C53="",0,COUNTIFS($J$7:$J53,$J53,$M$7:$M53,$M53,$C$7:$C53,$C53))</f>
        <v>1</v>
      </c>
      <c r="Q53" s="75">
        <f t="shared" si="6"/>
        <v>1</v>
      </c>
      <c r="R53" s="75">
        <f t="shared" si="7"/>
        <v>0</v>
      </c>
      <c r="S53" s="75">
        <f>IF($C53="",0,COUNTIFS(rl_key,$J53,rl_eff,"&lt;"&amp;$C53)+COUNTIFS($J$7:$J53,$J53,$C$7:$C53,$C53))</f>
        <v>1</v>
      </c>
      <c r="T53" s="75">
        <f>IF(OR($C53="",$E53&lt;&gt;"planned",$C53&lt;DATE(nr_PlanYear,1,1),$C53&gt;DATE(nr_PlanYear,12,31)),0,IF(AND(COUNTIFS(rl_key,$J53,rl_status,"planned",rl_eff,"&gt;="&amp;DATE(nr_PlanYear,1,1),rl_eff,"&lt;"&amp;$C53)=0,COUNTIFS($J$7:$J53,$J53,$E$7:$E53,"planned",$C$7:$C53,$C53)=1),1,0))</f>
        <v>0</v>
      </c>
      <c r="U53" s="75">
        <f>IF(OR($C53="",$E53&lt;&gt;"taken"),0,IF(AND(COUNTIFS(rl_key,$J53,rl_effmonth,$M53,rl_eff,"&lt;"&amp;$C53,rl_status,"taken")=0,COUNTIFS($J$7:$J53,$J53,$M$7:$M53,$M53,$C$7:$C53,$C53,$E$7:$E53,"taken")=1),1,0))</f>
        <v>1</v>
      </c>
      <c r="V53" s="66">
        <f t="shared" si="8"/>
        <v>0.58766277888760732</v>
      </c>
      <c r="W53" s="76">
        <f t="shared" si="9"/>
        <v>0.76627788876073577</v>
      </c>
      <c r="X53" s="77" t="str">
        <f>IF(OR($C53="",$J53&lt;&gt;nr_SelKey),"",(SUMPRODUCT(('Rate Engine'!$G$17:$G$64&gt;YEAR($C53)*12+MONTH($C53)-1)*'Rate Engine'!$H$17:$H$64,'Rate Engine'!$Q$17:$Q$64)+(EOMONTH($C53,0)-$C53+1)/DAY(EOMONTH($C53,0))*SUMPRODUCT(('Rate Engine'!$G$17:$G$64=YEAR($C53)*12+MONTH($C53)-1)*'Rate Engine'!$H$17:$H$64,'Rate Engine'!$Q$17:$Q$64))/SUMPRODUCT('Rate Engine'!$H$17:$H$64,'Rate Engine'!$Q$17:$Q$64))</f>
        <v/>
      </c>
      <c r="Y53" s="78" t="str">
        <f t="shared" si="10"/>
        <v/>
      </c>
    </row>
    <row r="54" spans="1:25" x14ac:dyDescent="0.3">
      <c r="A54" s="11" t="s">
        <v>203</v>
      </c>
      <c r="B54" s="11" t="s">
        <v>202</v>
      </c>
      <c r="C54" s="61">
        <v>46419</v>
      </c>
      <c r="D54" s="29">
        <v>0.04</v>
      </c>
      <c r="E54" s="11" t="s">
        <v>246</v>
      </c>
      <c r="F54" s="11" t="s">
        <v>247</v>
      </c>
      <c r="G54" s="59">
        <v>1</v>
      </c>
      <c r="H54" s="71"/>
      <c r="J54" s="65" t="str">
        <f t="shared" si="0"/>
        <v>MM|WI</v>
      </c>
      <c r="K54" s="72">
        <f t="shared" si="1"/>
        <v>0.04</v>
      </c>
      <c r="L54" s="73">
        <f t="shared" si="2"/>
        <v>3.9220713153281329E-2</v>
      </c>
      <c r="M54" s="74">
        <f t="shared" si="3"/>
        <v>46419</v>
      </c>
      <c r="N54" s="75">
        <f t="shared" si="4"/>
        <v>28</v>
      </c>
      <c r="O54" s="75">
        <f t="shared" si="5"/>
        <v>0</v>
      </c>
      <c r="P54" s="75">
        <f>IF($C54="",0,COUNTIFS($J$7:$J54,$J54,$M$7:$M54,$M54,$C$7:$C54,$C54))</f>
        <v>1</v>
      </c>
      <c r="Q54" s="75">
        <f t="shared" si="6"/>
        <v>1</v>
      </c>
      <c r="R54" s="75">
        <f t="shared" si="7"/>
        <v>0</v>
      </c>
      <c r="S54" s="75">
        <f>IF($C54="",0,COUNTIFS(rl_key,$J54,rl_eff,"&lt;"&amp;$C54)+COUNTIFS($J$7:$J54,$J54,$C$7:$C54,$C54))</f>
        <v>1</v>
      </c>
      <c r="T54" s="75">
        <f>IF(OR($C54="",$E54&lt;&gt;"planned",$C54&lt;DATE(nr_PlanYear,1,1),$C54&gt;DATE(nr_PlanYear,12,31)),0,IF(AND(COUNTIFS(rl_key,$J54,rl_status,"planned",rl_eff,"&gt;="&amp;DATE(nr_PlanYear,1,1),rl_eff,"&lt;"&amp;$C54)=0,COUNTIFS($J$7:$J54,$J54,$E$7:$E54,"planned",$C$7:$C54,$C54)=1),1,0))</f>
        <v>1</v>
      </c>
      <c r="U54" s="75">
        <f>IF(OR($C54="",$E54&lt;&gt;"taken"),0,IF(AND(COUNTIFS(rl_key,$J54,rl_effmonth,$M54,rl_eff,"&lt;"&amp;$C54,rl_status,"taken")=0,COUNTIFS($J$7:$J54,$J54,$M$7:$M54,$M54,$C$7:$C54,$C54,$E$7:$E54,"taken")=1),1,0))</f>
        <v>0</v>
      </c>
      <c r="V54" s="66">
        <f t="shared" si="8"/>
        <v>0.55296141302523572</v>
      </c>
      <c r="W54" s="76">
        <f t="shared" si="9"/>
        <v>-1.1038586974764231</v>
      </c>
      <c r="X54" s="77" t="str">
        <f>IF(OR($C54="",$J54&lt;&gt;nr_SelKey),"",(SUMPRODUCT(('Rate Engine'!$G$17:$G$64&gt;YEAR($C54)*12+MONTH($C54)-1)*'Rate Engine'!$H$17:$H$64,'Rate Engine'!$Q$17:$Q$64)+(EOMONTH($C54,0)-$C54+1)/DAY(EOMONTH($C54,0))*SUMPRODUCT(('Rate Engine'!$G$17:$G$64=YEAR($C54)*12+MONTH($C54)-1)*'Rate Engine'!$H$17:$H$64,'Rate Engine'!$Q$17:$Q$64))/SUMPRODUCT('Rate Engine'!$H$17:$H$64,'Rate Engine'!$Q$17:$Q$64))</f>
        <v/>
      </c>
      <c r="Y54" s="78" t="str">
        <f t="shared" si="10"/>
        <v/>
      </c>
    </row>
    <row r="55" spans="1:25" x14ac:dyDescent="0.3">
      <c r="A55" s="11" t="s">
        <v>206</v>
      </c>
      <c r="B55" s="11" t="s">
        <v>105</v>
      </c>
      <c r="C55" s="61">
        <v>46204</v>
      </c>
      <c r="D55" s="29">
        <v>0.04</v>
      </c>
      <c r="E55" s="11" t="s">
        <v>243</v>
      </c>
      <c r="F55" s="11" t="s">
        <v>244</v>
      </c>
      <c r="G55" s="59"/>
      <c r="H55" s="71"/>
      <c r="J55" s="65" t="str">
        <f t="shared" si="0"/>
        <v>SBA|AZ</v>
      </c>
      <c r="K55" s="72">
        <f t="shared" si="1"/>
        <v>0.04</v>
      </c>
      <c r="L55" s="73">
        <f t="shared" si="2"/>
        <v>3.9220713153281329E-2</v>
      </c>
      <c r="M55" s="74">
        <f t="shared" si="3"/>
        <v>46204</v>
      </c>
      <c r="N55" s="75">
        <f t="shared" si="4"/>
        <v>31</v>
      </c>
      <c r="O55" s="75">
        <f t="shared" si="5"/>
        <v>0</v>
      </c>
      <c r="P55" s="75">
        <f>IF($C55="",0,COUNTIFS($J$7:$J55,$J55,$M$7:$M55,$M55,$C$7:$C55,$C55))</f>
        <v>1</v>
      </c>
      <c r="Q55" s="75">
        <f t="shared" si="6"/>
        <v>1</v>
      </c>
      <c r="R55" s="75">
        <f t="shared" si="7"/>
        <v>0</v>
      </c>
      <c r="S55" s="75">
        <f>IF($C55="",0,COUNTIFS(rl_key,$J55,rl_eff,"&lt;"&amp;$C55)+COUNTIFS($J$7:$J55,$J55,$C$7:$C55,$C55))</f>
        <v>1</v>
      </c>
      <c r="T55" s="75">
        <f>IF(OR($C55="",$E55&lt;&gt;"planned",$C55&lt;DATE(nr_PlanYear,1,1),$C55&gt;DATE(nr_PlanYear,12,31)),0,IF(AND(COUNTIFS(rl_key,$J55,rl_status,"planned",rl_eff,"&gt;="&amp;DATE(nr_PlanYear,1,1),rl_eff,"&lt;"&amp;$C55)=0,COUNTIFS($J$7:$J55,$J55,$E$7:$E55,"planned",$C$7:$C55,$C55)=1),1,0))</f>
        <v>0</v>
      </c>
      <c r="U55" s="75">
        <f>IF(OR($C55="",$E55&lt;&gt;"taken"),0,IF(AND(COUNTIFS(rl_key,$J55,rl_effmonth,$M55,rl_eff,"&lt;"&amp;$C55,rl_status,"taken")=0,COUNTIFS($J$7:$J55,$J55,$M$7:$M55,$M55,$C$7:$C55,$C55,$E$7:$E55,"taken")=1),1,0))</f>
        <v>1</v>
      </c>
      <c r="V55" s="66">
        <f t="shared" si="8"/>
        <v>0.601142942249693</v>
      </c>
      <c r="W55" s="76">
        <f t="shared" si="9"/>
        <v>0.91429422496930313</v>
      </c>
      <c r="X55" s="77" t="str">
        <f>IF(OR($C55="",$J55&lt;&gt;nr_SelKey),"",(SUMPRODUCT(('Rate Engine'!$G$17:$G$64&gt;YEAR($C55)*12+MONTH($C55)-1)*'Rate Engine'!$H$17:$H$64,'Rate Engine'!$Q$17:$Q$64)+(EOMONTH($C55,0)-$C55+1)/DAY(EOMONTH($C55,0))*SUMPRODUCT(('Rate Engine'!$G$17:$G$64=YEAR($C55)*12+MONTH($C55)-1)*'Rate Engine'!$H$17:$H$64,'Rate Engine'!$Q$17:$Q$64))/SUMPRODUCT('Rate Engine'!$H$17:$H$64,'Rate Engine'!$Q$17:$Q$64))</f>
        <v/>
      </c>
      <c r="Y55" s="78" t="str">
        <f t="shared" si="10"/>
        <v/>
      </c>
    </row>
    <row r="56" spans="1:25" x14ac:dyDescent="0.3">
      <c r="A56" s="11" t="s">
        <v>206</v>
      </c>
      <c r="B56" s="11" t="s">
        <v>183</v>
      </c>
      <c r="C56" s="61">
        <v>46235</v>
      </c>
      <c r="D56" s="29">
        <v>0.05</v>
      </c>
      <c r="E56" s="11" t="s">
        <v>243</v>
      </c>
      <c r="F56" s="11" t="s">
        <v>244</v>
      </c>
      <c r="G56" s="59"/>
      <c r="H56" s="71"/>
      <c r="J56" s="65" t="str">
        <f t="shared" si="0"/>
        <v>SBA|CO</v>
      </c>
      <c r="K56" s="72">
        <f t="shared" si="1"/>
        <v>0.05</v>
      </c>
      <c r="L56" s="73">
        <f t="shared" si="2"/>
        <v>4.8790164169432049E-2</v>
      </c>
      <c r="M56" s="74">
        <f t="shared" si="3"/>
        <v>46235</v>
      </c>
      <c r="N56" s="75">
        <f t="shared" si="4"/>
        <v>31</v>
      </c>
      <c r="O56" s="75">
        <f t="shared" si="5"/>
        <v>0</v>
      </c>
      <c r="P56" s="75">
        <f>IF($C56="",0,COUNTIFS($J$7:$J56,$J56,$M$7:$M56,$M56,$C$7:$C56,$C56))</f>
        <v>1</v>
      </c>
      <c r="Q56" s="75">
        <f t="shared" si="6"/>
        <v>1</v>
      </c>
      <c r="R56" s="75">
        <f t="shared" si="7"/>
        <v>0</v>
      </c>
      <c r="S56" s="75">
        <f>IF($C56="",0,COUNTIFS(rl_key,$J56,rl_eff,"&lt;"&amp;$C56)+COUNTIFS($J$7:$J56,$J56,$C$7:$C56,$C56))</f>
        <v>1</v>
      </c>
      <c r="T56" s="75">
        <f>IF(OR($C56="",$E56&lt;&gt;"planned",$C56&lt;DATE(nr_PlanYear,1,1),$C56&gt;DATE(nr_PlanYear,12,31)),0,IF(AND(COUNTIFS(rl_key,$J56,rl_status,"planned",rl_eff,"&gt;="&amp;DATE(nr_PlanYear,1,1),rl_eff,"&lt;"&amp;$C56)=0,COUNTIFS($J$7:$J56,$J56,$E$7:$E56,"planned",$C$7:$C56,$C56)=1),1,0))</f>
        <v>0</v>
      </c>
      <c r="U56" s="75">
        <f>IF(OR($C56="",$E56&lt;&gt;"taken"),0,IF(AND(COUNTIFS(rl_key,$J56,rl_effmonth,$M56,rl_eff,"&lt;"&amp;$C56,rl_status,"taken")=0,COUNTIFS($J$7:$J56,$J56,$M$7:$M56,$M56,$C$7:$C56,$C56,$E$7:$E56,"taken")=1),1,0))</f>
        <v>1</v>
      </c>
      <c r="V56" s="66">
        <f t="shared" si="8"/>
        <v>0.58124722461762945</v>
      </c>
      <c r="W56" s="76">
        <f t="shared" si="9"/>
        <v>0.52472246176294979</v>
      </c>
      <c r="X56" s="77" t="str">
        <f>IF(OR($C56="",$J56&lt;&gt;nr_SelKey),"",(SUMPRODUCT(('Rate Engine'!$G$17:$G$64&gt;YEAR($C56)*12+MONTH($C56)-1)*'Rate Engine'!$H$17:$H$64,'Rate Engine'!$Q$17:$Q$64)+(EOMONTH($C56,0)-$C56+1)/DAY(EOMONTH($C56,0))*SUMPRODUCT(('Rate Engine'!$G$17:$G$64=YEAR($C56)*12+MONTH($C56)-1)*'Rate Engine'!$H$17:$H$64,'Rate Engine'!$Q$17:$Q$64))/SUMPRODUCT('Rate Engine'!$H$17:$H$64,'Rate Engine'!$Q$17:$Q$64))</f>
        <v/>
      </c>
      <c r="Y56" s="78" t="str">
        <f t="shared" si="10"/>
        <v/>
      </c>
    </row>
    <row r="57" spans="1:25" x14ac:dyDescent="0.3">
      <c r="A57" s="11" t="s">
        <v>206</v>
      </c>
      <c r="B57" s="11" t="s">
        <v>185</v>
      </c>
      <c r="C57" s="61">
        <v>46296</v>
      </c>
      <c r="D57" s="29">
        <v>0.02</v>
      </c>
      <c r="E57" s="11" t="s">
        <v>243</v>
      </c>
      <c r="F57" s="11" t="s">
        <v>244</v>
      </c>
      <c r="G57" s="59"/>
      <c r="H57" s="71"/>
      <c r="J57" s="65" t="str">
        <f t="shared" si="0"/>
        <v>SBA|FL</v>
      </c>
      <c r="K57" s="72">
        <f t="shared" si="1"/>
        <v>0.02</v>
      </c>
      <c r="L57" s="73">
        <f t="shared" si="2"/>
        <v>1.980262729617973E-2</v>
      </c>
      <c r="M57" s="74">
        <f t="shared" si="3"/>
        <v>46296</v>
      </c>
      <c r="N57" s="75">
        <f t="shared" si="4"/>
        <v>31</v>
      </c>
      <c r="O57" s="75">
        <f t="shared" si="5"/>
        <v>0</v>
      </c>
      <c r="P57" s="75">
        <f>IF($C57="",0,COUNTIFS($J$7:$J57,$J57,$M$7:$M57,$M57,$C$7:$C57,$C57))</f>
        <v>1</v>
      </c>
      <c r="Q57" s="75">
        <f t="shared" si="6"/>
        <v>1</v>
      </c>
      <c r="R57" s="75">
        <f t="shared" si="7"/>
        <v>0</v>
      </c>
      <c r="S57" s="75">
        <f>IF($C57="",0,COUNTIFS(rl_key,$J57,rl_eff,"&lt;"&amp;$C57)+COUNTIFS($J$7:$J57,$J57,$C$7:$C57,$C57))</f>
        <v>1</v>
      </c>
      <c r="T57" s="75">
        <f>IF(OR($C57="",$E57&lt;&gt;"planned",$C57&lt;DATE(nr_PlanYear,1,1),$C57&gt;DATE(nr_PlanYear,12,31)),0,IF(AND(COUNTIFS(rl_key,$J57,rl_status,"planned",rl_eff,"&gt;="&amp;DATE(nr_PlanYear,1,1),rl_eff,"&lt;"&amp;$C57)=0,COUNTIFS($J$7:$J57,$J57,$E$7:$E57,"planned",$C$7:$C57,$C57)=1),1,0))</f>
        <v>0</v>
      </c>
      <c r="U57" s="75">
        <f>IF(OR($C57="",$E57&lt;&gt;"taken"),0,IF(AND(COUNTIFS(rl_key,$J57,rl_effmonth,$M57,rl_eff,"&lt;"&amp;$C57,rl_status,"taken")=0,COUNTIFS($J$7:$J57,$J57,$M$7:$M57,$M57,$C$7:$C57,$C57,$E$7:$E57,"taken")=1),1,0))</f>
        <v>1</v>
      </c>
      <c r="V57" s="66">
        <f t="shared" si="8"/>
        <v>0.58734999683321487</v>
      </c>
      <c r="W57" s="76">
        <f t="shared" si="9"/>
        <v>-6.5000316678509584E-2</v>
      </c>
      <c r="X57" s="77" t="str">
        <f>IF(OR($C57="",$J57&lt;&gt;nr_SelKey),"",(SUMPRODUCT(('Rate Engine'!$G$17:$G$64&gt;YEAR($C57)*12+MONTH($C57)-1)*'Rate Engine'!$H$17:$H$64,'Rate Engine'!$Q$17:$Q$64)+(EOMONTH($C57,0)-$C57+1)/DAY(EOMONTH($C57,0))*SUMPRODUCT(('Rate Engine'!$G$17:$G$64=YEAR($C57)*12+MONTH($C57)-1)*'Rate Engine'!$H$17:$H$64,'Rate Engine'!$Q$17:$Q$64))/SUMPRODUCT('Rate Engine'!$H$17:$H$64,'Rate Engine'!$Q$17:$Q$64))</f>
        <v/>
      </c>
      <c r="Y57" s="78" t="str">
        <f t="shared" si="10"/>
        <v/>
      </c>
    </row>
    <row r="58" spans="1:25" x14ac:dyDescent="0.3">
      <c r="A58" s="11" t="s">
        <v>206</v>
      </c>
      <c r="B58" s="11" t="s">
        <v>185</v>
      </c>
      <c r="C58" s="61">
        <v>46539</v>
      </c>
      <c r="D58" s="29">
        <v>0.04</v>
      </c>
      <c r="E58" s="11" t="s">
        <v>246</v>
      </c>
      <c r="F58" s="11" t="s">
        <v>247</v>
      </c>
      <c r="G58" s="59">
        <v>1</v>
      </c>
      <c r="H58" s="71"/>
      <c r="J58" s="65" t="str">
        <f t="shared" si="0"/>
        <v>SBA|FL</v>
      </c>
      <c r="K58" s="72">
        <f t="shared" si="1"/>
        <v>0.04</v>
      </c>
      <c r="L58" s="73">
        <f t="shared" si="2"/>
        <v>3.9220713153281329E-2</v>
      </c>
      <c r="M58" s="74">
        <f t="shared" si="3"/>
        <v>46539</v>
      </c>
      <c r="N58" s="75">
        <f t="shared" si="4"/>
        <v>30</v>
      </c>
      <c r="O58" s="75">
        <f t="shared" si="5"/>
        <v>0</v>
      </c>
      <c r="P58" s="75">
        <f>IF($C58="",0,COUNTIFS($J$7:$J58,$J58,$M$7:$M58,$M58,$C$7:$C58,$C58))</f>
        <v>1</v>
      </c>
      <c r="Q58" s="75">
        <f t="shared" si="6"/>
        <v>1</v>
      </c>
      <c r="R58" s="75">
        <f t="shared" si="7"/>
        <v>0</v>
      </c>
      <c r="S58" s="75">
        <f>IF($C58="",0,COUNTIFS(rl_key,$J58,rl_eff,"&lt;"&amp;$C58)+COUNTIFS($J$7:$J58,$J58,$C$7:$C58,$C58))</f>
        <v>2</v>
      </c>
      <c r="T58" s="75">
        <f>IF(OR($C58="",$E58&lt;&gt;"planned",$C58&lt;DATE(nr_PlanYear,1,1),$C58&gt;DATE(nr_PlanYear,12,31)),0,IF(AND(COUNTIFS(rl_key,$J58,rl_status,"planned",rl_eff,"&gt;="&amp;DATE(nr_PlanYear,1,1),rl_eff,"&lt;"&amp;$C58)=0,COUNTIFS($J$7:$J58,$J58,$E$7:$E58,"planned",$C$7:$C58,$C58)=1),1,0))</f>
        <v>1</v>
      </c>
      <c r="U58" s="75">
        <f>IF(OR($C58="",$E58&lt;&gt;"taken"),0,IF(AND(COUNTIFS(rl_key,$J58,rl_effmonth,$M58,rl_eff,"&lt;"&amp;$C58,rl_status,"taken")=0,COUNTIFS($J$7:$J58,$J58,$M$7:$M58,$M58,$C$7:$C58,$C58,$E$7:$E58,"taken")=1),1,0))</f>
        <v>0</v>
      </c>
      <c r="V58" s="66">
        <f t="shared" si="8"/>
        <v>0.58734999683321487</v>
      </c>
      <c r="W58" s="76">
        <f t="shared" si="9"/>
        <v>-6.5000316678509584E-2</v>
      </c>
      <c r="X58" s="77" t="str">
        <f>IF(OR($C58="",$J58&lt;&gt;nr_SelKey),"",(SUMPRODUCT(('Rate Engine'!$G$17:$G$64&gt;YEAR($C58)*12+MONTH($C58)-1)*'Rate Engine'!$H$17:$H$64,'Rate Engine'!$Q$17:$Q$64)+(EOMONTH($C58,0)-$C58+1)/DAY(EOMONTH($C58,0))*SUMPRODUCT(('Rate Engine'!$G$17:$G$64=YEAR($C58)*12+MONTH($C58)-1)*'Rate Engine'!$H$17:$H$64,'Rate Engine'!$Q$17:$Q$64))/SUMPRODUCT('Rate Engine'!$H$17:$H$64,'Rate Engine'!$Q$17:$Q$64))</f>
        <v/>
      </c>
      <c r="Y58" s="78" t="str">
        <f t="shared" si="10"/>
        <v/>
      </c>
    </row>
    <row r="59" spans="1:25" x14ac:dyDescent="0.3">
      <c r="A59" s="11" t="s">
        <v>206</v>
      </c>
      <c r="B59" s="11" t="s">
        <v>189</v>
      </c>
      <c r="C59" s="61">
        <v>46054</v>
      </c>
      <c r="D59" s="29">
        <v>0.06</v>
      </c>
      <c r="E59" s="11" t="s">
        <v>243</v>
      </c>
      <c r="F59" s="11" t="s">
        <v>244</v>
      </c>
      <c r="G59" s="59"/>
      <c r="H59" s="71"/>
      <c r="J59" s="65" t="str">
        <f t="shared" si="0"/>
        <v>SBA|IN</v>
      </c>
      <c r="K59" s="72">
        <f t="shared" si="1"/>
        <v>0.06</v>
      </c>
      <c r="L59" s="73">
        <f t="shared" si="2"/>
        <v>5.8268908123975824E-2</v>
      </c>
      <c r="M59" s="74">
        <f t="shared" si="3"/>
        <v>46054</v>
      </c>
      <c r="N59" s="75">
        <f t="shared" si="4"/>
        <v>28</v>
      </c>
      <c r="O59" s="75">
        <f t="shared" si="5"/>
        <v>0</v>
      </c>
      <c r="P59" s="75">
        <f>IF($C59="",0,COUNTIFS($J$7:$J59,$J59,$M$7:$M59,$M59,$C$7:$C59,$C59))</f>
        <v>1</v>
      </c>
      <c r="Q59" s="75">
        <f t="shared" si="6"/>
        <v>1</v>
      </c>
      <c r="R59" s="75">
        <f t="shared" si="7"/>
        <v>0</v>
      </c>
      <c r="S59" s="75">
        <f>IF($C59="",0,COUNTIFS(rl_key,$J59,rl_eff,"&lt;"&amp;$C59)+COUNTIFS($J$7:$J59,$J59,$C$7:$C59,$C59))</f>
        <v>1</v>
      </c>
      <c r="T59" s="75">
        <f>IF(OR($C59="",$E59&lt;&gt;"planned",$C59&lt;DATE(nr_PlanYear,1,1),$C59&gt;DATE(nr_PlanYear,12,31)),0,IF(AND(COUNTIFS(rl_key,$J59,rl_status,"planned",rl_eff,"&gt;="&amp;DATE(nr_PlanYear,1,1),rl_eff,"&lt;"&amp;$C59)=0,COUNTIFS($J$7:$J59,$J59,$E$7:$E59,"planned",$C$7:$C59,$C59)=1),1,0))</f>
        <v>0</v>
      </c>
      <c r="U59" s="75">
        <f>IF(OR($C59="",$E59&lt;&gt;"taken"),0,IF(AND(COUNTIFS(rl_key,$J59,rl_effmonth,$M59,rl_eff,"&lt;"&amp;$C59,rl_status,"taken")=0,COUNTIFS($J$7:$J59,$J59,$M$7:$M59,$M59,$C$7:$C59,$C59,$E$7:$E59,"taken")=1),1,0))</f>
        <v>1</v>
      </c>
      <c r="V59" s="66">
        <f t="shared" si="8"/>
        <v>0.57533394755985956</v>
      </c>
      <c r="W59" s="76">
        <f t="shared" si="9"/>
        <v>0.73339475598596104</v>
      </c>
      <c r="X59" s="77" t="str">
        <f>IF(OR($C59="",$J59&lt;&gt;nr_SelKey),"",(SUMPRODUCT(('Rate Engine'!$G$17:$G$64&gt;YEAR($C59)*12+MONTH($C59)-1)*'Rate Engine'!$H$17:$H$64,'Rate Engine'!$Q$17:$Q$64)+(EOMONTH($C59,0)-$C59+1)/DAY(EOMONTH($C59,0))*SUMPRODUCT(('Rate Engine'!$G$17:$G$64=YEAR($C59)*12+MONTH($C59)-1)*'Rate Engine'!$H$17:$H$64,'Rate Engine'!$Q$17:$Q$64))/SUMPRODUCT('Rate Engine'!$H$17:$H$64,'Rate Engine'!$Q$17:$Q$64))</f>
        <v/>
      </c>
      <c r="Y59" s="78" t="str">
        <f t="shared" si="10"/>
        <v/>
      </c>
    </row>
    <row r="60" spans="1:25" x14ac:dyDescent="0.3">
      <c r="A60" s="11" t="s">
        <v>206</v>
      </c>
      <c r="B60" s="11" t="s">
        <v>189</v>
      </c>
      <c r="C60" s="61">
        <v>46661</v>
      </c>
      <c r="D60" s="29">
        <v>0.04</v>
      </c>
      <c r="E60" s="11" t="s">
        <v>246</v>
      </c>
      <c r="F60" s="11" t="s">
        <v>247</v>
      </c>
      <c r="G60" s="59">
        <v>1</v>
      </c>
      <c r="H60" s="71"/>
      <c r="J60" s="65" t="str">
        <f t="shared" si="0"/>
        <v>SBA|IN</v>
      </c>
      <c r="K60" s="72">
        <f t="shared" si="1"/>
        <v>0.04</v>
      </c>
      <c r="L60" s="73">
        <f t="shared" si="2"/>
        <v>3.9220713153281329E-2</v>
      </c>
      <c r="M60" s="74">
        <f t="shared" si="3"/>
        <v>46661</v>
      </c>
      <c r="N60" s="75">
        <f t="shared" si="4"/>
        <v>31</v>
      </c>
      <c r="O60" s="75">
        <f t="shared" si="5"/>
        <v>0</v>
      </c>
      <c r="P60" s="75">
        <f>IF($C60="",0,COUNTIFS($J$7:$J60,$J60,$M$7:$M60,$M60,$C$7:$C60,$C60))</f>
        <v>1</v>
      </c>
      <c r="Q60" s="75">
        <f t="shared" si="6"/>
        <v>1</v>
      </c>
      <c r="R60" s="75">
        <f t="shared" si="7"/>
        <v>0</v>
      </c>
      <c r="S60" s="75">
        <f>IF($C60="",0,COUNTIFS(rl_key,$J60,rl_eff,"&lt;"&amp;$C60)+COUNTIFS($J$7:$J60,$J60,$C$7:$C60,$C60))</f>
        <v>2</v>
      </c>
      <c r="T60" s="75">
        <f>IF(OR($C60="",$E60&lt;&gt;"planned",$C60&lt;DATE(nr_PlanYear,1,1),$C60&gt;DATE(nr_PlanYear,12,31)),0,IF(AND(COUNTIFS(rl_key,$J60,rl_status,"planned",rl_eff,"&gt;="&amp;DATE(nr_PlanYear,1,1),rl_eff,"&lt;"&amp;$C60)=0,COUNTIFS($J$7:$J60,$J60,$E$7:$E60,"planned",$C$7:$C60,$C60)=1),1,0))</f>
        <v>1</v>
      </c>
      <c r="U60" s="75">
        <f>IF(OR($C60="",$E60&lt;&gt;"taken"),0,IF(AND(COUNTIFS(rl_key,$J60,rl_effmonth,$M60,rl_eff,"&lt;"&amp;$C60,rl_status,"taken")=0,COUNTIFS($J$7:$J60,$J60,$M$7:$M60,$M60,$C$7:$C60,$C60,$E$7:$E60,"taken")=1),1,0))</f>
        <v>0</v>
      </c>
      <c r="V60" s="66">
        <f t="shared" si="8"/>
        <v>0.57533394755985956</v>
      </c>
      <c r="W60" s="76">
        <f t="shared" si="9"/>
        <v>0.73339475598596104</v>
      </c>
      <c r="X60" s="77" t="str">
        <f>IF(OR($C60="",$J60&lt;&gt;nr_SelKey),"",(SUMPRODUCT(('Rate Engine'!$G$17:$G$64&gt;YEAR($C60)*12+MONTH($C60)-1)*'Rate Engine'!$H$17:$H$64,'Rate Engine'!$Q$17:$Q$64)+(EOMONTH($C60,0)-$C60+1)/DAY(EOMONTH($C60,0))*SUMPRODUCT(('Rate Engine'!$G$17:$G$64=YEAR($C60)*12+MONTH($C60)-1)*'Rate Engine'!$H$17:$H$64,'Rate Engine'!$Q$17:$Q$64))/SUMPRODUCT('Rate Engine'!$H$17:$H$64,'Rate Engine'!$Q$17:$Q$64))</f>
        <v/>
      </c>
      <c r="Y60" s="78" t="str">
        <f t="shared" si="10"/>
        <v/>
      </c>
    </row>
    <row r="61" spans="1:25" x14ac:dyDescent="0.3">
      <c r="A61" s="11" t="s">
        <v>206</v>
      </c>
      <c r="B61" s="11" t="s">
        <v>191</v>
      </c>
      <c r="C61" s="61">
        <v>46113</v>
      </c>
      <c r="D61" s="29">
        <v>0.03</v>
      </c>
      <c r="E61" s="11" t="s">
        <v>243</v>
      </c>
      <c r="F61" s="11" t="s">
        <v>244</v>
      </c>
      <c r="G61" s="59"/>
      <c r="H61" s="71"/>
      <c r="J61" s="65" t="str">
        <f t="shared" si="0"/>
        <v>SBA|MD</v>
      </c>
      <c r="K61" s="72">
        <f t="shared" si="1"/>
        <v>0.03</v>
      </c>
      <c r="L61" s="73">
        <f t="shared" si="2"/>
        <v>2.9558802241544429E-2</v>
      </c>
      <c r="M61" s="74">
        <f t="shared" si="3"/>
        <v>46113</v>
      </c>
      <c r="N61" s="75">
        <f t="shared" si="4"/>
        <v>30</v>
      </c>
      <c r="O61" s="75">
        <f t="shared" si="5"/>
        <v>0</v>
      </c>
      <c r="P61" s="75">
        <f>IF($C61="",0,COUNTIFS($J$7:$J61,$J61,$M$7:$M61,$M61,$C$7:$C61,$C61))</f>
        <v>1</v>
      </c>
      <c r="Q61" s="75">
        <f t="shared" si="6"/>
        <v>1</v>
      </c>
      <c r="R61" s="75">
        <f t="shared" si="7"/>
        <v>0</v>
      </c>
      <c r="S61" s="75">
        <f>IF($C61="",0,COUNTIFS(rl_key,$J61,rl_eff,"&lt;"&amp;$C61)+COUNTIFS($J$7:$J61,$J61,$C$7:$C61,$C61))</f>
        <v>1</v>
      </c>
      <c r="T61" s="75">
        <f>IF(OR($C61="",$E61&lt;&gt;"planned",$C61&lt;DATE(nr_PlanYear,1,1),$C61&gt;DATE(nr_PlanYear,12,31)),0,IF(AND(COUNTIFS(rl_key,$J61,rl_status,"planned",rl_eff,"&gt;="&amp;DATE(nr_PlanYear,1,1),rl_eff,"&lt;"&amp;$C61)=0,COUNTIFS($J$7:$J61,$J61,$E$7:$E61,"planned",$C$7:$C61,$C61)=1),1,0))</f>
        <v>0</v>
      </c>
      <c r="U61" s="75">
        <f>IF(OR($C61="",$E61&lt;&gt;"taken"),0,IF(AND(COUNTIFS(rl_key,$J61,rl_effmonth,$M61,rl_eff,"&lt;"&amp;$C61,rl_status,"taken")=0,COUNTIFS($J$7:$J61,$J61,$M$7:$M61,$M61,$C$7:$C61,$C61,$E$7:$E61,"taken")=1),1,0))</f>
        <v>1</v>
      </c>
      <c r="V61" s="66">
        <f t="shared" si="8"/>
        <v>0.58127308446376114</v>
      </c>
      <c r="W61" s="76">
        <f t="shared" si="9"/>
        <v>0.1273084463761176</v>
      </c>
      <c r="X61" s="77" t="str">
        <f>IF(OR($C61="",$J61&lt;&gt;nr_SelKey),"",(SUMPRODUCT(('Rate Engine'!$G$17:$G$64&gt;YEAR($C61)*12+MONTH($C61)-1)*'Rate Engine'!$H$17:$H$64,'Rate Engine'!$Q$17:$Q$64)+(EOMONTH($C61,0)-$C61+1)/DAY(EOMONTH($C61,0))*SUMPRODUCT(('Rate Engine'!$G$17:$G$64=YEAR($C61)*12+MONTH($C61)-1)*'Rate Engine'!$H$17:$H$64,'Rate Engine'!$Q$17:$Q$64))/SUMPRODUCT('Rate Engine'!$H$17:$H$64,'Rate Engine'!$Q$17:$Q$64))</f>
        <v/>
      </c>
      <c r="Y61" s="78" t="str">
        <f t="shared" si="10"/>
        <v/>
      </c>
    </row>
    <row r="62" spans="1:25" x14ac:dyDescent="0.3">
      <c r="A62" s="11" t="s">
        <v>206</v>
      </c>
      <c r="B62" s="11" t="s">
        <v>192</v>
      </c>
      <c r="C62" s="61">
        <v>46143</v>
      </c>
      <c r="D62" s="29">
        <v>0.04</v>
      </c>
      <c r="E62" s="11" t="s">
        <v>243</v>
      </c>
      <c r="F62" s="11" t="s">
        <v>244</v>
      </c>
      <c r="G62" s="59"/>
      <c r="H62" s="71"/>
      <c r="J62" s="65" t="str">
        <f t="shared" si="0"/>
        <v>SBA|MI</v>
      </c>
      <c r="K62" s="72">
        <f t="shared" si="1"/>
        <v>0.04</v>
      </c>
      <c r="L62" s="73">
        <f t="shared" si="2"/>
        <v>3.9220713153281329E-2</v>
      </c>
      <c r="M62" s="74">
        <f t="shared" si="3"/>
        <v>46143</v>
      </c>
      <c r="N62" s="75">
        <f t="shared" si="4"/>
        <v>31</v>
      </c>
      <c r="O62" s="75">
        <f t="shared" si="5"/>
        <v>0</v>
      </c>
      <c r="P62" s="75">
        <f>IF($C62="",0,COUNTIFS($J$7:$J62,$J62,$M$7:$M62,$M62,$C$7:$C62,$C62))</f>
        <v>1</v>
      </c>
      <c r="Q62" s="75">
        <f t="shared" si="6"/>
        <v>1</v>
      </c>
      <c r="R62" s="75">
        <f t="shared" si="7"/>
        <v>0</v>
      </c>
      <c r="S62" s="75">
        <f>IF($C62="",0,COUNTIFS(rl_key,$J62,rl_eff,"&lt;"&amp;$C62)+COUNTIFS($J$7:$J62,$J62,$C$7:$C62,$C62))</f>
        <v>1</v>
      </c>
      <c r="T62" s="75">
        <f>IF(OR($C62="",$E62&lt;&gt;"planned",$C62&lt;DATE(nr_PlanYear,1,1),$C62&gt;DATE(nr_PlanYear,12,31)),0,IF(AND(COUNTIFS(rl_key,$J62,rl_status,"planned",rl_eff,"&gt;="&amp;DATE(nr_PlanYear,1,1),rl_eff,"&lt;"&amp;$C62)=0,COUNTIFS($J$7:$J62,$J62,$E$7:$E62,"planned",$C$7:$C62,$C62)=1),1,0))</f>
        <v>0</v>
      </c>
      <c r="U62" s="75">
        <f>IF(OR($C62="",$E62&lt;&gt;"taken"),0,IF(AND(COUNTIFS(rl_key,$J62,rl_effmonth,$M62,rl_eff,"&lt;"&amp;$C62,rl_status,"taken")=0,COUNTIFS($J$7:$J62,$J62,$M$7:$M62,$M62,$C$7:$C62,$C62,$E$7:$E62,"taken")=1),1,0))</f>
        <v>1</v>
      </c>
      <c r="V62" s="66">
        <f t="shared" si="8"/>
        <v>0.57019780219780236</v>
      </c>
      <c r="W62" s="76">
        <f t="shared" si="9"/>
        <v>0.61978021978024156</v>
      </c>
      <c r="X62" s="77" t="str">
        <f>IF(OR($C62="",$J62&lt;&gt;nr_SelKey),"",(SUMPRODUCT(('Rate Engine'!$G$17:$G$64&gt;YEAR($C62)*12+MONTH($C62)-1)*'Rate Engine'!$H$17:$H$64,'Rate Engine'!$Q$17:$Q$64)+(EOMONTH($C62,0)-$C62+1)/DAY(EOMONTH($C62,0))*SUMPRODUCT(('Rate Engine'!$G$17:$G$64=YEAR($C62)*12+MONTH($C62)-1)*'Rate Engine'!$H$17:$H$64,'Rate Engine'!$Q$17:$Q$64))/SUMPRODUCT('Rate Engine'!$H$17:$H$64,'Rate Engine'!$Q$17:$Q$64))</f>
        <v/>
      </c>
      <c r="Y62" s="78" t="str">
        <f t="shared" si="10"/>
        <v/>
      </c>
    </row>
    <row r="63" spans="1:25" x14ac:dyDescent="0.3">
      <c r="A63" s="11" t="s">
        <v>206</v>
      </c>
      <c r="B63" s="11" t="s">
        <v>193</v>
      </c>
      <c r="C63" s="61">
        <v>46478</v>
      </c>
      <c r="D63" s="29">
        <v>0.04</v>
      </c>
      <c r="E63" s="11" t="s">
        <v>246</v>
      </c>
      <c r="F63" s="11" t="s">
        <v>247</v>
      </c>
      <c r="G63" s="59">
        <v>1</v>
      </c>
      <c r="H63" s="71"/>
      <c r="J63" s="65" t="str">
        <f t="shared" si="0"/>
        <v>SBA|MN</v>
      </c>
      <c r="K63" s="72">
        <f t="shared" si="1"/>
        <v>0.04</v>
      </c>
      <c r="L63" s="73">
        <f t="shared" si="2"/>
        <v>3.9220713153281329E-2</v>
      </c>
      <c r="M63" s="74">
        <f t="shared" si="3"/>
        <v>46478</v>
      </c>
      <c r="N63" s="75">
        <f t="shared" si="4"/>
        <v>30</v>
      </c>
      <c r="O63" s="75">
        <f t="shared" si="5"/>
        <v>0</v>
      </c>
      <c r="P63" s="75">
        <f>IF($C63="",0,COUNTIFS($J$7:$J63,$J63,$M$7:$M63,$M63,$C$7:$C63,$C63))</f>
        <v>1</v>
      </c>
      <c r="Q63" s="75">
        <f t="shared" si="6"/>
        <v>1</v>
      </c>
      <c r="R63" s="75">
        <f t="shared" si="7"/>
        <v>0</v>
      </c>
      <c r="S63" s="75">
        <f>IF($C63="",0,COUNTIFS(rl_key,$J63,rl_eff,"&lt;"&amp;$C63)+COUNTIFS($J$7:$J63,$J63,$C$7:$C63,$C63))</f>
        <v>1</v>
      </c>
      <c r="T63" s="75">
        <f>IF(OR($C63="",$E63&lt;&gt;"planned",$C63&lt;DATE(nr_PlanYear,1,1),$C63&gt;DATE(nr_PlanYear,12,31)),0,IF(AND(COUNTIFS(rl_key,$J63,rl_status,"planned",rl_eff,"&gt;="&amp;DATE(nr_PlanYear,1,1),rl_eff,"&lt;"&amp;$C63)=0,COUNTIFS($J$7:$J63,$J63,$E$7:$E63,"planned",$C$7:$C63,$C63)=1),1,0))</f>
        <v>1</v>
      </c>
      <c r="U63" s="75">
        <f>IF(OR($C63="",$E63&lt;&gt;"taken"),0,IF(AND(COUNTIFS(rl_key,$J63,rl_effmonth,$M63,rl_eff,"&lt;"&amp;$C63,rl_status,"taken")=0,COUNTIFS($J$7:$J63,$J63,$M$7:$M63,$M63,$C$7:$C63,$C63,$E$7:$E63,"taken")=1),1,0))</f>
        <v>0</v>
      </c>
      <c r="V63" s="66">
        <f t="shared" si="8"/>
        <v>0.58293375719491614</v>
      </c>
      <c r="W63" s="76">
        <f t="shared" si="9"/>
        <v>-0.90662428050838351</v>
      </c>
      <c r="X63" s="77" t="str">
        <f>IF(OR($C63="",$J63&lt;&gt;nr_SelKey),"",(SUMPRODUCT(('Rate Engine'!$G$17:$G$64&gt;YEAR($C63)*12+MONTH($C63)-1)*'Rate Engine'!$H$17:$H$64,'Rate Engine'!$Q$17:$Q$64)+(EOMONTH($C63,0)-$C63+1)/DAY(EOMONTH($C63,0))*SUMPRODUCT(('Rate Engine'!$G$17:$G$64=YEAR($C63)*12+MONTH($C63)-1)*'Rate Engine'!$H$17:$H$64,'Rate Engine'!$Q$17:$Q$64))/SUMPRODUCT('Rate Engine'!$H$17:$H$64,'Rate Engine'!$Q$17:$Q$64))</f>
        <v/>
      </c>
      <c r="Y63" s="78" t="str">
        <f t="shared" si="10"/>
        <v/>
      </c>
    </row>
    <row r="64" spans="1:25" x14ac:dyDescent="0.3">
      <c r="A64" s="11" t="s">
        <v>206</v>
      </c>
      <c r="B64" s="11" t="s">
        <v>194</v>
      </c>
      <c r="C64" s="61">
        <v>46204</v>
      </c>
      <c r="D64" s="29">
        <v>0.06</v>
      </c>
      <c r="E64" s="11" t="s">
        <v>243</v>
      </c>
      <c r="F64" s="11" t="s">
        <v>244</v>
      </c>
      <c r="G64" s="59"/>
      <c r="H64" s="71"/>
      <c r="J64" s="65" t="str">
        <f t="shared" si="0"/>
        <v>SBA|NM</v>
      </c>
      <c r="K64" s="72">
        <f t="shared" si="1"/>
        <v>0.06</v>
      </c>
      <c r="L64" s="73">
        <f t="shared" si="2"/>
        <v>5.8268908123975824E-2</v>
      </c>
      <c r="M64" s="74">
        <f t="shared" si="3"/>
        <v>46204</v>
      </c>
      <c r="N64" s="75">
        <f t="shared" si="4"/>
        <v>31</v>
      </c>
      <c r="O64" s="75">
        <f t="shared" si="5"/>
        <v>0</v>
      </c>
      <c r="P64" s="75">
        <f>IF($C64="",0,COUNTIFS($J$7:$J64,$J64,$M$7:$M64,$M64,$C$7:$C64,$C64))</f>
        <v>1</v>
      </c>
      <c r="Q64" s="75">
        <f t="shared" si="6"/>
        <v>1</v>
      </c>
      <c r="R64" s="75">
        <f t="shared" si="7"/>
        <v>0</v>
      </c>
      <c r="S64" s="75">
        <f>IF($C64="",0,COUNTIFS(rl_key,$J64,rl_eff,"&lt;"&amp;$C64)+COUNTIFS($J$7:$J64,$J64,$C$7:$C64,$C64))</f>
        <v>1</v>
      </c>
      <c r="T64" s="75">
        <f>IF(OR($C64="",$E64&lt;&gt;"planned",$C64&lt;DATE(nr_PlanYear,1,1),$C64&gt;DATE(nr_PlanYear,12,31)),0,IF(AND(COUNTIFS(rl_key,$J64,rl_status,"planned",rl_eff,"&gt;="&amp;DATE(nr_PlanYear,1,1),rl_eff,"&lt;"&amp;$C64)=0,COUNTIFS($J$7:$J64,$J64,$E$7:$E64,"planned",$C$7:$C64,$C64)=1),1,0))</f>
        <v>0</v>
      </c>
      <c r="U64" s="75">
        <f>IF(OR($C64="",$E64&lt;&gt;"taken"),0,IF(AND(COUNTIFS(rl_key,$J64,rl_effmonth,$M64,rl_eff,"&lt;"&amp;$C64,rl_status,"taken")=0,COUNTIFS($J$7:$J64,$J64,$M$7:$M64,$M64,$C$7:$C64,$C64,$E$7:$E64,"taken")=1),1,0))</f>
        <v>1</v>
      </c>
      <c r="V64" s="66">
        <f t="shared" si="8"/>
        <v>0.58360993213665835</v>
      </c>
      <c r="W64" s="76">
        <f t="shared" si="9"/>
        <v>0.76099321366583927</v>
      </c>
      <c r="X64" s="77" t="str">
        <f>IF(OR($C64="",$J64&lt;&gt;nr_SelKey),"",(SUMPRODUCT(('Rate Engine'!$G$17:$G$64&gt;YEAR($C64)*12+MONTH($C64)-1)*'Rate Engine'!$H$17:$H$64,'Rate Engine'!$Q$17:$Q$64)+(EOMONTH($C64,0)-$C64+1)/DAY(EOMONTH($C64,0))*SUMPRODUCT(('Rate Engine'!$G$17:$G$64=YEAR($C64)*12+MONTH($C64)-1)*'Rate Engine'!$H$17:$H$64,'Rate Engine'!$Q$17:$Q$64))/SUMPRODUCT('Rate Engine'!$H$17:$H$64,'Rate Engine'!$Q$17:$Q$64))</f>
        <v/>
      </c>
      <c r="Y64" s="78" t="str">
        <f t="shared" si="10"/>
        <v/>
      </c>
    </row>
    <row r="65" spans="1:25" x14ac:dyDescent="0.3">
      <c r="A65" s="11" t="s">
        <v>206</v>
      </c>
      <c r="B65" s="11" t="s">
        <v>195</v>
      </c>
      <c r="C65" s="61">
        <v>46235</v>
      </c>
      <c r="D65" s="29">
        <v>0.02</v>
      </c>
      <c r="E65" s="11" t="s">
        <v>243</v>
      </c>
      <c r="F65" s="11" t="s">
        <v>244</v>
      </c>
      <c r="G65" s="59"/>
      <c r="H65" s="71"/>
      <c r="J65" s="65" t="str">
        <f t="shared" si="0"/>
        <v>SBA|NC</v>
      </c>
      <c r="K65" s="72">
        <f t="shared" si="1"/>
        <v>0.02</v>
      </c>
      <c r="L65" s="73">
        <f t="shared" si="2"/>
        <v>1.980262729617973E-2</v>
      </c>
      <c r="M65" s="74">
        <f t="shared" si="3"/>
        <v>46235</v>
      </c>
      <c r="N65" s="75">
        <f t="shared" si="4"/>
        <v>31</v>
      </c>
      <c r="O65" s="75">
        <f t="shared" si="5"/>
        <v>0</v>
      </c>
      <c r="P65" s="75">
        <f>IF($C65="",0,COUNTIFS($J$7:$J65,$J65,$M$7:$M65,$M65,$C$7:$C65,$C65))</f>
        <v>1</v>
      </c>
      <c r="Q65" s="75">
        <f t="shared" si="6"/>
        <v>1</v>
      </c>
      <c r="R65" s="75">
        <f t="shared" si="7"/>
        <v>0</v>
      </c>
      <c r="S65" s="75">
        <f>IF($C65="",0,COUNTIFS(rl_key,$J65,rl_eff,"&lt;"&amp;$C65)+COUNTIFS($J$7:$J65,$J65,$C$7:$C65,$C65))</f>
        <v>1</v>
      </c>
      <c r="T65" s="75">
        <f>IF(OR($C65="",$E65&lt;&gt;"planned",$C65&lt;DATE(nr_PlanYear,1,1),$C65&gt;DATE(nr_PlanYear,12,31)),0,IF(AND(COUNTIFS(rl_key,$J65,rl_status,"planned",rl_eff,"&gt;="&amp;DATE(nr_PlanYear,1,1),rl_eff,"&lt;"&amp;$C65)=0,COUNTIFS($J$7:$J65,$J65,$E$7:$E65,"planned",$C$7:$C65,$C65)=1),1,0))</f>
        <v>0</v>
      </c>
      <c r="U65" s="75">
        <f>IF(OR($C65="",$E65&lt;&gt;"taken"),0,IF(AND(COUNTIFS(rl_key,$J65,rl_effmonth,$M65,rl_eff,"&lt;"&amp;$C65,rl_status,"taken")=0,COUNTIFS($J$7:$J65,$J65,$M$7:$M65,$M65,$C$7:$C65,$C65,$E$7:$E65,"taken")=1),1,0))</f>
        <v>1</v>
      </c>
      <c r="V65" s="66">
        <f t="shared" si="8"/>
        <v>0.56375752393487788</v>
      </c>
      <c r="W65" s="76">
        <f t="shared" si="9"/>
        <v>0.37575239348778267</v>
      </c>
      <c r="X65" s="77" t="str">
        <f>IF(OR($C65="",$J65&lt;&gt;nr_SelKey),"",(SUMPRODUCT(('Rate Engine'!$G$17:$G$64&gt;YEAR($C65)*12+MONTH($C65)-1)*'Rate Engine'!$H$17:$H$64,'Rate Engine'!$Q$17:$Q$64)+(EOMONTH($C65,0)-$C65+1)/DAY(EOMONTH($C65,0))*SUMPRODUCT(('Rate Engine'!$G$17:$G$64=YEAR($C65)*12+MONTH($C65)-1)*'Rate Engine'!$H$17:$H$64,'Rate Engine'!$Q$17:$Q$64))/SUMPRODUCT('Rate Engine'!$H$17:$H$64,'Rate Engine'!$Q$17:$Q$64))</f>
        <v/>
      </c>
      <c r="Y65" s="78" t="str">
        <f t="shared" si="10"/>
        <v/>
      </c>
    </row>
    <row r="66" spans="1:25" x14ac:dyDescent="0.3">
      <c r="A66" s="11" t="s">
        <v>206</v>
      </c>
      <c r="B66" s="11" t="s">
        <v>197</v>
      </c>
      <c r="C66" s="61">
        <v>46296</v>
      </c>
      <c r="D66" s="29">
        <v>0.04</v>
      </c>
      <c r="E66" s="11" t="s">
        <v>243</v>
      </c>
      <c r="F66" s="11" t="s">
        <v>244</v>
      </c>
      <c r="G66" s="59"/>
      <c r="H66" s="71"/>
      <c r="J66" s="65" t="str">
        <f t="shared" si="0"/>
        <v>SBA|PA</v>
      </c>
      <c r="K66" s="72">
        <f t="shared" si="1"/>
        <v>0.04</v>
      </c>
      <c r="L66" s="73">
        <f t="shared" si="2"/>
        <v>3.9220713153281329E-2</v>
      </c>
      <c r="M66" s="74">
        <f t="shared" si="3"/>
        <v>46296</v>
      </c>
      <c r="N66" s="75">
        <f t="shared" si="4"/>
        <v>31</v>
      </c>
      <c r="O66" s="75">
        <f t="shared" si="5"/>
        <v>0</v>
      </c>
      <c r="P66" s="75">
        <f>IF($C66="",0,COUNTIFS($J$7:$J66,$J66,$M$7:$M66,$M66,$C$7:$C66,$C66))</f>
        <v>1</v>
      </c>
      <c r="Q66" s="75">
        <f t="shared" si="6"/>
        <v>1</v>
      </c>
      <c r="R66" s="75">
        <f t="shared" si="7"/>
        <v>0</v>
      </c>
      <c r="S66" s="75">
        <f>IF($C66="",0,COUNTIFS(rl_key,$J66,rl_eff,"&lt;"&amp;$C66)+COUNTIFS($J$7:$J66,$J66,$C$7:$C66,$C66))</f>
        <v>1</v>
      </c>
      <c r="T66" s="75">
        <f>IF(OR($C66="",$E66&lt;&gt;"planned",$C66&lt;DATE(nr_PlanYear,1,1),$C66&gt;DATE(nr_PlanYear,12,31)),0,IF(AND(COUNTIFS(rl_key,$J66,rl_status,"planned",rl_eff,"&gt;="&amp;DATE(nr_PlanYear,1,1),rl_eff,"&lt;"&amp;$C66)=0,COUNTIFS($J$7:$J66,$J66,$E$7:$E66,"planned",$C$7:$C66,$C66)=1),1,0))</f>
        <v>0</v>
      </c>
      <c r="U66" s="75">
        <f>IF(OR($C66="",$E66&lt;&gt;"taken"),0,IF(AND(COUNTIFS(rl_key,$J66,rl_effmonth,$M66,rl_eff,"&lt;"&amp;$C66,rl_status,"taken")=0,COUNTIFS($J$7:$J66,$J66,$M$7:$M66,$M66,$C$7:$C66,$C66,$E$7:$E66,"taken")=1),1,0))</f>
        <v>1</v>
      </c>
      <c r="V66" s="66">
        <f t="shared" si="8"/>
        <v>0.57441173602854845</v>
      </c>
      <c r="W66" s="76">
        <f t="shared" si="9"/>
        <v>0.24117360285484946</v>
      </c>
      <c r="X66" s="77" t="str">
        <f>IF(OR($C66="",$J66&lt;&gt;nr_SelKey),"",(SUMPRODUCT(('Rate Engine'!$G$17:$G$64&gt;YEAR($C66)*12+MONTH($C66)-1)*'Rate Engine'!$H$17:$H$64,'Rate Engine'!$Q$17:$Q$64)+(EOMONTH($C66,0)-$C66+1)/DAY(EOMONTH($C66,0))*SUMPRODUCT(('Rate Engine'!$G$17:$G$64=YEAR($C66)*12+MONTH($C66)-1)*'Rate Engine'!$H$17:$H$64,'Rate Engine'!$Q$17:$Q$64))/SUMPRODUCT('Rate Engine'!$H$17:$H$64,'Rate Engine'!$Q$17:$Q$64))</f>
        <v/>
      </c>
      <c r="Y66" s="78" t="str">
        <f t="shared" si="10"/>
        <v/>
      </c>
    </row>
    <row r="67" spans="1:25" x14ac:dyDescent="0.3">
      <c r="A67" s="11" t="s">
        <v>206</v>
      </c>
      <c r="B67" s="11" t="s">
        <v>197</v>
      </c>
      <c r="C67" s="61">
        <v>46600</v>
      </c>
      <c r="D67" s="29">
        <v>0.04</v>
      </c>
      <c r="E67" s="11" t="s">
        <v>246</v>
      </c>
      <c r="F67" s="11" t="s">
        <v>247</v>
      </c>
      <c r="G67" s="59">
        <v>1</v>
      </c>
      <c r="H67" s="71"/>
      <c r="J67" s="65" t="str">
        <f t="shared" si="0"/>
        <v>SBA|PA</v>
      </c>
      <c r="K67" s="72">
        <f t="shared" si="1"/>
        <v>0.04</v>
      </c>
      <c r="L67" s="73">
        <f t="shared" si="2"/>
        <v>3.9220713153281329E-2</v>
      </c>
      <c r="M67" s="74">
        <f t="shared" si="3"/>
        <v>46600</v>
      </c>
      <c r="N67" s="75">
        <f t="shared" si="4"/>
        <v>31</v>
      </c>
      <c r="O67" s="75">
        <f t="shared" si="5"/>
        <v>0</v>
      </c>
      <c r="P67" s="75">
        <f>IF($C67="",0,COUNTIFS($J$7:$J67,$J67,$M$7:$M67,$M67,$C$7:$C67,$C67))</f>
        <v>1</v>
      </c>
      <c r="Q67" s="75">
        <f t="shared" si="6"/>
        <v>1</v>
      </c>
      <c r="R67" s="75">
        <f t="shared" si="7"/>
        <v>0</v>
      </c>
      <c r="S67" s="75">
        <f>IF($C67="",0,COUNTIFS(rl_key,$J67,rl_eff,"&lt;"&amp;$C67)+COUNTIFS($J$7:$J67,$J67,$C$7:$C67,$C67))</f>
        <v>2</v>
      </c>
      <c r="T67" s="75">
        <f>IF(OR($C67="",$E67&lt;&gt;"planned",$C67&lt;DATE(nr_PlanYear,1,1),$C67&gt;DATE(nr_PlanYear,12,31)),0,IF(AND(COUNTIFS(rl_key,$J67,rl_status,"planned",rl_eff,"&gt;="&amp;DATE(nr_PlanYear,1,1),rl_eff,"&lt;"&amp;$C67)=0,COUNTIFS($J$7:$J67,$J67,$E$7:$E67,"planned",$C$7:$C67,$C67)=1),1,0))</f>
        <v>1</v>
      </c>
      <c r="U67" s="75">
        <f>IF(OR($C67="",$E67&lt;&gt;"taken"),0,IF(AND(COUNTIFS(rl_key,$J67,rl_effmonth,$M67,rl_eff,"&lt;"&amp;$C67,rl_status,"taken")=0,COUNTIFS($J$7:$J67,$J67,$M$7:$M67,$M67,$C$7:$C67,$C67,$E$7:$E67,"taken")=1),1,0))</f>
        <v>0</v>
      </c>
      <c r="V67" s="66">
        <f t="shared" si="8"/>
        <v>0.57441173602854845</v>
      </c>
      <c r="W67" s="76">
        <f t="shared" si="9"/>
        <v>0.24117360285484946</v>
      </c>
      <c r="X67" s="77" t="str">
        <f>IF(OR($C67="",$J67&lt;&gt;nr_SelKey),"",(SUMPRODUCT(('Rate Engine'!$G$17:$G$64&gt;YEAR($C67)*12+MONTH($C67)-1)*'Rate Engine'!$H$17:$H$64,'Rate Engine'!$Q$17:$Q$64)+(EOMONTH($C67,0)-$C67+1)/DAY(EOMONTH($C67,0))*SUMPRODUCT(('Rate Engine'!$G$17:$G$64=YEAR($C67)*12+MONTH($C67)-1)*'Rate Engine'!$H$17:$H$64,'Rate Engine'!$Q$17:$Q$64))/SUMPRODUCT('Rate Engine'!$H$17:$H$64,'Rate Engine'!$Q$17:$Q$64))</f>
        <v/>
      </c>
      <c r="Y67" s="78" t="str">
        <f t="shared" si="10"/>
        <v/>
      </c>
    </row>
    <row r="68" spans="1:25" x14ac:dyDescent="0.3">
      <c r="A68" s="11" t="s">
        <v>206</v>
      </c>
      <c r="B68" s="11" t="s">
        <v>198</v>
      </c>
      <c r="C68" s="61">
        <v>46327</v>
      </c>
      <c r="D68" s="29">
        <v>0.05</v>
      </c>
      <c r="E68" s="11" t="s">
        <v>243</v>
      </c>
      <c r="F68" s="11" t="s">
        <v>244</v>
      </c>
      <c r="G68" s="59"/>
      <c r="H68" s="71"/>
      <c r="J68" s="65" t="str">
        <f t="shared" si="0"/>
        <v>SBA|SC</v>
      </c>
      <c r="K68" s="72">
        <f t="shared" si="1"/>
        <v>0.05</v>
      </c>
      <c r="L68" s="73">
        <f t="shared" si="2"/>
        <v>4.8790164169432049E-2</v>
      </c>
      <c r="M68" s="74">
        <f t="shared" si="3"/>
        <v>46327</v>
      </c>
      <c r="N68" s="75">
        <f t="shared" si="4"/>
        <v>30</v>
      </c>
      <c r="O68" s="75">
        <f t="shared" si="5"/>
        <v>0</v>
      </c>
      <c r="P68" s="75">
        <f>IF($C68="",0,COUNTIFS($J$7:$J68,$J68,$M$7:$M68,$M68,$C$7:$C68,$C68))</f>
        <v>1</v>
      </c>
      <c r="Q68" s="75">
        <f t="shared" si="6"/>
        <v>1</v>
      </c>
      <c r="R68" s="75">
        <f t="shared" si="7"/>
        <v>0</v>
      </c>
      <c r="S68" s="75">
        <f>IF($C68="",0,COUNTIFS(rl_key,$J68,rl_eff,"&lt;"&amp;$C68)+COUNTIFS($J$7:$J68,$J68,$C$7:$C68,$C68))</f>
        <v>1</v>
      </c>
      <c r="T68" s="75">
        <f>IF(OR($C68="",$E68&lt;&gt;"planned",$C68&lt;DATE(nr_PlanYear,1,1),$C68&gt;DATE(nr_PlanYear,12,31)),0,IF(AND(COUNTIFS(rl_key,$J68,rl_status,"planned",rl_eff,"&gt;="&amp;DATE(nr_PlanYear,1,1),rl_eff,"&lt;"&amp;$C68)=0,COUNTIFS($J$7:$J68,$J68,$E$7:$E68,"planned",$C$7:$C68,$C68)=1),1,0))</f>
        <v>0</v>
      </c>
      <c r="U68" s="75">
        <f>IF(OR($C68="",$E68&lt;&gt;"taken"),0,IF(AND(COUNTIFS(rl_key,$J68,rl_effmonth,$M68,rl_eff,"&lt;"&amp;$C68,rl_status,"taken")=0,COUNTIFS($J$7:$J68,$J68,$M$7:$M68,$M68,$C$7:$C68,$C68,$E$7:$E68,"taken")=1),1,0))</f>
        <v>1</v>
      </c>
      <c r="V68" s="66">
        <f t="shared" si="8"/>
        <v>0.6045154785233906</v>
      </c>
      <c r="W68" s="76">
        <f t="shared" si="9"/>
        <v>0.45154785233906258</v>
      </c>
      <c r="X68" s="77" t="str">
        <f>IF(OR($C68="",$J68&lt;&gt;nr_SelKey),"",(SUMPRODUCT(('Rate Engine'!$G$17:$G$64&gt;YEAR($C68)*12+MONTH($C68)-1)*'Rate Engine'!$H$17:$H$64,'Rate Engine'!$Q$17:$Q$64)+(EOMONTH($C68,0)-$C68+1)/DAY(EOMONTH($C68,0))*SUMPRODUCT(('Rate Engine'!$G$17:$G$64=YEAR($C68)*12+MONTH($C68)-1)*'Rate Engine'!$H$17:$H$64,'Rate Engine'!$Q$17:$Q$64))/SUMPRODUCT('Rate Engine'!$H$17:$H$64,'Rate Engine'!$Q$17:$Q$64))</f>
        <v/>
      </c>
      <c r="Y68" s="78" t="str">
        <f t="shared" si="10"/>
        <v/>
      </c>
    </row>
    <row r="69" spans="1:25" x14ac:dyDescent="0.3">
      <c r="A69" s="11" t="s">
        <v>206</v>
      </c>
      <c r="B69" s="11" t="s">
        <v>200</v>
      </c>
      <c r="C69" s="61">
        <v>46023</v>
      </c>
      <c r="D69" s="29">
        <v>0.02</v>
      </c>
      <c r="E69" s="11" t="s">
        <v>243</v>
      </c>
      <c r="F69" s="11" t="s">
        <v>244</v>
      </c>
      <c r="G69" s="59"/>
      <c r="H69" s="71"/>
      <c r="J69" s="65" t="str">
        <f t="shared" si="0"/>
        <v>SBA|VA</v>
      </c>
      <c r="K69" s="72">
        <f t="shared" si="1"/>
        <v>0.02</v>
      </c>
      <c r="L69" s="73">
        <f t="shared" si="2"/>
        <v>1.980262729617973E-2</v>
      </c>
      <c r="M69" s="74">
        <f t="shared" si="3"/>
        <v>46023</v>
      </c>
      <c r="N69" s="75">
        <f t="shared" si="4"/>
        <v>31</v>
      </c>
      <c r="O69" s="75">
        <f t="shared" si="5"/>
        <v>0</v>
      </c>
      <c r="P69" s="75">
        <f>IF($C69="",0,COUNTIFS($J$7:$J69,$J69,$M$7:$M69,$M69,$C$7:$C69,$C69))</f>
        <v>1</v>
      </c>
      <c r="Q69" s="75">
        <f t="shared" si="6"/>
        <v>1</v>
      </c>
      <c r="R69" s="75">
        <f t="shared" si="7"/>
        <v>0</v>
      </c>
      <c r="S69" s="75">
        <f>IF($C69="",0,COUNTIFS(rl_key,$J69,rl_eff,"&lt;"&amp;$C69)+COUNTIFS($J$7:$J69,$J69,$C$7:$C69,$C69))</f>
        <v>1</v>
      </c>
      <c r="T69" s="75">
        <f>IF(OR($C69="",$E69&lt;&gt;"planned",$C69&lt;DATE(nr_PlanYear,1,1),$C69&gt;DATE(nr_PlanYear,12,31)),0,IF(AND(COUNTIFS(rl_key,$J69,rl_status,"planned",rl_eff,"&gt;="&amp;DATE(nr_PlanYear,1,1),rl_eff,"&lt;"&amp;$C69)=0,COUNTIFS($J$7:$J69,$J69,$E$7:$E69,"planned",$C$7:$C69,$C69)=1),1,0))</f>
        <v>0</v>
      </c>
      <c r="U69" s="75">
        <f>IF(OR($C69="",$E69&lt;&gt;"taken"),0,IF(AND(COUNTIFS(rl_key,$J69,rl_effmonth,$M69,rl_eff,"&lt;"&amp;$C69,rl_status,"taken")=0,COUNTIFS($J$7:$J69,$J69,$M$7:$M69,$M69,$C$7:$C69,$C69,$E$7:$E69,"taken")=1),1,0))</f>
        <v>1</v>
      </c>
      <c r="V69" s="66">
        <f t="shared" si="8"/>
        <v>0.57048733373048399</v>
      </c>
      <c r="W69" s="76">
        <f t="shared" si="9"/>
        <v>0.24873337304840426</v>
      </c>
      <c r="X69" s="77" t="str">
        <f>IF(OR($C69="",$J69&lt;&gt;nr_SelKey),"",(SUMPRODUCT(('Rate Engine'!$G$17:$G$64&gt;YEAR($C69)*12+MONTH($C69)-1)*'Rate Engine'!$H$17:$H$64,'Rate Engine'!$Q$17:$Q$64)+(EOMONTH($C69,0)-$C69+1)/DAY(EOMONTH($C69,0))*SUMPRODUCT(('Rate Engine'!$G$17:$G$64=YEAR($C69)*12+MONTH($C69)-1)*'Rate Engine'!$H$17:$H$64,'Rate Engine'!$Q$17:$Q$64))/SUMPRODUCT('Rate Engine'!$H$17:$H$64,'Rate Engine'!$Q$17:$Q$64))</f>
        <v/>
      </c>
      <c r="Y69" s="78" t="str">
        <f t="shared" si="10"/>
        <v/>
      </c>
    </row>
    <row r="70" spans="1:25" x14ac:dyDescent="0.3">
      <c r="A70" s="11" t="s">
        <v>206</v>
      </c>
      <c r="B70" s="11" t="s">
        <v>201</v>
      </c>
      <c r="C70" s="61">
        <v>46054</v>
      </c>
      <c r="D70" s="29">
        <v>0.03</v>
      </c>
      <c r="E70" s="11" t="s">
        <v>243</v>
      </c>
      <c r="F70" s="11" t="s">
        <v>244</v>
      </c>
      <c r="G70" s="59"/>
      <c r="H70" s="71"/>
      <c r="J70" s="65" t="str">
        <f t="shared" si="0"/>
        <v>SBA|WV</v>
      </c>
      <c r="K70" s="72">
        <f t="shared" si="1"/>
        <v>0.03</v>
      </c>
      <c r="L70" s="73">
        <f t="shared" si="2"/>
        <v>2.9558802241544429E-2</v>
      </c>
      <c r="M70" s="74">
        <f t="shared" si="3"/>
        <v>46054</v>
      </c>
      <c r="N70" s="75">
        <f t="shared" si="4"/>
        <v>28</v>
      </c>
      <c r="O70" s="75">
        <f t="shared" si="5"/>
        <v>0</v>
      </c>
      <c r="P70" s="75">
        <f>IF($C70="",0,COUNTIFS($J$7:$J70,$J70,$M$7:$M70,$M70,$C$7:$C70,$C70))</f>
        <v>1</v>
      </c>
      <c r="Q70" s="75">
        <f t="shared" si="6"/>
        <v>1</v>
      </c>
      <c r="R70" s="75">
        <f t="shared" si="7"/>
        <v>0</v>
      </c>
      <c r="S70" s="75">
        <f>IF($C70="",0,COUNTIFS(rl_key,$J70,rl_eff,"&lt;"&amp;$C70)+COUNTIFS($J$7:$J70,$J70,$C$7:$C70,$C70))</f>
        <v>1</v>
      </c>
      <c r="T70" s="75">
        <f>IF(OR($C70="",$E70&lt;&gt;"planned",$C70&lt;DATE(nr_PlanYear,1,1),$C70&gt;DATE(nr_PlanYear,12,31)),0,IF(AND(COUNTIFS(rl_key,$J70,rl_status,"planned",rl_eff,"&gt;="&amp;DATE(nr_PlanYear,1,1),rl_eff,"&lt;"&amp;$C70)=0,COUNTIFS($J$7:$J70,$J70,$E$7:$E70,"planned",$C$7:$C70,$C70)=1),1,0))</f>
        <v>0</v>
      </c>
      <c r="U70" s="75">
        <f>IF(OR($C70="",$E70&lt;&gt;"taken"),0,IF(AND(COUNTIFS(rl_key,$J70,rl_effmonth,$M70,rl_eff,"&lt;"&amp;$C70,rl_status,"taken")=0,COUNTIFS($J$7:$J70,$J70,$M$7:$M70,$M70,$C$7:$C70,$C70,$E$7:$E70,"taken")=1),1,0))</f>
        <v>1</v>
      </c>
      <c r="V70" s="66">
        <f t="shared" si="8"/>
        <v>0.58818912262149681</v>
      </c>
      <c r="W70" s="76">
        <f t="shared" si="9"/>
        <v>-0.78108773785031671</v>
      </c>
      <c r="X70" s="77" t="str">
        <f>IF(OR($C70="",$J70&lt;&gt;nr_SelKey),"",(SUMPRODUCT(('Rate Engine'!$G$17:$G$64&gt;YEAR($C70)*12+MONTH($C70)-1)*'Rate Engine'!$H$17:$H$64,'Rate Engine'!$Q$17:$Q$64)+(EOMONTH($C70,0)-$C70+1)/DAY(EOMONTH($C70,0))*SUMPRODUCT(('Rate Engine'!$G$17:$G$64=YEAR($C70)*12+MONTH($C70)-1)*'Rate Engine'!$H$17:$H$64,'Rate Engine'!$Q$17:$Q$64))/SUMPRODUCT('Rate Engine'!$H$17:$H$64,'Rate Engine'!$Q$17:$Q$64))</f>
        <v/>
      </c>
      <c r="Y70" s="78" t="str">
        <f t="shared" si="10"/>
        <v/>
      </c>
    </row>
    <row r="71" spans="1:25" x14ac:dyDescent="0.3">
      <c r="A71" s="11" t="s">
        <v>206</v>
      </c>
      <c r="B71" s="11" t="s">
        <v>201</v>
      </c>
      <c r="C71" s="61">
        <v>46419</v>
      </c>
      <c r="D71" s="29">
        <v>0.04</v>
      </c>
      <c r="E71" s="11" t="s">
        <v>246</v>
      </c>
      <c r="F71" s="11" t="s">
        <v>247</v>
      </c>
      <c r="G71" s="59">
        <v>1</v>
      </c>
      <c r="H71" s="71"/>
      <c r="J71" s="65" t="str">
        <f t="shared" ref="J71:J134" si="11">IF(OR($A71="",$B71=""),"",$A71&amp;"|"&amp;$B71)</f>
        <v>SBA|WV</v>
      </c>
      <c r="K71" s="72">
        <f t="shared" ref="K71:K134" si="12">IF($C71="","",$D71*IF($E71="planned",IF($G71="",1,$G71),1))</f>
        <v>0.04</v>
      </c>
      <c r="L71" s="73">
        <f t="shared" ref="L71:L134" si="13">IF($C71="",0,IF(1+$K71&gt;0,LN(1+$K71),0))</f>
        <v>3.9220713153281329E-2</v>
      </c>
      <c r="M71" s="74">
        <f t="shared" ref="M71:M134" si="14">IF($C71="","",DATE(YEAR($C71),MONTH($C71),1))</f>
        <v>46419</v>
      </c>
      <c r="N71" s="75">
        <f t="shared" ref="N71:N134" si="15">IF($C71="",0,EOMONTH($C71,0)-$C71+1)</f>
        <v>28</v>
      </c>
      <c r="O71" s="75">
        <f t="shared" ref="O71:O134" si="16">IF($C71="",0,COUNTIFS(rl_key,$J71,rl_effmonth,$M71,rl_eff,"&lt;"&amp;$C71))</f>
        <v>0</v>
      </c>
      <c r="P71" s="75">
        <f>IF($C71="",0,COUNTIFS($J$7:$J71,$J71,$M$7:$M71,$M71,$C$7:$C71,$C71))</f>
        <v>1</v>
      </c>
      <c r="Q71" s="75">
        <f t="shared" ref="Q71:Q134" si="17">IF($C71="",0,IF(AND($O71=0,$P71=1),1,0))</f>
        <v>1</v>
      </c>
      <c r="R71" s="75">
        <f t="shared" ref="R71:R134" si="18">IF($C71="",0,IF(COUNTIFS(rl_key,$J71,rl_effmonth,$M71)&gt;1,1,0))</f>
        <v>0</v>
      </c>
      <c r="S71" s="75">
        <f>IF($C71="",0,COUNTIFS(rl_key,$J71,rl_eff,"&lt;"&amp;$C71)+COUNTIFS($J$7:$J71,$J71,$C$7:$C71,$C71))</f>
        <v>2</v>
      </c>
      <c r="T71" s="75">
        <f>IF(OR($C71="",$E71&lt;&gt;"planned",$C71&lt;DATE(nr_PlanYear,1,1),$C71&gt;DATE(nr_PlanYear,12,31)),0,IF(AND(COUNTIFS(rl_key,$J71,rl_status,"planned",rl_eff,"&gt;="&amp;DATE(nr_PlanYear,1,1),rl_eff,"&lt;"&amp;$C71)=0,COUNTIFS($J$7:$J71,$J71,$E$7:$E71,"planned",$C$7:$C71,$C71)=1),1,0))</f>
        <v>1</v>
      </c>
      <c r="U71" s="75">
        <f>IF(OR($C71="",$E71&lt;&gt;"taken"),0,IF(AND(COUNTIFS(rl_key,$J71,rl_effmonth,$M71,rl_eff,"&lt;"&amp;$C71,rl_status,"taken")=0,COUNTIFS($J$7:$J71,$J71,$M$7:$M71,$M71,$C$7:$C71,$C71,$E$7:$E71,"taken")=1),1,0))</f>
        <v>0</v>
      </c>
      <c r="V71" s="66">
        <f t="shared" ref="V71:V134" si="19">IF($J71="","",IF(COUNTIF(lr_key,$J71)=0,"not in tbl_LR",INDEX(calc_cylr_p,MATCH($J71,lr_key,0))))</f>
        <v>0.58818912262149681</v>
      </c>
      <c r="W71" s="76">
        <f t="shared" ref="W71:W134" si="20">IF(OR($J71="",COUNTIF(lr_key,$J71)=0),"",(INDEX(calc_cylr_p,MATCH($J71,lr_key,0))-INDEX(calc_lrcur,MATCH($J71,lr_key,0)))*100)</f>
        <v>-0.78108773785031671</v>
      </c>
      <c r="X71" s="77" t="str">
        <f>IF(OR($C71="",$J71&lt;&gt;nr_SelKey),"",(SUMPRODUCT(('Rate Engine'!$G$17:$G$64&gt;YEAR($C71)*12+MONTH($C71)-1)*'Rate Engine'!$H$17:$H$64,'Rate Engine'!$Q$17:$Q$64)+(EOMONTH($C71,0)-$C71+1)/DAY(EOMONTH($C71,0))*SUMPRODUCT(('Rate Engine'!$G$17:$G$64=YEAR($C71)*12+MONTH($C71)-1)*'Rate Engine'!$H$17:$H$64,'Rate Engine'!$Q$17:$Q$64))/SUMPRODUCT('Rate Engine'!$H$17:$H$64,'Rate Engine'!$Q$17:$Q$64))</f>
        <v/>
      </c>
      <c r="Y71" s="78" t="str">
        <f t="shared" ref="Y71:Y134" si="21">IF($C71="","",IF(AND($E71="taken",$G71&lt;&gt;"",$G71&lt;&gt;1),"achievement ignored — restate Filed %",""))</f>
        <v/>
      </c>
    </row>
    <row r="72" spans="1:25" x14ac:dyDescent="0.3">
      <c r="A72" s="11"/>
      <c r="B72" s="11"/>
      <c r="C72" s="61"/>
      <c r="D72" s="29"/>
      <c r="E72" s="11"/>
      <c r="F72" s="11"/>
      <c r="G72" s="59"/>
      <c r="H72" s="71"/>
      <c r="J72" s="65" t="str">
        <f t="shared" si="11"/>
        <v/>
      </c>
      <c r="K72" s="72" t="str">
        <f t="shared" si="12"/>
        <v/>
      </c>
      <c r="L72" s="73">
        <f t="shared" si="13"/>
        <v>0</v>
      </c>
      <c r="M72" s="74" t="str">
        <f t="shared" si="14"/>
        <v/>
      </c>
      <c r="N72" s="75">
        <f t="shared" si="15"/>
        <v>0</v>
      </c>
      <c r="O72" s="75">
        <f t="shared" si="16"/>
        <v>0</v>
      </c>
      <c r="P72" s="75">
        <f>IF($C72="",0,COUNTIFS($J$7:$J72,$J72,$M$7:$M72,$M72,$C$7:$C72,$C72))</f>
        <v>0</v>
      </c>
      <c r="Q72" s="75">
        <f t="shared" si="17"/>
        <v>0</v>
      </c>
      <c r="R72" s="75">
        <f t="shared" si="18"/>
        <v>0</v>
      </c>
      <c r="S72" s="75">
        <f>IF($C72="",0,COUNTIFS(rl_key,$J72,rl_eff,"&lt;"&amp;$C72)+COUNTIFS($J$7:$J72,$J72,$C$7:$C72,$C72))</f>
        <v>0</v>
      </c>
      <c r="T72" s="75">
        <f>IF(OR($C72="",$E72&lt;&gt;"planned",$C72&lt;DATE(nr_PlanYear,1,1),$C72&gt;DATE(nr_PlanYear,12,31)),0,IF(AND(COUNTIFS(rl_key,$J72,rl_status,"planned",rl_eff,"&gt;="&amp;DATE(nr_PlanYear,1,1),rl_eff,"&lt;"&amp;$C72)=0,COUNTIFS($J$7:$J72,$J72,$E$7:$E72,"planned",$C$7:$C72,$C72)=1),1,0))</f>
        <v>0</v>
      </c>
      <c r="U72" s="75">
        <f>IF(OR($C72="",$E72&lt;&gt;"taken"),0,IF(AND(COUNTIFS(rl_key,$J72,rl_effmonth,$M72,rl_eff,"&lt;"&amp;$C72,rl_status,"taken")=0,COUNTIFS($J$7:$J72,$J72,$M$7:$M72,$M72,$C$7:$C72,$C72,$E$7:$E72,"taken")=1),1,0))</f>
        <v>0</v>
      </c>
      <c r="V72" s="66" t="str">
        <f t="shared" si="19"/>
        <v/>
      </c>
      <c r="W72" s="76" t="str">
        <f t="shared" si="20"/>
        <v/>
      </c>
      <c r="X72" s="77" t="str">
        <f>IF(OR($C72="",$J72&lt;&gt;nr_SelKey),"",(SUMPRODUCT(('Rate Engine'!$G$17:$G$64&gt;YEAR($C72)*12+MONTH($C72)-1)*'Rate Engine'!$H$17:$H$64,'Rate Engine'!$Q$17:$Q$64)+(EOMONTH($C72,0)-$C72+1)/DAY(EOMONTH($C72,0))*SUMPRODUCT(('Rate Engine'!$G$17:$G$64=YEAR($C72)*12+MONTH($C72)-1)*'Rate Engine'!$H$17:$H$64,'Rate Engine'!$Q$17:$Q$64))/SUMPRODUCT('Rate Engine'!$H$17:$H$64,'Rate Engine'!$Q$17:$Q$64))</f>
        <v/>
      </c>
      <c r="Y72" s="78" t="str">
        <f t="shared" si="21"/>
        <v/>
      </c>
    </row>
    <row r="73" spans="1:25" x14ac:dyDescent="0.3">
      <c r="A73" s="11"/>
      <c r="B73" s="11"/>
      <c r="C73" s="61"/>
      <c r="D73" s="29"/>
      <c r="E73" s="11"/>
      <c r="F73" s="11"/>
      <c r="G73" s="59"/>
      <c r="H73" s="71"/>
      <c r="J73" s="65" t="str">
        <f t="shared" si="11"/>
        <v/>
      </c>
      <c r="K73" s="72" t="str">
        <f t="shared" si="12"/>
        <v/>
      </c>
      <c r="L73" s="73">
        <f t="shared" si="13"/>
        <v>0</v>
      </c>
      <c r="M73" s="74" t="str">
        <f t="shared" si="14"/>
        <v/>
      </c>
      <c r="N73" s="75">
        <f t="shared" si="15"/>
        <v>0</v>
      </c>
      <c r="O73" s="75">
        <f t="shared" si="16"/>
        <v>0</v>
      </c>
      <c r="P73" s="75">
        <f>IF($C73="",0,COUNTIFS($J$7:$J73,$J73,$M$7:$M73,$M73,$C$7:$C73,$C73))</f>
        <v>0</v>
      </c>
      <c r="Q73" s="75">
        <f t="shared" si="17"/>
        <v>0</v>
      </c>
      <c r="R73" s="75">
        <f t="shared" si="18"/>
        <v>0</v>
      </c>
      <c r="S73" s="75">
        <f>IF($C73="",0,COUNTIFS(rl_key,$J73,rl_eff,"&lt;"&amp;$C73)+COUNTIFS($J$7:$J73,$J73,$C$7:$C73,$C73))</f>
        <v>0</v>
      </c>
      <c r="T73" s="75">
        <f>IF(OR($C73="",$E73&lt;&gt;"planned",$C73&lt;DATE(nr_PlanYear,1,1),$C73&gt;DATE(nr_PlanYear,12,31)),0,IF(AND(COUNTIFS(rl_key,$J73,rl_status,"planned",rl_eff,"&gt;="&amp;DATE(nr_PlanYear,1,1),rl_eff,"&lt;"&amp;$C73)=0,COUNTIFS($J$7:$J73,$J73,$E$7:$E73,"planned",$C$7:$C73,$C73)=1),1,0))</f>
        <v>0</v>
      </c>
      <c r="U73" s="75">
        <f>IF(OR($C73="",$E73&lt;&gt;"taken"),0,IF(AND(COUNTIFS(rl_key,$J73,rl_effmonth,$M73,rl_eff,"&lt;"&amp;$C73,rl_status,"taken")=0,COUNTIFS($J$7:$J73,$J73,$M$7:$M73,$M73,$C$7:$C73,$C73,$E$7:$E73,"taken")=1),1,0))</f>
        <v>0</v>
      </c>
      <c r="V73" s="66" t="str">
        <f t="shared" si="19"/>
        <v/>
      </c>
      <c r="W73" s="76" t="str">
        <f t="shared" si="20"/>
        <v/>
      </c>
      <c r="X73" s="77" t="str">
        <f>IF(OR($C73="",$J73&lt;&gt;nr_SelKey),"",(SUMPRODUCT(('Rate Engine'!$G$17:$G$64&gt;YEAR($C73)*12+MONTH($C73)-1)*'Rate Engine'!$H$17:$H$64,'Rate Engine'!$Q$17:$Q$64)+(EOMONTH($C73,0)-$C73+1)/DAY(EOMONTH($C73,0))*SUMPRODUCT(('Rate Engine'!$G$17:$G$64=YEAR($C73)*12+MONTH($C73)-1)*'Rate Engine'!$H$17:$H$64,'Rate Engine'!$Q$17:$Q$64))/SUMPRODUCT('Rate Engine'!$H$17:$H$64,'Rate Engine'!$Q$17:$Q$64))</f>
        <v/>
      </c>
      <c r="Y73" s="78" t="str">
        <f t="shared" si="21"/>
        <v/>
      </c>
    </row>
    <row r="74" spans="1:25" x14ac:dyDescent="0.3">
      <c r="A74" s="11"/>
      <c r="B74" s="11"/>
      <c r="C74" s="61"/>
      <c r="D74" s="29"/>
      <c r="E74" s="11"/>
      <c r="F74" s="11"/>
      <c r="G74" s="59"/>
      <c r="H74" s="71"/>
      <c r="J74" s="65" t="str">
        <f t="shared" si="11"/>
        <v/>
      </c>
      <c r="K74" s="72" t="str">
        <f t="shared" si="12"/>
        <v/>
      </c>
      <c r="L74" s="73">
        <f t="shared" si="13"/>
        <v>0</v>
      </c>
      <c r="M74" s="74" t="str">
        <f t="shared" si="14"/>
        <v/>
      </c>
      <c r="N74" s="75">
        <f t="shared" si="15"/>
        <v>0</v>
      </c>
      <c r="O74" s="75">
        <f t="shared" si="16"/>
        <v>0</v>
      </c>
      <c r="P74" s="75">
        <f>IF($C74="",0,COUNTIFS($J$7:$J74,$J74,$M$7:$M74,$M74,$C$7:$C74,$C74))</f>
        <v>0</v>
      </c>
      <c r="Q74" s="75">
        <f t="shared" si="17"/>
        <v>0</v>
      </c>
      <c r="R74" s="75">
        <f t="shared" si="18"/>
        <v>0</v>
      </c>
      <c r="S74" s="75">
        <f>IF($C74="",0,COUNTIFS(rl_key,$J74,rl_eff,"&lt;"&amp;$C74)+COUNTIFS($J$7:$J74,$J74,$C$7:$C74,$C74))</f>
        <v>0</v>
      </c>
      <c r="T74" s="75">
        <f>IF(OR($C74="",$E74&lt;&gt;"planned",$C74&lt;DATE(nr_PlanYear,1,1),$C74&gt;DATE(nr_PlanYear,12,31)),0,IF(AND(COUNTIFS(rl_key,$J74,rl_status,"planned",rl_eff,"&gt;="&amp;DATE(nr_PlanYear,1,1),rl_eff,"&lt;"&amp;$C74)=0,COUNTIFS($J$7:$J74,$J74,$E$7:$E74,"planned",$C$7:$C74,$C74)=1),1,0))</f>
        <v>0</v>
      </c>
      <c r="U74" s="75">
        <f>IF(OR($C74="",$E74&lt;&gt;"taken"),0,IF(AND(COUNTIFS(rl_key,$J74,rl_effmonth,$M74,rl_eff,"&lt;"&amp;$C74,rl_status,"taken")=0,COUNTIFS($J$7:$J74,$J74,$M$7:$M74,$M74,$C$7:$C74,$C74,$E$7:$E74,"taken")=1),1,0))</f>
        <v>0</v>
      </c>
      <c r="V74" s="66" t="str">
        <f t="shared" si="19"/>
        <v/>
      </c>
      <c r="W74" s="76" t="str">
        <f t="shared" si="20"/>
        <v/>
      </c>
      <c r="X74" s="77" t="str">
        <f>IF(OR($C74="",$J74&lt;&gt;nr_SelKey),"",(SUMPRODUCT(('Rate Engine'!$G$17:$G$64&gt;YEAR($C74)*12+MONTH($C74)-1)*'Rate Engine'!$H$17:$H$64,'Rate Engine'!$Q$17:$Q$64)+(EOMONTH($C74,0)-$C74+1)/DAY(EOMONTH($C74,0))*SUMPRODUCT(('Rate Engine'!$G$17:$G$64=YEAR($C74)*12+MONTH($C74)-1)*'Rate Engine'!$H$17:$H$64,'Rate Engine'!$Q$17:$Q$64))/SUMPRODUCT('Rate Engine'!$H$17:$H$64,'Rate Engine'!$Q$17:$Q$64))</f>
        <v/>
      </c>
      <c r="Y74" s="78" t="str">
        <f t="shared" si="21"/>
        <v/>
      </c>
    </row>
    <row r="75" spans="1:25" x14ac:dyDescent="0.3">
      <c r="A75" s="11"/>
      <c r="B75" s="11"/>
      <c r="C75" s="61"/>
      <c r="D75" s="29"/>
      <c r="E75" s="11"/>
      <c r="F75" s="11"/>
      <c r="G75" s="59"/>
      <c r="H75" s="71"/>
      <c r="J75" s="65" t="str">
        <f t="shared" si="11"/>
        <v/>
      </c>
      <c r="K75" s="72" t="str">
        <f t="shared" si="12"/>
        <v/>
      </c>
      <c r="L75" s="73">
        <f t="shared" si="13"/>
        <v>0</v>
      </c>
      <c r="M75" s="74" t="str">
        <f t="shared" si="14"/>
        <v/>
      </c>
      <c r="N75" s="75">
        <f t="shared" si="15"/>
        <v>0</v>
      </c>
      <c r="O75" s="75">
        <f t="shared" si="16"/>
        <v>0</v>
      </c>
      <c r="P75" s="75">
        <f>IF($C75="",0,COUNTIFS($J$7:$J75,$J75,$M$7:$M75,$M75,$C$7:$C75,$C75))</f>
        <v>0</v>
      </c>
      <c r="Q75" s="75">
        <f t="shared" si="17"/>
        <v>0</v>
      </c>
      <c r="R75" s="75">
        <f t="shared" si="18"/>
        <v>0</v>
      </c>
      <c r="S75" s="75">
        <f>IF($C75="",0,COUNTIFS(rl_key,$J75,rl_eff,"&lt;"&amp;$C75)+COUNTIFS($J$7:$J75,$J75,$C$7:$C75,$C75))</f>
        <v>0</v>
      </c>
      <c r="T75" s="75">
        <f>IF(OR($C75="",$E75&lt;&gt;"planned",$C75&lt;DATE(nr_PlanYear,1,1),$C75&gt;DATE(nr_PlanYear,12,31)),0,IF(AND(COUNTIFS(rl_key,$J75,rl_status,"planned",rl_eff,"&gt;="&amp;DATE(nr_PlanYear,1,1),rl_eff,"&lt;"&amp;$C75)=0,COUNTIFS($J$7:$J75,$J75,$E$7:$E75,"planned",$C$7:$C75,$C75)=1),1,0))</f>
        <v>0</v>
      </c>
      <c r="U75" s="75">
        <f>IF(OR($C75="",$E75&lt;&gt;"taken"),0,IF(AND(COUNTIFS(rl_key,$J75,rl_effmonth,$M75,rl_eff,"&lt;"&amp;$C75,rl_status,"taken")=0,COUNTIFS($J$7:$J75,$J75,$M$7:$M75,$M75,$C$7:$C75,$C75,$E$7:$E75,"taken")=1),1,0))</f>
        <v>0</v>
      </c>
      <c r="V75" s="66" t="str">
        <f t="shared" si="19"/>
        <v/>
      </c>
      <c r="W75" s="76" t="str">
        <f t="shared" si="20"/>
        <v/>
      </c>
      <c r="X75" s="77" t="str">
        <f>IF(OR($C75="",$J75&lt;&gt;nr_SelKey),"",(SUMPRODUCT(('Rate Engine'!$G$17:$G$64&gt;YEAR($C75)*12+MONTH($C75)-1)*'Rate Engine'!$H$17:$H$64,'Rate Engine'!$Q$17:$Q$64)+(EOMONTH($C75,0)-$C75+1)/DAY(EOMONTH($C75,0))*SUMPRODUCT(('Rate Engine'!$G$17:$G$64=YEAR($C75)*12+MONTH($C75)-1)*'Rate Engine'!$H$17:$H$64,'Rate Engine'!$Q$17:$Q$64))/SUMPRODUCT('Rate Engine'!$H$17:$H$64,'Rate Engine'!$Q$17:$Q$64))</f>
        <v/>
      </c>
      <c r="Y75" s="78" t="str">
        <f t="shared" si="21"/>
        <v/>
      </c>
    </row>
    <row r="76" spans="1:25" x14ac:dyDescent="0.3">
      <c r="A76" s="11"/>
      <c r="B76" s="11"/>
      <c r="C76" s="61"/>
      <c r="D76" s="29"/>
      <c r="E76" s="11"/>
      <c r="F76" s="11"/>
      <c r="G76" s="59"/>
      <c r="H76" s="71"/>
      <c r="J76" s="65" t="str">
        <f t="shared" si="11"/>
        <v/>
      </c>
      <c r="K76" s="72" t="str">
        <f t="shared" si="12"/>
        <v/>
      </c>
      <c r="L76" s="73">
        <f t="shared" si="13"/>
        <v>0</v>
      </c>
      <c r="M76" s="74" t="str">
        <f t="shared" si="14"/>
        <v/>
      </c>
      <c r="N76" s="75">
        <f t="shared" si="15"/>
        <v>0</v>
      </c>
      <c r="O76" s="75">
        <f t="shared" si="16"/>
        <v>0</v>
      </c>
      <c r="P76" s="75">
        <f>IF($C76="",0,COUNTIFS($J$7:$J76,$J76,$M$7:$M76,$M76,$C$7:$C76,$C76))</f>
        <v>0</v>
      </c>
      <c r="Q76" s="75">
        <f t="shared" si="17"/>
        <v>0</v>
      </c>
      <c r="R76" s="75">
        <f t="shared" si="18"/>
        <v>0</v>
      </c>
      <c r="S76" s="75">
        <f>IF($C76="",0,COUNTIFS(rl_key,$J76,rl_eff,"&lt;"&amp;$C76)+COUNTIFS($J$7:$J76,$J76,$C$7:$C76,$C76))</f>
        <v>0</v>
      </c>
      <c r="T76" s="75">
        <f>IF(OR($C76="",$E76&lt;&gt;"planned",$C76&lt;DATE(nr_PlanYear,1,1),$C76&gt;DATE(nr_PlanYear,12,31)),0,IF(AND(COUNTIFS(rl_key,$J76,rl_status,"planned",rl_eff,"&gt;="&amp;DATE(nr_PlanYear,1,1),rl_eff,"&lt;"&amp;$C76)=0,COUNTIFS($J$7:$J76,$J76,$E$7:$E76,"planned",$C$7:$C76,$C76)=1),1,0))</f>
        <v>0</v>
      </c>
      <c r="U76" s="75">
        <f>IF(OR($C76="",$E76&lt;&gt;"taken"),0,IF(AND(COUNTIFS(rl_key,$J76,rl_effmonth,$M76,rl_eff,"&lt;"&amp;$C76,rl_status,"taken")=0,COUNTIFS($J$7:$J76,$J76,$M$7:$M76,$M76,$C$7:$C76,$C76,$E$7:$E76,"taken")=1),1,0))</f>
        <v>0</v>
      </c>
      <c r="V76" s="66" t="str">
        <f t="shared" si="19"/>
        <v/>
      </c>
      <c r="W76" s="76" t="str">
        <f t="shared" si="20"/>
        <v/>
      </c>
      <c r="X76" s="77" t="str">
        <f>IF(OR($C76="",$J76&lt;&gt;nr_SelKey),"",(SUMPRODUCT(('Rate Engine'!$G$17:$G$64&gt;YEAR($C76)*12+MONTH($C76)-1)*'Rate Engine'!$H$17:$H$64,'Rate Engine'!$Q$17:$Q$64)+(EOMONTH($C76,0)-$C76+1)/DAY(EOMONTH($C76,0))*SUMPRODUCT(('Rate Engine'!$G$17:$G$64=YEAR($C76)*12+MONTH($C76)-1)*'Rate Engine'!$H$17:$H$64,'Rate Engine'!$Q$17:$Q$64))/SUMPRODUCT('Rate Engine'!$H$17:$H$64,'Rate Engine'!$Q$17:$Q$64))</f>
        <v/>
      </c>
      <c r="Y76" s="78" t="str">
        <f t="shared" si="21"/>
        <v/>
      </c>
    </row>
    <row r="77" spans="1:25" x14ac:dyDescent="0.3">
      <c r="A77" s="11"/>
      <c r="B77" s="11"/>
      <c r="C77" s="61"/>
      <c r="D77" s="29"/>
      <c r="E77" s="11"/>
      <c r="F77" s="11"/>
      <c r="G77" s="59"/>
      <c r="H77" s="71"/>
      <c r="J77" s="65" t="str">
        <f t="shared" si="11"/>
        <v/>
      </c>
      <c r="K77" s="72" t="str">
        <f t="shared" si="12"/>
        <v/>
      </c>
      <c r="L77" s="73">
        <f t="shared" si="13"/>
        <v>0</v>
      </c>
      <c r="M77" s="74" t="str">
        <f t="shared" si="14"/>
        <v/>
      </c>
      <c r="N77" s="75">
        <f t="shared" si="15"/>
        <v>0</v>
      </c>
      <c r="O77" s="75">
        <f t="shared" si="16"/>
        <v>0</v>
      </c>
      <c r="P77" s="75">
        <f>IF($C77="",0,COUNTIFS($J$7:$J77,$J77,$M$7:$M77,$M77,$C$7:$C77,$C77))</f>
        <v>0</v>
      </c>
      <c r="Q77" s="75">
        <f t="shared" si="17"/>
        <v>0</v>
      </c>
      <c r="R77" s="75">
        <f t="shared" si="18"/>
        <v>0</v>
      </c>
      <c r="S77" s="75">
        <f>IF($C77="",0,COUNTIFS(rl_key,$J77,rl_eff,"&lt;"&amp;$C77)+COUNTIFS($J$7:$J77,$J77,$C$7:$C77,$C77))</f>
        <v>0</v>
      </c>
      <c r="T77" s="75">
        <f>IF(OR($C77="",$E77&lt;&gt;"planned",$C77&lt;DATE(nr_PlanYear,1,1),$C77&gt;DATE(nr_PlanYear,12,31)),0,IF(AND(COUNTIFS(rl_key,$J77,rl_status,"planned",rl_eff,"&gt;="&amp;DATE(nr_PlanYear,1,1),rl_eff,"&lt;"&amp;$C77)=0,COUNTIFS($J$7:$J77,$J77,$E$7:$E77,"planned",$C$7:$C77,$C77)=1),1,0))</f>
        <v>0</v>
      </c>
      <c r="U77" s="75">
        <f>IF(OR($C77="",$E77&lt;&gt;"taken"),0,IF(AND(COUNTIFS(rl_key,$J77,rl_effmonth,$M77,rl_eff,"&lt;"&amp;$C77,rl_status,"taken")=0,COUNTIFS($J$7:$J77,$J77,$M$7:$M77,$M77,$C$7:$C77,$C77,$E$7:$E77,"taken")=1),1,0))</f>
        <v>0</v>
      </c>
      <c r="V77" s="66" t="str">
        <f t="shared" si="19"/>
        <v/>
      </c>
      <c r="W77" s="76" t="str">
        <f t="shared" si="20"/>
        <v/>
      </c>
      <c r="X77" s="77" t="str">
        <f>IF(OR($C77="",$J77&lt;&gt;nr_SelKey),"",(SUMPRODUCT(('Rate Engine'!$G$17:$G$64&gt;YEAR($C77)*12+MONTH($C77)-1)*'Rate Engine'!$H$17:$H$64,'Rate Engine'!$Q$17:$Q$64)+(EOMONTH($C77,0)-$C77+1)/DAY(EOMONTH($C77,0))*SUMPRODUCT(('Rate Engine'!$G$17:$G$64=YEAR($C77)*12+MONTH($C77)-1)*'Rate Engine'!$H$17:$H$64,'Rate Engine'!$Q$17:$Q$64))/SUMPRODUCT('Rate Engine'!$H$17:$H$64,'Rate Engine'!$Q$17:$Q$64))</f>
        <v/>
      </c>
      <c r="Y77" s="78" t="str">
        <f t="shared" si="21"/>
        <v/>
      </c>
    </row>
    <row r="78" spans="1:25" x14ac:dyDescent="0.3">
      <c r="A78" s="11"/>
      <c r="B78" s="11"/>
      <c r="C78" s="61"/>
      <c r="D78" s="29"/>
      <c r="E78" s="11"/>
      <c r="F78" s="11"/>
      <c r="G78" s="59"/>
      <c r="H78" s="71"/>
      <c r="J78" s="65" t="str">
        <f t="shared" si="11"/>
        <v/>
      </c>
      <c r="K78" s="72" t="str">
        <f t="shared" si="12"/>
        <v/>
      </c>
      <c r="L78" s="73">
        <f t="shared" si="13"/>
        <v>0</v>
      </c>
      <c r="M78" s="74" t="str">
        <f t="shared" si="14"/>
        <v/>
      </c>
      <c r="N78" s="75">
        <f t="shared" si="15"/>
        <v>0</v>
      </c>
      <c r="O78" s="75">
        <f t="shared" si="16"/>
        <v>0</v>
      </c>
      <c r="P78" s="75">
        <f>IF($C78="",0,COUNTIFS($J$7:$J78,$J78,$M$7:$M78,$M78,$C$7:$C78,$C78))</f>
        <v>0</v>
      </c>
      <c r="Q78" s="75">
        <f t="shared" si="17"/>
        <v>0</v>
      </c>
      <c r="R78" s="75">
        <f t="shared" si="18"/>
        <v>0</v>
      </c>
      <c r="S78" s="75">
        <f>IF($C78="",0,COUNTIFS(rl_key,$J78,rl_eff,"&lt;"&amp;$C78)+COUNTIFS($J$7:$J78,$J78,$C$7:$C78,$C78))</f>
        <v>0</v>
      </c>
      <c r="T78" s="75">
        <f>IF(OR($C78="",$E78&lt;&gt;"planned",$C78&lt;DATE(nr_PlanYear,1,1),$C78&gt;DATE(nr_PlanYear,12,31)),0,IF(AND(COUNTIFS(rl_key,$J78,rl_status,"planned",rl_eff,"&gt;="&amp;DATE(nr_PlanYear,1,1),rl_eff,"&lt;"&amp;$C78)=0,COUNTIFS($J$7:$J78,$J78,$E$7:$E78,"planned",$C$7:$C78,$C78)=1),1,0))</f>
        <v>0</v>
      </c>
      <c r="U78" s="75">
        <f>IF(OR($C78="",$E78&lt;&gt;"taken"),0,IF(AND(COUNTIFS(rl_key,$J78,rl_effmonth,$M78,rl_eff,"&lt;"&amp;$C78,rl_status,"taken")=0,COUNTIFS($J$7:$J78,$J78,$M$7:$M78,$M78,$C$7:$C78,$C78,$E$7:$E78,"taken")=1),1,0))</f>
        <v>0</v>
      </c>
      <c r="V78" s="66" t="str">
        <f t="shared" si="19"/>
        <v/>
      </c>
      <c r="W78" s="76" t="str">
        <f t="shared" si="20"/>
        <v/>
      </c>
      <c r="X78" s="77" t="str">
        <f>IF(OR($C78="",$J78&lt;&gt;nr_SelKey),"",(SUMPRODUCT(('Rate Engine'!$G$17:$G$64&gt;YEAR($C78)*12+MONTH($C78)-1)*'Rate Engine'!$H$17:$H$64,'Rate Engine'!$Q$17:$Q$64)+(EOMONTH($C78,0)-$C78+1)/DAY(EOMONTH($C78,0))*SUMPRODUCT(('Rate Engine'!$G$17:$G$64=YEAR($C78)*12+MONTH($C78)-1)*'Rate Engine'!$H$17:$H$64,'Rate Engine'!$Q$17:$Q$64))/SUMPRODUCT('Rate Engine'!$H$17:$H$64,'Rate Engine'!$Q$17:$Q$64))</f>
        <v/>
      </c>
      <c r="Y78" s="78" t="str">
        <f t="shared" si="21"/>
        <v/>
      </c>
    </row>
    <row r="79" spans="1:25" x14ac:dyDescent="0.3">
      <c r="A79" s="11"/>
      <c r="B79" s="11"/>
      <c r="C79" s="61"/>
      <c r="D79" s="29"/>
      <c r="E79" s="11"/>
      <c r="F79" s="11"/>
      <c r="G79" s="59"/>
      <c r="H79" s="71"/>
      <c r="J79" s="65" t="str">
        <f t="shared" si="11"/>
        <v/>
      </c>
      <c r="K79" s="72" t="str">
        <f t="shared" si="12"/>
        <v/>
      </c>
      <c r="L79" s="73">
        <f t="shared" si="13"/>
        <v>0</v>
      </c>
      <c r="M79" s="74" t="str">
        <f t="shared" si="14"/>
        <v/>
      </c>
      <c r="N79" s="75">
        <f t="shared" si="15"/>
        <v>0</v>
      </c>
      <c r="O79" s="75">
        <f t="shared" si="16"/>
        <v>0</v>
      </c>
      <c r="P79" s="75">
        <f>IF($C79="",0,COUNTIFS($J$7:$J79,$J79,$M$7:$M79,$M79,$C$7:$C79,$C79))</f>
        <v>0</v>
      </c>
      <c r="Q79" s="75">
        <f t="shared" si="17"/>
        <v>0</v>
      </c>
      <c r="R79" s="75">
        <f t="shared" si="18"/>
        <v>0</v>
      </c>
      <c r="S79" s="75">
        <f>IF($C79="",0,COUNTIFS(rl_key,$J79,rl_eff,"&lt;"&amp;$C79)+COUNTIFS($J$7:$J79,$J79,$C$7:$C79,$C79))</f>
        <v>0</v>
      </c>
      <c r="T79" s="75">
        <f>IF(OR($C79="",$E79&lt;&gt;"planned",$C79&lt;DATE(nr_PlanYear,1,1),$C79&gt;DATE(nr_PlanYear,12,31)),0,IF(AND(COUNTIFS(rl_key,$J79,rl_status,"planned",rl_eff,"&gt;="&amp;DATE(nr_PlanYear,1,1),rl_eff,"&lt;"&amp;$C79)=0,COUNTIFS($J$7:$J79,$J79,$E$7:$E79,"planned",$C$7:$C79,$C79)=1),1,0))</f>
        <v>0</v>
      </c>
      <c r="U79" s="75">
        <f>IF(OR($C79="",$E79&lt;&gt;"taken"),0,IF(AND(COUNTIFS(rl_key,$J79,rl_effmonth,$M79,rl_eff,"&lt;"&amp;$C79,rl_status,"taken")=0,COUNTIFS($J$7:$J79,$J79,$M$7:$M79,$M79,$C$7:$C79,$C79,$E$7:$E79,"taken")=1),1,0))</f>
        <v>0</v>
      </c>
      <c r="V79" s="66" t="str">
        <f t="shared" si="19"/>
        <v/>
      </c>
      <c r="W79" s="76" t="str">
        <f t="shared" si="20"/>
        <v/>
      </c>
      <c r="X79" s="77" t="str">
        <f>IF(OR($C79="",$J79&lt;&gt;nr_SelKey),"",(SUMPRODUCT(('Rate Engine'!$G$17:$G$64&gt;YEAR($C79)*12+MONTH($C79)-1)*'Rate Engine'!$H$17:$H$64,'Rate Engine'!$Q$17:$Q$64)+(EOMONTH($C79,0)-$C79+1)/DAY(EOMONTH($C79,0))*SUMPRODUCT(('Rate Engine'!$G$17:$G$64=YEAR($C79)*12+MONTH($C79)-1)*'Rate Engine'!$H$17:$H$64,'Rate Engine'!$Q$17:$Q$64))/SUMPRODUCT('Rate Engine'!$H$17:$H$64,'Rate Engine'!$Q$17:$Q$64))</f>
        <v/>
      </c>
      <c r="Y79" s="78" t="str">
        <f t="shared" si="21"/>
        <v/>
      </c>
    </row>
    <row r="80" spans="1:25" x14ac:dyDescent="0.3">
      <c r="A80" s="11"/>
      <c r="B80" s="11"/>
      <c r="C80" s="61"/>
      <c r="D80" s="29"/>
      <c r="E80" s="11"/>
      <c r="F80" s="11"/>
      <c r="G80" s="59"/>
      <c r="H80" s="71"/>
      <c r="J80" s="65" t="str">
        <f t="shared" si="11"/>
        <v/>
      </c>
      <c r="K80" s="72" t="str">
        <f t="shared" si="12"/>
        <v/>
      </c>
      <c r="L80" s="73">
        <f t="shared" si="13"/>
        <v>0</v>
      </c>
      <c r="M80" s="74" t="str">
        <f t="shared" si="14"/>
        <v/>
      </c>
      <c r="N80" s="75">
        <f t="shared" si="15"/>
        <v>0</v>
      </c>
      <c r="O80" s="75">
        <f t="shared" si="16"/>
        <v>0</v>
      </c>
      <c r="P80" s="75">
        <f>IF($C80="",0,COUNTIFS($J$7:$J80,$J80,$M$7:$M80,$M80,$C$7:$C80,$C80))</f>
        <v>0</v>
      </c>
      <c r="Q80" s="75">
        <f t="shared" si="17"/>
        <v>0</v>
      </c>
      <c r="R80" s="75">
        <f t="shared" si="18"/>
        <v>0</v>
      </c>
      <c r="S80" s="75">
        <f>IF($C80="",0,COUNTIFS(rl_key,$J80,rl_eff,"&lt;"&amp;$C80)+COUNTIFS($J$7:$J80,$J80,$C$7:$C80,$C80))</f>
        <v>0</v>
      </c>
      <c r="T80" s="75">
        <f>IF(OR($C80="",$E80&lt;&gt;"planned",$C80&lt;DATE(nr_PlanYear,1,1),$C80&gt;DATE(nr_PlanYear,12,31)),0,IF(AND(COUNTIFS(rl_key,$J80,rl_status,"planned",rl_eff,"&gt;="&amp;DATE(nr_PlanYear,1,1),rl_eff,"&lt;"&amp;$C80)=0,COUNTIFS($J$7:$J80,$J80,$E$7:$E80,"planned",$C$7:$C80,$C80)=1),1,0))</f>
        <v>0</v>
      </c>
      <c r="U80" s="75">
        <f>IF(OR($C80="",$E80&lt;&gt;"taken"),0,IF(AND(COUNTIFS(rl_key,$J80,rl_effmonth,$M80,rl_eff,"&lt;"&amp;$C80,rl_status,"taken")=0,COUNTIFS($J$7:$J80,$J80,$M$7:$M80,$M80,$C$7:$C80,$C80,$E$7:$E80,"taken")=1),1,0))</f>
        <v>0</v>
      </c>
      <c r="V80" s="66" t="str">
        <f t="shared" si="19"/>
        <v/>
      </c>
      <c r="W80" s="76" t="str">
        <f t="shared" si="20"/>
        <v/>
      </c>
      <c r="X80" s="77" t="str">
        <f>IF(OR($C80="",$J80&lt;&gt;nr_SelKey),"",(SUMPRODUCT(('Rate Engine'!$G$17:$G$64&gt;YEAR($C80)*12+MONTH($C80)-1)*'Rate Engine'!$H$17:$H$64,'Rate Engine'!$Q$17:$Q$64)+(EOMONTH($C80,0)-$C80+1)/DAY(EOMONTH($C80,0))*SUMPRODUCT(('Rate Engine'!$G$17:$G$64=YEAR($C80)*12+MONTH($C80)-1)*'Rate Engine'!$H$17:$H$64,'Rate Engine'!$Q$17:$Q$64))/SUMPRODUCT('Rate Engine'!$H$17:$H$64,'Rate Engine'!$Q$17:$Q$64))</f>
        <v/>
      </c>
      <c r="Y80" s="78" t="str">
        <f t="shared" si="21"/>
        <v/>
      </c>
    </row>
    <row r="81" spans="1:25" x14ac:dyDescent="0.3">
      <c r="A81" s="11"/>
      <c r="B81" s="11"/>
      <c r="C81" s="61"/>
      <c r="D81" s="29"/>
      <c r="E81" s="11"/>
      <c r="F81" s="11"/>
      <c r="G81" s="59"/>
      <c r="H81" s="71"/>
      <c r="J81" s="65" t="str">
        <f t="shared" si="11"/>
        <v/>
      </c>
      <c r="K81" s="72" t="str">
        <f t="shared" si="12"/>
        <v/>
      </c>
      <c r="L81" s="73">
        <f t="shared" si="13"/>
        <v>0</v>
      </c>
      <c r="M81" s="74" t="str">
        <f t="shared" si="14"/>
        <v/>
      </c>
      <c r="N81" s="75">
        <f t="shared" si="15"/>
        <v>0</v>
      </c>
      <c r="O81" s="75">
        <f t="shared" si="16"/>
        <v>0</v>
      </c>
      <c r="P81" s="75">
        <f>IF($C81="",0,COUNTIFS($J$7:$J81,$J81,$M$7:$M81,$M81,$C$7:$C81,$C81))</f>
        <v>0</v>
      </c>
      <c r="Q81" s="75">
        <f t="shared" si="17"/>
        <v>0</v>
      </c>
      <c r="R81" s="75">
        <f t="shared" si="18"/>
        <v>0</v>
      </c>
      <c r="S81" s="75">
        <f>IF($C81="",0,COUNTIFS(rl_key,$J81,rl_eff,"&lt;"&amp;$C81)+COUNTIFS($J$7:$J81,$J81,$C$7:$C81,$C81))</f>
        <v>0</v>
      </c>
      <c r="T81" s="75">
        <f>IF(OR($C81="",$E81&lt;&gt;"planned",$C81&lt;DATE(nr_PlanYear,1,1),$C81&gt;DATE(nr_PlanYear,12,31)),0,IF(AND(COUNTIFS(rl_key,$J81,rl_status,"planned",rl_eff,"&gt;="&amp;DATE(nr_PlanYear,1,1),rl_eff,"&lt;"&amp;$C81)=0,COUNTIFS($J$7:$J81,$J81,$E$7:$E81,"planned",$C$7:$C81,$C81)=1),1,0))</f>
        <v>0</v>
      </c>
      <c r="U81" s="75">
        <f>IF(OR($C81="",$E81&lt;&gt;"taken"),0,IF(AND(COUNTIFS(rl_key,$J81,rl_effmonth,$M81,rl_eff,"&lt;"&amp;$C81,rl_status,"taken")=0,COUNTIFS($J$7:$J81,$J81,$M$7:$M81,$M81,$C$7:$C81,$C81,$E$7:$E81,"taken")=1),1,0))</f>
        <v>0</v>
      </c>
      <c r="V81" s="66" t="str">
        <f t="shared" si="19"/>
        <v/>
      </c>
      <c r="W81" s="76" t="str">
        <f t="shared" si="20"/>
        <v/>
      </c>
      <c r="X81" s="77" t="str">
        <f>IF(OR($C81="",$J81&lt;&gt;nr_SelKey),"",(SUMPRODUCT(('Rate Engine'!$G$17:$G$64&gt;YEAR($C81)*12+MONTH($C81)-1)*'Rate Engine'!$H$17:$H$64,'Rate Engine'!$Q$17:$Q$64)+(EOMONTH($C81,0)-$C81+1)/DAY(EOMONTH($C81,0))*SUMPRODUCT(('Rate Engine'!$G$17:$G$64=YEAR($C81)*12+MONTH($C81)-1)*'Rate Engine'!$H$17:$H$64,'Rate Engine'!$Q$17:$Q$64))/SUMPRODUCT('Rate Engine'!$H$17:$H$64,'Rate Engine'!$Q$17:$Q$64))</f>
        <v/>
      </c>
      <c r="Y81" s="78" t="str">
        <f t="shared" si="21"/>
        <v/>
      </c>
    </row>
    <row r="82" spans="1:25" x14ac:dyDescent="0.3">
      <c r="A82" s="11"/>
      <c r="B82" s="11"/>
      <c r="C82" s="61"/>
      <c r="D82" s="29"/>
      <c r="E82" s="11"/>
      <c r="F82" s="11"/>
      <c r="G82" s="59"/>
      <c r="H82" s="71"/>
      <c r="J82" s="65" t="str">
        <f t="shared" si="11"/>
        <v/>
      </c>
      <c r="K82" s="72" t="str">
        <f t="shared" si="12"/>
        <v/>
      </c>
      <c r="L82" s="73">
        <f t="shared" si="13"/>
        <v>0</v>
      </c>
      <c r="M82" s="74" t="str">
        <f t="shared" si="14"/>
        <v/>
      </c>
      <c r="N82" s="75">
        <f t="shared" si="15"/>
        <v>0</v>
      </c>
      <c r="O82" s="75">
        <f t="shared" si="16"/>
        <v>0</v>
      </c>
      <c r="P82" s="75">
        <f>IF($C82="",0,COUNTIFS($J$7:$J82,$J82,$M$7:$M82,$M82,$C$7:$C82,$C82))</f>
        <v>0</v>
      </c>
      <c r="Q82" s="75">
        <f t="shared" si="17"/>
        <v>0</v>
      </c>
      <c r="R82" s="75">
        <f t="shared" si="18"/>
        <v>0</v>
      </c>
      <c r="S82" s="75">
        <f>IF($C82="",0,COUNTIFS(rl_key,$J82,rl_eff,"&lt;"&amp;$C82)+COUNTIFS($J$7:$J82,$J82,$C$7:$C82,$C82))</f>
        <v>0</v>
      </c>
      <c r="T82" s="75">
        <f>IF(OR($C82="",$E82&lt;&gt;"planned",$C82&lt;DATE(nr_PlanYear,1,1),$C82&gt;DATE(nr_PlanYear,12,31)),0,IF(AND(COUNTIFS(rl_key,$J82,rl_status,"planned",rl_eff,"&gt;="&amp;DATE(nr_PlanYear,1,1),rl_eff,"&lt;"&amp;$C82)=0,COUNTIFS($J$7:$J82,$J82,$E$7:$E82,"planned",$C$7:$C82,$C82)=1),1,0))</f>
        <v>0</v>
      </c>
      <c r="U82" s="75">
        <f>IF(OR($C82="",$E82&lt;&gt;"taken"),0,IF(AND(COUNTIFS(rl_key,$J82,rl_effmonth,$M82,rl_eff,"&lt;"&amp;$C82,rl_status,"taken")=0,COUNTIFS($J$7:$J82,$J82,$M$7:$M82,$M82,$C$7:$C82,$C82,$E$7:$E82,"taken")=1),1,0))</f>
        <v>0</v>
      </c>
      <c r="V82" s="66" t="str">
        <f t="shared" si="19"/>
        <v/>
      </c>
      <c r="W82" s="76" t="str">
        <f t="shared" si="20"/>
        <v/>
      </c>
      <c r="X82" s="77" t="str">
        <f>IF(OR($C82="",$J82&lt;&gt;nr_SelKey),"",(SUMPRODUCT(('Rate Engine'!$G$17:$G$64&gt;YEAR($C82)*12+MONTH($C82)-1)*'Rate Engine'!$H$17:$H$64,'Rate Engine'!$Q$17:$Q$64)+(EOMONTH($C82,0)-$C82+1)/DAY(EOMONTH($C82,0))*SUMPRODUCT(('Rate Engine'!$G$17:$G$64=YEAR($C82)*12+MONTH($C82)-1)*'Rate Engine'!$H$17:$H$64,'Rate Engine'!$Q$17:$Q$64))/SUMPRODUCT('Rate Engine'!$H$17:$H$64,'Rate Engine'!$Q$17:$Q$64))</f>
        <v/>
      </c>
      <c r="Y82" s="78" t="str">
        <f t="shared" si="21"/>
        <v/>
      </c>
    </row>
    <row r="83" spans="1:25" x14ac:dyDescent="0.3">
      <c r="A83" s="11"/>
      <c r="B83" s="11"/>
      <c r="C83" s="61"/>
      <c r="D83" s="29"/>
      <c r="E83" s="11"/>
      <c r="F83" s="11"/>
      <c r="G83" s="59"/>
      <c r="H83" s="71"/>
      <c r="J83" s="65" t="str">
        <f t="shared" si="11"/>
        <v/>
      </c>
      <c r="K83" s="72" t="str">
        <f t="shared" si="12"/>
        <v/>
      </c>
      <c r="L83" s="73">
        <f t="shared" si="13"/>
        <v>0</v>
      </c>
      <c r="M83" s="74" t="str">
        <f t="shared" si="14"/>
        <v/>
      </c>
      <c r="N83" s="75">
        <f t="shared" si="15"/>
        <v>0</v>
      </c>
      <c r="O83" s="75">
        <f t="shared" si="16"/>
        <v>0</v>
      </c>
      <c r="P83" s="75">
        <f>IF($C83="",0,COUNTIFS($J$7:$J83,$J83,$M$7:$M83,$M83,$C$7:$C83,$C83))</f>
        <v>0</v>
      </c>
      <c r="Q83" s="75">
        <f t="shared" si="17"/>
        <v>0</v>
      </c>
      <c r="R83" s="75">
        <f t="shared" si="18"/>
        <v>0</v>
      </c>
      <c r="S83" s="75">
        <f>IF($C83="",0,COUNTIFS(rl_key,$J83,rl_eff,"&lt;"&amp;$C83)+COUNTIFS($J$7:$J83,$J83,$C$7:$C83,$C83))</f>
        <v>0</v>
      </c>
      <c r="T83" s="75">
        <f>IF(OR($C83="",$E83&lt;&gt;"planned",$C83&lt;DATE(nr_PlanYear,1,1),$C83&gt;DATE(nr_PlanYear,12,31)),0,IF(AND(COUNTIFS(rl_key,$J83,rl_status,"planned",rl_eff,"&gt;="&amp;DATE(nr_PlanYear,1,1),rl_eff,"&lt;"&amp;$C83)=0,COUNTIFS($J$7:$J83,$J83,$E$7:$E83,"planned",$C$7:$C83,$C83)=1),1,0))</f>
        <v>0</v>
      </c>
      <c r="U83" s="75">
        <f>IF(OR($C83="",$E83&lt;&gt;"taken"),0,IF(AND(COUNTIFS(rl_key,$J83,rl_effmonth,$M83,rl_eff,"&lt;"&amp;$C83,rl_status,"taken")=0,COUNTIFS($J$7:$J83,$J83,$M$7:$M83,$M83,$C$7:$C83,$C83,$E$7:$E83,"taken")=1),1,0))</f>
        <v>0</v>
      </c>
      <c r="V83" s="66" t="str">
        <f t="shared" si="19"/>
        <v/>
      </c>
      <c r="W83" s="76" t="str">
        <f t="shared" si="20"/>
        <v/>
      </c>
      <c r="X83" s="77" t="str">
        <f>IF(OR($C83="",$J83&lt;&gt;nr_SelKey),"",(SUMPRODUCT(('Rate Engine'!$G$17:$G$64&gt;YEAR($C83)*12+MONTH($C83)-1)*'Rate Engine'!$H$17:$H$64,'Rate Engine'!$Q$17:$Q$64)+(EOMONTH($C83,0)-$C83+1)/DAY(EOMONTH($C83,0))*SUMPRODUCT(('Rate Engine'!$G$17:$G$64=YEAR($C83)*12+MONTH($C83)-1)*'Rate Engine'!$H$17:$H$64,'Rate Engine'!$Q$17:$Q$64))/SUMPRODUCT('Rate Engine'!$H$17:$H$64,'Rate Engine'!$Q$17:$Q$64))</f>
        <v/>
      </c>
      <c r="Y83" s="78" t="str">
        <f t="shared" si="21"/>
        <v/>
      </c>
    </row>
    <row r="84" spans="1:25" x14ac:dyDescent="0.3">
      <c r="A84" s="11"/>
      <c r="B84" s="11"/>
      <c r="C84" s="61"/>
      <c r="D84" s="29"/>
      <c r="E84" s="11"/>
      <c r="F84" s="11"/>
      <c r="G84" s="59"/>
      <c r="H84" s="71"/>
      <c r="J84" s="65" t="str">
        <f t="shared" si="11"/>
        <v/>
      </c>
      <c r="K84" s="72" t="str">
        <f t="shared" si="12"/>
        <v/>
      </c>
      <c r="L84" s="73">
        <f t="shared" si="13"/>
        <v>0</v>
      </c>
      <c r="M84" s="74" t="str">
        <f t="shared" si="14"/>
        <v/>
      </c>
      <c r="N84" s="75">
        <f t="shared" si="15"/>
        <v>0</v>
      </c>
      <c r="O84" s="75">
        <f t="shared" si="16"/>
        <v>0</v>
      </c>
      <c r="P84" s="75">
        <f>IF($C84="",0,COUNTIFS($J$7:$J84,$J84,$M$7:$M84,$M84,$C$7:$C84,$C84))</f>
        <v>0</v>
      </c>
      <c r="Q84" s="75">
        <f t="shared" si="17"/>
        <v>0</v>
      </c>
      <c r="R84" s="75">
        <f t="shared" si="18"/>
        <v>0</v>
      </c>
      <c r="S84" s="75">
        <f>IF($C84="",0,COUNTIFS(rl_key,$J84,rl_eff,"&lt;"&amp;$C84)+COUNTIFS($J$7:$J84,$J84,$C$7:$C84,$C84))</f>
        <v>0</v>
      </c>
      <c r="T84" s="75">
        <f>IF(OR($C84="",$E84&lt;&gt;"planned",$C84&lt;DATE(nr_PlanYear,1,1),$C84&gt;DATE(nr_PlanYear,12,31)),0,IF(AND(COUNTIFS(rl_key,$J84,rl_status,"planned",rl_eff,"&gt;="&amp;DATE(nr_PlanYear,1,1),rl_eff,"&lt;"&amp;$C84)=0,COUNTIFS($J$7:$J84,$J84,$E$7:$E84,"planned",$C$7:$C84,$C84)=1),1,0))</f>
        <v>0</v>
      </c>
      <c r="U84" s="75">
        <f>IF(OR($C84="",$E84&lt;&gt;"taken"),0,IF(AND(COUNTIFS(rl_key,$J84,rl_effmonth,$M84,rl_eff,"&lt;"&amp;$C84,rl_status,"taken")=0,COUNTIFS($J$7:$J84,$J84,$M$7:$M84,$M84,$C$7:$C84,$C84,$E$7:$E84,"taken")=1),1,0))</f>
        <v>0</v>
      </c>
      <c r="V84" s="66" t="str">
        <f t="shared" si="19"/>
        <v/>
      </c>
      <c r="W84" s="76" t="str">
        <f t="shared" si="20"/>
        <v/>
      </c>
      <c r="X84" s="77" t="str">
        <f>IF(OR($C84="",$J84&lt;&gt;nr_SelKey),"",(SUMPRODUCT(('Rate Engine'!$G$17:$G$64&gt;YEAR($C84)*12+MONTH($C84)-1)*'Rate Engine'!$H$17:$H$64,'Rate Engine'!$Q$17:$Q$64)+(EOMONTH($C84,0)-$C84+1)/DAY(EOMONTH($C84,0))*SUMPRODUCT(('Rate Engine'!$G$17:$G$64=YEAR($C84)*12+MONTH($C84)-1)*'Rate Engine'!$H$17:$H$64,'Rate Engine'!$Q$17:$Q$64))/SUMPRODUCT('Rate Engine'!$H$17:$H$64,'Rate Engine'!$Q$17:$Q$64))</f>
        <v/>
      </c>
      <c r="Y84" s="78" t="str">
        <f t="shared" si="21"/>
        <v/>
      </c>
    </row>
    <row r="85" spans="1:25" x14ac:dyDescent="0.3">
      <c r="A85" s="11"/>
      <c r="B85" s="11"/>
      <c r="C85" s="61"/>
      <c r="D85" s="29"/>
      <c r="E85" s="11"/>
      <c r="F85" s="11"/>
      <c r="G85" s="59"/>
      <c r="H85" s="71"/>
      <c r="J85" s="65" t="str">
        <f t="shared" si="11"/>
        <v/>
      </c>
      <c r="K85" s="72" t="str">
        <f t="shared" si="12"/>
        <v/>
      </c>
      <c r="L85" s="73">
        <f t="shared" si="13"/>
        <v>0</v>
      </c>
      <c r="M85" s="74" t="str">
        <f t="shared" si="14"/>
        <v/>
      </c>
      <c r="N85" s="75">
        <f t="shared" si="15"/>
        <v>0</v>
      </c>
      <c r="O85" s="75">
        <f t="shared" si="16"/>
        <v>0</v>
      </c>
      <c r="P85" s="75">
        <f>IF($C85="",0,COUNTIFS($J$7:$J85,$J85,$M$7:$M85,$M85,$C$7:$C85,$C85))</f>
        <v>0</v>
      </c>
      <c r="Q85" s="75">
        <f t="shared" si="17"/>
        <v>0</v>
      </c>
      <c r="R85" s="75">
        <f t="shared" si="18"/>
        <v>0</v>
      </c>
      <c r="S85" s="75">
        <f>IF($C85="",0,COUNTIFS(rl_key,$J85,rl_eff,"&lt;"&amp;$C85)+COUNTIFS($J$7:$J85,$J85,$C$7:$C85,$C85))</f>
        <v>0</v>
      </c>
      <c r="T85" s="75">
        <f>IF(OR($C85="",$E85&lt;&gt;"planned",$C85&lt;DATE(nr_PlanYear,1,1),$C85&gt;DATE(nr_PlanYear,12,31)),0,IF(AND(COUNTIFS(rl_key,$J85,rl_status,"planned",rl_eff,"&gt;="&amp;DATE(nr_PlanYear,1,1),rl_eff,"&lt;"&amp;$C85)=0,COUNTIFS($J$7:$J85,$J85,$E$7:$E85,"planned",$C$7:$C85,$C85)=1),1,0))</f>
        <v>0</v>
      </c>
      <c r="U85" s="75">
        <f>IF(OR($C85="",$E85&lt;&gt;"taken"),0,IF(AND(COUNTIFS(rl_key,$J85,rl_effmonth,$M85,rl_eff,"&lt;"&amp;$C85,rl_status,"taken")=0,COUNTIFS($J$7:$J85,$J85,$M$7:$M85,$M85,$C$7:$C85,$C85,$E$7:$E85,"taken")=1),1,0))</f>
        <v>0</v>
      </c>
      <c r="V85" s="66" t="str">
        <f t="shared" si="19"/>
        <v/>
      </c>
      <c r="W85" s="76" t="str">
        <f t="shared" si="20"/>
        <v/>
      </c>
      <c r="X85" s="77" t="str">
        <f>IF(OR($C85="",$J85&lt;&gt;nr_SelKey),"",(SUMPRODUCT(('Rate Engine'!$G$17:$G$64&gt;YEAR($C85)*12+MONTH($C85)-1)*'Rate Engine'!$H$17:$H$64,'Rate Engine'!$Q$17:$Q$64)+(EOMONTH($C85,0)-$C85+1)/DAY(EOMONTH($C85,0))*SUMPRODUCT(('Rate Engine'!$G$17:$G$64=YEAR($C85)*12+MONTH($C85)-1)*'Rate Engine'!$H$17:$H$64,'Rate Engine'!$Q$17:$Q$64))/SUMPRODUCT('Rate Engine'!$H$17:$H$64,'Rate Engine'!$Q$17:$Q$64))</f>
        <v/>
      </c>
      <c r="Y85" s="78" t="str">
        <f t="shared" si="21"/>
        <v/>
      </c>
    </row>
    <row r="86" spans="1:25" x14ac:dyDescent="0.3">
      <c r="A86" s="11"/>
      <c r="B86" s="11"/>
      <c r="C86" s="61"/>
      <c r="D86" s="29"/>
      <c r="E86" s="11"/>
      <c r="F86" s="11"/>
      <c r="G86" s="59"/>
      <c r="H86" s="71"/>
      <c r="J86" s="65" t="str">
        <f t="shared" si="11"/>
        <v/>
      </c>
      <c r="K86" s="72" t="str">
        <f t="shared" si="12"/>
        <v/>
      </c>
      <c r="L86" s="73">
        <f t="shared" si="13"/>
        <v>0</v>
      </c>
      <c r="M86" s="74" t="str">
        <f t="shared" si="14"/>
        <v/>
      </c>
      <c r="N86" s="75">
        <f t="shared" si="15"/>
        <v>0</v>
      </c>
      <c r="O86" s="75">
        <f t="shared" si="16"/>
        <v>0</v>
      </c>
      <c r="P86" s="75">
        <f>IF($C86="",0,COUNTIFS($J$7:$J86,$J86,$M$7:$M86,$M86,$C$7:$C86,$C86))</f>
        <v>0</v>
      </c>
      <c r="Q86" s="75">
        <f t="shared" si="17"/>
        <v>0</v>
      </c>
      <c r="R86" s="75">
        <f t="shared" si="18"/>
        <v>0</v>
      </c>
      <c r="S86" s="75">
        <f>IF($C86="",0,COUNTIFS(rl_key,$J86,rl_eff,"&lt;"&amp;$C86)+COUNTIFS($J$7:$J86,$J86,$C$7:$C86,$C86))</f>
        <v>0</v>
      </c>
      <c r="T86" s="75">
        <f>IF(OR($C86="",$E86&lt;&gt;"planned",$C86&lt;DATE(nr_PlanYear,1,1),$C86&gt;DATE(nr_PlanYear,12,31)),0,IF(AND(COUNTIFS(rl_key,$J86,rl_status,"planned",rl_eff,"&gt;="&amp;DATE(nr_PlanYear,1,1),rl_eff,"&lt;"&amp;$C86)=0,COUNTIFS($J$7:$J86,$J86,$E$7:$E86,"planned",$C$7:$C86,$C86)=1),1,0))</f>
        <v>0</v>
      </c>
      <c r="U86" s="75">
        <f>IF(OR($C86="",$E86&lt;&gt;"taken"),0,IF(AND(COUNTIFS(rl_key,$J86,rl_effmonth,$M86,rl_eff,"&lt;"&amp;$C86,rl_status,"taken")=0,COUNTIFS($J$7:$J86,$J86,$M$7:$M86,$M86,$C$7:$C86,$C86,$E$7:$E86,"taken")=1),1,0))</f>
        <v>0</v>
      </c>
      <c r="V86" s="66" t="str">
        <f t="shared" si="19"/>
        <v/>
      </c>
      <c r="W86" s="76" t="str">
        <f t="shared" si="20"/>
        <v/>
      </c>
      <c r="X86" s="77" t="str">
        <f>IF(OR($C86="",$J86&lt;&gt;nr_SelKey),"",(SUMPRODUCT(('Rate Engine'!$G$17:$G$64&gt;YEAR($C86)*12+MONTH($C86)-1)*'Rate Engine'!$H$17:$H$64,'Rate Engine'!$Q$17:$Q$64)+(EOMONTH($C86,0)-$C86+1)/DAY(EOMONTH($C86,0))*SUMPRODUCT(('Rate Engine'!$G$17:$G$64=YEAR($C86)*12+MONTH($C86)-1)*'Rate Engine'!$H$17:$H$64,'Rate Engine'!$Q$17:$Q$64))/SUMPRODUCT('Rate Engine'!$H$17:$H$64,'Rate Engine'!$Q$17:$Q$64))</f>
        <v/>
      </c>
      <c r="Y86" s="78" t="str">
        <f t="shared" si="21"/>
        <v/>
      </c>
    </row>
    <row r="87" spans="1:25" x14ac:dyDescent="0.3">
      <c r="A87" s="11"/>
      <c r="B87" s="11"/>
      <c r="C87" s="61"/>
      <c r="D87" s="29"/>
      <c r="E87" s="11"/>
      <c r="F87" s="11"/>
      <c r="G87" s="59"/>
      <c r="H87" s="71"/>
      <c r="J87" s="65" t="str">
        <f t="shared" si="11"/>
        <v/>
      </c>
      <c r="K87" s="72" t="str">
        <f t="shared" si="12"/>
        <v/>
      </c>
      <c r="L87" s="73">
        <f t="shared" si="13"/>
        <v>0</v>
      </c>
      <c r="M87" s="74" t="str">
        <f t="shared" si="14"/>
        <v/>
      </c>
      <c r="N87" s="75">
        <f t="shared" si="15"/>
        <v>0</v>
      </c>
      <c r="O87" s="75">
        <f t="shared" si="16"/>
        <v>0</v>
      </c>
      <c r="P87" s="75">
        <f>IF($C87="",0,COUNTIFS($J$7:$J87,$J87,$M$7:$M87,$M87,$C$7:$C87,$C87))</f>
        <v>0</v>
      </c>
      <c r="Q87" s="75">
        <f t="shared" si="17"/>
        <v>0</v>
      </c>
      <c r="R87" s="75">
        <f t="shared" si="18"/>
        <v>0</v>
      </c>
      <c r="S87" s="75">
        <f>IF($C87="",0,COUNTIFS(rl_key,$J87,rl_eff,"&lt;"&amp;$C87)+COUNTIFS($J$7:$J87,$J87,$C$7:$C87,$C87))</f>
        <v>0</v>
      </c>
      <c r="T87" s="75">
        <f>IF(OR($C87="",$E87&lt;&gt;"planned",$C87&lt;DATE(nr_PlanYear,1,1),$C87&gt;DATE(nr_PlanYear,12,31)),0,IF(AND(COUNTIFS(rl_key,$J87,rl_status,"planned",rl_eff,"&gt;="&amp;DATE(nr_PlanYear,1,1),rl_eff,"&lt;"&amp;$C87)=0,COUNTIFS($J$7:$J87,$J87,$E$7:$E87,"planned",$C$7:$C87,$C87)=1),1,0))</f>
        <v>0</v>
      </c>
      <c r="U87" s="75">
        <f>IF(OR($C87="",$E87&lt;&gt;"taken"),0,IF(AND(COUNTIFS(rl_key,$J87,rl_effmonth,$M87,rl_eff,"&lt;"&amp;$C87,rl_status,"taken")=0,COUNTIFS($J$7:$J87,$J87,$M$7:$M87,$M87,$C$7:$C87,$C87,$E$7:$E87,"taken")=1),1,0))</f>
        <v>0</v>
      </c>
      <c r="V87" s="66" t="str">
        <f t="shared" si="19"/>
        <v/>
      </c>
      <c r="W87" s="76" t="str">
        <f t="shared" si="20"/>
        <v/>
      </c>
      <c r="X87" s="77" t="str">
        <f>IF(OR($C87="",$J87&lt;&gt;nr_SelKey),"",(SUMPRODUCT(('Rate Engine'!$G$17:$G$64&gt;YEAR($C87)*12+MONTH($C87)-1)*'Rate Engine'!$H$17:$H$64,'Rate Engine'!$Q$17:$Q$64)+(EOMONTH($C87,0)-$C87+1)/DAY(EOMONTH($C87,0))*SUMPRODUCT(('Rate Engine'!$G$17:$G$64=YEAR($C87)*12+MONTH($C87)-1)*'Rate Engine'!$H$17:$H$64,'Rate Engine'!$Q$17:$Q$64))/SUMPRODUCT('Rate Engine'!$H$17:$H$64,'Rate Engine'!$Q$17:$Q$64))</f>
        <v/>
      </c>
      <c r="Y87" s="78" t="str">
        <f t="shared" si="21"/>
        <v/>
      </c>
    </row>
    <row r="88" spans="1:25" x14ac:dyDescent="0.3">
      <c r="A88" s="11"/>
      <c r="B88" s="11"/>
      <c r="C88" s="61"/>
      <c r="D88" s="29"/>
      <c r="E88" s="11"/>
      <c r="F88" s="11"/>
      <c r="G88" s="59"/>
      <c r="H88" s="71"/>
      <c r="J88" s="65" t="str">
        <f t="shared" si="11"/>
        <v/>
      </c>
      <c r="K88" s="72" t="str">
        <f t="shared" si="12"/>
        <v/>
      </c>
      <c r="L88" s="73">
        <f t="shared" si="13"/>
        <v>0</v>
      </c>
      <c r="M88" s="74" t="str">
        <f t="shared" si="14"/>
        <v/>
      </c>
      <c r="N88" s="75">
        <f t="shared" si="15"/>
        <v>0</v>
      </c>
      <c r="O88" s="75">
        <f t="shared" si="16"/>
        <v>0</v>
      </c>
      <c r="P88" s="75">
        <f>IF($C88="",0,COUNTIFS($J$7:$J88,$J88,$M$7:$M88,$M88,$C$7:$C88,$C88))</f>
        <v>0</v>
      </c>
      <c r="Q88" s="75">
        <f t="shared" si="17"/>
        <v>0</v>
      </c>
      <c r="R88" s="75">
        <f t="shared" si="18"/>
        <v>0</v>
      </c>
      <c r="S88" s="75">
        <f>IF($C88="",0,COUNTIFS(rl_key,$J88,rl_eff,"&lt;"&amp;$C88)+COUNTIFS($J$7:$J88,$J88,$C$7:$C88,$C88))</f>
        <v>0</v>
      </c>
      <c r="T88" s="75">
        <f>IF(OR($C88="",$E88&lt;&gt;"planned",$C88&lt;DATE(nr_PlanYear,1,1),$C88&gt;DATE(nr_PlanYear,12,31)),0,IF(AND(COUNTIFS(rl_key,$J88,rl_status,"planned",rl_eff,"&gt;="&amp;DATE(nr_PlanYear,1,1),rl_eff,"&lt;"&amp;$C88)=0,COUNTIFS($J$7:$J88,$J88,$E$7:$E88,"planned",$C$7:$C88,$C88)=1),1,0))</f>
        <v>0</v>
      </c>
      <c r="U88" s="75">
        <f>IF(OR($C88="",$E88&lt;&gt;"taken"),0,IF(AND(COUNTIFS(rl_key,$J88,rl_effmonth,$M88,rl_eff,"&lt;"&amp;$C88,rl_status,"taken")=0,COUNTIFS($J$7:$J88,$J88,$M$7:$M88,$M88,$C$7:$C88,$C88,$E$7:$E88,"taken")=1),1,0))</f>
        <v>0</v>
      </c>
      <c r="V88" s="66" t="str">
        <f t="shared" si="19"/>
        <v/>
      </c>
      <c r="W88" s="76" t="str">
        <f t="shared" si="20"/>
        <v/>
      </c>
      <c r="X88" s="77" t="str">
        <f>IF(OR($C88="",$J88&lt;&gt;nr_SelKey),"",(SUMPRODUCT(('Rate Engine'!$G$17:$G$64&gt;YEAR($C88)*12+MONTH($C88)-1)*'Rate Engine'!$H$17:$H$64,'Rate Engine'!$Q$17:$Q$64)+(EOMONTH($C88,0)-$C88+1)/DAY(EOMONTH($C88,0))*SUMPRODUCT(('Rate Engine'!$G$17:$G$64=YEAR($C88)*12+MONTH($C88)-1)*'Rate Engine'!$H$17:$H$64,'Rate Engine'!$Q$17:$Q$64))/SUMPRODUCT('Rate Engine'!$H$17:$H$64,'Rate Engine'!$Q$17:$Q$64))</f>
        <v/>
      </c>
      <c r="Y88" s="78" t="str">
        <f t="shared" si="21"/>
        <v/>
      </c>
    </row>
    <row r="89" spans="1:25" x14ac:dyDescent="0.3">
      <c r="A89" s="11"/>
      <c r="B89" s="11"/>
      <c r="C89" s="61"/>
      <c r="D89" s="29"/>
      <c r="E89" s="11"/>
      <c r="F89" s="11"/>
      <c r="G89" s="59"/>
      <c r="H89" s="71"/>
      <c r="J89" s="65" t="str">
        <f t="shared" si="11"/>
        <v/>
      </c>
      <c r="K89" s="72" t="str">
        <f t="shared" si="12"/>
        <v/>
      </c>
      <c r="L89" s="73">
        <f t="shared" si="13"/>
        <v>0</v>
      </c>
      <c r="M89" s="74" t="str">
        <f t="shared" si="14"/>
        <v/>
      </c>
      <c r="N89" s="75">
        <f t="shared" si="15"/>
        <v>0</v>
      </c>
      <c r="O89" s="75">
        <f t="shared" si="16"/>
        <v>0</v>
      </c>
      <c r="P89" s="75">
        <f>IF($C89="",0,COUNTIFS($J$7:$J89,$J89,$M$7:$M89,$M89,$C$7:$C89,$C89))</f>
        <v>0</v>
      </c>
      <c r="Q89" s="75">
        <f t="shared" si="17"/>
        <v>0</v>
      </c>
      <c r="R89" s="75">
        <f t="shared" si="18"/>
        <v>0</v>
      </c>
      <c r="S89" s="75">
        <f>IF($C89="",0,COUNTIFS(rl_key,$J89,rl_eff,"&lt;"&amp;$C89)+COUNTIFS($J$7:$J89,$J89,$C$7:$C89,$C89))</f>
        <v>0</v>
      </c>
      <c r="T89" s="75">
        <f>IF(OR($C89="",$E89&lt;&gt;"planned",$C89&lt;DATE(nr_PlanYear,1,1),$C89&gt;DATE(nr_PlanYear,12,31)),0,IF(AND(COUNTIFS(rl_key,$J89,rl_status,"planned",rl_eff,"&gt;="&amp;DATE(nr_PlanYear,1,1),rl_eff,"&lt;"&amp;$C89)=0,COUNTIFS($J$7:$J89,$J89,$E$7:$E89,"planned",$C$7:$C89,$C89)=1),1,0))</f>
        <v>0</v>
      </c>
      <c r="U89" s="75">
        <f>IF(OR($C89="",$E89&lt;&gt;"taken"),0,IF(AND(COUNTIFS(rl_key,$J89,rl_effmonth,$M89,rl_eff,"&lt;"&amp;$C89,rl_status,"taken")=0,COUNTIFS($J$7:$J89,$J89,$M$7:$M89,$M89,$C$7:$C89,$C89,$E$7:$E89,"taken")=1),1,0))</f>
        <v>0</v>
      </c>
      <c r="V89" s="66" t="str">
        <f t="shared" si="19"/>
        <v/>
      </c>
      <c r="W89" s="76" t="str">
        <f t="shared" si="20"/>
        <v/>
      </c>
      <c r="X89" s="77" t="str">
        <f>IF(OR($C89="",$J89&lt;&gt;nr_SelKey),"",(SUMPRODUCT(('Rate Engine'!$G$17:$G$64&gt;YEAR($C89)*12+MONTH($C89)-1)*'Rate Engine'!$H$17:$H$64,'Rate Engine'!$Q$17:$Q$64)+(EOMONTH($C89,0)-$C89+1)/DAY(EOMONTH($C89,0))*SUMPRODUCT(('Rate Engine'!$G$17:$G$64=YEAR($C89)*12+MONTH($C89)-1)*'Rate Engine'!$H$17:$H$64,'Rate Engine'!$Q$17:$Q$64))/SUMPRODUCT('Rate Engine'!$H$17:$H$64,'Rate Engine'!$Q$17:$Q$64))</f>
        <v/>
      </c>
      <c r="Y89" s="78" t="str">
        <f t="shared" si="21"/>
        <v/>
      </c>
    </row>
    <row r="90" spans="1:25" x14ac:dyDescent="0.3">
      <c r="A90" s="11"/>
      <c r="B90" s="11"/>
      <c r="C90" s="61"/>
      <c r="D90" s="29"/>
      <c r="E90" s="11"/>
      <c r="F90" s="11"/>
      <c r="G90" s="59"/>
      <c r="H90" s="71"/>
      <c r="J90" s="65" t="str">
        <f t="shared" si="11"/>
        <v/>
      </c>
      <c r="K90" s="72" t="str">
        <f t="shared" si="12"/>
        <v/>
      </c>
      <c r="L90" s="73">
        <f t="shared" si="13"/>
        <v>0</v>
      </c>
      <c r="M90" s="74" t="str">
        <f t="shared" si="14"/>
        <v/>
      </c>
      <c r="N90" s="75">
        <f t="shared" si="15"/>
        <v>0</v>
      </c>
      <c r="O90" s="75">
        <f t="shared" si="16"/>
        <v>0</v>
      </c>
      <c r="P90" s="75">
        <f>IF($C90="",0,COUNTIFS($J$7:$J90,$J90,$M$7:$M90,$M90,$C$7:$C90,$C90))</f>
        <v>0</v>
      </c>
      <c r="Q90" s="75">
        <f t="shared" si="17"/>
        <v>0</v>
      </c>
      <c r="R90" s="75">
        <f t="shared" si="18"/>
        <v>0</v>
      </c>
      <c r="S90" s="75">
        <f>IF($C90="",0,COUNTIFS(rl_key,$J90,rl_eff,"&lt;"&amp;$C90)+COUNTIFS($J$7:$J90,$J90,$C$7:$C90,$C90))</f>
        <v>0</v>
      </c>
      <c r="T90" s="75">
        <f>IF(OR($C90="",$E90&lt;&gt;"planned",$C90&lt;DATE(nr_PlanYear,1,1),$C90&gt;DATE(nr_PlanYear,12,31)),0,IF(AND(COUNTIFS(rl_key,$J90,rl_status,"planned",rl_eff,"&gt;="&amp;DATE(nr_PlanYear,1,1),rl_eff,"&lt;"&amp;$C90)=0,COUNTIFS($J$7:$J90,$J90,$E$7:$E90,"planned",$C$7:$C90,$C90)=1),1,0))</f>
        <v>0</v>
      </c>
      <c r="U90" s="75">
        <f>IF(OR($C90="",$E90&lt;&gt;"taken"),0,IF(AND(COUNTIFS(rl_key,$J90,rl_effmonth,$M90,rl_eff,"&lt;"&amp;$C90,rl_status,"taken")=0,COUNTIFS($J$7:$J90,$J90,$M$7:$M90,$M90,$C$7:$C90,$C90,$E$7:$E90,"taken")=1),1,0))</f>
        <v>0</v>
      </c>
      <c r="V90" s="66" t="str">
        <f t="shared" si="19"/>
        <v/>
      </c>
      <c r="W90" s="76" t="str">
        <f t="shared" si="20"/>
        <v/>
      </c>
      <c r="X90" s="77" t="str">
        <f>IF(OR($C90="",$J90&lt;&gt;nr_SelKey),"",(SUMPRODUCT(('Rate Engine'!$G$17:$G$64&gt;YEAR($C90)*12+MONTH($C90)-1)*'Rate Engine'!$H$17:$H$64,'Rate Engine'!$Q$17:$Q$64)+(EOMONTH($C90,0)-$C90+1)/DAY(EOMONTH($C90,0))*SUMPRODUCT(('Rate Engine'!$G$17:$G$64=YEAR($C90)*12+MONTH($C90)-1)*'Rate Engine'!$H$17:$H$64,'Rate Engine'!$Q$17:$Q$64))/SUMPRODUCT('Rate Engine'!$H$17:$H$64,'Rate Engine'!$Q$17:$Q$64))</f>
        <v/>
      </c>
      <c r="Y90" s="78" t="str">
        <f t="shared" si="21"/>
        <v/>
      </c>
    </row>
    <row r="91" spans="1:25" x14ac:dyDescent="0.3">
      <c r="A91" s="11"/>
      <c r="B91" s="11"/>
      <c r="C91" s="61"/>
      <c r="D91" s="29"/>
      <c r="E91" s="11"/>
      <c r="F91" s="11"/>
      <c r="G91" s="59"/>
      <c r="H91" s="71"/>
      <c r="J91" s="65" t="str">
        <f t="shared" si="11"/>
        <v/>
      </c>
      <c r="K91" s="72" t="str">
        <f t="shared" si="12"/>
        <v/>
      </c>
      <c r="L91" s="73">
        <f t="shared" si="13"/>
        <v>0</v>
      </c>
      <c r="M91" s="74" t="str">
        <f t="shared" si="14"/>
        <v/>
      </c>
      <c r="N91" s="75">
        <f t="shared" si="15"/>
        <v>0</v>
      </c>
      <c r="O91" s="75">
        <f t="shared" si="16"/>
        <v>0</v>
      </c>
      <c r="P91" s="75">
        <f>IF($C91="",0,COUNTIFS($J$7:$J91,$J91,$M$7:$M91,$M91,$C$7:$C91,$C91))</f>
        <v>0</v>
      </c>
      <c r="Q91" s="75">
        <f t="shared" si="17"/>
        <v>0</v>
      </c>
      <c r="R91" s="75">
        <f t="shared" si="18"/>
        <v>0</v>
      </c>
      <c r="S91" s="75">
        <f>IF($C91="",0,COUNTIFS(rl_key,$J91,rl_eff,"&lt;"&amp;$C91)+COUNTIFS($J$7:$J91,$J91,$C$7:$C91,$C91))</f>
        <v>0</v>
      </c>
      <c r="T91" s="75">
        <f>IF(OR($C91="",$E91&lt;&gt;"planned",$C91&lt;DATE(nr_PlanYear,1,1),$C91&gt;DATE(nr_PlanYear,12,31)),0,IF(AND(COUNTIFS(rl_key,$J91,rl_status,"planned",rl_eff,"&gt;="&amp;DATE(nr_PlanYear,1,1),rl_eff,"&lt;"&amp;$C91)=0,COUNTIFS($J$7:$J91,$J91,$E$7:$E91,"planned",$C$7:$C91,$C91)=1),1,0))</f>
        <v>0</v>
      </c>
      <c r="U91" s="75">
        <f>IF(OR($C91="",$E91&lt;&gt;"taken"),0,IF(AND(COUNTIFS(rl_key,$J91,rl_effmonth,$M91,rl_eff,"&lt;"&amp;$C91,rl_status,"taken")=0,COUNTIFS($J$7:$J91,$J91,$M$7:$M91,$M91,$C$7:$C91,$C91,$E$7:$E91,"taken")=1),1,0))</f>
        <v>0</v>
      </c>
      <c r="V91" s="66" t="str">
        <f t="shared" si="19"/>
        <v/>
      </c>
      <c r="W91" s="76" t="str">
        <f t="shared" si="20"/>
        <v/>
      </c>
      <c r="X91" s="77" t="str">
        <f>IF(OR($C91="",$J91&lt;&gt;nr_SelKey),"",(SUMPRODUCT(('Rate Engine'!$G$17:$G$64&gt;YEAR($C91)*12+MONTH($C91)-1)*'Rate Engine'!$H$17:$H$64,'Rate Engine'!$Q$17:$Q$64)+(EOMONTH($C91,0)-$C91+1)/DAY(EOMONTH($C91,0))*SUMPRODUCT(('Rate Engine'!$G$17:$G$64=YEAR($C91)*12+MONTH($C91)-1)*'Rate Engine'!$H$17:$H$64,'Rate Engine'!$Q$17:$Q$64))/SUMPRODUCT('Rate Engine'!$H$17:$H$64,'Rate Engine'!$Q$17:$Q$64))</f>
        <v/>
      </c>
      <c r="Y91" s="78" t="str">
        <f t="shared" si="21"/>
        <v/>
      </c>
    </row>
    <row r="92" spans="1:25" x14ac:dyDescent="0.3">
      <c r="A92" s="11"/>
      <c r="B92" s="11"/>
      <c r="C92" s="61"/>
      <c r="D92" s="29"/>
      <c r="E92" s="11"/>
      <c r="F92" s="11"/>
      <c r="G92" s="59"/>
      <c r="H92" s="71"/>
      <c r="J92" s="65" t="str">
        <f t="shared" si="11"/>
        <v/>
      </c>
      <c r="K92" s="72" t="str">
        <f t="shared" si="12"/>
        <v/>
      </c>
      <c r="L92" s="73">
        <f t="shared" si="13"/>
        <v>0</v>
      </c>
      <c r="M92" s="74" t="str">
        <f t="shared" si="14"/>
        <v/>
      </c>
      <c r="N92" s="75">
        <f t="shared" si="15"/>
        <v>0</v>
      </c>
      <c r="O92" s="75">
        <f t="shared" si="16"/>
        <v>0</v>
      </c>
      <c r="P92" s="75">
        <f>IF($C92="",0,COUNTIFS($J$7:$J92,$J92,$M$7:$M92,$M92,$C$7:$C92,$C92))</f>
        <v>0</v>
      </c>
      <c r="Q92" s="75">
        <f t="shared" si="17"/>
        <v>0</v>
      </c>
      <c r="R92" s="75">
        <f t="shared" si="18"/>
        <v>0</v>
      </c>
      <c r="S92" s="75">
        <f>IF($C92="",0,COUNTIFS(rl_key,$J92,rl_eff,"&lt;"&amp;$C92)+COUNTIFS($J$7:$J92,$J92,$C$7:$C92,$C92))</f>
        <v>0</v>
      </c>
      <c r="T92" s="75">
        <f>IF(OR($C92="",$E92&lt;&gt;"planned",$C92&lt;DATE(nr_PlanYear,1,1),$C92&gt;DATE(nr_PlanYear,12,31)),0,IF(AND(COUNTIFS(rl_key,$J92,rl_status,"planned",rl_eff,"&gt;="&amp;DATE(nr_PlanYear,1,1),rl_eff,"&lt;"&amp;$C92)=0,COUNTIFS($J$7:$J92,$J92,$E$7:$E92,"planned",$C$7:$C92,$C92)=1),1,0))</f>
        <v>0</v>
      </c>
      <c r="U92" s="75">
        <f>IF(OR($C92="",$E92&lt;&gt;"taken"),0,IF(AND(COUNTIFS(rl_key,$J92,rl_effmonth,$M92,rl_eff,"&lt;"&amp;$C92,rl_status,"taken")=0,COUNTIFS($J$7:$J92,$J92,$M$7:$M92,$M92,$C$7:$C92,$C92,$E$7:$E92,"taken")=1),1,0))</f>
        <v>0</v>
      </c>
      <c r="V92" s="66" t="str">
        <f t="shared" si="19"/>
        <v/>
      </c>
      <c r="W92" s="76" t="str">
        <f t="shared" si="20"/>
        <v/>
      </c>
      <c r="X92" s="77" t="str">
        <f>IF(OR($C92="",$J92&lt;&gt;nr_SelKey),"",(SUMPRODUCT(('Rate Engine'!$G$17:$G$64&gt;YEAR($C92)*12+MONTH($C92)-1)*'Rate Engine'!$H$17:$H$64,'Rate Engine'!$Q$17:$Q$64)+(EOMONTH($C92,0)-$C92+1)/DAY(EOMONTH($C92,0))*SUMPRODUCT(('Rate Engine'!$G$17:$G$64=YEAR($C92)*12+MONTH($C92)-1)*'Rate Engine'!$H$17:$H$64,'Rate Engine'!$Q$17:$Q$64))/SUMPRODUCT('Rate Engine'!$H$17:$H$64,'Rate Engine'!$Q$17:$Q$64))</f>
        <v/>
      </c>
      <c r="Y92" s="78" t="str">
        <f t="shared" si="21"/>
        <v/>
      </c>
    </row>
    <row r="93" spans="1:25" x14ac:dyDescent="0.3">
      <c r="A93" s="11"/>
      <c r="B93" s="11"/>
      <c r="C93" s="61"/>
      <c r="D93" s="29"/>
      <c r="E93" s="11"/>
      <c r="F93" s="11"/>
      <c r="G93" s="59"/>
      <c r="H93" s="71"/>
      <c r="J93" s="65" t="str">
        <f t="shared" si="11"/>
        <v/>
      </c>
      <c r="K93" s="72" t="str">
        <f t="shared" si="12"/>
        <v/>
      </c>
      <c r="L93" s="73">
        <f t="shared" si="13"/>
        <v>0</v>
      </c>
      <c r="M93" s="74" t="str">
        <f t="shared" si="14"/>
        <v/>
      </c>
      <c r="N93" s="75">
        <f t="shared" si="15"/>
        <v>0</v>
      </c>
      <c r="O93" s="75">
        <f t="shared" si="16"/>
        <v>0</v>
      </c>
      <c r="P93" s="75">
        <f>IF($C93="",0,COUNTIFS($J$7:$J93,$J93,$M$7:$M93,$M93,$C$7:$C93,$C93))</f>
        <v>0</v>
      </c>
      <c r="Q93" s="75">
        <f t="shared" si="17"/>
        <v>0</v>
      </c>
      <c r="R93" s="75">
        <f t="shared" si="18"/>
        <v>0</v>
      </c>
      <c r="S93" s="75">
        <f>IF($C93="",0,COUNTIFS(rl_key,$J93,rl_eff,"&lt;"&amp;$C93)+COUNTIFS($J$7:$J93,$J93,$C$7:$C93,$C93))</f>
        <v>0</v>
      </c>
      <c r="T93" s="75">
        <f>IF(OR($C93="",$E93&lt;&gt;"planned",$C93&lt;DATE(nr_PlanYear,1,1),$C93&gt;DATE(nr_PlanYear,12,31)),0,IF(AND(COUNTIFS(rl_key,$J93,rl_status,"planned",rl_eff,"&gt;="&amp;DATE(nr_PlanYear,1,1),rl_eff,"&lt;"&amp;$C93)=0,COUNTIFS($J$7:$J93,$J93,$E$7:$E93,"planned",$C$7:$C93,$C93)=1),1,0))</f>
        <v>0</v>
      </c>
      <c r="U93" s="75">
        <f>IF(OR($C93="",$E93&lt;&gt;"taken"),0,IF(AND(COUNTIFS(rl_key,$J93,rl_effmonth,$M93,rl_eff,"&lt;"&amp;$C93,rl_status,"taken")=0,COUNTIFS($J$7:$J93,$J93,$M$7:$M93,$M93,$C$7:$C93,$C93,$E$7:$E93,"taken")=1),1,0))</f>
        <v>0</v>
      </c>
      <c r="V93" s="66" t="str">
        <f t="shared" si="19"/>
        <v/>
      </c>
      <c r="W93" s="76" t="str">
        <f t="shared" si="20"/>
        <v/>
      </c>
      <c r="X93" s="77" t="str">
        <f>IF(OR($C93="",$J93&lt;&gt;nr_SelKey),"",(SUMPRODUCT(('Rate Engine'!$G$17:$G$64&gt;YEAR($C93)*12+MONTH($C93)-1)*'Rate Engine'!$H$17:$H$64,'Rate Engine'!$Q$17:$Q$64)+(EOMONTH($C93,0)-$C93+1)/DAY(EOMONTH($C93,0))*SUMPRODUCT(('Rate Engine'!$G$17:$G$64=YEAR($C93)*12+MONTH($C93)-1)*'Rate Engine'!$H$17:$H$64,'Rate Engine'!$Q$17:$Q$64))/SUMPRODUCT('Rate Engine'!$H$17:$H$64,'Rate Engine'!$Q$17:$Q$64))</f>
        <v/>
      </c>
      <c r="Y93" s="78" t="str">
        <f t="shared" si="21"/>
        <v/>
      </c>
    </row>
    <row r="94" spans="1:25" x14ac:dyDescent="0.3">
      <c r="A94" s="11"/>
      <c r="B94" s="11"/>
      <c r="C94" s="61"/>
      <c r="D94" s="29"/>
      <c r="E94" s="11"/>
      <c r="F94" s="11"/>
      <c r="G94" s="59"/>
      <c r="H94" s="71"/>
      <c r="J94" s="65" t="str">
        <f t="shared" si="11"/>
        <v/>
      </c>
      <c r="K94" s="72" t="str">
        <f t="shared" si="12"/>
        <v/>
      </c>
      <c r="L94" s="73">
        <f t="shared" si="13"/>
        <v>0</v>
      </c>
      <c r="M94" s="74" t="str">
        <f t="shared" si="14"/>
        <v/>
      </c>
      <c r="N94" s="75">
        <f t="shared" si="15"/>
        <v>0</v>
      </c>
      <c r="O94" s="75">
        <f t="shared" si="16"/>
        <v>0</v>
      </c>
      <c r="P94" s="75">
        <f>IF($C94="",0,COUNTIFS($J$7:$J94,$J94,$M$7:$M94,$M94,$C$7:$C94,$C94))</f>
        <v>0</v>
      </c>
      <c r="Q94" s="75">
        <f t="shared" si="17"/>
        <v>0</v>
      </c>
      <c r="R94" s="75">
        <f t="shared" si="18"/>
        <v>0</v>
      </c>
      <c r="S94" s="75">
        <f>IF($C94="",0,COUNTIFS(rl_key,$J94,rl_eff,"&lt;"&amp;$C94)+COUNTIFS($J$7:$J94,$J94,$C$7:$C94,$C94))</f>
        <v>0</v>
      </c>
      <c r="T94" s="75">
        <f>IF(OR($C94="",$E94&lt;&gt;"planned",$C94&lt;DATE(nr_PlanYear,1,1),$C94&gt;DATE(nr_PlanYear,12,31)),0,IF(AND(COUNTIFS(rl_key,$J94,rl_status,"planned",rl_eff,"&gt;="&amp;DATE(nr_PlanYear,1,1),rl_eff,"&lt;"&amp;$C94)=0,COUNTIFS($J$7:$J94,$J94,$E$7:$E94,"planned",$C$7:$C94,$C94)=1),1,0))</f>
        <v>0</v>
      </c>
      <c r="U94" s="75">
        <f>IF(OR($C94="",$E94&lt;&gt;"taken"),0,IF(AND(COUNTIFS(rl_key,$J94,rl_effmonth,$M94,rl_eff,"&lt;"&amp;$C94,rl_status,"taken")=0,COUNTIFS($J$7:$J94,$J94,$M$7:$M94,$M94,$C$7:$C94,$C94,$E$7:$E94,"taken")=1),1,0))</f>
        <v>0</v>
      </c>
      <c r="V94" s="66" t="str">
        <f t="shared" si="19"/>
        <v/>
      </c>
      <c r="W94" s="76" t="str">
        <f t="shared" si="20"/>
        <v/>
      </c>
      <c r="X94" s="77" t="str">
        <f>IF(OR($C94="",$J94&lt;&gt;nr_SelKey),"",(SUMPRODUCT(('Rate Engine'!$G$17:$G$64&gt;YEAR($C94)*12+MONTH($C94)-1)*'Rate Engine'!$H$17:$H$64,'Rate Engine'!$Q$17:$Q$64)+(EOMONTH($C94,0)-$C94+1)/DAY(EOMONTH($C94,0))*SUMPRODUCT(('Rate Engine'!$G$17:$G$64=YEAR($C94)*12+MONTH($C94)-1)*'Rate Engine'!$H$17:$H$64,'Rate Engine'!$Q$17:$Q$64))/SUMPRODUCT('Rate Engine'!$H$17:$H$64,'Rate Engine'!$Q$17:$Q$64))</f>
        <v/>
      </c>
      <c r="Y94" s="78" t="str">
        <f t="shared" si="21"/>
        <v/>
      </c>
    </row>
    <row r="95" spans="1:25" x14ac:dyDescent="0.3">
      <c r="A95" s="11"/>
      <c r="B95" s="11"/>
      <c r="C95" s="61"/>
      <c r="D95" s="29"/>
      <c r="E95" s="11"/>
      <c r="F95" s="11"/>
      <c r="G95" s="59"/>
      <c r="H95" s="71"/>
      <c r="J95" s="65" t="str">
        <f t="shared" si="11"/>
        <v/>
      </c>
      <c r="K95" s="72" t="str">
        <f t="shared" si="12"/>
        <v/>
      </c>
      <c r="L95" s="73">
        <f t="shared" si="13"/>
        <v>0</v>
      </c>
      <c r="M95" s="74" t="str">
        <f t="shared" si="14"/>
        <v/>
      </c>
      <c r="N95" s="75">
        <f t="shared" si="15"/>
        <v>0</v>
      </c>
      <c r="O95" s="75">
        <f t="shared" si="16"/>
        <v>0</v>
      </c>
      <c r="P95" s="75">
        <f>IF($C95="",0,COUNTIFS($J$7:$J95,$J95,$M$7:$M95,$M95,$C$7:$C95,$C95))</f>
        <v>0</v>
      </c>
      <c r="Q95" s="75">
        <f t="shared" si="17"/>
        <v>0</v>
      </c>
      <c r="R95" s="75">
        <f t="shared" si="18"/>
        <v>0</v>
      </c>
      <c r="S95" s="75">
        <f>IF($C95="",0,COUNTIFS(rl_key,$J95,rl_eff,"&lt;"&amp;$C95)+COUNTIFS($J$7:$J95,$J95,$C$7:$C95,$C95))</f>
        <v>0</v>
      </c>
      <c r="T95" s="75">
        <f>IF(OR($C95="",$E95&lt;&gt;"planned",$C95&lt;DATE(nr_PlanYear,1,1),$C95&gt;DATE(nr_PlanYear,12,31)),0,IF(AND(COUNTIFS(rl_key,$J95,rl_status,"planned",rl_eff,"&gt;="&amp;DATE(nr_PlanYear,1,1),rl_eff,"&lt;"&amp;$C95)=0,COUNTIFS($J$7:$J95,$J95,$E$7:$E95,"planned",$C$7:$C95,$C95)=1),1,0))</f>
        <v>0</v>
      </c>
      <c r="U95" s="75">
        <f>IF(OR($C95="",$E95&lt;&gt;"taken"),0,IF(AND(COUNTIFS(rl_key,$J95,rl_effmonth,$M95,rl_eff,"&lt;"&amp;$C95,rl_status,"taken")=0,COUNTIFS($J$7:$J95,$J95,$M$7:$M95,$M95,$C$7:$C95,$C95,$E$7:$E95,"taken")=1),1,0))</f>
        <v>0</v>
      </c>
      <c r="V95" s="66" t="str">
        <f t="shared" si="19"/>
        <v/>
      </c>
      <c r="W95" s="76" t="str">
        <f t="shared" si="20"/>
        <v/>
      </c>
      <c r="X95" s="77" t="str">
        <f>IF(OR($C95="",$J95&lt;&gt;nr_SelKey),"",(SUMPRODUCT(('Rate Engine'!$G$17:$G$64&gt;YEAR($C95)*12+MONTH($C95)-1)*'Rate Engine'!$H$17:$H$64,'Rate Engine'!$Q$17:$Q$64)+(EOMONTH($C95,0)-$C95+1)/DAY(EOMONTH($C95,0))*SUMPRODUCT(('Rate Engine'!$G$17:$G$64=YEAR($C95)*12+MONTH($C95)-1)*'Rate Engine'!$H$17:$H$64,'Rate Engine'!$Q$17:$Q$64))/SUMPRODUCT('Rate Engine'!$H$17:$H$64,'Rate Engine'!$Q$17:$Q$64))</f>
        <v/>
      </c>
      <c r="Y95" s="78" t="str">
        <f t="shared" si="21"/>
        <v/>
      </c>
    </row>
    <row r="96" spans="1:25" x14ac:dyDescent="0.3">
      <c r="A96" s="11"/>
      <c r="B96" s="11"/>
      <c r="C96" s="61"/>
      <c r="D96" s="29"/>
      <c r="E96" s="11"/>
      <c r="F96" s="11"/>
      <c r="G96" s="59"/>
      <c r="H96" s="71"/>
      <c r="J96" s="65" t="str">
        <f t="shared" si="11"/>
        <v/>
      </c>
      <c r="K96" s="72" t="str">
        <f t="shared" si="12"/>
        <v/>
      </c>
      <c r="L96" s="73">
        <f t="shared" si="13"/>
        <v>0</v>
      </c>
      <c r="M96" s="74" t="str">
        <f t="shared" si="14"/>
        <v/>
      </c>
      <c r="N96" s="75">
        <f t="shared" si="15"/>
        <v>0</v>
      </c>
      <c r="O96" s="75">
        <f t="shared" si="16"/>
        <v>0</v>
      </c>
      <c r="P96" s="75">
        <f>IF($C96="",0,COUNTIFS($J$7:$J96,$J96,$M$7:$M96,$M96,$C$7:$C96,$C96))</f>
        <v>0</v>
      </c>
      <c r="Q96" s="75">
        <f t="shared" si="17"/>
        <v>0</v>
      </c>
      <c r="R96" s="75">
        <f t="shared" si="18"/>
        <v>0</v>
      </c>
      <c r="S96" s="75">
        <f>IF($C96="",0,COUNTIFS(rl_key,$J96,rl_eff,"&lt;"&amp;$C96)+COUNTIFS($J$7:$J96,$J96,$C$7:$C96,$C96))</f>
        <v>0</v>
      </c>
      <c r="T96" s="75">
        <f>IF(OR($C96="",$E96&lt;&gt;"planned",$C96&lt;DATE(nr_PlanYear,1,1),$C96&gt;DATE(nr_PlanYear,12,31)),0,IF(AND(COUNTIFS(rl_key,$J96,rl_status,"planned",rl_eff,"&gt;="&amp;DATE(nr_PlanYear,1,1),rl_eff,"&lt;"&amp;$C96)=0,COUNTIFS($J$7:$J96,$J96,$E$7:$E96,"planned",$C$7:$C96,$C96)=1),1,0))</f>
        <v>0</v>
      </c>
      <c r="U96" s="75">
        <f>IF(OR($C96="",$E96&lt;&gt;"taken"),0,IF(AND(COUNTIFS(rl_key,$J96,rl_effmonth,$M96,rl_eff,"&lt;"&amp;$C96,rl_status,"taken")=0,COUNTIFS($J$7:$J96,$J96,$M$7:$M96,$M96,$C$7:$C96,$C96,$E$7:$E96,"taken")=1),1,0))</f>
        <v>0</v>
      </c>
      <c r="V96" s="66" t="str">
        <f t="shared" si="19"/>
        <v/>
      </c>
      <c r="W96" s="76" t="str">
        <f t="shared" si="20"/>
        <v/>
      </c>
      <c r="X96" s="77" t="str">
        <f>IF(OR($C96="",$J96&lt;&gt;nr_SelKey),"",(SUMPRODUCT(('Rate Engine'!$G$17:$G$64&gt;YEAR($C96)*12+MONTH($C96)-1)*'Rate Engine'!$H$17:$H$64,'Rate Engine'!$Q$17:$Q$64)+(EOMONTH($C96,0)-$C96+1)/DAY(EOMONTH($C96,0))*SUMPRODUCT(('Rate Engine'!$G$17:$G$64=YEAR($C96)*12+MONTH($C96)-1)*'Rate Engine'!$H$17:$H$64,'Rate Engine'!$Q$17:$Q$64))/SUMPRODUCT('Rate Engine'!$H$17:$H$64,'Rate Engine'!$Q$17:$Q$64))</f>
        <v/>
      </c>
      <c r="Y96" s="78" t="str">
        <f t="shared" si="21"/>
        <v/>
      </c>
    </row>
    <row r="97" spans="1:25" x14ac:dyDescent="0.3">
      <c r="A97" s="11"/>
      <c r="B97" s="11"/>
      <c r="C97" s="61"/>
      <c r="D97" s="29"/>
      <c r="E97" s="11"/>
      <c r="F97" s="11"/>
      <c r="G97" s="59"/>
      <c r="H97" s="71"/>
      <c r="J97" s="65" t="str">
        <f t="shared" si="11"/>
        <v/>
      </c>
      <c r="K97" s="72" t="str">
        <f t="shared" si="12"/>
        <v/>
      </c>
      <c r="L97" s="73">
        <f t="shared" si="13"/>
        <v>0</v>
      </c>
      <c r="M97" s="74" t="str">
        <f t="shared" si="14"/>
        <v/>
      </c>
      <c r="N97" s="75">
        <f t="shared" si="15"/>
        <v>0</v>
      </c>
      <c r="O97" s="75">
        <f t="shared" si="16"/>
        <v>0</v>
      </c>
      <c r="P97" s="75">
        <f>IF($C97="",0,COUNTIFS($J$7:$J97,$J97,$M$7:$M97,$M97,$C$7:$C97,$C97))</f>
        <v>0</v>
      </c>
      <c r="Q97" s="75">
        <f t="shared" si="17"/>
        <v>0</v>
      </c>
      <c r="R97" s="75">
        <f t="shared" si="18"/>
        <v>0</v>
      </c>
      <c r="S97" s="75">
        <f>IF($C97="",0,COUNTIFS(rl_key,$J97,rl_eff,"&lt;"&amp;$C97)+COUNTIFS($J$7:$J97,$J97,$C$7:$C97,$C97))</f>
        <v>0</v>
      </c>
      <c r="T97" s="75">
        <f>IF(OR($C97="",$E97&lt;&gt;"planned",$C97&lt;DATE(nr_PlanYear,1,1),$C97&gt;DATE(nr_PlanYear,12,31)),0,IF(AND(COUNTIFS(rl_key,$J97,rl_status,"planned",rl_eff,"&gt;="&amp;DATE(nr_PlanYear,1,1),rl_eff,"&lt;"&amp;$C97)=0,COUNTIFS($J$7:$J97,$J97,$E$7:$E97,"planned",$C$7:$C97,$C97)=1),1,0))</f>
        <v>0</v>
      </c>
      <c r="U97" s="75">
        <f>IF(OR($C97="",$E97&lt;&gt;"taken"),0,IF(AND(COUNTIFS(rl_key,$J97,rl_effmonth,$M97,rl_eff,"&lt;"&amp;$C97,rl_status,"taken")=0,COUNTIFS($J$7:$J97,$J97,$M$7:$M97,$M97,$C$7:$C97,$C97,$E$7:$E97,"taken")=1),1,0))</f>
        <v>0</v>
      </c>
      <c r="V97" s="66" t="str">
        <f t="shared" si="19"/>
        <v/>
      </c>
      <c r="W97" s="76" t="str">
        <f t="shared" si="20"/>
        <v/>
      </c>
      <c r="X97" s="77" t="str">
        <f>IF(OR($C97="",$J97&lt;&gt;nr_SelKey),"",(SUMPRODUCT(('Rate Engine'!$G$17:$G$64&gt;YEAR($C97)*12+MONTH($C97)-1)*'Rate Engine'!$H$17:$H$64,'Rate Engine'!$Q$17:$Q$64)+(EOMONTH($C97,0)-$C97+1)/DAY(EOMONTH($C97,0))*SUMPRODUCT(('Rate Engine'!$G$17:$G$64=YEAR($C97)*12+MONTH($C97)-1)*'Rate Engine'!$H$17:$H$64,'Rate Engine'!$Q$17:$Q$64))/SUMPRODUCT('Rate Engine'!$H$17:$H$64,'Rate Engine'!$Q$17:$Q$64))</f>
        <v/>
      </c>
      <c r="Y97" s="78" t="str">
        <f t="shared" si="21"/>
        <v/>
      </c>
    </row>
    <row r="98" spans="1:25" x14ac:dyDescent="0.3">
      <c r="A98" s="11"/>
      <c r="B98" s="11"/>
      <c r="C98" s="61"/>
      <c r="D98" s="29"/>
      <c r="E98" s="11"/>
      <c r="F98" s="11"/>
      <c r="G98" s="59"/>
      <c r="H98" s="71"/>
      <c r="J98" s="65" t="str">
        <f t="shared" si="11"/>
        <v/>
      </c>
      <c r="K98" s="72" t="str">
        <f t="shared" si="12"/>
        <v/>
      </c>
      <c r="L98" s="73">
        <f t="shared" si="13"/>
        <v>0</v>
      </c>
      <c r="M98" s="74" t="str">
        <f t="shared" si="14"/>
        <v/>
      </c>
      <c r="N98" s="75">
        <f t="shared" si="15"/>
        <v>0</v>
      </c>
      <c r="O98" s="75">
        <f t="shared" si="16"/>
        <v>0</v>
      </c>
      <c r="P98" s="75">
        <f>IF($C98="",0,COUNTIFS($J$7:$J98,$J98,$M$7:$M98,$M98,$C$7:$C98,$C98))</f>
        <v>0</v>
      </c>
      <c r="Q98" s="75">
        <f t="shared" si="17"/>
        <v>0</v>
      </c>
      <c r="R98" s="75">
        <f t="shared" si="18"/>
        <v>0</v>
      </c>
      <c r="S98" s="75">
        <f>IF($C98="",0,COUNTIFS(rl_key,$J98,rl_eff,"&lt;"&amp;$C98)+COUNTIFS($J$7:$J98,$J98,$C$7:$C98,$C98))</f>
        <v>0</v>
      </c>
      <c r="T98" s="75">
        <f>IF(OR($C98="",$E98&lt;&gt;"planned",$C98&lt;DATE(nr_PlanYear,1,1),$C98&gt;DATE(nr_PlanYear,12,31)),0,IF(AND(COUNTIFS(rl_key,$J98,rl_status,"planned",rl_eff,"&gt;="&amp;DATE(nr_PlanYear,1,1),rl_eff,"&lt;"&amp;$C98)=0,COUNTIFS($J$7:$J98,$J98,$E$7:$E98,"planned",$C$7:$C98,$C98)=1),1,0))</f>
        <v>0</v>
      </c>
      <c r="U98" s="75">
        <f>IF(OR($C98="",$E98&lt;&gt;"taken"),0,IF(AND(COUNTIFS(rl_key,$J98,rl_effmonth,$M98,rl_eff,"&lt;"&amp;$C98,rl_status,"taken")=0,COUNTIFS($J$7:$J98,$J98,$M$7:$M98,$M98,$C$7:$C98,$C98,$E$7:$E98,"taken")=1),1,0))</f>
        <v>0</v>
      </c>
      <c r="V98" s="66" t="str">
        <f t="shared" si="19"/>
        <v/>
      </c>
      <c r="W98" s="76" t="str">
        <f t="shared" si="20"/>
        <v/>
      </c>
      <c r="X98" s="77" t="str">
        <f>IF(OR($C98="",$J98&lt;&gt;nr_SelKey),"",(SUMPRODUCT(('Rate Engine'!$G$17:$G$64&gt;YEAR($C98)*12+MONTH($C98)-1)*'Rate Engine'!$H$17:$H$64,'Rate Engine'!$Q$17:$Q$64)+(EOMONTH($C98,0)-$C98+1)/DAY(EOMONTH($C98,0))*SUMPRODUCT(('Rate Engine'!$G$17:$G$64=YEAR($C98)*12+MONTH($C98)-1)*'Rate Engine'!$H$17:$H$64,'Rate Engine'!$Q$17:$Q$64))/SUMPRODUCT('Rate Engine'!$H$17:$H$64,'Rate Engine'!$Q$17:$Q$64))</f>
        <v/>
      </c>
      <c r="Y98" s="78" t="str">
        <f t="shared" si="21"/>
        <v/>
      </c>
    </row>
    <row r="99" spans="1:25" x14ac:dyDescent="0.3">
      <c r="A99" s="11"/>
      <c r="B99" s="11"/>
      <c r="C99" s="61"/>
      <c r="D99" s="29"/>
      <c r="E99" s="11"/>
      <c r="F99" s="11"/>
      <c r="G99" s="59"/>
      <c r="H99" s="71"/>
      <c r="J99" s="65" t="str">
        <f t="shared" si="11"/>
        <v/>
      </c>
      <c r="K99" s="72" t="str">
        <f t="shared" si="12"/>
        <v/>
      </c>
      <c r="L99" s="73">
        <f t="shared" si="13"/>
        <v>0</v>
      </c>
      <c r="M99" s="74" t="str">
        <f t="shared" si="14"/>
        <v/>
      </c>
      <c r="N99" s="75">
        <f t="shared" si="15"/>
        <v>0</v>
      </c>
      <c r="O99" s="75">
        <f t="shared" si="16"/>
        <v>0</v>
      </c>
      <c r="P99" s="75">
        <f>IF($C99="",0,COUNTIFS($J$7:$J99,$J99,$M$7:$M99,$M99,$C$7:$C99,$C99))</f>
        <v>0</v>
      </c>
      <c r="Q99" s="75">
        <f t="shared" si="17"/>
        <v>0</v>
      </c>
      <c r="R99" s="75">
        <f t="shared" si="18"/>
        <v>0</v>
      </c>
      <c r="S99" s="75">
        <f>IF($C99="",0,COUNTIFS(rl_key,$J99,rl_eff,"&lt;"&amp;$C99)+COUNTIFS($J$7:$J99,$J99,$C$7:$C99,$C99))</f>
        <v>0</v>
      </c>
      <c r="T99" s="75">
        <f>IF(OR($C99="",$E99&lt;&gt;"planned",$C99&lt;DATE(nr_PlanYear,1,1),$C99&gt;DATE(nr_PlanYear,12,31)),0,IF(AND(COUNTIFS(rl_key,$J99,rl_status,"planned",rl_eff,"&gt;="&amp;DATE(nr_PlanYear,1,1),rl_eff,"&lt;"&amp;$C99)=0,COUNTIFS($J$7:$J99,$J99,$E$7:$E99,"planned",$C$7:$C99,$C99)=1),1,0))</f>
        <v>0</v>
      </c>
      <c r="U99" s="75">
        <f>IF(OR($C99="",$E99&lt;&gt;"taken"),0,IF(AND(COUNTIFS(rl_key,$J99,rl_effmonth,$M99,rl_eff,"&lt;"&amp;$C99,rl_status,"taken")=0,COUNTIFS($J$7:$J99,$J99,$M$7:$M99,$M99,$C$7:$C99,$C99,$E$7:$E99,"taken")=1),1,0))</f>
        <v>0</v>
      </c>
      <c r="V99" s="66" t="str">
        <f t="shared" si="19"/>
        <v/>
      </c>
      <c r="W99" s="76" t="str">
        <f t="shared" si="20"/>
        <v/>
      </c>
      <c r="X99" s="77" t="str">
        <f>IF(OR($C99="",$J99&lt;&gt;nr_SelKey),"",(SUMPRODUCT(('Rate Engine'!$G$17:$G$64&gt;YEAR($C99)*12+MONTH($C99)-1)*'Rate Engine'!$H$17:$H$64,'Rate Engine'!$Q$17:$Q$64)+(EOMONTH($C99,0)-$C99+1)/DAY(EOMONTH($C99,0))*SUMPRODUCT(('Rate Engine'!$G$17:$G$64=YEAR($C99)*12+MONTH($C99)-1)*'Rate Engine'!$H$17:$H$64,'Rate Engine'!$Q$17:$Q$64))/SUMPRODUCT('Rate Engine'!$H$17:$H$64,'Rate Engine'!$Q$17:$Q$64))</f>
        <v/>
      </c>
      <c r="Y99" s="78" t="str">
        <f t="shared" si="21"/>
        <v/>
      </c>
    </row>
    <row r="100" spans="1:25" x14ac:dyDescent="0.3">
      <c r="A100" s="11"/>
      <c r="B100" s="11"/>
      <c r="C100" s="61"/>
      <c r="D100" s="29"/>
      <c r="E100" s="11"/>
      <c r="F100" s="11"/>
      <c r="G100" s="59"/>
      <c r="H100" s="71"/>
      <c r="J100" s="65" t="str">
        <f t="shared" si="11"/>
        <v/>
      </c>
      <c r="K100" s="72" t="str">
        <f t="shared" si="12"/>
        <v/>
      </c>
      <c r="L100" s="73">
        <f t="shared" si="13"/>
        <v>0</v>
      </c>
      <c r="M100" s="74" t="str">
        <f t="shared" si="14"/>
        <v/>
      </c>
      <c r="N100" s="75">
        <f t="shared" si="15"/>
        <v>0</v>
      </c>
      <c r="O100" s="75">
        <f t="shared" si="16"/>
        <v>0</v>
      </c>
      <c r="P100" s="75">
        <f>IF($C100="",0,COUNTIFS($J$7:$J100,$J100,$M$7:$M100,$M100,$C$7:$C100,$C100))</f>
        <v>0</v>
      </c>
      <c r="Q100" s="75">
        <f t="shared" si="17"/>
        <v>0</v>
      </c>
      <c r="R100" s="75">
        <f t="shared" si="18"/>
        <v>0</v>
      </c>
      <c r="S100" s="75">
        <f>IF($C100="",0,COUNTIFS(rl_key,$J100,rl_eff,"&lt;"&amp;$C100)+COUNTIFS($J$7:$J100,$J100,$C$7:$C100,$C100))</f>
        <v>0</v>
      </c>
      <c r="T100" s="75">
        <f>IF(OR($C100="",$E100&lt;&gt;"planned",$C100&lt;DATE(nr_PlanYear,1,1),$C100&gt;DATE(nr_PlanYear,12,31)),0,IF(AND(COUNTIFS(rl_key,$J100,rl_status,"planned",rl_eff,"&gt;="&amp;DATE(nr_PlanYear,1,1),rl_eff,"&lt;"&amp;$C100)=0,COUNTIFS($J$7:$J100,$J100,$E$7:$E100,"planned",$C$7:$C100,$C100)=1),1,0))</f>
        <v>0</v>
      </c>
      <c r="U100" s="75">
        <f>IF(OR($C100="",$E100&lt;&gt;"taken"),0,IF(AND(COUNTIFS(rl_key,$J100,rl_effmonth,$M100,rl_eff,"&lt;"&amp;$C100,rl_status,"taken")=0,COUNTIFS($J$7:$J100,$J100,$M$7:$M100,$M100,$C$7:$C100,$C100,$E$7:$E100,"taken")=1),1,0))</f>
        <v>0</v>
      </c>
      <c r="V100" s="66" t="str">
        <f t="shared" si="19"/>
        <v/>
      </c>
      <c r="W100" s="76" t="str">
        <f t="shared" si="20"/>
        <v/>
      </c>
      <c r="X100" s="77" t="str">
        <f>IF(OR($C100="",$J100&lt;&gt;nr_SelKey),"",(SUMPRODUCT(('Rate Engine'!$G$17:$G$64&gt;YEAR($C100)*12+MONTH($C100)-1)*'Rate Engine'!$H$17:$H$64,'Rate Engine'!$Q$17:$Q$64)+(EOMONTH($C100,0)-$C100+1)/DAY(EOMONTH($C100,0))*SUMPRODUCT(('Rate Engine'!$G$17:$G$64=YEAR($C100)*12+MONTH($C100)-1)*'Rate Engine'!$H$17:$H$64,'Rate Engine'!$Q$17:$Q$64))/SUMPRODUCT('Rate Engine'!$H$17:$H$64,'Rate Engine'!$Q$17:$Q$64))</f>
        <v/>
      </c>
      <c r="Y100" s="78" t="str">
        <f t="shared" si="21"/>
        <v/>
      </c>
    </row>
    <row r="101" spans="1:25" x14ac:dyDescent="0.3">
      <c r="A101" s="11"/>
      <c r="B101" s="11"/>
      <c r="C101" s="61"/>
      <c r="D101" s="29"/>
      <c r="E101" s="11"/>
      <c r="F101" s="11"/>
      <c r="G101" s="59"/>
      <c r="H101" s="71"/>
      <c r="J101" s="65" t="str">
        <f t="shared" si="11"/>
        <v/>
      </c>
      <c r="K101" s="72" t="str">
        <f t="shared" si="12"/>
        <v/>
      </c>
      <c r="L101" s="73">
        <f t="shared" si="13"/>
        <v>0</v>
      </c>
      <c r="M101" s="74" t="str">
        <f t="shared" si="14"/>
        <v/>
      </c>
      <c r="N101" s="75">
        <f t="shared" si="15"/>
        <v>0</v>
      </c>
      <c r="O101" s="75">
        <f t="shared" si="16"/>
        <v>0</v>
      </c>
      <c r="P101" s="75">
        <f>IF($C101="",0,COUNTIFS($J$7:$J101,$J101,$M$7:$M101,$M101,$C$7:$C101,$C101))</f>
        <v>0</v>
      </c>
      <c r="Q101" s="75">
        <f t="shared" si="17"/>
        <v>0</v>
      </c>
      <c r="R101" s="75">
        <f t="shared" si="18"/>
        <v>0</v>
      </c>
      <c r="S101" s="75">
        <f>IF($C101="",0,COUNTIFS(rl_key,$J101,rl_eff,"&lt;"&amp;$C101)+COUNTIFS($J$7:$J101,$J101,$C$7:$C101,$C101))</f>
        <v>0</v>
      </c>
      <c r="T101" s="75">
        <f>IF(OR($C101="",$E101&lt;&gt;"planned",$C101&lt;DATE(nr_PlanYear,1,1),$C101&gt;DATE(nr_PlanYear,12,31)),0,IF(AND(COUNTIFS(rl_key,$J101,rl_status,"planned",rl_eff,"&gt;="&amp;DATE(nr_PlanYear,1,1),rl_eff,"&lt;"&amp;$C101)=0,COUNTIFS($J$7:$J101,$J101,$E$7:$E101,"planned",$C$7:$C101,$C101)=1),1,0))</f>
        <v>0</v>
      </c>
      <c r="U101" s="75">
        <f>IF(OR($C101="",$E101&lt;&gt;"taken"),0,IF(AND(COUNTIFS(rl_key,$J101,rl_effmonth,$M101,rl_eff,"&lt;"&amp;$C101,rl_status,"taken")=0,COUNTIFS($J$7:$J101,$J101,$M$7:$M101,$M101,$C$7:$C101,$C101,$E$7:$E101,"taken")=1),1,0))</f>
        <v>0</v>
      </c>
      <c r="V101" s="66" t="str">
        <f t="shared" si="19"/>
        <v/>
      </c>
      <c r="W101" s="76" t="str">
        <f t="shared" si="20"/>
        <v/>
      </c>
      <c r="X101" s="77" t="str">
        <f>IF(OR($C101="",$J101&lt;&gt;nr_SelKey),"",(SUMPRODUCT(('Rate Engine'!$G$17:$G$64&gt;YEAR($C101)*12+MONTH($C101)-1)*'Rate Engine'!$H$17:$H$64,'Rate Engine'!$Q$17:$Q$64)+(EOMONTH($C101,0)-$C101+1)/DAY(EOMONTH($C101,0))*SUMPRODUCT(('Rate Engine'!$G$17:$G$64=YEAR($C101)*12+MONTH($C101)-1)*'Rate Engine'!$H$17:$H$64,'Rate Engine'!$Q$17:$Q$64))/SUMPRODUCT('Rate Engine'!$H$17:$H$64,'Rate Engine'!$Q$17:$Q$64))</f>
        <v/>
      </c>
      <c r="Y101" s="78" t="str">
        <f t="shared" si="21"/>
        <v/>
      </c>
    </row>
    <row r="102" spans="1:25" x14ac:dyDescent="0.3">
      <c r="A102" s="11"/>
      <c r="B102" s="11"/>
      <c r="C102" s="61"/>
      <c r="D102" s="29"/>
      <c r="E102" s="11"/>
      <c r="F102" s="11"/>
      <c r="G102" s="59"/>
      <c r="H102" s="71"/>
      <c r="J102" s="65" t="str">
        <f t="shared" si="11"/>
        <v/>
      </c>
      <c r="K102" s="72" t="str">
        <f t="shared" si="12"/>
        <v/>
      </c>
      <c r="L102" s="73">
        <f t="shared" si="13"/>
        <v>0</v>
      </c>
      <c r="M102" s="74" t="str">
        <f t="shared" si="14"/>
        <v/>
      </c>
      <c r="N102" s="75">
        <f t="shared" si="15"/>
        <v>0</v>
      </c>
      <c r="O102" s="75">
        <f t="shared" si="16"/>
        <v>0</v>
      </c>
      <c r="P102" s="75">
        <f>IF($C102="",0,COUNTIFS($J$7:$J102,$J102,$M$7:$M102,$M102,$C$7:$C102,$C102))</f>
        <v>0</v>
      </c>
      <c r="Q102" s="75">
        <f t="shared" si="17"/>
        <v>0</v>
      </c>
      <c r="R102" s="75">
        <f t="shared" si="18"/>
        <v>0</v>
      </c>
      <c r="S102" s="75">
        <f>IF($C102="",0,COUNTIFS(rl_key,$J102,rl_eff,"&lt;"&amp;$C102)+COUNTIFS($J$7:$J102,$J102,$C$7:$C102,$C102))</f>
        <v>0</v>
      </c>
      <c r="T102" s="75">
        <f>IF(OR($C102="",$E102&lt;&gt;"planned",$C102&lt;DATE(nr_PlanYear,1,1),$C102&gt;DATE(nr_PlanYear,12,31)),0,IF(AND(COUNTIFS(rl_key,$J102,rl_status,"planned",rl_eff,"&gt;="&amp;DATE(nr_PlanYear,1,1),rl_eff,"&lt;"&amp;$C102)=0,COUNTIFS($J$7:$J102,$J102,$E$7:$E102,"planned",$C$7:$C102,$C102)=1),1,0))</f>
        <v>0</v>
      </c>
      <c r="U102" s="75">
        <f>IF(OR($C102="",$E102&lt;&gt;"taken"),0,IF(AND(COUNTIFS(rl_key,$J102,rl_effmonth,$M102,rl_eff,"&lt;"&amp;$C102,rl_status,"taken")=0,COUNTIFS($J$7:$J102,$J102,$M$7:$M102,$M102,$C$7:$C102,$C102,$E$7:$E102,"taken")=1),1,0))</f>
        <v>0</v>
      </c>
      <c r="V102" s="66" t="str">
        <f t="shared" si="19"/>
        <v/>
      </c>
      <c r="W102" s="76" t="str">
        <f t="shared" si="20"/>
        <v/>
      </c>
      <c r="X102" s="77" t="str">
        <f>IF(OR($C102="",$J102&lt;&gt;nr_SelKey),"",(SUMPRODUCT(('Rate Engine'!$G$17:$G$64&gt;YEAR($C102)*12+MONTH($C102)-1)*'Rate Engine'!$H$17:$H$64,'Rate Engine'!$Q$17:$Q$64)+(EOMONTH($C102,0)-$C102+1)/DAY(EOMONTH($C102,0))*SUMPRODUCT(('Rate Engine'!$G$17:$G$64=YEAR($C102)*12+MONTH($C102)-1)*'Rate Engine'!$H$17:$H$64,'Rate Engine'!$Q$17:$Q$64))/SUMPRODUCT('Rate Engine'!$H$17:$H$64,'Rate Engine'!$Q$17:$Q$64))</f>
        <v/>
      </c>
      <c r="Y102" s="78" t="str">
        <f t="shared" si="21"/>
        <v/>
      </c>
    </row>
    <row r="103" spans="1:25" x14ac:dyDescent="0.3">
      <c r="A103" s="11"/>
      <c r="B103" s="11"/>
      <c r="C103" s="61"/>
      <c r="D103" s="29"/>
      <c r="E103" s="11"/>
      <c r="F103" s="11"/>
      <c r="G103" s="59"/>
      <c r="H103" s="71"/>
      <c r="J103" s="65" t="str">
        <f t="shared" si="11"/>
        <v/>
      </c>
      <c r="K103" s="72" t="str">
        <f t="shared" si="12"/>
        <v/>
      </c>
      <c r="L103" s="73">
        <f t="shared" si="13"/>
        <v>0</v>
      </c>
      <c r="M103" s="74" t="str">
        <f t="shared" si="14"/>
        <v/>
      </c>
      <c r="N103" s="75">
        <f t="shared" si="15"/>
        <v>0</v>
      </c>
      <c r="O103" s="75">
        <f t="shared" si="16"/>
        <v>0</v>
      </c>
      <c r="P103" s="75">
        <f>IF($C103="",0,COUNTIFS($J$7:$J103,$J103,$M$7:$M103,$M103,$C$7:$C103,$C103))</f>
        <v>0</v>
      </c>
      <c r="Q103" s="75">
        <f t="shared" si="17"/>
        <v>0</v>
      </c>
      <c r="R103" s="75">
        <f t="shared" si="18"/>
        <v>0</v>
      </c>
      <c r="S103" s="75">
        <f>IF($C103="",0,COUNTIFS(rl_key,$J103,rl_eff,"&lt;"&amp;$C103)+COUNTIFS($J$7:$J103,$J103,$C$7:$C103,$C103))</f>
        <v>0</v>
      </c>
      <c r="T103" s="75">
        <f>IF(OR($C103="",$E103&lt;&gt;"planned",$C103&lt;DATE(nr_PlanYear,1,1),$C103&gt;DATE(nr_PlanYear,12,31)),0,IF(AND(COUNTIFS(rl_key,$J103,rl_status,"planned",rl_eff,"&gt;="&amp;DATE(nr_PlanYear,1,1),rl_eff,"&lt;"&amp;$C103)=0,COUNTIFS($J$7:$J103,$J103,$E$7:$E103,"planned",$C$7:$C103,$C103)=1),1,0))</f>
        <v>0</v>
      </c>
      <c r="U103" s="75">
        <f>IF(OR($C103="",$E103&lt;&gt;"taken"),0,IF(AND(COUNTIFS(rl_key,$J103,rl_effmonth,$M103,rl_eff,"&lt;"&amp;$C103,rl_status,"taken")=0,COUNTIFS($J$7:$J103,$J103,$M$7:$M103,$M103,$C$7:$C103,$C103,$E$7:$E103,"taken")=1),1,0))</f>
        <v>0</v>
      </c>
      <c r="V103" s="66" t="str">
        <f t="shared" si="19"/>
        <v/>
      </c>
      <c r="W103" s="76" t="str">
        <f t="shared" si="20"/>
        <v/>
      </c>
      <c r="X103" s="77" t="str">
        <f>IF(OR($C103="",$J103&lt;&gt;nr_SelKey),"",(SUMPRODUCT(('Rate Engine'!$G$17:$G$64&gt;YEAR($C103)*12+MONTH($C103)-1)*'Rate Engine'!$H$17:$H$64,'Rate Engine'!$Q$17:$Q$64)+(EOMONTH($C103,0)-$C103+1)/DAY(EOMONTH($C103,0))*SUMPRODUCT(('Rate Engine'!$G$17:$G$64=YEAR($C103)*12+MONTH($C103)-1)*'Rate Engine'!$H$17:$H$64,'Rate Engine'!$Q$17:$Q$64))/SUMPRODUCT('Rate Engine'!$H$17:$H$64,'Rate Engine'!$Q$17:$Q$64))</f>
        <v/>
      </c>
      <c r="Y103" s="78" t="str">
        <f t="shared" si="21"/>
        <v/>
      </c>
    </row>
    <row r="104" spans="1:25" x14ac:dyDescent="0.3">
      <c r="A104" s="11"/>
      <c r="B104" s="11"/>
      <c r="C104" s="61"/>
      <c r="D104" s="29"/>
      <c r="E104" s="11"/>
      <c r="F104" s="11"/>
      <c r="G104" s="59"/>
      <c r="H104" s="71"/>
      <c r="J104" s="65" t="str">
        <f t="shared" si="11"/>
        <v/>
      </c>
      <c r="K104" s="72" t="str">
        <f t="shared" si="12"/>
        <v/>
      </c>
      <c r="L104" s="73">
        <f t="shared" si="13"/>
        <v>0</v>
      </c>
      <c r="M104" s="74" t="str">
        <f t="shared" si="14"/>
        <v/>
      </c>
      <c r="N104" s="75">
        <f t="shared" si="15"/>
        <v>0</v>
      </c>
      <c r="O104" s="75">
        <f t="shared" si="16"/>
        <v>0</v>
      </c>
      <c r="P104" s="75">
        <f>IF($C104="",0,COUNTIFS($J$7:$J104,$J104,$M$7:$M104,$M104,$C$7:$C104,$C104))</f>
        <v>0</v>
      </c>
      <c r="Q104" s="75">
        <f t="shared" si="17"/>
        <v>0</v>
      </c>
      <c r="R104" s="75">
        <f t="shared" si="18"/>
        <v>0</v>
      </c>
      <c r="S104" s="75">
        <f>IF($C104="",0,COUNTIFS(rl_key,$J104,rl_eff,"&lt;"&amp;$C104)+COUNTIFS($J$7:$J104,$J104,$C$7:$C104,$C104))</f>
        <v>0</v>
      </c>
      <c r="T104" s="75">
        <f>IF(OR($C104="",$E104&lt;&gt;"planned",$C104&lt;DATE(nr_PlanYear,1,1),$C104&gt;DATE(nr_PlanYear,12,31)),0,IF(AND(COUNTIFS(rl_key,$J104,rl_status,"planned",rl_eff,"&gt;="&amp;DATE(nr_PlanYear,1,1),rl_eff,"&lt;"&amp;$C104)=0,COUNTIFS($J$7:$J104,$J104,$E$7:$E104,"planned",$C$7:$C104,$C104)=1),1,0))</f>
        <v>0</v>
      </c>
      <c r="U104" s="75">
        <f>IF(OR($C104="",$E104&lt;&gt;"taken"),0,IF(AND(COUNTIFS(rl_key,$J104,rl_effmonth,$M104,rl_eff,"&lt;"&amp;$C104,rl_status,"taken")=0,COUNTIFS($J$7:$J104,$J104,$M$7:$M104,$M104,$C$7:$C104,$C104,$E$7:$E104,"taken")=1),1,0))</f>
        <v>0</v>
      </c>
      <c r="V104" s="66" t="str">
        <f t="shared" si="19"/>
        <v/>
      </c>
      <c r="W104" s="76" t="str">
        <f t="shared" si="20"/>
        <v/>
      </c>
      <c r="X104" s="77" t="str">
        <f>IF(OR($C104="",$J104&lt;&gt;nr_SelKey),"",(SUMPRODUCT(('Rate Engine'!$G$17:$G$64&gt;YEAR($C104)*12+MONTH($C104)-1)*'Rate Engine'!$H$17:$H$64,'Rate Engine'!$Q$17:$Q$64)+(EOMONTH($C104,0)-$C104+1)/DAY(EOMONTH($C104,0))*SUMPRODUCT(('Rate Engine'!$G$17:$G$64=YEAR($C104)*12+MONTH($C104)-1)*'Rate Engine'!$H$17:$H$64,'Rate Engine'!$Q$17:$Q$64))/SUMPRODUCT('Rate Engine'!$H$17:$H$64,'Rate Engine'!$Q$17:$Q$64))</f>
        <v/>
      </c>
      <c r="Y104" s="78" t="str">
        <f t="shared" si="21"/>
        <v/>
      </c>
    </row>
    <row r="105" spans="1:25" x14ac:dyDescent="0.3">
      <c r="A105" s="11"/>
      <c r="B105" s="11"/>
      <c r="C105" s="61"/>
      <c r="D105" s="29"/>
      <c r="E105" s="11"/>
      <c r="F105" s="11"/>
      <c r="G105" s="59"/>
      <c r="H105" s="71"/>
      <c r="J105" s="65" t="str">
        <f t="shared" si="11"/>
        <v/>
      </c>
      <c r="K105" s="72" t="str">
        <f t="shared" si="12"/>
        <v/>
      </c>
      <c r="L105" s="73">
        <f t="shared" si="13"/>
        <v>0</v>
      </c>
      <c r="M105" s="74" t="str">
        <f t="shared" si="14"/>
        <v/>
      </c>
      <c r="N105" s="75">
        <f t="shared" si="15"/>
        <v>0</v>
      </c>
      <c r="O105" s="75">
        <f t="shared" si="16"/>
        <v>0</v>
      </c>
      <c r="P105" s="75">
        <f>IF($C105="",0,COUNTIFS($J$7:$J105,$J105,$M$7:$M105,$M105,$C$7:$C105,$C105))</f>
        <v>0</v>
      </c>
      <c r="Q105" s="75">
        <f t="shared" si="17"/>
        <v>0</v>
      </c>
      <c r="R105" s="75">
        <f t="shared" si="18"/>
        <v>0</v>
      </c>
      <c r="S105" s="75">
        <f>IF($C105="",0,COUNTIFS(rl_key,$J105,rl_eff,"&lt;"&amp;$C105)+COUNTIFS($J$7:$J105,$J105,$C$7:$C105,$C105))</f>
        <v>0</v>
      </c>
      <c r="T105" s="75">
        <f>IF(OR($C105="",$E105&lt;&gt;"planned",$C105&lt;DATE(nr_PlanYear,1,1),$C105&gt;DATE(nr_PlanYear,12,31)),0,IF(AND(COUNTIFS(rl_key,$J105,rl_status,"planned",rl_eff,"&gt;="&amp;DATE(nr_PlanYear,1,1),rl_eff,"&lt;"&amp;$C105)=0,COUNTIFS($J$7:$J105,$J105,$E$7:$E105,"planned",$C$7:$C105,$C105)=1),1,0))</f>
        <v>0</v>
      </c>
      <c r="U105" s="75">
        <f>IF(OR($C105="",$E105&lt;&gt;"taken"),0,IF(AND(COUNTIFS(rl_key,$J105,rl_effmonth,$M105,rl_eff,"&lt;"&amp;$C105,rl_status,"taken")=0,COUNTIFS($J$7:$J105,$J105,$M$7:$M105,$M105,$C$7:$C105,$C105,$E$7:$E105,"taken")=1),1,0))</f>
        <v>0</v>
      </c>
      <c r="V105" s="66" t="str">
        <f t="shared" si="19"/>
        <v/>
      </c>
      <c r="W105" s="76" t="str">
        <f t="shared" si="20"/>
        <v/>
      </c>
      <c r="X105" s="77" t="str">
        <f>IF(OR($C105="",$J105&lt;&gt;nr_SelKey),"",(SUMPRODUCT(('Rate Engine'!$G$17:$G$64&gt;YEAR($C105)*12+MONTH($C105)-1)*'Rate Engine'!$H$17:$H$64,'Rate Engine'!$Q$17:$Q$64)+(EOMONTH($C105,0)-$C105+1)/DAY(EOMONTH($C105,0))*SUMPRODUCT(('Rate Engine'!$G$17:$G$64=YEAR($C105)*12+MONTH($C105)-1)*'Rate Engine'!$H$17:$H$64,'Rate Engine'!$Q$17:$Q$64))/SUMPRODUCT('Rate Engine'!$H$17:$H$64,'Rate Engine'!$Q$17:$Q$64))</f>
        <v/>
      </c>
      <c r="Y105" s="78" t="str">
        <f t="shared" si="21"/>
        <v/>
      </c>
    </row>
    <row r="106" spans="1:25" x14ac:dyDescent="0.3">
      <c r="A106" s="11"/>
      <c r="B106" s="11"/>
      <c r="C106" s="61"/>
      <c r="D106" s="29"/>
      <c r="E106" s="11"/>
      <c r="F106" s="11"/>
      <c r="G106" s="59"/>
      <c r="H106" s="71"/>
      <c r="J106" s="65" t="str">
        <f t="shared" si="11"/>
        <v/>
      </c>
      <c r="K106" s="72" t="str">
        <f t="shared" si="12"/>
        <v/>
      </c>
      <c r="L106" s="73">
        <f t="shared" si="13"/>
        <v>0</v>
      </c>
      <c r="M106" s="74" t="str">
        <f t="shared" si="14"/>
        <v/>
      </c>
      <c r="N106" s="75">
        <f t="shared" si="15"/>
        <v>0</v>
      </c>
      <c r="O106" s="75">
        <f t="shared" si="16"/>
        <v>0</v>
      </c>
      <c r="P106" s="75">
        <f>IF($C106="",0,COUNTIFS($J$7:$J106,$J106,$M$7:$M106,$M106,$C$7:$C106,$C106))</f>
        <v>0</v>
      </c>
      <c r="Q106" s="75">
        <f t="shared" si="17"/>
        <v>0</v>
      </c>
      <c r="R106" s="75">
        <f t="shared" si="18"/>
        <v>0</v>
      </c>
      <c r="S106" s="75">
        <f>IF($C106="",0,COUNTIFS(rl_key,$J106,rl_eff,"&lt;"&amp;$C106)+COUNTIFS($J$7:$J106,$J106,$C$7:$C106,$C106))</f>
        <v>0</v>
      </c>
      <c r="T106" s="75">
        <f>IF(OR($C106="",$E106&lt;&gt;"planned",$C106&lt;DATE(nr_PlanYear,1,1),$C106&gt;DATE(nr_PlanYear,12,31)),0,IF(AND(COUNTIFS(rl_key,$J106,rl_status,"planned",rl_eff,"&gt;="&amp;DATE(nr_PlanYear,1,1),rl_eff,"&lt;"&amp;$C106)=0,COUNTIFS($J$7:$J106,$J106,$E$7:$E106,"planned",$C$7:$C106,$C106)=1),1,0))</f>
        <v>0</v>
      </c>
      <c r="U106" s="75">
        <f>IF(OR($C106="",$E106&lt;&gt;"taken"),0,IF(AND(COUNTIFS(rl_key,$J106,rl_effmonth,$M106,rl_eff,"&lt;"&amp;$C106,rl_status,"taken")=0,COUNTIFS($J$7:$J106,$J106,$M$7:$M106,$M106,$C$7:$C106,$C106,$E$7:$E106,"taken")=1),1,0))</f>
        <v>0</v>
      </c>
      <c r="V106" s="66" t="str">
        <f t="shared" si="19"/>
        <v/>
      </c>
      <c r="W106" s="76" t="str">
        <f t="shared" si="20"/>
        <v/>
      </c>
      <c r="X106" s="77" t="str">
        <f>IF(OR($C106="",$J106&lt;&gt;nr_SelKey),"",(SUMPRODUCT(('Rate Engine'!$G$17:$G$64&gt;YEAR($C106)*12+MONTH($C106)-1)*'Rate Engine'!$H$17:$H$64,'Rate Engine'!$Q$17:$Q$64)+(EOMONTH($C106,0)-$C106+1)/DAY(EOMONTH($C106,0))*SUMPRODUCT(('Rate Engine'!$G$17:$G$64=YEAR($C106)*12+MONTH($C106)-1)*'Rate Engine'!$H$17:$H$64,'Rate Engine'!$Q$17:$Q$64))/SUMPRODUCT('Rate Engine'!$H$17:$H$64,'Rate Engine'!$Q$17:$Q$64))</f>
        <v/>
      </c>
      <c r="Y106" s="78" t="str">
        <f t="shared" si="21"/>
        <v/>
      </c>
    </row>
    <row r="107" spans="1:25" x14ac:dyDescent="0.3">
      <c r="A107" s="11"/>
      <c r="B107" s="11"/>
      <c r="C107" s="61"/>
      <c r="D107" s="29"/>
      <c r="E107" s="11"/>
      <c r="F107" s="11"/>
      <c r="G107" s="59"/>
      <c r="H107" s="71"/>
      <c r="J107" s="65" t="str">
        <f t="shared" si="11"/>
        <v/>
      </c>
      <c r="K107" s="72" t="str">
        <f t="shared" si="12"/>
        <v/>
      </c>
      <c r="L107" s="73">
        <f t="shared" si="13"/>
        <v>0</v>
      </c>
      <c r="M107" s="74" t="str">
        <f t="shared" si="14"/>
        <v/>
      </c>
      <c r="N107" s="75">
        <f t="shared" si="15"/>
        <v>0</v>
      </c>
      <c r="O107" s="75">
        <f t="shared" si="16"/>
        <v>0</v>
      </c>
      <c r="P107" s="75">
        <f>IF($C107="",0,COUNTIFS($J$7:$J107,$J107,$M$7:$M107,$M107,$C$7:$C107,$C107))</f>
        <v>0</v>
      </c>
      <c r="Q107" s="75">
        <f t="shared" si="17"/>
        <v>0</v>
      </c>
      <c r="R107" s="75">
        <f t="shared" si="18"/>
        <v>0</v>
      </c>
      <c r="S107" s="75">
        <f>IF($C107="",0,COUNTIFS(rl_key,$J107,rl_eff,"&lt;"&amp;$C107)+COUNTIFS($J$7:$J107,$J107,$C$7:$C107,$C107))</f>
        <v>0</v>
      </c>
      <c r="T107" s="75">
        <f>IF(OR($C107="",$E107&lt;&gt;"planned",$C107&lt;DATE(nr_PlanYear,1,1),$C107&gt;DATE(nr_PlanYear,12,31)),0,IF(AND(COUNTIFS(rl_key,$J107,rl_status,"planned",rl_eff,"&gt;="&amp;DATE(nr_PlanYear,1,1),rl_eff,"&lt;"&amp;$C107)=0,COUNTIFS($J$7:$J107,$J107,$E$7:$E107,"planned",$C$7:$C107,$C107)=1),1,0))</f>
        <v>0</v>
      </c>
      <c r="U107" s="75">
        <f>IF(OR($C107="",$E107&lt;&gt;"taken"),0,IF(AND(COUNTIFS(rl_key,$J107,rl_effmonth,$M107,rl_eff,"&lt;"&amp;$C107,rl_status,"taken")=0,COUNTIFS($J$7:$J107,$J107,$M$7:$M107,$M107,$C$7:$C107,$C107,$E$7:$E107,"taken")=1),1,0))</f>
        <v>0</v>
      </c>
      <c r="V107" s="66" t="str">
        <f t="shared" si="19"/>
        <v/>
      </c>
      <c r="W107" s="76" t="str">
        <f t="shared" si="20"/>
        <v/>
      </c>
      <c r="X107" s="77" t="str">
        <f>IF(OR($C107="",$J107&lt;&gt;nr_SelKey),"",(SUMPRODUCT(('Rate Engine'!$G$17:$G$64&gt;YEAR($C107)*12+MONTH($C107)-1)*'Rate Engine'!$H$17:$H$64,'Rate Engine'!$Q$17:$Q$64)+(EOMONTH($C107,0)-$C107+1)/DAY(EOMONTH($C107,0))*SUMPRODUCT(('Rate Engine'!$G$17:$G$64=YEAR($C107)*12+MONTH($C107)-1)*'Rate Engine'!$H$17:$H$64,'Rate Engine'!$Q$17:$Q$64))/SUMPRODUCT('Rate Engine'!$H$17:$H$64,'Rate Engine'!$Q$17:$Q$64))</f>
        <v/>
      </c>
      <c r="Y107" s="78" t="str">
        <f t="shared" si="21"/>
        <v/>
      </c>
    </row>
    <row r="108" spans="1:25" x14ac:dyDescent="0.3">
      <c r="A108" s="11"/>
      <c r="B108" s="11"/>
      <c r="C108" s="61"/>
      <c r="D108" s="29"/>
      <c r="E108" s="11"/>
      <c r="F108" s="11"/>
      <c r="G108" s="59"/>
      <c r="H108" s="71"/>
      <c r="J108" s="65" t="str">
        <f t="shared" si="11"/>
        <v/>
      </c>
      <c r="K108" s="72" t="str">
        <f t="shared" si="12"/>
        <v/>
      </c>
      <c r="L108" s="73">
        <f t="shared" si="13"/>
        <v>0</v>
      </c>
      <c r="M108" s="74" t="str">
        <f t="shared" si="14"/>
        <v/>
      </c>
      <c r="N108" s="75">
        <f t="shared" si="15"/>
        <v>0</v>
      </c>
      <c r="O108" s="75">
        <f t="shared" si="16"/>
        <v>0</v>
      </c>
      <c r="P108" s="75">
        <f>IF($C108="",0,COUNTIFS($J$7:$J108,$J108,$M$7:$M108,$M108,$C$7:$C108,$C108))</f>
        <v>0</v>
      </c>
      <c r="Q108" s="75">
        <f t="shared" si="17"/>
        <v>0</v>
      </c>
      <c r="R108" s="75">
        <f t="shared" si="18"/>
        <v>0</v>
      </c>
      <c r="S108" s="75">
        <f>IF($C108="",0,COUNTIFS(rl_key,$J108,rl_eff,"&lt;"&amp;$C108)+COUNTIFS($J$7:$J108,$J108,$C$7:$C108,$C108))</f>
        <v>0</v>
      </c>
      <c r="T108" s="75">
        <f>IF(OR($C108="",$E108&lt;&gt;"planned",$C108&lt;DATE(nr_PlanYear,1,1),$C108&gt;DATE(nr_PlanYear,12,31)),0,IF(AND(COUNTIFS(rl_key,$J108,rl_status,"planned",rl_eff,"&gt;="&amp;DATE(nr_PlanYear,1,1),rl_eff,"&lt;"&amp;$C108)=0,COUNTIFS($J$7:$J108,$J108,$E$7:$E108,"planned",$C$7:$C108,$C108)=1),1,0))</f>
        <v>0</v>
      </c>
      <c r="U108" s="75">
        <f>IF(OR($C108="",$E108&lt;&gt;"taken"),0,IF(AND(COUNTIFS(rl_key,$J108,rl_effmonth,$M108,rl_eff,"&lt;"&amp;$C108,rl_status,"taken")=0,COUNTIFS($J$7:$J108,$J108,$M$7:$M108,$M108,$C$7:$C108,$C108,$E$7:$E108,"taken")=1),1,0))</f>
        <v>0</v>
      </c>
      <c r="V108" s="66" t="str">
        <f t="shared" si="19"/>
        <v/>
      </c>
      <c r="W108" s="76" t="str">
        <f t="shared" si="20"/>
        <v/>
      </c>
      <c r="X108" s="77" t="str">
        <f>IF(OR($C108="",$J108&lt;&gt;nr_SelKey),"",(SUMPRODUCT(('Rate Engine'!$G$17:$G$64&gt;YEAR($C108)*12+MONTH($C108)-1)*'Rate Engine'!$H$17:$H$64,'Rate Engine'!$Q$17:$Q$64)+(EOMONTH($C108,0)-$C108+1)/DAY(EOMONTH($C108,0))*SUMPRODUCT(('Rate Engine'!$G$17:$G$64=YEAR($C108)*12+MONTH($C108)-1)*'Rate Engine'!$H$17:$H$64,'Rate Engine'!$Q$17:$Q$64))/SUMPRODUCT('Rate Engine'!$H$17:$H$64,'Rate Engine'!$Q$17:$Q$64))</f>
        <v/>
      </c>
      <c r="Y108" s="78" t="str">
        <f t="shared" si="21"/>
        <v/>
      </c>
    </row>
    <row r="109" spans="1:25" x14ac:dyDescent="0.3">
      <c r="A109" s="11"/>
      <c r="B109" s="11"/>
      <c r="C109" s="61"/>
      <c r="D109" s="29"/>
      <c r="E109" s="11"/>
      <c r="F109" s="11"/>
      <c r="G109" s="59"/>
      <c r="H109" s="71"/>
      <c r="J109" s="65" t="str">
        <f t="shared" si="11"/>
        <v/>
      </c>
      <c r="K109" s="72" t="str">
        <f t="shared" si="12"/>
        <v/>
      </c>
      <c r="L109" s="73">
        <f t="shared" si="13"/>
        <v>0</v>
      </c>
      <c r="M109" s="74" t="str">
        <f t="shared" si="14"/>
        <v/>
      </c>
      <c r="N109" s="75">
        <f t="shared" si="15"/>
        <v>0</v>
      </c>
      <c r="O109" s="75">
        <f t="shared" si="16"/>
        <v>0</v>
      </c>
      <c r="P109" s="75">
        <f>IF($C109="",0,COUNTIFS($J$7:$J109,$J109,$M$7:$M109,$M109,$C$7:$C109,$C109))</f>
        <v>0</v>
      </c>
      <c r="Q109" s="75">
        <f t="shared" si="17"/>
        <v>0</v>
      </c>
      <c r="R109" s="75">
        <f t="shared" si="18"/>
        <v>0</v>
      </c>
      <c r="S109" s="75">
        <f>IF($C109="",0,COUNTIFS(rl_key,$J109,rl_eff,"&lt;"&amp;$C109)+COUNTIFS($J$7:$J109,$J109,$C$7:$C109,$C109))</f>
        <v>0</v>
      </c>
      <c r="T109" s="75">
        <f>IF(OR($C109="",$E109&lt;&gt;"planned",$C109&lt;DATE(nr_PlanYear,1,1),$C109&gt;DATE(nr_PlanYear,12,31)),0,IF(AND(COUNTIFS(rl_key,$J109,rl_status,"planned",rl_eff,"&gt;="&amp;DATE(nr_PlanYear,1,1),rl_eff,"&lt;"&amp;$C109)=0,COUNTIFS($J$7:$J109,$J109,$E$7:$E109,"planned",$C$7:$C109,$C109)=1),1,0))</f>
        <v>0</v>
      </c>
      <c r="U109" s="75">
        <f>IF(OR($C109="",$E109&lt;&gt;"taken"),0,IF(AND(COUNTIFS(rl_key,$J109,rl_effmonth,$M109,rl_eff,"&lt;"&amp;$C109,rl_status,"taken")=0,COUNTIFS($J$7:$J109,$J109,$M$7:$M109,$M109,$C$7:$C109,$C109,$E$7:$E109,"taken")=1),1,0))</f>
        <v>0</v>
      </c>
      <c r="V109" s="66" t="str">
        <f t="shared" si="19"/>
        <v/>
      </c>
      <c r="W109" s="76" t="str">
        <f t="shared" si="20"/>
        <v/>
      </c>
      <c r="X109" s="77" t="str">
        <f>IF(OR($C109="",$J109&lt;&gt;nr_SelKey),"",(SUMPRODUCT(('Rate Engine'!$G$17:$G$64&gt;YEAR($C109)*12+MONTH($C109)-1)*'Rate Engine'!$H$17:$H$64,'Rate Engine'!$Q$17:$Q$64)+(EOMONTH($C109,0)-$C109+1)/DAY(EOMONTH($C109,0))*SUMPRODUCT(('Rate Engine'!$G$17:$G$64=YEAR($C109)*12+MONTH($C109)-1)*'Rate Engine'!$H$17:$H$64,'Rate Engine'!$Q$17:$Q$64))/SUMPRODUCT('Rate Engine'!$H$17:$H$64,'Rate Engine'!$Q$17:$Q$64))</f>
        <v/>
      </c>
      <c r="Y109" s="78" t="str">
        <f t="shared" si="21"/>
        <v/>
      </c>
    </row>
    <row r="110" spans="1:25" x14ac:dyDescent="0.3">
      <c r="A110" s="11"/>
      <c r="B110" s="11"/>
      <c r="C110" s="61"/>
      <c r="D110" s="29"/>
      <c r="E110" s="11"/>
      <c r="F110" s="11"/>
      <c r="G110" s="59"/>
      <c r="H110" s="71"/>
      <c r="J110" s="65" t="str">
        <f t="shared" si="11"/>
        <v/>
      </c>
      <c r="K110" s="72" t="str">
        <f t="shared" si="12"/>
        <v/>
      </c>
      <c r="L110" s="73">
        <f t="shared" si="13"/>
        <v>0</v>
      </c>
      <c r="M110" s="74" t="str">
        <f t="shared" si="14"/>
        <v/>
      </c>
      <c r="N110" s="75">
        <f t="shared" si="15"/>
        <v>0</v>
      </c>
      <c r="O110" s="75">
        <f t="shared" si="16"/>
        <v>0</v>
      </c>
      <c r="P110" s="75">
        <f>IF($C110="",0,COUNTIFS($J$7:$J110,$J110,$M$7:$M110,$M110,$C$7:$C110,$C110))</f>
        <v>0</v>
      </c>
      <c r="Q110" s="75">
        <f t="shared" si="17"/>
        <v>0</v>
      </c>
      <c r="R110" s="75">
        <f t="shared" si="18"/>
        <v>0</v>
      </c>
      <c r="S110" s="75">
        <f>IF($C110="",0,COUNTIFS(rl_key,$J110,rl_eff,"&lt;"&amp;$C110)+COUNTIFS($J$7:$J110,$J110,$C$7:$C110,$C110))</f>
        <v>0</v>
      </c>
      <c r="T110" s="75">
        <f>IF(OR($C110="",$E110&lt;&gt;"planned",$C110&lt;DATE(nr_PlanYear,1,1),$C110&gt;DATE(nr_PlanYear,12,31)),0,IF(AND(COUNTIFS(rl_key,$J110,rl_status,"planned",rl_eff,"&gt;="&amp;DATE(nr_PlanYear,1,1),rl_eff,"&lt;"&amp;$C110)=0,COUNTIFS($J$7:$J110,$J110,$E$7:$E110,"planned",$C$7:$C110,$C110)=1),1,0))</f>
        <v>0</v>
      </c>
      <c r="U110" s="75">
        <f>IF(OR($C110="",$E110&lt;&gt;"taken"),0,IF(AND(COUNTIFS(rl_key,$J110,rl_effmonth,$M110,rl_eff,"&lt;"&amp;$C110,rl_status,"taken")=0,COUNTIFS($J$7:$J110,$J110,$M$7:$M110,$M110,$C$7:$C110,$C110,$E$7:$E110,"taken")=1),1,0))</f>
        <v>0</v>
      </c>
      <c r="V110" s="66" t="str">
        <f t="shared" si="19"/>
        <v/>
      </c>
      <c r="W110" s="76" t="str">
        <f t="shared" si="20"/>
        <v/>
      </c>
      <c r="X110" s="77" t="str">
        <f>IF(OR($C110="",$J110&lt;&gt;nr_SelKey),"",(SUMPRODUCT(('Rate Engine'!$G$17:$G$64&gt;YEAR($C110)*12+MONTH($C110)-1)*'Rate Engine'!$H$17:$H$64,'Rate Engine'!$Q$17:$Q$64)+(EOMONTH($C110,0)-$C110+1)/DAY(EOMONTH($C110,0))*SUMPRODUCT(('Rate Engine'!$G$17:$G$64=YEAR($C110)*12+MONTH($C110)-1)*'Rate Engine'!$H$17:$H$64,'Rate Engine'!$Q$17:$Q$64))/SUMPRODUCT('Rate Engine'!$H$17:$H$64,'Rate Engine'!$Q$17:$Q$64))</f>
        <v/>
      </c>
      <c r="Y110" s="78" t="str">
        <f t="shared" si="21"/>
        <v/>
      </c>
    </row>
    <row r="111" spans="1:25" x14ac:dyDescent="0.3">
      <c r="A111" s="11"/>
      <c r="B111" s="11"/>
      <c r="C111" s="61"/>
      <c r="D111" s="29"/>
      <c r="E111" s="11"/>
      <c r="F111" s="11"/>
      <c r="G111" s="59"/>
      <c r="H111" s="71"/>
      <c r="J111" s="65" t="str">
        <f t="shared" si="11"/>
        <v/>
      </c>
      <c r="K111" s="72" t="str">
        <f t="shared" si="12"/>
        <v/>
      </c>
      <c r="L111" s="73">
        <f t="shared" si="13"/>
        <v>0</v>
      </c>
      <c r="M111" s="74" t="str">
        <f t="shared" si="14"/>
        <v/>
      </c>
      <c r="N111" s="75">
        <f t="shared" si="15"/>
        <v>0</v>
      </c>
      <c r="O111" s="75">
        <f t="shared" si="16"/>
        <v>0</v>
      </c>
      <c r="P111" s="75">
        <f>IF($C111="",0,COUNTIFS($J$7:$J111,$J111,$M$7:$M111,$M111,$C$7:$C111,$C111))</f>
        <v>0</v>
      </c>
      <c r="Q111" s="75">
        <f t="shared" si="17"/>
        <v>0</v>
      </c>
      <c r="R111" s="75">
        <f t="shared" si="18"/>
        <v>0</v>
      </c>
      <c r="S111" s="75">
        <f>IF($C111="",0,COUNTIFS(rl_key,$J111,rl_eff,"&lt;"&amp;$C111)+COUNTIFS($J$7:$J111,$J111,$C$7:$C111,$C111))</f>
        <v>0</v>
      </c>
      <c r="T111" s="75">
        <f>IF(OR($C111="",$E111&lt;&gt;"planned",$C111&lt;DATE(nr_PlanYear,1,1),$C111&gt;DATE(nr_PlanYear,12,31)),0,IF(AND(COUNTIFS(rl_key,$J111,rl_status,"planned",rl_eff,"&gt;="&amp;DATE(nr_PlanYear,1,1),rl_eff,"&lt;"&amp;$C111)=0,COUNTIFS($J$7:$J111,$J111,$E$7:$E111,"planned",$C$7:$C111,$C111)=1),1,0))</f>
        <v>0</v>
      </c>
      <c r="U111" s="75">
        <f>IF(OR($C111="",$E111&lt;&gt;"taken"),0,IF(AND(COUNTIFS(rl_key,$J111,rl_effmonth,$M111,rl_eff,"&lt;"&amp;$C111,rl_status,"taken")=0,COUNTIFS($J$7:$J111,$J111,$M$7:$M111,$M111,$C$7:$C111,$C111,$E$7:$E111,"taken")=1),1,0))</f>
        <v>0</v>
      </c>
      <c r="V111" s="66" t="str">
        <f t="shared" si="19"/>
        <v/>
      </c>
      <c r="W111" s="76" t="str">
        <f t="shared" si="20"/>
        <v/>
      </c>
      <c r="X111" s="77" t="str">
        <f>IF(OR($C111="",$J111&lt;&gt;nr_SelKey),"",(SUMPRODUCT(('Rate Engine'!$G$17:$G$64&gt;YEAR($C111)*12+MONTH($C111)-1)*'Rate Engine'!$H$17:$H$64,'Rate Engine'!$Q$17:$Q$64)+(EOMONTH($C111,0)-$C111+1)/DAY(EOMONTH($C111,0))*SUMPRODUCT(('Rate Engine'!$G$17:$G$64=YEAR($C111)*12+MONTH($C111)-1)*'Rate Engine'!$H$17:$H$64,'Rate Engine'!$Q$17:$Q$64))/SUMPRODUCT('Rate Engine'!$H$17:$H$64,'Rate Engine'!$Q$17:$Q$64))</f>
        <v/>
      </c>
      <c r="Y111" s="78" t="str">
        <f t="shared" si="21"/>
        <v/>
      </c>
    </row>
    <row r="112" spans="1:25" x14ac:dyDescent="0.3">
      <c r="A112" s="11"/>
      <c r="B112" s="11"/>
      <c r="C112" s="61"/>
      <c r="D112" s="29"/>
      <c r="E112" s="11"/>
      <c r="F112" s="11"/>
      <c r="G112" s="59"/>
      <c r="H112" s="71"/>
      <c r="J112" s="65" t="str">
        <f t="shared" si="11"/>
        <v/>
      </c>
      <c r="K112" s="72" t="str">
        <f t="shared" si="12"/>
        <v/>
      </c>
      <c r="L112" s="73">
        <f t="shared" si="13"/>
        <v>0</v>
      </c>
      <c r="M112" s="74" t="str">
        <f t="shared" si="14"/>
        <v/>
      </c>
      <c r="N112" s="75">
        <f t="shared" si="15"/>
        <v>0</v>
      </c>
      <c r="O112" s="75">
        <f t="shared" si="16"/>
        <v>0</v>
      </c>
      <c r="P112" s="75">
        <f>IF($C112="",0,COUNTIFS($J$7:$J112,$J112,$M$7:$M112,$M112,$C$7:$C112,$C112))</f>
        <v>0</v>
      </c>
      <c r="Q112" s="75">
        <f t="shared" si="17"/>
        <v>0</v>
      </c>
      <c r="R112" s="75">
        <f t="shared" si="18"/>
        <v>0</v>
      </c>
      <c r="S112" s="75">
        <f>IF($C112="",0,COUNTIFS(rl_key,$J112,rl_eff,"&lt;"&amp;$C112)+COUNTIFS($J$7:$J112,$J112,$C$7:$C112,$C112))</f>
        <v>0</v>
      </c>
      <c r="T112" s="75">
        <f>IF(OR($C112="",$E112&lt;&gt;"planned",$C112&lt;DATE(nr_PlanYear,1,1),$C112&gt;DATE(nr_PlanYear,12,31)),0,IF(AND(COUNTIFS(rl_key,$J112,rl_status,"planned",rl_eff,"&gt;="&amp;DATE(nr_PlanYear,1,1),rl_eff,"&lt;"&amp;$C112)=0,COUNTIFS($J$7:$J112,$J112,$E$7:$E112,"planned",$C$7:$C112,$C112)=1),1,0))</f>
        <v>0</v>
      </c>
      <c r="U112" s="75">
        <f>IF(OR($C112="",$E112&lt;&gt;"taken"),0,IF(AND(COUNTIFS(rl_key,$J112,rl_effmonth,$M112,rl_eff,"&lt;"&amp;$C112,rl_status,"taken")=0,COUNTIFS($J$7:$J112,$J112,$M$7:$M112,$M112,$C$7:$C112,$C112,$E$7:$E112,"taken")=1),1,0))</f>
        <v>0</v>
      </c>
      <c r="V112" s="66" t="str">
        <f t="shared" si="19"/>
        <v/>
      </c>
      <c r="W112" s="76" t="str">
        <f t="shared" si="20"/>
        <v/>
      </c>
      <c r="X112" s="77" t="str">
        <f>IF(OR($C112="",$J112&lt;&gt;nr_SelKey),"",(SUMPRODUCT(('Rate Engine'!$G$17:$G$64&gt;YEAR($C112)*12+MONTH($C112)-1)*'Rate Engine'!$H$17:$H$64,'Rate Engine'!$Q$17:$Q$64)+(EOMONTH($C112,0)-$C112+1)/DAY(EOMONTH($C112,0))*SUMPRODUCT(('Rate Engine'!$G$17:$G$64=YEAR($C112)*12+MONTH($C112)-1)*'Rate Engine'!$H$17:$H$64,'Rate Engine'!$Q$17:$Q$64))/SUMPRODUCT('Rate Engine'!$H$17:$H$64,'Rate Engine'!$Q$17:$Q$64))</f>
        <v/>
      </c>
      <c r="Y112" s="78" t="str">
        <f t="shared" si="21"/>
        <v/>
      </c>
    </row>
    <row r="113" spans="1:25" x14ac:dyDescent="0.3">
      <c r="A113" s="11"/>
      <c r="B113" s="11"/>
      <c r="C113" s="61"/>
      <c r="D113" s="29"/>
      <c r="E113" s="11"/>
      <c r="F113" s="11"/>
      <c r="G113" s="59"/>
      <c r="H113" s="71"/>
      <c r="J113" s="65" t="str">
        <f t="shared" si="11"/>
        <v/>
      </c>
      <c r="K113" s="72" t="str">
        <f t="shared" si="12"/>
        <v/>
      </c>
      <c r="L113" s="73">
        <f t="shared" si="13"/>
        <v>0</v>
      </c>
      <c r="M113" s="74" t="str">
        <f t="shared" si="14"/>
        <v/>
      </c>
      <c r="N113" s="75">
        <f t="shared" si="15"/>
        <v>0</v>
      </c>
      <c r="O113" s="75">
        <f t="shared" si="16"/>
        <v>0</v>
      </c>
      <c r="P113" s="75">
        <f>IF($C113="",0,COUNTIFS($J$7:$J113,$J113,$M$7:$M113,$M113,$C$7:$C113,$C113))</f>
        <v>0</v>
      </c>
      <c r="Q113" s="75">
        <f t="shared" si="17"/>
        <v>0</v>
      </c>
      <c r="R113" s="75">
        <f t="shared" si="18"/>
        <v>0</v>
      </c>
      <c r="S113" s="75">
        <f>IF($C113="",0,COUNTIFS(rl_key,$J113,rl_eff,"&lt;"&amp;$C113)+COUNTIFS($J$7:$J113,$J113,$C$7:$C113,$C113))</f>
        <v>0</v>
      </c>
      <c r="T113" s="75">
        <f>IF(OR($C113="",$E113&lt;&gt;"planned",$C113&lt;DATE(nr_PlanYear,1,1),$C113&gt;DATE(nr_PlanYear,12,31)),0,IF(AND(COUNTIFS(rl_key,$J113,rl_status,"planned",rl_eff,"&gt;="&amp;DATE(nr_PlanYear,1,1),rl_eff,"&lt;"&amp;$C113)=0,COUNTIFS($J$7:$J113,$J113,$E$7:$E113,"planned",$C$7:$C113,$C113)=1),1,0))</f>
        <v>0</v>
      </c>
      <c r="U113" s="75">
        <f>IF(OR($C113="",$E113&lt;&gt;"taken"),0,IF(AND(COUNTIFS(rl_key,$J113,rl_effmonth,$M113,rl_eff,"&lt;"&amp;$C113,rl_status,"taken")=0,COUNTIFS($J$7:$J113,$J113,$M$7:$M113,$M113,$C$7:$C113,$C113,$E$7:$E113,"taken")=1),1,0))</f>
        <v>0</v>
      </c>
      <c r="V113" s="66" t="str">
        <f t="shared" si="19"/>
        <v/>
      </c>
      <c r="W113" s="76" t="str">
        <f t="shared" si="20"/>
        <v/>
      </c>
      <c r="X113" s="77" t="str">
        <f>IF(OR($C113="",$J113&lt;&gt;nr_SelKey),"",(SUMPRODUCT(('Rate Engine'!$G$17:$G$64&gt;YEAR($C113)*12+MONTH($C113)-1)*'Rate Engine'!$H$17:$H$64,'Rate Engine'!$Q$17:$Q$64)+(EOMONTH($C113,0)-$C113+1)/DAY(EOMONTH($C113,0))*SUMPRODUCT(('Rate Engine'!$G$17:$G$64=YEAR($C113)*12+MONTH($C113)-1)*'Rate Engine'!$H$17:$H$64,'Rate Engine'!$Q$17:$Q$64))/SUMPRODUCT('Rate Engine'!$H$17:$H$64,'Rate Engine'!$Q$17:$Q$64))</f>
        <v/>
      </c>
      <c r="Y113" s="78" t="str">
        <f t="shared" si="21"/>
        <v/>
      </c>
    </row>
    <row r="114" spans="1:25" x14ac:dyDescent="0.3">
      <c r="A114" s="11"/>
      <c r="B114" s="11"/>
      <c r="C114" s="61"/>
      <c r="D114" s="29"/>
      <c r="E114" s="11"/>
      <c r="F114" s="11"/>
      <c r="G114" s="59"/>
      <c r="H114" s="71"/>
      <c r="J114" s="65" t="str">
        <f t="shared" si="11"/>
        <v/>
      </c>
      <c r="K114" s="72" t="str">
        <f t="shared" si="12"/>
        <v/>
      </c>
      <c r="L114" s="73">
        <f t="shared" si="13"/>
        <v>0</v>
      </c>
      <c r="M114" s="74" t="str">
        <f t="shared" si="14"/>
        <v/>
      </c>
      <c r="N114" s="75">
        <f t="shared" si="15"/>
        <v>0</v>
      </c>
      <c r="O114" s="75">
        <f t="shared" si="16"/>
        <v>0</v>
      </c>
      <c r="P114" s="75">
        <f>IF($C114="",0,COUNTIFS($J$7:$J114,$J114,$M$7:$M114,$M114,$C$7:$C114,$C114))</f>
        <v>0</v>
      </c>
      <c r="Q114" s="75">
        <f t="shared" si="17"/>
        <v>0</v>
      </c>
      <c r="R114" s="75">
        <f t="shared" si="18"/>
        <v>0</v>
      </c>
      <c r="S114" s="75">
        <f>IF($C114="",0,COUNTIFS(rl_key,$J114,rl_eff,"&lt;"&amp;$C114)+COUNTIFS($J$7:$J114,$J114,$C$7:$C114,$C114))</f>
        <v>0</v>
      </c>
      <c r="T114" s="75">
        <f>IF(OR($C114="",$E114&lt;&gt;"planned",$C114&lt;DATE(nr_PlanYear,1,1),$C114&gt;DATE(nr_PlanYear,12,31)),0,IF(AND(COUNTIFS(rl_key,$J114,rl_status,"planned",rl_eff,"&gt;="&amp;DATE(nr_PlanYear,1,1),rl_eff,"&lt;"&amp;$C114)=0,COUNTIFS($J$7:$J114,$J114,$E$7:$E114,"planned",$C$7:$C114,$C114)=1),1,0))</f>
        <v>0</v>
      </c>
      <c r="U114" s="75">
        <f>IF(OR($C114="",$E114&lt;&gt;"taken"),0,IF(AND(COUNTIFS(rl_key,$J114,rl_effmonth,$M114,rl_eff,"&lt;"&amp;$C114,rl_status,"taken")=0,COUNTIFS($J$7:$J114,$J114,$M$7:$M114,$M114,$C$7:$C114,$C114,$E$7:$E114,"taken")=1),1,0))</f>
        <v>0</v>
      </c>
      <c r="V114" s="66" t="str">
        <f t="shared" si="19"/>
        <v/>
      </c>
      <c r="W114" s="76" t="str">
        <f t="shared" si="20"/>
        <v/>
      </c>
      <c r="X114" s="77" t="str">
        <f>IF(OR($C114="",$J114&lt;&gt;nr_SelKey),"",(SUMPRODUCT(('Rate Engine'!$G$17:$G$64&gt;YEAR($C114)*12+MONTH($C114)-1)*'Rate Engine'!$H$17:$H$64,'Rate Engine'!$Q$17:$Q$64)+(EOMONTH($C114,0)-$C114+1)/DAY(EOMONTH($C114,0))*SUMPRODUCT(('Rate Engine'!$G$17:$G$64=YEAR($C114)*12+MONTH($C114)-1)*'Rate Engine'!$H$17:$H$64,'Rate Engine'!$Q$17:$Q$64))/SUMPRODUCT('Rate Engine'!$H$17:$H$64,'Rate Engine'!$Q$17:$Q$64))</f>
        <v/>
      </c>
      <c r="Y114" s="78" t="str">
        <f t="shared" si="21"/>
        <v/>
      </c>
    </row>
    <row r="115" spans="1:25" x14ac:dyDescent="0.3">
      <c r="A115" s="11"/>
      <c r="B115" s="11"/>
      <c r="C115" s="61"/>
      <c r="D115" s="29"/>
      <c r="E115" s="11"/>
      <c r="F115" s="11"/>
      <c r="G115" s="59"/>
      <c r="H115" s="71"/>
      <c r="J115" s="65" t="str">
        <f t="shared" si="11"/>
        <v/>
      </c>
      <c r="K115" s="72" t="str">
        <f t="shared" si="12"/>
        <v/>
      </c>
      <c r="L115" s="73">
        <f t="shared" si="13"/>
        <v>0</v>
      </c>
      <c r="M115" s="74" t="str">
        <f t="shared" si="14"/>
        <v/>
      </c>
      <c r="N115" s="75">
        <f t="shared" si="15"/>
        <v>0</v>
      </c>
      <c r="O115" s="75">
        <f t="shared" si="16"/>
        <v>0</v>
      </c>
      <c r="P115" s="75">
        <f>IF($C115="",0,COUNTIFS($J$7:$J115,$J115,$M$7:$M115,$M115,$C$7:$C115,$C115))</f>
        <v>0</v>
      </c>
      <c r="Q115" s="75">
        <f t="shared" si="17"/>
        <v>0</v>
      </c>
      <c r="R115" s="75">
        <f t="shared" si="18"/>
        <v>0</v>
      </c>
      <c r="S115" s="75">
        <f>IF($C115="",0,COUNTIFS(rl_key,$J115,rl_eff,"&lt;"&amp;$C115)+COUNTIFS($J$7:$J115,$J115,$C$7:$C115,$C115))</f>
        <v>0</v>
      </c>
      <c r="T115" s="75">
        <f>IF(OR($C115="",$E115&lt;&gt;"planned",$C115&lt;DATE(nr_PlanYear,1,1),$C115&gt;DATE(nr_PlanYear,12,31)),0,IF(AND(COUNTIFS(rl_key,$J115,rl_status,"planned",rl_eff,"&gt;="&amp;DATE(nr_PlanYear,1,1),rl_eff,"&lt;"&amp;$C115)=0,COUNTIFS($J$7:$J115,$J115,$E$7:$E115,"planned",$C$7:$C115,$C115)=1),1,0))</f>
        <v>0</v>
      </c>
      <c r="U115" s="75">
        <f>IF(OR($C115="",$E115&lt;&gt;"taken"),0,IF(AND(COUNTIFS(rl_key,$J115,rl_effmonth,$M115,rl_eff,"&lt;"&amp;$C115,rl_status,"taken")=0,COUNTIFS($J$7:$J115,$J115,$M$7:$M115,$M115,$C$7:$C115,$C115,$E$7:$E115,"taken")=1),1,0))</f>
        <v>0</v>
      </c>
      <c r="V115" s="66" t="str">
        <f t="shared" si="19"/>
        <v/>
      </c>
      <c r="W115" s="76" t="str">
        <f t="shared" si="20"/>
        <v/>
      </c>
      <c r="X115" s="77" t="str">
        <f>IF(OR($C115="",$J115&lt;&gt;nr_SelKey),"",(SUMPRODUCT(('Rate Engine'!$G$17:$G$64&gt;YEAR($C115)*12+MONTH($C115)-1)*'Rate Engine'!$H$17:$H$64,'Rate Engine'!$Q$17:$Q$64)+(EOMONTH($C115,0)-$C115+1)/DAY(EOMONTH($C115,0))*SUMPRODUCT(('Rate Engine'!$G$17:$G$64=YEAR($C115)*12+MONTH($C115)-1)*'Rate Engine'!$H$17:$H$64,'Rate Engine'!$Q$17:$Q$64))/SUMPRODUCT('Rate Engine'!$H$17:$H$64,'Rate Engine'!$Q$17:$Q$64))</f>
        <v/>
      </c>
      <c r="Y115" s="78" t="str">
        <f t="shared" si="21"/>
        <v/>
      </c>
    </row>
    <row r="116" spans="1:25" x14ac:dyDescent="0.3">
      <c r="A116" s="11"/>
      <c r="B116" s="11"/>
      <c r="C116" s="61"/>
      <c r="D116" s="29"/>
      <c r="E116" s="11"/>
      <c r="F116" s="11"/>
      <c r="G116" s="59"/>
      <c r="H116" s="71"/>
      <c r="J116" s="65" t="str">
        <f t="shared" si="11"/>
        <v/>
      </c>
      <c r="K116" s="72" t="str">
        <f t="shared" si="12"/>
        <v/>
      </c>
      <c r="L116" s="73">
        <f t="shared" si="13"/>
        <v>0</v>
      </c>
      <c r="M116" s="74" t="str">
        <f t="shared" si="14"/>
        <v/>
      </c>
      <c r="N116" s="75">
        <f t="shared" si="15"/>
        <v>0</v>
      </c>
      <c r="O116" s="75">
        <f t="shared" si="16"/>
        <v>0</v>
      </c>
      <c r="P116" s="75">
        <f>IF($C116="",0,COUNTIFS($J$7:$J116,$J116,$M$7:$M116,$M116,$C$7:$C116,$C116))</f>
        <v>0</v>
      </c>
      <c r="Q116" s="75">
        <f t="shared" si="17"/>
        <v>0</v>
      </c>
      <c r="R116" s="75">
        <f t="shared" si="18"/>
        <v>0</v>
      </c>
      <c r="S116" s="75">
        <f>IF($C116="",0,COUNTIFS(rl_key,$J116,rl_eff,"&lt;"&amp;$C116)+COUNTIFS($J$7:$J116,$J116,$C$7:$C116,$C116))</f>
        <v>0</v>
      </c>
      <c r="T116" s="75">
        <f>IF(OR($C116="",$E116&lt;&gt;"planned",$C116&lt;DATE(nr_PlanYear,1,1),$C116&gt;DATE(nr_PlanYear,12,31)),0,IF(AND(COUNTIFS(rl_key,$J116,rl_status,"planned",rl_eff,"&gt;="&amp;DATE(nr_PlanYear,1,1),rl_eff,"&lt;"&amp;$C116)=0,COUNTIFS($J$7:$J116,$J116,$E$7:$E116,"planned",$C$7:$C116,$C116)=1),1,0))</f>
        <v>0</v>
      </c>
      <c r="U116" s="75">
        <f>IF(OR($C116="",$E116&lt;&gt;"taken"),0,IF(AND(COUNTIFS(rl_key,$J116,rl_effmonth,$M116,rl_eff,"&lt;"&amp;$C116,rl_status,"taken")=0,COUNTIFS($J$7:$J116,$J116,$M$7:$M116,$M116,$C$7:$C116,$C116,$E$7:$E116,"taken")=1),1,0))</f>
        <v>0</v>
      </c>
      <c r="V116" s="66" t="str">
        <f t="shared" si="19"/>
        <v/>
      </c>
      <c r="W116" s="76" t="str">
        <f t="shared" si="20"/>
        <v/>
      </c>
      <c r="X116" s="77" t="str">
        <f>IF(OR($C116="",$J116&lt;&gt;nr_SelKey),"",(SUMPRODUCT(('Rate Engine'!$G$17:$G$64&gt;YEAR($C116)*12+MONTH($C116)-1)*'Rate Engine'!$H$17:$H$64,'Rate Engine'!$Q$17:$Q$64)+(EOMONTH($C116,0)-$C116+1)/DAY(EOMONTH($C116,0))*SUMPRODUCT(('Rate Engine'!$G$17:$G$64=YEAR($C116)*12+MONTH($C116)-1)*'Rate Engine'!$H$17:$H$64,'Rate Engine'!$Q$17:$Q$64))/SUMPRODUCT('Rate Engine'!$H$17:$H$64,'Rate Engine'!$Q$17:$Q$64))</f>
        <v/>
      </c>
      <c r="Y116" s="78" t="str">
        <f t="shared" si="21"/>
        <v/>
      </c>
    </row>
    <row r="117" spans="1:25" x14ac:dyDescent="0.3">
      <c r="A117" s="11"/>
      <c r="B117" s="11"/>
      <c r="C117" s="61"/>
      <c r="D117" s="29"/>
      <c r="E117" s="11"/>
      <c r="F117" s="11"/>
      <c r="G117" s="59"/>
      <c r="H117" s="71"/>
      <c r="J117" s="65" t="str">
        <f t="shared" si="11"/>
        <v/>
      </c>
      <c r="K117" s="72" t="str">
        <f t="shared" si="12"/>
        <v/>
      </c>
      <c r="L117" s="73">
        <f t="shared" si="13"/>
        <v>0</v>
      </c>
      <c r="M117" s="74" t="str">
        <f t="shared" si="14"/>
        <v/>
      </c>
      <c r="N117" s="75">
        <f t="shared" si="15"/>
        <v>0</v>
      </c>
      <c r="O117" s="75">
        <f t="shared" si="16"/>
        <v>0</v>
      </c>
      <c r="P117" s="75">
        <f>IF($C117="",0,COUNTIFS($J$7:$J117,$J117,$M$7:$M117,$M117,$C$7:$C117,$C117))</f>
        <v>0</v>
      </c>
      <c r="Q117" s="75">
        <f t="shared" si="17"/>
        <v>0</v>
      </c>
      <c r="R117" s="75">
        <f t="shared" si="18"/>
        <v>0</v>
      </c>
      <c r="S117" s="75">
        <f>IF($C117="",0,COUNTIFS(rl_key,$J117,rl_eff,"&lt;"&amp;$C117)+COUNTIFS($J$7:$J117,$J117,$C$7:$C117,$C117))</f>
        <v>0</v>
      </c>
      <c r="T117" s="75">
        <f>IF(OR($C117="",$E117&lt;&gt;"planned",$C117&lt;DATE(nr_PlanYear,1,1),$C117&gt;DATE(nr_PlanYear,12,31)),0,IF(AND(COUNTIFS(rl_key,$J117,rl_status,"planned",rl_eff,"&gt;="&amp;DATE(nr_PlanYear,1,1),rl_eff,"&lt;"&amp;$C117)=0,COUNTIFS($J$7:$J117,$J117,$E$7:$E117,"planned",$C$7:$C117,$C117)=1),1,0))</f>
        <v>0</v>
      </c>
      <c r="U117" s="75">
        <f>IF(OR($C117="",$E117&lt;&gt;"taken"),0,IF(AND(COUNTIFS(rl_key,$J117,rl_effmonth,$M117,rl_eff,"&lt;"&amp;$C117,rl_status,"taken")=0,COUNTIFS($J$7:$J117,$J117,$M$7:$M117,$M117,$C$7:$C117,$C117,$E$7:$E117,"taken")=1),1,0))</f>
        <v>0</v>
      </c>
      <c r="V117" s="66" t="str">
        <f t="shared" si="19"/>
        <v/>
      </c>
      <c r="W117" s="76" t="str">
        <f t="shared" si="20"/>
        <v/>
      </c>
      <c r="X117" s="77" t="str">
        <f>IF(OR($C117="",$J117&lt;&gt;nr_SelKey),"",(SUMPRODUCT(('Rate Engine'!$G$17:$G$64&gt;YEAR($C117)*12+MONTH($C117)-1)*'Rate Engine'!$H$17:$H$64,'Rate Engine'!$Q$17:$Q$64)+(EOMONTH($C117,0)-$C117+1)/DAY(EOMONTH($C117,0))*SUMPRODUCT(('Rate Engine'!$G$17:$G$64=YEAR($C117)*12+MONTH($C117)-1)*'Rate Engine'!$H$17:$H$64,'Rate Engine'!$Q$17:$Q$64))/SUMPRODUCT('Rate Engine'!$H$17:$H$64,'Rate Engine'!$Q$17:$Q$64))</f>
        <v/>
      </c>
      <c r="Y117" s="78" t="str">
        <f t="shared" si="21"/>
        <v/>
      </c>
    </row>
    <row r="118" spans="1:25" x14ac:dyDescent="0.3">
      <c r="A118" s="11"/>
      <c r="B118" s="11"/>
      <c r="C118" s="61"/>
      <c r="D118" s="29"/>
      <c r="E118" s="11"/>
      <c r="F118" s="11"/>
      <c r="G118" s="59"/>
      <c r="H118" s="71"/>
      <c r="J118" s="65" t="str">
        <f t="shared" si="11"/>
        <v/>
      </c>
      <c r="K118" s="72" t="str">
        <f t="shared" si="12"/>
        <v/>
      </c>
      <c r="L118" s="73">
        <f t="shared" si="13"/>
        <v>0</v>
      </c>
      <c r="M118" s="74" t="str">
        <f t="shared" si="14"/>
        <v/>
      </c>
      <c r="N118" s="75">
        <f t="shared" si="15"/>
        <v>0</v>
      </c>
      <c r="O118" s="75">
        <f t="shared" si="16"/>
        <v>0</v>
      </c>
      <c r="P118" s="75">
        <f>IF($C118="",0,COUNTIFS($J$7:$J118,$J118,$M$7:$M118,$M118,$C$7:$C118,$C118))</f>
        <v>0</v>
      </c>
      <c r="Q118" s="75">
        <f t="shared" si="17"/>
        <v>0</v>
      </c>
      <c r="R118" s="75">
        <f t="shared" si="18"/>
        <v>0</v>
      </c>
      <c r="S118" s="75">
        <f>IF($C118="",0,COUNTIFS(rl_key,$J118,rl_eff,"&lt;"&amp;$C118)+COUNTIFS($J$7:$J118,$J118,$C$7:$C118,$C118))</f>
        <v>0</v>
      </c>
      <c r="T118" s="75">
        <f>IF(OR($C118="",$E118&lt;&gt;"planned",$C118&lt;DATE(nr_PlanYear,1,1),$C118&gt;DATE(nr_PlanYear,12,31)),0,IF(AND(COUNTIFS(rl_key,$J118,rl_status,"planned",rl_eff,"&gt;="&amp;DATE(nr_PlanYear,1,1),rl_eff,"&lt;"&amp;$C118)=0,COUNTIFS($J$7:$J118,$J118,$E$7:$E118,"planned",$C$7:$C118,$C118)=1),1,0))</f>
        <v>0</v>
      </c>
      <c r="U118" s="75">
        <f>IF(OR($C118="",$E118&lt;&gt;"taken"),0,IF(AND(COUNTIFS(rl_key,$J118,rl_effmonth,$M118,rl_eff,"&lt;"&amp;$C118,rl_status,"taken")=0,COUNTIFS($J$7:$J118,$J118,$M$7:$M118,$M118,$C$7:$C118,$C118,$E$7:$E118,"taken")=1),1,0))</f>
        <v>0</v>
      </c>
      <c r="V118" s="66" t="str">
        <f t="shared" si="19"/>
        <v/>
      </c>
      <c r="W118" s="76" t="str">
        <f t="shared" si="20"/>
        <v/>
      </c>
      <c r="X118" s="77" t="str">
        <f>IF(OR($C118="",$J118&lt;&gt;nr_SelKey),"",(SUMPRODUCT(('Rate Engine'!$G$17:$G$64&gt;YEAR($C118)*12+MONTH($C118)-1)*'Rate Engine'!$H$17:$H$64,'Rate Engine'!$Q$17:$Q$64)+(EOMONTH($C118,0)-$C118+1)/DAY(EOMONTH($C118,0))*SUMPRODUCT(('Rate Engine'!$G$17:$G$64=YEAR($C118)*12+MONTH($C118)-1)*'Rate Engine'!$H$17:$H$64,'Rate Engine'!$Q$17:$Q$64))/SUMPRODUCT('Rate Engine'!$H$17:$H$64,'Rate Engine'!$Q$17:$Q$64))</f>
        <v/>
      </c>
      <c r="Y118" s="78" t="str">
        <f t="shared" si="21"/>
        <v/>
      </c>
    </row>
    <row r="119" spans="1:25" x14ac:dyDescent="0.3">
      <c r="A119" s="11"/>
      <c r="B119" s="11"/>
      <c r="C119" s="61"/>
      <c r="D119" s="29"/>
      <c r="E119" s="11"/>
      <c r="F119" s="11"/>
      <c r="G119" s="59"/>
      <c r="H119" s="71"/>
      <c r="J119" s="65" t="str">
        <f t="shared" si="11"/>
        <v/>
      </c>
      <c r="K119" s="72" t="str">
        <f t="shared" si="12"/>
        <v/>
      </c>
      <c r="L119" s="73">
        <f t="shared" si="13"/>
        <v>0</v>
      </c>
      <c r="M119" s="74" t="str">
        <f t="shared" si="14"/>
        <v/>
      </c>
      <c r="N119" s="75">
        <f t="shared" si="15"/>
        <v>0</v>
      </c>
      <c r="O119" s="75">
        <f t="shared" si="16"/>
        <v>0</v>
      </c>
      <c r="P119" s="75">
        <f>IF($C119="",0,COUNTIFS($J$7:$J119,$J119,$M$7:$M119,$M119,$C$7:$C119,$C119))</f>
        <v>0</v>
      </c>
      <c r="Q119" s="75">
        <f t="shared" si="17"/>
        <v>0</v>
      </c>
      <c r="R119" s="75">
        <f t="shared" si="18"/>
        <v>0</v>
      </c>
      <c r="S119" s="75">
        <f>IF($C119="",0,COUNTIFS(rl_key,$J119,rl_eff,"&lt;"&amp;$C119)+COUNTIFS($J$7:$J119,$J119,$C$7:$C119,$C119))</f>
        <v>0</v>
      </c>
      <c r="T119" s="75">
        <f>IF(OR($C119="",$E119&lt;&gt;"planned",$C119&lt;DATE(nr_PlanYear,1,1),$C119&gt;DATE(nr_PlanYear,12,31)),0,IF(AND(COUNTIFS(rl_key,$J119,rl_status,"planned",rl_eff,"&gt;="&amp;DATE(nr_PlanYear,1,1),rl_eff,"&lt;"&amp;$C119)=0,COUNTIFS($J$7:$J119,$J119,$E$7:$E119,"planned",$C$7:$C119,$C119)=1),1,0))</f>
        <v>0</v>
      </c>
      <c r="U119" s="75">
        <f>IF(OR($C119="",$E119&lt;&gt;"taken"),0,IF(AND(COUNTIFS(rl_key,$J119,rl_effmonth,$M119,rl_eff,"&lt;"&amp;$C119,rl_status,"taken")=0,COUNTIFS($J$7:$J119,$J119,$M$7:$M119,$M119,$C$7:$C119,$C119,$E$7:$E119,"taken")=1),1,0))</f>
        <v>0</v>
      </c>
      <c r="V119" s="66" t="str">
        <f t="shared" si="19"/>
        <v/>
      </c>
      <c r="W119" s="76" t="str">
        <f t="shared" si="20"/>
        <v/>
      </c>
      <c r="X119" s="77" t="str">
        <f>IF(OR($C119="",$J119&lt;&gt;nr_SelKey),"",(SUMPRODUCT(('Rate Engine'!$G$17:$G$64&gt;YEAR($C119)*12+MONTH($C119)-1)*'Rate Engine'!$H$17:$H$64,'Rate Engine'!$Q$17:$Q$64)+(EOMONTH($C119,0)-$C119+1)/DAY(EOMONTH($C119,0))*SUMPRODUCT(('Rate Engine'!$G$17:$G$64=YEAR($C119)*12+MONTH($C119)-1)*'Rate Engine'!$H$17:$H$64,'Rate Engine'!$Q$17:$Q$64))/SUMPRODUCT('Rate Engine'!$H$17:$H$64,'Rate Engine'!$Q$17:$Q$64))</f>
        <v/>
      </c>
      <c r="Y119" s="78" t="str">
        <f t="shared" si="21"/>
        <v/>
      </c>
    </row>
    <row r="120" spans="1:25" x14ac:dyDescent="0.3">
      <c r="A120" s="11"/>
      <c r="B120" s="11"/>
      <c r="C120" s="61"/>
      <c r="D120" s="29"/>
      <c r="E120" s="11"/>
      <c r="F120" s="11"/>
      <c r="G120" s="59"/>
      <c r="H120" s="71"/>
      <c r="J120" s="65" t="str">
        <f t="shared" si="11"/>
        <v/>
      </c>
      <c r="K120" s="72" t="str">
        <f t="shared" si="12"/>
        <v/>
      </c>
      <c r="L120" s="73">
        <f t="shared" si="13"/>
        <v>0</v>
      </c>
      <c r="M120" s="74" t="str">
        <f t="shared" si="14"/>
        <v/>
      </c>
      <c r="N120" s="75">
        <f t="shared" si="15"/>
        <v>0</v>
      </c>
      <c r="O120" s="75">
        <f t="shared" si="16"/>
        <v>0</v>
      </c>
      <c r="P120" s="75">
        <f>IF($C120="",0,COUNTIFS($J$7:$J120,$J120,$M$7:$M120,$M120,$C$7:$C120,$C120))</f>
        <v>0</v>
      </c>
      <c r="Q120" s="75">
        <f t="shared" si="17"/>
        <v>0</v>
      </c>
      <c r="R120" s="75">
        <f t="shared" si="18"/>
        <v>0</v>
      </c>
      <c r="S120" s="75">
        <f>IF($C120="",0,COUNTIFS(rl_key,$J120,rl_eff,"&lt;"&amp;$C120)+COUNTIFS($J$7:$J120,$J120,$C$7:$C120,$C120))</f>
        <v>0</v>
      </c>
      <c r="T120" s="75">
        <f>IF(OR($C120="",$E120&lt;&gt;"planned",$C120&lt;DATE(nr_PlanYear,1,1),$C120&gt;DATE(nr_PlanYear,12,31)),0,IF(AND(COUNTIFS(rl_key,$J120,rl_status,"planned",rl_eff,"&gt;="&amp;DATE(nr_PlanYear,1,1),rl_eff,"&lt;"&amp;$C120)=0,COUNTIFS($J$7:$J120,$J120,$E$7:$E120,"planned",$C$7:$C120,$C120)=1),1,0))</f>
        <v>0</v>
      </c>
      <c r="U120" s="75">
        <f>IF(OR($C120="",$E120&lt;&gt;"taken"),0,IF(AND(COUNTIFS(rl_key,$J120,rl_effmonth,$M120,rl_eff,"&lt;"&amp;$C120,rl_status,"taken")=0,COUNTIFS($J$7:$J120,$J120,$M$7:$M120,$M120,$C$7:$C120,$C120,$E$7:$E120,"taken")=1),1,0))</f>
        <v>0</v>
      </c>
      <c r="V120" s="66" t="str">
        <f t="shared" si="19"/>
        <v/>
      </c>
      <c r="W120" s="76" t="str">
        <f t="shared" si="20"/>
        <v/>
      </c>
      <c r="X120" s="77" t="str">
        <f>IF(OR($C120="",$J120&lt;&gt;nr_SelKey),"",(SUMPRODUCT(('Rate Engine'!$G$17:$G$64&gt;YEAR($C120)*12+MONTH($C120)-1)*'Rate Engine'!$H$17:$H$64,'Rate Engine'!$Q$17:$Q$64)+(EOMONTH($C120,0)-$C120+1)/DAY(EOMONTH($C120,0))*SUMPRODUCT(('Rate Engine'!$G$17:$G$64=YEAR($C120)*12+MONTH($C120)-1)*'Rate Engine'!$H$17:$H$64,'Rate Engine'!$Q$17:$Q$64))/SUMPRODUCT('Rate Engine'!$H$17:$H$64,'Rate Engine'!$Q$17:$Q$64))</f>
        <v/>
      </c>
      <c r="Y120" s="78" t="str">
        <f t="shared" si="21"/>
        <v/>
      </c>
    </row>
    <row r="121" spans="1:25" x14ac:dyDescent="0.3">
      <c r="A121" s="11"/>
      <c r="B121" s="11"/>
      <c r="C121" s="61"/>
      <c r="D121" s="29"/>
      <c r="E121" s="11"/>
      <c r="F121" s="11"/>
      <c r="G121" s="59"/>
      <c r="H121" s="71"/>
      <c r="J121" s="65" t="str">
        <f t="shared" si="11"/>
        <v/>
      </c>
      <c r="K121" s="72" t="str">
        <f t="shared" si="12"/>
        <v/>
      </c>
      <c r="L121" s="73">
        <f t="shared" si="13"/>
        <v>0</v>
      </c>
      <c r="M121" s="74" t="str">
        <f t="shared" si="14"/>
        <v/>
      </c>
      <c r="N121" s="75">
        <f t="shared" si="15"/>
        <v>0</v>
      </c>
      <c r="O121" s="75">
        <f t="shared" si="16"/>
        <v>0</v>
      </c>
      <c r="P121" s="75">
        <f>IF($C121="",0,COUNTIFS($J$7:$J121,$J121,$M$7:$M121,$M121,$C$7:$C121,$C121))</f>
        <v>0</v>
      </c>
      <c r="Q121" s="75">
        <f t="shared" si="17"/>
        <v>0</v>
      </c>
      <c r="R121" s="75">
        <f t="shared" si="18"/>
        <v>0</v>
      </c>
      <c r="S121" s="75">
        <f>IF($C121="",0,COUNTIFS(rl_key,$J121,rl_eff,"&lt;"&amp;$C121)+COUNTIFS($J$7:$J121,$J121,$C$7:$C121,$C121))</f>
        <v>0</v>
      </c>
      <c r="T121" s="75">
        <f>IF(OR($C121="",$E121&lt;&gt;"planned",$C121&lt;DATE(nr_PlanYear,1,1),$C121&gt;DATE(nr_PlanYear,12,31)),0,IF(AND(COUNTIFS(rl_key,$J121,rl_status,"planned",rl_eff,"&gt;="&amp;DATE(nr_PlanYear,1,1),rl_eff,"&lt;"&amp;$C121)=0,COUNTIFS($J$7:$J121,$J121,$E$7:$E121,"planned",$C$7:$C121,$C121)=1),1,0))</f>
        <v>0</v>
      </c>
      <c r="U121" s="75">
        <f>IF(OR($C121="",$E121&lt;&gt;"taken"),0,IF(AND(COUNTIFS(rl_key,$J121,rl_effmonth,$M121,rl_eff,"&lt;"&amp;$C121,rl_status,"taken")=0,COUNTIFS($J$7:$J121,$J121,$M$7:$M121,$M121,$C$7:$C121,$C121,$E$7:$E121,"taken")=1),1,0))</f>
        <v>0</v>
      </c>
      <c r="V121" s="66" t="str">
        <f t="shared" si="19"/>
        <v/>
      </c>
      <c r="W121" s="76" t="str">
        <f t="shared" si="20"/>
        <v/>
      </c>
      <c r="X121" s="77" t="str">
        <f>IF(OR($C121="",$J121&lt;&gt;nr_SelKey),"",(SUMPRODUCT(('Rate Engine'!$G$17:$G$64&gt;YEAR($C121)*12+MONTH($C121)-1)*'Rate Engine'!$H$17:$H$64,'Rate Engine'!$Q$17:$Q$64)+(EOMONTH($C121,0)-$C121+1)/DAY(EOMONTH($C121,0))*SUMPRODUCT(('Rate Engine'!$G$17:$G$64=YEAR($C121)*12+MONTH($C121)-1)*'Rate Engine'!$H$17:$H$64,'Rate Engine'!$Q$17:$Q$64))/SUMPRODUCT('Rate Engine'!$H$17:$H$64,'Rate Engine'!$Q$17:$Q$64))</f>
        <v/>
      </c>
      <c r="Y121" s="78" t="str">
        <f t="shared" si="21"/>
        <v/>
      </c>
    </row>
    <row r="122" spans="1:25" x14ac:dyDescent="0.3">
      <c r="A122" s="11"/>
      <c r="B122" s="11"/>
      <c r="C122" s="61"/>
      <c r="D122" s="29"/>
      <c r="E122" s="11"/>
      <c r="F122" s="11"/>
      <c r="G122" s="59"/>
      <c r="H122" s="71"/>
      <c r="J122" s="65" t="str">
        <f t="shared" si="11"/>
        <v/>
      </c>
      <c r="K122" s="72" t="str">
        <f t="shared" si="12"/>
        <v/>
      </c>
      <c r="L122" s="73">
        <f t="shared" si="13"/>
        <v>0</v>
      </c>
      <c r="M122" s="74" t="str">
        <f t="shared" si="14"/>
        <v/>
      </c>
      <c r="N122" s="75">
        <f t="shared" si="15"/>
        <v>0</v>
      </c>
      <c r="O122" s="75">
        <f t="shared" si="16"/>
        <v>0</v>
      </c>
      <c r="P122" s="75">
        <f>IF($C122="",0,COUNTIFS($J$7:$J122,$J122,$M$7:$M122,$M122,$C$7:$C122,$C122))</f>
        <v>0</v>
      </c>
      <c r="Q122" s="75">
        <f t="shared" si="17"/>
        <v>0</v>
      </c>
      <c r="R122" s="75">
        <f t="shared" si="18"/>
        <v>0</v>
      </c>
      <c r="S122" s="75">
        <f>IF($C122="",0,COUNTIFS(rl_key,$J122,rl_eff,"&lt;"&amp;$C122)+COUNTIFS($J$7:$J122,$J122,$C$7:$C122,$C122))</f>
        <v>0</v>
      </c>
      <c r="T122" s="75">
        <f>IF(OR($C122="",$E122&lt;&gt;"planned",$C122&lt;DATE(nr_PlanYear,1,1),$C122&gt;DATE(nr_PlanYear,12,31)),0,IF(AND(COUNTIFS(rl_key,$J122,rl_status,"planned",rl_eff,"&gt;="&amp;DATE(nr_PlanYear,1,1),rl_eff,"&lt;"&amp;$C122)=0,COUNTIFS($J$7:$J122,$J122,$E$7:$E122,"planned",$C$7:$C122,$C122)=1),1,0))</f>
        <v>0</v>
      </c>
      <c r="U122" s="75">
        <f>IF(OR($C122="",$E122&lt;&gt;"taken"),0,IF(AND(COUNTIFS(rl_key,$J122,rl_effmonth,$M122,rl_eff,"&lt;"&amp;$C122,rl_status,"taken")=0,COUNTIFS($J$7:$J122,$J122,$M$7:$M122,$M122,$C$7:$C122,$C122,$E$7:$E122,"taken")=1),1,0))</f>
        <v>0</v>
      </c>
      <c r="V122" s="66" t="str">
        <f t="shared" si="19"/>
        <v/>
      </c>
      <c r="W122" s="76" t="str">
        <f t="shared" si="20"/>
        <v/>
      </c>
      <c r="X122" s="77" t="str">
        <f>IF(OR($C122="",$J122&lt;&gt;nr_SelKey),"",(SUMPRODUCT(('Rate Engine'!$G$17:$G$64&gt;YEAR($C122)*12+MONTH($C122)-1)*'Rate Engine'!$H$17:$H$64,'Rate Engine'!$Q$17:$Q$64)+(EOMONTH($C122,0)-$C122+1)/DAY(EOMONTH($C122,0))*SUMPRODUCT(('Rate Engine'!$G$17:$G$64=YEAR($C122)*12+MONTH($C122)-1)*'Rate Engine'!$H$17:$H$64,'Rate Engine'!$Q$17:$Q$64))/SUMPRODUCT('Rate Engine'!$H$17:$H$64,'Rate Engine'!$Q$17:$Q$64))</f>
        <v/>
      </c>
      <c r="Y122" s="78" t="str">
        <f t="shared" si="21"/>
        <v/>
      </c>
    </row>
    <row r="123" spans="1:25" x14ac:dyDescent="0.3">
      <c r="A123" s="11"/>
      <c r="B123" s="11"/>
      <c r="C123" s="61"/>
      <c r="D123" s="29"/>
      <c r="E123" s="11"/>
      <c r="F123" s="11"/>
      <c r="G123" s="59"/>
      <c r="H123" s="71"/>
      <c r="J123" s="65" t="str">
        <f t="shared" si="11"/>
        <v/>
      </c>
      <c r="K123" s="72" t="str">
        <f t="shared" si="12"/>
        <v/>
      </c>
      <c r="L123" s="73">
        <f t="shared" si="13"/>
        <v>0</v>
      </c>
      <c r="M123" s="74" t="str">
        <f t="shared" si="14"/>
        <v/>
      </c>
      <c r="N123" s="75">
        <f t="shared" si="15"/>
        <v>0</v>
      </c>
      <c r="O123" s="75">
        <f t="shared" si="16"/>
        <v>0</v>
      </c>
      <c r="P123" s="75">
        <f>IF($C123="",0,COUNTIFS($J$7:$J123,$J123,$M$7:$M123,$M123,$C$7:$C123,$C123))</f>
        <v>0</v>
      </c>
      <c r="Q123" s="75">
        <f t="shared" si="17"/>
        <v>0</v>
      </c>
      <c r="R123" s="75">
        <f t="shared" si="18"/>
        <v>0</v>
      </c>
      <c r="S123" s="75">
        <f>IF($C123="",0,COUNTIFS(rl_key,$J123,rl_eff,"&lt;"&amp;$C123)+COUNTIFS($J$7:$J123,$J123,$C$7:$C123,$C123))</f>
        <v>0</v>
      </c>
      <c r="T123" s="75">
        <f>IF(OR($C123="",$E123&lt;&gt;"planned",$C123&lt;DATE(nr_PlanYear,1,1),$C123&gt;DATE(nr_PlanYear,12,31)),0,IF(AND(COUNTIFS(rl_key,$J123,rl_status,"planned",rl_eff,"&gt;="&amp;DATE(nr_PlanYear,1,1),rl_eff,"&lt;"&amp;$C123)=0,COUNTIFS($J$7:$J123,$J123,$E$7:$E123,"planned",$C$7:$C123,$C123)=1),1,0))</f>
        <v>0</v>
      </c>
      <c r="U123" s="75">
        <f>IF(OR($C123="",$E123&lt;&gt;"taken"),0,IF(AND(COUNTIFS(rl_key,$J123,rl_effmonth,$M123,rl_eff,"&lt;"&amp;$C123,rl_status,"taken")=0,COUNTIFS($J$7:$J123,$J123,$M$7:$M123,$M123,$C$7:$C123,$C123,$E$7:$E123,"taken")=1),1,0))</f>
        <v>0</v>
      </c>
      <c r="V123" s="66" t="str">
        <f t="shared" si="19"/>
        <v/>
      </c>
      <c r="W123" s="76" t="str">
        <f t="shared" si="20"/>
        <v/>
      </c>
      <c r="X123" s="77" t="str">
        <f>IF(OR($C123="",$J123&lt;&gt;nr_SelKey),"",(SUMPRODUCT(('Rate Engine'!$G$17:$G$64&gt;YEAR($C123)*12+MONTH($C123)-1)*'Rate Engine'!$H$17:$H$64,'Rate Engine'!$Q$17:$Q$64)+(EOMONTH($C123,0)-$C123+1)/DAY(EOMONTH($C123,0))*SUMPRODUCT(('Rate Engine'!$G$17:$G$64=YEAR($C123)*12+MONTH($C123)-1)*'Rate Engine'!$H$17:$H$64,'Rate Engine'!$Q$17:$Q$64))/SUMPRODUCT('Rate Engine'!$H$17:$H$64,'Rate Engine'!$Q$17:$Q$64))</f>
        <v/>
      </c>
      <c r="Y123" s="78" t="str">
        <f t="shared" si="21"/>
        <v/>
      </c>
    </row>
    <row r="124" spans="1:25" x14ac:dyDescent="0.3">
      <c r="A124" s="11"/>
      <c r="B124" s="11"/>
      <c r="C124" s="61"/>
      <c r="D124" s="29"/>
      <c r="E124" s="11"/>
      <c r="F124" s="11"/>
      <c r="G124" s="59"/>
      <c r="H124" s="71"/>
      <c r="J124" s="65" t="str">
        <f t="shared" si="11"/>
        <v/>
      </c>
      <c r="K124" s="72" t="str">
        <f t="shared" si="12"/>
        <v/>
      </c>
      <c r="L124" s="73">
        <f t="shared" si="13"/>
        <v>0</v>
      </c>
      <c r="M124" s="74" t="str">
        <f t="shared" si="14"/>
        <v/>
      </c>
      <c r="N124" s="75">
        <f t="shared" si="15"/>
        <v>0</v>
      </c>
      <c r="O124" s="75">
        <f t="shared" si="16"/>
        <v>0</v>
      </c>
      <c r="P124" s="75">
        <f>IF($C124="",0,COUNTIFS($J$7:$J124,$J124,$M$7:$M124,$M124,$C$7:$C124,$C124))</f>
        <v>0</v>
      </c>
      <c r="Q124" s="75">
        <f t="shared" si="17"/>
        <v>0</v>
      </c>
      <c r="R124" s="75">
        <f t="shared" si="18"/>
        <v>0</v>
      </c>
      <c r="S124" s="75">
        <f>IF($C124="",0,COUNTIFS(rl_key,$J124,rl_eff,"&lt;"&amp;$C124)+COUNTIFS($J$7:$J124,$J124,$C$7:$C124,$C124))</f>
        <v>0</v>
      </c>
      <c r="T124" s="75">
        <f>IF(OR($C124="",$E124&lt;&gt;"planned",$C124&lt;DATE(nr_PlanYear,1,1),$C124&gt;DATE(nr_PlanYear,12,31)),0,IF(AND(COUNTIFS(rl_key,$J124,rl_status,"planned",rl_eff,"&gt;="&amp;DATE(nr_PlanYear,1,1),rl_eff,"&lt;"&amp;$C124)=0,COUNTIFS($J$7:$J124,$J124,$E$7:$E124,"planned",$C$7:$C124,$C124)=1),1,0))</f>
        <v>0</v>
      </c>
      <c r="U124" s="75">
        <f>IF(OR($C124="",$E124&lt;&gt;"taken"),0,IF(AND(COUNTIFS(rl_key,$J124,rl_effmonth,$M124,rl_eff,"&lt;"&amp;$C124,rl_status,"taken")=0,COUNTIFS($J$7:$J124,$J124,$M$7:$M124,$M124,$C$7:$C124,$C124,$E$7:$E124,"taken")=1),1,0))</f>
        <v>0</v>
      </c>
      <c r="V124" s="66" t="str">
        <f t="shared" si="19"/>
        <v/>
      </c>
      <c r="W124" s="76" t="str">
        <f t="shared" si="20"/>
        <v/>
      </c>
      <c r="X124" s="77" t="str">
        <f>IF(OR($C124="",$J124&lt;&gt;nr_SelKey),"",(SUMPRODUCT(('Rate Engine'!$G$17:$G$64&gt;YEAR($C124)*12+MONTH($C124)-1)*'Rate Engine'!$H$17:$H$64,'Rate Engine'!$Q$17:$Q$64)+(EOMONTH($C124,0)-$C124+1)/DAY(EOMONTH($C124,0))*SUMPRODUCT(('Rate Engine'!$G$17:$G$64=YEAR($C124)*12+MONTH($C124)-1)*'Rate Engine'!$H$17:$H$64,'Rate Engine'!$Q$17:$Q$64))/SUMPRODUCT('Rate Engine'!$H$17:$H$64,'Rate Engine'!$Q$17:$Q$64))</f>
        <v/>
      </c>
      <c r="Y124" s="78" t="str">
        <f t="shared" si="21"/>
        <v/>
      </c>
    </row>
    <row r="125" spans="1:25" x14ac:dyDescent="0.3">
      <c r="A125" s="11"/>
      <c r="B125" s="11"/>
      <c r="C125" s="61"/>
      <c r="D125" s="29"/>
      <c r="E125" s="11"/>
      <c r="F125" s="11"/>
      <c r="G125" s="59"/>
      <c r="H125" s="71"/>
      <c r="J125" s="65" t="str">
        <f t="shared" si="11"/>
        <v/>
      </c>
      <c r="K125" s="72" t="str">
        <f t="shared" si="12"/>
        <v/>
      </c>
      <c r="L125" s="73">
        <f t="shared" si="13"/>
        <v>0</v>
      </c>
      <c r="M125" s="74" t="str">
        <f t="shared" si="14"/>
        <v/>
      </c>
      <c r="N125" s="75">
        <f t="shared" si="15"/>
        <v>0</v>
      </c>
      <c r="O125" s="75">
        <f t="shared" si="16"/>
        <v>0</v>
      </c>
      <c r="P125" s="75">
        <f>IF($C125="",0,COUNTIFS($J$7:$J125,$J125,$M$7:$M125,$M125,$C$7:$C125,$C125))</f>
        <v>0</v>
      </c>
      <c r="Q125" s="75">
        <f t="shared" si="17"/>
        <v>0</v>
      </c>
      <c r="R125" s="75">
        <f t="shared" si="18"/>
        <v>0</v>
      </c>
      <c r="S125" s="75">
        <f>IF($C125="",0,COUNTIFS(rl_key,$J125,rl_eff,"&lt;"&amp;$C125)+COUNTIFS($J$7:$J125,$J125,$C$7:$C125,$C125))</f>
        <v>0</v>
      </c>
      <c r="T125" s="75">
        <f>IF(OR($C125="",$E125&lt;&gt;"planned",$C125&lt;DATE(nr_PlanYear,1,1),$C125&gt;DATE(nr_PlanYear,12,31)),0,IF(AND(COUNTIFS(rl_key,$J125,rl_status,"planned",rl_eff,"&gt;="&amp;DATE(nr_PlanYear,1,1),rl_eff,"&lt;"&amp;$C125)=0,COUNTIFS($J$7:$J125,$J125,$E$7:$E125,"planned",$C$7:$C125,$C125)=1),1,0))</f>
        <v>0</v>
      </c>
      <c r="U125" s="75">
        <f>IF(OR($C125="",$E125&lt;&gt;"taken"),0,IF(AND(COUNTIFS(rl_key,$J125,rl_effmonth,$M125,rl_eff,"&lt;"&amp;$C125,rl_status,"taken")=0,COUNTIFS($J$7:$J125,$J125,$M$7:$M125,$M125,$C$7:$C125,$C125,$E$7:$E125,"taken")=1),1,0))</f>
        <v>0</v>
      </c>
      <c r="V125" s="66" t="str">
        <f t="shared" si="19"/>
        <v/>
      </c>
      <c r="W125" s="76" t="str">
        <f t="shared" si="20"/>
        <v/>
      </c>
      <c r="X125" s="77" t="str">
        <f>IF(OR($C125="",$J125&lt;&gt;nr_SelKey),"",(SUMPRODUCT(('Rate Engine'!$G$17:$G$64&gt;YEAR($C125)*12+MONTH($C125)-1)*'Rate Engine'!$H$17:$H$64,'Rate Engine'!$Q$17:$Q$64)+(EOMONTH($C125,0)-$C125+1)/DAY(EOMONTH($C125,0))*SUMPRODUCT(('Rate Engine'!$G$17:$G$64=YEAR($C125)*12+MONTH($C125)-1)*'Rate Engine'!$H$17:$H$64,'Rate Engine'!$Q$17:$Q$64))/SUMPRODUCT('Rate Engine'!$H$17:$H$64,'Rate Engine'!$Q$17:$Q$64))</f>
        <v/>
      </c>
      <c r="Y125" s="78" t="str">
        <f t="shared" si="21"/>
        <v/>
      </c>
    </row>
    <row r="126" spans="1:25" x14ac:dyDescent="0.3">
      <c r="A126" s="11"/>
      <c r="B126" s="11"/>
      <c r="C126" s="61"/>
      <c r="D126" s="29"/>
      <c r="E126" s="11"/>
      <c r="F126" s="11"/>
      <c r="G126" s="59"/>
      <c r="H126" s="71"/>
      <c r="J126" s="65" t="str">
        <f t="shared" si="11"/>
        <v/>
      </c>
      <c r="K126" s="72" t="str">
        <f t="shared" si="12"/>
        <v/>
      </c>
      <c r="L126" s="73">
        <f t="shared" si="13"/>
        <v>0</v>
      </c>
      <c r="M126" s="74" t="str">
        <f t="shared" si="14"/>
        <v/>
      </c>
      <c r="N126" s="75">
        <f t="shared" si="15"/>
        <v>0</v>
      </c>
      <c r="O126" s="75">
        <f t="shared" si="16"/>
        <v>0</v>
      </c>
      <c r="P126" s="75">
        <f>IF($C126="",0,COUNTIFS($J$7:$J126,$J126,$M$7:$M126,$M126,$C$7:$C126,$C126))</f>
        <v>0</v>
      </c>
      <c r="Q126" s="75">
        <f t="shared" si="17"/>
        <v>0</v>
      </c>
      <c r="R126" s="75">
        <f t="shared" si="18"/>
        <v>0</v>
      </c>
      <c r="S126" s="75">
        <f>IF($C126="",0,COUNTIFS(rl_key,$J126,rl_eff,"&lt;"&amp;$C126)+COUNTIFS($J$7:$J126,$J126,$C$7:$C126,$C126))</f>
        <v>0</v>
      </c>
      <c r="T126" s="75">
        <f>IF(OR($C126="",$E126&lt;&gt;"planned",$C126&lt;DATE(nr_PlanYear,1,1),$C126&gt;DATE(nr_PlanYear,12,31)),0,IF(AND(COUNTIFS(rl_key,$J126,rl_status,"planned",rl_eff,"&gt;="&amp;DATE(nr_PlanYear,1,1),rl_eff,"&lt;"&amp;$C126)=0,COUNTIFS($J$7:$J126,$J126,$E$7:$E126,"planned",$C$7:$C126,$C126)=1),1,0))</f>
        <v>0</v>
      </c>
      <c r="U126" s="75">
        <f>IF(OR($C126="",$E126&lt;&gt;"taken"),0,IF(AND(COUNTIFS(rl_key,$J126,rl_effmonth,$M126,rl_eff,"&lt;"&amp;$C126,rl_status,"taken")=0,COUNTIFS($J$7:$J126,$J126,$M$7:$M126,$M126,$C$7:$C126,$C126,$E$7:$E126,"taken")=1),1,0))</f>
        <v>0</v>
      </c>
      <c r="V126" s="66" t="str">
        <f t="shared" si="19"/>
        <v/>
      </c>
      <c r="W126" s="76" t="str">
        <f t="shared" si="20"/>
        <v/>
      </c>
      <c r="X126" s="77" t="str">
        <f>IF(OR($C126="",$J126&lt;&gt;nr_SelKey),"",(SUMPRODUCT(('Rate Engine'!$G$17:$G$64&gt;YEAR($C126)*12+MONTH($C126)-1)*'Rate Engine'!$H$17:$H$64,'Rate Engine'!$Q$17:$Q$64)+(EOMONTH($C126,0)-$C126+1)/DAY(EOMONTH($C126,0))*SUMPRODUCT(('Rate Engine'!$G$17:$G$64=YEAR($C126)*12+MONTH($C126)-1)*'Rate Engine'!$H$17:$H$64,'Rate Engine'!$Q$17:$Q$64))/SUMPRODUCT('Rate Engine'!$H$17:$H$64,'Rate Engine'!$Q$17:$Q$64))</f>
        <v/>
      </c>
      <c r="Y126" s="78" t="str">
        <f t="shared" si="21"/>
        <v/>
      </c>
    </row>
    <row r="127" spans="1:25" x14ac:dyDescent="0.3">
      <c r="A127" s="11"/>
      <c r="B127" s="11"/>
      <c r="C127" s="61"/>
      <c r="D127" s="29"/>
      <c r="E127" s="11"/>
      <c r="F127" s="11"/>
      <c r="G127" s="59"/>
      <c r="H127" s="71"/>
      <c r="J127" s="65" t="str">
        <f t="shared" si="11"/>
        <v/>
      </c>
      <c r="K127" s="72" t="str">
        <f t="shared" si="12"/>
        <v/>
      </c>
      <c r="L127" s="73">
        <f t="shared" si="13"/>
        <v>0</v>
      </c>
      <c r="M127" s="74" t="str">
        <f t="shared" si="14"/>
        <v/>
      </c>
      <c r="N127" s="75">
        <f t="shared" si="15"/>
        <v>0</v>
      </c>
      <c r="O127" s="75">
        <f t="shared" si="16"/>
        <v>0</v>
      </c>
      <c r="P127" s="75">
        <f>IF($C127="",0,COUNTIFS($J$7:$J127,$J127,$M$7:$M127,$M127,$C$7:$C127,$C127))</f>
        <v>0</v>
      </c>
      <c r="Q127" s="75">
        <f t="shared" si="17"/>
        <v>0</v>
      </c>
      <c r="R127" s="75">
        <f t="shared" si="18"/>
        <v>0</v>
      </c>
      <c r="S127" s="75">
        <f>IF($C127="",0,COUNTIFS(rl_key,$J127,rl_eff,"&lt;"&amp;$C127)+COUNTIFS($J$7:$J127,$J127,$C$7:$C127,$C127))</f>
        <v>0</v>
      </c>
      <c r="T127" s="75">
        <f>IF(OR($C127="",$E127&lt;&gt;"planned",$C127&lt;DATE(nr_PlanYear,1,1),$C127&gt;DATE(nr_PlanYear,12,31)),0,IF(AND(COUNTIFS(rl_key,$J127,rl_status,"planned",rl_eff,"&gt;="&amp;DATE(nr_PlanYear,1,1),rl_eff,"&lt;"&amp;$C127)=0,COUNTIFS($J$7:$J127,$J127,$E$7:$E127,"planned",$C$7:$C127,$C127)=1),1,0))</f>
        <v>0</v>
      </c>
      <c r="U127" s="75">
        <f>IF(OR($C127="",$E127&lt;&gt;"taken"),0,IF(AND(COUNTIFS(rl_key,$J127,rl_effmonth,$M127,rl_eff,"&lt;"&amp;$C127,rl_status,"taken")=0,COUNTIFS($J$7:$J127,$J127,$M$7:$M127,$M127,$C$7:$C127,$C127,$E$7:$E127,"taken")=1),1,0))</f>
        <v>0</v>
      </c>
      <c r="V127" s="66" t="str">
        <f t="shared" si="19"/>
        <v/>
      </c>
      <c r="W127" s="76" t="str">
        <f t="shared" si="20"/>
        <v/>
      </c>
      <c r="X127" s="77" t="str">
        <f>IF(OR($C127="",$J127&lt;&gt;nr_SelKey),"",(SUMPRODUCT(('Rate Engine'!$G$17:$G$64&gt;YEAR($C127)*12+MONTH($C127)-1)*'Rate Engine'!$H$17:$H$64,'Rate Engine'!$Q$17:$Q$64)+(EOMONTH($C127,0)-$C127+1)/DAY(EOMONTH($C127,0))*SUMPRODUCT(('Rate Engine'!$G$17:$G$64=YEAR($C127)*12+MONTH($C127)-1)*'Rate Engine'!$H$17:$H$64,'Rate Engine'!$Q$17:$Q$64))/SUMPRODUCT('Rate Engine'!$H$17:$H$64,'Rate Engine'!$Q$17:$Q$64))</f>
        <v/>
      </c>
      <c r="Y127" s="78" t="str">
        <f t="shared" si="21"/>
        <v/>
      </c>
    </row>
    <row r="128" spans="1:25" x14ac:dyDescent="0.3">
      <c r="A128" s="11"/>
      <c r="B128" s="11"/>
      <c r="C128" s="61"/>
      <c r="D128" s="29"/>
      <c r="E128" s="11"/>
      <c r="F128" s="11"/>
      <c r="G128" s="59"/>
      <c r="H128" s="71"/>
      <c r="J128" s="65" t="str">
        <f t="shared" si="11"/>
        <v/>
      </c>
      <c r="K128" s="72" t="str">
        <f t="shared" si="12"/>
        <v/>
      </c>
      <c r="L128" s="73">
        <f t="shared" si="13"/>
        <v>0</v>
      </c>
      <c r="M128" s="74" t="str">
        <f t="shared" si="14"/>
        <v/>
      </c>
      <c r="N128" s="75">
        <f t="shared" si="15"/>
        <v>0</v>
      </c>
      <c r="O128" s="75">
        <f t="shared" si="16"/>
        <v>0</v>
      </c>
      <c r="P128" s="75">
        <f>IF($C128="",0,COUNTIFS($J$7:$J128,$J128,$M$7:$M128,$M128,$C$7:$C128,$C128))</f>
        <v>0</v>
      </c>
      <c r="Q128" s="75">
        <f t="shared" si="17"/>
        <v>0</v>
      </c>
      <c r="R128" s="75">
        <f t="shared" si="18"/>
        <v>0</v>
      </c>
      <c r="S128" s="75">
        <f>IF($C128="",0,COUNTIFS(rl_key,$J128,rl_eff,"&lt;"&amp;$C128)+COUNTIFS($J$7:$J128,$J128,$C$7:$C128,$C128))</f>
        <v>0</v>
      </c>
      <c r="T128" s="75">
        <f>IF(OR($C128="",$E128&lt;&gt;"planned",$C128&lt;DATE(nr_PlanYear,1,1),$C128&gt;DATE(nr_PlanYear,12,31)),0,IF(AND(COUNTIFS(rl_key,$J128,rl_status,"planned",rl_eff,"&gt;="&amp;DATE(nr_PlanYear,1,1),rl_eff,"&lt;"&amp;$C128)=0,COUNTIFS($J$7:$J128,$J128,$E$7:$E128,"planned",$C$7:$C128,$C128)=1),1,0))</f>
        <v>0</v>
      </c>
      <c r="U128" s="75">
        <f>IF(OR($C128="",$E128&lt;&gt;"taken"),0,IF(AND(COUNTIFS(rl_key,$J128,rl_effmonth,$M128,rl_eff,"&lt;"&amp;$C128,rl_status,"taken")=0,COUNTIFS($J$7:$J128,$J128,$M$7:$M128,$M128,$C$7:$C128,$C128,$E$7:$E128,"taken")=1),1,0))</f>
        <v>0</v>
      </c>
      <c r="V128" s="66" t="str">
        <f t="shared" si="19"/>
        <v/>
      </c>
      <c r="W128" s="76" t="str">
        <f t="shared" si="20"/>
        <v/>
      </c>
      <c r="X128" s="77" t="str">
        <f>IF(OR($C128="",$J128&lt;&gt;nr_SelKey),"",(SUMPRODUCT(('Rate Engine'!$G$17:$G$64&gt;YEAR($C128)*12+MONTH($C128)-1)*'Rate Engine'!$H$17:$H$64,'Rate Engine'!$Q$17:$Q$64)+(EOMONTH($C128,0)-$C128+1)/DAY(EOMONTH($C128,0))*SUMPRODUCT(('Rate Engine'!$G$17:$G$64=YEAR($C128)*12+MONTH($C128)-1)*'Rate Engine'!$H$17:$H$64,'Rate Engine'!$Q$17:$Q$64))/SUMPRODUCT('Rate Engine'!$H$17:$H$64,'Rate Engine'!$Q$17:$Q$64))</f>
        <v/>
      </c>
      <c r="Y128" s="78" t="str">
        <f t="shared" si="21"/>
        <v/>
      </c>
    </row>
    <row r="129" spans="1:25" x14ac:dyDescent="0.3">
      <c r="A129" s="11"/>
      <c r="B129" s="11"/>
      <c r="C129" s="61"/>
      <c r="D129" s="29"/>
      <c r="E129" s="11"/>
      <c r="F129" s="11"/>
      <c r="G129" s="59"/>
      <c r="H129" s="71"/>
      <c r="J129" s="65" t="str">
        <f t="shared" si="11"/>
        <v/>
      </c>
      <c r="K129" s="72" t="str">
        <f t="shared" si="12"/>
        <v/>
      </c>
      <c r="L129" s="73">
        <f t="shared" si="13"/>
        <v>0</v>
      </c>
      <c r="M129" s="74" t="str">
        <f t="shared" si="14"/>
        <v/>
      </c>
      <c r="N129" s="75">
        <f t="shared" si="15"/>
        <v>0</v>
      </c>
      <c r="O129" s="75">
        <f t="shared" si="16"/>
        <v>0</v>
      </c>
      <c r="P129" s="75">
        <f>IF($C129="",0,COUNTIFS($J$7:$J129,$J129,$M$7:$M129,$M129,$C$7:$C129,$C129))</f>
        <v>0</v>
      </c>
      <c r="Q129" s="75">
        <f t="shared" si="17"/>
        <v>0</v>
      </c>
      <c r="R129" s="75">
        <f t="shared" si="18"/>
        <v>0</v>
      </c>
      <c r="S129" s="75">
        <f>IF($C129="",0,COUNTIFS(rl_key,$J129,rl_eff,"&lt;"&amp;$C129)+COUNTIFS($J$7:$J129,$J129,$C$7:$C129,$C129))</f>
        <v>0</v>
      </c>
      <c r="T129" s="75">
        <f>IF(OR($C129="",$E129&lt;&gt;"planned",$C129&lt;DATE(nr_PlanYear,1,1),$C129&gt;DATE(nr_PlanYear,12,31)),0,IF(AND(COUNTIFS(rl_key,$J129,rl_status,"planned",rl_eff,"&gt;="&amp;DATE(nr_PlanYear,1,1),rl_eff,"&lt;"&amp;$C129)=0,COUNTIFS($J$7:$J129,$J129,$E$7:$E129,"planned",$C$7:$C129,$C129)=1),1,0))</f>
        <v>0</v>
      </c>
      <c r="U129" s="75">
        <f>IF(OR($C129="",$E129&lt;&gt;"taken"),0,IF(AND(COUNTIFS(rl_key,$J129,rl_effmonth,$M129,rl_eff,"&lt;"&amp;$C129,rl_status,"taken")=0,COUNTIFS($J$7:$J129,$J129,$M$7:$M129,$M129,$C$7:$C129,$C129,$E$7:$E129,"taken")=1),1,0))</f>
        <v>0</v>
      </c>
      <c r="V129" s="66" t="str">
        <f t="shared" si="19"/>
        <v/>
      </c>
      <c r="W129" s="76" t="str">
        <f t="shared" si="20"/>
        <v/>
      </c>
      <c r="X129" s="77" t="str">
        <f>IF(OR($C129="",$J129&lt;&gt;nr_SelKey),"",(SUMPRODUCT(('Rate Engine'!$G$17:$G$64&gt;YEAR($C129)*12+MONTH($C129)-1)*'Rate Engine'!$H$17:$H$64,'Rate Engine'!$Q$17:$Q$64)+(EOMONTH($C129,0)-$C129+1)/DAY(EOMONTH($C129,0))*SUMPRODUCT(('Rate Engine'!$G$17:$G$64=YEAR($C129)*12+MONTH($C129)-1)*'Rate Engine'!$H$17:$H$64,'Rate Engine'!$Q$17:$Q$64))/SUMPRODUCT('Rate Engine'!$H$17:$H$64,'Rate Engine'!$Q$17:$Q$64))</f>
        <v/>
      </c>
      <c r="Y129" s="78" t="str">
        <f t="shared" si="21"/>
        <v/>
      </c>
    </row>
    <row r="130" spans="1:25" x14ac:dyDescent="0.3">
      <c r="A130" s="11"/>
      <c r="B130" s="11"/>
      <c r="C130" s="61"/>
      <c r="D130" s="29"/>
      <c r="E130" s="11"/>
      <c r="F130" s="11"/>
      <c r="G130" s="59"/>
      <c r="H130" s="71"/>
      <c r="J130" s="65" t="str">
        <f t="shared" si="11"/>
        <v/>
      </c>
      <c r="K130" s="72" t="str">
        <f t="shared" si="12"/>
        <v/>
      </c>
      <c r="L130" s="73">
        <f t="shared" si="13"/>
        <v>0</v>
      </c>
      <c r="M130" s="74" t="str">
        <f t="shared" si="14"/>
        <v/>
      </c>
      <c r="N130" s="75">
        <f t="shared" si="15"/>
        <v>0</v>
      </c>
      <c r="O130" s="75">
        <f t="shared" si="16"/>
        <v>0</v>
      </c>
      <c r="P130" s="75">
        <f>IF($C130="",0,COUNTIFS($J$7:$J130,$J130,$M$7:$M130,$M130,$C$7:$C130,$C130))</f>
        <v>0</v>
      </c>
      <c r="Q130" s="75">
        <f t="shared" si="17"/>
        <v>0</v>
      </c>
      <c r="R130" s="75">
        <f t="shared" si="18"/>
        <v>0</v>
      </c>
      <c r="S130" s="75">
        <f>IF($C130="",0,COUNTIFS(rl_key,$J130,rl_eff,"&lt;"&amp;$C130)+COUNTIFS($J$7:$J130,$J130,$C$7:$C130,$C130))</f>
        <v>0</v>
      </c>
      <c r="T130" s="75">
        <f>IF(OR($C130="",$E130&lt;&gt;"planned",$C130&lt;DATE(nr_PlanYear,1,1),$C130&gt;DATE(nr_PlanYear,12,31)),0,IF(AND(COUNTIFS(rl_key,$J130,rl_status,"planned",rl_eff,"&gt;="&amp;DATE(nr_PlanYear,1,1),rl_eff,"&lt;"&amp;$C130)=0,COUNTIFS($J$7:$J130,$J130,$E$7:$E130,"planned",$C$7:$C130,$C130)=1),1,0))</f>
        <v>0</v>
      </c>
      <c r="U130" s="75">
        <f>IF(OR($C130="",$E130&lt;&gt;"taken"),0,IF(AND(COUNTIFS(rl_key,$J130,rl_effmonth,$M130,rl_eff,"&lt;"&amp;$C130,rl_status,"taken")=0,COUNTIFS($J$7:$J130,$J130,$M$7:$M130,$M130,$C$7:$C130,$C130,$E$7:$E130,"taken")=1),1,0))</f>
        <v>0</v>
      </c>
      <c r="V130" s="66" t="str">
        <f t="shared" si="19"/>
        <v/>
      </c>
      <c r="W130" s="76" t="str">
        <f t="shared" si="20"/>
        <v/>
      </c>
      <c r="X130" s="77" t="str">
        <f>IF(OR($C130="",$J130&lt;&gt;nr_SelKey),"",(SUMPRODUCT(('Rate Engine'!$G$17:$G$64&gt;YEAR($C130)*12+MONTH($C130)-1)*'Rate Engine'!$H$17:$H$64,'Rate Engine'!$Q$17:$Q$64)+(EOMONTH($C130,0)-$C130+1)/DAY(EOMONTH($C130,0))*SUMPRODUCT(('Rate Engine'!$G$17:$G$64=YEAR($C130)*12+MONTH($C130)-1)*'Rate Engine'!$H$17:$H$64,'Rate Engine'!$Q$17:$Q$64))/SUMPRODUCT('Rate Engine'!$H$17:$H$64,'Rate Engine'!$Q$17:$Q$64))</f>
        <v/>
      </c>
      <c r="Y130" s="78" t="str">
        <f t="shared" si="21"/>
        <v/>
      </c>
    </row>
    <row r="131" spans="1:25" x14ac:dyDescent="0.3">
      <c r="A131" s="11"/>
      <c r="B131" s="11"/>
      <c r="C131" s="61"/>
      <c r="D131" s="29"/>
      <c r="E131" s="11"/>
      <c r="F131" s="11"/>
      <c r="G131" s="59"/>
      <c r="H131" s="71"/>
      <c r="J131" s="65" t="str">
        <f t="shared" si="11"/>
        <v/>
      </c>
      <c r="K131" s="72" t="str">
        <f t="shared" si="12"/>
        <v/>
      </c>
      <c r="L131" s="73">
        <f t="shared" si="13"/>
        <v>0</v>
      </c>
      <c r="M131" s="74" t="str">
        <f t="shared" si="14"/>
        <v/>
      </c>
      <c r="N131" s="75">
        <f t="shared" si="15"/>
        <v>0</v>
      </c>
      <c r="O131" s="75">
        <f t="shared" si="16"/>
        <v>0</v>
      </c>
      <c r="P131" s="75">
        <f>IF($C131="",0,COUNTIFS($J$7:$J131,$J131,$M$7:$M131,$M131,$C$7:$C131,$C131))</f>
        <v>0</v>
      </c>
      <c r="Q131" s="75">
        <f t="shared" si="17"/>
        <v>0</v>
      </c>
      <c r="R131" s="75">
        <f t="shared" si="18"/>
        <v>0</v>
      </c>
      <c r="S131" s="75">
        <f>IF($C131="",0,COUNTIFS(rl_key,$J131,rl_eff,"&lt;"&amp;$C131)+COUNTIFS($J$7:$J131,$J131,$C$7:$C131,$C131))</f>
        <v>0</v>
      </c>
      <c r="T131" s="75">
        <f>IF(OR($C131="",$E131&lt;&gt;"planned",$C131&lt;DATE(nr_PlanYear,1,1),$C131&gt;DATE(nr_PlanYear,12,31)),0,IF(AND(COUNTIFS(rl_key,$J131,rl_status,"planned",rl_eff,"&gt;="&amp;DATE(nr_PlanYear,1,1),rl_eff,"&lt;"&amp;$C131)=0,COUNTIFS($J$7:$J131,$J131,$E$7:$E131,"planned",$C$7:$C131,$C131)=1),1,0))</f>
        <v>0</v>
      </c>
      <c r="U131" s="75">
        <f>IF(OR($C131="",$E131&lt;&gt;"taken"),0,IF(AND(COUNTIFS(rl_key,$J131,rl_effmonth,$M131,rl_eff,"&lt;"&amp;$C131,rl_status,"taken")=0,COUNTIFS($J$7:$J131,$J131,$M$7:$M131,$M131,$C$7:$C131,$C131,$E$7:$E131,"taken")=1),1,0))</f>
        <v>0</v>
      </c>
      <c r="V131" s="66" t="str">
        <f t="shared" si="19"/>
        <v/>
      </c>
      <c r="W131" s="76" t="str">
        <f t="shared" si="20"/>
        <v/>
      </c>
      <c r="X131" s="77" t="str">
        <f>IF(OR($C131="",$J131&lt;&gt;nr_SelKey),"",(SUMPRODUCT(('Rate Engine'!$G$17:$G$64&gt;YEAR($C131)*12+MONTH($C131)-1)*'Rate Engine'!$H$17:$H$64,'Rate Engine'!$Q$17:$Q$64)+(EOMONTH($C131,0)-$C131+1)/DAY(EOMONTH($C131,0))*SUMPRODUCT(('Rate Engine'!$G$17:$G$64=YEAR($C131)*12+MONTH($C131)-1)*'Rate Engine'!$H$17:$H$64,'Rate Engine'!$Q$17:$Q$64))/SUMPRODUCT('Rate Engine'!$H$17:$H$64,'Rate Engine'!$Q$17:$Q$64))</f>
        <v/>
      </c>
      <c r="Y131" s="78" t="str">
        <f t="shared" si="21"/>
        <v/>
      </c>
    </row>
    <row r="132" spans="1:25" x14ac:dyDescent="0.3">
      <c r="A132" s="11"/>
      <c r="B132" s="11"/>
      <c r="C132" s="61"/>
      <c r="D132" s="29"/>
      <c r="E132" s="11"/>
      <c r="F132" s="11"/>
      <c r="G132" s="59"/>
      <c r="H132" s="71"/>
      <c r="J132" s="65" t="str">
        <f t="shared" si="11"/>
        <v/>
      </c>
      <c r="K132" s="72" t="str">
        <f t="shared" si="12"/>
        <v/>
      </c>
      <c r="L132" s="73">
        <f t="shared" si="13"/>
        <v>0</v>
      </c>
      <c r="M132" s="74" t="str">
        <f t="shared" si="14"/>
        <v/>
      </c>
      <c r="N132" s="75">
        <f t="shared" si="15"/>
        <v>0</v>
      </c>
      <c r="O132" s="75">
        <f t="shared" si="16"/>
        <v>0</v>
      </c>
      <c r="P132" s="75">
        <f>IF($C132="",0,COUNTIFS($J$7:$J132,$J132,$M$7:$M132,$M132,$C$7:$C132,$C132))</f>
        <v>0</v>
      </c>
      <c r="Q132" s="75">
        <f t="shared" si="17"/>
        <v>0</v>
      </c>
      <c r="R132" s="75">
        <f t="shared" si="18"/>
        <v>0</v>
      </c>
      <c r="S132" s="75">
        <f>IF($C132="",0,COUNTIFS(rl_key,$J132,rl_eff,"&lt;"&amp;$C132)+COUNTIFS($J$7:$J132,$J132,$C$7:$C132,$C132))</f>
        <v>0</v>
      </c>
      <c r="T132" s="75">
        <f>IF(OR($C132="",$E132&lt;&gt;"planned",$C132&lt;DATE(nr_PlanYear,1,1),$C132&gt;DATE(nr_PlanYear,12,31)),0,IF(AND(COUNTIFS(rl_key,$J132,rl_status,"planned",rl_eff,"&gt;="&amp;DATE(nr_PlanYear,1,1),rl_eff,"&lt;"&amp;$C132)=0,COUNTIFS($J$7:$J132,$J132,$E$7:$E132,"planned",$C$7:$C132,$C132)=1),1,0))</f>
        <v>0</v>
      </c>
      <c r="U132" s="75">
        <f>IF(OR($C132="",$E132&lt;&gt;"taken"),0,IF(AND(COUNTIFS(rl_key,$J132,rl_effmonth,$M132,rl_eff,"&lt;"&amp;$C132,rl_status,"taken")=0,COUNTIFS($J$7:$J132,$J132,$M$7:$M132,$M132,$C$7:$C132,$C132,$E$7:$E132,"taken")=1),1,0))</f>
        <v>0</v>
      </c>
      <c r="V132" s="66" t="str">
        <f t="shared" si="19"/>
        <v/>
      </c>
      <c r="W132" s="76" t="str">
        <f t="shared" si="20"/>
        <v/>
      </c>
      <c r="X132" s="77" t="str">
        <f>IF(OR($C132="",$J132&lt;&gt;nr_SelKey),"",(SUMPRODUCT(('Rate Engine'!$G$17:$G$64&gt;YEAR($C132)*12+MONTH($C132)-1)*'Rate Engine'!$H$17:$H$64,'Rate Engine'!$Q$17:$Q$64)+(EOMONTH($C132,0)-$C132+1)/DAY(EOMONTH($C132,0))*SUMPRODUCT(('Rate Engine'!$G$17:$G$64=YEAR($C132)*12+MONTH($C132)-1)*'Rate Engine'!$H$17:$H$64,'Rate Engine'!$Q$17:$Q$64))/SUMPRODUCT('Rate Engine'!$H$17:$H$64,'Rate Engine'!$Q$17:$Q$64))</f>
        <v/>
      </c>
      <c r="Y132" s="78" t="str">
        <f t="shared" si="21"/>
        <v/>
      </c>
    </row>
    <row r="133" spans="1:25" x14ac:dyDescent="0.3">
      <c r="A133" s="11"/>
      <c r="B133" s="11"/>
      <c r="C133" s="61"/>
      <c r="D133" s="29"/>
      <c r="E133" s="11"/>
      <c r="F133" s="11"/>
      <c r="G133" s="59"/>
      <c r="H133" s="71"/>
      <c r="J133" s="65" t="str">
        <f t="shared" si="11"/>
        <v/>
      </c>
      <c r="K133" s="72" t="str">
        <f t="shared" si="12"/>
        <v/>
      </c>
      <c r="L133" s="73">
        <f t="shared" si="13"/>
        <v>0</v>
      </c>
      <c r="M133" s="74" t="str">
        <f t="shared" si="14"/>
        <v/>
      </c>
      <c r="N133" s="75">
        <f t="shared" si="15"/>
        <v>0</v>
      </c>
      <c r="O133" s="75">
        <f t="shared" si="16"/>
        <v>0</v>
      </c>
      <c r="P133" s="75">
        <f>IF($C133="",0,COUNTIFS($J$7:$J133,$J133,$M$7:$M133,$M133,$C$7:$C133,$C133))</f>
        <v>0</v>
      </c>
      <c r="Q133" s="75">
        <f t="shared" si="17"/>
        <v>0</v>
      </c>
      <c r="R133" s="75">
        <f t="shared" si="18"/>
        <v>0</v>
      </c>
      <c r="S133" s="75">
        <f>IF($C133="",0,COUNTIFS(rl_key,$J133,rl_eff,"&lt;"&amp;$C133)+COUNTIFS($J$7:$J133,$J133,$C$7:$C133,$C133))</f>
        <v>0</v>
      </c>
      <c r="T133" s="75">
        <f>IF(OR($C133="",$E133&lt;&gt;"planned",$C133&lt;DATE(nr_PlanYear,1,1),$C133&gt;DATE(nr_PlanYear,12,31)),0,IF(AND(COUNTIFS(rl_key,$J133,rl_status,"planned",rl_eff,"&gt;="&amp;DATE(nr_PlanYear,1,1),rl_eff,"&lt;"&amp;$C133)=0,COUNTIFS($J$7:$J133,$J133,$E$7:$E133,"planned",$C$7:$C133,$C133)=1),1,0))</f>
        <v>0</v>
      </c>
      <c r="U133" s="75">
        <f>IF(OR($C133="",$E133&lt;&gt;"taken"),0,IF(AND(COUNTIFS(rl_key,$J133,rl_effmonth,$M133,rl_eff,"&lt;"&amp;$C133,rl_status,"taken")=0,COUNTIFS($J$7:$J133,$J133,$M$7:$M133,$M133,$C$7:$C133,$C133,$E$7:$E133,"taken")=1),1,0))</f>
        <v>0</v>
      </c>
      <c r="V133" s="66" t="str">
        <f t="shared" si="19"/>
        <v/>
      </c>
      <c r="W133" s="76" t="str">
        <f t="shared" si="20"/>
        <v/>
      </c>
      <c r="X133" s="77" t="str">
        <f>IF(OR($C133="",$J133&lt;&gt;nr_SelKey),"",(SUMPRODUCT(('Rate Engine'!$G$17:$G$64&gt;YEAR($C133)*12+MONTH($C133)-1)*'Rate Engine'!$H$17:$H$64,'Rate Engine'!$Q$17:$Q$64)+(EOMONTH($C133,0)-$C133+1)/DAY(EOMONTH($C133,0))*SUMPRODUCT(('Rate Engine'!$G$17:$G$64=YEAR($C133)*12+MONTH($C133)-1)*'Rate Engine'!$H$17:$H$64,'Rate Engine'!$Q$17:$Q$64))/SUMPRODUCT('Rate Engine'!$H$17:$H$64,'Rate Engine'!$Q$17:$Q$64))</f>
        <v/>
      </c>
      <c r="Y133" s="78" t="str">
        <f t="shared" si="21"/>
        <v/>
      </c>
    </row>
    <row r="134" spans="1:25" x14ac:dyDescent="0.3">
      <c r="A134" s="11"/>
      <c r="B134" s="11"/>
      <c r="C134" s="61"/>
      <c r="D134" s="29"/>
      <c r="E134" s="11"/>
      <c r="F134" s="11"/>
      <c r="G134" s="59"/>
      <c r="H134" s="71"/>
      <c r="J134" s="65" t="str">
        <f t="shared" si="11"/>
        <v/>
      </c>
      <c r="K134" s="72" t="str">
        <f t="shared" si="12"/>
        <v/>
      </c>
      <c r="L134" s="73">
        <f t="shared" si="13"/>
        <v>0</v>
      </c>
      <c r="M134" s="74" t="str">
        <f t="shared" si="14"/>
        <v/>
      </c>
      <c r="N134" s="75">
        <f t="shared" si="15"/>
        <v>0</v>
      </c>
      <c r="O134" s="75">
        <f t="shared" si="16"/>
        <v>0</v>
      </c>
      <c r="P134" s="75">
        <f>IF($C134="",0,COUNTIFS($J$7:$J134,$J134,$M$7:$M134,$M134,$C$7:$C134,$C134))</f>
        <v>0</v>
      </c>
      <c r="Q134" s="75">
        <f t="shared" si="17"/>
        <v>0</v>
      </c>
      <c r="R134" s="75">
        <f t="shared" si="18"/>
        <v>0</v>
      </c>
      <c r="S134" s="75">
        <f>IF($C134="",0,COUNTIFS(rl_key,$J134,rl_eff,"&lt;"&amp;$C134)+COUNTIFS($J$7:$J134,$J134,$C$7:$C134,$C134))</f>
        <v>0</v>
      </c>
      <c r="T134" s="75">
        <f>IF(OR($C134="",$E134&lt;&gt;"planned",$C134&lt;DATE(nr_PlanYear,1,1),$C134&gt;DATE(nr_PlanYear,12,31)),0,IF(AND(COUNTIFS(rl_key,$J134,rl_status,"planned",rl_eff,"&gt;="&amp;DATE(nr_PlanYear,1,1),rl_eff,"&lt;"&amp;$C134)=0,COUNTIFS($J$7:$J134,$J134,$E$7:$E134,"planned",$C$7:$C134,$C134)=1),1,0))</f>
        <v>0</v>
      </c>
      <c r="U134" s="75">
        <f>IF(OR($C134="",$E134&lt;&gt;"taken"),0,IF(AND(COUNTIFS(rl_key,$J134,rl_effmonth,$M134,rl_eff,"&lt;"&amp;$C134,rl_status,"taken")=0,COUNTIFS($J$7:$J134,$J134,$M$7:$M134,$M134,$C$7:$C134,$C134,$E$7:$E134,"taken")=1),1,0))</f>
        <v>0</v>
      </c>
      <c r="V134" s="66" t="str">
        <f t="shared" si="19"/>
        <v/>
      </c>
      <c r="W134" s="76" t="str">
        <f t="shared" si="20"/>
        <v/>
      </c>
      <c r="X134" s="77" t="str">
        <f>IF(OR($C134="",$J134&lt;&gt;nr_SelKey),"",(SUMPRODUCT(('Rate Engine'!$G$17:$G$64&gt;YEAR($C134)*12+MONTH($C134)-1)*'Rate Engine'!$H$17:$H$64,'Rate Engine'!$Q$17:$Q$64)+(EOMONTH($C134,0)-$C134+1)/DAY(EOMONTH($C134,0))*SUMPRODUCT(('Rate Engine'!$G$17:$G$64=YEAR($C134)*12+MONTH($C134)-1)*'Rate Engine'!$H$17:$H$64,'Rate Engine'!$Q$17:$Q$64))/SUMPRODUCT('Rate Engine'!$H$17:$H$64,'Rate Engine'!$Q$17:$Q$64))</f>
        <v/>
      </c>
      <c r="Y134" s="78" t="str">
        <f t="shared" si="21"/>
        <v/>
      </c>
    </row>
    <row r="135" spans="1:25" x14ac:dyDescent="0.3">
      <c r="A135" s="11"/>
      <c r="B135" s="11"/>
      <c r="C135" s="61"/>
      <c r="D135" s="29"/>
      <c r="E135" s="11"/>
      <c r="F135" s="11"/>
      <c r="G135" s="59"/>
      <c r="H135" s="71"/>
      <c r="J135" s="65" t="str">
        <f t="shared" ref="J135:J198" si="22">IF(OR($A135="",$B135=""),"",$A135&amp;"|"&amp;$B135)</f>
        <v/>
      </c>
      <c r="K135" s="72" t="str">
        <f t="shared" ref="K135:K198" si="23">IF($C135="","",$D135*IF($E135="planned",IF($G135="",1,$G135),1))</f>
        <v/>
      </c>
      <c r="L135" s="73">
        <f t="shared" ref="L135:L198" si="24">IF($C135="",0,IF(1+$K135&gt;0,LN(1+$K135),0))</f>
        <v>0</v>
      </c>
      <c r="M135" s="74" t="str">
        <f t="shared" ref="M135:M198" si="25">IF($C135="","",DATE(YEAR($C135),MONTH($C135),1))</f>
        <v/>
      </c>
      <c r="N135" s="75">
        <f t="shared" ref="N135:N198" si="26">IF($C135="",0,EOMONTH($C135,0)-$C135+1)</f>
        <v>0</v>
      </c>
      <c r="O135" s="75">
        <f t="shared" ref="O135:O198" si="27">IF($C135="",0,COUNTIFS(rl_key,$J135,rl_effmonth,$M135,rl_eff,"&lt;"&amp;$C135))</f>
        <v>0</v>
      </c>
      <c r="P135" s="75">
        <f>IF($C135="",0,COUNTIFS($J$7:$J135,$J135,$M$7:$M135,$M135,$C$7:$C135,$C135))</f>
        <v>0</v>
      </c>
      <c r="Q135" s="75">
        <f t="shared" ref="Q135:Q198" si="28">IF($C135="",0,IF(AND($O135=0,$P135=1),1,0))</f>
        <v>0</v>
      </c>
      <c r="R135" s="75">
        <f t="shared" ref="R135:R198" si="29">IF($C135="",0,IF(COUNTIFS(rl_key,$J135,rl_effmonth,$M135)&gt;1,1,0))</f>
        <v>0</v>
      </c>
      <c r="S135" s="75">
        <f>IF($C135="",0,COUNTIFS(rl_key,$J135,rl_eff,"&lt;"&amp;$C135)+COUNTIFS($J$7:$J135,$J135,$C$7:$C135,$C135))</f>
        <v>0</v>
      </c>
      <c r="T135" s="75">
        <f>IF(OR($C135="",$E135&lt;&gt;"planned",$C135&lt;DATE(nr_PlanYear,1,1),$C135&gt;DATE(nr_PlanYear,12,31)),0,IF(AND(COUNTIFS(rl_key,$J135,rl_status,"planned",rl_eff,"&gt;="&amp;DATE(nr_PlanYear,1,1),rl_eff,"&lt;"&amp;$C135)=0,COUNTIFS($J$7:$J135,$J135,$E$7:$E135,"planned",$C$7:$C135,$C135)=1),1,0))</f>
        <v>0</v>
      </c>
      <c r="U135" s="75">
        <f>IF(OR($C135="",$E135&lt;&gt;"taken"),0,IF(AND(COUNTIFS(rl_key,$J135,rl_effmonth,$M135,rl_eff,"&lt;"&amp;$C135,rl_status,"taken")=0,COUNTIFS($J$7:$J135,$J135,$M$7:$M135,$M135,$C$7:$C135,$C135,$E$7:$E135,"taken")=1),1,0))</f>
        <v>0</v>
      </c>
      <c r="V135" s="66" t="str">
        <f t="shared" ref="V135:V198" si="30">IF($J135="","",IF(COUNTIF(lr_key,$J135)=0,"not in tbl_LR",INDEX(calc_cylr_p,MATCH($J135,lr_key,0))))</f>
        <v/>
      </c>
      <c r="W135" s="76" t="str">
        <f t="shared" ref="W135:W198" si="31">IF(OR($J135="",COUNTIF(lr_key,$J135)=0),"",(INDEX(calc_cylr_p,MATCH($J135,lr_key,0))-INDEX(calc_lrcur,MATCH($J135,lr_key,0)))*100)</f>
        <v/>
      </c>
      <c r="X135" s="77" t="str">
        <f>IF(OR($C135="",$J135&lt;&gt;nr_SelKey),"",(SUMPRODUCT(('Rate Engine'!$G$17:$G$64&gt;YEAR($C135)*12+MONTH($C135)-1)*'Rate Engine'!$H$17:$H$64,'Rate Engine'!$Q$17:$Q$64)+(EOMONTH($C135,0)-$C135+1)/DAY(EOMONTH($C135,0))*SUMPRODUCT(('Rate Engine'!$G$17:$G$64=YEAR($C135)*12+MONTH($C135)-1)*'Rate Engine'!$H$17:$H$64,'Rate Engine'!$Q$17:$Q$64))/SUMPRODUCT('Rate Engine'!$H$17:$H$64,'Rate Engine'!$Q$17:$Q$64))</f>
        <v/>
      </c>
      <c r="Y135" s="78" t="str">
        <f t="shared" ref="Y135:Y198" si="32">IF($C135="","",IF(AND($E135="taken",$G135&lt;&gt;"",$G135&lt;&gt;1),"achievement ignored — restate Filed %",""))</f>
        <v/>
      </c>
    </row>
    <row r="136" spans="1:25" x14ac:dyDescent="0.3">
      <c r="A136" s="11"/>
      <c r="B136" s="11"/>
      <c r="C136" s="61"/>
      <c r="D136" s="29"/>
      <c r="E136" s="11"/>
      <c r="F136" s="11"/>
      <c r="G136" s="59"/>
      <c r="H136" s="71"/>
      <c r="J136" s="65" t="str">
        <f t="shared" si="22"/>
        <v/>
      </c>
      <c r="K136" s="72" t="str">
        <f t="shared" si="23"/>
        <v/>
      </c>
      <c r="L136" s="73">
        <f t="shared" si="24"/>
        <v>0</v>
      </c>
      <c r="M136" s="74" t="str">
        <f t="shared" si="25"/>
        <v/>
      </c>
      <c r="N136" s="75">
        <f t="shared" si="26"/>
        <v>0</v>
      </c>
      <c r="O136" s="75">
        <f t="shared" si="27"/>
        <v>0</v>
      </c>
      <c r="P136" s="75">
        <f>IF($C136="",0,COUNTIFS($J$7:$J136,$J136,$M$7:$M136,$M136,$C$7:$C136,$C136))</f>
        <v>0</v>
      </c>
      <c r="Q136" s="75">
        <f t="shared" si="28"/>
        <v>0</v>
      </c>
      <c r="R136" s="75">
        <f t="shared" si="29"/>
        <v>0</v>
      </c>
      <c r="S136" s="75">
        <f>IF($C136="",0,COUNTIFS(rl_key,$J136,rl_eff,"&lt;"&amp;$C136)+COUNTIFS($J$7:$J136,$J136,$C$7:$C136,$C136))</f>
        <v>0</v>
      </c>
      <c r="T136" s="75">
        <f>IF(OR($C136="",$E136&lt;&gt;"planned",$C136&lt;DATE(nr_PlanYear,1,1),$C136&gt;DATE(nr_PlanYear,12,31)),0,IF(AND(COUNTIFS(rl_key,$J136,rl_status,"planned",rl_eff,"&gt;="&amp;DATE(nr_PlanYear,1,1),rl_eff,"&lt;"&amp;$C136)=0,COUNTIFS($J$7:$J136,$J136,$E$7:$E136,"planned",$C$7:$C136,$C136)=1),1,0))</f>
        <v>0</v>
      </c>
      <c r="U136" s="75">
        <f>IF(OR($C136="",$E136&lt;&gt;"taken"),0,IF(AND(COUNTIFS(rl_key,$J136,rl_effmonth,$M136,rl_eff,"&lt;"&amp;$C136,rl_status,"taken")=0,COUNTIFS($J$7:$J136,$J136,$M$7:$M136,$M136,$C$7:$C136,$C136,$E$7:$E136,"taken")=1),1,0))</f>
        <v>0</v>
      </c>
      <c r="V136" s="66" t="str">
        <f t="shared" si="30"/>
        <v/>
      </c>
      <c r="W136" s="76" t="str">
        <f t="shared" si="31"/>
        <v/>
      </c>
      <c r="X136" s="77" t="str">
        <f>IF(OR($C136="",$J136&lt;&gt;nr_SelKey),"",(SUMPRODUCT(('Rate Engine'!$G$17:$G$64&gt;YEAR($C136)*12+MONTH($C136)-1)*'Rate Engine'!$H$17:$H$64,'Rate Engine'!$Q$17:$Q$64)+(EOMONTH($C136,0)-$C136+1)/DAY(EOMONTH($C136,0))*SUMPRODUCT(('Rate Engine'!$G$17:$G$64=YEAR($C136)*12+MONTH($C136)-1)*'Rate Engine'!$H$17:$H$64,'Rate Engine'!$Q$17:$Q$64))/SUMPRODUCT('Rate Engine'!$H$17:$H$64,'Rate Engine'!$Q$17:$Q$64))</f>
        <v/>
      </c>
      <c r="Y136" s="78" t="str">
        <f t="shared" si="32"/>
        <v/>
      </c>
    </row>
    <row r="137" spans="1:25" x14ac:dyDescent="0.3">
      <c r="A137" s="11"/>
      <c r="B137" s="11"/>
      <c r="C137" s="61"/>
      <c r="D137" s="29"/>
      <c r="E137" s="11"/>
      <c r="F137" s="11"/>
      <c r="G137" s="59"/>
      <c r="H137" s="71"/>
      <c r="J137" s="65" t="str">
        <f t="shared" si="22"/>
        <v/>
      </c>
      <c r="K137" s="72" t="str">
        <f t="shared" si="23"/>
        <v/>
      </c>
      <c r="L137" s="73">
        <f t="shared" si="24"/>
        <v>0</v>
      </c>
      <c r="M137" s="74" t="str">
        <f t="shared" si="25"/>
        <v/>
      </c>
      <c r="N137" s="75">
        <f t="shared" si="26"/>
        <v>0</v>
      </c>
      <c r="O137" s="75">
        <f t="shared" si="27"/>
        <v>0</v>
      </c>
      <c r="P137" s="75">
        <f>IF($C137="",0,COUNTIFS($J$7:$J137,$J137,$M$7:$M137,$M137,$C$7:$C137,$C137))</f>
        <v>0</v>
      </c>
      <c r="Q137" s="75">
        <f t="shared" si="28"/>
        <v>0</v>
      </c>
      <c r="R137" s="75">
        <f t="shared" si="29"/>
        <v>0</v>
      </c>
      <c r="S137" s="75">
        <f>IF($C137="",0,COUNTIFS(rl_key,$J137,rl_eff,"&lt;"&amp;$C137)+COUNTIFS($J$7:$J137,$J137,$C$7:$C137,$C137))</f>
        <v>0</v>
      </c>
      <c r="T137" s="75">
        <f>IF(OR($C137="",$E137&lt;&gt;"planned",$C137&lt;DATE(nr_PlanYear,1,1),$C137&gt;DATE(nr_PlanYear,12,31)),0,IF(AND(COUNTIFS(rl_key,$J137,rl_status,"planned",rl_eff,"&gt;="&amp;DATE(nr_PlanYear,1,1),rl_eff,"&lt;"&amp;$C137)=0,COUNTIFS($J$7:$J137,$J137,$E$7:$E137,"planned",$C$7:$C137,$C137)=1),1,0))</f>
        <v>0</v>
      </c>
      <c r="U137" s="75">
        <f>IF(OR($C137="",$E137&lt;&gt;"taken"),0,IF(AND(COUNTIFS(rl_key,$J137,rl_effmonth,$M137,rl_eff,"&lt;"&amp;$C137,rl_status,"taken")=0,COUNTIFS($J$7:$J137,$J137,$M$7:$M137,$M137,$C$7:$C137,$C137,$E$7:$E137,"taken")=1),1,0))</f>
        <v>0</v>
      </c>
      <c r="V137" s="66" t="str">
        <f t="shared" si="30"/>
        <v/>
      </c>
      <c r="W137" s="76" t="str">
        <f t="shared" si="31"/>
        <v/>
      </c>
      <c r="X137" s="77" t="str">
        <f>IF(OR($C137="",$J137&lt;&gt;nr_SelKey),"",(SUMPRODUCT(('Rate Engine'!$G$17:$G$64&gt;YEAR($C137)*12+MONTH($C137)-1)*'Rate Engine'!$H$17:$H$64,'Rate Engine'!$Q$17:$Q$64)+(EOMONTH($C137,0)-$C137+1)/DAY(EOMONTH($C137,0))*SUMPRODUCT(('Rate Engine'!$G$17:$G$64=YEAR($C137)*12+MONTH($C137)-1)*'Rate Engine'!$H$17:$H$64,'Rate Engine'!$Q$17:$Q$64))/SUMPRODUCT('Rate Engine'!$H$17:$H$64,'Rate Engine'!$Q$17:$Q$64))</f>
        <v/>
      </c>
      <c r="Y137" s="78" t="str">
        <f t="shared" si="32"/>
        <v/>
      </c>
    </row>
    <row r="138" spans="1:25" x14ac:dyDescent="0.3">
      <c r="A138" s="11"/>
      <c r="B138" s="11"/>
      <c r="C138" s="61"/>
      <c r="D138" s="29"/>
      <c r="E138" s="11"/>
      <c r="F138" s="11"/>
      <c r="G138" s="59"/>
      <c r="H138" s="71"/>
      <c r="J138" s="65" t="str">
        <f t="shared" si="22"/>
        <v/>
      </c>
      <c r="K138" s="72" t="str">
        <f t="shared" si="23"/>
        <v/>
      </c>
      <c r="L138" s="73">
        <f t="shared" si="24"/>
        <v>0</v>
      </c>
      <c r="M138" s="74" t="str">
        <f t="shared" si="25"/>
        <v/>
      </c>
      <c r="N138" s="75">
        <f t="shared" si="26"/>
        <v>0</v>
      </c>
      <c r="O138" s="75">
        <f t="shared" si="27"/>
        <v>0</v>
      </c>
      <c r="P138" s="75">
        <f>IF($C138="",0,COUNTIFS($J$7:$J138,$J138,$M$7:$M138,$M138,$C$7:$C138,$C138))</f>
        <v>0</v>
      </c>
      <c r="Q138" s="75">
        <f t="shared" si="28"/>
        <v>0</v>
      </c>
      <c r="R138" s="75">
        <f t="shared" si="29"/>
        <v>0</v>
      </c>
      <c r="S138" s="75">
        <f>IF($C138="",0,COUNTIFS(rl_key,$J138,rl_eff,"&lt;"&amp;$C138)+COUNTIFS($J$7:$J138,$J138,$C$7:$C138,$C138))</f>
        <v>0</v>
      </c>
      <c r="T138" s="75">
        <f>IF(OR($C138="",$E138&lt;&gt;"planned",$C138&lt;DATE(nr_PlanYear,1,1),$C138&gt;DATE(nr_PlanYear,12,31)),0,IF(AND(COUNTIFS(rl_key,$J138,rl_status,"planned",rl_eff,"&gt;="&amp;DATE(nr_PlanYear,1,1),rl_eff,"&lt;"&amp;$C138)=0,COUNTIFS($J$7:$J138,$J138,$E$7:$E138,"planned",$C$7:$C138,$C138)=1),1,0))</f>
        <v>0</v>
      </c>
      <c r="U138" s="75">
        <f>IF(OR($C138="",$E138&lt;&gt;"taken"),0,IF(AND(COUNTIFS(rl_key,$J138,rl_effmonth,$M138,rl_eff,"&lt;"&amp;$C138,rl_status,"taken")=0,COUNTIFS($J$7:$J138,$J138,$M$7:$M138,$M138,$C$7:$C138,$C138,$E$7:$E138,"taken")=1),1,0))</f>
        <v>0</v>
      </c>
      <c r="V138" s="66" t="str">
        <f t="shared" si="30"/>
        <v/>
      </c>
      <c r="W138" s="76" t="str">
        <f t="shared" si="31"/>
        <v/>
      </c>
      <c r="X138" s="77" t="str">
        <f>IF(OR($C138="",$J138&lt;&gt;nr_SelKey),"",(SUMPRODUCT(('Rate Engine'!$G$17:$G$64&gt;YEAR($C138)*12+MONTH($C138)-1)*'Rate Engine'!$H$17:$H$64,'Rate Engine'!$Q$17:$Q$64)+(EOMONTH($C138,0)-$C138+1)/DAY(EOMONTH($C138,0))*SUMPRODUCT(('Rate Engine'!$G$17:$G$64=YEAR($C138)*12+MONTH($C138)-1)*'Rate Engine'!$H$17:$H$64,'Rate Engine'!$Q$17:$Q$64))/SUMPRODUCT('Rate Engine'!$H$17:$H$64,'Rate Engine'!$Q$17:$Q$64))</f>
        <v/>
      </c>
      <c r="Y138" s="78" t="str">
        <f t="shared" si="32"/>
        <v/>
      </c>
    </row>
    <row r="139" spans="1:25" x14ac:dyDescent="0.3">
      <c r="A139" s="11"/>
      <c r="B139" s="11"/>
      <c r="C139" s="61"/>
      <c r="D139" s="29"/>
      <c r="E139" s="11"/>
      <c r="F139" s="11"/>
      <c r="G139" s="59"/>
      <c r="H139" s="71"/>
      <c r="J139" s="65" t="str">
        <f t="shared" si="22"/>
        <v/>
      </c>
      <c r="K139" s="72" t="str">
        <f t="shared" si="23"/>
        <v/>
      </c>
      <c r="L139" s="73">
        <f t="shared" si="24"/>
        <v>0</v>
      </c>
      <c r="M139" s="74" t="str">
        <f t="shared" si="25"/>
        <v/>
      </c>
      <c r="N139" s="75">
        <f t="shared" si="26"/>
        <v>0</v>
      </c>
      <c r="O139" s="75">
        <f t="shared" si="27"/>
        <v>0</v>
      </c>
      <c r="P139" s="75">
        <f>IF($C139="",0,COUNTIFS($J$7:$J139,$J139,$M$7:$M139,$M139,$C$7:$C139,$C139))</f>
        <v>0</v>
      </c>
      <c r="Q139" s="75">
        <f t="shared" si="28"/>
        <v>0</v>
      </c>
      <c r="R139" s="75">
        <f t="shared" si="29"/>
        <v>0</v>
      </c>
      <c r="S139" s="75">
        <f>IF($C139="",0,COUNTIFS(rl_key,$J139,rl_eff,"&lt;"&amp;$C139)+COUNTIFS($J$7:$J139,$J139,$C$7:$C139,$C139))</f>
        <v>0</v>
      </c>
      <c r="T139" s="75">
        <f>IF(OR($C139="",$E139&lt;&gt;"planned",$C139&lt;DATE(nr_PlanYear,1,1),$C139&gt;DATE(nr_PlanYear,12,31)),0,IF(AND(COUNTIFS(rl_key,$J139,rl_status,"planned",rl_eff,"&gt;="&amp;DATE(nr_PlanYear,1,1),rl_eff,"&lt;"&amp;$C139)=0,COUNTIFS($J$7:$J139,$J139,$E$7:$E139,"planned",$C$7:$C139,$C139)=1),1,0))</f>
        <v>0</v>
      </c>
      <c r="U139" s="75">
        <f>IF(OR($C139="",$E139&lt;&gt;"taken"),0,IF(AND(COUNTIFS(rl_key,$J139,rl_effmonth,$M139,rl_eff,"&lt;"&amp;$C139,rl_status,"taken")=0,COUNTIFS($J$7:$J139,$J139,$M$7:$M139,$M139,$C$7:$C139,$C139,$E$7:$E139,"taken")=1),1,0))</f>
        <v>0</v>
      </c>
      <c r="V139" s="66" t="str">
        <f t="shared" si="30"/>
        <v/>
      </c>
      <c r="W139" s="76" t="str">
        <f t="shared" si="31"/>
        <v/>
      </c>
      <c r="X139" s="77" t="str">
        <f>IF(OR($C139="",$J139&lt;&gt;nr_SelKey),"",(SUMPRODUCT(('Rate Engine'!$G$17:$G$64&gt;YEAR($C139)*12+MONTH($C139)-1)*'Rate Engine'!$H$17:$H$64,'Rate Engine'!$Q$17:$Q$64)+(EOMONTH($C139,0)-$C139+1)/DAY(EOMONTH($C139,0))*SUMPRODUCT(('Rate Engine'!$G$17:$G$64=YEAR($C139)*12+MONTH($C139)-1)*'Rate Engine'!$H$17:$H$64,'Rate Engine'!$Q$17:$Q$64))/SUMPRODUCT('Rate Engine'!$H$17:$H$64,'Rate Engine'!$Q$17:$Q$64))</f>
        <v/>
      </c>
      <c r="Y139" s="78" t="str">
        <f t="shared" si="32"/>
        <v/>
      </c>
    </row>
    <row r="140" spans="1:25" x14ac:dyDescent="0.3">
      <c r="A140" s="11"/>
      <c r="B140" s="11"/>
      <c r="C140" s="61"/>
      <c r="D140" s="29"/>
      <c r="E140" s="11"/>
      <c r="F140" s="11"/>
      <c r="G140" s="59"/>
      <c r="H140" s="71"/>
      <c r="J140" s="65" t="str">
        <f t="shared" si="22"/>
        <v/>
      </c>
      <c r="K140" s="72" t="str">
        <f t="shared" si="23"/>
        <v/>
      </c>
      <c r="L140" s="73">
        <f t="shared" si="24"/>
        <v>0</v>
      </c>
      <c r="M140" s="74" t="str">
        <f t="shared" si="25"/>
        <v/>
      </c>
      <c r="N140" s="75">
        <f t="shared" si="26"/>
        <v>0</v>
      </c>
      <c r="O140" s="75">
        <f t="shared" si="27"/>
        <v>0</v>
      </c>
      <c r="P140" s="75">
        <f>IF($C140="",0,COUNTIFS($J$7:$J140,$J140,$M$7:$M140,$M140,$C$7:$C140,$C140))</f>
        <v>0</v>
      </c>
      <c r="Q140" s="75">
        <f t="shared" si="28"/>
        <v>0</v>
      </c>
      <c r="R140" s="75">
        <f t="shared" si="29"/>
        <v>0</v>
      </c>
      <c r="S140" s="75">
        <f>IF($C140="",0,COUNTIFS(rl_key,$J140,rl_eff,"&lt;"&amp;$C140)+COUNTIFS($J$7:$J140,$J140,$C$7:$C140,$C140))</f>
        <v>0</v>
      </c>
      <c r="T140" s="75">
        <f>IF(OR($C140="",$E140&lt;&gt;"planned",$C140&lt;DATE(nr_PlanYear,1,1),$C140&gt;DATE(nr_PlanYear,12,31)),0,IF(AND(COUNTIFS(rl_key,$J140,rl_status,"planned",rl_eff,"&gt;="&amp;DATE(nr_PlanYear,1,1),rl_eff,"&lt;"&amp;$C140)=0,COUNTIFS($J$7:$J140,$J140,$E$7:$E140,"planned",$C$7:$C140,$C140)=1),1,0))</f>
        <v>0</v>
      </c>
      <c r="U140" s="75">
        <f>IF(OR($C140="",$E140&lt;&gt;"taken"),0,IF(AND(COUNTIFS(rl_key,$J140,rl_effmonth,$M140,rl_eff,"&lt;"&amp;$C140,rl_status,"taken")=0,COUNTIFS($J$7:$J140,$J140,$M$7:$M140,$M140,$C$7:$C140,$C140,$E$7:$E140,"taken")=1),1,0))</f>
        <v>0</v>
      </c>
      <c r="V140" s="66" t="str">
        <f t="shared" si="30"/>
        <v/>
      </c>
      <c r="W140" s="76" t="str">
        <f t="shared" si="31"/>
        <v/>
      </c>
      <c r="X140" s="77" t="str">
        <f>IF(OR($C140="",$J140&lt;&gt;nr_SelKey),"",(SUMPRODUCT(('Rate Engine'!$G$17:$G$64&gt;YEAR($C140)*12+MONTH($C140)-1)*'Rate Engine'!$H$17:$H$64,'Rate Engine'!$Q$17:$Q$64)+(EOMONTH($C140,0)-$C140+1)/DAY(EOMONTH($C140,0))*SUMPRODUCT(('Rate Engine'!$G$17:$G$64=YEAR($C140)*12+MONTH($C140)-1)*'Rate Engine'!$H$17:$H$64,'Rate Engine'!$Q$17:$Q$64))/SUMPRODUCT('Rate Engine'!$H$17:$H$64,'Rate Engine'!$Q$17:$Q$64))</f>
        <v/>
      </c>
      <c r="Y140" s="78" t="str">
        <f t="shared" si="32"/>
        <v/>
      </c>
    </row>
    <row r="141" spans="1:25" x14ac:dyDescent="0.3">
      <c r="A141" s="11"/>
      <c r="B141" s="11"/>
      <c r="C141" s="61"/>
      <c r="D141" s="29"/>
      <c r="E141" s="11"/>
      <c r="F141" s="11"/>
      <c r="G141" s="59"/>
      <c r="H141" s="71"/>
      <c r="J141" s="65" t="str">
        <f t="shared" si="22"/>
        <v/>
      </c>
      <c r="K141" s="72" t="str">
        <f t="shared" si="23"/>
        <v/>
      </c>
      <c r="L141" s="73">
        <f t="shared" si="24"/>
        <v>0</v>
      </c>
      <c r="M141" s="74" t="str">
        <f t="shared" si="25"/>
        <v/>
      </c>
      <c r="N141" s="75">
        <f t="shared" si="26"/>
        <v>0</v>
      </c>
      <c r="O141" s="75">
        <f t="shared" si="27"/>
        <v>0</v>
      </c>
      <c r="P141" s="75">
        <f>IF($C141="",0,COUNTIFS($J$7:$J141,$J141,$M$7:$M141,$M141,$C$7:$C141,$C141))</f>
        <v>0</v>
      </c>
      <c r="Q141" s="75">
        <f t="shared" si="28"/>
        <v>0</v>
      </c>
      <c r="R141" s="75">
        <f t="shared" si="29"/>
        <v>0</v>
      </c>
      <c r="S141" s="75">
        <f>IF($C141="",0,COUNTIFS(rl_key,$J141,rl_eff,"&lt;"&amp;$C141)+COUNTIFS($J$7:$J141,$J141,$C$7:$C141,$C141))</f>
        <v>0</v>
      </c>
      <c r="T141" s="75">
        <f>IF(OR($C141="",$E141&lt;&gt;"planned",$C141&lt;DATE(nr_PlanYear,1,1),$C141&gt;DATE(nr_PlanYear,12,31)),0,IF(AND(COUNTIFS(rl_key,$J141,rl_status,"planned",rl_eff,"&gt;="&amp;DATE(nr_PlanYear,1,1),rl_eff,"&lt;"&amp;$C141)=0,COUNTIFS($J$7:$J141,$J141,$E$7:$E141,"planned",$C$7:$C141,$C141)=1),1,0))</f>
        <v>0</v>
      </c>
      <c r="U141" s="75">
        <f>IF(OR($C141="",$E141&lt;&gt;"taken"),0,IF(AND(COUNTIFS(rl_key,$J141,rl_effmonth,$M141,rl_eff,"&lt;"&amp;$C141,rl_status,"taken")=0,COUNTIFS($J$7:$J141,$J141,$M$7:$M141,$M141,$C$7:$C141,$C141,$E$7:$E141,"taken")=1),1,0))</f>
        <v>0</v>
      </c>
      <c r="V141" s="66" t="str">
        <f t="shared" si="30"/>
        <v/>
      </c>
      <c r="W141" s="76" t="str">
        <f t="shared" si="31"/>
        <v/>
      </c>
      <c r="X141" s="77" t="str">
        <f>IF(OR($C141="",$J141&lt;&gt;nr_SelKey),"",(SUMPRODUCT(('Rate Engine'!$G$17:$G$64&gt;YEAR($C141)*12+MONTH($C141)-1)*'Rate Engine'!$H$17:$H$64,'Rate Engine'!$Q$17:$Q$64)+(EOMONTH($C141,0)-$C141+1)/DAY(EOMONTH($C141,0))*SUMPRODUCT(('Rate Engine'!$G$17:$G$64=YEAR($C141)*12+MONTH($C141)-1)*'Rate Engine'!$H$17:$H$64,'Rate Engine'!$Q$17:$Q$64))/SUMPRODUCT('Rate Engine'!$H$17:$H$64,'Rate Engine'!$Q$17:$Q$64))</f>
        <v/>
      </c>
      <c r="Y141" s="78" t="str">
        <f t="shared" si="32"/>
        <v/>
      </c>
    </row>
    <row r="142" spans="1:25" x14ac:dyDescent="0.3">
      <c r="A142" s="11"/>
      <c r="B142" s="11"/>
      <c r="C142" s="61"/>
      <c r="D142" s="29"/>
      <c r="E142" s="11"/>
      <c r="F142" s="11"/>
      <c r="G142" s="59"/>
      <c r="H142" s="71"/>
      <c r="J142" s="65" t="str">
        <f t="shared" si="22"/>
        <v/>
      </c>
      <c r="K142" s="72" t="str">
        <f t="shared" si="23"/>
        <v/>
      </c>
      <c r="L142" s="73">
        <f t="shared" si="24"/>
        <v>0</v>
      </c>
      <c r="M142" s="74" t="str">
        <f t="shared" si="25"/>
        <v/>
      </c>
      <c r="N142" s="75">
        <f t="shared" si="26"/>
        <v>0</v>
      </c>
      <c r="O142" s="75">
        <f t="shared" si="27"/>
        <v>0</v>
      </c>
      <c r="P142" s="75">
        <f>IF($C142="",0,COUNTIFS($J$7:$J142,$J142,$M$7:$M142,$M142,$C$7:$C142,$C142))</f>
        <v>0</v>
      </c>
      <c r="Q142" s="75">
        <f t="shared" si="28"/>
        <v>0</v>
      </c>
      <c r="R142" s="75">
        <f t="shared" si="29"/>
        <v>0</v>
      </c>
      <c r="S142" s="75">
        <f>IF($C142="",0,COUNTIFS(rl_key,$J142,rl_eff,"&lt;"&amp;$C142)+COUNTIFS($J$7:$J142,$J142,$C$7:$C142,$C142))</f>
        <v>0</v>
      </c>
      <c r="T142" s="75">
        <f>IF(OR($C142="",$E142&lt;&gt;"planned",$C142&lt;DATE(nr_PlanYear,1,1),$C142&gt;DATE(nr_PlanYear,12,31)),0,IF(AND(COUNTIFS(rl_key,$J142,rl_status,"planned",rl_eff,"&gt;="&amp;DATE(nr_PlanYear,1,1),rl_eff,"&lt;"&amp;$C142)=0,COUNTIFS($J$7:$J142,$J142,$E$7:$E142,"planned",$C$7:$C142,$C142)=1),1,0))</f>
        <v>0</v>
      </c>
      <c r="U142" s="75">
        <f>IF(OR($C142="",$E142&lt;&gt;"taken"),0,IF(AND(COUNTIFS(rl_key,$J142,rl_effmonth,$M142,rl_eff,"&lt;"&amp;$C142,rl_status,"taken")=0,COUNTIFS($J$7:$J142,$J142,$M$7:$M142,$M142,$C$7:$C142,$C142,$E$7:$E142,"taken")=1),1,0))</f>
        <v>0</v>
      </c>
      <c r="V142" s="66" t="str">
        <f t="shared" si="30"/>
        <v/>
      </c>
      <c r="W142" s="76" t="str">
        <f t="shared" si="31"/>
        <v/>
      </c>
      <c r="X142" s="77" t="str">
        <f>IF(OR($C142="",$J142&lt;&gt;nr_SelKey),"",(SUMPRODUCT(('Rate Engine'!$G$17:$G$64&gt;YEAR($C142)*12+MONTH($C142)-1)*'Rate Engine'!$H$17:$H$64,'Rate Engine'!$Q$17:$Q$64)+(EOMONTH($C142,0)-$C142+1)/DAY(EOMONTH($C142,0))*SUMPRODUCT(('Rate Engine'!$G$17:$G$64=YEAR($C142)*12+MONTH($C142)-1)*'Rate Engine'!$H$17:$H$64,'Rate Engine'!$Q$17:$Q$64))/SUMPRODUCT('Rate Engine'!$H$17:$H$64,'Rate Engine'!$Q$17:$Q$64))</f>
        <v/>
      </c>
      <c r="Y142" s="78" t="str">
        <f t="shared" si="32"/>
        <v/>
      </c>
    </row>
    <row r="143" spans="1:25" x14ac:dyDescent="0.3">
      <c r="A143" s="11"/>
      <c r="B143" s="11"/>
      <c r="C143" s="61"/>
      <c r="D143" s="29"/>
      <c r="E143" s="11"/>
      <c r="F143" s="11"/>
      <c r="G143" s="59"/>
      <c r="H143" s="71"/>
      <c r="J143" s="65" t="str">
        <f t="shared" si="22"/>
        <v/>
      </c>
      <c r="K143" s="72" t="str">
        <f t="shared" si="23"/>
        <v/>
      </c>
      <c r="L143" s="73">
        <f t="shared" si="24"/>
        <v>0</v>
      </c>
      <c r="M143" s="74" t="str">
        <f t="shared" si="25"/>
        <v/>
      </c>
      <c r="N143" s="75">
        <f t="shared" si="26"/>
        <v>0</v>
      </c>
      <c r="O143" s="75">
        <f t="shared" si="27"/>
        <v>0</v>
      </c>
      <c r="P143" s="75">
        <f>IF($C143="",0,COUNTIFS($J$7:$J143,$J143,$M$7:$M143,$M143,$C$7:$C143,$C143))</f>
        <v>0</v>
      </c>
      <c r="Q143" s="75">
        <f t="shared" si="28"/>
        <v>0</v>
      </c>
      <c r="R143" s="75">
        <f t="shared" si="29"/>
        <v>0</v>
      </c>
      <c r="S143" s="75">
        <f>IF($C143="",0,COUNTIFS(rl_key,$J143,rl_eff,"&lt;"&amp;$C143)+COUNTIFS($J$7:$J143,$J143,$C$7:$C143,$C143))</f>
        <v>0</v>
      </c>
      <c r="T143" s="75">
        <f>IF(OR($C143="",$E143&lt;&gt;"planned",$C143&lt;DATE(nr_PlanYear,1,1),$C143&gt;DATE(nr_PlanYear,12,31)),0,IF(AND(COUNTIFS(rl_key,$J143,rl_status,"planned",rl_eff,"&gt;="&amp;DATE(nr_PlanYear,1,1),rl_eff,"&lt;"&amp;$C143)=0,COUNTIFS($J$7:$J143,$J143,$E$7:$E143,"planned",$C$7:$C143,$C143)=1),1,0))</f>
        <v>0</v>
      </c>
      <c r="U143" s="75">
        <f>IF(OR($C143="",$E143&lt;&gt;"taken"),0,IF(AND(COUNTIFS(rl_key,$J143,rl_effmonth,$M143,rl_eff,"&lt;"&amp;$C143,rl_status,"taken")=0,COUNTIFS($J$7:$J143,$J143,$M$7:$M143,$M143,$C$7:$C143,$C143,$E$7:$E143,"taken")=1),1,0))</f>
        <v>0</v>
      </c>
      <c r="V143" s="66" t="str">
        <f t="shared" si="30"/>
        <v/>
      </c>
      <c r="W143" s="76" t="str">
        <f t="shared" si="31"/>
        <v/>
      </c>
      <c r="X143" s="77" t="str">
        <f>IF(OR($C143="",$J143&lt;&gt;nr_SelKey),"",(SUMPRODUCT(('Rate Engine'!$G$17:$G$64&gt;YEAR($C143)*12+MONTH($C143)-1)*'Rate Engine'!$H$17:$H$64,'Rate Engine'!$Q$17:$Q$64)+(EOMONTH($C143,0)-$C143+1)/DAY(EOMONTH($C143,0))*SUMPRODUCT(('Rate Engine'!$G$17:$G$64=YEAR($C143)*12+MONTH($C143)-1)*'Rate Engine'!$H$17:$H$64,'Rate Engine'!$Q$17:$Q$64))/SUMPRODUCT('Rate Engine'!$H$17:$H$64,'Rate Engine'!$Q$17:$Q$64))</f>
        <v/>
      </c>
      <c r="Y143" s="78" t="str">
        <f t="shared" si="32"/>
        <v/>
      </c>
    </row>
    <row r="144" spans="1:25" x14ac:dyDescent="0.3">
      <c r="A144" s="11"/>
      <c r="B144" s="11"/>
      <c r="C144" s="61"/>
      <c r="D144" s="29"/>
      <c r="E144" s="11"/>
      <c r="F144" s="11"/>
      <c r="G144" s="59"/>
      <c r="H144" s="71"/>
      <c r="J144" s="65" t="str">
        <f t="shared" si="22"/>
        <v/>
      </c>
      <c r="K144" s="72" t="str">
        <f t="shared" si="23"/>
        <v/>
      </c>
      <c r="L144" s="73">
        <f t="shared" si="24"/>
        <v>0</v>
      </c>
      <c r="M144" s="74" t="str">
        <f t="shared" si="25"/>
        <v/>
      </c>
      <c r="N144" s="75">
        <f t="shared" si="26"/>
        <v>0</v>
      </c>
      <c r="O144" s="75">
        <f t="shared" si="27"/>
        <v>0</v>
      </c>
      <c r="P144" s="75">
        <f>IF($C144="",0,COUNTIFS($J$7:$J144,$J144,$M$7:$M144,$M144,$C$7:$C144,$C144))</f>
        <v>0</v>
      </c>
      <c r="Q144" s="75">
        <f t="shared" si="28"/>
        <v>0</v>
      </c>
      <c r="R144" s="75">
        <f t="shared" si="29"/>
        <v>0</v>
      </c>
      <c r="S144" s="75">
        <f>IF($C144="",0,COUNTIFS(rl_key,$J144,rl_eff,"&lt;"&amp;$C144)+COUNTIFS($J$7:$J144,$J144,$C$7:$C144,$C144))</f>
        <v>0</v>
      </c>
      <c r="T144" s="75">
        <f>IF(OR($C144="",$E144&lt;&gt;"planned",$C144&lt;DATE(nr_PlanYear,1,1),$C144&gt;DATE(nr_PlanYear,12,31)),0,IF(AND(COUNTIFS(rl_key,$J144,rl_status,"planned",rl_eff,"&gt;="&amp;DATE(nr_PlanYear,1,1),rl_eff,"&lt;"&amp;$C144)=0,COUNTIFS($J$7:$J144,$J144,$E$7:$E144,"planned",$C$7:$C144,$C144)=1),1,0))</f>
        <v>0</v>
      </c>
      <c r="U144" s="75">
        <f>IF(OR($C144="",$E144&lt;&gt;"taken"),0,IF(AND(COUNTIFS(rl_key,$J144,rl_effmonth,$M144,rl_eff,"&lt;"&amp;$C144,rl_status,"taken")=0,COUNTIFS($J$7:$J144,$J144,$M$7:$M144,$M144,$C$7:$C144,$C144,$E$7:$E144,"taken")=1),1,0))</f>
        <v>0</v>
      </c>
      <c r="V144" s="66" t="str">
        <f t="shared" si="30"/>
        <v/>
      </c>
      <c r="W144" s="76" t="str">
        <f t="shared" si="31"/>
        <v/>
      </c>
      <c r="X144" s="77" t="str">
        <f>IF(OR($C144="",$J144&lt;&gt;nr_SelKey),"",(SUMPRODUCT(('Rate Engine'!$G$17:$G$64&gt;YEAR($C144)*12+MONTH($C144)-1)*'Rate Engine'!$H$17:$H$64,'Rate Engine'!$Q$17:$Q$64)+(EOMONTH($C144,0)-$C144+1)/DAY(EOMONTH($C144,0))*SUMPRODUCT(('Rate Engine'!$G$17:$G$64=YEAR($C144)*12+MONTH($C144)-1)*'Rate Engine'!$H$17:$H$64,'Rate Engine'!$Q$17:$Q$64))/SUMPRODUCT('Rate Engine'!$H$17:$H$64,'Rate Engine'!$Q$17:$Q$64))</f>
        <v/>
      </c>
      <c r="Y144" s="78" t="str">
        <f t="shared" si="32"/>
        <v/>
      </c>
    </row>
    <row r="145" spans="1:25" x14ac:dyDescent="0.3">
      <c r="A145" s="11"/>
      <c r="B145" s="11"/>
      <c r="C145" s="61"/>
      <c r="D145" s="29"/>
      <c r="E145" s="11"/>
      <c r="F145" s="11"/>
      <c r="G145" s="59"/>
      <c r="H145" s="71"/>
      <c r="J145" s="65" t="str">
        <f t="shared" si="22"/>
        <v/>
      </c>
      <c r="K145" s="72" t="str">
        <f t="shared" si="23"/>
        <v/>
      </c>
      <c r="L145" s="73">
        <f t="shared" si="24"/>
        <v>0</v>
      </c>
      <c r="M145" s="74" t="str">
        <f t="shared" si="25"/>
        <v/>
      </c>
      <c r="N145" s="75">
        <f t="shared" si="26"/>
        <v>0</v>
      </c>
      <c r="O145" s="75">
        <f t="shared" si="27"/>
        <v>0</v>
      </c>
      <c r="P145" s="75">
        <f>IF($C145="",0,COUNTIFS($J$7:$J145,$J145,$M$7:$M145,$M145,$C$7:$C145,$C145))</f>
        <v>0</v>
      </c>
      <c r="Q145" s="75">
        <f t="shared" si="28"/>
        <v>0</v>
      </c>
      <c r="R145" s="75">
        <f t="shared" si="29"/>
        <v>0</v>
      </c>
      <c r="S145" s="75">
        <f>IF($C145="",0,COUNTIFS(rl_key,$J145,rl_eff,"&lt;"&amp;$C145)+COUNTIFS($J$7:$J145,$J145,$C$7:$C145,$C145))</f>
        <v>0</v>
      </c>
      <c r="T145" s="75">
        <f>IF(OR($C145="",$E145&lt;&gt;"planned",$C145&lt;DATE(nr_PlanYear,1,1),$C145&gt;DATE(nr_PlanYear,12,31)),0,IF(AND(COUNTIFS(rl_key,$J145,rl_status,"planned",rl_eff,"&gt;="&amp;DATE(nr_PlanYear,1,1),rl_eff,"&lt;"&amp;$C145)=0,COUNTIFS($J$7:$J145,$J145,$E$7:$E145,"planned",$C$7:$C145,$C145)=1),1,0))</f>
        <v>0</v>
      </c>
      <c r="U145" s="75">
        <f>IF(OR($C145="",$E145&lt;&gt;"taken"),0,IF(AND(COUNTIFS(rl_key,$J145,rl_effmonth,$M145,rl_eff,"&lt;"&amp;$C145,rl_status,"taken")=0,COUNTIFS($J$7:$J145,$J145,$M$7:$M145,$M145,$C$7:$C145,$C145,$E$7:$E145,"taken")=1),1,0))</f>
        <v>0</v>
      </c>
      <c r="V145" s="66" t="str">
        <f t="shared" si="30"/>
        <v/>
      </c>
      <c r="W145" s="76" t="str">
        <f t="shared" si="31"/>
        <v/>
      </c>
      <c r="X145" s="77" t="str">
        <f>IF(OR($C145="",$J145&lt;&gt;nr_SelKey),"",(SUMPRODUCT(('Rate Engine'!$G$17:$G$64&gt;YEAR($C145)*12+MONTH($C145)-1)*'Rate Engine'!$H$17:$H$64,'Rate Engine'!$Q$17:$Q$64)+(EOMONTH($C145,0)-$C145+1)/DAY(EOMONTH($C145,0))*SUMPRODUCT(('Rate Engine'!$G$17:$G$64=YEAR($C145)*12+MONTH($C145)-1)*'Rate Engine'!$H$17:$H$64,'Rate Engine'!$Q$17:$Q$64))/SUMPRODUCT('Rate Engine'!$H$17:$H$64,'Rate Engine'!$Q$17:$Q$64))</f>
        <v/>
      </c>
      <c r="Y145" s="78" t="str">
        <f t="shared" si="32"/>
        <v/>
      </c>
    </row>
    <row r="146" spans="1:25" x14ac:dyDescent="0.3">
      <c r="A146" s="11"/>
      <c r="B146" s="11"/>
      <c r="C146" s="61"/>
      <c r="D146" s="29"/>
      <c r="E146" s="11"/>
      <c r="F146" s="11"/>
      <c r="G146" s="59"/>
      <c r="H146" s="71"/>
      <c r="J146" s="65" t="str">
        <f t="shared" si="22"/>
        <v/>
      </c>
      <c r="K146" s="72" t="str">
        <f t="shared" si="23"/>
        <v/>
      </c>
      <c r="L146" s="73">
        <f t="shared" si="24"/>
        <v>0</v>
      </c>
      <c r="M146" s="74" t="str">
        <f t="shared" si="25"/>
        <v/>
      </c>
      <c r="N146" s="75">
        <f t="shared" si="26"/>
        <v>0</v>
      </c>
      <c r="O146" s="75">
        <f t="shared" si="27"/>
        <v>0</v>
      </c>
      <c r="P146" s="75">
        <f>IF($C146="",0,COUNTIFS($J$7:$J146,$J146,$M$7:$M146,$M146,$C$7:$C146,$C146))</f>
        <v>0</v>
      </c>
      <c r="Q146" s="75">
        <f t="shared" si="28"/>
        <v>0</v>
      </c>
      <c r="R146" s="75">
        <f t="shared" si="29"/>
        <v>0</v>
      </c>
      <c r="S146" s="75">
        <f>IF($C146="",0,COUNTIFS(rl_key,$J146,rl_eff,"&lt;"&amp;$C146)+COUNTIFS($J$7:$J146,$J146,$C$7:$C146,$C146))</f>
        <v>0</v>
      </c>
      <c r="T146" s="75">
        <f>IF(OR($C146="",$E146&lt;&gt;"planned",$C146&lt;DATE(nr_PlanYear,1,1),$C146&gt;DATE(nr_PlanYear,12,31)),0,IF(AND(COUNTIFS(rl_key,$J146,rl_status,"planned",rl_eff,"&gt;="&amp;DATE(nr_PlanYear,1,1),rl_eff,"&lt;"&amp;$C146)=0,COUNTIFS($J$7:$J146,$J146,$E$7:$E146,"planned",$C$7:$C146,$C146)=1),1,0))</f>
        <v>0</v>
      </c>
      <c r="U146" s="75">
        <f>IF(OR($C146="",$E146&lt;&gt;"taken"),0,IF(AND(COUNTIFS(rl_key,$J146,rl_effmonth,$M146,rl_eff,"&lt;"&amp;$C146,rl_status,"taken")=0,COUNTIFS($J$7:$J146,$J146,$M$7:$M146,$M146,$C$7:$C146,$C146,$E$7:$E146,"taken")=1),1,0))</f>
        <v>0</v>
      </c>
      <c r="V146" s="66" t="str">
        <f t="shared" si="30"/>
        <v/>
      </c>
      <c r="W146" s="76" t="str">
        <f t="shared" si="31"/>
        <v/>
      </c>
      <c r="X146" s="77" t="str">
        <f>IF(OR($C146="",$J146&lt;&gt;nr_SelKey),"",(SUMPRODUCT(('Rate Engine'!$G$17:$G$64&gt;YEAR($C146)*12+MONTH($C146)-1)*'Rate Engine'!$H$17:$H$64,'Rate Engine'!$Q$17:$Q$64)+(EOMONTH($C146,0)-$C146+1)/DAY(EOMONTH($C146,0))*SUMPRODUCT(('Rate Engine'!$G$17:$G$64=YEAR($C146)*12+MONTH($C146)-1)*'Rate Engine'!$H$17:$H$64,'Rate Engine'!$Q$17:$Q$64))/SUMPRODUCT('Rate Engine'!$H$17:$H$64,'Rate Engine'!$Q$17:$Q$64))</f>
        <v/>
      </c>
      <c r="Y146" s="78" t="str">
        <f t="shared" si="32"/>
        <v/>
      </c>
    </row>
    <row r="147" spans="1:25" x14ac:dyDescent="0.3">
      <c r="A147" s="11"/>
      <c r="B147" s="11"/>
      <c r="C147" s="61"/>
      <c r="D147" s="29"/>
      <c r="E147" s="11"/>
      <c r="F147" s="11"/>
      <c r="G147" s="59"/>
      <c r="H147" s="71"/>
      <c r="J147" s="65" t="str">
        <f t="shared" si="22"/>
        <v/>
      </c>
      <c r="K147" s="72" t="str">
        <f t="shared" si="23"/>
        <v/>
      </c>
      <c r="L147" s="73">
        <f t="shared" si="24"/>
        <v>0</v>
      </c>
      <c r="M147" s="74" t="str">
        <f t="shared" si="25"/>
        <v/>
      </c>
      <c r="N147" s="75">
        <f t="shared" si="26"/>
        <v>0</v>
      </c>
      <c r="O147" s="75">
        <f t="shared" si="27"/>
        <v>0</v>
      </c>
      <c r="P147" s="75">
        <f>IF($C147="",0,COUNTIFS($J$7:$J147,$J147,$M$7:$M147,$M147,$C$7:$C147,$C147))</f>
        <v>0</v>
      </c>
      <c r="Q147" s="75">
        <f t="shared" si="28"/>
        <v>0</v>
      </c>
      <c r="R147" s="75">
        <f t="shared" si="29"/>
        <v>0</v>
      </c>
      <c r="S147" s="75">
        <f>IF($C147="",0,COUNTIFS(rl_key,$J147,rl_eff,"&lt;"&amp;$C147)+COUNTIFS($J$7:$J147,$J147,$C$7:$C147,$C147))</f>
        <v>0</v>
      </c>
      <c r="T147" s="75">
        <f>IF(OR($C147="",$E147&lt;&gt;"planned",$C147&lt;DATE(nr_PlanYear,1,1),$C147&gt;DATE(nr_PlanYear,12,31)),0,IF(AND(COUNTIFS(rl_key,$J147,rl_status,"planned",rl_eff,"&gt;="&amp;DATE(nr_PlanYear,1,1),rl_eff,"&lt;"&amp;$C147)=0,COUNTIFS($J$7:$J147,$J147,$E$7:$E147,"planned",$C$7:$C147,$C147)=1),1,0))</f>
        <v>0</v>
      </c>
      <c r="U147" s="75">
        <f>IF(OR($C147="",$E147&lt;&gt;"taken"),0,IF(AND(COUNTIFS(rl_key,$J147,rl_effmonth,$M147,rl_eff,"&lt;"&amp;$C147,rl_status,"taken")=0,COUNTIFS($J$7:$J147,$J147,$M$7:$M147,$M147,$C$7:$C147,$C147,$E$7:$E147,"taken")=1),1,0))</f>
        <v>0</v>
      </c>
      <c r="V147" s="66" t="str">
        <f t="shared" si="30"/>
        <v/>
      </c>
      <c r="W147" s="76" t="str">
        <f t="shared" si="31"/>
        <v/>
      </c>
      <c r="X147" s="77" t="str">
        <f>IF(OR($C147="",$J147&lt;&gt;nr_SelKey),"",(SUMPRODUCT(('Rate Engine'!$G$17:$G$64&gt;YEAR($C147)*12+MONTH($C147)-1)*'Rate Engine'!$H$17:$H$64,'Rate Engine'!$Q$17:$Q$64)+(EOMONTH($C147,0)-$C147+1)/DAY(EOMONTH($C147,0))*SUMPRODUCT(('Rate Engine'!$G$17:$G$64=YEAR($C147)*12+MONTH($C147)-1)*'Rate Engine'!$H$17:$H$64,'Rate Engine'!$Q$17:$Q$64))/SUMPRODUCT('Rate Engine'!$H$17:$H$64,'Rate Engine'!$Q$17:$Q$64))</f>
        <v/>
      </c>
      <c r="Y147" s="78" t="str">
        <f t="shared" si="32"/>
        <v/>
      </c>
    </row>
    <row r="148" spans="1:25" x14ac:dyDescent="0.3">
      <c r="A148" s="11"/>
      <c r="B148" s="11"/>
      <c r="C148" s="61"/>
      <c r="D148" s="29"/>
      <c r="E148" s="11"/>
      <c r="F148" s="11"/>
      <c r="G148" s="59"/>
      <c r="H148" s="71"/>
      <c r="J148" s="65" t="str">
        <f t="shared" si="22"/>
        <v/>
      </c>
      <c r="K148" s="72" t="str">
        <f t="shared" si="23"/>
        <v/>
      </c>
      <c r="L148" s="73">
        <f t="shared" si="24"/>
        <v>0</v>
      </c>
      <c r="M148" s="74" t="str">
        <f t="shared" si="25"/>
        <v/>
      </c>
      <c r="N148" s="75">
        <f t="shared" si="26"/>
        <v>0</v>
      </c>
      <c r="O148" s="75">
        <f t="shared" si="27"/>
        <v>0</v>
      </c>
      <c r="P148" s="75">
        <f>IF($C148="",0,COUNTIFS($J$7:$J148,$J148,$M$7:$M148,$M148,$C$7:$C148,$C148))</f>
        <v>0</v>
      </c>
      <c r="Q148" s="75">
        <f t="shared" si="28"/>
        <v>0</v>
      </c>
      <c r="R148" s="75">
        <f t="shared" si="29"/>
        <v>0</v>
      </c>
      <c r="S148" s="75">
        <f>IF($C148="",0,COUNTIFS(rl_key,$J148,rl_eff,"&lt;"&amp;$C148)+COUNTIFS($J$7:$J148,$J148,$C$7:$C148,$C148))</f>
        <v>0</v>
      </c>
      <c r="T148" s="75">
        <f>IF(OR($C148="",$E148&lt;&gt;"planned",$C148&lt;DATE(nr_PlanYear,1,1),$C148&gt;DATE(nr_PlanYear,12,31)),0,IF(AND(COUNTIFS(rl_key,$J148,rl_status,"planned",rl_eff,"&gt;="&amp;DATE(nr_PlanYear,1,1),rl_eff,"&lt;"&amp;$C148)=0,COUNTIFS($J$7:$J148,$J148,$E$7:$E148,"planned",$C$7:$C148,$C148)=1),1,0))</f>
        <v>0</v>
      </c>
      <c r="U148" s="75">
        <f>IF(OR($C148="",$E148&lt;&gt;"taken"),0,IF(AND(COUNTIFS(rl_key,$J148,rl_effmonth,$M148,rl_eff,"&lt;"&amp;$C148,rl_status,"taken")=0,COUNTIFS($J$7:$J148,$J148,$M$7:$M148,$M148,$C$7:$C148,$C148,$E$7:$E148,"taken")=1),1,0))</f>
        <v>0</v>
      </c>
      <c r="V148" s="66" t="str">
        <f t="shared" si="30"/>
        <v/>
      </c>
      <c r="W148" s="76" t="str">
        <f t="shared" si="31"/>
        <v/>
      </c>
      <c r="X148" s="77" t="str">
        <f>IF(OR($C148="",$J148&lt;&gt;nr_SelKey),"",(SUMPRODUCT(('Rate Engine'!$G$17:$G$64&gt;YEAR($C148)*12+MONTH($C148)-1)*'Rate Engine'!$H$17:$H$64,'Rate Engine'!$Q$17:$Q$64)+(EOMONTH($C148,0)-$C148+1)/DAY(EOMONTH($C148,0))*SUMPRODUCT(('Rate Engine'!$G$17:$G$64=YEAR($C148)*12+MONTH($C148)-1)*'Rate Engine'!$H$17:$H$64,'Rate Engine'!$Q$17:$Q$64))/SUMPRODUCT('Rate Engine'!$H$17:$H$64,'Rate Engine'!$Q$17:$Q$64))</f>
        <v/>
      </c>
      <c r="Y148" s="78" t="str">
        <f t="shared" si="32"/>
        <v/>
      </c>
    </row>
    <row r="149" spans="1:25" x14ac:dyDescent="0.3">
      <c r="A149" s="11"/>
      <c r="B149" s="11"/>
      <c r="C149" s="61"/>
      <c r="D149" s="29"/>
      <c r="E149" s="11"/>
      <c r="F149" s="11"/>
      <c r="G149" s="59"/>
      <c r="H149" s="71"/>
      <c r="J149" s="65" t="str">
        <f t="shared" si="22"/>
        <v/>
      </c>
      <c r="K149" s="72" t="str">
        <f t="shared" si="23"/>
        <v/>
      </c>
      <c r="L149" s="73">
        <f t="shared" si="24"/>
        <v>0</v>
      </c>
      <c r="M149" s="74" t="str">
        <f t="shared" si="25"/>
        <v/>
      </c>
      <c r="N149" s="75">
        <f t="shared" si="26"/>
        <v>0</v>
      </c>
      <c r="O149" s="75">
        <f t="shared" si="27"/>
        <v>0</v>
      </c>
      <c r="P149" s="75">
        <f>IF($C149="",0,COUNTIFS($J$7:$J149,$J149,$M$7:$M149,$M149,$C$7:$C149,$C149))</f>
        <v>0</v>
      </c>
      <c r="Q149" s="75">
        <f t="shared" si="28"/>
        <v>0</v>
      </c>
      <c r="R149" s="75">
        <f t="shared" si="29"/>
        <v>0</v>
      </c>
      <c r="S149" s="75">
        <f>IF($C149="",0,COUNTIFS(rl_key,$J149,rl_eff,"&lt;"&amp;$C149)+COUNTIFS($J$7:$J149,$J149,$C$7:$C149,$C149))</f>
        <v>0</v>
      </c>
      <c r="T149" s="75">
        <f>IF(OR($C149="",$E149&lt;&gt;"planned",$C149&lt;DATE(nr_PlanYear,1,1),$C149&gt;DATE(nr_PlanYear,12,31)),0,IF(AND(COUNTIFS(rl_key,$J149,rl_status,"planned",rl_eff,"&gt;="&amp;DATE(nr_PlanYear,1,1),rl_eff,"&lt;"&amp;$C149)=0,COUNTIFS($J$7:$J149,$J149,$E$7:$E149,"planned",$C$7:$C149,$C149)=1),1,0))</f>
        <v>0</v>
      </c>
      <c r="U149" s="75">
        <f>IF(OR($C149="",$E149&lt;&gt;"taken"),0,IF(AND(COUNTIFS(rl_key,$J149,rl_effmonth,$M149,rl_eff,"&lt;"&amp;$C149,rl_status,"taken")=0,COUNTIFS($J$7:$J149,$J149,$M$7:$M149,$M149,$C$7:$C149,$C149,$E$7:$E149,"taken")=1),1,0))</f>
        <v>0</v>
      </c>
      <c r="V149" s="66" t="str">
        <f t="shared" si="30"/>
        <v/>
      </c>
      <c r="W149" s="76" t="str">
        <f t="shared" si="31"/>
        <v/>
      </c>
      <c r="X149" s="77" t="str">
        <f>IF(OR($C149="",$J149&lt;&gt;nr_SelKey),"",(SUMPRODUCT(('Rate Engine'!$G$17:$G$64&gt;YEAR($C149)*12+MONTH($C149)-1)*'Rate Engine'!$H$17:$H$64,'Rate Engine'!$Q$17:$Q$64)+(EOMONTH($C149,0)-$C149+1)/DAY(EOMONTH($C149,0))*SUMPRODUCT(('Rate Engine'!$G$17:$G$64=YEAR($C149)*12+MONTH($C149)-1)*'Rate Engine'!$H$17:$H$64,'Rate Engine'!$Q$17:$Q$64))/SUMPRODUCT('Rate Engine'!$H$17:$H$64,'Rate Engine'!$Q$17:$Q$64))</f>
        <v/>
      </c>
      <c r="Y149" s="78" t="str">
        <f t="shared" si="32"/>
        <v/>
      </c>
    </row>
    <row r="150" spans="1:25" x14ac:dyDescent="0.3">
      <c r="A150" s="11"/>
      <c r="B150" s="11"/>
      <c r="C150" s="61"/>
      <c r="D150" s="29"/>
      <c r="E150" s="11"/>
      <c r="F150" s="11"/>
      <c r="G150" s="59"/>
      <c r="H150" s="71"/>
      <c r="J150" s="65" t="str">
        <f t="shared" si="22"/>
        <v/>
      </c>
      <c r="K150" s="72" t="str">
        <f t="shared" si="23"/>
        <v/>
      </c>
      <c r="L150" s="73">
        <f t="shared" si="24"/>
        <v>0</v>
      </c>
      <c r="M150" s="74" t="str">
        <f t="shared" si="25"/>
        <v/>
      </c>
      <c r="N150" s="75">
        <f t="shared" si="26"/>
        <v>0</v>
      </c>
      <c r="O150" s="75">
        <f t="shared" si="27"/>
        <v>0</v>
      </c>
      <c r="P150" s="75">
        <f>IF($C150="",0,COUNTIFS($J$7:$J150,$J150,$M$7:$M150,$M150,$C$7:$C150,$C150))</f>
        <v>0</v>
      </c>
      <c r="Q150" s="75">
        <f t="shared" si="28"/>
        <v>0</v>
      </c>
      <c r="R150" s="75">
        <f t="shared" si="29"/>
        <v>0</v>
      </c>
      <c r="S150" s="75">
        <f>IF($C150="",0,COUNTIFS(rl_key,$J150,rl_eff,"&lt;"&amp;$C150)+COUNTIFS($J$7:$J150,$J150,$C$7:$C150,$C150))</f>
        <v>0</v>
      </c>
      <c r="T150" s="75">
        <f>IF(OR($C150="",$E150&lt;&gt;"planned",$C150&lt;DATE(nr_PlanYear,1,1),$C150&gt;DATE(nr_PlanYear,12,31)),0,IF(AND(COUNTIFS(rl_key,$J150,rl_status,"planned",rl_eff,"&gt;="&amp;DATE(nr_PlanYear,1,1),rl_eff,"&lt;"&amp;$C150)=0,COUNTIFS($J$7:$J150,$J150,$E$7:$E150,"planned",$C$7:$C150,$C150)=1),1,0))</f>
        <v>0</v>
      </c>
      <c r="U150" s="75">
        <f>IF(OR($C150="",$E150&lt;&gt;"taken"),0,IF(AND(COUNTIFS(rl_key,$J150,rl_effmonth,$M150,rl_eff,"&lt;"&amp;$C150,rl_status,"taken")=0,COUNTIFS($J$7:$J150,$J150,$M$7:$M150,$M150,$C$7:$C150,$C150,$E$7:$E150,"taken")=1),1,0))</f>
        <v>0</v>
      </c>
      <c r="V150" s="66" t="str">
        <f t="shared" si="30"/>
        <v/>
      </c>
      <c r="W150" s="76" t="str">
        <f t="shared" si="31"/>
        <v/>
      </c>
      <c r="X150" s="77" t="str">
        <f>IF(OR($C150="",$J150&lt;&gt;nr_SelKey),"",(SUMPRODUCT(('Rate Engine'!$G$17:$G$64&gt;YEAR($C150)*12+MONTH($C150)-1)*'Rate Engine'!$H$17:$H$64,'Rate Engine'!$Q$17:$Q$64)+(EOMONTH($C150,0)-$C150+1)/DAY(EOMONTH($C150,0))*SUMPRODUCT(('Rate Engine'!$G$17:$G$64=YEAR($C150)*12+MONTH($C150)-1)*'Rate Engine'!$H$17:$H$64,'Rate Engine'!$Q$17:$Q$64))/SUMPRODUCT('Rate Engine'!$H$17:$H$64,'Rate Engine'!$Q$17:$Q$64))</f>
        <v/>
      </c>
      <c r="Y150" s="78" t="str">
        <f t="shared" si="32"/>
        <v/>
      </c>
    </row>
    <row r="151" spans="1:25" x14ac:dyDescent="0.3">
      <c r="A151" s="11"/>
      <c r="B151" s="11"/>
      <c r="C151" s="61"/>
      <c r="D151" s="29"/>
      <c r="E151" s="11"/>
      <c r="F151" s="11"/>
      <c r="G151" s="59"/>
      <c r="H151" s="71"/>
      <c r="J151" s="65" t="str">
        <f t="shared" si="22"/>
        <v/>
      </c>
      <c r="K151" s="72" t="str">
        <f t="shared" si="23"/>
        <v/>
      </c>
      <c r="L151" s="73">
        <f t="shared" si="24"/>
        <v>0</v>
      </c>
      <c r="M151" s="74" t="str">
        <f t="shared" si="25"/>
        <v/>
      </c>
      <c r="N151" s="75">
        <f t="shared" si="26"/>
        <v>0</v>
      </c>
      <c r="O151" s="75">
        <f t="shared" si="27"/>
        <v>0</v>
      </c>
      <c r="P151" s="75">
        <f>IF($C151="",0,COUNTIFS($J$7:$J151,$J151,$M$7:$M151,$M151,$C$7:$C151,$C151))</f>
        <v>0</v>
      </c>
      <c r="Q151" s="75">
        <f t="shared" si="28"/>
        <v>0</v>
      </c>
      <c r="R151" s="75">
        <f t="shared" si="29"/>
        <v>0</v>
      </c>
      <c r="S151" s="75">
        <f>IF($C151="",0,COUNTIFS(rl_key,$J151,rl_eff,"&lt;"&amp;$C151)+COUNTIFS($J$7:$J151,$J151,$C$7:$C151,$C151))</f>
        <v>0</v>
      </c>
      <c r="T151" s="75">
        <f>IF(OR($C151="",$E151&lt;&gt;"planned",$C151&lt;DATE(nr_PlanYear,1,1),$C151&gt;DATE(nr_PlanYear,12,31)),0,IF(AND(COUNTIFS(rl_key,$J151,rl_status,"planned",rl_eff,"&gt;="&amp;DATE(nr_PlanYear,1,1),rl_eff,"&lt;"&amp;$C151)=0,COUNTIFS($J$7:$J151,$J151,$E$7:$E151,"planned",$C$7:$C151,$C151)=1),1,0))</f>
        <v>0</v>
      </c>
      <c r="U151" s="75">
        <f>IF(OR($C151="",$E151&lt;&gt;"taken"),0,IF(AND(COUNTIFS(rl_key,$J151,rl_effmonth,$M151,rl_eff,"&lt;"&amp;$C151,rl_status,"taken")=0,COUNTIFS($J$7:$J151,$J151,$M$7:$M151,$M151,$C$7:$C151,$C151,$E$7:$E151,"taken")=1),1,0))</f>
        <v>0</v>
      </c>
      <c r="V151" s="66" t="str">
        <f t="shared" si="30"/>
        <v/>
      </c>
      <c r="W151" s="76" t="str">
        <f t="shared" si="31"/>
        <v/>
      </c>
      <c r="X151" s="77" t="str">
        <f>IF(OR($C151="",$J151&lt;&gt;nr_SelKey),"",(SUMPRODUCT(('Rate Engine'!$G$17:$G$64&gt;YEAR($C151)*12+MONTH($C151)-1)*'Rate Engine'!$H$17:$H$64,'Rate Engine'!$Q$17:$Q$64)+(EOMONTH($C151,0)-$C151+1)/DAY(EOMONTH($C151,0))*SUMPRODUCT(('Rate Engine'!$G$17:$G$64=YEAR($C151)*12+MONTH($C151)-1)*'Rate Engine'!$H$17:$H$64,'Rate Engine'!$Q$17:$Q$64))/SUMPRODUCT('Rate Engine'!$H$17:$H$64,'Rate Engine'!$Q$17:$Q$64))</f>
        <v/>
      </c>
      <c r="Y151" s="78" t="str">
        <f t="shared" si="32"/>
        <v/>
      </c>
    </row>
    <row r="152" spans="1:25" x14ac:dyDescent="0.3">
      <c r="A152" s="11"/>
      <c r="B152" s="11"/>
      <c r="C152" s="61"/>
      <c r="D152" s="29"/>
      <c r="E152" s="11"/>
      <c r="F152" s="11"/>
      <c r="G152" s="59"/>
      <c r="H152" s="71"/>
      <c r="J152" s="65" t="str">
        <f t="shared" si="22"/>
        <v/>
      </c>
      <c r="K152" s="72" t="str">
        <f t="shared" si="23"/>
        <v/>
      </c>
      <c r="L152" s="73">
        <f t="shared" si="24"/>
        <v>0</v>
      </c>
      <c r="M152" s="74" t="str">
        <f t="shared" si="25"/>
        <v/>
      </c>
      <c r="N152" s="75">
        <f t="shared" si="26"/>
        <v>0</v>
      </c>
      <c r="O152" s="75">
        <f t="shared" si="27"/>
        <v>0</v>
      </c>
      <c r="P152" s="75">
        <f>IF($C152="",0,COUNTIFS($J$7:$J152,$J152,$M$7:$M152,$M152,$C$7:$C152,$C152))</f>
        <v>0</v>
      </c>
      <c r="Q152" s="75">
        <f t="shared" si="28"/>
        <v>0</v>
      </c>
      <c r="R152" s="75">
        <f t="shared" si="29"/>
        <v>0</v>
      </c>
      <c r="S152" s="75">
        <f>IF($C152="",0,COUNTIFS(rl_key,$J152,rl_eff,"&lt;"&amp;$C152)+COUNTIFS($J$7:$J152,$J152,$C$7:$C152,$C152))</f>
        <v>0</v>
      </c>
      <c r="T152" s="75">
        <f>IF(OR($C152="",$E152&lt;&gt;"planned",$C152&lt;DATE(nr_PlanYear,1,1),$C152&gt;DATE(nr_PlanYear,12,31)),0,IF(AND(COUNTIFS(rl_key,$J152,rl_status,"planned",rl_eff,"&gt;="&amp;DATE(nr_PlanYear,1,1),rl_eff,"&lt;"&amp;$C152)=0,COUNTIFS($J$7:$J152,$J152,$E$7:$E152,"planned",$C$7:$C152,$C152)=1),1,0))</f>
        <v>0</v>
      </c>
      <c r="U152" s="75">
        <f>IF(OR($C152="",$E152&lt;&gt;"taken"),0,IF(AND(COUNTIFS(rl_key,$J152,rl_effmonth,$M152,rl_eff,"&lt;"&amp;$C152,rl_status,"taken")=0,COUNTIFS($J$7:$J152,$J152,$M$7:$M152,$M152,$C$7:$C152,$C152,$E$7:$E152,"taken")=1),1,0))</f>
        <v>0</v>
      </c>
      <c r="V152" s="66" t="str">
        <f t="shared" si="30"/>
        <v/>
      </c>
      <c r="W152" s="76" t="str">
        <f t="shared" si="31"/>
        <v/>
      </c>
      <c r="X152" s="77" t="str">
        <f>IF(OR($C152="",$J152&lt;&gt;nr_SelKey),"",(SUMPRODUCT(('Rate Engine'!$G$17:$G$64&gt;YEAR($C152)*12+MONTH($C152)-1)*'Rate Engine'!$H$17:$H$64,'Rate Engine'!$Q$17:$Q$64)+(EOMONTH($C152,0)-$C152+1)/DAY(EOMONTH($C152,0))*SUMPRODUCT(('Rate Engine'!$G$17:$G$64=YEAR($C152)*12+MONTH($C152)-1)*'Rate Engine'!$H$17:$H$64,'Rate Engine'!$Q$17:$Q$64))/SUMPRODUCT('Rate Engine'!$H$17:$H$64,'Rate Engine'!$Q$17:$Q$64))</f>
        <v/>
      </c>
      <c r="Y152" s="78" t="str">
        <f t="shared" si="32"/>
        <v/>
      </c>
    </row>
    <row r="153" spans="1:25" x14ac:dyDescent="0.3">
      <c r="A153" s="11"/>
      <c r="B153" s="11"/>
      <c r="C153" s="61"/>
      <c r="D153" s="29"/>
      <c r="E153" s="11"/>
      <c r="F153" s="11"/>
      <c r="G153" s="59"/>
      <c r="H153" s="71"/>
      <c r="J153" s="65" t="str">
        <f t="shared" si="22"/>
        <v/>
      </c>
      <c r="K153" s="72" t="str">
        <f t="shared" si="23"/>
        <v/>
      </c>
      <c r="L153" s="73">
        <f t="shared" si="24"/>
        <v>0</v>
      </c>
      <c r="M153" s="74" t="str">
        <f t="shared" si="25"/>
        <v/>
      </c>
      <c r="N153" s="75">
        <f t="shared" si="26"/>
        <v>0</v>
      </c>
      <c r="O153" s="75">
        <f t="shared" si="27"/>
        <v>0</v>
      </c>
      <c r="P153" s="75">
        <f>IF($C153="",0,COUNTIFS($J$7:$J153,$J153,$M$7:$M153,$M153,$C$7:$C153,$C153))</f>
        <v>0</v>
      </c>
      <c r="Q153" s="75">
        <f t="shared" si="28"/>
        <v>0</v>
      </c>
      <c r="R153" s="75">
        <f t="shared" si="29"/>
        <v>0</v>
      </c>
      <c r="S153" s="75">
        <f>IF($C153="",0,COUNTIFS(rl_key,$J153,rl_eff,"&lt;"&amp;$C153)+COUNTIFS($J$7:$J153,$J153,$C$7:$C153,$C153))</f>
        <v>0</v>
      </c>
      <c r="T153" s="75">
        <f>IF(OR($C153="",$E153&lt;&gt;"planned",$C153&lt;DATE(nr_PlanYear,1,1),$C153&gt;DATE(nr_PlanYear,12,31)),0,IF(AND(COUNTIFS(rl_key,$J153,rl_status,"planned",rl_eff,"&gt;="&amp;DATE(nr_PlanYear,1,1),rl_eff,"&lt;"&amp;$C153)=0,COUNTIFS($J$7:$J153,$J153,$E$7:$E153,"planned",$C$7:$C153,$C153)=1),1,0))</f>
        <v>0</v>
      </c>
      <c r="U153" s="75">
        <f>IF(OR($C153="",$E153&lt;&gt;"taken"),0,IF(AND(COUNTIFS(rl_key,$J153,rl_effmonth,$M153,rl_eff,"&lt;"&amp;$C153,rl_status,"taken")=0,COUNTIFS($J$7:$J153,$J153,$M$7:$M153,$M153,$C$7:$C153,$C153,$E$7:$E153,"taken")=1),1,0))</f>
        <v>0</v>
      </c>
      <c r="V153" s="66" t="str">
        <f t="shared" si="30"/>
        <v/>
      </c>
      <c r="W153" s="76" t="str">
        <f t="shared" si="31"/>
        <v/>
      </c>
      <c r="X153" s="77" t="str">
        <f>IF(OR($C153="",$J153&lt;&gt;nr_SelKey),"",(SUMPRODUCT(('Rate Engine'!$G$17:$G$64&gt;YEAR($C153)*12+MONTH($C153)-1)*'Rate Engine'!$H$17:$H$64,'Rate Engine'!$Q$17:$Q$64)+(EOMONTH($C153,0)-$C153+1)/DAY(EOMONTH($C153,0))*SUMPRODUCT(('Rate Engine'!$G$17:$G$64=YEAR($C153)*12+MONTH($C153)-1)*'Rate Engine'!$H$17:$H$64,'Rate Engine'!$Q$17:$Q$64))/SUMPRODUCT('Rate Engine'!$H$17:$H$64,'Rate Engine'!$Q$17:$Q$64))</f>
        <v/>
      </c>
      <c r="Y153" s="78" t="str">
        <f t="shared" si="32"/>
        <v/>
      </c>
    </row>
    <row r="154" spans="1:25" x14ac:dyDescent="0.3">
      <c r="A154" s="11"/>
      <c r="B154" s="11"/>
      <c r="C154" s="61"/>
      <c r="D154" s="29"/>
      <c r="E154" s="11"/>
      <c r="F154" s="11"/>
      <c r="G154" s="59"/>
      <c r="H154" s="71"/>
      <c r="J154" s="65" t="str">
        <f t="shared" si="22"/>
        <v/>
      </c>
      <c r="K154" s="72" t="str">
        <f t="shared" si="23"/>
        <v/>
      </c>
      <c r="L154" s="73">
        <f t="shared" si="24"/>
        <v>0</v>
      </c>
      <c r="M154" s="74" t="str">
        <f t="shared" si="25"/>
        <v/>
      </c>
      <c r="N154" s="75">
        <f t="shared" si="26"/>
        <v>0</v>
      </c>
      <c r="O154" s="75">
        <f t="shared" si="27"/>
        <v>0</v>
      </c>
      <c r="P154" s="75">
        <f>IF($C154="",0,COUNTIFS($J$7:$J154,$J154,$M$7:$M154,$M154,$C$7:$C154,$C154))</f>
        <v>0</v>
      </c>
      <c r="Q154" s="75">
        <f t="shared" si="28"/>
        <v>0</v>
      </c>
      <c r="R154" s="75">
        <f t="shared" si="29"/>
        <v>0</v>
      </c>
      <c r="S154" s="75">
        <f>IF($C154="",0,COUNTIFS(rl_key,$J154,rl_eff,"&lt;"&amp;$C154)+COUNTIFS($J$7:$J154,$J154,$C$7:$C154,$C154))</f>
        <v>0</v>
      </c>
      <c r="T154" s="75">
        <f>IF(OR($C154="",$E154&lt;&gt;"planned",$C154&lt;DATE(nr_PlanYear,1,1),$C154&gt;DATE(nr_PlanYear,12,31)),0,IF(AND(COUNTIFS(rl_key,$J154,rl_status,"planned",rl_eff,"&gt;="&amp;DATE(nr_PlanYear,1,1),rl_eff,"&lt;"&amp;$C154)=0,COUNTIFS($J$7:$J154,$J154,$E$7:$E154,"planned",$C$7:$C154,$C154)=1),1,0))</f>
        <v>0</v>
      </c>
      <c r="U154" s="75">
        <f>IF(OR($C154="",$E154&lt;&gt;"taken"),0,IF(AND(COUNTIFS(rl_key,$J154,rl_effmonth,$M154,rl_eff,"&lt;"&amp;$C154,rl_status,"taken")=0,COUNTIFS($J$7:$J154,$J154,$M$7:$M154,$M154,$C$7:$C154,$C154,$E$7:$E154,"taken")=1),1,0))</f>
        <v>0</v>
      </c>
      <c r="V154" s="66" t="str">
        <f t="shared" si="30"/>
        <v/>
      </c>
      <c r="W154" s="76" t="str">
        <f t="shared" si="31"/>
        <v/>
      </c>
      <c r="X154" s="77" t="str">
        <f>IF(OR($C154="",$J154&lt;&gt;nr_SelKey),"",(SUMPRODUCT(('Rate Engine'!$G$17:$G$64&gt;YEAR($C154)*12+MONTH($C154)-1)*'Rate Engine'!$H$17:$H$64,'Rate Engine'!$Q$17:$Q$64)+(EOMONTH($C154,0)-$C154+1)/DAY(EOMONTH($C154,0))*SUMPRODUCT(('Rate Engine'!$G$17:$G$64=YEAR($C154)*12+MONTH($C154)-1)*'Rate Engine'!$H$17:$H$64,'Rate Engine'!$Q$17:$Q$64))/SUMPRODUCT('Rate Engine'!$H$17:$H$64,'Rate Engine'!$Q$17:$Q$64))</f>
        <v/>
      </c>
      <c r="Y154" s="78" t="str">
        <f t="shared" si="32"/>
        <v/>
      </c>
    </row>
    <row r="155" spans="1:25" x14ac:dyDescent="0.3">
      <c r="A155" s="11"/>
      <c r="B155" s="11"/>
      <c r="C155" s="61"/>
      <c r="D155" s="29"/>
      <c r="E155" s="11"/>
      <c r="F155" s="11"/>
      <c r="G155" s="59"/>
      <c r="H155" s="71"/>
      <c r="J155" s="65" t="str">
        <f t="shared" si="22"/>
        <v/>
      </c>
      <c r="K155" s="72" t="str">
        <f t="shared" si="23"/>
        <v/>
      </c>
      <c r="L155" s="73">
        <f t="shared" si="24"/>
        <v>0</v>
      </c>
      <c r="M155" s="74" t="str">
        <f t="shared" si="25"/>
        <v/>
      </c>
      <c r="N155" s="75">
        <f t="shared" si="26"/>
        <v>0</v>
      </c>
      <c r="O155" s="75">
        <f t="shared" si="27"/>
        <v>0</v>
      </c>
      <c r="P155" s="75">
        <f>IF($C155="",0,COUNTIFS($J$7:$J155,$J155,$M$7:$M155,$M155,$C$7:$C155,$C155))</f>
        <v>0</v>
      </c>
      <c r="Q155" s="75">
        <f t="shared" si="28"/>
        <v>0</v>
      </c>
      <c r="R155" s="75">
        <f t="shared" si="29"/>
        <v>0</v>
      </c>
      <c r="S155" s="75">
        <f>IF($C155="",0,COUNTIFS(rl_key,$J155,rl_eff,"&lt;"&amp;$C155)+COUNTIFS($J$7:$J155,$J155,$C$7:$C155,$C155))</f>
        <v>0</v>
      </c>
      <c r="T155" s="75">
        <f>IF(OR($C155="",$E155&lt;&gt;"planned",$C155&lt;DATE(nr_PlanYear,1,1),$C155&gt;DATE(nr_PlanYear,12,31)),0,IF(AND(COUNTIFS(rl_key,$J155,rl_status,"planned",rl_eff,"&gt;="&amp;DATE(nr_PlanYear,1,1),rl_eff,"&lt;"&amp;$C155)=0,COUNTIFS($J$7:$J155,$J155,$E$7:$E155,"planned",$C$7:$C155,$C155)=1),1,0))</f>
        <v>0</v>
      </c>
      <c r="U155" s="75">
        <f>IF(OR($C155="",$E155&lt;&gt;"taken"),0,IF(AND(COUNTIFS(rl_key,$J155,rl_effmonth,$M155,rl_eff,"&lt;"&amp;$C155,rl_status,"taken")=0,COUNTIFS($J$7:$J155,$J155,$M$7:$M155,$M155,$C$7:$C155,$C155,$E$7:$E155,"taken")=1),1,0))</f>
        <v>0</v>
      </c>
      <c r="V155" s="66" t="str">
        <f t="shared" si="30"/>
        <v/>
      </c>
      <c r="W155" s="76" t="str">
        <f t="shared" si="31"/>
        <v/>
      </c>
      <c r="X155" s="77" t="str">
        <f>IF(OR($C155="",$J155&lt;&gt;nr_SelKey),"",(SUMPRODUCT(('Rate Engine'!$G$17:$G$64&gt;YEAR($C155)*12+MONTH($C155)-1)*'Rate Engine'!$H$17:$H$64,'Rate Engine'!$Q$17:$Q$64)+(EOMONTH($C155,0)-$C155+1)/DAY(EOMONTH($C155,0))*SUMPRODUCT(('Rate Engine'!$G$17:$G$64=YEAR($C155)*12+MONTH($C155)-1)*'Rate Engine'!$H$17:$H$64,'Rate Engine'!$Q$17:$Q$64))/SUMPRODUCT('Rate Engine'!$H$17:$H$64,'Rate Engine'!$Q$17:$Q$64))</f>
        <v/>
      </c>
      <c r="Y155" s="78" t="str">
        <f t="shared" si="32"/>
        <v/>
      </c>
    </row>
    <row r="156" spans="1:25" x14ac:dyDescent="0.3">
      <c r="A156" s="11"/>
      <c r="B156" s="11"/>
      <c r="C156" s="61"/>
      <c r="D156" s="29"/>
      <c r="E156" s="11"/>
      <c r="F156" s="11"/>
      <c r="G156" s="59"/>
      <c r="H156" s="71"/>
      <c r="J156" s="65" t="str">
        <f t="shared" si="22"/>
        <v/>
      </c>
      <c r="K156" s="72" t="str">
        <f t="shared" si="23"/>
        <v/>
      </c>
      <c r="L156" s="73">
        <f t="shared" si="24"/>
        <v>0</v>
      </c>
      <c r="M156" s="74" t="str">
        <f t="shared" si="25"/>
        <v/>
      </c>
      <c r="N156" s="75">
        <f t="shared" si="26"/>
        <v>0</v>
      </c>
      <c r="O156" s="75">
        <f t="shared" si="27"/>
        <v>0</v>
      </c>
      <c r="P156" s="75">
        <f>IF($C156="",0,COUNTIFS($J$7:$J156,$J156,$M$7:$M156,$M156,$C$7:$C156,$C156))</f>
        <v>0</v>
      </c>
      <c r="Q156" s="75">
        <f t="shared" si="28"/>
        <v>0</v>
      </c>
      <c r="R156" s="75">
        <f t="shared" si="29"/>
        <v>0</v>
      </c>
      <c r="S156" s="75">
        <f>IF($C156="",0,COUNTIFS(rl_key,$J156,rl_eff,"&lt;"&amp;$C156)+COUNTIFS($J$7:$J156,$J156,$C$7:$C156,$C156))</f>
        <v>0</v>
      </c>
      <c r="T156" s="75">
        <f>IF(OR($C156="",$E156&lt;&gt;"planned",$C156&lt;DATE(nr_PlanYear,1,1),$C156&gt;DATE(nr_PlanYear,12,31)),0,IF(AND(COUNTIFS(rl_key,$J156,rl_status,"planned",rl_eff,"&gt;="&amp;DATE(nr_PlanYear,1,1),rl_eff,"&lt;"&amp;$C156)=0,COUNTIFS($J$7:$J156,$J156,$E$7:$E156,"planned",$C$7:$C156,$C156)=1),1,0))</f>
        <v>0</v>
      </c>
      <c r="U156" s="75">
        <f>IF(OR($C156="",$E156&lt;&gt;"taken"),0,IF(AND(COUNTIFS(rl_key,$J156,rl_effmonth,$M156,rl_eff,"&lt;"&amp;$C156,rl_status,"taken")=0,COUNTIFS($J$7:$J156,$J156,$M$7:$M156,$M156,$C$7:$C156,$C156,$E$7:$E156,"taken")=1),1,0))</f>
        <v>0</v>
      </c>
      <c r="V156" s="66" t="str">
        <f t="shared" si="30"/>
        <v/>
      </c>
      <c r="W156" s="76" t="str">
        <f t="shared" si="31"/>
        <v/>
      </c>
      <c r="X156" s="77" t="str">
        <f>IF(OR($C156="",$J156&lt;&gt;nr_SelKey),"",(SUMPRODUCT(('Rate Engine'!$G$17:$G$64&gt;YEAR($C156)*12+MONTH($C156)-1)*'Rate Engine'!$H$17:$H$64,'Rate Engine'!$Q$17:$Q$64)+(EOMONTH($C156,0)-$C156+1)/DAY(EOMONTH($C156,0))*SUMPRODUCT(('Rate Engine'!$G$17:$G$64=YEAR($C156)*12+MONTH($C156)-1)*'Rate Engine'!$H$17:$H$64,'Rate Engine'!$Q$17:$Q$64))/SUMPRODUCT('Rate Engine'!$H$17:$H$64,'Rate Engine'!$Q$17:$Q$64))</f>
        <v/>
      </c>
      <c r="Y156" s="78" t="str">
        <f t="shared" si="32"/>
        <v/>
      </c>
    </row>
    <row r="157" spans="1:25" x14ac:dyDescent="0.3">
      <c r="A157" s="11"/>
      <c r="B157" s="11"/>
      <c r="C157" s="61"/>
      <c r="D157" s="29"/>
      <c r="E157" s="11"/>
      <c r="F157" s="11"/>
      <c r="G157" s="59"/>
      <c r="H157" s="71"/>
      <c r="J157" s="65" t="str">
        <f t="shared" si="22"/>
        <v/>
      </c>
      <c r="K157" s="72" t="str">
        <f t="shared" si="23"/>
        <v/>
      </c>
      <c r="L157" s="73">
        <f t="shared" si="24"/>
        <v>0</v>
      </c>
      <c r="M157" s="74" t="str">
        <f t="shared" si="25"/>
        <v/>
      </c>
      <c r="N157" s="75">
        <f t="shared" si="26"/>
        <v>0</v>
      </c>
      <c r="O157" s="75">
        <f t="shared" si="27"/>
        <v>0</v>
      </c>
      <c r="P157" s="75">
        <f>IF($C157="",0,COUNTIFS($J$7:$J157,$J157,$M$7:$M157,$M157,$C$7:$C157,$C157))</f>
        <v>0</v>
      </c>
      <c r="Q157" s="75">
        <f t="shared" si="28"/>
        <v>0</v>
      </c>
      <c r="R157" s="75">
        <f t="shared" si="29"/>
        <v>0</v>
      </c>
      <c r="S157" s="75">
        <f>IF($C157="",0,COUNTIFS(rl_key,$J157,rl_eff,"&lt;"&amp;$C157)+COUNTIFS($J$7:$J157,$J157,$C$7:$C157,$C157))</f>
        <v>0</v>
      </c>
      <c r="T157" s="75">
        <f>IF(OR($C157="",$E157&lt;&gt;"planned",$C157&lt;DATE(nr_PlanYear,1,1),$C157&gt;DATE(nr_PlanYear,12,31)),0,IF(AND(COUNTIFS(rl_key,$J157,rl_status,"planned",rl_eff,"&gt;="&amp;DATE(nr_PlanYear,1,1),rl_eff,"&lt;"&amp;$C157)=0,COUNTIFS($J$7:$J157,$J157,$E$7:$E157,"planned",$C$7:$C157,$C157)=1),1,0))</f>
        <v>0</v>
      </c>
      <c r="U157" s="75">
        <f>IF(OR($C157="",$E157&lt;&gt;"taken"),0,IF(AND(COUNTIFS(rl_key,$J157,rl_effmonth,$M157,rl_eff,"&lt;"&amp;$C157,rl_status,"taken")=0,COUNTIFS($J$7:$J157,$J157,$M$7:$M157,$M157,$C$7:$C157,$C157,$E$7:$E157,"taken")=1),1,0))</f>
        <v>0</v>
      </c>
      <c r="V157" s="66" t="str">
        <f t="shared" si="30"/>
        <v/>
      </c>
      <c r="W157" s="76" t="str">
        <f t="shared" si="31"/>
        <v/>
      </c>
      <c r="X157" s="77" t="str">
        <f>IF(OR($C157="",$J157&lt;&gt;nr_SelKey),"",(SUMPRODUCT(('Rate Engine'!$G$17:$G$64&gt;YEAR($C157)*12+MONTH($C157)-1)*'Rate Engine'!$H$17:$H$64,'Rate Engine'!$Q$17:$Q$64)+(EOMONTH($C157,0)-$C157+1)/DAY(EOMONTH($C157,0))*SUMPRODUCT(('Rate Engine'!$G$17:$G$64=YEAR($C157)*12+MONTH($C157)-1)*'Rate Engine'!$H$17:$H$64,'Rate Engine'!$Q$17:$Q$64))/SUMPRODUCT('Rate Engine'!$H$17:$H$64,'Rate Engine'!$Q$17:$Q$64))</f>
        <v/>
      </c>
      <c r="Y157" s="78" t="str">
        <f t="shared" si="32"/>
        <v/>
      </c>
    </row>
    <row r="158" spans="1:25" x14ac:dyDescent="0.3">
      <c r="A158" s="11"/>
      <c r="B158" s="11"/>
      <c r="C158" s="61"/>
      <c r="D158" s="29"/>
      <c r="E158" s="11"/>
      <c r="F158" s="11"/>
      <c r="G158" s="59"/>
      <c r="H158" s="71"/>
      <c r="J158" s="65" t="str">
        <f t="shared" si="22"/>
        <v/>
      </c>
      <c r="K158" s="72" t="str">
        <f t="shared" si="23"/>
        <v/>
      </c>
      <c r="L158" s="73">
        <f t="shared" si="24"/>
        <v>0</v>
      </c>
      <c r="M158" s="74" t="str">
        <f t="shared" si="25"/>
        <v/>
      </c>
      <c r="N158" s="75">
        <f t="shared" si="26"/>
        <v>0</v>
      </c>
      <c r="O158" s="75">
        <f t="shared" si="27"/>
        <v>0</v>
      </c>
      <c r="P158" s="75">
        <f>IF($C158="",0,COUNTIFS($J$7:$J158,$J158,$M$7:$M158,$M158,$C$7:$C158,$C158))</f>
        <v>0</v>
      </c>
      <c r="Q158" s="75">
        <f t="shared" si="28"/>
        <v>0</v>
      </c>
      <c r="R158" s="75">
        <f t="shared" si="29"/>
        <v>0</v>
      </c>
      <c r="S158" s="75">
        <f>IF($C158="",0,COUNTIFS(rl_key,$J158,rl_eff,"&lt;"&amp;$C158)+COUNTIFS($J$7:$J158,$J158,$C$7:$C158,$C158))</f>
        <v>0</v>
      </c>
      <c r="T158" s="75">
        <f>IF(OR($C158="",$E158&lt;&gt;"planned",$C158&lt;DATE(nr_PlanYear,1,1),$C158&gt;DATE(nr_PlanYear,12,31)),0,IF(AND(COUNTIFS(rl_key,$J158,rl_status,"planned",rl_eff,"&gt;="&amp;DATE(nr_PlanYear,1,1),rl_eff,"&lt;"&amp;$C158)=0,COUNTIFS($J$7:$J158,$J158,$E$7:$E158,"planned",$C$7:$C158,$C158)=1),1,0))</f>
        <v>0</v>
      </c>
      <c r="U158" s="75">
        <f>IF(OR($C158="",$E158&lt;&gt;"taken"),0,IF(AND(COUNTIFS(rl_key,$J158,rl_effmonth,$M158,rl_eff,"&lt;"&amp;$C158,rl_status,"taken")=0,COUNTIFS($J$7:$J158,$J158,$M$7:$M158,$M158,$C$7:$C158,$C158,$E$7:$E158,"taken")=1),1,0))</f>
        <v>0</v>
      </c>
      <c r="V158" s="66" t="str">
        <f t="shared" si="30"/>
        <v/>
      </c>
      <c r="W158" s="76" t="str">
        <f t="shared" si="31"/>
        <v/>
      </c>
      <c r="X158" s="77" t="str">
        <f>IF(OR($C158="",$J158&lt;&gt;nr_SelKey),"",(SUMPRODUCT(('Rate Engine'!$G$17:$G$64&gt;YEAR($C158)*12+MONTH($C158)-1)*'Rate Engine'!$H$17:$H$64,'Rate Engine'!$Q$17:$Q$64)+(EOMONTH($C158,0)-$C158+1)/DAY(EOMONTH($C158,0))*SUMPRODUCT(('Rate Engine'!$G$17:$G$64=YEAR($C158)*12+MONTH($C158)-1)*'Rate Engine'!$H$17:$H$64,'Rate Engine'!$Q$17:$Q$64))/SUMPRODUCT('Rate Engine'!$H$17:$H$64,'Rate Engine'!$Q$17:$Q$64))</f>
        <v/>
      </c>
      <c r="Y158" s="78" t="str">
        <f t="shared" si="32"/>
        <v/>
      </c>
    </row>
    <row r="159" spans="1:25" x14ac:dyDescent="0.3">
      <c r="A159" s="11"/>
      <c r="B159" s="11"/>
      <c r="C159" s="61"/>
      <c r="D159" s="29"/>
      <c r="E159" s="11"/>
      <c r="F159" s="11"/>
      <c r="G159" s="59"/>
      <c r="H159" s="71"/>
      <c r="J159" s="65" t="str">
        <f t="shared" si="22"/>
        <v/>
      </c>
      <c r="K159" s="72" t="str">
        <f t="shared" si="23"/>
        <v/>
      </c>
      <c r="L159" s="73">
        <f t="shared" si="24"/>
        <v>0</v>
      </c>
      <c r="M159" s="74" t="str">
        <f t="shared" si="25"/>
        <v/>
      </c>
      <c r="N159" s="75">
        <f t="shared" si="26"/>
        <v>0</v>
      </c>
      <c r="O159" s="75">
        <f t="shared" si="27"/>
        <v>0</v>
      </c>
      <c r="P159" s="75">
        <f>IF($C159="",0,COUNTIFS($J$7:$J159,$J159,$M$7:$M159,$M159,$C$7:$C159,$C159))</f>
        <v>0</v>
      </c>
      <c r="Q159" s="75">
        <f t="shared" si="28"/>
        <v>0</v>
      </c>
      <c r="R159" s="75">
        <f t="shared" si="29"/>
        <v>0</v>
      </c>
      <c r="S159" s="75">
        <f>IF($C159="",0,COUNTIFS(rl_key,$J159,rl_eff,"&lt;"&amp;$C159)+COUNTIFS($J$7:$J159,$J159,$C$7:$C159,$C159))</f>
        <v>0</v>
      </c>
      <c r="T159" s="75">
        <f>IF(OR($C159="",$E159&lt;&gt;"planned",$C159&lt;DATE(nr_PlanYear,1,1),$C159&gt;DATE(nr_PlanYear,12,31)),0,IF(AND(COUNTIFS(rl_key,$J159,rl_status,"planned",rl_eff,"&gt;="&amp;DATE(nr_PlanYear,1,1),rl_eff,"&lt;"&amp;$C159)=0,COUNTIFS($J$7:$J159,$J159,$E$7:$E159,"planned",$C$7:$C159,$C159)=1),1,0))</f>
        <v>0</v>
      </c>
      <c r="U159" s="75">
        <f>IF(OR($C159="",$E159&lt;&gt;"taken"),0,IF(AND(COUNTIFS(rl_key,$J159,rl_effmonth,$M159,rl_eff,"&lt;"&amp;$C159,rl_status,"taken")=0,COUNTIFS($J$7:$J159,$J159,$M$7:$M159,$M159,$C$7:$C159,$C159,$E$7:$E159,"taken")=1),1,0))</f>
        <v>0</v>
      </c>
      <c r="V159" s="66" t="str">
        <f t="shared" si="30"/>
        <v/>
      </c>
      <c r="W159" s="76" t="str">
        <f t="shared" si="31"/>
        <v/>
      </c>
      <c r="X159" s="77" t="str">
        <f>IF(OR($C159="",$J159&lt;&gt;nr_SelKey),"",(SUMPRODUCT(('Rate Engine'!$G$17:$G$64&gt;YEAR($C159)*12+MONTH($C159)-1)*'Rate Engine'!$H$17:$H$64,'Rate Engine'!$Q$17:$Q$64)+(EOMONTH($C159,0)-$C159+1)/DAY(EOMONTH($C159,0))*SUMPRODUCT(('Rate Engine'!$G$17:$G$64=YEAR($C159)*12+MONTH($C159)-1)*'Rate Engine'!$H$17:$H$64,'Rate Engine'!$Q$17:$Q$64))/SUMPRODUCT('Rate Engine'!$H$17:$H$64,'Rate Engine'!$Q$17:$Q$64))</f>
        <v/>
      </c>
      <c r="Y159" s="78" t="str">
        <f t="shared" si="32"/>
        <v/>
      </c>
    </row>
    <row r="160" spans="1:25" x14ac:dyDescent="0.3">
      <c r="A160" s="11"/>
      <c r="B160" s="11"/>
      <c r="C160" s="61"/>
      <c r="D160" s="29"/>
      <c r="E160" s="11"/>
      <c r="F160" s="11"/>
      <c r="G160" s="59"/>
      <c r="H160" s="71"/>
      <c r="J160" s="65" t="str">
        <f t="shared" si="22"/>
        <v/>
      </c>
      <c r="K160" s="72" t="str">
        <f t="shared" si="23"/>
        <v/>
      </c>
      <c r="L160" s="73">
        <f t="shared" si="24"/>
        <v>0</v>
      </c>
      <c r="M160" s="74" t="str">
        <f t="shared" si="25"/>
        <v/>
      </c>
      <c r="N160" s="75">
        <f t="shared" si="26"/>
        <v>0</v>
      </c>
      <c r="O160" s="75">
        <f t="shared" si="27"/>
        <v>0</v>
      </c>
      <c r="P160" s="75">
        <f>IF($C160="",0,COUNTIFS($J$7:$J160,$J160,$M$7:$M160,$M160,$C$7:$C160,$C160))</f>
        <v>0</v>
      </c>
      <c r="Q160" s="75">
        <f t="shared" si="28"/>
        <v>0</v>
      </c>
      <c r="R160" s="75">
        <f t="shared" si="29"/>
        <v>0</v>
      </c>
      <c r="S160" s="75">
        <f>IF($C160="",0,COUNTIFS(rl_key,$J160,rl_eff,"&lt;"&amp;$C160)+COUNTIFS($J$7:$J160,$J160,$C$7:$C160,$C160))</f>
        <v>0</v>
      </c>
      <c r="T160" s="75">
        <f>IF(OR($C160="",$E160&lt;&gt;"planned",$C160&lt;DATE(nr_PlanYear,1,1),$C160&gt;DATE(nr_PlanYear,12,31)),0,IF(AND(COUNTIFS(rl_key,$J160,rl_status,"planned",rl_eff,"&gt;="&amp;DATE(nr_PlanYear,1,1),rl_eff,"&lt;"&amp;$C160)=0,COUNTIFS($J$7:$J160,$J160,$E$7:$E160,"planned",$C$7:$C160,$C160)=1),1,0))</f>
        <v>0</v>
      </c>
      <c r="U160" s="75">
        <f>IF(OR($C160="",$E160&lt;&gt;"taken"),0,IF(AND(COUNTIFS(rl_key,$J160,rl_effmonth,$M160,rl_eff,"&lt;"&amp;$C160,rl_status,"taken")=0,COUNTIFS($J$7:$J160,$J160,$M$7:$M160,$M160,$C$7:$C160,$C160,$E$7:$E160,"taken")=1),1,0))</f>
        <v>0</v>
      </c>
      <c r="V160" s="66" t="str">
        <f t="shared" si="30"/>
        <v/>
      </c>
      <c r="W160" s="76" t="str">
        <f t="shared" si="31"/>
        <v/>
      </c>
      <c r="X160" s="77" t="str">
        <f>IF(OR($C160="",$J160&lt;&gt;nr_SelKey),"",(SUMPRODUCT(('Rate Engine'!$G$17:$G$64&gt;YEAR($C160)*12+MONTH($C160)-1)*'Rate Engine'!$H$17:$H$64,'Rate Engine'!$Q$17:$Q$64)+(EOMONTH($C160,0)-$C160+1)/DAY(EOMONTH($C160,0))*SUMPRODUCT(('Rate Engine'!$G$17:$G$64=YEAR($C160)*12+MONTH($C160)-1)*'Rate Engine'!$H$17:$H$64,'Rate Engine'!$Q$17:$Q$64))/SUMPRODUCT('Rate Engine'!$H$17:$H$64,'Rate Engine'!$Q$17:$Q$64))</f>
        <v/>
      </c>
      <c r="Y160" s="78" t="str">
        <f t="shared" si="32"/>
        <v/>
      </c>
    </row>
    <row r="161" spans="1:25" x14ac:dyDescent="0.3">
      <c r="A161" s="11"/>
      <c r="B161" s="11"/>
      <c r="C161" s="61"/>
      <c r="D161" s="29"/>
      <c r="E161" s="11"/>
      <c r="F161" s="11"/>
      <c r="G161" s="59"/>
      <c r="H161" s="71"/>
      <c r="J161" s="65" t="str">
        <f t="shared" si="22"/>
        <v/>
      </c>
      <c r="K161" s="72" t="str">
        <f t="shared" si="23"/>
        <v/>
      </c>
      <c r="L161" s="73">
        <f t="shared" si="24"/>
        <v>0</v>
      </c>
      <c r="M161" s="74" t="str">
        <f t="shared" si="25"/>
        <v/>
      </c>
      <c r="N161" s="75">
        <f t="shared" si="26"/>
        <v>0</v>
      </c>
      <c r="O161" s="75">
        <f t="shared" si="27"/>
        <v>0</v>
      </c>
      <c r="P161" s="75">
        <f>IF($C161="",0,COUNTIFS($J$7:$J161,$J161,$M$7:$M161,$M161,$C$7:$C161,$C161))</f>
        <v>0</v>
      </c>
      <c r="Q161" s="75">
        <f t="shared" si="28"/>
        <v>0</v>
      </c>
      <c r="R161" s="75">
        <f t="shared" si="29"/>
        <v>0</v>
      </c>
      <c r="S161" s="75">
        <f>IF($C161="",0,COUNTIFS(rl_key,$J161,rl_eff,"&lt;"&amp;$C161)+COUNTIFS($J$7:$J161,$J161,$C$7:$C161,$C161))</f>
        <v>0</v>
      </c>
      <c r="T161" s="75">
        <f>IF(OR($C161="",$E161&lt;&gt;"planned",$C161&lt;DATE(nr_PlanYear,1,1),$C161&gt;DATE(nr_PlanYear,12,31)),0,IF(AND(COUNTIFS(rl_key,$J161,rl_status,"planned",rl_eff,"&gt;="&amp;DATE(nr_PlanYear,1,1),rl_eff,"&lt;"&amp;$C161)=0,COUNTIFS($J$7:$J161,$J161,$E$7:$E161,"planned",$C$7:$C161,$C161)=1),1,0))</f>
        <v>0</v>
      </c>
      <c r="U161" s="75">
        <f>IF(OR($C161="",$E161&lt;&gt;"taken"),0,IF(AND(COUNTIFS(rl_key,$J161,rl_effmonth,$M161,rl_eff,"&lt;"&amp;$C161,rl_status,"taken")=0,COUNTIFS($J$7:$J161,$J161,$M$7:$M161,$M161,$C$7:$C161,$C161,$E$7:$E161,"taken")=1),1,0))</f>
        <v>0</v>
      </c>
      <c r="V161" s="66" t="str">
        <f t="shared" si="30"/>
        <v/>
      </c>
      <c r="W161" s="76" t="str">
        <f t="shared" si="31"/>
        <v/>
      </c>
      <c r="X161" s="77" t="str">
        <f>IF(OR($C161="",$J161&lt;&gt;nr_SelKey),"",(SUMPRODUCT(('Rate Engine'!$G$17:$G$64&gt;YEAR($C161)*12+MONTH($C161)-1)*'Rate Engine'!$H$17:$H$64,'Rate Engine'!$Q$17:$Q$64)+(EOMONTH($C161,0)-$C161+1)/DAY(EOMONTH($C161,0))*SUMPRODUCT(('Rate Engine'!$G$17:$G$64=YEAR($C161)*12+MONTH($C161)-1)*'Rate Engine'!$H$17:$H$64,'Rate Engine'!$Q$17:$Q$64))/SUMPRODUCT('Rate Engine'!$H$17:$H$64,'Rate Engine'!$Q$17:$Q$64))</f>
        <v/>
      </c>
      <c r="Y161" s="78" t="str">
        <f t="shared" si="32"/>
        <v/>
      </c>
    </row>
    <row r="162" spans="1:25" x14ac:dyDescent="0.3">
      <c r="A162" s="11"/>
      <c r="B162" s="11"/>
      <c r="C162" s="61"/>
      <c r="D162" s="29"/>
      <c r="E162" s="11"/>
      <c r="F162" s="11"/>
      <c r="G162" s="59"/>
      <c r="H162" s="71"/>
      <c r="J162" s="65" t="str">
        <f t="shared" si="22"/>
        <v/>
      </c>
      <c r="K162" s="72" t="str">
        <f t="shared" si="23"/>
        <v/>
      </c>
      <c r="L162" s="73">
        <f t="shared" si="24"/>
        <v>0</v>
      </c>
      <c r="M162" s="74" t="str">
        <f t="shared" si="25"/>
        <v/>
      </c>
      <c r="N162" s="75">
        <f t="shared" si="26"/>
        <v>0</v>
      </c>
      <c r="O162" s="75">
        <f t="shared" si="27"/>
        <v>0</v>
      </c>
      <c r="P162" s="75">
        <f>IF($C162="",0,COUNTIFS($J$7:$J162,$J162,$M$7:$M162,$M162,$C$7:$C162,$C162))</f>
        <v>0</v>
      </c>
      <c r="Q162" s="75">
        <f t="shared" si="28"/>
        <v>0</v>
      </c>
      <c r="R162" s="75">
        <f t="shared" si="29"/>
        <v>0</v>
      </c>
      <c r="S162" s="75">
        <f>IF($C162="",0,COUNTIFS(rl_key,$J162,rl_eff,"&lt;"&amp;$C162)+COUNTIFS($J$7:$J162,$J162,$C$7:$C162,$C162))</f>
        <v>0</v>
      </c>
      <c r="T162" s="75">
        <f>IF(OR($C162="",$E162&lt;&gt;"planned",$C162&lt;DATE(nr_PlanYear,1,1),$C162&gt;DATE(nr_PlanYear,12,31)),0,IF(AND(COUNTIFS(rl_key,$J162,rl_status,"planned",rl_eff,"&gt;="&amp;DATE(nr_PlanYear,1,1),rl_eff,"&lt;"&amp;$C162)=0,COUNTIFS($J$7:$J162,$J162,$E$7:$E162,"planned",$C$7:$C162,$C162)=1),1,0))</f>
        <v>0</v>
      </c>
      <c r="U162" s="75">
        <f>IF(OR($C162="",$E162&lt;&gt;"taken"),0,IF(AND(COUNTIFS(rl_key,$J162,rl_effmonth,$M162,rl_eff,"&lt;"&amp;$C162,rl_status,"taken")=0,COUNTIFS($J$7:$J162,$J162,$M$7:$M162,$M162,$C$7:$C162,$C162,$E$7:$E162,"taken")=1),1,0))</f>
        <v>0</v>
      </c>
      <c r="V162" s="66" t="str">
        <f t="shared" si="30"/>
        <v/>
      </c>
      <c r="W162" s="76" t="str">
        <f t="shared" si="31"/>
        <v/>
      </c>
      <c r="X162" s="77" t="str">
        <f>IF(OR($C162="",$J162&lt;&gt;nr_SelKey),"",(SUMPRODUCT(('Rate Engine'!$G$17:$G$64&gt;YEAR($C162)*12+MONTH($C162)-1)*'Rate Engine'!$H$17:$H$64,'Rate Engine'!$Q$17:$Q$64)+(EOMONTH($C162,0)-$C162+1)/DAY(EOMONTH($C162,0))*SUMPRODUCT(('Rate Engine'!$G$17:$G$64=YEAR($C162)*12+MONTH($C162)-1)*'Rate Engine'!$H$17:$H$64,'Rate Engine'!$Q$17:$Q$64))/SUMPRODUCT('Rate Engine'!$H$17:$H$64,'Rate Engine'!$Q$17:$Q$64))</f>
        <v/>
      </c>
      <c r="Y162" s="78" t="str">
        <f t="shared" si="32"/>
        <v/>
      </c>
    </row>
    <row r="163" spans="1:25" x14ac:dyDescent="0.3">
      <c r="A163" s="11"/>
      <c r="B163" s="11"/>
      <c r="C163" s="61"/>
      <c r="D163" s="29"/>
      <c r="E163" s="11"/>
      <c r="F163" s="11"/>
      <c r="G163" s="59"/>
      <c r="H163" s="71"/>
      <c r="J163" s="65" t="str">
        <f t="shared" si="22"/>
        <v/>
      </c>
      <c r="K163" s="72" t="str">
        <f t="shared" si="23"/>
        <v/>
      </c>
      <c r="L163" s="73">
        <f t="shared" si="24"/>
        <v>0</v>
      </c>
      <c r="M163" s="74" t="str">
        <f t="shared" si="25"/>
        <v/>
      </c>
      <c r="N163" s="75">
        <f t="shared" si="26"/>
        <v>0</v>
      </c>
      <c r="O163" s="75">
        <f t="shared" si="27"/>
        <v>0</v>
      </c>
      <c r="P163" s="75">
        <f>IF($C163="",0,COUNTIFS($J$7:$J163,$J163,$M$7:$M163,$M163,$C$7:$C163,$C163))</f>
        <v>0</v>
      </c>
      <c r="Q163" s="75">
        <f t="shared" si="28"/>
        <v>0</v>
      </c>
      <c r="R163" s="75">
        <f t="shared" si="29"/>
        <v>0</v>
      </c>
      <c r="S163" s="75">
        <f>IF($C163="",0,COUNTIFS(rl_key,$J163,rl_eff,"&lt;"&amp;$C163)+COUNTIFS($J$7:$J163,$J163,$C$7:$C163,$C163))</f>
        <v>0</v>
      </c>
      <c r="T163" s="75">
        <f>IF(OR($C163="",$E163&lt;&gt;"planned",$C163&lt;DATE(nr_PlanYear,1,1),$C163&gt;DATE(nr_PlanYear,12,31)),0,IF(AND(COUNTIFS(rl_key,$J163,rl_status,"planned",rl_eff,"&gt;="&amp;DATE(nr_PlanYear,1,1),rl_eff,"&lt;"&amp;$C163)=0,COUNTIFS($J$7:$J163,$J163,$E$7:$E163,"planned",$C$7:$C163,$C163)=1),1,0))</f>
        <v>0</v>
      </c>
      <c r="U163" s="75">
        <f>IF(OR($C163="",$E163&lt;&gt;"taken"),0,IF(AND(COUNTIFS(rl_key,$J163,rl_effmonth,$M163,rl_eff,"&lt;"&amp;$C163,rl_status,"taken")=0,COUNTIFS($J$7:$J163,$J163,$M$7:$M163,$M163,$C$7:$C163,$C163,$E$7:$E163,"taken")=1),1,0))</f>
        <v>0</v>
      </c>
      <c r="V163" s="66" t="str">
        <f t="shared" si="30"/>
        <v/>
      </c>
      <c r="W163" s="76" t="str">
        <f t="shared" si="31"/>
        <v/>
      </c>
      <c r="X163" s="77" t="str">
        <f>IF(OR($C163="",$J163&lt;&gt;nr_SelKey),"",(SUMPRODUCT(('Rate Engine'!$G$17:$G$64&gt;YEAR($C163)*12+MONTH($C163)-1)*'Rate Engine'!$H$17:$H$64,'Rate Engine'!$Q$17:$Q$64)+(EOMONTH($C163,0)-$C163+1)/DAY(EOMONTH($C163,0))*SUMPRODUCT(('Rate Engine'!$G$17:$G$64=YEAR($C163)*12+MONTH($C163)-1)*'Rate Engine'!$H$17:$H$64,'Rate Engine'!$Q$17:$Q$64))/SUMPRODUCT('Rate Engine'!$H$17:$H$64,'Rate Engine'!$Q$17:$Q$64))</f>
        <v/>
      </c>
      <c r="Y163" s="78" t="str">
        <f t="shared" si="32"/>
        <v/>
      </c>
    </row>
    <row r="164" spans="1:25" x14ac:dyDescent="0.3">
      <c r="A164" s="11"/>
      <c r="B164" s="11"/>
      <c r="C164" s="61"/>
      <c r="D164" s="29"/>
      <c r="E164" s="11"/>
      <c r="F164" s="11"/>
      <c r="G164" s="59"/>
      <c r="H164" s="71"/>
      <c r="J164" s="65" t="str">
        <f t="shared" si="22"/>
        <v/>
      </c>
      <c r="K164" s="72" t="str">
        <f t="shared" si="23"/>
        <v/>
      </c>
      <c r="L164" s="73">
        <f t="shared" si="24"/>
        <v>0</v>
      </c>
      <c r="M164" s="74" t="str">
        <f t="shared" si="25"/>
        <v/>
      </c>
      <c r="N164" s="75">
        <f t="shared" si="26"/>
        <v>0</v>
      </c>
      <c r="O164" s="75">
        <f t="shared" si="27"/>
        <v>0</v>
      </c>
      <c r="P164" s="75">
        <f>IF($C164="",0,COUNTIFS($J$7:$J164,$J164,$M$7:$M164,$M164,$C$7:$C164,$C164))</f>
        <v>0</v>
      </c>
      <c r="Q164" s="75">
        <f t="shared" si="28"/>
        <v>0</v>
      </c>
      <c r="R164" s="75">
        <f t="shared" si="29"/>
        <v>0</v>
      </c>
      <c r="S164" s="75">
        <f>IF($C164="",0,COUNTIFS(rl_key,$J164,rl_eff,"&lt;"&amp;$C164)+COUNTIFS($J$7:$J164,$J164,$C$7:$C164,$C164))</f>
        <v>0</v>
      </c>
      <c r="T164" s="75">
        <f>IF(OR($C164="",$E164&lt;&gt;"planned",$C164&lt;DATE(nr_PlanYear,1,1),$C164&gt;DATE(nr_PlanYear,12,31)),0,IF(AND(COUNTIFS(rl_key,$J164,rl_status,"planned",rl_eff,"&gt;="&amp;DATE(nr_PlanYear,1,1),rl_eff,"&lt;"&amp;$C164)=0,COUNTIFS($J$7:$J164,$J164,$E$7:$E164,"planned",$C$7:$C164,$C164)=1),1,0))</f>
        <v>0</v>
      </c>
      <c r="U164" s="75">
        <f>IF(OR($C164="",$E164&lt;&gt;"taken"),0,IF(AND(COUNTIFS(rl_key,$J164,rl_effmonth,$M164,rl_eff,"&lt;"&amp;$C164,rl_status,"taken")=0,COUNTIFS($J$7:$J164,$J164,$M$7:$M164,$M164,$C$7:$C164,$C164,$E$7:$E164,"taken")=1),1,0))</f>
        <v>0</v>
      </c>
      <c r="V164" s="66" t="str">
        <f t="shared" si="30"/>
        <v/>
      </c>
      <c r="W164" s="76" t="str">
        <f t="shared" si="31"/>
        <v/>
      </c>
      <c r="X164" s="77" t="str">
        <f>IF(OR($C164="",$J164&lt;&gt;nr_SelKey),"",(SUMPRODUCT(('Rate Engine'!$G$17:$G$64&gt;YEAR($C164)*12+MONTH($C164)-1)*'Rate Engine'!$H$17:$H$64,'Rate Engine'!$Q$17:$Q$64)+(EOMONTH($C164,0)-$C164+1)/DAY(EOMONTH($C164,0))*SUMPRODUCT(('Rate Engine'!$G$17:$G$64=YEAR($C164)*12+MONTH($C164)-1)*'Rate Engine'!$H$17:$H$64,'Rate Engine'!$Q$17:$Q$64))/SUMPRODUCT('Rate Engine'!$H$17:$H$64,'Rate Engine'!$Q$17:$Q$64))</f>
        <v/>
      </c>
      <c r="Y164" s="78" t="str">
        <f t="shared" si="32"/>
        <v/>
      </c>
    </row>
    <row r="165" spans="1:25" x14ac:dyDescent="0.3">
      <c r="A165" s="11"/>
      <c r="B165" s="11"/>
      <c r="C165" s="61"/>
      <c r="D165" s="29"/>
      <c r="E165" s="11"/>
      <c r="F165" s="11"/>
      <c r="G165" s="59"/>
      <c r="H165" s="71"/>
      <c r="J165" s="65" t="str">
        <f t="shared" si="22"/>
        <v/>
      </c>
      <c r="K165" s="72" t="str">
        <f t="shared" si="23"/>
        <v/>
      </c>
      <c r="L165" s="73">
        <f t="shared" si="24"/>
        <v>0</v>
      </c>
      <c r="M165" s="74" t="str">
        <f t="shared" si="25"/>
        <v/>
      </c>
      <c r="N165" s="75">
        <f t="shared" si="26"/>
        <v>0</v>
      </c>
      <c r="O165" s="75">
        <f t="shared" si="27"/>
        <v>0</v>
      </c>
      <c r="P165" s="75">
        <f>IF($C165="",0,COUNTIFS($J$7:$J165,$J165,$M$7:$M165,$M165,$C$7:$C165,$C165))</f>
        <v>0</v>
      </c>
      <c r="Q165" s="75">
        <f t="shared" si="28"/>
        <v>0</v>
      </c>
      <c r="R165" s="75">
        <f t="shared" si="29"/>
        <v>0</v>
      </c>
      <c r="S165" s="75">
        <f>IF($C165="",0,COUNTIFS(rl_key,$J165,rl_eff,"&lt;"&amp;$C165)+COUNTIFS($J$7:$J165,$J165,$C$7:$C165,$C165))</f>
        <v>0</v>
      </c>
      <c r="T165" s="75">
        <f>IF(OR($C165="",$E165&lt;&gt;"planned",$C165&lt;DATE(nr_PlanYear,1,1),$C165&gt;DATE(nr_PlanYear,12,31)),0,IF(AND(COUNTIFS(rl_key,$J165,rl_status,"planned",rl_eff,"&gt;="&amp;DATE(nr_PlanYear,1,1),rl_eff,"&lt;"&amp;$C165)=0,COUNTIFS($J$7:$J165,$J165,$E$7:$E165,"planned",$C$7:$C165,$C165)=1),1,0))</f>
        <v>0</v>
      </c>
      <c r="U165" s="75">
        <f>IF(OR($C165="",$E165&lt;&gt;"taken"),0,IF(AND(COUNTIFS(rl_key,$J165,rl_effmonth,$M165,rl_eff,"&lt;"&amp;$C165,rl_status,"taken")=0,COUNTIFS($J$7:$J165,$J165,$M$7:$M165,$M165,$C$7:$C165,$C165,$E$7:$E165,"taken")=1),1,0))</f>
        <v>0</v>
      </c>
      <c r="V165" s="66" t="str">
        <f t="shared" si="30"/>
        <v/>
      </c>
      <c r="W165" s="76" t="str">
        <f t="shared" si="31"/>
        <v/>
      </c>
      <c r="X165" s="77" t="str">
        <f>IF(OR($C165="",$J165&lt;&gt;nr_SelKey),"",(SUMPRODUCT(('Rate Engine'!$G$17:$G$64&gt;YEAR($C165)*12+MONTH($C165)-1)*'Rate Engine'!$H$17:$H$64,'Rate Engine'!$Q$17:$Q$64)+(EOMONTH($C165,0)-$C165+1)/DAY(EOMONTH($C165,0))*SUMPRODUCT(('Rate Engine'!$G$17:$G$64=YEAR($C165)*12+MONTH($C165)-1)*'Rate Engine'!$H$17:$H$64,'Rate Engine'!$Q$17:$Q$64))/SUMPRODUCT('Rate Engine'!$H$17:$H$64,'Rate Engine'!$Q$17:$Q$64))</f>
        <v/>
      </c>
      <c r="Y165" s="78" t="str">
        <f t="shared" si="32"/>
        <v/>
      </c>
    </row>
    <row r="166" spans="1:25" x14ac:dyDescent="0.3">
      <c r="A166" s="11"/>
      <c r="B166" s="11"/>
      <c r="C166" s="61"/>
      <c r="D166" s="29"/>
      <c r="E166" s="11"/>
      <c r="F166" s="11"/>
      <c r="G166" s="59"/>
      <c r="H166" s="71"/>
      <c r="J166" s="65" t="str">
        <f t="shared" si="22"/>
        <v/>
      </c>
      <c r="K166" s="72" t="str">
        <f t="shared" si="23"/>
        <v/>
      </c>
      <c r="L166" s="73">
        <f t="shared" si="24"/>
        <v>0</v>
      </c>
      <c r="M166" s="74" t="str">
        <f t="shared" si="25"/>
        <v/>
      </c>
      <c r="N166" s="75">
        <f t="shared" si="26"/>
        <v>0</v>
      </c>
      <c r="O166" s="75">
        <f t="shared" si="27"/>
        <v>0</v>
      </c>
      <c r="P166" s="75">
        <f>IF($C166="",0,COUNTIFS($J$7:$J166,$J166,$M$7:$M166,$M166,$C$7:$C166,$C166))</f>
        <v>0</v>
      </c>
      <c r="Q166" s="75">
        <f t="shared" si="28"/>
        <v>0</v>
      </c>
      <c r="R166" s="75">
        <f t="shared" si="29"/>
        <v>0</v>
      </c>
      <c r="S166" s="75">
        <f>IF($C166="",0,COUNTIFS(rl_key,$J166,rl_eff,"&lt;"&amp;$C166)+COUNTIFS($J$7:$J166,$J166,$C$7:$C166,$C166))</f>
        <v>0</v>
      </c>
      <c r="T166" s="75">
        <f>IF(OR($C166="",$E166&lt;&gt;"planned",$C166&lt;DATE(nr_PlanYear,1,1),$C166&gt;DATE(nr_PlanYear,12,31)),0,IF(AND(COUNTIFS(rl_key,$J166,rl_status,"planned",rl_eff,"&gt;="&amp;DATE(nr_PlanYear,1,1),rl_eff,"&lt;"&amp;$C166)=0,COUNTIFS($J$7:$J166,$J166,$E$7:$E166,"planned",$C$7:$C166,$C166)=1),1,0))</f>
        <v>0</v>
      </c>
      <c r="U166" s="75">
        <f>IF(OR($C166="",$E166&lt;&gt;"taken"),0,IF(AND(COUNTIFS(rl_key,$J166,rl_effmonth,$M166,rl_eff,"&lt;"&amp;$C166,rl_status,"taken")=0,COUNTIFS($J$7:$J166,$J166,$M$7:$M166,$M166,$C$7:$C166,$C166,$E$7:$E166,"taken")=1),1,0))</f>
        <v>0</v>
      </c>
      <c r="V166" s="66" t="str">
        <f t="shared" si="30"/>
        <v/>
      </c>
      <c r="W166" s="76" t="str">
        <f t="shared" si="31"/>
        <v/>
      </c>
      <c r="X166" s="77" t="str">
        <f>IF(OR($C166="",$J166&lt;&gt;nr_SelKey),"",(SUMPRODUCT(('Rate Engine'!$G$17:$G$64&gt;YEAR($C166)*12+MONTH($C166)-1)*'Rate Engine'!$H$17:$H$64,'Rate Engine'!$Q$17:$Q$64)+(EOMONTH($C166,0)-$C166+1)/DAY(EOMONTH($C166,0))*SUMPRODUCT(('Rate Engine'!$G$17:$G$64=YEAR($C166)*12+MONTH($C166)-1)*'Rate Engine'!$H$17:$H$64,'Rate Engine'!$Q$17:$Q$64))/SUMPRODUCT('Rate Engine'!$H$17:$H$64,'Rate Engine'!$Q$17:$Q$64))</f>
        <v/>
      </c>
      <c r="Y166" s="78" t="str">
        <f t="shared" si="32"/>
        <v/>
      </c>
    </row>
    <row r="167" spans="1:25" x14ac:dyDescent="0.3">
      <c r="A167" s="11"/>
      <c r="B167" s="11"/>
      <c r="C167" s="61"/>
      <c r="D167" s="29"/>
      <c r="E167" s="11"/>
      <c r="F167" s="11"/>
      <c r="G167" s="59"/>
      <c r="H167" s="71"/>
      <c r="J167" s="65" t="str">
        <f t="shared" si="22"/>
        <v/>
      </c>
      <c r="K167" s="72" t="str">
        <f t="shared" si="23"/>
        <v/>
      </c>
      <c r="L167" s="73">
        <f t="shared" si="24"/>
        <v>0</v>
      </c>
      <c r="M167" s="74" t="str">
        <f t="shared" si="25"/>
        <v/>
      </c>
      <c r="N167" s="75">
        <f t="shared" si="26"/>
        <v>0</v>
      </c>
      <c r="O167" s="75">
        <f t="shared" si="27"/>
        <v>0</v>
      </c>
      <c r="P167" s="75">
        <f>IF($C167="",0,COUNTIFS($J$7:$J167,$J167,$M$7:$M167,$M167,$C$7:$C167,$C167))</f>
        <v>0</v>
      </c>
      <c r="Q167" s="75">
        <f t="shared" si="28"/>
        <v>0</v>
      </c>
      <c r="R167" s="75">
        <f t="shared" si="29"/>
        <v>0</v>
      </c>
      <c r="S167" s="75">
        <f>IF($C167="",0,COUNTIFS(rl_key,$J167,rl_eff,"&lt;"&amp;$C167)+COUNTIFS($J$7:$J167,$J167,$C$7:$C167,$C167))</f>
        <v>0</v>
      </c>
      <c r="T167" s="75">
        <f>IF(OR($C167="",$E167&lt;&gt;"planned",$C167&lt;DATE(nr_PlanYear,1,1),$C167&gt;DATE(nr_PlanYear,12,31)),0,IF(AND(COUNTIFS(rl_key,$J167,rl_status,"planned",rl_eff,"&gt;="&amp;DATE(nr_PlanYear,1,1),rl_eff,"&lt;"&amp;$C167)=0,COUNTIFS($J$7:$J167,$J167,$E$7:$E167,"planned",$C$7:$C167,$C167)=1),1,0))</f>
        <v>0</v>
      </c>
      <c r="U167" s="75">
        <f>IF(OR($C167="",$E167&lt;&gt;"taken"),0,IF(AND(COUNTIFS(rl_key,$J167,rl_effmonth,$M167,rl_eff,"&lt;"&amp;$C167,rl_status,"taken")=0,COUNTIFS($J$7:$J167,$J167,$M$7:$M167,$M167,$C$7:$C167,$C167,$E$7:$E167,"taken")=1),1,0))</f>
        <v>0</v>
      </c>
      <c r="V167" s="66" t="str">
        <f t="shared" si="30"/>
        <v/>
      </c>
      <c r="W167" s="76" t="str">
        <f t="shared" si="31"/>
        <v/>
      </c>
      <c r="X167" s="77" t="str">
        <f>IF(OR($C167="",$J167&lt;&gt;nr_SelKey),"",(SUMPRODUCT(('Rate Engine'!$G$17:$G$64&gt;YEAR($C167)*12+MONTH($C167)-1)*'Rate Engine'!$H$17:$H$64,'Rate Engine'!$Q$17:$Q$64)+(EOMONTH($C167,0)-$C167+1)/DAY(EOMONTH($C167,0))*SUMPRODUCT(('Rate Engine'!$G$17:$G$64=YEAR($C167)*12+MONTH($C167)-1)*'Rate Engine'!$H$17:$H$64,'Rate Engine'!$Q$17:$Q$64))/SUMPRODUCT('Rate Engine'!$H$17:$H$64,'Rate Engine'!$Q$17:$Q$64))</f>
        <v/>
      </c>
      <c r="Y167" s="78" t="str">
        <f t="shared" si="32"/>
        <v/>
      </c>
    </row>
    <row r="168" spans="1:25" x14ac:dyDescent="0.3">
      <c r="A168" s="11"/>
      <c r="B168" s="11"/>
      <c r="C168" s="61"/>
      <c r="D168" s="29"/>
      <c r="E168" s="11"/>
      <c r="F168" s="11"/>
      <c r="G168" s="59"/>
      <c r="H168" s="71"/>
      <c r="J168" s="65" t="str">
        <f t="shared" si="22"/>
        <v/>
      </c>
      <c r="K168" s="72" t="str">
        <f t="shared" si="23"/>
        <v/>
      </c>
      <c r="L168" s="73">
        <f t="shared" si="24"/>
        <v>0</v>
      </c>
      <c r="M168" s="74" t="str">
        <f t="shared" si="25"/>
        <v/>
      </c>
      <c r="N168" s="75">
        <f t="shared" si="26"/>
        <v>0</v>
      </c>
      <c r="O168" s="75">
        <f t="shared" si="27"/>
        <v>0</v>
      </c>
      <c r="P168" s="75">
        <f>IF($C168="",0,COUNTIFS($J$7:$J168,$J168,$M$7:$M168,$M168,$C$7:$C168,$C168))</f>
        <v>0</v>
      </c>
      <c r="Q168" s="75">
        <f t="shared" si="28"/>
        <v>0</v>
      </c>
      <c r="R168" s="75">
        <f t="shared" si="29"/>
        <v>0</v>
      </c>
      <c r="S168" s="75">
        <f>IF($C168="",0,COUNTIFS(rl_key,$J168,rl_eff,"&lt;"&amp;$C168)+COUNTIFS($J$7:$J168,$J168,$C$7:$C168,$C168))</f>
        <v>0</v>
      </c>
      <c r="T168" s="75">
        <f>IF(OR($C168="",$E168&lt;&gt;"planned",$C168&lt;DATE(nr_PlanYear,1,1),$C168&gt;DATE(nr_PlanYear,12,31)),0,IF(AND(COUNTIFS(rl_key,$J168,rl_status,"planned",rl_eff,"&gt;="&amp;DATE(nr_PlanYear,1,1),rl_eff,"&lt;"&amp;$C168)=0,COUNTIFS($J$7:$J168,$J168,$E$7:$E168,"planned",$C$7:$C168,$C168)=1),1,0))</f>
        <v>0</v>
      </c>
      <c r="U168" s="75">
        <f>IF(OR($C168="",$E168&lt;&gt;"taken"),0,IF(AND(COUNTIFS(rl_key,$J168,rl_effmonth,$M168,rl_eff,"&lt;"&amp;$C168,rl_status,"taken")=0,COUNTIFS($J$7:$J168,$J168,$M$7:$M168,$M168,$C$7:$C168,$C168,$E$7:$E168,"taken")=1),1,0))</f>
        <v>0</v>
      </c>
      <c r="V168" s="66" t="str">
        <f t="shared" si="30"/>
        <v/>
      </c>
      <c r="W168" s="76" t="str">
        <f t="shared" si="31"/>
        <v/>
      </c>
      <c r="X168" s="77" t="str">
        <f>IF(OR($C168="",$J168&lt;&gt;nr_SelKey),"",(SUMPRODUCT(('Rate Engine'!$G$17:$G$64&gt;YEAR($C168)*12+MONTH($C168)-1)*'Rate Engine'!$H$17:$H$64,'Rate Engine'!$Q$17:$Q$64)+(EOMONTH($C168,0)-$C168+1)/DAY(EOMONTH($C168,0))*SUMPRODUCT(('Rate Engine'!$G$17:$G$64=YEAR($C168)*12+MONTH($C168)-1)*'Rate Engine'!$H$17:$H$64,'Rate Engine'!$Q$17:$Q$64))/SUMPRODUCT('Rate Engine'!$H$17:$H$64,'Rate Engine'!$Q$17:$Q$64))</f>
        <v/>
      </c>
      <c r="Y168" s="78" t="str">
        <f t="shared" si="32"/>
        <v/>
      </c>
    </row>
    <row r="169" spans="1:25" x14ac:dyDescent="0.3">
      <c r="A169" s="11"/>
      <c r="B169" s="11"/>
      <c r="C169" s="61"/>
      <c r="D169" s="29"/>
      <c r="E169" s="11"/>
      <c r="F169" s="11"/>
      <c r="G169" s="59"/>
      <c r="H169" s="71"/>
      <c r="J169" s="65" t="str">
        <f t="shared" si="22"/>
        <v/>
      </c>
      <c r="K169" s="72" t="str">
        <f t="shared" si="23"/>
        <v/>
      </c>
      <c r="L169" s="73">
        <f t="shared" si="24"/>
        <v>0</v>
      </c>
      <c r="M169" s="74" t="str">
        <f t="shared" si="25"/>
        <v/>
      </c>
      <c r="N169" s="75">
        <f t="shared" si="26"/>
        <v>0</v>
      </c>
      <c r="O169" s="75">
        <f t="shared" si="27"/>
        <v>0</v>
      </c>
      <c r="P169" s="75">
        <f>IF($C169="",0,COUNTIFS($J$7:$J169,$J169,$M$7:$M169,$M169,$C$7:$C169,$C169))</f>
        <v>0</v>
      </c>
      <c r="Q169" s="75">
        <f t="shared" si="28"/>
        <v>0</v>
      </c>
      <c r="R169" s="75">
        <f t="shared" si="29"/>
        <v>0</v>
      </c>
      <c r="S169" s="75">
        <f>IF($C169="",0,COUNTIFS(rl_key,$J169,rl_eff,"&lt;"&amp;$C169)+COUNTIFS($J$7:$J169,$J169,$C$7:$C169,$C169))</f>
        <v>0</v>
      </c>
      <c r="T169" s="75">
        <f>IF(OR($C169="",$E169&lt;&gt;"planned",$C169&lt;DATE(nr_PlanYear,1,1),$C169&gt;DATE(nr_PlanYear,12,31)),0,IF(AND(COUNTIFS(rl_key,$J169,rl_status,"planned",rl_eff,"&gt;="&amp;DATE(nr_PlanYear,1,1),rl_eff,"&lt;"&amp;$C169)=0,COUNTIFS($J$7:$J169,$J169,$E$7:$E169,"planned",$C$7:$C169,$C169)=1),1,0))</f>
        <v>0</v>
      </c>
      <c r="U169" s="75">
        <f>IF(OR($C169="",$E169&lt;&gt;"taken"),0,IF(AND(COUNTIFS(rl_key,$J169,rl_effmonth,$M169,rl_eff,"&lt;"&amp;$C169,rl_status,"taken")=0,COUNTIFS($J$7:$J169,$J169,$M$7:$M169,$M169,$C$7:$C169,$C169,$E$7:$E169,"taken")=1),1,0))</f>
        <v>0</v>
      </c>
      <c r="V169" s="66" t="str">
        <f t="shared" si="30"/>
        <v/>
      </c>
      <c r="W169" s="76" t="str">
        <f t="shared" si="31"/>
        <v/>
      </c>
      <c r="X169" s="77" t="str">
        <f>IF(OR($C169="",$J169&lt;&gt;nr_SelKey),"",(SUMPRODUCT(('Rate Engine'!$G$17:$G$64&gt;YEAR($C169)*12+MONTH($C169)-1)*'Rate Engine'!$H$17:$H$64,'Rate Engine'!$Q$17:$Q$64)+(EOMONTH($C169,0)-$C169+1)/DAY(EOMONTH($C169,0))*SUMPRODUCT(('Rate Engine'!$G$17:$G$64=YEAR($C169)*12+MONTH($C169)-1)*'Rate Engine'!$H$17:$H$64,'Rate Engine'!$Q$17:$Q$64))/SUMPRODUCT('Rate Engine'!$H$17:$H$64,'Rate Engine'!$Q$17:$Q$64))</f>
        <v/>
      </c>
      <c r="Y169" s="78" t="str">
        <f t="shared" si="32"/>
        <v/>
      </c>
    </row>
    <row r="170" spans="1:25" x14ac:dyDescent="0.3">
      <c r="A170" s="11"/>
      <c r="B170" s="11"/>
      <c r="C170" s="61"/>
      <c r="D170" s="29"/>
      <c r="E170" s="11"/>
      <c r="F170" s="11"/>
      <c r="G170" s="59"/>
      <c r="H170" s="71"/>
      <c r="J170" s="65" t="str">
        <f t="shared" si="22"/>
        <v/>
      </c>
      <c r="K170" s="72" t="str">
        <f t="shared" si="23"/>
        <v/>
      </c>
      <c r="L170" s="73">
        <f t="shared" si="24"/>
        <v>0</v>
      </c>
      <c r="M170" s="74" t="str">
        <f t="shared" si="25"/>
        <v/>
      </c>
      <c r="N170" s="75">
        <f t="shared" si="26"/>
        <v>0</v>
      </c>
      <c r="O170" s="75">
        <f t="shared" si="27"/>
        <v>0</v>
      </c>
      <c r="P170" s="75">
        <f>IF($C170="",0,COUNTIFS($J$7:$J170,$J170,$M$7:$M170,$M170,$C$7:$C170,$C170))</f>
        <v>0</v>
      </c>
      <c r="Q170" s="75">
        <f t="shared" si="28"/>
        <v>0</v>
      </c>
      <c r="R170" s="75">
        <f t="shared" si="29"/>
        <v>0</v>
      </c>
      <c r="S170" s="75">
        <f>IF($C170="",0,COUNTIFS(rl_key,$J170,rl_eff,"&lt;"&amp;$C170)+COUNTIFS($J$7:$J170,$J170,$C$7:$C170,$C170))</f>
        <v>0</v>
      </c>
      <c r="T170" s="75">
        <f>IF(OR($C170="",$E170&lt;&gt;"planned",$C170&lt;DATE(nr_PlanYear,1,1),$C170&gt;DATE(nr_PlanYear,12,31)),0,IF(AND(COUNTIFS(rl_key,$J170,rl_status,"planned",rl_eff,"&gt;="&amp;DATE(nr_PlanYear,1,1),rl_eff,"&lt;"&amp;$C170)=0,COUNTIFS($J$7:$J170,$J170,$E$7:$E170,"planned",$C$7:$C170,$C170)=1),1,0))</f>
        <v>0</v>
      </c>
      <c r="U170" s="75">
        <f>IF(OR($C170="",$E170&lt;&gt;"taken"),0,IF(AND(COUNTIFS(rl_key,$J170,rl_effmonth,$M170,rl_eff,"&lt;"&amp;$C170,rl_status,"taken")=0,COUNTIFS($J$7:$J170,$J170,$M$7:$M170,$M170,$C$7:$C170,$C170,$E$7:$E170,"taken")=1),1,0))</f>
        <v>0</v>
      </c>
      <c r="V170" s="66" t="str">
        <f t="shared" si="30"/>
        <v/>
      </c>
      <c r="W170" s="76" t="str">
        <f t="shared" si="31"/>
        <v/>
      </c>
      <c r="X170" s="77" t="str">
        <f>IF(OR($C170="",$J170&lt;&gt;nr_SelKey),"",(SUMPRODUCT(('Rate Engine'!$G$17:$G$64&gt;YEAR($C170)*12+MONTH($C170)-1)*'Rate Engine'!$H$17:$H$64,'Rate Engine'!$Q$17:$Q$64)+(EOMONTH($C170,0)-$C170+1)/DAY(EOMONTH($C170,0))*SUMPRODUCT(('Rate Engine'!$G$17:$G$64=YEAR($C170)*12+MONTH($C170)-1)*'Rate Engine'!$H$17:$H$64,'Rate Engine'!$Q$17:$Q$64))/SUMPRODUCT('Rate Engine'!$H$17:$H$64,'Rate Engine'!$Q$17:$Q$64))</f>
        <v/>
      </c>
      <c r="Y170" s="78" t="str">
        <f t="shared" si="32"/>
        <v/>
      </c>
    </row>
    <row r="171" spans="1:25" x14ac:dyDescent="0.3">
      <c r="A171" s="11"/>
      <c r="B171" s="11"/>
      <c r="C171" s="61"/>
      <c r="D171" s="29"/>
      <c r="E171" s="11"/>
      <c r="F171" s="11"/>
      <c r="G171" s="59"/>
      <c r="H171" s="71"/>
      <c r="J171" s="65" t="str">
        <f t="shared" si="22"/>
        <v/>
      </c>
      <c r="K171" s="72" t="str">
        <f t="shared" si="23"/>
        <v/>
      </c>
      <c r="L171" s="73">
        <f t="shared" si="24"/>
        <v>0</v>
      </c>
      <c r="M171" s="74" t="str">
        <f t="shared" si="25"/>
        <v/>
      </c>
      <c r="N171" s="75">
        <f t="shared" si="26"/>
        <v>0</v>
      </c>
      <c r="O171" s="75">
        <f t="shared" si="27"/>
        <v>0</v>
      </c>
      <c r="P171" s="75">
        <f>IF($C171="",0,COUNTIFS($J$7:$J171,$J171,$M$7:$M171,$M171,$C$7:$C171,$C171))</f>
        <v>0</v>
      </c>
      <c r="Q171" s="75">
        <f t="shared" si="28"/>
        <v>0</v>
      </c>
      <c r="R171" s="75">
        <f t="shared" si="29"/>
        <v>0</v>
      </c>
      <c r="S171" s="75">
        <f>IF($C171="",0,COUNTIFS(rl_key,$J171,rl_eff,"&lt;"&amp;$C171)+COUNTIFS($J$7:$J171,$J171,$C$7:$C171,$C171))</f>
        <v>0</v>
      </c>
      <c r="T171" s="75">
        <f>IF(OR($C171="",$E171&lt;&gt;"planned",$C171&lt;DATE(nr_PlanYear,1,1),$C171&gt;DATE(nr_PlanYear,12,31)),0,IF(AND(COUNTIFS(rl_key,$J171,rl_status,"planned",rl_eff,"&gt;="&amp;DATE(nr_PlanYear,1,1),rl_eff,"&lt;"&amp;$C171)=0,COUNTIFS($J$7:$J171,$J171,$E$7:$E171,"planned",$C$7:$C171,$C171)=1),1,0))</f>
        <v>0</v>
      </c>
      <c r="U171" s="75">
        <f>IF(OR($C171="",$E171&lt;&gt;"taken"),0,IF(AND(COUNTIFS(rl_key,$J171,rl_effmonth,$M171,rl_eff,"&lt;"&amp;$C171,rl_status,"taken")=0,COUNTIFS($J$7:$J171,$J171,$M$7:$M171,$M171,$C$7:$C171,$C171,$E$7:$E171,"taken")=1),1,0))</f>
        <v>0</v>
      </c>
      <c r="V171" s="66" t="str">
        <f t="shared" si="30"/>
        <v/>
      </c>
      <c r="W171" s="76" t="str">
        <f t="shared" si="31"/>
        <v/>
      </c>
      <c r="X171" s="77" t="str">
        <f>IF(OR($C171="",$J171&lt;&gt;nr_SelKey),"",(SUMPRODUCT(('Rate Engine'!$G$17:$G$64&gt;YEAR($C171)*12+MONTH($C171)-1)*'Rate Engine'!$H$17:$H$64,'Rate Engine'!$Q$17:$Q$64)+(EOMONTH($C171,0)-$C171+1)/DAY(EOMONTH($C171,0))*SUMPRODUCT(('Rate Engine'!$G$17:$G$64=YEAR($C171)*12+MONTH($C171)-1)*'Rate Engine'!$H$17:$H$64,'Rate Engine'!$Q$17:$Q$64))/SUMPRODUCT('Rate Engine'!$H$17:$H$64,'Rate Engine'!$Q$17:$Q$64))</f>
        <v/>
      </c>
      <c r="Y171" s="78" t="str">
        <f t="shared" si="32"/>
        <v/>
      </c>
    </row>
    <row r="172" spans="1:25" x14ac:dyDescent="0.3">
      <c r="A172" s="11"/>
      <c r="B172" s="11"/>
      <c r="C172" s="61"/>
      <c r="D172" s="29"/>
      <c r="E172" s="11"/>
      <c r="F172" s="11"/>
      <c r="G172" s="59"/>
      <c r="H172" s="71"/>
      <c r="J172" s="65" t="str">
        <f t="shared" si="22"/>
        <v/>
      </c>
      <c r="K172" s="72" t="str">
        <f t="shared" si="23"/>
        <v/>
      </c>
      <c r="L172" s="73">
        <f t="shared" si="24"/>
        <v>0</v>
      </c>
      <c r="M172" s="74" t="str">
        <f t="shared" si="25"/>
        <v/>
      </c>
      <c r="N172" s="75">
        <f t="shared" si="26"/>
        <v>0</v>
      </c>
      <c r="O172" s="75">
        <f t="shared" si="27"/>
        <v>0</v>
      </c>
      <c r="P172" s="75">
        <f>IF($C172="",0,COUNTIFS($J$7:$J172,$J172,$M$7:$M172,$M172,$C$7:$C172,$C172))</f>
        <v>0</v>
      </c>
      <c r="Q172" s="75">
        <f t="shared" si="28"/>
        <v>0</v>
      </c>
      <c r="R172" s="75">
        <f t="shared" si="29"/>
        <v>0</v>
      </c>
      <c r="S172" s="75">
        <f>IF($C172="",0,COUNTIFS(rl_key,$J172,rl_eff,"&lt;"&amp;$C172)+COUNTIFS($J$7:$J172,$J172,$C$7:$C172,$C172))</f>
        <v>0</v>
      </c>
      <c r="T172" s="75">
        <f>IF(OR($C172="",$E172&lt;&gt;"planned",$C172&lt;DATE(nr_PlanYear,1,1),$C172&gt;DATE(nr_PlanYear,12,31)),0,IF(AND(COUNTIFS(rl_key,$J172,rl_status,"planned",rl_eff,"&gt;="&amp;DATE(nr_PlanYear,1,1),rl_eff,"&lt;"&amp;$C172)=0,COUNTIFS($J$7:$J172,$J172,$E$7:$E172,"planned",$C$7:$C172,$C172)=1),1,0))</f>
        <v>0</v>
      </c>
      <c r="U172" s="75">
        <f>IF(OR($C172="",$E172&lt;&gt;"taken"),0,IF(AND(COUNTIFS(rl_key,$J172,rl_effmonth,$M172,rl_eff,"&lt;"&amp;$C172,rl_status,"taken")=0,COUNTIFS($J$7:$J172,$J172,$M$7:$M172,$M172,$C$7:$C172,$C172,$E$7:$E172,"taken")=1),1,0))</f>
        <v>0</v>
      </c>
      <c r="V172" s="66" t="str">
        <f t="shared" si="30"/>
        <v/>
      </c>
      <c r="W172" s="76" t="str">
        <f t="shared" si="31"/>
        <v/>
      </c>
      <c r="X172" s="77" t="str">
        <f>IF(OR($C172="",$J172&lt;&gt;nr_SelKey),"",(SUMPRODUCT(('Rate Engine'!$G$17:$G$64&gt;YEAR($C172)*12+MONTH($C172)-1)*'Rate Engine'!$H$17:$H$64,'Rate Engine'!$Q$17:$Q$64)+(EOMONTH($C172,0)-$C172+1)/DAY(EOMONTH($C172,0))*SUMPRODUCT(('Rate Engine'!$G$17:$G$64=YEAR($C172)*12+MONTH($C172)-1)*'Rate Engine'!$H$17:$H$64,'Rate Engine'!$Q$17:$Q$64))/SUMPRODUCT('Rate Engine'!$H$17:$H$64,'Rate Engine'!$Q$17:$Q$64))</f>
        <v/>
      </c>
      <c r="Y172" s="78" t="str">
        <f t="shared" si="32"/>
        <v/>
      </c>
    </row>
    <row r="173" spans="1:25" x14ac:dyDescent="0.3">
      <c r="A173" s="11"/>
      <c r="B173" s="11"/>
      <c r="C173" s="61"/>
      <c r="D173" s="29"/>
      <c r="E173" s="11"/>
      <c r="F173" s="11"/>
      <c r="G173" s="59"/>
      <c r="H173" s="71"/>
      <c r="J173" s="65" t="str">
        <f t="shared" si="22"/>
        <v/>
      </c>
      <c r="K173" s="72" t="str">
        <f t="shared" si="23"/>
        <v/>
      </c>
      <c r="L173" s="73">
        <f t="shared" si="24"/>
        <v>0</v>
      </c>
      <c r="M173" s="74" t="str">
        <f t="shared" si="25"/>
        <v/>
      </c>
      <c r="N173" s="75">
        <f t="shared" si="26"/>
        <v>0</v>
      </c>
      <c r="O173" s="75">
        <f t="shared" si="27"/>
        <v>0</v>
      </c>
      <c r="P173" s="75">
        <f>IF($C173="",0,COUNTIFS($J$7:$J173,$J173,$M$7:$M173,$M173,$C$7:$C173,$C173))</f>
        <v>0</v>
      </c>
      <c r="Q173" s="75">
        <f t="shared" si="28"/>
        <v>0</v>
      </c>
      <c r="R173" s="75">
        <f t="shared" si="29"/>
        <v>0</v>
      </c>
      <c r="S173" s="75">
        <f>IF($C173="",0,COUNTIFS(rl_key,$J173,rl_eff,"&lt;"&amp;$C173)+COUNTIFS($J$7:$J173,$J173,$C$7:$C173,$C173))</f>
        <v>0</v>
      </c>
      <c r="T173" s="75">
        <f>IF(OR($C173="",$E173&lt;&gt;"planned",$C173&lt;DATE(nr_PlanYear,1,1),$C173&gt;DATE(nr_PlanYear,12,31)),0,IF(AND(COUNTIFS(rl_key,$J173,rl_status,"planned",rl_eff,"&gt;="&amp;DATE(nr_PlanYear,1,1),rl_eff,"&lt;"&amp;$C173)=0,COUNTIFS($J$7:$J173,$J173,$E$7:$E173,"planned",$C$7:$C173,$C173)=1),1,0))</f>
        <v>0</v>
      </c>
      <c r="U173" s="75">
        <f>IF(OR($C173="",$E173&lt;&gt;"taken"),0,IF(AND(COUNTIFS(rl_key,$J173,rl_effmonth,$M173,rl_eff,"&lt;"&amp;$C173,rl_status,"taken")=0,COUNTIFS($J$7:$J173,$J173,$M$7:$M173,$M173,$C$7:$C173,$C173,$E$7:$E173,"taken")=1),1,0))</f>
        <v>0</v>
      </c>
      <c r="V173" s="66" t="str">
        <f t="shared" si="30"/>
        <v/>
      </c>
      <c r="W173" s="76" t="str">
        <f t="shared" si="31"/>
        <v/>
      </c>
      <c r="X173" s="77" t="str">
        <f>IF(OR($C173="",$J173&lt;&gt;nr_SelKey),"",(SUMPRODUCT(('Rate Engine'!$G$17:$G$64&gt;YEAR($C173)*12+MONTH($C173)-1)*'Rate Engine'!$H$17:$H$64,'Rate Engine'!$Q$17:$Q$64)+(EOMONTH($C173,0)-$C173+1)/DAY(EOMONTH($C173,0))*SUMPRODUCT(('Rate Engine'!$G$17:$G$64=YEAR($C173)*12+MONTH($C173)-1)*'Rate Engine'!$H$17:$H$64,'Rate Engine'!$Q$17:$Q$64))/SUMPRODUCT('Rate Engine'!$H$17:$H$64,'Rate Engine'!$Q$17:$Q$64))</f>
        <v/>
      </c>
      <c r="Y173" s="78" t="str">
        <f t="shared" si="32"/>
        <v/>
      </c>
    </row>
    <row r="174" spans="1:25" x14ac:dyDescent="0.3">
      <c r="A174" s="11"/>
      <c r="B174" s="11"/>
      <c r="C174" s="61"/>
      <c r="D174" s="29"/>
      <c r="E174" s="11"/>
      <c r="F174" s="11"/>
      <c r="G174" s="59"/>
      <c r="H174" s="71"/>
      <c r="J174" s="65" t="str">
        <f t="shared" si="22"/>
        <v/>
      </c>
      <c r="K174" s="72" t="str">
        <f t="shared" si="23"/>
        <v/>
      </c>
      <c r="L174" s="73">
        <f t="shared" si="24"/>
        <v>0</v>
      </c>
      <c r="M174" s="74" t="str">
        <f t="shared" si="25"/>
        <v/>
      </c>
      <c r="N174" s="75">
        <f t="shared" si="26"/>
        <v>0</v>
      </c>
      <c r="O174" s="75">
        <f t="shared" si="27"/>
        <v>0</v>
      </c>
      <c r="P174" s="75">
        <f>IF($C174="",0,COUNTIFS($J$7:$J174,$J174,$M$7:$M174,$M174,$C$7:$C174,$C174))</f>
        <v>0</v>
      </c>
      <c r="Q174" s="75">
        <f t="shared" si="28"/>
        <v>0</v>
      </c>
      <c r="R174" s="75">
        <f t="shared" si="29"/>
        <v>0</v>
      </c>
      <c r="S174" s="75">
        <f>IF($C174="",0,COUNTIFS(rl_key,$J174,rl_eff,"&lt;"&amp;$C174)+COUNTIFS($J$7:$J174,$J174,$C$7:$C174,$C174))</f>
        <v>0</v>
      </c>
      <c r="T174" s="75">
        <f>IF(OR($C174="",$E174&lt;&gt;"planned",$C174&lt;DATE(nr_PlanYear,1,1),$C174&gt;DATE(nr_PlanYear,12,31)),0,IF(AND(COUNTIFS(rl_key,$J174,rl_status,"planned",rl_eff,"&gt;="&amp;DATE(nr_PlanYear,1,1),rl_eff,"&lt;"&amp;$C174)=0,COUNTIFS($J$7:$J174,$J174,$E$7:$E174,"planned",$C$7:$C174,$C174)=1),1,0))</f>
        <v>0</v>
      </c>
      <c r="U174" s="75">
        <f>IF(OR($C174="",$E174&lt;&gt;"taken"),0,IF(AND(COUNTIFS(rl_key,$J174,rl_effmonth,$M174,rl_eff,"&lt;"&amp;$C174,rl_status,"taken")=0,COUNTIFS($J$7:$J174,$J174,$M$7:$M174,$M174,$C$7:$C174,$C174,$E$7:$E174,"taken")=1),1,0))</f>
        <v>0</v>
      </c>
      <c r="V174" s="66" t="str">
        <f t="shared" si="30"/>
        <v/>
      </c>
      <c r="W174" s="76" t="str">
        <f t="shared" si="31"/>
        <v/>
      </c>
      <c r="X174" s="77" t="str">
        <f>IF(OR($C174="",$J174&lt;&gt;nr_SelKey),"",(SUMPRODUCT(('Rate Engine'!$G$17:$G$64&gt;YEAR($C174)*12+MONTH($C174)-1)*'Rate Engine'!$H$17:$H$64,'Rate Engine'!$Q$17:$Q$64)+(EOMONTH($C174,0)-$C174+1)/DAY(EOMONTH($C174,0))*SUMPRODUCT(('Rate Engine'!$G$17:$G$64=YEAR($C174)*12+MONTH($C174)-1)*'Rate Engine'!$H$17:$H$64,'Rate Engine'!$Q$17:$Q$64))/SUMPRODUCT('Rate Engine'!$H$17:$H$64,'Rate Engine'!$Q$17:$Q$64))</f>
        <v/>
      </c>
      <c r="Y174" s="78" t="str">
        <f t="shared" si="32"/>
        <v/>
      </c>
    </row>
    <row r="175" spans="1:25" x14ac:dyDescent="0.3">
      <c r="A175" s="11"/>
      <c r="B175" s="11"/>
      <c r="C175" s="61"/>
      <c r="D175" s="29"/>
      <c r="E175" s="11"/>
      <c r="F175" s="11"/>
      <c r="G175" s="59"/>
      <c r="H175" s="71"/>
      <c r="J175" s="65" t="str">
        <f t="shared" si="22"/>
        <v/>
      </c>
      <c r="K175" s="72" t="str">
        <f t="shared" si="23"/>
        <v/>
      </c>
      <c r="L175" s="73">
        <f t="shared" si="24"/>
        <v>0</v>
      </c>
      <c r="M175" s="74" t="str">
        <f t="shared" si="25"/>
        <v/>
      </c>
      <c r="N175" s="75">
        <f t="shared" si="26"/>
        <v>0</v>
      </c>
      <c r="O175" s="75">
        <f t="shared" si="27"/>
        <v>0</v>
      </c>
      <c r="P175" s="75">
        <f>IF($C175="",0,COUNTIFS($J$7:$J175,$J175,$M$7:$M175,$M175,$C$7:$C175,$C175))</f>
        <v>0</v>
      </c>
      <c r="Q175" s="75">
        <f t="shared" si="28"/>
        <v>0</v>
      </c>
      <c r="R175" s="75">
        <f t="shared" si="29"/>
        <v>0</v>
      </c>
      <c r="S175" s="75">
        <f>IF($C175="",0,COUNTIFS(rl_key,$J175,rl_eff,"&lt;"&amp;$C175)+COUNTIFS($J$7:$J175,$J175,$C$7:$C175,$C175))</f>
        <v>0</v>
      </c>
      <c r="T175" s="75">
        <f>IF(OR($C175="",$E175&lt;&gt;"planned",$C175&lt;DATE(nr_PlanYear,1,1),$C175&gt;DATE(nr_PlanYear,12,31)),0,IF(AND(COUNTIFS(rl_key,$J175,rl_status,"planned",rl_eff,"&gt;="&amp;DATE(nr_PlanYear,1,1),rl_eff,"&lt;"&amp;$C175)=0,COUNTIFS($J$7:$J175,$J175,$E$7:$E175,"planned",$C$7:$C175,$C175)=1),1,0))</f>
        <v>0</v>
      </c>
      <c r="U175" s="75">
        <f>IF(OR($C175="",$E175&lt;&gt;"taken"),0,IF(AND(COUNTIFS(rl_key,$J175,rl_effmonth,$M175,rl_eff,"&lt;"&amp;$C175,rl_status,"taken")=0,COUNTIFS($J$7:$J175,$J175,$M$7:$M175,$M175,$C$7:$C175,$C175,$E$7:$E175,"taken")=1),1,0))</f>
        <v>0</v>
      </c>
      <c r="V175" s="66" t="str">
        <f t="shared" si="30"/>
        <v/>
      </c>
      <c r="W175" s="76" t="str">
        <f t="shared" si="31"/>
        <v/>
      </c>
      <c r="X175" s="77" t="str">
        <f>IF(OR($C175="",$J175&lt;&gt;nr_SelKey),"",(SUMPRODUCT(('Rate Engine'!$G$17:$G$64&gt;YEAR($C175)*12+MONTH($C175)-1)*'Rate Engine'!$H$17:$H$64,'Rate Engine'!$Q$17:$Q$64)+(EOMONTH($C175,0)-$C175+1)/DAY(EOMONTH($C175,0))*SUMPRODUCT(('Rate Engine'!$G$17:$G$64=YEAR($C175)*12+MONTH($C175)-1)*'Rate Engine'!$H$17:$H$64,'Rate Engine'!$Q$17:$Q$64))/SUMPRODUCT('Rate Engine'!$H$17:$H$64,'Rate Engine'!$Q$17:$Q$64))</f>
        <v/>
      </c>
      <c r="Y175" s="78" t="str">
        <f t="shared" si="32"/>
        <v/>
      </c>
    </row>
    <row r="176" spans="1:25" x14ac:dyDescent="0.3">
      <c r="A176" s="11"/>
      <c r="B176" s="11"/>
      <c r="C176" s="61"/>
      <c r="D176" s="29"/>
      <c r="E176" s="11"/>
      <c r="F176" s="11"/>
      <c r="G176" s="59"/>
      <c r="H176" s="71"/>
      <c r="J176" s="65" t="str">
        <f t="shared" si="22"/>
        <v/>
      </c>
      <c r="K176" s="72" t="str">
        <f t="shared" si="23"/>
        <v/>
      </c>
      <c r="L176" s="73">
        <f t="shared" si="24"/>
        <v>0</v>
      </c>
      <c r="M176" s="74" t="str">
        <f t="shared" si="25"/>
        <v/>
      </c>
      <c r="N176" s="75">
        <f t="shared" si="26"/>
        <v>0</v>
      </c>
      <c r="O176" s="75">
        <f t="shared" si="27"/>
        <v>0</v>
      </c>
      <c r="P176" s="75">
        <f>IF($C176="",0,COUNTIFS($J$7:$J176,$J176,$M$7:$M176,$M176,$C$7:$C176,$C176))</f>
        <v>0</v>
      </c>
      <c r="Q176" s="75">
        <f t="shared" si="28"/>
        <v>0</v>
      </c>
      <c r="R176" s="75">
        <f t="shared" si="29"/>
        <v>0</v>
      </c>
      <c r="S176" s="75">
        <f>IF($C176="",0,COUNTIFS(rl_key,$J176,rl_eff,"&lt;"&amp;$C176)+COUNTIFS($J$7:$J176,$J176,$C$7:$C176,$C176))</f>
        <v>0</v>
      </c>
      <c r="T176" s="75">
        <f>IF(OR($C176="",$E176&lt;&gt;"planned",$C176&lt;DATE(nr_PlanYear,1,1),$C176&gt;DATE(nr_PlanYear,12,31)),0,IF(AND(COUNTIFS(rl_key,$J176,rl_status,"planned",rl_eff,"&gt;="&amp;DATE(nr_PlanYear,1,1),rl_eff,"&lt;"&amp;$C176)=0,COUNTIFS($J$7:$J176,$J176,$E$7:$E176,"planned",$C$7:$C176,$C176)=1),1,0))</f>
        <v>0</v>
      </c>
      <c r="U176" s="75">
        <f>IF(OR($C176="",$E176&lt;&gt;"taken"),0,IF(AND(COUNTIFS(rl_key,$J176,rl_effmonth,$M176,rl_eff,"&lt;"&amp;$C176,rl_status,"taken")=0,COUNTIFS($J$7:$J176,$J176,$M$7:$M176,$M176,$C$7:$C176,$C176,$E$7:$E176,"taken")=1),1,0))</f>
        <v>0</v>
      </c>
      <c r="V176" s="66" t="str">
        <f t="shared" si="30"/>
        <v/>
      </c>
      <c r="W176" s="76" t="str">
        <f t="shared" si="31"/>
        <v/>
      </c>
      <c r="X176" s="77" t="str">
        <f>IF(OR($C176="",$J176&lt;&gt;nr_SelKey),"",(SUMPRODUCT(('Rate Engine'!$G$17:$G$64&gt;YEAR($C176)*12+MONTH($C176)-1)*'Rate Engine'!$H$17:$H$64,'Rate Engine'!$Q$17:$Q$64)+(EOMONTH($C176,0)-$C176+1)/DAY(EOMONTH($C176,0))*SUMPRODUCT(('Rate Engine'!$G$17:$G$64=YEAR($C176)*12+MONTH($C176)-1)*'Rate Engine'!$H$17:$H$64,'Rate Engine'!$Q$17:$Q$64))/SUMPRODUCT('Rate Engine'!$H$17:$H$64,'Rate Engine'!$Q$17:$Q$64))</f>
        <v/>
      </c>
      <c r="Y176" s="78" t="str">
        <f t="shared" si="32"/>
        <v/>
      </c>
    </row>
    <row r="177" spans="1:25" x14ac:dyDescent="0.3">
      <c r="A177" s="11"/>
      <c r="B177" s="11"/>
      <c r="C177" s="61"/>
      <c r="D177" s="29"/>
      <c r="E177" s="11"/>
      <c r="F177" s="11"/>
      <c r="G177" s="59"/>
      <c r="H177" s="71"/>
      <c r="J177" s="65" t="str">
        <f t="shared" si="22"/>
        <v/>
      </c>
      <c r="K177" s="72" t="str">
        <f t="shared" si="23"/>
        <v/>
      </c>
      <c r="L177" s="73">
        <f t="shared" si="24"/>
        <v>0</v>
      </c>
      <c r="M177" s="74" t="str">
        <f t="shared" si="25"/>
        <v/>
      </c>
      <c r="N177" s="75">
        <f t="shared" si="26"/>
        <v>0</v>
      </c>
      <c r="O177" s="75">
        <f t="shared" si="27"/>
        <v>0</v>
      </c>
      <c r="P177" s="75">
        <f>IF($C177="",0,COUNTIFS($J$7:$J177,$J177,$M$7:$M177,$M177,$C$7:$C177,$C177))</f>
        <v>0</v>
      </c>
      <c r="Q177" s="75">
        <f t="shared" si="28"/>
        <v>0</v>
      </c>
      <c r="R177" s="75">
        <f t="shared" si="29"/>
        <v>0</v>
      </c>
      <c r="S177" s="75">
        <f>IF($C177="",0,COUNTIFS(rl_key,$J177,rl_eff,"&lt;"&amp;$C177)+COUNTIFS($J$7:$J177,$J177,$C$7:$C177,$C177))</f>
        <v>0</v>
      </c>
      <c r="T177" s="75">
        <f>IF(OR($C177="",$E177&lt;&gt;"planned",$C177&lt;DATE(nr_PlanYear,1,1),$C177&gt;DATE(nr_PlanYear,12,31)),0,IF(AND(COUNTIFS(rl_key,$J177,rl_status,"planned",rl_eff,"&gt;="&amp;DATE(nr_PlanYear,1,1),rl_eff,"&lt;"&amp;$C177)=0,COUNTIFS($J$7:$J177,$J177,$E$7:$E177,"planned",$C$7:$C177,$C177)=1),1,0))</f>
        <v>0</v>
      </c>
      <c r="U177" s="75">
        <f>IF(OR($C177="",$E177&lt;&gt;"taken"),0,IF(AND(COUNTIFS(rl_key,$J177,rl_effmonth,$M177,rl_eff,"&lt;"&amp;$C177,rl_status,"taken")=0,COUNTIFS($J$7:$J177,$J177,$M$7:$M177,$M177,$C$7:$C177,$C177,$E$7:$E177,"taken")=1),1,0))</f>
        <v>0</v>
      </c>
      <c r="V177" s="66" t="str">
        <f t="shared" si="30"/>
        <v/>
      </c>
      <c r="W177" s="76" t="str">
        <f t="shared" si="31"/>
        <v/>
      </c>
      <c r="X177" s="77" t="str">
        <f>IF(OR($C177="",$J177&lt;&gt;nr_SelKey),"",(SUMPRODUCT(('Rate Engine'!$G$17:$G$64&gt;YEAR($C177)*12+MONTH($C177)-1)*'Rate Engine'!$H$17:$H$64,'Rate Engine'!$Q$17:$Q$64)+(EOMONTH($C177,0)-$C177+1)/DAY(EOMONTH($C177,0))*SUMPRODUCT(('Rate Engine'!$G$17:$G$64=YEAR($C177)*12+MONTH($C177)-1)*'Rate Engine'!$H$17:$H$64,'Rate Engine'!$Q$17:$Q$64))/SUMPRODUCT('Rate Engine'!$H$17:$H$64,'Rate Engine'!$Q$17:$Q$64))</f>
        <v/>
      </c>
      <c r="Y177" s="78" t="str">
        <f t="shared" si="32"/>
        <v/>
      </c>
    </row>
    <row r="178" spans="1:25" x14ac:dyDescent="0.3">
      <c r="A178" s="11"/>
      <c r="B178" s="11"/>
      <c r="C178" s="61"/>
      <c r="D178" s="29"/>
      <c r="E178" s="11"/>
      <c r="F178" s="11"/>
      <c r="G178" s="59"/>
      <c r="H178" s="71"/>
      <c r="J178" s="65" t="str">
        <f t="shared" si="22"/>
        <v/>
      </c>
      <c r="K178" s="72" t="str">
        <f t="shared" si="23"/>
        <v/>
      </c>
      <c r="L178" s="73">
        <f t="shared" si="24"/>
        <v>0</v>
      </c>
      <c r="M178" s="74" t="str">
        <f t="shared" si="25"/>
        <v/>
      </c>
      <c r="N178" s="75">
        <f t="shared" si="26"/>
        <v>0</v>
      </c>
      <c r="O178" s="75">
        <f t="shared" si="27"/>
        <v>0</v>
      </c>
      <c r="P178" s="75">
        <f>IF($C178="",0,COUNTIFS($J$7:$J178,$J178,$M$7:$M178,$M178,$C$7:$C178,$C178))</f>
        <v>0</v>
      </c>
      <c r="Q178" s="75">
        <f t="shared" si="28"/>
        <v>0</v>
      </c>
      <c r="R178" s="75">
        <f t="shared" si="29"/>
        <v>0</v>
      </c>
      <c r="S178" s="75">
        <f>IF($C178="",0,COUNTIFS(rl_key,$J178,rl_eff,"&lt;"&amp;$C178)+COUNTIFS($J$7:$J178,$J178,$C$7:$C178,$C178))</f>
        <v>0</v>
      </c>
      <c r="T178" s="75">
        <f>IF(OR($C178="",$E178&lt;&gt;"planned",$C178&lt;DATE(nr_PlanYear,1,1),$C178&gt;DATE(nr_PlanYear,12,31)),0,IF(AND(COUNTIFS(rl_key,$J178,rl_status,"planned",rl_eff,"&gt;="&amp;DATE(nr_PlanYear,1,1),rl_eff,"&lt;"&amp;$C178)=0,COUNTIFS($J$7:$J178,$J178,$E$7:$E178,"planned",$C$7:$C178,$C178)=1),1,0))</f>
        <v>0</v>
      </c>
      <c r="U178" s="75">
        <f>IF(OR($C178="",$E178&lt;&gt;"taken"),0,IF(AND(COUNTIFS(rl_key,$J178,rl_effmonth,$M178,rl_eff,"&lt;"&amp;$C178,rl_status,"taken")=0,COUNTIFS($J$7:$J178,$J178,$M$7:$M178,$M178,$C$7:$C178,$C178,$E$7:$E178,"taken")=1),1,0))</f>
        <v>0</v>
      </c>
      <c r="V178" s="66" t="str">
        <f t="shared" si="30"/>
        <v/>
      </c>
      <c r="W178" s="76" t="str">
        <f t="shared" si="31"/>
        <v/>
      </c>
      <c r="X178" s="77" t="str">
        <f>IF(OR($C178="",$J178&lt;&gt;nr_SelKey),"",(SUMPRODUCT(('Rate Engine'!$G$17:$G$64&gt;YEAR($C178)*12+MONTH($C178)-1)*'Rate Engine'!$H$17:$H$64,'Rate Engine'!$Q$17:$Q$64)+(EOMONTH($C178,0)-$C178+1)/DAY(EOMONTH($C178,0))*SUMPRODUCT(('Rate Engine'!$G$17:$G$64=YEAR($C178)*12+MONTH($C178)-1)*'Rate Engine'!$H$17:$H$64,'Rate Engine'!$Q$17:$Q$64))/SUMPRODUCT('Rate Engine'!$H$17:$H$64,'Rate Engine'!$Q$17:$Q$64))</f>
        <v/>
      </c>
      <c r="Y178" s="78" t="str">
        <f t="shared" si="32"/>
        <v/>
      </c>
    </row>
    <row r="179" spans="1:25" x14ac:dyDescent="0.3">
      <c r="A179" s="11"/>
      <c r="B179" s="11"/>
      <c r="C179" s="61"/>
      <c r="D179" s="29"/>
      <c r="E179" s="11"/>
      <c r="F179" s="11"/>
      <c r="G179" s="59"/>
      <c r="H179" s="71"/>
      <c r="J179" s="65" t="str">
        <f t="shared" si="22"/>
        <v/>
      </c>
      <c r="K179" s="72" t="str">
        <f t="shared" si="23"/>
        <v/>
      </c>
      <c r="L179" s="73">
        <f t="shared" si="24"/>
        <v>0</v>
      </c>
      <c r="M179" s="74" t="str">
        <f t="shared" si="25"/>
        <v/>
      </c>
      <c r="N179" s="75">
        <f t="shared" si="26"/>
        <v>0</v>
      </c>
      <c r="O179" s="75">
        <f t="shared" si="27"/>
        <v>0</v>
      </c>
      <c r="P179" s="75">
        <f>IF($C179="",0,COUNTIFS($J$7:$J179,$J179,$M$7:$M179,$M179,$C$7:$C179,$C179))</f>
        <v>0</v>
      </c>
      <c r="Q179" s="75">
        <f t="shared" si="28"/>
        <v>0</v>
      </c>
      <c r="R179" s="75">
        <f t="shared" si="29"/>
        <v>0</v>
      </c>
      <c r="S179" s="75">
        <f>IF($C179="",0,COUNTIFS(rl_key,$J179,rl_eff,"&lt;"&amp;$C179)+COUNTIFS($J$7:$J179,$J179,$C$7:$C179,$C179))</f>
        <v>0</v>
      </c>
      <c r="T179" s="75">
        <f>IF(OR($C179="",$E179&lt;&gt;"planned",$C179&lt;DATE(nr_PlanYear,1,1),$C179&gt;DATE(nr_PlanYear,12,31)),0,IF(AND(COUNTIFS(rl_key,$J179,rl_status,"planned",rl_eff,"&gt;="&amp;DATE(nr_PlanYear,1,1),rl_eff,"&lt;"&amp;$C179)=0,COUNTIFS($J$7:$J179,$J179,$E$7:$E179,"planned",$C$7:$C179,$C179)=1),1,0))</f>
        <v>0</v>
      </c>
      <c r="U179" s="75">
        <f>IF(OR($C179="",$E179&lt;&gt;"taken"),0,IF(AND(COUNTIFS(rl_key,$J179,rl_effmonth,$M179,rl_eff,"&lt;"&amp;$C179,rl_status,"taken")=0,COUNTIFS($J$7:$J179,$J179,$M$7:$M179,$M179,$C$7:$C179,$C179,$E$7:$E179,"taken")=1),1,0))</f>
        <v>0</v>
      </c>
      <c r="V179" s="66" t="str">
        <f t="shared" si="30"/>
        <v/>
      </c>
      <c r="W179" s="76" t="str">
        <f t="shared" si="31"/>
        <v/>
      </c>
      <c r="X179" s="77" t="str">
        <f>IF(OR($C179="",$J179&lt;&gt;nr_SelKey),"",(SUMPRODUCT(('Rate Engine'!$G$17:$G$64&gt;YEAR($C179)*12+MONTH($C179)-1)*'Rate Engine'!$H$17:$H$64,'Rate Engine'!$Q$17:$Q$64)+(EOMONTH($C179,0)-$C179+1)/DAY(EOMONTH($C179,0))*SUMPRODUCT(('Rate Engine'!$G$17:$G$64=YEAR($C179)*12+MONTH($C179)-1)*'Rate Engine'!$H$17:$H$64,'Rate Engine'!$Q$17:$Q$64))/SUMPRODUCT('Rate Engine'!$H$17:$H$64,'Rate Engine'!$Q$17:$Q$64))</f>
        <v/>
      </c>
      <c r="Y179" s="78" t="str">
        <f t="shared" si="32"/>
        <v/>
      </c>
    </row>
    <row r="180" spans="1:25" x14ac:dyDescent="0.3">
      <c r="A180" s="11"/>
      <c r="B180" s="11"/>
      <c r="C180" s="61"/>
      <c r="D180" s="29"/>
      <c r="E180" s="11"/>
      <c r="F180" s="11"/>
      <c r="G180" s="59"/>
      <c r="H180" s="71"/>
      <c r="J180" s="65" t="str">
        <f t="shared" si="22"/>
        <v/>
      </c>
      <c r="K180" s="72" t="str">
        <f t="shared" si="23"/>
        <v/>
      </c>
      <c r="L180" s="73">
        <f t="shared" si="24"/>
        <v>0</v>
      </c>
      <c r="M180" s="74" t="str">
        <f t="shared" si="25"/>
        <v/>
      </c>
      <c r="N180" s="75">
        <f t="shared" si="26"/>
        <v>0</v>
      </c>
      <c r="O180" s="75">
        <f t="shared" si="27"/>
        <v>0</v>
      </c>
      <c r="P180" s="75">
        <f>IF($C180="",0,COUNTIFS($J$7:$J180,$J180,$M$7:$M180,$M180,$C$7:$C180,$C180))</f>
        <v>0</v>
      </c>
      <c r="Q180" s="75">
        <f t="shared" si="28"/>
        <v>0</v>
      </c>
      <c r="R180" s="75">
        <f t="shared" si="29"/>
        <v>0</v>
      </c>
      <c r="S180" s="75">
        <f>IF($C180="",0,COUNTIFS(rl_key,$J180,rl_eff,"&lt;"&amp;$C180)+COUNTIFS($J$7:$J180,$J180,$C$7:$C180,$C180))</f>
        <v>0</v>
      </c>
      <c r="T180" s="75">
        <f>IF(OR($C180="",$E180&lt;&gt;"planned",$C180&lt;DATE(nr_PlanYear,1,1),$C180&gt;DATE(nr_PlanYear,12,31)),0,IF(AND(COUNTIFS(rl_key,$J180,rl_status,"planned",rl_eff,"&gt;="&amp;DATE(nr_PlanYear,1,1),rl_eff,"&lt;"&amp;$C180)=0,COUNTIFS($J$7:$J180,$J180,$E$7:$E180,"planned",$C$7:$C180,$C180)=1),1,0))</f>
        <v>0</v>
      </c>
      <c r="U180" s="75">
        <f>IF(OR($C180="",$E180&lt;&gt;"taken"),0,IF(AND(COUNTIFS(rl_key,$J180,rl_effmonth,$M180,rl_eff,"&lt;"&amp;$C180,rl_status,"taken")=0,COUNTIFS($J$7:$J180,$J180,$M$7:$M180,$M180,$C$7:$C180,$C180,$E$7:$E180,"taken")=1),1,0))</f>
        <v>0</v>
      </c>
      <c r="V180" s="66" t="str">
        <f t="shared" si="30"/>
        <v/>
      </c>
      <c r="W180" s="76" t="str">
        <f t="shared" si="31"/>
        <v/>
      </c>
      <c r="X180" s="77" t="str">
        <f>IF(OR($C180="",$J180&lt;&gt;nr_SelKey),"",(SUMPRODUCT(('Rate Engine'!$G$17:$G$64&gt;YEAR($C180)*12+MONTH($C180)-1)*'Rate Engine'!$H$17:$H$64,'Rate Engine'!$Q$17:$Q$64)+(EOMONTH($C180,0)-$C180+1)/DAY(EOMONTH($C180,0))*SUMPRODUCT(('Rate Engine'!$G$17:$G$64=YEAR($C180)*12+MONTH($C180)-1)*'Rate Engine'!$H$17:$H$64,'Rate Engine'!$Q$17:$Q$64))/SUMPRODUCT('Rate Engine'!$H$17:$H$64,'Rate Engine'!$Q$17:$Q$64))</f>
        <v/>
      </c>
      <c r="Y180" s="78" t="str">
        <f t="shared" si="32"/>
        <v/>
      </c>
    </row>
    <row r="181" spans="1:25" x14ac:dyDescent="0.3">
      <c r="A181" s="11"/>
      <c r="B181" s="11"/>
      <c r="C181" s="61"/>
      <c r="D181" s="29"/>
      <c r="E181" s="11"/>
      <c r="F181" s="11"/>
      <c r="G181" s="59"/>
      <c r="H181" s="71"/>
      <c r="J181" s="65" t="str">
        <f t="shared" si="22"/>
        <v/>
      </c>
      <c r="K181" s="72" t="str">
        <f t="shared" si="23"/>
        <v/>
      </c>
      <c r="L181" s="73">
        <f t="shared" si="24"/>
        <v>0</v>
      </c>
      <c r="M181" s="74" t="str">
        <f t="shared" si="25"/>
        <v/>
      </c>
      <c r="N181" s="75">
        <f t="shared" si="26"/>
        <v>0</v>
      </c>
      <c r="O181" s="75">
        <f t="shared" si="27"/>
        <v>0</v>
      </c>
      <c r="P181" s="75">
        <f>IF($C181="",0,COUNTIFS($J$7:$J181,$J181,$M$7:$M181,$M181,$C$7:$C181,$C181))</f>
        <v>0</v>
      </c>
      <c r="Q181" s="75">
        <f t="shared" si="28"/>
        <v>0</v>
      </c>
      <c r="R181" s="75">
        <f t="shared" si="29"/>
        <v>0</v>
      </c>
      <c r="S181" s="75">
        <f>IF($C181="",0,COUNTIFS(rl_key,$J181,rl_eff,"&lt;"&amp;$C181)+COUNTIFS($J$7:$J181,$J181,$C$7:$C181,$C181))</f>
        <v>0</v>
      </c>
      <c r="T181" s="75">
        <f>IF(OR($C181="",$E181&lt;&gt;"planned",$C181&lt;DATE(nr_PlanYear,1,1),$C181&gt;DATE(nr_PlanYear,12,31)),0,IF(AND(COUNTIFS(rl_key,$J181,rl_status,"planned",rl_eff,"&gt;="&amp;DATE(nr_PlanYear,1,1),rl_eff,"&lt;"&amp;$C181)=0,COUNTIFS($J$7:$J181,$J181,$E$7:$E181,"planned",$C$7:$C181,$C181)=1),1,0))</f>
        <v>0</v>
      </c>
      <c r="U181" s="75">
        <f>IF(OR($C181="",$E181&lt;&gt;"taken"),0,IF(AND(COUNTIFS(rl_key,$J181,rl_effmonth,$M181,rl_eff,"&lt;"&amp;$C181,rl_status,"taken")=0,COUNTIFS($J$7:$J181,$J181,$M$7:$M181,$M181,$C$7:$C181,$C181,$E$7:$E181,"taken")=1),1,0))</f>
        <v>0</v>
      </c>
      <c r="V181" s="66" t="str">
        <f t="shared" si="30"/>
        <v/>
      </c>
      <c r="W181" s="76" t="str">
        <f t="shared" si="31"/>
        <v/>
      </c>
      <c r="X181" s="77" t="str">
        <f>IF(OR($C181="",$J181&lt;&gt;nr_SelKey),"",(SUMPRODUCT(('Rate Engine'!$G$17:$G$64&gt;YEAR($C181)*12+MONTH($C181)-1)*'Rate Engine'!$H$17:$H$64,'Rate Engine'!$Q$17:$Q$64)+(EOMONTH($C181,0)-$C181+1)/DAY(EOMONTH($C181,0))*SUMPRODUCT(('Rate Engine'!$G$17:$G$64=YEAR($C181)*12+MONTH($C181)-1)*'Rate Engine'!$H$17:$H$64,'Rate Engine'!$Q$17:$Q$64))/SUMPRODUCT('Rate Engine'!$H$17:$H$64,'Rate Engine'!$Q$17:$Q$64))</f>
        <v/>
      </c>
      <c r="Y181" s="78" t="str">
        <f t="shared" si="32"/>
        <v/>
      </c>
    </row>
    <row r="182" spans="1:25" x14ac:dyDescent="0.3">
      <c r="A182" s="11"/>
      <c r="B182" s="11"/>
      <c r="C182" s="61"/>
      <c r="D182" s="29"/>
      <c r="E182" s="11"/>
      <c r="F182" s="11"/>
      <c r="G182" s="59"/>
      <c r="H182" s="71"/>
      <c r="J182" s="65" t="str">
        <f t="shared" si="22"/>
        <v/>
      </c>
      <c r="K182" s="72" t="str">
        <f t="shared" si="23"/>
        <v/>
      </c>
      <c r="L182" s="73">
        <f t="shared" si="24"/>
        <v>0</v>
      </c>
      <c r="M182" s="74" t="str">
        <f t="shared" si="25"/>
        <v/>
      </c>
      <c r="N182" s="75">
        <f t="shared" si="26"/>
        <v>0</v>
      </c>
      <c r="O182" s="75">
        <f t="shared" si="27"/>
        <v>0</v>
      </c>
      <c r="P182" s="75">
        <f>IF($C182="",0,COUNTIFS($J$7:$J182,$J182,$M$7:$M182,$M182,$C$7:$C182,$C182))</f>
        <v>0</v>
      </c>
      <c r="Q182" s="75">
        <f t="shared" si="28"/>
        <v>0</v>
      </c>
      <c r="R182" s="75">
        <f t="shared" si="29"/>
        <v>0</v>
      </c>
      <c r="S182" s="75">
        <f>IF($C182="",0,COUNTIFS(rl_key,$J182,rl_eff,"&lt;"&amp;$C182)+COUNTIFS($J$7:$J182,$J182,$C$7:$C182,$C182))</f>
        <v>0</v>
      </c>
      <c r="T182" s="75">
        <f>IF(OR($C182="",$E182&lt;&gt;"planned",$C182&lt;DATE(nr_PlanYear,1,1),$C182&gt;DATE(nr_PlanYear,12,31)),0,IF(AND(COUNTIFS(rl_key,$J182,rl_status,"planned",rl_eff,"&gt;="&amp;DATE(nr_PlanYear,1,1),rl_eff,"&lt;"&amp;$C182)=0,COUNTIFS($J$7:$J182,$J182,$E$7:$E182,"planned",$C$7:$C182,$C182)=1),1,0))</f>
        <v>0</v>
      </c>
      <c r="U182" s="75">
        <f>IF(OR($C182="",$E182&lt;&gt;"taken"),0,IF(AND(COUNTIFS(rl_key,$J182,rl_effmonth,$M182,rl_eff,"&lt;"&amp;$C182,rl_status,"taken")=0,COUNTIFS($J$7:$J182,$J182,$M$7:$M182,$M182,$C$7:$C182,$C182,$E$7:$E182,"taken")=1),1,0))</f>
        <v>0</v>
      </c>
      <c r="V182" s="66" t="str">
        <f t="shared" si="30"/>
        <v/>
      </c>
      <c r="W182" s="76" t="str">
        <f t="shared" si="31"/>
        <v/>
      </c>
      <c r="X182" s="77" t="str">
        <f>IF(OR($C182="",$J182&lt;&gt;nr_SelKey),"",(SUMPRODUCT(('Rate Engine'!$G$17:$G$64&gt;YEAR($C182)*12+MONTH($C182)-1)*'Rate Engine'!$H$17:$H$64,'Rate Engine'!$Q$17:$Q$64)+(EOMONTH($C182,0)-$C182+1)/DAY(EOMONTH($C182,0))*SUMPRODUCT(('Rate Engine'!$G$17:$G$64=YEAR($C182)*12+MONTH($C182)-1)*'Rate Engine'!$H$17:$H$64,'Rate Engine'!$Q$17:$Q$64))/SUMPRODUCT('Rate Engine'!$H$17:$H$64,'Rate Engine'!$Q$17:$Q$64))</f>
        <v/>
      </c>
      <c r="Y182" s="78" t="str">
        <f t="shared" si="32"/>
        <v/>
      </c>
    </row>
    <row r="183" spans="1:25" x14ac:dyDescent="0.3">
      <c r="A183" s="11"/>
      <c r="B183" s="11"/>
      <c r="C183" s="61"/>
      <c r="D183" s="29"/>
      <c r="E183" s="11"/>
      <c r="F183" s="11"/>
      <c r="G183" s="59"/>
      <c r="H183" s="71"/>
      <c r="J183" s="65" t="str">
        <f t="shared" si="22"/>
        <v/>
      </c>
      <c r="K183" s="72" t="str">
        <f t="shared" si="23"/>
        <v/>
      </c>
      <c r="L183" s="73">
        <f t="shared" si="24"/>
        <v>0</v>
      </c>
      <c r="M183" s="74" t="str">
        <f t="shared" si="25"/>
        <v/>
      </c>
      <c r="N183" s="75">
        <f t="shared" si="26"/>
        <v>0</v>
      </c>
      <c r="O183" s="75">
        <f t="shared" si="27"/>
        <v>0</v>
      </c>
      <c r="P183" s="75">
        <f>IF($C183="",0,COUNTIFS($J$7:$J183,$J183,$M$7:$M183,$M183,$C$7:$C183,$C183))</f>
        <v>0</v>
      </c>
      <c r="Q183" s="75">
        <f t="shared" si="28"/>
        <v>0</v>
      </c>
      <c r="R183" s="75">
        <f t="shared" si="29"/>
        <v>0</v>
      </c>
      <c r="S183" s="75">
        <f>IF($C183="",0,COUNTIFS(rl_key,$J183,rl_eff,"&lt;"&amp;$C183)+COUNTIFS($J$7:$J183,$J183,$C$7:$C183,$C183))</f>
        <v>0</v>
      </c>
      <c r="T183" s="75">
        <f>IF(OR($C183="",$E183&lt;&gt;"planned",$C183&lt;DATE(nr_PlanYear,1,1),$C183&gt;DATE(nr_PlanYear,12,31)),0,IF(AND(COUNTIFS(rl_key,$J183,rl_status,"planned",rl_eff,"&gt;="&amp;DATE(nr_PlanYear,1,1),rl_eff,"&lt;"&amp;$C183)=0,COUNTIFS($J$7:$J183,$J183,$E$7:$E183,"planned",$C$7:$C183,$C183)=1),1,0))</f>
        <v>0</v>
      </c>
      <c r="U183" s="75">
        <f>IF(OR($C183="",$E183&lt;&gt;"taken"),0,IF(AND(COUNTIFS(rl_key,$J183,rl_effmonth,$M183,rl_eff,"&lt;"&amp;$C183,rl_status,"taken")=0,COUNTIFS($J$7:$J183,$J183,$M$7:$M183,$M183,$C$7:$C183,$C183,$E$7:$E183,"taken")=1),1,0))</f>
        <v>0</v>
      </c>
      <c r="V183" s="66" t="str">
        <f t="shared" si="30"/>
        <v/>
      </c>
      <c r="W183" s="76" t="str">
        <f t="shared" si="31"/>
        <v/>
      </c>
      <c r="X183" s="77" t="str">
        <f>IF(OR($C183="",$J183&lt;&gt;nr_SelKey),"",(SUMPRODUCT(('Rate Engine'!$G$17:$G$64&gt;YEAR($C183)*12+MONTH($C183)-1)*'Rate Engine'!$H$17:$H$64,'Rate Engine'!$Q$17:$Q$64)+(EOMONTH($C183,0)-$C183+1)/DAY(EOMONTH($C183,0))*SUMPRODUCT(('Rate Engine'!$G$17:$G$64=YEAR($C183)*12+MONTH($C183)-1)*'Rate Engine'!$H$17:$H$64,'Rate Engine'!$Q$17:$Q$64))/SUMPRODUCT('Rate Engine'!$H$17:$H$64,'Rate Engine'!$Q$17:$Q$64))</f>
        <v/>
      </c>
      <c r="Y183" s="78" t="str">
        <f t="shared" si="32"/>
        <v/>
      </c>
    </row>
    <row r="184" spans="1:25" x14ac:dyDescent="0.3">
      <c r="A184" s="11"/>
      <c r="B184" s="11"/>
      <c r="C184" s="61"/>
      <c r="D184" s="29"/>
      <c r="E184" s="11"/>
      <c r="F184" s="11"/>
      <c r="G184" s="59"/>
      <c r="H184" s="71"/>
      <c r="J184" s="65" t="str">
        <f t="shared" si="22"/>
        <v/>
      </c>
      <c r="K184" s="72" t="str">
        <f t="shared" si="23"/>
        <v/>
      </c>
      <c r="L184" s="73">
        <f t="shared" si="24"/>
        <v>0</v>
      </c>
      <c r="M184" s="74" t="str">
        <f t="shared" si="25"/>
        <v/>
      </c>
      <c r="N184" s="75">
        <f t="shared" si="26"/>
        <v>0</v>
      </c>
      <c r="O184" s="75">
        <f t="shared" si="27"/>
        <v>0</v>
      </c>
      <c r="P184" s="75">
        <f>IF($C184="",0,COUNTIFS($J$7:$J184,$J184,$M$7:$M184,$M184,$C$7:$C184,$C184))</f>
        <v>0</v>
      </c>
      <c r="Q184" s="75">
        <f t="shared" si="28"/>
        <v>0</v>
      </c>
      <c r="R184" s="75">
        <f t="shared" si="29"/>
        <v>0</v>
      </c>
      <c r="S184" s="75">
        <f>IF($C184="",0,COUNTIFS(rl_key,$J184,rl_eff,"&lt;"&amp;$C184)+COUNTIFS($J$7:$J184,$J184,$C$7:$C184,$C184))</f>
        <v>0</v>
      </c>
      <c r="T184" s="75">
        <f>IF(OR($C184="",$E184&lt;&gt;"planned",$C184&lt;DATE(nr_PlanYear,1,1),$C184&gt;DATE(nr_PlanYear,12,31)),0,IF(AND(COUNTIFS(rl_key,$J184,rl_status,"planned",rl_eff,"&gt;="&amp;DATE(nr_PlanYear,1,1),rl_eff,"&lt;"&amp;$C184)=0,COUNTIFS($J$7:$J184,$J184,$E$7:$E184,"planned",$C$7:$C184,$C184)=1),1,0))</f>
        <v>0</v>
      </c>
      <c r="U184" s="75">
        <f>IF(OR($C184="",$E184&lt;&gt;"taken"),0,IF(AND(COUNTIFS(rl_key,$J184,rl_effmonth,$M184,rl_eff,"&lt;"&amp;$C184,rl_status,"taken")=0,COUNTIFS($J$7:$J184,$J184,$M$7:$M184,$M184,$C$7:$C184,$C184,$E$7:$E184,"taken")=1),1,0))</f>
        <v>0</v>
      </c>
      <c r="V184" s="66" t="str">
        <f t="shared" si="30"/>
        <v/>
      </c>
      <c r="W184" s="76" t="str">
        <f t="shared" si="31"/>
        <v/>
      </c>
      <c r="X184" s="77" t="str">
        <f>IF(OR($C184="",$J184&lt;&gt;nr_SelKey),"",(SUMPRODUCT(('Rate Engine'!$G$17:$G$64&gt;YEAR($C184)*12+MONTH($C184)-1)*'Rate Engine'!$H$17:$H$64,'Rate Engine'!$Q$17:$Q$64)+(EOMONTH($C184,0)-$C184+1)/DAY(EOMONTH($C184,0))*SUMPRODUCT(('Rate Engine'!$G$17:$G$64=YEAR($C184)*12+MONTH($C184)-1)*'Rate Engine'!$H$17:$H$64,'Rate Engine'!$Q$17:$Q$64))/SUMPRODUCT('Rate Engine'!$H$17:$H$64,'Rate Engine'!$Q$17:$Q$64))</f>
        <v/>
      </c>
      <c r="Y184" s="78" t="str">
        <f t="shared" si="32"/>
        <v/>
      </c>
    </row>
    <row r="185" spans="1:25" x14ac:dyDescent="0.3">
      <c r="A185" s="11"/>
      <c r="B185" s="11"/>
      <c r="C185" s="61"/>
      <c r="D185" s="29"/>
      <c r="E185" s="11"/>
      <c r="F185" s="11"/>
      <c r="G185" s="59"/>
      <c r="H185" s="71"/>
      <c r="J185" s="65" t="str">
        <f t="shared" si="22"/>
        <v/>
      </c>
      <c r="K185" s="72" t="str">
        <f t="shared" si="23"/>
        <v/>
      </c>
      <c r="L185" s="73">
        <f t="shared" si="24"/>
        <v>0</v>
      </c>
      <c r="M185" s="74" t="str">
        <f t="shared" si="25"/>
        <v/>
      </c>
      <c r="N185" s="75">
        <f t="shared" si="26"/>
        <v>0</v>
      </c>
      <c r="O185" s="75">
        <f t="shared" si="27"/>
        <v>0</v>
      </c>
      <c r="P185" s="75">
        <f>IF($C185="",0,COUNTIFS($J$7:$J185,$J185,$M$7:$M185,$M185,$C$7:$C185,$C185))</f>
        <v>0</v>
      </c>
      <c r="Q185" s="75">
        <f t="shared" si="28"/>
        <v>0</v>
      </c>
      <c r="R185" s="75">
        <f t="shared" si="29"/>
        <v>0</v>
      </c>
      <c r="S185" s="75">
        <f>IF($C185="",0,COUNTIFS(rl_key,$J185,rl_eff,"&lt;"&amp;$C185)+COUNTIFS($J$7:$J185,$J185,$C$7:$C185,$C185))</f>
        <v>0</v>
      </c>
      <c r="T185" s="75">
        <f>IF(OR($C185="",$E185&lt;&gt;"planned",$C185&lt;DATE(nr_PlanYear,1,1),$C185&gt;DATE(nr_PlanYear,12,31)),0,IF(AND(COUNTIFS(rl_key,$J185,rl_status,"planned",rl_eff,"&gt;="&amp;DATE(nr_PlanYear,1,1),rl_eff,"&lt;"&amp;$C185)=0,COUNTIFS($J$7:$J185,$J185,$E$7:$E185,"planned",$C$7:$C185,$C185)=1),1,0))</f>
        <v>0</v>
      </c>
      <c r="U185" s="75">
        <f>IF(OR($C185="",$E185&lt;&gt;"taken"),0,IF(AND(COUNTIFS(rl_key,$J185,rl_effmonth,$M185,rl_eff,"&lt;"&amp;$C185,rl_status,"taken")=0,COUNTIFS($J$7:$J185,$J185,$M$7:$M185,$M185,$C$7:$C185,$C185,$E$7:$E185,"taken")=1),1,0))</f>
        <v>0</v>
      </c>
      <c r="V185" s="66" t="str">
        <f t="shared" si="30"/>
        <v/>
      </c>
      <c r="W185" s="76" t="str">
        <f t="shared" si="31"/>
        <v/>
      </c>
      <c r="X185" s="77" t="str">
        <f>IF(OR($C185="",$J185&lt;&gt;nr_SelKey),"",(SUMPRODUCT(('Rate Engine'!$G$17:$G$64&gt;YEAR($C185)*12+MONTH($C185)-1)*'Rate Engine'!$H$17:$H$64,'Rate Engine'!$Q$17:$Q$64)+(EOMONTH($C185,0)-$C185+1)/DAY(EOMONTH($C185,0))*SUMPRODUCT(('Rate Engine'!$G$17:$G$64=YEAR($C185)*12+MONTH($C185)-1)*'Rate Engine'!$H$17:$H$64,'Rate Engine'!$Q$17:$Q$64))/SUMPRODUCT('Rate Engine'!$H$17:$H$64,'Rate Engine'!$Q$17:$Q$64))</f>
        <v/>
      </c>
      <c r="Y185" s="78" t="str">
        <f t="shared" si="32"/>
        <v/>
      </c>
    </row>
    <row r="186" spans="1:25" x14ac:dyDescent="0.3">
      <c r="A186" s="11"/>
      <c r="B186" s="11"/>
      <c r="C186" s="61"/>
      <c r="D186" s="29"/>
      <c r="E186" s="11"/>
      <c r="F186" s="11"/>
      <c r="G186" s="59"/>
      <c r="H186" s="71"/>
      <c r="J186" s="65" t="str">
        <f t="shared" si="22"/>
        <v/>
      </c>
      <c r="K186" s="72" t="str">
        <f t="shared" si="23"/>
        <v/>
      </c>
      <c r="L186" s="73">
        <f t="shared" si="24"/>
        <v>0</v>
      </c>
      <c r="M186" s="74" t="str">
        <f t="shared" si="25"/>
        <v/>
      </c>
      <c r="N186" s="75">
        <f t="shared" si="26"/>
        <v>0</v>
      </c>
      <c r="O186" s="75">
        <f t="shared" si="27"/>
        <v>0</v>
      </c>
      <c r="P186" s="75">
        <f>IF($C186="",0,COUNTIFS($J$7:$J186,$J186,$M$7:$M186,$M186,$C$7:$C186,$C186))</f>
        <v>0</v>
      </c>
      <c r="Q186" s="75">
        <f t="shared" si="28"/>
        <v>0</v>
      </c>
      <c r="R186" s="75">
        <f t="shared" si="29"/>
        <v>0</v>
      </c>
      <c r="S186" s="75">
        <f>IF($C186="",0,COUNTIFS(rl_key,$J186,rl_eff,"&lt;"&amp;$C186)+COUNTIFS($J$7:$J186,$J186,$C$7:$C186,$C186))</f>
        <v>0</v>
      </c>
      <c r="T186" s="75">
        <f>IF(OR($C186="",$E186&lt;&gt;"planned",$C186&lt;DATE(nr_PlanYear,1,1),$C186&gt;DATE(nr_PlanYear,12,31)),0,IF(AND(COUNTIFS(rl_key,$J186,rl_status,"planned",rl_eff,"&gt;="&amp;DATE(nr_PlanYear,1,1),rl_eff,"&lt;"&amp;$C186)=0,COUNTIFS($J$7:$J186,$J186,$E$7:$E186,"planned",$C$7:$C186,$C186)=1),1,0))</f>
        <v>0</v>
      </c>
      <c r="U186" s="75">
        <f>IF(OR($C186="",$E186&lt;&gt;"taken"),0,IF(AND(COUNTIFS(rl_key,$J186,rl_effmonth,$M186,rl_eff,"&lt;"&amp;$C186,rl_status,"taken")=0,COUNTIFS($J$7:$J186,$J186,$M$7:$M186,$M186,$C$7:$C186,$C186,$E$7:$E186,"taken")=1),1,0))</f>
        <v>0</v>
      </c>
      <c r="V186" s="66" t="str">
        <f t="shared" si="30"/>
        <v/>
      </c>
      <c r="W186" s="76" t="str">
        <f t="shared" si="31"/>
        <v/>
      </c>
      <c r="X186" s="77" t="str">
        <f>IF(OR($C186="",$J186&lt;&gt;nr_SelKey),"",(SUMPRODUCT(('Rate Engine'!$G$17:$G$64&gt;YEAR($C186)*12+MONTH($C186)-1)*'Rate Engine'!$H$17:$H$64,'Rate Engine'!$Q$17:$Q$64)+(EOMONTH($C186,0)-$C186+1)/DAY(EOMONTH($C186,0))*SUMPRODUCT(('Rate Engine'!$G$17:$G$64=YEAR($C186)*12+MONTH($C186)-1)*'Rate Engine'!$H$17:$H$64,'Rate Engine'!$Q$17:$Q$64))/SUMPRODUCT('Rate Engine'!$H$17:$H$64,'Rate Engine'!$Q$17:$Q$64))</f>
        <v/>
      </c>
      <c r="Y186" s="78" t="str">
        <f t="shared" si="32"/>
        <v/>
      </c>
    </row>
    <row r="187" spans="1:25" x14ac:dyDescent="0.3">
      <c r="A187" s="11"/>
      <c r="B187" s="11"/>
      <c r="C187" s="61"/>
      <c r="D187" s="29"/>
      <c r="E187" s="11"/>
      <c r="F187" s="11"/>
      <c r="G187" s="59"/>
      <c r="H187" s="71"/>
      <c r="J187" s="65" t="str">
        <f t="shared" si="22"/>
        <v/>
      </c>
      <c r="K187" s="72" t="str">
        <f t="shared" si="23"/>
        <v/>
      </c>
      <c r="L187" s="73">
        <f t="shared" si="24"/>
        <v>0</v>
      </c>
      <c r="M187" s="74" t="str">
        <f t="shared" si="25"/>
        <v/>
      </c>
      <c r="N187" s="75">
        <f t="shared" si="26"/>
        <v>0</v>
      </c>
      <c r="O187" s="75">
        <f t="shared" si="27"/>
        <v>0</v>
      </c>
      <c r="P187" s="75">
        <f>IF($C187="",0,COUNTIFS($J$7:$J187,$J187,$M$7:$M187,$M187,$C$7:$C187,$C187))</f>
        <v>0</v>
      </c>
      <c r="Q187" s="75">
        <f t="shared" si="28"/>
        <v>0</v>
      </c>
      <c r="R187" s="75">
        <f t="shared" si="29"/>
        <v>0</v>
      </c>
      <c r="S187" s="75">
        <f>IF($C187="",0,COUNTIFS(rl_key,$J187,rl_eff,"&lt;"&amp;$C187)+COUNTIFS($J$7:$J187,$J187,$C$7:$C187,$C187))</f>
        <v>0</v>
      </c>
      <c r="T187" s="75">
        <f>IF(OR($C187="",$E187&lt;&gt;"planned",$C187&lt;DATE(nr_PlanYear,1,1),$C187&gt;DATE(nr_PlanYear,12,31)),0,IF(AND(COUNTIFS(rl_key,$J187,rl_status,"planned",rl_eff,"&gt;="&amp;DATE(nr_PlanYear,1,1),rl_eff,"&lt;"&amp;$C187)=0,COUNTIFS($J$7:$J187,$J187,$E$7:$E187,"planned",$C$7:$C187,$C187)=1),1,0))</f>
        <v>0</v>
      </c>
      <c r="U187" s="75">
        <f>IF(OR($C187="",$E187&lt;&gt;"taken"),0,IF(AND(COUNTIFS(rl_key,$J187,rl_effmonth,$M187,rl_eff,"&lt;"&amp;$C187,rl_status,"taken")=0,COUNTIFS($J$7:$J187,$J187,$M$7:$M187,$M187,$C$7:$C187,$C187,$E$7:$E187,"taken")=1),1,0))</f>
        <v>0</v>
      </c>
      <c r="V187" s="66" t="str">
        <f t="shared" si="30"/>
        <v/>
      </c>
      <c r="W187" s="76" t="str">
        <f t="shared" si="31"/>
        <v/>
      </c>
      <c r="X187" s="77" t="str">
        <f>IF(OR($C187="",$J187&lt;&gt;nr_SelKey),"",(SUMPRODUCT(('Rate Engine'!$G$17:$G$64&gt;YEAR($C187)*12+MONTH($C187)-1)*'Rate Engine'!$H$17:$H$64,'Rate Engine'!$Q$17:$Q$64)+(EOMONTH($C187,0)-$C187+1)/DAY(EOMONTH($C187,0))*SUMPRODUCT(('Rate Engine'!$G$17:$G$64=YEAR($C187)*12+MONTH($C187)-1)*'Rate Engine'!$H$17:$H$64,'Rate Engine'!$Q$17:$Q$64))/SUMPRODUCT('Rate Engine'!$H$17:$H$64,'Rate Engine'!$Q$17:$Q$64))</f>
        <v/>
      </c>
      <c r="Y187" s="78" t="str">
        <f t="shared" si="32"/>
        <v/>
      </c>
    </row>
    <row r="188" spans="1:25" x14ac:dyDescent="0.3">
      <c r="A188" s="11"/>
      <c r="B188" s="11"/>
      <c r="C188" s="61"/>
      <c r="D188" s="29"/>
      <c r="E188" s="11"/>
      <c r="F188" s="11"/>
      <c r="G188" s="59"/>
      <c r="H188" s="71"/>
      <c r="J188" s="65" t="str">
        <f t="shared" si="22"/>
        <v/>
      </c>
      <c r="K188" s="72" t="str">
        <f t="shared" si="23"/>
        <v/>
      </c>
      <c r="L188" s="73">
        <f t="shared" si="24"/>
        <v>0</v>
      </c>
      <c r="M188" s="74" t="str">
        <f t="shared" si="25"/>
        <v/>
      </c>
      <c r="N188" s="75">
        <f t="shared" si="26"/>
        <v>0</v>
      </c>
      <c r="O188" s="75">
        <f t="shared" si="27"/>
        <v>0</v>
      </c>
      <c r="P188" s="75">
        <f>IF($C188="",0,COUNTIFS($J$7:$J188,$J188,$M$7:$M188,$M188,$C$7:$C188,$C188))</f>
        <v>0</v>
      </c>
      <c r="Q188" s="75">
        <f t="shared" si="28"/>
        <v>0</v>
      </c>
      <c r="R188" s="75">
        <f t="shared" si="29"/>
        <v>0</v>
      </c>
      <c r="S188" s="75">
        <f>IF($C188="",0,COUNTIFS(rl_key,$J188,rl_eff,"&lt;"&amp;$C188)+COUNTIFS($J$7:$J188,$J188,$C$7:$C188,$C188))</f>
        <v>0</v>
      </c>
      <c r="T188" s="75">
        <f>IF(OR($C188="",$E188&lt;&gt;"planned",$C188&lt;DATE(nr_PlanYear,1,1),$C188&gt;DATE(nr_PlanYear,12,31)),0,IF(AND(COUNTIFS(rl_key,$J188,rl_status,"planned",rl_eff,"&gt;="&amp;DATE(nr_PlanYear,1,1),rl_eff,"&lt;"&amp;$C188)=0,COUNTIFS($J$7:$J188,$J188,$E$7:$E188,"planned",$C$7:$C188,$C188)=1),1,0))</f>
        <v>0</v>
      </c>
      <c r="U188" s="75">
        <f>IF(OR($C188="",$E188&lt;&gt;"taken"),0,IF(AND(COUNTIFS(rl_key,$J188,rl_effmonth,$M188,rl_eff,"&lt;"&amp;$C188,rl_status,"taken")=0,COUNTIFS($J$7:$J188,$J188,$M$7:$M188,$M188,$C$7:$C188,$C188,$E$7:$E188,"taken")=1),1,0))</f>
        <v>0</v>
      </c>
      <c r="V188" s="66" t="str">
        <f t="shared" si="30"/>
        <v/>
      </c>
      <c r="W188" s="76" t="str">
        <f t="shared" si="31"/>
        <v/>
      </c>
      <c r="X188" s="77" t="str">
        <f>IF(OR($C188="",$J188&lt;&gt;nr_SelKey),"",(SUMPRODUCT(('Rate Engine'!$G$17:$G$64&gt;YEAR($C188)*12+MONTH($C188)-1)*'Rate Engine'!$H$17:$H$64,'Rate Engine'!$Q$17:$Q$64)+(EOMONTH($C188,0)-$C188+1)/DAY(EOMONTH($C188,0))*SUMPRODUCT(('Rate Engine'!$G$17:$G$64=YEAR($C188)*12+MONTH($C188)-1)*'Rate Engine'!$H$17:$H$64,'Rate Engine'!$Q$17:$Q$64))/SUMPRODUCT('Rate Engine'!$H$17:$H$64,'Rate Engine'!$Q$17:$Q$64))</f>
        <v/>
      </c>
      <c r="Y188" s="78" t="str">
        <f t="shared" si="32"/>
        <v/>
      </c>
    </row>
    <row r="189" spans="1:25" x14ac:dyDescent="0.3">
      <c r="A189" s="11"/>
      <c r="B189" s="11"/>
      <c r="C189" s="61"/>
      <c r="D189" s="29"/>
      <c r="E189" s="11"/>
      <c r="F189" s="11"/>
      <c r="G189" s="59"/>
      <c r="H189" s="71"/>
      <c r="J189" s="65" t="str">
        <f t="shared" si="22"/>
        <v/>
      </c>
      <c r="K189" s="72" t="str">
        <f t="shared" si="23"/>
        <v/>
      </c>
      <c r="L189" s="73">
        <f t="shared" si="24"/>
        <v>0</v>
      </c>
      <c r="M189" s="74" t="str">
        <f t="shared" si="25"/>
        <v/>
      </c>
      <c r="N189" s="75">
        <f t="shared" si="26"/>
        <v>0</v>
      </c>
      <c r="O189" s="75">
        <f t="shared" si="27"/>
        <v>0</v>
      </c>
      <c r="P189" s="75">
        <f>IF($C189="",0,COUNTIFS($J$7:$J189,$J189,$M$7:$M189,$M189,$C$7:$C189,$C189))</f>
        <v>0</v>
      </c>
      <c r="Q189" s="75">
        <f t="shared" si="28"/>
        <v>0</v>
      </c>
      <c r="R189" s="75">
        <f t="shared" si="29"/>
        <v>0</v>
      </c>
      <c r="S189" s="75">
        <f>IF($C189="",0,COUNTIFS(rl_key,$J189,rl_eff,"&lt;"&amp;$C189)+COUNTIFS($J$7:$J189,$J189,$C$7:$C189,$C189))</f>
        <v>0</v>
      </c>
      <c r="T189" s="75">
        <f>IF(OR($C189="",$E189&lt;&gt;"planned",$C189&lt;DATE(nr_PlanYear,1,1),$C189&gt;DATE(nr_PlanYear,12,31)),0,IF(AND(COUNTIFS(rl_key,$J189,rl_status,"planned",rl_eff,"&gt;="&amp;DATE(nr_PlanYear,1,1),rl_eff,"&lt;"&amp;$C189)=0,COUNTIFS($J$7:$J189,$J189,$E$7:$E189,"planned",$C$7:$C189,$C189)=1),1,0))</f>
        <v>0</v>
      </c>
      <c r="U189" s="75">
        <f>IF(OR($C189="",$E189&lt;&gt;"taken"),0,IF(AND(COUNTIFS(rl_key,$J189,rl_effmonth,$M189,rl_eff,"&lt;"&amp;$C189,rl_status,"taken")=0,COUNTIFS($J$7:$J189,$J189,$M$7:$M189,$M189,$C$7:$C189,$C189,$E$7:$E189,"taken")=1),1,0))</f>
        <v>0</v>
      </c>
      <c r="V189" s="66" t="str">
        <f t="shared" si="30"/>
        <v/>
      </c>
      <c r="W189" s="76" t="str">
        <f t="shared" si="31"/>
        <v/>
      </c>
      <c r="X189" s="77" t="str">
        <f>IF(OR($C189="",$J189&lt;&gt;nr_SelKey),"",(SUMPRODUCT(('Rate Engine'!$G$17:$G$64&gt;YEAR($C189)*12+MONTH($C189)-1)*'Rate Engine'!$H$17:$H$64,'Rate Engine'!$Q$17:$Q$64)+(EOMONTH($C189,0)-$C189+1)/DAY(EOMONTH($C189,0))*SUMPRODUCT(('Rate Engine'!$G$17:$G$64=YEAR($C189)*12+MONTH($C189)-1)*'Rate Engine'!$H$17:$H$64,'Rate Engine'!$Q$17:$Q$64))/SUMPRODUCT('Rate Engine'!$H$17:$H$64,'Rate Engine'!$Q$17:$Q$64))</f>
        <v/>
      </c>
      <c r="Y189" s="78" t="str">
        <f t="shared" si="32"/>
        <v/>
      </c>
    </row>
    <row r="190" spans="1:25" x14ac:dyDescent="0.3">
      <c r="A190" s="11"/>
      <c r="B190" s="11"/>
      <c r="C190" s="61"/>
      <c r="D190" s="29"/>
      <c r="E190" s="11"/>
      <c r="F190" s="11"/>
      <c r="G190" s="59"/>
      <c r="H190" s="71"/>
      <c r="J190" s="65" t="str">
        <f t="shared" si="22"/>
        <v/>
      </c>
      <c r="K190" s="72" t="str">
        <f t="shared" si="23"/>
        <v/>
      </c>
      <c r="L190" s="73">
        <f t="shared" si="24"/>
        <v>0</v>
      </c>
      <c r="M190" s="74" t="str">
        <f t="shared" si="25"/>
        <v/>
      </c>
      <c r="N190" s="75">
        <f t="shared" si="26"/>
        <v>0</v>
      </c>
      <c r="O190" s="75">
        <f t="shared" si="27"/>
        <v>0</v>
      </c>
      <c r="P190" s="75">
        <f>IF($C190="",0,COUNTIFS($J$7:$J190,$J190,$M$7:$M190,$M190,$C$7:$C190,$C190))</f>
        <v>0</v>
      </c>
      <c r="Q190" s="75">
        <f t="shared" si="28"/>
        <v>0</v>
      </c>
      <c r="R190" s="75">
        <f t="shared" si="29"/>
        <v>0</v>
      </c>
      <c r="S190" s="75">
        <f>IF($C190="",0,COUNTIFS(rl_key,$J190,rl_eff,"&lt;"&amp;$C190)+COUNTIFS($J$7:$J190,$J190,$C$7:$C190,$C190))</f>
        <v>0</v>
      </c>
      <c r="T190" s="75">
        <f>IF(OR($C190="",$E190&lt;&gt;"planned",$C190&lt;DATE(nr_PlanYear,1,1),$C190&gt;DATE(nr_PlanYear,12,31)),0,IF(AND(COUNTIFS(rl_key,$J190,rl_status,"planned",rl_eff,"&gt;="&amp;DATE(nr_PlanYear,1,1),rl_eff,"&lt;"&amp;$C190)=0,COUNTIFS($J$7:$J190,$J190,$E$7:$E190,"planned",$C$7:$C190,$C190)=1),1,0))</f>
        <v>0</v>
      </c>
      <c r="U190" s="75">
        <f>IF(OR($C190="",$E190&lt;&gt;"taken"),0,IF(AND(COUNTIFS(rl_key,$J190,rl_effmonth,$M190,rl_eff,"&lt;"&amp;$C190,rl_status,"taken")=0,COUNTIFS($J$7:$J190,$J190,$M$7:$M190,$M190,$C$7:$C190,$C190,$E$7:$E190,"taken")=1),1,0))</f>
        <v>0</v>
      </c>
      <c r="V190" s="66" t="str">
        <f t="shared" si="30"/>
        <v/>
      </c>
      <c r="W190" s="76" t="str">
        <f t="shared" si="31"/>
        <v/>
      </c>
      <c r="X190" s="77" t="str">
        <f>IF(OR($C190="",$J190&lt;&gt;nr_SelKey),"",(SUMPRODUCT(('Rate Engine'!$G$17:$G$64&gt;YEAR($C190)*12+MONTH($C190)-1)*'Rate Engine'!$H$17:$H$64,'Rate Engine'!$Q$17:$Q$64)+(EOMONTH($C190,0)-$C190+1)/DAY(EOMONTH($C190,0))*SUMPRODUCT(('Rate Engine'!$G$17:$G$64=YEAR($C190)*12+MONTH($C190)-1)*'Rate Engine'!$H$17:$H$64,'Rate Engine'!$Q$17:$Q$64))/SUMPRODUCT('Rate Engine'!$H$17:$H$64,'Rate Engine'!$Q$17:$Q$64))</f>
        <v/>
      </c>
      <c r="Y190" s="78" t="str">
        <f t="shared" si="32"/>
        <v/>
      </c>
    </row>
    <row r="191" spans="1:25" x14ac:dyDescent="0.3">
      <c r="A191" s="11"/>
      <c r="B191" s="11"/>
      <c r="C191" s="61"/>
      <c r="D191" s="29"/>
      <c r="E191" s="11"/>
      <c r="F191" s="11"/>
      <c r="G191" s="59"/>
      <c r="H191" s="71"/>
      <c r="J191" s="65" t="str">
        <f t="shared" si="22"/>
        <v/>
      </c>
      <c r="K191" s="72" t="str">
        <f t="shared" si="23"/>
        <v/>
      </c>
      <c r="L191" s="73">
        <f t="shared" si="24"/>
        <v>0</v>
      </c>
      <c r="M191" s="74" t="str">
        <f t="shared" si="25"/>
        <v/>
      </c>
      <c r="N191" s="75">
        <f t="shared" si="26"/>
        <v>0</v>
      </c>
      <c r="O191" s="75">
        <f t="shared" si="27"/>
        <v>0</v>
      </c>
      <c r="P191" s="75">
        <f>IF($C191="",0,COUNTIFS($J$7:$J191,$J191,$M$7:$M191,$M191,$C$7:$C191,$C191))</f>
        <v>0</v>
      </c>
      <c r="Q191" s="75">
        <f t="shared" si="28"/>
        <v>0</v>
      </c>
      <c r="R191" s="75">
        <f t="shared" si="29"/>
        <v>0</v>
      </c>
      <c r="S191" s="75">
        <f>IF($C191="",0,COUNTIFS(rl_key,$J191,rl_eff,"&lt;"&amp;$C191)+COUNTIFS($J$7:$J191,$J191,$C$7:$C191,$C191))</f>
        <v>0</v>
      </c>
      <c r="T191" s="75">
        <f>IF(OR($C191="",$E191&lt;&gt;"planned",$C191&lt;DATE(nr_PlanYear,1,1),$C191&gt;DATE(nr_PlanYear,12,31)),0,IF(AND(COUNTIFS(rl_key,$J191,rl_status,"planned",rl_eff,"&gt;="&amp;DATE(nr_PlanYear,1,1),rl_eff,"&lt;"&amp;$C191)=0,COUNTIFS($J$7:$J191,$J191,$E$7:$E191,"planned",$C$7:$C191,$C191)=1),1,0))</f>
        <v>0</v>
      </c>
      <c r="U191" s="75">
        <f>IF(OR($C191="",$E191&lt;&gt;"taken"),0,IF(AND(COUNTIFS(rl_key,$J191,rl_effmonth,$M191,rl_eff,"&lt;"&amp;$C191,rl_status,"taken")=0,COUNTIFS($J$7:$J191,$J191,$M$7:$M191,$M191,$C$7:$C191,$C191,$E$7:$E191,"taken")=1),1,0))</f>
        <v>0</v>
      </c>
      <c r="V191" s="66" t="str">
        <f t="shared" si="30"/>
        <v/>
      </c>
      <c r="W191" s="76" t="str">
        <f t="shared" si="31"/>
        <v/>
      </c>
      <c r="X191" s="77" t="str">
        <f>IF(OR($C191="",$J191&lt;&gt;nr_SelKey),"",(SUMPRODUCT(('Rate Engine'!$G$17:$G$64&gt;YEAR($C191)*12+MONTH($C191)-1)*'Rate Engine'!$H$17:$H$64,'Rate Engine'!$Q$17:$Q$64)+(EOMONTH($C191,0)-$C191+1)/DAY(EOMONTH($C191,0))*SUMPRODUCT(('Rate Engine'!$G$17:$G$64=YEAR($C191)*12+MONTH($C191)-1)*'Rate Engine'!$H$17:$H$64,'Rate Engine'!$Q$17:$Q$64))/SUMPRODUCT('Rate Engine'!$H$17:$H$64,'Rate Engine'!$Q$17:$Q$64))</f>
        <v/>
      </c>
      <c r="Y191" s="78" t="str">
        <f t="shared" si="32"/>
        <v/>
      </c>
    </row>
    <row r="192" spans="1:25" x14ac:dyDescent="0.3">
      <c r="A192" s="11"/>
      <c r="B192" s="11"/>
      <c r="C192" s="61"/>
      <c r="D192" s="29"/>
      <c r="E192" s="11"/>
      <c r="F192" s="11"/>
      <c r="G192" s="59"/>
      <c r="H192" s="71"/>
      <c r="J192" s="65" t="str">
        <f t="shared" si="22"/>
        <v/>
      </c>
      <c r="K192" s="72" t="str">
        <f t="shared" si="23"/>
        <v/>
      </c>
      <c r="L192" s="73">
        <f t="shared" si="24"/>
        <v>0</v>
      </c>
      <c r="M192" s="74" t="str">
        <f t="shared" si="25"/>
        <v/>
      </c>
      <c r="N192" s="75">
        <f t="shared" si="26"/>
        <v>0</v>
      </c>
      <c r="O192" s="75">
        <f t="shared" si="27"/>
        <v>0</v>
      </c>
      <c r="P192" s="75">
        <f>IF($C192="",0,COUNTIFS($J$7:$J192,$J192,$M$7:$M192,$M192,$C$7:$C192,$C192))</f>
        <v>0</v>
      </c>
      <c r="Q192" s="75">
        <f t="shared" si="28"/>
        <v>0</v>
      </c>
      <c r="R192" s="75">
        <f t="shared" si="29"/>
        <v>0</v>
      </c>
      <c r="S192" s="75">
        <f>IF($C192="",0,COUNTIFS(rl_key,$J192,rl_eff,"&lt;"&amp;$C192)+COUNTIFS($J$7:$J192,$J192,$C$7:$C192,$C192))</f>
        <v>0</v>
      </c>
      <c r="T192" s="75">
        <f>IF(OR($C192="",$E192&lt;&gt;"planned",$C192&lt;DATE(nr_PlanYear,1,1),$C192&gt;DATE(nr_PlanYear,12,31)),0,IF(AND(COUNTIFS(rl_key,$J192,rl_status,"planned",rl_eff,"&gt;="&amp;DATE(nr_PlanYear,1,1),rl_eff,"&lt;"&amp;$C192)=0,COUNTIFS($J$7:$J192,$J192,$E$7:$E192,"planned",$C$7:$C192,$C192)=1),1,0))</f>
        <v>0</v>
      </c>
      <c r="U192" s="75">
        <f>IF(OR($C192="",$E192&lt;&gt;"taken"),0,IF(AND(COUNTIFS(rl_key,$J192,rl_effmonth,$M192,rl_eff,"&lt;"&amp;$C192,rl_status,"taken")=0,COUNTIFS($J$7:$J192,$J192,$M$7:$M192,$M192,$C$7:$C192,$C192,$E$7:$E192,"taken")=1),1,0))</f>
        <v>0</v>
      </c>
      <c r="V192" s="66" t="str">
        <f t="shared" si="30"/>
        <v/>
      </c>
      <c r="W192" s="76" t="str">
        <f t="shared" si="31"/>
        <v/>
      </c>
      <c r="X192" s="77" t="str">
        <f>IF(OR($C192="",$J192&lt;&gt;nr_SelKey),"",(SUMPRODUCT(('Rate Engine'!$G$17:$G$64&gt;YEAR($C192)*12+MONTH($C192)-1)*'Rate Engine'!$H$17:$H$64,'Rate Engine'!$Q$17:$Q$64)+(EOMONTH($C192,0)-$C192+1)/DAY(EOMONTH($C192,0))*SUMPRODUCT(('Rate Engine'!$G$17:$G$64=YEAR($C192)*12+MONTH($C192)-1)*'Rate Engine'!$H$17:$H$64,'Rate Engine'!$Q$17:$Q$64))/SUMPRODUCT('Rate Engine'!$H$17:$H$64,'Rate Engine'!$Q$17:$Q$64))</f>
        <v/>
      </c>
      <c r="Y192" s="78" t="str">
        <f t="shared" si="32"/>
        <v/>
      </c>
    </row>
    <row r="193" spans="1:25" x14ac:dyDescent="0.3">
      <c r="A193" s="11"/>
      <c r="B193" s="11"/>
      <c r="C193" s="61"/>
      <c r="D193" s="29"/>
      <c r="E193" s="11"/>
      <c r="F193" s="11"/>
      <c r="G193" s="59"/>
      <c r="H193" s="71"/>
      <c r="J193" s="65" t="str">
        <f t="shared" si="22"/>
        <v/>
      </c>
      <c r="K193" s="72" t="str">
        <f t="shared" si="23"/>
        <v/>
      </c>
      <c r="L193" s="73">
        <f t="shared" si="24"/>
        <v>0</v>
      </c>
      <c r="M193" s="74" t="str">
        <f t="shared" si="25"/>
        <v/>
      </c>
      <c r="N193" s="75">
        <f t="shared" si="26"/>
        <v>0</v>
      </c>
      <c r="O193" s="75">
        <f t="shared" si="27"/>
        <v>0</v>
      </c>
      <c r="P193" s="75">
        <f>IF($C193="",0,COUNTIFS($J$7:$J193,$J193,$M$7:$M193,$M193,$C$7:$C193,$C193))</f>
        <v>0</v>
      </c>
      <c r="Q193" s="75">
        <f t="shared" si="28"/>
        <v>0</v>
      </c>
      <c r="R193" s="75">
        <f t="shared" si="29"/>
        <v>0</v>
      </c>
      <c r="S193" s="75">
        <f>IF($C193="",0,COUNTIFS(rl_key,$J193,rl_eff,"&lt;"&amp;$C193)+COUNTIFS($J$7:$J193,$J193,$C$7:$C193,$C193))</f>
        <v>0</v>
      </c>
      <c r="T193" s="75">
        <f>IF(OR($C193="",$E193&lt;&gt;"planned",$C193&lt;DATE(nr_PlanYear,1,1),$C193&gt;DATE(nr_PlanYear,12,31)),0,IF(AND(COUNTIFS(rl_key,$J193,rl_status,"planned",rl_eff,"&gt;="&amp;DATE(nr_PlanYear,1,1),rl_eff,"&lt;"&amp;$C193)=0,COUNTIFS($J$7:$J193,$J193,$E$7:$E193,"planned",$C$7:$C193,$C193)=1),1,0))</f>
        <v>0</v>
      </c>
      <c r="U193" s="75">
        <f>IF(OR($C193="",$E193&lt;&gt;"taken"),0,IF(AND(COUNTIFS(rl_key,$J193,rl_effmonth,$M193,rl_eff,"&lt;"&amp;$C193,rl_status,"taken")=0,COUNTIFS($J$7:$J193,$J193,$M$7:$M193,$M193,$C$7:$C193,$C193,$E$7:$E193,"taken")=1),1,0))</f>
        <v>0</v>
      </c>
      <c r="V193" s="66" t="str">
        <f t="shared" si="30"/>
        <v/>
      </c>
      <c r="W193" s="76" t="str">
        <f t="shared" si="31"/>
        <v/>
      </c>
      <c r="X193" s="77" t="str">
        <f>IF(OR($C193="",$J193&lt;&gt;nr_SelKey),"",(SUMPRODUCT(('Rate Engine'!$G$17:$G$64&gt;YEAR($C193)*12+MONTH($C193)-1)*'Rate Engine'!$H$17:$H$64,'Rate Engine'!$Q$17:$Q$64)+(EOMONTH($C193,0)-$C193+1)/DAY(EOMONTH($C193,0))*SUMPRODUCT(('Rate Engine'!$G$17:$G$64=YEAR($C193)*12+MONTH($C193)-1)*'Rate Engine'!$H$17:$H$64,'Rate Engine'!$Q$17:$Q$64))/SUMPRODUCT('Rate Engine'!$H$17:$H$64,'Rate Engine'!$Q$17:$Q$64))</f>
        <v/>
      </c>
      <c r="Y193" s="78" t="str">
        <f t="shared" si="32"/>
        <v/>
      </c>
    </row>
    <row r="194" spans="1:25" x14ac:dyDescent="0.3">
      <c r="A194" s="11"/>
      <c r="B194" s="11"/>
      <c r="C194" s="61"/>
      <c r="D194" s="29"/>
      <c r="E194" s="11"/>
      <c r="F194" s="11"/>
      <c r="G194" s="59"/>
      <c r="H194" s="71"/>
      <c r="J194" s="65" t="str">
        <f t="shared" si="22"/>
        <v/>
      </c>
      <c r="K194" s="72" t="str">
        <f t="shared" si="23"/>
        <v/>
      </c>
      <c r="L194" s="73">
        <f t="shared" si="24"/>
        <v>0</v>
      </c>
      <c r="M194" s="74" t="str">
        <f t="shared" si="25"/>
        <v/>
      </c>
      <c r="N194" s="75">
        <f t="shared" si="26"/>
        <v>0</v>
      </c>
      <c r="O194" s="75">
        <f t="shared" si="27"/>
        <v>0</v>
      </c>
      <c r="P194" s="75">
        <f>IF($C194="",0,COUNTIFS($J$7:$J194,$J194,$M$7:$M194,$M194,$C$7:$C194,$C194))</f>
        <v>0</v>
      </c>
      <c r="Q194" s="75">
        <f t="shared" si="28"/>
        <v>0</v>
      </c>
      <c r="R194" s="75">
        <f t="shared" si="29"/>
        <v>0</v>
      </c>
      <c r="S194" s="75">
        <f>IF($C194="",0,COUNTIFS(rl_key,$J194,rl_eff,"&lt;"&amp;$C194)+COUNTIFS($J$7:$J194,$J194,$C$7:$C194,$C194))</f>
        <v>0</v>
      </c>
      <c r="T194" s="75">
        <f>IF(OR($C194="",$E194&lt;&gt;"planned",$C194&lt;DATE(nr_PlanYear,1,1),$C194&gt;DATE(nr_PlanYear,12,31)),0,IF(AND(COUNTIFS(rl_key,$J194,rl_status,"planned",rl_eff,"&gt;="&amp;DATE(nr_PlanYear,1,1),rl_eff,"&lt;"&amp;$C194)=0,COUNTIFS($J$7:$J194,$J194,$E$7:$E194,"planned",$C$7:$C194,$C194)=1),1,0))</f>
        <v>0</v>
      </c>
      <c r="U194" s="75">
        <f>IF(OR($C194="",$E194&lt;&gt;"taken"),0,IF(AND(COUNTIFS(rl_key,$J194,rl_effmonth,$M194,rl_eff,"&lt;"&amp;$C194,rl_status,"taken")=0,COUNTIFS($J$7:$J194,$J194,$M$7:$M194,$M194,$C$7:$C194,$C194,$E$7:$E194,"taken")=1),1,0))</f>
        <v>0</v>
      </c>
      <c r="V194" s="66" t="str">
        <f t="shared" si="30"/>
        <v/>
      </c>
      <c r="W194" s="76" t="str">
        <f t="shared" si="31"/>
        <v/>
      </c>
      <c r="X194" s="77" t="str">
        <f>IF(OR($C194="",$J194&lt;&gt;nr_SelKey),"",(SUMPRODUCT(('Rate Engine'!$G$17:$G$64&gt;YEAR($C194)*12+MONTH($C194)-1)*'Rate Engine'!$H$17:$H$64,'Rate Engine'!$Q$17:$Q$64)+(EOMONTH($C194,0)-$C194+1)/DAY(EOMONTH($C194,0))*SUMPRODUCT(('Rate Engine'!$G$17:$G$64=YEAR($C194)*12+MONTH($C194)-1)*'Rate Engine'!$H$17:$H$64,'Rate Engine'!$Q$17:$Q$64))/SUMPRODUCT('Rate Engine'!$H$17:$H$64,'Rate Engine'!$Q$17:$Q$64))</f>
        <v/>
      </c>
      <c r="Y194" s="78" t="str">
        <f t="shared" si="32"/>
        <v/>
      </c>
    </row>
    <row r="195" spans="1:25" x14ac:dyDescent="0.3">
      <c r="A195" s="11"/>
      <c r="B195" s="11"/>
      <c r="C195" s="61"/>
      <c r="D195" s="29"/>
      <c r="E195" s="11"/>
      <c r="F195" s="11"/>
      <c r="G195" s="59"/>
      <c r="H195" s="71"/>
      <c r="J195" s="65" t="str">
        <f t="shared" si="22"/>
        <v/>
      </c>
      <c r="K195" s="72" t="str">
        <f t="shared" si="23"/>
        <v/>
      </c>
      <c r="L195" s="73">
        <f t="shared" si="24"/>
        <v>0</v>
      </c>
      <c r="M195" s="74" t="str">
        <f t="shared" si="25"/>
        <v/>
      </c>
      <c r="N195" s="75">
        <f t="shared" si="26"/>
        <v>0</v>
      </c>
      <c r="O195" s="75">
        <f t="shared" si="27"/>
        <v>0</v>
      </c>
      <c r="P195" s="75">
        <f>IF($C195="",0,COUNTIFS($J$7:$J195,$J195,$M$7:$M195,$M195,$C$7:$C195,$C195))</f>
        <v>0</v>
      </c>
      <c r="Q195" s="75">
        <f t="shared" si="28"/>
        <v>0</v>
      </c>
      <c r="R195" s="75">
        <f t="shared" si="29"/>
        <v>0</v>
      </c>
      <c r="S195" s="75">
        <f>IF($C195="",0,COUNTIFS(rl_key,$J195,rl_eff,"&lt;"&amp;$C195)+COUNTIFS($J$7:$J195,$J195,$C$7:$C195,$C195))</f>
        <v>0</v>
      </c>
      <c r="T195" s="75">
        <f>IF(OR($C195="",$E195&lt;&gt;"planned",$C195&lt;DATE(nr_PlanYear,1,1),$C195&gt;DATE(nr_PlanYear,12,31)),0,IF(AND(COUNTIFS(rl_key,$J195,rl_status,"planned",rl_eff,"&gt;="&amp;DATE(nr_PlanYear,1,1),rl_eff,"&lt;"&amp;$C195)=0,COUNTIFS($J$7:$J195,$J195,$E$7:$E195,"planned",$C$7:$C195,$C195)=1),1,0))</f>
        <v>0</v>
      </c>
      <c r="U195" s="75">
        <f>IF(OR($C195="",$E195&lt;&gt;"taken"),0,IF(AND(COUNTIFS(rl_key,$J195,rl_effmonth,$M195,rl_eff,"&lt;"&amp;$C195,rl_status,"taken")=0,COUNTIFS($J$7:$J195,$J195,$M$7:$M195,$M195,$C$7:$C195,$C195,$E$7:$E195,"taken")=1),1,0))</f>
        <v>0</v>
      </c>
      <c r="V195" s="66" t="str">
        <f t="shared" si="30"/>
        <v/>
      </c>
      <c r="W195" s="76" t="str">
        <f t="shared" si="31"/>
        <v/>
      </c>
      <c r="X195" s="77" t="str">
        <f>IF(OR($C195="",$J195&lt;&gt;nr_SelKey),"",(SUMPRODUCT(('Rate Engine'!$G$17:$G$64&gt;YEAR($C195)*12+MONTH($C195)-1)*'Rate Engine'!$H$17:$H$64,'Rate Engine'!$Q$17:$Q$64)+(EOMONTH($C195,0)-$C195+1)/DAY(EOMONTH($C195,0))*SUMPRODUCT(('Rate Engine'!$G$17:$G$64=YEAR($C195)*12+MONTH($C195)-1)*'Rate Engine'!$H$17:$H$64,'Rate Engine'!$Q$17:$Q$64))/SUMPRODUCT('Rate Engine'!$H$17:$H$64,'Rate Engine'!$Q$17:$Q$64))</f>
        <v/>
      </c>
      <c r="Y195" s="78" t="str">
        <f t="shared" si="32"/>
        <v/>
      </c>
    </row>
    <row r="196" spans="1:25" x14ac:dyDescent="0.3">
      <c r="A196" s="11"/>
      <c r="B196" s="11"/>
      <c r="C196" s="61"/>
      <c r="D196" s="29"/>
      <c r="E196" s="11"/>
      <c r="F196" s="11"/>
      <c r="G196" s="59"/>
      <c r="H196" s="71"/>
      <c r="J196" s="65" t="str">
        <f t="shared" si="22"/>
        <v/>
      </c>
      <c r="K196" s="72" t="str">
        <f t="shared" si="23"/>
        <v/>
      </c>
      <c r="L196" s="73">
        <f t="shared" si="24"/>
        <v>0</v>
      </c>
      <c r="M196" s="74" t="str">
        <f t="shared" si="25"/>
        <v/>
      </c>
      <c r="N196" s="75">
        <f t="shared" si="26"/>
        <v>0</v>
      </c>
      <c r="O196" s="75">
        <f t="shared" si="27"/>
        <v>0</v>
      </c>
      <c r="P196" s="75">
        <f>IF($C196="",0,COUNTIFS($J$7:$J196,$J196,$M$7:$M196,$M196,$C$7:$C196,$C196))</f>
        <v>0</v>
      </c>
      <c r="Q196" s="75">
        <f t="shared" si="28"/>
        <v>0</v>
      </c>
      <c r="R196" s="75">
        <f t="shared" si="29"/>
        <v>0</v>
      </c>
      <c r="S196" s="75">
        <f>IF($C196="",0,COUNTIFS(rl_key,$J196,rl_eff,"&lt;"&amp;$C196)+COUNTIFS($J$7:$J196,$J196,$C$7:$C196,$C196))</f>
        <v>0</v>
      </c>
      <c r="T196" s="75">
        <f>IF(OR($C196="",$E196&lt;&gt;"planned",$C196&lt;DATE(nr_PlanYear,1,1),$C196&gt;DATE(nr_PlanYear,12,31)),0,IF(AND(COUNTIFS(rl_key,$J196,rl_status,"planned",rl_eff,"&gt;="&amp;DATE(nr_PlanYear,1,1),rl_eff,"&lt;"&amp;$C196)=0,COUNTIFS($J$7:$J196,$J196,$E$7:$E196,"planned",$C$7:$C196,$C196)=1),1,0))</f>
        <v>0</v>
      </c>
      <c r="U196" s="75">
        <f>IF(OR($C196="",$E196&lt;&gt;"taken"),0,IF(AND(COUNTIFS(rl_key,$J196,rl_effmonth,$M196,rl_eff,"&lt;"&amp;$C196,rl_status,"taken")=0,COUNTIFS($J$7:$J196,$J196,$M$7:$M196,$M196,$C$7:$C196,$C196,$E$7:$E196,"taken")=1),1,0))</f>
        <v>0</v>
      </c>
      <c r="V196" s="66" t="str">
        <f t="shared" si="30"/>
        <v/>
      </c>
      <c r="W196" s="76" t="str">
        <f t="shared" si="31"/>
        <v/>
      </c>
      <c r="X196" s="77" t="str">
        <f>IF(OR($C196="",$J196&lt;&gt;nr_SelKey),"",(SUMPRODUCT(('Rate Engine'!$G$17:$G$64&gt;YEAR($C196)*12+MONTH($C196)-1)*'Rate Engine'!$H$17:$H$64,'Rate Engine'!$Q$17:$Q$64)+(EOMONTH($C196,0)-$C196+1)/DAY(EOMONTH($C196,0))*SUMPRODUCT(('Rate Engine'!$G$17:$G$64=YEAR($C196)*12+MONTH($C196)-1)*'Rate Engine'!$H$17:$H$64,'Rate Engine'!$Q$17:$Q$64))/SUMPRODUCT('Rate Engine'!$H$17:$H$64,'Rate Engine'!$Q$17:$Q$64))</f>
        <v/>
      </c>
      <c r="Y196" s="78" t="str">
        <f t="shared" si="32"/>
        <v/>
      </c>
    </row>
    <row r="197" spans="1:25" x14ac:dyDescent="0.3">
      <c r="A197" s="11"/>
      <c r="B197" s="11"/>
      <c r="C197" s="61"/>
      <c r="D197" s="29"/>
      <c r="E197" s="11"/>
      <c r="F197" s="11"/>
      <c r="G197" s="59"/>
      <c r="H197" s="71"/>
      <c r="J197" s="65" t="str">
        <f t="shared" si="22"/>
        <v/>
      </c>
      <c r="K197" s="72" t="str">
        <f t="shared" si="23"/>
        <v/>
      </c>
      <c r="L197" s="73">
        <f t="shared" si="24"/>
        <v>0</v>
      </c>
      <c r="M197" s="74" t="str">
        <f t="shared" si="25"/>
        <v/>
      </c>
      <c r="N197" s="75">
        <f t="shared" si="26"/>
        <v>0</v>
      </c>
      <c r="O197" s="75">
        <f t="shared" si="27"/>
        <v>0</v>
      </c>
      <c r="P197" s="75">
        <f>IF($C197="",0,COUNTIFS($J$7:$J197,$J197,$M$7:$M197,$M197,$C$7:$C197,$C197))</f>
        <v>0</v>
      </c>
      <c r="Q197" s="75">
        <f t="shared" si="28"/>
        <v>0</v>
      </c>
      <c r="R197" s="75">
        <f t="shared" si="29"/>
        <v>0</v>
      </c>
      <c r="S197" s="75">
        <f>IF($C197="",0,COUNTIFS(rl_key,$J197,rl_eff,"&lt;"&amp;$C197)+COUNTIFS($J$7:$J197,$J197,$C$7:$C197,$C197))</f>
        <v>0</v>
      </c>
      <c r="T197" s="75">
        <f>IF(OR($C197="",$E197&lt;&gt;"planned",$C197&lt;DATE(nr_PlanYear,1,1),$C197&gt;DATE(nr_PlanYear,12,31)),0,IF(AND(COUNTIFS(rl_key,$J197,rl_status,"planned",rl_eff,"&gt;="&amp;DATE(nr_PlanYear,1,1),rl_eff,"&lt;"&amp;$C197)=0,COUNTIFS($J$7:$J197,$J197,$E$7:$E197,"planned",$C$7:$C197,$C197)=1),1,0))</f>
        <v>0</v>
      </c>
      <c r="U197" s="75">
        <f>IF(OR($C197="",$E197&lt;&gt;"taken"),0,IF(AND(COUNTIFS(rl_key,$J197,rl_effmonth,$M197,rl_eff,"&lt;"&amp;$C197,rl_status,"taken")=0,COUNTIFS($J$7:$J197,$J197,$M$7:$M197,$M197,$C$7:$C197,$C197,$E$7:$E197,"taken")=1),1,0))</f>
        <v>0</v>
      </c>
      <c r="V197" s="66" t="str">
        <f t="shared" si="30"/>
        <v/>
      </c>
      <c r="W197" s="76" t="str">
        <f t="shared" si="31"/>
        <v/>
      </c>
      <c r="X197" s="77" t="str">
        <f>IF(OR($C197="",$J197&lt;&gt;nr_SelKey),"",(SUMPRODUCT(('Rate Engine'!$G$17:$G$64&gt;YEAR($C197)*12+MONTH($C197)-1)*'Rate Engine'!$H$17:$H$64,'Rate Engine'!$Q$17:$Q$64)+(EOMONTH($C197,0)-$C197+1)/DAY(EOMONTH($C197,0))*SUMPRODUCT(('Rate Engine'!$G$17:$G$64=YEAR($C197)*12+MONTH($C197)-1)*'Rate Engine'!$H$17:$H$64,'Rate Engine'!$Q$17:$Q$64))/SUMPRODUCT('Rate Engine'!$H$17:$H$64,'Rate Engine'!$Q$17:$Q$64))</f>
        <v/>
      </c>
      <c r="Y197" s="78" t="str">
        <f t="shared" si="32"/>
        <v/>
      </c>
    </row>
    <row r="198" spans="1:25" x14ac:dyDescent="0.3">
      <c r="A198" s="11"/>
      <c r="B198" s="11"/>
      <c r="C198" s="61"/>
      <c r="D198" s="29"/>
      <c r="E198" s="11"/>
      <c r="F198" s="11"/>
      <c r="G198" s="59"/>
      <c r="H198" s="71"/>
      <c r="J198" s="65" t="str">
        <f t="shared" si="22"/>
        <v/>
      </c>
      <c r="K198" s="72" t="str">
        <f t="shared" si="23"/>
        <v/>
      </c>
      <c r="L198" s="73">
        <f t="shared" si="24"/>
        <v>0</v>
      </c>
      <c r="M198" s="74" t="str">
        <f t="shared" si="25"/>
        <v/>
      </c>
      <c r="N198" s="75">
        <f t="shared" si="26"/>
        <v>0</v>
      </c>
      <c r="O198" s="75">
        <f t="shared" si="27"/>
        <v>0</v>
      </c>
      <c r="P198" s="75">
        <f>IF($C198="",0,COUNTIFS($J$7:$J198,$J198,$M$7:$M198,$M198,$C$7:$C198,$C198))</f>
        <v>0</v>
      </c>
      <c r="Q198" s="75">
        <f t="shared" si="28"/>
        <v>0</v>
      </c>
      <c r="R198" s="75">
        <f t="shared" si="29"/>
        <v>0</v>
      </c>
      <c r="S198" s="75">
        <f>IF($C198="",0,COUNTIFS(rl_key,$J198,rl_eff,"&lt;"&amp;$C198)+COUNTIFS($J$7:$J198,$J198,$C$7:$C198,$C198))</f>
        <v>0</v>
      </c>
      <c r="T198" s="75">
        <f>IF(OR($C198="",$E198&lt;&gt;"planned",$C198&lt;DATE(nr_PlanYear,1,1),$C198&gt;DATE(nr_PlanYear,12,31)),0,IF(AND(COUNTIFS(rl_key,$J198,rl_status,"planned",rl_eff,"&gt;="&amp;DATE(nr_PlanYear,1,1),rl_eff,"&lt;"&amp;$C198)=0,COUNTIFS($J$7:$J198,$J198,$E$7:$E198,"planned",$C$7:$C198,$C198)=1),1,0))</f>
        <v>0</v>
      </c>
      <c r="U198" s="75">
        <f>IF(OR($C198="",$E198&lt;&gt;"taken"),0,IF(AND(COUNTIFS(rl_key,$J198,rl_effmonth,$M198,rl_eff,"&lt;"&amp;$C198,rl_status,"taken")=0,COUNTIFS($J$7:$J198,$J198,$M$7:$M198,$M198,$C$7:$C198,$C198,$E$7:$E198,"taken")=1),1,0))</f>
        <v>0</v>
      </c>
      <c r="V198" s="66" t="str">
        <f t="shared" si="30"/>
        <v/>
      </c>
      <c r="W198" s="76" t="str">
        <f t="shared" si="31"/>
        <v/>
      </c>
      <c r="X198" s="77" t="str">
        <f>IF(OR($C198="",$J198&lt;&gt;nr_SelKey),"",(SUMPRODUCT(('Rate Engine'!$G$17:$G$64&gt;YEAR($C198)*12+MONTH($C198)-1)*'Rate Engine'!$H$17:$H$64,'Rate Engine'!$Q$17:$Q$64)+(EOMONTH($C198,0)-$C198+1)/DAY(EOMONTH($C198,0))*SUMPRODUCT(('Rate Engine'!$G$17:$G$64=YEAR($C198)*12+MONTH($C198)-1)*'Rate Engine'!$H$17:$H$64,'Rate Engine'!$Q$17:$Q$64))/SUMPRODUCT('Rate Engine'!$H$17:$H$64,'Rate Engine'!$Q$17:$Q$64))</f>
        <v/>
      </c>
      <c r="Y198" s="78" t="str">
        <f t="shared" si="32"/>
        <v/>
      </c>
    </row>
    <row r="199" spans="1:25" x14ac:dyDescent="0.3">
      <c r="A199" s="11"/>
      <c r="B199" s="11"/>
      <c r="C199" s="61"/>
      <c r="D199" s="29"/>
      <c r="E199" s="11"/>
      <c r="F199" s="11"/>
      <c r="G199" s="59"/>
      <c r="H199" s="71"/>
      <c r="J199" s="65" t="str">
        <f t="shared" ref="J199:J246" si="33">IF(OR($A199="",$B199=""),"",$A199&amp;"|"&amp;$B199)</f>
        <v/>
      </c>
      <c r="K199" s="72" t="str">
        <f t="shared" ref="K199:K246" si="34">IF($C199="","",$D199*IF($E199="planned",IF($G199="",1,$G199),1))</f>
        <v/>
      </c>
      <c r="L199" s="73">
        <f t="shared" ref="L199:L246" si="35">IF($C199="",0,IF(1+$K199&gt;0,LN(1+$K199),0))</f>
        <v>0</v>
      </c>
      <c r="M199" s="74" t="str">
        <f t="shared" ref="M199:M246" si="36">IF($C199="","",DATE(YEAR($C199),MONTH($C199),1))</f>
        <v/>
      </c>
      <c r="N199" s="75">
        <f t="shared" ref="N199:N246" si="37">IF($C199="",0,EOMONTH($C199,0)-$C199+1)</f>
        <v>0</v>
      </c>
      <c r="O199" s="75">
        <f t="shared" ref="O199:O246" si="38">IF($C199="",0,COUNTIFS(rl_key,$J199,rl_effmonth,$M199,rl_eff,"&lt;"&amp;$C199))</f>
        <v>0</v>
      </c>
      <c r="P199" s="75">
        <f>IF($C199="",0,COUNTIFS($J$7:$J199,$J199,$M$7:$M199,$M199,$C$7:$C199,$C199))</f>
        <v>0</v>
      </c>
      <c r="Q199" s="75">
        <f t="shared" ref="Q199:Q246" si="39">IF($C199="",0,IF(AND($O199=0,$P199=1),1,0))</f>
        <v>0</v>
      </c>
      <c r="R199" s="75">
        <f t="shared" ref="R199:R246" si="40">IF($C199="",0,IF(COUNTIFS(rl_key,$J199,rl_effmonth,$M199)&gt;1,1,0))</f>
        <v>0</v>
      </c>
      <c r="S199" s="75">
        <f>IF($C199="",0,COUNTIFS(rl_key,$J199,rl_eff,"&lt;"&amp;$C199)+COUNTIFS($J$7:$J199,$J199,$C$7:$C199,$C199))</f>
        <v>0</v>
      </c>
      <c r="T199" s="75">
        <f>IF(OR($C199="",$E199&lt;&gt;"planned",$C199&lt;DATE(nr_PlanYear,1,1),$C199&gt;DATE(nr_PlanYear,12,31)),0,IF(AND(COUNTIFS(rl_key,$J199,rl_status,"planned",rl_eff,"&gt;="&amp;DATE(nr_PlanYear,1,1),rl_eff,"&lt;"&amp;$C199)=0,COUNTIFS($J$7:$J199,$J199,$E$7:$E199,"planned",$C$7:$C199,$C199)=1),1,0))</f>
        <v>0</v>
      </c>
      <c r="U199" s="75">
        <f>IF(OR($C199="",$E199&lt;&gt;"taken"),0,IF(AND(COUNTIFS(rl_key,$J199,rl_effmonth,$M199,rl_eff,"&lt;"&amp;$C199,rl_status,"taken")=0,COUNTIFS($J$7:$J199,$J199,$M$7:$M199,$M199,$C$7:$C199,$C199,$E$7:$E199,"taken")=1),1,0))</f>
        <v>0</v>
      </c>
      <c r="V199" s="66" t="str">
        <f t="shared" ref="V199:V246" si="41">IF($J199="","",IF(COUNTIF(lr_key,$J199)=0,"not in tbl_LR",INDEX(calc_cylr_p,MATCH($J199,lr_key,0))))</f>
        <v/>
      </c>
      <c r="W199" s="76" t="str">
        <f t="shared" ref="W199:W246" si="42">IF(OR($J199="",COUNTIF(lr_key,$J199)=0),"",(INDEX(calc_cylr_p,MATCH($J199,lr_key,0))-INDEX(calc_lrcur,MATCH($J199,lr_key,0)))*100)</f>
        <v/>
      </c>
      <c r="X199" s="77" t="str">
        <f>IF(OR($C199="",$J199&lt;&gt;nr_SelKey),"",(SUMPRODUCT(('Rate Engine'!$G$17:$G$64&gt;YEAR($C199)*12+MONTH($C199)-1)*'Rate Engine'!$H$17:$H$64,'Rate Engine'!$Q$17:$Q$64)+(EOMONTH($C199,0)-$C199+1)/DAY(EOMONTH($C199,0))*SUMPRODUCT(('Rate Engine'!$G$17:$G$64=YEAR($C199)*12+MONTH($C199)-1)*'Rate Engine'!$H$17:$H$64,'Rate Engine'!$Q$17:$Q$64))/SUMPRODUCT('Rate Engine'!$H$17:$H$64,'Rate Engine'!$Q$17:$Q$64))</f>
        <v/>
      </c>
      <c r="Y199" s="78" t="str">
        <f t="shared" ref="Y199:Y246" si="43">IF($C199="","",IF(AND($E199="taken",$G199&lt;&gt;"",$G199&lt;&gt;1),"achievement ignored — restate Filed %",""))</f>
        <v/>
      </c>
    </row>
    <row r="200" spans="1:25" x14ac:dyDescent="0.3">
      <c r="A200" s="11"/>
      <c r="B200" s="11"/>
      <c r="C200" s="61"/>
      <c r="D200" s="29"/>
      <c r="E200" s="11"/>
      <c r="F200" s="11"/>
      <c r="G200" s="59"/>
      <c r="H200" s="71"/>
      <c r="J200" s="65" t="str">
        <f t="shared" si="33"/>
        <v/>
      </c>
      <c r="K200" s="72" t="str">
        <f t="shared" si="34"/>
        <v/>
      </c>
      <c r="L200" s="73">
        <f t="shared" si="35"/>
        <v>0</v>
      </c>
      <c r="M200" s="74" t="str">
        <f t="shared" si="36"/>
        <v/>
      </c>
      <c r="N200" s="75">
        <f t="shared" si="37"/>
        <v>0</v>
      </c>
      <c r="O200" s="75">
        <f t="shared" si="38"/>
        <v>0</v>
      </c>
      <c r="P200" s="75">
        <f>IF($C200="",0,COUNTIFS($J$7:$J200,$J200,$M$7:$M200,$M200,$C$7:$C200,$C200))</f>
        <v>0</v>
      </c>
      <c r="Q200" s="75">
        <f t="shared" si="39"/>
        <v>0</v>
      </c>
      <c r="R200" s="75">
        <f t="shared" si="40"/>
        <v>0</v>
      </c>
      <c r="S200" s="75">
        <f>IF($C200="",0,COUNTIFS(rl_key,$J200,rl_eff,"&lt;"&amp;$C200)+COUNTIFS($J$7:$J200,$J200,$C$7:$C200,$C200))</f>
        <v>0</v>
      </c>
      <c r="T200" s="75">
        <f>IF(OR($C200="",$E200&lt;&gt;"planned",$C200&lt;DATE(nr_PlanYear,1,1),$C200&gt;DATE(nr_PlanYear,12,31)),0,IF(AND(COUNTIFS(rl_key,$J200,rl_status,"planned",rl_eff,"&gt;="&amp;DATE(nr_PlanYear,1,1),rl_eff,"&lt;"&amp;$C200)=0,COUNTIFS($J$7:$J200,$J200,$E$7:$E200,"planned",$C$7:$C200,$C200)=1),1,0))</f>
        <v>0</v>
      </c>
      <c r="U200" s="75">
        <f>IF(OR($C200="",$E200&lt;&gt;"taken"),0,IF(AND(COUNTIFS(rl_key,$J200,rl_effmonth,$M200,rl_eff,"&lt;"&amp;$C200,rl_status,"taken")=0,COUNTIFS($J$7:$J200,$J200,$M$7:$M200,$M200,$C$7:$C200,$C200,$E$7:$E200,"taken")=1),1,0))</f>
        <v>0</v>
      </c>
      <c r="V200" s="66" t="str">
        <f t="shared" si="41"/>
        <v/>
      </c>
      <c r="W200" s="76" t="str">
        <f t="shared" si="42"/>
        <v/>
      </c>
      <c r="X200" s="77" t="str">
        <f>IF(OR($C200="",$J200&lt;&gt;nr_SelKey),"",(SUMPRODUCT(('Rate Engine'!$G$17:$G$64&gt;YEAR($C200)*12+MONTH($C200)-1)*'Rate Engine'!$H$17:$H$64,'Rate Engine'!$Q$17:$Q$64)+(EOMONTH($C200,0)-$C200+1)/DAY(EOMONTH($C200,0))*SUMPRODUCT(('Rate Engine'!$G$17:$G$64=YEAR($C200)*12+MONTH($C200)-1)*'Rate Engine'!$H$17:$H$64,'Rate Engine'!$Q$17:$Q$64))/SUMPRODUCT('Rate Engine'!$H$17:$H$64,'Rate Engine'!$Q$17:$Q$64))</f>
        <v/>
      </c>
      <c r="Y200" s="78" t="str">
        <f t="shared" si="43"/>
        <v/>
      </c>
    </row>
    <row r="201" spans="1:25" x14ac:dyDescent="0.3">
      <c r="A201" s="11"/>
      <c r="B201" s="11"/>
      <c r="C201" s="61"/>
      <c r="D201" s="29"/>
      <c r="E201" s="11"/>
      <c r="F201" s="11"/>
      <c r="G201" s="59"/>
      <c r="H201" s="71"/>
      <c r="J201" s="65" t="str">
        <f t="shared" si="33"/>
        <v/>
      </c>
      <c r="K201" s="72" t="str">
        <f t="shared" si="34"/>
        <v/>
      </c>
      <c r="L201" s="73">
        <f t="shared" si="35"/>
        <v>0</v>
      </c>
      <c r="M201" s="74" t="str">
        <f t="shared" si="36"/>
        <v/>
      </c>
      <c r="N201" s="75">
        <f t="shared" si="37"/>
        <v>0</v>
      </c>
      <c r="O201" s="75">
        <f t="shared" si="38"/>
        <v>0</v>
      </c>
      <c r="P201" s="75">
        <f>IF($C201="",0,COUNTIFS($J$7:$J201,$J201,$M$7:$M201,$M201,$C$7:$C201,$C201))</f>
        <v>0</v>
      </c>
      <c r="Q201" s="75">
        <f t="shared" si="39"/>
        <v>0</v>
      </c>
      <c r="R201" s="75">
        <f t="shared" si="40"/>
        <v>0</v>
      </c>
      <c r="S201" s="75">
        <f>IF($C201="",0,COUNTIFS(rl_key,$J201,rl_eff,"&lt;"&amp;$C201)+COUNTIFS($J$7:$J201,$J201,$C$7:$C201,$C201))</f>
        <v>0</v>
      </c>
      <c r="T201" s="75">
        <f>IF(OR($C201="",$E201&lt;&gt;"planned",$C201&lt;DATE(nr_PlanYear,1,1),$C201&gt;DATE(nr_PlanYear,12,31)),0,IF(AND(COUNTIFS(rl_key,$J201,rl_status,"planned",rl_eff,"&gt;="&amp;DATE(nr_PlanYear,1,1),rl_eff,"&lt;"&amp;$C201)=0,COUNTIFS($J$7:$J201,$J201,$E$7:$E201,"planned",$C$7:$C201,$C201)=1),1,0))</f>
        <v>0</v>
      </c>
      <c r="U201" s="75">
        <f>IF(OR($C201="",$E201&lt;&gt;"taken"),0,IF(AND(COUNTIFS(rl_key,$J201,rl_effmonth,$M201,rl_eff,"&lt;"&amp;$C201,rl_status,"taken")=0,COUNTIFS($J$7:$J201,$J201,$M$7:$M201,$M201,$C$7:$C201,$C201,$E$7:$E201,"taken")=1),1,0))</f>
        <v>0</v>
      </c>
      <c r="V201" s="66" t="str">
        <f t="shared" si="41"/>
        <v/>
      </c>
      <c r="W201" s="76" t="str">
        <f t="shared" si="42"/>
        <v/>
      </c>
      <c r="X201" s="77" t="str">
        <f>IF(OR($C201="",$J201&lt;&gt;nr_SelKey),"",(SUMPRODUCT(('Rate Engine'!$G$17:$G$64&gt;YEAR($C201)*12+MONTH($C201)-1)*'Rate Engine'!$H$17:$H$64,'Rate Engine'!$Q$17:$Q$64)+(EOMONTH($C201,0)-$C201+1)/DAY(EOMONTH($C201,0))*SUMPRODUCT(('Rate Engine'!$G$17:$G$64=YEAR($C201)*12+MONTH($C201)-1)*'Rate Engine'!$H$17:$H$64,'Rate Engine'!$Q$17:$Q$64))/SUMPRODUCT('Rate Engine'!$H$17:$H$64,'Rate Engine'!$Q$17:$Q$64))</f>
        <v/>
      </c>
      <c r="Y201" s="78" t="str">
        <f t="shared" si="43"/>
        <v/>
      </c>
    </row>
    <row r="202" spans="1:25" x14ac:dyDescent="0.3">
      <c r="A202" s="11"/>
      <c r="B202" s="11"/>
      <c r="C202" s="61"/>
      <c r="D202" s="29"/>
      <c r="E202" s="11"/>
      <c r="F202" s="11"/>
      <c r="G202" s="59"/>
      <c r="H202" s="71"/>
      <c r="J202" s="65" t="str">
        <f t="shared" si="33"/>
        <v/>
      </c>
      <c r="K202" s="72" t="str">
        <f t="shared" si="34"/>
        <v/>
      </c>
      <c r="L202" s="73">
        <f t="shared" si="35"/>
        <v>0</v>
      </c>
      <c r="M202" s="74" t="str">
        <f t="shared" si="36"/>
        <v/>
      </c>
      <c r="N202" s="75">
        <f t="shared" si="37"/>
        <v>0</v>
      </c>
      <c r="O202" s="75">
        <f t="shared" si="38"/>
        <v>0</v>
      </c>
      <c r="P202" s="75">
        <f>IF($C202="",0,COUNTIFS($J$7:$J202,$J202,$M$7:$M202,$M202,$C$7:$C202,$C202))</f>
        <v>0</v>
      </c>
      <c r="Q202" s="75">
        <f t="shared" si="39"/>
        <v>0</v>
      </c>
      <c r="R202" s="75">
        <f t="shared" si="40"/>
        <v>0</v>
      </c>
      <c r="S202" s="75">
        <f>IF($C202="",0,COUNTIFS(rl_key,$J202,rl_eff,"&lt;"&amp;$C202)+COUNTIFS($J$7:$J202,$J202,$C$7:$C202,$C202))</f>
        <v>0</v>
      </c>
      <c r="T202" s="75">
        <f>IF(OR($C202="",$E202&lt;&gt;"planned",$C202&lt;DATE(nr_PlanYear,1,1),$C202&gt;DATE(nr_PlanYear,12,31)),0,IF(AND(COUNTIFS(rl_key,$J202,rl_status,"planned",rl_eff,"&gt;="&amp;DATE(nr_PlanYear,1,1),rl_eff,"&lt;"&amp;$C202)=0,COUNTIFS($J$7:$J202,$J202,$E$7:$E202,"planned",$C$7:$C202,$C202)=1),1,0))</f>
        <v>0</v>
      </c>
      <c r="U202" s="75">
        <f>IF(OR($C202="",$E202&lt;&gt;"taken"),0,IF(AND(COUNTIFS(rl_key,$J202,rl_effmonth,$M202,rl_eff,"&lt;"&amp;$C202,rl_status,"taken")=0,COUNTIFS($J$7:$J202,$J202,$M$7:$M202,$M202,$C$7:$C202,$C202,$E$7:$E202,"taken")=1),1,0))</f>
        <v>0</v>
      </c>
      <c r="V202" s="66" t="str">
        <f t="shared" si="41"/>
        <v/>
      </c>
      <c r="W202" s="76" t="str">
        <f t="shared" si="42"/>
        <v/>
      </c>
      <c r="X202" s="77" t="str">
        <f>IF(OR($C202="",$J202&lt;&gt;nr_SelKey),"",(SUMPRODUCT(('Rate Engine'!$G$17:$G$64&gt;YEAR($C202)*12+MONTH($C202)-1)*'Rate Engine'!$H$17:$H$64,'Rate Engine'!$Q$17:$Q$64)+(EOMONTH($C202,0)-$C202+1)/DAY(EOMONTH($C202,0))*SUMPRODUCT(('Rate Engine'!$G$17:$G$64=YEAR($C202)*12+MONTH($C202)-1)*'Rate Engine'!$H$17:$H$64,'Rate Engine'!$Q$17:$Q$64))/SUMPRODUCT('Rate Engine'!$H$17:$H$64,'Rate Engine'!$Q$17:$Q$64))</f>
        <v/>
      </c>
      <c r="Y202" s="78" t="str">
        <f t="shared" si="43"/>
        <v/>
      </c>
    </row>
    <row r="203" spans="1:25" x14ac:dyDescent="0.3">
      <c r="A203" s="11"/>
      <c r="B203" s="11"/>
      <c r="C203" s="61"/>
      <c r="D203" s="29"/>
      <c r="E203" s="11"/>
      <c r="F203" s="11"/>
      <c r="G203" s="59"/>
      <c r="H203" s="71"/>
      <c r="J203" s="65" t="str">
        <f t="shared" si="33"/>
        <v/>
      </c>
      <c r="K203" s="72" t="str">
        <f t="shared" si="34"/>
        <v/>
      </c>
      <c r="L203" s="73">
        <f t="shared" si="35"/>
        <v>0</v>
      </c>
      <c r="M203" s="74" t="str">
        <f t="shared" si="36"/>
        <v/>
      </c>
      <c r="N203" s="75">
        <f t="shared" si="37"/>
        <v>0</v>
      </c>
      <c r="O203" s="75">
        <f t="shared" si="38"/>
        <v>0</v>
      </c>
      <c r="P203" s="75">
        <f>IF($C203="",0,COUNTIFS($J$7:$J203,$J203,$M$7:$M203,$M203,$C$7:$C203,$C203))</f>
        <v>0</v>
      </c>
      <c r="Q203" s="75">
        <f t="shared" si="39"/>
        <v>0</v>
      </c>
      <c r="R203" s="75">
        <f t="shared" si="40"/>
        <v>0</v>
      </c>
      <c r="S203" s="75">
        <f>IF($C203="",0,COUNTIFS(rl_key,$J203,rl_eff,"&lt;"&amp;$C203)+COUNTIFS($J$7:$J203,$J203,$C$7:$C203,$C203))</f>
        <v>0</v>
      </c>
      <c r="T203" s="75">
        <f>IF(OR($C203="",$E203&lt;&gt;"planned",$C203&lt;DATE(nr_PlanYear,1,1),$C203&gt;DATE(nr_PlanYear,12,31)),0,IF(AND(COUNTIFS(rl_key,$J203,rl_status,"planned",rl_eff,"&gt;="&amp;DATE(nr_PlanYear,1,1),rl_eff,"&lt;"&amp;$C203)=0,COUNTIFS($J$7:$J203,$J203,$E$7:$E203,"planned",$C$7:$C203,$C203)=1),1,0))</f>
        <v>0</v>
      </c>
      <c r="U203" s="75">
        <f>IF(OR($C203="",$E203&lt;&gt;"taken"),0,IF(AND(COUNTIFS(rl_key,$J203,rl_effmonth,$M203,rl_eff,"&lt;"&amp;$C203,rl_status,"taken")=0,COUNTIFS($J$7:$J203,$J203,$M$7:$M203,$M203,$C$7:$C203,$C203,$E$7:$E203,"taken")=1),1,0))</f>
        <v>0</v>
      </c>
      <c r="V203" s="66" t="str">
        <f t="shared" si="41"/>
        <v/>
      </c>
      <c r="W203" s="76" t="str">
        <f t="shared" si="42"/>
        <v/>
      </c>
      <c r="X203" s="77" t="str">
        <f>IF(OR($C203="",$J203&lt;&gt;nr_SelKey),"",(SUMPRODUCT(('Rate Engine'!$G$17:$G$64&gt;YEAR($C203)*12+MONTH($C203)-1)*'Rate Engine'!$H$17:$H$64,'Rate Engine'!$Q$17:$Q$64)+(EOMONTH($C203,0)-$C203+1)/DAY(EOMONTH($C203,0))*SUMPRODUCT(('Rate Engine'!$G$17:$G$64=YEAR($C203)*12+MONTH($C203)-1)*'Rate Engine'!$H$17:$H$64,'Rate Engine'!$Q$17:$Q$64))/SUMPRODUCT('Rate Engine'!$H$17:$H$64,'Rate Engine'!$Q$17:$Q$64))</f>
        <v/>
      </c>
      <c r="Y203" s="78" t="str">
        <f t="shared" si="43"/>
        <v/>
      </c>
    </row>
    <row r="204" spans="1:25" x14ac:dyDescent="0.3">
      <c r="A204" s="11"/>
      <c r="B204" s="11"/>
      <c r="C204" s="61"/>
      <c r="D204" s="29"/>
      <c r="E204" s="11"/>
      <c r="F204" s="11"/>
      <c r="G204" s="59"/>
      <c r="H204" s="71"/>
      <c r="J204" s="65" t="str">
        <f t="shared" si="33"/>
        <v/>
      </c>
      <c r="K204" s="72" t="str">
        <f t="shared" si="34"/>
        <v/>
      </c>
      <c r="L204" s="73">
        <f t="shared" si="35"/>
        <v>0</v>
      </c>
      <c r="M204" s="74" t="str">
        <f t="shared" si="36"/>
        <v/>
      </c>
      <c r="N204" s="75">
        <f t="shared" si="37"/>
        <v>0</v>
      </c>
      <c r="O204" s="75">
        <f t="shared" si="38"/>
        <v>0</v>
      </c>
      <c r="P204" s="75">
        <f>IF($C204="",0,COUNTIFS($J$7:$J204,$J204,$M$7:$M204,$M204,$C$7:$C204,$C204))</f>
        <v>0</v>
      </c>
      <c r="Q204" s="75">
        <f t="shared" si="39"/>
        <v>0</v>
      </c>
      <c r="R204" s="75">
        <f t="shared" si="40"/>
        <v>0</v>
      </c>
      <c r="S204" s="75">
        <f>IF($C204="",0,COUNTIFS(rl_key,$J204,rl_eff,"&lt;"&amp;$C204)+COUNTIFS($J$7:$J204,$J204,$C$7:$C204,$C204))</f>
        <v>0</v>
      </c>
      <c r="T204" s="75">
        <f>IF(OR($C204="",$E204&lt;&gt;"planned",$C204&lt;DATE(nr_PlanYear,1,1),$C204&gt;DATE(nr_PlanYear,12,31)),0,IF(AND(COUNTIFS(rl_key,$J204,rl_status,"planned",rl_eff,"&gt;="&amp;DATE(nr_PlanYear,1,1),rl_eff,"&lt;"&amp;$C204)=0,COUNTIFS($J$7:$J204,$J204,$E$7:$E204,"planned",$C$7:$C204,$C204)=1),1,0))</f>
        <v>0</v>
      </c>
      <c r="U204" s="75">
        <f>IF(OR($C204="",$E204&lt;&gt;"taken"),0,IF(AND(COUNTIFS(rl_key,$J204,rl_effmonth,$M204,rl_eff,"&lt;"&amp;$C204,rl_status,"taken")=0,COUNTIFS($J$7:$J204,$J204,$M$7:$M204,$M204,$C$7:$C204,$C204,$E$7:$E204,"taken")=1),1,0))</f>
        <v>0</v>
      </c>
      <c r="V204" s="66" t="str">
        <f t="shared" si="41"/>
        <v/>
      </c>
      <c r="W204" s="76" t="str">
        <f t="shared" si="42"/>
        <v/>
      </c>
      <c r="X204" s="77" t="str">
        <f>IF(OR($C204="",$J204&lt;&gt;nr_SelKey),"",(SUMPRODUCT(('Rate Engine'!$G$17:$G$64&gt;YEAR($C204)*12+MONTH($C204)-1)*'Rate Engine'!$H$17:$H$64,'Rate Engine'!$Q$17:$Q$64)+(EOMONTH($C204,0)-$C204+1)/DAY(EOMONTH($C204,0))*SUMPRODUCT(('Rate Engine'!$G$17:$G$64=YEAR($C204)*12+MONTH($C204)-1)*'Rate Engine'!$H$17:$H$64,'Rate Engine'!$Q$17:$Q$64))/SUMPRODUCT('Rate Engine'!$H$17:$H$64,'Rate Engine'!$Q$17:$Q$64))</f>
        <v/>
      </c>
      <c r="Y204" s="78" t="str">
        <f t="shared" si="43"/>
        <v/>
      </c>
    </row>
    <row r="205" spans="1:25" x14ac:dyDescent="0.3">
      <c r="A205" s="11"/>
      <c r="B205" s="11"/>
      <c r="C205" s="61"/>
      <c r="D205" s="29"/>
      <c r="E205" s="11"/>
      <c r="F205" s="11"/>
      <c r="G205" s="59"/>
      <c r="H205" s="71"/>
      <c r="J205" s="65" t="str">
        <f t="shared" si="33"/>
        <v/>
      </c>
      <c r="K205" s="72" t="str">
        <f t="shared" si="34"/>
        <v/>
      </c>
      <c r="L205" s="73">
        <f t="shared" si="35"/>
        <v>0</v>
      </c>
      <c r="M205" s="74" t="str">
        <f t="shared" si="36"/>
        <v/>
      </c>
      <c r="N205" s="75">
        <f t="shared" si="37"/>
        <v>0</v>
      </c>
      <c r="O205" s="75">
        <f t="shared" si="38"/>
        <v>0</v>
      </c>
      <c r="P205" s="75">
        <f>IF($C205="",0,COUNTIFS($J$7:$J205,$J205,$M$7:$M205,$M205,$C$7:$C205,$C205))</f>
        <v>0</v>
      </c>
      <c r="Q205" s="75">
        <f t="shared" si="39"/>
        <v>0</v>
      </c>
      <c r="R205" s="75">
        <f t="shared" si="40"/>
        <v>0</v>
      </c>
      <c r="S205" s="75">
        <f>IF($C205="",0,COUNTIFS(rl_key,$J205,rl_eff,"&lt;"&amp;$C205)+COUNTIFS($J$7:$J205,$J205,$C$7:$C205,$C205))</f>
        <v>0</v>
      </c>
      <c r="T205" s="75">
        <f>IF(OR($C205="",$E205&lt;&gt;"planned",$C205&lt;DATE(nr_PlanYear,1,1),$C205&gt;DATE(nr_PlanYear,12,31)),0,IF(AND(COUNTIFS(rl_key,$J205,rl_status,"planned",rl_eff,"&gt;="&amp;DATE(nr_PlanYear,1,1),rl_eff,"&lt;"&amp;$C205)=0,COUNTIFS($J$7:$J205,$J205,$E$7:$E205,"planned",$C$7:$C205,$C205)=1),1,0))</f>
        <v>0</v>
      </c>
      <c r="U205" s="75">
        <f>IF(OR($C205="",$E205&lt;&gt;"taken"),0,IF(AND(COUNTIFS(rl_key,$J205,rl_effmonth,$M205,rl_eff,"&lt;"&amp;$C205,rl_status,"taken")=0,COUNTIFS($J$7:$J205,$J205,$M$7:$M205,$M205,$C$7:$C205,$C205,$E$7:$E205,"taken")=1),1,0))</f>
        <v>0</v>
      </c>
      <c r="V205" s="66" t="str">
        <f t="shared" si="41"/>
        <v/>
      </c>
      <c r="W205" s="76" t="str">
        <f t="shared" si="42"/>
        <v/>
      </c>
      <c r="X205" s="77" t="str">
        <f>IF(OR($C205="",$J205&lt;&gt;nr_SelKey),"",(SUMPRODUCT(('Rate Engine'!$G$17:$G$64&gt;YEAR($C205)*12+MONTH($C205)-1)*'Rate Engine'!$H$17:$H$64,'Rate Engine'!$Q$17:$Q$64)+(EOMONTH($C205,0)-$C205+1)/DAY(EOMONTH($C205,0))*SUMPRODUCT(('Rate Engine'!$G$17:$G$64=YEAR($C205)*12+MONTH($C205)-1)*'Rate Engine'!$H$17:$H$64,'Rate Engine'!$Q$17:$Q$64))/SUMPRODUCT('Rate Engine'!$H$17:$H$64,'Rate Engine'!$Q$17:$Q$64))</f>
        <v/>
      </c>
      <c r="Y205" s="78" t="str">
        <f t="shared" si="43"/>
        <v/>
      </c>
    </row>
    <row r="206" spans="1:25" x14ac:dyDescent="0.3">
      <c r="A206" s="11"/>
      <c r="B206" s="11"/>
      <c r="C206" s="61"/>
      <c r="D206" s="29"/>
      <c r="E206" s="11"/>
      <c r="F206" s="11"/>
      <c r="G206" s="59"/>
      <c r="H206" s="71"/>
      <c r="J206" s="65" t="str">
        <f t="shared" si="33"/>
        <v/>
      </c>
      <c r="K206" s="72" t="str">
        <f t="shared" si="34"/>
        <v/>
      </c>
      <c r="L206" s="73">
        <f t="shared" si="35"/>
        <v>0</v>
      </c>
      <c r="M206" s="74" t="str">
        <f t="shared" si="36"/>
        <v/>
      </c>
      <c r="N206" s="75">
        <f t="shared" si="37"/>
        <v>0</v>
      </c>
      <c r="O206" s="75">
        <f t="shared" si="38"/>
        <v>0</v>
      </c>
      <c r="P206" s="75">
        <f>IF($C206="",0,COUNTIFS($J$7:$J206,$J206,$M$7:$M206,$M206,$C$7:$C206,$C206))</f>
        <v>0</v>
      </c>
      <c r="Q206" s="75">
        <f t="shared" si="39"/>
        <v>0</v>
      </c>
      <c r="R206" s="75">
        <f t="shared" si="40"/>
        <v>0</v>
      </c>
      <c r="S206" s="75">
        <f>IF($C206="",0,COUNTIFS(rl_key,$J206,rl_eff,"&lt;"&amp;$C206)+COUNTIFS($J$7:$J206,$J206,$C$7:$C206,$C206))</f>
        <v>0</v>
      </c>
      <c r="T206" s="75">
        <f>IF(OR($C206="",$E206&lt;&gt;"planned",$C206&lt;DATE(nr_PlanYear,1,1),$C206&gt;DATE(nr_PlanYear,12,31)),0,IF(AND(COUNTIFS(rl_key,$J206,rl_status,"planned",rl_eff,"&gt;="&amp;DATE(nr_PlanYear,1,1),rl_eff,"&lt;"&amp;$C206)=0,COUNTIFS($J$7:$J206,$J206,$E$7:$E206,"planned",$C$7:$C206,$C206)=1),1,0))</f>
        <v>0</v>
      </c>
      <c r="U206" s="75">
        <f>IF(OR($C206="",$E206&lt;&gt;"taken"),0,IF(AND(COUNTIFS(rl_key,$J206,rl_effmonth,$M206,rl_eff,"&lt;"&amp;$C206,rl_status,"taken")=0,COUNTIFS($J$7:$J206,$J206,$M$7:$M206,$M206,$C$7:$C206,$C206,$E$7:$E206,"taken")=1),1,0))</f>
        <v>0</v>
      </c>
      <c r="V206" s="66" t="str">
        <f t="shared" si="41"/>
        <v/>
      </c>
      <c r="W206" s="76" t="str">
        <f t="shared" si="42"/>
        <v/>
      </c>
      <c r="X206" s="77" t="str">
        <f>IF(OR($C206="",$J206&lt;&gt;nr_SelKey),"",(SUMPRODUCT(('Rate Engine'!$G$17:$G$64&gt;YEAR($C206)*12+MONTH($C206)-1)*'Rate Engine'!$H$17:$H$64,'Rate Engine'!$Q$17:$Q$64)+(EOMONTH($C206,0)-$C206+1)/DAY(EOMONTH($C206,0))*SUMPRODUCT(('Rate Engine'!$G$17:$G$64=YEAR($C206)*12+MONTH($C206)-1)*'Rate Engine'!$H$17:$H$64,'Rate Engine'!$Q$17:$Q$64))/SUMPRODUCT('Rate Engine'!$H$17:$H$64,'Rate Engine'!$Q$17:$Q$64))</f>
        <v/>
      </c>
      <c r="Y206" s="78" t="str">
        <f t="shared" si="43"/>
        <v/>
      </c>
    </row>
    <row r="207" spans="1:25" x14ac:dyDescent="0.3">
      <c r="A207" s="11"/>
      <c r="B207" s="11"/>
      <c r="C207" s="61"/>
      <c r="D207" s="29"/>
      <c r="E207" s="11"/>
      <c r="F207" s="11"/>
      <c r="G207" s="59"/>
      <c r="H207" s="71"/>
      <c r="J207" s="65" t="str">
        <f t="shared" si="33"/>
        <v/>
      </c>
      <c r="K207" s="72" t="str">
        <f t="shared" si="34"/>
        <v/>
      </c>
      <c r="L207" s="73">
        <f t="shared" si="35"/>
        <v>0</v>
      </c>
      <c r="M207" s="74" t="str">
        <f t="shared" si="36"/>
        <v/>
      </c>
      <c r="N207" s="75">
        <f t="shared" si="37"/>
        <v>0</v>
      </c>
      <c r="O207" s="75">
        <f t="shared" si="38"/>
        <v>0</v>
      </c>
      <c r="P207" s="75">
        <f>IF($C207="",0,COUNTIFS($J$7:$J207,$J207,$M$7:$M207,$M207,$C$7:$C207,$C207))</f>
        <v>0</v>
      </c>
      <c r="Q207" s="75">
        <f t="shared" si="39"/>
        <v>0</v>
      </c>
      <c r="R207" s="75">
        <f t="shared" si="40"/>
        <v>0</v>
      </c>
      <c r="S207" s="75">
        <f>IF($C207="",0,COUNTIFS(rl_key,$J207,rl_eff,"&lt;"&amp;$C207)+COUNTIFS($J$7:$J207,$J207,$C$7:$C207,$C207))</f>
        <v>0</v>
      </c>
      <c r="T207" s="75">
        <f>IF(OR($C207="",$E207&lt;&gt;"planned",$C207&lt;DATE(nr_PlanYear,1,1),$C207&gt;DATE(nr_PlanYear,12,31)),0,IF(AND(COUNTIFS(rl_key,$J207,rl_status,"planned",rl_eff,"&gt;="&amp;DATE(nr_PlanYear,1,1),rl_eff,"&lt;"&amp;$C207)=0,COUNTIFS($J$7:$J207,$J207,$E$7:$E207,"planned",$C$7:$C207,$C207)=1),1,0))</f>
        <v>0</v>
      </c>
      <c r="U207" s="75">
        <f>IF(OR($C207="",$E207&lt;&gt;"taken"),0,IF(AND(COUNTIFS(rl_key,$J207,rl_effmonth,$M207,rl_eff,"&lt;"&amp;$C207,rl_status,"taken")=0,COUNTIFS($J$7:$J207,$J207,$M$7:$M207,$M207,$C$7:$C207,$C207,$E$7:$E207,"taken")=1),1,0))</f>
        <v>0</v>
      </c>
      <c r="V207" s="66" t="str">
        <f t="shared" si="41"/>
        <v/>
      </c>
      <c r="W207" s="76" t="str">
        <f t="shared" si="42"/>
        <v/>
      </c>
      <c r="X207" s="77" t="str">
        <f>IF(OR($C207="",$J207&lt;&gt;nr_SelKey),"",(SUMPRODUCT(('Rate Engine'!$G$17:$G$64&gt;YEAR($C207)*12+MONTH($C207)-1)*'Rate Engine'!$H$17:$H$64,'Rate Engine'!$Q$17:$Q$64)+(EOMONTH($C207,0)-$C207+1)/DAY(EOMONTH($C207,0))*SUMPRODUCT(('Rate Engine'!$G$17:$G$64=YEAR($C207)*12+MONTH($C207)-1)*'Rate Engine'!$H$17:$H$64,'Rate Engine'!$Q$17:$Q$64))/SUMPRODUCT('Rate Engine'!$H$17:$H$64,'Rate Engine'!$Q$17:$Q$64))</f>
        <v/>
      </c>
      <c r="Y207" s="78" t="str">
        <f t="shared" si="43"/>
        <v/>
      </c>
    </row>
    <row r="208" spans="1:25" x14ac:dyDescent="0.3">
      <c r="A208" s="11"/>
      <c r="B208" s="11"/>
      <c r="C208" s="61"/>
      <c r="D208" s="29"/>
      <c r="E208" s="11"/>
      <c r="F208" s="11"/>
      <c r="G208" s="59"/>
      <c r="H208" s="71"/>
      <c r="J208" s="65" t="str">
        <f t="shared" si="33"/>
        <v/>
      </c>
      <c r="K208" s="72" t="str">
        <f t="shared" si="34"/>
        <v/>
      </c>
      <c r="L208" s="73">
        <f t="shared" si="35"/>
        <v>0</v>
      </c>
      <c r="M208" s="74" t="str">
        <f t="shared" si="36"/>
        <v/>
      </c>
      <c r="N208" s="75">
        <f t="shared" si="37"/>
        <v>0</v>
      </c>
      <c r="O208" s="75">
        <f t="shared" si="38"/>
        <v>0</v>
      </c>
      <c r="P208" s="75">
        <f>IF($C208="",0,COUNTIFS($J$7:$J208,$J208,$M$7:$M208,$M208,$C$7:$C208,$C208))</f>
        <v>0</v>
      </c>
      <c r="Q208" s="75">
        <f t="shared" si="39"/>
        <v>0</v>
      </c>
      <c r="R208" s="75">
        <f t="shared" si="40"/>
        <v>0</v>
      </c>
      <c r="S208" s="75">
        <f>IF($C208="",0,COUNTIFS(rl_key,$J208,rl_eff,"&lt;"&amp;$C208)+COUNTIFS($J$7:$J208,$J208,$C$7:$C208,$C208))</f>
        <v>0</v>
      </c>
      <c r="T208" s="75">
        <f>IF(OR($C208="",$E208&lt;&gt;"planned",$C208&lt;DATE(nr_PlanYear,1,1),$C208&gt;DATE(nr_PlanYear,12,31)),0,IF(AND(COUNTIFS(rl_key,$J208,rl_status,"planned",rl_eff,"&gt;="&amp;DATE(nr_PlanYear,1,1),rl_eff,"&lt;"&amp;$C208)=0,COUNTIFS($J$7:$J208,$J208,$E$7:$E208,"planned",$C$7:$C208,$C208)=1),1,0))</f>
        <v>0</v>
      </c>
      <c r="U208" s="75">
        <f>IF(OR($C208="",$E208&lt;&gt;"taken"),0,IF(AND(COUNTIFS(rl_key,$J208,rl_effmonth,$M208,rl_eff,"&lt;"&amp;$C208,rl_status,"taken")=0,COUNTIFS($J$7:$J208,$J208,$M$7:$M208,$M208,$C$7:$C208,$C208,$E$7:$E208,"taken")=1),1,0))</f>
        <v>0</v>
      </c>
      <c r="V208" s="66" t="str">
        <f t="shared" si="41"/>
        <v/>
      </c>
      <c r="W208" s="76" t="str">
        <f t="shared" si="42"/>
        <v/>
      </c>
      <c r="X208" s="77" t="str">
        <f>IF(OR($C208="",$J208&lt;&gt;nr_SelKey),"",(SUMPRODUCT(('Rate Engine'!$G$17:$G$64&gt;YEAR($C208)*12+MONTH($C208)-1)*'Rate Engine'!$H$17:$H$64,'Rate Engine'!$Q$17:$Q$64)+(EOMONTH($C208,0)-$C208+1)/DAY(EOMONTH($C208,0))*SUMPRODUCT(('Rate Engine'!$G$17:$G$64=YEAR($C208)*12+MONTH($C208)-1)*'Rate Engine'!$H$17:$H$64,'Rate Engine'!$Q$17:$Q$64))/SUMPRODUCT('Rate Engine'!$H$17:$H$64,'Rate Engine'!$Q$17:$Q$64))</f>
        <v/>
      </c>
      <c r="Y208" s="78" t="str">
        <f t="shared" si="43"/>
        <v/>
      </c>
    </row>
    <row r="209" spans="1:25" x14ac:dyDescent="0.3">
      <c r="A209" s="11"/>
      <c r="B209" s="11"/>
      <c r="C209" s="61"/>
      <c r="D209" s="29"/>
      <c r="E209" s="11"/>
      <c r="F209" s="11"/>
      <c r="G209" s="59"/>
      <c r="H209" s="71"/>
      <c r="J209" s="65" t="str">
        <f t="shared" si="33"/>
        <v/>
      </c>
      <c r="K209" s="72" t="str">
        <f t="shared" si="34"/>
        <v/>
      </c>
      <c r="L209" s="73">
        <f t="shared" si="35"/>
        <v>0</v>
      </c>
      <c r="M209" s="74" t="str">
        <f t="shared" si="36"/>
        <v/>
      </c>
      <c r="N209" s="75">
        <f t="shared" si="37"/>
        <v>0</v>
      </c>
      <c r="O209" s="75">
        <f t="shared" si="38"/>
        <v>0</v>
      </c>
      <c r="P209" s="75">
        <f>IF($C209="",0,COUNTIFS($J$7:$J209,$J209,$M$7:$M209,$M209,$C$7:$C209,$C209))</f>
        <v>0</v>
      </c>
      <c r="Q209" s="75">
        <f t="shared" si="39"/>
        <v>0</v>
      </c>
      <c r="R209" s="75">
        <f t="shared" si="40"/>
        <v>0</v>
      </c>
      <c r="S209" s="75">
        <f>IF($C209="",0,COUNTIFS(rl_key,$J209,rl_eff,"&lt;"&amp;$C209)+COUNTIFS($J$7:$J209,$J209,$C$7:$C209,$C209))</f>
        <v>0</v>
      </c>
      <c r="T209" s="75">
        <f>IF(OR($C209="",$E209&lt;&gt;"planned",$C209&lt;DATE(nr_PlanYear,1,1),$C209&gt;DATE(nr_PlanYear,12,31)),0,IF(AND(COUNTIFS(rl_key,$J209,rl_status,"planned",rl_eff,"&gt;="&amp;DATE(nr_PlanYear,1,1),rl_eff,"&lt;"&amp;$C209)=0,COUNTIFS($J$7:$J209,$J209,$E$7:$E209,"planned",$C$7:$C209,$C209)=1),1,0))</f>
        <v>0</v>
      </c>
      <c r="U209" s="75">
        <f>IF(OR($C209="",$E209&lt;&gt;"taken"),0,IF(AND(COUNTIFS(rl_key,$J209,rl_effmonth,$M209,rl_eff,"&lt;"&amp;$C209,rl_status,"taken")=0,COUNTIFS($J$7:$J209,$J209,$M$7:$M209,$M209,$C$7:$C209,$C209,$E$7:$E209,"taken")=1),1,0))</f>
        <v>0</v>
      </c>
      <c r="V209" s="66" t="str">
        <f t="shared" si="41"/>
        <v/>
      </c>
      <c r="W209" s="76" t="str">
        <f t="shared" si="42"/>
        <v/>
      </c>
      <c r="X209" s="77" t="str">
        <f>IF(OR($C209="",$J209&lt;&gt;nr_SelKey),"",(SUMPRODUCT(('Rate Engine'!$G$17:$G$64&gt;YEAR($C209)*12+MONTH($C209)-1)*'Rate Engine'!$H$17:$H$64,'Rate Engine'!$Q$17:$Q$64)+(EOMONTH($C209,0)-$C209+1)/DAY(EOMONTH($C209,0))*SUMPRODUCT(('Rate Engine'!$G$17:$G$64=YEAR($C209)*12+MONTH($C209)-1)*'Rate Engine'!$H$17:$H$64,'Rate Engine'!$Q$17:$Q$64))/SUMPRODUCT('Rate Engine'!$H$17:$H$64,'Rate Engine'!$Q$17:$Q$64))</f>
        <v/>
      </c>
      <c r="Y209" s="78" t="str">
        <f t="shared" si="43"/>
        <v/>
      </c>
    </row>
    <row r="210" spans="1:25" x14ac:dyDescent="0.3">
      <c r="A210" s="11"/>
      <c r="B210" s="11"/>
      <c r="C210" s="61"/>
      <c r="D210" s="29"/>
      <c r="E210" s="11"/>
      <c r="F210" s="11"/>
      <c r="G210" s="59"/>
      <c r="H210" s="71"/>
      <c r="J210" s="65" t="str">
        <f t="shared" si="33"/>
        <v/>
      </c>
      <c r="K210" s="72" t="str">
        <f t="shared" si="34"/>
        <v/>
      </c>
      <c r="L210" s="73">
        <f t="shared" si="35"/>
        <v>0</v>
      </c>
      <c r="M210" s="74" t="str">
        <f t="shared" si="36"/>
        <v/>
      </c>
      <c r="N210" s="75">
        <f t="shared" si="37"/>
        <v>0</v>
      </c>
      <c r="O210" s="75">
        <f t="shared" si="38"/>
        <v>0</v>
      </c>
      <c r="P210" s="75">
        <f>IF($C210="",0,COUNTIFS($J$7:$J210,$J210,$M$7:$M210,$M210,$C$7:$C210,$C210))</f>
        <v>0</v>
      </c>
      <c r="Q210" s="75">
        <f t="shared" si="39"/>
        <v>0</v>
      </c>
      <c r="R210" s="75">
        <f t="shared" si="40"/>
        <v>0</v>
      </c>
      <c r="S210" s="75">
        <f>IF($C210="",0,COUNTIFS(rl_key,$J210,rl_eff,"&lt;"&amp;$C210)+COUNTIFS($J$7:$J210,$J210,$C$7:$C210,$C210))</f>
        <v>0</v>
      </c>
      <c r="T210" s="75">
        <f>IF(OR($C210="",$E210&lt;&gt;"planned",$C210&lt;DATE(nr_PlanYear,1,1),$C210&gt;DATE(nr_PlanYear,12,31)),0,IF(AND(COUNTIFS(rl_key,$J210,rl_status,"planned",rl_eff,"&gt;="&amp;DATE(nr_PlanYear,1,1),rl_eff,"&lt;"&amp;$C210)=0,COUNTIFS($J$7:$J210,$J210,$E$7:$E210,"planned",$C$7:$C210,$C210)=1),1,0))</f>
        <v>0</v>
      </c>
      <c r="U210" s="75">
        <f>IF(OR($C210="",$E210&lt;&gt;"taken"),0,IF(AND(COUNTIFS(rl_key,$J210,rl_effmonth,$M210,rl_eff,"&lt;"&amp;$C210,rl_status,"taken")=0,COUNTIFS($J$7:$J210,$J210,$M$7:$M210,$M210,$C$7:$C210,$C210,$E$7:$E210,"taken")=1),1,0))</f>
        <v>0</v>
      </c>
      <c r="V210" s="66" t="str">
        <f t="shared" si="41"/>
        <v/>
      </c>
      <c r="W210" s="76" t="str">
        <f t="shared" si="42"/>
        <v/>
      </c>
      <c r="X210" s="77" t="str">
        <f>IF(OR($C210="",$J210&lt;&gt;nr_SelKey),"",(SUMPRODUCT(('Rate Engine'!$G$17:$G$64&gt;YEAR($C210)*12+MONTH($C210)-1)*'Rate Engine'!$H$17:$H$64,'Rate Engine'!$Q$17:$Q$64)+(EOMONTH($C210,0)-$C210+1)/DAY(EOMONTH($C210,0))*SUMPRODUCT(('Rate Engine'!$G$17:$G$64=YEAR($C210)*12+MONTH($C210)-1)*'Rate Engine'!$H$17:$H$64,'Rate Engine'!$Q$17:$Q$64))/SUMPRODUCT('Rate Engine'!$H$17:$H$64,'Rate Engine'!$Q$17:$Q$64))</f>
        <v/>
      </c>
      <c r="Y210" s="78" t="str">
        <f t="shared" si="43"/>
        <v/>
      </c>
    </row>
    <row r="211" spans="1:25" x14ac:dyDescent="0.3">
      <c r="A211" s="11"/>
      <c r="B211" s="11"/>
      <c r="C211" s="61"/>
      <c r="D211" s="29"/>
      <c r="E211" s="11"/>
      <c r="F211" s="11"/>
      <c r="G211" s="59"/>
      <c r="H211" s="71"/>
      <c r="J211" s="65" t="str">
        <f t="shared" si="33"/>
        <v/>
      </c>
      <c r="K211" s="72" t="str">
        <f t="shared" si="34"/>
        <v/>
      </c>
      <c r="L211" s="73">
        <f t="shared" si="35"/>
        <v>0</v>
      </c>
      <c r="M211" s="74" t="str">
        <f t="shared" si="36"/>
        <v/>
      </c>
      <c r="N211" s="75">
        <f t="shared" si="37"/>
        <v>0</v>
      </c>
      <c r="O211" s="75">
        <f t="shared" si="38"/>
        <v>0</v>
      </c>
      <c r="P211" s="75">
        <f>IF($C211="",0,COUNTIFS($J$7:$J211,$J211,$M$7:$M211,$M211,$C$7:$C211,$C211))</f>
        <v>0</v>
      </c>
      <c r="Q211" s="75">
        <f t="shared" si="39"/>
        <v>0</v>
      </c>
      <c r="R211" s="75">
        <f t="shared" si="40"/>
        <v>0</v>
      </c>
      <c r="S211" s="75">
        <f>IF($C211="",0,COUNTIFS(rl_key,$J211,rl_eff,"&lt;"&amp;$C211)+COUNTIFS($J$7:$J211,$J211,$C$7:$C211,$C211))</f>
        <v>0</v>
      </c>
      <c r="T211" s="75">
        <f>IF(OR($C211="",$E211&lt;&gt;"planned",$C211&lt;DATE(nr_PlanYear,1,1),$C211&gt;DATE(nr_PlanYear,12,31)),0,IF(AND(COUNTIFS(rl_key,$J211,rl_status,"planned",rl_eff,"&gt;="&amp;DATE(nr_PlanYear,1,1),rl_eff,"&lt;"&amp;$C211)=0,COUNTIFS($J$7:$J211,$J211,$E$7:$E211,"planned",$C$7:$C211,$C211)=1),1,0))</f>
        <v>0</v>
      </c>
      <c r="U211" s="75">
        <f>IF(OR($C211="",$E211&lt;&gt;"taken"),0,IF(AND(COUNTIFS(rl_key,$J211,rl_effmonth,$M211,rl_eff,"&lt;"&amp;$C211,rl_status,"taken")=0,COUNTIFS($J$7:$J211,$J211,$M$7:$M211,$M211,$C$7:$C211,$C211,$E$7:$E211,"taken")=1),1,0))</f>
        <v>0</v>
      </c>
      <c r="V211" s="66" t="str">
        <f t="shared" si="41"/>
        <v/>
      </c>
      <c r="W211" s="76" t="str">
        <f t="shared" si="42"/>
        <v/>
      </c>
      <c r="X211" s="77" t="str">
        <f>IF(OR($C211="",$J211&lt;&gt;nr_SelKey),"",(SUMPRODUCT(('Rate Engine'!$G$17:$G$64&gt;YEAR($C211)*12+MONTH($C211)-1)*'Rate Engine'!$H$17:$H$64,'Rate Engine'!$Q$17:$Q$64)+(EOMONTH($C211,0)-$C211+1)/DAY(EOMONTH($C211,0))*SUMPRODUCT(('Rate Engine'!$G$17:$G$64=YEAR($C211)*12+MONTH($C211)-1)*'Rate Engine'!$H$17:$H$64,'Rate Engine'!$Q$17:$Q$64))/SUMPRODUCT('Rate Engine'!$H$17:$H$64,'Rate Engine'!$Q$17:$Q$64))</f>
        <v/>
      </c>
      <c r="Y211" s="78" t="str">
        <f t="shared" si="43"/>
        <v/>
      </c>
    </row>
    <row r="212" spans="1:25" x14ac:dyDescent="0.3">
      <c r="A212" s="11"/>
      <c r="B212" s="11"/>
      <c r="C212" s="61"/>
      <c r="D212" s="29"/>
      <c r="E212" s="11"/>
      <c r="F212" s="11"/>
      <c r="G212" s="59"/>
      <c r="H212" s="71"/>
      <c r="J212" s="65" t="str">
        <f t="shared" si="33"/>
        <v/>
      </c>
      <c r="K212" s="72" t="str">
        <f t="shared" si="34"/>
        <v/>
      </c>
      <c r="L212" s="73">
        <f t="shared" si="35"/>
        <v>0</v>
      </c>
      <c r="M212" s="74" t="str">
        <f t="shared" si="36"/>
        <v/>
      </c>
      <c r="N212" s="75">
        <f t="shared" si="37"/>
        <v>0</v>
      </c>
      <c r="O212" s="75">
        <f t="shared" si="38"/>
        <v>0</v>
      </c>
      <c r="P212" s="75">
        <f>IF($C212="",0,COUNTIFS($J$7:$J212,$J212,$M$7:$M212,$M212,$C$7:$C212,$C212))</f>
        <v>0</v>
      </c>
      <c r="Q212" s="75">
        <f t="shared" si="39"/>
        <v>0</v>
      </c>
      <c r="R212" s="75">
        <f t="shared" si="40"/>
        <v>0</v>
      </c>
      <c r="S212" s="75">
        <f>IF($C212="",0,COUNTIFS(rl_key,$J212,rl_eff,"&lt;"&amp;$C212)+COUNTIFS($J$7:$J212,$J212,$C$7:$C212,$C212))</f>
        <v>0</v>
      </c>
      <c r="T212" s="75">
        <f>IF(OR($C212="",$E212&lt;&gt;"planned",$C212&lt;DATE(nr_PlanYear,1,1),$C212&gt;DATE(nr_PlanYear,12,31)),0,IF(AND(COUNTIFS(rl_key,$J212,rl_status,"planned",rl_eff,"&gt;="&amp;DATE(nr_PlanYear,1,1),rl_eff,"&lt;"&amp;$C212)=0,COUNTIFS($J$7:$J212,$J212,$E$7:$E212,"planned",$C$7:$C212,$C212)=1),1,0))</f>
        <v>0</v>
      </c>
      <c r="U212" s="75">
        <f>IF(OR($C212="",$E212&lt;&gt;"taken"),0,IF(AND(COUNTIFS(rl_key,$J212,rl_effmonth,$M212,rl_eff,"&lt;"&amp;$C212,rl_status,"taken")=0,COUNTIFS($J$7:$J212,$J212,$M$7:$M212,$M212,$C$7:$C212,$C212,$E$7:$E212,"taken")=1),1,0))</f>
        <v>0</v>
      </c>
      <c r="V212" s="66" t="str">
        <f t="shared" si="41"/>
        <v/>
      </c>
      <c r="W212" s="76" t="str">
        <f t="shared" si="42"/>
        <v/>
      </c>
      <c r="X212" s="77" t="str">
        <f>IF(OR($C212="",$J212&lt;&gt;nr_SelKey),"",(SUMPRODUCT(('Rate Engine'!$G$17:$G$64&gt;YEAR($C212)*12+MONTH($C212)-1)*'Rate Engine'!$H$17:$H$64,'Rate Engine'!$Q$17:$Q$64)+(EOMONTH($C212,0)-$C212+1)/DAY(EOMONTH($C212,0))*SUMPRODUCT(('Rate Engine'!$G$17:$G$64=YEAR($C212)*12+MONTH($C212)-1)*'Rate Engine'!$H$17:$H$64,'Rate Engine'!$Q$17:$Q$64))/SUMPRODUCT('Rate Engine'!$H$17:$H$64,'Rate Engine'!$Q$17:$Q$64))</f>
        <v/>
      </c>
      <c r="Y212" s="78" t="str">
        <f t="shared" si="43"/>
        <v/>
      </c>
    </row>
    <row r="213" spans="1:25" x14ac:dyDescent="0.3">
      <c r="A213" s="11"/>
      <c r="B213" s="11"/>
      <c r="C213" s="61"/>
      <c r="D213" s="29"/>
      <c r="E213" s="11"/>
      <c r="F213" s="11"/>
      <c r="G213" s="59"/>
      <c r="H213" s="71"/>
      <c r="J213" s="65" t="str">
        <f t="shared" si="33"/>
        <v/>
      </c>
      <c r="K213" s="72" t="str">
        <f t="shared" si="34"/>
        <v/>
      </c>
      <c r="L213" s="73">
        <f t="shared" si="35"/>
        <v>0</v>
      </c>
      <c r="M213" s="74" t="str">
        <f t="shared" si="36"/>
        <v/>
      </c>
      <c r="N213" s="75">
        <f t="shared" si="37"/>
        <v>0</v>
      </c>
      <c r="O213" s="75">
        <f t="shared" si="38"/>
        <v>0</v>
      </c>
      <c r="P213" s="75">
        <f>IF($C213="",0,COUNTIFS($J$7:$J213,$J213,$M$7:$M213,$M213,$C$7:$C213,$C213))</f>
        <v>0</v>
      </c>
      <c r="Q213" s="75">
        <f t="shared" si="39"/>
        <v>0</v>
      </c>
      <c r="R213" s="75">
        <f t="shared" si="40"/>
        <v>0</v>
      </c>
      <c r="S213" s="75">
        <f>IF($C213="",0,COUNTIFS(rl_key,$J213,rl_eff,"&lt;"&amp;$C213)+COUNTIFS($J$7:$J213,$J213,$C$7:$C213,$C213))</f>
        <v>0</v>
      </c>
      <c r="T213" s="75">
        <f>IF(OR($C213="",$E213&lt;&gt;"planned",$C213&lt;DATE(nr_PlanYear,1,1),$C213&gt;DATE(nr_PlanYear,12,31)),0,IF(AND(COUNTIFS(rl_key,$J213,rl_status,"planned",rl_eff,"&gt;="&amp;DATE(nr_PlanYear,1,1),rl_eff,"&lt;"&amp;$C213)=0,COUNTIFS($J$7:$J213,$J213,$E$7:$E213,"planned",$C$7:$C213,$C213)=1),1,0))</f>
        <v>0</v>
      </c>
      <c r="U213" s="75">
        <f>IF(OR($C213="",$E213&lt;&gt;"taken"),0,IF(AND(COUNTIFS(rl_key,$J213,rl_effmonth,$M213,rl_eff,"&lt;"&amp;$C213,rl_status,"taken")=0,COUNTIFS($J$7:$J213,$J213,$M$7:$M213,$M213,$C$7:$C213,$C213,$E$7:$E213,"taken")=1),1,0))</f>
        <v>0</v>
      </c>
      <c r="V213" s="66" t="str">
        <f t="shared" si="41"/>
        <v/>
      </c>
      <c r="W213" s="76" t="str">
        <f t="shared" si="42"/>
        <v/>
      </c>
      <c r="X213" s="77" t="str">
        <f>IF(OR($C213="",$J213&lt;&gt;nr_SelKey),"",(SUMPRODUCT(('Rate Engine'!$G$17:$G$64&gt;YEAR($C213)*12+MONTH($C213)-1)*'Rate Engine'!$H$17:$H$64,'Rate Engine'!$Q$17:$Q$64)+(EOMONTH($C213,0)-$C213+1)/DAY(EOMONTH($C213,0))*SUMPRODUCT(('Rate Engine'!$G$17:$G$64=YEAR($C213)*12+MONTH($C213)-1)*'Rate Engine'!$H$17:$H$64,'Rate Engine'!$Q$17:$Q$64))/SUMPRODUCT('Rate Engine'!$H$17:$H$64,'Rate Engine'!$Q$17:$Q$64))</f>
        <v/>
      </c>
      <c r="Y213" s="78" t="str">
        <f t="shared" si="43"/>
        <v/>
      </c>
    </row>
    <row r="214" spans="1:25" x14ac:dyDescent="0.3">
      <c r="A214" s="11"/>
      <c r="B214" s="11"/>
      <c r="C214" s="61"/>
      <c r="D214" s="29"/>
      <c r="E214" s="11"/>
      <c r="F214" s="11"/>
      <c r="G214" s="59"/>
      <c r="H214" s="71"/>
      <c r="J214" s="65" t="str">
        <f t="shared" si="33"/>
        <v/>
      </c>
      <c r="K214" s="72" t="str">
        <f t="shared" si="34"/>
        <v/>
      </c>
      <c r="L214" s="73">
        <f t="shared" si="35"/>
        <v>0</v>
      </c>
      <c r="M214" s="74" t="str">
        <f t="shared" si="36"/>
        <v/>
      </c>
      <c r="N214" s="75">
        <f t="shared" si="37"/>
        <v>0</v>
      </c>
      <c r="O214" s="75">
        <f t="shared" si="38"/>
        <v>0</v>
      </c>
      <c r="P214" s="75">
        <f>IF($C214="",0,COUNTIFS($J$7:$J214,$J214,$M$7:$M214,$M214,$C$7:$C214,$C214))</f>
        <v>0</v>
      </c>
      <c r="Q214" s="75">
        <f t="shared" si="39"/>
        <v>0</v>
      </c>
      <c r="R214" s="75">
        <f t="shared" si="40"/>
        <v>0</v>
      </c>
      <c r="S214" s="75">
        <f>IF($C214="",0,COUNTIFS(rl_key,$J214,rl_eff,"&lt;"&amp;$C214)+COUNTIFS($J$7:$J214,$J214,$C$7:$C214,$C214))</f>
        <v>0</v>
      </c>
      <c r="T214" s="75">
        <f>IF(OR($C214="",$E214&lt;&gt;"planned",$C214&lt;DATE(nr_PlanYear,1,1),$C214&gt;DATE(nr_PlanYear,12,31)),0,IF(AND(COUNTIFS(rl_key,$J214,rl_status,"planned",rl_eff,"&gt;="&amp;DATE(nr_PlanYear,1,1),rl_eff,"&lt;"&amp;$C214)=0,COUNTIFS($J$7:$J214,$J214,$E$7:$E214,"planned",$C$7:$C214,$C214)=1),1,0))</f>
        <v>0</v>
      </c>
      <c r="U214" s="75">
        <f>IF(OR($C214="",$E214&lt;&gt;"taken"),0,IF(AND(COUNTIFS(rl_key,$J214,rl_effmonth,$M214,rl_eff,"&lt;"&amp;$C214,rl_status,"taken")=0,COUNTIFS($J$7:$J214,$J214,$M$7:$M214,$M214,$C$7:$C214,$C214,$E$7:$E214,"taken")=1),1,0))</f>
        <v>0</v>
      </c>
      <c r="V214" s="66" t="str">
        <f t="shared" si="41"/>
        <v/>
      </c>
      <c r="W214" s="76" t="str">
        <f t="shared" si="42"/>
        <v/>
      </c>
      <c r="X214" s="77" t="str">
        <f>IF(OR($C214="",$J214&lt;&gt;nr_SelKey),"",(SUMPRODUCT(('Rate Engine'!$G$17:$G$64&gt;YEAR($C214)*12+MONTH($C214)-1)*'Rate Engine'!$H$17:$H$64,'Rate Engine'!$Q$17:$Q$64)+(EOMONTH($C214,0)-$C214+1)/DAY(EOMONTH($C214,0))*SUMPRODUCT(('Rate Engine'!$G$17:$G$64=YEAR($C214)*12+MONTH($C214)-1)*'Rate Engine'!$H$17:$H$64,'Rate Engine'!$Q$17:$Q$64))/SUMPRODUCT('Rate Engine'!$H$17:$H$64,'Rate Engine'!$Q$17:$Q$64))</f>
        <v/>
      </c>
      <c r="Y214" s="78" t="str">
        <f t="shared" si="43"/>
        <v/>
      </c>
    </row>
    <row r="215" spans="1:25" x14ac:dyDescent="0.3">
      <c r="A215" s="11"/>
      <c r="B215" s="11"/>
      <c r="C215" s="61"/>
      <c r="D215" s="29"/>
      <c r="E215" s="11"/>
      <c r="F215" s="11"/>
      <c r="G215" s="59"/>
      <c r="H215" s="71"/>
      <c r="J215" s="65" t="str">
        <f t="shared" si="33"/>
        <v/>
      </c>
      <c r="K215" s="72" t="str">
        <f t="shared" si="34"/>
        <v/>
      </c>
      <c r="L215" s="73">
        <f t="shared" si="35"/>
        <v>0</v>
      </c>
      <c r="M215" s="74" t="str">
        <f t="shared" si="36"/>
        <v/>
      </c>
      <c r="N215" s="75">
        <f t="shared" si="37"/>
        <v>0</v>
      </c>
      <c r="O215" s="75">
        <f t="shared" si="38"/>
        <v>0</v>
      </c>
      <c r="P215" s="75">
        <f>IF($C215="",0,COUNTIFS($J$7:$J215,$J215,$M$7:$M215,$M215,$C$7:$C215,$C215))</f>
        <v>0</v>
      </c>
      <c r="Q215" s="75">
        <f t="shared" si="39"/>
        <v>0</v>
      </c>
      <c r="R215" s="75">
        <f t="shared" si="40"/>
        <v>0</v>
      </c>
      <c r="S215" s="75">
        <f>IF($C215="",0,COUNTIFS(rl_key,$J215,rl_eff,"&lt;"&amp;$C215)+COUNTIFS($J$7:$J215,$J215,$C$7:$C215,$C215))</f>
        <v>0</v>
      </c>
      <c r="T215" s="75">
        <f>IF(OR($C215="",$E215&lt;&gt;"planned",$C215&lt;DATE(nr_PlanYear,1,1),$C215&gt;DATE(nr_PlanYear,12,31)),0,IF(AND(COUNTIFS(rl_key,$J215,rl_status,"planned",rl_eff,"&gt;="&amp;DATE(nr_PlanYear,1,1),rl_eff,"&lt;"&amp;$C215)=0,COUNTIFS($J$7:$J215,$J215,$E$7:$E215,"planned",$C$7:$C215,$C215)=1),1,0))</f>
        <v>0</v>
      </c>
      <c r="U215" s="75">
        <f>IF(OR($C215="",$E215&lt;&gt;"taken"),0,IF(AND(COUNTIFS(rl_key,$J215,rl_effmonth,$M215,rl_eff,"&lt;"&amp;$C215,rl_status,"taken")=0,COUNTIFS($J$7:$J215,$J215,$M$7:$M215,$M215,$C$7:$C215,$C215,$E$7:$E215,"taken")=1),1,0))</f>
        <v>0</v>
      </c>
      <c r="V215" s="66" t="str">
        <f t="shared" si="41"/>
        <v/>
      </c>
      <c r="W215" s="76" t="str">
        <f t="shared" si="42"/>
        <v/>
      </c>
      <c r="X215" s="77" t="str">
        <f>IF(OR($C215="",$J215&lt;&gt;nr_SelKey),"",(SUMPRODUCT(('Rate Engine'!$G$17:$G$64&gt;YEAR($C215)*12+MONTH($C215)-1)*'Rate Engine'!$H$17:$H$64,'Rate Engine'!$Q$17:$Q$64)+(EOMONTH($C215,0)-$C215+1)/DAY(EOMONTH($C215,0))*SUMPRODUCT(('Rate Engine'!$G$17:$G$64=YEAR($C215)*12+MONTH($C215)-1)*'Rate Engine'!$H$17:$H$64,'Rate Engine'!$Q$17:$Q$64))/SUMPRODUCT('Rate Engine'!$H$17:$H$64,'Rate Engine'!$Q$17:$Q$64))</f>
        <v/>
      </c>
      <c r="Y215" s="78" t="str">
        <f t="shared" si="43"/>
        <v/>
      </c>
    </row>
    <row r="216" spans="1:25" x14ac:dyDescent="0.3">
      <c r="A216" s="11"/>
      <c r="B216" s="11"/>
      <c r="C216" s="61"/>
      <c r="D216" s="29"/>
      <c r="E216" s="11"/>
      <c r="F216" s="11"/>
      <c r="G216" s="59"/>
      <c r="H216" s="71"/>
      <c r="J216" s="65" t="str">
        <f t="shared" si="33"/>
        <v/>
      </c>
      <c r="K216" s="72" t="str">
        <f t="shared" si="34"/>
        <v/>
      </c>
      <c r="L216" s="73">
        <f t="shared" si="35"/>
        <v>0</v>
      </c>
      <c r="M216" s="74" t="str">
        <f t="shared" si="36"/>
        <v/>
      </c>
      <c r="N216" s="75">
        <f t="shared" si="37"/>
        <v>0</v>
      </c>
      <c r="O216" s="75">
        <f t="shared" si="38"/>
        <v>0</v>
      </c>
      <c r="P216" s="75">
        <f>IF($C216="",0,COUNTIFS($J$7:$J216,$J216,$M$7:$M216,$M216,$C$7:$C216,$C216))</f>
        <v>0</v>
      </c>
      <c r="Q216" s="75">
        <f t="shared" si="39"/>
        <v>0</v>
      </c>
      <c r="R216" s="75">
        <f t="shared" si="40"/>
        <v>0</v>
      </c>
      <c r="S216" s="75">
        <f>IF($C216="",0,COUNTIFS(rl_key,$J216,rl_eff,"&lt;"&amp;$C216)+COUNTIFS($J$7:$J216,$J216,$C$7:$C216,$C216))</f>
        <v>0</v>
      </c>
      <c r="T216" s="75">
        <f>IF(OR($C216="",$E216&lt;&gt;"planned",$C216&lt;DATE(nr_PlanYear,1,1),$C216&gt;DATE(nr_PlanYear,12,31)),0,IF(AND(COUNTIFS(rl_key,$J216,rl_status,"planned",rl_eff,"&gt;="&amp;DATE(nr_PlanYear,1,1),rl_eff,"&lt;"&amp;$C216)=0,COUNTIFS($J$7:$J216,$J216,$E$7:$E216,"planned",$C$7:$C216,$C216)=1),1,0))</f>
        <v>0</v>
      </c>
      <c r="U216" s="75">
        <f>IF(OR($C216="",$E216&lt;&gt;"taken"),0,IF(AND(COUNTIFS(rl_key,$J216,rl_effmonth,$M216,rl_eff,"&lt;"&amp;$C216,rl_status,"taken")=0,COUNTIFS($J$7:$J216,$J216,$M$7:$M216,$M216,$C$7:$C216,$C216,$E$7:$E216,"taken")=1),1,0))</f>
        <v>0</v>
      </c>
      <c r="V216" s="66" t="str">
        <f t="shared" si="41"/>
        <v/>
      </c>
      <c r="W216" s="76" t="str">
        <f t="shared" si="42"/>
        <v/>
      </c>
      <c r="X216" s="77" t="str">
        <f>IF(OR($C216="",$J216&lt;&gt;nr_SelKey),"",(SUMPRODUCT(('Rate Engine'!$G$17:$G$64&gt;YEAR($C216)*12+MONTH($C216)-1)*'Rate Engine'!$H$17:$H$64,'Rate Engine'!$Q$17:$Q$64)+(EOMONTH($C216,0)-$C216+1)/DAY(EOMONTH($C216,0))*SUMPRODUCT(('Rate Engine'!$G$17:$G$64=YEAR($C216)*12+MONTH($C216)-1)*'Rate Engine'!$H$17:$H$64,'Rate Engine'!$Q$17:$Q$64))/SUMPRODUCT('Rate Engine'!$H$17:$H$64,'Rate Engine'!$Q$17:$Q$64))</f>
        <v/>
      </c>
      <c r="Y216" s="78" t="str">
        <f t="shared" si="43"/>
        <v/>
      </c>
    </row>
    <row r="217" spans="1:25" x14ac:dyDescent="0.3">
      <c r="A217" s="11"/>
      <c r="B217" s="11"/>
      <c r="C217" s="61"/>
      <c r="D217" s="29"/>
      <c r="E217" s="11"/>
      <c r="F217" s="11"/>
      <c r="G217" s="59"/>
      <c r="H217" s="71"/>
      <c r="J217" s="65" t="str">
        <f t="shared" si="33"/>
        <v/>
      </c>
      <c r="K217" s="72" t="str">
        <f t="shared" si="34"/>
        <v/>
      </c>
      <c r="L217" s="73">
        <f t="shared" si="35"/>
        <v>0</v>
      </c>
      <c r="M217" s="74" t="str">
        <f t="shared" si="36"/>
        <v/>
      </c>
      <c r="N217" s="75">
        <f t="shared" si="37"/>
        <v>0</v>
      </c>
      <c r="O217" s="75">
        <f t="shared" si="38"/>
        <v>0</v>
      </c>
      <c r="P217" s="75">
        <f>IF($C217="",0,COUNTIFS($J$7:$J217,$J217,$M$7:$M217,$M217,$C$7:$C217,$C217))</f>
        <v>0</v>
      </c>
      <c r="Q217" s="75">
        <f t="shared" si="39"/>
        <v>0</v>
      </c>
      <c r="R217" s="75">
        <f t="shared" si="40"/>
        <v>0</v>
      </c>
      <c r="S217" s="75">
        <f>IF($C217="",0,COUNTIFS(rl_key,$J217,rl_eff,"&lt;"&amp;$C217)+COUNTIFS($J$7:$J217,$J217,$C$7:$C217,$C217))</f>
        <v>0</v>
      </c>
      <c r="T217" s="75">
        <f>IF(OR($C217="",$E217&lt;&gt;"planned",$C217&lt;DATE(nr_PlanYear,1,1),$C217&gt;DATE(nr_PlanYear,12,31)),0,IF(AND(COUNTIFS(rl_key,$J217,rl_status,"planned",rl_eff,"&gt;="&amp;DATE(nr_PlanYear,1,1),rl_eff,"&lt;"&amp;$C217)=0,COUNTIFS($J$7:$J217,$J217,$E$7:$E217,"planned",$C$7:$C217,$C217)=1),1,0))</f>
        <v>0</v>
      </c>
      <c r="U217" s="75">
        <f>IF(OR($C217="",$E217&lt;&gt;"taken"),0,IF(AND(COUNTIFS(rl_key,$J217,rl_effmonth,$M217,rl_eff,"&lt;"&amp;$C217,rl_status,"taken")=0,COUNTIFS($J$7:$J217,$J217,$M$7:$M217,$M217,$C$7:$C217,$C217,$E$7:$E217,"taken")=1),1,0))</f>
        <v>0</v>
      </c>
      <c r="V217" s="66" t="str">
        <f t="shared" si="41"/>
        <v/>
      </c>
      <c r="W217" s="76" t="str">
        <f t="shared" si="42"/>
        <v/>
      </c>
      <c r="X217" s="77" t="str">
        <f>IF(OR($C217="",$J217&lt;&gt;nr_SelKey),"",(SUMPRODUCT(('Rate Engine'!$G$17:$G$64&gt;YEAR($C217)*12+MONTH($C217)-1)*'Rate Engine'!$H$17:$H$64,'Rate Engine'!$Q$17:$Q$64)+(EOMONTH($C217,0)-$C217+1)/DAY(EOMONTH($C217,0))*SUMPRODUCT(('Rate Engine'!$G$17:$G$64=YEAR($C217)*12+MONTH($C217)-1)*'Rate Engine'!$H$17:$H$64,'Rate Engine'!$Q$17:$Q$64))/SUMPRODUCT('Rate Engine'!$H$17:$H$64,'Rate Engine'!$Q$17:$Q$64))</f>
        <v/>
      </c>
      <c r="Y217" s="78" t="str">
        <f t="shared" si="43"/>
        <v/>
      </c>
    </row>
    <row r="218" spans="1:25" x14ac:dyDescent="0.3">
      <c r="A218" s="11"/>
      <c r="B218" s="11"/>
      <c r="C218" s="61"/>
      <c r="D218" s="29"/>
      <c r="E218" s="11"/>
      <c r="F218" s="11"/>
      <c r="G218" s="59"/>
      <c r="H218" s="71"/>
      <c r="J218" s="65" t="str">
        <f t="shared" si="33"/>
        <v/>
      </c>
      <c r="K218" s="72" t="str">
        <f t="shared" si="34"/>
        <v/>
      </c>
      <c r="L218" s="73">
        <f t="shared" si="35"/>
        <v>0</v>
      </c>
      <c r="M218" s="74" t="str">
        <f t="shared" si="36"/>
        <v/>
      </c>
      <c r="N218" s="75">
        <f t="shared" si="37"/>
        <v>0</v>
      </c>
      <c r="O218" s="75">
        <f t="shared" si="38"/>
        <v>0</v>
      </c>
      <c r="P218" s="75">
        <f>IF($C218="",0,COUNTIFS($J$7:$J218,$J218,$M$7:$M218,$M218,$C$7:$C218,$C218))</f>
        <v>0</v>
      </c>
      <c r="Q218" s="75">
        <f t="shared" si="39"/>
        <v>0</v>
      </c>
      <c r="R218" s="75">
        <f t="shared" si="40"/>
        <v>0</v>
      </c>
      <c r="S218" s="75">
        <f>IF($C218="",0,COUNTIFS(rl_key,$J218,rl_eff,"&lt;"&amp;$C218)+COUNTIFS($J$7:$J218,$J218,$C$7:$C218,$C218))</f>
        <v>0</v>
      </c>
      <c r="T218" s="75">
        <f>IF(OR($C218="",$E218&lt;&gt;"planned",$C218&lt;DATE(nr_PlanYear,1,1),$C218&gt;DATE(nr_PlanYear,12,31)),0,IF(AND(COUNTIFS(rl_key,$J218,rl_status,"planned",rl_eff,"&gt;="&amp;DATE(nr_PlanYear,1,1),rl_eff,"&lt;"&amp;$C218)=0,COUNTIFS($J$7:$J218,$J218,$E$7:$E218,"planned",$C$7:$C218,$C218)=1),1,0))</f>
        <v>0</v>
      </c>
      <c r="U218" s="75">
        <f>IF(OR($C218="",$E218&lt;&gt;"taken"),0,IF(AND(COUNTIFS(rl_key,$J218,rl_effmonth,$M218,rl_eff,"&lt;"&amp;$C218,rl_status,"taken")=0,COUNTIFS($J$7:$J218,$J218,$M$7:$M218,$M218,$C$7:$C218,$C218,$E$7:$E218,"taken")=1),1,0))</f>
        <v>0</v>
      </c>
      <c r="V218" s="66" t="str">
        <f t="shared" si="41"/>
        <v/>
      </c>
      <c r="W218" s="76" t="str">
        <f t="shared" si="42"/>
        <v/>
      </c>
      <c r="X218" s="77" t="str">
        <f>IF(OR($C218="",$J218&lt;&gt;nr_SelKey),"",(SUMPRODUCT(('Rate Engine'!$G$17:$G$64&gt;YEAR($C218)*12+MONTH($C218)-1)*'Rate Engine'!$H$17:$H$64,'Rate Engine'!$Q$17:$Q$64)+(EOMONTH($C218,0)-$C218+1)/DAY(EOMONTH($C218,0))*SUMPRODUCT(('Rate Engine'!$G$17:$G$64=YEAR($C218)*12+MONTH($C218)-1)*'Rate Engine'!$H$17:$H$64,'Rate Engine'!$Q$17:$Q$64))/SUMPRODUCT('Rate Engine'!$H$17:$H$64,'Rate Engine'!$Q$17:$Q$64))</f>
        <v/>
      </c>
      <c r="Y218" s="78" t="str">
        <f t="shared" si="43"/>
        <v/>
      </c>
    </row>
    <row r="219" spans="1:25" x14ac:dyDescent="0.3">
      <c r="A219" s="11"/>
      <c r="B219" s="11"/>
      <c r="C219" s="61"/>
      <c r="D219" s="29"/>
      <c r="E219" s="11"/>
      <c r="F219" s="11"/>
      <c r="G219" s="59"/>
      <c r="H219" s="71"/>
      <c r="J219" s="65" t="str">
        <f t="shared" si="33"/>
        <v/>
      </c>
      <c r="K219" s="72" t="str">
        <f t="shared" si="34"/>
        <v/>
      </c>
      <c r="L219" s="73">
        <f t="shared" si="35"/>
        <v>0</v>
      </c>
      <c r="M219" s="74" t="str">
        <f t="shared" si="36"/>
        <v/>
      </c>
      <c r="N219" s="75">
        <f t="shared" si="37"/>
        <v>0</v>
      </c>
      <c r="O219" s="75">
        <f t="shared" si="38"/>
        <v>0</v>
      </c>
      <c r="P219" s="75">
        <f>IF($C219="",0,COUNTIFS($J$7:$J219,$J219,$M$7:$M219,$M219,$C$7:$C219,$C219))</f>
        <v>0</v>
      </c>
      <c r="Q219" s="75">
        <f t="shared" si="39"/>
        <v>0</v>
      </c>
      <c r="R219" s="75">
        <f t="shared" si="40"/>
        <v>0</v>
      </c>
      <c r="S219" s="75">
        <f>IF($C219="",0,COUNTIFS(rl_key,$J219,rl_eff,"&lt;"&amp;$C219)+COUNTIFS($J$7:$J219,$J219,$C$7:$C219,$C219))</f>
        <v>0</v>
      </c>
      <c r="T219" s="75">
        <f>IF(OR($C219="",$E219&lt;&gt;"planned",$C219&lt;DATE(nr_PlanYear,1,1),$C219&gt;DATE(nr_PlanYear,12,31)),0,IF(AND(COUNTIFS(rl_key,$J219,rl_status,"planned",rl_eff,"&gt;="&amp;DATE(nr_PlanYear,1,1),rl_eff,"&lt;"&amp;$C219)=0,COUNTIFS($J$7:$J219,$J219,$E$7:$E219,"planned",$C$7:$C219,$C219)=1),1,0))</f>
        <v>0</v>
      </c>
      <c r="U219" s="75">
        <f>IF(OR($C219="",$E219&lt;&gt;"taken"),0,IF(AND(COUNTIFS(rl_key,$J219,rl_effmonth,$M219,rl_eff,"&lt;"&amp;$C219,rl_status,"taken")=0,COUNTIFS($J$7:$J219,$J219,$M$7:$M219,$M219,$C$7:$C219,$C219,$E$7:$E219,"taken")=1),1,0))</f>
        <v>0</v>
      </c>
      <c r="V219" s="66" t="str">
        <f t="shared" si="41"/>
        <v/>
      </c>
      <c r="W219" s="76" t="str">
        <f t="shared" si="42"/>
        <v/>
      </c>
      <c r="X219" s="77" t="str">
        <f>IF(OR($C219="",$J219&lt;&gt;nr_SelKey),"",(SUMPRODUCT(('Rate Engine'!$G$17:$G$64&gt;YEAR($C219)*12+MONTH($C219)-1)*'Rate Engine'!$H$17:$H$64,'Rate Engine'!$Q$17:$Q$64)+(EOMONTH($C219,0)-$C219+1)/DAY(EOMONTH($C219,0))*SUMPRODUCT(('Rate Engine'!$G$17:$G$64=YEAR($C219)*12+MONTH($C219)-1)*'Rate Engine'!$H$17:$H$64,'Rate Engine'!$Q$17:$Q$64))/SUMPRODUCT('Rate Engine'!$H$17:$H$64,'Rate Engine'!$Q$17:$Q$64))</f>
        <v/>
      </c>
      <c r="Y219" s="78" t="str">
        <f t="shared" si="43"/>
        <v/>
      </c>
    </row>
    <row r="220" spans="1:25" x14ac:dyDescent="0.3">
      <c r="A220" s="11"/>
      <c r="B220" s="11"/>
      <c r="C220" s="61"/>
      <c r="D220" s="29"/>
      <c r="E220" s="11"/>
      <c r="F220" s="11"/>
      <c r="G220" s="59"/>
      <c r="H220" s="71"/>
      <c r="J220" s="65" t="str">
        <f t="shared" si="33"/>
        <v/>
      </c>
      <c r="K220" s="72" t="str">
        <f t="shared" si="34"/>
        <v/>
      </c>
      <c r="L220" s="73">
        <f t="shared" si="35"/>
        <v>0</v>
      </c>
      <c r="M220" s="74" t="str">
        <f t="shared" si="36"/>
        <v/>
      </c>
      <c r="N220" s="75">
        <f t="shared" si="37"/>
        <v>0</v>
      </c>
      <c r="O220" s="75">
        <f t="shared" si="38"/>
        <v>0</v>
      </c>
      <c r="P220" s="75">
        <f>IF($C220="",0,COUNTIFS($J$7:$J220,$J220,$M$7:$M220,$M220,$C$7:$C220,$C220))</f>
        <v>0</v>
      </c>
      <c r="Q220" s="75">
        <f t="shared" si="39"/>
        <v>0</v>
      </c>
      <c r="R220" s="75">
        <f t="shared" si="40"/>
        <v>0</v>
      </c>
      <c r="S220" s="75">
        <f>IF($C220="",0,COUNTIFS(rl_key,$J220,rl_eff,"&lt;"&amp;$C220)+COUNTIFS($J$7:$J220,$J220,$C$7:$C220,$C220))</f>
        <v>0</v>
      </c>
      <c r="T220" s="75">
        <f>IF(OR($C220="",$E220&lt;&gt;"planned",$C220&lt;DATE(nr_PlanYear,1,1),$C220&gt;DATE(nr_PlanYear,12,31)),0,IF(AND(COUNTIFS(rl_key,$J220,rl_status,"planned",rl_eff,"&gt;="&amp;DATE(nr_PlanYear,1,1),rl_eff,"&lt;"&amp;$C220)=0,COUNTIFS($J$7:$J220,$J220,$E$7:$E220,"planned",$C$7:$C220,$C220)=1),1,0))</f>
        <v>0</v>
      </c>
      <c r="U220" s="75">
        <f>IF(OR($C220="",$E220&lt;&gt;"taken"),0,IF(AND(COUNTIFS(rl_key,$J220,rl_effmonth,$M220,rl_eff,"&lt;"&amp;$C220,rl_status,"taken")=0,COUNTIFS($J$7:$J220,$J220,$M$7:$M220,$M220,$C$7:$C220,$C220,$E$7:$E220,"taken")=1),1,0))</f>
        <v>0</v>
      </c>
      <c r="V220" s="66" t="str">
        <f t="shared" si="41"/>
        <v/>
      </c>
      <c r="W220" s="76" t="str">
        <f t="shared" si="42"/>
        <v/>
      </c>
      <c r="X220" s="77" t="str">
        <f>IF(OR($C220="",$J220&lt;&gt;nr_SelKey),"",(SUMPRODUCT(('Rate Engine'!$G$17:$G$64&gt;YEAR($C220)*12+MONTH($C220)-1)*'Rate Engine'!$H$17:$H$64,'Rate Engine'!$Q$17:$Q$64)+(EOMONTH($C220,0)-$C220+1)/DAY(EOMONTH($C220,0))*SUMPRODUCT(('Rate Engine'!$G$17:$G$64=YEAR($C220)*12+MONTH($C220)-1)*'Rate Engine'!$H$17:$H$64,'Rate Engine'!$Q$17:$Q$64))/SUMPRODUCT('Rate Engine'!$H$17:$H$64,'Rate Engine'!$Q$17:$Q$64))</f>
        <v/>
      </c>
      <c r="Y220" s="78" t="str">
        <f t="shared" si="43"/>
        <v/>
      </c>
    </row>
    <row r="221" spans="1:25" x14ac:dyDescent="0.3">
      <c r="A221" s="11"/>
      <c r="B221" s="11"/>
      <c r="C221" s="61"/>
      <c r="D221" s="29"/>
      <c r="E221" s="11"/>
      <c r="F221" s="11"/>
      <c r="G221" s="59"/>
      <c r="H221" s="71"/>
      <c r="J221" s="65" t="str">
        <f t="shared" si="33"/>
        <v/>
      </c>
      <c r="K221" s="72" t="str">
        <f t="shared" si="34"/>
        <v/>
      </c>
      <c r="L221" s="73">
        <f t="shared" si="35"/>
        <v>0</v>
      </c>
      <c r="M221" s="74" t="str">
        <f t="shared" si="36"/>
        <v/>
      </c>
      <c r="N221" s="75">
        <f t="shared" si="37"/>
        <v>0</v>
      </c>
      <c r="O221" s="75">
        <f t="shared" si="38"/>
        <v>0</v>
      </c>
      <c r="P221" s="75">
        <f>IF($C221="",0,COUNTIFS($J$7:$J221,$J221,$M$7:$M221,$M221,$C$7:$C221,$C221))</f>
        <v>0</v>
      </c>
      <c r="Q221" s="75">
        <f t="shared" si="39"/>
        <v>0</v>
      </c>
      <c r="R221" s="75">
        <f t="shared" si="40"/>
        <v>0</v>
      </c>
      <c r="S221" s="75">
        <f>IF($C221="",0,COUNTIFS(rl_key,$J221,rl_eff,"&lt;"&amp;$C221)+COUNTIFS($J$7:$J221,$J221,$C$7:$C221,$C221))</f>
        <v>0</v>
      </c>
      <c r="T221" s="75">
        <f>IF(OR($C221="",$E221&lt;&gt;"planned",$C221&lt;DATE(nr_PlanYear,1,1),$C221&gt;DATE(nr_PlanYear,12,31)),0,IF(AND(COUNTIFS(rl_key,$J221,rl_status,"planned",rl_eff,"&gt;="&amp;DATE(nr_PlanYear,1,1),rl_eff,"&lt;"&amp;$C221)=0,COUNTIFS($J$7:$J221,$J221,$E$7:$E221,"planned",$C$7:$C221,$C221)=1),1,0))</f>
        <v>0</v>
      </c>
      <c r="U221" s="75">
        <f>IF(OR($C221="",$E221&lt;&gt;"taken"),0,IF(AND(COUNTIFS(rl_key,$J221,rl_effmonth,$M221,rl_eff,"&lt;"&amp;$C221,rl_status,"taken")=0,COUNTIFS($J$7:$J221,$J221,$M$7:$M221,$M221,$C$7:$C221,$C221,$E$7:$E221,"taken")=1),1,0))</f>
        <v>0</v>
      </c>
      <c r="V221" s="66" t="str">
        <f t="shared" si="41"/>
        <v/>
      </c>
      <c r="W221" s="76" t="str">
        <f t="shared" si="42"/>
        <v/>
      </c>
      <c r="X221" s="77" t="str">
        <f>IF(OR($C221="",$J221&lt;&gt;nr_SelKey),"",(SUMPRODUCT(('Rate Engine'!$G$17:$G$64&gt;YEAR($C221)*12+MONTH($C221)-1)*'Rate Engine'!$H$17:$H$64,'Rate Engine'!$Q$17:$Q$64)+(EOMONTH($C221,0)-$C221+1)/DAY(EOMONTH($C221,0))*SUMPRODUCT(('Rate Engine'!$G$17:$G$64=YEAR($C221)*12+MONTH($C221)-1)*'Rate Engine'!$H$17:$H$64,'Rate Engine'!$Q$17:$Q$64))/SUMPRODUCT('Rate Engine'!$H$17:$H$64,'Rate Engine'!$Q$17:$Q$64))</f>
        <v/>
      </c>
      <c r="Y221" s="78" t="str">
        <f t="shared" si="43"/>
        <v/>
      </c>
    </row>
    <row r="222" spans="1:25" x14ac:dyDescent="0.3">
      <c r="A222" s="11"/>
      <c r="B222" s="11"/>
      <c r="C222" s="61"/>
      <c r="D222" s="29"/>
      <c r="E222" s="11"/>
      <c r="F222" s="11"/>
      <c r="G222" s="59"/>
      <c r="H222" s="71"/>
      <c r="J222" s="65" t="str">
        <f t="shared" si="33"/>
        <v/>
      </c>
      <c r="K222" s="72" t="str">
        <f t="shared" si="34"/>
        <v/>
      </c>
      <c r="L222" s="73">
        <f t="shared" si="35"/>
        <v>0</v>
      </c>
      <c r="M222" s="74" t="str">
        <f t="shared" si="36"/>
        <v/>
      </c>
      <c r="N222" s="75">
        <f t="shared" si="37"/>
        <v>0</v>
      </c>
      <c r="O222" s="75">
        <f t="shared" si="38"/>
        <v>0</v>
      </c>
      <c r="P222" s="75">
        <f>IF($C222="",0,COUNTIFS($J$7:$J222,$J222,$M$7:$M222,$M222,$C$7:$C222,$C222))</f>
        <v>0</v>
      </c>
      <c r="Q222" s="75">
        <f t="shared" si="39"/>
        <v>0</v>
      </c>
      <c r="R222" s="75">
        <f t="shared" si="40"/>
        <v>0</v>
      </c>
      <c r="S222" s="75">
        <f>IF($C222="",0,COUNTIFS(rl_key,$J222,rl_eff,"&lt;"&amp;$C222)+COUNTIFS($J$7:$J222,$J222,$C$7:$C222,$C222))</f>
        <v>0</v>
      </c>
      <c r="T222" s="75">
        <f>IF(OR($C222="",$E222&lt;&gt;"planned",$C222&lt;DATE(nr_PlanYear,1,1),$C222&gt;DATE(nr_PlanYear,12,31)),0,IF(AND(COUNTIFS(rl_key,$J222,rl_status,"planned",rl_eff,"&gt;="&amp;DATE(nr_PlanYear,1,1),rl_eff,"&lt;"&amp;$C222)=0,COUNTIFS($J$7:$J222,$J222,$E$7:$E222,"planned",$C$7:$C222,$C222)=1),1,0))</f>
        <v>0</v>
      </c>
      <c r="U222" s="75">
        <f>IF(OR($C222="",$E222&lt;&gt;"taken"),0,IF(AND(COUNTIFS(rl_key,$J222,rl_effmonth,$M222,rl_eff,"&lt;"&amp;$C222,rl_status,"taken")=0,COUNTIFS($J$7:$J222,$J222,$M$7:$M222,$M222,$C$7:$C222,$C222,$E$7:$E222,"taken")=1),1,0))</f>
        <v>0</v>
      </c>
      <c r="V222" s="66" t="str">
        <f t="shared" si="41"/>
        <v/>
      </c>
      <c r="W222" s="76" t="str">
        <f t="shared" si="42"/>
        <v/>
      </c>
      <c r="X222" s="77" t="str">
        <f>IF(OR($C222="",$J222&lt;&gt;nr_SelKey),"",(SUMPRODUCT(('Rate Engine'!$G$17:$G$64&gt;YEAR($C222)*12+MONTH($C222)-1)*'Rate Engine'!$H$17:$H$64,'Rate Engine'!$Q$17:$Q$64)+(EOMONTH($C222,0)-$C222+1)/DAY(EOMONTH($C222,0))*SUMPRODUCT(('Rate Engine'!$G$17:$G$64=YEAR($C222)*12+MONTH($C222)-1)*'Rate Engine'!$H$17:$H$64,'Rate Engine'!$Q$17:$Q$64))/SUMPRODUCT('Rate Engine'!$H$17:$H$64,'Rate Engine'!$Q$17:$Q$64))</f>
        <v/>
      </c>
      <c r="Y222" s="78" t="str">
        <f t="shared" si="43"/>
        <v/>
      </c>
    </row>
    <row r="223" spans="1:25" x14ac:dyDescent="0.3">
      <c r="A223" s="11"/>
      <c r="B223" s="11"/>
      <c r="C223" s="61"/>
      <c r="D223" s="29"/>
      <c r="E223" s="11"/>
      <c r="F223" s="11"/>
      <c r="G223" s="59"/>
      <c r="H223" s="71"/>
      <c r="J223" s="65" t="str">
        <f t="shared" si="33"/>
        <v/>
      </c>
      <c r="K223" s="72" t="str">
        <f t="shared" si="34"/>
        <v/>
      </c>
      <c r="L223" s="73">
        <f t="shared" si="35"/>
        <v>0</v>
      </c>
      <c r="M223" s="74" t="str">
        <f t="shared" si="36"/>
        <v/>
      </c>
      <c r="N223" s="75">
        <f t="shared" si="37"/>
        <v>0</v>
      </c>
      <c r="O223" s="75">
        <f t="shared" si="38"/>
        <v>0</v>
      </c>
      <c r="P223" s="75">
        <f>IF($C223="",0,COUNTIFS($J$7:$J223,$J223,$M$7:$M223,$M223,$C$7:$C223,$C223))</f>
        <v>0</v>
      </c>
      <c r="Q223" s="75">
        <f t="shared" si="39"/>
        <v>0</v>
      </c>
      <c r="R223" s="75">
        <f t="shared" si="40"/>
        <v>0</v>
      </c>
      <c r="S223" s="75">
        <f>IF($C223="",0,COUNTIFS(rl_key,$J223,rl_eff,"&lt;"&amp;$C223)+COUNTIFS($J$7:$J223,$J223,$C$7:$C223,$C223))</f>
        <v>0</v>
      </c>
      <c r="T223" s="75">
        <f>IF(OR($C223="",$E223&lt;&gt;"planned",$C223&lt;DATE(nr_PlanYear,1,1),$C223&gt;DATE(nr_PlanYear,12,31)),0,IF(AND(COUNTIFS(rl_key,$J223,rl_status,"planned",rl_eff,"&gt;="&amp;DATE(nr_PlanYear,1,1),rl_eff,"&lt;"&amp;$C223)=0,COUNTIFS($J$7:$J223,$J223,$E$7:$E223,"planned",$C$7:$C223,$C223)=1),1,0))</f>
        <v>0</v>
      </c>
      <c r="U223" s="75">
        <f>IF(OR($C223="",$E223&lt;&gt;"taken"),0,IF(AND(COUNTIFS(rl_key,$J223,rl_effmonth,$M223,rl_eff,"&lt;"&amp;$C223,rl_status,"taken")=0,COUNTIFS($J$7:$J223,$J223,$M$7:$M223,$M223,$C$7:$C223,$C223,$E$7:$E223,"taken")=1),1,0))</f>
        <v>0</v>
      </c>
      <c r="V223" s="66" t="str">
        <f t="shared" si="41"/>
        <v/>
      </c>
      <c r="W223" s="76" t="str">
        <f t="shared" si="42"/>
        <v/>
      </c>
      <c r="X223" s="77" t="str">
        <f>IF(OR($C223="",$J223&lt;&gt;nr_SelKey),"",(SUMPRODUCT(('Rate Engine'!$G$17:$G$64&gt;YEAR($C223)*12+MONTH($C223)-1)*'Rate Engine'!$H$17:$H$64,'Rate Engine'!$Q$17:$Q$64)+(EOMONTH($C223,0)-$C223+1)/DAY(EOMONTH($C223,0))*SUMPRODUCT(('Rate Engine'!$G$17:$G$64=YEAR($C223)*12+MONTH($C223)-1)*'Rate Engine'!$H$17:$H$64,'Rate Engine'!$Q$17:$Q$64))/SUMPRODUCT('Rate Engine'!$H$17:$H$64,'Rate Engine'!$Q$17:$Q$64))</f>
        <v/>
      </c>
      <c r="Y223" s="78" t="str">
        <f t="shared" si="43"/>
        <v/>
      </c>
    </row>
    <row r="224" spans="1:25" x14ac:dyDescent="0.3">
      <c r="A224" s="11"/>
      <c r="B224" s="11"/>
      <c r="C224" s="61"/>
      <c r="D224" s="29"/>
      <c r="E224" s="11"/>
      <c r="F224" s="11"/>
      <c r="G224" s="59"/>
      <c r="H224" s="71"/>
      <c r="J224" s="65" t="str">
        <f t="shared" si="33"/>
        <v/>
      </c>
      <c r="K224" s="72" t="str">
        <f t="shared" si="34"/>
        <v/>
      </c>
      <c r="L224" s="73">
        <f t="shared" si="35"/>
        <v>0</v>
      </c>
      <c r="M224" s="74" t="str">
        <f t="shared" si="36"/>
        <v/>
      </c>
      <c r="N224" s="75">
        <f t="shared" si="37"/>
        <v>0</v>
      </c>
      <c r="O224" s="75">
        <f t="shared" si="38"/>
        <v>0</v>
      </c>
      <c r="P224" s="75">
        <f>IF($C224="",0,COUNTIFS($J$7:$J224,$J224,$M$7:$M224,$M224,$C$7:$C224,$C224))</f>
        <v>0</v>
      </c>
      <c r="Q224" s="75">
        <f t="shared" si="39"/>
        <v>0</v>
      </c>
      <c r="R224" s="75">
        <f t="shared" si="40"/>
        <v>0</v>
      </c>
      <c r="S224" s="75">
        <f>IF($C224="",0,COUNTIFS(rl_key,$J224,rl_eff,"&lt;"&amp;$C224)+COUNTIFS($J$7:$J224,$J224,$C$7:$C224,$C224))</f>
        <v>0</v>
      </c>
      <c r="T224" s="75">
        <f>IF(OR($C224="",$E224&lt;&gt;"planned",$C224&lt;DATE(nr_PlanYear,1,1),$C224&gt;DATE(nr_PlanYear,12,31)),0,IF(AND(COUNTIFS(rl_key,$J224,rl_status,"planned",rl_eff,"&gt;="&amp;DATE(nr_PlanYear,1,1),rl_eff,"&lt;"&amp;$C224)=0,COUNTIFS($J$7:$J224,$J224,$E$7:$E224,"planned",$C$7:$C224,$C224)=1),1,0))</f>
        <v>0</v>
      </c>
      <c r="U224" s="75">
        <f>IF(OR($C224="",$E224&lt;&gt;"taken"),0,IF(AND(COUNTIFS(rl_key,$J224,rl_effmonth,$M224,rl_eff,"&lt;"&amp;$C224,rl_status,"taken")=0,COUNTIFS($J$7:$J224,$J224,$M$7:$M224,$M224,$C$7:$C224,$C224,$E$7:$E224,"taken")=1),1,0))</f>
        <v>0</v>
      </c>
      <c r="V224" s="66" t="str">
        <f t="shared" si="41"/>
        <v/>
      </c>
      <c r="W224" s="76" t="str">
        <f t="shared" si="42"/>
        <v/>
      </c>
      <c r="X224" s="77" t="str">
        <f>IF(OR($C224="",$J224&lt;&gt;nr_SelKey),"",(SUMPRODUCT(('Rate Engine'!$G$17:$G$64&gt;YEAR($C224)*12+MONTH($C224)-1)*'Rate Engine'!$H$17:$H$64,'Rate Engine'!$Q$17:$Q$64)+(EOMONTH($C224,0)-$C224+1)/DAY(EOMONTH($C224,0))*SUMPRODUCT(('Rate Engine'!$G$17:$G$64=YEAR($C224)*12+MONTH($C224)-1)*'Rate Engine'!$H$17:$H$64,'Rate Engine'!$Q$17:$Q$64))/SUMPRODUCT('Rate Engine'!$H$17:$H$64,'Rate Engine'!$Q$17:$Q$64))</f>
        <v/>
      </c>
      <c r="Y224" s="78" t="str">
        <f t="shared" si="43"/>
        <v/>
      </c>
    </row>
    <row r="225" spans="1:25" x14ac:dyDescent="0.3">
      <c r="A225" s="11"/>
      <c r="B225" s="11"/>
      <c r="C225" s="61"/>
      <c r="D225" s="29"/>
      <c r="E225" s="11"/>
      <c r="F225" s="11"/>
      <c r="G225" s="59"/>
      <c r="H225" s="71"/>
      <c r="J225" s="65" t="str">
        <f t="shared" si="33"/>
        <v/>
      </c>
      <c r="K225" s="72" t="str">
        <f t="shared" si="34"/>
        <v/>
      </c>
      <c r="L225" s="73">
        <f t="shared" si="35"/>
        <v>0</v>
      </c>
      <c r="M225" s="74" t="str">
        <f t="shared" si="36"/>
        <v/>
      </c>
      <c r="N225" s="75">
        <f t="shared" si="37"/>
        <v>0</v>
      </c>
      <c r="O225" s="75">
        <f t="shared" si="38"/>
        <v>0</v>
      </c>
      <c r="P225" s="75">
        <f>IF($C225="",0,COUNTIFS($J$7:$J225,$J225,$M$7:$M225,$M225,$C$7:$C225,$C225))</f>
        <v>0</v>
      </c>
      <c r="Q225" s="75">
        <f t="shared" si="39"/>
        <v>0</v>
      </c>
      <c r="R225" s="75">
        <f t="shared" si="40"/>
        <v>0</v>
      </c>
      <c r="S225" s="75">
        <f>IF($C225="",0,COUNTIFS(rl_key,$J225,rl_eff,"&lt;"&amp;$C225)+COUNTIFS($J$7:$J225,$J225,$C$7:$C225,$C225))</f>
        <v>0</v>
      </c>
      <c r="T225" s="75">
        <f>IF(OR($C225="",$E225&lt;&gt;"planned",$C225&lt;DATE(nr_PlanYear,1,1),$C225&gt;DATE(nr_PlanYear,12,31)),0,IF(AND(COUNTIFS(rl_key,$J225,rl_status,"planned",rl_eff,"&gt;="&amp;DATE(nr_PlanYear,1,1),rl_eff,"&lt;"&amp;$C225)=0,COUNTIFS($J$7:$J225,$J225,$E$7:$E225,"planned",$C$7:$C225,$C225)=1),1,0))</f>
        <v>0</v>
      </c>
      <c r="U225" s="75">
        <f>IF(OR($C225="",$E225&lt;&gt;"taken"),0,IF(AND(COUNTIFS(rl_key,$J225,rl_effmonth,$M225,rl_eff,"&lt;"&amp;$C225,rl_status,"taken")=0,COUNTIFS($J$7:$J225,$J225,$M$7:$M225,$M225,$C$7:$C225,$C225,$E$7:$E225,"taken")=1),1,0))</f>
        <v>0</v>
      </c>
      <c r="V225" s="66" t="str">
        <f t="shared" si="41"/>
        <v/>
      </c>
      <c r="W225" s="76" t="str">
        <f t="shared" si="42"/>
        <v/>
      </c>
      <c r="X225" s="77" t="str">
        <f>IF(OR($C225="",$J225&lt;&gt;nr_SelKey),"",(SUMPRODUCT(('Rate Engine'!$G$17:$G$64&gt;YEAR($C225)*12+MONTH($C225)-1)*'Rate Engine'!$H$17:$H$64,'Rate Engine'!$Q$17:$Q$64)+(EOMONTH($C225,0)-$C225+1)/DAY(EOMONTH($C225,0))*SUMPRODUCT(('Rate Engine'!$G$17:$G$64=YEAR($C225)*12+MONTH($C225)-1)*'Rate Engine'!$H$17:$H$64,'Rate Engine'!$Q$17:$Q$64))/SUMPRODUCT('Rate Engine'!$H$17:$H$64,'Rate Engine'!$Q$17:$Q$64))</f>
        <v/>
      </c>
      <c r="Y225" s="78" t="str">
        <f t="shared" si="43"/>
        <v/>
      </c>
    </row>
    <row r="226" spans="1:25" x14ac:dyDescent="0.3">
      <c r="A226" s="11"/>
      <c r="B226" s="11"/>
      <c r="C226" s="61"/>
      <c r="D226" s="29"/>
      <c r="E226" s="11"/>
      <c r="F226" s="11"/>
      <c r="G226" s="59"/>
      <c r="H226" s="71"/>
      <c r="J226" s="65" t="str">
        <f t="shared" si="33"/>
        <v/>
      </c>
      <c r="K226" s="72" t="str">
        <f t="shared" si="34"/>
        <v/>
      </c>
      <c r="L226" s="73">
        <f t="shared" si="35"/>
        <v>0</v>
      </c>
      <c r="M226" s="74" t="str">
        <f t="shared" si="36"/>
        <v/>
      </c>
      <c r="N226" s="75">
        <f t="shared" si="37"/>
        <v>0</v>
      </c>
      <c r="O226" s="75">
        <f t="shared" si="38"/>
        <v>0</v>
      </c>
      <c r="P226" s="75">
        <f>IF($C226="",0,COUNTIFS($J$7:$J226,$J226,$M$7:$M226,$M226,$C$7:$C226,$C226))</f>
        <v>0</v>
      </c>
      <c r="Q226" s="75">
        <f t="shared" si="39"/>
        <v>0</v>
      </c>
      <c r="R226" s="75">
        <f t="shared" si="40"/>
        <v>0</v>
      </c>
      <c r="S226" s="75">
        <f>IF($C226="",0,COUNTIFS(rl_key,$J226,rl_eff,"&lt;"&amp;$C226)+COUNTIFS($J$7:$J226,$J226,$C$7:$C226,$C226))</f>
        <v>0</v>
      </c>
      <c r="T226" s="75">
        <f>IF(OR($C226="",$E226&lt;&gt;"planned",$C226&lt;DATE(nr_PlanYear,1,1),$C226&gt;DATE(nr_PlanYear,12,31)),0,IF(AND(COUNTIFS(rl_key,$J226,rl_status,"planned",rl_eff,"&gt;="&amp;DATE(nr_PlanYear,1,1),rl_eff,"&lt;"&amp;$C226)=0,COUNTIFS($J$7:$J226,$J226,$E$7:$E226,"planned",$C$7:$C226,$C226)=1),1,0))</f>
        <v>0</v>
      </c>
      <c r="U226" s="75">
        <f>IF(OR($C226="",$E226&lt;&gt;"taken"),0,IF(AND(COUNTIFS(rl_key,$J226,rl_effmonth,$M226,rl_eff,"&lt;"&amp;$C226,rl_status,"taken")=0,COUNTIFS($J$7:$J226,$J226,$M$7:$M226,$M226,$C$7:$C226,$C226,$E$7:$E226,"taken")=1),1,0))</f>
        <v>0</v>
      </c>
      <c r="V226" s="66" t="str">
        <f t="shared" si="41"/>
        <v/>
      </c>
      <c r="W226" s="76" t="str">
        <f t="shared" si="42"/>
        <v/>
      </c>
      <c r="X226" s="77" t="str">
        <f>IF(OR($C226="",$J226&lt;&gt;nr_SelKey),"",(SUMPRODUCT(('Rate Engine'!$G$17:$G$64&gt;YEAR($C226)*12+MONTH($C226)-1)*'Rate Engine'!$H$17:$H$64,'Rate Engine'!$Q$17:$Q$64)+(EOMONTH($C226,0)-$C226+1)/DAY(EOMONTH($C226,0))*SUMPRODUCT(('Rate Engine'!$G$17:$G$64=YEAR($C226)*12+MONTH($C226)-1)*'Rate Engine'!$H$17:$H$64,'Rate Engine'!$Q$17:$Q$64))/SUMPRODUCT('Rate Engine'!$H$17:$H$64,'Rate Engine'!$Q$17:$Q$64))</f>
        <v/>
      </c>
      <c r="Y226" s="78" t="str">
        <f t="shared" si="43"/>
        <v/>
      </c>
    </row>
    <row r="227" spans="1:25" x14ac:dyDescent="0.3">
      <c r="A227" s="11"/>
      <c r="B227" s="11"/>
      <c r="C227" s="61"/>
      <c r="D227" s="29"/>
      <c r="E227" s="11"/>
      <c r="F227" s="11"/>
      <c r="G227" s="59"/>
      <c r="H227" s="71"/>
      <c r="J227" s="65" t="str">
        <f t="shared" si="33"/>
        <v/>
      </c>
      <c r="K227" s="72" t="str">
        <f t="shared" si="34"/>
        <v/>
      </c>
      <c r="L227" s="73">
        <f t="shared" si="35"/>
        <v>0</v>
      </c>
      <c r="M227" s="74" t="str">
        <f t="shared" si="36"/>
        <v/>
      </c>
      <c r="N227" s="75">
        <f t="shared" si="37"/>
        <v>0</v>
      </c>
      <c r="O227" s="75">
        <f t="shared" si="38"/>
        <v>0</v>
      </c>
      <c r="P227" s="75">
        <f>IF($C227="",0,COUNTIFS($J$7:$J227,$J227,$M$7:$M227,$M227,$C$7:$C227,$C227))</f>
        <v>0</v>
      </c>
      <c r="Q227" s="75">
        <f t="shared" si="39"/>
        <v>0</v>
      </c>
      <c r="R227" s="75">
        <f t="shared" si="40"/>
        <v>0</v>
      </c>
      <c r="S227" s="75">
        <f>IF($C227="",0,COUNTIFS(rl_key,$J227,rl_eff,"&lt;"&amp;$C227)+COUNTIFS($J$7:$J227,$J227,$C$7:$C227,$C227))</f>
        <v>0</v>
      </c>
      <c r="T227" s="75">
        <f>IF(OR($C227="",$E227&lt;&gt;"planned",$C227&lt;DATE(nr_PlanYear,1,1),$C227&gt;DATE(nr_PlanYear,12,31)),0,IF(AND(COUNTIFS(rl_key,$J227,rl_status,"planned",rl_eff,"&gt;="&amp;DATE(nr_PlanYear,1,1),rl_eff,"&lt;"&amp;$C227)=0,COUNTIFS($J$7:$J227,$J227,$E$7:$E227,"planned",$C$7:$C227,$C227)=1),1,0))</f>
        <v>0</v>
      </c>
      <c r="U227" s="75">
        <f>IF(OR($C227="",$E227&lt;&gt;"taken"),0,IF(AND(COUNTIFS(rl_key,$J227,rl_effmonth,$M227,rl_eff,"&lt;"&amp;$C227,rl_status,"taken")=0,COUNTIFS($J$7:$J227,$J227,$M$7:$M227,$M227,$C$7:$C227,$C227,$E$7:$E227,"taken")=1),1,0))</f>
        <v>0</v>
      </c>
      <c r="V227" s="66" t="str">
        <f t="shared" si="41"/>
        <v/>
      </c>
      <c r="W227" s="76" t="str">
        <f t="shared" si="42"/>
        <v/>
      </c>
      <c r="X227" s="77" t="str">
        <f>IF(OR($C227="",$J227&lt;&gt;nr_SelKey),"",(SUMPRODUCT(('Rate Engine'!$G$17:$G$64&gt;YEAR($C227)*12+MONTH($C227)-1)*'Rate Engine'!$H$17:$H$64,'Rate Engine'!$Q$17:$Q$64)+(EOMONTH($C227,0)-$C227+1)/DAY(EOMONTH($C227,0))*SUMPRODUCT(('Rate Engine'!$G$17:$G$64=YEAR($C227)*12+MONTH($C227)-1)*'Rate Engine'!$H$17:$H$64,'Rate Engine'!$Q$17:$Q$64))/SUMPRODUCT('Rate Engine'!$H$17:$H$64,'Rate Engine'!$Q$17:$Q$64))</f>
        <v/>
      </c>
      <c r="Y227" s="78" t="str">
        <f t="shared" si="43"/>
        <v/>
      </c>
    </row>
    <row r="228" spans="1:25" x14ac:dyDescent="0.3">
      <c r="A228" s="11"/>
      <c r="B228" s="11"/>
      <c r="C228" s="61"/>
      <c r="D228" s="29"/>
      <c r="E228" s="11"/>
      <c r="F228" s="11"/>
      <c r="G228" s="59"/>
      <c r="H228" s="71"/>
      <c r="J228" s="65" t="str">
        <f t="shared" si="33"/>
        <v/>
      </c>
      <c r="K228" s="72" t="str">
        <f t="shared" si="34"/>
        <v/>
      </c>
      <c r="L228" s="73">
        <f t="shared" si="35"/>
        <v>0</v>
      </c>
      <c r="M228" s="74" t="str">
        <f t="shared" si="36"/>
        <v/>
      </c>
      <c r="N228" s="75">
        <f t="shared" si="37"/>
        <v>0</v>
      </c>
      <c r="O228" s="75">
        <f t="shared" si="38"/>
        <v>0</v>
      </c>
      <c r="P228" s="75">
        <f>IF($C228="",0,COUNTIFS($J$7:$J228,$J228,$M$7:$M228,$M228,$C$7:$C228,$C228))</f>
        <v>0</v>
      </c>
      <c r="Q228" s="75">
        <f t="shared" si="39"/>
        <v>0</v>
      </c>
      <c r="R228" s="75">
        <f t="shared" si="40"/>
        <v>0</v>
      </c>
      <c r="S228" s="75">
        <f>IF($C228="",0,COUNTIFS(rl_key,$J228,rl_eff,"&lt;"&amp;$C228)+COUNTIFS($J$7:$J228,$J228,$C$7:$C228,$C228))</f>
        <v>0</v>
      </c>
      <c r="T228" s="75">
        <f>IF(OR($C228="",$E228&lt;&gt;"planned",$C228&lt;DATE(nr_PlanYear,1,1),$C228&gt;DATE(nr_PlanYear,12,31)),0,IF(AND(COUNTIFS(rl_key,$J228,rl_status,"planned",rl_eff,"&gt;="&amp;DATE(nr_PlanYear,1,1),rl_eff,"&lt;"&amp;$C228)=0,COUNTIFS($J$7:$J228,$J228,$E$7:$E228,"planned",$C$7:$C228,$C228)=1),1,0))</f>
        <v>0</v>
      </c>
      <c r="U228" s="75">
        <f>IF(OR($C228="",$E228&lt;&gt;"taken"),0,IF(AND(COUNTIFS(rl_key,$J228,rl_effmonth,$M228,rl_eff,"&lt;"&amp;$C228,rl_status,"taken")=0,COUNTIFS($J$7:$J228,$J228,$M$7:$M228,$M228,$C$7:$C228,$C228,$E$7:$E228,"taken")=1),1,0))</f>
        <v>0</v>
      </c>
      <c r="V228" s="66" t="str">
        <f t="shared" si="41"/>
        <v/>
      </c>
      <c r="W228" s="76" t="str">
        <f t="shared" si="42"/>
        <v/>
      </c>
      <c r="X228" s="77" t="str">
        <f>IF(OR($C228="",$J228&lt;&gt;nr_SelKey),"",(SUMPRODUCT(('Rate Engine'!$G$17:$G$64&gt;YEAR($C228)*12+MONTH($C228)-1)*'Rate Engine'!$H$17:$H$64,'Rate Engine'!$Q$17:$Q$64)+(EOMONTH($C228,0)-$C228+1)/DAY(EOMONTH($C228,0))*SUMPRODUCT(('Rate Engine'!$G$17:$G$64=YEAR($C228)*12+MONTH($C228)-1)*'Rate Engine'!$H$17:$H$64,'Rate Engine'!$Q$17:$Q$64))/SUMPRODUCT('Rate Engine'!$H$17:$H$64,'Rate Engine'!$Q$17:$Q$64))</f>
        <v/>
      </c>
      <c r="Y228" s="78" t="str">
        <f t="shared" si="43"/>
        <v/>
      </c>
    </row>
    <row r="229" spans="1:25" x14ac:dyDescent="0.3">
      <c r="A229" s="11"/>
      <c r="B229" s="11"/>
      <c r="C229" s="61"/>
      <c r="D229" s="29"/>
      <c r="E229" s="11"/>
      <c r="F229" s="11"/>
      <c r="G229" s="59"/>
      <c r="H229" s="71"/>
      <c r="J229" s="65" t="str">
        <f t="shared" si="33"/>
        <v/>
      </c>
      <c r="K229" s="72" t="str">
        <f t="shared" si="34"/>
        <v/>
      </c>
      <c r="L229" s="73">
        <f t="shared" si="35"/>
        <v>0</v>
      </c>
      <c r="M229" s="74" t="str">
        <f t="shared" si="36"/>
        <v/>
      </c>
      <c r="N229" s="75">
        <f t="shared" si="37"/>
        <v>0</v>
      </c>
      <c r="O229" s="75">
        <f t="shared" si="38"/>
        <v>0</v>
      </c>
      <c r="P229" s="75">
        <f>IF($C229="",0,COUNTIFS($J$7:$J229,$J229,$M$7:$M229,$M229,$C$7:$C229,$C229))</f>
        <v>0</v>
      </c>
      <c r="Q229" s="75">
        <f t="shared" si="39"/>
        <v>0</v>
      </c>
      <c r="R229" s="75">
        <f t="shared" si="40"/>
        <v>0</v>
      </c>
      <c r="S229" s="75">
        <f>IF($C229="",0,COUNTIFS(rl_key,$J229,rl_eff,"&lt;"&amp;$C229)+COUNTIFS($J$7:$J229,$J229,$C$7:$C229,$C229))</f>
        <v>0</v>
      </c>
      <c r="T229" s="75">
        <f>IF(OR($C229="",$E229&lt;&gt;"planned",$C229&lt;DATE(nr_PlanYear,1,1),$C229&gt;DATE(nr_PlanYear,12,31)),0,IF(AND(COUNTIFS(rl_key,$J229,rl_status,"planned",rl_eff,"&gt;="&amp;DATE(nr_PlanYear,1,1),rl_eff,"&lt;"&amp;$C229)=0,COUNTIFS($J$7:$J229,$J229,$E$7:$E229,"planned",$C$7:$C229,$C229)=1),1,0))</f>
        <v>0</v>
      </c>
      <c r="U229" s="75">
        <f>IF(OR($C229="",$E229&lt;&gt;"taken"),0,IF(AND(COUNTIFS(rl_key,$J229,rl_effmonth,$M229,rl_eff,"&lt;"&amp;$C229,rl_status,"taken")=0,COUNTIFS($J$7:$J229,$J229,$M$7:$M229,$M229,$C$7:$C229,$C229,$E$7:$E229,"taken")=1),1,0))</f>
        <v>0</v>
      </c>
      <c r="V229" s="66" t="str">
        <f t="shared" si="41"/>
        <v/>
      </c>
      <c r="W229" s="76" t="str">
        <f t="shared" si="42"/>
        <v/>
      </c>
      <c r="X229" s="77" t="str">
        <f>IF(OR($C229="",$J229&lt;&gt;nr_SelKey),"",(SUMPRODUCT(('Rate Engine'!$G$17:$G$64&gt;YEAR($C229)*12+MONTH($C229)-1)*'Rate Engine'!$H$17:$H$64,'Rate Engine'!$Q$17:$Q$64)+(EOMONTH($C229,0)-$C229+1)/DAY(EOMONTH($C229,0))*SUMPRODUCT(('Rate Engine'!$G$17:$G$64=YEAR($C229)*12+MONTH($C229)-1)*'Rate Engine'!$H$17:$H$64,'Rate Engine'!$Q$17:$Q$64))/SUMPRODUCT('Rate Engine'!$H$17:$H$64,'Rate Engine'!$Q$17:$Q$64))</f>
        <v/>
      </c>
      <c r="Y229" s="78" t="str">
        <f t="shared" si="43"/>
        <v/>
      </c>
    </row>
    <row r="230" spans="1:25" x14ac:dyDescent="0.3">
      <c r="A230" s="11"/>
      <c r="B230" s="11"/>
      <c r="C230" s="61"/>
      <c r="D230" s="29"/>
      <c r="E230" s="11"/>
      <c r="F230" s="11"/>
      <c r="G230" s="59"/>
      <c r="H230" s="71"/>
      <c r="J230" s="65" t="str">
        <f t="shared" si="33"/>
        <v/>
      </c>
      <c r="K230" s="72" t="str">
        <f t="shared" si="34"/>
        <v/>
      </c>
      <c r="L230" s="73">
        <f t="shared" si="35"/>
        <v>0</v>
      </c>
      <c r="M230" s="74" t="str">
        <f t="shared" si="36"/>
        <v/>
      </c>
      <c r="N230" s="75">
        <f t="shared" si="37"/>
        <v>0</v>
      </c>
      <c r="O230" s="75">
        <f t="shared" si="38"/>
        <v>0</v>
      </c>
      <c r="P230" s="75">
        <f>IF($C230="",0,COUNTIFS($J$7:$J230,$J230,$M$7:$M230,$M230,$C$7:$C230,$C230))</f>
        <v>0</v>
      </c>
      <c r="Q230" s="75">
        <f t="shared" si="39"/>
        <v>0</v>
      </c>
      <c r="R230" s="75">
        <f t="shared" si="40"/>
        <v>0</v>
      </c>
      <c r="S230" s="75">
        <f>IF($C230="",0,COUNTIFS(rl_key,$J230,rl_eff,"&lt;"&amp;$C230)+COUNTIFS($J$7:$J230,$J230,$C$7:$C230,$C230))</f>
        <v>0</v>
      </c>
      <c r="T230" s="75">
        <f>IF(OR($C230="",$E230&lt;&gt;"planned",$C230&lt;DATE(nr_PlanYear,1,1),$C230&gt;DATE(nr_PlanYear,12,31)),0,IF(AND(COUNTIFS(rl_key,$J230,rl_status,"planned",rl_eff,"&gt;="&amp;DATE(nr_PlanYear,1,1),rl_eff,"&lt;"&amp;$C230)=0,COUNTIFS($J$7:$J230,$J230,$E$7:$E230,"planned",$C$7:$C230,$C230)=1),1,0))</f>
        <v>0</v>
      </c>
      <c r="U230" s="75">
        <f>IF(OR($C230="",$E230&lt;&gt;"taken"),0,IF(AND(COUNTIFS(rl_key,$J230,rl_effmonth,$M230,rl_eff,"&lt;"&amp;$C230,rl_status,"taken")=0,COUNTIFS($J$7:$J230,$J230,$M$7:$M230,$M230,$C$7:$C230,$C230,$E$7:$E230,"taken")=1),1,0))</f>
        <v>0</v>
      </c>
      <c r="V230" s="66" t="str">
        <f t="shared" si="41"/>
        <v/>
      </c>
      <c r="W230" s="76" t="str">
        <f t="shared" si="42"/>
        <v/>
      </c>
      <c r="X230" s="77" t="str">
        <f>IF(OR($C230="",$J230&lt;&gt;nr_SelKey),"",(SUMPRODUCT(('Rate Engine'!$G$17:$G$64&gt;YEAR($C230)*12+MONTH($C230)-1)*'Rate Engine'!$H$17:$H$64,'Rate Engine'!$Q$17:$Q$64)+(EOMONTH($C230,0)-$C230+1)/DAY(EOMONTH($C230,0))*SUMPRODUCT(('Rate Engine'!$G$17:$G$64=YEAR($C230)*12+MONTH($C230)-1)*'Rate Engine'!$H$17:$H$64,'Rate Engine'!$Q$17:$Q$64))/SUMPRODUCT('Rate Engine'!$H$17:$H$64,'Rate Engine'!$Q$17:$Q$64))</f>
        <v/>
      </c>
      <c r="Y230" s="78" t="str">
        <f t="shared" si="43"/>
        <v/>
      </c>
    </row>
    <row r="231" spans="1:25" x14ac:dyDescent="0.3">
      <c r="A231" s="11"/>
      <c r="B231" s="11"/>
      <c r="C231" s="61"/>
      <c r="D231" s="29"/>
      <c r="E231" s="11"/>
      <c r="F231" s="11"/>
      <c r="G231" s="59"/>
      <c r="H231" s="71"/>
      <c r="J231" s="65" t="str">
        <f t="shared" si="33"/>
        <v/>
      </c>
      <c r="K231" s="72" t="str">
        <f t="shared" si="34"/>
        <v/>
      </c>
      <c r="L231" s="73">
        <f t="shared" si="35"/>
        <v>0</v>
      </c>
      <c r="M231" s="74" t="str">
        <f t="shared" si="36"/>
        <v/>
      </c>
      <c r="N231" s="75">
        <f t="shared" si="37"/>
        <v>0</v>
      </c>
      <c r="O231" s="75">
        <f t="shared" si="38"/>
        <v>0</v>
      </c>
      <c r="P231" s="75">
        <f>IF($C231="",0,COUNTIFS($J$7:$J231,$J231,$M$7:$M231,$M231,$C$7:$C231,$C231))</f>
        <v>0</v>
      </c>
      <c r="Q231" s="75">
        <f t="shared" si="39"/>
        <v>0</v>
      </c>
      <c r="R231" s="75">
        <f t="shared" si="40"/>
        <v>0</v>
      </c>
      <c r="S231" s="75">
        <f>IF($C231="",0,COUNTIFS(rl_key,$J231,rl_eff,"&lt;"&amp;$C231)+COUNTIFS($J$7:$J231,$J231,$C$7:$C231,$C231))</f>
        <v>0</v>
      </c>
      <c r="T231" s="75">
        <f>IF(OR($C231="",$E231&lt;&gt;"planned",$C231&lt;DATE(nr_PlanYear,1,1),$C231&gt;DATE(nr_PlanYear,12,31)),0,IF(AND(COUNTIFS(rl_key,$J231,rl_status,"planned",rl_eff,"&gt;="&amp;DATE(nr_PlanYear,1,1),rl_eff,"&lt;"&amp;$C231)=0,COUNTIFS($J$7:$J231,$J231,$E$7:$E231,"planned",$C$7:$C231,$C231)=1),1,0))</f>
        <v>0</v>
      </c>
      <c r="U231" s="75">
        <f>IF(OR($C231="",$E231&lt;&gt;"taken"),0,IF(AND(COUNTIFS(rl_key,$J231,rl_effmonth,$M231,rl_eff,"&lt;"&amp;$C231,rl_status,"taken")=0,COUNTIFS($J$7:$J231,$J231,$M$7:$M231,$M231,$C$7:$C231,$C231,$E$7:$E231,"taken")=1),1,0))</f>
        <v>0</v>
      </c>
      <c r="V231" s="66" t="str">
        <f t="shared" si="41"/>
        <v/>
      </c>
      <c r="W231" s="76" t="str">
        <f t="shared" si="42"/>
        <v/>
      </c>
      <c r="X231" s="77" t="str">
        <f>IF(OR($C231="",$J231&lt;&gt;nr_SelKey),"",(SUMPRODUCT(('Rate Engine'!$G$17:$G$64&gt;YEAR($C231)*12+MONTH($C231)-1)*'Rate Engine'!$H$17:$H$64,'Rate Engine'!$Q$17:$Q$64)+(EOMONTH($C231,0)-$C231+1)/DAY(EOMONTH($C231,0))*SUMPRODUCT(('Rate Engine'!$G$17:$G$64=YEAR($C231)*12+MONTH($C231)-1)*'Rate Engine'!$H$17:$H$64,'Rate Engine'!$Q$17:$Q$64))/SUMPRODUCT('Rate Engine'!$H$17:$H$64,'Rate Engine'!$Q$17:$Q$64))</f>
        <v/>
      </c>
      <c r="Y231" s="78" t="str">
        <f t="shared" si="43"/>
        <v/>
      </c>
    </row>
    <row r="232" spans="1:25" x14ac:dyDescent="0.3">
      <c r="A232" s="11"/>
      <c r="B232" s="11"/>
      <c r="C232" s="61"/>
      <c r="D232" s="29"/>
      <c r="E232" s="11"/>
      <c r="F232" s="11"/>
      <c r="G232" s="59"/>
      <c r="H232" s="71"/>
      <c r="J232" s="65" t="str">
        <f t="shared" si="33"/>
        <v/>
      </c>
      <c r="K232" s="72" t="str">
        <f t="shared" si="34"/>
        <v/>
      </c>
      <c r="L232" s="73">
        <f t="shared" si="35"/>
        <v>0</v>
      </c>
      <c r="M232" s="74" t="str">
        <f t="shared" si="36"/>
        <v/>
      </c>
      <c r="N232" s="75">
        <f t="shared" si="37"/>
        <v>0</v>
      </c>
      <c r="O232" s="75">
        <f t="shared" si="38"/>
        <v>0</v>
      </c>
      <c r="P232" s="75">
        <f>IF($C232="",0,COUNTIFS($J$7:$J232,$J232,$M$7:$M232,$M232,$C$7:$C232,$C232))</f>
        <v>0</v>
      </c>
      <c r="Q232" s="75">
        <f t="shared" si="39"/>
        <v>0</v>
      </c>
      <c r="R232" s="75">
        <f t="shared" si="40"/>
        <v>0</v>
      </c>
      <c r="S232" s="75">
        <f>IF($C232="",0,COUNTIFS(rl_key,$J232,rl_eff,"&lt;"&amp;$C232)+COUNTIFS($J$7:$J232,$J232,$C$7:$C232,$C232))</f>
        <v>0</v>
      </c>
      <c r="T232" s="75">
        <f>IF(OR($C232="",$E232&lt;&gt;"planned",$C232&lt;DATE(nr_PlanYear,1,1),$C232&gt;DATE(nr_PlanYear,12,31)),0,IF(AND(COUNTIFS(rl_key,$J232,rl_status,"planned",rl_eff,"&gt;="&amp;DATE(nr_PlanYear,1,1),rl_eff,"&lt;"&amp;$C232)=0,COUNTIFS($J$7:$J232,$J232,$E$7:$E232,"planned",$C$7:$C232,$C232)=1),1,0))</f>
        <v>0</v>
      </c>
      <c r="U232" s="75">
        <f>IF(OR($C232="",$E232&lt;&gt;"taken"),0,IF(AND(COUNTIFS(rl_key,$J232,rl_effmonth,$M232,rl_eff,"&lt;"&amp;$C232,rl_status,"taken")=0,COUNTIFS($J$7:$J232,$J232,$M$7:$M232,$M232,$C$7:$C232,$C232,$E$7:$E232,"taken")=1),1,0))</f>
        <v>0</v>
      </c>
      <c r="V232" s="66" t="str">
        <f t="shared" si="41"/>
        <v/>
      </c>
      <c r="W232" s="76" t="str">
        <f t="shared" si="42"/>
        <v/>
      </c>
      <c r="X232" s="77" t="str">
        <f>IF(OR($C232="",$J232&lt;&gt;nr_SelKey),"",(SUMPRODUCT(('Rate Engine'!$G$17:$G$64&gt;YEAR($C232)*12+MONTH($C232)-1)*'Rate Engine'!$H$17:$H$64,'Rate Engine'!$Q$17:$Q$64)+(EOMONTH($C232,0)-$C232+1)/DAY(EOMONTH($C232,0))*SUMPRODUCT(('Rate Engine'!$G$17:$G$64=YEAR($C232)*12+MONTH($C232)-1)*'Rate Engine'!$H$17:$H$64,'Rate Engine'!$Q$17:$Q$64))/SUMPRODUCT('Rate Engine'!$H$17:$H$64,'Rate Engine'!$Q$17:$Q$64))</f>
        <v/>
      </c>
      <c r="Y232" s="78" t="str">
        <f t="shared" si="43"/>
        <v/>
      </c>
    </row>
    <row r="233" spans="1:25" x14ac:dyDescent="0.3">
      <c r="A233" s="11"/>
      <c r="B233" s="11"/>
      <c r="C233" s="61"/>
      <c r="D233" s="29"/>
      <c r="E233" s="11"/>
      <c r="F233" s="11"/>
      <c r="G233" s="59"/>
      <c r="H233" s="71"/>
      <c r="J233" s="65" t="str">
        <f t="shared" si="33"/>
        <v/>
      </c>
      <c r="K233" s="72" t="str">
        <f t="shared" si="34"/>
        <v/>
      </c>
      <c r="L233" s="73">
        <f t="shared" si="35"/>
        <v>0</v>
      </c>
      <c r="M233" s="74" t="str">
        <f t="shared" si="36"/>
        <v/>
      </c>
      <c r="N233" s="75">
        <f t="shared" si="37"/>
        <v>0</v>
      </c>
      <c r="O233" s="75">
        <f t="shared" si="38"/>
        <v>0</v>
      </c>
      <c r="P233" s="75">
        <f>IF($C233="",0,COUNTIFS($J$7:$J233,$J233,$M$7:$M233,$M233,$C$7:$C233,$C233))</f>
        <v>0</v>
      </c>
      <c r="Q233" s="75">
        <f t="shared" si="39"/>
        <v>0</v>
      </c>
      <c r="R233" s="75">
        <f t="shared" si="40"/>
        <v>0</v>
      </c>
      <c r="S233" s="75">
        <f>IF($C233="",0,COUNTIFS(rl_key,$J233,rl_eff,"&lt;"&amp;$C233)+COUNTIFS($J$7:$J233,$J233,$C$7:$C233,$C233))</f>
        <v>0</v>
      </c>
      <c r="T233" s="75">
        <f>IF(OR($C233="",$E233&lt;&gt;"planned",$C233&lt;DATE(nr_PlanYear,1,1),$C233&gt;DATE(nr_PlanYear,12,31)),0,IF(AND(COUNTIFS(rl_key,$J233,rl_status,"planned",rl_eff,"&gt;="&amp;DATE(nr_PlanYear,1,1),rl_eff,"&lt;"&amp;$C233)=0,COUNTIFS($J$7:$J233,$J233,$E$7:$E233,"planned",$C$7:$C233,$C233)=1),1,0))</f>
        <v>0</v>
      </c>
      <c r="U233" s="75">
        <f>IF(OR($C233="",$E233&lt;&gt;"taken"),0,IF(AND(COUNTIFS(rl_key,$J233,rl_effmonth,$M233,rl_eff,"&lt;"&amp;$C233,rl_status,"taken")=0,COUNTIFS($J$7:$J233,$J233,$M$7:$M233,$M233,$C$7:$C233,$C233,$E$7:$E233,"taken")=1),1,0))</f>
        <v>0</v>
      </c>
      <c r="V233" s="66" t="str">
        <f t="shared" si="41"/>
        <v/>
      </c>
      <c r="W233" s="76" t="str">
        <f t="shared" si="42"/>
        <v/>
      </c>
      <c r="X233" s="77" t="str">
        <f>IF(OR($C233="",$J233&lt;&gt;nr_SelKey),"",(SUMPRODUCT(('Rate Engine'!$G$17:$G$64&gt;YEAR($C233)*12+MONTH($C233)-1)*'Rate Engine'!$H$17:$H$64,'Rate Engine'!$Q$17:$Q$64)+(EOMONTH($C233,0)-$C233+1)/DAY(EOMONTH($C233,0))*SUMPRODUCT(('Rate Engine'!$G$17:$G$64=YEAR($C233)*12+MONTH($C233)-1)*'Rate Engine'!$H$17:$H$64,'Rate Engine'!$Q$17:$Q$64))/SUMPRODUCT('Rate Engine'!$H$17:$H$64,'Rate Engine'!$Q$17:$Q$64))</f>
        <v/>
      </c>
      <c r="Y233" s="78" t="str">
        <f t="shared" si="43"/>
        <v/>
      </c>
    </row>
    <row r="234" spans="1:25" x14ac:dyDescent="0.3">
      <c r="A234" s="11"/>
      <c r="B234" s="11"/>
      <c r="C234" s="61"/>
      <c r="D234" s="29"/>
      <c r="E234" s="11"/>
      <c r="F234" s="11"/>
      <c r="G234" s="59"/>
      <c r="H234" s="71"/>
      <c r="J234" s="65" t="str">
        <f t="shared" si="33"/>
        <v/>
      </c>
      <c r="K234" s="72" t="str">
        <f t="shared" si="34"/>
        <v/>
      </c>
      <c r="L234" s="73">
        <f t="shared" si="35"/>
        <v>0</v>
      </c>
      <c r="M234" s="74" t="str">
        <f t="shared" si="36"/>
        <v/>
      </c>
      <c r="N234" s="75">
        <f t="shared" si="37"/>
        <v>0</v>
      </c>
      <c r="O234" s="75">
        <f t="shared" si="38"/>
        <v>0</v>
      </c>
      <c r="P234" s="75">
        <f>IF($C234="",0,COUNTIFS($J$7:$J234,$J234,$M$7:$M234,$M234,$C$7:$C234,$C234))</f>
        <v>0</v>
      </c>
      <c r="Q234" s="75">
        <f t="shared" si="39"/>
        <v>0</v>
      </c>
      <c r="R234" s="75">
        <f t="shared" si="40"/>
        <v>0</v>
      </c>
      <c r="S234" s="75">
        <f>IF($C234="",0,COUNTIFS(rl_key,$J234,rl_eff,"&lt;"&amp;$C234)+COUNTIFS($J$7:$J234,$J234,$C$7:$C234,$C234))</f>
        <v>0</v>
      </c>
      <c r="T234" s="75">
        <f>IF(OR($C234="",$E234&lt;&gt;"planned",$C234&lt;DATE(nr_PlanYear,1,1),$C234&gt;DATE(nr_PlanYear,12,31)),0,IF(AND(COUNTIFS(rl_key,$J234,rl_status,"planned",rl_eff,"&gt;="&amp;DATE(nr_PlanYear,1,1),rl_eff,"&lt;"&amp;$C234)=0,COUNTIFS($J$7:$J234,$J234,$E$7:$E234,"planned",$C$7:$C234,$C234)=1),1,0))</f>
        <v>0</v>
      </c>
      <c r="U234" s="75">
        <f>IF(OR($C234="",$E234&lt;&gt;"taken"),0,IF(AND(COUNTIFS(rl_key,$J234,rl_effmonth,$M234,rl_eff,"&lt;"&amp;$C234,rl_status,"taken")=0,COUNTIFS($J$7:$J234,$J234,$M$7:$M234,$M234,$C$7:$C234,$C234,$E$7:$E234,"taken")=1),1,0))</f>
        <v>0</v>
      </c>
      <c r="V234" s="66" t="str">
        <f t="shared" si="41"/>
        <v/>
      </c>
      <c r="W234" s="76" t="str">
        <f t="shared" si="42"/>
        <v/>
      </c>
      <c r="X234" s="77" t="str">
        <f>IF(OR($C234="",$J234&lt;&gt;nr_SelKey),"",(SUMPRODUCT(('Rate Engine'!$G$17:$G$64&gt;YEAR($C234)*12+MONTH($C234)-1)*'Rate Engine'!$H$17:$H$64,'Rate Engine'!$Q$17:$Q$64)+(EOMONTH($C234,0)-$C234+1)/DAY(EOMONTH($C234,0))*SUMPRODUCT(('Rate Engine'!$G$17:$G$64=YEAR($C234)*12+MONTH($C234)-1)*'Rate Engine'!$H$17:$H$64,'Rate Engine'!$Q$17:$Q$64))/SUMPRODUCT('Rate Engine'!$H$17:$H$64,'Rate Engine'!$Q$17:$Q$64))</f>
        <v/>
      </c>
      <c r="Y234" s="78" t="str">
        <f t="shared" si="43"/>
        <v/>
      </c>
    </row>
    <row r="235" spans="1:25" x14ac:dyDescent="0.3">
      <c r="A235" s="11"/>
      <c r="B235" s="11"/>
      <c r="C235" s="61"/>
      <c r="D235" s="29"/>
      <c r="E235" s="11"/>
      <c r="F235" s="11"/>
      <c r="G235" s="59"/>
      <c r="H235" s="71"/>
      <c r="J235" s="65" t="str">
        <f t="shared" si="33"/>
        <v/>
      </c>
      <c r="K235" s="72" t="str">
        <f t="shared" si="34"/>
        <v/>
      </c>
      <c r="L235" s="73">
        <f t="shared" si="35"/>
        <v>0</v>
      </c>
      <c r="M235" s="74" t="str">
        <f t="shared" si="36"/>
        <v/>
      </c>
      <c r="N235" s="75">
        <f t="shared" si="37"/>
        <v>0</v>
      </c>
      <c r="O235" s="75">
        <f t="shared" si="38"/>
        <v>0</v>
      </c>
      <c r="P235" s="75">
        <f>IF($C235="",0,COUNTIFS($J$7:$J235,$J235,$M$7:$M235,$M235,$C$7:$C235,$C235))</f>
        <v>0</v>
      </c>
      <c r="Q235" s="75">
        <f t="shared" si="39"/>
        <v>0</v>
      </c>
      <c r="R235" s="75">
        <f t="shared" si="40"/>
        <v>0</v>
      </c>
      <c r="S235" s="75">
        <f>IF($C235="",0,COUNTIFS(rl_key,$J235,rl_eff,"&lt;"&amp;$C235)+COUNTIFS($J$7:$J235,$J235,$C$7:$C235,$C235))</f>
        <v>0</v>
      </c>
      <c r="T235" s="75">
        <f>IF(OR($C235="",$E235&lt;&gt;"planned",$C235&lt;DATE(nr_PlanYear,1,1),$C235&gt;DATE(nr_PlanYear,12,31)),0,IF(AND(COUNTIFS(rl_key,$J235,rl_status,"planned",rl_eff,"&gt;="&amp;DATE(nr_PlanYear,1,1),rl_eff,"&lt;"&amp;$C235)=0,COUNTIFS($J$7:$J235,$J235,$E$7:$E235,"planned",$C$7:$C235,$C235)=1),1,0))</f>
        <v>0</v>
      </c>
      <c r="U235" s="75">
        <f>IF(OR($C235="",$E235&lt;&gt;"taken"),0,IF(AND(COUNTIFS(rl_key,$J235,rl_effmonth,$M235,rl_eff,"&lt;"&amp;$C235,rl_status,"taken")=0,COUNTIFS($J$7:$J235,$J235,$M$7:$M235,$M235,$C$7:$C235,$C235,$E$7:$E235,"taken")=1),1,0))</f>
        <v>0</v>
      </c>
      <c r="V235" s="66" t="str">
        <f t="shared" si="41"/>
        <v/>
      </c>
      <c r="W235" s="76" t="str">
        <f t="shared" si="42"/>
        <v/>
      </c>
      <c r="X235" s="77" t="str">
        <f>IF(OR($C235="",$J235&lt;&gt;nr_SelKey),"",(SUMPRODUCT(('Rate Engine'!$G$17:$G$64&gt;YEAR($C235)*12+MONTH($C235)-1)*'Rate Engine'!$H$17:$H$64,'Rate Engine'!$Q$17:$Q$64)+(EOMONTH($C235,0)-$C235+1)/DAY(EOMONTH($C235,0))*SUMPRODUCT(('Rate Engine'!$G$17:$G$64=YEAR($C235)*12+MONTH($C235)-1)*'Rate Engine'!$H$17:$H$64,'Rate Engine'!$Q$17:$Q$64))/SUMPRODUCT('Rate Engine'!$H$17:$H$64,'Rate Engine'!$Q$17:$Q$64))</f>
        <v/>
      </c>
      <c r="Y235" s="78" t="str">
        <f t="shared" si="43"/>
        <v/>
      </c>
    </row>
    <row r="236" spans="1:25" x14ac:dyDescent="0.3">
      <c r="A236" s="11"/>
      <c r="B236" s="11"/>
      <c r="C236" s="61"/>
      <c r="D236" s="29"/>
      <c r="E236" s="11"/>
      <c r="F236" s="11"/>
      <c r="G236" s="59"/>
      <c r="H236" s="71"/>
      <c r="J236" s="65" t="str">
        <f t="shared" si="33"/>
        <v/>
      </c>
      <c r="K236" s="72" t="str">
        <f t="shared" si="34"/>
        <v/>
      </c>
      <c r="L236" s="73">
        <f t="shared" si="35"/>
        <v>0</v>
      </c>
      <c r="M236" s="74" t="str">
        <f t="shared" si="36"/>
        <v/>
      </c>
      <c r="N236" s="75">
        <f t="shared" si="37"/>
        <v>0</v>
      </c>
      <c r="O236" s="75">
        <f t="shared" si="38"/>
        <v>0</v>
      </c>
      <c r="P236" s="75">
        <f>IF($C236="",0,COUNTIFS($J$7:$J236,$J236,$M$7:$M236,$M236,$C$7:$C236,$C236))</f>
        <v>0</v>
      </c>
      <c r="Q236" s="75">
        <f t="shared" si="39"/>
        <v>0</v>
      </c>
      <c r="R236" s="75">
        <f t="shared" si="40"/>
        <v>0</v>
      </c>
      <c r="S236" s="75">
        <f>IF($C236="",0,COUNTIFS(rl_key,$J236,rl_eff,"&lt;"&amp;$C236)+COUNTIFS($J$7:$J236,$J236,$C$7:$C236,$C236))</f>
        <v>0</v>
      </c>
      <c r="T236" s="75">
        <f>IF(OR($C236="",$E236&lt;&gt;"planned",$C236&lt;DATE(nr_PlanYear,1,1),$C236&gt;DATE(nr_PlanYear,12,31)),0,IF(AND(COUNTIFS(rl_key,$J236,rl_status,"planned",rl_eff,"&gt;="&amp;DATE(nr_PlanYear,1,1),rl_eff,"&lt;"&amp;$C236)=0,COUNTIFS($J$7:$J236,$J236,$E$7:$E236,"planned",$C$7:$C236,$C236)=1),1,0))</f>
        <v>0</v>
      </c>
      <c r="U236" s="75">
        <f>IF(OR($C236="",$E236&lt;&gt;"taken"),0,IF(AND(COUNTIFS(rl_key,$J236,rl_effmonth,$M236,rl_eff,"&lt;"&amp;$C236,rl_status,"taken")=0,COUNTIFS($J$7:$J236,$J236,$M$7:$M236,$M236,$C$7:$C236,$C236,$E$7:$E236,"taken")=1),1,0))</f>
        <v>0</v>
      </c>
      <c r="V236" s="66" t="str">
        <f t="shared" si="41"/>
        <v/>
      </c>
      <c r="W236" s="76" t="str">
        <f t="shared" si="42"/>
        <v/>
      </c>
      <c r="X236" s="77" t="str">
        <f>IF(OR($C236="",$J236&lt;&gt;nr_SelKey),"",(SUMPRODUCT(('Rate Engine'!$G$17:$G$64&gt;YEAR($C236)*12+MONTH($C236)-1)*'Rate Engine'!$H$17:$H$64,'Rate Engine'!$Q$17:$Q$64)+(EOMONTH($C236,0)-$C236+1)/DAY(EOMONTH($C236,0))*SUMPRODUCT(('Rate Engine'!$G$17:$G$64=YEAR($C236)*12+MONTH($C236)-1)*'Rate Engine'!$H$17:$H$64,'Rate Engine'!$Q$17:$Q$64))/SUMPRODUCT('Rate Engine'!$H$17:$H$64,'Rate Engine'!$Q$17:$Q$64))</f>
        <v/>
      </c>
      <c r="Y236" s="78" t="str">
        <f t="shared" si="43"/>
        <v/>
      </c>
    </row>
    <row r="237" spans="1:25" x14ac:dyDescent="0.3">
      <c r="A237" s="11"/>
      <c r="B237" s="11"/>
      <c r="C237" s="61"/>
      <c r="D237" s="29"/>
      <c r="E237" s="11"/>
      <c r="F237" s="11"/>
      <c r="G237" s="59"/>
      <c r="H237" s="71"/>
      <c r="J237" s="65" t="str">
        <f t="shared" si="33"/>
        <v/>
      </c>
      <c r="K237" s="72" t="str">
        <f t="shared" si="34"/>
        <v/>
      </c>
      <c r="L237" s="73">
        <f t="shared" si="35"/>
        <v>0</v>
      </c>
      <c r="M237" s="74" t="str">
        <f t="shared" si="36"/>
        <v/>
      </c>
      <c r="N237" s="75">
        <f t="shared" si="37"/>
        <v>0</v>
      </c>
      <c r="O237" s="75">
        <f t="shared" si="38"/>
        <v>0</v>
      </c>
      <c r="P237" s="75">
        <f>IF($C237="",0,COUNTIFS($J$7:$J237,$J237,$M$7:$M237,$M237,$C$7:$C237,$C237))</f>
        <v>0</v>
      </c>
      <c r="Q237" s="75">
        <f t="shared" si="39"/>
        <v>0</v>
      </c>
      <c r="R237" s="75">
        <f t="shared" si="40"/>
        <v>0</v>
      </c>
      <c r="S237" s="75">
        <f>IF($C237="",0,COUNTIFS(rl_key,$J237,rl_eff,"&lt;"&amp;$C237)+COUNTIFS($J$7:$J237,$J237,$C$7:$C237,$C237))</f>
        <v>0</v>
      </c>
      <c r="T237" s="75">
        <f>IF(OR($C237="",$E237&lt;&gt;"planned",$C237&lt;DATE(nr_PlanYear,1,1),$C237&gt;DATE(nr_PlanYear,12,31)),0,IF(AND(COUNTIFS(rl_key,$J237,rl_status,"planned",rl_eff,"&gt;="&amp;DATE(nr_PlanYear,1,1),rl_eff,"&lt;"&amp;$C237)=0,COUNTIFS($J$7:$J237,$J237,$E$7:$E237,"planned",$C$7:$C237,$C237)=1),1,0))</f>
        <v>0</v>
      </c>
      <c r="U237" s="75">
        <f>IF(OR($C237="",$E237&lt;&gt;"taken"),0,IF(AND(COUNTIFS(rl_key,$J237,rl_effmonth,$M237,rl_eff,"&lt;"&amp;$C237,rl_status,"taken")=0,COUNTIFS($J$7:$J237,$J237,$M$7:$M237,$M237,$C$7:$C237,$C237,$E$7:$E237,"taken")=1),1,0))</f>
        <v>0</v>
      </c>
      <c r="V237" s="66" t="str">
        <f t="shared" si="41"/>
        <v/>
      </c>
      <c r="W237" s="76" t="str">
        <f t="shared" si="42"/>
        <v/>
      </c>
      <c r="X237" s="77" t="str">
        <f>IF(OR($C237="",$J237&lt;&gt;nr_SelKey),"",(SUMPRODUCT(('Rate Engine'!$G$17:$G$64&gt;YEAR($C237)*12+MONTH($C237)-1)*'Rate Engine'!$H$17:$H$64,'Rate Engine'!$Q$17:$Q$64)+(EOMONTH($C237,0)-$C237+1)/DAY(EOMONTH($C237,0))*SUMPRODUCT(('Rate Engine'!$G$17:$G$64=YEAR($C237)*12+MONTH($C237)-1)*'Rate Engine'!$H$17:$H$64,'Rate Engine'!$Q$17:$Q$64))/SUMPRODUCT('Rate Engine'!$H$17:$H$64,'Rate Engine'!$Q$17:$Q$64))</f>
        <v/>
      </c>
      <c r="Y237" s="78" t="str">
        <f t="shared" si="43"/>
        <v/>
      </c>
    </row>
    <row r="238" spans="1:25" x14ac:dyDescent="0.3">
      <c r="A238" s="11"/>
      <c r="B238" s="11"/>
      <c r="C238" s="61"/>
      <c r="D238" s="29"/>
      <c r="E238" s="11"/>
      <c r="F238" s="11"/>
      <c r="G238" s="59"/>
      <c r="H238" s="71"/>
      <c r="J238" s="65" t="str">
        <f t="shared" si="33"/>
        <v/>
      </c>
      <c r="K238" s="72" t="str">
        <f t="shared" si="34"/>
        <v/>
      </c>
      <c r="L238" s="73">
        <f t="shared" si="35"/>
        <v>0</v>
      </c>
      <c r="M238" s="74" t="str">
        <f t="shared" si="36"/>
        <v/>
      </c>
      <c r="N238" s="75">
        <f t="shared" si="37"/>
        <v>0</v>
      </c>
      <c r="O238" s="75">
        <f t="shared" si="38"/>
        <v>0</v>
      </c>
      <c r="P238" s="75">
        <f>IF($C238="",0,COUNTIFS($J$7:$J238,$J238,$M$7:$M238,$M238,$C$7:$C238,$C238))</f>
        <v>0</v>
      </c>
      <c r="Q238" s="75">
        <f t="shared" si="39"/>
        <v>0</v>
      </c>
      <c r="R238" s="75">
        <f t="shared" si="40"/>
        <v>0</v>
      </c>
      <c r="S238" s="75">
        <f>IF($C238="",0,COUNTIFS(rl_key,$J238,rl_eff,"&lt;"&amp;$C238)+COUNTIFS($J$7:$J238,$J238,$C$7:$C238,$C238))</f>
        <v>0</v>
      </c>
      <c r="T238" s="75">
        <f>IF(OR($C238="",$E238&lt;&gt;"planned",$C238&lt;DATE(nr_PlanYear,1,1),$C238&gt;DATE(nr_PlanYear,12,31)),0,IF(AND(COUNTIFS(rl_key,$J238,rl_status,"planned",rl_eff,"&gt;="&amp;DATE(nr_PlanYear,1,1),rl_eff,"&lt;"&amp;$C238)=0,COUNTIFS($J$7:$J238,$J238,$E$7:$E238,"planned",$C$7:$C238,$C238)=1),1,0))</f>
        <v>0</v>
      </c>
      <c r="U238" s="75">
        <f>IF(OR($C238="",$E238&lt;&gt;"taken"),0,IF(AND(COUNTIFS(rl_key,$J238,rl_effmonth,$M238,rl_eff,"&lt;"&amp;$C238,rl_status,"taken")=0,COUNTIFS($J$7:$J238,$J238,$M$7:$M238,$M238,$C$7:$C238,$C238,$E$7:$E238,"taken")=1),1,0))</f>
        <v>0</v>
      </c>
      <c r="V238" s="66" t="str">
        <f t="shared" si="41"/>
        <v/>
      </c>
      <c r="W238" s="76" t="str">
        <f t="shared" si="42"/>
        <v/>
      </c>
      <c r="X238" s="77" t="str">
        <f>IF(OR($C238="",$J238&lt;&gt;nr_SelKey),"",(SUMPRODUCT(('Rate Engine'!$G$17:$G$64&gt;YEAR($C238)*12+MONTH($C238)-1)*'Rate Engine'!$H$17:$H$64,'Rate Engine'!$Q$17:$Q$64)+(EOMONTH($C238,0)-$C238+1)/DAY(EOMONTH($C238,0))*SUMPRODUCT(('Rate Engine'!$G$17:$G$64=YEAR($C238)*12+MONTH($C238)-1)*'Rate Engine'!$H$17:$H$64,'Rate Engine'!$Q$17:$Q$64))/SUMPRODUCT('Rate Engine'!$H$17:$H$64,'Rate Engine'!$Q$17:$Q$64))</f>
        <v/>
      </c>
      <c r="Y238" s="78" t="str">
        <f t="shared" si="43"/>
        <v/>
      </c>
    </row>
    <row r="239" spans="1:25" x14ac:dyDescent="0.3">
      <c r="A239" s="11"/>
      <c r="B239" s="11"/>
      <c r="C239" s="61"/>
      <c r="D239" s="29"/>
      <c r="E239" s="11"/>
      <c r="F239" s="11"/>
      <c r="G239" s="59"/>
      <c r="H239" s="71"/>
      <c r="J239" s="65" t="str">
        <f t="shared" si="33"/>
        <v/>
      </c>
      <c r="K239" s="72" t="str">
        <f t="shared" si="34"/>
        <v/>
      </c>
      <c r="L239" s="73">
        <f t="shared" si="35"/>
        <v>0</v>
      </c>
      <c r="M239" s="74" t="str">
        <f t="shared" si="36"/>
        <v/>
      </c>
      <c r="N239" s="75">
        <f t="shared" si="37"/>
        <v>0</v>
      </c>
      <c r="O239" s="75">
        <f t="shared" si="38"/>
        <v>0</v>
      </c>
      <c r="P239" s="75">
        <f>IF($C239="",0,COUNTIFS($J$7:$J239,$J239,$M$7:$M239,$M239,$C$7:$C239,$C239))</f>
        <v>0</v>
      </c>
      <c r="Q239" s="75">
        <f t="shared" si="39"/>
        <v>0</v>
      </c>
      <c r="R239" s="75">
        <f t="shared" si="40"/>
        <v>0</v>
      </c>
      <c r="S239" s="75">
        <f>IF($C239="",0,COUNTIFS(rl_key,$J239,rl_eff,"&lt;"&amp;$C239)+COUNTIFS($J$7:$J239,$J239,$C$7:$C239,$C239))</f>
        <v>0</v>
      </c>
      <c r="T239" s="75">
        <f>IF(OR($C239="",$E239&lt;&gt;"planned",$C239&lt;DATE(nr_PlanYear,1,1),$C239&gt;DATE(nr_PlanYear,12,31)),0,IF(AND(COUNTIFS(rl_key,$J239,rl_status,"planned",rl_eff,"&gt;="&amp;DATE(nr_PlanYear,1,1),rl_eff,"&lt;"&amp;$C239)=0,COUNTIFS($J$7:$J239,$J239,$E$7:$E239,"planned",$C$7:$C239,$C239)=1),1,0))</f>
        <v>0</v>
      </c>
      <c r="U239" s="75">
        <f>IF(OR($C239="",$E239&lt;&gt;"taken"),0,IF(AND(COUNTIFS(rl_key,$J239,rl_effmonth,$M239,rl_eff,"&lt;"&amp;$C239,rl_status,"taken")=0,COUNTIFS($J$7:$J239,$J239,$M$7:$M239,$M239,$C$7:$C239,$C239,$E$7:$E239,"taken")=1),1,0))</f>
        <v>0</v>
      </c>
      <c r="V239" s="66" t="str">
        <f t="shared" si="41"/>
        <v/>
      </c>
      <c r="W239" s="76" t="str">
        <f t="shared" si="42"/>
        <v/>
      </c>
      <c r="X239" s="77" t="str">
        <f>IF(OR($C239="",$J239&lt;&gt;nr_SelKey),"",(SUMPRODUCT(('Rate Engine'!$G$17:$G$64&gt;YEAR($C239)*12+MONTH($C239)-1)*'Rate Engine'!$H$17:$H$64,'Rate Engine'!$Q$17:$Q$64)+(EOMONTH($C239,0)-$C239+1)/DAY(EOMONTH($C239,0))*SUMPRODUCT(('Rate Engine'!$G$17:$G$64=YEAR($C239)*12+MONTH($C239)-1)*'Rate Engine'!$H$17:$H$64,'Rate Engine'!$Q$17:$Q$64))/SUMPRODUCT('Rate Engine'!$H$17:$H$64,'Rate Engine'!$Q$17:$Q$64))</f>
        <v/>
      </c>
      <c r="Y239" s="78" t="str">
        <f t="shared" si="43"/>
        <v/>
      </c>
    </row>
    <row r="240" spans="1:25" x14ac:dyDescent="0.3">
      <c r="A240" s="11"/>
      <c r="B240" s="11"/>
      <c r="C240" s="61"/>
      <c r="D240" s="29"/>
      <c r="E240" s="11"/>
      <c r="F240" s="11"/>
      <c r="G240" s="59"/>
      <c r="H240" s="71"/>
      <c r="J240" s="65" t="str">
        <f t="shared" si="33"/>
        <v/>
      </c>
      <c r="K240" s="72" t="str">
        <f t="shared" si="34"/>
        <v/>
      </c>
      <c r="L240" s="73">
        <f t="shared" si="35"/>
        <v>0</v>
      </c>
      <c r="M240" s="74" t="str">
        <f t="shared" si="36"/>
        <v/>
      </c>
      <c r="N240" s="75">
        <f t="shared" si="37"/>
        <v>0</v>
      </c>
      <c r="O240" s="75">
        <f t="shared" si="38"/>
        <v>0</v>
      </c>
      <c r="P240" s="75">
        <f>IF($C240="",0,COUNTIFS($J$7:$J240,$J240,$M$7:$M240,$M240,$C$7:$C240,$C240))</f>
        <v>0</v>
      </c>
      <c r="Q240" s="75">
        <f t="shared" si="39"/>
        <v>0</v>
      </c>
      <c r="R240" s="75">
        <f t="shared" si="40"/>
        <v>0</v>
      </c>
      <c r="S240" s="75">
        <f>IF($C240="",0,COUNTIFS(rl_key,$J240,rl_eff,"&lt;"&amp;$C240)+COUNTIFS($J$7:$J240,$J240,$C$7:$C240,$C240))</f>
        <v>0</v>
      </c>
      <c r="T240" s="75">
        <f>IF(OR($C240="",$E240&lt;&gt;"planned",$C240&lt;DATE(nr_PlanYear,1,1),$C240&gt;DATE(nr_PlanYear,12,31)),0,IF(AND(COUNTIFS(rl_key,$J240,rl_status,"planned",rl_eff,"&gt;="&amp;DATE(nr_PlanYear,1,1),rl_eff,"&lt;"&amp;$C240)=0,COUNTIFS($J$7:$J240,$J240,$E$7:$E240,"planned",$C$7:$C240,$C240)=1),1,0))</f>
        <v>0</v>
      </c>
      <c r="U240" s="75">
        <f>IF(OR($C240="",$E240&lt;&gt;"taken"),0,IF(AND(COUNTIFS(rl_key,$J240,rl_effmonth,$M240,rl_eff,"&lt;"&amp;$C240,rl_status,"taken")=0,COUNTIFS($J$7:$J240,$J240,$M$7:$M240,$M240,$C$7:$C240,$C240,$E$7:$E240,"taken")=1),1,0))</f>
        <v>0</v>
      </c>
      <c r="V240" s="66" t="str">
        <f t="shared" si="41"/>
        <v/>
      </c>
      <c r="W240" s="76" t="str">
        <f t="shared" si="42"/>
        <v/>
      </c>
      <c r="X240" s="77" t="str">
        <f>IF(OR($C240="",$J240&lt;&gt;nr_SelKey),"",(SUMPRODUCT(('Rate Engine'!$G$17:$G$64&gt;YEAR($C240)*12+MONTH($C240)-1)*'Rate Engine'!$H$17:$H$64,'Rate Engine'!$Q$17:$Q$64)+(EOMONTH($C240,0)-$C240+1)/DAY(EOMONTH($C240,0))*SUMPRODUCT(('Rate Engine'!$G$17:$G$64=YEAR($C240)*12+MONTH($C240)-1)*'Rate Engine'!$H$17:$H$64,'Rate Engine'!$Q$17:$Q$64))/SUMPRODUCT('Rate Engine'!$H$17:$H$64,'Rate Engine'!$Q$17:$Q$64))</f>
        <v/>
      </c>
      <c r="Y240" s="78" t="str">
        <f t="shared" si="43"/>
        <v/>
      </c>
    </row>
    <row r="241" spans="1:25" x14ac:dyDescent="0.3">
      <c r="A241" s="11"/>
      <c r="B241" s="11"/>
      <c r="C241" s="61"/>
      <c r="D241" s="29"/>
      <c r="E241" s="11"/>
      <c r="F241" s="11"/>
      <c r="G241" s="59"/>
      <c r="H241" s="71"/>
      <c r="J241" s="65" t="str">
        <f t="shared" si="33"/>
        <v/>
      </c>
      <c r="K241" s="72" t="str">
        <f t="shared" si="34"/>
        <v/>
      </c>
      <c r="L241" s="73">
        <f t="shared" si="35"/>
        <v>0</v>
      </c>
      <c r="M241" s="74" t="str">
        <f t="shared" si="36"/>
        <v/>
      </c>
      <c r="N241" s="75">
        <f t="shared" si="37"/>
        <v>0</v>
      </c>
      <c r="O241" s="75">
        <f t="shared" si="38"/>
        <v>0</v>
      </c>
      <c r="P241" s="75">
        <f>IF($C241="",0,COUNTIFS($J$7:$J241,$J241,$M$7:$M241,$M241,$C$7:$C241,$C241))</f>
        <v>0</v>
      </c>
      <c r="Q241" s="75">
        <f t="shared" si="39"/>
        <v>0</v>
      </c>
      <c r="R241" s="75">
        <f t="shared" si="40"/>
        <v>0</v>
      </c>
      <c r="S241" s="75">
        <f>IF($C241="",0,COUNTIFS(rl_key,$J241,rl_eff,"&lt;"&amp;$C241)+COUNTIFS($J$7:$J241,$J241,$C$7:$C241,$C241))</f>
        <v>0</v>
      </c>
      <c r="T241" s="75">
        <f>IF(OR($C241="",$E241&lt;&gt;"planned",$C241&lt;DATE(nr_PlanYear,1,1),$C241&gt;DATE(nr_PlanYear,12,31)),0,IF(AND(COUNTIFS(rl_key,$J241,rl_status,"planned",rl_eff,"&gt;="&amp;DATE(nr_PlanYear,1,1),rl_eff,"&lt;"&amp;$C241)=0,COUNTIFS($J$7:$J241,$J241,$E$7:$E241,"planned",$C$7:$C241,$C241)=1),1,0))</f>
        <v>0</v>
      </c>
      <c r="U241" s="75">
        <f>IF(OR($C241="",$E241&lt;&gt;"taken"),0,IF(AND(COUNTIFS(rl_key,$J241,rl_effmonth,$M241,rl_eff,"&lt;"&amp;$C241,rl_status,"taken")=0,COUNTIFS($J$7:$J241,$J241,$M$7:$M241,$M241,$C$7:$C241,$C241,$E$7:$E241,"taken")=1),1,0))</f>
        <v>0</v>
      </c>
      <c r="V241" s="66" t="str">
        <f t="shared" si="41"/>
        <v/>
      </c>
      <c r="W241" s="76" t="str">
        <f t="shared" si="42"/>
        <v/>
      </c>
      <c r="X241" s="77" t="str">
        <f>IF(OR($C241="",$J241&lt;&gt;nr_SelKey),"",(SUMPRODUCT(('Rate Engine'!$G$17:$G$64&gt;YEAR($C241)*12+MONTH($C241)-1)*'Rate Engine'!$H$17:$H$64,'Rate Engine'!$Q$17:$Q$64)+(EOMONTH($C241,0)-$C241+1)/DAY(EOMONTH($C241,0))*SUMPRODUCT(('Rate Engine'!$G$17:$G$64=YEAR($C241)*12+MONTH($C241)-1)*'Rate Engine'!$H$17:$H$64,'Rate Engine'!$Q$17:$Q$64))/SUMPRODUCT('Rate Engine'!$H$17:$H$64,'Rate Engine'!$Q$17:$Q$64))</f>
        <v/>
      </c>
      <c r="Y241" s="78" t="str">
        <f t="shared" si="43"/>
        <v/>
      </c>
    </row>
    <row r="242" spans="1:25" x14ac:dyDescent="0.3">
      <c r="A242" s="11"/>
      <c r="B242" s="11"/>
      <c r="C242" s="61"/>
      <c r="D242" s="29"/>
      <c r="E242" s="11"/>
      <c r="F242" s="11"/>
      <c r="G242" s="59"/>
      <c r="H242" s="71"/>
      <c r="J242" s="65" t="str">
        <f t="shared" si="33"/>
        <v/>
      </c>
      <c r="K242" s="72" t="str">
        <f t="shared" si="34"/>
        <v/>
      </c>
      <c r="L242" s="73">
        <f t="shared" si="35"/>
        <v>0</v>
      </c>
      <c r="M242" s="74" t="str">
        <f t="shared" si="36"/>
        <v/>
      </c>
      <c r="N242" s="75">
        <f t="shared" si="37"/>
        <v>0</v>
      </c>
      <c r="O242" s="75">
        <f t="shared" si="38"/>
        <v>0</v>
      </c>
      <c r="P242" s="75">
        <f>IF($C242="",0,COUNTIFS($J$7:$J242,$J242,$M$7:$M242,$M242,$C$7:$C242,$C242))</f>
        <v>0</v>
      </c>
      <c r="Q242" s="75">
        <f t="shared" si="39"/>
        <v>0</v>
      </c>
      <c r="R242" s="75">
        <f t="shared" si="40"/>
        <v>0</v>
      </c>
      <c r="S242" s="75">
        <f>IF($C242="",0,COUNTIFS(rl_key,$J242,rl_eff,"&lt;"&amp;$C242)+COUNTIFS($J$7:$J242,$J242,$C$7:$C242,$C242))</f>
        <v>0</v>
      </c>
      <c r="T242" s="75">
        <f>IF(OR($C242="",$E242&lt;&gt;"planned",$C242&lt;DATE(nr_PlanYear,1,1),$C242&gt;DATE(nr_PlanYear,12,31)),0,IF(AND(COUNTIFS(rl_key,$J242,rl_status,"planned",rl_eff,"&gt;="&amp;DATE(nr_PlanYear,1,1),rl_eff,"&lt;"&amp;$C242)=0,COUNTIFS($J$7:$J242,$J242,$E$7:$E242,"planned",$C$7:$C242,$C242)=1),1,0))</f>
        <v>0</v>
      </c>
      <c r="U242" s="75">
        <f>IF(OR($C242="",$E242&lt;&gt;"taken"),0,IF(AND(COUNTIFS(rl_key,$J242,rl_effmonth,$M242,rl_eff,"&lt;"&amp;$C242,rl_status,"taken")=0,COUNTIFS($J$7:$J242,$J242,$M$7:$M242,$M242,$C$7:$C242,$C242,$E$7:$E242,"taken")=1),1,0))</f>
        <v>0</v>
      </c>
      <c r="V242" s="66" t="str">
        <f t="shared" si="41"/>
        <v/>
      </c>
      <c r="W242" s="76" t="str">
        <f t="shared" si="42"/>
        <v/>
      </c>
      <c r="X242" s="77" t="str">
        <f>IF(OR($C242="",$J242&lt;&gt;nr_SelKey),"",(SUMPRODUCT(('Rate Engine'!$G$17:$G$64&gt;YEAR($C242)*12+MONTH($C242)-1)*'Rate Engine'!$H$17:$H$64,'Rate Engine'!$Q$17:$Q$64)+(EOMONTH($C242,0)-$C242+1)/DAY(EOMONTH($C242,0))*SUMPRODUCT(('Rate Engine'!$G$17:$G$64=YEAR($C242)*12+MONTH($C242)-1)*'Rate Engine'!$H$17:$H$64,'Rate Engine'!$Q$17:$Q$64))/SUMPRODUCT('Rate Engine'!$H$17:$H$64,'Rate Engine'!$Q$17:$Q$64))</f>
        <v/>
      </c>
      <c r="Y242" s="78" t="str">
        <f t="shared" si="43"/>
        <v/>
      </c>
    </row>
    <row r="243" spans="1:25" x14ac:dyDescent="0.3">
      <c r="A243" s="11"/>
      <c r="B243" s="11"/>
      <c r="C243" s="61"/>
      <c r="D243" s="29"/>
      <c r="E243" s="11"/>
      <c r="F243" s="11"/>
      <c r="G243" s="59"/>
      <c r="H243" s="71"/>
      <c r="J243" s="65" t="str">
        <f t="shared" si="33"/>
        <v/>
      </c>
      <c r="K243" s="72" t="str">
        <f t="shared" si="34"/>
        <v/>
      </c>
      <c r="L243" s="73">
        <f t="shared" si="35"/>
        <v>0</v>
      </c>
      <c r="M243" s="74" t="str">
        <f t="shared" si="36"/>
        <v/>
      </c>
      <c r="N243" s="75">
        <f t="shared" si="37"/>
        <v>0</v>
      </c>
      <c r="O243" s="75">
        <f t="shared" si="38"/>
        <v>0</v>
      </c>
      <c r="P243" s="75">
        <f>IF($C243="",0,COUNTIFS($J$7:$J243,$J243,$M$7:$M243,$M243,$C$7:$C243,$C243))</f>
        <v>0</v>
      </c>
      <c r="Q243" s="75">
        <f t="shared" si="39"/>
        <v>0</v>
      </c>
      <c r="R243" s="75">
        <f t="shared" si="40"/>
        <v>0</v>
      </c>
      <c r="S243" s="75">
        <f>IF($C243="",0,COUNTIFS(rl_key,$J243,rl_eff,"&lt;"&amp;$C243)+COUNTIFS($J$7:$J243,$J243,$C$7:$C243,$C243))</f>
        <v>0</v>
      </c>
      <c r="T243" s="75">
        <f>IF(OR($C243="",$E243&lt;&gt;"planned",$C243&lt;DATE(nr_PlanYear,1,1),$C243&gt;DATE(nr_PlanYear,12,31)),0,IF(AND(COUNTIFS(rl_key,$J243,rl_status,"planned",rl_eff,"&gt;="&amp;DATE(nr_PlanYear,1,1),rl_eff,"&lt;"&amp;$C243)=0,COUNTIFS($J$7:$J243,$J243,$E$7:$E243,"planned",$C$7:$C243,$C243)=1),1,0))</f>
        <v>0</v>
      </c>
      <c r="U243" s="75">
        <f>IF(OR($C243="",$E243&lt;&gt;"taken"),0,IF(AND(COUNTIFS(rl_key,$J243,rl_effmonth,$M243,rl_eff,"&lt;"&amp;$C243,rl_status,"taken")=0,COUNTIFS($J$7:$J243,$J243,$M$7:$M243,$M243,$C$7:$C243,$C243,$E$7:$E243,"taken")=1),1,0))</f>
        <v>0</v>
      </c>
      <c r="V243" s="66" t="str">
        <f t="shared" si="41"/>
        <v/>
      </c>
      <c r="W243" s="76" t="str">
        <f t="shared" si="42"/>
        <v/>
      </c>
      <c r="X243" s="77" t="str">
        <f>IF(OR($C243="",$J243&lt;&gt;nr_SelKey),"",(SUMPRODUCT(('Rate Engine'!$G$17:$G$64&gt;YEAR($C243)*12+MONTH($C243)-1)*'Rate Engine'!$H$17:$H$64,'Rate Engine'!$Q$17:$Q$64)+(EOMONTH($C243,0)-$C243+1)/DAY(EOMONTH($C243,0))*SUMPRODUCT(('Rate Engine'!$G$17:$G$64=YEAR($C243)*12+MONTH($C243)-1)*'Rate Engine'!$H$17:$H$64,'Rate Engine'!$Q$17:$Q$64))/SUMPRODUCT('Rate Engine'!$H$17:$H$64,'Rate Engine'!$Q$17:$Q$64))</f>
        <v/>
      </c>
      <c r="Y243" s="78" t="str">
        <f t="shared" si="43"/>
        <v/>
      </c>
    </row>
    <row r="244" spans="1:25" x14ac:dyDescent="0.3">
      <c r="A244" s="11"/>
      <c r="B244" s="11"/>
      <c r="C244" s="61"/>
      <c r="D244" s="29"/>
      <c r="E244" s="11"/>
      <c r="F244" s="11"/>
      <c r="G244" s="59"/>
      <c r="H244" s="71"/>
      <c r="J244" s="65" t="str">
        <f t="shared" si="33"/>
        <v/>
      </c>
      <c r="K244" s="72" t="str">
        <f t="shared" si="34"/>
        <v/>
      </c>
      <c r="L244" s="73">
        <f t="shared" si="35"/>
        <v>0</v>
      </c>
      <c r="M244" s="74" t="str">
        <f t="shared" si="36"/>
        <v/>
      </c>
      <c r="N244" s="75">
        <f t="shared" si="37"/>
        <v>0</v>
      </c>
      <c r="O244" s="75">
        <f t="shared" si="38"/>
        <v>0</v>
      </c>
      <c r="P244" s="75">
        <f>IF($C244="",0,COUNTIFS($J$7:$J244,$J244,$M$7:$M244,$M244,$C$7:$C244,$C244))</f>
        <v>0</v>
      </c>
      <c r="Q244" s="75">
        <f t="shared" si="39"/>
        <v>0</v>
      </c>
      <c r="R244" s="75">
        <f t="shared" si="40"/>
        <v>0</v>
      </c>
      <c r="S244" s="75">
        <f>IF($C244="",0,COUNTIFS(rl_key,$J244,rl_eff,"&lt;"&amp;$C244)+COUNTIFS($J$7:$J244,$J244,$C$7:$C244,$C244))</f>
        <v>0</v>
      </c>
      <c r="T244" s="75">
        <f>IF(OR($C244="",$E244&lt;&gt;"planned",$C244&lt;DATE(nr_PlanYear,1,1),$C244&gt;DATE(nr_PlanYear,12,31)),0,IF(AND(COUNTIFS(rl_key,$J244,rl_status,"planned",rl_eff,"&gt;="&amp;DATE(nr_PlanYear,1,1),rl_eff,"&lt;"&amp;$C244)=0,COUNTIFS($J$7:$J244,$J244,$E$7:$E244,"planned",$C$7:$C244,$C244)=1),1,0))</f>
        <v>0</v>
      </c>
      <c r="U244" s="75">
        <f>IF(OR($C244="",$E244&lt;&gt;"taken"),0,IF(AND(COUNTIFS(rl_key,$J244,rl_effmonth,$M244,rl_eff,"&lt;"&amp;$C244,rl_status,"taken")=0,COUNTIFS($J$7:$J244,$J244,$M$7:$M244,$M244,$C$7:$C244,$C244,$E$7:$E244,"taken")=1),1,0))</f>
        <v>0</v>
      </c>
      <c r="V244" s="66" t="str">
        <f t="shared" si="41"/>
        <v/>
      </c>
      <c r="W244" s="76" t="str">
        <f t="shared" si="42"/>
        <v/>
      </c>
      <c r="X244" s="77" t="str">
        <f>IF(OR($C244="",$J244&lt;&gt;nr_SelKey),"",(SUMPRODUCT(('Rate Engine'!$G$17:$G$64&gt;YEAR($C244)*12+MONTH($C244)-1)*'Rate Engine'!$H$17:$H$64,'Rate Engine'!$Q$17:$Q$64)+(EOMONTH($C244,0)-$C244+1)/DAY(EOMONTH($C244,0))*SUMPRODUCT(('Rate Engine'!$G$17:$G$64=YEAR($C244)*12+MONTH($C244)-1)*'Rate Engine'!$H$17:$H$64,'Rate Engine'!$Q$17:$Q$64))/SUMPRODUCT('Rate Engine'!$H$17:$H$64,'Rate Engine'!$Q$17:$Q$64))</f>
        <v/>
      </c>
      <c r="Y244" s="78" t="str">
        <f t="shared" si="43"/>
        <v/>
      </c>
    </row>
    <row r="245" spans="1:25" x14ac:dyDescent="0.3">
      <c r="A245" s="11"/>
      <c r="B245" s="11"/>
      <c r="C245" s="61"/>
      <c r="D245" s="29"/>
      <c r="E245" s="11"/>
      <c r="F245" s="11"/>
      <c r="G245" s="59"/>
      <c r="H245" s="71"/>
      <c r="J245" s="65" t="str">
        <f t="shared" si="33"/>
        <v/>
      </c>
      <c r="K245" s="72" t="str">
        <f t="shared" si="34"/>
        <v/>
      </c>
      <c r="L245" s="73">
        <f t="shared" si="35"/>
        <v>0</v>
      </c>
      <c r="M245" s="74" t="str">
        <f t="shared" si="36"/>
        <v/>
      </c>
      <c r="N245" s="75">
        <f t="shared" si="37"/>
        <v>0</v>
      </c>
      <c r="O245" s="75">
        <f t="shared" si="38"/>
        <v>0</v>
      </c>
      <c r="P245" s="75">
        <f>IF($C245="",0,COUNTIFS($J$7:$J245,$J245,$M$7:$M245,$M245,$C$7:$C245,$C245))</f>
        <v>0</v>
      </c>
      <c r="Q245" s="75">
        <f t="shared" si="39"/>
        <v>0</v>
      </c>
      <c r="R245" s="75">
        <f t="shared" si="40"/>
        <v>0</v>
      </c>
      <c r="S245" s="75">
        <f>IF($C245="",0,COUNTIFS(rl_key,$J245,rl_eff,"&lt;"&amp;$C245)+COUNTIFS($J$7:$J245,$J245,$C$7:$C245,$C245))</f>
        <v>0</v>
      </c>
      <c r="T245" s="75">
        <f>IF(OR($C245="",$E245&lt;&gt;"planned",$C245&lt;DATE(nr_PlanYear,1,1),$C245&gt;DATE(nr_PlanYear,12,31)),0,IF(AND(COUNTIFS(rl_key,$J245,rl_status,"planned",rl_eff,"&gt;="&amp;DATE(nr_PlanYear,1,1),rl_eff,"&lt;"&amp;$C245)=0,COUNTIFS($J$7:$J245,$J245,$E$7:$E245,"planned",$C$7:$C245,$C245)=1),1,0))</f>
        <v>0</v>
      </c>
      <c r="U245" s="75">
        <f>IF(OR($C245="",$E245&lt;&gt;"taken"),0,IF(AND(COUNTIFS(rl_key,$J245,rl_effmonth,$M245,rl_eff,"&lt;"&amp;$C245,rl_status,"taken")=0,COUNTIFS($J$7:$J245,$J245,$M$7:$M245,$M245,$C$7:$C245,$C245,$E$7:$E245,"taken")=1),1,0))</f>
        <v>0</v>
      </c>
      <c r="V245" s="66" t="str">
        <f t="shared" si="41"/>
        <v/>
      </c>
      <c r="W245" s="76" t="str">
        <f t="shared" si="42"/>
        <v/>
      </c>
      <c r="X245" s="77" t="str">
        <f>IF(OR($C245="",$J245&lt;&gt;nr_SelKey),"",(SUMPRODUCT(('Rate Engine'!$G$17:$G$64&gt;YEAR($C245)*12+MONTH($C245)-1)*'Rate Engine'!$H$17:$H$64,'Rate Engine'!$Q$17:$Q$64)+(EOMONTH($C245,0)-$C245+1)/DAY(EOMONTH($C245,0))*SUMPRODUCT(('Rate Engine'!$G$17:$G$64=YEAR($C245)*12+MONTH($C245)-1)*'Rate Engine'!$H$17:$H$64,'Rate Engine'!$Q$17:$Q$64))/SUMPRODUCT('Rate Engine'!$H$17:$H$64,'Rate Engine'!$Q$17:$Q$64))</f>
        <v/>
      </c>
      <c r="Y245" s="78" t="str">
        <f t="shared" si="43"/>
        <v/>
      </c>
    </row>
    <row r="246" spans="1:25" x14ac:dyDescent="0.3">
      <c r="A246" s="11"/>
      <c r="B246" s="11"/>
      <c r="C246" s="61"/>
      <c r="D246" s="29"/>
      <c r="E246" s="11"/>
      <c r="F246" s="11"/>
      <c r="G246" s="59"/>
      <c r="H246" s="71"/>
      <c r="J246" s="65" t="str">
        <f t="shared" si="33"/>
        <v/>
      </c>
      <c r="K246" s="72" t="str">
        <f t="shared" si="34"/>
        <v/>
      </c>
      <c r="L246" s="73">
        <f t="shared" si="35"/>
        <v>0</v>
      </c>
      <c r="M246" s="74" t="str">
        <f t="shared" si="36"/>
        <v/>
      </c>
      <c r="N246" s="75">
        <f t="shared" si="37"/>
        <v>0</v>
      </c>
      <c r="O246" s="75">
        <f t="shared" si="38"/>
        <v>0</v>
      </c>
      <c r="P246" s="75">
        <f>IF($C246="",0,COUNTIFS($J$7:$J246,$J246,$M$7:$M246,$M246,$C$7:$C246,$C246))</f>
        <v>0</v>
      </c>
      <c r="Q246" s="75">
        <f t="shared" si="39"/>
        <v>0</v>
      </c>
      <c r="R246" s="75">
        <f t="shared" si="40"/>
        <v>0</v>
      </c>
      <c r="S246" s="75">
        <f>IF($C246="",0,COUNTIFS(rl_key,$J246,rl_eff,"&lt;"&amp;$C246)+COUNTIFS($J$7:$J246,$J246,$C$7:$C246,$C246))</f>
        <v>0</v>
      </c>
      <c r="T246" s="75">
        <f>IF(OR($C246="",$E246&lt;&gt;"planned",$C246&lt;DATE(nr_PlanYear,1,1),$C246&gt;DATE(nr_PlanYear,12,31)),0,IF(AND(COUNTIFS(rl_key,$J246,rl_status,"planned",rl_eff,"&gt;="&amp;DATE(nr_PlanYear,1,1),rl_eff,"&lt;"&amp;$C246)=0,COUNTIFS($J$7:$J246,$J246,$E$7:$E246,"planned",$C$7:$C246,$C246)=1),1,0))</f>
        <v>0</v>
      </c>
      <c r="U246" s="75">
        <f>IF(OR($C246="",$E246&lt;&gt;"taken"),0,IF(AND(COUNTIFS(rl_key,$J246,rl_effmonth,$M246,rl_eff,"&lt;"&amp;$C246,rl_status,"taken")=0,COUNTIFS($J$7:$J246,$J246,$M$7:$M246,$M246,$C$7:$C246,$C246,$E$7:$E246,"taken")=1),1,0))</f>
        <v>0</v>
      </c>
      <c r="V246" s="66" t="str">
        <f t="shared" si="41"/>
        <v/>
      </c>
      <c r="W246" s="76" t="str">
        <f t="shared" si="42"/>
        <v/>
      </c>
      <c r="X246" s="77" t="str">
        <f>IF(OR($C246="",$J246&lt;&gt;nr_SelKey),"",(SUMPRODUCT(('Rate Engine'!$G$17:$G$64&gt;YEAR($C246)*12+MONTH($C246)-1)*'Rate Engine'!$H$17:$H$64,'Rate Engine'!$Q$17:$Q$64)+(EOMONTH($C246,0)-$C246+1)/DAY(EOMONTH($C246,0))*SUMPRODUCT(('Rate Engine'!$G$17:$G$64=YEAR($C246)*12+MONTH($C246)-1)*'Rate Engine'!$H$17:$H$64,'Rate Engine'!$Q$17:$Q$64))/SUMPRODUCT('Rate Engine'!$H$17:$H$64,'Rate Engine'!$Q$17:$Q$64))</f>
        <v/>
      </c>
      <c r="Y246" s="78" t="str">
        <f t="shared" si="43"/>
        <v/>
      </c>
    </row>
  </sheetData>
  <dataValidations count="7">
    <dataValidation type="list" allowBlank="1" showErrorMessage="1" sqref="A7:A246" xr:uid="{00000000-0002-0000-0300-000000000000}">
      <formula1>lst_bu</formula1>
    </dataValidation>
    <dataValidation type="list" allowBlank="1" showErrorMessage="1" sqref="B7:B246" xr:uid="{00000000-0002-0000-0300-000001000000}">
      <formula1>lst_state</formula1>
    </dataValidation>
    <dataValidation type="list" allowBlank="1" showErrorMessage="1" sqref="E7:E246" xr:uid="{00000000-0002-0000-0300-000002000000}">
      <formula1>lst_status</formula1>
    </dataValidation>
    <dataValidation type="list" allowBlank="1" showErrorMessage="1" sqref="F7:F246" xr:uid="{00000000-0002-0000-0300-000003000000}">
      <formula1>lst_yn</formula1>
    </dataValidation>
    <dataValidation type="decimal" allowBlank="1" showErrorMessage="1" error="Filed change must lie in [-50%, +200%] (decimal fraction)." sqref="D7:D246" xr:uid="{00000000-0002-0000-0300-000004000000}">
      <formula1>-0.5</formula1>
      <formula2>2</formula2>
    </dataValidation>
    <dataValidation type="decimal" allowBlank="1" showErrorMessage="1" error="Achievement must lie in [0%, 150%]." sqref="G7:G246" xr:uid="{00000000-0002-0000-0300-000005000000}">
      <formula1>0</formula1>
      <formula2>1.5</formula2>
    </dataValidation>
    <dataValidation type="date" allowBlank="1" showErrorMessage="1" error="Enter a real date." sqref="C7:C246" xr:uid="{00000000-0002-0000-0300-000006000000}">
      <formula1>DATE(1990,1,1)</formula1>
      <formula2>DATE(2100,12,31)</formula2>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C81"/>
  <sheetViews>
    <sheetView showGridLines="0" workbookViewId="0">
      <pane xSplit="3" ySplit="5" topLeftCell="D6" activePane="bottomRight" state="frozen"/>
      <selection pane="topRight"/>
      <selection pane="bottomLeft"/>
      <selection pane="bottomRight"/>
    </sheetView>
  </sheetViews>
  <sheetFormatPr defaultRowHeight="14.4" x14ac:dyDescent="0.3"/>
  <cols>
    <col min="1" max="1" width="9" customWidth="1"/>
    <col min="2" max="2" width="8" customWidth="1"/>
    <col min="3" max="3" width="4" customWidth="1"/>
    <col min="4" max="4" width="11" customWidth="1"/>
    <col min="5" max="5" width="10" customWidth="1"/>
    <col min="6" max="8" width="11" customWidth="1"/>
    <col min="9" max="10" width="10" customWidth="1"/>
    <col min="11" max="11" width="13" customWidth="1"/>
    <col min="12" max="12" width="12" customWidth="1"/>
    <col min="13" max="13" width="11" customWidth="1"/>
    <col min="14" max="14" width="12" customWidth="1"/>
    <col min="15" max="15" width="8" customWidth="1"/>
    <col min="16" max="16" width="11" customWidth="1"/>
    <col min="17" max="17" width="12" customWidth="1"/>
    <col min="20" max="20" width="12" customWidth="1"/>
    <col min="21" max="22" width="10" customWidth="1"/>
    <col min="23" max="23" width="13" customWidth="1"/>
  </cols>
  <sheetData>
    <row r="1" spans="1:29" ht="21" x14ac:dyDescent="0.3">
      <c r="A1" s="1" t="s">
        <v>254</v>
      </c>
    </row>
    <row r="2" spans="1:29" x14ac:dyDescent="0.3">
      <c r="A2" s="2" t="s">
        <v>255</v>
      </c>
    </row>
    <row r="3" spans="1:29" x14ac:dyDescent="0.3">
      <c r="A3" s="6" t="s">
        <v>154</v>
      </c>
      <c r="C3" s="19" t="str">
        <f>HYPERLINK("#Control!A1","Control")</f>
        <v>Control</v>
      </c>
      <c r="E3" s="19" t="str">
        <f>HYPERLINK("#Inputs!A1","Inputs")</f>
        <v>Inputs</v>
      </c>
      <c r="G3" s="19" t="str">
        <f>HYPERLINK("#'State Summary'!A1","State Summary")</f>
        <v>State Summary</v>
      </c>
      <c r="I3" s="19" t="str">
        <f>HYPERLINK("#Bridge!A1","Bridge")</f>
        <v>Bridge</v>
      </c>
      <c r="K3" s="19" t="str">
        <f>HYPERLINK("#Checks!A1","Checks")</f>
        <v>Checks</v>
      </c>
    </row>
    <row r="4" spans="1:29" ht="15.6" x14ac:dyDescent="0.3">
      <c r="T4" s="3" t="s">
        <v>256</v>
      </c>
    </row>
    <row r="5" spans="1:29" ht="42" customHeight="1" x14ac:dyDescent="0.3">
      <c r="A5" s="56" t="s">
        <v>162</v>
      </c>
      <c r="B5" s="56" t="s">
        <v>104</v>
      </c>
      <c r="C5" s="56" t="s">
        <v>179</v>
      </c>
      <c r="D5" s="56" t="s">
        <v>257</v>
      </c>
      <c r="E5" s="56" t="s">
        <v>258</v>
      </c>
      <c r="F5" s="56" t="s">
        <v>142</v>
      </c>
      <c r="G5" s="56" t="str">
        <f>"CY "&amp;nr_PlanYear&amp;" plan LR"</f>
        <v>CY 2027 plan LR</v>
      </c>
      <c r="H5" s="56" t="s">
        <v>181</v>
      </c>
      <c r="I5" s="56" t="s">
        <v>66</v>
      </c>
      <c r="J5" s="56" t="s">
        <v>146</v>
      </c>
      <c r="K5" s="56" t="s">
        <v>259</v>
      </c>
      <c r="L5" s="56" t="str">
        <f>"Carryover into "&amp;(nr_PlanYear+1)</f>
        <v>Carryover into 2028</v>
      </c>
      <c r="M5" s="56" t="str">
        <f>"CY "&amp;(nr_PlanYear+1)&amp;" plan LR"</f>
        <v>CY 2028 plan LR</v>
      </c>
      <c r="N5" s="56" t="s">
        <v>172</v>
      </c>
      <c r="O5" s="56" t="s">
        <v>260</v>
      </c>
      <c r="P5" s="56" t="s">
        <v>261</v>
      </c>
      <c r="Q5" s="56" t="s">
        <v>262</v>
      </c>
      <c r="T5" s="10" t="s">
        <v>263</v>
      </c>
      <c r="AA5" s="57" t="s">
        <v>264</v>
      </c>
      <c r="AB5" s="23" t="s">
        <v>265</v>
      </c>
      <c r="AC5" s="57" t="s">
        <v>266</v>
      </c>
    </row>
    <row r="6" spans="1:29" ht="24" x14ac:dyDescent="0.3">
      <c r="A6" s="79" t="str">
        <f>IF(INDEX(lr_key,1)="","",INDEX(lr_bu,1))</f>
        <v>ABD</v>
      </c>
      <c r="B6" s="79" t="str">
        <f>IF(INDEX(lr_key,1)="","",INDEX(lr_state,1))</f>
        <v>AZ</v>
      </c>
      <c r="C6" s="23" t="str">
        <f>INDEX(lr_key,1)</f>
        <v>ABD|AZ</v>
      </c>
      <c r="D6" s="80">
        <f>IF($C6="","",N(INDEX(lr_lrproj,1)))</f>
        <v>0.65</v>
      </c>
      <c r="E6" s="52" t="str">
        <f>IF($C6="","",INDEX(lr_basis,1)&amp;"")</f>
        <v>current</v>
      </c>
      <c r="F6" s="80">
        <f>IF($C6="","",INDEX(calc_lrcur,1))</f>
        <v>0.65</v>
      </c>
      <c r="G6" s="81">
        <f>IF($C6="","",INDEX(calc_cylr_p,1))</f>
        <v>0.61816313641421827</v>
      </c>
      <c r="H6" s="82">
        <f>IF($C6="","",(INDEX(calc_cylr_p,1)-INDEX(calc_lrcur,1))*100)</f>
        <v>-3.1836863585781749</v>
      </c>
      <c r="I6" s="83">
        <f>IF($C6="","",INDEX(calc_arate_p,1))</f>
        <v>0.97560975609756095</v>
      </c>
      <c r="J6" s="83">
        <f>IF($C6="","",INDEX(calc_amod_p,1))</f>
        <v>0.97479571511472884</v>
      </c>
      <c r="K6" s="84">
        <f>IF($C6="","",INDEX(calc_echg,1))</f>
        <v>2.5000000000000133E-2</v>
      </c>
      <c r="L6" s="84">
        <f>IF($C6="","",INDEX(calc_carry,1))</f>
        <v>2.4390243902439046E-2</v>
      </c>
      <c r="M6" s="80">
        <f>IF($C6="","",INDEX(calc_cylr_p1,1))</f>
        <v>0.59190316879792326</v>
      </c>
      <c r="N6" s="85">
        <f>IF($C6="","",N(INDEX(lr_ep,1)))</f>
        <v>6400</v>
      </c>
      <c r="O6" s="86">
        <f t="shared" ref="O6:O37" si="0">IF($C6="","",IF(SUM($N$6:$N$74)=0,0,N($N6)/SUM($N$6:$N$74)))</f>
        <v>7.9601990049751239E-3</v>
      </c>
      <c r="P6" s="80">
        <f>IF($C6="","",INDEX(calc_cylr_prog,1))</f>
        <v>0.61816313641421827</v>
      </c>
      <c r="Q6" s="87" t="str">
        <f>IF($C6="","",IF(INDEX(calc_netmode,1)=0,"—",INDEX(calc_proggap,1)))</f>
        <v>—</v>
      </c>
      <c r="T6" s="58" t="s">
        <v>267</v>
      </c>
      <c r="U6" s="58" t="s">
        <v>268</v>
      </c>
      <c r="V6" s="58" t="s">
        <v>269</v>
      </c>
      <c r="W6" s="58" t="s">
        <v>266</v>
      </c>
      <c r="AA6" s="88">
        <f t="shared" ref="AA6:AA37" si="1">IF($C6="","",RANK($H6,$H$6:$H$74))</f>
        <v>61</v>
      </c>
      <c r="AB6" s="6">
        <f t="shared" ref="AB6:AB37" si="2">IF($C6="","",$H6+ROW()/1000000000)</f>
        <v>-3.1836863525781749</v>
      </c>
      <c r="AC6" s="76">
        <f t="shared" ref="AC6:AC37" si="3">IF(OR($C6="",$O6=""),"",N($O6)*$H6)</f>
        <v>-2.5342776983706863E-2</v>
      </c>
    </row>
    <row r="7" spans="1:29" x14ac:dyDescent="0.3">
      <c r="A7" s="79" t="str">
        <f>IF(INDEX(lr_key,2)="","",INDEX(lr_bu,2))</f>
        <v>ABD</v>
      </c>
      <c r="B7" s="79" t="str">
        <f>IF(INDEX(lr_key,2)="","",INDEX(lr_state,2))</f>
        <v>CO</v>
      </c>
      <c r="C7" s="23" t="str">
        <f>INDEX(lr_key,2)</f>
        <v>ABD|CO</v>
      </c>
      <c r="D7" s="80">
        <f>IF($C7="","",N(INDEX(lr_lrproj,2)))</f>
        <v>0.58799999999999997</v>
      </c>
      <c r="E7" s="52" t="str">
        <f>IF($C7="","",INDEX(lr_basis,2)&amp;"")</f>
        <v>current</v>
      </c>
      <c r="F7" s="80">
        <f>IF($C7="","",INDEX(calc_lrcur,2))</f>
        <v>0.58799999999999997</v>
      </c>
      <c r="G7" s="81">
        <f>IF($C7="","",INDEX(calc_cylr_p,2))</f>
        <v>0.57775356429499869</v>
      </c>
      <c r="H7" s="82">
        <f>IF($C7="","",(INDEX(calc_cylr_p,2)-INDEX(calc_lrcur,2))*100)</f>
        <v>-1.0246435705001278</v>
      </c>
      <c r="I7" s="83">
        <f>IF($C7="","",INDEX(calc_arate_p,2))</f>
        <v>0.9740259740259738</v>
      </c>
      <c r="J7" s="83">
        <f>IF($C7="","",INDEX(calc_amod_p,2))</f>
        <v>1.0087760646420616</v>
      </c>
      <c r="K7" s="84">
        <f>IF($C7="","",INDEX(calc_echg,2))</f>
        <v>2.666666666666706E-2</v>
      </c>
      <c r="L7" s="84">
        <f>IF($C7="","",INDEX(calc_carry,2))</f>
        <v>1.2987012987013102E-2</v>
      </c>
      <c r="M7" s="80">
        <f>IF($C7="","",INDEX(calc_cylr_p1,2))</f>
        <v>0.56857971706612476</v>
      </c>
      <c r="N7" s="85">
        <f>IF($C7="","",N(INDEX(lr_ep,2)))</f>
        <v>16800</v>
      </c>
      <c r="O7" s="86">
        <f t="shared" si="0"/>
        <v>2.0895522388059702E-2</v>
      </c>
      <c r="P7" s="80">
        <f>IF($C7="","",INDEX(calc_cylr_prog,2))</f>
        <v>0.57775356429499869</v>
      </c>
      <c r="Q7" s="87" t="str">
        <f>IF($C7="","",IF(INDEX(calc_netmode,2)=0,"—",INDEX(calc_proggap,2)))</f>
        <v>—</v>
      </c>
      <c r="T7" s="89" t="str">
        <f t="shared" ref="T7:T16" si="4">IF($Y7=0,"",INDEX($C$6:$C$74,$Y7))</f>
        <v>ABD|OH</v>
      </c>
      <c r="U7" s="90">
        <f t="shared" ref="U7:U16" si="5">IF($Y7=0,"",INDEX($G$6:$G$74,$Y7))</f>
        <v>0.60926649552333734</v>
      </c>
      <c r="V7" s="87">
        <f t="shared" ref="V7:V16" si="6">IF($Y7=0,"",INDEX($H$6:$H$74,$Y7))</f>
        <v>0.92664955233373592</v>
      </c>
      <c r="W7" s="91">
        <f t="shared" ref="W7:W16" si="7">IF($Y7=0,"",INDEX($AC$6:$AC$74,$Y7))</f>
        <v>1.8440787111119121E-2</v>
      </c>
      <c r="Y7" s="43">
        <f>IF(COUNT($AB$6:$AB$74)&lt;1,0,MATCH(LARGE($AB$6:$AB$74,1),$AB$6:$AB$74,0))</f>
        <v>15</v>
      </c>
      <c r="AA7" s="88">
        <f t="shared" si="1"/>
        <v>59</v>
      </c>
      <c r="AB7" s="6">
        <f t="shared" si="2"/>
        <v>-1.0246435635001279</v>
      </c>
      <c r="AC7" s="76">
        <f t="shared" si="3"/>
        <v>-2.1410462667166851E-2</v>
      </c>
    </row>
    <row r="8" spans="1:29" x14ac:dyDescent="0.3">
      <c r="A8" s="79" t="str">
        <f>IF(INDEX(lr_key,3)="","",INDEX(lr_bu,3))</f>
        <v>ABD</v>
      </c>
      <c r="B8" s="79" t="str">
        <f>IF(INDEX(lr_key,3)="","",INDEX(lr_state,3))</f>
        <v>DE</v>
      </c>
      <c r="C8" s="23" t="str">
        <f>INDEX(lr_key,3)</f>
        <v>ABD|DE</v>
      </c>
      <c r="D8" s="80">
        <f>IF($C8="","",N(INDEX(lr_lrproj,3)))</f>
        <v>0.57199999999999995</v>
      </c>
      <c r="E8" s="52" t="str">
        <f>IF($C8="","",INDEX(lr_basis,3)&amp;"")</f>
        <v>current</v>
      </c>
      <c r="F8" s="80">
        <f>IF($C8="","",INDEX(calc_lrcur,3))</f>
        <v>0.57199999999999995</v>
      </c>
      <c r="G8" s="81">
        <f>IF($C8="","",INDEX(calc_cylr_p,3))</f>
        <v>0.57325552467805407</v>
      </c>
      <c r="H8" s="82">
        <f>IF($C8="","",(INDEX(calc_cylr_p,3)-INDEX(calc_lrcur,3))*100)</f>
        <v>0.12555246780541207</v>
      </c>
      <c r="I8" s="83">
        <f>IF($C8="","",INDEX(calc_arate_p,3))</f>
        <v>1</v>
      </c>
      <c r="J8" s="83">
        <f>IF($C8="","",INDEX(calc_amod_p,3))</f>
        <v>1.0021949732133812</v>
      </c>
      <c r="K8" s="84">
        <f>IF($C8="","",INDEX(calc_echg,3))</f>
        <v>0</v>
      </c>
      <c r="L8" s="84">
        <f>IF($C8="","",INDEX(calc_carry,3))</f>
        <v>0</v>
      </c>
      <c r="M8" s="80">
        <f>IF($C8="","",INDEX(calc_cylr_p1,3))</f>
        <v>0.56626323190648564</v>
      </c>
      <c r="N8" s="85">
        <f>IF($C8="","",N(INDEX(lr_ep,3)))</f>
        <v>13600</v>
      </c>
      <c r="O8" s="86">
        <f t="shared" si="0"/>
        <v>1.6915422885572139E-2</v>
      </c>
      <c r="P8" s="80">
        <f>IF($C8="","",INDEX(calc_cylr_prog,3))</f>
        <v>0.57325552467805407</v>
      </c>
      <c r="Q8" s="87" t="str">
        <f>IF($C8="","",IF(INDEX(calc_netmode,3)=0,"—",INDEX(calc_proggap,3)))</f>
        <v>—</v>
      </c>
      <c r="T8" s="89" t="str">
        <f t="shared" si="4"/>
        <v>MM|IN</v>
      </c>
      <c r="U8" s="90">
        <f t="shared" si="5"/>
        <v>0.60520471888651506</v>
      </c>
      <c r="V8" s="87">
        <f t="shared" si="6"/>
        <v>0.92047188865150842</v>
      </c>
      <c r="W8" s="91">
        <f t="shared" si="7"/>
        <v>1.3738386397783707E-2</v>
      </c>
      <c r="Y8" s="43">
        <f>IF(COUNT($AB$6:$AB$74)&lt;2,0,MATCH(LARGE($AB$6:$AB$74,2),$AB$6:$AB$74,0))</f>
        <v>29</v>
      </c>
      <c r="AA8" s="88">
        <f t="shared" si="1"/>
        <v>44</v>
      </c>
      <c r="AB8" s="6">
        <f t="shared" si="2"/>
        <v>0.12555247580541207</v>
      </c>
      <c r="AC8" s="76">
        <f t="shared" si="3"/>
        <v>2.1237730872557268E-3</v>
      </c>
    </row>
    <row r="9" spans="1:29" x14ac:dyDescent="0.3">
      <c r="A9" s="79" t="str">
        <f>IF(INDEX(lr_key,4)="","",INDEX(lr_bu,4))</f>
        <v>ABD</v>
      </c>
      <c r="B9" s="79" t="str">
        <f>IF(INDEX(lr_key,4)="","",INDEX(lr_state,4))</f>
        <v>FL</v>
      </c>
      <c r="C9" s="23" t="str">
        <f>INDEX(lr_key,4)</f>
        <v>ABD|FL</v>
      </c>
      <c r="D9" s="80">
        <f>IF($C9="","",N(INDEX(lr_lrproj,4)))</f>
        <v>0.6</v>
      </c>
      <c r="E9" s="52" t="str">
        <f>IF($C9="","",INDEX(lr_basis,4)&amp;"")</f>
        <v>current</v>
      </c>
      <c r="F9" s="80">
        <f>IF($C9="","",INDEX(calc_lrcur,4))</f>
        <v>0.6</v>
      </c>
      <c r="G9" s="81">
        <f>IF($C9="","",INDEX(calc_cylr_p,4))</f>
        <v>0.6</v>
      </c>
      <c r="H9" s="82">
        <f>IF($C9="","",(INDEX(calc_cylr_p,4)-INDEX(calc_lrcur,4))*100)</f>
        <v>0</v>
      </c>
      <c r="I9" s="83">
        <f>IF($C9="","",INDEX(calc_arate_p,4))</f>
        <v>1</v>
      </c>
      <c r="J9" s="83">
        <f>IF($C9="","",INDEX(calc_amod_p,4))</f>
        <v>1</v>
      </c>
      <c r="K9" s="84">
        <f>IF($C9="","",INDEX(calc_echg,4))</f>
        <v>0</v>
      </c>
      <c r="L9" s="84">
        <f>IF($C9="","",INDEX(calc_carry,4))</f>
        <v>0</v>
      </c>
      <c r="M9" s="80">
        <f>IF($C9="","",INDEX(calc_cylr_p1,4))</f>
        <v>0.6</v>
      </c>
      <c r="N9" s="85">
        <f>IF($C9="","",N(INDEX(lr_ep,4)))</f>
        <v>10400</v>
      </c>
      <c r="O9" s="86">
        <f t="shared" si="0"/>
        <v>1.2935323383084577E-2</v>
      </c>
      <c r="P9" s="80">
        <f>IF($C9="","",INDEX(calc_cylr_prog,4))</f>
        <v>0.6</v>
      </c>
      <c r="Q9" s="87" t="str">
        <f>IF($C9="","",IF(INDEX(calc_netmode,4)=0,"—",INDEX(calc_proggap,4)))</f>
        <v>—</v>
      </c>
      <c r="T9" s="89" t="str">
        <f t="shared" si="4"/>
        <v>SBA|AZ</v>
      </c>
      <c r="U9" s="90">
        <f t="shared" si="5"/>
        <v>0.601142942249693</v>
      </c>
      <c r="V9" s="87">
        <f t="shared" si="6"/>
        <v>0.91429422496930313</v>
      </c>
      <c r="W9" s="91">
        <f t="shared" si="7"/>
        <v>9.097454974818937E-3</v>
      </c>
      <c r="Y9" s="43">
        <f>IF(COUNT($AB$6:$AB$74)&lt;3,0,MATCH(LARGE($AB$6:$AB$74,3),$AB$6:$AB$74,0))</f>
        <v>43</v>
      </c>
      <c r="AA9" s="88">
        <f t="shared" si="1"/>
        <v>48</v>
      </c>
      <c r="AB9" s="6">
        <f t="shared" si="2"/>
        <v>8.9999999999999995E-9</v>
      </c>
      <c r="AC9" s="76">
        <f t="shared" si="3"/>
        <v>0</v>
      </c>
    </row>
    <row r="10" spans="1:29" x14ac:dyDescent="0.3">
      <c r="A10" s="79" t="str">
        <f>IF(INDEX(lr_key,5)="","",INDEX(lr_bu,5))</f>
        <v>ABD</v>
      </c>
      <c r="B10" s="79" t="str">
        <f>IF(INDEX(lr_key,5)="","",INDEX(lr_state,5))</f>
        <v>GA</v>
      </c>
      <c r="C10" s="23" t="str">
        <f>INDEX(lr_key,5)</f>
        <v>ABD|GA</v>
      </c>
      <c r="D10" s="80">
        <f>IF($C10="","",N(INDEX(lr_lrproj,5)))</f>
        <v>0.58399999999999996</v>
      </c>
      <c r="E10" s="52" t="str">
        <f>IF($C10="","",INDEX(lr_basis,5)&amp;"")</f>
        <v>current</v>
      </c>
      <c r="F10" s="80">
        <f>IF($C10="","",INDEX(calc_lrcur,5))</f>
        <v>0.58399999999999996</v>
      </c>
      <c r="G10" s="81">
        <f>IF($C10="","",INDEX(calc_cylr_p,5))</f>
        <v>0.58655739946937091</v>
      </c>
      <c r="H10" s="82">
        <f>IF($C10="","",(INDEX(calc_cylr_p,5)-INDEX(calc_lrcur,5))*100)</f>
        <v>0.25573994693709468</v>
      </c>
      <c r="I10" s="83">
        <f>IF($C10="","",INDEX(calc_arate_p,5))</f>
        <v>0.99999999999999978</v>
      </c>
      <c r="J10" s="83">
        <f>IF($C10="","",INDEX(calc_amod_p,5))</f>
        <v>1.0043791086804299</v>
      </c>
      <c r="K10" s="84">
        <f>IF($C10="","",INDEX(calc_echg,5))</f>
        <v>0</v>
      </c>
      <c r="L10" s="84">
        <f>IF($C10="","",INDEX(calc_carry,5))</f>
        <v>0</v>
      </c>
      <c r="M10" s="80">
        <f>IF($C10="","",INDEX(calc_cylr_p1,5))</f>
        <v>0.58116345769792543</v>
      </c>
      <c r="N10" s="85">
        <f>IF($C10="","",N(INDEX(lr_ep,5)))</f>
        <v>7200</v>
      </c>
      <c r="O10" s="86">
        <f t="shared" si="0"/>
        <v>8.9552238805970154E-3</v>
      </c>
      <c r="P10" s="80">
        <f>IF($C10="","",INDEX(calc_cylr_prog,5))</f>
        <v>0.58655739946937091</v>
      </c>
      <c r="Q10" s="87" t="str">
        <f>IF($C10="","",IF(INDEX(calc_netmode,5)=0,"—",INDEX(calc_proggap,5)))</f>
        <v>—</v>
      </c>
      <c r="T10" s="89" t="str">
        <f t="shared" si="4"/>
        <v>ABD|IN</v>
      </c>
      <c r="U10" s="90">
        <f t="shared" si="5"/>
        <v>0.58911496142080233</v>
      </c>
      <c r="V10" s="87">
        <f t="shared" si="6"/>
        <v>0.91149614208023699</v>
      </c>
      <c r="W10" s="91">
        <f t="shared" si="7"/>
        <v>1.2697458695645094E-2</v>
      </c>
      <c r="Y10" s="43">
        <f>IF(COUNT($AB$6:$AB$74)&lt;4,0,MATCH(LARGE($AB$6:$AB$74,4),$AB$6:$AB$74,0))</f>
        <v>8</v>
      </c>
      <c r="AA10" s="88">
        <f t="shared" si="1"/>
        <v>34</v>
      </c>
      <c r="AB10" s="6">
        <f t="shared" si="2"/>
        <v>0.25573995693709467</v>
      </c>
      <c r="AC10" s="76">
        <f t="shared" si="3"/>
        <v>2.290208480033684E-3</v>
      </c>
    </row>
    <row r="11" spans="1:29" x14ac:dyDescent="0.3">
      <c r="A11" s="79" t="str">
        <f>IF(INDEX(lr_key,6)="","",INDEX(lr_bu,6))</f>
        <v>ABD</v>
      </c>
      <c r="B11" s="79" t="str">
        <f>IF(INDEX(lr_key,6)="","",INDEX(lr_state,6))</f>
        <v>IA</v>
      </c>
      <c r="C11" s="23" t="str">
        <f>INDEX(lr_key,6)</f>
        <v>ABD|IA</v>
      </c>
      <c r="D11" s="80">
        <f>IF($C11="","",N(INDEX(lr_lrproj,6)))</f>
        <v>0.56799999999999995</v>
      </c>
      <c r="E11" s="52" t="str">
        <f>IF($C11="","",INDEX(lr_basis,6)&amp;"")</f>
        <v>current</v>
      </c>
      <c r="F11" s="80">
        <f>IF($C11="","",INDEX(calc_lrcur,6))</f>
        <v>0.56799999999999995</v>
      </c>
      <c r="G11" s="81">
        <f>IF($C11="","",INDEX(calc_cylr_p,6))</f>
        <v>0.56797977748384532</v>
      </c>
      <c r="H11" s="82">
        <f>IF($C11="","",(INDEX(calc_cylr_p,6)-INDEX(calc_lrcur,6))*100)</f>
        <v>-2.0222516154633219E-3</v>
      </c>
      <c r="I11" s="83">
        <f>IF($C11="","",INDEX(calc_arate_p,6))</f>
        <v>0.9868421052631583</v>
      </c>
      <c r="J11" s="83">
        <f>IF($C11="","",INDEX(calc_amod_p,6))</f>
        <v>1.013297255604982</v>
      </c>
      <c r="K11" s="84">
        <f>IF($C11="","",INDEX(calc_echg,6))</f>
        <v>1.3333333333332975E-2</v>
      </c>
      <c r="L11" s="84">
        <f>IF($C11="","",INDEX(calc_carry,6))</f>
        <v>2.6315789473684292E-2</v>
      </c>
      <c r="M11" s="80">
        <f>IF($C11="","",INDEX(calc_cylr_p1,6))</f>
        <v>0.55421018020661728</v>
      </c>
      <c r="N11" s="85">
        <f>IF($C11="","",N(INDEX(lr_ep,6)))</f>
        <v>17600</v>
      </c>
      <c r="O11" s="86">
        <f t="shared" si="0"/>
        <v>2.1890547263681594E-2</v>
      </c>
      <c r="P11" s="80">
        <f>IF($C11="","",INDEX(calc_cylr_prog,6))</f>
        <v>0.56797977748384532</v>
      </c>
      <c r="Q11" s="87" t="str">
        <f>IF($C11="","",IF(INDEX(calc_netmode,6)=0,"—",INDEX(calc_proggap,6)))</f>
        <v>—</v>
      </c>
      <c r="T11" s="89" t="str">
        <f t="shared" si="4"/>
        <v>SBA|OH</v>
      </c>
      <c r="U11" s="90">
        <f t="shared" si="5"/>
        <v>0.59708116561287061</v>
      </c>
      <c r="V11" s="87">
        <f t="shared" si="6"/>
        <v>0.90811656128706453</v>
      </c>
      <c r="W11" s="91">
        <f t="shared" si="7"/>
        <v>1.9879168505786488E-2</v>
      </c>
      <c r="Y11" s="43">
        <f>IF(COUNT($AB$6:$AB$74)&lt;5,0,MATCH(LARGE($AB$6:$AB$74,5),$AB$6:$AB$74,0))</f>
        <v>57</v>
      </c>
      <c r="AA11" s="88">
        <f t="shared" si="1"/>
        <v>49</v>
      </c>
      <c r="AB11" s="6">
        <f t="shared" si="2"/>
        <v>-2.022240615463322E-3</v>
      </c>
      <c r="AC11" s="76">
        <f t="shared" si="3"/>
        <v>-4.4268194567356303E-5</v>
      </c>
    </row>
    <row r="12" spans="1:29" x14ac:dyDescent="0.3">
      <c r="A12" s="79" t="str">
        <f>IF(INDEX(lr_key,7)="","",INDEX(lr_bu,7))</f>
        <v>ABD</v>
      </c>
      <c r="B12" s="79" t="str">
        <f>IF(INDEX(lr_key,7)="","",INDEX(lr_state,7))</f>
        <v>IL</v>
      </c>
      <c r="C12" s="23" t="str">
        <f>INDEX(lr_key,7)</f>
        <v>ABD|IL</v>
      </c>
      <c r="D12" s="80">
        <f>IF($C12="","",N(INDEX(lr_lrproj,7)))</f>
        <v>0.59599999999999997</v>
      </c>
      <c r="E12" s="52" t="str">
        <f>IF($C12="","",INDEX(lr_basis,7)&amp;"")</f>
        <v>current</v>
      </c>
      <c r="F12" s="80">
        <f>IF($C12="","",INDEX(calc_lrcur,7))</f>
        <v>0.59599999999999997</v>
      </c>
      <c r="G12" s="81">
        <f>IF($C12="","",INDEX(calc_cylr_p,7))</f>
        <v>0.59991737982397431</v>
      </c>
      <c r="H12" s="82">
        <f>IF($C12="","",(INDEX(calc_cylr_p,7)-INDEX(calc_lrcur,7))*100)</f>
        <v>0.39173798239743318</v>
      </c>
      <c r="I12" s="83">
        <f>IF($C12="","",INDEX(calc_arate_p,7))</f>
        <v>1</v>
      </c>
      <c r="J12" s="83">
        <f>IF($C12="","",INDEX(calc_amod_p,7))</f>
        <v>1.0065727849395543</v>
      </c>
      <c r="K12" s="84">
        <f>IF($C12="","",INDEX(calc_echg,7))</f>
        <v>0</v>
      </c>
      <c r="L12" s="84">
        <f>IF($C12="","",INDEX(calc_carry,7))</f>
        <v>0</v>
      </c>
      <c r="M12" s="80">
        <f>IF($C12="","",INDEX(calc_cylr_p1,7))</f>
        <v>0.59622019728689213</v>
      </c>
      <c r="N12" s="85">
        <f>IF($C12="","",N(INDEX(lr_ep,7)))</f>
        <v>14400</v>
      </c>
      <c r="O12" s="86">
        <f t="shared" si="0"/>
        <v>1.7910447761194031E-2</v>
      </c>
      <c r="P12" s="80">
        <f>IF($C12="","",INDEX(calc_cylr_prog,7))</f>
        <v>0.59991737982397431</v>
      </c>
      <c r="Q12" s="87" t="str">
        <f>IF($C12="","",IF(INDEX(calc_netmode,7)=0,"—",INDEX(calc_proggap,7)))</f>
        <v>—</v>
      </c>
      <c r="T12" s="89" t="str">
        <f t="shared" si="4"/>
        <v>MM|OH</v>
      </c>
      <c r="U12" s="90">
        <f t="shared" si="5"/>
        <v>0.58083405906558161</v>
      </c>
      <c r="V12" s="87">
        <f t="shared" si="6"/>
        <v>0.88340590655816564</v>
      </c>
      <c r="W12" s="91">
        <f t="shared" si="7"/>
        <v>1.8459227898230329E-2</v>
      </c>
      <c r="Y12" s="43">
        <f>IF(COUNT($AB$6:$AB$74)&lt;6,0,MATCH(LARGE($AB$6:$AB$74,6),$AB$6:$AB$74,0))</f>
        <v>36</v>
      </c>
      <c r="AA12" s="88">
        <f t="shared" si="1"/>
        <v>27</v>
      </c>
      <c r="AB12" s="6">
        <f t="shared" si="2"/>
        <v>0.39173799439743318</v>
      </c>
      <c r="AC12" s="76">
        <f t="shared" si="3"/>
        <v>7.0162026698047742E-3</v>
      </c>
    </row>
    <row r="13" spans="1:29" x14ac:dyDescent="0.3">
      <c r="A13" s="79" t="str">
        <f>IF(INDEX(lr_key,8)="","",INDEX(lr_bu,8))</f>
        <v>ABD</v>
      </c>
      <c r="B13" s="79" t="str">
        <f>IF(INDEX(lr_key,8)="","",INDEX(lr_state,8))</f>
        <v>IN</v>
      </c>
      <c r="C13" s="23" t="str">
        <f>INDEX(lr_key,8)</f>
        <v>ABD|IN</v>
      </c>
      <c r="D13" s="80">
        <f>IF($C13="","",N(INDEX(lr_lrproj,8)))</f>
        <v>0.57999999999999996</v>
      </c>
      <c r="E13" s="52" t="str">
        <f>IF($C13="","",INDEX(lr_basis,8)&amp;"")</f>
        <v>current</v>
      </c>
      <c r="F13" s="80">
        <f>IF($C13="","",INDEX(calc_lrcur,8))</f>
        <v>0.57999999999999996</v>
      </c>
      <c r="G13" s="81">
        <f>IF($C13="","",INDEX(calc_cylr_p,8))</f>
        <v>0.58911496142080233</v>
      </c>
      <c r="H13" s="82">
        <f>IF($C13="","",(INDEX(calc_cylr_p,8)-INDEX(calc_lrcur,8))*100)</f>
        <v>0.91149614208023699</v>
      </c>
      <c r="I13" s="83">
        <f>IF($C13="","",INDEX(calc_arate_p,8))</f>
        <v>1.0002671653753676</v>
      </c>
      <c r="J13" s="83">
        <f>IF($C13="","",INDEX(calc_amod_p,8))</f>
        <v>1.0154441592055623</v>
      </c>
      <c r="K13" s="84">
        <f>IF($C13="","",INDEX(calc_echg,8))</f>
        <v>-2.6709401709423819E-4</v>
      </c>
      <c r="L13" s="84">
        <f>IF($C13="","",INDEX(calc_carry,8))</f>
        <v>2.6716537536741747E-4</v>
      </c>
      <c r="M13" s="80">
        <f>IF($C13="","",INDEX(calc_cylr_p1,8))</f>
        <v>0.59266514046686603</v>
      </c>
      <c r="N13" s="85">
        <f>IF($C13="","",N(INDEX(lr_ep,8)))</f>
        <v>11200</v>
      </c>
      <c r="O13" s="86">
        <f t="shared" si="0"/>
        <v>1.3930348258706468E-2</v>
      </c>
      <c r="P13" s="80">
        <f>IF($C13="","",INDEX(calc_cylr_prog,8))</f>
        <v>0.58911496142080233</v>
      </c>
      <c r="Q13" s="87" t="str">
        <f>IF($C13="","",IF(INDEX(calc_netmode,8)=0,"—",INDEX(calc_proggap,8)))</f>
        <v>—</v>
      </c>
      <c r="T13" s="89" t="str">
        <f t="shared" si="4"/>
        <v>SBA|IA</v>
      </c>
      <c r="U13" s="90">
        <f t="shared" si="5"/>
        <v>0.6079270126423526</v>
      </c>
      <c r="V13" s="87">
        <f t="shared" si="6"/>
        <v>0.79270126423526266</v>
      </c>
      <c r="W13" s="91">
        <f t="shared" si="7"/>
        <v>1.8930179444424183E-2</v>
      </c>
      <c r="Y13" s="43">
        <f>IF(COUNT($AB$6:$AB$74)&lt;7,0,MATCH(LARGE($AB$6:$AB$74,7),$AB$6:$AB$74,0))</f>
        <v>48</v>
      </c>
      <c r="AA13" s="88">
        <f t="shared" si="1"/>
        <v>4</v>
      </c>
      <c r="AB13" s="6">
        <f t="shared" si="2"/>
        <v>0.91149615508023696</v>
      </c>
      <c r="AC13" s="76">
        <f t="shared" si="3"/>
        <v>1.2697458695645094E-2</v>
      </c>
    </row>
    <row r="14" spans="1:29" x14ac:dyDescent="0.3">
      <c r="A14" s="79" t="str">
        <f>IF(INDEX(lr_key,9)="","",INDEX(lr_bu,9))</f>
        <v>ABD</v>
      </c>
      <c r="B14" s="79" t="str">
        <f>IF(INDEX(lr_key,9)="","",INDEX(lr_state,9))</f>
        <v>KY</v>
      </c>
      <c r="C14" s="23" t="str">
        <f>INDEX(lr_key,9)</f>
        <v>ABD|KY</v>
      </c>
      <c r="D14" s="80">
        <f>IF($C14="","",N(INDEX(lr_lrproj,9)))</f>
        <v>0.56399999999999995</v>
      </c>
      <c r="E14" s="52" t="str">
        <f>IF($C14="","",INDEX(lr_basis,9)&amp;"")</f>
        <v>current</v>
      </c>
      <c r="F14" s="80">
        <f>IF($C14="","",INDEX(calc_lrcur,9))</f>
        <v>0.56399999999999995</v>
      </c>
      <c r="G14" s="81">
        <f>IF($C14="","",INDEX(calc_cylr_p,9))</f>
        <v>0.56894970045812265</v>
      </c>
      <c r="H14" s="82">
        <f>IF($C14="","",(INDEX(calc_cylr_p,9)-INDEX(calc_lrcur,9))*100)</f>
        <v>0.49497004581227078</v>
      </c>
      <c r="I14" s="83">
        <f>IF($C14="","",INDEX(calc_arate_p,9))</f>
        <v>1</v>
      </c>
      <c r="J14" s="83">
        <f>IF($C14="","",INDEX(calc_amod_p,9))</f>
        <v>1.0087760646420616</v>
      </c>
      <c r="K14" s="84">
        <f>IF($C14="","",INDEX(calc_echg,9))</f>
        <v>0</v>
      </c>
      <c r="L14" s="84">
        <f>IF($C14="","",INDEX(calc_carry,9))</f>
        <v>0</v>
      </c>
      <c r="M14" s="80">
        <f>IF($C14="","",INDEX(calc_cylr_p1,9))</f>
        <v>0.56718727694269777</v>
      </c>
      <c r="N14" s="85">
        <f>IF($C14="","",N(INDEX(lr_ep,9)))</f>
        <v>8000</v>
      </c>
      <c r="O14" s="86">
        <f t="shared" si="0"/>
        <v>9.9502487562189053E-3</v>
      </c>
      <c r="P14" s="80">
        <f>IF($C14="","",INDEX(calc_cylr_prog,9))</f>
        <v>0.56894970045812265</v>
      </c>
      <c r="Q14" s="87" t="str">
        <f>IF($C14="","",IF(INDEX(calc_netmode,9)=0,"—",INDEX(calc_proggap,9)))</f>
        <v>—</v>
      </c>
      <c r="T14" s="89" t="str">
        <f t="shared" si="4"/>
        <v>MM|CO</v>
      </c>
      <c r="U14" s="90">
        <f t="shared" si="5"/>
        <v>0.61272625215258147</v>
      </c>
      <c r="V14" s="87">
        <f t="shared" si="6"/>
        <v>0.7926252152581359</v>
      </c>
      <c r="W14" s="91">
        <f t="shared" si="7"/>
        <v>1.735099973699402E-2</v>
      </c>
      <c r="Y14" s="43">
        <f>IF(COUNT($AB$6:$AB$74)&lt;8,0,MATCH(LARGE($AB$6:$AB$74,8),$AB$6:$AB$74,0))</f>
        <v>23</v>
      </c>
      <c r="AA14" s="88">
        <f t="shared" si="1"/>
        <v>25</v>
      </c>
      <c r="AB14" s="6">
        <f t="shared" si="2"/>
        <v>0.49497005981227077</v>
      </c>
      <c r="AC14" s="76">
        <f t="shared" si="3"/>
        <v>4.9250750827091617E-3</v>
      </c>
    </row>
    <row r="15" spans="1:29" x14ac:dyDescent="0.3">
      <c r="A15" s="79" t="str">
        <f>IF(INDEX(lr_key,10)="","",INDEX(lr_bu,10))</f>
        <v>ABD</v>
      </c>
      <c r="B15" s="79" t="str">
        <f>IF(INDEX(lr_key,10)="","",INDEX(lr_state,10))</f>
        <v>MD</v>
      </c>
      <c r="C15" s="23" t="str">
        <f>INDEX(lr_key,10)</f>
        <v>ABD|MD</v>
      </c>
      <c r="D15" s="80">
        <f>IF($C15="","",N(INDEX(lr_lrproj,10)))</f>
        <v>0.59199999999999997</v>
      </c>
      <c r="E15" s="52" t="str">
        <f>IF($C15="","",INDEX(lr_basis,10)&amp;"")</f>
        <v>current</v>
      </c>
      <c r="F15" s="80">
        <f>IF($C15="","",INDEX(calc_lrcur,10))</f>
        <v>0.59199999999999997</v>
      </c>
      <c r="G15" s="81">
        <f>IF($C15="","",INDEX(calc_cylr_p,10))</f>
        <v>0.59391575180929357</v>
      </c>
      <c r="H15" s="82">
        <f>IF($C15="","",(INDEX(calc_cylr_p,10)-INDEX(calc_lrcur,10))*100)</f>
        <v>0.19157518092935977</v>
      </c>
      <c r="I15" s="83">
        <f>IF($C15="","",INDEX(calc_arate_p,10))</f>
        <v>1.0010388138634432</v>
      </c>
      <c r="J15" s="83">
        <f>IF($C15="","",INDEX(calc_amod_p,10))</f>
        <v>1.0021949732133812</v>
      </c>
      <c r="K15" s="84">
        <f>IF($C15="","",INDEX(calc_echg,10))</f>
        <v>-1.0377358490565314E-3</v>
      </c>
      <c r="L15" s="84">
        <f>IF($C15="","",INDEX(calc_carry,10))</f>
        <v>3.8577769383322247E-2</v>
      </c>
      <c r="M15" s="80">
        <f>IF($C15="","",INDEX(calc_cylr_p1,10))</f>
        <v>0.56487965841880439</v>
      </c>
      <c r="N15" s="85">
        <f>IF($C15="","",N(INDEX(lr_ep,10)))</f>
        <v>18400</v>
      </c>
      <c r="O15" s="86">
        <f t="shared" si="0"/>
        <v>2.2885572139303482E-2</v>
      </c>
      <c r="P15" s="80">
        <f>IF($C15="","",INDEX(calc_cylr_prog,10))</f>
        <v>0.59391575180929357</v>
      </c>
      <c r="Q15" s="87" t="str">
        <f>IF($C15="","",IF(INDEX(calc_netmode,10)=0,"—",INDEX(calc_proggap,10)))</f>
        <v>—</v>
      </c>
      <c r="T15" s="89" t="str">
        <f t="shared" si="4"/>
        <v>ABD|NM</v>
      </c>
      <c r="U15" s="90">
        <f t="shared" si="5"/>
        <v>0.59576847238950559</v>
      </c>
      <c r="V15" s="87">
        <f t="shared" si="6"/>
        <v>0.77684723895056207</v>
      </c>
      <c r="W15" s="91">
        <f t="shared" si="7"/>
        <v>8.5028056004539145E-3</v>
      </c>
      <c r="Y15" s="43">
        <f>IF(COUNT($AB$6:$AB$74)&lt;9,0,MATCH(LARGE($AB$6:$AB$74,9),$AB$6:$AB$74,0))</f>
        <v>13</v>
      </c>
      <c r="AA15" s="88">
        <f t="shared" si="1"/>
        <v>42</v>
      </c>
      <c r="AB15" s="6">
        <f t="shared" si="2"/>
        <v>0.19157519592935976</v>
      </c>
      <c r="AC15" s="76">
        <f t="shared" si="3"/>
        <v>4.3843076232589796E-3</v>
      </c>
    </row>
    <row r="16" spans="1:29" x14ac:dyDescent="0.3">
      <c r="A16" s="79" t="str">
        <f>IF(INDEX(lr_key,11)="","",INDEX(lr_bu,11))</f>
        <v>ABD</v>
      </c>
      <c r="B16" s="79" t="str">
        <f>IF(INDEX(lr_key,11)="","",INDEX(lr_state,11))</f>
        <v>MI</v>
      </c>
      <c r="C16" s="23" t="str">
        <f>INDEX(lr_key,11)</f>
        <v>ABD|MI</v>
      </c>
      <c r="D16" s="80">
        <f>IF($C16="","",N(INDEX(lr_lrproj,11)))</f>
        <v>0.57599999999999996</v>
      </c>
      <c r="E16" s="52" t="str">
        <f>IF($C16="","",INDEX(lr_basis,11)&amp;"")</f>
        <v>current</v>
      </c>
      <c r="F16" s="80">
        <f>IF($C16="","",INDEX(calc_lrcur,11))</f>
        <v>0.57599999999999996</v>
      </c>
      <c r="G16" s="81">
        <f>IF($C16="","",INDEX(calc_cylr_p,11))</f>
        <v>0.58360113249196222</v>
      </c>
      <c r="H16" s="82">
        <f>IF($C16="","",(INDEX(calc_cylr_p,11)-INDEX(calc_lrcur,11))*100)</f>
        <v>0.76011324919622592</v>
      </c>
      <c r="I16" s="83">
        <f>IF($C16="","",INDEX(calc_arate_p,11))</f>
        <v>1.0021834061135371</v>
      </c>
      <c r="J16" s="83">
        <f>IF($C16="","",INDEX(calc_amod_p,11))</f>
        <v>1.0109890109890112</v>
      </c>
      <c r="K16" s="84">
        <f>IF($C16="","",INDEX(calc_echg,11))</f>
        <v>-2.1786492374726851E-3</v>
      </c>
      <c r="L16" s="84">
        <f>IF($C16="","",INDEX(calc_carry,11))</f>
        <v>2.1834061135372895E-3</v>
      </c>
      <c r="M16" s="80">
        <f>IF($C16="","",INDEX(calc_cylr_p1,11))</f>
        <v>0.58232967032967031</v>
      </c>
      <c r="N16" s="85">
        <f>IF($C16="","",N(INDEX(lr_ep,11)))</f>
        <v>15200</v>
      </c>
      <c r="O16" s="86">
        <f t="shared" si="0"/>
        <v>1.8905472636815919E-2</v>
      </c>
      <c r="P16" s="80">
        <f>IF($C16="","",INDEX(calc_cylr_prog,11))</f>
        <v>0.58360113249196222</v>
      </c>
      <c r="Q16" s="87" t="str">
        <f>IF($C16="","",IF(INDEX(calc_netmode,11)=0,"—",INDEX(calc_proggap,11)))</f>
        <v>—</v>
      </c>
      <c r="T16" s="89" t="str">
        <f t="shared" si="4"/>
        <v>MM|IA</v>
      </c>
      <c r="U16" s="90">
        <f t="shared" si="5"/>
        <v>0.59171562563855651</v>
      </c>
      <c r="V16" s="87">
        <f t="shared" si="6"/>
        <v>0.77156256385565447</v>
      </c>
      <c r="W16" s="91">
        <f t="shared" si="7"/>
        <v>1.7657650715104528E-2</v>
      </c>
      <c r="Y16" s="43">
        <f>IF(COUNT($AB$6:$AB$74)&lt;10,0,MATCH(LARGE($AB$6:$AB$74,10),$AB$6:$AB$74,0))</f>
        <v>27</v>
      </c>
      <c r="AA16" s="88">
        <f t="shared" si="1"/>
        <v>15</v>
      </c>
      <c r="AB16" s="6">
        <f t="shared" si="2"/>
        <v>0.76011326519622591</v>
      </c>
      <c r="AC16" s="76">
        <f t="shared" si="3"/>
        <v>1.4370300233560489E-2</v>
      </c>
    </row>
    <row r="17" spans="1:29" x14ac:dyDescent="0.3">
      <c r="A17" s="79" t="str">
        <f>IF(INDEX(lr_key,12)="","",INDEX(lr_bu,12))</f>
        <v>ABD</v>
      </c>
      <c r="B17" s="79" t="str">
        <f>IF(INDEX(lr_key,12)="","",INDEX(lr_state,12))</f>
        <v>MN</v>
      </c>
      <c r="C17" s="23" t="str">
        <f>INDEX(lr_key,12)</f>
        <v>ABD|MN</v>
      </c>
      <c r="D17" s="80">
        <f>IF($C17="","",N(INDEX(lr_lrproj,12)))</f>
        <v>0.56000000000000005</v>
      </c>
      <c r="E17" s="52" t="str">
        <f>IF($C17="","",INDEX(lr_basis,12)&amp;"")</f>
        <v>current</v>
      </c>
      <c r="F17" s="80">
        <f>IF($C17="","",INDEX(calc_lrcur,12))</f>
        <v>0.56000000000000005</v>
      </c>
      <c r="G17" s="81">
        <f>IF($C17="","",INDEX(calc_cylr_p,12))</f>
        <v>0.56245230086104081</v>
      </c>
      <c r="H17" s="82">
        <f>IF($C17="","",(INDEX(calc_cylr_p,12)-INDEX(calc_lrcur,12))*100)</f>
        <v>0.24523008610407571</v>
      </c>
      <c r="I17" s="83">
        <f>IF($C17="","",INDEX(calc_arate_p,12))</f>
        <v>1</v>
      </c>
      <c r="J17" s="83">
        <f>IF($C17="","",INDEX(calc_amod_p,12))</f>
        <v>1.0043791086804299</v>
      </c>
      <c r="K17" s="84">
        <f>IF($C17="","",INDEX(calc_echg,12))</f>
        <v>0</v>
      </c>
      <c r="L17" s="84">
        <f>IF($C17="","",INDEX(calc_carry,12))</f>
        <v>0</v>
      </c>
      <c r="M17" s="80">
        <f>IF($C17="","",INDEX(calc_cylr_p1,12))</f>
        <v>0.5572800279295177</v>
      </c>
      <c r="N17" s="85">
        <f>IF($C17="","",N(INDEX(lr_ep,12)))</f>
        <v>12000</v>
      </c>
      <c r="O17" s="86">
        <f t="shared" si="0"/>
        <v>1.4925373134328358E-2</v>
      </c>
      <c r="P17" s="80">
        <f>IF($C17="","",INDEX(calc_cylr_prog,12))</f>
        <v>0.56245230086104081</v>
      </c>
      <c r="Q17" s="87" t="str">
        <f>IF($C17="","",IF(INDEX(calc_netmode,12)=0,"—",INDEX(calc_proggap,12)))</f>
        <v>—</v>
      </c>
      <c r="AA17" s="88">
        <f t="shared" si="1"/>
        <v>39</v>
      </c>
      <c r="AB17" s="6">
        <f t="shared" si="2"/>
        <v>0.2452301031040757</v>
      </c>
      <c r="AC17" s="76">
        <f t="shared" si="3"/>
        <v>3.6601505388668015E-3</v>
      </c>
    </row>
    <row r="18" spans="1:29" x14ac:dyDescent="0.3">
      <c r="A18" s="79" t="str">
        <f>IF(INDEX(lr_key,13)="","",INDEX(lr_bu,13))</f>
        <v>ABD</v>
      </c>
      <c r="B18" s="79" t="str">
        <f>IF(INDEX(lr_key,13)="","",INDEX(lr_state,13))</f>
        <v>NM</v>
      </c>
      <c r="C18" s="23" t="str">
        <f>INDEX(lr_key,13)</f>
        <v>ABD|NM</v>
      </c>
      <c r="D18" s="80">
        <f>IF($C18="","",N(INDEX(lr_lrproj,13)))</f>
        <v>0.58799999999999997</v>
      </c>
      <c r="E18" s="52" t="str">
        <f>IF($C18="","",INDEX(lr_basis,13)&amp;"")</f>
        <v>current</v>
      </c>
      <c r="F18" s="80">
        <f>IF($C18="","",INDEX(calc_lrcur,13))</f>
        <v>0.58799999999999997</v>
      </c>
      <c r="G18" s="81">
        <f>IF($C18="","",INDEX(calc_cylr_p,13))</f>
        <v>0.59576847238950559</v>
      </c>
      <c r="H18" s="82">
        <f>IF($C18="","",(INDEX(calc_cylr_p,13)-INDEX(calc_lrcur,13))*100)</f>
        <v>0.77684723895056207</v>
      </c>
      <c r="I18" s="83">
        <f>IF($C18="","",INDEX(calc_arate_p,13))</f>
        <v>1.0000000000000002</v>
      </c>
      <c r="J18" s="83">
        <f>IF($C18="","",INDEX(calc_amod_p,13))</f>
        <v>1.0132116877372543</v>
      </c>
      <c r="K18" s="84">
        <f>IF($C18="","",INDEX(calc_echg,13))</f>
        <v>0</v>
      </c>
      <c r="L18" s="84">
        <f>IF($C18="","",INDEX(calc_carry,13))</f>
        <v>0</v>
      </c>
      <c r="M18" s="80">
        <f>IF($C18="","",INDEX(calc_cylr_p1,13))</f>
        <v>0.59763366753168101</v>
      </c>
      <c r="N18" s="85">
        <f>IF($C18="","",N(INDEX(lr_ep,13)))</f>
        <v>8800</v>
      </c>
      <c r="O18" s="86">
        <f t="shared" si="0"/>
        <v>1.0945273631840797E-2</v>
      </c>
      <c r="P18" s="80">
        <f>IF($C18="","",INDEX(calc_cylr_prog,13))</f>
        <v>0.59576847238950559</v>
      </c>
      <c r="Q18" s="87" t="str">
        <f>IF($C18="","",IF(INDEX(calc_netmode,13)=0,"—",INDEX(calc_proggap,13)))</f>
        <v>—</v>
      </c>
      <c r="T18" s="51" t="s">
        <v>270</v>
      </c>
      <c r="AA18" s="88">
        <f t="shared" si="1"/>
        <v>9</v>
      </c>
      <c r="AB18" s="6">
        <f t="shared" si="2"/>
        <v>0.77684725695056212</v>
      </c>
      <c r="AC18" s="76">
        <f t="shared" si="3"/>
        <v>8.5028056004539145E-3</v>
      </c>
    </row>
    <row r="19" spans="1:29" x14ac:dyDescent="0.3">
      <c r="A19" s="79" t="str">
        <f>IF(INDEX(lr_key,14)="","",INDEX(lr_bu,14))</f>
        <v>ABD</v>
      </c>
      <c r="B19" s="79" t="str">
        <f>IF(INDEX(lr_key,14)="","",INDEX(lr_state,14))</f>
        <v>NC</v>
      </c>
      <c r="C19" s="23" t="str">
        <f>INDEX(lr_key,14)</f>
        <v>ABD|NC</v>
      </c>
      <c r="D19" s="80">
        <f>IF($C19="","",N(INDEX(lr_lrproj,14)))</f>
        <v>0.57199999999999995</v>
      </c>
      <c r="E19" s="52" t="str">
        <f>IF($C19="","",INDEX(lr_basis,14)&amp;"")</f>
        <v>current</v>
      </c>
      <c r="F19" s="80">
        <f>IF($C19="","",INDEX(calc_lrcur,14))</f>
        <v>0.57199999999999995</v>
      </c>
      <c r="G19" s="81">
        <f>IF($C19="","",INDEX(calc_cylr_p,14))</f>
        <v>0.56447022841708339</v>
      </c>
      <c r="H19" s="82">
        <f>IF($C19="","",(INDEX(calc_cylr_p,14)-INDEX(calc_lrcur,14))*100)</f>
        <v>-0.75297715829165668</v>
      </c>
      <c r="I19" s="83">
        <f>IF($C19="","",INDEX(calc_arate_p,14))</f>
        <v>0.98039215686274517</v>
      </c>
      <c r="J19" s="83">
        <f>IF($C19="","",INDEX(calc_amod_p,14))</f>
        <v>1.0065727849395543</v>
      </c>
      <c r="K19" s="84">
        <f>IF($C19="","",INDEX(calc_echg,14))</f>
        <v>2.0000000000000018E-2</v>
      </c>
      <c r="L19" s="84">
        <f>IF($C19="","",INDEX(calc_carry,14))</f>
        <v>1.9607843137255276E-2</v>
      </c>
      <c r="M19" s="80">
        <f>IF($C19="","",INDEX(calc_cylr_p1,14))</f>
        <v>0.55020320219427954</v>
      </c>
      <c r="N19" s="85">
        <f>IF($C19="","",N(INDEX(lr_ep,14)))</f>
        <v>19200</v>
      </c>
      <c r="O19" s="86">
        <f t="shared" si="0"/>
        <v>2.3880597014925373E-2</v>
      </c>
      <c r="P19" s="80">
        <f>IF($C19="","",INDEX(calc_cylr_prog,14))</f>
        <v>0.56447022841708339</v>
      </c>
      <c r="Q19" s="87" t="str">
        <f>IF($C19="","",IF(INDEX(calc_netmode,14)=0,"—",INDEX(calc_proggap,14)))</f>
        <v>—</v>
      </c>
      <c r="AA19" s="88">
        <f t="shared" si="1"/>
        <v>56</v>
      </c>
      <c r="AB19" s="6">
        <f t="shared" si="2"/>
        <v>-0.75297713929165666</v>
      </c>
      <c r="AC19" s="76">
        <f t="shared" si="3"/>
        <v>-1.7981544078606727E-2</v>
      </c>
    </row>
    <row r="20" spans="1:29" x14ac:dyDescent="0.3">
      <c r="A20" s="79" t="str">
        <f>IF(INDEX(lr_key,15)="","",INDEX(lr_bu,15))</f>
        <v>ABD</v>
      </c>
      <c r="B20" s="79" t="str">
        <f>IF(INDEX(lr_key,15)="","",INDEX(lr_state,15))</f>
        <v>OH</v>
      </c>
      <c r="C20" s="23" t="str">
        <f>INDEX(lr_key,15)</f>
        <v>ABD|OH</v>
      </c>
      <c r="D20" s="80">
        <f>IF($C20="","",N(INDEX(lr_lrproj,15)))</f>
        <v>0.6</v>
      </c>
      <c r="E20" s="52" t="str">
        <f>IF($C20="","",INDEX(lr_basis,15)&amp;"")</f>
        <v>current</v>
      </c>
      <c r="F20" s="80">
        <f>IF($C20="","",INDEX(calc_lrcur,15))</f>
        <v>0.6</v>
      </c>
      <c r="G20" s="81">
        <f>IF($C20="","",INDEX(calc_cylr_p,15))</f>
        <v>0.60926649552333734</v>
      </c>
      <c r="H20" s="82">
        <f>IF($C20="","",(INDEX(calc_cylr_p,15)-INDEX(calc_lrcur,15))*100)</f>
        <v>0.92664955233373592</v>
      </c>
      <c r="I20" s="83">
        <f>IF($C20="","",INDEX(calc_arate_p,15))</f>
        <v>1</v>
      </c>
      <c r="J20" s="83">
        <f>IF($C20="","",INDEX(calc_amod_p,15))</f>
        <v>1.0154441592055623</v>
      </c>
      <c r="K20" s="84">
        <f>IF($C20="","",INDEX(calc_echg,15))</f>
        <v>0</v>
      </c>
      <c r="L20" s="84">
        <f>IF($C20="","",INDEX(calc_carry,15))</f>
        <v>0</v>
      </c>
      <c r="M20" s="80">
        <f>IF($C20="","",INDEX(calc_cylr_p1,15))</f>
        <v>0.613101869448482</v>
      </c>
      <c r="N20" s="85">
        <f>IF($C20="","",N(INDEX(lr_ep,15)))</f>
        <v>16000</v>
      </c>
      <c r="O20" s="86">
        <f t="shared" si="0"/>
        <v>1.9900497512437811E-2</v>
      </c>
      <c r="P20" s="80">
        <f>IF($C20="","",INDEX(calc_cylr_prog,15))</f>
        <v>0.60926649552333734</v>
      </c>
      <c r="Q20" s="87" t="str">
        <f>IF($C20="","",IF(INDEX(calc_netmode,15)=0,"—",INDEX(calc_proggap,15)))</f>
        <v>—</v>
      </c>
      <c r="T20" s="10" t="s">
        <v>271</v>
      </c>
      <c r="AA20" s="88">
        <f t="shared" si="1"/>
        <v>1</v>
      </c>
      <c r="AB20" s="6">
        <f t="shared" si="2"/>
        <v>0.9266495723337359</v>
      </c>
      <c r="AC20" s="76">
        <f t="shared" si="3"/>
        <v>1.8440787111119121E-2</v>
      </c>
    </row>
    <row r="21" spans="1:29" x14ac:dyDescent="0.3">
      <c r="A21" s="79" t="str">
        <f>IF(INDEX(lr_key,16)="","",INDEX(lr_bu,16))</f>
        <v>ABD</v>
      </c>
      <c r="B21" s="79" t="str">
        <f>IF(INDEX(lr_key,16)="","",INDEX(lr_state,16))</f>
        <v>PA</v>
      </c>
      <c r="C21" s="23" t="str">
        <f>INDEX(lr_key,16)</f>
        <v>ABD|PA</v>
      </c>
      <c r="D21" s="80">
        <f>IF($C21="","",N(INDEX(lr_lrproj,16)))</f>
        <v>0.58399999999999996</v>
      </c>
      <c r="E21" s="52" t="str">
        <f>IF($C21="","",INDEX(lr_basis,16)&amp;"")</f>
        <v>current</v>
      </c>
      <c r="F21" s="80">
        <f>IF($C21="","",INDEX(calc_lrcur,16))</f>
        <v>0.58399999999999996</v>
      </c>
      <c r="G21" s="81">
        <f>IF($C21="","",INDEX(calc_cylr_p,16))</f>
        <v>0.58912522175096382</v>
      </c>
      <c r="H21" s="82">
        <f>IF($C21="","",(INDEX(calc_cylr_p,16)-INDEX(calc_lrcur,16))*100)</f>
        <v>0.51252217509638598</v>
      </c>
      <c r="I21" s="83">
        <f>IF($C21="","",INDEX(calc_arate_p,16))</f>
        <v>0.99999999999999978</v>
      </c>
      <c r="J21" s="83">
        <f>IF($C21="","",INDEX(calc_amod_p,16))</f>
        <v>1.0087760646420616</v>
      </c>
      <c r="K21" s="84">
        <f>IF($C21="","",INDEX(calc_echg,16))</f>
        <v>0</v>
      </c>
      <c r="L21" s="84">
        <f>IF($C21="","",INDEX(calc_carry,16))</f>
        <v>0</v>
      </c>
      <c r="M21" s="80">
        <f>IF($C21="","",INDEX(calc_cylr_p1,16))</f>
        <v>0.58730030094775787</v>
      </c>
      <c r="N21" s="85">
        <f>IF($C21="","",N(INDEX(lr_ep,16)))</f>
        <v>12800</v>
      </c>
      <c r="O21" s="86">
        <f t="shared" si="0"/>
        <v>1.5920398009950248E-2</v>
      </c>
      <c r="P21" s="80">
        <f>IF($C21="","",INDEX(calc_cylr_prog,16))</f>
        <v>0.58912522175096382</v>
      </c>
      <c r="Q21" s="87" t="str">
        <f>IF($C21="","",IF(INDEX(calc_netmode,16)=0,"—",INDEX(calc_proggap,16)))</f>
        <v>—</v>
      </c>
      <c r="T21" s="20" t="s">
        <v>142</v>
      </c>
      <c r="U21" s="46">
        <f>IF(SUM(calc_ep)=0,"n/a",SUM(calc_w_lrcur)/SUM(calc_ep))</f>
        <v>0.58183243781094529</v>
      </c>
      <c r="AA21" s="88">
        <f t="shared" si="1"/>
        <v>24</v>
      </c>
      <c r="AB21" s="6">
        <f t="shared" si="2"/>
        <v>0.51252219609638594</v>
      </c>
      <c r="AC21" s="76">
        <f t="shared" si="3"/>
        <v>8.1595570164598764E-3</v>
      </c>
    </row>
    <row r="22" spans="1:29" x14ac:dyDescent="0.3">
      <c r="A22" s="79" t="str">
        <f>IF(INDEX(lr_key,17)="","",INDEX(lr_bu,17))</f>
        <v>ABD</v>
      </c>
      <c r="B22" s="79" t="str">
        <f>IF(INDEX(lr_key,17)="","",INDEX(lr_state,17))</f>
        <v>SC</v>
      </c>
      <c r="C22" s="23" t="str">
        <f>INDEX(lr_key,17)</f>
        <v>ABD|SC</v>
      </c>
      <c r="D22" s="80">
        <f>IF($C22="","",N(INDEX(lr_lrproj,17)))</f>
        <v>0.56799999999999995</v>
      </c>
      <c r="E22" s="52" t="str">
        <f>IF($C22="","",INDEX(lr_basis,17)&amp;"")</f>
        <v>current</v>
      </c>
      <c r="F22" s="80">
        <f>IF($C22="","",INDEX(calc_lrcur,17))</f>
        <v>0.56799999999999995</v>
      </c>
      <c r="G22" s="81">
        <f>IF($C22="","",INDEX(calc_cylr_p,17))</f>
        <v>0.56924674478520054</v>
      </c>
      <c r="H22" s="82">
        <f>IF($C22="","",(INDEX(calc_cylr_p,17)-INDEX(calc_lrcur,17))*100)</f>
        <v>0.12467447852005931</v>
      </c>
      <c r="I22" s="83">
        <f>IF($C22="","",INDEX(calc_arate_p,17))</f>
        <v>1</v>
      </c>
      <c r="J22" s="83">
        <f>IF($C22="","",INDEX(calc_amod_p,17))</f>
        <v>1.0021949732133812</v>
      </c>
      <c r="K22" s="84">
        <f>IF($C22="","",INDEX(calc_echg,17))</f>
        <v>0</v>
      </c>
      <c r="L22" s="84">
        <f>IF($C22="","",INDEX(calc_carry,17))</f>
        <v>0</v>
      </c>
      <c r="M22" s="80">
        <f>IF($C22="","",INDEX(calc_cylr_p1,17))</f>
        <v>0.56230334916588076</v>
      </c>
      <c r="N22" s="85">
        <f>IF($C22="","",N(INDEX(lr_ep,17)))</f>
        <v>9600</v>
      </c>
      <c r="O22" s="86">
        <f t="shared" si="0"/>
        <v>1.1940298507462687E-2</v>
      </c>
      <c r="P22" s="80">
        <f>IF($C22="","",INDEX(calc_cylr_prog,17))</f>
        <v>0.56924674478520054</v>
      </c>
      <c r="Q22" s="87" t="str">
        <f>IF($C22="","",IF(INDEX(calc_netmode,17)=0,"—",INDEX(calc_proggap,17)))</f>
        <v>—</v>
      </c>
      <c r="T22" s="20" t="s">
        <v>272</v>
      </c>
      <c r="U22" s="50">
        <f>IF(SUM(calc_ep)=0,"n/a",SUM(calc_w_arate)/SUM(calc_ep))</f>
        <v>0.99391591955064729</v>
      </c>
      <c r="AA22" s="88">
        <f t="shared" si="1"/>
        <v>45</v>
      </c>
      <c r="AB22" s="6">
        <f t="shared" si="2"/>
        <v>0.12467450052005931</v>
      </c>
      <c r="AC22" s="76">
        <f t="shared" si="3"/>
        <v>1.4886504897917529E-3</v>
      </c>
    </row>
    <row r="23" spans="1:29" x14ac:dyDescent="0.3">
      <c r="A23" s="79" t="str">
        <f>IF(INDEX(lr_key,18)="","",INDEX(lr_bu,18))</f>
        <v>ABD</v>
      </c>
      <c r="B23" s="79" t="str">
        <f>IF(INDEX(lr_key,18)="","",INDEX(lr_state,18))</f>
        <v>TN</v>
      </c>
      <c r="C23" s="23" t="str">
        <f>INDEX(lr_key,18)</f>
        <v>ABD|TN</v>
      </c>
      <c r="D23" s="80">
        <f>IF($C23="","",N(INDEX(lr_lrproj,18)))</f>
        <v>0.59599999999999997</v>
      </c>
      <c r="E23" s="52" t="str">
        <f>IF($C23="","",INDEX(lr_basis,18)&amp;"")</f>
        <v>current</v>
      </c>
      <c r="F23" s="80">
        <f>IF($C23="","",INDEX(calc_lrcur,18))</f>
        <v>0.59599999999999997</v>
      </c>
      <c r="G23" s="81">
        <f>IF($C23="","",INDEX(calc_cylr_p,18))</f>
        <v>0.59839393709738542</v>
      </c>
      <c r="H23" s="82">
        <f>IF($C23="","",(INDEX(calc_cylr_p,18)-INDEX(calc_lrcur,18))*100)</f>
        <v>0.23939370973854457</v>
      </c>
      <c r="I23" s="83">
        <f>IF($C23="","",INDEX(calc_arate_p,18))</f>
        <v>0.99310344827586206</v>
      </c>
      <c r="J23" s="83">
        <f>IF($C23="","",INDEX(calc_amod_p,18))</f>
        <v>1.0109890109890112</v>
      </c>
      <c r="K23" s="84">
        <f>IF($C23="","",INDEX(calc_echg,18))</f>
        <v>6.9444444444444198E-3</v>
      </c>
      <c r="L23" s="84">
        <f>IF($C23="","",INDEX(calc_carry,18))</f>
        <v>3.2551724137930726E-2</v>
      </c>
      <c r="M23" s="80">
        <f>IF($C23="","",INDEX(calc_cylr_p1,18))</f>
        <v>0.57952926048036946</v>
      </c>
      <c r="N23" s="85">
        <f>IF($C23="","",N(INDEX(lr_ep,18)))</f>
        <v>6400</v>
      </c>
      <c r="O23" s="86">
        <f t="shared" si="0"/>
        <v>7.9601990049751239E-3</v>
      </c>
      <c r="P23" s="80">
        <f>IF($C23="","",INDEX(calc_cylr_prog,18))</f>
        <v>0.59839393709738542</v>
      </c>
      <c r="Q23" s="87" t="str">
        <f>IF($C23="","",IF(INDEX(calc_netmode,18)=0,"—",INDEX(calc_proggap,18)))</f>
        <v>—</v>
      </c>
      <c r="T23" s="20" t="s">
        <v>273</v>
      </c>
      <c r="U23" s="50">
        <f>IF(SUM(calc_ep)=0,"n/a",SUM(calc_w_amod)/SUM(calc_ep))</f>
        <v>1.0081828602544951</v>
      </c>
      <c r="AA23" s="88">
        <f t="shared" si="1"/>
        <v>41</v>
      </c>
      <c r="AB23" s="6">
        <f t="shared" si="2"/>
        <v>0.23939373273854456</v>
      </c>
      <c r="AC23" s="76">
        <f t="shared" si="3"/>
        <v>1.905621570058066E-3</v>
      </c>
    </row>
    <row r="24" spans="1:29" x14ac:dyDescent="0.3">
      <c r="A24" s="79" t="str">
        <f>IF(INDEX(lr_key,19)="","",INDEX(lr_bu,19))</f>
        <v>ABD</v>
      </c>
      <c r="B24" s="79" t="str">
        <f>IF(INDEX(lr_key,19)="","",INDEX(lr_state,19))</f>
        <v>VA</v>
      </c>
      <c r="C24" s="23" t="str">
        <f>INDEX(lr_key,19)</f>
        <v>ABD|VA</v>
      </c>
      <c r="D24" s="80">
        <f>IF($C24="","",N(INDEX(lr_lrproj,19)))</f>
        <v>0.57999999999999996</v>
      </c>
      <c r="E24" s="52" t="str">
        <f>IF($C24="","",INDEX(lr_basis,19)&amp;"")</f>
        <v>current</v>
      </c>
      <c r="F24" s="80">
        <f>IF($C24="","",INDEX(calc_lrcur,19))</f>
        <v>0.57999999999999996</v>
      </c>
      <c r="G24" s="81">
        <f>IF($C24="","",INDEX(calc_cylr_p,19))</f>
        <v>0.58253988303464932</v>
      </c>
      <c r="H24" s="82">
        <f>IF($C24="","",(INDEX(calc_cylr_p,19)-INDEX(calc_lrcur,19))*100)</f>
        <v>0.25398830346493595</v>
      </c>
      <c r="I24" s="83">
        <f>IF($C24="","",INDEX(calc_arate_p,19))</f>
        <v>1</v>
      </c>
      <c r="J24" s="83">
        <f>IF($C24="","",INDEX(calc_amod_p,19))</f>
        <v>1.0043791086804299</v>
      </c>
      <c r="K24" s="84">
        <f>IF($C24="","",INDEX(calc_echg,19))</f>
        <v>0</v>
      </c>
      <c r="L24" s="84">
        <f>IF($C24="","",INDEX(calc_carry,19))</f>
        <v>0</v>
      </c>
      <c r="M24" s="80">
        <f>IF($C24="","",INDEX(calc_cylr_p1,19))</f>
        <v>0.57718288606985757</v>
      </c>
      <c r="N24" s="85">
        <f>IF($C24="","",N(INDEX(lr_ep,19)))</f>
        <v>16800</v>
      </c>
      <c r="O24" s="86">
        <f t="shared" si="0"/>
        <v>2.0895522388059702E-2</v>
      </c>
      <c r="P24" s="80">
        <f>IF($C24="","",INDEX(calc_cylr_prog,19))</f>
        <v>0.58253988303464932</v>
      </c>
      <c r="Q24" s="87" t="str">
        <f>IF($C24="","",IF(INDEX(calc_netmode,19)=0,"—",INDEX(calc_proggap,19)))</f>
        <v>—</v>
      </c>
      <c r="T24" s="20" t="s">
        <v>274</v>
      </c>
      <c r="U24" s="87">
        <f>IF(OR(SUM(calc_ep)=0,NOT(ISNUMBER($G$76))),"n/a",($G$76-$U$21*$U$22*$U$23)*100)</f>
        <v>1.8039326642127484E-2</v>
      </c>
      <c r="AA24" s="88">
        <f t="shared" si="1"/>
        <v>35</v>
      </c>
      <c r="AB24" s="6">
        <f t="shared" si="2"/>
        <v>0.25398832746493594</v>
      </c>
      <c r="AC24" s="76">
        <f t="shared" si="3"/>
        <v>5.3072182813568708E-3</v>
      </c>
    </row>
    <row r="25" spans="1:29" x14ac:dyDescent="0.3">
      <c r="A25" s="79" t="str">
        <f>IF(INDEX(lr_key,20)="","",INDEX(lr_bu,20))</f>
        <v>ABD</v>
      </c>
      <c r="B25" s="79" t="str">
        <f>IF(INDEX(lr_key,20)="","",INDEX(lr_state,20))</f>
        <v>WV</v>
      </c>
      <c r="C25" s="23" t="str">
        <f>INDEX(lr_key,20)</f>
        <v>ABD|WV</v>
      </c>
      <c r="D25" s="80">
        <f>IF($C25="","",N(INDEX(lr_lrproj,20)))</f>
        <v>0.56399999999999995</v>
      </c>
      <c r="E25" s="52" t="str">
        <f>IF($C25="","",INDEX(lr_basis,20)&amp;"")</f>
        <v>current</v>
      </c>
      <c r="F25" s="80">
        <f>IF($C25="","",INDEX(calc_lrcur,20))</f>
        <v>0.56399999999999995</v>
      </c>
      <c r="G25" s="81">
        <f>IF($C25="","",INDEX(calc_cylr_p,20))</f>
        <v>0.57167610733480778</v>
      </c>
      <c r="H25" s="82">
        <f>IF($C25="","",(INDEX(calc_cylr_p,20)-INDEX(calc_lrcur,20))*100)</f>
        <v>0.76761073348078357</v>
      </c>
      <c r="I25" s="83">
        <f>IF($C25="","",INDEX(calc_arate_p,20))</f>
        <v>1.0003932363350372</v>
      </c>
      <c r="J25" s="83">
        <f>IF($C25="","",INDEX(calc_amod_p,20))</f>
        <v>1.0132116877372543</v>
      </c>
      <c r="K25" s="84">
        <f>IF($C25="","",INDEX(calc_echg,20))</f>
        <v>-3.9308176100616432E-4</v>
      </c>
      <c r="L25" s="84">
        <f>IF($C25="","",INDEX(calc_carry,20))</f>
        <v>3.9323633503740574E-4</v>
      </c>
      <c r="M25" s="80">
        <f>IF($C25="","",INDEX(calc_cylr_p1,20))</f>
        <v>0.57324045661202039</v>
      </c>
      <c r="N25" s="85">
        <f>IF($C25="","",N(INDEX(lr_ep,20)))</f>
        <v>13600</v>
      </c>
      <c r="O25" s="86">
        <f t="shared" si="0"/>
        <v>1.6915422885572139E-2</v>
      </c>
      <c r="P25" s="80">
        <f>IF($C25="","",INDEX(calc_cylr_prog,20))</f>
        <v>0.57167610733480778</v>
      </c>
      <c r="Q25" s="87" t="str">
        <f>IF($C25="","",IF(INDEX(calc_netmode,20)=0,"—",INDEX(calc_proggap,20)))</f>
        <v>—</v>
      </c>
      <c r="T25" s="18" t="s">
        <v>275</v>
      </c>
      <c r="U25" s="92">
        <f>$G$76</f>
        <v>0.58320500261511987</v>
      </c>
      <c r="AA25" s="88">
        <f t="shared" si="1"/>
        <v>11</v>
      </c>
      <c r="AB25" s="6">
        <f t="shared" si="2"/>
        <v>0.76761075848078353</v>
      </c>
      <c r="AC25" s="76">
        <f t="shared" si="3"/>
        <v>1.2984460168331663E-2</v>
      </c>
    </row>
    <row r="26" spans="1:29" x14ac:dyDescent="0.3">
      <c r="A26" s="79" t="str">
        <f>IF(INDEX(lr_key,21)="","",INDEX(lr_bu,21))</f>
        <v>ABD</v>
      </c>
      <c r="B26" s="79" t="str">
        <f>IF(INDEX(lr_key,21)="","",INDEX(lr_state,21))</f>
        <v>WI</v>
      </c>
      <c r="C26" s="23" t="str">
        <f>INDEX(lr_key,21)</f>
        <v>ABD|WI</v>
      </c>
      <c r="D26" s="80">
        <f>IF($C26="","",N(INDEX(lr_lrproj,21)))</f>
        <v>0.59199999999999997</v>
      </c>
      <c r="E26" s="52" t="str">
        <f>IF($C26="","",INDEX(lr_basis,21)&amp;"")</f>
        <v>current</v>
      </c>
      <c r="F26" s="80">
        <f>IF($C26="","",INDEX(calc_lrcur,21))</f>
        <v>0.59199999999999997</v>
      </c>
      <c r="G26" s="81">
        <f>IF($C26="","",INDEX(calc_cylr_p,21))</f>
        <v>0.59589108868421614</v>
      </c>
      <c r="H26" s="82">
        <f>IF($C26="","",(INDEX(calc_cylr_p,21)-INDEX(calc_lrcur,21))*100)</f>
        <v>0.38910886842161707</v>
      </c>
      <c r="I26" s="83">
        <f>IF($C26="","",INDEX(calc_arate_p,21))</f>
        <v>1</v>
      </c>
      <c r="J26" s="83">
        <f>IF($C26="","",INDEX(calc_amod_p,21))</f>
        <v>1.0065727849395543</v>
      </c>
      <c r="K26" s="84">
        <f>IF($C26="","",INDEX(calc_echg,21))</f>
        <v>0</v>
      </c>
      <c r="L26" s="84">
        <f>IF($C26="","",INDEX(calc_carry,21))</f>
        <v>0</v>
      </c>
      <c r="M26" s="80">
        <f>IF($C26="","",INDEX(calc_cylr_p1,21))</f>
        <v>0.59221871945275195</v>
      </c>
      <c r="N26" s="85">
        <f>IF($C26="","",N(INDEX(lr_ep,21)))</f>
        <v>10400</v>
      </c>
      <c r="O26" s="86">
        <f t="shared" si="0"/>
        <v>1.2935323383084577E-2</v>
      </c>
      <c r="P26" s="80">
        <f>IF($C26="","",INDEX(calc_cylr_prog,21))</f>
        <v>0.59589108868421614</v>
      </c>
      <c r="Q26" s="87" t="str">
        <f>IF($C26="","",IF(INDEX(calc_netmode,21)=0,"—",INDEX(calc_proggap,21)))</f>
        <v>—</v>
      </c>
      <c r="AA26" s="88">
        <f t="shared" si="1"/>
        <v>28</v>
      </c>
      <c r="AB26" s="6">
        <f t="shared" si="2"/>
        <v>0.38910889442161706</v>
      </c>
      <c r="AC26" s="76">
        <f t="shared" si="3"/>
        <v>5.0332490442597227E-3</v>
      </c>
    </row>
    <row r="27" spans="1:29" x14ac:dyDescent="0.3">
      <c r="A27" s="79" t="str">
        <f>IF(INDEX(lr_key,22)="","",INDEX(lr_bu,22))</f>
        <v>MM</v>
      </c>
      <c r="B27" s="79" t="str">
        <f>IF(INDEX(lr_key,22)="","",INDEX(lr_state,22))</f>
        <v>AZ</v>
      </c>
      <c r="C27" s="23" t="str">
        <f>INDEX(lr_key,22)</f>
        <v>MM|AZ</v>
      </c>
      <c r="D27" s="80">
        <f>IF($C27="","",N(INDEX(lr_lrproj,22)))</f>
        <v>0.57599999999999996</v>
      </c>
      <c r="E27" s="52" t="str">
        <f>IF($C27="","",INDEX(lr_basis,22)&amp;"")</f>
        <v>current</v>
      </c>
      <c r="F27" s="80">
        <f>IF($C27="","",INDEX(calc_lrcur,22))</f>
        <v>0.57599999999999996</v>
      </c>
      <c r="G27" s="81">
        <f>IF($C27="","",INDEX(calc_cylr_p,22))</f>
        <v>0.57071567519650979</v>
      </c>
      <c r="H27" s="82">
        <f>IF($C27="","",(INDEX(calc_cylr_p,22)-INDEX(calc_lrcur,22))*100)</f>
        <v>-0.52843248034901702</v>
      </c>
      <c r="I27" s="83">
        <f>IF($C27="","",INDEX(calc_arate_p,22))</f>
        <v>0.97575609255472817</v>
      </c>
      <c r="J27" s="83">
        <f>IF($C27="","",INDEX(calc_amod_p,22))</f>
        <v>1.0154441592055623</v>
      </c>
      <c r="K27" s="84">
        <f>IF($C27="","",INDEX(calc_echg,22))</f>
        <v>2.4846278317152359E-2</v>
      </c>
      <c r="L27" s="84">
        <f>IF($C27="","",INDEX(calc_carry,22))</f>
        <v>1.4786336256917609E-2</v>
      </c>
      <c r="M27" s="80">
        <f>IF($C27="","",INDEX(calc_cylr_p1,22))</f>
        <v>0.56594018718321404</v>
      </c>
      <c r="N27" s="85">
        <f>IF($C27="","",N(INDEX(lr_ep,22)))</f>
        <v>7200</v>
      </c>
      <c r="O27" s="86">
        <f t="shared" si="0"/>
        <v>8.9552238805970154E-3</v>
      </c>
      <c r="P27" s="80">
        <f>IF($C27="","",INDEX(calc_cylr_prog,22))</f>
        <v>0.57071567519650979</v>
      </c>
      <c r="Q27" s="87" t="str">
        <f>IF($C27="","",IF(INDEX(calc_netmode,22)=0,"—",INDEX(calc_proggap,22)))</f>
        <v>—</v>
      </c>
      <c r="T27" s="51" t="s">
        <v>276</v>
      </c>
      <c r="AA27" s="88">
        <f t="shared" si="1"/>
        <v>53</v>
      </c>
      <c r="AB27" s="6">
        <f t="shared" si="2"/>
        <v>-0.52843245334901701</v>
      </c>
      <c r="AC27" s="76">
        <f t="shared" si="3"/>
        <v>-4.7322311673046302E-3</v>
      </c>
    </row>
    <row r="28" spans="1:29" x14ac:dyDescent="0.3">
      <c r="A28" s="79" t="str">
        <f>IF(INDEX(lr_key,23)="","",INDEX(lr_bu,23))</f>
        <v>MM</v>
      </c>
      <c r="B28" s="79" t="str">
        <f>IF(INDEX(lr_key,23)="","",INDEX(lr_state,23))</f>
        <v>CO</v>
      </c>
      <c r="C28" s="23" t="str">
        <f>INDEX(lr_key,23)</f>
        <v>MM|CO</v>
      </c>
      <c r="D28" s="80">
        <f>IF($C28="","",N(INDEX(lr_lrproj,23)))</f>
        <v>0.56000000000000005</v>
      </c>
      <c r="E28" s="52" t="str">
        <f>IF($C28="","",INDEX(lr_basis,23)&amp;"")</f>
        <v>proposed</v>
      </c>
      <c r="F28" s="80">
        <f>IF($C28="","",INDEX(calc_lrcur,23))</f>
        <v>0.60480000000000012</v>
      </c>
      <c r="G28" s="81">
        <f>IF($C28="","",INDEX(calc_cylr_p,23))</f>
        <v>0.61272625215258147</v>
      </c>
      <c r="H28" s="82">
        <f>IF($C28="","",(INDEX(calc_cylr_p,23)-INDEX(calc_lrcur,23))*100)</f>
        <v>0.7926252152581359</v>
      </c>
      <c r="I28" s="83">
        <f>IF($C28="","",INDEX(calc_arate_p,23))</f>
        <v>1.0042918454935625</v>
      </c>
      <c r="J28" s="83">
        <f>IF($C28="","",INDEX(calc_amod_p,23))</f>
        <v>1.0087760646420616</v>
      </c>
      <c r="K28" s="84">
        <f>IF($C28="","",INDEX(calc_echg,23))</f>
        <v>-4.2735042735044804E-3</v>
      </c>
      <c r="L28" s="84">
        <f>IF($C28="","",INDEX(calc_carry,23))</f>
        <v>4.2918454935623185E-3</v>
      </c>
      <c r="M28" s="80">
        <f>IF($C28="","",INDEX(calc_cylr_p1,23))</f>
        <v>0.61430002437215103</v>
      </c>
      <c r="N28" s="85">
        <f>IF($C28="","",N(INDEX(lr_ep,23)))</f>
        <v>17600</v>
      </c>
      <c r="O28" s="86">
        <f t="shared" si="0"/>
        <v>2.1890547263681594E-2</v>
      </c>
      <c r="P28" s="80">
        <f>IF($C28="","",INDEX(calc_cylr_prog,23))</f>
        <v>0.61272625215258147</v>
      </c>
      <c r="Q28" s="87" t="str">
        <f>IF($C28="","",IF(INDEX(calc_netmode,23)=0,"—",INDEX(calc_proggap,23)))</f>
        <v>—</v>
      </c>
      <c r="T28" s="19" t="str">
        <f>HYPERLINK("#'Program Flow'!A1","Monthly flow by state and for the book &gt; Program Flow")</f>
        <v>Monthly flow by state and for the book &gt; Program Flow</v>
      </c>
      <c r="AA28" s="88">
        <f t="shared" si="1"/>
        <v>8</v>
      </c>
      <c r="AB28" s="6">
        <f t="shared" si="2"/>
        <v>0.79262524325813588</v>
      </c>
      <c r="AC28" s="76">
        <f t="shared" si="3"/>
        <v>1.735099973699402E-2</v>
      </c>
    </row>
    <row r="29" spans="1:29" x14ac:dyDescent="0.3">
      <c r="A29" s="79" t="str">
        <f>IF(INDEX(lr_key,24)="","",INDEX(lr_bu,24))</f>
        <v>MM</v>
      </c>
      <c r="B29" s="79" t="str">
        <f>IF(INDEX(lr_key,24)="","",INDEX(lr_state,24))</f>
        <v>DE</v>
      </c>
      <c r="C29" s="23" t="str">
        <f>INDEX(lr_key,24)</f>
        <v>MM|DE</v>
      </c>
      <c r="D29" s="80">
        <f>IF($C29="","",N(INDEX(lr_lrproj,24)))</f>
        <v>0.58799999999999997</v>
      </c>
      <c r="E29" s="52" t="str">
        <f>IF($C29="","",INDEX(lr_basis,24)&amp;"")</f>
        <v>current</v>
      </c>
      <c r="F29" s="80">
        <f>IF($C29="","",INDEX(calc_lrcur,24))</f>
        <v>0.58799999999999997</v>
      </c>
      <c r="G29" s="81">
        <f>IF($C29="","",INDEX(calc_cylr_p,24))</f>
        <v>0.59431848086016048</v>
      </c>
      <c r="H29" s="82">
        <f>IF($C29="","",(INDEX(calc_cylr_p,24)-INDEX(calc_lrcur,24))*100)</f>
        <v>0.63184808601605136</v>
      </c>
      <c r="I29" s="83">
        <f>IF($C29="","",INDEX(calc_arate_p,24))</f>
        <v>0.98875687744199026</v>
      </c>
      <c r="J29" s="83">
        <f>IF($C29="","",INDEX(calc_amod_p,24))</f>
        <v>1.0021949732133812</v>
      </c>
      <c r="K29" s="84">
        <f>IF($C29="","",INDEX(calc_echg,24))</f>
        <v>1.1370967741935578E-2</v>
      </c>
      <c r="L29" s="84">
        <f>IF($C29="","",INDEX(calc_carry,24))</f>
        <v>1.8419583765250103E-2</v>
      </c>
      <c r="M29" s="80">
        <f>IF($C29="","",INDEX(calc_cylr_p1,24))</f>
        <v>0.57645127973425514</v>
      </c>
      <c r="N29" s="85">
        <f>IF($C29="","",N(INDEX(lr_ep,24)))</f>
        <v>14400</v>
      </c>
      <c r="O29" s="86">
        <f t="shared" si="0"/>
        <v>1.7910447761194031E-2</v>
      </c>
      <c r="P29" s="80">
        <f>IF($C29="","",INDEX(calc_cylr_prog,24))</f>
        <v>0.59431848086016048</v>
      </c>
      <c r="Q29" s="87" t="str">
        <f>IF($C29="","",IF(INDEX(calc_netmode,24)=0,"—",INDEX(calc_proggap,24)))</f>
        <v>—</v>
      </c>
      <c r="AA29" s="88">
        <f t="shared" si="1"/>
        <v>19</v>
      </c>
      <c r="AB29" s="6">
        <f t="shared" si="2"/>
        <v>0.63184811501605131</v>
      </c>
      <c r="AC29" s="76">
        <f t="shared" si="3"/>
        <v>1.131668213760092E-2</v>
      </c>
    </row>
    <row r="30" spans="1:29" x14ac:dyDescent="0.3">
      <c r="A30" s="79" t="str">
        <f>IF(INDEX(lr_key,25)="","",INDEX(lr_bu,25))</f>
        <v>MM</v>
      </c>
      <c r="B30" s="79" t="str">
        <f>IF(INDEX(lr_key,25)="","",INDEX(lr_state,25))</f>
        <v>FL</v>
      </c>
      <c r="C30" s="23" t="str">
        <f>INDEX(lr_key,25)</f>
        <v>MM|FL</v>
      </c>
      <c r="D30" s="80">
        <f>IF($C30="","",N(INDEX(lr_lrproj,25)))</f>
        <v>0.57199999999999995</v>
      </c>
      <c r="E30" s="52" t="str">
        <f>IF($C30="","",INDEX(lr_basis,25)&amp;"")</f>
        <v>current</v>
      </c>
      <c r="F30" s="80">
        <f>IF($C30="","",INDEX(calc_lrcur,25))</f>
        <v>0.57199999999999995</v>
      </c>
      <c r="G30" s="81">
        <f>IF($C30="","",INDEX(calc_cylr_p,25))</f>
        <v>0.56507959486498094</v>
      </c>
      <c r="H30" s="82">
        <f>IF($C30="","",(INDEX(calc_cylr_p,25)-INDEX(calc_lrcur,25))*100)</f>
        <v>-0.69204051350190143</v>
      </c>
      <c r="I30" s="83">
        <f>IF($C30="","",INDEX(calc_arate_p,25))</f>
        <v>0.97716333104122188</v>
      </c>
      <c r="J30" s="83">
        <f>IF($C30="","",INDEX(calc_amod_p,25))</f>
        <v>1.0109890109890112</v>
      </c>
      <c r="K30" s="84">
        <f>IF($C30="","",INDEX(calc_echg,25))</f>
        <v>2.3370370370370264E-2</v>
      </c>
      <c r="L30" s="84">
        <f>IF($C30="","",INDEX(calc_carry,25))</f>
        <v>2.4067170931200588E-2</v>
      </c>
      <c r="M30" s="80">
        <f>IF($C30="","",INDEX(calc_cylr_p1,25))</f>
        <v>0.55179934569247557</v>
      </c>
      <c r="N30" s="85">
        <f>IF($C30="","",N(INDEX(lr_ep,25)))</f>
        <v>11200</v>
      </c>
      <c r="O30" s="86">
        <f t="shared" si="0"/>
        <v>1.3930348258706468E-2</v>
      </c>
      <c r="P30" s="80">
        <f>IF($C30="","",INDEX(calc_cylr_prog,25))</f>
        <v>0.56507959486498094</v>
      </c>
      <c r="Q30" s="87" t="str">
        <f>IF($C30="","",IF(INDEX(calc_netmode,25)=0,"—",INDEX(calc_proggap,25)))</f>
        <v>—</v>
      </c>
      <c r="AA30" s="88">
        <f t="shared" si="1"/>
        <v>55</v>
      </c>
      <c r="AB30" s="6">
        <f t="shared" si="2"/>
        <v>-0.69204048350190139</v>
      </c>
      <c r="AC30" s="76">
        <f t="shared" si="3"/>
        <v>-9.640365362215542E-3</v>
      </c>
    </row>
    <row r="31" spans="1:29" x14ac:dyDescent="0.3">
      <c r="A31" s="79" t="str">
        <f>IF(INDEX(lr_key,26)="","",INDEX(lr_bu,26))</f>
        <v>MM</v>
      </c>
      <c r="B31" s="79" t="str">
        <f>IF(INDEX(lr_key,26)="","",INDEX(lr_state,26))</f>
        <v>GA</v>
      </c>
      <c r="C31" s="23" t="str">
        <f>INDEX(lr_key,26)</f>
        <v>MM|GA</v>
      </c>
      <c r="D31" s="80">
        <f>IF($C31="","",N(INDEX(lr_lrproj,26)))</f>
        <v>0.6</v>
      </c>
      <c r="E31" s="52" t="str">
        <f>IF($C31="","",INDEX(lr_basis,26)&amp;"")</f>
        <v>current</v>
      </c>
      <c r="F31" s="80">
        <f>IF($C31="","",INDEX(calc_lrcur,26))</f>
        <v>0.6</v>
      </c>
      <c r="G31" s="81">
        <f>IF($C31="","",INDEX(calc_cylr_p,26))</f>
        <v>0.5946981564555176</v>
      </c>
      <c r="H31" s="82">
        <f>IF($C31="","",(INDEX(calc_cylr_p,26)-INDEX(calc_lrcur,26))*100)</f>
        <v>-0.53018435444823764</v>
      </c>
      <c r="I31" s="83">
        <f>IF($C31="","",INDEX(calc_arate_p,26))</f>
        <v>0.98684210526315785</v>
      </c>
      <c r="J31" s="83">
        <f>IF($C31="","",INDEX(calc_amod_p,26))</f>
        <v>1.0043791086804299</v>
      </c>
      <c r="K31" s="84">
        <f>IF($C31="","",INDEX(calc_echg,26))</f>
        <v>1.3333333333333419E-2</v>
      </c>
      <c r="L31" s="84">
        <f>IF($C31="","",INDEX(calc_carry,26))</f>
        <v>2.6315789473684292E-2</v>
      </c>
      <c r="M31" s="80">
        <f>IF($C31="","",INDEX(calc_cylr_p1,26))</f>
        <v>0.5741209078944205</v>
      </c>
      <c r="N31" s="85">
        <f>IF($C31="","",N(INDEX(lr_ep,26)))</f>
        <v>8000</v>
      </c>
      <c r="O31" s="86">
        <f t="shared" si="0"/>
        <v>9.9502487562189053E-3</v>
      </c>
      <c r="P31" s="80">
        <f>IF($C31="","",INDEX(calc_cylr_prog,26))</f>
        <v>0.5946981564555176</v>
      </c>
      <c r="Q31" s="87" t="str">
        <f>IF($C31="","",IF(INDEX(calc_netmode,26)=0,"—",INDEX(calc_proggap,26)))</f>
        <v>—</v>
      </c>
      <c r="AA31" s="88">
        <f t="shared" si="1"/>
        <v>54</v>
      </c>
      <c r="AB31" s="6">
        <f t="shared" si="2"/>
        <v>-0.53018432344823763</v>
      </c>
      <c r="AC31" s="76">
        <f t="shared" si="3"/>
        <v>-5.2754662134152997E-3</v>
      </c>
    </row>
    <row r="32" spans="1:29" x14ac:dyDescent="0.3">
      <c r="A32" s="79" t="str">
        <f>IF(INDEX(lr_key,27)="","",INDEX(lr_bu,27))</f>
        <v>MM</v>
      </c>
      <c r="B32" s="79" t="str">
        <f>IF(INDEX(lr_key,27)="","",INDEX(lr_state,27))</f>
        <v>IA</v>
      </c>
      <c r="C32" s="23" t="str">
        <f>INDEX(lr_key,27)</f>
        <v>MM|IA</v>
      </c>
      <c r="D32" s="80">
        <f>IF($C32="","",N(INDEX(lr_lrproj,27)))</f>
        <v>0.58399999999999996</v>
      </c>
      <c r="E32" s="52" t="str">
        <f>IF($C32="","",INDEX(lr_basis,27)&amp;"")</f>
        <v>current</v>
      </c>
      <c r="F32" s="80">
        <f>IF($C32="","",INDEX(calc_lrcur,27))</f>
        <v>0.58399999999999996</v>
      </c>
      <c r="G32" s="81">
        <f>IF($C32="","",INDEX(calc_cylr_p,27))</f>
        <v>0.59171562563855651</v>
      </c>
      <c r="H32" s="82">
        <f>IF($C32="","",(INDEX(calc_cylr_p,27)-INDEX(calc_lrcur,27))*100)</f>
        <v>0.77156256385565447</v>
      </c>
      <c r="I32" s="83">
        <f>IF($C32="","",INDEX(calc_arate_p,27))</f>
        <v>1</v>
      </c>
      <c r="J32" s="83">
        <f>IF($C32="","",INDEX(calc_amod_p,27))</f>
        <v>1.0132116877372543</v>
      </c>
      <c r="K32" s="84">
        <f>IF($C32="","",INDEX(calc_echg,27))</f>
        <v>0</v>
      </c>
      <c r="L32" s="84">
        <f>IF($C32="","",INDEX(calc_carry,27))</f>
        <v>0</v>
      </c>
      <c r="M32" s="80">
        <f>IF($C32="","",INDEX(calc_cylr_p1,27))</f>
        <v>0.59356813237840422</v>
      </c>
      <c r="N32" s="85">
        <f>IF($C32="","",N(INDEX(lr_ep,27)))</f>
        <v>18400</v>
      </c>
      <c r="O32" s="86">
        <f t="shared" si="0"/>
        <v>2.2885572139303482E-2</v>
      </c>
      <c r="P32" s="80">
        <f>IF($C32="","",INDEX(calc_cylr_prog,27))</f>
        <v>0.59171562563855651</v>
      </c>
      <c r="Q32" s="87" t="str">
        <f>IF($C32="","",IF(INDEX(calc_netmode,27)=0,"—",INDEX(calc_proggap,27)))</f>
        <v>—</v>
      </c>
      <c r="AA32" s="88">
        <f t="shared" si="1"/>
        <v>10</v>
      </c>
      <c r="AB32" s="6">
        <f t="shared" si="2"/>
        <v>0.77156259585565445</v>
      </c>
      <c r="AC32" s="76">
        <f t="shared" si="3"/>
        <v>1.7657650715104528E-2</v>
      </c>
    </row>
    <row r="33" spans="1:29" x14ac:dyDescent="0.3">
      <c r="A33" s="79" t="str">
        <f>IF(INDEX(lr_key,28)="","",INDEX(lr_bu,28))</f>
        <v>MM</v>
      </c>
      <c r="B33" s="79" t="str">
        <f>IF(INDEX(lr_key,28)="","",INDEX(lr_state,28))</f>
        <v>IL</v>
      </c>
      <c r="C33" s="23" t="str">
        <f>INDEX(lr_key,28)</f>
        <v>MM|IL</v>
      </c>
      <c r="D33" s="80">
        <f>IF($C33="","",N(INDEX(lr_lrproj,28)))</f>
        <v>0.56799999999999995</v>
      </c>
      <c r="E33" s="52" t="str">
        <f>IF($C33="","",INDEX(lr_basis,28)&amp;"")</f>
        <v>current</v>
      </c>
      <c r="F33" s="80">
        <f>IF($C33="","",INDEX(calc_lrcur,28))</f>
        <v>0.56799999999999995</v>
      </c>
      <c r="G33" s="81">
        <f>IF($C33="","",INDEX(calc_cylr_p,28))</f>
        <v>0.57173334184566693</v>
      </c>
      <c r="H33" s="82">
        <f>IF($C33="","",(INDEX(calc_cylr_p,28)-INDEX(calc_lrcur,28))*100)</f>
        <v>0.3733341845666982</v>
      </c>
      <c r="I33" s="83">
        <f>IF($C33="","",INDEX(calc_arate_p,28))</f>
        <v>1.0000000000000002</v>
      </c>
      <c r="J33" s="83">
        <f>IF($C33="","",INDEX(calc_amod_p,28))</f>
        <v>1.0065727849395543</v>
      </c>
      <c r="K33" s="84">
        <f>IF($C33="","",INDEX(calc_echg,28))</f>
        <v>0</v>
      </c>
      <c r="L33" s="84">
        <f>IF($C33="","",INDEX(calc_carry,28))</f>
        <v>0</v>
      </c>
      <c r="M33" s="80">
        <f>IF($C33="","",INDEX(calc_cylr_p1,28))</f>
        <v>0.56820985244791078</v>
      </c>
      <c r="N33" s="85">
        <f>IF($C33="","",N(INDEX(lr_ep,28)))</f>
        <v>15200</v>
      </c>
      <c r="O33" s="86">
        <f t="shared" si="0"/>
        <v>1.8905472636815919E-2</v>
      </c>
      <c r="P33" s="80">
        <f>IF($C33="","",INDEX(calc_cylr_prog,28))</f>
        <v>0.57173334184566693</v>
      </c>
      <c r="Q33" s="87" t="str">
        <f>IF($C33="","",IF(INDEX(calc_netmode,28)=0,"—",INDEX(calc_proggap,28)))</f>
        <v>—</v>
      </c>
      <c r="AA33" s="88">
        <f t="shared" si="1"/>
        <v>31</v>
      </c>
      <c r="AB33" s="6">
        <f t="shared" si="2"/>
        <v>0.37333421756669821</v>
      </c>
      <c r="AC33" s="76">
        <f t="shared" si="3"/>
        <v>7.0580592107136967E-3</v>
      </c>
    </row>
    <row r="34" spans="1:29" x14ac:dyDescent="0.3">
      <c r="A34" s="79" t="str">
        <f>IF(INDEX(lr_key,29)="","",INDEX(lr_bu,29))</f>
        <v>MM</v>
      </c>
      <c r="B34" s="79" t="str">
        <f>IF(INDEX(lr_key,29)="","",INDEX(lr_state,29))</f>
        <v>IN</v>
      </c>
      <c r="C34" s="23" t="str">
        <f>INDEX(lr_key,29)</f>
        <v>MM|IN</v>
      </c>
      <c r="D34" s="80">
        <f>IF($C34="","",N(INDEX(lr_lrproj,29)))</f>
        <v>0.59599999999999997</v>
      </c>
      <c r="E34" s="52" t="str">
        <f>IF($C34="","",INDEX(lr_basis,29)&amp;"")</f>
        <v>current</v>
      </c>
      <c r="F34" s="80">
        <f>IF($C34="","",INDEX(calc_lrcur,29))</f>
        <v>0.59599999999999997</v>
      </c>
      <c r="G34" s="81">
        <f>IF($C34="","",INDEX(calc_cylr_p,29))</f>
        <v>0.60520471888651506</v>
      </c>
      <c r="H34" s="82">
        <f>IF($C34="","",(INDEX(calc_cylr_p,29)-INDEX(calc_lrcur,29))*100)</f>
        <v>0.92047188865150842</v>
      </c>
      <c r="I34" s="83">
        <f>IF($C34="","",INDEX(calc_arate_p,29))</f>
        <v>1</v>
      </c>
      <c r="J34" s="83">
        <f>IF($C34="","",INDEX(calc_amod_p,29))</f>
        <v>1.0154441592055623</v>
      </c>
      <c r="K34" s="84">
        <f>IF($C34="","",INDEX(calc_echg,29))</f>
        <v>0</v>
      </c>
      <c r="L34" s="84">
        <f>IF($C34="","",INDEX(calc_carry,29))</f>
        <v>0</v>
      </c>
      <c r="M34" s="80">
        <f>IF($C34="","",INDEX(calc_cylr_p1,29))</f>
        <v>0.6090145236521588</v>
      </c>
      <c r="N34" s="85">
        <f>IF($C34="","",N(INDEX(lr_ep,29)))</f>
        <v>12000</v>
      </c>
      <c r="O34" s="86">
        <f t="shared" si="0"/>
        <v>1.4925373134328358E-2</v>
      </c>
      <c r="P34" s="80">
        <f>IF($C34="","",INDEX(calc_cylr_prog,29))</f>
        <v>0.60520471888651506</v>
      </c>
      <c r="Q34" s="87" t="str">
        <f>IF($C34="","",IF(INDEX(calc_netmode,29)=0,"—",INDEX(calc_proggap,29)))</f>
        <v>—</v>
      </c>
      <c r="AA34" s="88">
        <f t="shared" si="1"/>
        <v>2</v>
      </c>
      <c r="AB34" s="6">
        <f t="shared" si="2"/>
        <v>0.92047192265150846</v>
      </c>
      <c r="AC34" s="76">
        <f t="shared" si="3"/>
        <v>1.3738386397783707E-2</v>
      </c>
    </row>
    <row r="35" spans="1:29" x14ac:dyDescent="0.3">
      <c r="A35" s="79" t="str">
        <f>IF(INDEX(lr_key,30)="","",INDEX(lr_bu,30))</f>
        <v>MM</v>
      </c>
      <c r="B35" s="79" t="str">
        <f>IF(INDEX(lr_key,30)="","",INDEX(lr_state,30))</f>
        <v>KY</v>
      </c>
      <c r="C35" s="23" t="str">
        <f>INDEX(lr_key,30)</f>
        <v>MM|KY</v>
      </c>
      <c r="D35" s="80">
        <f>IF($C35="","",N(INDEX(lr_lrproj,30)))</f>
        <v>0.57999999999999996</v>
      </c>
      <c r="E35" s="52" t="str">
        <f>IF($C35="","",INDEX(lr_basis,30)&amp;"")</f>
        <v>current</v>
      </c>
      <c r="F35" s="80">
        <f>IF($C35="","",INDEX(calc_lrcur,30))</f>
        <v>0.57999999999999996</v>
      </c>
      <c r="G35" s="81">
        <f>IF($C35="","",INDEX(calc_cylr_p,30))</f>
        <v>0.58363103989266396</v>
      </c>
      <c r="H35" s="82">
        <f>IF($C35="","",(INDEX(calc_cylr_p,30)-INDEX(calc_lrcur,30))*100)</f>
        <v>0.36310398926640008</v>
      </c>
      <c r="I35" s="83">
        <f>IF($C35="","",INDEX(calc_arate_p,30))</f>
        <v>0.99750623441396513</v>
      </c>
      <c r="J35" s="83">
        <f>IF($C35="","",INDEX(calc_amod_p,30))</f>
        <v>1.0087760646420616</v>
      </c>
      <c r="K35" s="84">
        <f>IF($C35="","",INDEX(calc_echg,30))</f>
        <v>2.4999999999999467E-3</v>
      </c>
      <c r="L35" s="84">
        <f>IF($C35="","",INDEX(calc_carry,30))</f>
        <v>3.4912718204488602E-2</v>
      </c>
      <c r="M35" s="80">
        <f>IF($C35="","",INDEX(calc_cylr_p1,30))</f>
        <v>0.56219536977999618</v>
      </c>
      <c r="N35" s="85">
        <f>IF($C35="","",N(INDEX(lr_ep,30)))</f>
        <v>8800</v>
      </c>
      <c r="O35" s="86">
        <f t="shared" si="0"/>
        <v>1.0945273631840797E-2</v>
      </c>
      <c r="P35" s="80">
        <f>IF($C35="","",INDEX(calc_cylr_prog,30))</f>
        <v>0.58363103989266396</v>
      </c>
      <c r="Q35" s="87" t="str">
        <f>IF($C35="","",IF(INDEX(calc_netmode,30)=0,"—",INDEX(calc_proggap,30)))</f>
        <v>—</v>
      </c>
      <c r="AA35" s="88">
        <f t="shared" si="1"/>
        <v>32</v>
      </c>
      <c r="AB35" s="6">
        <f t="shared" si="2"/>
        <v>0.36310402426640009</v>
      </c>
      <c r="AC35" s="76">
        <f t="shared" si="3"/>
        <v>3.9742725193337323E-3</v>
      </c>
    </row>
    <row r="36" spans="1:29" x14ac:dyDescent="0.3">
      <c r="A36" s="79" t="str">
        <f>IF(INDEX(lr_key,31)="","",INDEX(lr_bu,31))</f>
        <v>MM</v>
      </c>
      <c r="B36" s="79" t="str">
        <f>IF(INDEX(lr_key,31)="","",INDEX(lr_state,31))</f>
        <v>MD</v>
      </c>
      <c r="C36" s="23" t="str">
        <f>INDEX(lr_key,31)</f>
        <v>MM|MD</v>
      </c>
      <c r="D36" s="80">
        <f>IF($C36="","",N(INDEX(lr_lrproj,31)))</f>
        <v>0.56399999999999995</v>
      </c>
      <c r="E36" s="52" t="str">
        <f>IF($C36="","",INDEX(lr_basis,31)&amp;"")</f>
        <v>current</v>
      </c>
      <c r="F36" s="80">
        <f>IF($C36="","",INDEX(calc_lrcur,31))</f>
        <v>0.56399999999999995</v>
      </c>
      <c r="G36" s="81">
        <f>IF($C36="","",INDEX(calc_cylr_p,31))</f>
        <v>0.5652379648923469</v>
      </c>
      <c r="H36" s="82">
        <f>IF($C36="","",(INDEX(calc_cylr_p,31)-INDEX(calc_lrcur,31))*100)</f>
        <v>0.12379648923469544</v>
      </c>
      <c r="I36" s="83">
        <f>IF($C36="","",INDEX(calc_arate_p,31))</f>
        <v>0.99999999999999978</v>
      </c>
      <c r="J36" s="83">
        <f>IF($C36="","",INDEX(calc_amod_p,31))</f>
        <v>1.0021949732133812</v>
      </c>
      <c r="K36" s="84">
        <f>IF($C36="","",INDEX(calc_echg,31))</f>
        <v>0</v>
      </c>
      <c r="L36" s="84">
        <f>IF($C36="","",INDEX(calc_carry,31))</f>
        <v>0</v>
      </c>
      <c r="M36" s="80">
        <f>IF($C36="","",INDEX(calc_cylr_p1,31))</f>
        <v>0.55834346642527588</v>
      </c>
      <c r="N36" s="85">
        <f>IF($C36="","",N(INDEX(lr_ep,31)))</f>
        <v>19200</v>
      </c>
      <c r="O36" s="86">
        <f t="shared" si="0"/>
        <v>2.3880597014925373E-2</v>
      </c>
      <c r="P36" s="80">
        <f>IF($C36="","",INDEX(calc_cylr_prog,31))</f>
        <v>0.5652379648923469</v>
      </c>
      <c r="Q36" s="87" t="str">
        <f>IF($C36="","",IF(INDEX(calc_netmode,31)=0,"—",INDEX(calc_proggap,31)))</f>
        <v>—</v>
      </c>
      <c r="AA36" s="88">
        <f t="shared" si="1"/>
        <v>46</v>
      </c>
      <c r="AB36" s="6">
        <f t="shared" si="2"/>
        <v>0.12379652523469543</v>
      </c>
      <c r="AC36" s="76">
        <f t="shared" si="3"/>
        <v>2.9563340712763092E-3</v>
      </c>
    </row>
    <row r="37" spans="1:29" x14ac:dyDescent="0.3">
      <c r="A37" s="79" t="str">
        <f>IF(INDEX(lr_key,32)="","",INDEX(lr_bu,32))</f>
        <v>MM</v>
      </c>
      <c r="B37" s="79" t="str">
        <f>IF(INDEX(lr_key,32)="","",INDEX(lr_state,32))</f>
        <v>MI</v>
      </c>
      <c r="C37" s="23" t="str">
        <f>INDEX(lr_key,32)</f>
        <v>MM|MI</v>
      </c>
      <c r="D37" s="80">
        <f>IF($C37="","",N(INDEX(lr_lrproj,32)))</f>
        <v>0.59199999999999997</v>
      </c>
      <c r="E37" s="52" t="str">
        <f>IF($C37="","",INDEX(lr_basis,32)&amp;"")</f>
        <v>current</v>
      </c>
      <c r="F37" s="80">
        <f>IF($C37="","",INDEX(calc_lrcur,32))</f>
        <v>0.59199999999999997</v>
      </c>
      <c r="G37" s="81">
        <f>IF($C37="","",INDEX(calc_cylr_p,32))</f>
        <v>0.59862657593266544</v>
      </c>
      <c r="H37" s="82">
        <f>IF($C37="","",(INDEX(calc_cylr_p,32)-INDEX(calc_lrcur,32))*100)</f>
        <v>0.66265759326654683</v>
      </c>
      <c r="I37" s="83">
        <f>IF($C37="","",INDEX(calc_arate_p,32))</f>
        <v>1.0002023062917256</v>
      </c>
      <c r="J37" s="83">
        <f>IF($C37="","",INDEX(calc_amod_p,32))</f>
        <v>1.0109890109890112</v>
      </c>
      <c r="K37" s="84">
        <f>IF($C37="","",INDEX(calc_echg,32))</f>
        <v>-2.022653721680534E-4</v>
      </c>
      <c r="L37" s="84">
        <f>IF($C37="","",INDEX(calc_carry,32))</f>
        <v>2.0230629172557357E-4</v>
      </c>
      <c r="M37" s="80">
        <f>IF($C37="","",INDEX(calc_cylr_p1,32))</f>
        <v>0.59850549450549462</v>
      </c>
      <c r="N37" s="85">
        <f>IF($C37="","",N(INDEX(lr_ep,32)))</f>
        <v>16000</v>
      </c>
      <c r="O37" s="86">
        <f t="shared" si="0"/>
        <v>1.9900497512437811E-2</v>
      </c>
      <c r="P37" s="80">
        <f>IF($C37="","",INDEX(calc_cylr_prog,32))</f>
        <v>0.59862657593266544</v>
      </c>
      <c r="Q37" s="87" t="str">
        <f>IF($C37="","",IF(INDEX(calc_netmode,32)=0,"—",INDEX(calc_proggap,32)))</f>
        <v>—</v>
      </c>
      <c r="AA37" s="88">
        <f t="shared" si="1"/>
        <v>17</v>
      </c>
      <c r="AB37" s="6">
        <f t="shared" si="2"/>
        <v>0.66265763026654678</v>
      </c>
      <c r="AC37" s="76">
        <f t="shared" si="3"/>
        <v>1.3187215786398941E-2</v>
      </c>
    </row>
    <row r="38" spans="1:29" x14ac:dyDescent="0.3">
      <c r="A38" s="79" t="str">
        <f>IF(INDEX(lr_key,33)="","",INDEX(lr_bu,33))</f>
        <v>MM</v>
      </c>
      <c r="B38" s="79" t="str">
        <f>IF(INDEX(lr_key,33)="","",INDEX(lr_state,33))</f>
        <v>MN</v>
      </c>
      <c r="C38" s="23" t="str">
        <f>INDEX(lr_key,33)</f>
        <v>MM|MN</v>
      </c>
      <c r="D38" s="80">
        <f>IF($C38="","",N(INDEX(lr_lrproj,33)))</f>
        <v>0.57599999999999996</v>
      </c>
      <c r="E38" s="52" t="str">
        <f>IF($C38="","",INDEX(lr_basis,33)&amp;"")</f>
        <v>current</v>
      </c>
      <c r="F38" s="80">
        <f>IF($C38="","",INDEX(calc_lrcur,33))</f>
        <v>0.57599999999999996</v>
      </c>
      <c r="G38" s="81">
        <f>IF($C38="","",INDEX(calc_cylr_p,33))</f>
        <v>0.57852236659992762</v>
      </c>
      <c r="H38" s="82">
        <f>IF($C38="","",(INDEX(calc_cylr_p,33)-INDEX(calc_lrcur,33))*100)</f>
        <v>0.25223665999276612</v>
      </c>
      <c r="I38" s="83">
        <f>IF($C38="","",INDEX(calc_arate_p,33))</f>
        <v>1</v>
      </c>
      <c r="J38" s="83">
        <f>IF($C38="","",INDEX(calc_amod_p,33))</f>
        <v>1.0043791086804299</v>
      </c>
      <c r="K38" s="84">
        <f>IF($C38="","",INDEX(calc_echg,33))</f>
        <v>0</v>
      </c>
      <c r="L38" s="84">
        <f>IF($C38="","",INDEX(calc_carry,33))</f>
        <v>0</v>
      </c>
      <c r="M38" s="80">
        <f>IF($C38="","",INDEX(calc_cylr_p1,33))</f>
        <v>0.5732023144417896</v>
      </c>
      <c r="N38" s="85">
        <f>IF($C38="","",N(INDEX(lr_ep,33)))</f>
        <v>12800</v>
      </c>
      <c r="O38" s="86">
        <f t="shared" ref="O38:O74" si="8">IF($C38="","",IF(SUM($N$6:$N$74)=0,0,N($N38)/SUM($N$6:$N$74)))</f>
        <v>1.5920398009950248E-2</v>
      </c>
      <c r="P38" s="80">
        <f>IF($C38="","",INDEX(calc_cylr_prog,33))</f>
        <v>0.57852236659992762</v>
      </c>
      <c r="Q38" s="87" t="str">
        <f>IF($C38="","",IF(INDEX(calc_netmode,33)=0,"—",INDEX(calc_proggap,33)))</f>
        <v>—</v>
      </c>
      <c r="AA38" s="88">
        <f t="shared" ref="AA38:AA74" si="9">IF($C38="","",RANK($H38,$H$6:$H$74))</f>
        <v>36</v>
      </c>
      <c r="AB38" s="6">
        <f t="shared" ref="AB38:AB74" si="10">IF($C38="","",$H38+ROW()/1000000000)</f>
        <v>0.2522366979927661</v>
      </c>
      <c r="AC38" s="76">
        <f t="shared" ref="AC38:AC74" si="11">IF(OR($C38="",$O38=""),"",N($O38)*$H38)</f>
        <v>4.0157080197853311E-3</v>
      </c>
    </row>
    <row r="39" spans="1:29" x14ac:dyDescent="0.3">
      <c r="A39" s="79" t="str">
        <f>IF(INDEX(lr_key,34)="","",INDEX(lr_bu,34))</f>
        <v>MM</v>
      </c>
      <c r="B39" s="79" t="str">
        <f>IF(INDEX(lr_key,34)="","",INDEX(lr_state,34))</f>
        <v>NM</v>
      </c>
      <c r="C39" s="23" t="str">
        <f>INDEX(lr_key,34)</f>
        <v>MM|NM</v>
      </c>
      <c r="D39" s="80">
        <f>IF($C39="","",N(INDEX(lr_lrproj,34)))</f>
        <v>0.56000000000000005</v>
      </c>
      <c r="E39" s="52" t="str">
        <f>IF($C39="","",INDEX(lr_basis,34)&amp;"")</f>
        <v>current</v>
      </c>
      <c r="F39" s="80">
        <f>IF($C39="","",INDEX(calc_lrcur,34))</f>
        <v>0.56000000000000005</v>
      </c>
      <c r="G39" s="81">
        <f>IF($C39="","",INDEX(calc_cylr_p,34))</f>
        <v>0.55790094570011051</v>
      </c>
      <c r="H39" s="82">
        <f>IF($C39="","",(INDEX(calc_cylr_p,34)-INDEX(calc_lrcur,34))*100)</f>
        <v>-0.20990542998895467</v>
      </c>
      <c r="I39" s="83">
        <f>IF($C39="","",INDEX(calc_arate_p,34))</f>
        <v>0.98326114947910559</v>
      </c>
      <c r="J39" s="83">
        <f>IF($C39="","",INDEX(calc_amod_p,34))</f>
        <v>1.0132116877372543</v>
      </c>
      <c r="K39" s="84">
        <f>IF($C39="","",INDEX(calc_echg,34))</f>
        <v>1.7023809523809552E-2</v>
      </c>
      <c r="L39" s="84">
        <f>IF($C39="","",INDEX(calc_carry,34))</f>
        <v>2.2591595458270053E-2</v>
      </c>
      <c r="M39" s="80">
        <f>IF($C39="","",INDEX(calc_cylr_p1,34))</f>
        <v>0.54728357832571517</v>
      </c>
      <c r="N39" s="85">
        <f>IF($C39="","",N(INDEX(lr_ep,34)))</f>
        <v>9600</v>
      </c>
      <c r="O39" s="86">
        <f t="shared" si="8"/>
        <v>1.1940298507462687E-2</v>
      </c>
      <c r="P39" s="80">
        <f>IF($C39="","",INDEX(calc_cylr_prog,34))</f>
        <v>0.55790094570011051</v>
      </c>
      <c r="Q39" s="87" t="str">
        <f>IF($C39="","",IF(INDEX(calc_netmode,34)=0,"—",INDEX(calc_proggap,34)))</f>
        <v>—</v>
      </c>
      <c r="AA39" s="88">
        <f t="shared" si="9"/>
        <v>51</v>
      </c>
      <c r="AB39" s="6">
        <f t="shared" si="10"/>
        <v>-0.20990539098895467</v>
      </c>
      <c r="AC39" s="76">
        <f t="shared" si="11"/>
        <v>-2.5063334924054288E-3</v>
      </c>
    </row>
    <row r="40" spans="1:29" x14ac:dyDescent="0.3">
      <c r="A40" s="79" t="str">
        <f>IF(INDEX(lr_key,35)="","",INDEX(lr_bu,35))</f>
        <v>MM</v>
      </c>
      <c r="B40" s="79" t="str">
        <f>IF(INDEX(lr_key,35)="","",INDEX(lr_state,35))</f>
        <v>NC</v>
      </c>
      <c r="C40" s="23" t="str">
        <f>INDEX(lr_key,35)</f>
        <v>MM|NC</v>
      </c>
      <c r="D40" s="80">
        <f>IF($C40="","",N(INDEX(lr_lrproj,35)))</f>
        <v>0.58799999999999997</v>
      </c>
      <c r="E40" s="52" t="str">
        <f>IF($C40="","",INDEX(lr_basis,35)&amp;"")</f>
        <v>current</v>
      </c>
      <c r="F40" s="80">
        <f>IF($C40="","",INDEX(calc_lrcur,35))</f>
        <v>0.58799999999999997</v>
      </c>
      <c r="G40" s="81">
        <f>IF($C40="","",INDEX(calc_cylr_p,35))</f>
        <v>0.59561077727575185</v>
      </c>
      <c r="H40" s="82">
        <f>IF($C40="","",(INDEX(calc_cylr_p,35)-INDEX(calc_lrcur,35))*100)</f>
        <v>0.76107772757518788</v>
      </c>
      <c r="I40" s="83">
        <f>IF($C40="","",INDEX(calc_arate_p,35))</f>
        <v>1.0063291139240507</v>
      </c>
      <c r="J40" s="83">
        <f>IF($C40="","",INDEX(calc_amod_p,35))</f>
        <v>1.0065727849395543</v>
      </c>
      <c r="K40" s="84">
        <f>IF($C40="","",INDEX(calc_echg,35))</f>
        <v>-6.2893081761005165E-3</v>
      </c>
      <c r="L40" s="84">
        <f>IF($C40="","",INDEX(calc_carry,35))</f>
        <v>6.3291139240508887E-3</v>
      </c>
      <c r="M40" s="80">
        <f>IF($C40="","",INDEX(calc_cylr_p1,35))</f>
        <v>0.58821724161861155</v>
      </c>
      <c r="N40" s="85">
        <f>IF($C40="","",N(INDEX(lr_ep,35)))</f>
        <v>6400</v>
      </c>
      <c r="O40" s="86">
        <f t="shared" si="8"/>
        <v>7.9601990049751239E-3</v>
      </c>
      <c r="P40" s="80">
        <f>IF($C40="","",INDEX(calc_cylr_prog,35))</f>
        <v>0.59561077727575185</v>
      </c>
      <c r="Q40" s="87" t="str">
        <f>IF($C40="","",IF(INDEX(calc_netmode,35)=0,"—",INDEX(calc_proggap,35)))</f>
        <v>—</v>
      </c>
      <c r="AA40" s="88">
        <f t="shared" si="9"/>
        <v>13</v>
      </c>
      <c r="AB40" s="6">
        <f t="shared" si="10"/>
        <v>0.76107776757518786</v>
      </c>
      <c r="AC40" s="76">
        <f t="shared" si="11"/>
        <v>6.0583301697527386E-3</v>
      </c>
    </row>
    <row r="41" spans="1:29" x14ac:dyDescent="0.3">
      <c r="A41" s="79" t="str">
        <f>IF(INDEX(lr_key,36)="","",INDEX(lr_bu,36))</f>
        <v>MM</v>
      </c>
      <c r="B41" s="79" t="str">
        <f>IF(INDEX(lr_key,36)="","",INDEX(lr_state,36))</f>
        <v>OH</v>
      </c>
      <c r="C41" s="23" t="str">
        <f>INDEX(lr_key,36)</f>
        <v>MM|OH</v>
      </c>
      <c r="D41" s="80">
        <f>IF($C41="","",N(INDEX(lr_lrproj,36)))</f>
        <v>0.57199999999999995</v>
      </c>
      <c r="E41" s="52" t="str">
        <f>IF($C41="","",INDEX(lr_basis,36)&amp;"")</f>
        <v>current</v>
      </c>
      <c r="F41" s="80">
        <f>IF($C41="","",INDEX(calc_lrcur,36))</f>
        <v>0.57199999999999995</v>
      </c>
      <c r="G41" s="81">
        <f>IF($C41="","",INDEX(calc_cylr_p,36))</f>
        <v>0.58083405906558161</v>
      </c>
      <c r="H41" s="82">
        <f>IF($C41="","",(INDEX(calc_cylr_p,36)-INDEX(calc_lrcur,36))*100)</f>
        <v>0.88340590655816564</v>
      </c>
      <c r="I41" s="83">
        <f>IF($C41="","",INDEX(calc_arate_p,36))</f>
        <v>1</v>
      </c>
      <c r="J41" s="83">
        <f>IF($C41="","",INDEX(calc_amod_p,36))</f>
        <v>1.0154441592055623</v>
      </c>
      <c r="K41" s="84">
        <f>IF($C41="","",INDEX(calc_echg,36))</f>
        <v>0</v>
      </c>
      <c r="L41" s="84">
        <f>IF($C41="","",INDEX(calc_carry,36))</f>
        <v>0</v>
      </c>
      <c r="M41" s="80">
        <f>IF($C41="","",INDEX(calc_cylr_p1,36))</f>
        <v>0.58449044887421953</v>
      </c>
      <c r="N41" s="85">
        <f>IF($C41="","",N(INDEX(lr_ep,36)))</f>
        <v>16800</v>
      </c>
      <c r="O41" s="86">
        <f t="shared" si="8"/>
        <v>2.0895522388059702E-2</v>
      </c>
      <c r="P41" s="80">
        <f>IF($C41="","",INDEX(calc_cylr_prog,36))</f>
        <v>0.58083405906558161</v>
      </c>
      <c r="Q41" s="87" t="str">
        <f>IF($C41="","",IF(INDEX(calc_netmode,36)=0,"—",INDEX(calc_proggap,36)))</f>
        <v>—</v>
      </c>
      <c r="AA41" s="88">
        <f t="shared" si="9"/>
        <v>6</v>
      </c>
      <c r="AB41" s="6">
        <f t="shared" si="10"/>
        <v>0.88340594755816559</v>
      </c>
      <c r="AC41" s="76">
        <f t="shared" si="11"/>
        <v>1.8459227898230329E-2</v>
      </c>
    </row>
    <row r="42" spans="1:29" x14ac:dyDescent="0.3">
      <c r="A42" s="79" t="str">
        <f>IF(INDEX(lr_key,37)="","",INDEX(lr_bu,37))</f>
        <v>MM</v>
      </c>
      <c r="B42" s="79" t="str">
        <f>IF(INDEX(lr_key,37)="","",INDEX(lr_state,37))</f>
        <v>PA</v>
      </c>
      <c r="C42" s="23" t="str">
        <f>INDEX(lr_key,37)</f>
        <v>MM|PA</v>
      </c>
      <c r="D42" s="80">
        <f>IF($C42="","",N(INDEX(lr_lrproj,37)))</f>
        <v>0.6</v>
      </c>
      <c r="E42" s="52" t="str">
        <f>IF($C42="","",INDEX(lr_basis,37)&amp;"")</f>
        <v>current</v>
      </c>
      <c r="F42" s="80">
        <f>IF($C42="","",INDEX(calc_lrcur,37))</f>
        <v>0.6</v>
      </c>
      <c r="G42" s="81">
        <f>IF($C42="","",INDEX(calc_cylr_p,37))</f>
        <v>0.60526563878523698</v>
      </c>
      <c r="H42" s="82">
        <f>IF($C42="","",(INDEX(calc_cylr_p,37)-INDEX(calc_lrcur,37))*100)</f>
        <v>0.52656387852370035</v>
      </c>
      <c r="I42" s="83">
        <f>IF($C42="","",INDEX(calc_arate_p,37))</f>
        <v>1</v>
      </c>
      <c r="J42" s="83">
        <f>IF($C42="","",INDEX(calc_amod_p,37))</f>
        <v>1.0087760646420616</v>
      </c>
      <c r="K42" s="84">
        <f>IF($C42="","",INDEX(calc_echg,37))</f>
        <v>0</v>
      </c>
      <c r="L42" s="84">
        <f>IF($C42="","",INDEX(calc_carry,37))</f>
        <v>0</v>
      </c>
      <c r="M42" s="80">
        <f>IF($C42="","",INDEX(calc_cylr_p1,37))</f>
        <v>0.60339072015180617</v>
      </c>
      <c r="N42" s="85">
        <f>IF($C42="","",N(INDEX(lr_ep,37)))</f>
        <v>13600</v>
      </c>
      <c r="O42" s="86">
        <f t="shared" si="8"/>
        <v>1.6915422885572139E-2</v>
      </c>
      <c r="P42" s="80">
        <f>IF($C42="","",INDEX(calc_cylr_prog,37))</f>
        <v>0.60526563878523698</v>
      </c>
      <c r="Q42" s="87" t="str">
        <f>IF($C42="","",IF(INDEX(calc_netmode,37)=0,"—",INDEX(calc_proggap,37)))</f>
        <v>—</v>
      </c>
      <c r="AA42" s="88">
        <f t="shared" si="9"/>
        <v>22</v>
      </c>
      <c r="AB42" s="6">
        <f t="shared" si="10"/>
        <v>0.52656392052370038</v>
      </c>
      <c r="AC42" s="76">
        <f t="shared" si="11"/>
        <v>8.9070506814954292E-3</v>
      </c>
    </row>
    <row r="43" spans="1:29" x14ac:dyDescent="0.3">
      <c r="A43" s="79" t="str">
        <f>IF(INDEX(lr_key,38)="","",INDEX(lr_bu,38))</f>
        <v>MM</v>
      </c>
      <c r="B43" s="79" t="str">
        <f>IF(INDEX(lr_key,38)="","",INDEX(lr_state,38))</f>
        <v>SC</v>
      </c>
      <c r="C43" s="23" t="str">
        <f>INDEX(lr_key,38)</f>
        <v>MM|SC</v>
      </c>
      <c r="D43" s="80">
        <f>IF($C43="","",N(INDEX(lr_lrproj,38)))</f>
        <v>0.58399999999999996</v>
      </c>
      <c r="E43" s="52" t="str">
        <f>IF($C43="","",INDEX(lr_basis,38)&amp;"")</f>
        <v>current</v>
      </c>
      <c r="F43" s="80">
        <f>IF($C43="","",INDEX(calc_lrcur,38))</f>
        <v>0.58399999999999996</v>
      </c>
      <c r="G43" s="81">
        <f>IF($C43="","",INDEX(calc_cylr_p,38))</f>
        <v>0.58124543770587933</v>
      </c>
      <c r="H43" s="82">
        <f>IF($C43="","",(INDEX(calc_cylr_p,38)-INDEX(calc_lrcur,38))*100)</f>
        <v>-0.27545622941206327</v>
      </c>
      <c r="I43" s="83">
        <f>IF($C43="","",INDEX(calc_arate_p,38))</f>
        <v>0.99310344827586206</v>
      </c>
      <c r="J43" s="83">
        <f>IF($C43="","",INDEX(calc_amod_p,38))</f>
        <v>1.0021949732133812</v>
      </c>
      <c r="K43" s="84">
        <f>IF($C43="","",INDEX(calc_echg,38))</f>
        <v>6.9444444444444198E-3</v>
      </c>
      <c r="L43" s="84">
        <f>IF($C43="","",INDEX(calc_carry,38))</f>
        <v>3.2551724137930949E-2</v>
      </c>
      <c r="M43" s="80">
        <f>IF($C43="","",INDEX(calc_cylr_p1,38))</f>
        <v>0.55605513450758215</v>
      </c>
      <c r="N43" s="85">
        <f>IF($C43="","",N(INDEX(lr_ep,38)))</f>
        <v>10400</v>
      </c>
      <c r="O43" s="86">
        <f t="shared" si="8"/>
        <v>1.2935323383084577E-2</v>
      </c>
      <c r="P43" s="80">
        <f>IF($C43="","",INDEX(calc_cylr_prog,38))</f>
        <v>0.58124543770587933</v>
      </c>
      <c r="Q43" s="87" t="str">
        <f>IF($C43="","",IF(INDEX(calc_netmode,38)=0,"—",INDEX(calc_proggap,38)))</f>
        <v>—</v>
      </c>
      <c r="AA43" s="88">
        <f t="shared" si="9"/>
        <v>52</v>
      </c>
      <c r="AB43" s="6">
        <f t="shared" si="10"/>
        <v>-0.27545618641206326</v>
      </c>
      <c r="AC43" s="76">
        <f t="shared" si="11"/>
        <v>-3.5631154053301713E-3</v>
      </c>
    </row>
    <row r="44" spans="1:29" x14ac:dyDescent="0.3">
      <c r="A44" s="79" t="str">
        <f>IF(INDEX(lr_key,39)="","",INDEX(lr_bu,39))</f>
        <v>MM</v>
      </c>
      <c r="B44" s="79" t="str">
        <f>IF(INDEX(lr_key,39)="","",INDEX(lr_state,39))</f>
        <v>TN</v>
      </c>
      <c r="C44" s="23" t="str">
        <f>INDEX(lr_key,39)</f>
        <v>MM|TN</v>
      </c>
      <c r="D44" s="80">
        <f>IF($C44="","",N(INDEX(lr_lrproj,39)))</f>
        <v>0.56799999999999995</v>
      </c>
      <c r="E44" s="52" t="str">
        <f>IF($C44="","",INDEX(lr_basis,39)&amp;"")</f>
        <v>current</v>
      </c>
      <c r="F44" s="80">
        <f>IF($C44="","",INDEX(calc_lrcur,39))</f>
        <v>0.56799999999999995</v>
      </c>
      <c r="G44" s="81">
        <f>IF($C44="","",INDEX(calc_cylr_p,39))</f>
        <v>0.57424175824175827</v>
      </c>
      <c r="H44" s="82">
        <f>IF($C44="","",(INDEX(calc_cylr_p,39)-INDEX(calc_lrcur,39))*100)</f>
        <v>0.62417582417583217</v>
      </c>
      <c r="I44" s="83">
        <f>IF($C44="","",INDEX(calc_arate_p,39))</f>
        <v>1</v>
      </c>
      <c r="J44" s="83">
        <f>IF($C44="","",INDEX(calc_amod_p,39))</f>
        <v>1.0109890109890112</v>
      </c>
      <c r="K44" s="84">
        <f>IF($C44="","",INDEX(calc_echg,39))</f>
        <v>0</v>
      </c>
      <c r="L44" s="84">
        <f>IF($C44="","",INDEX(calc_carry,39))</f>
        <v>0</v>
      </c>
      <c r="M44" s="80">
        <f>IF($C44="","",INDEX(calc_cylr_p1,39))</f>
        <v>0.57424175824175827</v>
      </c>
      <c r="N44" s="85">
        <f>IF($C44="","",N(INDEX(lr_ep,39)))</f>
        <v>7200</v>
      </c>
      <c r="O44" s="86">
        <f t="shared" si="8"/>
        <v>8.9552238805970154E-3</v>
      </c>
      <c r="P44" s="80">
        <f>IF($C44="","",INDEX(calc_cylr_prog,39))</f>
        <v>0.57424175824175827</v>
      </c>
      <c r="Q44" s="87" t="str">
        <f>IF($C44="","",IF(INDEX(calc_netmode,39)=0,"—",INDEX(calc_proggap,39)))</f>
        <v>—</v>
      </c>
      <c r="AA44" s="88">
        <f t="shared" si="9"/>
        <v>20</v>
      </c>
      <c r="AB44" s="6">
        <f t="shared" si="10"/>
        <v>0.62417586817583215</v>
      </c>
      <c r="AC44" s="76">
        <f t="shared" si="11"/>
        <v>5.5896342463507363E-3</v>
      </c>
    </row>
    <row r="45" spans="1:29" x14ac:dyDescent="0.3">
      <c r="A45" s="79" t="str">
        <f>IF(INDEX(lr_key,40)="","",INDEX(lr_bu,40))</f>
        <v>MM</v>
      </c>
      <c r="B45" s="79" t="str">
        <f>IF(INDEX(lr_key,40)="","",INDEX(lr_state,40))</f>
        <v>VA</v>
      </c>
      <c r="C45" s="23" t="str">
        <f>INDEX(lr_key,40)</f>
        <v>MM|VA</v>
      </c>
      <c r="D45" s="80">
        <f>IF($C45="","",N(INDEX(lr_lrproj,40)))</f>
        <v>0.59599999999999997</v>
      </c>
      <c r="E45" s="52" t="str">
        <f>IF($C45="","",INDEX(lr_basis,40)&amp;"")</f>
        <v>current</v>
      </c>
      <c r="F45" s="80">
        <f>IF($C45="","",INDEX(calc_lrcur,40))</f>
        <v>0.59599999999999997</v>
      </c>
      <c r="G45" s="81">
        <f>IF($C45="","",INDEX(calc_cylr_p,40))</f>
        <v>0.59860994877353613</v>
      </c>
      <c r="H45" s="82">
        <f>IF($C45="","",(INDEX(calc_cylr_p,40)-INDEX(calc_lrcur,40))*100)</f>
        <v>0.26099487735361526</v>
      </c>
      <c r="I45" s="83">
        <f>IF($C45="","",INDEX(calc_arate_p,40))</f>
        <v>0.99999999999999978</v>
      </c>
      <c r="J45" s="83">
        <f>IF($C45="","",INDEX(calc_amod_p,40))</f>
        <v>1.0043791086804299</v>
      </c>
      <c r="K45" s="84">
        <f>IF($C45="","",INDEX(calc_echg,40))</f>
        <v>0</v>
      </c>
      <c r="L45" s="84">
        <f>IF($C45="","",INDEX(calc_carry,40))</f>
        <v>0</v>
      </c>
      <c r="M45" s="80">
        <f>IF($C45="","",INDEX(calc_cylr_p1,40))</f>
        <v>0.59310517258212936</v>
      </c>
      <c r="N45" s="85">
        <f>IF($C45="","",N(INDEX(lr_ep,40)))</f>
        <v>17600</v>
      </c>
      <c r="O45" s="86">
        <f t="shared" si="8"/>
        <v>2.1890547263681594E-2</v>
      </c>
      <c r="P45" s="80">
        <f>IF($C45="","",INDEX(calc_cylr_prog,40))</f>
        <v>0.59860994877353613</v>
      </c>
      <c r="Q45" s="87" t="str">
        <f>IF($C45="","",IF(INDEX(calc_netmode,40)=0,"—",INDEX(calc_proggap,40)))</f>
        <v>—</v>
      </c>
      <c r="AA45" s="88">
        <f t="shared" si="9"/>
        <v>33</v>
      </c>
      <c r="AB45" s="6">
        <f t="shared" si="10"/>
        <v>0.26099492235361527</v>
      </c>
      <c r="AC45" s="76">
        <f t="shared" si="11"/>
        <v>5.7133206982880958E-3</v>
      </c>
    </row>
    <row r="46" spans="1:29" x14ac:dyDescent="0.3">
      <c r="A46" s="79" t="str">
        <f>IF(INDEX(lr_key,41)="","",INDEX(lr_bu,41))</f>
        <v>MM</v>
      </c>
      <c r="B46" s="79" t="str">
        <f>IF(INDEX(lr_key,41)="","",INDEX(lr_state,41))</f>
        <v>WV</v>
      </c>
      <c r="C46" s="23" t="str">
        <f>INDEX(lr_key,41)</f>
        <v>MM|WV</v>
      </c>
      <c r="D46" s="80">
        <f>IF($C46="","",N(INDEX(lr_lrproj,41)))</f>
        <v>0.57999999999999996</v>
      </c>
      <c r="E46" s="52" t="str">
        <f>IF($C46="","",INDEX(lr_basis,41)&amp;"")</f>
        <v>current</v>
      </c>
      <c r="F46" s="80">
        <f>IF($C46="","",INDEX(calc_lrcur,41))</f>
        <v>0.57999999999999996</v>
      </c>
      <c r="G46" s="81">
        <f>IF($C46="","",INDEX(calc_cylr_p,41))</f>
        <v>0.58766277888760732</v>
      </c>
      <c r="H46" s="82">
        <f>IF($C46="","",(INDEX(calc_cylr_p,41)-INDEX(calc_lrcur,41))*100)</f>
        <v>0.76627788876073577</v>
      </c>
      <c r="I46" s="83">
        <f>IF($C46="","",INDEX(calc_arate_p,41))</f>
        <v>0.99999999999999978</v>
      </c>
      <c r="J46" s="83">
        <f>IF($C46="","",INDEX(calc_amod_p,41))</f>
        <v>1.0132116877372543</v>
      </c>
      <c r="K46" s="84">
        <f>IF($C46="","",INDEX(calc_echg,41))</f>
        <v>0</v>
      </c>
      <c r="L46" s="84">
        <f>IF($C46="","",INDEX(calc_carry,41))</f>
        <v>0</v>
      </c>
      <c r="M46" s="80">
        <f>IF($C46="","",INDEX(calc_cylr_p1,41))</f>
        <v>0.58950259722512732</v>
      </c>
      <c r="N46" s="85">
        <f>IF($C46="","",N(INDEX(lr_ep,41)))</f>
        <v>14400</v>
      </c>
      <c r="O46" s="86">
        <f t="shared" si="8"/>
        <v>1.7910447761194031E-2</v>
      </c>
      <c r="P46" s="80">
        <f>IF($C46="","",INDEX(calc_cylr_prog,41))</f>
        <v>0.58766277888760732</v>
      </c>
      <c r="Q46" s="87" t="str">
        <f>IF($C46="","",IF(INDEX(calc_netmode,41)=0,"—",INDEX(calc_proggap,41)))</f>
        <v>—</v>
      </c>
      <c r="AA46" s="88">
        <f t="shared" si="9"/>
        <v>12</v>
      </c>
      <c r="AB46" s="6">
        <f t="shared" si="10"/>
        <v>0.7662779347607358</v>
      </c>
      <c r="AC46" s="76">
        <f t="shared" si="11"/>
        <v>1.3724380097207209E-2</v>
      </c>
    </row>
    <row r="47" spans="1:29" x14ac:dyDescent="0.3">
      <c r="A47" s="79" t="str">
        <f>IF(INDEX(lr_key,42)="","",INDEX(lr_bu,42))</f>
        <v>MM</v>
      </c>
      <c r="B47" s="79" t="str">
        <f>IF(INDEX(lr_key,42)="","",INDEX(lr_state,42))</f>
        <v>WI</v>
      </c>
      <c r="C47" s="23" t="str">
        <f>INDEX(lr_key,42)</f>
        <v>MM|WI</v>
      </c>
      <c r="D47" s="80">
        <f>IF($C47="","",N(INDEX(lr_lrproj,42)))</f>
        <v>0.56399999999999995</v>
      </c>
      <c r="E47" s="52" t="str">
        <f>IF($C47="","",INDEX(lr_basis,42)&amp;"")</f>
        <v>current</v>
      </c>
      <c r="F47" s="80">
        <f>IF($C47="","",INDEX(calc_lrcur,42))</f>
        <v>0.56399999999999995</v>
      </c>
      <c r="G47" s="81">
        <f>IF($C47="","",INDEX(calc_cylr_p,42))</f>
        <v>0.55296141302523572</v>
      </c>
      <c r="H47" s="82">
        <f>IF($C47="","",(INDEX(calc_cylr_p,42)-INDEX(calc_lrcur,42))*100)</f>
        <v>-1.1038586974764231</v>
      </c>
      <c r="I47" s="83">
        <f>IF($C47="","",INDEX(calc_arate_p,42))</f>
        <v>0.97402597402597413</v>
      </c>
      <c r="J47" s="83">
        <f>IF($C47="","",INDEX(calc_amod_p,42))</f>
        <v>1.0065727849395543</v>
      </c>
      <c r="K47" s="84">
        <f>IF($C47="","",INDEX(calc_echg,42))</f>
        <v>2.6666666666666616E-2</v>
      </c>
      <c r="L47" s="84">
        <f>IF($C47="","",INDEX(calc_carry,42))</f>
        <v>1.298701298701288E-2</v>
      </c>
      <c r="M47" s="80">
        <f>IF($C47="","",INDEX(calc_cylr_p1,42))</f>
        <v>0.54250805251324086</v>
      </c>
      <c r="N47" s="85">
        <f>IF($C47="","",N(INDEX(lr_ep,42)))</f>
        <v>11200</v>
      </c>
      <c r="O47" s="86">
        <f t="shared" si="8"/>
        <v>1.3930348258706468E-2</v>
      </c>
      <c r="P47" s="80">
        <f>IF($C47="","",INDEX(calc_cylr_prog,42))</f>
        <v>0.55296141302523572</v>
      </c>
      <c r="Q47" s="87" t="str">
        <f>IF($C47="","",IF(INDEX(calc_netmode,42)=0,"—",INDEX(calc_proggap,42)))</f>
        <v>—</v>
      </c>
      <c r="AA47" s="88">
        <f t="shared" si="9"/>
        <v>60</v>
      </c>
      <c r="AB47" s="6">
        <f t="shared" si="10"/>
        <v>-1.1038586504764232</v>
      </c>
      <c r="AC47" s="76">
        <f t="shared" si="11"/>
        <v>-1.5377136084248681E-2</v>
      </c>
    </row>
    <row r="48" spans="1:29" x14ac:dyDescent="0.3">
      <c r="A48" s="79" t="str">
        <f>IF(INDEX(lr_key,43)="","",INDEX(lr_bu,43))</f>
        <v>SBA</v>
      </c>
      <c r="B48" s="79" t="str">
        <f>IF(INDEX(lr_key,43)="","",INDEX(lr_state,43))</f>
        <v>AZ</v>
      </c>
      <c r="C48" s="23" t="str">
        <f>INDEX(lr_key,43)</f>
        <v>SBA|AZ</v>
      </c>
      <c r="D48" s="80">
        <f>IF($C48="","",N(INDEX(lr_lrproj,43)))</f>
        <v>0.59199999999999997</v>
      </c>
      <c r="E48" s="52" t="str">
        <f>IF($C48="","",INDEX(lr_basis,43)&amp;"")</f>
        <v>current</v>
      </c>
      <c r="F48" s="80">
        <f>IF($C48="","",INDEX(calc_lrcur,43))</f>
        <v>0.59199999999999997</v>
      </c>
      <c r="G48" s="81">
        <f>IF($C48="","",INDEX(calc_cylr_p,43))</f>
        <v>0.601142942249693</v>
      </c>
      <c r="H48" s="82">
        <f>IF($C48="","",(INDEX(calc_cylr_p,43)-INDEX(calc_lrcur,43))*100)</f>
        <v>0.91429422496930313</v>
      </c>
      <c r="I48" s="83">
        <f>IF($C48="","",INDEX(calc_arate_p,43))</f>
        <v>1.0000000000000002</v>
      </c>
      <c r="J48" s="83">
        <f>IF($C48="","",INDEX(calc_amod_p,43))</f>
        <v>1.0154441592055623</v>
      </c>
      <c r="K48" s="84">
        <f>IF($C48="","",INDEX(calc_echg,43))</f>
        <v>0</v>
      </c>
      <c r="L48" s="84">
        <f>IF($C48="","",INDEX(calc_carry,43))</f>
        <v>0</v>
      </c>
      <c r="M48" s="80">
        <f>IF($C48="","",INDEX(calc_cylr_p1,43))</f>
        <v>0.60492717785583572</v>
      </c>
      <c r="N48" s="85">
        <f>IF($C48="","",N(INDEX(lr_ep,43)))</f>
        <v>8000</v>
      </c>
      <c r="O48" s="86">
        <f t="shared" si="8"/>
        <v>9.9502487562189053E-3</v>
      </c>
      <c r="P48" s="80">
        <f>IF($C48="","",INDEX(calc_cylr_prog,43))</f>
        <v>0.601142942249693</v>
      </c>
      <c r="Q48" s="87" t="str">
        <f>IF($C48="","",IF(INDEX(calc_netmode,43)=0,"—",INDEX(calc_proggap,43)))</f>
        <v>—</v>
      </c>
      <c r="AA48" s="88">
        <f t="shared" si="9"/>
        <v>3</v>
      </c>
      <c r="AB48" s="6">
        <f t="shared" si="10"/>
        <v>0.9142942729693031</v>
      </c>
      <c r="AC48" s="76">
        <f t="shared" si="11"/>
        <v>9.097454974818937E-3</v>
      </c>
    </row>
    <row r="49" spans="1:29" x14ac:dyDescent="0.3">
      <c r="A49" s="79" t="str">
        <f>IF(INDEX(lr_key,44)="","",INDEX(lr_bu,44))</f>
        <v>SBA</v>
      </c>
      <c r="B49" s="79" t="str">
        <f>IF(INDEX(lr_key,44)="","",INDEX(lr_state,44))</f>
        <v>CO</v>
      </c>
      <c r="C49" s="23" t="str">
        <f>INDEX(lr_key,44)</f>
        <v>SBA|CO</v>
      </c>
      <c r="D49" s="80">
        <f>IF($C49="","",N(INDEX(lr_lrproj,44)))</f>
        <v>0.57599999999999996</v>
      </c>
      <c r="E49" s="52" t="str">
        <f>IF($C49="","",INDEX(lr_basis,44)&amp;"")</f>
        <v>current</v>
      </c>
      <c r="F49" s="80">
        <f>IF($C49="","",INDEX(calc_lrcur,44))</f>
        <v>0.57599999999999996</v>
      </c>
      <c r="G49" s="81">
        <f>IF($C49="","",INDEX(calc_cylr_p,44))</f>
        <v>0.58124722461762945</v>
      </c>
      <c r="H49" s="82">
        <f>IF($C49="","",(INDEX(calc_cylr_p,44)-INDEX(calc_lrcur,44))*100)</f>
        <v>0.52472246176294979</v>
      </c>
      <c r="I49" s="83">
        <f>IF($C49="","",INDEX(calc_arate_p,44))</f>
        <v>1.0003307972213031</v>
      </c>
      <c r="J49" s="83">
        <f>IF($C49="","",INDEX(calc_amod_p,44))</f>
        <v>1.0087760646420616</v>
      </c>
      <c r="K49" s="84">
        <f>IF($C49="","",INDEX(calc_echg,44))</f>
        <v>-3.3068783068768148E-4</v>
      </c>
      <c r="L49" s="84">
        <f>IF($C49="","",INDEX(calc_carry,44))</f>
        <v>3.3079722130313627E-4</v>
      </c>
      <c r="M49" s="80">
        <f>IF($C49="","",INDEX(calc_cylr_p1,44))</f>
        <v>0.57925509134573383</v>
      </c>
      <c r="N49" s="85">
        <f>IF($C49="","",N(INDEX(lr_ep,44)))</f>
        <v>18400</v>
      </c>
      <c r="O49" s="86">
        <f t="shared" si="8"/>
        <v>2.2885572139303482E-2</v>
      </c>
      <c r="P49" s="80">
        <f>IF($C49="","",INDEX(calc_cylr_prog,44))</f>
        <v>0.58124722461762945</v>
      </c>
      <c r="Q49" s="87" t="str">
        <f>IF($C49="","",IF(INDEX(calc_netmode,44)=0,"—",INDEX(calc_proggap,44)))</f>
        <v>—</v>
      </c>
      <c r="AA49" s="88">
        <f t="shared" si="9"/>
        <v>23</v>
      </c>
      <c r="AB49" s="6">
        <f t="shared" si="10"/>
        <v>0.52472251076294973</v>
      </c>
      <c r="AC49" s="76">
        <f t="shared" si="11"/>
        <v>1.20085737517889E-2</v>
      </c>
    </row>
    <row r="50" spans="1:29" x14ac:dyDescent="0.3">
      <c r="A50" s="79" t="str">
        <f>IF(INDEX(lr_key,45)="","",INDEX(lr_bu,45))</f>
        <v>SBA</v>
      </c>
      <c r="B50" s="79" t="str">
        <f>IF(INDEX(lr_key,45)="","",INDEX(lr_state,45))</f>
        <v>DE</v>
      </c>
      <c r="C50" s="23" t="str">
        <f>INDEX(lr_key,45)</f>
        <v>SBA|DE</v>
      </c>
      <c r="D50" s="80">
        <f>IF($C50="","",N(INDEX(lr_lrproj,45)))</f>
        <v>0.56000000000000005</v>
      </c>
      <c r="E50" s="52" t="str">
        <f>IF($C50="","",INDEX(lr_basis,45)&amp;"")</f>
        <v>current</v>
      </c>
      <c r="F50" s="80">
        <f>IF($C50="","",INDEX(calc_lrcur,45))</f>
        <v>0.56000000000000005</v>
      </c>
      <c r="G50" s="81">
        <f>IF($C50="","",INDEX(calc_cylr_p,45))</f>
        <v>0.56122918499949359</v>
      </c>
      <c r="H50" s="82">
        <f>IF($C50="","",(INDEX(calc_cylr_p,45)-INDEX(calc_lrcur,45))*100)</f>
        <v>0.12291849994935378</v>
      </c>
      <c r="I50" s="83">
        <f>IF($C50="","",INDEX(calc_arate_p,45))</f>
        <v>1</v>
      </c>
      <c r="J50" s="83">
        <f>IF($C50="","",INDEX(calc_amod_p,45))</f>
        <v>1.0021949732133812</v>
      </c>
      <c r="K50" s="84">
        <f>IF($C50="","",INDEX(calc_echg,45))</f>
        <v>0</v>
      </c>
      <c r="L50" s="84">
        <f>IF($C50="","",INDEX(calc_carry,45))</f>
        <v>0</v>
      </c>
      <c r="M50" s="80">
        <f>IF($C50="","",INDEX(calc_cylr_p1,45))</f>
        <v>0.55438358368467133</v>
      </c>
      <c r="N50" s="85">
        <f>IF($C50="","",N(INDEX(lr_ep,45)))</f>
        <v>15200</v>
      </c>
      <c r="O50" s="86">
        <f t="shared" si="8"/>
        <v>1.8905472636815919E-2</v>
      </c>
      <c r="P50" s="80">
        <f>IF($C50="","",INDEX(calc_cylr_prog,45))</f>
        <v>0.56122918499949359</v>
      </c>
      <c r="Q50" s="87" t="str">
        <f>IF($C50="","",IF(INDEX(calc_netmode,45)=0,"—",INDEX(calc_proggap,45)))</f>
        <v>—</v>
      </c>
      <c r="AA50" s="88">
        <f t="shared" si="9"/>
        <v>47</v>
      </c>
      <c r="AB50" s="6">
        <f t="shared" si="10"/>
        <v>0.12291854994935378</v>
      </c>
      <c r="AC50" s="76">
        <f t="shared" si="11"/>
        <v>2.3238323373509667E-3</v>
      </c>
    </row>
    <row r="51" spans="1:29" x14ac:dyDescent="0.3">
      <c r="A51" s="79" t="str">
        <f>IF(INDEX(lr_key,46)="","",INDEX(lr_bu,46))</f>
        <v>SBA</v>
      </c>
      <c r="B51" s="79" t="str">
        <f>IF(INDEX(lr_key,46)="","",INDEX(lr_state,46))</f>
        <v>FL</v>
      </c>
      <c r="C51" s="23" t="str">
        <f>INDEX(lr_key,46)</f>
        <v>SBA|FL</v>
      </c>
      <c r="D51" s="80">
        <f>IF($C51="","",N(INDEX(lr_lrproj,46)))</f>
        <v>0.58799999999999997</v>
      </c>
      <c r="E51" s="52" t="str">
        <f>IF($C51="","",INDEX(lr_basis,46)&amp;"")</f>
        <v>current</v>
      </c>
      <c r="F51" s="80">
        <f>IF($C51="","",INDEX(calc_lrcur,46))</f>
        <v>0.58799999999999997</v>
      </c>
      <c r="G51" s="81">
        <f>IF($C51="","",INDEX(calc_cylr_p,46))</f>
        <v>0.58734999683321487</v>
      </c>
      <c r="H51" s="82">
        <f>IF($C51="","",(INDEX(calc_cylr_p,46)-INDEX(calc_lrcur,46))*100)</f>
        <v>-6.5000316678509584E-2</v>
      </c>
      <c r="I51" s="83">
        <f>IF($C51="","",INDEX(calc_arate_p,46))</f>
        <v>0.98803700295442454</v>
      </c>
      <c r="J51" s="83">
        <f>IF($C51="","",INDEX(calc_amod_p,46))</f>
        <v>1.0109890109890112</v>
      </c>
      <c r="K51" s="84">
        <f>IF($C51="","",INDEX(calc_echg,46))</f>
        <v>1.210784313725477E-2</v>
      </c>
      <c r="L51" s="84">
        <f>IF($C51="","",INDEX(calc_carry,46))</f>
        <v>2.7558483072601669E-2</v>
      </c>
      <c r="M51" s="80">
        <f>IF($C51="","",INDEX(calc_cylr_p1,46))</f>
        <v>0.57159763313609468</v>
      </c>
      <c r="N51" s="85">
        <f>IF($C51="","",N(INDEX(lr_ep,46)))</f>
        <v>12000</v>
      </c>
      <c r="O51" s="86">
        <f t="shared" si="8"/>
        <v>1.4925373134328358E-2</v>
      </c>
      <c r="P51" s="80">
        <f>IF($C51="","",INDEX(calc_cylr_prog,46))</f>
        <v>0.58734999683321487</v>
      </c>
      <c r="Q51" s="87" t="str">
        <f>IF($C51="","",IF(INDEX(calc_netmode,46)=0,"—",INDEX(calc_proggap,46)))</f>
        <v>—</v>
      </c>
      <c r="AA51" s="88">
        <f t="shared" si="9"/>
        <v>50</v>
      </c>
      <c r="AB51" s="6">
        <f t="shared" si="10"/>
        <v>-6.5000265678509583E-2</v>
      </c>
      <c r="AC51" s="76">
        <f t="shared" si="11"/>
        <v>-9.7015398027626247E-4</v>
      </c>
    </row>
    <row r="52" spans="1:29" x14ac:dyDescent="0.3">
      <c r="A52" s="79" t="str">
        <f>IF(INDEX(lr_key,47)="","",INDEX(lr_bu,47))</f>
        <v>SBA</v>
      </c>
      <c r="B52" s="79" t="str">
        <f>IF(INDEX(lr_key,47)="","",INDEX(lr_state,47))</f>
        <v>GA</v>
      </c>
      <c r="C52" s="23" t="str">
        <f>INDEX(lr_key,47)</f>
        <v>SBA|GA</v>
      </c>
      <c r="D52" s="80">
        <f>IF($C52="","",N(INDEX(lr_lrproj,47)))</f>
        <v>0.57199999999999995</v>
      </c>
      <c r="E52" s="52" t="str">
        <f>IF($C52="","",INDEX(lr_basis,47)&amp;"")</f>
        <v>current</v>
      </c>
      <c r="F52" s="80">
        <f>IF($C52="","",INDEX(calc_lrcur,47))</f>
        <v>0.57199999999999995</v>
      </c>
      <c r="G52" s="81">
        <f>IF($C52="","",INDEX(calc_cylr_p,47))</f>
        <v>0.5745048501652058</v>
      </c>
      <c r="H52" s="82">
        <f>IF($C52="","",(INDEX(calc_cylr_p,47)-INDEX(calc_lrcur,47))*100)</f>
        <v>0.25048501652058519</v>
      </c>
      <c r="I52" s="83">
        <f>IF($C52="","",INDEX(calc_arate_p,47))</f>
        <v>1</v>
      </c>
      <c r="J52" s="83">
        <f>IF($C52="","",INDEX(calc_amod_p,47))</f>
        <v>1.0043791086804299</v>
      </c>
      <c r="K52" s="84">
        <f>IF($C52="","",INDEX(calc_echg,47))</f>
        <v>0</v>
      </c>
      <c r="L52" s="84">
        <f>IF($C52="","",INDEX(calc_carry,47))</f>
        <v>0</v>
      </c>
      <c r="M52" s="80">
        <f>IF($C52="","",INDEX(calc_cylr_p1,47))</f>
        <v>0.56922174281372151</v>
      </c>
      <c r="N52" s="85">
        <f>IF($C52="","",N(INDEX(lr_ep,47)))</f>
        <v>8800</v>
      </c>
      <c r="O52" s="86">
        <f t="shared" si="8"/>
        <v>1.0945273631840797E-2</v>
      </c>
      <c r="P52" s="80">
        <f>IF($C52="","",INDEX(calc_cylr_prog,47))</f>
        <v>0.5745048501652058</v>
      </c>
      <c r="Q52" s="87" t="str">
        <f>IF($C52="","",IF(INDEX(calc_netmode,47)=0,"—",INDEX(calc_proggap,47)))</f>
        <v>—</v>
      </c>
      <c r="AA52" s="88">
        <f t="shared" si="9"/>
        <v>37</v>
      </c>
      <c r="AB52" s="6">
        <f t="shared" si="10"/>
        <v>0.25048506852058516</v>
      </c>
      <c r="AC52" s="76">
        <f t="shared" si="11"/>
        <v>2.7416270464939675E-3</v>
      </c>
    </row>
    <row r="53" spans="1:29" x14ac:dyDescent="0.3">
      <c r="A53" s="79" t="str">
        <f>IF(INDEX(lr_key,48)="","",INDEX(lr_bu,48))</f>
        <v>SBA</v>
      </c>
      <c r="B53" s="79" t="str">
        <f>IF(INDEX(lr_key,48)="","",INDEX(lr_state,48))</f>
        <v>IA</v>
      </c>
      <c r="C53" s="23" t="str">
        <f>INDEX(lr_key,48)</f>
        <v>SBA|IA</v>
      </c>
      <c r="D53" s="80">
        <f>IF($C53="","",N(INDEX(lr_lrproj,48)))</f>
        <v>0.6</v>
      </c>
      <c r="E53" s="52" t="str">
        <f>IF($C53="","",INDEX(lr_basis,48)&amp;"")</f>
        <v>current</v>
      </c>
      <c r="F53" s="80">
        <f>IF($C53="","",INDEX(calc_lrcur,48))</f>
        <v>0.6</v>
      </c>
      <c r="G53" s="81">
        <f>IF($C53="","",INDEX(calc_cylr_p,48))</f>
        <v>0.6079270126423526</v>
      </c>
      <c r="H53" s="82">
        <f>IF($C53="","",(INDEX(calc_cylr_p,48)-INDEX(calc_lrcur,48))*100)</f>
        <v>0.79270126423526266</v>
      </c>
      <c r="I53" s="83">
        <f>IF($C53="","",INDEX(calc_arate_p,48))</f>
        <v>1</v>
      </c>
      <c r="J53" s="83">
        <f>IF($C53="","",INDEX(calc_amod_p,48))</f>
        <v>1.0132116877372543</v>
      </c>
      <c r="K53" s="84">
        <f>IF($C53="","",INDEX(calc_echg,48))</f>
        <v>0</v>
      </c>
      <c r="L53" s="84">
        <f>IF($C53="","",INDEX(calc_carry,48))</f>
        <v>0</v>
      </c>
      <c r="M53" s="80">
        <f>IF($C53="","",INDEX(calc_cylr_p1,48))</f>
        <v>0.60983027299151116</v>
      </c>
      <c r="N53" s="85">
        <f>IF($C53="","",N(INDEX(lr_ep,48)))</f>
        <v>19200</v>
      </c>
      <c r="O53" s="86">
        <f t="shared" si="8"/>
        <v>2.3880597014925373E-2</v>
      </c>
      <c r="P53" s="80">
        <f>IF($C53="","",INDEX(calc_cylr_prog,48))</f>
        <v>0.6079270126423526</v>
      </c>
      <c r="Q53" s="87" t="str">
        <f>IF($C53="","",IF(INDEX(calc_netmode,48)=0,"—",INDEX(calc_proggap,48)))</f>
        <v>—</v>
      </c>
      <c r="AA53" s="88">
        <f t="shared" si="9"/>
        <v>7</v>
      </c>
      <c r="AB53" s="6">
        <f t="shared" si="10"/>
        <v>0.79270131723526271</v>
      </c>
      <c r="AC53" s="76">
        <f t="shared" si="11"/>
        <v>1.8930179444424183E-2</v>
      </c>
    </row>
    <row r="54" spans="1:29" x14ac:dyDescent="0.3">
      <c r="A54" s="79" t="str">
        <f>IF(INDEX(lr_key,49)="","",INDEX(lr_bu,49))</f>
        <v>SBA</v>
      </c>
      <c r="B54" s="79" t="str">
        <f>IF(INDEX(lr_key,49)="","",INDEX(lr_state,49))</f>
        <v>IL</v>
      </c>
      <c r="C54" s="23" t="str">
        <f>INDEX(lr_key,49)</f>
        <v>SBA|IL</v>
      </c>
      <c r="D54" s="80">
        <f>IF($C54="","",N(INDEX(lr_lrproj,49)))</f>
        <v>0.58399999999999996</v>
      </c>
      <c r="E54" s="52" t="str">
        <f>IF($C54="","",INDEX(lr_basis,49)&amp;"")</f>
        <v>current</v>
      </c>
      <c r="F54" s="80">
        <f>IF($C54="","",INDEX(calc_lrcur,49))</f>
        <v>0.58399999999999996</v>
      </c>
      <c r="G54" s="81">
        <f>IF($C54="","",INDEX(calc_cylr_p,49))</f>
        <v>0.55196103887765247</v>
      </c>
      <c r="H54" s="82">
        <f>IF($C54="","",(INDEX(calc_cylr_p,49)-INDEX(calc_lrcur,49))*100)</f>
        <v>-3.2038961122347498</v>
      </c>
      <c r="I54" s="83">
        <f>IF($C54="","",INDEX(calc_arate_p,49))</f>
        <v>0.93896713615023497</v>
      </c>
      <c r="J54" s="83">
        <f>IF($C54="","",INDEX(calc_amod_p,49))</f>
        <v>1.0065727849395543</v>
      </c>
      <c r="K54" s="84">
        <f>IF($C54="","",INDEX(calc_echg,49))</f>
        <v>6.4999999999999725E-2</v>
      </c>
      <c r="L54" s="84">
        <f>IF($C54="","",INDEX(calc_carry,49))</f>
        <v>0</v>
      </c>
      <c r="M54" s="80">
        <f>IF($C54="","",INDEX(calc_cylr_p1,49))</f>
        <v>0.5485594026145274</v>
      </c>
      <c r="N54" s="85">
        <f>IF($C54="","",N(INDEX(lr_ep,49)))</f>
        <v>16000</v>
      </c>
      <c r="O54" s="86">
        <f t="shared" si="8"/>
        <v>1.9900497512437811E-2</v>
      </c>
      <c r="P54" s="80">
        <f>IF($C54="","",INDEX(calc_cylr_prog,49))</f>
        <v>0.55196103887765247</v>
      </c>
      <c r="Q54" s="87" t="str">
        <f>IF($C54="","",IF(INDEX(calc_netmode,49)=0,"—",INDEX(calc_proggap,49)))</f>
        <v>—</v>
      </c>
      <c r="AA54" s="88">
        <f t="shared" si="9"/>
        <v>62</v>
      </c>
      <c r="AB54" s="6">
        <f t="shared" si="10"/>
        <v>-3.2038960582347498</v>
      </c>
      <c r="AC54" s="76">
        <f t="shared" si="11"/>
        <v>-6.375912661163681E-2</v>
      </c>
    </row>
    <row r="55" spans="1:29" x14ac:dyDescent="0.3">
      <c r="A55" s="79" t="str">
        <f>IF(INDEX(lr_key,50)="","",INDEX(lr_bu,50))</f>
        <v>SBA</v>
      </c>
      <c r="B55" s="79" t="str">
        <f>IF(INDEX(lr_key,50)="","",INDEX(lr_state,50))</f>
        <v>IN</v>
      </c>
      <c r="C55" s="23" t="str">
        <f>INDEX(lr_key,50)</f>
        <v>SBA|IN</v>
      </c>
      <c r="D55" s="80">
        <f>IF($C55="","",N(INDEX(lr_lrproj,50)))</f>
        <v>0.56799999999999995</v>
      </c>
      <c r="E55" s="52" t="str">
        <f>IF($C55="","",INDEX(lr_basis,50)&amp;"")</f>
        <v>current</v>
      </c>
      <c r="F55" s="80">
        <f>IF($C55="","",INDEX(calc_lrcur,50))</f>
        <v>0.56799999999999995</v>
      </c>
      <c r="G55" s="81">
        <f>IF($C55="","",INDEX(calc_cylr_p,50))</f>
        <v>0.57533394755985956</v>
      </c>
      <c r="H55" s="82">
        <f>IF($C55="","",(INDEX(calc_cylr_p,50)-INDEX(calc_lrcur,50))*100)</f>
        <v>0.73339475598596104</v>
      </c>
      <c r="I55" s="83">
        <f>IF($C55="","",INDEX(calc_arate_p,50))</f>
        <v>0.9975062344139648</v>
      </c>
      <c r="J55" s="83">
        <f>IF($C55="","",INDEX(calc_amod_p,50))</f>
        <v>1.0154441592055623</v>
      </c>
      <c r="K55" s="84">
        <f>IF($C55="","",INDEX(calc_echg,50))</f>
        <v>2.5000000000001688E-3</v>
      </c>
      <c r="L55" s="84">
        <f>IF($C55="","",INDEX(calc_carry,50))</f>
        <v>3.491271820448838E-2</v>
      </c>
      <c r="M55" s="80">
        <f>IF($C55="","",INDEX(calc_cylr_p1,50))</f>
        <v>0.55942467766544224</v>
      </c>
      <c r="N55" s="85">
        <f>IF($C55="","",N(INDEX(lr_ep,50)))</f>
        <v>12800</v>
      </c>
      <c r="O55" s="86">
        <f t="shared" si="8"/>
        <v>1.5920398009950248E-2</v>
      </c>
      <c r="P55" s="80">
        <f>IF($C55="","",INDEX(calc_cylr_prog,50))</f>
        <v>0.57533394755985956</v>
      </c>
      <c r="Q55" s="87" t="str">
        <f>IF($C55="","",IF(INDEX(calc_netmode,50)=0,"—",INDEX(calc_proggap,50)))</f>
        <v>—</v>
      </c>
      <c r="AA55" s="88">
        <f t="shared" si="9"/>
        <v>16</v>
      </c>
      <c r="AB55" s="6">
        <f t="shared" si="10"/>
        <v>0.73339481098596104</v>
      </c>
      <c r="AC55" s="76">
        <f t="shared" si="11"/>
        <v>1.1675936413706841E-2</v>
      </c>
    </row>
    <row r="56" spans="1:29" x14ac:dyDescent="0.3">
      <c r="A56" s="79" t="str">
        <f>IF(INDEX(lr_key,51)="","",INDEX(lr_bu,51))</f>
        <v>SBA</v>
      </c>
      <c r="B56" s="79" t="str">
        <f>IF(INDEX(lr_key,51)="","",INDEX(lr_state,51))</f>
        <v>KY</v>
      </c>
      <c r="C56" s="23" t="str">
        <f>INDEX(lr_key,51)</f>
        <v>SBA|KY</v>
      </c>
      <c r="D56" s="80">
        <f>IF($C56="","",N(INDEX(lr_lrproj,51)))</f>
        <v>0.59599999999999997</v>
      </c>
      <c r="E56" s="52" t="str">
        <f>IF($C56="","",INDEX(lr_basis,51)&amp;"")</f>
        <v>current</v>
      </c>
      <c r="F56" s="80">
        <f>IF($C56="","",INDEX(calc_lrcur,51))</f>
        <v>0.59599999999999997</v>
      </c>
      <c r="G56" s="81">
        <f>IF($C56="","",INDEX(calc_cylr_p,51))</f>
        <v>0.54805984563196153</v>
      </c>
      <c r="H56" s="82">
        <f>IF($C56="","",(INDEX(calc_cylr_p,51)-INDEX(calc_lrcur,51))*100)</f>
        <v>-4.7940154368038446</v>
      </c>
      <c r="I56" s="83">
        <f>IF($C56="","",INDEX(calc_arate_p,51))</f>
        <v>0.91956349938248583</v>
      </c>
      <c r="J56" s="83">
        <f>IF($C56="","",INDEX(calc_amod_p,51))</f>
        <v>1</v>
      </c>
      <c r="K56" s="84">
        <f>IF($C56="","",INDEX(calc_echg,51))</f>
        <v>8.7472480879819292E-2</v>
      </c>
      <c r="L56" s="84">
        <f>IF($C56="","",INDEX(calc_carry,51))</f>
        <v>9.9999999999999867E-2</v>
      </c>
      <c r="M56" s="80">
        <f>IF($C56="","",INDEX(calc_cylr_p1,51))</f>
        <v>0.49823622330178319</v>
      </c>
      <c r="N56" s="85">
        <f>IF($C56="","",N(INDEX(lr_ep,51)))</f>
        <v>9600</v>
      </c>
      <c r="O56" s="86">
        <f t="shared" si="8"/>
        <v>1.1940298507462687E-2</v>
      </c>
      <c r="P56" s="80">
        <f>IF($C56="","",INDEX(calc_cylr_prog,51))</f>
        <v>0.53885774996788582</v>
      </c>
      <c r="Q56" s="87">
        <f>IF($C56="","",IF(INDEX(calc_netmode,51)=0,"—",INDEX(calc_proggap,51)))</f>
        <v>-0.92020956640757046</v>
      </c>
      <c r="AA56" s="88">
        <f t="shared" si="9"/>
        <v>63</v>
      </c>
      <c r="AB56" s="6">
        <f t="shared" si="10"/>
        <v>-4.7940153808038444</v>
      </c>
      <c r="AC56" s="76">
        <f t="shared" si="11"/>
        <v>-5.7241975364822027E-2</v>
      </c>
    </row>
    <row r="57" spans="1:29" x14ac:dyDescent="0.3">
      <c r="A57" s="79" t="str">
        <f>IF(INDEX(lr_key,52)="","",INDEX(lr_bu,52))</f>
        <v>SBA</v>
      </c>
      <c r="B57" s="79" t="str">
        <f>IF(INDEX(lr_key,52)="","",INDEX(lr_state,52))</f>
        <v>MD</v>
      </c>
      <c r="C57" s="23" t="str">
        <f>INDEX(lr_key,52)</f>
        <v>SBA|MD</v>
      </c>
      <c r="D57" s="80">
        <f>IF($C57="","",N(INDEX(lr_lrproj,52)))</f>
        <v>0.57999999999999996</v>
      </c>
      <c r="E57" s="52" t="str">
        <f>IF($C57="","",INDEX(lr_basis,52)&amp;"")</f>
        <v>current</v>
      </c>
      <c r="F57" s="80">
        <f>IF($C57="","",INDEX(calc_lrcur,52))</f>
        <v>0.57999999999999996</v>
      </c>
      <c r="G57" s="81">
        <f>IF($C57="","",INDEX(calc_cylr_p,52))</f>
        <v>0.58127308446376114</v>
      </c>
      <c r="H57" s="82">
        <f>IF($C57="","",(INDEX(calc_cylr_p,52)-INDEX(calc_lrcur,52))*100)</f>
        <v>0.1273084463761176</v>
      </c>
      <c r="I57" s="83">
        <f>IF($C57="","",INDEX(calc_arate_p,52))</f>
        <v>1</v>
      </c>
      <c r="J57" s="83">
        <f>IF($C57="","",INDEX(calc_amod_p,52))</f>
        <v>1.0021949732133812</v>
      </c>
      <c r="K57" s="84">
        <f>IF($C57="","",INDEX(calc_echg,52))</f>
        <v>0</v>
      </c>
      <c r="L57" s="84">
        <f>IF($C57="","",INDEX(calc_carry,52))</f>
        <v>0</v>
      </c>
      <c r="M57" s="80">
        <f>IF($C57="","",INDEX(calc_cylr_p1,52))</f>
        <v>0.57418299738769518</v>
      </c>
      <c r="N57" s="85">
        <f>IF($C57="","",N(INDEX(lr_ep,52)))</f>
        <v>6400</v>
      </c>
      <c r="O57" s="86">
        <f t="shared" si="8"/>
        <v>7.9601990049751239E-3</v>
      </c>
      <c r="P57" s="80">
        <f>IF($C57="","",INDEX(calc_cylr_prog,52))</f>
        <v>0.58127308446376114</v>
      </c>
      <c r="Q57" s="87" t="str">
        <f>IF($C57="","",IF(INDEX(calc_netmode,52)=0,"—",INDEX(calc_proggap,52)))</f>
        <v>—</v>
      </c>
      <c r="AA57" s="88">
        <f t="shared" si="9"/>
        <v>43</v>
      </c>
      <c r="AB57" s="6">
        <f t="shared" si="10"/>
        <v>0.1273085033761176</v>
      </c>
      <c r="AC57" s="76">
        <f t="shared" si="11"/>
        <v>1.0134005681681003E-3</v>
      </c>
    </row>
    <row r="58" spans="1:29" x14ac:dyDescent="0.3">
      <c r="A58" s="79" t="str">
        <f>IF(INDEX(lr_key,53)="","",INDEX(lr_bu,53))</f>
        <v>SBA</v>
      </c>
      <c r="B58" s="79" t="str">
        <f>IF(INDEX(lr_key,53)="","",INDEX(lr_state,53))</f>
        <v>MI</v>
      </c>
      <c r="C58" s="23" t="str">
        <f>INDEX(lr_key,53)</f>
        <v>SBA|MI</v>
      </c>
      <c r="D58" s="80">
        <f>IF($C58="","",N(INDEX(lr_lrproj,53)))</f>
        <v>0.56399999999999995</v>
      </c>
      <c r="E58" s="52" t="str">
        <f>IF($C58="","",INDEX(lr_basis,53)&amp;"")</f>
        <v>current</v>
      </c>
      <c r="F58" s="80">
        <f>IF($C58="","",INDEX(calc_lrcur,53))</f>
        <v>0.56399999999999995</v>
      </c>
      <c r="G58" s="81">
        <f>IF($C58="","",INDEX(calc_cylr_p,53))</f>
        <v>0.57019780219780236</v>
      </c>
      <c r="H58" s="82">
        <f>IF($C58="","",(INDEX(calc_cylr_p,53)-INDEX(calc_lrcur,53))*100)</f>
        <v>0.61978021978024156</v>
      </c>
      <c r="I58" s="83">
        <f>IF($C58="","",INDEX(calc_arate_p,53))</f>
        <v>1.0000000000000002</v>
      </c>
      <c r="J58" s="83">
        <f>IF($C58="","",INDEX(calc_amod_p,53))</f>
        <v>1.0109890109890112</v>
      </c>
      <c r="K58" s="84">
        <f>IF($C58="","",INDEX(calc_echg,53))</f>
        <v>0</v>
      </c>
      <c r="L58" s="84">
        <f>IF($C58="","",INDEX(calc_carry,53))</f>
        <v>0</v>
      </c>
      <c r="M58" s="80">
        <f>IF($C58="","",INDEX(calc_cylr_p1,53))</f>
        <v>0.57019780219780236</v>
      </c>
      <c r="N58" s="85">
        <f>IF($C58="","",N(INDEX(lr_ep,53)))</f>
        <v>16800</v>
      </c>
      <c r="O58" s="86">
        <f t="shared" si="8"/>
        <v>2.0895522388059702E-2</v>
      </c>
      <c r="P58" s="80">
        <f>IF($C58="","",INDEX(calc_cylr_prog,53))</f>
        <v>0.57019780219780236</v>
      </c>
      <c r="Q58" s="87" t="str">
        <f>IF($C58="","",IF(INDEX(calc_netmode,53)=0,"—",INDEX(calc_proggap,53)))</f>
        <v>—</v>
      </c>
      <c r="AA58" s="88">
        <f t="shared" si="9"/>
        <v>21</v>
      </c>
      <c r="AB58" s="6">
        <f t="shared" si="10"/>
        <v>0.61978027778024158</v>
      </c>
      <c r="AC58" s="76">
        <f t="shared" si="11"/>
        <v>1.2950631458094599E-2</v>
      </c>
    </row>
    <row r="59" spans="1:29" x14ac:dyDescent="0.3">
      <c r="A59" s="79" t="str">
        <f>IF(INDEX(lr_key,54)="","",INDEX(lr_bu,54))</f>
        <v>SBA</v>
      </c>
      <c r="B59" s="79" t="str">
        <f>IF(INDEX(lr_key,54)="","",INDEX(lr_state,54))</f>
        <v>MN</v>
      </c>
      <c r="C59" s="23" t="str">
        <f>INDEX(lr_key,54)</f>
        <v>SBA|MN</v>
      </c>
      <c r="D59" s="80">
        <f>IF($C59="","",N(INDEX(lr_lrproj,54)))</f>
        <v>0.59199999999999997</v>
      </c>
      <c r="E59" s="52" t="str">
        <f>IF($C59="","",INDEX(lr_basis,54)&amp;"")</f>
        <v>current</v>
      </c>
      <c r="F59" s="80">
        <f>IF($C59="","",INDEX(calc_lrcur,54))</f>
        <v>0.59199999999999997</v>
      </c>
      <c r="G59" s="81">
        <f>IF($C59="","",INDEX(calc_cylr_p,54))</f>
        <v>0.58293375719491614</v>
      </c>
      <c r="H59" s="82">
        <f>IF($C59="","",(INDEX(calc_cylr_p,54)-INDEX(calc_lrcur,54))*100)</f>
        <v>-0.90662428050838351</v>
      </c>
      <c r="I59" s="83">
        <f>IF($C59="","",INDEX(calc_arate_p,54))</f>
        <v>0.98039215686274506</v>
      </c>
      <c r="J59" s="83">
        <f>IF($C59="","",INDEX(calc_amod_p,54))</f>
        <v>1.0043791086804299</v>
      </c>
      <c r="K59" s="84">
        <f>IF($C59="","",INDEX(calc_echg,54))</f>
        <v>2.0000000000000018E-2</v>
      </c>
      <c r="L59" s="84">
        <f>IF($C59="","",INDEX(calc_carry,54))</f>
        <v>1.960784313725461E-2</v>
      </c>
      <c r="M59" s="80">
        <f>IF($C59="","",INDEX(calc_cylr_p1,54))</f>
        <v>0.56646596245582848</v>
      </c>
      <c r="N59" s="85">
        <f>IF($C59="","",N(INDEX(lr_ep,54)))</f>
        <v>13600</v>
      </c>
      <c r="O59" s="86">
        <f t="shared" si="8"/>
        <v>1.6915422885572139E-2</v>
      </c>
      <c r="P59" s="80">
        <f>IF($C59="","",INDEX(calc_cylr_prog,54))</f>
        <v>0.58293375719491614</v>
      </c>
      <c r="Q59" s="87" t="str">
        <f>IF($C59="","",IF(INDEX(calc_netmode,54)=0,"—",INDEX(calc_proggap,54)))</f>
        <v>—</v>
      </c>
      <c r="AA59" s="88">
        <f t="shared" si="9"/>
        <v>58</v>
      </c>
      <c r="AB59" s="6">
        <f t="shared" si="10"/>
        <v>-0.90662422150838351</v>
      </c>
      <c r="AC59" s="76">
        <f t="shared" si="11"/>
        <v>-1.5335933103126885E-2</v>
      </c>
    </row>
    <row r="60" spans="1:29" x14ac:dyDescent="0.3">
      <c r="A60" s="79" t="str">
        <f>IF(INDEX(lr_key,55)="","",INDEX(lr_bu,55))</f>
        <v>SBA</v>
      </c>
      <c r="B60" s="79" t="str">
        <f>IF(INDEX(lr_key,55)="","",INDEX(lr_state,55))</f>
        <v>NM</v>
      </c>
      <c r="C60" s="23" t="str">
        <f>INDEX(lr_key,55)</f>
        <v>SBA|NM</v>
      </c>
      <c r="D60" s="80">
        <f>IF($C60="","",N(INDEX(lr_lrproj,55)))</f>
        <v>0.57599999999999996</v>
      </c>
      <c r="E60" s="52" t="str">
        <f>IF($C60="","",INDEX(lr_basis,55)&amp;"")</f>
        <v>current</v>
      </c>
      <c r="F60" s="80">
        <f>IF($C60="","",INDEX(calc_lrcur,55))</f>
        <v>0.57599999999999996</v>
      </c>
      <c r="G60" s="81">
        <f>IF($C60="","",INDEX(calc_cylr_p,55))</f>
        <v>0.58360993213665835</v>
      </c>
      <c r="H60" s="82">
        <f>IF($C60="","",(INDEX(calc_cylr_p,55)-INDEX(calc_lrcur,55))*100)</f>
        <v>0.76099321366583927</v>
      </c>
      <c r="I60" s="83">
        <f>IF($C60="","",INDEX(calc_arate_p,55))</f>
        <v>0.99999999999999978</v>
      </c>
      <c r="J60" s="83">
        <f>IF($C60="","",INDEX(calc_amod_p,55))</f>
        <v>1.0132116877372543</v>
      </c>
      <c r="K60" s="84">
        <f>IF($C60="","",INDEX(calc_echg,55))</f>
        <v>0</v>
      </c>
      <c r="L60" s="84">
        <f>IF($C60="","",INDEX(calc_carry,55))</f>
        <v>0</v>
      </c>
      <c r="M60" s="80">
        <f>IF($C60="","",INDEX(calc_cylr_p1,55))</f>
        <v>0.58543706207185053</v>
      </c>
      <c r="N60" s="85">
        <f>IF($C60="","",N(INDEX(lr_ep,55)))</f>
        <v>10400</v>
      </c>
      <c r="O60" s="86">
        <f t="shared" si="8"/>
        <v>1.2935323383084577E-2</v>
      </c>
      <c r="P60" s="80">
        <f>IF($C60="","",INDEX(calc_cylr_prog,55))</f>
        <v>0.58360993213665835</v>
      </c>
      <c r="Q60" s="87" t="str">
        <f>IF($C60="","",IF(INDEX(calc_netmode,55)=0,"—",INDEX(calc_proggap,55)))</f>
        <v>—</v>
      </c>
      <c r="AA60" s="88">
        <f t="shared" si="9"/>
        <v>14</v>
      </c>
      <c r="AB60" s="6">
        <f t="shared" si="10"/>
        <v>0.76099327366583924</v>
      </c>
      <c r="AC60" s="76">
        <f t="shared" si="11"/>
        <v>9.8436933111004082E-3</v>
      </c>
    </row>
    <row r="61" spans="1:29" x14ac:dyDescent="0.3">
      <c r="A61" s="79" t="str">
        <f>IF(INDEX(lr_key,56)="","",INDEX(lr_bu,56))</f>
        <v>SBA</v>
      </c>
      <c r="B61" s="79" t="str">
        <f>IF(INDEX(lr_key,56)="","",INDEX(lr_state,56))</f>
        <v>NC</v>
      </c>
      <c r="C61" s="23" t="str">
        <f>INDEX(lr_key,56)</f>
        <v>SBA|NC</v>
      </c>
      <c r="D61" s="80">
        <f>IF($C61="","",N(INDEX(lr_lrproj,56)))</f>
        <v>0.56000000000000005</v>
      </c>
      <c r="E61" s="52" t="str">
        <f>IF($C61="","",INDEX(lr_basis,56)&amp;"")</f>
        <v>current</v>
      </c>
      <c r="F61" s="80">
        <f>IF($C61="","",INDEX(calc_lrcur,56))</f>
        <v>0.56000000000000005</v>
      </c>
      <c r="G61" s="81">
        <f>IF($C61="","",INDEX(calc_cylr_p,56))</f>
        <v>0.56375752393487788</v>
      </c>
      <c r="H61" s="82">
        <f>IF($C61="","",(INDEX(calc_cylr_p,56)-INDEX(calc_lrcur,56))*100)</f>
        <v>0.37575239348778267</v>
      </c>
      <c r="I61" s="83">
        <f>IF($C61="","",INDEX(calc_arate_p,56))</f>
        <v>1.0001361841209313</v>
      </c>
      <c r="J61" s="83">
        <f>IF($C61="","",INDEX(calc_amod_p,56))</f>
        <v>1.0065727849395543</v>
      </c>
      <c r="K61" s="84">
        <f>IF($C61="","",INDEX(calc_echg,56))</f>
        <v>-1.3616557734186241E-4</v>
      </c>
      <c r="L61" s="84">
        <f>IF($C61="","",INDEX(calc_carry,56))</f>
        <v>1.3618412093152621E-4</v>
      </c>
      <c r="M61" s="80">
        <f>IF($C61="","",INDEX(calc_cylr_p1,56))</f>
        <v>0.5602068967796302</v>
      </c>
      <c r="N61" s="85">
        <f>IF($C61="","",N(INDEX(lr_ep,56)))</f>
        <v>7200</v>
      </c>
      <c r="O61" s="86">
        <f t="shared" si="8"/>
        <v>8.9552238805970154E-3</v>
      </c>
      <c r="P61" s="80">
        <f>IF($C61="","",INDEX(calc_cylr_prog,56))</f>
        <v>0.56375752393487788</v>
      </c>
      <c r="Q61" s="87" t="str">
        <f>IF($C61="","",IF(INDEX(calc_netmode,56)=0,"—",INDEX(calc_proggap,56)))</f>
        <v>—</v>
      </c>
      <c r="AA61" s="88">
        <f t="shared" si="9"/>
        <v>30</v>
      </c>
      <c r="AB61" s="6">
        <f t="shared" si="10"/>
        <v>0.37575245448778266</v>
      </c>
      <c r="AC61" s="76">
        <f t="shared" si="11"/>
        <v>3.3649468073532777E-3</v>
      </c>
    </row>
    <row r="62" spans="1:29" x14ac:dyDescent="0.3">
      <c r="A62" s="79" t="str">
        <f>IF(INDEX(lr_key,57)="","",INDEX(lr_bu,57))</f>
        <v>SBA</v>
      </c>
      <c r="B62" s="79" t="str">
        <f>IF(INDEX(lr_key,57)="","",INDEX(lr_state,57))</f>
        <v>OH</v>
      </c>
      <c r="C62" s="23" t="str">
        <f>INDEX(lr_key,57)</f>
        <v>SBA|OH</v>
      </c>
      <c r="D62" s="80">
        <f>IF($C62="","",N(INDEX(lr_lrproj,57)))</f>
        <v>0.58799999999999997</v>
      </c>
      <c r="E62" s="52" t="str">
        <f>IF($C62="","",INDEX(lr_basis,57)&amp;"")</f>
        <v>current</v>
      </c>
      <c r="F62" s="80">
        <f>IF($C62="","",INDEX(calc_lrcur,57))</f>
        <v>0.58799999999999997</v>
      </c>
      <c r="G62" s="81">
        <f>IF($C62="","",INDEX(calc_cylr_p,57))</f>
        <v>0.59708116561287061</v>
      </c>
      <c r="H62" s="82">
        <f>IF($C62="","",(INDEX(calc_cylr_p,57)-INDEX(calc_lrcur,57))*100)</f>
        <v>0.90811656128706453</v>
      </c>
      <c r="I62" s="83">
        <f>IF($C62="","",INDEX(calc_arate_p,57))</f>
        <v>1</v>
      </c>
      <c r="J62" s="83">
        <f>IF($C62="","",INDEX(calc_amod_p,57))</f>
        <v>1.0154441592055623</v>
      </c>
      <c r="K62" s="84">
        <f>IF($C62="","",INDEX(calc_echg,57))</f>
        <v>0</v>
      </c>
      <c r="L62" s="84">
        <f>IF($C62="","",INDEX(calc_carry,57))</f>
        <v>0</v>
      </c>
      <c r="M62" s="80">
        <f>IF($C62="","",INDEX(calc_cylr_p1,57))</f>
        <v>0.60083983205951241</v>
      </c>
      <c r="N62" s="85">
        <f>IF($C62="","",N(INDEX(lr_ep,57)))</f>
        <v>17600</v>
      </c>
      <c r="O62" s="86">
        <f t="shared" si="8"/>
        <v>2.1890547263681594E-2</v>
      </c>
      <c r="P62" s="80">
        <f>IF($C62="","",INDEX(calc_cylr_prog,57))</f>
        <v>0.59708116561287061</v>
      </c>
      <c r="Q62" s="87" t="str">
        <f>IF($C62="","",IF(INDEX(calc_netmode,57)=0,"—",INDEX(calc_proggap,57)))</f>
        <v>—</v>
      </c>
      <c r="AA62" s="88">
        <f t="shared" si="9"/>
        <v>5</v>
      </c>
      <c r="AB62" s="6">
        <f t="shared" si="10"/>
        <v>0.90811662328706455</v>
      </c>
      <c r="AC62" s="76">
        <f t="shared" si="11"/>
        <v>1.9879168505786488E-2</v>
      </c>
    </row>
    <row r="63" spans="1:29" x14ac:dyDescent="0.3">
      <c r="A63" s="79" t="str">
        <f>IF(INDEX(lr_key,58)="","",INDEX(lr_bu,58))</f>
        <v>SBA</v>
      </c>
      <c r="B63" s="79" t="str">
        <f>IF(INDEX(lr_key,58)="","",INDEX(lr_state,58))</f>
        <v>PA</v>
      </c>
      <c r="C63" s="23" t="str">
        <f>INDEX(lr_key,58)</f>
        <v>SBA|PA</v>
      </c>
      <c r="D63" s="80">
        <f>IF($C63="","",N(INDEX(lr_lrproj,58)))</f>
        <v>0.57199999999999995</v>
      </c>
      <c r="E63" s="52" t="str">
        <f>IF($C63="","",INDEX(lr_basis,58)&amp;"")</f>
        <v>current</v>
      </c>
      <c r="F63" s="80">
        <f>IF($C63="","",INDEX(calc_lrcur,58))</f>
        <v>0.57199999999999995</v>
      </c>
      <c r="G63" s="81">
        <f>IF($C63="","",INDEX(calc_cylr_p,58))</f>
        <v>0.57441173602854845</v>
      </c>
      <c r="H63" s="82">
        <f>IF($C63="","",(INDEX(calc_cylr_p,58)-INDEX(calc_lrcur,58))*100)</f>
        <v>0.24117360285484946</v>
      </c>
      <c r="I63" s="83">
        <f>IF($C63="","",INDEX(calc_arate_p,58))</f>
        <v>0.99547992555171516</v>
      </c>
      <c r="J63" s="83">
        <f>IF($C63="","",INDEX(calc_amod_p,58))</f>
        <v>1.0087760646420616</v>
      </c>
      <c r="K63" s="84">
        <f>IF($C63="","",INDEX(calc_echg,58))</f>
        <v>4.5405982905981634E-3</v>
      </c>
      <c r="L63" s="84">
        <f>IF($C63="","",INDEX(calc_carry,58))</f>
        <v>3.5022600372241586E-2</v>
      </c>
      <c r="M63" s="80">
        <f>IF($C63="","",INDEX(calc_cylr_p1,58))</f>
        <v>0.55325593148837793</v>
      </c>
      <c r="N63" s="85">
        <f>IF($C63="","",N(INDEX(lr_ep,58)))</f>
        <v>14400</v>
      </c>
      <c r="O63" s="86">
        <f t="shared" si="8"/>
        <v>1.7910447761194031E-2</v>
      </c>
      <c r="P63" s="80">
        <f>IF($C63="","",INDEX(calc_cylr_prog,58))</f>
        <v>0.57441173602854845</v>
      </c>
      <c r="Q63" s="87" t="str">
        <f>IF($C63="","",IF(INDEX(calc_netmode,58)=0,"—",INDEX(calc_proggap,58)))</f>
        <v>—</v>
      </c>
      <c r="AA63" s="88">
        <f t="shared" si="9"/>
        <v>40</v>
      </c>
      <c r="AB63" s="6">
        <f t="shared" si="10"/>
        <v>0.24117366585484945</v>
      </c>
      <c r="AC63" s="76">
        <f t="shared" si="11"/>
        <v>4.3195272153107363E-3</v>
      </c>
    </row>
    <row r="64" spans="1:29" x14ac:dyDescent="0.3">
      <c r="A64" s="79" t="str">
        <f>IF(INDEX(lr_key,59)="","",INDEX(lr_bu,59))</f>
        <v>SBA</v>
      </c>
      <c r="B64" s="79" t="str">
        <f>IF(INDEX(lr_key,59)="","",INDEX(lr_state,59))</f>
        <v>SC</v>
      </c>
      <c r="C64" s="23" t="str">
        <f>INDEX(lr_key,59)</f>
        <v>SBA|SC</v>
      </c>
      <c r="D64" s="80">
        <f>IF($C64="","",N(INDEX(lr_lrproj,59)))</f>
        <v>0.6</v>
      </c>
      <c r="E64" s="52" t="str">
        <f>IF($C64="","",INDEX(lr_basis,59)&amp;"")</f>
        <v>current</v>
      </c>
      <c r="F64" s="80">
        <f>IF($C64="","",INDEX(calc_lrcur,59))</f>
        <v>0.6</v>
      </c>
      <c r="G64" s="81">
        <f>IF($C64="","",INDEX(calc_cylr_p,59))</f>
        <v>0.6045154785233906</v>
      </c>
      <c r="H64" s="82">
        <f>IF($C64="","",(INDEX(calc_cylr_p,59)-INDEX(calc_lrcur,59))*100)</f>
        <v>0.45154785233906258</v>
      </c>
      <c r="I64" s="83">
        <f>IF($C64="","",INDEX(calc_arate_p,59))</f>
        <v>1.0053191489361701</v>
      </c>
      <c r="J64" s="83">
        <f>IF($C64="","",INDEX(calc_amod_p,59))</f>
        <v>1.0021949732133812</v>
      </c>
      <c r="K64" s="84">
        <f>IF($C64="","",INDEX(calc_echg,59))</f>
        <v>-5.2910052910052352E-3</v>
      </c>
      <c r="L64" s="84">
        <f>IF($C64="","",INDEX(calc_carry,59))</f>
        <v>5.3191489361701372E-3</v>
      </c>
      <c r="M64" s="80">
        <f>IF($C64="","",INDEX(calc_cylr_p1,59))</f>
        <v>0.59398241109071914</v>
      </c>
      <c r="N64" s="85">
        <f>IF($C64="","",N(INDEX(lr_ep,59)))</f>
        <v>11200</v>
      </c>
      <c r="O64" s="86">
        <f t="shared" si="8"/>
        <v>1.3930348258706468E-2</v>
      </c>
      <c r="P64" s="80">
        <f>IF($C64="","",INDEX(calc_cylr_prog,59))</f>
        <v>0.6045154785233906</v>
      </c>
      <c r="Q64" s="87" t="str">
        <f>IF($C64="","",IF(INDEX(calc_netmode,59)=0,"—",INDEX(calc_proggap,59)))</f>
        <v>—</v>
      </c>
      <c r="AA64" s="88">
        <f t="shared" si="9"/>
        <v>26</v>
      </c>
      <c r="AB64" s="6">
        <f t="shared" si="10"/>
        <v>0.4515479163390626</v>
      </c>
      <c r="AC64" s="76">
        <f t="shared" si="11"/>
        <v>6.2902188385541057E-3</v>
      </c>
    </row>
    <row r="65" spans="1:29" x14ac:dyDescent="0.3">
      <c r="A65" s="79" t="str">
        <f>IF(INDEX(lr_key,60)="","",INDEX(lr_bu,60))</f>
        <v>SBA</v>
      </c>
      <c r="B65" s="79" t="str">
        <f>IF(INDEX(lr_key,60)="","",INDEX(lr_state,60))</f>
        <v>TN</v>
      </c>
      <c r="C65" s="23" t="str">
        <f>INDEX(lr_key,60)</f>
        <v>SBA|TN</v>
      </c>
      <c r="D65" s="80">
        <f>IF($C65="","",N(INDEX(lr_lrproj,60)))</f>
        <v>0.58399999999999996</v>
      </c>
      <c r="E65" s="52" t="str">
        <f>IF($C65="","",INDEX(lr_basis,60)&amp;"")</f>
        <v>current</v>
      </c>
      <c r="F65" s="80">
        <f>IF($C65="","",INDEX(calc_lrcur,60))</f>
        <v>0.58399999999999996</v>
      </c>
      <c r="G65" s="81">
        <f>IF($C65="","",INDEX(calc_cylr_p,60))</f>
        <v>0.59041758241758246</v>
      </c>
      <c r="H65" s="82">
        <f>IF($C65="","",(INDEX(calc_cylr_p,60)-INDEX(calc_lrcur,60))*100)</f>
        <v>0.64175824175825014</v>
      </c>
      <c r="I65" s="83">
        <f>IF($C65="","",INDEX(calc_arate_p,60))</f>
        <v>1</v>
      </c>
      <c r="J65" s="83">
        <f>IF($C65="","",INDEX(calc_amod_p,60))</f>
        <v>1.0109890109890112</v>
      </c>
      <c r="K65" s="84">
        <f>IF($C65="","",INDEX(calc_echg,60))</f>
        <v>0</v>
      </c>
      <c r="L65" s="84">
        <f>IF($C65="","",INDEX(calc_carry,60))</f>
        <v>0</v>
      </c>
      <c r="M65" s="80">
        <f>IF($C65="","",INDEX(calc_cylr_p1,60))</f>
        <v>0.59041758241758246</v>
      </c>
      <c r="N65" s="85">
        <f>IF($C65="","",N(INDEX(lr_ep,60)))</f>
        <v>8000</v>
      </c>
      <c r="O65" s="86">
        <f t="shared" si="8"/>
        <v>9.9502487562189053E-3</v>
      </c>
      <c r="P65" s="80">
        <f>IF($C65="","",INDEX(calc_cylr_prog,60))</f>
        <v>0.59041758241758246</v>
      </c>
      <c r="Q65" s="87" t="str">
        <f>IF($C65="","",IF(INDEX(calc_netmode,60)=0,"—",INDEX(calc_proggap,60)))</f>
        <v>—</v>
      </c>
      <c r="AA65" s="88">
        <f t="shared" si="9"/>
        <v>18</v>
      </c>
      <c r="AB65" s="6">
        <f t="shared" si="10"/>
        <v>0.64175830675825019</v>
      </c>
      <c r="AC65" s="76">
        <f t="shared" si="11"/>
        <v>6.3856541468482603E-3</v>
      </c>
    </row>
    <row r="66" spans="1:29" x14ac:dyDescent="0.3">
      <c r="A66" s="79" t="str">
        <f>IF(INDEX(lr_key,61)="","",INDEX(lr_bu,61))</f>
        <v>SBA</v>
      </c>
      <c r="B66" s="79" t="str">
        <f>IF(INDEX(lr_key,61)="","",INDEX(lr_state,61))</f>
        <v>VA</v>
      </c>
      <c r="C66" s="23" t="str">
        <f>INDEX(lr_key,61)</f>
        <v>SBA|VA</v>
      </c>
      <c r="D66" s="80">
        <f>IF($C66="","",N(INDEX(lr_lrproj,61)))</f>
        <v>0.56799999999999995</v>
      </c>
      <c r="E66" s="52" t="str">
        <f>IF($C66="","",INDEX(lr_basis,61)&amp;"")</f>
        <v>current</v>
      </c>
      <c r="F66" s="80">
        <f>IF($C66="","",INDEX(calc_lrcur,61))</f>
        <v>0.56799999999999995</v>
      </c>
      <c r="G66" s="81">
        <f>IF($C66="","",INDEX(calc_cylr_p,61))</f>
        <v>0.57048733373048399</v>
      </c>
      <c r="H66" s="82">
        <f>IF($C66="","",(INDEX(calc_cylr_p,61)-INDEX(calc_lrcur,61))*100)</f>
        <v>0.24873337304840426</v>
      </c>
      <c r="I66" s="83">
        <f>IF($C66="","",INDEX(calc_arate_p,61))</f>
        <v>0.99999999999999978</v>
      </c>
      <c r="J66" s="83">
        <f>IF($C66="","",INDEX(calc_amod_p,61))</f>
        <v>1.0043791086804299</v>
      </c>
      <c r="K66" s="84">
        <f>IF($C66="","",INDEX(calc_echg,61))</f>
        <v>0</v>
      </c>
      <c r="L66" s="84">
        <f>IF($C66="","",INDEX(calc_carry,61))</f>
        <v>0</v>
      </c>
      <c r="M66" s="80">
        <f>IF($C66="","",INDEX(calc_cylr_p1,61))</f>
        <v>0.56524117118565342</v>
      </c>
      <c r="N66" s="85">
        <f>IF($C66="","",N(INDEX(lr_ep,61)))</f>
        <v>18400</v>
      </c>
      <c r="O66" s="86">
        <f t="shared" si="8"/>
        <v>2.2885572139303482E-2</v>
      </c>
      <c r="P66" s="80">
        <f>IF($C66="","",INDEX(calc_cylr_prog,61))</f>
        <v>0.57048733373048399</v>
      </c>
      <c r="Q66" s="87" t="str">
        <f>IF($C66="","",IF(INDEX(calc_netmode,61)=0,"—",INDEX(calc_proggap,61)))</f>
        <v>—</v>
      </c>
      <c r="AA66" s="88">
        <f t="shared" si="9"/>
        <v>38</v>
      </c>
      <c r="AB66" s="6">
        <f t="shared" si="10"/>
        <v>0.24873343904840425</v>
      </c>
      <c r="AC66" s="76">
        <f t="shared" si="11"/>
        <v>5.6924055523515397E-3</v>
      </c>
    </row>
    <row r="67" spans="1:29" x14ac:dyDescent="0.3">
      <c r="A67" s="79" t="str">
        <f>IF(INDEX(lr_key,62)="","",INDEX(lr_bu,62))</f>
        <v>SBA</v>
      </c>
      <c r="B67" s="79" t="str">
        <f>IF(INDEX(lr_key,62)="","",INDEX(lr_state,62))</f>
        <v>WV</v>
      </c>
      <c r="C67" s="23" t="str">
        <f>INDEX(lr_key,62)</f>
        <v>SBA|WV</v>
      </c>
      <c r="D67" s="80">
        <f>IF($C67="","",N(INDEX(lr_lrproj,62)))</f>
        <v>0.59599999999999997</v>
      </c>
      <c r="E67" s="52" t="str">
        <f>IF($C67="","",INDEX(lr_basis,62)&amp;"")</f>
        <v>current</v>
      </c>
      <c r="F67" s="80">
        <f>IF($C67="","",INDEX(calc_lrcur,62))</f>
        <v>0.59599999999999997</v>
      </c>
      <c r="G67" s="81">
        <f>IF($C67="","",INDEX(calc_cylr_p,62))</f>
        <v>0.58818912262149681</v>
      </c>
      <c r="H67" s="82">
        <f>IF($C67="","",(INDEX(calc_cylr_p,62)-INDEX(calc_lrcur,62))*100)</f>
        <v>-0.78108773785031671</v>
      </c>
      <c r="I67" s="83">
        <f>IF($C67="","",INDEX(calc_arate_p,62))</f>
        <v>0.9740259740259738</v>
      </c>
      <c r="J67" s="83">
        <f>IF($C67="","",INDEX(calc_amod_p,62))</f>
        <v>1.0132116877372543</v>
      </c>
      <c r="K67" s="84">
        <f>IF($C67="","",INDEX(calc_echg,62))</f>
        <v>2.666666666666706E-2</v>
      </c>
      <c r="L67" s="84">
        <f>IF($C67="","",INDEX(calc_carry,62))</f>
        <v>1.2987012987013102E-2</v>
      </c>
      <c r="M67" s="80">
        <f>IF($C67="","",INDEX(calc_cylr_p1,62))</f>
        <v>0.5824660940752252</v>
      </c>
      <c r="N67" s="85">
        <f>IF($C67="","",N(INDEX(lr_ep,62)))</f>
        <v>15200</v>
      </c>
      <c r="O67" s="86">
        <f t="shared" si="8"/>
        <v>1.8905472636815919E-2</v>
      </c>
      <c r="P67" s="80">
        <f>IF($C67="","",INDEX(calc_cylr_prog,62))</f>
        <v>0.58818912262149681</v>
      </c>
      <c r="Q67" s="87" t="str">
        <f>IF($C67="","",IF(INDEX(calc_netmode,62)=0,"—",INDEX(calc_proggap,62)))</f>
        <v>—</v>
      </c>
      <c r="AA67" s="88">
        <f t="shared" si="9"/>
        <v>57</v>
      </c>
      <c r="AB67" s="6">
        <f t="shared" si="10"/>
        <v>-0.78108767085031672</v>
      </c>
      <c r="AC67" s="76">
        <f t="shared" si="11"/>
        <v>-1.4766832854881609E-2</v>
      </c>
    </row>
    <row r="68" spans="1:29" x14ac:dyDescent="0.3">
      <c r="A68" s="79" t="str">
        <f>IF(INDEX(lr_key,63)="","",INDEX(lr_bu,63))</f>
        <v>SBA</v>
      </c>
      <c r="B68" s="79" t="str">
        <f>IF(INDEX(lr_key,63)="","",INDEX(lr_state,63))</f>
        <v>WI</v>
      </c>
      <c r="C68" s="23" t="str">
        <f>INDEX(lr_key,63)</f>
        <v>SBA|WI</v>
      </c>
      <c r="D68" s="80">
        <f>IF($C68="","",N(INDEX(lr_lrproj,63)))</f>
        <v>0.57999999999999996</v>
      </c>
      <c r="E68" s="52" t="str">
        <f>IF($C68="","",INDEX(lr_basis,63)&amp;"")</f>
        <v>current</v>
      </c>
      <c r="F68" s="80">
        <f>IF($C68="","",INDEX(calc_lrcur,63))</f>
        <v>0.57999999999999996</v>
      </c>
      <c r="G68" s="81">
        <f>IF($C68="","",INDEX(calc_cylr_p,63))</f>
        <v>0.58381221526494143</v>
      </c>
      <c r="H68" s="82">
        <f>IF($C68="","",(INDEX(calc_cylr_p,63)-INDEX(calc_lrcur,63))*100)</f>
        <v>0.38122152649414653</v>
      </c>
      <c r="I68" s="83">
        <f>IF($C68="","",INDEX(calc_arate_p,63))</f>
        <v>1</v>
      </c>
      <c r="J68" s="83">
        <f>IF($C68="","",INDEX(calc_amod_p,63))</f>
        <v>1.0065727849395543</v>
      </c>
      <c r="K68" s="84">
        <f>IF($C68="","",INDEX(calc_echg,63))</f>
        <v>0</v>
      </c>
      <c r="L68" s="84">
        <f>IF($C68="","",INDEX(calc_carry,63))</f>
        <v>0</v>
      </c>
      <c r="M68" s="80">
        <f>IF($C68="","",INDEX(calc_cylr_p1,63))</f>
        <v>0.58021428595033131</v>
      </c>
      <c r="N68" s="85">
        <f>IF($C68="","",N(INDEX(lr_ep,63)))</f>
        <v>12000</v>
      </c>
      <c r="O68" s="86">
        <f t="shared" si="8"/>
        <v>1.4925373134328358E-2</v>
      </c>
      <c r="P68" s="80">
        <f>IF($C68="","",INDEX(calc_cylr_prog,63))</f>
        <v>0.58381221526494143</v>
      </c>
      <c r="Q68" s="87" t="str">
        <f>IF($C68="","",IF(INDEX(calc_netmode,63)=0,"—",INDEX(calc_proggap,63)))</f>
        <v>—</v>
      </c>
      <c r="AA68" s="88">
        <f t="shared" si="9"/>
        <v>29</v>
      </c>
      <c r="AB68" s="6">
        <f t="shared" si="10"/>
        <v>0.38122159449414655</v>
      </c>
      <c r="AC68" s="76">
        <f t="shared" si="11"/>
        <v>5.6898735297633814E-3</v>
      </c>
    </row>
    <row r="69" spans="1:29" x14ac:dyDescent="0.3">
      <c r="A69" s="79" t="str">
        <f>IF(INDEX(lr_key,64)="","",INDEX(lr_bu,64))</f>
        <v/>
      </c>
      <c r="B69" s="79" t="str">
        <f>IF(INDEX(lr_key,64)="","",INDEX(lr_state,64))</f>
        <v/>
      </c>
      <c r="C69" s="23" t="str">
        <f>INDEX(lr_key,64)</f>
        <v/>
      </c>
      <c r="D69" s="80" t="str">
        <f>IF($C69="","",N(INDEX(lr_lrproj,64)))</f>
        <v/>
      </c>
      <c r="E69" s="52" t="str">
        <f>IF($C69="","",INDEX(lr_basis,64)&amp;"")</f>
        <v/>
      </c>
      <c r="F69" s="80" t="str">
        <f>IF($C69="","",INDEX(calc_lrcur,64))</f>
        <v/>
      </c>
      <c r="G69" s="81" t="str">
        <f>IF($C69="","",INDEX(calc_cylr_p,64))</f>
        <v/>
      </c>
      <c r="H69" s="82" t="str">
        <f>IF($C69="","",(INDEX(calc_cylr_p,64)-INDEX(calc_lrcur,64))*100)</f>
        <v/>
      </c>
      <c r="I69" s="83" t="str">
        <f>IF($C69="","",INDEX(calc_arate_p,64))</f>
        <v/>
      </c>
      <c r="J69" s="83" t="str">
        <f>IF($C69="","",INDEX(calc_amod_p,64))</f>
        <v/>
      </c>
      <c r="K69" s="84" t="str">
        <f>IF($C69="","",INDEX(calc_echg,64))</f>
        <v/>
      </c>
      <c r="L69" s="84" t="str">
        <f>IF($C69="","",INDEX(calc_carry,64))</f>
        <v/>
      </c>
      <c r="M69" s="80" t="str">
        <f>IF($C69="","",INDEX(calc_cylr_p1,64))</f>
        <v/>
      </c>
      <c r="N69" s="85" t="str">
        <f>IF($C69="","",N(INDEX(lr_ep,64)))</f>
        <v/>
      </c>
      <c r="O69" s="86" t="str">
        <f t="shared" si="8"/>
        <v/>
      </c>
      <c r="P69" s="80" t="str">
        <f>IF($C69="","",INDEX(calc_cylr_prog,64))</f>
        <v/>
      </c>
      <c r="Q69" s="87" t="str">
        <f>IF($C69="","",IF(INDEX(calc_netmode,64)=0,"—",INDEX(calc_proggap,64)))</f>
        <v/>
      </c>
      <c r="AA69" s="88" t="str">
        <f t="shared" si="9"/>
        <v/>
      </c>
      <c r="AB69" s="6" t="str">
        <f t="shared" si="10"/>
        <v/>
      </c>
      <c r="AC69" s="76" t="str">
        <f t="shared" si="11"/>
        <v/>
      </c>
    </row>
    <row r="70" spans="1:29" x14ac:dyDescent="0.3">
      <c r="A70" s="79" t="str">
        <f>IF(INDEX(lr_key,65)="","",INDEX(lr_bu,65))</f>
        <v/>
      </c>
      <c r="B70" s="79" t="str">
        <f>IF(INDEX(lr_key,65)="","",INDEX(lr_state,65))</f>
        <v/>
      </c>
      <c r="C70" s="23" t="str">
        <f>INDEX(lr_key,65)</f>
        <v/>
      </c>
      <c r="D70" s="80" t="str">
        <f>IF($C70="","",N(INDEX(lr_lrproj,65)))</f>
        <v/>
      </c>
      <c r="E70" s="52" t="str">
        <f>IF($C70="","",INDEX(lr_basis,65)&amp;"")</f>
        <v/>
      </c>
      <c r="F70" s="80" t="str">
        <f>IF($C70="","",INDEX(calc_lrcur,65))</f>
        <v/>
      </c>
      <c r="G70" s="81" t="str">
        <f>IF($C70="","",INDEX(calc_cylr_p,65))</f>
        <v/>
      </c>
      <c r="H70" s="82" t="str">
        <f>IF($C70="","",(INDEX(calc_cylr_p,65)-INDEX(calc_lrcur,65))*100)</f>
        <v/>
      </c>
      <c r="I70" s="83" t="str">
        <f>IF($C70="","",INDEX(calc_arate_p,65))</f>
        <v/>
      </c>
      <c r="J70" s="83" t="str">
        <f>IF($C70="","",INDEX(calc_amod_p,65))</f>
        <v/>
      </c>
      <c r="K70" s="84" t="str">
        <f>IF($C70="","",INDEX(calc_echg,65))</f>
        <v/>
      </c>
      <c r="L70" s="84" t="str">
        <f>IF($C70="","",INDEX(calc_carry,65))</f>
        <v/>
      </c>
      <c r="M70" s="80" t="str">
        <f>IF($C70="","",INDEX(calc_cylr_p1,65))</f>
        <v/>
      </c>
      <c r="N70" s="85" t="str">
        <f>IF($C70="","",N(INDEX(lr_ep,65)))</f>
        <v/>
      </c>
      <c r="O70" s="86" t="str">
        <f t="shared" si="8"/>
        <v/>
      </c>
      <c r="P70" s="80" t="str">
        <f>IF($C70="","",INDEX(calc_cylr_prog,65))</f>
        <v/>
      </c>
      <c r="Q70" s="87" t="str">
        <f>IF($C70="","",IF(INDEX(calc_netmode,65)=0,"—",INDEX(calc_proggap,65)))</f>
        <v/>
      </c>
      <c r="AA70" s="88" t="str">
        <f t="shared" si="9"/>
        <v/>
      </c>
      <c r="AB70" s="6" t="str">
        <f t="shared" si="10"/>
        <v/>
      </c>
      <c r="AC70" s="76" t="str">
        <f t="shared" si="11"/>
        <v/>
      </c>
    </row>
    <row r="71" spans="1:29" x14ac:dyDescent="0.3">
      <c r="A71" s="79" t="str">
        <f>IF(INDEX(lr_key,66)="","",INDEX(lr_bu,66))</f>
        <v/>
      </c>
      <c r="B71" s="79" t="str">
        <f>IF(INDEX(lr_key,66)="","",INDEX(lr_state,66))</f>
        <v/>
      </c>
      <c r="C71" s="23" t="str">
        <f>INDEX(lr_key,66)</f>
        <v/>
      </c>
      <c r="D71" s="80" t="str">
        <f>IF($C71="","",N(INDEX(lr_lrproj,66)))</f>
        <v/>
      </c>
      <c r="E71" s="52" t="str">
        <f>IF($C71="","",INDEX(lr_basis,66)&amp;"")</f>
        <v/>
      </c>
      <c r="F71" s="80" t="str">
        <f>IF($C71="","",INDEX(calc_lrcur,66))</f>
        <v/>
      </c>
      <c r="G71" s="81" t="str">
        <f>IF($C71="","",INDEX(calc_cylr_p,66))</f>
        <v/>
      </c>
      <c r="H71" s="82" t="str">
        <f>IF($C71="","",(INDEX(calc_cylr_p,66)-INDEX(calc_lrcur,66))*100)</f>
        <v/>
      </c>
      <c r="I71" s="83" t="str">
        <f>IF($C71="","",INDEX(calc_arate_p,66))</f>
        <v/>
      </c>
      <c r="J71" s="83" t="str">
        <f>IF($C71="","",INDEX(calc_amod_p,66))</f>
        <v/>
      </c>
      <c r="K71" s="84" t="str">
        <f>IF($C71="","",INDEX(calc_echg,66))</f>
        <v/>
      </c>
      <c r="L71" s="84" t="str">
        <f>IF($C71="","",INDEX(calc_carry,66))</f>
        <v/>
      </c>
      <c r="M71" s="80" t="str">
        <f>IF($C71="","",INDEX(calc_cylr_p1,66))</f>
        <v/>
      </c>
      <c r="N71" s="85" t="str">
        <f>IF($C71="","",N(INDEX(lr_ep,66)))</f>
        <v/>
      </c>
      <c r="O71" s="86" t="str">
        <f t="shared" si="8"/>
        <v/>
      </c>
      <c r="P71" s="80" t="str">
        <f>IF($C71="","",INDEX(calc_cylr_prog,66))</f>
        <v/>
      </c>
      <c r="Q71" s="87" t="str">
        <f>IF($C71="","",IF(INDEX(calc_netmode,66)=0,"—",INDEX(calc_proggap,66)))</f>
        <v/>
      </c>
      <c r="AA71" s="88" t="str">
        <f t="shared" si="9"/>
        <v/>
      </c>
      <c r="AB71" s="6" t="str">
        <f t="shared" si="10"/>
        <v/>
      </c>
      <c r="AC71" s="76" t="str">
        <f t="shared" si="11"/>
        <v/>
      </c>
    </row>
    <row r="72" spans="1:29" x14ac:dyDescent="0.3">
      <c r="A72" s="79" t="str">
        <f>IF(INDEX(lr_key,67)="","",INDEX(lr_bu,67))</f>
        <v/>
      </c>
      <c r="B72" s="79" t="str">
        <f>IF(INDEX(lr_key,67)="","",INDEX(lr_state,67))</f>
        <v/>
      </c>
      <c r="C72" s="23" t="str">
        <f>INDEX(lr_key,67)</f>
        <v/>
      </c>
      <c r="D72" s="80" t="str">
        <f>IF($C72="","",N(INDEX(lr_lrproj,67)))</f>
        <v/>
      </c>
      <c r="E72" s="52" t="str">
        <f>IF($C72="","",INDEX(lr_basis,67)&amp;"")</f>
        <v/>
      </c>
      <c r="F72" s="80" t="str">
        <f>IF($C72="","",INDEX(calc_lrcur,67))</f>
        <v/>
      </c>
      <c r="G72" s="81" t="str">
        <f>IF($C72="","",INDEX(calc_cylr_p,67))</f>
        <v/>
      </c>
      <c r="H72" s="82" t="str">
        <f>IF($C72="","",(INDEX(calc_cylr_p,67)-INDEX(calc_lrcur,67))*100)</f>
        <v/>
      </c>
      <c r="I72" s="83" t="str">
        <f>IF($C72="","",INDEX(calc_arate_p,67))</f>
        <v/>
      </c>
      <c r="J72" s="83" t="str">
        <f>IF($C72="","",INDEX(calc_amod_p,67))</f>
        <v/>
      </c>
      <c r="K72" s="84" t="str">
        <f>IF($C72="","",INDEX(calc_echg,67))</f>
        <v/>
      </c>
      <c r="L72" s="84" t="str">
        <f>IF($C72="","",INDEX(calc_carry,67))</f>
        <v/>
      </c>
      <c r="M72" s="80" t="str">
        <f>IF($C72="","",INDEX(calc_cylr_p1,67))</f>
        <v/>
      </c>
      <c r="N72" s="85" t="str">
        <f>IF($C72="","",N(INDEX(lr_ep,67)))</f>
        <v/>
      </c>
      <c r="O72" s="86" t="str">
        <f t="shared" si="8"/>
        <v/>
      </c>
      <c r="P72" s="80" t="str">
        <f>IF($C72="","",INDEX(calc_cylr_prog,67))</f>
        <v/>
      </c>
      <c r="Q72" s="87" t="str">
        <f>IF($C72="","",IF(INDEX(calc_netmode,67)=0,"—",INDEX(calc_proggap,67)))</f>
        <v/>
      </c>
      <c r="AA72" s="88" t="str">
        <f t="shared" si="9"/>
        <v/>
      </c>
      <c r="AB72" s="6" t="str">
        <f t="shared" si="10"/>
        <v/>
      </c>
      <c r="AC72" s="76" t="str">
        <f t="shared" si="11"/>
        <v/>
      </c>
    </row>
    <row r="73" spans="1:29" x14ac:dyDescent="0.3">
      <c r="A73" s="79" t="str">
        <f>IF(INDEX(lr_key,68)="","",INDEX(lr_bu,68))</f>
        <v/>
      </c>
      <c r="B73" s="79" t="str">
        <f>IF(INDEX(lr_key,68)="","",INDEX(lr_state,68))</f>
        <v/>
      </c>
      <c r="C73" s="23" t="str">
        <f>INDEX(lr_key,68)</f>
        <v/>
      </c>
      <c r="D73" s="80" t="str">
        <f>IF($C73="","",N(INDEX(lr_lrproj,68)))</f>
        <v/>
      </c>
      <c r="E73" s="52" t="str">
        <f>IF($C73="","",INDEX(lr_basis,68)&amp;"")</f>
        <v/>
      </c>
      <c r="F73" s="80" t="str">
        <f>IF($C73="","",INDEX(calc_lrcur,68))</f>
        <v/>
      </c>
      <c r="G73" s="81" t="str">
        <f>IF($C73="","",INDEX(calc_cylr_p,68))</f>
        <v/>
      </c>
      <c r="H73" s="82" t="str">
        <f>IF($C73="","",(INDEX(calc_cylr_p,68)-INDEX(calc_lrcur,68))*100)</f>
        <v/>
      </c>
      <c r="I73" s="83" t="str">
        <f>IF($C73="","",INDEX(calc_arate_p,68))</f>
        <v/>
      </c>
      <c r="J73" s="83" t="str">
        <f>IF($C73="","",INDEX(calc_amod_p,68))</f>
        <v/>
      </c>
      <c r="K73" s="84" t="str">
        <f>IF($C73="","",INDEX(calc_echg,68))</f>
        <v/>
      </c>
      <c r="L73" s="84" t="str">
        <f>IF($C73="","",INDEX(calc_carry,68))</f>
        <v/>
      </c>
      <c r="M73" s="80" t="str">
        <f>IF($C73="","",INDEX(calc_cylr_p1,68))</f>
        <v/>
      </c>
      <c r="N73" s="85" t="str">
        <f>IF($C73="","",N(INDEX(lr_ep,68)))</f>
        <v/>
      </c>
      <c r="O73" s="86" t="str">
        <f t="shared" si="8"/>
        <v/>
      </c>
      <c r="P73" s="80" t="str">
        <f>IF($C73="","",INDEX(calc_cylr_prog,68))</f>
        <v/>
      </c>
      <c r="Q73" s="87" t="str">
        <f>IF($C73="","",IF(INDEX(calc_netmode,68)=0,"—",INDEX(calc_proggap,68)))</f>
        <v/>
      </c>
      <c r="AA73" s="88" t="str">
        <f t="shared" si="9"/>
        <v/>
      </c>
      <c r="AB73" s="6" t="str">
        <f t="shared" si="10"/>
        <v/>
      </c>
      <c r="AC73" s="76" t="str">
        <f t="shared" si="11"/>
        <v/>
      </c>
    </row>
    <row r="74" spans="1:29" x14ac:dyDescent="0.3">
      <c r="A74" s="79" t="str">
        <f>IF(INDEX(lr_key,69)="","",INDEX(lr_bu,69))</f>
        <v/>
      </c>
      <c r="B74" s="79" t="str">
        <f>IF(INDEX(lr_key,69)="","",INDEX(lr_state,69))</f>
        <v/>
      </c>
      <c r="C74" s="23" t="str">
        <f>INDEX(lr_key,69)</f>
        <v/>
      </c>
      <c r="D74" s="80" t="str">
        <f>IF($C74="","",N(INDEX(lr_lrproj,69)))</f>
        <v/>
      </c>
      <c r="E74" s="52" t="str">
        <f>IF($C74="","",INDEX(lr_basis,69)&amp;"")</f>
        <v/>
      </c>
      <c r="F74" s="80" t="str">
        <f>IF($C74="","",INDEX(calc_lrcur,69))</f>
        <v/>
      </c>
      <c r="G74" s="81" t="str">
        <f>IF($C74="","",INDEX(calc_cylr_p,69))</f>
        <v/>
      </c>
      <c r="H74" s="82" t="str">
        <f>IF($C74="","",(INDEX(calc_cylr_p,69)-INDEX(calc_lrcur,69))*100)</f>
        <v/>
      </c>
      <c r="I74" s="83" t="str">
        <f>IF($C74="","",INDEX(calc_arate_p,69))</f>
        <v/>
      </c>
      <c r="J74" s="83" t="str">
        <f>IF($C74="","",INDEX(calc_amod_p,69))</f>
        <v/>
      </c>
      <c r="K74" s="84" t="str">
        <f>IF($C74="","",INDEX(calc_echg,69))</f>
        <v/>
      </c>
      <c r="L74" s="84" t="str">
        <f>IF($C74="","",INDEX(calc_carry,69))</f>
        <v/>
      </c>
      <c r="M74" s="80" t="str">
        <f>IF($C74="","",INDEX(calc_cylr_p1,69))</f>
        <v/>
      </c>
      <c r="N74" s="85" t="str">
        <f>IF($C74="","",N(INDEX(lr_ep,69)))</f>
        <v/>
      </c>
      <c r="O74" s="86" t="str">
        <f t="shared" si="8"/>
        <v/>
      </c>
      <c r="P74" s="80" t="str">
        <f>IF($C74="","",INDEX(calc_cylr_prog,69))</f>
        <v/>
      </c>
      <c r="Q74" s="87" t="str">
        <f>IF($C74="","",IF(INDEX(calc_netmode,69)=0,"—",INDEX(calc_proggap,69)))</f>
        <v/>
      </c>
      <c r="AA74" s="88" t="str">
        <f t="shared" si="9"/>
        <v/>
      </c>
      <c r="AB74" s="6" t="str">
        <f t="shared" si="10"/>
        <v/>
      </c>
      <c r="AC74" s="76" t="str">
        <f t="shared" si="11"/>
        <v/>
      </c>
    </row>
    <row r="76" spans="1:29" x14ac:dyDescent="0.3">
      <c r="B76" s="8" t="s">
        <v>277</v>
      </c>
      <c r="F76" s="93">
        <f>IF(SUM($N$6:$N$74)=0,"n/a",SUMPRODUCT(F$6:F$74,$N$6:$N$74)/SUM($N$6:$N$74))</f>
        <v>0.58183243781094529</v>
      </c>
      <c r="G76" s="92">
        <f>IF(SUM($N$6:$N$74)=0,"n/a",SUMPRODUCT(G$6:G$74,$N$6:$N$74)/SUM($N$6:$N$74))</f>
        <v>0.58320500261511987</v>
      </c>
      <c r="H76" s="94">
        <f>IF(ISNUMBER($G$76),($G$76-$F$76)*100,"")</f>
        <v>0.13725648041745808</v>
      </c>
      <c r="K76" s="95">
        <f>IF(SUM($N$6:$N$74)=0,"n/a",SUMPRODUCT(K$6:K$74,$N$6:$N$74)/SUM($N$6:$N$74))</f>
        <v>6.3341460627518408E-3</v>
      </c>
      <c r="L76" s="95">
        <f>IF(SUM($N$6:$N$74)=0,"n/a",SUMPRODUCT(L$6:L$74,$N$6:$N$74)/SUM($N$6:$N$74))</f>
        <v>8.6136623576397158E-3</v>
      </c>
      <c r="M76" s="93">
        <f>IF(SUM($N$6:$N$74)=0,"n/a",SUMPRODUCT(M$6:M$74,$N$6:$N$74)/SUM($N$6:$N$74))</f>
        <v>0.57665620075801161</v>
      </c>
      <c r="N76" s="96">
        <f>SUM($N$6:$N$74)</f>
        <v>804000</v>
      </c>
    </row>
    <row r="77" spans="1:29" x14ac:dyDescent="0.3">
      <c r="B77" s="18" t="s">
        <v>278</v>
      </c>
      <c r="F77" s="46">
        <f>IF(SUMPRODUCT(($C$6:$C$74&lt;&gt;"")*1)=0,"n/a",SUM(F$6:F$74)/SUMPRODUCT(($C$6:$C$74&lt;&gt;"")*1))</f>
        <v>0.5822666666666666</v>
      </c>
      <c r="G77" s="46">
        <f>IF(SUMPRODUCT(($C$6:$C$74&lt;&gt;"")*1)=0,"n/a",SUM(G$6:G$74)/SUMPRODUCT(($C$6:$C$74&lt;&gt;"")*1))</f>
        <v>0.58323847835882558</v>
      </c>
      <c r="K77" s="97">
        <f>IF(SUMPRODUCT(($C$6:$C$74&lt;&gt;"")*1)=0,"n/a",SUM(K$6:K$74)/SUMPRODUCT(($C$6:$C$74&lt;&gt;"")*1))</f>
        <v>6.6014032766834683E-3</v>
      </c>
      <c r="L77" s="97">
        <f>IF(SUMPRODUCT(($C$6:$C$74&lt;&gt;"")*1)=0,"n/a",SUM(L$6:L$74)/SUMPRODUCT(($C$6:$C$74&lt;&gt;"")*1))</f>
        <v>9.3746694574870591E-3</v>
      </c>
      <c r="M77" s="46">
        <f>IF(SUMPRODUCT(($C$6:$C$74&lt;&gt;"")*1)=0,"n/a",SUM(M$6:M$74)/SUMPRODUCT(($C$6:$C$74&lt;&gt;"")*1))</f>
        <v>0.57616166469952179</v>
      </c>
    </row>
    <row r="79" spans="1:29" ht="276" x14ac:dyDescent="0.3">
      <c r="B79" s="27" t="s">
        <v>279</v>
      </c>
    </row>
    <row r="81" spans="2:2" x14ac:dyDescent="0.3">
      <c r="B81" s="51" t="s">
        <v>280</v>
      </c>
    </row>
  </sheetData>
  <autoFilter ref="A5:Q74" xr:uid="{00000000-0009-0000-0000-000004000000}"/>
  <conditionalFormatting sqref="G6:G74">
    <cfRule type="colorScale" priority="1">
      <colorScale>
        <cfvo type="min"/>
        <cfvo type="percentile" val="50"/>
        <cfvo type="max"/>
        <color rgb="FFD6E8D5"/>
        <color rgb="FFFFF2CC"/>
        <color rgb="FFF4B8B8"/>
      </colorScale>
    </cfRule>
  </conditionalFormatting>
  <conditionalFormatting sqref="H6:H74">
    <cfRule type="colorScale" priority="2">
      <colorScale>
        <cfvo type="min"/>
        <cfvo type="num" val="0"/>
        <cfvo type="max"/>
        <color rgb="FFD6E8D5"/>
        <color rgb="FFFFFFFF"/>
        <color rgb="FFF4B8B8"/>
      </colorScale>
    </cfRule>
  </conditionalFormatting>
  <conditionalFormatting sqref="I6:I74">
    <cfRule type="colorScale" priority="3">
      <colorScale>
        <cfvo type="num" val="0.95"/>
        <cfvo type="num" val="1"/>
        <cfvo type="num" val="1.05"/>
        <color rgb="FFD6E8D5"/>
        <color rgb="FFFFFFFF"/>
        <color rgb="FFF4B8B8"/>
      </colorScale>
    </cfRule>
  </conditionalFormatting>
  <conditionalFormatting sqref="J6:J74">
    <cfRule type="colorScale" priority="4">
      <colorScale>
        <cfvo type="num" val="0.95"/>
        <cfvo type="num" val="1"/>
        <cfvo type="num" val="1.05"/>
        <color rgb="FFD6E8D5"/>
        <color rgb="FFFFFFFF"/>
        <color rgb="FFF4B8B8"/>
      </colorScale>
    </cfRule>
  </conditionalFormatting>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O49"/>
  <sheetViews>
    <sheetView showGridLines="0" workbookViewId="0">
      <pane xSplit="1" ySplit="7" topLeftCell="B8" activePane="bottomRight" state="frozen"/>
      <selection pane="topRight"/>
      <selection pane="bottomLeft"/>
      <selection pane="bottomRight"/>
    </sheetView>
  </sheetViews>
  <sheetFormatPr defaultRowHeight="14.4" x14ac:dyDescent="0.3"/>
  <cols>
    <col min="1" max="1" width="7" customWidth="1"/>
    <col min="2" max="2" width="12" customWidth="1"/>
    <col min="3" max="3" width="9" customWidth="1"/>
    <col min="4" max="4" width="8.44140625" customWidth="1"/>
    <col min="5" max="6" width="9" customWidth="1"/>
    <col min="7" max="7" width="7" customWidth="1"/>
    <col min="8" max="8" width="4" customWidth="1"/>
    <col min="9" max="9" width="9" customWidth="1"/>
    <col min="10" max="10" width="7" customWidth="1"/>
    <col min="11" max="11" width="4" customWidth="1"/>
    <col min="12" max="12" width="9" customWidth="1"/>
    <col min="13" max="13" width="7" customWidth="1"/>
    <col min="14" max="14" width="4" customWidth="1"/>
    <col min="15" max="15" width="9" customWidth="1"/>
    <col min="16" max="16" width="7" customWidth="1"/>
    <col min="17" max="17" width="4" customWidth="1"/>
    <col min="18" max="18" width="7" customWidth="1"/>
    <col min="19" max="19" width="8" customWidth="1"/>
    <col min="20" max="21" width="9.44140625" customWidth="1"/>
    <col min="22" max="22" width="9" customWidth="1"/>
    <col min="23" max="23" width="11" customWidth="1"/>
    <col min="24" max="25" width="9.44140625" customWidth="1"/>
    <col min="26" max="26" width="8.44140625" customWidth="1"/>
    <col min="27" max="27" width="10" customWidth="1"/>
    <col min="28" max="28" width="7" customWidth="1"/>
    <col min="29" max="29" width="8.44140625" customWidth="1"/>
    <col min="30" max="31" width="9.44140625" customWidth="1"/>
    <col min="32" max="32" width="10" customWidth="1"/>
    <col min="33" max="33" width="8.44140625" customWidth="1"/>
    <col min="34" max="34" width="11" customWidth="1"/>
    <col min="35" max="35" width="12" customWidth="1"/>
    <col min="37" max="38" width="6" customWidth="1"/>
    <col min="39" max="39" width="10" customWidth="1"/>
    <col min="40" max="40" width="6" customWidth="1"/>
    <col min="41" max="41" width="8" customWidth="1"/>
  </cols>
  <sheetData>
    <row r="1" spans="1:41" ht="21" x14ac:dyDescent="0.3">
      <c r="A1" s="1" t="s">
        <v>281</v>
      </c>
    </row>
    <row r="2" spans="1:41" x14ac:dyDescent="0.3">
      <c r="A2" s="2" t="s">
        <v>282</v>
      </c>
    </row>
    <row r="3" spans="1:41" x14ac:dyDescent="0.3">
      <c r="A3" s="6" t="s">
        <v>154</v>
      </c>
      <c r="C3" s="19" t="str">
        <f>HYPERLINK("#Control!A1","Control")</f>
        <v>Control</v>
      </c>
      <c r="E3" s="19" t="str">
        <f>HYPERLINK("#Inputs!A1","Inputs")</f>
        <v>Inputs</v>
      </c>
      <c r="G3" s="19" t="str">
        <f>HYPERLINK("#Portfolio!A1","Portfolio")</f>
        <v>Portfolio</v>
      </c>
      <c r="I3" s="19" t="str">
        <f>HYPERLINK("#Bridge!A1","Bridge")</f>
        <v>Bridge</v>
      </c>
      <c r="K3" s="19" t="str">
        <f>HYPERLINK("#Checks!A1","Checks")</f>
        <v>Checks</v>
      </c>
    </row>
    <row r="4" spans="1:41" x14ac:dyDescent="0.3">
      <c r="A4" s="18" t="s">
        <v>283</v>
      </c>
      <c r="B4" s="98" t="s">
        <v>284</v>
      </c>
      <c r="C4" s="99" t="str">
        <f>"Showing: "&amp;IF($B$4="All","all business units combined (adj-EP weighted)",$B$4)</f>
        <v>Showing: all business units combined (adj-EP weighted)</v>
      </c>
      <c r="AK4" s="23" t="str">
        <f>IF($B$4="All","*",$B$4)</f>
        <v>*</v>
      </c>
    </row>
    <row r="6" spans="1:41" x14ac:dyDescent="0.3">
      <c r="A6" s="100"/>
      <c r="B6" s="100" t="s">
        <v>285</v>
      </c>
      <c r="C6" s="101" t="s">
        <v>286</v>
      </c>
      <c r="D6" s="100"/>
      <c r="E6" s="100"/>
      <c r="F6" s="101" t="s">
        <v>287</v>
      </c>
      <c r="G6" s="100"/>
      <c r="H6" s="100"/>
      <c r="I6" s="100"/>
      <c r="J6" s="100"/>
      <c r="K6" s="100"/>
      <c r="L6" s="100"/>
      <c r="M6" s="100"/>
      <c r="N6" s="100"/>
      <c r="O6" s="100"/>
      <c r="P6" s="100"/>
      <c r="Q6" s="100"/>
      <c r="R6" s="100"/>
      <c r="S6" s="100"/>
      <c r="T6" s="101" t="s">
        <v>288</v>
      </c>
      <c r="U6" s="100"/>
      <c r="V6" s="100"/>
      <c r="W6" s="101" t="str">
        <f>"CY "&amp;nr_PlanYear&amp;" plan — the bridge, left to right"</f>
        <v>CY 2027 plan — the bridge, left to right</v>
      </c>
      <c r="X6" s="100"/>
      <c r="Y6" s="100"/>
      <c r="Z6" s="100"/>
      <c r="AA6" s="100"/>
      <c r="AB6" s="100"/>
      <c r="AC6" s="101" t="str">
        <f>"CY "&amp;(nr_PlanYear+1)&amp;" indicative"</f>
        <v>CY 2028 indicative</v>
      </c>
      <c r="AD6" s="100"/>
      <c r="AE6" s="100"/>
      <c r="AF6" s="100"/>
      <c r="AG6" s="101" t="s">
        <v>289</v>
      </c>
      <c r="AH6" s="100"/>
      <c r="AI6" s="100"/>
    </row>
    <row r="7" spans="1:41" ht="42" customHeight="1" x14ac:dyDescent="0.3">
      <c r="A7" s="56" t="s">
        <v>104</v>
      </c>
      <c r="B7" s="56" t="s">
        <v>172</v>
      </c>
      <c r="C7" s="102" t="s">
        <v>290</v>
      </c>
      <c r="D7" s="56" t="s">
        <v>291</v>
      </c>
      <c r="E7" s="56" t="s">
        <v>292</v>
      </c>
      <c r="F7" s="102" t="s">
        <v>293</v>
      </c>
      <c r="G7" s="56" t="s">
        <v>294</v>
      </c>
      <c r="H7" s="56" t="s">
        <v>295</v>
      </c>
      <c r="I7" s="56" t="s">
        <v>296</v>
      </c>
      <c r="J7" s="56" t="s">
        <v>297</v>
      </c>
      <c r="K7" s="56" t="s">
        <v>295</v>
      </c>
      <c r="L7" s="56" t="s">
        <v>298</v>
      </c>
      <c r="M7" s="56" t="s">
        <v>299</v>
      </c>
      <c r="N7" s="56" t="s">
        <v>295</v>
      </c>
      <c r="O7" s="56" t="s">
        <v>300</v>
      </c>
      <c r="P7" s="56" t="s">
        <v>301</v>
      </c>
      <c r="Q7" s="56" t="s">
        <v>295</v>
      </c>
      <c r="R7" s="56" t="s">
        <v>302</v>
      </c>
      <c r="S7" s="56" t="s">
        <v>303</v>
      </c>
      <c r="T7" s="102" t="s">
        <v>304</v>
      </c>
      <c r="U7" s="56" t="str">
        <f>nr_PlanYear&amp;" earned rate level"</f>
        <v>2027 earned rate level</v>
      </c>
      <c r="V7" s="56" t="str">
        <f>nr_PlanYear&amp;" earned mod"</f>
        <v>2027 earned mod</v>
      </c>
      <c r="W7" s="102" t="s">
        <v>142</v>
      </c>
      <c r="X7" s="56" t="s">
        <v>305</v>
      </c>
      <c r="Y7" s="56" t="s">
        <v>306</v>
      </c>
      <c r="Z7" s="56" t="s">
        <v>307</v>
      </c>
      <c r="AA7" s="56" t="str">
        <f>"=  CY "&amp;nr_PlanYear&amp;" plan LR"</f>
        <v>=  CY 2027 plan LR</v>
      </c>
      <c r="AB7" s="56" t="s">
        <v>308</v>
      </c>
      <c r="AC7" s="102" t="str">
        <f>"Net trend ("&amp;(nr_PlanYear+1)&amp;")"</f>
        <v>Net trend (2028)</v>
      </c>
      <c r="AD7" s="56" t="str">
        <f>(nr_PlanYear+1)&amp;" rate earn-in"</f>
        <v>2028 rate earn-in</v>
      </c>
      <c r="AE7" s="56" t="str">
        <f>(nr_PlanYear+1)&amp;" mod drift"</f>
        <v>2028 mod drift</v>
      </c>
      <c r="AF7" s="56" t="str">
        <f>"CY "&amp;(nr_PlanYear+1)&amp;" plan LR"</f>
        <v>CY 2028 plan LR</v>
      </c>
      <c r="AG7" s="102" t="s">
        <v>309</v>
      </c>
      <c r="AH7" s="56" t="s">
        <v>261</v>
      </c>
      <c r="AI7" s="56" t="s">
        <v>262</v>
      </c>
    </row>
    <row r="8" spans="1:41" x14ac:dyDescent="0.3">
      <c r="A8" s="103" t="str">
        <f>_lists!$B$3</f>
        <v>AZ</v>
      </c>
      <c r="B8" s="104">
        <f t="shared" ref="B8:B31" si="0">IF($AL8=0,"",SUMIFS(calc_ep,calc_state,$A8,calc_bu,$AK$4))</f>
        <v>21600</v>
      </c>
      <c r="C8" s="105">
        <f t="shared" ref="C8:C31" si="1">IF($AL8=0,"",IF($B8&gt;0,SUMIFS(calc_w_mind,calc_state,$A8,calc_bu,$AK$4)/$B8,SUMIFS(lr_mind,lr_state,$A8,lr_bu,$AK$4)/$AL8))</f>
        <v>0.89925925925925931</v>
      </c>
      <c r="D8" s="106">
        <f t="shared" ref="D8:D31" si="2">IF($AL8=0,"",IF($B8&gt;0,SUMIFS(calc_w_m0,calc_state,$A8,calc_bu,$AK$4)/$B8,SUMIFS(lr_m0,lr_state,$A8,lr_bu,$AK$4)/$AL8))</f>
        <v>0.89518518518518519</v>
      </c>
      <c r="E8" s="106">
        <f t="shared" ref="E8:E31" si="3">IF($AL8=0,"",IF($B8&gt;0,SUMIFS(calc_w_m1,calc_state,$A8,calc_bu,$AK$4)/$B8,SUMIFS(lr_m1,lr_state,$A8,lr_bu,$AK$4)/$AL8))</f>
        <v>0.89703703703703708</v>
      </c>
      <c r="F8" s="107" t="str">
        <f t="shared" ref="F8:F31" si="4">IF($AM8="","",IF(COUNTIFS(rl_key,$AM8,rl_seq,1)=0,"",SUMIFS(rl_eff,rl_key,$AM8,rl_seq,1)))</f>
        <v/>
      </c>
      <c r="G8" s="108" t="str">
        <f t="shared" ref="G8:G31" si="5">IF($AM8="","",IF(COUNTIFS(rl_key,$AM8,rl_seq,1)=0,"",SUMIFS(rl_reff,rl_key,$AM8,rl_seq,1)))</f>
        <v/>
      </c>
      <c r="H8" s="109" t="str">
        <f t="shared" ref="H8:H31" si="6">IF($AM8="","",IF(COUNTIFS(rl_key,$AM8,rl_seq,1)=0,"",IF(COUNTIFS(rl_key,$AM8,rl_seq,1,rl_status,"planned")&gt;0,"P","T")&amp;IF(COUNTIFS(rl_key,$AM8,rl_seq,1,rl_cons,"Y")&gt;0,"","*")))</f>
        <v/>
      </c>
      <c r="I8" s="110" t="str">
        <f t="shared" ref="I8:I31" si="7">IF($AM8="","",IF(COUNTIFS(rl_key,$AM8,rl_seq,2)=0,"",SUMIFS(rl_eff,rl_key,$AM8,rl_seq,2)))</f>
        <v/>
      </c>
      <c r="J8" s="108" t="str">
        <f t="shared" ref="J8:J31" si="8">IF($AM8="","",IF(COUNTIFS(rl_key,$AM8,rl_seq,2)=0,"",SUMIFS(rl_reff,rl_key,$AM8,rl_seq,2)))</f>
        <v/>
      </c>
      <c r="K8" s="109" t="str">
        <f t="shared" ref="K8:K31" si="9">IF($AM8="","",IF(COUNTIFS(rl_key,$AM8,rl_seq,2)=0,"",IF(COUNTIFS(rl_key,$AM8,rl_seq,2,rl_status,"planned")&gt;0,"P","T")&amp;IF(COUNTIFS(rl_key,$AM8,rl_seq,2,rl_cons,"Y")&gt;0,"","*")))</f>
        <v/>
      </c>
      <c r="L8" s="110" t="str">
        <f t="shared" ref="L8:L31" si="10">IF($AM8="","",IF(COUNTIFS(rl_key,$AM8,rl_seq,3)=0,"",SUMIFS(rl_eff,rl_key,$AM8,rl_seq,3)))</f>
        <v/>
      </c>
      <c r="M8" s="108" t="str">
        <f t="shared" ref="M8:M31" si="11">IF($AM8="","",IF(COUNTIFS(rl_key,$AM8,rl_seq,3)=0,"",SUMIFS(rl_reff,rl_key,$AM8,rl_seq,3)))</f>
        <v/>
      </c>
      <c r="N8" s="109" t="str">
        <f t="shared" ref="N8:N31" si="12">IF($AM8="","",IF(COUNTIFS(rl_key,$AM8,rl_seq,3)=0,"",IF(COUNTIFS(rl_key,$AM8,rl_seq,3,rl_status,"planned")&gt;0,"P","T")&amp;IF(COUNTIFS(rl_key,$AM8,rl_seq,3,rl_cons,"Y")&gt;0,"","*")))</f>
        <v/>
      </c>
      <c r="O8" s="110" t="str">
        <f t="shared" ref="O8:O31" si="13">IF($AM8="","",IF(COUNTIFS(rl_key,$AM8,rl_seq,4)=0,"",SUMIFS(rl_eff,rl_key,$AM8,rl_seq,4)))</f>
        <v/>
      </c>
      <c r="P8" s="108" t="str">
        <f t="shared" ref="P8:P31" si="14">IF($AM8="","",IF(COUNTIFS(rl_key,$AM8,rl_seq,4)=0,"",SUMIFS(rl_reff,rl_key,$AM8,rl_seq,4)))</f>
        <v/>
      </c>
      <c r="Q8" s="109" t="str">
        <f t="shared" ref="Q8:Q31" si="15">IF($AM8="","",IF(COUNTIFS(rl_key,$AM8,rl_seq,4)=0,"",IF(COUNTIFS(rl_key,$AM8,rl_seq,4,rl_status,"planned")&gt;0,"P","T")&amp;IF(COUNTIFS(rl_key,$AM8,rl_seq,4,rl_cons,"Y")&gt;0,"","*")))</f>
        <v/>
      </c>
      <c r="R8" s="111">
        <f t="shared" ref="R8:R31" si="16">IF($AL8=0,"",IF($AM8="",COUNTIFS(rl_state,$A8,rl_status,"taken",rl_eff,"&lt;&gt;"),COUNTIFS(rl_key,$AM8,rl_status,"taken",rl_eff,"&lt;&gt;")))</f>
        <v>4</v>
      </c>
      <c r="S8" s="111">
        <f t="shared" ref="S8:S31" si="17">IF($AL8=0,"",IF($AM8="",COUNTIFS(rl_state,$A8,rl_status,"planned",rl_eff,"&lt;&gt;"),COUNTIFS(rl_key,$AM8,rl_status,"planned",rl_eff,"&lt;&gt;")))</f>
        <v>2</v>
      </c>
      <c r="T8" s="112">
        <f t="shared" ref="T8:T31" si="18">IF($AL8=0,"",IF($B8&gt;0,SUMIFS(calc_w_crl,calc_state,$A8,calc_bu,$AK$4)/$B8,SUMIFS(calc_crl,calc_state,$A8,calc_bu,$AK$4)/$AL8))</f>
        <v>1.0551555555555556</v>
      </c>
      <c r="U8" s="113">
        <f t="shared" ref="U8:U31" si="19">IF($AL8=0,"",IF($B8&gt;0,SUMIFS(calc_w_ecy,calc_state,$A8,calc_bu,$AK$4)/$B8,SUMIFS(calc_ecy_p,calc_state,$A8,calc_bu,$AK$4)/$AL8))</f>
        <v>1.071852037037037</v>
      </c>
      <c r="V8" s="106">
        <f t="shared" ref="V8:V31" si="20">IF($AL8=0,"",IF($B8&gt;0,SUMIFS(calc_w_mbar,calc_state,$A8,calc_bu,$AK$4)/$B8,SUMIFS(calc_mbar_p,calc_state,$A8,calc_bu,$AK$4)/$AL8))</f>
        <v>0.89592454142691202</v>
      </c>
      <c r="W8" s="114">
        <f t="shared" ref="W8:W31" si="21">IF($AL8=0,"",IF($B8&gt;0,SUMIFS(calc_w_lrcur,calc_state,$A8,calc_bu,$AK$4)/$B8,SUMIFS(calc_lrcur,calc_state,$A8,calc_bu,$AK$4)/$AL8))</f>
        <v>0.60385185185185186</v>
      </c>
      <c r="X8" s="113">
        <f t="shared" ref="X8:X31" si="22">IF($AL8=0,"",IF($B8&gt;0,SUMIFS(calc_w_arate,calc_state,$A8,calc_bu,$AK$4)/$B8,SUMIFS(calc_arate_p,calc_state,$A8,calc_bu,$AK$4)/$AL8))</f>
        <v>0.98469195858418668</v>
      </c>
      <c r="Y8" s="113">
        <f t="shared" ref="Y8:Y31" si="23">IF($AL8=0,"",IF($B8&gt;0,SUMIFS(calc_w_amod,calc_state,$A8,calc_bu,$AK$4)/$B8,SUMIFS(calc_amod_p,calc_state,$A8,calc_bu,$AK$4)/$AL8))</f>
        <v>1.0034001757712414</v>
      </c>
      <c r="Z8" s="113">
        <f t="shared" ref="Z8:Z31" si="24">IF($AL8=0,"",IF($B8&gt;0,SUMIFS(calc_w_aother,calc_state,$A8,calc_bu,$AK$4)/$B8,SUMIFS(calc_aother,calc_state,$A8,calc_bu,$AK$4)/$AL8))</f>
        <v>1</v>
      </c>
      <c r="AA8" s="115">
        <f t="shared" ref="AA8:AA31" si="25">IF($AL8=0,"",IF($AL8=1,$W8*$X8*$Y8*$Z8,IF($B8&gt;0,SUMIFS(calc_w_cylr,calc_state,$A8,calc_bu,$AK$4)/$B8,SUMIFS(calc_cylr_p,calc_state,$A8,calc_bu,$AK$4)/$AL8)))</f>
        <v>0.5960435403918245</v>
      </c>
      <c r="AB8" s="116">
        <f t="shared" ref="AB8:AB31" si="26">IF($AL8&lt;=1,"",($AA8-$W8*$X8*$Y8*$Z8)*100)</f>
        <v>-5.8629423102285472E-2</v>
      </c>
      <c r="AC8" s="117">
        <f t="shared" ref="AC8:AC31" si="27">IF($AL8=0,"",IF($B8&gt;0,SUMIFS(calc_w_trend,calc_state,$A8,calc_bu,$AK$4)/$B8,SUMIFS(calc_trend,calc_state,$A8,calc_bu,$AK$4)/$AL8))</f>
        <v>0</v>
      </c>
      <c r="AD8" s="113">
        <f t="shared" ref="AD8:AD31" si="28">IF($AL8=0,"",IF($B8&gt;0,SUMIFS(calc_w_arate1,calc_state,$A8,calc_bu,$AK$4)/$B8,SUMIFS(calc_arate_p1,calc_state,$A8,calc_bu,$AK$4)/$AL8))</f>
        <v>0.97307013973680634</v>
      </c>
      <c r="AE8" s="113">
        <f t="shared" ref="AE8:AE31" si="29">IF($AL8=0,"",IF($B8&gt;0,SUMIFS(calc_w_amod1,calc_state,$A8,calc_bu,$AK$4)/$B8,SUMIFS(calc_amod_p1,calc_state,$A8,calc_bu,$AK$4)/$AL8))</f>
        <v>1.0023741745897707</v>
      </c>
      <c r="AF8" s="115">
        <f t="shared" ref="AF8:AF31" si="30">IF($AL8=0,"",IF($AL8=1,$W8*(1+$AC8)*$AD8*$AE8*$Z8,IF($B8&gt;0,SUMIFS(calc_w_cylr1,calc_state,$A8,calc_bu,$AK$4)/$B8,SUMIFS(calc_cylr_p1,calc_state,$A8,calc_bu,$AK$4)/$AL8)))</f>
        <v>0.58807254865150627</v>
      </c>
      <c r="AG8" s="117" t="str">
        <f t="shared" ref="AG8:AG31" si="31">IF($AL8=0,"",IF($AN8=0,"—",SUMIFS(calc_netx,calc_state,$A8,calc_bu,$AK$4)/$AN8))</f>
        <v>—</v>
      </c>
      <c r="AH8" s="118" t="str">
        <f t="shared" ref="AH8:AH31" si="32">IF($AL8=0,"",IF($AN8=0,"—",IF($B8&gt;0,SUMIFS(calc_w_cylr_prog,calc_state,$A8,calc_bu,$AK$4)/$B8,SUMIFS(calc_cylr_prog,calc_state,$A8,calc_bu,$AK$4)/$AL8)))</f>
        <v>—</v>
      </c>
      <c r="AI8" s="119" t="str">
        <f t="shared" ref="AI8:AI31" si="33">IF($AL8=0,"",IF($AN8=0,"—",($AH8-$AA8)*100))</f>
        <v>—</v>
      </c>
      <c r="AJ8" s="23"/>
      <c r="AK8" s="23"/>
      <c r="AL8" s="43">
        <f t="shared" ref="AL8:AL31" si="34">COUNTIFS(calc_state,$A8,calc_bu,$AK$4)</f>
        <v>3</v>
      </c>
      <c r="AM8" s="23" t="str">
        <f t="shared" ref="AM8:AM31" si="35">IF($B$4="All","",$B$4&amp;"|"&amp;$A8)</f>
        <v/>
      </c>
      <c r="AN8" s="120">
        <f t="shared" ref="AN8:AN31" si="36">SUMIFS(calc_netmode,calc_state,$A8,calc_bu,$AK$4)</f>
        <v>0</v>
      </c>
      <c r="AO8" s="121">
        <f t="shared" ref="AO8:AO31" si="37">IF($AL8&lt;&gt;1,0,ABS(IF($B8&gt;0,SUMIFS(calc_w_cylr,calc_state,$A8,calc_bu,$AK$4)/$B8,SUMIFS(calc_cylr_p,calc_state,$A8,calc_bu,$AK$4)/$AL8)-$W8*$X8*$Y8*$Z8)+ABS(IF($B8&gt;0,SUMIFS(calc_w_cylr1,calc_state,$A8,calc_bu,$AK$4)/$B8,SUMIFS(calc_cylr_p1,calc_state,$A8,calc_bu,$AK$4)/$AL8)-$W8*(1+$AC8)*$AD8*$AE8*$Z8))</f>
        <v>0</v>
      </c>
    </row>
    <row r="9" spans="1:41" x14ac:dyDescent="0.3">
      <c r="A9" s="122" t="str">
        <f>_lists!$B$4</f>
        <v>CO</v>
      </c>
      <c r="B9" s="123">
        <f t="shared" si="0"/>
        <v>52800</v>
      </c>
      <c r="C9" s="124">
        <f t="shared" si="1"/>
        <v>0.92</v>
      </c>
      <c r="D9" s="125">
        <f t="shared" si="2"/>
        <v>0.91</v>
      </c>
      <c r="E9" s="125">
        <f t="shared" si="3"/>
        <v>0.91500000000000004</v>
      </c>
      <c r="F9" s="126" t="str">
        <f t="shared" si="4"/>
        <v/>
      </c>
      <c r="G9" s="127" t="str">
        <f t="shared" si="5"/>
        <v/>
      </c>
      <c r="H9" s="128" t="str">
        <f t="shared" si="6"/>
        <v/>
      </c>
      <c r="I9" s="129" t="str">
        <f t="shared" si="7"/>
        <v/>
      </c>
      <c r="J9" s="127" t="str">
        <f t="shared" si="8"/>
        <v/>
      </c>
      <c r="K9" s="128" t="str">
        <f t="shared" si="9"/>
        <v/>
      </c>
      <c r="L9" s="129" t="str">
        <f t="shared" si="10"/>
        <v/>
      </c>
      <c r="M9" s="127" t="str">
        <f t="shared" si="11"/>
        <v/>
      </c>
      <c r="N9" s="128" t="str">
        <f t="shared" si="12"/>
        <v/>
      </c>
      <c r="O9" s="129" t="str">
        <f t="shared" si="13"/>
        <v/>
      </c>
      <c r="P9" s="127" t="str">
        <f t="shared" si="14"/>
        <v/>
      </c>
      <c r="Q9" s="128" t="str">
        <f t="shared" si="15"/>
        <v/>
      </c>
      <c r="R9" s="130">
        <f t="shared" si="16"/>
        <v>3</v>
      </c>
      <c r="S9" s="130">
        <f t="shared" si="17"/>
        <v>1</v>
      </c>
      <c r="T9" s="131">
        <f t="shared" si="18"/>
        <v>1.0403030303030303</v>
      </c>
      <c r="U9" s="132">
        <f t="shared" si="19"/>
        <v>1.0474399410774413</v>
      </c>
      <c r="V9" s="125">
        <f t="shared" si="20"/>
        <v>0.91199626185266258</v>
      </c>
      <c r="W9" s="133">
        <f t="shared" si="21"/>
        <v>0.58941818181818184</v>
      </c>
      <c r="X9" s="132">
        <f t="shared" si="22"/>
        <v>0.99328143017414838</v>
      </c>
      <c r="Y9" s="132">
        <f t="shared" si="23"/>
        <v>1.0087760646420616</v>
      </c>
      <c r="Z9" s="132">
        <f t="shared" si="24"/>
        <v>1</v>
      </c>
      <c r="AA9" s="134">
        <f t="shared" si="25"/>
        <v>0.59062861460238258</v>
      </c>
      <c r="AB9" s="135">
        <f t="shared" si="26"/>
        <v>3.2461560840801873E-3</v>
      </c>
      <c r="AC9" s="136">
        <f t="shared" si="27"/>
        <v>3.3333333333333335E-3</v>
      </c>
      <c r="AD9" s="132">
        <f t="shared" si="28"/>
        <v>0.98776223776223782</v>
      </c>
      <c r="AE9" s="132">
        <f t="shared" si="29"/>
        <v>1.0056512002530102</v>
      </c>
      <c r="AF9" s="134">
        <f t="shared" si="30"/>
        <v>0.58754002568981545</v>
      </c>
      <c r="AG9" s="136" t="str">
        <f t="shared" si="31"/>
        <v>—</v>
      </c>
      <c r="AH9" s="137" t="str">
        <f t="shared" si="32"/>
        <v>—</v>
      </c>
      <c r="AI9" s="138" t="str">
        <f t="shared" si="33"/>
        <v>—</v>
      </c>
      <c r="AJ9" s="23"/>
      <c r="AK9" s="23"/>
      <c r="AL9" s="43">
        <f t="shared" si="34"/>
        <v>3</v>
      </c>
      <c r="AM9" s="23" t="str">
        <f t="shared" si="35"/>
        <v/>
      </c>
      <c r="AN9" s="120">
        <f t="shared" si="36"/>
        <v>0</v>
      </c>
      <c r="AO9" s="121">
        <f t="shared" si="37"/>
        <v>0</v>
      </c>
    </row>
    <row r="10" spans="1:41" x14ac:dyDescent="0.3">
      <c r="A10" s="103" t="str">
        <f>_lists!$B$5</f>
        <v>DE</v>
      </c>
      <c r="B10" s="104">
        <f t="shared" si="0"/>
        <v>43200</v>
      </c>
      <c r="C10" s="105">
        <f t="shared" si="1"/>
        <v>0.92</v>
      </c>
      <c r="D10" s="106">
        <f t="shared" si="2"/>
        <v>0.91</v>
      </c>
      <c r="E10" s="106">
        <f t="shared" si="3"/>
        <v>0.93</v>
      </c>
      <c r="F10" s="107" t="str">
        <f t="shared" si="4"/>
        <v/>
      </c>
      <c r="G10" s="108" t="str">
        <f t="shared" si="5"/>
        <v/>
      </c>
      <c r="H10" s="109" t="str">
        <f t="shared" si="6"/>
        <v/>
      </c>
      <c r="I10" s="110" t="str">
        <f t="shared" si="7"/>
        <v/>
      </c>
      <c r="J10" s="108" t="str">
        <f t="shared" si="8"/>
        <v/>
      </c>
      <c r="K10" s="109" t="str">
        <f t="shared" si="9"/>
        <v/>
      </c>
      <c r="L10" s="110" t="str">
        <f t="shared" si="10"/>
        <v/>
      </c>
      <c r="M10" s="108" t="str">
        <f t="shared" si="11"/>
        <v/>
      </c>
      <c r="N10" s="109" t="str">
        <f t="shared" si="12"/>
        <v/>
      </c>
      <c r="O10" s="110" t="str">
        <f t="shared" si="13"/>
        <v/>
      </c>
      <c r="P10" s="108" t="str">
        <f t="shared" si="14"/>
        <v/>
      </c>
      <c r="Q10" s="109" t="str">
        <f t="shared" si="15"/>
        <v/>
      </c>
      <c r="R10" s="111">
        <f t="shared" si="16"/>
        <v>1</v>
      </c>
      <c r="S10" s="111">
        <f t="shared" si="17"/>
        <v>1</v>
      </c>
      <c r="T10" s="112">
        <f t="shared" si="18"/>
        <v>1.0166666666666666</v>
      </c>
      <c r="U10" s="113">
        <f t="shared" si="19"/>
        <v>1.020646505376344</v>
      </c>
      <c r="V10" s="106">
        <f t="shared" si="20"/>
        <v>0.91798504741064924</v>
      </c>
      <c r="W10" s="114">
        <f t="shared" si="21"/>
        <v>0.57311111111111102</v>
      </c>
      <c r="X10" s="113">
        <f t="shared" si="22"/>
        <v>0.99625229248066349</v>
      </c>
      <c r="Y10" s="113">
        <f t="shared" si="23"/>
        <v>1.0021949732133812</v>
      </c>
      <c r="Z10" s="113">
        <f t="shared" si="24"/>
        <v>1.0066666666666666</v>
      </c>
      <c r="AA10" s="115">
        <f t="shared" si="25"/>
        <v>0.57604502018518866</v>
      </c>
      <c r="AB10" s="116">
        <f t="shared" si="26"/>
        <v>1.3736121175722538E-3</v>
      </c>
      <c r="AC10" s="117">
        <f t="shared" si="27"/>
        <v>0</v>
      </c>
      <c r="AD10" s="113">
        <f t="shared" si="28"/>
        <v>0.99029126213592222</v>
      </c>
      <c r="AE10" s="113">
        <f t="shared" si="29"/>
        <v>0.98997068515119868</v>
      </c>
      <c r="AF10" s="115">
        <f t="shared" si="30"/>
        <v>0.56547937162288153</v>
      </c>
      <c r="AG10" s="117" t="str">
        <f t="shared" si="31"/>
        <v>—</v>
      </c>
      <c r="AH10" s="118" t="str">
        <f t="shared" si="32"/>
        <v>—</v>
      </c>
      <c r="AI10" s="119" t="str">
        <f t="shared" si="33"/>
        <v>—</v>
      </c>
      <c r="AJ10" s="23"/>
      <c r="AK10" s="23"/>
      <c r="AL10" s="43">
        <f t="shared" si="34"/>
        <v>3</v>
      </c>
      <c r="AM10" s="23" t="str">
        <f t="shared" si="35"/>
        <v/>
      </c>
      <c r="AN10" s="120">
        <f t="shared" si="36"/>
        <v>0</v>
      </c>
      <c r="AO10" s="121">
        <f t="shared" si="37"/>
        <v>0</v>
      </c>
    </row>
    <row r="11" spans="1:41" x14ac:dyDescent="0.3">
      <c r="A11" s="122" t="str">
        <f>_lists!$B$6</f>
        <v>FL</v>
      </c>
      <c r="B11" s="123">
        <f t="shared" si="0"/>
        <v>33600</v>
      </c>
      <c r="C11" s="124">
        <f t="shared" si="1"/>
        <v>0.92</v>
      </c>
      <c r="D11" s="125">
        <f t="shared" si="2"/>
        <v>0.91309523809523807</v>
      </c>
      <c r="E11" s="125">
        <f t="shared" si="3"/>
        <v>0.91309523809523807</v>
      </c>
      <c r="F11" s="126" t="str">
        <f t="shared" si="4"/>
        <v/>
      </c>
      <c r="G11" s="127" t="str">
        <f t="shared" si="5"/>
        <v/>
      </c>
      <c r="H11" s="128" t="str">
        <f t="shared" si="6"/>
        <v/>
      </c>
      <c r="I11" s="129" t="str">
        <f t="shared" si="7"/>
        <v/>
      </c>
      <c r="J11" s="127" t="str">
        <f t="shared" si="8"/>
        <v/>
      </c>
      <c r="K11" s="128" t="str">
        <f t="shared" si="9"/>
        <v/>
      </c>
      <c r="L11" s="129" t="str">
        <f t="shared" si="10"/>
        <v/>
      </c>
      <c r="M11" s="127" t="str">
        <f t="shared" si="11"/>
        <v/>
      </c>
      <c r="N11" s="128" t="str">
        <f t="shared" si="12"/>
        <v/>
      </c>
      <c r="O11" s="129" t="str">
        <f t="shared" si="13"/>
        <v/>
      </c>
      <c r="P11" s="127" t="str">
        <f t="shared" si="14"/>
        <v/>
      </c>
      <c r="Q11" s="128" t="str">
        <f t="shared" si="15"/>
        <v/>
      </c>
      <c r="R11" s="130">
        <f t="shared" si="16"/>
        <v>3</v>
      </c>
      <c r="S11" s="130">
        <f t="shared" si="17"/>
        <v>2</v>
      </c>
      <c r="T11" s="131">
        <f t="shared" si="18"/>
        <v>1.0492857142857144</v>
      </c>
      <c r="U11" s="132">
        <f t="shared" si="19"/>
        <v>1.0621097619047619</v>
      </c>
      <c r="V11" s="125">
        <f t="shared" si="20"/>
        <v>0.91309523809523807</v>
      </c>
      <c r="W11" s="133">
        <f t="shared" si="21"/>
        <v>0.58638095238095245</v>
      </c>
      <c r="X11" s="132">
        <f t="shared" si="22"/>
        <v>0.98811527806889232</v>
      </c>
      <c r="Y11" s="132">
        <f t="shared" si="23"/>
        <v>1.0075876504447934</v>
      </c>
      <c r="Z11" s="132">
        <f t="shared" si="24"/>
        <v>1</v>
      </c>
      <c r="AA11" s="134">
        <f t="shared" si="25"/>
        <v>0.58384200668114183</v>
      </c>
      <c r="AB11" s="135">
        <f t="shared" si="26"/>
        <v>3.3653313739390178E-3</v>
      </c>
      <c r="AC11" s="136">
        <f t="shared" si="27"/>
        <v>0</v>
      </c>
      <c r="AD11" s="132">
        <f t="shared" si="28"/>
        <v>0.97099656069121698</v>
      </c>
      <c r="AE11" s="132">
        <f t="shared" si="29"/>
        <v>1.0075876504447934</v>
      </c>
      <c r="AF11" s="134">
        <f t="shared" si="30"/>
        <v>0.57378941277943041</v>
      </c>
      <c r="AG11" s="136" t="str">
        <f t="shared" si="31"/>
        <v>—</v>
      </c>
      <c r="AH11" s="137" t="str">
        <f t="shared" si="32"/>
        <v>—</v>
      </c>
      <c r="AI11" s="138" t="str">
        <f t="shared" si="33"/>
        <v>—</v>
      </c>
      <c r="AJ11" s="23"/>
      <c r="AK11" s="23"/>
      <c r="AL11" s="43">
        <f t="shared" si="34"/>
        <v>3</v>
      </c>
      <c r="AM11" s="23" t="str">
        <f t="shared" si="35"/>
        <v/>
      </c>
      <c r="AN11" s="120">
        <f t="shared" si="36"/>
        <v>0</v>
      </c>
      <c r="AO11" s="121">
        <f t="shared" si="37"/>
        <v>0</v>
      </c>
    </row>
    <row r="12" spans="1:41" x14ac:dyDescent="0.3">
      <c r="A12" s="103" t="str">
        <f>_lists!$B$7</f>
        <v>GA</v>
      </c>
      <c r="B12" s="104">
        <f t="shared" si="0"/>
        <v>24000</v>
      </c>
      <c r="C12" s="105">
        <f t="shared" si="1"/>
        <v>0.92</v>
      </c>
      <c r="D12" s="106">
        <f t="shared" si="2"/>
        <v>0.91</v>
      </c>
      <c r="E12" s="106">
        <f t="shared" si="3"/>
        <v>0.92500000000000004</v>
      </c>
      <c r="F12" s="107" t="str">
        <f t="shared" si="4"/>
        <v/>
      </c>
      <c r="G12" s="108" t="str">
        <f t="shared" si="5"/>
        <v/>
      </c>
      <c r="H12" s="109" t="str">
        <f t="shared" si="6"/>
        <v/>
      </c>
      <c r="I12" s="110" t="str">
        <f t="shared" si="7"/>
        <v/>
      </c>
      <c r="J12" s="108" t="str">
        <f t="shared" si="8"/>
        <v/>
      </c>
      <c r="K12" s="109" t="str">
        <f t="shared" si="9"/>
        <v/>
      </c>
      <c r="L12" s="110" t="str">
        <f t="shared" si="10"/>
        <v/>
      </c>
      <c r="M12" s="108" t="str">
        <f t="shared" si="11"/>
        <v/>
      </c>
      <c r="N12" s="109" t="str">
        <f t="shared" si="12"/>
        <v/>
      </c>
      <c r="O12" s="110" t="str">
        <f t="shared" si="13"/>
        <v/>
      </c>
      <c r="P12" s="108" t="str">
        <f t="shared" si="14"/>
        <v/>
      </c>
      <c r="Q12" s="109" t="str">
        <f t="shared" si="15"/>
        <v/>
      </c>
      <c r="R12" s="111">
        <f t="shared" si="16"/>
        <v>2</v>
      </c>
      <c r="S12" s="111">
        <f t="shared" si="17"/>
        <v>1</v>
      </c>
      <c r="T12" s="112">
        <f t="shared" si="18"/>
        <v>1.0246666666666666</v>
      </c>
      <c r="U12" s="113">
        <f t="shared" si="19"/>
        <v>1.0292000000000001</v>
      </c>
      <c r="V12" s="106">
        <f t="shared" si="20"/>
        <v>0.91598878555798668</v>
      </c>
      <c r="W12" s="114">
        <f t="shared" si="21"/>
        <v>0.58493333333333319</v>
      </c>
      <c r="X12" s="113">
        <f t="shared" si="22"/>
        <v>0.99561403508771917</v>
      </c>
      <c r="Y12" s="113">
        <f t="shared" si="23"/>
        <v>1.0043791086804299</v>
      </c>
      <c r="Z12" s="113">
        <f t="shared" si="24"/>
        <v>1</v>
      </c>
      <c r="AA12" s="115">
        <f t="shared" si="25"/>
        <v>0.58485171705322592</v>
      </c>
      <c r="AB12" s="116">
        <f t="shared" si="26"/>
        <v>-6.6371251041363877E-3</v>
      </c>
      <c r="AC12" s="117">
        <f t="shared" si="27"/>
        <v>0</v>
      </c>
      <c r="AD12" s="113">
        <f t="shared" si="28"/>
        <v>0.987179487179487</v>
      </c>
      <c r="AE12" s="113">
        <f t="shared" si="29"/>
        <v>0.99514290701699581</v>
      </c>
      <c r="AF12" s="115">
        <f t="shared" si="30"/>
        <v>0.57443731230588235</v>
      </c>
      <c r="AG12" s="117" t="str">
        <f t="shared" si="31"/>
        <v>—</v>
      </c>
      <c r="AH12" s="118" t="str">
        <f t="shared" si="32"/>
        <v>—</v>
      </c>
      <c r="AI12" s="119" t="str">
        <f t="shared" si="33"/>
        <v>—</v>
      </c>
      <c r="AJ12" s="23"/>
      <c r="AK12" s="23"/>
      <c r="AL12" s="43">
        <f t="shared" si="34"/>
        <v>3</v>
      </c>
      <c r="AM12" s="23" t="str">
        <f t="shared" si="35"/>
        <v/>
      </c>
      <c r="AN12" s="120">
        <f t="shared" si="36"/>
        <v>0</v>
      </c>
      <c r="AO12" s="121">
        <f t="shared" si="37"/>
        <v>0</v>
      </c>
    </row>
    <row r="13" spans="1:41" x14ac:dyDescent="0.3">
      <c r="A13" s="122" t="str">
        <f>_lists!$B$8</f>
        <v>IA</v>
      </c>
      <c r="B13" s="123">
        <f t="shared" si="0"/>
        <v>55200</v>
      </c>
      <c r="C13" s="124">
        <f t="shared" si="1"/>
        <v>0.92</v>
      </c>
      <c r="D13" s="125">
        <f t="shared" si="2"/>
        <v>0.91</v>
      </c>
      <c r="E13" s="125">
        <f t="shared" si="3"/>
        <v>0.90500000000000003</v>
      </c>
      <c r="F13" s="126" t="str">
        <f t="shared" si="4"/>
        <v/>
      </c>
      <c r="G13" s="127" t="str">
        <f t="shared" si="5"/>
        <v/>
      </c>
      <c r="H13" s="128" t="str">
        <f t="shared" si="6"/>
        <v/>
      </c>
      <c r="I13" s="129" t="str">
        <f t="shared" si="7"/>
        <v/>
      </c>
      <c r="J13" s="127" t="str">
        <f t="shared" si="8"/>
        <v/>
      </c>
      <c r="K13" s="128" t="str">
        <f t="shared" si="9"/>
        <v/>
      </c>
      <c r="L13" s="129" t="str">
        <f t="shared" si="10"/>
        <v/>
      </c>
      <c r="M13" s="127" t="str">
        <f t="shared" si="11"/>
        <v/>
      </c>
      <c r="N13" s="128" t="str">
        <f t="shared" si="12"/>
        <v/>
      </c>
      <c r="O13" s="129" t="str">
        <f t="shared" si="13"/>
        <v/>
      </c>
      <c r="P13" s="127" t="str">
        <f t="shared" si="14"/>
        <v/>
      </c>
      <c r="Q13" s="128" t="str">
        <f t="shared" si="15"/>
        <v/>
      </c>
      <c r="R13" s="130">
        <f t="shared" si="16"/>
        <v>1</v>
      </c>
      <c r="S13" s="130">
        <f t="shared" si="17"/>
        <v>1</v>
      </c>
      <c r="T13" s="131">
        <f t="shared" si="18"/>
        <v>1.0143478260869565</v>
      </c>
      <c r="U13" s="132">
        <f t="shared" si="19"/>
        <v>1.0187903381642509</v>
      </c>
      <c r="V13" s="125">
        <f t="shared" si="20"/>
        <v>0.90797929061270444</v>
      </c>
      <c r="W13" s="133">
        <f t="shared" si="21"/>
        <v>0.58446376811594203</v>
      </c>
      <c r="X13" s="132">
        <f t="shared" si="22"/>
        <v>0.99580472921434038</v>
      </c>
      <c r="Y13" s="132">
        <f t="shared" si="23"/>
        <v>1.0132389702458051</v>
      </c>
      <c r="Z13" s="132">
        <f t="shared" si="24"/>
        <v>1</v>
      </c>
      <c r="AA13" s="134">
        <f t="shared" si="25"/>
        <v>0.58978641735866466</v>
      </c>
      <c r="AB13" s="135">
        <f t="shared" si="26"/>
        <v>6.9396318734038509E-3</v>
      </c>
      <c r="AC13" s="136">
        <f t="shared" si="27"/>
        <v>0</v>
      </c>
      <c r="AD13" s="132">
        <f t="shared" si="28"/>
        <v>0.98773690078037912</v>
      </c>
      <c r="AE13" s="132">
        <f t="shared" si="29"/>
        <v>1.0158632000432835</v>
      </c>
      <c r="AF13" s="134">
        <f t="shared" si="30"/>
        <v>0.5866756168267413</v>
      </c>
      <c r="AG13" s="136" t="str">
        <f t="shared" si="31"/>
        <v>—</v>
      </c>
      <c r="AH13" s="137" t="str">
        <f t="shared" si="32"/>
        <v>—</v>
      </c>
      <c r="AI13" s="138" t="str">
        <f t="shared" si="33"/>
        <v>—</v>
      </c>
      <c r="AJ13" s="23"/>
      <c r="AK13" s="23"/>
      <c r="AL13" s="43">
        <f t="shared" si="34"/>
        <v>3</v>
      </c>
      <c r="AM13" s="23" t="str">
        <f t="shared" si="35"/>
        <v/>
      </c>
      <c r="AN13" s="120">
        <f t="shared" si="36"/>
        <v>0</v>
      </c>
      <c r="AO13" s="121">
        <f t="shared" si="37"/>
        <v>0</v>
      </c>
    </row>
    <row r="14" spans="1:41" x14ac:dyDescent="0.3">
      <c r="A14" s="103" t="str">
        <f>_lists!$B$9</f>
        <v>IL</v>
      </c>
      <c r="B14" s="104">
        <f t="shared" si="0"/>
        <v>45600</v>
      </c>
      <c r="C14" s="105">
        <f t="shared" si="1"/>
        <v>0.92</v>
      </c>
      <c r="D14" s="106">
        <f t="shared" si="2"/>
        <v>0.91</v>
      </c>
      <c r="E14" s="106">
        <f t="shared" si="3"/>
        <v>0.92</v>
      </c>
      <c r="F14" s="107" t="str">
        <f t="shared" si="4"/>
        <v/>
      </c>
      <c r="G14" s="108" t="str">
        <f t="shared" si="5"/>
        <v/>
      </c>
      <c r="H14" s="109" t="str">
        <f t="shared" si="6"/>
        <v/>
      </c>
      <c r="I14" s="110" t="str">
        <f t="shared" si="7"/>
        <v/>
      </c>
      <c r="J14" s="108" t="str">
        <f t="shared" si="8"/>
        <v/>
      </c>
      <c r="K14" s="109" t="str">
        <f t="shared" si="9"/>
        <v/>
      </c>
      <c r="L14" s="110" t="str">
        <f t="shared" si="10"/>
        <v/>
      </c>
      <c r="M14" s="108" t="str">
        <f t="shared" si="11"/>
        <v/>
      </c>
      <c r="N14" s="109" t="str">
        <f t="shared" si="12"/>
        <v/>
      </c>
      <c r="O14" s="110" t="str">
        <f t="shared" si="13"/>
        <v/>
      </c>
      <c r="P14" s="108" t="str">
        <f t="shared" si="14"/>
        <v/>
      </c>
      <c r="Q14" s="109" t="str">
        <f t="shared" si="15"/>
        <v/>
      </c>
      <c r="R14" s="111">
        <f t="shared" si="16"/>
        <v>2</v>
      </c>
      <c r="S14" s="111">
        <f t="shared" si="17"/>
        <v>1</v>
      </c>
      <c r="T14" s="112">
        <f t="shared" si="18"/>
        <v>1.0228070175438597</v>
      </c>
      <c r="U14" s="113">
        <f t="shared" si="19"/>
        <v>1.0456140350877192</v>
      </c>
      <c r="V14" s="106">
        <f t="shared" si="20"/>
        <v>0.91399252370532447</v>
      </c>
      <c r="W14" s="114">
        <f t="shared" si="21"/>
        <v>0.58245614035087723</v>
      </c>
      <c r="X14" s="113">
        <f t="shared" si="22"/>
        <v>0.97858496005271411</v>
      </c>
      <c r="Y14" s="113">
        <f t="shared" si="23"/>
        <v>1.0065727849395543</v>
      </c>
      <c r="Z14" s="113">
        <f t="shared" si="24"/>
        <v>1</v>
      </c>
      <c r="AA14" s="115">
        <f t="shared" si="25"/>
        <v>0.5736959142009167</v>
      </c>
      <c r="AB14" s="116">
        <f t="shared" si="26"/>
        <v>-3.3279124265872539E-3</v>
      </c>
      <c r="AC14" s="117">
        <f t="shared" si="27"/>
        <v>0</v>
      </c>
      <c r="AD14" s="113">
        <f t="shared" si="28"/>
        <v>0.97858496005271411</v>
      </c>
      <c r="AE14" s="113">
        <f t="shared" si="29"/>
        <v>1.000369458535054</v>
      </c>
      <c r="AF14" s="115">
        <f t="shared" si="30"/>
        <v>0.57016032982394582</v>
      </c>
      <c r="AG14" s="117" t="str">
        <f t="shared" si="31"/>
        <v>—</v>
      </c>
      <c r="AH14" s="118" t="str">
        <f t="shared" si="32"/>
        <v>—</v>
      </c>
      <c r="AI14" s="119" t="str">
        <f t="shared" si="33"/>
        <v>—</v>
      </c>
      <c r="AJ14" s="23"/>
      <c r="AK14" s="23"/>
      <c r="AL14" s="43">
        <f t="shared" si="34"/>
        <v>3</v>
      </c>
      <c r="AM14" s="23" t="str">
        <f t="shared" si="35"/>
        <v/>
      </c>
      <c r="AN14" s="120">
        <f t="shared" si="36"/>
        <v>0</v>
      </c>
      <c r="AO14" s="121">
        <f t="shared" si="37"/>
        <v>0</v>
      </c>
    </row>
    <row r="15" spans="1:41" x14ac:dyDescent="0.3">
      <c r="A15" s="122" t="str">
        <f>_lists!$B$10</f>
        <v>IN</v>
      </c>
      <c r="B15" s="123">
        <f t="shared" si="0"/>
        <v>36000</v>
      </c>
      <c r="C15" s="124">
        <f t="shared" si="1"/>
        <v>0.92</v>
      </c>
      <c r="D15" s="125">
        <f t="shared" si="2"/>
        <v>0.91</v>
      </c>
      <c r="E15" s="125">
        <f t="shared" si="3"/>
        <v>0.9</v>
      </c>
      <c r="F15" s="126" t="str">
        <f t="shared" si="4"/>
        <v/>
      </c>
      <c r="G15" s="127" t="str">
        <f t="shared" si="5"/>
        <v/>
      </c>
      <c r="H15" s="128" t="str">
        <f t="shared" si="6"/>
        <v/>
      </c>
      <c r="I15" s="129" t="str">
        <f t="shared" si="7"/>
        <v/>
      </c>
      <c r="J15" s="127" t="str">
        <f t="shared" si="8"/>
        <v/>
      </c>
      <c r="K15" s="128" t="str">
        <f t="shared" si="9"/>
        <v/>
      </c>
      <c r="L15" s="129" t="str">
        <f t="shared" si="10"/>
        <v/>
      </c>
      <c r="M15" s="127" t="str">
        <f t="shared" si="11"/>
        <v/>
      </c>
      <c r="N15" s="128" t="str">
        <f t="shared" si="12"/>
        <v/>
      </c>
      <c r="O15" s="129" t="str">
        <f t="shared" si="13"/>
        <v/>
      </c>
      <c r="P15" s="127" t="str">
        <f t="shared" si="14"/>
        <v/>
      </c>
      <c r="Q15" s="128" t="str">
        <f t="shared" si="15"/>
        <v/>
      </c>
      <c r="R15" s="130">
        <f t="shared" si="16"/>
        <v>3</v>
      </c>
      <c r="S15" s="130">
        <f t="shared" si="17"/>
        <v>1</v>
      </c>
      <c r="T15" s="131">
        <f t="shared" si="18"/>
        <v>1.0504444444444445</v>
      </c>
      <c r="U15" s="132">
        <f t="shared" si="19"/>
        <v>1.0513002469135801</v>
      </c>
      <c r="V15" s="125">
        <f t="shared" si="20"/>
        <v>0.90600747629467537</v>
      </c>
      <c r="W15" s="133">
        <f t="shared" si="21"/>
        <v>0.58106666666666673</v>
      </c>
      <c r="X15" s="132">
        <f t="shared" si="22"/>
        <v>0.99919644590841294</v>
      </c>
      <c r="Y15" s="132">
        <f t="shared" si="23"/>
        <v>1.0154441592055623</v>
      </c>
      <c r="Z15" s="132">
        <f t="shared" si="24"/>
        <v>1</v>
      </c>
      <c r="AA15" s="134">
        <f t="shared" si="25"/>
        <v>0.58957829786992688</v>
      </c>
      <c r="AB15" s="135">
        <f t="shared" si="26"/>
        <v>1.1674755310719931E-3</v>
      </c>
      <c r="AC15" s="136">
        <f t="shared" si="27"/>
        <v>0</v>
      </c>
      <c r="AD15" s="132">
        <f t="shared" si="28"/>
        <v>0.98714859437751001</v>
      </c>
      <c r="AE15" s="132">
        <f t="shared" si="29"/>
        <v>1.0218364490808034</v>
      </c>
      <c r="AF15" s="134">
        <f t="shared" si="30"/>
        <v>0.58629610364367968</v>
      </c>
      <c r="AG15" s="136" t="str">
        <f t="shared" si="31"/>
        <v>—</v>
      </c>
      <c r="AH15" s="137" t="str">
        <f t="shared" si="32"/>
        <v>—</v>
      </c>
      <c r="AI15" s="138" t="str">
        <f t="shared" si="33"/>
        <v>—</v>
      </c>
      <c r="AJ15" s="23"/>
      <c r="AK15" s="23"/>
      <c r="AL15" s="43">
        <f t="shared" si="34"/>
        <v>3</v>
      </c>
      <c r="AM15" s="23" t="str">
        <f t="shared" si="35"/>
        <v/>
      </c>
      <c r="AN15" s="120">
        <f t="shared" si="36"/>
        <v>0</v>
      </c>
      <c r="AO15" s="121">
        <f t="shared" si="37"/>
        <v>0</v>
      </c>
    </row>
    <row r="16" spans="1:41" x14ac:dyDescent="0.3">
      <c r="A16" s="103" t="str">
        <f>_lists!$B$11</f>
        <v>KY</v>
      </c>
      <c r="B16" s="104">
        <f t="shared" si="0"/>
        <v>26400</v>
      </c>
      <c r="C16" s="105">
        <f t="shared" si="1"/>
        <v>0.92</v>
      </c>
      <c r="D16" s="106">
        <f t="shared" si="2"/>
        <v>0.91</v>
      </c>
      <c r="E16" s="106">
        <f t="shared" si="3"/>
        <v>0.91500000000000004</v>
      </c>
      <c r="F16" s="107" t="str">
        <f t="shared" si="4"/>
        <v/>
      </c>
      <c r="G16" s="108" t="str">
        <f t="shared" si="5"/>
        <v/>
      </c>
      <c r="H16" s="109" t="str">
        <f t="shared" si="6"/>
        <v/>
      </c>
      <c r="I16" s="110" t="str">
        <f t="shared" si="7"/>
        <v/>
      </c>
      <c r="J16" s="108" t="str">
        <f t="shared" si="8"/>
        <v/>
      </c>
      <c r="K16" s="109" t="str">
        <f t="shared" si="9"/>
        <v/>
      </c>
      <c r="L16" s="110" t="str">
        <f t="shared" si="10"/>
        <v/>
      </c>
      <c r="M16" s="108" t="str">
        <f t="shared" si="11"/>
        <v/>
      </c>
      <c r="N16" s="109" t="str">
        <f t="shared" si="12"/>
        <v/>
      </c>
      <c r="O16" s="110" t="str">
        <f t="shared" si="13"/>
        <v/>
      </c>
      <c r="P16" s="108" t="str">
        <f t="shared" si="14"/>
        <v/>
      </c>
      <c r="Q16" s="109" t="str">
        <f t="shared" si="15"/>
        <v/>
      </c>
      <c r="R16" s="111">
        <f t="shared" si="16"/>
        <v>1</v>
      </c>
      <c r="S16" s="111">
        <f t="shared" si="17"/>
        <v>2</v>
      </c>
      <c r="T16" s="112">
        <f t="shared" si="18"/>
        <v>1</v>
      </c>
      <c r="U16" s="113">
        <f t="shared" si="19"/>
        <v>1.0326415081987221</v>
      </c>
      <c r="V16" s="106">
        <f t="shared" si="20"/>
        <v>0.91199626185266258</v>
      </c>
      <c r="W16" s="114">
        <f t="shared" si="21"/>
        <v>0.58096969696969691</v>
      </c>
      <c r="X16" s="113">
        <f t="shared" si="22"/>
        <v>0.9699191082164681</v>
      </c>
      <c r="Y16" s="113">
        <f t="shared" si="23"/>
        <v>1.0055847684085846</v>
      </c>
      <c r="Z16" s="113">
        <f t="shared" si="24"/>
        <v>1</v>
      </c>
      <c r="AA16" s="115">
        <f t="shared" si="25"/>
        <v>0.56624716942375963</v>
      </c>
      <c r="AB16" s="116">
        <f t="shared" si="26"/>
        <v>-3.9342227560157372E-2</v>
      </c>
      <c r="AC16" s="117">
        <f t="shared" si="27"/>
        <v>0</v>
      </c>
      <c r="AD16" s="113">
        <f t="shared" si="28"/>
        <v>0.92830337727271262</v>
      </c>
      <c r="AE16" s="113">
        <f t="shared" si="29"/>
        <v>1.0035962183428246</v>
      </c>
      <c r="AF16" s="115">
        <f t="shared" si="30"/>
        <v>0.54045019747358591</v>
      </c>
      <c r="AG16" s="117">
        <f t="shared" si="31"/>
        <v>0.1</v>
      </c>
      <c r="AH16" s="118">
        <f t="shared" si="32"/>
        <v>0.56290095281864116</v>
      </c>
      <c r="AI16" s="119">
        <f t="shared" si="33"/>
        <v>-0.33462166051184683</v>
      </c>
      <c r="AJ16" s="23"/>
      <c r="AK16" s="23"/>
      <c r="AL16" s="43">
        <f t="shared" si="34"/>
        <v>3</v>
      </c>
      <c r="AM16" s="23" t="str">
        <f t="shared" si="35"/>
        <v/>
      </c>
      <c r="AN16" s="120">
        <f t="shared" si="36"/>
        <v>1</v>
      </c>
      <c r="AO16" s="121">
        <f t="shared" si="37"/>
        <v>0</v>
      </c>
    </row>
    <row r="17" spans="1:41" x14ac:dyDescent="0.3">
      <c r="A17" s="122" t="str">
        <f>_lists!$B$12</f>
        <v>MD</v>
      </c>
      <c r="B17" s="123">
        <f t="shared" si="0"/>
        <v>44000</v>
      </c>
      <c r="C17" s="124">
        <f t="shared" si="1"/>
        <v>0.92</v>
      </c>
      <c r="D17" s="125">
        <f t="shared" si="2"/>
        <v>0.91</v>
      </c>
      <c r="E17" s="125">
        <f t="shared" si="3"/>
        <v>0.93</v>
      </c>
      <c r="F17" s="126" t="str">
        <f t="shared" si="4"/>
        <v/>
      </c>
      <c r="G17" s="127" t="str">
        <f t="shared" si="5"/>
        <v/>
      </c>
      <c r="H17" s="128" t="str">
        <f t="shared" si="6"/>
        <v/>
      </c>
      <c r="I17" s="129" t="str">
        <f t="shared" si="7"/>
        <v/>
      </c>
      <c r="J17" s="127" t="str">
        <f t="shared" si="8"/>
        <v/>
      </c>
      <c r="K17" s="128" t="str">
        <f t="shared" si="9"/>
        <v/>
      </c>
      <c r="L17" s="129" t="str">
        <f t="shared" si="10"/>
        <v/>
      </c>
      <c r="M17" s="127" t="str">
        <f t="shared" si="11"/>
        <v/>
      </c>
      <c r="N17" s="128" t="str">
        <f t="shared" si="12"/>
        <v/>
      </c>
      <c r="O17" s="129" t="str">
        <f t="shared" si="13"/>
        <v/>
      </c>
      <c r="P17" s="127" t="str">
        <f t="shared" si="14"/>
        <v/>
      </c>
      <c r="Q17" s="128" t="str">
        <f t="shared" si="15"/>
        <v/>
      </c>
      <c r="R17" s="130">
        <f t="shared" si="16"/>
        <v>3</v>
      </c>
      <c r="S17" s="130">
        <f t="shared" si="17"/>
        <v>1</v>
      </c>
      <c r="T17" s="131">
        <f t="shared" si="18"/>
        <v>1.0381818181818181</v>
      </c>
      <c r="U17" s="132">
        <f t="shared" si="19"/>
        <v>1.0377218181818184</v>
      </c>
      <c r="V17" s="125">
        <f t="shared" si="20"/>
        <v>0.91798504741064901</v>
      </c>
      <c r="W17" s="133">
        <f t="shared" si="21"/>
        <v>0.57803636363636357</v>
      </c>
      <c r="X17" s="132">
        <f t="shared" si="22"/>
        <v>1.000434413070167</v>
      </c>
      <c r="Y17" s="132">
        <f t="shared" si="23"/>
        <v>1.0021949732133812</v>
      </c>
      <c r="Z17" s="132">
        <f t="shared" si="24"/>
        <v>1</v>
      </c>
      <c r="AA17" s="134">
        <f t="shared" si="25"/>
        <v>0.5795628749952757</v>
      </c>
      <c r="AB17" s="135">
        <f t="shared" si="26"/>
        <v>6.0793008205273225E-4</v>
      </c>
      <c r="AC17" s="136">
        <f t="shared" si="27"/>
        <v>0</v>
      </c>
      <c r="AD17" s="132">
        <f t="shared" si="28"/>
        <v>0.98488499452354861</v>
      </c>
      <c r="AE17" s="132">
        <f t="shared" si="29"/>
        <v>0.98997068515119879</v>
      </c>
      <c r="AF17" s="134">
        <f t="shared" si="30"/>
        <v>0.56338071485346697</v>
      </c>
      <c r="AG17" s="136" t="str">
        <f t="shared" si="31"/>
        <v>—</v>
      </c>
      <c r="AH17" s="137" t="str">
        <f t="shared" si="32"/>
        <v>—</v>
      </c>
      <c r="AI17" s="138" t="str">
        <f t="shared" si="33"/>
        <v>—</v>
      </c>
      <c r="AJ17" s="23"/>
      <c r="AK17" s="23"/>
      <c r="AL17" s="43">
        <f t="shared" si="34"/>
        <v>3</v>
      </c>
      <c r="AM17" s="23" t="str">
        <f t="shared" si="35"/>
        <v/>
      </c>
      <c r="AN17" s="120">
        <f t="shared" si="36"/>
        <v>0</v>
      </c>
      <c r="AO17" s="121">
        <f t="shared" si="37"/>
        <v>0</v>
      </c>
    </row>
    <row r="18" spans="1:41" x14ac:dyDescent="0.3">
      <c r="A18" s="103" t="str">
        <f>_lists!$B$13</f>
        <v>MI</v>
      </c>
      <c r="B18" s="104">
        <f t="shared" si="0"/>
        <v>48000</v>
      </c>
      <c r="C18" s="105">
        <f t="shared" si="1"/>
        <v>0.92</v>
      </c>
      <c r="D18" s="106">
        <f t="shared" si="2"/>
        <v>0.91</v>
      </c>
      <c r="E18" s="106">
        <f t="shared" si="3"/>
        <v>0.91</v>
      </c>
      <c r="F18" s="107" t="str">
        <f t="shared" si="4"/>
        <v/>
      </c>
      <c r="G18" s="108" t="str">
        <f t="shared" si="5"/>
        <v/>
      </c>
      <c r="H18" s="109" t="str">
        <f t="shared" si="6"/>
        <v/>
      </c>
      <c r="I18" s="110" t="str">
        <f t="shared" si="7"/>
        <v/>
      </c>
      <c r="J18" s="108" t="str">
        <f t="shared" si="8"/>
        <v/>
      </c>
      <c r="K18" s="109" t="str">
        <f t="shared" si="9"/>
        <v/>
      </c>
      <c r="L18" s="110" t="str">
        <f t="shared" si="10"/>
        <v/>
      </c>
      <c r="M18" s="108" t="str">
        <f t="shared" si="11"/>
        <v/>
      </c>
      <c r="N18" s="109" t="str">
        <f t="shared" si="12"/>
        <v/>
      </c>
      <c r="O18" s="110" t="str">
        <f t="shared" si="13"/>
        <v/>
      </c>
      <c r="P18" s="108" t="str">
        <f t="shared" si="14"/>
        <v/>
      </c>
      <c r="Q18" s="109" t="str">
        <f t="shared" si="15"/>
        <v/>
      </c>
      <c r="R18" s="111">
        <f t="shared" si="16"/>
        <v>3</v>
      </c>
      <c r="S18" s="111">
        <f t="shared" si="17"/>
        <v>0</v>
      </c>
      <c r="T18" s="112">
        <f t="shared" si="18"/>
        <v>1.0303333333333333</v>
      </c>
      <c r="U18" s="113">
        <f t="shared" si="19"/>
        <v>1.0295601851851852</v>
      </c>
      <c r="V18" s="106">
        <f t="shared" si="20"/>
        <v>0.9099999999999997</v>
      </c>
      <c r="W18" s="114">
        <f t="shared" si="21"/>
        <v>0.57713333333333316</v>
      </c>
      <c r="X18" s="113">
        <f t="shared" si="22"/>
        <v>1.0007588473665285</v>
      </c>
      <c r="Y18" s="113">
        <f t="shared" si="23"/>
        <v>1.0109890109890112</v>
      </c>
      <c r="Z18" s="113">
        <f t="shared" si="24"/>
        <v>1</v>
      </c>
      <c r="AA18" s="115">
        <f t="shared" si="25"/>
        <v>0.58391844803590731</v>
      </c>
      <c r="AB18" s="116">
        <f t="shared" si="26"/>
        <v>2.2134580668353721E-5</v>
      </c>
      <c r="AC18" s="117">
        <f t="shared" si="27"/>
        <v>0</v>
      </c>
      <c r="AD18" s="113">
        <f t="shared" si="28"/>
        <v>1</v>
      </c>
      <c r="AE18" s="113">
        <f t="shared" si="29"/>
        <v>1.0109890109890112</v>
      </c>
      <c r="AF18" s="115">
        <f t="shared" si="30"/>
        <v>0.58347545787545796</v>
      </c>
      <c r="AG18" s="117" t="str">
        <f t="shared" si="31"/>
        <v>—</v>
      </c>
      <c r="AH18" s="118" t="str">
        <f t="shared" si="32"/>
        <v>—</v>
      </c>
      <c r="AI18" s="119" t="str">
        <f t="shared" si="33"/>
        <v>—</v>
      </c>
      <c r="AJ18" s="23"/>
      <c r="AK18" s="23"/>
      <c r="AL18" s="43">
        <f t="shared" si="34"/>
        <v>3</v>
      </c>
      <c r="AM18" s="23" t="str">
        <f t="shared" si="35"/>
        <v/>
      </c>
      <c r="AN18" s="120">
        <f t="shared" si="36"/>
        <v>0</v>
      </c>
      <c r="AO18" s="121">
        <f t="shared" si="37"/>
        <v>0</v>
      </c>
    </row>
    <row r="19" spans="1:41" x14ac:dyDescent="0.3">
      <c r="A19" s="122" t="str">
        <f>_lists!$B$14</f>
        <v>MN</v>
      </c>
      <c r="B19" s="123">
        <f t="shared" si="0"/>
        <v>38400</v>
      </c>
      <c r="C19" s="124">
        <f t="shared" si="1"/>
        <v>0.92</v>
      </c>
      <c r="D19" s="125">
        <f t="shared" si="2"/>
        <v>0.91</v>
      </c>
      <c r="E19" s="125">
        <f t="shared" si="3"/>
        <v>0.92500000000000004</v>
      </c>
      <c r="F19" s="126" t="str">
        <f t="shared" si="4"/>
        <v/>
      </c>
      <c r="G19" s="127" t="str">
        <f t="shared" si="5"/>
        <v/>
      </c>
      <c r="H19" s="128" t="str">
        <f t="shared" si="6"/>
        <v/>
      </c>
      <c r="I19" s="129" t="str">
        <f t="shared" si="7"/>
        <v/>
      </c>
      <c r="J19" s="127" t="str">
        <f t="shared" si="8"/>
        <v/>
      </c>
      <c r="K19" s="128" t="str">
        <f t="shared" si="9"/>
        <v/>
      </c>
      <c r="L19" s="129" t="str">
        <f t="shared" si="10"/>
        <v/>
      </c>
      <c r="M19" s="127" t="str">
        <f t="shared" si="11"/>
        <v/>
      </c>
      <c r="N19" s="128" t="str">
        <f t="shared" si="12"/>
        <v/>
      </c>
      <c r="O19" s="129" t="str">
        <f t="shared" si="13"/>
        <v/>
      </c>
      <c r="P19" s="127" t="str">
        <f t="shared" si="14"/>
        <v/>
      </c>
      <c r="Q19" s="128" t="str">
        <f t="shared" si="15"/>
        <v/>
      </c>
      <c r="R19" s="130">
        <f t="shared" si="16"/>
        <v>0</v>
      </c>
      <c r="S19" s="130">
        <f t="shared" si="17"/>
        <v>1</v>
      </c>
      <c r="T19" s="131">
        <f t="shared" si="18"/>
        <v>1</v>
      </c>
      <c r="U19" s="132">
        <f t="shared" si="19"/>
        <v>1.0070833333333333</v>
      </c>
      <c r="V19" s="125">
        <f t="shared" si="20"/>
        <v>0.91598878555798668</v>
      </c>
      <c r="W19" s="133">
        <f t="shared" si="21"/>
        <v>0.57666666666666666</v>
      </c>
      <c r="X19" s="132">
        <f t="shared" si="22"/>
        <v>0.99305555555555547</v>
      </c>
      <c r="Y19" s="132">
        <f t="shared" si="23"/>
        <v>1.0043791086804299</v>
      </c>
      <c r="Z19" s="132">
        <f t="shared" si="24"/>
        <v>1</v>
      </c>
      <c r="AA19" s="134">
        <f t="shared" si="25"/>
        <v>0.57506283855891727</v>
      </c>
      <c r="AB19" s="135">
        <f t="shared" si="26"/>
        <v>-1.0694777546127465E-2</v>
      </c>
      <c r="AC19" s="136">
        <f t="shared" si="27"/>
        <v>0</v>
      </c>
      <c r="AD19" s="132">
        <f t="shared" si="28"/>
        <v>0.98637820512820518</v>
      </c>
      <c r="AE19" s="132">
        <f t="shared" si="29"/>
        <v>0.99514290701699581</v>
      </c>
      <c r="AF19" s="134">
        <f t="shared" si="30"/>
        <v>0.5658408085783434</v>
      </c>
      <c r="AG19" s="136" t="str">
        <f t="shared" si="31"/>
        <v>—</v>
      </c>
      <c r="AH19" s="137" t="str">
        <f t="shared" si="32"/>
        <v>—</v>
      </c>
      <c r="AI19" s="138" t="str">
        <f t="shared" si="33"/>
        <v>—</v>
      </c>
      <c r="AJ19" s="23"/>
      <c r="AK19" s="23"/>
      <c r="AL19" s="43">
        <f t="shared" si="34"/>
        <v>3</v>
      </c>
      <c r="AM19" s="23" t="str">
        <f t="shared" si="35"/>
        <v/>
      </c>
      <c r="AN19" s="120">
        <f t="shared" si="36"/>
        <v>0</v>
      </c>
      <c r="AO19" s="121">
        <f t="shared" si="37"/>
        <v>0</v>
      </c>
    </row>
    <row r="20" spans="1:41" x14ac:dyDescent="0.3">
      <c r="A20" s="103" t="str">
        <f>_lists!$B$15</f>
        <v>NM</v>
      </c>
      <c r="B20" s="104">
        <f t="shared" si="0"/>
        <v>28800</v>
      </c>
      <c r="C20" s="105">
        <f t="shared" si="1"/>
        <v>0.92</v>
      </c>
      <c r="D20" s="106">
        <f t="shared" si="2"/>
        <v>0.91</v>
      </c>
      <c r="E20" s="106">
        <f t="shared" si="3"/>
        <v>0.90500000000000003</v>
      </c>
      <c r="F20" s="107" t="str">
        <f t="shared" si="4"/>
        <v/>
      </c>
      <c r="G20" s="108" t="str">
        <f t="shared" si="5"/>
        <v/>
      </c>
      <c r="H20" s="109" t="str">
        <f t="shared" si="6"/>
        <v/>
      </c>
      <c r="I20" s="110" t="str">
        <f t="shared" si="7"/>
        <v/>
      </c>
      <c r="J20" s="108" t="str">
        <f t="shared" si="8"/>
        <v/>
      </c>
      <c r="K20" s="109" t="str">
        <f t="shared" si="9"/>
        <v/>
      </c>
      <c r="L20" s="110" t="str">
        <f t="shared" si="10"/>
        <v/>
      </c>
      <c r="M20" s="108" t="str">
        <f t="shared" si="11"/>
        <v/>
      </c>
      <c r="N20" s="109" t="str">
        <f t="shared" si="12"/>
        <v/>
      </c>
      <c r="O20" s="110" t="str">
        <f t="shared" si="13"/>
        <v/>
      </c>
      <c r="P20" s="108" t="str">
        <f t="shared" si="14"/>
        <v/>
      </c>
      <c r="Q20" s="109" t="str">
        <f t="shared" si="15"/>
        <v/>
      </c>
      <c r="R20" s="111">
        <f t="shared" si="16"/>
        <v>3</v>
      </c>
      <c r="S20" s="111">
        <f t="shared" si="17"/>
        <v>1</v>
      </c>
      <c r="T20" s="112">
        <f t="shared" si="18"/>
        <v>1.0505555555555555</v>
      </c>
      <c r="U20" s="113">
        <f t="shared" si="19"/>
        <v>1.056513888888889</v>
      </c>
      <c r="V20" s="106">
        <f t="shared" si="20"/>
        <v>0.90800373814733781</v>
      </c>
      <c r="W20" s="114">
        <f t="shared" si="21"/>
        <v>0.57433333333333347</v>
      </c>
      <c r="X20" s="113">
        <f t="shared" si="22"/>
        <v>0.99442038315970194</v>
      </c>
      <c r="Y20" s="113">
        <f t="shared" si="23"/>
        <v>1.0132116877372543</v>
      </c>
      <c r="Z20" s="113">
        <f t="shared" si="24"/>
        <v>1</v>
      </c>
      <c r="AA20" s="115">
        <f t="shared" si="25"/>
        <v>0.57875537951284572</v>
      </c>
      <c r="AB20" s="116">
        <f t="shared" si="26"/>
        <v>8.1031106271334252E-3</v>
      </c>
      <c r="AC20" s="117">
        <f t="shared" si="27"/>
        <v>0</v>
      </c>
      <c r="AD20" s="113">
        <f t="shared" si="28"/>
        <v>0.987179487179487</v>
      </c>
      <c r="AE20" s="113">
        <f t="shared" si="29"/>
        <v>1.0163837883191853</v>
      </c>
      <c r="AF20" s="115">
        <f t="shared" si="30"/>
        <v>0.57644597471364245</v>
      </c>
      <c r="AG20" s="117" t="str">
        <f t="shared" si="31"/>
        <v>—</v>
      </c>
      <c r="AH20" s="118" t="str">
        <f t="shared" si="32"/>
        <v>—</v>
      </c>
      <c r="AI20" s="119" t="str">
        <f t="shared" si="33"/>
        <v>—</v>
      </c>
      <c r="AJ20" s="23"/>
      <c r="AK20" s="23"/>
      <c r="AL20" s="43">
        <f t="shared" si="34"/>
        <v>3</v>
      </c>
      <c r="AM20" s="23" t="str">
        <f t="shared" si="35"/>
        <v/>
      </c>
      <c r="AN20" s="120">
        <f t="shared" si="36"/>
        <v>0</v>
      </c>
      <c r="AO20" s="121">
        <f t="shared" si="37"/>
        <v>0</v>
      </c>
    </row>
    <row r="21" spans="1:41" x14ac:dyDescent="0.3">
      <c r="A21" s="122" t="str">
        <f>_lists!$B$16</f>
        <v>NC</v>
      </c>
      <c r="B21" s="123">
        <f t="shared" si="0"/>
        <v>32800</v>
      </c>
      <c r="C21" s="124">
        <f t="shared" si="1"/>
        <v>0.92</v>
      </c>
      <c r="D21" s="125">
        <f t="shared" si="2"/>
        <v>0.91</v>
      </c>
      <c r="E21" s="125">
        <f t="shared" si="3"/>
        <v>0.92</v>
      </c>
      <c r="F21" s="126" t="str">
        <f t="shared" si="4"/>
        <v/>
      </c>
      <c r="G21" s="127" t="str">
        <f t="shared" si="5"/>
        <v/>
      </c>
      <c r="H21" s="128" t="str">
        <f t="shared" si="6"/>
        <v/>
      </c>
      <c r="I21" s="129" t="str">
        <f t="shared" si="7"/>
        <v/>
      </c>
      <c r="J21" s="127" t="str">
        <f t="shared" si="8"/>
        <v/>
      </c>
      <c r="K21" s="128" t="str">
        <f t="shared" si="9"/>
        <v/>
      </c>
      <c r="L21" s="129" t="str">
        <f t="shared" si="10"/>
        <v/>
      </c>
      <c r="M21" s="127" t="str">
        <f t="shared" si="11"/>
        <v/>
      </c>
      <c r="N21" s="128" t="str">
        <f t="shared" si="12"/>
        <v/>
      </c>
      <c r="O21" s="129" t="str">
        <f t="shared" si="13"/>
        <v/>
      </c>
      <c r="P21" s="127" t="str">
        <f t="shared" si="14"/>
        <v/>
      </c>
      <c r="Q21" s="128" t="str">
        <f t="shared" si="15"/>
        <v/>
      </c>
      <c r="R21" s="130">
        <f t="shared" si="16"/>
        <v>3</v>
      </c>
      <c r="S21" s="130">
        <f t="shared" si="17"/>
        <v>1</v>
      </c>
      <c r="T21" s="131">
        <f t="shared" si="18"/>
        <v>1.0453658536585366</v>
      </c>
      <c r="U21" s="132">
        <f t="shared" si="19"/>
        <v>1.0563272357723577</v>
      </c>
      <c r="V21" s="125">
        <f t="shared" si="20"/>
        <v>0.91399252370532447</v>
      </c>
      <c r="W21" s="133">
        <f t="shared" si="21"/>
        <v>0.57248780487804873</v>
      </c>
      <c r="X21" s="132">
        <f t="shared" si="22"/>
        <v>0.9897870812972358</v>
      </c>
      <c r="Y21" s="132">
        <f t="shared" si="23"/>
        <v>1.0065727849395543</v>
      </c>
      <c r="Z21" s="132">
        <f t="shared" si="24"/>
        <v>1</v>
      </c>
      <c r="AA21" s="134">
        <f t="shared" si="25"/>
        <v>0.57038998574707123</v>
      </c>
      <c r="AB21" s="135">
        <f t="shared" si="26"/>
        <v>2.4542627650725457E-3</v>
      </c>
      <c r="AC21" s="136">
        <f t="shared" si="27"/>
        <v>0</v>
      </c>
      <c r="AD21" s="132">
        <f t="shared" si="28"/>
        <v>0.97748592870544071</v>
      </c>
      <c r="AE21" s="132">
        <f t="shared" si="29"/>
        <v>1.000369458535054</v>
      </c>
      <c r="AF21" s="134">
        <f t="shared" si="30"/>
        <v>0.5598165086982505</v>
      </c>
      <c r="AG21" s="136" t="str">
        <f t="shared" si="31"/>
        <v>—</v>
      </c>
      <c r="AH21" s="137" t="str">
        <f t="shared" si="32"/>
        <v>—</v>
      </c>
      <c r="AI21" s="138" t="str">
        <f t="shared" si="33"/>
        <v>—</v>
      </c>
      <c r="AJ21" s="23"/>
      <c r="AK21" s="23"/>
      <c r="AL21" s="43">
        <f t="shared" si="34"/>
        <v>3</v>
      </c>
      <c r="AM21" s="23" t="str">
        <f t="shared" si="35"/>
        <v/>
      </c>
      <c r="AN21" s="120">
        <f t="shared" si="36"/>
        <v>0</v>
      </c>
      <c r="AO21" s="121">
        <f t="shared" si="37"/>
        <v>0</v>
      </c>
    </row>
    <row r="22" spans="1:41" x14ac:dyDescent="0.3">
      <c r="A22" s="103" t="str">
        <f>_lists!$B$17</f>
        <v>OH</v>
      </c>
      <c r="B22" s="104">
        <f t="shared" si="0"/>
        <v>50400</v>
      </c>
      <c r="C22" s="105">
        <f t="shared" si="1"/>
        <v>0.92</v>
      </c>
      <c r="D22" s="106">
        <f t="shared" si="2"/>
        <v>0.91</v>
      </c>
      <c r="E22" s="106">
        <f t="shared" si="3"/>
        <v>0.9</v>
      </c>
      <c r="F22" s="107" t="str">
        <f t="shared" si="4"/>
        <v/>
      </c>
      <c r="G22" s="108" t="str">
        <f t="shared" si="5"/>
        <v/>
      </c>
      <c r="H22" s="109" t="str">
        <f t="shared" si="6"/>
        <v/>
      </c>
      <c r="I22" s="110" t="str">
        <f t="shared" si="7"/>
        <v/>
      </c>
      <c r="J22" s="108" t="str">
        <f t="shared" si="8"/>
        <v/>
      </c>
      <c r="K22" s="109" t="str">
        <f t="shared" si="9"/>
        <v/>
      </c>
      <c r="L22" s="110" t="str">
        <f t="shared" si="10"/>
        <v/>
      </c>
      <c r="M22" s="108" t="str">
        <f t="shared" si="11"/>
        <v/>
      </c>
      <c r="N22" s="109" t="str">
        <f t="shared" si="12"/>
        <v/>
      </c>
      <c r="O22" s="110" t="str">
        <f t="shared" si="13"/>
        <v/>
      </c>
      <c r="P22" s="108" t="str">
        <f t="shared" si="14"/>
        <v/>
      </c>
      <c r="Q22" s="109" t="str">
        <f t="shared" si="15"/>
        <v/>
      </c>
      <c r="R22" s="111">
        <f t="shared" si="16"/>
        <v>0</v>
      </c>
      <c r="S22" s="111">
        <f t="shared" si="17"/>
        <v>0</v>
      </c>
      <c r="T22" s="112">
        <f t="shared" si="18"/>
        <v>1</v>
      </c>
      <c r="U22" s="113">
        <f t="shared" si="19"/>
        <v>1</v>
      </c>
      <c r="V22" s="106">
        <f t="shared" si="20"/>
        <v>0.90600747629467537</v>
      </c>
      <c r="W22" s="114">
        <f t="shared" si="21"/>
        <v>0.58647619047619048</v>
      </c>
      <c r="X22" s="113">
        <f t="shared" si="22"/>
        <v>1</v>
      </c>
      <c r="Y22" s="113">
        <f t="shared" si="23"/>
        <v>1.0154441592055623</v>
      </c>
      <c r="Z22" s="113">
        <f t="shared" si="24"/>
        <v>1</v>
      </c>
      <c r="AA22" s="115">
        <f t="shared" si="25"/>
        <v>0.59553382213217632</v>
      </c>
      <c r="AB22" s="116">
        <f t="shared" si="26"/>
        <v>-1.1102230246251565E-14</v>
      </c>
      <c r="AC22" s="117">
        <f t="shared" si="27"/>
        <v>0</v>
      </c>
      <c r="AD22" s="113">
        <f t="shared" si="28"/>
        <v>1</v>
      </c>
      <c r="AE22" s="113">
        <f t="shared" si="29"/>
        <v>1.0218364490808034</v>
      </c>
      <c r="AF22" s="115">
        <f t="shared" si="30"/>
        <v>0.59928274794662739</v>
      </c>
      <c r="AG22" s="117" t="str">
        <f t="shared" si="31"/>
        <v>—</v>
      </c>
      <c r="AH22" s="118" t="str">
        <f t="shared" si="32"/>
        <v>—</v>
      </c>
      <c r="AI22" s="119" t="str">
        <f t="shared" si="33"/>
        <v>—</v>
      </c>
      <c r="AJ22" s="23"/>
      <c r="AK22" s="23"/>
      <c r="AL22" s="43">
        <f t="shared" si="34"/>
        <v>3</v>
      </c>
      <c r="AM22" s="23" t="str">
        <f t="shared" si="35"/>
        <v/>
      </c>
      <c r="AN22" s="120">
        <f t="shared" si="36"/>
        <v>0</v>
      </c>
      <c r="AO22" s="121">
        <f t="shared" si="37"/>
        <v>0</v>
      </c>
    </row>
    <row r="23" spans="1:41" x14ac:dyDescent="0.3">
      <c r="A23" s="122" t="str">
        <f>_lists!$B$18</f>
        <v>PA</v>
      </c>
      <c r="B23" s="123">
        <f t="shared" si="0"/>
        <v>40800</v>
      </c>
      <c r="C23" s="124">
        <f t="shared" si="1"/>
        <v>0.92</v>
      </c>
      <c r="D23" s="125">
        <f t="shared" si="2"/>
        <v>0.91</v>
      </c>
      <c r="E23" s="125">
        <f t="shared" si="3"/>
        <v>0.91500000000000004</v>
      </c>
      <c r="F23" s="126" t="str">
        <f t="shared" si="4"/>
        <v/>
      </c>
      <c r="G23" s="127" t="str">
        <f t="shared" si="5"/>
        <v/>
      </c>
      <c r="H23" s="128" t="str">
        <f t="shared" si="6"/>
        <v/>
      </c>
      <c r="I23" s="129" t="str">
        <f t="shared" si="7"/>
        <v/>
      </c>
      <c r="J23" s="127" t="str">
        <f t="shared" si="8"/>
        <v/>
      </c>
      <c r="K23" s="128" t="str">
        <f t="shared" si="9"/>
        <v/>
      </c>
      <c r="L23" s="129" t="str">
        <f t="shared" si="10"/>
        <v/>
      </c>
      <c r="M23" s="127" t="str">
        <f t="shared" si="11"/>
        <v/>
      </c>
      <c r="N23" s="128" t="str">
        <f t="shared" si="12"/>
        <v/>
      </c>
      <c r="O23" s="129" t="str">
        <f t="shared" si="13"/>
        <v/>
      </c>
      <c r="P23" s="127" t="str">
        <f t="shared" si="14"/>
        <v/>
      </c>
      <c r="Q23" s="128" t="str">
        <f t="shared" si="15"/>
        <v/>
      </c>
      <c r="R23" s="130">
        <f t="shared" si="16"/>
        <v>3</v>
      </c>
      <c r="S23" s="130">
        <f t="shared" si="17"/>
        <v>1</v>
      </c>
      <c r="T23" s="131">
        <f t="shared" si="18"/>
        <v>1.030392156862745</v>
      </c>
      <c r="U23" s="132">
        <f t="shared" si="19"/>
        <v>1.0320588235294117</v>
      </c>
      <c r="V23" s="125">
        <f t="shared" si="20"/>
        <v>0.91199626185266269</v>
      </c>
      <c r="W23" s="133">
        <f t="shared" si="21"/>
        <v>0.58509803921568626</v>
      </c>
      <c r="X23" s="132">
        <f t="shared" si="22"/>
        <v>0.9984046796064876</v>
      </c>
      <c r="Y23" s="132">
        <f t="shared" si="23"/>
        <v>1.0087760646420616</v>
      </c>
      <c r="Z23" s="132">
        <f t="shared" si="24"/>
        <v>1</v>
      </c>
      <c r="AA23" s="134">
        <f t="shared" si="25"/>
        <v>0.58931236580153579</v>
      </c>
      <c r="AB23" s="135">
        <f t="shared" si="26"/>
        <v>2.1078949940744884E-3</v>
      </c>
      <c r="AC23" s="136">
        <f t="shared" si="27"/>
        <v>0</v>
      </c>
      <c r="AD23" s="132">
        <f t="shared" si="28"/>
        <v>0.98651600634910641</v>
      </c>
      <c r="AE23" s="132">
        <f t="shared" si="29"/>
        <v>1.0056512002530102</v>
      </c>
      <c r="AF23" s="134">
        <f t="shared" si="30"/>
        <v>0.58064811420658102</v>
      </c>
      <c r="AG23" s="136" t="str">
        <f t="shared" si="31"/>
        <v>—</v>
      </c>
      <c r="AH23" s="137" t="str">
        <f t="shared" si="32"/>
        <v>—</v>
      </c>
      <c r="AI23" s="138" t="str">
        <f t="shared" si="33"/>
        <v>—</v>
      </c>
      <c r="AJ23" s="23"/>
      <c r="AK23" s="23"/>
      <c r="AL23" s="43">
        <f t="shared" si="34"/>
        <v>3</v>
      </c>
      <c r="AM23" s="23" t="str">
        <f t="shared" si="35"/>
        <v/>
      </c>
      <c r="AN23" s="120">
        <f t="shared" si="36"/>
        <v>0</v>
      </c>
      <c r="AO23" s="121">
        <f t="shared" si="37"/>
        <v>0</v>
      </c>
    </row>
    <row r="24" spans="1:41" x14ac:dyDescent="0.3">
      <c r="A24" s="103" t="str">
        <f>_lists!$B$19</f>
        <v>SC</v>
      </c>
      <c r="B24" s="104">
        <f t="shared" si="0"/>
        <v>31200</v>
      </c>
      <c r="C24" s="105">
        <f t="shared" si="1"/>
        <v>0.92</v>
      </c>
      <c r="D24" s="106">
        <f t="shared" si="2"/>
        <v>0.91</v>
      </c>
      <c r="E24" s="106">
        <f t="shared" si="3"/>
        <v>0.93</v>
      </c>
      <c r="F24" s="107" t="str">
        <f t="shared" si="4"/>
        <v/>
      </c>
      <c r="G24" s="108" t="str">
        <f t="shared" si="5"/>
        <v/>
      </c>
      <c r="H24" s="109" t="str">
        <f t="shared" si="6"/>
        <v/>
      </c>
      <c r="I24" s="110" t="str">
        <f t="shared" si="7"/>
        <v/>
      </c>
      <c r="J24" s="108" t="str">
        <f t="shared" si="8"/>
        <v/>
      </c>
      <c r="K24" s="109" t="str">
        <f t="shared" si="9"/>
        <v/>
      </c>
      <c r="L24" s="110" t="str">
        <f t="shared" si="10"/>
        <v/>
      </c>
      <c r="M24" s="108" t="str">
        <f t="shared" si="11"/>
        <v/>
      </c>
      <c r="N24" s="109" t="str">
        <f t="shared" si="12"/>
        <v/>
      </c>
      <c r="O24" s="110" t="str">
        <f t="shared" si="13"/>
        <v/>
      </c>
      <c r="P24" s="108" t="str">
        <f t="shared" si="14"/>
        <v/>
      </c>
      <c r="Q24" s="109" t="str">
        <f t="shared" si="15"/>
        <v/>
      </c>
      <c r="R24" s="111">
        <f t="shared" si="16"/>
        <v>3</v>
      </c>
      <c r="S24" s="111">
        <f t="shared" si="17"/>
        <v>1</v>
      </c>
      <c r="T24" s="112">
        <f t="shared" si="18"/>
        <v>1.0405128205128205</v>
      </c>
      <c r="U24" s="113">
        <f t="shared" si="19"/>
        <v>1.040925925925926</v>
      </c>
      <c r="V24" s="106">
        <f t="shared" si="20"/>
        <v>0.91798504741064901</v>
      </c>
      <c r="W24" s="114">
        <f t="shared" si="21"/>
        <v>0.58482051282051273</v>
      </c>
      <c r="X24" s="113">
        <f t="shared" si="22"/>
        <v>0.99961058750493814</v>
      </c>
      <c r="Y24" s="113">
        <f t="shared" si="23"/>
        <v>1.0021949732133812</v>
      </c>
      <c r="Z24" s="113">
        <f t="shared" si="24"/>
        <v>1</v>
      </c>
      <c r="AA24" s="115">
        <f t="shared" si="25"/>
        <v>0.58590688017759751</v>
      </c>
      <c r="AB24" s="116">
        <f t="shared" si="26"/>
        <v>3.0938287199466785E-3</v>
      </c>
      <c r="AC24" s="117">
        <f t="shared" si="27"/>
        <v>0</v>
      </c>
      <c r="AD24" s="113">
        <f t="shared" si="28"/>
        <v>0.98726511710748954</v>
      </c>
      <c r="AE24" s="113">
        <f t="shared" si="29"/>
        <v>0.98997068515119868</v>
      </c>
      <c r="AF24" s="115">
        <f t="shared" si="30"/>
        <v>0.57159258189382578</v>
      </c>
      <c r="AG24" s="117" t="str">
        <f t="shared" si="31"/>
        <v>—</v>
      </c>
      <c r="AH24" s="118" t="str">
        <f t="shared" si="32"/>
        <v>—</v>
      </c>
      <c r="AI24" s="119" t="str">
        <f t="shared" si="33"/>
        <v>—</v>
      </c>
      <c r="AJ24" s="23"/>
      <c r="AK24" s="23"/>
      <c r="AL24" s="43">
        <f t="shared" si="34"/>
        <v>3</v>
      </c>
      <c r="AM24" s="23" t="str">
        <f t="shared" si="35"/>
        <v/>
      </c>
      <c r="AN24" s="120">
        <f t="shared" si="36"/>
        <v>0</v>
      </c>
      <c r="AO24" s="121">
        <f t="shared" si="37"/>
        <v>0</v>
      </c>
    </row>
    <row r="25" spans="1:41" x14ac:dyDescent="0.3">
      <c r="A25" s="122" t="str">
        <f>_lists!$B$20</f>
        <v>TN</v>
      </c>
      <c r="B25" s="123">
        <f t="shared" si="0"/>
        <v>21600</v>
      </c>
      <c r="C25" s="124">
        <f t="shared" si="1"/>
        <v>0.92</v>
      </c>
      <c r="D25" s="125">
        <f t="shared" si="2"/>
        <v>0.91</v>
      </c>
      <c r="E25" s="125">
        <f t="shared" si="3"/>
        <v>0.91</v>
      </c>
      <c r="F25" s="126" t="str">
        <f t="shared" si="4"/>
        <v/>
      </c>
      <c r="G25" s="127" t="str">
        <f t="shared" si="5"/>
        <v/>
      </c>
      <c r="H25" s="128" t="str">
        <f t="shared" si="6"/>
        <v/>
      </c>
      <c r="I25" s="129" t="str">
        <f t="shared" si="7"/>
        <v/>
      </c>
      <c r="J25" s="127" t="str">
        <f t="shared" si="8"/>
        <v/>
      </c>
      <c r="K25" s="128" t="str">
        <f t="shared" si="9"/>
        <v/>
      </c>
      <c r="L25" s="129" t="str">
        <f t="shared" si="10"/>
        <v/>
      </c>
      <c r="M25" s="127" t="str">
        <f t="shared" si="11"/>
        <v/>
      </c>
      <c r="N25" s="128" t="str">
        <f t="shared" si="12"/>
        <v/>
      </c>
      <c r="O25" s="129" t="str">
        <f t="shared" si="13"/>
        <v/>
      </c>
      <c r="P25" s="127" t="str">
        <f t="shared" si="14"/>
        <v/>
      </c>
      <c r="Q25" s="128" t="str">
        <f t="shared" si="15"/>
        <v/>
      </c>
      <c r="R25" s="130">
        <f t="shared" si="16"/>
        <v>0</v>
      </c>
      <c r="S25" s="130">
        <f t="shared" si="17"/>
        <v>1</v>
      </c>
      <c r="T25" s="131">
        <f t="shared" si="18"/>
        <v>1</v>
      </c>
      <c r="U25" s="132">
        <f t="shared" si="19"/>
        <v>1.0020576131687242</v>
      </c>
      <c r="V25" s="125">
        <f t="shared" si="20"/>
        <v>0.9099999999999997</v>
      </c>
      <c r="W25" s="133">
        <f t="shared" si="21"/>
        <v>0.5822222222222222</v>
      </c>
      <c r="X25" s="132">
        <f t="shared" si="22"/>
        <v>0.99795657726692211</v>
      </c>
      <c r="Y25" s="132">
        <f t="shared" si="23"/>
        <v>1.0109890109890112</v>
      </c>
      <c r="Z25" s="132">
        <f t="shared" si="24"/>
        <v>1</v>
      </c>
      <c r="AA25" s="134">
        <f t="shared" si="25"/>
        <v>0.58738900537521233</v>
      </c>
      <c r="AB25" s="135">
        <f t="shared" si="26"/>
        <v>-2.846320700733429E-3</v>
      </c>
      <c r="AC25" s="136">
        <f t="shared" si="27"/>
        <v>0</v>
      </c>
      <c r="AD25" s="132">
        <f t="shared" si="28"/>
        <v>0.9886801040955463</v>
      </c>
      <c r="AE25" s="132">
        <f t="shared" si="29"/>
        <v>1.0109890109890112</v>
      </c>
      <c r="AF25" s="134">
        <f t="shared" si="30"/>
        <v>0.58179947156276324</v>
      </c>
      <c r="AG25" s="136" t="str">
        <f t="shared" si="31"/>
        <v>—</v>
      </c>
      <c r="AH25" s="137" t="str">
        <f t="shared" si="32"/>
        <v>—</v>
      </c>
      <c r="AI25" s="138" t="str">
        <f t="shared" si="33"/>
        <v>—</v>
      </c>
      <c r="AJ25" s="23"/>
      <c r="AK25" s="23"/>
      <c r="AL25" s="43">
        <f t="shared" si="34"/>
        <v>3</v>
      </c>
      <c r="AM25" s="23" t="str">
        <f t="shared" si="35"/>
        <v/>
      </c>
      <c r="AN25" s="120">
        <f t="shared" si="36"/>
        <v>0</v>
      </c>
      <c r="AO25" s="121">
        <f t="shared" si="37"/>
        <v>0</v>
      </c>
    </row>
    <row r="26" spans="1:41" x14ac:dyDescent="0.3">
      <c r="A26" s="103" t="str">
        <f>_lists!$B$21</f>
        <v>VA</v>
      </c>
      <c r="B26" s="104">
        <f t="shared" si="0"/>
        <v>52800</v>
      </c>
      <c r="C26" s="105">
        <f t="shared" si="1"/>
        <v>0.92</v>
      </c>
      <c r="D26" s="106">
        <f t="shared" si="2"/>
        <v>0.91</v>
      </c>
      <c r="E26" s="106">
        <f t="shared" si="3"/>
        <v>0.92500000000000004</v>
      </c>
      <c r="F26" s="107" t="str">
        <f t="shared" si="4"/>
        <v/>
      </c>
      <c r="G26" s="108" t="str">
        <f t="shared" si="5"/>
        <v/>
      </c>
      <c r="H26" s="109" t="str">
        <f t="shared" si="6"/>
        <v/>
      </c>
      <c r="I26" s="110" t="str">
        <f t="shared" si="7"/>
        <v/>
      </c>
      <c r="J26" s="108" t="str">
        <f t="shared" si="8"/>
        <v/>
      </c>
      <c r="K26" s="109" t="str">
        <f t="shared" si="9"/>
        <v/>
      </c>
      <c r="L26" s="110" t="str">
        <f t="shared" si="10"/>
        <v/>
      </c>
      <c r="M26" s="108" t="str">
        <f t="shared" si="11"/>
        <v/>
      </c>
      <c r="N26" s="109" t="str">
        <f t="shared" si="12"/>
        <v/>
      </c>
      <c r="O26" s="110" t="str">
        <f t="shared" si="13"/>
        <v/>
      </c>
      <c r="P26" s="108" t="str">
        <f t="shared" si="14"/>
        <v/>
      </c>
      <c r="Q26" s="109" t="str">
        <f t="shared" si="15"/>
        <v/>
      </c>
      <c r="R26" s="111">
        <f t="shared" si="16"/>
        <v>3</v>
      </c>
      <c r="S26" s="111">
        <f t="shared" si="17"/>
        <v>0</v>
      </c>
      <c r="T26" s="112">
        <f t="shared" si="18"/>
        <v>1.042878787878788</v>
      </c>
      <c r="U26" s="113">
        <f t="shared" si="19"/>
        <v>1.042878787878788</v>
      </c>
      <c r="V26" s="106">
        <f t="shared" si="20"/>
        <v>0.91598878555798668</v>
      </c>
      <c r="W26" s="114">
        <f t="shared" si="21"/>
        <v>0.58115151515151509</v>
      </c>
      <c r="X26" s="113">
        <f t="shared" si="22"/>
        <v>1</v>
      </c>
      <c r="Y26" s="113">
        <f t="shared" si="23"/>
        <v>1.0043791086804299</v>
      </c>
      <c r="Z26" s="113">
        <f t="shared" si="24"/>
        <v>1</v>
      </c>
      <c r="AA26" s="115">
        <f t="shared" si="25"/>
        <v>0.58369644079616001</v>
      </c>
      <c r="AB26" s="116">
        <f t="shared" si="26"/>
        <v>-1.1102230246251565E-14</v>
      </c>
      <c r="AC26" s="117">
        <f t="shared" si="27"/>
        <v>0</v>
      </c>
      <c r="AD26" s="113">
        <f t="shared" si="28"/>
        <v>1</v>
      </c>
      <c r="AE26" s="113">
        <f t="shared" si="29"/>
        <v>0.9951429070169957</v>
      </c>
      <c r="AF26" s="115">
        <f t="shared" si="30"/>
        <v>0.57832880820521038</v>
      </c>
      <c r="AG26" s="117" t="str">
        <f t="shared" si="31"/>
        <v>—</v>
      </c>
      <c r="AH26" s="118" t="str">
        <f t="shared" si="32"/>
        <v>—</v>
      </c>
      <c r="AI26" s="119" t="str">
        <f t="shared" si="33"/>
        <v>—</v>
      </c>
      <c r="AJ26" s="23"/>
      <c r="AK26" s="23"/>
      <c r="AL26" s="43">
        <f t="shared" si="34"/>
        <v>3</v>
      </c>
      <c r="AM26" s="23" t="str">
        <f t="shared" si="35"/>
        <v/>
      </c>
      <c r="AN26" s="120">
        <f t="shared" si="36"/>
        <v>0</v>
      </c>
      <c r="AO26" s="121">
        <f t="shared" si="37"/>
        <v>0</v>
      </c>
    </row>
    <row r="27" spans="1:41" x14ac:dyDescent="0.3">
      <c r="A27" s="122" t="str">
        <f>_lists!$B$22</f>
        <v>WV</v>
      </c>
      <c r="B27" s="123">
        <f t="shared" si="0"/>
        <v>43200</v>
      </c>
      <c r="C27" s="124">
        <f t="shared" si="1"/>
        <v>0.92</v>
      </c>
      <c r="D27" s="125">
        <f t="shared" si="2"/>
        <v>0.91</v>
      </c>
      <c r="E27" s="125">
        <f t="shared" si="3"/>
        <v>0.90500000000000003</v>
      </c>
      <c r="F27" s="126" t="str">
        <f t="shared" si="4"/>
        <v/>
      </c>
      <c r="G27" s="127" t="str">
        <f t="shared" si="5"/>
        <v/>
      </c>
      <c r="H27" s="128" t="str">
        <f t="shared" si="6"/>
        <v/>
      </c>
      <c r="I27" s="129" t="str">
        <f t="shared" si="7"/>
        <v/>
      </c>
      <c r="J27" s="127" t="str">
        <f t="shared" si="8"/>
        <v/>
      </c>
      <c r="K27" s="128" t="str">
        <f t="shared" si="9"/>
        <v/>
      </c>
      <c r="L27" s="129" t="str">
        <f t="shared" si="10"/>
        <v/>
      </c>
      <c r="M27" s="127" t="str">
        <f t="shared" si="11"/>
        <v/>
      </c>
      <c r="N27" s="128" t="str">
        <f t="shared" si="12"/>
        <v/>
      </c>
      <c r="O27" s="129" t="str">
        <f t="shared" si="13"/>
        <v/>
      </c>
      <c r="P27" s="127" t="str">
        <f t="shared" si="14"/>
        <v/>
      </c>
      <c r="Q27" s="128" t="str">
        <f t="shared" si="15"/>
        <v/>
      </c>
      <c r="R27" s="130">
        <f t="shared" si="16"/>
        <v>3</v>
      </c>
      <c r="S27" s="130">
        <f t="shared" si="17"/>
        <v>1</v>
      </c>
      <c r="T27" s="131">
        <f t="shared" si="18"/>
        <v>1.0361111111111112</v>
      </c>
      <c r="U27" s="132">
        <f t="shared" si="19"/>
        <v>1.0456441358024693</v>
      </c>
      <c r="V27" s="125">
        <f t="shared" si="20"/>
        <v>0.90800373814733781</v>
      </c>
      <c r="W27" s="133">
        <f t="shared" si="21"/>
        <v>0.58059259259259255</v>
      </c>
      <c r="X27" s="132">
        <f t="shared" si="22"/>
        <v>0.99098478748498398</v>
      </c>
      <c r="Y27" s="132">
        <f t="shared" si="23"/>
        <v>1.0132116877372543</v>
      </c>
      <c r="Z27" s="132">
        <f t="shared" si="24"/>
        <v>1</v>
      </c>
      <c r="AA27" s="134">
        <f t="shared" si="25"/>
        <v>0.58281513286068709</v>
      </c>
      <c r="AB27" s="135">
        <f t="shared" si="26"/>
        <v>-1.4474999937241773E-2</v>
      </c>
      <c r="AC27" s="136">
        <f t="shared" si="27"/>
        <v>0</v>
      </c>
      <c r="AD27" s="132">
        <f t="shared" si="28"/>
        <v>0.98646723646723622</v>
      </c>
      <c r="AE27" s="132">
        <f t="shared" si="29"/>
        <v>1.0163837883191853</v>
      </c>
      <c r="AF27" s="134">
        <f t="shared" si="30"/>
        <v>0.58190722777566506</v>
      </c>
      <c r="AG27" s="136" t="str">
        <f t="shared" si="31"/>
        <v>—</v>
      </c>
      <c r="AH27" s="137" t="str">
        <f t="shared" si="32"/>
        <v>—</v>
      </c>
      <c r="AI27" s="138" t="str">
        <f t="shared" si="33"/>
        <v>—</v>
      </c>
      <c r="AJ27" s="23"/>
      <c r="AK27" s="23"/>
      <c r="AL27" s="43">
        <f t="shared" si="34"/>
        <v>3</v>
      </c>
      <c r="AM27" s="23" t="str">
        <f t="shared" si="35"/>
        <v/>
      </c>
      <c r="AN27" s="120">
        <f t="shared" si="36"/>
        <v>0</v>
      </c>
      <c r="AO27" s="121">
        <f t="shared" si="37"/>
        <v>0</v>
      </c>
    </row>
    <row r="28" spans="1:41" x14ac:dyDescent="0.3">
      <c r="A28" s="103" t="str">
        <f>_lists!$B$23</f>
        <v>WI</v>
      </c>
      <c r="B28" s="104">
        <f t="shared" si="0"/>
        <v>33600</v>
      </c>
      <c r="C28" s="105">
        <f t="shared" si="1"/>
        <v>0.92</v>
      </c>
      <c r="D28" s="106">
        <f t="shared" si="2"/>
        <v>0.91</v>
      </c>
      <c r="E28" s="106">
        <f t="shared" si="3"/>
        <v>0.92</v>
      </c>
      <c r="F28" s="107" t="str">
        <f t="shared" si="4"/>
        <v/>
      </c>
      <c r="G28" s="108" t="str">
        <f t="shared" si="5"/>
        <v/>
      </c>
      <c r="H28" s="109" t="str">
        <f t="shared" si="6"/>
        <v/>
      </c>
      <c r="I28" s="110" t="str">
        <f t="shared" si="7"/>
        <v/>
      </c>
      <c r="J28" s="108" t="str">
        <f t="shared" si="8"/>
        <v/>
      </c>
      <c r="K28" s="109" t="str">
        <f t="shared" si="9"/>
        <v/>
      </c>
      <c r="L28" s="110" t="str">
        <f t="shared" si="10"/>
        <v/>
      </c>
      <c r="M28" s="108" t="str">
        <f t="shared" si="11"/>
        <v/>
      </c>
      <c r="N28" s="109" t="str">
        <f t="shared" si="12"/>
        <v/>
      </c>
      <c r="O28" s="110" t="str">
        <f t="shared" si="13"/>
        <v/>
      </c>
      <c r="P28" s="108" t="str">
        <f t="shared" si="14"/>
        <v/>
      </c>
      <c r="Q28" s="109" t="str">
        <f t="shared" si="15"/>
        <v/>
      </c>
      <c r="R28" s="111">
        <f t="shared" si="16"/>
        <v>0</v>
      </c>
      <c r="S28" s="111">
        <f t="shared" si="17"/>
        <v>1</v>
      </c>
      <c r="T28" s="112">
        <f t="shared" si="18"/>
        <v>1</v>
      </c>
      <c r="U28" s="113">
        <f t="shared" si="19"/>
        <v>1.0088888888888887</v>
      </c>
      <c r="V28" s="106">
        <f t="shared" si="20"/>
        <v>0.91399252370532436</v>
      </c>
      <c r="W28" s="114">
        <f t="shared" si="21"/>
        <v>0.57838095238095233</v>
      </c>
      <c r="X28" s="113">
        <f t="shared" si="22"/>
        <v>0.99134199134199141</v>
      </c>
      <c r="Y28" s="113">
        <f t="shared" si="23"/>
        <v>1.0065727849395543</v>
      </c>
      <c r="Z28" s="113">
        <f t="shared" si="24"/>
        <v>1</v>
      </c>
      <c r="AA28" s="115">
        <f t="shared" si="25"/>
        <v>0.57726731343386273</v>
      </c>
      <c r="AB28" s="116">
        <f t="shared" si="26"/>
        <v>1.253287903739686E-2</v>
      </c>
      <c r="AC28" s="117">
        <f t="shared" si="27"/>
        <v>0</v>
      </c>
      <c r="AD28" s="113">
        <f t="shared" si="28"/>
        <v>0.98717948717948734</v>
      </c>
      <c r="AE28" s="113">
        <f t="shared" si="29"/>
        <v>1.000369458535054</v>
      </c>
      <c r="AF28" s="115">
        <f t="shared" si="30"/>
        <v>0.57136119946014574</v>
      </c>
      <c r="AG28" s="117" t="str">
        <f t="shared" si="31"/>
        <v>—</v>
      </c>
      <c r="AH28" s="118" t="str">
        <f t="shared" si="32"/>
        <v>—</v>
      </c>
      <c r="AI28" s="119" t="str">
        <f t="shared" si="33"/>
        <v>—</v>
      </c>
      <c r="AJ28" s="23"/>
      <c r="AK28" s="23"/>
      <c r="AL28" s="43">
        <f t="shared" si="34"/>
        <v>3</v>
      </c>
      <c r="AM28" s="23" t="str">
        <f t="shared" si="35"/>
        <v/>
      </c>
      <c r="AN28" s="120">
        <f t="shared" si="36"/>
        <v>0</v>
      </c>
      <c r="AO28" s="121">
        <f t="shared" si="37"/>
        <v>0</v>
      </c>
    </row>
    <row r="29" spans="1:41" x14ac:dyDescent="0.3">
      <c r="A29" s="122" t="str">
        <f>_lists!$B$24</f>
        <v/>
      </c>
      <c r="B29" s="123" t="str">
        <f t="shared" si="0"/>
        <v/>
      </c>
      <c r="C29" s="124" t="str">
        <f t="shared" si="1"/>
        <v/>
      </c>
      <c r="D29" s="125" t="str">
        <f t="shared" si="2"/>
        <v/>
      </c>
      <c r="E29" s="125" t="str">
        <f t="shared" si="3"/>
        <v/>
      </c>
      <c r="F29" s="126" t="str">
        <f t="shared" si="4"/>
        <v/>
      </c>
      <c r="G29" s="127" t="str">
        <f t="shared" si="5"/>
        <v/>
      </c>
      <c r="H29" s="128" t="str">
        <f t="shared" si="6"/>
        <v/>
      </c>
      <c r="I29" s="129" t="str">
        <f t="shared" si="7"/>
        <v/>
      </c>
      <c r="J29" s="127" t="str">
        <f t="shared" si="8"/>
        <v/>
      </c>
      <c r="K29" s="128" t="str">
        <f t="shared" si="9"/>
        <v/>
      </c>
      <c r="L29" s="129" t="str">
        <f t="shared" si="10"/>
        <v/>
      </c>
      <c r="M29" s="127" t="str">
        <f t="shared" si="11"/>
        <v/>
      </c>
      <c r="N29" s="128" t="str">
        <f t="shared" si="12"/>
        <v/>
      </c>
      <c r="O29" s="129" t="str">
        <f t="shared" si="13"/>
        <v/>
      </c>
      <c r="P29" s="127" t="str">
        <f t="shared" si="14"/>
        <v/>
      </c>
      <c r="Q29" s="128" t="str">
        <f t="shared" si="15"/>
        <v/>
      </c>
      <c r="R29" s="130" t="str">
        <f t="shared" si="16"/>
        <v/>
      </c>
      <c r="S29" s="130" t="str">
        <f t="shared" si="17"/>
        <v/>
      </c>
      <c r="T29" s="131" t="str">
        <f t="shared" si="18"/>
        <v/>
      </c>
      <c r="U29" s="132" t="str">
        <f t="shared" si="19"/>
        <v/>
      </c>
      <c r="V29" s="125" t="str">
        <f t="shared" si="20"/>
        <v/>
      </c>
      <c r="W29" s="133" t="str">
        <f t="shared" si="21"/>
        <v/>
      </c>
      <c r="X29" s="132" t="str">
        <f t="shared" si="22"/>
        <v/>
      </c>
      <c r="Y29" s="132" t="str">
        <f t="shared" si="23"/>
        <v/>
      </c>
      <c r="Z29" s="132" t="str">
        <f t="shared" si="24"/>
        <v/>
      </c>
      <c r="AA29" s="134" t="str">
        <f t="shared" si="25"/>
        <v/>
      </c>
      <c r="AB29" s="135" t="str">
        <f t="shared" si="26"/>
        <v/>
      </c>
      <c r="AC29" s="136" t="str">
        <f t="shared" si="27"/>
        <v/>
      </c>
      <c r="AD29" s="132" t="str">
        <f t="shared" si="28"/>
        <v/>
      </c>
      <c r="AE29" s="132" t="str">
        <f t="shared" si="29"/>
        <v/>
      </c>
      <c r="AF29" s="134" t="str">
        <f t="shared" si="30"/>
        <v/>
      </c>
      <c r="AG29" s="136" t="str">
        <f t="shared" si="31"/>
        <v/>
      </c>
      <c r="AH29" s="137" t="str">
        <f t="shared" si="32"/>
        <v/>
      </c>
      <c r="AI29" s="138" t="str">
        <f t="shared" si="33"/>
        <v/>
      </c>
      <c r="AJ29" s="23"/>
      <c r="AK29" s="23"/>
      <c r="AL29" s="43">
        <f t="shared" si="34"/>
        <v>0</v>
      </c>
      <c r="AM29" s="23" t="str">
        <f t="shared" si="35"/>
        <v/>
      </c>
      <c r="AN29" s="120">
        <f t="shared" si="36"/>
        <v>0</v>
      </c>
      <c r="AO29" s="121">
        <f t="shared" si="37"/>
        <v>0</v>
      </c>
    </row>
    <row r="30" spans="1:41" x14ac:dyDescent="0.3">
      <c r="A30" s="103" t="str">
        <f>_lists!$B$25</f>
        <v/>
      </c>
      <c r="B30" s="104" t="str">
        <f t="shared" si="0"/>
        <v/>
      </c>
      <c r="C30" s="105" t="str">
        <f t="shared" si="1"/>
        <v/>
      </c>
      <c r="D30" s="106" t="str">
        <f t="shared" si="2"/>
        <v/>
      </c>
      <c r="E30" s="106" t="str">
        <f t="shared" si="3"/>
        <v/>
      </c>
      <c r="F30" s="107" t="str">
        <f t="shared" si="4"/>
        <v/>
      </c>
      <c r="G30" s="108" t="str">
        <f t="shared" si="5"/>
        <v/>
      </c>
      <c r="H30" s="109" t="str">
        <f t="shared" si="6"/>
        <v/>
      </c>
      <c r="I30" s="110" t="str">
        <f t="shared" si="7"/>
        <v/>
      </c>
      <c r="J30" s="108" t="str">
        <f t="shared" si="8"/>
        <v/>
      </c>
      <c r="K30" s="109" t="str">
        <f t="shared" si="9"/>
        <v/>
      </c>
      <c r="L30" s="110" t="str">
        <f t="shared" si="10"/>
        <v/>
      </c>
      <c r="M30" s="108" t="str">
        <f t="shared" si="11"/>
        <v/>
      </c>
      <c r="N30" s="109" t="str">
        <f t="shared" si="12"/>
        <v/>
      </c>
      <c r="O30" s="110" t="str">
        <f t="shared" si="13"/>
        <v/>
      </c>
      <c r="P30" s="108" t="str">
        <f t="shared" si="14"/>
        <v/>
      </c>
      <c r="Q30" s="109" t="str">
        <f t="shared" si="15"/>
        <v/>
      </c>
      <c r="R30" s="111" t="str">
        <f t="shared" si="16"/>
        <v/>
      </c>
      <c r="S30" s="111" t="str">
        <f t="shared" si="17"/>
        <v/>
      </c>
      <c r="T30" s="112" t="str">
        <f t="shared" si="18"/>
        <v/>
      </c>
      <c r="U30" s="113" t="str">
        <f t="shared" si="19"/>
        <v/>
      </c>
      <c r="V30" s="106" t="str">
        <f t="shared" si="20"/>
        <v/>
      </c>
      <c r="W30" s="114" t="str">
        <f t="shared" si="21"/>
        <v/>
      </c>
      <c r="X30" s="113" t="str">
        <f t="shared" si="22"/>
        <v/>
      </c>
      <c r="Y30" s="113" t="str">
        <f t="shared" si="23"/>
        <v/>
      </c>
      <c r="Z30" s="113" t="str">
        <f t="shared" si="24"/>
        <v/>
      </c>
      <c r="AA30" s="115" t="str">
        <f t="shared" si="25"/>
        <v/>
      </c>
      <c r="AB30" s="116" t="str">
        <f t="shared" si="26"/>
        <v/>
      </c>
      <c r="AC30" s="117" t="str">
        <f t="shared" si="27"/>
        <v/>
      </c>
      <c r="AD30" s="113" t="str">
        <f t="shared" si="28"/>
        <v/>
      </c>
      <c r="AE30" s="113" t="str">
        <f t="shared" si="29"/>
        <v/>
      </c>
      <c r="AF30" s="115" t="str">
        <f t="shared" si="30"/>
        <v/>
      </c>
      <c r="AG30" s="117" t="str">
        <f t="shared" si="31"/>
        <v/>
      </c>
      <c r="AH30" s="118" t="str">
        <f t="shared" si="32"/>
        <v/>
      </c>
      <c r="AI30" s="119" t="str">
        <f t="shared" si="33"/>
        <v/>
      </c>
      <c r="AJ30" s="23"/>
      <c r="AK30" s="23"/>
      <c r="AL30" s="43">
        <f t="shared" si="34"/>
        <v>0</v>
      </c>
      <c r="AM30" s="23" t="str">
        <f t="shared" si="35"/>
        <v/>
      </c>
      <c r="AN30" s="120">
        <f t="shared" si="36"/>
        <v>0</v>
      </c>
      <c r="AO30" s="121">
        <f t="shared" si="37"/>
        <v>0</v>
      </c>
    </row>
    <row r="31" spans="1:41" x14ac:dyDescent="0.3">
      <c r="A31" s="122" t="str">
        <f>_lists!$B$26</f>
        <v/>
      </c>
      <c r="B31" s="123" t="str">
        <f t="shared" si="0"/>
        <v/>
      </c>
      <c r="C31" s="124" t="str">
        <f t="shared" si="1"/>
        <v/>
      </c>
      <c r="D31" s="125" t="str">
        <f t="shared" si="2"/>
        <v/>
      </c>
      <c r="E31" s="125" t="str">
        <f t="shared" si="3"/>
        <v/>
      </c>
      <c r="F31" s="126" t="str">
        <f t="shared" si="4"/>
        <v/>
      </c>
      <c r="G31" s="127" t="str">
        <f t="shared" si="5"/>
        <v/>
      </c>
      <c r="H31" s="128" t="str">
        <f t="shared" si="6"/>
        <v/>
      </c>
      <c r="I31" s="129" t="str">
        <f t="shared" si="7"/>
        <v/>
      </c>
      <c r="J31" s="127" t="str">
        <f t="shared" si="8"/>
        <v/>
      </c>
      <c r="K31" s="128" t="str">
        <f t="shared" si="9"/>
        <v/>
      </c>
      <c r="L31" s="129" t="str">
        <f t="shared" si="10"/>
        <v/>
      </c>
      <c r="M31" s="127" t="str">
        <f t="shared" si="11"/>
        <v/>
      </c>
      <c r="N31" s="128" t="str">
        <f t="shared" si="12"/>
        <v/>
      </c>
      <c r="O31" s="129" t="str">
        <f t="shared" si="13"/>
        <v/>
      </c>
      <c r="P31" s="127" t="str">
        <f t="shared" si="14"/>
        <v/>
      </c>
      <c r="Q31" s="128" t="str">
        <f t="shared" si="15"/>
        <v/>
      </c>
      <c r="R31" s="130" t="str">
        <f t="shared" si="16"/>
        <v/>
      </c>
      <c r="S31" s="130" t="str">
        <f t="shared" si="17"/>
        <v/>
      </c>
      <c r="T31" s="131" t="str">
        <f t="shared" si="18"/>
        <v/>
      </c>
      <c r="U31" s="132" t="str">
        <f t="shared" si="19"/>
        <v/>
      </c>
      <c r="V31" s="125" t="str">
        <f t="shared" si="20"/>
        <v/>
      </c>
      <c r="W31" s="133" t="str">
        <f t="shared" si="21"/>
        <v/>
      </c>
      <c r="X31" s="132" t="str">
        <f t="shared" si="22"/>
        <v/>
      </c>
      <c r="Y31" s="132" t="str">
        <f t="shared" si="23"/>
        <v/>
      </c>
      <c r="Z31" s="132" t="str">
        <f t="shared" si="24"/>
        <v/>
      </c>
      <c r="AA31" s="134" t="str">
        <f t="shared" si="25"/>
        <v/>
      </c>
      <c r="AB31" s="135" t="str">
        <f t="shared" si="26"/>
        <v/>
      </c>
      <c r="AC31" s="136" t="str">
        <f t="shared" si="27"/>
        <v/>
      </c>
      <c r="AD31" s="132" t="str">
        <f t="shared" si="28"/>
        <v/>
      </c>
      <c r="AE31" s="132" t="str">
        <f t="shared" si="29"/>
        <v/>
      </c>
      <c r="AF31" s="134" t="str">
        <f t="shared" si="30"/>
        <v/>
      </c>
      <c r="AG31" s="136" t="str">
        <f t="shared" si="31"/>
        <v/>
      </c>
      <c r="AH31" s="137" t="str">
        <f t="shared" si="32"/>
        <v/>
      </c>
      <c r="AI31" s="138" t="str">
        <f t="shared" si="33"/>
        <v/>
      </c>
      <c r="AJ31" s="23"/>
      <c r="AK31" s="23"/>
      <c r="AL31" s="43">
        <f t="shared" si="34"/>
        <v>0</v>
      </c>
      <c r="AM31" s="23" t="str">
        <f t="shared" si="35"/>
        <v/>
      </c>
      <c r="AN31" s="120">
        <f t="shared" si="36"/>
        <v>0</v>
      </c>
      <c r="AO31" s="121">
        <f t="shared" si="37"/>
        <v>0</v>
      </c>
    </row>
    <row r="32" spans="1:41" x14ac:dyDescent="0.3">
      <c r="C32" s="139"/>
      <c r="F32" s="139"/>
      <c r="T32" s="139"/>
      <c r="W32" s="139"/>
      <c r="AC32" s="139"/>
      <c r="AG32" s="139"/>
    </row>
    <row r="33" spans="1:35" x14ac:dyDescent="0.3">
      <c r="A33" s="140" t="s">
        <v>310</v>
      </c>
      <c r="B33" s="141">
        <f>SUMIFS(calc_ep,calc_bu,$AK$4)</f>
        <v>804000</v>
      </c>
      <c r="C33" s="142">
        <f>IF($B$33=0,"n/a",SUMIFS(calc_w_mind,calc_bu,$AK$4)/$B$33)</f>
        <v>0.9194427860696518</v>
      </c>
      <c r="D33" s="143">
        <f>IF($B$33=0,"n/a",SUMIFS(calc_w_m0,calc_bu,$AK$4)/$B$33)</f>
        <v>0.90973134328358207</v>
      </c>
      <c r="E33" s="143">
        <f>IF($B$33=0,"n/a",SUMIFS(calc_w_m1,calc_bu,$AK$4)/$B$33)</f>
        <v>0.91514925373134326</v>
      </c>
      <c r="F33" s="144"/>
      <c r="G33" s="145"/>
      <c r="H33" s="145"/>
      <c r="I33" s="145"/>
      <c r="J33" s="145"/>
      <c r="K33" s="145"/>
      <c r="L33" s="145"/>
      <c r="M33" s="145"/>
      <c r="N33" s="145"/>
      <c r="O33" s="145"/>
      <c r="P33" s="145"/>
      <c r="Q33" s="145"/>
      <c r="R33" s="146">
        <f>IF($B$4="All",COUNTIFS(rl_status,"taken",rl_eff,"&lt;&gt;"),COUNTIFS(rl_bu,$B$4,rl_status,"taken",rl_eff,"&lt;&gt;"))</f>
        <v>44</v>
      </c>
      <c r="S33" s="146">
        <f>IF($B$4="All",COUNTIFS(rl_status,"planned",rl_eff,"&lt;&gt;"),COUNTIFS(rl_bu,$B$4,rl_status,"planned",rl_eff,"&lt;&gt;"))</f>
        <v>21</v>
      </c>
      <c r="T33" s="147">
        <f>IF($B$33=0,"n/a",SUMIFS(calc_w_crl,calc_bu,$AK$4)/$B$33)</f>
        <v>1.0277902487562189</v>
      </c>
      <c r="U33" s="148">
        <f>IF($B$33=0,"n/a",SUMIFS(calc_w_ecy,calc_bu,$AK$4)/$B$33)</f>
        <v>1.0342684455000466</v>
      </c>
      <c r="V33" s="143">
        <f>IF($B$33=0,"n/a",SUMIFS(calc_w_mbar,calc_bu,$AK$4)/$B$33)</f>
        <v>0.91189277838573091</v>
      </c>
      <c r="W33" s="149">
        <f>IF($B$33=0,"n/a",SUMIFS(calc_w_lrcur,calc_bu,$AK$4)/$B$33)</f>
        <v>0.58183243781094529</v>
      </c>
      <c r="X33" s="148">
        <f>IF($B$33=0,"n/a",SUMIFS(calc_w_arate,calc_bu,$AK$4)/$B$33)</f>
        <v>0.99391591955064729</v>
      </c>
      <c r="Y33" s="148">
        <f>IF($B$33=0,"n/a",SUMIFS(calc_w_amod,calc_bu,$AK$4)/$B$33)</f>
        <v>1.0081828602544951</v>
      </c>
      <c r="Z33" s="148">
        <f>IF($B$33=0,"n/a",SUMIFS(calc_w_aother,calc_bu,$AK$4)/$B$33)</f>
        <v>1.0003582089552239</v>
      </c>
      <c r="AA33" s="150">
        <f>IF($B$33=0,"n/a",SUMIFS(calc_w_cylr,calc_bu,$AK$4)/$B$33)</f>
        <v>0.58320500261511987</v>
      </c>
      <c r="AB33" s="151">
        <f>IF($B$33=0,"",($AA33-$W33*$X33*$Y33*$Z33)*100)</f>
        <v>-2.8451369763371481E-3</v>
      </c>
      <c r="AC33" s="152">
        <f>IF($B$33=0,"n/a",SUMIFS(calc_w_trend,calc_bu,$AK$4)/$B$33)</f>
        <v>2.1890547263681592E-4</v>
      </c>
      <c r="AD33" s="148">
        <f>IF($B$33=0,"n/a",SUMIFS(calc_w_arate1,calc_bu,$AK$4)/$B$33)</f>
        <v>0.9857692118920145</v>
      </c>
      <c r="AE33" s="148">
        <f>IF($B$33=0,"n/a",SUMIFS(calc_w_amod1,calc_bu,$AK$4)/$B$33)</f>
        <v>1.0048896478445146</v>
      </c>
      <c r="AF33" s="150">
        <f>IF($B$33=0,"n/a",SUMIFS(calc_w_cylr1,calc_bu,$AK$4)/$B$33)</f>
        <v>0.57665620075801161</v>
      </c>
      <c r="AG33" s="152">
        <f>IF(SUMIFS(calc_netmode,calc_bu,$AK$4)=0,"—",SUMIFS(calc_netx,calc_bu,$AK$4)/SUMIFS(calc_netmode,calc_bu,$AK$4))</f>
        <v>0.1</v>
      </c>
      <c r="AH33" s="153">
        <f>IF($B$33=0,"n/a",SUMIFS(calc_w_cylr_prog,calc_bu,$AK$4)/$B$33)</f>
        <v>0.58309512684599663</v>
      </c>
      <c r="AI33" s="154">
        <f>IF($B$33=0,"",($AH33-$AA33)*100)</f>
        <v>-1.0987576912324659E-2</v>
      </c>
    </row>
    <row r="35" spans="1:35" x14ac:dyDescent="0.3">
      <c r="A35" s="51" t="s">
        <v>311</v>
      </c>
    </row>
    <row r="36" spans="1:35" x14ac:dyDescent="0.3">
      <c r="A36" s="51" t="s">
        <v>312</v>
      </c>
    </row>
    <row r="37" spans="1:35" x14ac:dyDescent="0.3">
      <c r="A37" s="51" t="s">
        <v>313</v>
      </c>
    </row>
    <row r="38" spans="1:35" x14ac:dyDescent="0.3">
      <c r="A38" s="51" t="s">
        <v>314</v>
      </c>
    </row>
    <row r="39" spans="1:35" x14ac:dyDescent="0.3">
      <c r="A39" s="51" t="s">
        <v>315</v>
      </c>
    </row>
    <row r="42" spans="1:35" ht="15.6" x14ac:dyDescent="0.3">
      <c r="A42" s="3" t="s">
        <v>316</v>
      </c>
    </row>
    <row r="43" spans="1:35" x14ac:dyDescent="0.3">
      <c r="A43" s="12" t="s">
        <v>317</v>
      </c>
    </row>
    <row r="45" spans="1:35" x14ac:dyDescent="0.3">
      <c r="A45" s="8" t="s">
        <v>318</v>
      </c>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row>
    <row r="47" spans="1:35" x14ac:dyDescent="0.3">
      <c r="A47" s="155" t="str">
        <f>HYPERLINK("#'Walkthrough'!A1","Worked example — every calculation for the selected combo, start to finish &gt;")</f>
        <v>Worked example — every calculation for the selected combo, start to finish &gt;</v>
      </c>
    </row>
    <row r="48" spans="1:35" x14ac:dyDescent="0.3">
      <c r="A48" s="155" t="str">
        <f>HYPERLINK("#'Read Me'!A1","Column definitions and the full glossary: Read Me &gt;")</f>
        <v>Column definitions and the full glossary: Read Me &gt;</v>
      </c>
    </row>
    <row r="49" spans="1:1" x14ac:dyDescent="0.3">
      <c r="A49" s="155" t="str">
        <f>HYPERLINK("#'Net Delivery'!A1","Net-target combos: how the target is delivered month by month — Net Delivery &gt;")</f>
        <v>Net-target combos: how the target is delivered month by month — Net Delivery &gt;</v>
      </c>
    </row>
  </sheetData>
  <conditionalFormatting sqref="B8:B31">
    <cfRule type="dataBar" priority="3">
      <dataBar>
        <cfvo type="num" val="0"/>
        <cfvo type="max"/>
        <color rgb="FF8497B0"/>
      </dataBar>
    </cfRule>
  </conditionalFormatting>
  <conditionalFormatting sqref="H8:H31">
    <cfRule type="expression" dxfId="18" priority="4">
      <formula>LEFT($H8,1)="P"</formula>
    </cfRule>
  </conditionalFormatting>
  <conditionalFormatting sqref="K8:K31">
    <cfRule type="expression" dxfId="17" priority="5">
      <formula>LEFT($K8,1)="P"</formula>
    </cfRule>
  </conditionalFormatting>
  <conditionalFormatting sqref="N8:N31">
    <cfRule type="expression" dxfId="16" priority="6">
      <formula>LEFT($N8,1)="P"</formula>
    </cfRule>
  </conditionalFormatting>
  <conditionalFormatting sqref="Q8:Q31">
    <cfRule type="expression" dxfId="15" priority="7">
      <formula>LEFT($Q8,1)="P"</formula>
    </cfRule>
  </conditionalFormatting>
  <conditionalFormatting sqref="AA8:AA31">
    <cfRule type="colorScale" priority="1">
      <colorScale>
        <cfvo type="min"/>
        <cfvo type="percentile" val="50"/>
        <cfvo type="max"/>
        <color rgb="FFD6E8D5"/>
        <color rgb="FFFFF2CC"/>
        <color rgb="FFF4B8B8"/>
      </colorScale>
    </cfRule>
  </conditionalFormatting>
  <conditionalFormatting sqref="AF8:AF31">
    <cfRule type="colorScale" priority="2">
      <colorScale>
        <cfvo type="min"/>
        <cfvo type="percentile" val="50"/>
        <cfvo type="max"/>
        <color rgb="FFD6E8D5"/>
        <color rgb="FFFFF2CC"/>
        <color rgb="FFF4B8B8"/>
      </colorScale>
    </cfRule>
  </conditionalFormatting>
  <dataValidations count="1">
    <dataValidation type="list" showErrorMessage="1" sqref="B4" xr:uid="{00000000-0002-0000-0500-000000000000}">
      <formula1>lst_bu_all</formula1>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Q130"/>
  <sheetViews>
    <sheetView showGridLines="0" workbookViewId="0">
      <pane xSplit="1" ySplit="8" topLeftCell="B9" activePane="bottomRight" state="frozen"/>
      <selection pane="topRight"/>
      <selection pane="bottomLeft"/>
      <selection pane="bottomRight"/>
    </sheetView>
  </sheetViews>
  <sheetFormatPr defaultRowHeight="14.4" x14ac:dyDescent="0.3"/>
  <cols>
    <col min="1" max="1" width="10" customWidth="1"/>
    <col min="2" max="2" width="12" customWidth="1"/>
    <col min="3" max="3" width="10" customWidth="1"/>
    <col min="4" max="5" width="12" customWidth="1"/>
    <col min="6" max="6" width="13" customWidth="1"/>
    <col min="7" max="7" width="12" customWidth="1"/>
    <col min="8" max="13" width="10" customWidth="1"/>
    <col min="14" max="14" width="2" customWidth="1"/>
    <col min="15" max="15" width="14" customWidth="1"/>
    <col min="16" max="16" width="7" customWidth="1"/>
    <col min="17" max="17" width="8" customWidth="1"/>
  </cols>
  <sheetData>
    <row r="1" spans="1:17" ht="21" x14ac:dyDescent="0.3">
      <c r="A1" s="1" t="s">
        <v>319</v>
      </c>
    </row>
    <row r="2" spans="1:17" x14ac:dyDescent="0.3">
      <c r="A2" s="2" t="s">
        <v>320</v>
      </c>
    </row>
    <row r="3" spans="1:17" x14ac:dyDescent="0.3">
      <c r="A3" s="6" t="s">
        <v>154</v>
      </c>
      <c r="C3" s="19" t="str">
        <f>HYPERLINK("#Control!A1","Control")</f>
        <v>Control</v>
      </c>
      <c r="E3" s="19" t="str">
        <f>HYPERLINK("#'State Summary'!A1","State Summary")</f>
        <v>State Summary</v>
      </c>
      <c r="G3" s="19" t="str">
        <f>HYPERLINK("#'Net Delivery'!A1","Net Delivery")</f>
        <v>Net Delivery</v>
      </c>
      <c r="I3" s="19" t="str">
        <f>HYPERLINK("#'Flow Dashboard'!A1","Flow Dashboard")</f>
        <v>Flow Dashboard</v>
      </c>
      <c r="K3" s="19" t="str">
        <f>HYPERLINK("#'Rate Log'!A1","Rate Log")</f>
        <v>Rate Log</v>
      </c>
      <c r="M3" s="19" t="str">
        <f>HYPERLINK("#Checks!A1","Checks")</f>
        <v>Checks</v>
      </c>
    </row>
    <row r="5" spans="1:17" x14ac:dyDescent="0.3">
      <c r="A5" s="18" t="s">
        <v>321</v>
      </c>
      <c r="B5" s="156" t="s">
        <v>102</v>
      </c>
    </row>
    <row r="6" spans="1:17" x14ac:dyDescent="0.3">
      <c r="A6" s="78" t="str">
        <f>IF(pf_BU="All","BOOK VIEW: EP-weighted across BUs (D60). Legs are weighted means — rate x mod need not multiply to delivered exactly under mix; delivered is the exact statistic. The delta column is per-BU: pick one BU for targeting.",IF(nr_ModAdjMaster="OFF","NOTE: master mod toggle is OFF — mod legs show a dash and delivered = the rate leg alone.",IF(SUMPRODUCT(calc_netmode*(calc_bu=pf_BU))&gt;0,"Net-target combo(s) in view: these grids show the program AS LOGGED — the gap vs the asserted net is the point. See Net Delivery for the prescriptive view.","")))</f>
        <v/>
      </c>
    </row>
    <row r="8" spans="1:17" ht="42" customHeight="1" x14ac:dyDescent="0.3">
      <c r="A8" s="56" t="s">
        <v>104</v>
      </c>
      <c r="B8" s="56" t="s">
        <v>172</v>
      </c>
      <c r="C8" s="56" t="s">
        <v>322</v>
      </c>
      <c r="D8" s="56" t="s">
        <v>323</v>
      </c>
      <c r="E8" s="56" t="s">
        <v>324</v>
      </c>
      <c r="F8" s="56" t="s">
        <v>325</v>
      </c>
      <c r="G8" s="56" t="s">
        <v>326</v>
      </c>
      <c r="H8" s="56" t="s">
        <v>327</v>
      </c>
      <c r="O8" s="157" t="s">
        <v>328</v>
      </c>
      <c r="P8" s="157" t="s">
        <v>329</v>
      </c>
      <c r="Q8" s="157" t="s">
        <v>330</v>
      </c>
    </row>
    <row r="9" spans="1:17" x14ac:dyDescent="0.3">
      <c r="A9" s="103" t="str">
        <f>_lists!$B$3</f>
        <v>AZ</v>
      </c>
      <c r="B9" s="158">
        <f t="shared" ref="B9:B32" si="0">IF($A9="","",IF(pf_BU="All",SUMIFS(calc_ep,calc_state,$A9),SUMIFS(calc_ep,calc_state,$A9,calc_bu,pf_BU)))</f>
        <v>6400</v>
      </c>
      <c r="C9" s="108" t="str">
        <f>IF($A9="","",IF(pf_BU="All",IF(SUMIFS(calc_netmode,calc_state,$A9)=0,"—",SUMIFS(calc_netx,calc_state,$A9)/SUMIFS(calc_netmode,calc_state,$A9)),IF($P9=0,"—",IF(INDEX(_calc!$L:$L,$P9),INDEX(_calc!$M:$M,$P9),"—"))))</f>
        <v>—</v>
      </c>
      <c r="D9" s="108">
        <f>IF($A9="","",IF(pf_BU="All",IF(SUMIFS(calc_ep,calc_state,$A9)=0,"—",SUMPRODUCT((calc_state=$A9)*calc_ep*_calc!$CJ$4:$CJ$72)/SUMIFS(calc_ep,calc_state,$A9)-1),IF($P9=0,"—",INDEX(_calc!$H:$H,$P9+51)-1)))</f>
        <v>6.8250000000000144E-2</v>
      </c>
      <c r="E9" s="108">
        <f>IF($A9="","",IF(pf_BU="All",IF(SUMPRODUCT((calc_state=$A9)*calc_ep*_calc!$CI$4:$CI$72)=0,"—",SUMPRODUCT((calc_state=$A9)*calc_ep*_calc!$CI$4:$CI$72*_calc!$CK$4:$CK$72)/SUMPRODUCT((calc_state=$A9)*calc_ep*_calc!$CI$4:$CI$72)-1),IF($P9=0,"—",IF(INDEX(_calc!$O:$O,$P9)=0,"—",INDEX(_calc!$I:$I,$P9+51)-1))))</f>
        <v>2.805852202800474E-2</v>
      </c>
      <c r="F9" s="159">
        <f>IF($A9="","",IF(pf_BU="All",IF(SUMIFS(calc_ep,calc_state,$A9)=0,"—",SUMPRODUCT((calc_state=$A9)*calc_ep*_calc!$CL$4:$CL$72)/SUMIFS(calc_ep,calc_state,$A9)-1),IF($P9=0,"—",INDEX(_calc!$J:$J,$P9+51)-1)))</f>
        <v>9.8225804678618411E-2</v>
      </c>
      <c r="G9" s="108" t="str">
        <f>IF($A9="","",IF(pf_BU="All","—",IF($P9=0,"—",IF(INDEX(_calc!$L:$L,$P9),INDEX(_calc!$J:$J,$P9+51)-1-INDEX(_calc!$M:$M,$P9),"—"))))</f>
        <v>—</v>
      </c>
      <c r="H9" s="116" t="str">
        <f t="shared" ref="H9:H32" si="1">IF($A9="","",IF(pf_BU="All",IF(SUMIFS(calc_netmode,calc_state,$A9)=0,"—",SUMPRODUCT((calc_state=$A9)*calc_netmode*calc_proggap)/SUMIFS(calc_netmode,calc_state,$A9)),IF($P9=0,"—",IF(INDEX(calc_netmode,MATCH($O9,calc_key,0))=0,"—",INDEX(calc_proggap,MATCH($O9,calc_key,0))))))</f>
        <v>—</v>
      </c>
      <c r="O9" s="23" t="str">
        <f t="shared" ref="O9:O32" si="2">IF(OR($A9="",pf_BU="All"),"",pf_BU&amp;"|"&amp;$A9)</f>
        <v>ABD|AZ</v>
      </c>
      <c r="P9" s="43">
        <f t="shared" ref="P9:P32" si="3">IF($O9="",0,IF(COUNTIF(calc_key,$O9)=0,0,76+(MATCH($O9,calc_key,0)-1)*54))</f>
        <v>76</v>
      </c>
      <c r="Q9" s="160">
        <f>IF($P9=0,0,IF(INDEX(_calc!$L:$L,$P9),ABS(INDEX(_calc!$J:$J,$P9+51)-1-INDEX(_calc!$M:$M,$P9)),0))</f>
        <v>0</v>
      </c>
    </row>
    <row r="10" spans="1:17" x14ac:dyDescent="0.3">
      <c r="A10" s="122" t="str">
        <f>_lists!$B$4</f>
        <v>CO</v>
      </c>
      <c r="B10" s="161">
        <f t="shared" si="0"/>
        <v>16800</v>
      </c>
      <c r="C10" s="127" t="str">
        <f>IF($A10="","",IF(pf_BU="All",IF(SUMIFS(calc_netmode,calc_state,$A10)=0,"—",SUMIFS(calc_netx,calc_state,$A10)/SUMIFS(calc_netmode,calc_state,$A10)),IF($P10=0,"—",IF(INDEX(_calc!$L:$L,$P10),INDEX(_calc!$M:$M,$P10),"—"))))</f>
        <v>—</v>
      </c>
      <c r="D10" s="127">
        <f>IF($A10="","",IF(pf_BU="All",IF(SUMIFS(calc_ep,calc_state,$A10)=0,"—",SUMPRODUCT((calc_state=$A10)*calc_ep*_calc!$CJ$4:$CJ$72)/SUMIFS(calc_ep,calc_state,$A10)-1),IF($P10=0,"—",INDEX(_calc!$H:$H,$P10+51)-1)))</f>
        <v>3.9166666666666572E-2</v>
      </c>
      <c r="E10" s="127">
        <f>IF($A10="","",IF(pf_BU="All",IF(SUMPRODUCT((calc_state=$A10)*calc_ep*_calc!$CI$4:$CI$72)=0,"—",SUMPRODUCT((calc_state=$A10)*calc_ep*_calc!$CI$4:$CI$72*_calc!$CK$4:$CK$72)/SUMPRODUCT((calc_state=$A10)*calc_ep*_calc!$CI$4:$CI$72)-1),IF($P10=0,"—",IF(INDEX(_calc!$O:$O,$P10)=0,"—",INDEX(_calc!$I:$I,$P10+51)-1))))</f>
        <v>4.3932196204437002E-3</v>
      </c>
      <c r="F10" s="162">
        <f>IF($A10="","",IF(pf_BU="All",IF(SUMIFS(calc_ep,calc_state,$A10)=0,"—",SUMPRODUCT((calc_state=$A10)*calc_ep*_calc!$CL$4:$CL$72)/SUMIFS(calc_ep,calc_state,$A10)-1),IF($P10=0,"—",INDEX(_calc!$J:$J,$P10+51)-1)))</f>
        <v>4.3731946722846082E-2</v>
      </c>
      <c r="G10" s="127" t="str">
        <f>IF($A10="","",IF(pf_BU="All","—",IF($P10=0,"—",IF(INDEX(_calc!$L:$L,$P10),INDEX(_calc!$J:$J,$P10+51)-1-INDEX(_calc!$M:$M,$P10),"—"))))</f>
        <v>—</v>
      </c>
      <c r="H10" s="135" t="str">
        <f t="shared" si="1"/>
        <v>—</v>
      </c>
      <c r="O10" s="23" t="str">
        <f t="shared" si="2"/>
        <v>ABD|CO</v>
      </c>
      <c r="P10" s="43">
        <f t="shared" si="3"/>
        <v>130</v>
      </c>
      <c r="Q10" s="160">
        <f>IF($P10=0,0,IF(INDEX(_calc!$L:$L,$P10),ABS(INDEX(_calc!$J:$J,$P10+51)-1-INDEX(_calc!$M:$M,$P10)),0))</f>
        <v>0</v>
      </c>
    </row>
    <row r="11" spans="1:17" x14ac:dyDescent="0.3">
      <c r="A11" s="103" t="str">
        <f>_lists!$B$5</f>
        <v>DE</v>
      </c>
      <c r="B11" s="158">
        <f t="shared" si="0"/>
        <v>13600</v>
      </c>
      <c r="C11" s="108" t="str">
        <f>IF($A11="","",IF(pf_BU="All",IF(SUMIFS(calc_netmode,calc_state,$A11)=0,"—",SUMIFS(calc_netx,calc_state,$A11)/SUMIFS(calc_netmode,calc_state,$A11)),IF($P11=0,"—",IF(INDEX(_calc!$L:$L,$P11),INDEX(_calc!$M:$M,$P11),"—"))))</f>
        <v>—</v>
      </c>
      <c r="D11" s="108">
        <f>IF($A11="","",IF(pf_BU="All",IF(SUMIFS(calc_ep,calc_state,$A11)=0,"—",SUMPRODUCT((calc_state=$A11)*calc_ep*_calc!$CJ$4:$CJ$72)/SUMIFS(calc_ep,calc_state,$A11)-1),IF($P11=0,"—",INDEX(_calc!$H:$H,$P11+51)-1)))</f>
        <v>0</v>
      </c>
      <c r="E11" s="108">
        <f>IF($A11="","",IF(pf_BU="All",IF(SUMPRODUCT((calc_state=$A11)*calc_ep*_calc!$CI$4:$CI$72)=0,"—",SUMPRODUCT((calc_state=$A11)*calc_ep*_calc!$CI$4:$CI$72*_calc!$CK$4:$CK$72)/SUMPRODUCT((calc_state=$A11)*calc_ep*_calc!$CI$4:$CI$72)-1),IF($P11=0,"—",IF(INDEX(_calc!$O:$O,$P11)=0,"—",INDEX(_calc!$I:$I,$P11+51)-1))))</f>
        <v>1.76314239537807E-2</v>
      </c>
      <c r="F11" s="159">
        <f>IF($A11="","",IF(pf_BU="All",IF(SUMIFS(calc_ep,calc_state,$A11)=0,"—",SUMPRODUCT((calc_state=$A11)*calc_ep*_calc!$CL$4:$CL$72)/SUMIFS(calc_ep,calc_state,$A11)-1),IF($P11=0,"—",INDEX(_calc!$J:$J,$P11+51)-1)))</f>
        <v>1.76314239537807E-2</v>
      </c>
      <c r="G11" s="108" t="str">
        <f>IF($A11="","",IF(pf_BU="All","—",IF($P11=0,"—",IF(INDEX(_calc!$L:$L,$P11),INDEX(_calc!$J:$J,$P11+51)-1-INDEX(_calc!$M:$M,$P11),"—"))))</f>
        <v>—</v>
      </c>
      <c r="H11" s="116" t="str">
        <f t="shared" si="1"/>
        <v>—</v>
      </c>
      <c r="O11" s="23" t="str">
        <f t="shared" si="2"/>
        <v>ABD|DE</v>
      </c>
      <c r="P11" s="43">
        <f t="shared" si="3"/>
        <v>184</v>
      </c>
      <c r="Q11" s="160">
        <f>IF($P11=0,0,IF(INDEX(_calc!$L:$L,$P11),ABS(INDEX(_calc!$J:$J,$P11+51)-1-INDEX(_calc!$M:$M,$P11)),0))</f>
        <v>0</v>
      </c>
    </row>
    <row r="12" spans="1:17" x14ac:dyDescent="0.3">
      <c r="A12" s="122" t="str">
        <f>_lists!$B$6</f>
        <v>FL</v>
      </c>
      <c r="B12" s="161">
        <f t="shared" si="0"/>
        <v>10400</v>
      </c>
      <c r="C12" s="127" t="str">
        <f>IF($A12="","",IF(pf_BU="All",IF(SUMIFS(calc_netmode,calc_state,$A12)=0,"—",SUMIFS(calc_netx,calc_state,$A12)/SUMIFS(calc_netmode,calc_state,$A12)),IF($P12=0,"—",IF(INDEX(_calc!$L:$L,$P12),INDEX(_calc!$M:$M,$P12),"—"))))</f>
        <v>—</v>
      </c>
      <c r="D12" s="127">
        <f>IF($A12="","",IF(pf_BU="All",IF(SUMIFS(calc_ep,calc_state,$A12)=0,"—",SUMPRODUCT((calc_state=$A12)*calc_ep*_calc!$CJ$4:$CJ$72)/SUMIFS(calc_ep,calc_state,$A12)-1),IF($P12=0,"—",INDEX(_calc!$H:$H,$P12+51)-1)))</f>
        <v>1.2499999999999956E-2</v>
      </c>
      <c r="E12" s="127" t="str">
        <f>IF($A12="","",IF(pf_BU="All",IF(SUMPRODUCT((calc_state=$A12)*calc_ep*_calc!$CI$4:$CI$72)=0,"—",SUMPRODUCT((calc_state=$A12)*calc_ep*_calc!$CI$4:$CI$72*_calc!$CK$4:$CK$72)/SUMPRODUCT((calc_state=$A12)*calc_ep*_calc!$CI$4:$CI$72)-1),IF($P12=0,"—",IF(INDEX(_calc!$O:$O,$P12)=0,"—",INDEX(_calc!$I:$I,$P12+51)-1))))</f>
        <v>—</v>
      </c>
      <c r="F12" s="162">
        <f>IF($A12="","",IF(pf_BU="All",IF(SUMIFS(calc_ep,calc_state,$A12)=0,"—",SUMPRODUCT((calc_state=$A12)*calc_ep*_calc!$CL$4:$CL$72)/SUMIFS(calc_ep,calc_state,$A12)-1),IF($P12=0,"—",INDEX(_calc!$J:$J,$P12+51)-1)))</f>
        <v>1.2499999999999956E-2</v>
      </c>
      <c r="G12" s="127" t="str">
        <f>IF($A12="","",IF(pf_BU="All","—",IF($P12=0,"—",IF(INDEX(_calc!$L:$L,$P12),INDEX(_calc!$J:$J,$P12+51)-1-INDEX(_calc!$M:$M,$P12),"—"))))</f>
        <v>—</v>
      </c>
      <c r="H12" s="135" t="str">
        <f t="shared" si="1"/>
        <v>—</v>
      </c>
      <c r="O12" s="23" t="str">
        <f t="shared" si="2"/>
        <v>ABD|FL</v>
      </c>
      <c r="P12" s="43">
        <f t="shared" si="3"/>
        <v>238</v>
      </c>
      <c r="Q12" s="160">
        <f>IF($P12=0,0,IF(INDEX(_calc!$L:$L,$P12),ABS(INDEX(_calc!$J:$J,$P12+51)-1-INDEX(_calc!$M:$M,$P12)),0))</f>
        <v>0</v>
      </c>
    </row>
    <row r="13" spans="1:17" x14ac:dyDescent="0.3">
      <c r="A13" s="103" t="str">
        <f>_lists!$B$7</f>
        <v>GA</v>
      </c>
      <c r="B13" s="158">
        <f t="shared" si="0"/>
        <v>7200</v>
      </c>
      <c r="C13" s="108" t="str">
        <f>IF($A13="","",IF(pf_BU="All",IF(SUMIFS(calc_netmode,calc_state,$A13)=0,"—",SUMIFS(calc_netx,calc_state,$A13)/SUMIFS(calc_netmode,calc_state,$A13)),IF($P13=0,"—",IF(INDEX(_calc!$L:$L,$P13),INDEX(_calc!$M:$M,$P13),"—"))))</f>
        <v>—</v>
      </c>
      <c r="D13" s="108">
        <f>IF($A13="","",IF(pf_BU="All",IF(SUMIFS(calc_ep,calc_state,$A13)=0,"—",SUMPRODUCT((calc_state=$A13)*calc_ep*_calc!$CJ$4:$CJ$72)/SUMIFS(calc_ep,calc_state,$A13)-1),IF($P13=0,"—",INDEX(_calc!$H:$H,$P13+51)-1)))</f>
        <v>2.0000000000000018E-2</v>
      </c>
      <c r="E13" s="108">
        <f>IF($A13="","",IF(pf_BU="All",IF(SUMPRODUCT((calc_state=$A13)*calc_ep*_calc!$CI$4:$CI$72)=0,"—",SUMPRODUCT((calc_state=$A13)*calc_ep*_calc!$CI$4:$CI$72*_calc!$CK$4:$CK$72)/SUMPRODUCT((calc_state=$A13)*calc_ep*_calc!$CI$4:$CI$72)-1),IF($P13=0,"—",IF(INDEX(_calc!$O:$O,$P13)=0,"—",INDEX(_calc!$I:$I,$P13+51)-1))))</f>
        <v>1.3208856410201308E-2</v>
      </c>
      <c r="F13" s="159">
        <f>IF($A13="","",IF(pf_BU="All",IF(SUMIFS(calc_ep,calc_state,$A13)=0,"—",SUMPRODUCT((calc_state=$A13)*calc_ep*_calc!$CL$4:$CL$72)/SUMIFS(calc_ep,calc_state,$A13)-1),IF($P13=0,"—",INDEX(_calc!$J:$J,$P13+51)-1)))</f>
        <v>3.3474198775499397E-2</v>
      </c>
      <c r="G13" s="108" t="str">
        <f>IF($A13="","",IF(pf_BU="All","—",IF($P13=0,"—",IF(INDEX(_calc!$L:$L,$P13),INDEX(_calc!$J:$J,$P13+51)-1-INDEX(_calc!$M:$M,$P13),"—"))))</f>
        <v>—</v>
      </c>
      <c r="H13" s="116" t="str">
        <f t="shared" si="1"/>
        <v>—</v>
      </c>
      <c r="O13" s="23" t="str">
        <f t="shared" si="2"/>
        <v>ABD|GA</v>
      </c>
      <c r="P13" s="43">
        <f t="shared" si="3"/>
        <v>292</v>
      </c>
      <c r="Q13" s="160">
        <f>IF($P13=0,0,IF(INDEX(_calc!$L:$L,$P13),ABS(INDEX(_calc!$J:$J,$P13+51)-1-INDEX(_calc!$M:$M,$P13)),0))</f>
        <v>0</v>
      </c>
    </row>
    <row r="14" spans="1:17" x14ac:dyDescent="0.3">
      <c r="A14" s="122" t="str">
        <f>_lists!$B$8</f>
        <v>IA</v>
      </c>
      <c r="B14" s="161">
        <f t="shared" si="0"/>
        <v>17600</v>
      </c>
      <c r="C14" s="127" t="str">
        <f>IF($A14="","",IF(pf_BU="All",IF(SUMIFS(calc_netmode,calc_state,$A14)=0,"—",SUMIFS(calc_netx,calc_state,$A14)/SUMIFS(calc_netmode,calc_state,$A14)),IF($P14=0,"—",IF(INDEX(_calc!$L:$L,$P14),INDEX(_calc!$M:$M,$P14),"—"))))</f>
        <v>—</v>
      </c>
      <c r="D14" s="127">
        <f>IF($A14="","",IF(pf_BU="All",IF(SUMIFS(calc_ep,calc_state,$A14)=0,"—",SUMPRODUCT((calc_state=$A14)*calc_ep*_calc!$CJ$4:$CJ$72)/SUMIFS(calc_ep,calc_state,$A14)-1),IF($P14=0,"—",INDEX(_calc!$H:$H,$P14+51)-1)))</f>
        <v>4.2083333333333028E-2</v>
      </c>
      <c r="E14" s="127">
        <f>IF($A14="","",IF(pf_BU="All",IF(SUMPRODUCT((calc_state=$A14)*calc_ep*_calc!$CI$4:$CI$72)=0,"—",SUMPRODUCT((calc_state=$A14)*calc_ep*_calc!$CI$4:$CI$72*_calc!$CK$4:$CK$72)/SUMPRODUCT((calc_state=$A14)*calc_ep*_calc!$CI$4:$CI$72)-1),IF($P14=0,"—",IF(INDEX(_calc!$O:$O,$P14)=0,"—",INDEX(_calc!$I:$I,$P14+51)-1))))</f>
        <v>-4.818628141955994E-5</v>
      </c>
      <c r="F14" s="162">
        <f>IF($A14="","",IF(pf_BU="All",IF(SUMIFS(calc_ep,calc_state,$A14)=0,"—",SUMPRODUCT((calc_state=$A14)*calc_ep*_calc!$CL$4:$CL$72)/SUMIFS(calc_ep,calc_state,$A14)-1),IF($P14=0,"—",INDEX(_calc!$J:$J,$P14+51)-1)))</f>
        <v>4.2041501054473018E-2</v>
      </c>
      <c r="G14" s="127" t="str">
        <f>IF($A14="","",IF(pf_BU="All","—",IF($P14=0,"—",IF(INDEX(_calc!$L:$L,$P14),INDEX(_calc!$J:$J,$P14+51)-1-INDEX(_calc!$M:$M,$P14),"—"))))</f>
        <v>—</v>
      </c>
      <c r="H14" s="135" t="str">
        <f t="shared" si="1"/>
        <v>—</v>
      </c>
      <c r="O14" s="23" t="str">
        <f t="shared" si="2"/>
        <v>ABD|IA</v>
      </c>
      <c r="P14" s="43">
        <f t="shared" si="3"/>
        <v>346</v>
      </c>
      <c r="Q14" s="160">
        <f>IF($P14=0,0,IF(INDEX(_calc!$L:$L,$P14),ABS(INDEX(_calc!$J:$J,$P14+51)-1-INDEX(_calc!$M:$M,$P14)),0))</f>
        <v>0</v>
      </c>
    </row>
    <row r="15" spans="1:17" x14ac:dyDescent="0.3">
      <c r="A15" s="103" t="str">
        <f>_lists!$B$9</f>
        <v>IL</v>
      </c>
      <c r="B15" s="158">
        <f t="shared" si="0"/>
        <v>14400</v>
      </c>
      <c r="C15" s="108" t="str">
        <f>IF($A15="","",IF(pf_BU="All",IF(SUMIFS(calc_netmode,calc_state,$A15)=0,"—",SUMIFS(calc_netx,calc_state,$A15)/SUMIFS(calc_netmode,calc_state,$A15)),IF($P15=0,"—",IF(INDEX(_calc!$L:$L,$P15),INDEX(_calc!$M:$M,$P15),"—"))))</f>
        <v>—</v>
      </c>
      <c r="D15" s="108">
        <f>IF($A15="","",IF(pf_BU="All",IF(SUMIFS(calc_ep,calc_state,$A15)=0,"—",SUMPRODUCT((calc_state=$A15)*calc_ep*_calc!$CJ$4:$CJ$72)/SUMIFS(calc_ep,calc_state,$A15)-1),IF($P15=0,"—",INDEX(_calc!$H:$H,$P15+51)-1)))</f>
        <v>1.4999999999999902E-2</v>
      </c>
      <c r="E15" s="108">
        <f>IF($A15="","",IF(pf_BU="All",IF(SUMPRODUCT((calc_state=$A15)*calc_ep*_calc!$CI$4:$CI$72)=0,"—",SUMPRODUCT((calc_state=$A15)*calc_ep*_calc!$CI$4:$CI$72*_calc!$CK$4:$CK$72)/SUMPRODUCT((calc_state=$A15)*calc_ep*_calc!$CI$4:$CI$72)-1),IF($P15=0,"—",IF(INDEX(_calc!$O:$O,$P15)=0,"—",INDEX(_calc!$I:$I,$P15+51)-1))))</f>
        <v>8.7961468131063647E-3</v>
      </c>
      <c r="F15" s="159">
        <f>IF($A15="","",IF(pf_BU="All",IF(SUMIFS(calc_ep,calc_state,$A15)=0,"—",SUMPRODUCT((calc_state=$A15)*calc_ep*_calc!$CL$4:$CL$72)/SUMIFS(calc_ep,calc_state,$A15)-1),IF($P15=0,"—",INDEX(_calc!$J:$J,$P15+51)-1)))</f>
        <v>2.3928379819521561E-2</v>
      </c>
      <c r="G15" s="108" t="str">
        <f>IF($A15="","",IF(pf_BU="All","—",IF($P15=0,"—",IF(INDEX(_calc!$L:$L,$P15),INDEX(_calc!$J:$J,$P15+51)-1-INDEX(_calc!$M:$M,$P15),"—"))))</f>
        <v>—</v>
      </c>
      <c r="H15" s="116" t="str">
        <f t="shared" si="1"/>
        <v>—</v>
      </c>
      <c r="O15" s="23" t="str">
        <f t="shared" si="2"/>
        <v>ABD|IL</v>
      </c>
      <c r="P15" s="43">
        <f t="shared" si="3"/>
        <v>400</v>
      </c>
      <c r="Q15" s="160">
        <f>IF($P15=0,0,IF(INDEX(_calc!$L:$L,$P15),ABS(INDEX(_calc!$J:$J,$P15+51)-1-INDEX(_calc!$M:$M,$P15)),0))</f>
        <v>0</v>
      </c>
    </row>
    <row r="16" spans="1:17" x14ac:dyDescent="0.3">
      <c r="A16" s="122" t="str">
        <f>_lists!$B$10</f>
        <v>IN</v>
      </c>
      <c r="B16" s="161">
        <f t="shared" si="0"/>
        <v>11200</v>
      </c>
      <c r="C16" s="127" t="str">
        <f>IF($A16="","",IF(pf_BU="All",IF(SUMIFS(calc_netmode,calc_state,$A16)=0,"—",SUMIFS(calc_netx,calc_state,$A16)/SUMIFS(calc_netmode,calc_state,$A16)),IF($P16=0,"—",IF(INDEX(_calc!$L:$L,$P16),INDEX(_calc!$M:$M,$P16),"—"))))</f>
        <v>—</v>
      </c>
      <c r="D16" s="127">
        <f>IF($A16="","",IF(pf_BU="All",IF(SUMIFS(calc_ep,calc_state,$A16)=0,"—",SUMPRODUCT((calc_state=$A16)*calc_ep*_calc!$CJ$4:$CJ$72)/SUMIFS(calc_ep,calc_state,$A16)-1),IF($P16=0,"—",INDEX(_calc!$H:$H,$P16+51)-1)))</f>
        <v>2.3333333333333428E-2</v>
      </c>
      <c r="E16" s="127">
        <f>IF($A16="","",IF(pf_BU="All",IF(SUMPRODUCT((calc_state=$A16)*calc_ep*_calc!$CI$4:$CI$72)=0,"—",SUMPRODUCT((calc_state=$A16)*calc_ep*_calc!$CI$4:$CI$72*_calc!$CK$4:$CK$72)/SUMPRODUCT((calc_state=$A16)*calc_ep*_calc!$CI$4:$CI$72)-1),IF($P16=0,"—",IF(INDEX(_calc!$O:$O,$P16)=0,"—",INDEX(_calc!$I:$I,$P16+51)-1))))</f>
        <v>-8.7576123601961209E-3</v>
      </c>
      <c r="F16" s="162">
        <f>IF($A16="","",IF(pf_BU="All",IF(SUMIFS(calc_ep,calc_state,$A16)=0,"—",SUMPRODUCT((calc_state=$A16)*calc_ep*_calc!$CL$4:$CL$72)/SUMIFS(calc_ep,calc_state,$A16)-1),IF($P16=0,"—",INDEX(_calc!$J:$J,$P16+51)-1)))</f>
        <v>1.4371750863642507E-2</v>
      </c>
      <c r="G16" s="127" t="str">
        <f>IF($A16="","",IF(pf_BU="All","—",IF($P16=0,"—",IF(INDEX(_calc!$L:$L,$P16),INDEX(_calc!$J:$J,$P16+51)-1-INDEX(_calc!$M:$M,$P16),"—"))))</f>
        <v>—</v>
      </c>
      <c r="H16" s="135" t="str">
        <f t="shared" si="1"/>
        <v>—</v>
      </c>
      <c r="O16" s="23" t="str">
        <f t="shared" si="2"/>
        <v>ABD|IN</v>
      </c>
      <c r="P16" s="43">
        <f t="shared" si="3"/>
        <v>454</v>
      </c>
      <c r="Q16" s="160">
        <f>IF($P16=0,0,IF(INDEX(_calc!$L:$L,$P16),ABS(INDEX(_calc!$J:$J,$P16+51)-1-INDEX(_calc!$M:$M,$P16)),0))</f>
        <v>0</v>
      </c>
    </row>
    <row r="17" spans="1:17" x14ac:dyDescent="0.3">
      <c r="A17" s="103" t="str">
        <f>_lists!$B$11</f>
        <v>KY</v>
      </c>
      <c r="B17" s="158">
        <f t="shared" si="0"/>
        <v>8000</v>
      </c>
      <c r="C17" s="108" t="str">
        <f>IF($A17="","",IF(pf_BU="All",IF(SUMIFS(calc_netmode,calc_state,$A17)=0,"—",SUMIFS(calc_netx,calc_state,$A17)/SUMIFS(calc_netmode,calc_state,$A17)),IF($P17=0,"—",IF(INDEX(_calc!$L:$L,$P17),INDEX(_calc!$M:$M,$P17),"—"))))</f>
        <v>—</v>
      </c>
      <c r="D17" s="108">
        <f>IF($A17="","",IF(pf_BU="All",IF(SUMIFS(calc_ep,calc_state,$A17)=0,"—",SUMPRODUCT((calc_state=$A17)*calc_ep*_calc!$CJ$4:$CJ$72)/SUMIFS(calc_ep,calc_state,$A17)-1),IF($P17=0,"—",INDEX(_calc!$H:$H,$P17+51)-1)))</f>
        <v>0</v>
      </c>
      <c r="E17" s="108">
        <f>IF($A17="","",IF(pf_BU="All",IF(SUMPRODUCT((calc_state=$A17)*calc_ep*_calc!$CI$4:$CI$72)=0,"—",SUMPRODUCT((calc_state=$A17)*calc_ep*_calc!$CI$4:$CI$72*_calc!$CK$4:$CK$72)/SUMPRODUCT((calc_state=$A17)*calc_ep*_calc!$CI$4:$CI$72)-1),IF($P17=0,"—",IF(INDEX(_calc!$O:$O,$P17)=0,"—",INDEX(_calc!$I:$I,$P17+51)-1))))</f>
        <v>4.3932196204437002E-3</v>
      </c>
      <c r="F17" s="159">
        <f>IF($A17="","",IF(pf_BU="All",IF(SUMIFS(calc_ep,calc_state,$A17)=0,"—",SUMPRODUCT((calc_state=$A17)*calc_ep*_calc!$CL$4:$CL$72)/SUMIFS(calc_ep,calc_state,$A17)-1),IF($P17=0,"—",INDEX(_calc!$J:$J,$P17+51)-1)))</f>
        <v>4.3932196204437002E-3</v>
      </c>
      <c r="G17" s="108" t="str">
        <f>IF($A17="","",IF(pf_BU="All","—",IF($P17=0,"—",IF(INDEX(_calc!$L:$L,$P17),INDEX(_calc!$J:$J,$P17+51)-1-INDEX(_calc!$M:$M,$P17),"—"))))</f>
        <v>—</v>
      </c>
      <c r="H17" s="116" t="str">
        <f t="shared" si="1"/>
        <v>—</v>
      </c>
      <c r="O17" s="23" t="str">
        <f t="shared" si="2"/>
        <v>ABD|KY</v>
      </c>
      <c r="P17" s="43">
        <f t="shared" si="3"/>
        <v>508</v>
      </c>
      <c r="Q17" s="160">
        <f>IF($P17=0,0,IF(INDEX(_calc!$L:$L,$P17),ABS(INDEX(_calc!$J:$J,$P17+51)-1-INDEX(_calc!$M:$M,$P17)),0))</f>
        <v>0</v>
      </c>
    </row>
    <row r="18" spans="1:17" x14ac:dyDescent="0.3">
      <c r="A18" s="122" t="str">
        <f>_lists!$B$12</f>
        <v>MD</v>
      </c>
      <c r="B18" s="161">
        <f t="shared" si="0"/>
        <v>18400</v>
      </c>
      <c r="C18" s="127" t="str">
        <f>IF($A18="","",IF(pf_BU="All",IF(SUMIFS(calc_netmode,calc_state,$A18)=0,"—",SUMIFS(calc_netx,calc_state,$A18)/SUMIFS(calc_netmode,calc_state,$A18)),IF($P18=0,"—",IF(INDEX(_calc!$L:$L,$P18),INDEX(_calc!$M:$M,$P18),"—"))))</f>
        <v>—</v>
      </c>
      <c r="D18" s="127">
        <f>IF($A18="","",IF(pf_BU="All",IF(SUMIFS(calc_ep,calc_state,$A18)=0,"—",SUMPRODUCT((calc_state=$A18)*calc_ep*_calc!$CJ$4:$CJ$72)/SUMIFS(calc_ep,calc_state,$A18)-1),IF($P18=0,"—",INDEX(_calc!$H:$H,$P18+51)-1)))</f>
        <v>5.4999999999999938E-2</v>
      </c>
      <c r="E18" s="127">
        <f>IF($A18="","",IF(pf_BU="All",IF(SUMPRODUCT((calc_state=$A18)*calc_ep*_calc!$CI$4:$CI$72)=0,"—",SUMPRODUCT((calc_state=$A18)*calc_ep*_calc!$CI$4:$CI$72*_calc!$CK$4:$CK$72)/SUMPRODUCT((calc_state=$A18)*calc_ep*_calc!$CI$4:$CI$72)-1),IF($P18=0,"—",IF(INDEX(_calc!$O:$O,$P18)=0,"—",INDEX(_calc!$I:$I,$P18+51)-1))))</f>
        <v>1.76314239537807E-2</v>
      </c>
      <c r="F18" s="162">
        <f>IF($A18="","",IF(pf_BU="All",IF(SUMIFS(calc_ep,calc_state,$A18)=0,"—",SUMPRODUCT((calc_state=$A18)*calc_ep*_calc!$CL$4:$CL$72)/SUMIFS(calc_ep,calc_state,$A18)-1),IF($P18=0,"—",INDEX(_calc!$J:$J,$P18+51)-1)))</f>
        <v>7.3601735187877049E-2</v>
      </c>
      <c r="G18" s="127" t="str">
        <f>IF($A18="","",IF(pf_BU="All","—",IF($P18=0,"—",IF(INDEX(_calc!$L:$L,$P18),INDEX(_calc!$J:$J,$P18+51)-1-INDEX(_calc!$M:$M,$P18),"—"))))</f>
        <v>—</v>
      </c>
      <c r="H18" s="135" t="str">
        <f t="shared" si="1"/>
        <v>—</v>
      </c>
      <c r="O18" s="23" t="str">
        <f t="shared" si="2"/>
        <v>ABD|MD</v>
      </c>
      <c r="P18" s="43">
        <f t="shared" si="3"/>
        <v>562</v>
      </c>
      <c r="Q18" s="160">
        <f>IF($P18=0,0,IF(INDEX(_calc!$L:$L,$P18),ABS(INDEX(_calc!$J:$J,$P18+51)-1-INDEX(_calc!$M:$M,$P18)),0))</f>
        <v>0</v>
      </c>
    </row>
    <row r="19" spans="1:17" x14ac:dyDescent="0.3">
      <c r="A19" s="103" t="str">
        <f>_lists!$B$13</f>
        <v>MI</v>
      </c>
      <c r="B19" s="158">
        <f t="shared" si="0"/>
        <v>15200</v>
      </c>
      <c r="C19" s="108" t="str">
        <f>IF($A19="","",IF(pf_BU="All",IF(SUMIFS(calc_netmode,calc_state,$A19)=0,"—",SUMIFS(calc_netx,calc_state,$A19)/SUMIFS(calc_netmode,calc_state,$A19)),IF($P19=0,"—",IF(INDEX(_calc!$L:$L,$P19),INDEX(_calc!$M:$M,$P19),"—"))))</f>
        <v>—</v>
      </c>
      <c r="D19" s="108">
        <f>IF($A19="","",IF(pf_BU="All",IF(SUMIFS(calc_ep,calc_state,$A19)=0,"—",SUMPRODUCT((calc_state=$A19)*calc_ep*_calc!$CJ$4:$CJ$72)/SUMIFS(calc_ep,calc_state,$A19)-1),IF($P19=0,"—",INDEX(_calc!$H:$H,$P19+51)-1)))</f>
        <v>1.6666666666666385E-2</v>
      </c>
      <c r="E19" s="108">
        <f>IF($A19="","",IF(pf_BU="All",IF(SUMPRODUCT((calc_state=$A19)*calc_ep*_calc!$CI$4:$CI$72)=0,"—",SUMPRODUCT((calc_state=$A19)*calc_ep*_calc!$CI$4:$CI$72*_calc!$CK$4:$CK$72)/SUMPRODUCT((calc_state=$A19)*calc_ep*_calc!$CI$4:$CI$72)-1),IF($P19=0,"—",IF(INDEX(_calc!$O:$O,$P19)=0,"—",INDEX(_calc!$I:$I,$P19+51)-1))))</f>
        <v>0</v>
      </c>
      <c r="F19" s="159">
        <f>IF($A19="","",IF(pf_BU="All",IF(SUMIFS(calc_ep,calc_state,$A19)=0,"—",SUMPRODUCT((calc_state=$A19)*calc_ep*_calc!$CL$4:$CL$72)/SUMIFS(calc_ep,calc_state,$A19)-1),IF($P19=0,"—",INDEX(_calc!$J:$J,$P19+51)-1)))</f>
        <v>1.6666666666666385E-2</v>
      </c>
      <c r="G19" s="108" t="str">
        <f>IF($A19="","",IF(pf_BU="All","—",IF($P19=0,"—",IF(INDEX(_calc!$L:$L,$P19),INDEX(_calc!$J:$J,$P19+51)-1-INDEX(_calc!$M:$M,$P19),"—"))))</f>
        <v>—</v>
      </c>
      <c r="H19" s="116" t="str">
        <f t="shared" si="1"/>
        <v>—</v>
      </c>
      <c r="O19" s="23" t="str">
        <f t="shared" si="2"/>
        <v>ABD|MI</v>
      </c>
      <c r="P19" s="43">
        <f t="shared" si="3"/>
        <v>616</v>
      </c>
      <c r="Q19" s="160">
        <f>IF($P19=0,0,IF(INDEX(_calc!$L:$L,$P19),ABS(INDEX(_calc!$J:$J,$P19+51)-1-INDEX(_calc!$M:$M,$P19)),0))</f>
        <v>0</v>
      </c>
    </row>
    <row r="20" spans="1:17" x14ac:dyDescent="0.3">
      <c r="A20" s="122" t="str">
        <f>_lists!$B$14</f>
        <v>MN</v>
      </c>
      <c r="B20" s="161">
        <f t="shared" si="0"/>
        <v>12000</v>
      </c>
      <c r="C20" s="127" t="str">
        <f>IF($A20="","",IF(pf_BU="All",IF(SUMIFS(calc_netmode,calc_state,$A20)=0,"—",SUMIFS(calc_netx,calc_state,$A20)/SUMIFS(calc_netmode,calc_state,$A20)),IF($P20=0,"—",IF(INDEX(_calc!$L:$L,$P20),INDEX(_calc!$M:$M,$P20),"—"))))</f>
        <v>—</v>
      </c>
      <c r="D20" s="127">
        <f>IF($A20="","",IF(pf_BU="All",IF(SUMIFS(calc_ep,calc_state,$A20)=0,"—",SUMPRODUCT((calc_state=$A20)*calc_ep*_calc!$CJ$4:$CJ$72)/SUMIFS(calc_ep,calc_state,$A20)-1),IF($P20=0,"—",INDEX(_calc!$H:$H,$P20+51)-1)))</f>
        <v>0</v>
      </c>
      <c r="E20" s="127">
        <f>IF($A20="","",IF(pf_BU="All",IF(SUMPRODUCT((calc_state=$A20)*calc_ep*_calc!$CI$4:$CI$72)=0,"—",SUMPRODUCT((calc_state=$A20)*calc_ep*_calc!$CI$4:$CI$72*_calc!$CK$4:$CK$72)/SUMPRODUCT((calc_state=$A20)*calc_ep*_calc!$CI$4:$CI$72)-1),IF($P20=0,"—",IF(INDEX(_calc!$O:$O,$P20)=0,"—",INDEX(_calc!$I:$I,$P20+51)-1))))</f>
        <v>1.3208856410201308E-2</v>
      </c>
      <c r="F20" s="162">
        <f>IF($A20="","",IF(pf_BU="All",IF(SUMIFS(calc_ep,calc_state,$A20)=0,"—",SUMPRODUCT((calc_state=$A20)*calc_ep*_calc!$CL$4:$CL$72)/SUMIFS(calc_ep,calc_state,$A20)-1),IF($P20=0,"—",INDEX(_calc!$J:$J,$P20+51)-1)))</f>
        <v>1.3208856410201308E-2</v>
      </c>
      <c r="G20" s="127" t="str">
        <f>IF($A20="","",IF(pf_BU="All","—",IF($P20=0,"—",IF(INDEX(_calc!$L:$L,$P20),INDEX(_calc!$J:$J,$P20+51)-1-INDEX(_calc!$M:$M,$P20),"—"))))</f>
        <v>—</v>
      </c>
      <c r="H20" s="135" t="str">
        <f t="shared" si="1"/>
        <v>—</v>
      </c>
      <c r="O20" s="23" t="str">
        <f t="shared" si="2"/>
        <v>ABD|MN</v>
      </c>
      <c r="P20" s="43">
        <f t="shared" si="3"/>
        <v>670</v>
      </c>
      <c r="Q20" s="160">
        <f>IF($P20=0,0,IF(INDEX(_calc!$L:$L,$P20),ABS(INDEX(_calc!$J:$J,$P20+51)-1-INDEX(_calc!$M:$M,$P20)),0))</f>
        <v>0</v>
      </c>
    </row>
    <row r="21" spans="1:17" x14ac:dyDescent="0.3">
      <c r="A21" s="103" t="str">
        <f>_lists!$B$15</f>
        <v>NM</v>
      </c>
      <c r="B21" s="158">
        <f t="shared" si="0"/>
        <v>8800</v>
      </c>
      <c r="C21" s="108" t="str">
        <f>IF($A21="","",IF(pf_BU="All",IF(SUMIFS(calc_netmode,calc_state,$A21)=0,"—",SUMIFS(calc_netx,calc_state,$A21)/SUMIFS(calc_netmode,calc_state,$A21)),IF($P21=0,"—",IF(INDEX(_calc!$L:$L,$P21),INDEX(_calc!$M:$M,$P21),"—"))))</f>
        <v>—</v>
      </c>
      <c r="D21" s="108">
        <f>IF($A21="","",IF(pf_BU="All",IF(SUMIFS(calc_ep,calc_state,$A21)=0,"—",SUMPRODUCT((calc_state=$A21)*calc_ep*_calc!$CJ$4:$CJ$72)/SUMIFS(calc_ep,calc_state,$A21)-1),IF($P21=0,"—",INDEX(_calc!$H:$H,$P21+51)-1)))</f>
        <v>0</v>
      </c>
      <c r="E21" s="108">
        <f>IF($A21="","",IF(pf_BU="All",IF(SUMPRODUCT((calc_state=$A21)*calc_ep*_calc!$CI$4:$CI$72)=0,"—",SUMPRODUCT((calc_state=$A21)*calc_ep*_calc!$CI$4:$CI$72*_calc!$CK$4:$CK$72)/SUMPRODUCT((calc_state=$A21)*calc_ep*_calc!$CI$4:$CI$72)-1),IF($P21=0,"—",IF(INDEX(_calc!$O:$O,$P21)=0,"—",INDEX(_calc!$I:$I,$P21+51)-1))))</f>
        <v>-4.3835861800088916E-3</v>
      </c>
      <c r="F21" s="159">
        <f>IF($A21="","",IF(pf_BU="All",IF(SUMIFS(calc_ep,calc_state,$A21)=0,"—",SUMPRODUCT((calc_state=$A21)*calc_ep*_calc!$CL$4:$CL$72)/SUMIFS(calc_ep,calc_state,$A21)-1),IF($P21=0,"—",INDEX(_calc!$J:$J,$P21+51)-1)))</f>
        <v>-4.3835861800088916E-3</v>
      </c>
      <c r="G21" s="108" t="str">
        <f>IF($A21="","",IF(pf_BU="All","—",IF($P21=0,"—",IF(INDEX(_calc!$L:$L,$P21),INDEX(_calc!$J:$J,$P21+51)-1-INDEX(_calc!$M:$M,$P21),"—"))))</f>
        <v>—</v>
      </c>
      <c r="H21" s="116" t="str">
        <f t="shared" si="1"/>
        <v>—</v>
      </c>
      <c r="O21" s="23" t="str">
        <f t="shared" si="2"/>
        <v>ABD|NM</v>
      </c>
      <c r="P21" s="43">
        <f t="shared" si="3"/>
        <v>724</v>
      </c>
      <c r="Q21" s="160">
        <f>IF($P21=0,0,IF(INDEX(_calc!$L:$L,$P21),ABS(INDEX(_calc!$J:$J,$P21+51)-1-INDEX(_calc!$M:$M,$P21)),0))</f>
        <v>0</v>
      </c>
    </row>
    <row r="22" spans="1:17" x14ac:dyDescent="0.3">
      <c r="A22" s="122" t="str">
        <f>_lists!$B$16</f>
        <v>NC</v>
      </c>
      <c r="B22" s="161">
        <f t="shared" si="0"/>
        <v>19200</v>
      </c>
      <c r="C22" s="127" t="str">
        <f>IF($A22="","",IF(pf_BU="All",IF(SUMIFS(calc_netmode,calc_state,$A22)=0,"—",SUMIFS(calc_netx,calc_state,$A22)/SUMIFS(calc_netmode,calc_state,$A22)),IF($P22=0,"—",IF(INDEX(_calc!$L:$L,$P22),INDEX(_calc!$M:$M,$P22),"—"))))</f>
        <v>—</v>
      </c>
      <c r="D22" s="127">
        <f>IF($A22="","",IF(pf_BU="All",IF(SUMIFS(calc_ep,calc_state,$A22)=0,"—",SUMPRODUCT((calc_state=$A22)*calc_ep*_calc!$CJ$4:$CJ$72)/SUMIFS(calc_ep,calc_state,$A22)-1),IF($P22=0,"—",INDEX(_calc!$H:$H,$P22+51)-1)))</f>
        <v>3.4166666666666456E-2</v>
      </c>
      <c r="E22" s="127">
        <f>IF($A22="","",IF(pf_BU="All",IF(SUMPRODUCT((calc_state=$A22)*calc_ep*_calc!$CI$4:$CI$72)=0,"—",SUMPRODUCT((calc_state=$A22)*calc_ep*_calc!$CI$4:$CI$72*_calc!$CK$4:$CK$72)/SUMPRODUCT((calc_state=$A22)*calc_ep*_calc!$CI$4:$CI$72)-1),IF($P22=0,"—",IF(INDEX(_calc!$O:$O,$P22)=0,"—",INDEX(_calc!$I:$I,$P22+51)-1))))</f>
        <v>8.7961468131063647E-3</v>
      </c>
      <c r="F22" s="162">
        <f>IF($A22="","",IF(pf_BU="All",IF(SUMIFS(calc_ep,calc_state,$A22)=0,"—",SUMPRODUCT((calc_state=$A22)*calc_ep*_calc!$CL$4:$CL$72)/SUMIFS(calc_ep,calc_state,$A22)-1),IF($P22=0,"—",INDEX(_calc!$J:$J,$P22+51)-1)))</f>
        <v>4.3263205439715069E-2</v>
      </c>
      <c r="G22" s="127" t="str">
        <f>IF($A22="","",IF(pf_BU="All","—",IF($P22=0,"—",IF(INDEX(_calc!$L:$L,$P22),INDEX(_calc!$J:$J,$P22+51)-1-INDEX(_calc!$M:$M,$P22),"—"))))</f>
        <v>—</v>
      </c>
      <c r="H22" s="135" t="str">
        <f t="shared" si="1"/>
        <v>—</v>
      </c>
      <c r="O22" s="23" t="str">
        <f t="shared" si="2"/>
        <v>ABD|NC</v>
      </c>
      <c r="P22" s="43">
        <f t="shared" si="3"/>
        <v>778</v>
      </c>
      <c r="Q22" s="160">
        <f>IF($P22=0,0,IF(INDEX(_calc!$L:$L,$P22),ABS(INDEX(_calc!$J:$J,$P22+51)-1-INDEX(_calc!$M:$M,$P22)),0))</f>
        <v>0</v>
      </c>
    </row>
    <row r="23" spans="1:17" x14ac:dyDescent="0.3">
      <c r="A23" s="103" t="str">
        <f>_lists!$B$17</f>
        <v>OH</v>
      </c>
      <c r="B23" s="158">
        <f t="shared" si="0"/>
        <v>16000</v>
      </c>
      <c r="C23" s="108" t="str">
        <f>IF($A23="","",IF(pf_BU="All",IF(SUMIFS(calc_netmode,calc_state,$A23)=0,"—",SUMIFS(calc_netx,calc_state,$A23)/SUMIFS(calc_netmode,calc_state,$A23)),IF($P23=0,"—",IF(INDEX(_calc!$L:$L,$P23),INDEX(_calc!$M:$M,$P23),"—"))))</f>
        <v>—</v>
      </c>
      <c r="D23" s="108">
        <f>IF($A23="","",IF(pf_BU="All",IF(SUMIFS(calc_ep,calc_state,$A23)=0,"—",SUMPRODUCT((calc_state=$A23)*calc_ep*_calc!$CJ$4:$CJ$72)/SUMIFS(calc_ep,calc_state,$A23)-1),IF($P23=0,"—",INDEX(_calc!$H:$H,$P23+51)-1)))</f>
        <v>0</v>
      </c>
      <c r="E23" s="108">
        <f>IF($A23="","",IF(pf_BU="All",IF(SUMPRODUCT((calc_state=$A23)*calc_ep*_calc!$CI$4:$CI$72)=0,"—",SUMPRODUCT((calc_state=$A23)*calc_ep*_calc!$CI$4:$CI$72*_calc!$CK$4:$CK$72)/SUMPRODUCT((calc_state=$A23)*calc_ep*_calc!$CI$4:$CI$72)-1),IF($P23=0,"—",IF(INDEX(_calc!$O:$O,$P23)=0,"—",INDEX(_calc!$I:$I,$P23+51)-1))))</f>
        <v>-8.7576123601961209E-3</v>
      </c>
      <c r="F23" s="159">
        <f>IF($A23="","",IF(pf_BU="All",IF(SUMIFS(calc_ep,calc_state,$A23)=0,"—",SUMPRODUCT((calc_state=$A23)*calc_ep*_calc!$CL$4:$CL$72)/SUMIFS(calc_ep,calc_state,$A23)-1),IF($P23=0,"—",INDEX(_calc!$J:$J,$P23+51)-1)))</f>
        <v>-8.7576123601961209E-3</v>
      </c>
      <c r="G23" s="108" t="str">
        <f>IF($A23="","",IF(pf_BU="All","—",IF($P23=0,"—",IF(INDEX(_calc!$L:$L,$P23),INDEX(_calc!$J:$J,$P23+51)-1-INDEX(_calc!$M:$M,$P23),"—"))))</f>
        <v>—</v>
      </c>
      <c r="H23" s="116" t="str">
        <f t="shared" si="1"/>
        <v>—</v>
      </c>
      <c r="O23" s="23" t="str">
        <f t="shared" si="2"/>
        <v>ABD|OH</v>
      </c>
      <c r="P23" s="43">
        <f t="shared" si="3"/>
        <v>832</v>
      </c>
      <c r="Q23" s="160">
        <f>IF($P23=0,0,IF(INDEX(_calc!$L:$L,$P23),ABS(INDEX(_calc!$J:$J,$P23+51)-1-INDEX(_calc!$M:$M,$P23)),0))</f>
        <v>0</v>
      </c>
    </row>
    <row r="24" spans="1:17" x14ac:dyDescent="0.3">
      <c r="A24" s="122" t="str">
        <f>_lists!$B$18</f>
        <v>PA</v>
      </c>
      <c r="B24" s="161">
        <f t="shared" si="0"/>
        <v>12800</v>
      </c>
      <c r="C24" s="127" t="str">
        <f>IF($A24="","",IF(pf_BU="All",IF(SUMIFS(calc_netmode,calc_state,$A24)=0,"—",SUMIFS(calc_netx,calc_state,$A24)/SUMIFS(calc_netmode,calc_state,$A24)),IF($P24=0,"—",IF(INDEX(_calc!$L:$L,$P24),INDEX(_calc!$M:$M,$P24),"—"))))</f>
        <v>—</v>
      </c>
      <c r="D24" s="127">
        <f>IF($A24="","",IF(pf_BU="All",IF(SUMIFS(calc_ep,calc_state,$A24)=0,"—",SUMPRODUCT((calc_state=$A24)*calc_ep*_calc!$CJ$4:$CJ$72)/SUMIFS(calc_ep,calc_state,$A24)-1),IF($P24=0,"—",INDEX(_calc!$H:$H,$P24+51)-1)))</f>
        <v>5.0000000000001155E-3</v>
      </c>
      <c r="E24" s="127">
        <f>IF($A24="","",IF(pf_BU="All",IF(SUMPRODUCT((calc_state=$A24)*calc_ep*_calc!$CI$4:$CI$72)=0,"—",SUMPRODUCT((calc_state=$A24)*calc_ep*_calc!$CI$4:$CI$72*_calc!$CK$4:$CK$72)/SUMPRODUCT((calc_state=$A24)*calc_ep*_calc!$CI$4:$CI$72)-1),IF($P24=0,"—",IF(INDEX(_calc!$O:$O,$P24)=0,"—",INDEX(_calc!$I:$I,$P24+51)-1))))</f>
        <v>4.3932196204437002E-3</v>
      </c>
      <c r="F24" s="162">
        <f>IF($A24="","",IF(pf_BU="All",IF(SUMIFS(calc_ep,calc_state,$A24)=0,"—",SUMPRODUCT((calc_state=$A24)*calc_ep*_calc!$CL$4:$CL$72)/SUMIFS(calc_ep,calc_state,$A24)-1),IF($P24=0,"—",INDEX(_calc!$J:$J,$P24+51)-1)))</f>
        <v>9.4152218888339245E-3</v>
      </c>
      <c r="G24" s="127" t="str">
        <f>IF($A24="","",IF(pf_BU="All","—",IF($P24=0,"—",IF(INDEX(_calc!$L:$L,$P24),INDEX(_calc!$J:$J,$P24+51)-1-INDEX(_calc!$M:$M,$P24),"—"))))</f>
        <v>—</v>
      </c>
      <c r="H24" s="135" t="str">
        <f t="shared" si="1"/>
        <v>—</v>
      </c>
      <c r="O24" s="23" t="str">
        <f t="shared" si="2"/>
        <v>ABD|PA</v>
      </c>
      <c r="P24" s="43">
        <f t="shared" si="3"/>
        <v>886</v>
      </c>
      <c r="Q24" s="160">
        <f>IF($P24=0,0,IF(INDEX(_calc!$L:$L,$P24),ABS(INDEX(_calc!$J:$J,$P24+51)-1-INDEX(_calc!$M:$M,$P24)),0))</f>
        <v>0</v>
      </c>
    </row>
    <row r="25" spans="1:17" x14ac:dyDescent="0.3">
      <c r="A25" s="103" t="str">
        <f>_lists!$B$19</f>
        <v>SC</v>
      </c>
      <c r="B25" s="158">
        <f t="shared" si="0"/>
        <v>9600</v>
      </c>
      <c r="C25" s="108" t="str">
        <f>IF($A25="","",IF(pf_BU="All",IF(SUMIFS(calc_netmode,calc_state,$A25)=0,"—",SUMIFS(calc_netx,calc_state,$A25)/SUMIFS(calc_netmode,calc_state,$A25)),IF($P25=0,"—",IF(INDEX(_calc!$L:$L,$P25),INDEX(_calc!$M:$M,$P25),"—"))))</f>
        <v>—</v>
      </c>
      <c r="D25" s="108">
        <f>IF($A25="","",IF(pf_BU="All",IF(SUMIFS(calc_ep,calc_state,$A25)=0,"—",SUMPRODUCT((calc_state=$A25)*calc_ep*_calc!$CJ$4:$CJ$72)/SUMIFS(calc_ep,calc_state,$A25)-1),IF($P25=0,"—",INDEX(_calc!$H:$H,$P25+51)-1)))</f>
        <v>1.0000000000000009E-2</v>
      </c>
      <c r="E25" s="108">
        <f>IF($A25="","",IF(pf_BU="All",IF(SUMPRODUCT((calc_state=$A25)*calc_ep*_calc!$CI$4:$CI$72)=0,"—",SUMPRODUCT((calc_state=$A25)*calc_ep*_calc!$CI$4:$CI$72*_calc!$CK$4:$CK$72)/SUMPRODUCT((calc_state=$A25)*calc_ep*_calc!$CI$4:$CI$72)-1),IF($P25=0,"—",IF(INDEX(_calc!$O:$O,$P25)=0,"—",INDEX(_calc!$I:$I,$P25+51)-1))))</f>
        <v>1.76314239537807E-2</v>
      </c>
      <c r="F25" s="159">
        <f>IF($A25="","",IF(pf_BU="All",IF(SUMIFS(calc_ep,calc_state,$A25)=0,"—",SUMPRODUCT((calc_state=$A25)*calc_ep*_calc!$CL$4:$CL$72)/SUMIFS(calc_ep,calc_state,$A25)-1),IF($P25=0,"—",INDEX(_calc!$J:$J,$P25+51)-1)))</f>
        <v>2.7808776766698795E-2</v>
      </c>
      <c r="G25" s="108" t="str">
        <f>IF($A25="","",IF(pf_BU="All","—",IF($P25=0,"—",IF(INDEX(_calc!$L:$L,$P25),INDEX(_calc!$J:$J,$P25+51)-1-INDEX(_calc!$M:$M,$P25),"—"))))</f>
        <v>—</v>
      </c>
      <c r="H25" s="116" t="str">
        <f t="shared" si="1"/>
        <v>—</v>
      </c>
      <c r="O25" s="23" t="str">
        <f t="shared" si="2"/>
        <v>ABD|SC</v>
      </c>
      <c r="P25" s="43">
        <f t="shared" si="3"/>
        <v>940</v>
      </c>
      <c r="Q25" s="160">
        <f>IF($P25=0,0,IF(INDEX(_calc!$L:$L,$P25),ABS(INDEX(_calc!$J:$J,$P25+51)-1-INDEX(_calc!$M:$M,$P25)),0))</f>
        <v>0</v>
      </c>
    </row>
    <row r="26" spans="1:17" x14ac:dyDescent="0.3">
      <c r="A26" s="122" t="str">
        <f>_lists!$B$20</f>
        <v>TN</v>
      </c>
      <c r="B26" s="161">
        <f t="shared" si="0"/>
        <v>6400</v>
      </c>
      <c r="C26" s="127" t="str">
        <f>IF($A26="","",IF(pf_BU="All",IF(SUMIFS(calc_netmode,calc_state,$A26)=0,"—",SUMIFS(calc_netx,calc_state,$A26)/SUMIFS(calc_netmode,calc_state,$A26)),IF($P26=0,"—",IF(INDEX(_calc!$L:$L,$P26),INDEX(_calc!$M:$M,$P26),"—"))))</f>
        <v>—</v>
      </c>
      <c r="D26" s="127">
        <f>IF($A26="","",IF(pf_BU="All",IF(SUMIFS(calc_ep,calc_state,$A26)=0,"—",SUMPRODUCT((calc_state=$A26)*calc_ep*_calc!$CJ$4:$CJ$72)/SUMIFS(calc_ep,calc_state,$A26)-1),IF($P26=0,"—",INDEX(_calc!$H:$H,$P26+51)-1)))</f>
        <v>1.6666666666666385E-2</v>
      </c>
      <c r="E26" s="127">
        <f>IF($A26="","",IF(pf_BU="All",IF(SUMPRODUCT((calc_state=$A26)*calc_ep*_calc!$CI$4:$CI$72)=0,"—",SUMPRODUCT((calc_state=$A26)*calc_ep*_calc!$CI$4:$CI$72*_calc!$CK$4:$CK$72)/SUMPRODUCT((calc_state=$A26)*calc_ep*_calc!$CI$4:$CI$72)-1),IF($P26=0,"—",IF(INDEX(_calc!$O:$O,$P26)=0,"—",INDEX(_calc!$I:$I,$P26+51)-1))))</f>
        <v>0</v>
      </c>
      <c r="F26" s="162">
        <f>IF($A26="","",IF(pf_BU="All",IF(SUMIFS(calc_ep,calc_state,$A26)=0,"—",SUMPRODUCT((calc_state=$A26)*calc_ep*_calc!$CL$4:$CL$72)/SUMIFS(calc_ep,calc_state,$A26)-1),IF($P26=0,"—",INDEX(_calc!$J:$J,$P26+51)-1)))</f>
        <v>1.6666666666666385E-2</v>
      </c>
      <c r="G26" s="127" t="str">
        <f>IF($A26="","",IF(pf_BU="All","—",IF($P26=0,"—",IF(INDEX(_calc!$L:$L,$P26),INDEX(_calc!$J:$J,$P26+51)-1-INDEX(_calc!$M:$M,$P26),"—"))))</f>
        <v>—</v>
      </c>
      <c r="H26" s="135" t="str">
        <f t="shared" si="1"/>
        <v>—</v>
      </c>
      <c r="O26" s="23" t="str">
        <f t="shared" si="2"/>
        <v>ABD|TN</v>
      </c>
      <c r="P26" s="43">
        <f t="shared" si="3"/>
        <v>994</v>
      </c>
      <c r="Q26" s="160">
        <f>IF($P26=0,0,IF(INDEX(_calc!$L:$L,$P26),ABS(INDEX(_calc!$J:$J,$P26+51)-1-INDEX(_calc!$M:$M,$P26)),0))</f>
        <v>0</v>
      </c>
    </row>
    <row r="27" spans="1:17" x14ac:dyDescent="0.3">
      <c r="A27" s="103" t="str">
        <f>_lists!$B$21</f>
        <v>VA</v>
      </c>
      <c r="B27" s="158">
        <f t="shared" si="0"/>
        <v>16800</v>
      </c>
      <c r="C27" s="108" t="str">
        <f>IF($A27="","",IF(pf_BU="All",IF(SUMIFS(calc_netmode,calc_state,$A27)=0,"—",SUMIFS(calc_netx,calc_state,$A27)/SUMIFS(calc_netmode,calc_state,$A27)),IF($P27=0,"—",IF(INDEX(_calc!$L:$L,$P27),INDEX(_calc!$M:$M,$P27),"—"))))</f>
        <v>—</v>
      </c>
      <c r="D27" s="108">
        <f>IF($A27="","",IF(pf_BU="All",IF(SUMIFS(calc_ep,calc_state,$A27)=0,"—",SUMPRODUCT((calc_state=$A27)*calc_ep*_calc!$CJ$4:$CJ$72)/SUMIFS(calc_ep,calc_state,$A27)-1),IF($P27=0,"—",INDEX(_calc!$H:$H,$P27+51)-1)))</f>
        <v>2.5000000000000133E-2</v>
      </c>
      <c r="E27" s="108">
        <f>IF($A27="","",IF(pf_BU="All",IF(SUMPRODUCT((calc_state=$A27)*calc_ep*_calc!$CI$4:$CI$72)=0,"—",SUMPRODUCT((calc_state=$A27)*calc_ep*_calc!$CI$4:$CI$72*_calc!$CK$4:$CK$72)/SUMPRODUCT((calc_state=$A27)*calc_ep*_calc!$CI$4:$CI$72)-1),IF($P27=0,"—",IF(INDEX(_calc!$O:$O,$P27)=0,"—",INDEX(_calc!$I:$I,$P27+51)-1))))</f>
        <v>1.3208856410201308E-2</v>
      </c>
      <c r="F27" s="159">
        <f>IF($A27="","",IF(pf_BU="All",IF(SUMIFS(calc_ep,calc_state,$A27)=0,"—",SUMPRODUCT((calc_state=$A27)*calc_ep*_calc!$CL$4:$CL$72)/SUMIFS(calc_ep,calc_state,$A27)-1),IF($P27=0,"—",INDEX(_calc!$J:$J,$P27+51)-1)))</f>
        <v>3.8540170746820701E-2</v>
      </c>
      <c r="G27" s="108" t="str">
        <f>IF($A27="","",IF(pf_BU="All","—",IF($P27=0,"—",IF(INDEX(_calc!$L:$L,$P27),INDEX(_calc!$J:$J,$P27+51)-1-INDEX(_calc!$M:$M,$P27),"—"))))</f>
        <v>—</v>
      </c>
      <c r="H27" s="116" t="str">
        <f t="shared" si="1"/>
        <v>—</v>
      </c>
      <c r="O27" s="23" t="str">
        <f t="shared" si="2"/>
        <v>ABD|VA</v>
      </c>
      <c r="P27" s="43">
        <f t="shared" si="3"/>
        <v>1048</v>
      </c>
      <c r="Q27" s="160">
        <f>IF($P27=0,0,IF(INDEX(_calc!$L:$L,$P27),ABS(INDEX(_calc!$J:$J,$P27+51)-1-INDEX(_calc!$M:$M,$P27)),0))</f>
        <v>0</v>
      </c>
    </row>
    <row r="28" spans="1:17" x14ac:dyDescent="0.3">
      <c r="A28" s="122" t="str">
        <f>_lists!$B$22</f>
        <v>WV</v>
      </c>
      <c r="B28" s="161">
        <f t="shared" si="0"/>
        <v>13600</v>
      </c>
      <c r="C28" s="127" t="str">
        <f>IF($A28="","",IF(pf_BU="All",IF(SUMIFS(calc_netmode,calc_state,$A28)=0,"—",SUMIFS(calc_netx,calc_state,$A28)/SUMIFS(calc_netmode,calc_state,$A28)),IF($P28=0,"—",IF(INDEX(_calc!$L:$L,$P28),INDEX(_calc!$M:$M,$P28),"—"))))</f>
        <v>—</v>
      </c>
      <c r="D28" s="127">
        <f>IF($A28="","",IF(pf_BU="All",IF(SUMIFS(calc_ep,calc_state,$A28)=0,"—",SUMPRODUCT((calc_state=$A28)*calc_ep*_calc!$CJ$4:$CJ$72)/SUMIFS(calc_ep,calc_state,$A28)-1),IF($P28=0,"—",INDEX(_calc!$H:$H,$P28+51)-1)))</f>
        <v>3.5000000000000142E-2</v>
      </c>
      <c r="E28" s="127">
        <f>IF($A28="","",IF(pf_BU="All",IF(SUMPRODUCT((calc_state=$A28)*calc_ep*_calc!$CI$4:$CI$72)=0,"—",SUMPRODUCT((calc_state=$A28)*calc_ep*_calc!$CI$4:$CI$72*_calc!$CK$4:$CK$72)/SUMPRODUCT((calc_state=$A28)*calc_ep*_calc!$CI$4:$CI$72)-1),IF($P28=0,"—",IF(INDEX(_calc!$O:$O,$P28)=0,"—",INDEX(_calc!$I:$I,$P28+51)-1))))</f>
        <v>-4.3835861800088916E-3</v>
      </c>
      <c r="F28" s="162">
        <f>IF($A28="","",IF(pf_BU="All",IF(SUMIFS(calc_ep,calc_state,$A28)=0,"—",SUMPRODUCT((calc_state=$A28)*calc_ep*_calc!$CL$4:$CL$72)/SUMIFS(calc_ep,calc_state,$A28)-1),IF($P28=0,"—",INDEX(_calc!$J:$J,$P28+51)-1)))</f>
        <v>3.0463128892701086E-2</v>
      </c>
      <c r="G28" s="127" t="str">
        <f>IF($A28="","",IF(pf_BU="All","—",IF($P28=0,"—",IF(INDEX(_calc!$L:$L,$P28),INDEX(_calc!$J:$J,$P28+51)-1-INDEX(_calc!$M:$M,$P28),"—"))))</f>
        <v>—</v>
      </c>
      <c r="H28" s="135" t="str">
        <f t="shared" si="1"/>
        <v>—</v>
      </c>
      <c r="O28" s="23" t="str">
        <f t="shared" si="2"/>
        <v>ABD|WV</v>
      </c>
      <c r="P28" s="43">
        <f t="shared" si="3"/>
        <v>1102</v>
      </c>
      <c r="Q28" s="160">
        <f>IF($P28=0,0,IF(INDEX(_calc!$L:$L,$P28),ABS(INDEX(_calc!$J:$J,$P28+51)-1-INDEX(_calc!$M:$M,$P28)),0))</f>
        <v>0</v>
      </c>
    </row>
    <row r="29" spans="1:17" x14ac:dyDescent="0.3">
      <c r="A29" s="103" t="str">
        <f>_lists!$B$23</f>
        <v>WI</v>
      </c>
      <c r="B29" s="158">
        <f t="shared" si="0"/>
        <v>10400</v>
      </c>
      <c r="C29" s="108" t="str">
        <f>IF($A29="","",IF(pf_BU="All",IF(SUMIFS(calc_netmode,calc_state,$A29)=0,"—",SUMIFS(calc_netx,calc_state,$A29)/SUMIFS(calc_netmode,calc_state,$A29)),IF($P29=0,"—",IF(INDEX(_calc!$L:$L,$P29),INDEX(_calc!$M:$M,$P29),"—"))))</f>
        <v>—</v>
      </c>
      <c r="D29" s="108">
        <f>IF($A29="","",IF(pf_BU="All",IF(SUMIFS(calc_ep,calc_state,$A29)=0,"—",SUMPRODUCT((calc_state=$A29)*calc_ep*_calc!$CJ$4:$CJ$72)/SUMIFS(calc_ep,calc_state,$A29)-1),IF($P29=0,"—",INDEX(_calc!$H:$H,$P29+51)-1)))</f>
        <v>0</v>
      </c>
      <c r="E29" s="108">
        <f>IF($A29="","",IF(pf_BU="All",IF(SUMPRODUCT((calc_state=$A29)*calc_ep*_calc!$CI$4:$CI$72)=0,"—",SUMPRODUCT((calc_state=$A29)*calc_ep*_calc!$CI$4:$CI$72*_calc!$CK$4:$CK$72)/SUMPRODUCT((calc_state=$A29)*calc_ep*_calc!$CI$4:$CI$72)-1),IF($P29=0,"—",IF(INDEX(_calc!$O:$O,$P29)=0,"—",INDEX(_calc!$I:$I,$P29+51)-1))))</f>
        <v>8.7961468131063647E-3</v>
      </c>
      <c r="F29" s="159">
        <f>IF($A29="","",IF(pf_BU="All",IF(SUMIFS(calc_ep,calc_state,$A29)=0,"—",SUMPRODUCT((calc_state=$A29)*calc_ep*_calc!$CL$4:$CL$72)/SUMIFS(calc_ep,calc_state,$A29)-1),IF($P29=0,"—",INDEX(_calc!$J:$J,$P29+51)-1)))</f>
        <v>8.7961468131063647E-3</v>
      </c>
      <c r="G29" s="108" t="str">
        <f>IF($A29="","",IF(pf_BU="All","—",IF($P29=0,"—",IF(INDEX(_calc!$L:$L,$P29),INDEX(_calc!$J:$J,$P29+51)-1-INDEX(_calc!$M:$M,$P29),"—"))))</f>
        <v>—</v>
      </c>
      <c r="H29" s="116" t="str">
        <f t="shared" si="1"/>
        <v>—</v>
      </c>
      <c r="O29" s="23" t="str">
        <f t="shared" si="2"/>
        <v>ABD|WI</v>
      </c>
      <c r="P29" s="43">
        <f t="shared" si="3"/>
        <v>1156</v>
      </c>
      <c r="Q29" s="160">
        <f>IF($P29=0,0,IF(INDEX(_calc!$L:$L,$P29),ABS(INDEX(_calc!$J:$J,$P29+51)-1-INDEX(_calc!$M:$M,$P29)),0))</f>
        <v>0</v>
      </c>
    </row>
    <row r="30" spans="1:17" x14ac:dyDescent="0.3">
      <c r="A30" s="122" t="str">
        <f>_lists!$B$24</f>
        <v/>
      </c>
      <c r="B30" s="161" t="str">
        <f t="shared" si="0"/>
        <v/>
      </c>
      <c r="C30" s="127" t="str">
        <f>IF($A30="","",IF(pf_BU="All",IF(SUMIFS(calc_netmode,calc_state,$A30)=0,"—",SUMIFS(calc_netx,calc_state,$A30)/SUMIFS(calc_netmode,calc_state,$A30)),IF($P30=0,"—",IF(INDEX(_calc!$L:$L,$P30),INDEX(_calc!$M:$M,$P30),"—"))))</f>
        <v/>
      </c>
      <c r="D30" s="127" t="str">
        <f>IF($A30="","",IF(pf_BU="All",IF(SUMIFS(calc_ep,calc_state,$A30)=0,"—",SUMPRODUCT((calc_state=$A30)*calc_ep*_calc!$CJ$4:$CJ$72)/SUMIFS(calc_ep,calc_state,$A30)-1),IF($P30=0,"—",INDEX(_calc!$H:$H,$P30+51)-1)))</f>
        <v/>
      </c>
      <c r="E30" s="127" t="str">
        <f>IF($A30="","",IF(pf_BU="All",IF(SUMPRODUCT((calc_state=$A30)*calc_ep*_calc!$CI$4:$CI$72)=0,"—",SUMPRODUCT((calc_state=$A30)*calc_ep*_calc!$CI$4:$CI$72*_calc!$CK$4:$CK$72)/SUMPRODUCT((calc_state=$A30)*calc_ep*_calc!$CI$4:$CI$72)-1),IF($P30=0,"—",IF(INDEX(_calc!$O:$O,$P30)=0,"—",INDEX(_calc!$I:$I,$P30+51)-1))))</f>
        <v/>
      </c>
      <c r="F30" s="162" t="str">
        <f>IF($A30="","",IF(pf_BU="All",IF(SUMIFS(calc_ep,calc_state,$A30)=0,"—",SUMPRODUCT((calc_state=$A30)*calc_ep*_calc!$CL$4:$CL$72)/SUMIFS(calc_ep,calc_state,$A30)-1),IF($P30=0,"—",INDEX(_calc!$J:$J,$P30+51)-1)))</f>
        <v/>
      </c>
      <c r="G30" s="127" t="str">
        <f>IF($A30="","",IF(pf_BU="All","—",IF($P30=0,"—",IF(INDEX(_calc!$L:$L,$P30),INDEX(_calc!$J:$J,$P30+51)-1-INDEX(_calc!$M:$M,$P30),"—"))))</f>
        <v/>
      </c>
      <c r="H30" s="135" t="str">
        <f t="shared" si="1"/>
        <v/>
      </c>
      <c r="O30" s="23" t="str">
        <f t="shared" si="2"/>
        <v/>
      </c>
      <c r="P30" s="43">
        <f t="shared" si="3"/>
        <v>0</v>
      </c>
      <c r="Q30" s="160">
        <f>IF($P30=0,0,IF(INDEX(_calc!$L:$L,$P30),ABS(INDEX(_calc!$J:$J,$P30+51)-1-INDEX(_calc!$M:$M,$P30)),0))</f>
        <v>0</v>
      </c>
    </row>
    <row r="31" spans="1:17" x14ac:dyDescent="0.3">
      <c r="A31" s="103" t="str">
        <f>_lists!$B$25</f>
        <v/>
      </c>
      <c r="B31" s="158" t="str">
        <f t="shared" si="0"/>
        <v/>
      </c>
      <c r="C31" s="108" t="str">
        <f>IF($A31="","",IF(pf_BU="All",IF(SUMIFS(calc_netmode,calc_state,$A31)=0,"—",SUMIFS(calc_netx,calc_state,$A31)/SUMIFS(calc_netmode,calc_state,$A31)),IF($P31=0,"—",IF(INDEX(_calc!$L:$L,$P31),INDEX(_calc!$M:$M,$P31),"—"))))</f>
        <v/>
      </c>
      <c r="D31" s="108" t="str">
        <f>IF($A31="","",IF(pf_BU="All",IF(SUMIFS(calc_ep,calc_state,$A31)=0,"—",SUMPRODUCT((calc_state=$A31)*calc_ep*_calc!$CJ$4:$CJ$72)/SUMIFS(calc_ep,calc_state,$A31)-1),IF($P31=0,"—",INDEX(_calc!$H:$H,$P31+51)-1)))</f>
        <v/>
      </c>
      <c r="E31" s="108" t="str">
        <f>IF($A31="","",IF(pf_BU="All",IF(SUMPRODUCT((calc_state=$A31)*calc_ep*_calc!$CI$4:$CI$72)=0,"—",SUMPRODUCT((calc_state=$A31)*calc_ep*_calc!$CI$4:$CI$72*_calc!$CK$4:$CK$72)/SUMPRODUCT((calc_state=$A31)*calc_ep*_calc!$CI$4:$CI$72)-1),IF($P31=0,"—",IF(INDEX(_calc!$O:$O,$P31)=0,"—",INDEX(_calc!$I:$I,$P31+51)-1))))</f>
        <v/>
      </c>
      <c r="F31" s="159" t="str">
        <f>IF($A31="","",IF(pf_BU="All",IF(SUMIFS(calc_ep,calc_state,$A31)=0,"—",SUMPRODUCT((calc_state=$A31)*calc_ep*_calc!$CL$4:$CL$72)/SUMIFS(calc_ep,calc_state,$A31)-1),IF($P31=0,"—",INDEX(_calc!$J:$J,$P31+51)-1)))</f>
        <v/>
      </c>
      <c r="G31" s="108" t="str">
        <f>IF($A31="","",IF(pf_BU="All","—",IF($P31=0,"—",IF(INDEX(_calc!$L:$L,$P31),INDEX(_calc!$J:$J,$P31+51)-1-INDEX(_calc!$M:$M,$P31),"—"))))</f>
        <v/>
      </c>
      <c r="H31" s="116" t="str">
        <f t="shared" si="1"/>
        <v/>
      </c>
      <c r="O31" s="23" t="str">
        <f t="shared" si="2"/>
        <v/>
      </c>
      <c r="P31" s="43">
        <f t="shared" si="3"/>
        <v>0</v>
      </c>
      <c r="Q31" s="160">
        <f>IF($P31=0,0,IF(INDEX(_calc!$L:$L,$P31),ABS(INDEX(_calc!$J:$J,$P31+51)-1-INDEX(_calc!$M:$M,$P31)),0))</f>
        <v>0</v>
      </c>
    </row>
    <row r="32" spans="1:17" x14ac:dyDescent="0.3">
      <c r="A32" s="122" t="str">
        <f>_lists!$B$26</f>
        <v/>
      </c>
      <c r="B32" s="161" t="str">
        <f t="shared" si="0"/>
        <v/>
      </c>
      <c r="C32" s="127" t="str">
        <f>IF($A32="","",IF(pf_BU="All",IF(SUMIFS(calc_netmode,calc_state,$A32)=0,"—",SUMIFS(calc_netx,calc_state,$A32)/SUMIFS(calc_netmode,calc_state,$A32)),IF($P32=0,"—",IF(INDEX(_calc!$L:$L,$P32),INDEX(_calc!$M:$M,$P32),"—"))))</f>
        <v/>
      </c>
      <c r="D32" s="127" t="str">
        <f>IF($A32="","",IF(pf_BU="All",IF(SUMIFS(calc_ep,calc_state,$A32)=0,"—",SUMPRODUCT((calc_state=$A32)*calc_ep*_calc!$CJ$4:$CJ$72)/SUMIFS(calc_ep,calc_state,$A32)-1),IF($P32=0,"—",INDEX(_calc!$H:$H,$P32+51)-1)))</f>
        <v/>
      </c>
      <c r="E32" s="127" t="str">
        <f>IF($A32="","",IF(pf_BU="All",IF(SUMPRODUCT((calc_state=$A32)*calc_ep*_calc!$CI$4:$CI$72)=0,"—",SUMPRODUCT((calc_state=$A32)*calc_ep*_calc!$CI$4:$CI$72*_calc!$CK$4:$CK$72)/SUMPRODUCT((calc_state=$A32)*calc_ep*_calc!$CI$4:$CI$72)-1),IF($P32=0,"—",IF(INDEX(_calc!$O:$O,$P32)=0,"—",INDEX(_calc!$I:$I,$P32+51)-1))))</f>
        <v/>
      </c>
      <c r="F32" s="162" t="str">
        <f>IF($A32="","",IF(pf_BU="All",IF(SUMIFS(calc_ep,calc_state,$A32)=0,"—",SUMPRODUCT((calc_state=$A32)*calc_ep*_calc!$CL$4:$CL$72)/SUMIFS(calc_ep,calc_state,$A32)-1),IF($P32=0,"—",INDEX(_calc!$J:$J,$P32+51)-1)))</f>
        <v/>
      </c>
      <c r="G32" s="127" t="str">
        <f>IF($A32="","",IF(pf_BU="All","—",IF($P32=0,"—",IF(INDEX(_calc!$L:$L,$P32),INDEX(_calc!$J:$J,$P32+51)-1-INDEX(_calc!$M:$M,$P32),"—"))))</f>
        <v/>
      </c>
      <c r="H32" s="135" t="str">
        <f t="shared" si="1"/>
        <v/>
      </c>
      <c r="O32" s="23" t="str">
        <f t="shared" si="2"/>
        <v/>
      </c>
      <c r="P32" s="43">
        <f t="shared" si="3"/>
        <v>0</v>
      </c>
      <c r="Q32" s="160">
        <f>IF($P32=0,0,IF(INDEX(_calc!$L:$L,$P32),ABS(INDEX(_calc!$J:$J,$P32+51)-1-INDEX(_calc!$M:$M,$P32)),0))</f>
        <v>0</v>
      </c>
    </row>
    <row r="34" spans="1:13" x14ac:dyDescent="0.3">
      <c r="A34" s="163" t="s">
        <v>310</v>
      </c>
      <c r="B34" s="164">
        <f>IF(pf_BU="All",SUM(calc_ep),SUMIFS(calc_ep,calc_bu,pf_BU))</f>
        <v>264800</v>
      </c>
      <c r="C34" s="20" t="str">
        <f>"all states, "&amp;IF(pf_BU="All","every business unit",pf_BU)&amp;" — "&amp;IF(pf_BU="All",SUMPRODUCT(calc_netmode),SUMPRODUCT(calc_netmode*(calc_bu=pf_BU)))&amp;" net combo(s)"</f>
        <v>all states, ABD — 0 net combo(s)</v>
      </c>
    </row>
    <row r="36" spans="1:13" x14ac:dyDescent="0.3">
      <c r="A36" s="51" t="s">
        <v>331</v>
      </c>
    </row>
    <row r="38" spans="1:13" ht="15.6" x14ac:dyDescent="0.3">
      <c r="A38" s="3" t="s">
        <v>332</v>
      </c>
    </row>
    <row r="39" spans="1:13" x14ac:dyDescent="0.3">
      <c r="A39" s="51" t="s">
        <v>333</v>
      </c>
    </row>
    <row r="40" spans="1:13" x14ac:dyDescent="0.3">
      <c r="A40" s="41" t="s">
        <v>104</v>
      </c>
      <c r="B40" s="165" t="str">
        <f>TEXT(DATE(nr_PlanYear,1,1),"mmm")&amp;" "&amp;nr_PlanYear</f>
        <v>Jan 2027</v>
      </c>
      <c r="C40" s="165" t="str">
        <f>TEXT(DATE(nr_PlanYear,2,1),"mmm")&amp;" "&amp;nr_PlanYear</f>
        <v>Feb 2027</v>
      </c>
      <c r="D40" s="165" t="str">
        <f>TEXT(DATE(nr_PlanYear,3,1),"mmm")&amp;" "&amp;nr_PlanYear</f>
        <v>Mar 2027</v>
      </c>
      <c r="E40" s="165" t="str">
        <f>TEXT(DATE(nr_PlanYear,4,1),"mmm")&amp;" "&amp;nr_PlanYear</f>
        <v>Apr 2027</v>
      </c>
      <c r="F40" s="165" t="str">
        <f>TEXT(DATE(nr_PlanYear,5,1),"mmm")&amp;" "&amp;nr_PlanYear</f>
        <v>May 2027</v>
      </c>
      <c r="G40" s="165" t="str">
        <f>TEXT(DATE(nr_PlanYear,6,1),"mmm")&amp;" "&amp;nr_PlanYear</f>
        <v>Jun 2027</v>
      </c>
      <c r="H40" s="165" t="str">
        <f>TEXT(DATE(nr_PlanYear,7,1),"mmm")&amp;" "&amp;nr_PlanYear</f>
        <v>Jul 2027</v>
      </c>
      <c r="I40" s="165" t="str">
        <f>TEXT(DATE(nr_PlanYear,8,1),"mmm")&amp;" "&amp;nr_PlanYear</f>
        <v>Aug 2027</v>
      </c>
      <c r="J40" s="165" t="str">
        <f>TEXT(DATE(nr_PlanYear,9,1),"mmm")&amp;" "&amp;nr_PlanYear</f>
        <v>Sep 2027</v>
      </c>
      <c r="K40" s="165" t="str">
        <f>TEXT(DATE(nr_PlanYear,10,1),"mmm")&amp;" "&amp;nr_PlanYear</f>
        <v>Oct 2027</v>
      </c>
      <c r="L40" s="165" t="str">
        <f>TEXT(DATE(nr_PlanYear,11,1),"mmm")&amp;" "&amp;nr_PlanYear</f>
        <v>Nov 2027</v>
      </c>
      <c r="M40" s="165" t="str">
        <f>TEXT(DATE(nr_PlanYear,12,1),"mmm")&amp;" "&amp;nr_PlanYear</f>
        <v>Dec 2027</v>
      </c>
    </row>
    <row r="41" spans="1:13" x14ac:dyDescent="0.3">
      <c r="A41" s="166" t="str">
        <f>_lists!$B$3</f>
        <v>AZ</v>
      </c>
      <c r="B41" s="167">
        <f>IF($A41="","",IF(pf_BU="All",IF(SUMPRODUCT((calc_state=$A41)*_calc!$BW$4:$BW$72)=0,"",SUMPRODUCT((calc_state=$A41)*_calc!$BW$4:$BW$72*_calc!$AY$4:$AY$72)/SUMPRODUCT((calc_state=$A41)*_calc!$BW$4:$BW$72)),IF($P$9=0,"",INDEX(_calc!$N:$N,$P$9+27)/INDEX(_calc!$N:$N,$P$9+15)-1)))</f>
        <v>6.0000000000000053E-2</v>
      </c>
      <c r="C41" s="167">
        <f>IF($A41="","",IF(pf_BU="All",IF(SUMPRODUCT((calc_state=$A41)*_calc!$BX$4:$BX$72)=0,"",SUMPRODUCT((calc_state=$A41)*_calc!$BX$4:$BX$72*_calc!$AZ$4:$AZ$72)/SUMPRODUCT((calc_state=$A41)*_calc!$BX$4:$BX$72)),IF($P$9=0,"",INDEX(_calc!$N:$N,$P$9+28)/INDEX(_calc!$N:$N,$P$9+16)-1)))</f>
        <v>6.0000000000000053E-2</v>
      </c>
      <c r="D41" s="167">
        <f>IF($A41="","",IF(pf_BU="All",IF(SUMPRODUCT((calc_state=$A41)*_calc!$BY$4:$BY$72)=0,"",SUMPRODUCT((calc_state=$A41)*_calc!$BY$4:$BY$72*_calc!$BA$4:$BA$72)/SUMPRODUCT((calc_state=$A41)*_calc!$BY$4:$BY$72)),IF($P$9=0,"",INDEX(_calc!$N:$N,$P$9+29)/INDEX(_calc!$N:$N,$P$9+17)-1)))</f>
        <v>6.0000000000000053E-2</v>
      </c>
      <c r="E41" s="167">
        <f>IF($A41="","",IF(pf_BU="All",IF(SUMPRODUCT((calc_state=$A41)*_calc!$BZ$4:$BZ$72)=0,"",SUMPRODUCT((calc_state=$A41)*_calc!$BZ$4:$BZ$72*_calc!$BB$4:$BB$72)/SUMPRODUCT((calc_state=$A41)*_calc!$BZ$4:$BZ$72)),IF($P$9=0,"",INDEX(_calc!$N:$N,$P$9+30)/INDEX(_calc!$N:$N,$P$9+18)-1)))</f>
        <v>0.11299999999999999</v>
      </c>
      <c r="F41" s="167">
        <f>IF($A41="","",IF(pf_BU="All",IF(SUMPRODUCT((calc_state=$A41)*_calc!$CA$4:$CA$72)=0,"",SUMPRODUCT((calc_state=$A41)*_calc!$CA$4:$CA$72*_calc!$BC$4:$BC$72)/SUMPRODUCT((calc_state=$A41)*_calc!$CA$4:$CA$72)),IF($P$9=0,"",INDEX(_calc!$N:$N,$P$9+31)/INDEX(_calc!$N:$N,$P$9+19)-1)))</f>
        <v>0.11299999999999999</v>
      </c>
      <c r="G41" s="167">
        <f>IF($A41="","",IF(pf_BU="All",IF(SUMPRODUCT((calc_state=$A41)*_calc!$CB$4:$CB$72)=0,"",SUMPRODUCT((calc_state=$A41)*_calc!$CB$4:$CB$72*_calc!$BD$4:$BD$72)/SUMPRODUCT((calc_state=$A41)*_calc!$CB$4:$CB$72)),IF($P$9=0,"",INDEX(_calc!$N:$N,$P$9+32)/INDEX(_calc!$N:$N,$P$9+20)-1)))</f>
        <v>0.11299999999999999</v>
      </c>
      <c r="H41" s="167">
        <f>IF($A41="","",IF(pf_BU="All",IF(SUMPRODUCT((calc_state=$A41)*_calc!$CC$4:$CC$72)=0,"",SUMPRODUCT((calc_state=$A41)*_calc!$CC$4:$CC$72*_calc!$BE$4:$BE$72)/SUMPRODUCT((calc_state=$A41)*_calc!$CC$4:$CC$72)),IF($P$9=0,"",INDEX(_calc!$N:$N,$P$9+33)/INDEX(_calc!$N:$N,$P$9+21)-1)))</f>
        <v>5.0000000000000044E-2</v>
      </c>
      <c r="I41" s="167">
        <f>IF($A41="","",IF(pf_BU="All",IF(SUMPRODUCT((calc_state=$A41)*_calc!$CD$4:$CD$72)=0,"",SUMPRODUCT((calc_state=$A41)*_calc!$CD$4:$CD$72*_calc!$BF$4:$BF$72)/SUMPRODUCT((calc_state=$A41)*_calc!$CD$4:$CD$72)),IF($P$9=0,"",INDEX(_calc!$N:$N,$P$9+34)/INDEX(_calc!$N:$N,$P$9+22)-1)))</f>
        <v>5.0000000000000044E-2</v>
      </c>
      <c r="J41" s="167">
        <f>IF($A41="","",IF(pf_BU="All",IF(SUMPRODUCT((calc_state=$A41)*_calc!$CE$4:$CE$72)=0,"",SUMPRODUCT((calc_state=$A41)*_calc!$CE$4:$CE$72*_calc!$BG$4:$BG$72)/SUMPRODUCT((calc_state=$A41)*_calc!$CE$4:$CE$72)),IF($P$9=0,"",INDEX(_calc!$N:$N,$P$9+35)/INDEX(_calc!$N:$N,$P$9+23)-1)))</f>
        <v>5.0000000000000044E-2</v>
      </c>
      <c r="K41" s="167">
        <f>IF($A41="","",IF(pf_BU="All",IF(SUMPRODUCT((calc_state=$A41)*_calc!$CF$4:$CF$72)=0,"",SUMPRODUCT((calc_state=$A41)*_calc!$CF$4:$CF$72*_calc!$BH$4:$BH$72)/SUMPRODUCT((calc_state=$A41)*_calc!$CF$4:$CF$72)),IF($P$9=0,"",INDEX(_calc!$N:$N,$P$9+36)/INDEX(_calc!$N:$N,$P$9+24)-1)))</f>
        <v>5.0000000000000044E-2</v>
      </c>
      <c r="L41" s="167">
        <f>IF($A41="","",IF(pf_BU="All",IF(SUMPRODUCT((calc_state=$A41)*_calc!$CG$4:$CG$72)=0,"",SUMPRODUCT((calc_state=$A41)*_calc!$CG$4:$CG$72*_calc!$BI$4:$BI$72)/SUMPRODUCT((calc_state=$A41)*_calc!$CG$4:$CG$72)),IF($P$9=0,"",INDEX(_calc!$N:$N,$P$9+37)/INDEX(_calc!$N:$N,$P$9+25)-1)))</f>
        <v>5.0000000000000044E-2</v>
      </c>
      <c r="M41" s="167">
        <f>IF($A41="","",IF(pf_BU="All",IF(SUMPRODUCT((calc_state=$A41)*_calc!$CH$4:$CH$72)=0,"",SUMPRODUCT((calc_state=$A41)*_calc!$CH$4:$CH$72*_calc!$BJ$4:$BJ$72)/SUMPRODUCT((calc_state=$A41)*_calc!$CH$4:$CH$72)),IF($P$9=0,"",INDEX(_calc!$N:$N,$P$9+38)/INDEX(_calc!$N:$N,$P$9+26)-1)))</f>
        <v>5.0000000000000044E-2</v>
      </c>
    </row>
    <row r="42" spans="1:13" x14ac:dyDescent="0.3">
      <c r="A42" s="166" t="str">
        <f>_lists!$B$4</f>
        <v>CO</v>
      </c>
      <c r="B42" s="167">
        <f>IF($A42="","",IF(pf_BU="All",IF(SUMPRODUCT((calc_state=$A42)*_calc!$BW$4:$BW$72)=0,"",SUMPRODUCT((calc_state=$A42)*_calc!$BW$4:$BW$72*_calc!$AY$4:$AY$72)/SUMPRODUCT((calc_state=$A42)*_calc!$BW$4:$BW$72)),IF($P$10=0,"",INDEX(_calc!$N:$N,$P$10+27)/INDEX(_calc!$N:$N,$P$10+15)-1)))</f>
        <v>3.0000000000000027E-2</v>
      </c>
      <c r="C42" s="167">
        <f>IF($A42="","",IF(pf_BU="All",IF(SUMPRODUCT((calc_state=$A42)*_calc!$BX$4:$BX$72)=0,"",SUMPRODUCT((calc_state=$A42)*_calc!$BX$4:$BX$72*_calc!$AZ$4:$AZ$72)/SUMPRODUCT((calc_state=$A42)*_calc!$BX$4:$BX$72)),IF($P$10=0,"",INDEX(_calc!$N:$N,$P$10+28)/INDEX(_calc!$N:$N,$P$10+16)-1)))</f>
        <v>4.0000000000000036E-2</v>
      </c>
      <c r="D42" s="167">
        <f>IF($A42="","",IF(pf_BU="All",IF(SUMPRODUCT((calc_state=$A42)*_calc!$BY$4:$BY$72)=0,"",SUMPRODUCT((calc_state=$A42)*_calc!$BY$4:$BY$72*_calc!$BA$4:$BA$72)/SUMPRODUCT((calc_state=$A42)*_calc!$BY$4:$BY$72)),IF($P$10=0,"",INDEX(_calc!$N:$N,$P$10+29)/INDEX(_calc!$N:$N,$P$10+17)-1)))</f>
        <v>4.0000000000000036E-2</v>
      </c>
      <c r="E42" s="167">
        <f>IF($A42="","",IF(pf_BU="All",IF(SUMPRODUCT((calc_state=$A42)*_calc!$BZ$4:$BZ$72)=0,"",SUMPRODUCT((calc_state=$A42)*_calc!$BZ$4:$BZ$72*_calc!$BB$4:$BB$72)/SUMPRODUCT((calc_state=$A42)*_calc!$BZ$4:$BZ$72)),IF($P$10=0,"",INDEX(_calc!$N:$N,$P$10+30)/INDEX(_calc!$N:$N,$P$10+18)-1)))</f>
        <v>4.0000000000000036E-2</v>
      </c>
      <c r="F42" s="167">
        <f>IF($A42="","",IF(pf_BU="All",IF(SUMPRODUCT((calc_state=$A42)*_calc!$CA$4:$CA$72)=0,"",SUMPRODUCT((calc_state=$A42)*_calc!$CA$4:$CA$72*_calc!$BC$4:$BC$72)/SUMPRODUCT((calc_state=$A42)*_calc!$CA$4:$CA$72)),IF($P$10=0,"",INDEX(_calc!$N:$N,$P$10+31)/INDEX(_calc!$N:$N,$P$10+19)-1)))</f>
        <v>4.0000000000000036E-2</v>
      </c>
      <c r="G42" s="167">
        <f>IF($A42="","",IF(pf_BU="All",IF(SUMPRODUCT((calc_state=$A42)*_calc!$CB$4:$CB$72)=0,"",SUMPRODUCT((calc_state=$A42)*_calc!$CB$4:$CB$72*_calc!$BD$4:$BD$72)/SUMPRODUCT((calc_state=$A42)*_calc!$CB$4:$CB$72)),IF($P$10=0,"",INDEX(_calc!$N:$N,$P$10+32)/INDEX(_calc!$N:$N,$P$10+20)-1)))</f>
        <v>4.0000000000000036E-2</v>
      </c>
      <c r="H42" s="167">
        <f>IF($A42="","",IF(pf_BU="All",IF(SUMPRODUCT((calc_state=$A42)*_calc!$CC$4:$CC$72)=0,"",SUMPRODUCT((calc_state=$A42)*_calc!$CC$4:$CC$72*_calc!$BE$4:$BE$72)/SUMPRODUCT((calc_state=$A42)*_calc!$CC$4:$CC$72)),IF($P$10=0,"",INDEX(_calc!$N:$N,$P$10+33)/INDEX(_calc!$N:$N,$P$10+21)-1)))</f>
        <v>4.0000000000000036E-2</v>
      </c>
      <c r="I42" s="167">
        <f>IF($A42="","",IF(pf_BU="All",IF(SUMPRODUCT((calc_state=$A42)*_calc!$CD$4:$CD$72)=0,"",SUMPRODUCT((calc_state=$A42)*_calc!$CD$4:$CD$72*_calc!$BF$4:$BF$72)/SUMPRODUCT((calc_state=$A42)*_calc!$CD$4:$CD$72)),IF($P$10=0,"",INDEX(_calc!$N:$N,$P$10+34)/INDEX(_calc!$N:$N,$P$10+22)-1)))</f>
        <v>4.0000000000000036E-2</v>
      </c>
      <c r="J42" s="167">
        <f>IF($A42="","",IF(pf_BU="All",IF(SUMPRODUCT((calc_state=$A42)*_calc!$CE$4:$CE$72)=0,"",SUMPRODUCT((calc_state=$A42)*_calc!$CE$4:$CE$72*_calc!$BG$4:$BG$72)/SUMPRODUCT((calc_state=$A42)*_calc!$CE$4:$CE$72)),IF($P$10=0,"",INDEX(_calc!$N:$N,$P$10+35)/INDEX(_calc!$N:$N,$P$10+23)-1)))</f>
        <v>4.0000000000000036E-2</v>
      </c>
      <c r="K42" s="167">
        <f>IF($A42="","",IF(pf_BU="All",IF(SUMPRODUCT((calc_state=$A42)*_calc!$CF$4:$CF$72)=0,"",SUMPRODUCT((calc_state=$A42)*_calc!$CF$4:$CF$72*_calc!$BH$4:$BH$72)/SUMPRODUCT((calc_state=$A42)*_calc!$CF$4:$CF$72)),IF($P$10=0,"",INDEX(_calc!$N:$N,$P$10+36)/INDEX(_calc!$N:$N,$P$10+24)-1)))</f>
        <v>4.0000000000000036E-2</v>
      </c>
      <c r="L42" s="167">
        <f>IF($A42="","",IF(pf_BU="All",IF(SUMPRODUCT((calc_state=$A42)*_calc!$CG$4:$CG$72)=0,"",SUMPRODUCT((calc_state=$A42)*_calc!$CG$4:$CG$72*_calc!$BI$4:$BI$72)/SUMPRODUCT((calc_state=$A42)*_calc!$CG$4:$CG$72)),IF($P$10=0,"",INDEX(_calc!$N:$N,$P$10+37)/INDEX(_calc!$N:$N,$P$10+25)-1)))</f>
        <v>4.0000000000000036E-2</v>
      </c>
      <c r="M42" s="167">
        <f>IF($A42="","",IF(pf_BU="All",IF(SUMPRODUCT((calc_state=$A42)*_calc!$CH$4:$CH$72)=0,"",SUMPRODUCT((calc_state=$A42)*_calc!$CH$4:$CH$72*_calc!$BJ$4:$BJ$72)/SUMPRODUCT((calc_state=$A42)*_calc!$CH$4:$CH$72)),IF($P$10=0,"",INDEX(_calc!$N:$N,$P$10+38)/INDEX(_calc!$N:$N,$P$10+26)-1)))</f>
        <v>4.0000000000000036E-2</v>
      </c>
    </row>
    <row r="43" spans="1:13" x14ac:dyDescent="0.3">
      <c r="A43" s="166" t="str">
        <f>_lists!$B$5</f>
        <v>DE</v>
      </c>
      <c r="B43" s="167">
        <f>IF($A43="","",IF(pf_BU="All",IF(SUMPRODUCT((calc_state=$A43)*_calc!$BW$4:$BW$72)=0,"",SUMPRODUCT((calc_state=$A43)*_calc!$BW$4:$BW$72*_calc!$AY$4:$AY$72)/SUMPRODUCT((calc_state=$A43)*_calc!$BW$4:$BW$72)),IF($P$11=0,"",INDEX(_calc!$N:$N,$P$11+27)/INDEX(_calc!$N:$N,$P$11+15)-1)))</f>
        <v>0</v>
      </c>
      <c r="C43" s="167">
        <f>IF($A43="","",IF(pf_BU="All",IF(SUMPRODUCT((calc_state=$A43)*_calc!$BX$4:$BX$72)=0,"",SUMPRODUCT((calc_state=$A43)*_calc!$BX$4:$BX$72*_calc!$AZ$4:$AZ$72)/SUMPRODUCT((calc_state=$A43)*_calc!$BX$4:$BX$72)),IF($P$11=0,"",INDEX(_calc!$N:$N,$P$11+28)/INDEX(_calc!$N:$N,$P$11+16)-1)))</f>
        <v>0</v>
      </c>
      <c r="D43" s="167">
        <f>IF($A43="","",IF(pf_BU="All",IF(SUMPRODUCT((calc_state=$A43)*_calc!$BY$4:$BY$72)=0,"",SUMPRODUCT((calc_state=$A43)*_calc!$BY$4:$BY$72*_calc!$BA$4:$BA$72)/SUMPRODUCT((calc_state=$A43)*_calc!$BY$4:$BY$72)),IF($P$11=0,"",INDEX(_calc!$N:$N,$P$11+29)/INDEX(_calc!$N:$N,$P$11+17)-1)))</f>
        <v>0</v>
      </c>
      <c r="E43" s="167">
        <f>IF($A43="","",IF(pf_BU="All",IF(SUMPRODUCT((calc_state=$A43)*_calc!$BZ$4:$BZ$72)=0,"",SUMPRODUCT((calc_state=$A43)*_calc!$BZ$4:$BZ$72*_calc!$BB$4:$BB$72)/SUMPRODUCT((calc_state=$A43)*_calc!$BZ$4:$BZ$72)),IF($P$11=0,"",INDEX(_calc!$N:$N,$P$11+30)/INDEX(_calc!$N:$N,$P$11+18)-1)))</f>
        <v>0</v>
      </c>
      <c r="F43" s="167">
        <f>IF($A43="","",IF(pf_BU="All",IF(SUMPRODUCT((calc_state=$A43)*_calc!$CA$4:$CA$72)=0,"",SUMPRODUCT((calc_state=$A43)*_calc!$CA$4:$CA$72*_calc!$BC$4:$BC$72)/SUMPRODUCT((calc_state=$A43)*_calc!$CA$4:$CA$72)),IF($P$11=0,"",INDEX(_calc!$N:$N,$P$11+31)/INDEX(_calc!$N:$N,$P$11+19)-1)))</f>
        <v>0</v>
      </c>
      <c r="G43" s="167">
        <f>IF($A43="","",IF(pf_BU="All",IF(SUMPRODUCT((calc_state=$A43)*_calc!$CB$4:$CB$72)=0,"",SUMPRODUCT((calc_state=$A43)*_calc!$CB$4:$CB$72*_calc!$BD$4:$BD$72)/SUMPRODUCT((calc_state=$A43)*_calc!$CB$4:$CB$72)),IF($P$11=0,"",INDEX(_calc!$N:$N,$P$11+32)/INDEX(_calc!$N:$N,$P$11+20)-1)))</f>
        <v>0</v>
      </c>
      <c r="H43" s="167">
        <f>IF($A43="","",IF(pf_BU="All",IF(SUMPRODUCT((calc_state=$A43)*_calc!$CC$4:$CC$72)=0,"",SUMPRODUCT((calc_state=$A43)*_calc!$CC$4:$CC$72*_calc!$BE$4:$BE$72)/SUMPRODUCT((calc_state=$A43)*_calc!$CC$4:$CC$72)),IF($P$11=0,"",INDEX(_calc!$N:$N,$P$11+33)/INDEX(_calc!$N:$N,$P$11+21)-1)))</f>
        <v>0</v>
      </c>
      <c r="I43" s="167">
        <f>IF($A43="","",IF(pf_BU="All",IF(SUMPRODUCT((calc_state=$A43)*_calc!$CD$4:$CD$72)=0,"",SUMPRODUCT((calc_state=$A43)*_calc!$CD$4:$CD$72*_calc!$BF$4:$BF$72)/SUMPRODUCT((calc_state=$A43)*_calc!$CD$4:$CD$72)),IF($P$11=0,"",INDEX(_calc!$N:$N,$P$11+34)/INDEX(_calc!$N:$N,$P$11+22)-1)))</f>
        <v>0</v>
      </c>
      <c r="J43" s="167">
        <f>IF($A43="","",IF(pf_BU="All",IF(SUMPRODUCT((calc_state=$A43)*_calc!$CE$4:$CE$72)=0,"",SUMPRODUCT((calc_state=$A43)*_calc!$CE$4:$CE$72*_calc!$BG$4:$BG$72)/SUMPRODUCT((calc_state=$A43)*_calc!$CE$4:$CE$72)),IF($P$11=0,"",INDEX(_calc!$N:$N,$P$11+35)/INDEX(_calc!$N:$N,$P$11+23)-1)))</f>
        <v>0</v>
      </c>
      <c r="K43" s="167">
        <f>IF($A43="","",IF(pf_BU="All",IF(SUMPRODUCT((calc_state=$A43)*_calc!$CF$4:$CF$72)=0,"",SUMPRODUCT((calc_state=$A43)*_calc!$CF$4:$CF$72*_calc!$BH$4:$BH$72)/SUMPRODUCT((calc_state=$A43)*_calc!$CF$4:$CF$72)),IF($P$11=0,"",INDEX(_calc!$N:$N,$P$11+36)/INDEX(_calc!$N:$N,$P$11+24)-1)))</f>
        <v>0</v>
      </c>
      <c r="L43" s="167">
        <f>IF($A43="","",IF(pf_BU="All",IF(SUMPRODUCT((calc_state=$A43)*_calc!$CG$4:$CG$72)=0,"",SUMPRODUCT((calc_state=$A43)*_calc!$CG$4:$CG$72*_calc!$BI$4:$BI$72)/SUMPRODUCT((calc_state=$A43)*_calc!$CG$4:$CG$72)),IF($P$11=0,"",INDEX(_calc!$N:$N,$P$11+37)/INDEX(_calc!$N:$N,$P$11+25)-1)))</f>
        <v>0</v>
      </c>
      <c r="M43" s="167">
        <f>IF($A43="","",IF(pf_BU="All",IF(SUMPRODUCT((calc_state=$A43)*_calc!$CH$4:$CH$72)=0,"",SUMPRODUCT((calc_state=$A43)*_calc!$CH$4:$CH$72*_calc!$BJ$4:$BJ$72)/SUMPRODUCT((calc_state=$A43)*_calc!$CH$4:$CH$72)),IF($P$11=0,"",INDEX(_calc!$N:$N,$P$11+38)/INDEX(_calc!$N:$N,$P$11+26)-1)))</f>
        <v>0</v>
      </c>
    </row>
    <row r="44" spans="1:13" x14ac:dyDescent="0.3">
      <c r="A44" s="166" t="str">
        <f>_lists!$B$6</f>
        <v>FL</v>
      </c>
      <c r="B44" s="167">
        <f>IF($A44="","",IF(pf_BU="All",IF(SUMPRODUCT((calc_state=$A44)*_calc!$BW$4:$BW$72)=0,"",SUMPRODUCT((calc_state=$A44)*_calc!$BW$4:$BW$72*_calc!$AY$4:$AY$72)/SUMPRODUCT((calc_state=$A44)*_calc!$BW$4:$BW$72)),IF($P$12=0,"",INDEX(_calc!$N:$N,$P$12+27)/INDEX(_calc!$N:$N,$P$12+15)-1)))</f>
        <v>5.0000000000000044E-2</v>
      </c>
      <c r="C44" s="167">
        <f>IF($A44="","",IF(pf_BU="All",IF(SUMPRODUCT((calc_state=$A44)*_calc!$BX$4:$BX$72)=0,"",SUMPRODUCT((calc_state=$A44)*_calc!$BX$4:$BX$72*_calc!$AZ$4:$AZ$72)/SUMPRODUCT((calc_state=$A44)*_calc!$BX$4:$BX$72)),IF($P$12=0,"",INDEX(_calc!$N:$N,$P$12+28)/INDEX(_calc!$N:$N,$P$12+16)-1)))</f>
        <v>5.0000000000000044E-2</v>
      </c>
      <c r="D44" s="167">
        <f>IF($A44="","",IF(pf_BU="All",IF(SUMPRODUCT((calc_state=$A44)*_calc!$BY$4:$BY$72)=0,"",SUMPRODUCT((calc_state=$A44)*_calc!$BY$4:$BY$72*_calc!$BA$4:$BA$72)/SUMPRODUCT((calc_state=$A44)*_calc!$BY$4:$BY$72)),IF($P$12=0,"",INDEX(_calc!$N:$N,$P$12+29)/INDEX(_calc!$N:$N,$P$12+17)-1)))</f>
        <v>5.0000000000000044E-2</v>
      </c>
      <c r="E44" s="167">
        <f>IF($A44="","",IF(pf_BU="All",IF(SUMPRODUCT((calc_state=$A44)*_calc!$BZ$4:$BZ$72)=0,"",SUMPRODUCT((calc_state=$A44)*_calc!$BZ$4:$BZ$72*_calc!$BB$4:$BB$72)/SUMPRODUCT((calc_state=$A44)*_calc!$BZ$4:$BZ$72)),IF($P$12=0,"",INDEX(_calc!$N:$N,$P$12+30)/INDEX(_calc!$N:$N,$P$12+18)-1)))</f>
        <v>0</v>
      </c>
      <c r="F44" s="167">
        <f>IF($A44="","",IF(pf_BU="All",IF(SUMPRODUCT((calc_state=$A44)*_calc!$CA$4:$CA$72)=0,"",SUMPRODUCT((calc_state=$A44)*_calc!$CA$4:$CA$72*_calc!$BC$4:$BC$72)/SUMPRODUCT((calc_state=$A44)*_calc!$CA$4:$CA$72)),IF($P$12=0,"",INDEX(_calc!$N:$N,$P$12+31)/INDEX(_calc!$N:$N,$P$12+19)-1)))</f>
        <v>0</v>
      </c>
      <c r="G44" s="167">
        <f>IF($A44="","",IF(pf_BU="All",IF(SUMPRODUCT((calc_state=$A44)*_calc!$CB$4:$CB$72)=0,"",SUMPRODUCT((calc_state=$A44)*_calc!$CB$4:$CB$72*_calc!$BD$4:$BD$72)/SUMPRODUCT((calc_state=$A44)*_calc!$CB$4:$CB$72)),IF($P$12=0,"",INDEX(_calc!$N:$N,$P$12+32)/INDEX(_calc!$N:$N,$P$12+20)-1)))</f>
        <v>0</v>
      </c>
      <c r="H44" s="167">
        <f>IF($A44="","",IF(pf_BU="All",IF(SUMPRODUCT((calc_state=$A44)*_calc!$CC$4:$CC$72)=0,"",SUMPRODUCT((calc_state=$A44)*_calc!$CC$4:$CC$72*_calc!$BE$4:$BE$72)/SUMPRODUCT((calc_state=$A44)*_calc!$CC$4:$CC$72)),IF($P$12=0,"",INDEX(_calc!$N:$N,$P$12+33)/INDEX(_calc!$N:$N,$P$12+21)-1)))</f>
        <v>0</v>
      </c>
      <c r="I44" s="167">
        <f>IF($A44="","",IF(pf_BU="All",IF(SUMPRODUCT((calc_state=$A44)*_calc!$CD$4:$CD$72)=0,"",SUMPRODUCT((calc_state=$A44)*_calc!$CD$4:$CD$72*_calc!$BF$4:$BF$72)/SUMPRODUCT((calc_state=$A44)*_calc!$CD$4:$CD$72)),IF($P$12=0,"",INDEX(_calc!$N:$N,$P$12+34)/INDEX(_calc!$N:$N,$P$12+22)-1)))</f>
        <v>0</v>
      </c>
      <c r="J44" s="167">
        <f>IF($A44="","",IF(pf_BU="All",IF(SUMPRODUCT((calc_state=$A44)*_calc!$CE$4:$CE$72)=0,"",SUMPRODUCT((calc_state=$A44)*_calc!$CE$4:$CE$72*_calc!$BG$4:$BG$72)/SUMPRODUCT((calc_state=$A44)*_calc!$CE$4:$CE$72)),IF($P$12=0,"",INDEX(_calc!$N:$N,$P$12+35)/INDEX(_calc!$N:$N,$P$12+23)-1)))</f>
        <v>0</v>
      </c>
      <c r="K44" s="167">
        <f>IF($A44="","",IF(pf_BU="All",IF(SUMPRODUCT((calc_state=$A44)*_calc!$CF$4:$CF$72)=0,"",SUMPRODUCT((calc_state=$A44)*_calc!$CF$4:$CF$72*_calc!$BH$4:$BH$72)/SUMPRODUCT((calc_state=$A44)*_calc!$CF$4:$CF$72)),IF($P$12=0,"",INDEX(_calc!$N:$N,$P$12+36)/INDEX(_calc!$N:$N,$P$12+24)-1)))</f>
        <v>0</v>
      </c>
      <c r="L44" s="167">
        <f>IF($A44="","",IF(pf_BU="All",IF(SUMPRODUCT((calc_state=$A44)*_calc!$CG$4:$CG$72)=0,"",SUMPRODUCT((calc_state=$A44)*_calc!$CG$4:$CG$72*_calc!$BI$4:$BI$72)/SUMPRODUCT((calc_state=$A44)*_calc!$CG$4:$CG$72)),IF($P$12=0,"",INDEX(_calc!$N:$N,$P$12+37)/INDEX(_calc!$N:$N,$P$12+25)-1)))</f>
        <v>0</v>
      </c>
      <c r="M44" s="167">
        <f>IF($A44="","",IF(pf_BU="All",IF(SUMPRODUCT((calc_state=$A44)*_calc!$CH$4:$CH$72)=0,"",SUMPRODUCT((calc_state=$A44)*_calc!$CH$4:$CH$72*_calc!$BJ$4:$BJ$72)/SUMPRODUCT((calc_state=$A44)*_calc!$CH$4:$CH$72)),IF($P$12=0,"",INDEX(_calc!$N:$N,$P$12+38)/INDEX(_calc!$N:$N,$P$12+26)-1)))</f>
        <v>0</v>
      </c>
    </row>
    <row r="45" spans="1:13" x14ac:dyDescent="0.3">
      <c r="A45" s="166" t="str">
        <f>_lists!$B$7</f>
        <v>GA</v>
      </c>
      <c r="B45" s="167">
        <f>IF($A45="","",IF(pf_BU="All",IF(SUMPRODUCT((calc_state=$A45)*_calc!$BW$4:$BW$72)=0,"",SUMPRODUCT((calc_state=$A45)*_calc!$BW$4:$BW$72*_calc!$AY$4:$AY$72)/SUMPRODUCT((calc_state=$A45)*_calc!$BW$4:$BW$72)),IF($P$13=0,"",INDEX(_calc!$N:$N,$P$13+27)/INDEX(_calc!$N:$N,$P$13+15)-1)))</f>
        <v>6.0000000000000053E-2</v>
      </c>
      <c r="C45" s="167">
        <f>IF($A45="","",IF(pf_BU="All",IF(SUMPRODUCT((calc_state=$A45)*_calc!$BX$4:$BX$72)=0,"",SUMPRODUCT((calc_state=$A45)*_calc!$BX$4:$BX$72*_calc!$AZ$4:$AZ$72)/SUMPRODUCT((calc_state=$A45)*_calc!$BX$4:$BX$72)),IF($P$13=0,"",INDEX(_calc!$N:$N,$P$13+28)/INDEX(_calc!$N:$N,$P$13+16)-1)))</f>
        <v>6.0000000000000053E-2</v>
      </c>
      <c r="D45" s="167">
        <f>IF($A45="","",IF(pf_BU="All",IF(SUMPRODUCT((calc_state=$A45)*_calc!$BY$4:$BY$72)=0,"",SUMPRODUCT((calc_state=$A45)*_calc!$BY$4:$BY$72*_calc!$BA$4:$BA$72)/SUMPRODUCT((calc_state=$A45)*_calc!$BY$4:$BY$72)),IF($P$13=0,"",INDEX(_calc!$N:$N,$P$13+29)/INDEX(_calc!$N:$N,$P$13+17)-1)))</f>
        <v>6.0000000000000053E-2</v>
      </c>
      <c r="E45" s="167">
        <f>IF($A45="","",IF(pf_BU="All",IF(SUMPRODUCT((calc_state=$A45)*_calc!$BZ$4:$BZ$72)=0,"",SUMPRODUCT((calc_state=$A45)*_calc!$BZ$4:$BZ$72*_calc!$BB$4:$BB$72)/SUMPRODUCT((calc_state=$A45)*_calc!$BZ$4:$BZ$72)),IF($P$13=0,"",INDEX(_calc!$N:$N,$P$13+30)/INDEX(_calc!$N:$N,$P$13+18)-1)))</f>
        <v>6.0000000000000053E-2</v>
      </c>
      <c r="F45" s="167">
        <f>IF($A45="","",IF(pf_BU="All",IF(SUMPRODUCT((calc_state=$A45)*_calc!$CA$4:$CA$72)=0,"",SUMPRODUCT((calc_state=$A45)*_calc!$CA$4:$CA$72*_calc!$BC$4:$BC$72)/SUMPRODUCT((calc_state=$A45)*_calc!$CA$4:$CA$72)),IF($P$13=0,"",INDEX(_calc!$N:$N,$P$13+31)/INDEX(_calc!$N:$N,$P$13+19)-1)))</f>
        <v>0</v>
      </c>
      <c r="G45" s="167">
        <f>IF($A45="","",IF(pf_BU="All",IF(SUMPRODUCT((calc_state=$A45)*_calc!$CB$4:$CB$72)=0,"",SUMPRODUCT((calc_state=$A45)*_calc!$CB$4:$CB$72*_calc!$BD$4:$BD$72)/SUMPRODUCT((calc_state=$A45)*_calc!$CB$4:$CB$72)),IF($P$13=0,"",INDEX(_calc!$N:$N,$P$13+32)/INDEX(_calc!$N:$N,$P$13+20)-1)))</f>
        <v>0</v>
      </c>
      <c r="H45" s="167">
        <f>IF($A45="","",IF(pf_BU="All",IF(SUMPRODUCT((calc_state=$A45)*_calc!$CC$4:$CC$72)=0,"",SUMPRODUCT((calc_state=$A45)*_calc!$CC$4:$CC$72*_calc!$BE$4:$BE$72)/SUMPRODUCT((calc_state=$A45)*_calc!$CC$4:$CC$72)),IF($P$13=0,"",INDEX(_calc!$N:$N,$P$13+33)/INDEX(_calc!$N:$N,$P$13+21)-1)))</f>
        <v>0</v>
      </c>
      <c r="I45" s="167">
        <f>IF($A45="","",IF(pf_BU="All",IF(SUMPRODUCT((calc_state=$A45)*_calc!$CD$4:$CD$72)=0,"",SUMPRODUCT((calc_state=$A45)*_calc!$CD$4:$CD$72*_calc!$BF$4:$BF$72)/SUMPRODUCT((calc_state=$A45)*_calc!$CD$4:$CD$72)),IF($P$13=0,"",INDEX(_calc!$N:$N,$P$13+34)/INDEX(_calc!$N:$N,$P$13+22)-1)))</f>
        <v>0</v>
      </c>
      <c r="J45" s="167">
        <f>IF($A45="","",IF(pf_BU="All",IF(SUMPRODUCT((calc_state=$A45)*_calc!$CE$4:$CE$72)=0,"",SUMPRODUCT((calc_state=$A45)*_calc!$CE$4:$CE$72*_calc!$BG$4:$BG$72)/SUMPRODUCT((calc_state=$A45)*_calc!$CE$4:$CE$72)),IF($P$13=0,"",INDEX(_calc!$N:$N,$P$13+35)/INDEX(_calc!$N:$N,$P$13+23)-1)))</f>
        <v>0</v>
      </c>
      <c r="K45" s="167">
        <f>IF($A45="","",IF(pf_BU="All",IF(SUMPRODUCT((calc_state=$A45)*_calc!$CF$4:$CF$72)=0,"",SUMPRODUCT((calc_state=$A45)*_calc!$CF$4:$CF$72*_calc!$BH$4:$BH$72)/SUMPRODUCT((calc_state=$A45)*_calc!$CF$4:$CF$72)),IF($P$13=0,"",INDEX(_calc!$N:$N,$P$13+36)/INDEX(_calc!$N:$N,$P$13+24)-1)))</f>
        <v>0</v>
      </c>
      <c r="L45" s="167">
        <f>IF($A45="","",IF(pf_BU="All",IF(SUMPRODUCT((calc_state=$A45)*_calc!$CG$4:$CG$72)=0,"",SUMPRODUCT((calc_state=$A45)*_calc!$CG$4:$CG$72*_calc!$BI$4:$BI$72)/SUMPRODUCT((calc_state=$A45)*_calc!$CG$4:$CG$72)),IF($P$13=0,"",INDEX(_calc!$N:$N,$P$13+37)/INDEX(_calc!$N:$N,$P$13+25)-1)))</f>
        <v>0</v>
      </c>
      <c r="M45" s="167">
        <f>IF($A45="","",IF(pf_BU="All",IF(SUMPRODUCT((calc_state=$A45)*_calc!$CH$4:$CH$72)=0,"",SUMPRODUCT((calc_state=$A45)*_calc!$CH$4:$CH$72*_calc!$BJ$4:$BJ$72)/SUMPRODUCT((calc_state=$A45)*_calc!$CH$4:$CH$72)),IF($P$13=0,"",INDEX(_calc!$N:$N,$P$13+38)/INDEX(_calc!$N:$N,$P$13+26)-1)))</f>
        <v>0</v>
      </c>
    </row>
    <row r="46" spans="1:13" x14ac:dyDescent="0.3">
      <c r="A46" s="166" t="str">
        <f>_lists!$B$8</f>
        <v>IA</v>
      </c>
      <c r="B46" s="167">
        <f>IF($A46="","",IF(pf_BU="All",IF(SUMPRODUCT((calc_state=$A46)*_calc!$BW$4:$BW$72)=0,"",SUMPRODUCT((calc_state=$A46)*_calc!$BW$4:$BW$72*_calc!$AY$4:$AY$72)/SUMPRODUCT((calc_state=$A46)*_calc!$BW$4:$BW$72)),IF($P$14=0,"",INDEX(_calc!$N:$N,$P$14+27)/INDEX(_calc!$N:$N,$P$14+15)-1)))</f>
        <v>4.4999999999999929E-2</v>
      </c>
      <c r="C46" s="167">
        <f>IF($A46="","",IF(pf_BU="All",IF(SUMPRODUCT((calc_state=$A46)*_calc!$BX$4:$BX$72)=0,"",SUMPRODUCT((calc_state=$A46)*_calc!$BX$4:$BX$72*_calc!$AZ$4:$AZ$72)/SUMPRODUCT((calc_state=$A46)*_calc!$BX$4:$BX$72)),IF($P$14=0,"",INDEX(_calc!$N:$N,$P$14+28)/INDEX(_calc!$N:$N,$P$14+16)-1)))</f>
        <v>4.4999999999999929E-2</v>
      </c>
      <c r="D46" s="167">
        <f>IF($A46="","",IF(pf_BU="All",IF(SUMPRODUCT((calc_state=$A46)*_calc!$BY$4:$BY$72)=0,"",SUMPRODUCT((calc_state=$A46)*_calc!$BY$4:$BY$72*_calc!$BA$4:$BA$72)/SUMPRODUCT((calc_state=$A46)*_calc!$BY$4:$BY$72)),IF($P$14=0,"",INDEX(_calc!$N:$N,$P$14+29)/INDEX(_calc!$N:$N,$P$14+17)-1)))</f>
        <v>4.4999999999999929E-2</v>
      </c>
      <c r="E46" s="167">
        <f>IF($A46="","",IF(pf_BU="All",IF(SUMPRODUCT((calc_state=$A46)*_calc!$BZ$4:$BZ$72)=0,"",SUMPRODUCT((calc_state=$A46)*_calc!$BZ$4:$BZ$72*_calc!$BB$4:$BB$72)/SUMPRODUCT((calc_state=$A46)*_calc!$BZ$4:$BZ$72)),IF($P$14=0,"",INDEX(_calc!$N:$N,$P$14+30)/INDEX(_calc!$N:$N,$P$14+18)-1)))</f>
        <v>4.4999999999999929E-2</v>
      </c>
      <c r="F46" s="167">
        <f>IF($A46="","",IF(pf_BU="All",IF(SUMPRODUCT((calc_state=$A46)*_calc!$CA$4:$CA$72)=0,"",SUMPRODUCT((calc_state=$A46)*_calc!$CA$4:$CA$72*_calc!$BC$4:$BC$72)/SUMPRODUCT((calc_state=$A46)*_calc!$CA$4:$CA$72)),IF($P$14=0,"",INDEX(_calc!$N:$N,$P$14+31)/INDEX(_calc!$N:$N,$P$14+19)-1)))</f>
        <v>4.4999999999999929E-2</v>
      </c>
      <c r="G46" s="167">
        <f>IF($A46="","",IF(pf_BU="All",IF(SUMPRODUCT((calc_state=$A46)*_calc!$CB$4:$CB$72)=0,"",SUMPRODUCT((calc_state=$A46)*_calc!$CB$4:$CB$72*_calc!$BD$4:$BD$72)/SUMPRODUCT((calc_state=$A46)*_calc!$CB$4:$CB$72)),IF($P$14=0,"",INDEX(_calc!$N:$N,$P$14+32)/INDEX(_calc!$N:$N,$P$14+20)-1)))</f>
        <v>4.0000000000000036E-2</v>
      </c>
      <c r="H46" s="167">
        <f>IF($A46="","",IF(pf_BU="All",IF(SUMPRODUCT((calc_state=$A46)*_calc!$CC$4:$CC$72)=0,"",SUMPRODUCT((calc_state=$A46)*_calc!$CC$4:$CC$72*_calc!$BE$4:$BE$72)/SUMPRODUCT((calc_state=$A46)*_calc!$CC$4:$CC$72)),IF($P$14=0,"",INDEX(_calc!$N:$N,$P$14+33)/INDEX(_calc!$N:$N,$P$14+21)-1)))</f>
        <v>4.0000000000000036E-2</v>
      </c>
      <c r="I46" s="167">
        <f>IF($A46="","",IF(pf_BU="All",IF(SUMPRODUCT((calc_state=$A46)*_calc!$CD$4:$CD$72)=0,"",SUMPRODUCT((calc_state=$A46)*_calc!$CD$4:$CD$72*_calc!$BF$4:$BF$72)/SUMPRODUCT((calc_state=$A46)*_calc!$CD$4:$CD$72)),IF($P$14=0,"",INDEX(_calc!$N:$N,$P$14+34)/INDEX(_calc!$N:$N,$P$14+22)-1)))</f>
        <v>4.0000000000000036E-2</v>
      </c>
      <c r="J46" s="167">
        <f>IF($A46="","",IF(pf_BU="All",IF(SUMPRODUCT((calc_state=$A46)*_calc!$CE$4:$CE$72)=0,"",SUMPRODUCT((calc_state=$A46)*_calc!$CE$4:$CE$72*_calc!$BG$4:$BG$72)/SUMPRODUCT((calc_state=$A46)*_calc!$CE$4:$CE$72)),IF($P$14=0,"",INDEX(_calc!$N:$N,$P$14+35)/INDEX(_calc!$N:$N,$P$14+23)-1)))</f>
        <v>4.0000000000000036E-2</v>
      </c>
      <c r="K46" s="167">
        <f>IF($A46="","",IF(pf_BU="All",IF(SUMPRODUCT((calc_state=$A46)*_calc!$CF$4:$CF$72)=0,"",SUMPRODUCT((calc_state=$A46)*_calc!$CF$4:$CF$72*_calc!$BH$4:$BH$72)/SUMPRODUCT((calc_state=$A46)*_calc!$CF$4:$CF$72)),IF($P$14=0,"",INDEX(_calc!$N:$N,$P$14+36)/INDEX(_calc!$N:$N,$P$14+24)-1)))</f>
        <v>4.0000000000000036E-2</v>
      </c>
      <c r="L46" s="167">
        <f>IF($A46="","",IF(pf_BU="All",IF(SUMPRODUCT((calc_state=$A46)*_calc!$CG$4:$CG$72)=0,"",SUMPRODUCT((calc_state=$A46)*_calc!$CG$4:$CG$72*_calc!$BI$4:$BI$72)/SUMPRODUCT((calc_state=$A46)*_calc!$CG$4:$CG$72)),IF($P$14=0,"",INDEX(_calc!$N:$N,$P$14+37)/INDEX(_calc!$N:$N,$P$14+25)-1)))</f>
        <v>4.0000000000000036E-2</v>
      </c>
      <c r="M46" s="167">
        <f>IF($A46="","",IF(pf_BU="All",IF(SUMPRODUCT((calc_state=$A46)*_calc!$CH$4:$CH$72)=0,"",SUMPRODUCT((calc_state=$A46)*_calc!$CH$4:$CH$72*_calc!$BJ$4:$BJ$72)/SUMPRODUCT((calc_state=$A46)*_calc!$CH$4:$CH$72)),IF($P$14=0,"",INDEX(_calc!$N:$N,$P$14+38)/INDEX(_calc!$N:$N,$P$14+26)-1)))</f>
        <v>4.0000000000000036E-2</v>
      </c>
    </row>
    <row r="47" spans="1:13" x14ac:dyDescent="0.3">
      <c r="A47" s="166" t="str">
        <f>_lists!$B$9</f>
        <v>IL</v>
      </c>
      <c r="B47" s="167">
        <f>IF($A47="","",IF(pf_BU="All",IF(SUMPRODUCT((calc_state=$A47)*_calc!$BW$4:$BW$72)=0,"",SUMPRODUCT((calc_state=$A47)*_calc!$BW$4:$BW$72*_calc!$AY$4:$AY$72)/SUMPRODUCT((calc_state=$A47)*_calc!$BW$4:$BW$72)),IF($P$15=0,"",INDEX(_calc!$N:$N,$P$15+27)/INDEX(_calc!$N:$N,$P$15+15)-1)))</f>
        <v>3.0000000000000027E-2</v>
      </c>
      <c r="C47" s="167">
        <f>IF($A47="","",IF(pf_BU="All",IF(SUMPRODUCT((calc_state=$A47)*_calc!$BX$4:$BX$72)=0,"",SUMPRODUCT((calc_state=$A47)*_calc!$BX$4:$BX$72*_calc!$AZ$4:$AZ$72)/SUMPRODUCT((calc_state=$A47)*_calc!$BX$4:$BX$72)),IF($P$15=0,"",INDEX(_calc!$N:$N,$P$15+28)/INDEX(_calc!$N:$N,$P$15+16)-1)))</f>
        <v>3.0000000000000027E-2</v>
      </c>
      <c r="D47" s="167">
        <f>IF($A47="","",IF(pf_BU="All",IF(SUMPRODUCT((calc_state=$A47)*_calc!$BY$4:$BY$72)=0,"",SUMPRODUCT((calc_state=$A47)*_calc!$BY$4:$BY$72*_calc!$BA$4:$BA$72)/SUMPRODUCT((calc_state=$A47)*_calc!$BY$4:$BY$72)),IF($P$15=0,"",INDEX(_calc!$N:$N,$P$15+29)/INDEX(_calc!$N:$N,$P$15+17)-1)))</f>
        <v>3.0000000000000027E-2</v>
      </c>
      <c r="E47" s="167">
        <f>IF($A47="","",IF(pf_BU="All",IF(SUMPRODUCT((calc_state=$A47)*_calc!$BZ$4:$BZ$72)=0,"",SUMPRODUCT((calc_state=$A47)*_calc!$BZ$4:$BZ$72*_calc!$BB$4:$BB$72)/SUMPRODUCT((calc_state=$A47)*_calc!$BZ$4:$BZ$72)),IF($P$15=0,"",INDEX(_calc!$N:$N,$P$15+30)/INDEX(_calc!$N:$N,$P$15+18)-1)))</f>
        <v>3.0000000000000027E-2</v>
      </c>
      <c r="F47" s="167">
        <f>IF($A47="","",IF(pf_BU="All",IF(SUMPRODUCT((calc_state=$A47)*_calc!$CA$4:$CA$72)=0,"",SUMPRODUCT((calc_state=$A47)*_calc!$CA$4:$CA$72*_calc!$BC$4:$BC$72)/SUMPRODUCT((calc_state=$A47)*_calc!$CA$4:$CA$72)),IF($P$15=0,"",INDEX(_calc!$N:$N,$P$15+31)/INDEX(_calc!$N:$N,$P$15+19)-1)))</f>
        <v>3.0000000000000027E-2</v>
      </c>
      <c r="G47" s="167">
        <f>IF($A47="","",IF(pf_BU="All",IF(SUMPRODUCT((calc_state=$A47)*_calc!$CB$4:$CB$72)=0,"",SUMPRODUCT((calc_state=$A47)*_calc!$CB$4:$CB$72*_calc!$BD$4:$BD$72)/SUMPRODUCT((calc_state=$A47)*_calc!$CB$4:$CB$72)),IF($P$15=0,"",INDEX(_calc!$N:$N,$P$15+32)/INDEX(_calc!$N:$N,$P$15+20)-1)))</f>
        <v>3.0000000000000027E-2</v>
      </c>
      <c r="H47" s="167">
        <f>IF($A47="","",IF(pf_BU="All",IF(SUMPRODUCT((calc_state=$A47)*_calc!$CC$4:$CC$72)=0,"",SUMPRODUCT((calc_state=$A47)*_calc!$CC$4:$CC$72*_calc!$BE$4:$BE$72)/SUMPRODUCT((calc_state=$A47)*_calc!$CC$4:$CC$72)),IF($P$15=0,"",INDEX(_calc!$N:$N,$P$15+33)/INDEX(_calc!$N:$N,$P$15+21)-1)))</f>
        <v>0</v>
      </c>
      <c r="I47" s="167">
        <f>IF($A47="","",IF(pf_BU="All",IF(SUMPRODUCT((calc_state=$A47)*_calc!$CD$4:$CD$72)=0,"",SUMPRODUCT((calc_state=$A47)*_calc!$CD$4:$CD$72*_calc!$BF$4:$BF$72)/SUMPRODUCT((calc_state=$A47)*_calc!$CD$4:$CD$72)),IF($P$15=0,"",INDEX(_calc!$N:$N,$P$15+34)/INDEX(_calc!$N:$N,$P$15+22)-1)))</f>
        <v>0</v>
      </c>
      <c r="J47" s="167">
        <f>IF($A47="","",IF(pf_BU="All",IF(SUMPRODUCT((calc_state=$A47)*_calc!$CE$4:$CE$72)=0,"",SUMPRODUCT((calc_state=$A47)*_calc!$CE$4:$CE$72*_calc!$BG$4:$BG$72)/SUMPRODUCT((calc_state=$A47)*_calc!$CE$4:$CE$72)),IF($P$15=0,"",INDEX(_calc!$N:$N,$P$15+35)/INDEX(_calc!$N:$N,$P$15+23)-1)))</f>
        <v>0</v>
      </c>
      <c r="K47" s="167">
        <f>IF($A47="","",IF(pf_BU="All",IF(SUMPRODUCT((calc_state=$A47)*_calc!$CF$4:$CF$72)=0,"",SUMPRODUCT((calc_state=$A47)*_calc!$CF$4:$CF$72*_calc!$BH$4:$BH$72)/SUMPRODUCT((calc_state=$A47)*_calc!$CF$4:$CF$72)),IF($P$15=0,"",INDEX(_calc!$N:$N,$P$15+36)/INDEX(_calc!$N:$N,$P$15+24)-1)))</f>
        <v>0</v>
      </c>
      <c r="L47" s="167">
        <f>IF($A47="","",IF(pf_BU="All",IF(SUMPRODUCT((calc_state=$A47)*_calc!$CG$4:$CG$72)=0,"",SUMPRODUCT((calc_state=$A47)*_calc!$CG$4:$CG$72*_calc!$BI$4:$BI$72)/SUMPRODUCT((calc_state=$A47)*_calc!$CG$4:$CG$72)),IF($P$15=0,"",INDEX(_calc!$N:$N,$P$15+37)/INDEX(_calc!$N:$N,$P$15+25)-1)))</f>
        <v>0</v>
      </c>
      <c r="M47" s="167">
        <f>IF($A47="","",IF(pf_BU="All",IF(SUMPRODUCT((calc_state=$A47)*_calc!$CH$4:$CH$72)=0,"",SUMPRODUCT((calc_state=$A47)*_calc!$CH$4:$CH$72*_calc!$BJ$4:$BJ$72)/SUMPRODUCT((calc_state=$A47)*_calc!$CH$4:$CH$72)),IF($P$15=0,"",INDEX(_calc!$N:$N,$P$15+38)/INDEX(_calc!$N:$N,$P$15+26)-1)))</f>
        <v>0</v>
      </c>
    </row>
    <row r="48" spans="1:13" x14ac:dyDescent="0.3">
      <c r="A48" s="166" t="str">
        <f>_lists!$B$10</f>
        <v>IN</v>
      </c>
      <c r="B48" s="167">
        <f>IF($A48="","",IF(pf_BU="All",IF(SUMPRODUCT((calc_state=$A48)*_calc!$BW$4:$BW$72)=0,"",SUMPRODUCT((calc_state=$A48)*_calc!$BW$4:$BW$72*_calc!$AY$4:$AY$72)/SUMPRODUCT((calc_state=$A48)*_calc!$BW$4:$BW$72)),IF($P$16=0,"",INDEX(_calc!$N:$N,$P$16+27)/INDEX(_calc!$N:$N,$P$16+15)-1)))</f>
        <v>4.0000000000000036E-2</v>
      </c>
      <c r="C48" s="167">
        <f>IF($A48="","",IF(pf_BU="All",IF(SUMPRODUCT((calc_state=$A48)*_calc!$BX$4:$BX$72)=0,"",SUMPRODUCT((calc_state=$A48)*_calc!$BX$4:$BX$72*_calc!$AZ$4:$AZ$72)/SUMPRODUCT((calc_state=$A48)*_calc!$BX$4:$BX$72)),IF($P$16=0,"",INDEX(_calc!$N:$N,$P$16+28)/INDEX(_calc!$N:$N,$P$16+16)-1)))</f>
        <v>4.0000000000000036E-2</v>
      </c>
      <c r="D48" s="167">
        <f>IF($A48="","",IF(pf_BU="All",IF(SUMPRODUCT((calc_state=$A48)*_calc!$BY$4:$BY$72)=0,"",SUMPRODUCT((calc_state=$A48)*_calc!$BY$4:$BY$72*_calc!$BA$4:$BA$72)/SUMPRODUCT((calc_state=$A48)*_calc!$BY$4:$BY$72)),IF($P$16=0,"",INDEX(_calc!$N:$N,$P$16+29)/INDEX(_calc!$N:$N,$P$16+17)-1)))</f>
        <v>4.0000000000000036E-2</v>
      </c>
      <c r="E48" s="167">
        <f>IF($A48="","",IF(pf_BU="All",IF(SUMPRODUCT((calc_state=$A48)*_calc!$BZ$4:$BZ$72)=0,"",SUMPRODUCT((calc_state=$A48)*_calc!$BZ$4:$BZ$72*_calc!$BB$4:$BB$72)/SUMPRODUCT((calc_state=$A48)*_calc!$BZ$4:$BZ$72)),IF($P$16=0,"",INDEX(_calc!$N:$N,$P$16+30)/INDEX(_calc!$N:$N,$P$16+18)-1)))</f>
        <v>4.0000000000000036E-2</v>
      </c>
      <c r="F48" s="167">
        <f>IF($A48="","",IF(pf_BU="All",IF(SUMPRODUCT((calc_state=$A48)*_calc!$CA$4:$CA$72)=0,"",SUMPRODUCT((calc_state=$A48)*_calc!$CA$4:$CA$72*_calc!$BC$4:$BC$72)/SUMPRODUCT((calc_state=$A48)*_calc!$CA$4:$CA$72)),IF($P$16=0,"",INDEX(_calc!$N:$N,$P$16+31)/INDEX(_calc!$N:$N,$P$16+19)-1)))</f>
        <v>4.0000000000000036E-2</v>
      </c>
      <c r="G48" s="167">
        <f>IF($A48="","",IF(pf_BU="All",IF(SUMPRODUCT((calc_state=$A48)*_calc!$CB$4:$CB$72)=0,"",SUMPRODUCT((calc_state=$A48)*_calc!$CB$4:$CB$72*_calc!$BD$4:$BD$72)/SUMPRODUCT((calc_state=$A48)*_calc!$CB$4:$CB$72)),IF($P$16=0,"",INDEX(_calc!$N:$N,$P$16+32)/INDEX(_calc!$N:$N,$P$16+20)-1)))</f>
        <v>4.0000000000000036E-2</v>
      </c>
      <c r="H48" s="167">
        <f>IF($A48="","",IF(pf_BU="All",IF(SUMPRODUCT((calc_state=$A48)*_calc!$CC$4:$CC$72)=0,"",SUMPRODUCT((calc_state=$A48)*_calc!$CC$4:$CC$72*_calc!$BE$4:$BE$72)/SUMPRODUCT((calc_state=$A48)*_calc!$CC$4:$CC$72)),IF($P$16=0,"",INDEX(_calc!$N:$N,$P$16+33)/INDEX(_calc!$N:$N,$P$16+21)-1)))</f>
        <v>4.0000000000000036E-2</v>
      </c>
      <c r="I48" s="167">
        <f>IF($A48="","",IF(pf_BU="All",IF(SUMPRODUCT((calc_state=$A48)*_calc!$CD$4:$CD$72)=0,"",SUMPRODUCT((calc_state=$A48)*_calc!$CD$4:$CD$72*_calc!$BF$4:$BF$72)/SUMPRODUCT((calc_state=$A48)*_calc!$CD$4:$CD$72)),IF($P$16=0,"",INDEX(_calc!$N:$N,$P$16+34)/INDEX(_calc!$N:$N,$P$16+22)-1)))</f>
        <v>0</v>
      </c>
      <c r="J48" s="167">
        <f>IF($A48="","",IF(pf_BU="All",IF(SUMPRODUCT((calc_state=$A48)*_calc!$CE$4:$CE$72)=0,"",SUMPRODUCT((calc_state=$A48)*_calc!$CE$4:$CE$72*_calc!$BG$4:$BG$72)/SUMPRODUCT((calc_state=$A48)*_calc!$CE$4:$CE$72)),IF($P$16=0,"",INDEX(_calc!$N:$N,$P$16+35)/INDEX(_calc!$N:$N,$P$16+23)-1)))</f>
        <v>0</v>
      </c>
      <c r="K48" s="167">
        <f>IF($A48="","",IF(pf_BU="All",IF(SUMPRODUCT((calc_state=$A48)*_calc!$CF$4:$CF$72)=0,"",SUMPRODUCT((calc_state=$A48)*_calc!$CF$4:$CF$72*_calc!$BH$4:$BH$72)/SUMPRODUCT((calc_state=$A48)*_calc!$CF$4:$CF$72)),IF($P$16=0,"",INDEX(_calc!$N:$N,$P$16+36)/INDEX(_calc!$N:$N,$P$16+24)-1)))</f>
        <v>0</v>
      </c>
      <c r="L48" s="167">
        <f>IF($A48="","",IF(pf_BU="All",IF(SUMPRODUCT((calc_state=$A48)*_calc!$CG$4:$CG$72)=0,"",SUMPRODUCT((calc_state=$A48)*_calc!$CG$4:$CG$72*_calc!$BI$4:$BI$72)/SUMPRODUCT((calc_state=$A48)*_calc!$CG$4:$CG$72)),IF($P$16=0,"",INDEX(_calc!$N:$N,$P$16+37)/INDEX(_calc!$N:$N,$P$16+25)-1)))</f>
        <v>0</v>
      </c>
      <c r="M48" s="167">
        <f>IF($A48="","",IF(pf_BU="All",IF(SUMPRODUCT((calc_state=$A48)*_calc!$CH$4:$CH$72)=0,"",SUMPRODUCT((calc_state=$A48)*_calc!$CH$4:$CH$72*_calc!$BJ$4:$BJ$72)/SUMPRODUCT((calc_state=$A48)*_calc!$CH$4:$CH$72)),IF($P$16=0,"",INDEX(_calc!$N:$N,$P$16+38)/INDEX(_calc!$N:$N,$P$16+26)-1)))</f>
        <v>0</v>
      </c>
    </row>
    <row r="49" spans="1:13" x14ac:dyDescent="0.3">
      <c r="A49" s="166" t="str">
        <f>_lists!$B$11</f>
        <v>KY</v>
      </c>
      <c r="B49" s="167">
        <f>IF($A49="","",IF(pf_BU="All",IF(SUMPRODUCT((calc_state=$A49)*_calc!$BW$4:$BW$72)=0,"",SUMPRODUCT((calc_state=$A49)*_calc!$BW$4:$BW$72*_calc!$AY$4:$AY$72)/SUMPRODUCT((calc_state=$A49)*_calc!$BW$4:$BW$72)),IF($P$17=0,"",INDEX(_calc!$N:$N,$P$17+27)/INDEX(_calc!$N:$N,$P$17+15)-1)))</f>
        <v>0</v>
      </c>
      <c r="C49" s="167">
        <f>IF($A49="","",IF(pf_BU="All",IF(SUMPRODUCT((calc_state=$A49)*_calc!$BX$4:$BX$72)=0,"",SUMPRODUCT((calc_state=$A49)*_calc!$BX$4:$BX$72*_calc!$AZ$4:$AZ$72)/SUMPRODUCT((calc_state=$A49)*_calc!$BX$4:$BX$72)),IF($P$17=0,"",INDEX(_calc!$N:$N,$P$17+28)/INDEX(_calc!$N:$N,$P$17+16)-1)))</f>
        <v>0</v>
      </c>
      <c r="D49" s="167">
        <f>IF($A49="","",IF(pf_BU="All",IF(SUMPRODUCT((calc_state=$A49)*_calc!$BY$4:$BY$72)=0,"",SUMPRODUCT((calc_state=$A49)*_calc!$BY$4:$BY$72*_calc!$BA$4:$BA$72)/SUMPRODUCT((calc_state=$A49)*_calc!$BY$4:$BY$72)),IF($P$17=0,"",INDEX(_calc!$N:$N,$P$17+29)/INDEX(_calc!$N:$N,$P$17+17)-1)))</f>
        <v>0</v>
      </c>
      <c r="E49" s="167">
        <f>IF($A49="","",IF(pf_BU="All",IF(SUMPRODUCT((calc_state=$A49)*_calc!$BZ$4:$BZ$72)=0,"",SUMPRODUCT((calc_state=$A49)*_calc!$BZ$4:$BZ$72*_calc!$BB$4:$BB$72)/SUMPRODUCT((calc_state=$A49)*_calc!$BZ$4:$BZ$72)),IF($P$17=0,"",INDEX(_calc!$N:$N,$P$17+30)/INDEX(_calc!$N:$N,$P$17+18)-1)))</f>
        <v>0</v>
      </c>
      <c r="F49" s="167">
        <f>IF($A49="","",IF(pf_BU="All",IF(SUMPRODUCT((calc_state=$A49)*_calc!$CA$4:$CA$72)=0,"",SUMPRODUCT((calc_state=$A49)*_calc!$CA$4:$CA$72*_calc!$BC$4:$BC$72)/SUMPRODUCT((calc_state=$A49)*_calc!$CA$4:$CA$72)),IF($P$17=0,"",INDEX(_calc!$N:$N,$P$17+31)/INDEX(_calc!$N:$N,$P$17+19)-1)))</f>
        <v>0</v>
      </c>
      <c r="G49" s="167">
        <f>IF($A49="","",IF(pf_BU="All",IF(SUMPRODUCT((calc_state=$A49)*_calc!$CB$4:$CB$72)=0,"",SUMPRODUCT((calc_state=$A49)*_calc!$CB$4:$CB$72*_calc!$BD$4:$BD$72)/SUMPRODUCT((calc_state=$A49)*_calc!$CB$4:$CB$72)),IF($P$17=0,"",INDEX(_calc!$N:$N,$P$17+32)/INDEX(_calc!$N:$N,$P$17+20)-1)))</f>
        <v>0</v>
      </c>
      <c r="H49" s="167">
        <f>IF($A49="","",IF(pf_BU="All",IF(SUMPRODUCT((calc_state=$A49)*_calc!$CC$4:$CC$72)=0,"",SUMPRODUCT((calc_state=$A49)*_calc!$CC$4:$CC$72*_calc!$BE$4:$BE$72)/SUMPRODUCT((calc_state=$A49)*_calc!$CC$4:$CC$72)),IF($P$17=0,"",INDEX(_calc!$N:$N,$P$17+33)/INDEX(_calc!$N:$N,$P$17+21)-1)))</f>
        <v>0</v>
      </c>
      <c r="I49" s="167">
        <f>IF($A49="","",IF(pf_BU="All",IF(SUMPRODUCT((calc_state=$A49)*_calc!$CD$4:$CD$72)=0,"",SUMPRODUCT((calc_state=$A49)*_calc!$CD$4:$CD$72*_calc!$BF$4:$BF$72)/SUMPRODUCT((calc_state=$A49)*_calc!$CD$4:$CD$72)),IF($P$17=0,"",INDEX(_calc!$N:$N,$P$17+34)/INDEX(_calc!$N:$N,$P$17+22)-1)))</f>
        <v>0</v>
      </c>
      <c r="J49" s="167">
        <f>IF($A49="","",IF(pf_BU="All",IF(SUMPRODUCT((calc_state=$A49)*_calc!$CE$4:$CE$72)=0,"",SUMPRODUCT((calc_state=$A49)*_calc!$CE$4:$CE$72*_calc!$BG$4:$BG$72)/SUMPRODUCT((calc_state=$A49)*_calc!$CE$4:$CE$72)),IF($P$17=0,"",INDEX(_calc!$N:$N,$P$17+35)/INDEX(_calc!$N:$N,$P$17+23)-1)))</f>
        <v>0</v>
      </c>
      <c r="K49" s="167">
        <f>IF($A49="","",IF(pf_BU="All",IF(SUMPRODUCT((calc_state=$A49)*_calc!$CF$4:$CF$72)=0,"",SUMPRODUCT((calc_state=$A49)*_calc!$CF$4:$CF$72*_calc!$BH$4:$BH$72)/SUMPRODUCT((calc_state=$A49)*_calc!$CF$4:$CF$72)),IF($P$17=0,"",INDEX(_calc!$N:$N,$P$17+36)/INDEX(_calc!$N:$N,$P$17+24)-1)))</f>
        <v>0</v>
      </c>
      <c r="L49" s="167">
        <f>IF($A49="","",IF(pf_BU="All",IF(SUMPRODUCT((calc_state=$A49)*_calc!$CG$4:$CG$72)=0,"",SUMPRODUCT((calc_state=$A49)*_calc!$CG$4:$CG$72*_calc!$BI$4:$BI$72)/SUMPRODUCT((calc_state=$A49)*_calc!$CG$4:$CG$72)),IF($P$17=0,"",INDEX(_calc!$N:$N,$P$17+37)/INDEX(_calc!$N:$N,$P$17+25)-1)))</f>
        <v>0</v>
      </c>
      <c r="M49" s="167">
        <f>IF($A49="","",IF(pf_BU="All",IF(SUMPRODUCT((calc_state=$A49)*_calc!$CH$4:$CH$72)=0,"",SUMPRODUCT((calc_state=$A49)*_calc!$CH$4:$CH$72*_calc!$BJ$4:$BJ$72)/SUMPRODUCT((calc_state=$A49)*_calc!$CH$4:$CH$72)),IF($P$17=0,"",INDEX(_calc!$N:$N,$P$17+38)/INDEX(_calc!$N:$N,$P$17+26)-1)))</f>
        <v>0</v>
      </c>
    </row>
    <row r="50" spans="1:13" x14ac:dyDescent="0.3">
      <c r="A50" s="166" t="str">
        <f>_lists!$B$12</f>
        <v>MD</v>
      </c>
      <c r="B50" s="167">
        <f>IF($A50="","",IF(pf_BU="All",IF(SUMPRODUCT((calc_state=$A50)*_calc!$BW$4:$BW$72)=0,"",SUMPRODUCT((calc_state=$A50)*_calc!$BW$4:$BW$72*_calc!$AY$4:$AY$72)/SUMPRODUCT((calc_state=$A50)*_calc!$BW$4:$BW$72)),IF($P$18=0,"",INDEX(_calc!$N:$N,$P$18+27)/INDEX(_calc!$N:$N,$P$18+15)-1)))</f>
        <v>6.0000000000000053E-2</v>
      </c>
      <c r="C50" s="167">
        <f>IF($A50="","",IF(pf_BU="All",IF(SUMPRODUCT((calc_state=$A50)*_calc!$BX$4:$BX$72)=0,"",SUMPRODUCT((calc_state=$A50)*_calc!$BX$4:$BX$72*_calc!$AZ$4:$AZ$72)/SUMPRODUCT((calc_state=$A50)*_calc!$BX$4:$BX$72)),IF($P$18=0,"",INDEX(_calc!$N:$N,$P$18+28)/INDEX(_calc!$N:$N,$P$18+16)-1)))</f>
        <v>6.0000000000000053E-2</v>
      </c>
      <c r="D50" s="167">
        <f>IF($A50="","",IF(pf_BU="All",IF(SUMPRODUCT((calc_state=$A50)*_calc!$BY$4:$BY$72)=0,"",SUMPRODUCT((calc_state=$A50)*_calc!$BY$4:$BY$72*_calc!$BA$4:$BA$72)/SUMPRODUCT((calc_state=$A50)*_calc!$BY$4:$BY$72)),IF($P$18=0,"",INDEX(_calc!$N:$N,$P$18+29)/INDEX(_calc!$N:$N,$P$18+17)-1)))</f>
        <v>6.0000000000000053E-2</v>
      </c>
      <c r="E50" s="167">
        <f>IF($A50="","",IF(pf_BU="All",IF(SUMPRODUCT((calc_state=$A50)*_calc!$BZ$4:$BZ$72)=0,"",SUMPRODUCT((calc_state=$A50)*_calc!$BZ$4:$BZ$72*_calc!$BB$4:$BB$72)/SUMPRODUCT((calc_state=$A50)*_calc!$BZ$4:$BZ$72)),IF($P$18=0,"",INDEX(_calc!$N:$N,$P$18+30)/INDEX(_calc!$N:$N,$P$18+18)-1)))</f>
        <v>6.0000000000000053E-2</v>
      </c>
      <c r="F50" s="167">
        <f>IF($A50="","",IF(pf_BU="All",IF(SUMPRODUCT((calc_state=$A50)*_calc!$CA$4:$CA$72)=0,"",SUMPRODUCT((calc_state=$A50)*_calc!$CA$4:$CA$72*_calc!$BC$4:$BC$72)/SUMPRODUCT((calc_state=$A50)*_calc!$CA$4:$CA$72)),IF($P$18=0,"",INDEX(_calc!$N:$N,$P$18+31)/INDEX(_calc!$N:$N,$P$18+19)-1)))</f>
        <v>6.0000000000000053E-2</v>
      </c>
      <c r="G50" s="167">
        <f>IF($A50="","",IF(pf_BU="All",IF(SUMPRODUCT((calc_state=$A50)*_calc!$CB$4:$CB$72)=0,"",SUMPRODUCT((calc_state=$A50)*_calc!$CB$4:$CB$72*_calc!$BD$4:$BD$72)/SUMPRODUCT((calc_state=$A50)*_calc!$CB$4:$CB$72)),IF($P$18=0,"",INDEX(_calc!$N:$N,$P$18+32)/INDEX(_calc!$N:$N,$P$18+20)-1)))</f>
        <v>6.0000000000000053E-2</v>
      </c>
      <c r="H50" s="167">
        <f>IF($A50="","",IF(pf_BU="All",IF(SUMPRODUCT((calc_state=$A50)*_calc!$CC$4:$CC$72)=0,"",SUMPRODUCT((calc_state=$A50)*_calc!$CC$4:$CC$72*_calc!$BE$4:$BE$72)/SUMPRODUCT((calc_state=$A50)*_calc!$CC$4:$CC$72)),IF($P$18=0,"",INDEX(_calc!$N:$N,$P$18+33)/INDEX(_calc!$N:$N,$P$18+21)-1)))</f>
        <v>6.0000000000000053E-2</v>
      </c>
      <c r="I50" s="167">
        <f>IF($A50="","",IF(pf_BU="All",IF(SUMPRODUCT((calc_state=$A50)*_calc!$CD$4:$CD$72)=0,"",SUMPRODUCT((calc_state=$A50)*_calc!$CD$4:$CD$72*_calc!$BF$4:$BF$72)/SUMPRODUCT((calc_state=$A50)*_calc!$CD$4:$CD$72)),IF($P$18=0,"",INDEX(_calc!$N:$N,$P$18+34)/INDEX(_calc!$N:$N,$P$18+22)-1)))</f>
        <v>6.0000000000000053E-2</v>
      </c>
      <c r="J50" s="167">
        <f>IF($A50="","",IF(pf_BU="All",IF(SUMPRODUCT((calc_state=$A50)*_calc!$CE$4:$CE$72)=0,"",SUMPRODUCT((calc_state=$A50)*_calc!$CE$4:$CE$72*_calc!$BG$4:$BG$72)/SUMPRODUCT((calc_state=$A50)*_calc!$CE$4:$CE$72)),IF($P$18=0,"",INDEX(_calc!$N:$N,$P$18+35)/INDEX(_calc!$N:$N,$P$18+23)-1)))</f>
        <v>6.0000000000000053E-2</v>
      </c>
      <c r="K50" s="167">
        <f>IF($A50="","",IF(pf_BU="All",IF(SUMPRODUCT((calc_state=$A50)*_calc!$CF$4:$CF$72)=0,"",SUMPRODUCT((calc_state=$A50)*_calc!$CF$4:$CF$72*_calc!$BH$4:$BH$72)/SUMPRODUCT((calc_state=$A50)*_calc!$CF$4:$CF$72)),IF($P$18=0,"",INDEX(_calc!$N:$N,$P$18+36)/INDEX(_calc!$N:$N,$P$18+24)-1)))</f>
        <v>4.0000000000000036E-2</v>
      </c>
      <c r="L50" s="167">
        <f>IF($A50="","",IF(pf_BU="All",IF(SUMPRODUCT((calc_state=$A50)*_calc!$CG$4:$CG$72)=0,"",SUMPRODUCT((calc_state=$A50)*_calc!$CG$4:$CG$72*_calc!$BI$4:$BI$72)/SUMPRODUCT((calc_state=$A50)*_calc!$CG$4:$CG$72)),IF($P$18=0,"",INDEX(_calc!$N:$N,$P$18+37)/INDEX(_calc!$N:$N,$P$18+25)-1)))</f>
        <v>4.0000000000000036E-2</v>
      </c>
      <c r="M50" s="167">
        <f>IF($A50="","",IF(pf_BU="All",IF(SUMPRODUCT((calc_state=$A50)*_calc!$CH$4:$CH$72)=0,"",SUMPRODUCT((calc_state=$A50)*_calc!$CH$4:$CH$72*_calc!$BJ$4:$BJ$72)/SUMPRODUCT((calc_state=$A50)*_calc!$CH$4:$CH$72)),IF($P$18=0,"",INDEX(_calc!$N:$N,$P$18+38)/INDEX(_calc!$N:$N,$P$18+26)-1)))</f>
        <v>4.0000000000000036E-2</v>
      </c>
    </row>
    <row r="51" spans="1:13" x14ac:dyDescent="0.3">
      <c r="A51" s="166" t="str">
        <f>_lists!$B$13</f>
        <v>MI</v>
      </c>
      <c r="B51" s="167">
        <f>IF($A51="","",IF(pf_BU="All",IF(SUMPRODUCT((calc_state=$A51)*_calc!$BW$4:$BW$72)=0,"",SUMPRODUCT((calc_state=$A51)*_calc!$BW$4:$BW$72*_calc!$AY$4:$AY$72)/SUMPRODUCT((calc_state=$A51)*_calc!$BW$4:$BW$72)),IF($P$19=0,"",INDEX(_calc!$N:$N,$P$19+27)/INDEX(_calc!$N:$N,$P$19+15)-1)))</f>
        <v>2.0000000000000018E-2</v>
      </c>
      <c r="C51" s="167">
        <f>IF($A51="","",IF(pf_BU="All",IF(SUMPRODUCT((calc_state=$A51)*_calc!$BX$4:$BX$72)=0,"",SUMPRODUCT((calc_state=$A51)*_calc!$BX$4:$BX$72*_calc!$AZ$4:$AZ$72)/SUMPRODUCT((calc_state=$A51)*_calc!$BX$4:$BX$72)),IF($P$19=0,"",INDEX(_calc!$N:$N,$P$19+28)/INDEX(_calc!$N:$N,$P$19+16)-1)))</f>
        <v>2.0000000000000018E-2</v>
      </c>
      <c r="D51" s="167">
        <f>IF($A51="","",IF(pf_BU="All",IF(SUMPRODUCT((calc_state=$A51)*_calc!$BY$4:$BY$72)=0,"",SUMPRODUCT((calc_state=$A51)*_calc!$BY$4:$BY$72*_calc!$BA$4:$BA$72)/SUMPRODUCT((calc_state=$A51)*_calc!$BY$4:$BY$72)),IF($P$19=0,"",INDEX(_calc!$N:$N,$P$19+29)/INDEX(_calc!$N:$N,$P$19+17)-1)))</f>
        <v>2.0000000000000018E-2</v>
      </c>
      <c r="E51" s="167">
        <f>IF($A51="","",IF(pf_BU="All",IF(SUMPRODUCT((calc_state=$A51)*_calc!$BZ$4:$BZ$72)=0,"",SUMPRODUCT((calc_state=$A51)*_calc!$BZ$4:$BZ$72*_calc!$BB$4:$BB$72)/SUMPRODUCT((calc_state=$A51)*_calc!$BZ$4:$BZ$72)),IF($P$19=0,"",INDEX(_calc!$N:$N,$P$19+30)/INDEX(_calc!$N:$N,$P$19+18)-1)))</f>
        <v>2.0000000000000018E-2</v>
      </c>
      <c r="F51" s="167">
        <f>IF($A51="","",IF(pf_BU="All",IF(SUMPRODUCT((calc_state=$A51)*_calc!$CA$4:$CA$72)=0,"",SUMPRODUCT((calc_state=$A51)*_calc!$CA$4:$CA$72*_calc!$BC$4:$BC$72)/SUMPRODUCT((calc_state=$A51)*_calc!$CA$4:$CA$72)),IF($P$19=0,"",INDEX(_calc!$N:$N,$P$19+31)/INDEX(_calc!$N:$N,$P$19+19)-1)))</f>
        <v>2.0000000000000018E-2</v>
      </c>
      <c r="G51" s="167">
        <f>IF($A51="","",IF(pf_BU="All",IF(SUMPRODUCT((calc_state=$A51)*_calc!$CB$4:$CB$72)=0,"",SUMPRODUCT((calc_state=$A51)*_calc!$CB$4:$CB$72*_calc!$BD$4:$BD$72)/SUMPRODUCT((calc_state=$A51)*_calc!$CB$4:$CB$72)),IF($P$19=0,"",INDEX(_calc!$N:$N,$P$19+32)/INDEX(_calc!$N:$N,$P$19+20)-1)))</f>
        <v>2.0000000000000018E-2</v>
      </c>
      <c r="H51" s="167">
        <f>IF($A51="","",IF(pf_BU="All",IF(SUMPRODUCT((calc_state=$A51)*_calc!$CC$4:$CC$72)=0,"",SUMPRODUCT((calc_state=$A51)*_calc!$CC$4:$CC$72*_calc!$BE$4:$BE$72)/SUMPRODUCT((calc_state=$A51)*_calc!$CC$4:$CC$72)),IF($P$19=0,"",INDEX(_calc!$N:$N,$P$19+33)/INDEX(_calc!$N:$N,$P$19+21)-1)))</f>
        <v>2.0000000000000018E-2</v>
      </c>
      <c r="I51" s="167">
        <f>IF($A51="","",IF(pf_BU="All",IF(SUMPRODUCT((calc_state=$A51)*_calc!$CD$4:$CD$72)=0,"",SUMPRODUCT((calc_state=$A51)*_calc!$CD$4:$CD$72*_calc!$BF$4:$BF$72)/SUMPRODUCT((calc_state=$A51)*_calc!$CD$4:$CD$72)),IF($P$19=0,"",INDEX(_calc!$N:$N,$P$19+34)/INDEX(_calc!$N:$N,$P$19+22)-1)))</f>
        <v>2.0000000000000018E-2</v>
      </c>
      <c r="J51" s="167">
        <f>IF($A51="","",IF(pf_BU="All",IF(SUMPRODUCT((calc_state=$A51)*_calc!$CE$4:$CE$72)=0,"",SUMPRODUCT((calc_state=$A51)*_calc!$CE$4:$CE$72*_calc!$BG$4:$BG$72)/SUMPRODUCT((calc_state=$A51)*_calc!$CE$4:$CE$72)),IF($P$19=0,"",INDEX(_calc!$N:$N,$P$19+35)/INDEX(_calc!$N:$N,$P$19+23)-1)))</f>
        <v>2.0000000000000018E-2</v>
      </c>
      <c r="K51" s="167">
        <f>IF($A51="","",IF(pf_BU="All",IF(SUMPRODUCT((calc_state=$A51)*_calc!$CF$4:$CF$72)=0,"",SUMPRODUCT((calc_state=$A51)*_calc!$CF$4:$CF$72*_calc!$BH$4:$BH$72)/SUMPRODUCT((calc_state=$A51)*_calc!$CF$4:$CF$72)),IF($P$19=0,"",INDEX(_calc!$N:$N,$P$19+36)/INDEX(_calc!$N:$N,$P$19+24)-1)))</f>
        <v>2.0000000000000018E-2</v>
      </c>
      <c r="L51" s="167">
        <f>IF($A51="","",IF(pf_BU="All",IF(SUMPRODUCT((calc_state=$A51)*_calc!$CG$4:$CG$72)=0,"",SUMPRODUCT((calc_state=$A51)*_calc!$CG$4:$CG$72*_calc!$BI$4:$BI$72)/SUMPRODUCT((calc_state=$A51)*_calc!$CG$4:$CG$72)),IF($P$19=0,"",INDEX(_calc!$N:$N,$P$19+37)/INDEX(_calc!$N:$N,$P$19+25)-1)))</f>
        <v>0</v>
      </c>
      <c r="M51" s="167">
        <f>IF($A51="","",IF(pf_BU="All",IF(SUMPRODUCT((calc_state=$A51)*_calc!$CH$4:$CH$72)=0,"",SUMPRODUCT((calc_state=$A51)*_calc!$CH$4:$CH$72*_calc!$BJ$4:$BJ$72)/SUMPRODUCT((calc_state=$A51)*_calc!$CH$4:$CH$72)),IF($P$19=0,"",INDEX(_calc!$N:$N,$P$19+38)/INDEX(_calc!$N:$N,$P$19+26)-1)))</f>
        <v>0</v>
      </c>
    </row>
    <row r="52" spans="1:13" x14ac:dyDescent="0.3">
      <c r="A52" s="166" t="str">
        <f>_lists!$B$14</f>
        <v>MN</v>
      </c>
      <c r="B52" s="167">
        <f>IF($A52="","",IF(pf_BU="All",IF(SUMPRODUCT((calc_state=$A52)*_calc!$BW$4:$BW$72)=0,"",SUMPRODUCT((calc_state=$A52)*_calc!$BW$4:$BW$72*_calc!$AY$4:$AY$72)/SUMPRODUCT((calc_state=$A52)*_calc!$BW$4:$BW$72)),IF($P$20=0,"",INDEX(_calc!$N:$N,$P$20+27)/INDEX(_calc!$N:$N,$P$20+15)-1)))</f>
        <v>0</v>
      </c>
      <c r="C52" s="167">
        <f>IF($A52="","",IF(pf_BU="All",IF(SUMPRODUCT((calc_state=$A52)*_calc!$BX$4:$BX$72)=0,"",SUMPRODUCT((calc_state=$A52)*_calc!$BX$4:$BX$72*_calc!$AZ$4:$AZ$72)/SUMPRODUCT((calc_state=$A52)*_calc!$BX$4:$BX$72)),IF($P$20=0,"",INDEX(_calc!$N:$N,$P$20+28)/INDEX(_calc!$N:$N,$P$20+16)-1)))</f>
        <v>0</v>
      </c>
      <c r="D52" s="167">
        <f>IF($A52="","",IF(pf_BU="All",IF(SUMPRODUCT((calc_state=$A52)*_calc!$BY$4:$BY$72)=0,"",SUMPRODUCT((calc_state=$A52)*_calc!$BY$4:$BY$72*_calc!$BA$4:$BA$72)/SUMPRODUCT((calc_state=$A52)*_calc!$BY$4:$BY$72)),IF($P$20=0,"",INDEX(_calc!$N:$N,$P$20+29)/INDEX(_calc!$N:$N,$P$20+17)-1)))</f>
        <v>0</v>
      </c>
      <c r="E52" s="167">
        <f>IF($A52="","",IF(pf_BU="All",IF(SUMPRODUCT((calc_state=$A52)*_calc!$BZ$4:$BZ$72)=0,"",SUMPRODUCT((calc_state=$A52)*_calc!$BZ$4:$BZ$72*_calc!$BB$4:$BB$72)/SUMPRODUCT((calc_state=$A52)*_calc!$BZ$4:$BZ$72)),IF($P$20=0,"",INDEX(_calc!$N:$N,$P$20+30)/INDEX(_calc!$N:$N,$P$20+18)-1)))</f>
        <v>0</v>
      </c>
      <c r="F52" s="167">
        <f>IF($A52="","",IF(pf_BU="All",IF(SUMPRODUCT((calc_state=$A52)*_calc!$CA$4:$CA$72)=0,"",SUMPRODUCT((calc_state=$A52)*_calc!$CA$4:$CA$72*_calc!$BC$4:$BC$72)/SUMPRODUCT((calc_state=$A52)*_calc!$CA$4:$CA$72)),IF($P$20=0,"",INDEX(_calc!$N:$N,$P$20+31)/INDEX(_calc!$N:$N,$P$20+19)-1)))</f>
        <v>0</v>
      </c>
      <c r="G52" s="167">
        <f>IF($A52="","",IF(pf_BU="All",IF(SUMPRODUCT((calc_state=$A52)*_calc!$CB$4:$CB$72)=0,"",SUMPRODUCT((calc_state=$A52)*_calc!$CB$4:$CB$72*_calc!$BD$4:$BD$72)/SUMPRODUCT((calc_state=$A52)*_calc!$CB$4:$CB$72)),IF($P$20=0,"",INDEX(_calc!$N:$N,$P$20+32)/INDEX(_calc!$N:$N,$P$20+20)-1)))</f>
        <v>0</v>
      </c>
      <c r="H52" s="167">
        <f>IF($A52="","",IF(pf_BU="All",IF(SUMPRODUCT((calc_state=$A52)*_calc!$CC$4:$CC$72)=0,"",SUMPRODUCT((calc_state=$A52)*_calc!$CC$4:$CC$72*_calc!$BE$4:$BE$72)/SUMPRODUCT((calc_state=$A52)*_calc!$CC$4:$CC$72)),IF($P$20=0,"",INDEX(_calc!$N:$N,$P$20+33)/INDEX(_calc!$N:$N,$P$20+21)-1)))</f>
        <v>0</v>
      </c>
      <c r="I52" s="167">
        <f>IF($A52="","",IF(pf_BU="All",IF(SUMPRODUCT((calc_state=$A52)*_calc!$CD$4:$CD$72)=0,"",SUMPRODUCT((calc_state=$A52)*_calc!$CD$4:$CD$72*_calc!$BF$4:$BF$72)/SUMPRODUCT((calc_state=$A52)*_calc!$CD$4:$CD$72)),IF($P$20=0,"",INDEX(_calc!$N:$N,$P$20+34)/INDEX(_calc!$N:$N,$P$20+22)-1)))</f>
        <v>0</v>
      </c>
      <c r="J52" s="167">
        <f>IF($A52="","",IF(pf_BU="All",IF(SUMPRODUCT((calc_state=$A52)*_calc!$CE$4:$CE$72)=0,"",SUMPRODUCT((calc_state=$A52)*_calc!$CE$4:$CE$72*_calc!$BG$4:$BG$72)/SUMPRODUCT((calc_state=$A52)*_calc!$CE$4:$CE$72)),IF($P$20=0,"",INDEX(_calc!$N:$N,$P$20+35)/INDEX(_calc!$N:$N,$P$20+23)-1)))</f>
        <v>0</v>
      </c>
      <c r="K52" s="167">
        <f>IF($A52="","",IF(pf_BU="All",IF(SUMPRODUCT((calc_state=$A52)*_calc!$CF$4:$CF$72)=0,"",SUMPRODUCT((calc_state=$A52)*_calc!$CF$4:$CF$72*_calc!$BH$4:$BH$72)/SUMPRODUCT((calc_state=$A52)*_calc!$CF$4:$CF$72)),IF($P$20=0,"",INDEX(_calc!$N:$N,$P$20+36)/INDEX(_calc!$N:$N,$P$20+24)-1)))</f>
        <v>0</v>
      </c>
      <c r="L52" s="167">
        <f>IF($A52="","",IF(pf_BU="All",IF(SUMPRODUCT((calc_state=$A52)*_calc!$CG$4:$CG$72)=0,"",SUMPRODUCT((calc_state=$A52)*_calc!$CG$4:$CG$72*_calc!$BI$4:$BI$72)/SUMPRODUCT((calc_state=$A52)*_calc!$CG$4:$CG$72)),IF($P$20=0,"",INDEX(_calc!$N:$N,$P$20+37)/INDEX(_calc!$N:$N,$P$20+25)-1)))</f>
        <v>0</v>
      </c>
      <c r="M52" s="167">
        <f>IF($A52="","",IF(pf_BU="All",IF(SUMPRODUCT((calc_state=$A52)*_calc!$CH$4:$CH$72)=0,"",SUMPRODUCT((calc_state=$A52)*_calc!$CH$4:$CH$72*_calc!$BJ$4:$BJ$72)/SUMPRODUCT((calc_state=$A52)*_calc!$CH$4:$CH$72)),IF($P$20=0,"",INDEX(_calc!$N:$N,$P$20+38)/INDEX(_calc!$N:$N,$P$20+26)-1)))</f>
        <v>0</v>
      </c>
    </row>
    <row r="53" spans="1:13" x14ac:dyDescent="0.3">
      <c r="A53" s="166" t="str">
        <f>_lists!$B$15</f>
        <v>NM</v>
      </c>
      <c r="B53" s="167">
        <f>IF($A53="","",IF(pf_BU="All",IF(SUMPRODUCT((calc_state=$A53)*_calc!$BW$4:$BW$72)=0,"",SUMPRODUCT((calc_state=$A53)*_calc!$BW$4:$BW$72*_calc!$AY$4:$AY$72)/SUMPRODUCT((calc_state=$A53)*_calc!$BW$4:$BW$72)),IF($P$21=0,"",INDEX(_calc!$N:$N,$P$21+27)/INDEX(_calc!$N:$N,$P$21+15)-1)))</f>
        <v>0</v>
      </c>
      <c r="C53" s="167">
        <f>IF($A53="","",IF(pf_BU="All",IF(SUMPRODUCT((calc_state=$A53)*_calc!$BX$4:$BX$72)=0,"",SUMPRODUCT((calc_state=$A53)*_calc!$BX$4:$BX$72*_calc!$AZ$4:$AZ$72)/SUMPRODUCT((calc_state=$A53)*_calc!$BX$4:$BX$72)),IF($P$21=0,"",INDEX(_calc!$N:$N,$P$21+28)/INDEX(_calc!$N:$N,$P$21+16)-1)))</f>
        <v>0</v>
      </c>
      <c r="D53" s="167">
        <f>IF($A53="","",IF(pf_BU="All",IF(SUMPRODUCT((calc_state=$A53)*_calc!$BY$4:$BY$72)=0,"",SUMPRODUCT((calc_state=$A53)*_calc!$BY$4:$BY$72*_calc!$BA$4:$BA$72)/SUMPRODUCT((calc_state=$A53)*_calc!$BY$4:$BY$72)),IF($P$21=0,"",INDEX(_calc!$N:$N,$P$21+29)/INDEX(_calc!$N:$N,$P$21+17)-1)))</f>
        <v>0</v>
      </c>
      <c r="E53" s="167">
        <f>IF($A53="","",IF(pf_BU="All",IF(SUMPRODUCT((calc_state=$A53)*_calc!$BZ$4:$BZ$72)=0,"",SUMPRODUCT((calc_state=$A53)*_calc!$BZ$4:$BZ$72*_calc!$BB$4:$BB$72)/SUMPRODUCT((calc_state=$A53)*_calc!$BZ$4:$BZ$72)),IF($P$21=0,"",INDEX(_calc!$N:$N,$P$21+30)/INDEX(_calc!$N:$N,$P$21+18)-1)))</f>
        <v>0</v>
      </c>
      <c r="F53" s="167">
        <f>IF($A53="","",IF(pf_BU="All",IF(SUMPRODUCT((calc_state=$A53)*_calc!$CA$4:$CA$72)=0,"",SUMPRODUCT((calc_state=$A53)*_calc!$CA$4:$CA$72*_calc!$BC$4:$BC$72)/SUMPRODUCT((calc_state=$A53)*_calc!$CA$4:$CA$72)),IF($P$21=0,"",INDEX(_calc!$N:$N,$P$21+31)/INDEX(_calc!$N:$N,$P$21+19)-1)))</f>
        <v>0</v>
      </c>
      <c r="G53" s="167">
        <f>IF($A53="","",IF(pf_BU="All",IF(SUMPRODUCT((calc_state=$A53)*_calc!$CB$4:$CB$72)=0,"",SUMPRODUCT((calc_state=$A53)*_calc!$CB$4:$CB$72*_calc!$BD$4:$BD$72)/SUMPRODUCT((calc_state=$A53)*_calc!$CB$4:$CB$72)),IF($P$21=0,"",INDEX(_calc!$N:$N,$P$21+32)/INDEX(_calc!$N:$N,$P$21+20)-1)))</f>
        <v>0</v>
      </c>
      <c r="H53" s="167">
        <f>IF($A53="","",IF(pf_BU="All",IF(SUMPRODUCT((calc_state=$A53)*_calc!$CC$4:$CC$72)=0,"",SUMPRODUCT((calc_state=$A53)*_calc!$CC$4:$CC$72*_calc!$BE$4:$BE$72)/SUMPRODUCT((calc_state=$A53)*_calc!$CC$4:$CC$72)),IF($P$21=0,"",INDEX(_calc!$N:$N,$P$21+33)/INDEX(_calc!$N:$N,$P$21+21)-1)))</f>
        <v>0</v>
      </c>
      <c r="I53" s="167">
        <f>IF($A53="","",IF(pf_BU="All",IF(SUMPRODUCT((calc_state=$A53)*_calc!$CD$4:$CD$72)=0,"",SUMPRODUCT((calc_state=$A53)*_calc!$CD$4:$CD$72*_calc!$BF$4:$BF$72)/SUMPRODUCT((calc_state=$A53)*_calc!$CD$4:$CD$72)),IF($P$21=0,"",INDEX(_calc!$N:$N,$P$21+34)/INDEX(_calc!$N:$N,$P$21+22)-1)))</f>
        <v>0</v>
      </c>
      <c r="J53" s="167">
        <f>IF($A53="","",IF(pf_BU="All",IF(SUMPRODUCT((calc_state=$A53)*_calc!$CE$4:$CE$72)=0,"",SUMPRODUCT((calc_state=$A53)*_calc!$CE$4:$CE$72*_calc!$BG$4:$BG$72)/SUMPRODUCT((calc_state=$A53)*_calc!$CE$4:$CE$72)),IF($P$21=0,"",INDEX(_calc!$N:$N,$P$21+35)/INDEX(_calc!$N:$N,$P$21+23)-1)))</f>
        <v>0</v>
      </c>
      <c r="K53" s="167">
        <f>IF($A53="","",IF(pf_BU="All",IF(SUMPRODUCT((calc_state=$A53)*_calc!$CF$4:$CF$72)=0,"",SUMPRODUCT((calc_state=$A53)*_calc!$CF$4:$CF$72*_calc!$BH$4:$BH$72)/SUMPRODUCT((calc_state=$A53)*_calc!$CF$4:$CF$72)),IF($P$21=0,"",INDEX(_calc!$N:$N,$P$21+36)/INDEX(_calc!$N:$N,$P$21+24)-1)))</f>
        <v>0</v>
      </c>
      <c r="L53" s="167">
        <f>IF($A53="","",IF(pf_BU="All",IF(SUMPRODUCT((calc_state=$A53)*_calc!$CG$4:$CG$72)=0,"",SUMPRODUCT((calc_state=$A53)*_calc!$CG$4:$CG$72*_calc!$BI$4:$BI$72)/SUMPRODUCT((calc_state=$A53)*_calc!$CG$4:$CG$72)),IF($P$21=0,"",INDEX(_calc!$N:$N,$P$21+37)/INDEX(_calc!$N:$N,$P$21+25)-1)))</f>
        <v>0</v>
      </c>
      <c r="M53" s="167">
        <f>IF($A53="","",IF(pf_BU="All",IF(SUMPRODUCT((calc_state=$A53)*_calc!$CH$4:$CH$72)=0,"",SUMPRODUCT((calc_state=$A53)*_calc!$CH$4:$CH$72*_calc!$BJ$4:$BJ$72)/SUMPRODUCT((calc_state=$A53)*_calc!$CH$4:$CH$72)),IF($P$21=0,"",INDEX(_calc!$N:$N,$P$21+38)/INDEX(_calc!$N:$N,$P$21+26)-1)))</f>
        <v>0</v>
      </c>
    </row>
    <row r="54" spans="1:13" x14ac:dyDescent="0.3">
      <c r="A54" s="166" t="str">
        <f>_lists!$B$16</f>
        <v>NC</v>
      </c>
      <c r="B54" s="167">
        <f>IF($A54="","",IF(pf_BU="All",IF(SUMPRODUCT((calc_state=$A54)*_calc!$BW$4:$BW$72)=0,"",SUMPRODUCT((calc_state=$A54)*_calc!$BW$4:$BW$72*_calc!$AY$4:$AY$72)/SUMPRODUCT((calc_state=$A54)*_calc!$BW$4:$BW$72)),IF($P$22=0,"",INDEX(_calc!$N:$N,$P$22+27)/INDEX(_calc!$N:$N,$P$22+15)-1)))</f>
        <v>5.0000000000000044E-2</v>
      </c>
      <c r="C54" s="167">
        <f>IF($A54="","",IF(pf_BU="All",IF(SUMPRODUCT((calc_state=$A54)*_calc!$BX$4:$BX$72)=0,"",SUMPRODUCT((calc_state=$A54)*_calc!$BX$4:$BX$72*_calc!$AZ$4:$AZ$72)/SUMPRODUCT((calc_state=$A54)*_calc!$BX$4:$BX$72)),IF($P$22=0,"",INDEX(_calc!$N:$N,$P$22+28)/INDEX(_calc!$N:$N,$P$22+16)-1)))</f>
        <v>0</v>
      </c>
      <c r="D54" s="167">
        <f>IF($A54="","",IF(pf_BU="All",IF(SUMPRODUCT((calc_state=$A54)*_calc!$BY$4:$BY$72)=0,"",SUMPRODUCT((calc_state=$A54)*_calc!$BY$4:$BY$72*_calc!$BA$4:$BA$72)/SUMPRODUCT((calc_state=$A54)*_calc!$BY$4:$BY$72)),IF($P$22=0,"",INDEX(_calc!$N:$N,$P$22+29)/INDEX(_calc!$N:$N,$P$22+17)-1)))</f>
        <v>0</v>
      </c>
      <c r="E54" s="167">
        <f>IF($A54="","",IF(pf_BU="All",IF(SUMPRODUCT((calc_state=$A54)*_calc!$BZ$4:$BZ$72)=0,"",SUMPRODUCT((calc_state=$A54)*_calc!$BZ$4:$BZ$72*_calc!$BB$4:$BB$72)/SUMPRODUCT((calc_state=$A54)*_calc!$BZ$4:$BZ$72)),IF($P$22=0,"",INDEX(_calc!$N:$N,$P$22+30)/INDEX(_calc!$N:$N,$P$22+18)-1)))</f>
        <v>4.0000000000000036E-2</v>
      </c>
      <c r="F54" s="167">
        <f>IF($A54="","",IF(pf_BU="All",IF(SUMPRODUCT((calc_state=$A54)*_calc!$CA$4:$CA$72)=0,"",SUMPRODUCT((calc_state=$A54)*_calc!$CA$4:$CA$72*_calc!$BC$4:$BC$72)/SUMPRODUCT((calc_state=$A54)*_calc!$CA$4:$CA$72)),IF($P$22=0,"",INDEX(_calc!$N:$N,$P$22+31)/INDEX(_calc!$N:$N,$P$22+19)-1)))</f>
        <v>4.0000000000000036E-2</v>
      </c>
      <c r="G54" s="167">
        <f>IF($A54="","",IF(pf_BU="All",IF(SUMPRODUCT((calc_state=$A54)*_calc!$CB$4:$CB$72)=0,"",SUMPRODUCT((calc_state=$A54)*_calc!$CB$4:$CB$72*_calc!$BD$4:$BD$72)/SUMPRODUCT((calc_state=$A54)*_calc!$CB$4:$CB$72)),IF($P$22=0,"",INDEX(_calc!$N:$N,$P$22+32)/INDEX(_calc!$N:$N,$P$22+20)-1)))</f>
        <v>4.0000000000000036E-2</v>
      </c>
      <c r="H54" s="167">
        <f>IF($A54="","",IF(pf_BU="All",IF(SUMPRODUCT((calc_state=$A54)*_calc!$CC$4:$CC$72)=0,"",SUMPRODUCT((calc_state=$A54)*_calc!$CC$4:$CC$72*_calc!$BE$4:$BE$72)/SUMPRODUCT((calc_state=$A54)*_calc!$CC$4:$CC$72)),IF($P$22=0,"",INDEX(_calc!$N:$N,$P$22+33)/INDEX(_calc!$N:$N,$P$22+21)-1)))</f>
        <v>4.0000000000000036E-2</v>
      </c>
      <c r="I54" s="167">
        <f>IF($A54="","",IF(pf_BU="All",IF(SUMPRODUCT((calc_state=$A54)*_calc!$CD$4:$CD$72)=0,"",SUMPRODUCT((calc_state=$A54)*_calc!$CD$4:$CD$72*_calc!$BF$4:$BF$72)/SUMPRODUCT((calc_state=$A54)*_calc!$CD$4:$CD$72)),IF($P$22=0,"",INDEX(_calc!$N:$N,$P$22+34)/INDEX(_calc!$N:$N,$P$22+22)-1)))</f>
        <v>4.0000000000000036E-2</v>
      </c>
      <c r="J54" s="167">
        <f>IF($A54="","",IF(pf_BU="All",IF(SUMPRODUCT((calc_state=$A54)*_calc!$CE$4:$CE$72)=0,"",SUMPRODUCT((calc_state=$A54)*_calc!$CE$4:$CE$72*_calc!$BG$4:$BG$72)/SUMPRODUCT((calc_state=$A54)*_calc!$CE$4:$CE$72)),IF($P$22=0,"",INDEX(_calc!$N:$N,$P$22+35)/INDEX(_calc!$N:$N,$P$22+23)-1)))</f>
        <v>4.0000000000000036E-2</v>
      </c>
      <c r="K54" s="167">
        <f>IF($A54="","",IF(pf_BU="All",IF(SUMPRODUCT((calc_state=$A54)*_calc!$CF$4:$CF$72)=0,"",SUMPRODUCT((calc_state=$A54)*_calc!$CF$4:$CF$72*_calc!$BH$4:$BH$72)/SUMPRODUCT((calc_state=$A54)*_calc!$CF$4:$CF$72)),IF($P$22=0,"",INDEX(_calc!$N:$N,$P$22+36)/INDEX(_calc!$N:$N,$P$22+24)-1)))</f>
        <v>4.0000000000000036E-2</v>
      </c>
      <c r="L54" s="167">
        <f>IF($A54="","",IF(pf_BU="All",IF(SUMPRODUCT((calc_state=$A54)*_calc!$CG$4:$CG$72)=0,"",SUMPRODUCT((calc_state=$A54)*_calc!$CG$4:$CG$72*_calc!$BI$4:$BI$72)/SUMPRODUCT((calc_state=$A54)*_calc!$CG$4:$CG$72)),IF($P$22=0,"",INDEX(_calc!$N:$N,$P$22+37)/INDEX(_calc!$N:$N,$P$22+25)-1)))</f>
        <v>4.0000000000000036E-2</v>
      </c>
      <c r="M54" s="167">
        <f>IF($A54="","",IF(pf_BU="All",IF(SUMPRODUCT((calc_state=$A54)*_calc!$CH$4:$CH$72)=0,"",SUMPRODUCT((calc_state=$A54)*_calc!$CH$4:$CH$72*_calc!$BJ$4:$BJ$72)/SUMPRODUCT((calc_state=$A54)*_calc!$CH$4:$CH$72)),IF($P$22=0,"",INDEX(_calc!$N:$N,$P$22+38)/INDEX(_calc!$N:$N,$P$22+26)-1)))</f>
        <v>4.0000000000000036E-2</v>
      </c>
    </row>
    <row r="55" spans="1:13" x14ac:dyDescent="0.3">
      <c r="A55" s="166" t="str">
        <f>_lists!$B$17</f>
        <v>OH</v>
      </c>
      <c r="B55" s="167">
        <f>IF($A55="","",IF(pf_BU="All",IF(SUMPRODUCT((calc_state=$A55)*_calc!$BW$4:$BW$72)=0,"",SUMPRODUCT((calc_state=$A55)*_calc!$BW$4:$BW$72*_calc!$AY$4:$AY$72)/SUMPRODUCT((calc_state=$A55)*_calc!$BW$4:$BW$72)),IF($P$23=0,"",INDEX(_calc!$N:$N,$P$23+27)/INDEX(_calc!$N:$N,$P$23+15)-1)))</f>
        <v>0</v>
      </c>
      <c r="C55" s="167">
        <f>IF($A55="","",IF(pf_BU="All",IF(SUMPRODUCT((calc_state=$A55)*_calc!$BX$4:$BX$72)=0,"",SUMPRODUCT((calc_state=$A55)*_calc!$BX$4:$BX$72*_calc!$AZ$4:$AZ$72)/SUMPRODUCT((calc_state=$A55)*_calc!$BX$4:$BX$72)),IF($P$23=0,"",INDEX(_calc!$N:$N,$P$23+28)/INDEX(_calc!$N:$N,$P$23+16)-1)))</f>
        <v>0</v>
      </c>
      <c r="D55" s="167">
        <f>IF($A55="","",IF(pf_BU="All",IF(SUMPRODUCT((calc_state=$A55)*_calc!$BY$4:$BY$72)=0,"",SUMPRODUCT((calc_state=$A55)*_calc!$BY$4:$BY$72*_calc!$BA$4:$BA$72)/SUMPRODUCT((calc_state=$A55)*_calc!$BY$4:$BY$72)),IF($P$23=0,"",INDEX(_calc!$N:$N,$P$23+29)/INDEX(_calc!$N:$N,$P$23+17)-1)))</f>
        <v>0</v>
      </c>
      <c r="E55" s="167">
        <f>IF($A55="","",IF(pf_BU="All",IF(SUMPRODUCT((calc_state=$A55)*_calc!$BZ$4:$BZ$72)=0,"",SUMPRODUCT((calc_state=$A55)*_calc!$BZ$4:$BZ$72*_calc!$BB$4:$BB$72)/SUMPRODUCT((calc_state=$A55)*_calc!$BZ$4:$BZ$72)),IF($P$23=0,"",INDEX(_calc!$N:$N,$P$23+30)/INDEX(_calc!$N:$N,$P$23+18)-1)))</f>
        <v>0</v>
      </c>
      <c r="F55" s="167">
        <f>IF($A55="","",IF(pf_BU="All",IF(SUMPRODUCT((calc_state=$A55)*_calc!$CA$4:$CA$72)=0,"",SUMPRODUCT((calc_state=$A55)*_calc!$CA$4:$CA$72*_calc!$BC$4:$BC$72)/SUMPRODUCT((calc_state=$A55)*_calc!$CA$4:$CA$72)),IF($P$23=0,"",INDEX(_calc!$N:$N,$P$23+31)/INDEX(_calc!$N:$N,$P$23+19)-1)))</f>
        <v>0</v>
      </c>
      <c r="G55" s="167">
        <f>IF($A55="","",IF(pf_BU="All",IF(SUMPRODUCT((calc_state=$A55)*_calc!$CB$4:$CB$72)=0,"",SUMPRODUCT((calc_state=$A55)*_calc!$CB$4:$CB$72*_calc!$BD$4:$BD$72)/SUMPRODUCT((calc_state=$A55)*_calc!$CB$4:$CB$72)),IF($P$23=0,"",INDEX(_calc!$N:$N,$P$23+32)/INDEX(_calc!$N:$N,$P$23+20)-1)))</f>
        <v>0</v>
      </c>
      <c r="H55" s="167">
        <f>IF($A55="","",IF(pf_BU="All",IF(SUMPRODUCT((calc_state=$A55)*_calc!$CC$4:$CC$72)=0,"",SUMPRODUCT((calc_state=$A55)*_calc!$CC$4:$CC$72*_calc!$BE$4:$BE$72)/SUMPRODUCT((calc_state=$A55)*_calc!$CC$4:$CC$72)),IF($P$23=0,"",INDEX(_calc!$N:$N,$P$23+33)/INDEX(_calc!$N:$N,$P$23+21)-1)))</f>
        <v>0</v>
      </c>
      <c r="I55" s="167">
        <f>IF($A55="","",IF(pf_BU="All",IF(SUMPRODUCT((calc_state=$A55)*_calc!$CD$4:$CD$72)=0,"",SUMPRODUCT((calc_state=$A55)*_calc!$CD$4:$CD$72*_calc!$BF$4:$BF$72)/SUMPRODUCT((calc_state=$A55)*_calc!$CD$4:$CD$72)),IF($P$23=0,"",INDEX(_calc!$N:$N,$P$23+34)/INDEX(_calc!$N:$N,$P$23+22)-1)))</f>
        <v>0</v>
      </c>
      <c r="J55" s="167">
        <f>IF($A55="","",IF(pf_BU="All",IF(SUMPRODUCT((calc_state=$A55)*_calc!$CE$4:$CE$72)=0,"",SUMPRODUCT((calc_state=$A55)*_calc!$CE$4:$CE$72*_calc!$BG$4:$BG$72)/SUMPRODUCT((calc_state=$A55)*_calc!$CE$4:$CE$72)),IF($P$23=0,"",INDEX(_calc!$N:$N,$P$23+35)/INDEX(_calc!$N:$N,$P$23+23)-1)))</f>
        <v>0</v>
      </c>
      <c r="K55" s="167">
        <f>IF($A55="","",IF(pf_BU="All",IF(SUMPRODUCT((calc_state=$A55)*_calc!$CF$4:$CF$72)=0,"",SUMPRODUCT((calc_state=$A55)*_calc!$CF$4:$CF$72*_calc!$BH$4:$BH$72)/SUMPRODUCT((calc_state=$A55)*_calc!$CF$4:$CF$72)),IF($P$23=0,"",INDEX(_calc!$N:$N,$P$23+36)/INDEX(_calc!$N:$N,$P$23+24)-1)))</f>
        <v>0</v>
      </c>
      <c r="L55" s="167">
        <f>IF($A55="","",IF(pf_BU="All",IF(SUMPRODUCT((calc_state=$A55)*_calc!$CG$4:$CG$72)=0,"",SUMPRODUCT((calc_state=$A55)*_calc!$CG$4:$CG$72*_calc!$BI$4:$BI$72)/SUMPRODUCT((calc_state=$A55)*_calc!$CG$4:$CG$72)),IF($P$23=0,"",INDEX(_calc!$N:$N,$P$23+37)/INDEX(_calc!$N:$N,$P$23+25)-1)))</f>
        <v>0</v>
      </c>
      <c r="M55" s="167">
        <f>IF($A55="","",IF(pf_BU="All",IF(SUMPRODUCT((calc_state=$A55)*_calc!$CH$4:$CH$72)=0,"",SUMPRODUCT((calc_state=$A55)*_calc!$CH$4:$CH$72*_calc!$BJ$4:$BJ$72)/SUMPRODUCT((calc_state=$A55)*_calc!$CH$4:$CH$72)),IF($P$23=0,"",INDEX(_calc!$N:$N,$P$23+38)/INDEX(_calc!$N:$N,$P$23+26)-1)))</f>
        <v>0</v>
      </c>
    </row>
    <row r="56" spans="1:13" x14ac:dyDescent="0.3">
      <c r="A56" s="166" t="str">
        <f>_lists!$B$18</f>
        <v>PA</v>
      </c>
      <c r="B56" s="167">
        <f>IF($A56="","",IF(pf_BU="All",IF(SUMPRODUCT((calc_state=$A56)*_calc!$BW$4:$BW$72)=0,"",SUMPRODUCT((calc_state=$A56)*_calc!$BW$4:$BW$72*_calc!$AY$4:$AY$72)/SUMPRODUCT((calc_state=$A56)*_calc!$BW$4:$BW$72)),IF($P$24=0,"",INDEX(_calc!$N:$N,$P$24+27)/INDEX(_calc!$N:$N,$P$24+15)-1)))</f>
        <v>2.0000000000000018E-2</v>
      </c>
      <c r="C56" s="167">
        <f>IF($A56="","",IF(pf_BU="All",IF(SUMPRODUCT((calc_state=$A56)*_calc!$BX$4:$BX$72)=0,"",SUMPRODUCT((calc_state=$A56)*_calc!$BX$4:$BX$72*_calc!$AZ$4:$AZ$72)/SUMPRODUCT((calc_state=$A56)*_calc!$BX$4:$BX$72)),IF($P$24=0,"",INDEX(_calc!$N:$N,$P$24+28)/INDEX(_calc!$N:$N,$P$24+16)-1)))</f>
        <v>2.0000000000000018E-2</v>
      </c>
      <c r="D56" s="167">
        <f>IF($A56="","",IF(pf_BU="All",IF(SUMPRODUCT((calc_state=$A56)*_calc!$BY$4:$BY$72)=0,"",SUMPRODUCT((calc_state=$A56)*_calc!$BY$4:$BY$72*_calc!$BA$4:$BA$72)/SUMPRODUCT((calc_state=$A56)*_calc!$BY$4:$BY$72)),IF($P$24=0,"",INDEX(_calc!$N:$N,$P$24+29)/INDEX(_calc!$N:$N,$P$24+17)-1)))</f>
        <v>2.0000000000000018E-2</v>
      </c>
      <c r="E56" s="167">
        <f>IF($A56="","",IF(pf_BU="All",IF(SUMPRODUCT((calc_state=$A56)*_calc!$BZ$4:$BZ$72)=0,"",SUMPRODUCT((calc_state=$A56)*_calc!$BZ$4:$BZ$72*_calc!$BB$4:$BB$72)/SUMPRODUCT((calc_state=$A56)*_calc!$BZ$4:$BZ$72)),IF($P$24=0,"",INDEX(_calc!$N:$N,$P$24+30)/INDEX(_calc!$N:$N,$P$24+18)-1)))</f>
        <v>0</v>
      </c>
      <c r="F56" s="167">
        <f>IF($A56="","",IF(pf_BU="All",IF(SUMPRODUCT((calc_state=$A56)*_calc!$CA$4:$CA$72)=0,"",SUMPRODUCT((calc_state=$A56)*_calc!$CA$4:$CA$72*_calc!$BC$4:$BC$72)/SUMPRODUCT((calc_state=$A56)*_calc!$CA$4:$CA$72)),IF($P$24=0,"",INDEX(_calc!$N:$N,$P$24+31)/INDEX(_calc!$N:$N,$P$24+19)-1)))</f>
        <v>0</v>
      </c>
      <c r="G56" s="167">
        <f>IF($A56="","",IF(pf_BU="All",IF(SUMPRODUCT((calc_state=$A56)*_calc!$CB$4:$CB$72)=0,"",SUMPRODUCT((calc_state=$A56)*_calc!$CB$4:$CB$72*_calc!$BD$4:$BD$72)/SUMPRODUCT((calc_state=$A56)*_calc!$CB$4:$CB$72)),IF($P$24=0,"",INDEX(_calc!$N:$N,$P$24+32)/INDEX(_calc!$N:$N,$P$24+20)-1)))</f>
        <v>0</v>
      </c>
      <c r="H56" s="167">
        <f>IF($A56="","",IF(pf_BU="All",IF(SUMPRODUCT((calc_state=$A56)*_calc!$CC$4:$CC$72)=0,"",SUMPRODUCT((calc_state=$A56)*_calc!$CC$4:$CC$72*_calc!$BE$4:$BE$72)/SUMPRODUCT((calc_state=$A56)*_calc!$CC$4:$CC$72)),IF($P$24=0,"",INDEX(_calc!$N:$N,$P$24+33)/INDEX(_calc!$N:$N,$P$24+21)-1)))</f>
        <v>0</v>
      </c>
      <c r="I56" s="167">
        <f>IF($A56="","",IF(pf_BU="All",IF(SUMPRODUCT((calc_state=$A56)*_calc!$CD$4:$CD$72)=0,"",SUMPRODUCT((calc_state=$A56)*_calc!$CD$4:$CD$72*_calc!$BF$4:$BF$72)/SUMPRODUCT((calc_state=$A56)*_calc!$CD$4:$CD$72)),IF($P$24=0,"",INDEX(_calc!$N:$N,$P$24+34)/INDEX(_calc!$N:$N,$P$24+22)-1)))</f>
        <v>0</v>
      </c>
      <c r="J56" s="167">
        <f>IF($A56="","",IF(pf_BU="All",IF(SUMPRODUCT((calc_state=$A56)*_calc!$CE$4:$CE$72)=0,"",SUMPRODUCT((calc_state=$A56)*_calc!$CE$4:$CE$72*_calc!$BG$4:$BG$72)/SUMPRODUCT((calc_state=$A56)*_calc!$CE$4:$CE$72)),IF($P$24=0,"",INDEX(_calc!$N:$N,$P$24+35)/INDEX(_calc!$N:$N,$P$24+23)-1)))</f>
        <v>0</v>
      </c>
      <c r="K56" s="167">
        <f>IF($A56="","",IF(pf_BU="All",IF(SUMPRODUCT((calc_state=$A56)*_calc!$CF$4:$CF$72)=0,"",SUMPRODUCT((calc_state=$A56)*_calc!$CF$4:$CF$72*_calc!$BH$4:$BH$72)/SUMPRODUCT((calc_state=$A56)*_calc!$CF$4:$CF$72)),IF($P$24=0,"",INDEX(_calc!$N:$N,$P$24+36)/INDEX(_calc!$N:$N,$P$24+24)-1)))</f>
        <v>0</v>
      </c>
      <c r="L56" s="167">
        <f>IF($A56="","",IF(pf_BU="All",IF(SUMPRODUCT((calc_state=$A56)*_calc!$CG$4:$CG$72)=0,"",SUMPRODUCT((calc_state=$A56)*_calc!$CG$4:$CG$72*_calc!$BI$4:$BI$72)/SUMPRODUCT((calc_state=$A56)*_calc!$CG$4:$CG$72)),IF($P$24=0,"",INDEX(_calc!$N:$N,$P$24+37)/INDEX(_calc!$N:$N,$P$24+25)-1)))</f>
        <v>0</v>
      </c>
      <c r="M56" s="167">
        <f>IF($A56="","",IF(pf_BU="All",IF(SUMPRODUCT((calc_state=$A56)*_calc!$CH$4:$CH$72)=0,"",SUMPRODUCT((calc_state=$A56)*_calc!$CH$4:$CH$72*_calc!$BJ$4:$BJ$72)/SUMPRODUCT((calc_state=$A56)*_calc!$CH$4:$CH$72)),IF($P$24=0,"",INDEX(_calc!$N:$N,$P$24+38)/INDEX(_calc!$N:$N,$P$24+26)-1)))</f>
        <v>0</v>
      </c>
    </row>
    <row r="57" spans="1:13" x14ac:dyDescent="0.3">
      <c r="A57" s="166" t="str">
        <f>_lists!$B$19</f>
        <v>SC</v>
      </c>
      <c r="B57" s="167">
        <f>IF($A57="","",IF(pf_BU="All",IF(SUMPRODUCT((calc_state=$A57)*_calc!$BW$4:$BW$72)=0,"",SUMPRODUCT((calc_state=$A57)*_calc!$BW$4:$BW$72*_calc!$AY$4:$AY$72)/SUMPRODUCT((calc_state=$A57)*_calc!$BW$4:$BW$72)),IF($P$25=0,"",INDEX(_calc!$N:$N,$P$25+27)/INDEX(_calc!$N:$N,$P$25+15)-1)))</f>
        <v>3.0000000000000027E-2</v>
      </c>
      <c r="C57" s="167">
        <f>IF($A57="","",IF(pf_BU="All",IF(SUMPRODUCT((calc_state=$A57)*_calc!$BX$4:$BX$72)=0,"",SUMPRODUCT((calc_state=$A57)*_calc!$BX$4:$BX$72*_calc!$AZ$4:$AZ$72)/SUMPRODUCT((calc_state=$A57)*_calc!$BX$4:$BX$72)),IF($P$25=0,"",INDEX(_calc!$N:$N,$P$25+28)/INDEX(_calc!$N:$N,$P$25+16)-1)))</f>
        <v>3.0000000000000027E-2</v>
      </c>
      <c r="D57" s="167">
        <f>IF($A57="","",IF(pf_BU="All",IF(SUMPRODUCT((calc_state=$A57)*_calc!$BY$4:$BY$72)=0,"",SUMPRODUCT((calc_state=$A57)*_calc!$BY$4:$BY$72*_calc!$BA$4:$BA$72)/SUMPRODUCT((calc_state=$A57)*_calc!$BY$4:$BY$72)),IF($P$25=0,"",INDEX(_calc!$N:$N,$P$25+29)/INDEX(_calc!$N:$N,$P$25+17)-1)))</f>
        <v>3.0000000000000027E-2</v>
      </c>
      <c r="E57" s="167">
        <f>IF($A57="","",IF(pf_BU="All",IF(SUMPRODUCT((calc_state=$A57)*_calc!$BZ$4:$BZ$72)=0,"",SUMPRODUCT((calc_state=$A57)*_calc!$BZ$4:$BZ$72*_calc!$BB$4:$BB$72)/SUMPRODUCT((calc_state=$A57)*_calc!$BZ$4:$BZ$72)),IF($P$25=0,"",INDEX(_calc!$N:$N,$P$25+30)/INDEX(_calc!$N:$N,$P$25+18)-1)))</f>
        <v>3.0000000000000027E-2</v>
      </c>
      <c r="F57" s="167">
        <f>IF($A57="","",IF(pf_BU="All",IF(SUMPRODUCT((calc_state=$A57)*_calc!$CA$4:$CA$72)=0,"",SUMPRODUCT((calc_state=$A57)*_calc!$CA$4:$CA$72*_calc!$BC$4:$BC$72)/SUMPRODUCT((calc_state=$A57)*_calc!$CA$4:$CA$72)),IF($P$25=0,"",INDEX(_calc!$N:$N,$P$25+31)/INDEX(_calc!$N:$N,$P$25+19)-1)))</f>
        <v>0</v>
      </c>
      <c r="G57" s="167">
        <f>IF($A57="","",IF(pf_BU="All",IF(SUMPRODUCT((calc_state=$A57)*_calc!$CB$4:$CB$72)=0,"",SUMPRODUCT((calc_state=$A57)*_calc!$CB$4:$CB$72*_calc!$BD$4:$BD$72)/SUMPRODUCT((calc_state=$A57)*_calc!$CB$4:$CB$72)),IF($P$25=0,"",INDEX(_calc!$N:$N,$P$25+32)/INDEX(_calc!$N:$N,$P$25+20)-1)))</f>
        <v>0</v>
      </c>
      <c r="H57" s="167">
        <f>IF($A57="","",IF(pf_BU="All",IF(SUMPRODUCT((calc_state=$A57)*_calc!$CC$4:$CC$72)=0,"",SUMPRODUCT((calc_state=$A57)*_calc!$CC$4:$CC$72*_calc!$BE$4:$BE$72)/SUMPRODUCT((calc_state=$A57)*_calc!$CC$4:$CC$72)),IF($P$25=0,"",INDEX(_calc!$N:$N,$P$25+33)/INDEX(_calc!$N:$N,$P$25+21)-1)))</f>
        <v>0</v>
      </c>
      <c r="I57" s="167">
        <f>IF($A57="","",IF(pf_BU="All",IF(SUMPRODUCT((calc_state=$A57)*_calc!$CD$4:$CD$72)=0,"",SUMPRODUCT((calc_state=$A57)*_calc!$CD$4:$CD$72*_calc!$BF$4:$BF$72)/SUMPRODUCT((calc_state=$A57)*_calc!$CD$4:$CD$72)),IF($P$25=0,"",INDEX(_calc!$N:$N,$P$25+34)/INDEX(_calc!$N:$N,$P$25+22)-1)))</f>
        <v>0</v>
      </c>
      <c r="J57" s="167">
        <f>IF($A57="","",IF(pf_BU="All",IF(SUMPRODUCT((calc_state=$A57)*_calc!$CE$4:$CE$72)=0,"",SUMPRODUCT((calc_state=$A57)*_calc!$CE$4:$CE$72*_calc!$BG$4:$BG$72)/SUMPRODUCT((calc_state=$A57)*_calc!$CE$4:$CE$72)),IF($P$25=0,"",INDEX(_calc!$N:$N,$P$25+35)/INDEX(_calc!$N:$N,$P$25+23)-1)))</f>
        <v>0</v>
      </c>
      <c r="K57" s="167">
        <f>IF($A57="","",IF(pf_BU="All",IF(SUMPRODUCT((calc_state=$A57)*_calc!$CF$4:$CF$72)=0,"",SUMPRODUCT((calc_state=$A57)*_calc!$CF$4:$CF$72*_calc!$BH$4:$BH$72)/SUMPRODUCT((calc_state=$A57)*_calc!$CF$4:$CF$72)),IF($P$25=0,"",INDEX(_calc!$N:$N,$P$25+36)/INDEX(_calc!$N:$N,$P$25+24)-1)))</f>
        <v>0</v>
      </c>
      <c r="L57" s="167">
        <f>IF($A57="","",IF(pf_BU="All",IF(SUMPRODUCT((calc_state=$A57)*_calc!$CG$4:$CG$72)=0,"",SUMPRODUCT((calc_state=$A57)*_calc!$CG$4:$CG$72*_calc!$BI$4:$BI$72)/SUMPRODUCT((calc_state=$A57)*_calc!$CG$4:$CG$72)),IF($P$25=0,"",INDEX(_calc!$N:$N,$P$25+37)/INDEX(_calc!$N:$N,$P$25+25)-1)))</f>
        <v>0</v>
      </c>
      <c r="M57" s="167">
        <f>IF($A57="","",IF(pf_BU="All",IF(SUMPRODUCT((calc_state=$A57)*_calc!$CH$4:$CH$72)=0,"",SUMPRODUCT((calc_state=$A57)*_calc!$CH$4:$CH$72*_calc!$BJ$4:$BJ$72)/SUMPRODUCT((calc_state=$A57)*_calc!$CH$4:$CH$72)),IF($P$25=0,"",INDEX(_calc!$N:$N,$P$25+38)/INDEX(_calc!$N:$N,$P$25+26)-1)))</f>
        <v>0</v>
      </c>
    </row>
    <row r="58" spans="1:13" x14ac:dyDescent="0.3">
      <c r="A58" s="166" t="str">
        <f>_lists!$B$20</f>
        <v>TN</v>
      </c>
      <c r="B58" s="167">
        <f>IF($A58="","",IF(pf_BU="All",IF(SUMPRODUCT((calc_state=$A58)*_calc!$BW$4:$BW$72)=0,"",SUMPRODUCT((calc_state=$A58)*_calc!$BW$4:$BW$72*_calc!$AY$4:$AY$72)/SUMPRODUCT((calc_state=$A58)*_calc!$BW$4:$BW$72)),IF($P$26=0,"",INDEX(_calc!$N:$N,$P$26+27)/INDEX(_calc!$N:$N,$P$26+15)-1)))</f>
        <v>0</v>
      </c>
      <c r="C58" s="167">
        <f>IF($A58="","",IF(pf_BU="All",IF(SUMPRODUCT((calc_state=$A58)*_calc!$BX$4:$BX$72)=0,"",SUMPRODUCT((calc_state=$A58)*_calc!$BX$4:$BX$72*_calc!$AZ$4:$AZ$72)/SUMPRODUCT((calc_state=$A58)*_calc!$BX$4:$BX$72)),IF($P$26=0,"",INDEX(_calc!$N:$N,$P$26+28)/INDEX(_calc!$N:$N,$P$26+16)-1)))</f>
        <v>0</v>
      </c>
      <c r="D58" s="167">
        <f>IF($A58="","",IF(pf_BU="All",IF(SUMPRODUCT((calc_state=$A58)*_calc!$BY$4:$BY$72)=0,"",SUMPRODUCT((calc_state=$A58)*_calc!$BY$4:$BY$72*_calc!$BA$4:$BA$72)/SUMPRODUCT((calc_state=$A58)*_calc!$BY$4:$BY$72)),IF($P$26=0,"",INDEX(_calc!$N:$N,$P$26+29)/INDEX(_calc!$N:$N,$P$26+17)-1)))</f>
        <v>0</v>
      </c>
      <c r="E58" s="167">
        <f>IF($A58="","",IF(pf_BU="All",IF(SUMPRODUCT((calc_state=$A58)*_calc!$BZ$4:$BZ$72)=0,"",SUMPRODUCT((calc_state=$A58)*_calc!$BZ$4:$BZ$72*_calc!$BB$4:$BB$72)/SUMPRODUCT((calc_state=$A58)*_calc!$BZ$4:$BZ$72)),IF($P$26=0,"",INDEX(_calc!$N:$N,$P$26+30)/INDEX(_calc!$N:$N,$P$26+18)-1)))</f>
        <v>0</v>
      </c>
      <c r="F58" s="167">
        <f>IF($A58="","",IF(pf_BU="All",IF(SUMPRODUCT((calc_state=$A58)*_calc!$CA$4:$CA$72)=0,"",SUMPRODUCT((calc_state=$A58)*_calc!$CA$4:$CA$72*_calc!$BC$4:$BC$72)/SUMPRODUCT((calc_state=$A58)*_calc!$CA$4:$CA$72)),IF($P$26=0,"",INDEX(_calc!$N:$N,$P$26+31)/INDEX(_calc!$N:$N,$P$26+19)-1)))</f>
        <v>0</v>
      </c>
      <c r="G58" s="167">
        <f>IF($A58="","",IF(pf_BU="All",IF(SUMPRODUCT((calc_state=$A58)*_calc!$CB$4:$CB$72)=0,"",SUMPRODUCT((calc_state=$A58)*_calc!$CB$4:$CB$72*_calc!$BD$4:$BD$72)/SUMPRODUCT((calc_state=$A58)*_calc!$CB$4:$CB$72)),IF($P$26=0,"",INDEX(_calc!$N:$N,$P$26+32)/INDEX(_calc!$N:$N,$P$26+20)-1)))</f>
        <v>0</v>
      </c>
      <c r="H58" s="167">
        <f>IF($A58="","",IF(pf_BU="All",IF(SUMPRODUCT((calc_state=$A58)*_calc!$CC$4:$CC$72)=0,"",SUMPRODUCT((calc_state=$A58)*_calc!$CC$4:$CC$72*_calc!$BE$4:$BE$72)/SUMPRODUCT((calc_state=$A58)*_calc!$CC$4:$CC$72)),IF($P$26=0,"",INDEX(_calc!$N:$N,$P$26+33)/INDEX(_calc!$N:$N,$P$26+21)-1)))</f>
        <v>0</v>
      </c>
      <c r="I58" s="167">
        <f>IF($A58="","",IF(pf_BU="All",IF(SUMPRODUCT((calc_state=$A58)*_calc!$CD$4:$CD$72)=0,"",SUMPRODUCT((calc_state=$A58)*_calc!$CD$4:$CD$72*_calc!$BF$4:$BF$72)/SUMPRODUCT((calc_state=$A58)*_calc!$CD$4:$CD$72)),IF($P$26=0,"",INDEX(_calc!$N:$N,$P$26+34)/INDEX(_calc!$N:$N,$P$26+22)-1)))</f>
        <v>4.0000000000000036E-2</v>
      </c>
      <c r="J58" s="167">
        <f>IF($A58="","",IF(pf_BU="All",IF(SUMPRODUCT((calc_state=$A58)*_calc!$CE$4:$CE$72)=0,"",SUMPRODUCT((calc_state=$A58)*_calc!$CE$4:$CE$72*_calc!$BG$4:$BG$72)/SUMPRODUCT((calc_state=$A58)*_calc!$CE$4:$CE$72)),IF($P$26=0,"",INDEX(_calc!$N:$N,$P$26+35)/INDEX(_calc!$N:$N,$P$26+23)-1)))</f>
        <v>4.0000000000000036E-2</v>
      </c>
      <c r="K58" s="167">
        <f>IF($A58="","",IF(pf_BU="All",IF(SUMPRODUCT((calc_state=$A58)*_calc!$CF$4:$CF$72)=0,"",SUMPRODUCT((calc_state=$A58)*_calc!$CF$4:$CF$72*_calc!$BH$4:$BH$72)/SUMPRODUCT((calc_state=$A58)*_calc!$CF$4:$CF$72)),IF($P$26=0,"",INDEX(_calc!$N:$N,$P$26+36)/INDEX(_calc!$N:$N,$P$26+24)-1)))</f>
        <v>4.0000000000000036E-2</v>
      </c>
      <c r="L58" s="167">
        <f>IF($A58="","",IF(pf_BU="All",IF(SUMPRODUCT((calc_state=$A58)*_calc!$CG$4:$CG$72)=0,"",SUMPRODUCT((calc_state=$A58)*_calc!$CG$4:$CG$72*_calc!$BI$4:$BI$72)/SUMPRODUCT((calc_state=$A58)*_calc!$CG$4:$CG$72)),IF($P$26=0,"",INDEX(_calc!$N:$N,$P$26+37)/INDEX(_calc!$N:$N,$P$26+25)-1)))</f>
        <v>4.0000000000000036E-2</v>
      </c>
      <c r="M58" s="167">
        <f>IF($A58="","",IF(pf_BU="All",IF(SUMPRODUCT((calc_state=$A58)*_calc!$CH$4:$CH$72)=0,"",SUMPRODUCT((calc_state=$A58)*_calc!$CH$4:$CH$72*_calc!$BJ$4:$BJ$72)/SUMPRODUCT((calc_state=$A58)*_calc!$CH$4:$CH$72)),IF($P$26=0,"",INDEX(_calc!$N:$N,$P$26+38)/INDEX(_calc!$N:$N,$P$26+26)-1)))</f>
        <v>4.0000000000000036E-2</v>
      </c>
    </row>
    <row r="59" spans="1:13" x14ac:dyDescent="0.3">
      <c r="A59" s="166" t="str">
        <f>_lists!$B$21</f>
        <v>VA</v>
      </c>
      <c r="B59" s="167">
        <f>IF($A59="","",IF(pf_BU="All",IF(SUMPRODUCT((calc_state=$A59)*_calc!$BW$4:$BW$72)=0,"",SUMPRODUCT((calc_state=$A59)*_calc!$BW$4:$BW$72*_calc!$AY$4:$AY$72)/SUMPRODUCT((calc_state=$A59)*_calc!$BW$4:$BW$72)),IF($P$27=0,"",INDEX(_calc!$N:$N,$P$27+27)/INDEX(_calc!$N:$N,$P$27+15)-1)))</f>
        <v>5.0000000000000044E-2</v>
      </c>
      <c r="C59" s="167">
        <f>IF($A59="","",IF(pf_BU="All",IF(SUMPRODUCT((calc_state=$A59)*_calc!$BX$4:$BX$72)=0,"",SUMPRODUCT((calc_state=$A59)*_calc!$BX$4:$BX$72*_calc!$AZ$4:$AZ$72)/SUMPRODUCT((calc_state=$A59)*_calc!$BX$4:$BX$72)),IF($P$27=0,"",INDEX(_calc!$N:$N,$P$27+28)/INDEX(_calc!$N:$N,$P$27+16)-1)))</f>
        <v>5.0000000000000044E-2</v>
      </c>
      <c r="D59" s="167">
        <f>IF($A59="","",IF(pf_BU="All",IF(SUMPRODUCT((calc_state=$A59)*_calc!$BY$4:$BY$72)=0,"",SUMPRODUCT((calc_state=$A59)*_calc!$BY$4:$BY$72*_calc!$BA$4:$BA$72)/SUMPRODUCT((calc_state=$A59)*_calc!$BY$4:$BY$72)),IF($P$27=0,"",INDEX(_calc!$N:$N,$P$27+29)/INDEX(_calc!$N:$N,$P$27+17)-1)))</f>
        <v>5.0000000000000044E-2</v>
      </c>
      <c r="E59" s="167">
        <f>IF($A59="","",IF(pf_BU="All",IF(SUMPRODUCT((calc_state=$A59)*_calc!$BZ$4:$BZ$72)=0,"",SUMPRODUCT((calc_state=$A59)*_calc!$BZ$4:$BZ$72*_calc!$BB$4:$BB$72)/SUMPRODUCT((calc_state=$A59)*_calc!$BZ$4:$BZ$72)),IF($P$27=0,"",INDEX(_calc!$N:$N,$P$27+30)/INDEX(_calc!$N:$N,$P$27+18)-1)))</f>
        <v>5.0000000000000044E-2</v>
      </c>
      <c r="F59" s="167">
        <f>IF($A59="","",IF(pf_BU="All",IF(SUMPRODUCT((calc_state=$A59)*_calc!$CA$4:$CA$72)=0,"",SUMPRODUCT((calc_state=$A59)*_calc!$CA$4:$CA$72*_calc!$BC$4:$BC$72)/SUMPRODUCT((calc_state=$A59)*_calc!$CA$4:$CA$72)),IF($P$27=0,"",INDEX(_calc!$N:$N,$P$27+31)/INDEX(_calc!$N:$N,$P$27+19)-1)))</f>
        <v>5.0000000000000044E-2</v>
      </c>
      <c r="G59" s="167">
        <f>IF($A59="","",IF(pf_BU="All",IF(SUMPRODUCT((calc_state=$A59)*_calc!$CB$4:$CB$72)=0,"",SUMPRODUCT((calc_state=$A59)*_calc!$CB$4:$CB$72*_calc!$BD$4:$BD$72)/SUMPRODUCT((calc_state=$A59)*_calc!$CB$4:$CB$72)),IF($P$27=0,"",INDEX(_calc!$N:$N,$P$27+32)/INDEX(_calc!$N:$N,$P$27+20)-1)))</f>
        <v>5.0000000000000044E-2</v>
      </c>
      <c r="H59" s="167">
        <f>IF($A59="","",IF(pf_BU="All",IF(SUMPRODUCT((calc_state=$A59)*_calc!$CC$4:$CC$72)=0,"",SUMPRODUCT((calc_state=$A59)*_calc!$CC$4:$CC$72*_calc!$BE$4:$BE$72)/SUMPRODUCT((calc_state=$A59)*_calc!$CC$4:$CC$72)),IF($P$27=0,"",INDEX(_calc!$N:$N,$P$27+33)/INDEX(_calc!$N:$N,$P$27+21)-1)))</f>
        <v>0</v>
      </c>
      <c r="I59" s="167">
        <f>IF($A59="","",IF(pf_BU="All",IF(SUMPRODUCT((calc_state=$A59)*_calc!$CD$4:$CD$72)=0,"",SUMPRODUCT((calc_state=$A59)*_calc!$CD$4:$CD$72*_calc!$BF$4:$BF$72)/SUMPRODUCT((calc_state=$A59)*_calc!$CD$4:$CD$72)),IF($P$27=0,"",INDEX(_calc!$N:$N,$P$27+34)/INDEX(_calc!$N:$N,$P$27+22)-1)))</f>
        <v>0</v>
      </c>
      <c r="J59" s="167">
        <f>IF($A59="","",IF(pf_BU="All",IF(SUMPRODUCT((calc_state=$A59)*_calc!$CE$4:$CE$72)=0,"",SUMPRODUCT((calc_state=$A59)*_calc!$CE$4:$CE$72*_calc!$BG$4:$BG$72)/SUMPRODUCT((calc_state=$A59)*_calc!$CE$4:$CE$72)),IF($P$27=0,"",INDEX(_calc!$N:$N,$P$27+35)/INDEX(_calc!$N:$N,$P$27+23)-1)))</f>
        <v>0</v>
      </c>
      <c r="K59" s="167">
        <f>IF($A59="","",IF(pf_BU="All",IF(SUMPRODUCT((calc_state=$A59)*_calc!$CF$4:$CF$72)=0,"",SUMPRODUCT((calc_state=$A59)*_calc!$CF$4:$CF$72*_calc!$BH$4:$BH$72)/SUMPRODUCT((calc_state=$A59)*_calc!$CF$4:$CF$72)),IF($P$27=0,"",INDEX(_calc!$N:$N,$P$27+36)/INDEX(_calc!$N:$N,$P$27+24)-1)))</f>
        <v>0</v>
      </c>
      <c r="L59" s="167">
        <f>IF($A59="","",IF(pf_BU="All",IF(SUMPRODUCT((calc_state=$A59)*_calc!$CG$4:$CG$72)=0,"",SUMPRODUCT((calc_state=$A59)*_calc!$CG$4:$CG$72*_calc!$BI$4:$BI$72)/SUMPRODUCT((calc_state=$A59)*_calc!$CG$4:$CG$72)),IF($P$27=0,"",INDEX(_calc!$N:$N,$P$27+37)/INDEX(_calc!$N:$N,$P$27+25)-1)))</f>
        <v>0</v>
      </c>
      <c r="M59" s="167">
        <f>IF($A59="","",IF(pf_BU="All",IF(SUMPRODUCT((calc_state=$A59)*_calc!$CH$4:$CH$72)=0,"",SUMPRODUCT((calc_state=$A59)*_calc!$CH$4:$CH$72*_calc!$BJ$4:$BJ$72)/SUMPRODUCT((calc_state=$A59)*_calc!$CH$4:$CH$72)),IF($P$27=0,"",INDEX(_calc!$N:$N,$P$27+38)/INDEX(_calc!$N:$N,$P$27+26)-1)))</f>
        <v>0</v>
      </c>
    </row>
    <row r="60" spans="1:13" x14ac:dyDescent="0.3">
      <c r="A60" s="166" t="str">
        <f>_lists!$B$22</f>
        <v>WV</v>
      </c>
      <c r="B60" s="167">
        <f>IF($A60="","",IF(pf_BU="All",IF(SUMPRODUCT((calc_state=$A60)*_calc!$BW$4:$BW$72)=0,"",SUMPRODUCT((calc_state=$A60)*_calc!$BW$4:$BW$72*_calc!$AY$4:$AY$72)/SUMPRODUCT((calc_state=$A60)*_calc!$BW$4:$BW$72)),IF($P$28=0,"",INDEX(_calc!$N:$N,$P$28+27)/INDEX(_calc!$N:$N,$P$28+15)-1)))</f>
        <v>6.0000000000000053E-2</v>
      </c>
      <c r="C60" s="167">
        <f>IF($A60="","",IF(pf_BU="All",IF(SUMPRODUCT((calc_state=$A60)*_calc!$BX$4:$BX$72)=0,"",SUMPRODUCT((calc_state=$A60)*_calc!$BX$4:$BX$72*_calc!$AZ$4:$AZ$72)/SUMPRODUCT((calc_state=$A60)*_calc!$BX$4:$BX$72)),IF($P$28=0,"",INDEX(_calc!$N:$N,$P$28+28)/INDEX(_calc!$N:$N,$P$28+16)-1)))</f>
        <v>6.0000000000000053E-2</v>
      </c>
      <c r="D60" s="167">
        <f>IF($A60="","",IF(pf_BU="All",IF(SUMPRODUCT((calc_state=$A60)*_calc!$BY$4:$BY$72)=0,"",SUMPRODUCT((calc_state=$A60)*_calc!$BY$4:$BY$72*_calc!$BA$4:$BA$72)/SUMPRODUCT((calc_state=$A60)*_calc!$BY$4:$BY$72)),IF($P$28=0,"",INDEX(_calc!$N:$N,$P$28+29)/INDEX(_calc!$N:$N,$P$28+17)-1)))</f>
        <v>6.0000000000000053E-2</v>
      </c>
      <c r="E60" s="167">
        <f>IF($A60="","",IF(pf_BU="All",IF(SUMPRODUCT((calc_state=$A60)*_calc!$BZ$4:$BZ$72)=0,"",SUMPRODUCT((calc_state=$A60)*_calc!$BZ$4:$BZ$72*_calc!$BB$4:$BB$72)/SUMPRODUCT((calc_state=$A60)*_calc!$BZ$4:$BZ$72)),IF($P$28=0,"",INDEX(_calc!$N:$N,$P$28+30)/INDEX(_calc!$N:$N,$P$28+18)-1)))</f>
        <v>6.0000000000000053E-2</v>
      </c>
      <c r="F60" s="167">
        <f>IF($A60="","",IF(pf_BU="All",IF(SUMPRODUCT((calc_state=$A60)*_calc!$CA$4:$CA$72)=0,"",SUMPRODUCT((calc_state=$A60)*_calc!$CA$4:$CA$72*_calc!$BC$4:$BC$72)/SUMPRODUCT((calc_state=$A60)*_calc!$CA$4:$CA$72)),IF($P$28=0,"",INDEX(_calc!$N:$N,$P$28+31)/INDEX(_calc!$N:$N,$P$28+19)-1)))</f>
        <v>6.0000000000000053E-2</v>
      </c>
      <c r="G60" s="167">
        <f>IF($A60="","",IF(pf_BU="All",IF(SUMPRODUCT((calc_state=$A60)*_calc!$CB$4:$CB$72)=0,"",SUMPRODUCT((calc_state=$A60)*_calc!$CB$4:$CB$72*_calc!$BD$4:$BD$72)/SUMPRODUCT((calc_state=$A60)*_calc!$CB$4:$CB$72)),IF($P$28=0,"",INDEX(_calc!$N:$N,$P$28+32)/INDEX(_calc!$N:$N,$P$28+20)-1)))</f>
        <v>6.0000000000000053E-2</v>
      </c>
      <c r="H60" s="167">
        <f>IF($A60="","",IF(pf_BU="All",IF(SUMPRODUCT((calc_state=$A60)*_calc!$CC$4:$CC$72)=0,"",SUMPRODUCT((calc_state=$A60)*_calc!$CC$4:$CC$72*_calc!$BE$4:$BE$72)/SUMPRODUCT((calc_state=$A60)*_calc!$CC$4:$CC$72)),IF($P$28=0,"",INDEX(_calc!$N:$N,$P$28+33)/INDEX(_calc!$N:$N,$P$28+21)-1)))</f>
        <v>6.0000000000000053E-2</v>
      </c>
      <c r="I60" s="167">
        <f>IF($A60="","",IF(pf_BU="All",IF(SUMPRODUCT((calc_state=$A60)*_calc!$CD$4:$CD$72)=0,"",SUMPRODUCT((calc_state=$A60)*_calc!$CD$4:$CD$72*_calc!$BF$4:$BF$72)/SUMPRODUCT((calc_state=$A60)*_calc!$CD$4:$CD$72)),IF($P$28=0,"",INDEX(_calc!$N:$N,$P$28+34)/INDEX(_calc!$N:$N,$P$28+22)-1)))</f>
        <v>0</v>
      </c>
      <c r="J60" s="167">
        <f>IF($A60="","",IF(pf_BU="All",IF(SUMPRODUCT((calc_state=$A60)*_calc!$CE$4:$CE$72)=0,"",SUMPRODUCT((calc_state=$A60)*_calc!$CE$4:$CE$72*_calc!$BG$4:$BG$72)/SUMPRODUCT((calc_state=$A60)*_calc!$CE$4:$CE$72)),IF($P$28=0,"",INDEX(_calc!$N:$N,$P$28+35)/INDEX(_calc!$N:$N,$P$28+23)-1)))</f>
        <v>0</v>
      </c>
      <c r="K60" s="167">
        <f>IF($A60="","",IF(pf_BU="All",IF(SUMPRODUCT((calc_state=$A60)*_calc!$CF$4:$CF$72)=0,"",SUMPRODUCT((calc_state=$A60)*_calc!$CF$4:$CF$72*_calc!$BH$4:$BH$72)/SUMPRODUCT((calc_state=$A60)*_calc!$CF$4:$CF$72)),IF($P$28=0,"",INDEX(_calc!$N:$N,$P$28+36)/INDEX(_calc!$N:$N,$P$28+24)-1)))</f>
        <v>0</v>
      </c>
      <c r="L60" s="167">
        <f>IF($A60="","",IF(pf_BU="All",IF(SUMPRODUCT((calc_state=$A60)*_calc!$CG$4:$CG$72)=0,"",SUMPRODUCT((calc_state=$A60)*_calc!$CG$4:$CG$72*_calc!$BI$4:$BI$72)/SUMPRODUCT((calc_state=$A60)*_calc!$CG$4:$CG$72)),IF($P$28=0,"",INDEX(_calc!$N:$N,$P$28+37)/INDEX(_calc!$N:$N,$P$28+25)-1)))</f>
        <v>0</v>
      </c>
      <c r="M60" s="167">
        <f>IF($A60="","",IF(pf_BU="All",IF(SUMPRODUCT((calc_state=$A60)*_calc!$CH$4:$CH$72)=0,"",SUMPRODUCT((calc_state=$A60)*_calc!$CH$4:$CH$72*_calc!$BJ$4:$BJ$72)/SUMPRODUCT((calc_state=$A60)*_calc!$CH$4:$CH$72)),IF($P$28=0,"",INDEX(_calc!$N:$N,$P$28+38)/INDEX(_calc!$N:$N,$P$28+26)-1)))</f>
        <v>0</v>
      </c>
    </row>
    <row r="61" spans="1:13" x14ac:dyDescent="0.3">
      <c r="A61" s="166" t="str">
        <f>_lists!$B$23</f>
        <v>WI</v>
      </c>
      <c r="B61" s="167">
        <f>IF($A61="","",IF(pf_BU="All",IF(SUMPRODUCT((calc_state=$A61)*_calc!$BW$4:$BW$72)=0,"",SUMPRODUCT((calc_state=$A61)*_calc!$BW$4:$BW$72*_calc!$AY$4:$AY$72)/SUMPRODUCT((calc_state=$A61)*_calc!$BW$4:$BW$72)),IF($P$29=0,"",INDEX(_calc!$N:$N,$P$29+27)/INDEX(_calc!$N:$N,$P$29+15)-1)))</f>
        <v>0</v>
      </c>
      <c r="C61" s="167">
        <f>IF($A61="","",IF(pf_BU="All",IF(SUMPRODUCT((calc_state=$A61)*_calc!$BX$4:$BX$72)=0,"",SUMPRODUCT((calc_state=$A61)*_calc!$BX$4:$BX$72*_calc!$AZ$4:$AZ$72)/SUMPRODUCT((calc_state=$A61)*_calc!$BX$4:$BX$72)),IF($P$29=0,"",INDEX(_calc!$N:$N,$P$29+28)/INDEX(_calc!$N:$N,$P$29+16)-1)))</f>
        <v>0</v>
      </c>
      <c r="D61" s="167">
        <f>IF($A61="","",IF(pf_BU="All",IF(SUMPRODUCT((calc_state=$A61)*_calc!$BY$4:$BY$72)=0,"",SUMPRODUCT((calc_state=$A61)*_calc!$BY$4:$BY$72*_calc!$BA$4:$BA$72)/SUMPRODUCT((calc_state=$A61)*_calc!$BY$4:$BY$72)),IF($P$29=0,"",INDEX(_calc!$N:$N,$P$29+29)/INDEX(_calc!$N:$N,$P$29+17)-1)))</f>
        <v>0</v>
      </c>
      <c r="E61" s="167">
        <f>IF($A61="","",IF(pf_BU="All",IF(SUMPRODUCT((calc_state=$A61)*_calc!$BZ$4:$BZ$72)=0,"",SUMPRODUCT((calc_state=$A61)*_calc!$BZ$4:$BZ$72*_calc!$BB$4:$BB$72)/SUMPRODUCT((calc_state=$A61)*_calc!$BZ$4:$BZ$72)),IF($P$29=0,"",INDEX(_calc!$N:$N,$P$29+30)/INDEX(_calc!$N:$N,$P$29+18)-1)))</f>
        <v>0</v>
      </c>
      <c r="F61" s="167">
        <f>IF($A61="","",IF(pf_BU="All",IF(SUMPRODUCT((calc_state=$A61)*_calc!$CA$4:$CA$72)=0,"",SUMPRODUCT((calc_state=$A61)*_calc!$CA$4:$CA$72*_calc!$BC$4:$BC$72)/SUMPRODUCT((calc_state=$A61)*_calc!$CA$4:$CA$72)),IF($P$29=0,"",INDEX(_calc!$N:$N,$P$29+31)/INDEX(_calc!$N:$N,$P$29+19)-1)))</f>
        <v>0</v>
      </c>
      <c r="G61" s="167">
        <f>IF($A61="","",IF(pf_BU="All",IF(SUMPRODUCT((calc_state=$A61)*_calc!$CB$4:$CB$72)=0,"",SUMPRODUCT((calc_state=$A61)*_calc!$CB$4:$CB$72*_calc!$BD$4:$BD$72)/SUMPRODUCT((calc_state=$A61)*_calc!$CB$4:$CB$72)),IF($P$29=0,"",INDEX(_calc!$N:$N,$P$29+32)/INDEX(_calc!$N:$N,$P$29+20)-1)))</f>
        <v>0</v>
      </c>
      <c r="H61" s="167">
        <f>IF($A61="","",IF(pf_BU="All",IF(SUMPRODUCT((calc_state=$A61)*_calc!$CC$4:$CC$72)=0,"",SUMPRODUCT((calc_state=$A61)*_calc!$CC$4:$CC$72*_calc!$BE$4:$BE$72)/SUMPRODUCT((calc_state=$A61)*_calc!$CC$4:$CC$72)),IF($P$29=0,"",INDEX(_calc!$N:$N,$P$29+33)/INDEX(_calc!$N:$N,$P$29+21)-1)))</f>
        <v>0</v>
      </c>
      <c r="I61" s="167">
        <f>IF($A61="","",IF(pf_BU="All",IF(SUMPRODUCT((calc_state=$A61)*_calc!$CD$4:$CD$72)=0,"",SUMPRODUCT((calc_state=$A61)*_calc!$CD$4:$CD$72*_calc!$BF$4:$BF$72)/SUMPRODUCT((calc_state=$A61)*_calc!$CD$4:$CD$72)),IF($P$29=0,"",INDEX(_calc!$N:$N,$P$29+34)/INDEX(_calc!$N:$N,$P$29+22)-1)))</f>
        <v>0</v>
      </c>
      <c r="J61" s="167">
        <f>IF($A61="","",IF(pf_BU="All",IF(SUMPRODUCT((calc_state=$A61)*_calc!$CE$4:$CE$72)=0,"",SUMPRODUCT((calc_state=$A61)*_calc!$CE$4:$CE$72*_calc!$BG$4:$BG$72)/SUMPRODUCT((calc_state=$A61)*_calc!$CE$4:$CE$72)),IF($P$29=0,"",INDEX(_calc!$N:$N,$P$29+35)/INDEX(_calc!$N:$N,$P$29+23)-1)))</f>
        <v>0</v>
      </c>
      <c r="K61" s="167">
        <f>IF($A61="","",IF(pf_BU="All",IF(SUMPRODUCT((calc_state=$A61)*_calc!$CF$4:$CF$72)=0,"",SUMPRODUCT((calc_state=$A61)*_calc!$CF$4:$CF$72*_calc!$BH$4:$BH$72)/SUMPRODUCT((calc_state=$A61)*_calc!$CF$4:$CF$72)),IF($P$29=0,"",INDEX(_calc!$N:$N,$P$29+36)/INDEX(_calc!$N:$N,$P$29+24)-1)))</f>
        <v>0</v>
      </c>
      <c r="L61" s="167">
        <f>IF($A61="","",IF(pf_BU="All",IF(SUMPRODUCT((calc_state=$A61)*_calc!$CG$4:$CG$72)=0,"",SUMPRODUCT((calc_state=$A61)*_calc!$CG$4:$CG$72*_calc!$BI$4:$BI$72)/SUMPRODUCT((calc_state=$A61)*_calc!$CG$4:$CG$72)),IF($P$29=0,"",INDEX(_calc!$N:$N,$P$29+37)/INDEX(_calc!$N:$N,$P$29+25)-1)))</f>
        <v>0</v>
      </c>
      <c r="M61" s="167">
        <f>IF($A61="","",IF(pf_BU="All",IF(SUMPRODUCT((calc_state=$A61)*_calc!$CH$4:$CH$72)=0,"",SUMPRODUCT((calc_state=$A61)*_calc!$CH$4:$CH$72*_calc!$BJ$4:$BJ$72)/SUMPRODUCT((calc_state=$A61)*_calc!$CH$4:$CH$72)),IF($P$29=0,"",INDEX(_calc!$N:$N,$P$29+38)/INDEX(_calc!$N:$N,$P$29+26)-1)))</f>
        <v>0</v>
      </c>
    </row>
    <row r="62" spans="1:13" x14ac:dyDescent="0.3">
      <c r="A62" s="166" t="str">
        <f>_lists!$B$24</f>
        <v/>
      </c>
      <c r="B62" s="167" t="str">
        <f>IF($A62="","",IF(pf_BU="All",IF(SUMPRODUCT((calc_state=$A62)*_calc!$BW$4:$BW$72)=0,"",SUMPRODUCT((calc_state=$A62)*_calc!$BW$4:$BW$72*_calc!$AY$4:$AY$72)/SUMPRODUCT((calc_state=$A62)*_calc!$BW$4:$BW$72)),IF($P$30=0,"",INDEX(_calc!$N:$N,$P$30+27)/INDEX(_calc!$N:$N,$P$30+15)-1)))</f>
        <v/>
      </c>
      <c r="C62" s="167" t="str">
        <f>IF($A62="","",IF(pf_BU="All",IF(SUMPRODUCT((calc_state=$A62)*_calc!$BX$4:$BX$72)=0,"",SUMPRODUCT((calc_state=$A62)*_calc!$BX$4:$BX$72*_calc!$AZ$4:$AZ$72)/SUMPRODUCT((calc_state=$A62)*_calc!$BX$4:$BX$72)),IF($P$30=0,"",INDEX(_calc!$N:$N,$P$30+28)/INDEX(_calc!$N:$N,$P$30+16)-1)))</f>
        <v/>
      </c>
      <c r="D62" s="167" t="str">
        <f>IF($A62="","",IF(pf_BU="All",IF(SUMPRODUCT((calc_state=$A62)*_calc!$BY$4:$BY$72)=0,"",SUMPRODUCT((calc_state=$A62)*_calc!$BY$4:$BY$72*_calc!$BA$4:$BA$72)/SUMPRODUCT((calc_state=$A62)*_calc!$BY$4:$BY$72)),IF($P$30=0,"",INDEX(_calc!$N:$N,$P$30+29)/INDEX(_calc!$N:$N,$P$30+17)-1)))</f>
        <v/>
      </c>
      <c r="E62" s="167" t="str">
        <f>IF($A62="","",IF(pf_BU="All",IF(SUMPRODUCT((calc_state=$A62)*_calc!$BZ$4:$BZ$72)=0,"",SUMPRODUCT((calc_state=$A62)*_calc!$BZ$4:$BZ$72*_calc!$BB$4:$BB$72)/SUMPRODUCT((calc_state=$A62)*_calc!$BZ$4:$BZ$72)),IF($P$30=0,"",INDEX(_calc!$N:$N,$P$30+30)/INDEX(_calc!$N:$N,$P$30+18)-1)))</f>
        <v/>
      </c>
      <c r="F62" s="167" t="str">
        <f>IF($A62="","",IF(pf_BU="All",IF(SUMPRODUCT((calc_state=$A62)*_calc!$CA$4:$CA$72)=0,"",SUMPRODUCT((calc_state=$A62)*_calc!$CA$4:$CA$72*_calc!$BC$4:$BC$72)/SUMPRODUCT((calc_state=$A62)*_calc!$CA$4:$CA$72)),IF($P$30=0,"",INDEX(_calc!$N:$N,$P$30+31)/INDEX(_calc!$N:$N,$P$30+19)-1)))</f>
        <v/>
      </c>
      <c r="G62" s="167" t="str">
        <f>IF($A62="","",IF(pf_BU="All",IF(SUMPRODUCT((calc_state=$A62)*_calc!$CB$4:$CB$72)=0,"",SUMPRODUCT((calc_state=$A62)*_calc!$CB$4:$CB$72*_calc!$BD$4:$BD$72)/SUMPRODUCT((calc_state=$A62)*_calc!$CB$4:$CB$72)),IF($P$30=0,"",INDEX(_calc!$N:$N,$P$30+32)/INDEX(_calc!$N:$N,$P$30+20)-1)))</f>
        <v/>
      </c>
      <c r="H62" s="167" t="str">
        <f>IF($A62="","",IF(pf_BU="All",IF(SUMPRODUCT((calc_state=$A62)*_calc!$CC$4:$CC$72)=0,"",SUMPRODUCT((calc_state=$A62)*_calc!$CC$4:$CC$72*_calc!$BE$4:$BE$72)/SUMPRODUCT((calc_state=$A62)*_calc!$CC$4:$CC$72)),IF($P$30=0,"",INDEX(_calc!$N:$N,$P$30+33)/INDEX(_calc!$N:$N,$P$30+21)-1)))</f>
        <v/>
      </c>
      <c r="I62" s="167" t="str">
        <f>IF($A62="","",IF(pf_BU="All",IF(SUMPRODUCT((calc_state=$A62)*_calc!$CD$4:$CD$72)=0,"",SUMPRODUCT((calc_state=$A62)*_calc!$CD$4:$CD$72*_calc!$BF$4:$BF$72)/SUMPRODUCT((calc_state=$A62)*_calc!$CD$4:$CD$72)),IF($P$30=0,"",INDEX(_calc!$N:$N,$P$30+34)/INDEX(_calc!$N:$N,$P$30+22)-1)))</f>
        <v/>
      </c>
      <c r="J62" s="167" t="str">
        <f>IF($A62="","",IF(pf_BU="All",IF(SUMPRODUCT((calc_state=$A62)*_calc!$CE$4:$CE$72)=0,"",SUMPRODUCT((calc_state=$A62)*_calc!$CE$4:$CE$72*_calc!$BG$4:$BG$72)/SUMPRODUCT((calc_state=$A62)*_calc!$CE$4:$CE$72)),IF($P$30=0,"",INDEX(_calc!$N:$N,$P$30+35)/INDEX(_calc!$N:$N,$P$30+23)-1)))</f>
        <v/>
      </c>
      <c r="K62" s="167" t="str">
        <f>IF($A62="","",IF(pf_BU="All",IF(SUMPRODUCT((calc_state=$A62)*_calc!$CF$4:$CF$72)=0,"",SUMPRODUCT((calc_state=$A62)*_calc!$CF$4:$CF$72*_calc!$BH$4:$BH$72)/SUMPRODUCT((calc_state=$A62)*_calc!$CF$4:$CF$72)),IF($P$30=0,"",INDEX(_calc!$N:$N,$P$30+36)/INDEX(_calc!$N:$N,$P$30+24)-1)))</f>
        <v/>
      </c>
      <c r="L62" s="167" t="str">
        <f>IF($A62="","",IF(pf_BU="All",IF(SUMPRODUCT((calc_state=$A62)*_calc!$CG$4:$CG$72)=0,"",SUMPRODUCT((calc_state=$A62)*_calc!$CG$4:$CG$72*_calc!$BI$4:$BI$72)/SUMPRODUCT((calc_state=$A62)*_calc!$CG$4:$CG$72)),IF($P$30=0,"",INDEX(_calc!$N:$N,$P$30+37)/INDEX(_calc!$N:$N,$P$30+25)-1)))</f>
        <v/>
      </c>
      <c r="M62" s="167" t="str">
        <f>IF($A62="","",IF(pf_BU="All",IF(SUMPRODUCT((calc_state=$A62)*_calc!$CH$4:$CH$72)=0,"",SUMPRODUCT((calc_state=$A62)*_calc!$CH$4:$CH$72*_calc!$BJ$4:$BJ$72)/SUMPRODUCT((calc_state=$A62)*_calc!$CH$4:$CH$72)),IF($P$30=0,"",INDEX(_calc!$N:$N,$P$30+38)/INDEX(_calc!$N:$N,$P$30+26)-1)))</f>
        <v/>
      </c>
    </row>
    <row r="63" spans="1:13" x14ac:dyDescent="0.3">
      <c r="A63" s="166" t="str">
        <f>_lists!$B$25</f>
        <v/>
      </c>
      <c r="B63" s="167" t="str">
        <f>IF($A63="","",IF(pf_BU="All",IF(SUMPRODUCT((calc_state=$A63)*_calc!$BW$4:$BW$72)=0,"",SUMPRODUCT((calc_state=$A63)*_calc!$BW$4:$BW$72*_calc!$AY$4:$AY$72)/SUMPRODUCT((calc_state=$A63)*_calc!$BW$4:$BW$72)),IF($P$31=0,"",INDEX(_calc!$N:$N,$P$31+27)/INDEX(_calc!$N:$N,$P$31+15)-1)))</f>
        <v/>
      </c>
      <c r="C63" s="167" t="str">
        <f>IF($A63="","",IF(pf_BU="All",IF(SUMPRODUCT((calc_state=$A63)*_calc!$BX$4:$BX$72)=0,"",SUMPRODUCT((calc_state=$A63)*_calc!$BX$4:$BX$72*_calc!$AZ$4:$AZ$72)/SUMPRODUCT((calc_state=$A63)*_calc!$BX$4:$BX$72)),IF($P$31=0,"",INDEX(_calc!$N:$N,$P$31+28)/INDEX(_calc!$N:$N,$P$31+16)-1)))</f>
        <v/>
      </c>
      <c r="D63" s="167" t="str">
        <f>IF($A63="","",IF(pf_BU="All",IF(SUMPRODUCT((calc_state=$A63)*_calc!$BY$4:$BY$72)=0,"",SUMPRODUCT((calc_state=$A63)*_calc!$BY$4:$BY$72*_calc!$BA$4:$BA$72)/SUMPRODUCT((calc_state=$A63)*_calc!$BY$4:$BY$72)),IF($P$31=0,"",INDEX(_calc!$N:$N,$P$31+29)/INDEX(_calc!$N:$N,$P$31+17)-1)))</f>
        <v/>
      </c>
      <c r="E63" s="167" t="str">
        <f>IF($A63="","",IF(pf_BU="All",IF(SUMPRODUCT((calc_state=$A63)*_calc!$BZ$4:$BZ$72)=0,"",SUMPRODUCT((calc_state=$A63)*_calc!$BZ$4:$BZ$72*_calc!$BB$4:$BB$72)/SUMPRODUCT((calc_state=$A63)*_calc!$BZ$4:$BZ$72)),IF($P$31=0,"",INDEX(_calc!$N:$N,$P$31+30)/INDEX(_calc!$N:$N,$P$31+18)-1)))</f>
        <v/>
      </c>
      <c r="F63" s="167" t="str">
        <f>IF($A63="","",IF(pf_BU="All",IF(SUMPRODUCT((calc_state=$A63)*_calc!$CA$4:$CA$72)=0,"",SUMPRODUCT((calc_state=$A63)*_calc!$CA$4:$CA$72*_calc!$BC$4:$BC$72)/SUMPRODUCT((calc_state=$A63)*_calc!$CA$4:$CA$72)),IF($P$31=0,"",INDEX(_calc!$N:$N,$P$31+31)/INDEX(_calc!$N:$N,$P$31+19)-1)))</f>
        <v/>
      </c>
      <c r="G63" s="167" t="str">
        <f>IF($A63="","",IF(pf_BU="All",IF(SUMPRODUCT((calc_state=$A63)*_calc!$CB$4:$CB$72)=0,"",SUMPRODUCT((calc_state=$A63)*_calc!$CB$4:$CB$72*_calc!$BD$4:$BD$72)/SUMPRODUCT((calc_state=$A63)*_calc!$CB$4:$CB$72)),IF($P$31=0,"",INDEX(_calc!$N:$N,$P$31+32)/INDEX(_calc!$N:$N,$P$31+20)-1)))</f>
        <v/>
      </c>
      <c r="H63" s="167" t="str">
        <f>IF($A63="","",IF(pf_BU="All",IF(SUMPRODUCT((calc_state=$A63)*_calc!$CC$4:$CC$72)=0,"",SUMPRODUCT((calc_state=$A63)*_calc!$CC$4:$CC$72*_calc!$BE$4:$BE$72)/SUMPRODUCT((calc_state=$A63)*_calc!$CC$4:$CC$72)),IF($P$31=0,"",INDEX(_calc!$N:$N,$P$31+33)/INDEX(_calc!$N:$N,$P$31+21)-1)))</f>
        <v/>
      </c>
      <c r="I63" s="167" t="str">
        <f>IF($A63="","",IF(pf_BU="All",IF(SUMPRODUCT((calc_state=$A63)*_calc!$CD$4:$CD$72)=0,"",SUMPRODUCT((calc_state=$A63)*_calc!$CD$4:$CD$72*_calc!$BF$4:$BF$72)/SUMPRODUCT((calc_state=$A63)*_calc!$CD$4:$CD$72)),IF($P$31=0,"",INDEX(_calc!$N:$N,$P$31+34)/INDEX(_calc!$N:$N,$P$31+22)-1)))</f>
        <v/>
      </c>
      <c r="J63" s="167" t="str">
        <f>IF($A63="","",IF(pf_BU="All",IF(SUMPRODUCT((calc_state=$A63)*_calc!$CE$4:$CE$72)=0,"",SUMPRODUCT((calc_state=$A63)*_calc!$CE$4:$CE$72*_calc!$BG$4:$BG$72)/SUMPRODUCT((calc_state=$A63)*_calc!$CE$4:$CE$72)),IF($P$31=0,"",INDEX(_calc!$N:$N,$P$31+35)/INDEX(_calc!$N:$N,$P$31+23)-1)))</f>
        <v/>
      </c>
      <c r="K63" s="167" t="str">
        <f>IF($A63="","",IF(pf_BU="All",IF(SUMPRODUCT((calc_state=$A63)*_calc!$CF$4:$CF$72)=0,"",SUMPRODUCT((calc_state=$A63)*_calc!$CF$4:$CF$72*_calc!$BH$4:$BH$72)/SUMPRODUCT((calc_state=$A63)*_calc!$CF$4:$CF$72)),IF($P$31=0,"",INDEX(_calc!$N:$N,$P$31+36)/INDEX(_calc!$N:$N,$P$31+24)-1)))</f>
        <v/>
      </c>
      <c r="L63" s="167" t="str">
        <f>IF($A63="","",IF(pf_BU="All",IF(SUMPRODUCT((calc_state=$A63)*_calc!$CG$4:$CG$72)=0,"",SUMPRODUCT((calc_state=$A63)*_calc!$CG$4:$CG$72*_calc!$BI$4:$BI$72)/SUMPRODUCT((calc_state=$A63)*_calc!$CG$4:$CG$72)),IF($P$31=0,"",INDEX(_calc!$N:$N,$P$31+37)/INDEX(_calc!$N:$N,$P$31+25)-1)))</f>
        <v/>
      </c>
      <c r="M63" s="167" t="str">
        <f>IF($A63="","",IF(pf_BU="All",IF(SUMPRODUCT((calc_state=$A63)*_calc!$CH$4:$CH$72)=0,"",SUMPRODUCT((calc_state=$A63)*_calc!$CH$4:$CH$72*_calc!$BJ$4:$BJ$72)/SUMPRODUCT((calc_state=$A63)*_calc!$CH$4:$CH$72)),IF($P$31=0,"",INDEX(_calc!$N:$N,$P$31+38)/INDEX(_calc!$N:$N,$P$31+26)-1)))</f>
        <v/>
      </c>
    </row>
    <row r="64" spans="1:13" x14ac:dyDescent="0.3">
      <c r="A64" s="166" t="str">
        <f>_lists!$B$26</f>
        <v/>
      </c>
      <c r="B64" s="167" t="str">
        <f>IF($A64="","",IF(pf_BU="All",IF(SUMPRODUCT((calc_state=$A64)*_calc!$BW$4:$BW$72)=0,"",SUMPRODUCT((calc_state=$A64)*_calc!$BW$4:$BW$72*_calc!$AY$4:$AY$72)/SUMPRODUCT((calc_state=$A64)*_calc!$BW$4:$BW$72)),IF($P$32=0,"",INDEX(_calc!$N:$N,$P$32+27)/INDEX(_calc!$N:$N,$P$32+15)-1)))</f>
        <v/>
      </c>
      <c r="C64" s="167" t="str">
        <f>IF($A64="","",IF(pf_BU="All",IF(SUMPRODUCT((calc_state=$A64)*_calc!$BX$4:$BX$72)=0,"",SUMPRODUCT((calc_state=$A64)*_calc!$BX$4:$BX$72*_calc!$AZ$4:$AZ$72)/SUMPRODUCT((calc_state=$A64)*_calc!$BX$4:$BX$72)),IF($P$32=0,"",INDEX(_calc!$N:$N,$P$32+28)/INDEX(_calc!$N:$N,$P$32+16)-1)))</f>
        <v/>
      </c>
      <c r="D64" s="167" t="str">
        <f>IF($A64="","",IF(pf_BU="All",IF(SUMPRODUCT((calc_state=$A64)*_calc!$BY$4:$BY$72)=0,"",SUMPRODUCT((calc_state=$A64)*_calc!$BY$4:$BY$72*_calc!$BA$4:$BA$72)/SUMPRODUCT((calc_state=$A64)*_calc!$BY$4:$BY$72)),IF($P$32=0,"",INDEX(_calc!$N:$N,$P$32+29)/INDEX(_calc!$N:$N,$P$32+17)-1)))</f>
        <v/>
      </c>
      <c r="E64" s="167" t="str">
        <f>IF($A64="","",IF(pf_BU="All",IF(SUMPRODUCT((calc_state=$A64)*_calc!$BZ$4:$BZ$72)=0,"",SUMPRODUCT((calc_state=$A64)*_calc!$BZ$4:$BZ$72*_calc!$BB$4:$BB$72)/SUMPRODUCT((calc_state=$A64)*_calc!$BZ$4:$BZ$72)),IF($P$32=0,"",INDEX(_calc!$N:$N,$P$32+30)/INDEX(_calc!$N:$N,$P$32+18)-1)))</f>
        <v/>
      </c>
      <c r="F64" s="167" t="str">
        <f>IF($A64="","",IF(pf_BU="All",IF(SUMPRODUCT((calc_state=$A64)*_calc!$CA$4:$CA$72)=0,"",SUMPRODUCT((calc_state=$A64)*_calc!$CA$4:$CA$72*_calc!$BC$4:$BC$72)/SUMPRODUCT((calc_state=$A64)*_calc!$CA$4:$CA$72)),IF($P$32=0,"",INDEX(_calc!$N:$N,$P$32+31)/INDEX(_calc!$N:$N,$P$32+19)-1)))</f>
        <v/>
      </c>
      <c r="G64" s="167" t="str">
        <f>IF($A64="","",IF(pf_BU="All",IF(SUMPRODUCT((calc_state=$A64)*_calc!$CB$4:$CB$72)=0,"",SUMPRODUCT((calc_state=$A64)*_calc!$CB$4:$CB$72*_calc!$BD$4:$BD$72)/SUMPRODUCT((calc_state=$A64)*_calc!$CB$4:$CB$72)),IF($P$32=0,"",INDEX(_calc!$N:$N,$P$32+32)/INDEX(_calc!$N:$N,$P$32+20)-1)))</f>
        <v/>
      </c>
      <c r="H64" s="167" t="str">
        <f>IF($A64="","",IF(pf_BU="All",IF(SUMPRODUCT((calc_state=$A64)*_calc!$CC$4:$CC$72)=0,"",SUMPRODUCT((calc_state=$A64)*_calc!$CC$4:$CC$72*_calc!$BE$4:$BE$72)/SUMPRODUCT((calc_state=$A64)*_calc!$CC$4:$CC$72)),IF($P$32=0,"",INDEX(_calc!$N:$N,$P$32+33)/INDEX(_calc!$N:$N,$P$32+21)-1)))</f>
        <v/>
      </c>
      <c r="I64" s="167" t="str">
        <f>IF($A64="","",IF(pf_BU="All",IF(SUMPRODUCT((calc_state=$A64)*_calc!$CD$4:$CD$72)=0,"",SUMPRODUCT((calc_state=$A64)*_calc!$CD$4:$CD$72*_calc!$BF$4:$BF$72)/SUMPRODUCT((calc_state=$A64)*_calc!$CD$4:$CD$72)),IF($P$32=0,"",INDEX(_calc!$N:$N,$P$32+34)/INDEX(_calc!$N:$N,$P$32+22)-1)))</f>
        <v/>
      </c>
      <c r="J64" s="167" t="str">
        <f>IF($A64="","",IF(pf_BU="All",IF(SUMPRODUCT((calc_state=$A64)*_calc!$CE$4:$CE$72)=0,"",SUMPRODUCT((calc_state=$A64)*_calc!$CE$4:$CE$72*_calc!$BG$4:$BG$72)/SUMPRODUCT((calc_state=$A64)*_calc!$CE$4:$CE$72)),IF($P$32=0,"",INDEX(_calc!$N:$N,$P$32+35)/INDEX(_calc!$N:$N,$P$32+23)-1)))</f>
        <v/>
      </c>
      <c r="K64" s="167" t="str">
        <f>IF($A64="","",IF(pf_BU="All",IF(SUMPRODUCT((calc_state=$A64)*_calc!$CF$4:$CF$72)=0,"",SUMPRODUCT((calc_state=$A64)*_calc!$CF$4:$CF$72*_calc!$BH$4:$BH$72)/SUMPRODUCT((calc_state=$A64)*_calc!$CF$4:$CF$72)),IF($P$32=0,"",INDEX(_calc!$N:$N,$P$32+36)/INDEX(_calc!$N:$N,$P$32+24)-1)))</f>
        <v/>
      </c>
      <c r="L64" s="167" t="str">
        <f>IF($A64="","",IF(pf_BU="All",IF(SUMPRODUCT((calc_state=$A64)*_calc!$CG$4:$CG$72)=0,"",SUMPRODUCT((calc_state=$A64)*_calc!$CG$4:$CG$72*_calc!$BI$4:$BI$72)/SUMPRODUCT((calc_state=$A64)*_calc!$CG$4:$CG$72)),IF($P$32=0,"",INDEX(_calc!$N:$N,$P$32+37)/INDEX(_calc!$N:$N,$P$32+25)-1)))</f>
        <v/>
      </c>
      <c r="M64" s="167" t="str">
        <f>IF($A64="","",IF(pf_BU="All",IF(SUMPRODUCT((calc_state=$A64)*_calc!$CH$4:$CH$72)=0,"",SUMPRODUCT((calc_state=$A64)*_calc!$CH$4:$CH$72*_calc!$BJ$4:$BJ$72)/SUMPRODUCT((calc_state=$A64)*_calc!$CH$4:$CH$72)),IF($P$32=0,"",INDEX(_calc!$N:$N,$P$32+38)/INDEX(_calc!$N:$N,$P$32+26)-1)))</f>
        <v/>
      </c>
    </row>
    <row r="65" spans="1:13" x14ac:dyDescent="0.3">
      <c r="A65" s="168" t="str">
        <f>IF(pf_BU="All","BOOK AVG","BU AVG")</f>
        <v>BU AVG</v>
      </c>
      <c r="B65" s="169">
        <f>IF(SUMPRODUCT(((pf_BU="All")+(calc_bu=pf_BU))*_calc!$BW$4:$BW$72)=0,"",SUMPRODUCT(((pf_BU="All")+(calc_bu=pf_BU))*_calc!$BW$4:$BW$72*_calc!$AY$4:$AY$72)/SUMPRODUCT(((pf_BU="All")+(calc_bu=pf_BU))*_calc!$BW$4:$BW$72))</f>
        <v>3.0513595166163161E-2</v>
      </c>
      <c r="C65" s="169">
        <f>IF(SUMPRODUCT(((pf_BU="All")+(calc_bu=pf_BU))*_calc!$BX$4:$BX$72)=0,"",SUMPRODUCT(((pf_BU="All")+(calc_bu=pf_BU))*_calc!$BX$4:$BX$72*_calc!$AZ$4:$AZ$72)/SUMPRODUCT(((pf_BU="All")+(calc_bu=pf_BU))*_calc!$BX$4:$BX$72))</f>
        <v>2.7522658610271918E-2</v>
      </c>
      <c r="D65" s="169">
        <f>IF(SUMPRODUCT(((pf_BU="All")+(calc_bu=pf_BU))*_calc!$BY$4:$BY$72)=0,"",SUMPRODUCT(((pf_BU="All")+(calc_bu=pf_BU))*_calc!$BY$4:$BY$72*_calc!$BA$4:$BA$72)/SUMPRODUCT(((pf_BU="All")+(calc_bu=pf_BU))*_calc!$BY$4:$BY$72))</f>
        <v>2.7522658610271918E-2</v>
      </c>
      <c r="E65" s="169">
        <f>IF(SUMPRODUCT(((pf_BU="All")+(calc_bu=pf_BU))*_calc!$BZ$4:$BZ$72)=0,"",SUMPRODUCT(((pf_BU="All")+(calc_bu=pf_BU))*_calc!$BZ$4:$BZ$72*_calc!$BB$4:$BB$72)/SUMPRODUCT(((pf_BU="All")+(calc_bu=pf_BU))*_calc!$BZ$4:$BZ$72))</f>
        <v>2.8773413897280983E-2</v>
      </c>
      <c r="F65" s="169">
        <f>IF(SUMPRODUCT(((pf_BU="All")+(calc_bu=pf_BU))*_calc!$CA$4:$CA$72)=0,"",SUMPRODUCT(((pf_BU="All")+(calc_bu=pf_BU))*_calc!$CA$4:$CA$72*_calc!$BC$4:$BC$72)/SUMPRODUCT(((pf_BU="All")+(calc_bu=pf_BU))*_calc!$CA$4:$CA$72))</f>
        <v>2.6054380664652581E-2</v>
      </c>
      <c r="G65" s="169">
        <f>IF(SUMPRODUCT(((pf_BU="All")+(calc_bu=pf_BU))*_calc!$CB$4:$CB$72)=0,"",SUMPRODUCT(((pf_BU="All")+(calc_bu=pf_BU))*_calc!$CB$4:$CB$72*_calc!$BD$4:$BD$72)/SUMPRODUCT(((pf_BU="All")+(calc_bu=pf_BU))*_calc!$CB$4:$CB$72))</f>
        <v>2.5722054380664675E-2</v>
      </c>
      <c r="H65" s="169">
        <f>IF(SUMPRODUCT(((pf_BU="All")+(calc_bu=pf_BU))*_calc!$CC$4:$CC$72)=0,"",SUMPRODUCT(((pf_BU="All")+(calc_bu=pf_BU))*_calc!$CC$4:$CC$72*_calc!$BE$4:$BE$72)/SUMPRODUCT(((pf_BU="All")+(calc_bu=pf_BU))*_calc!$CC$4:$CC$72))</f>
        <v>1.9395770392749263E-2</v>
      </c>
      <c r="I65" s="169">
        <f>IF(SUMPRODUCT(((pf_BU="All")+(calc_bu=pf_BU))*_calc!$CD$4:$CD$72)=0,"",SUMPRODUCT(((pf_BU="All")+(calc_bu=pf_BU))*_calc!$CD$4:$CD$72*_calc!$BF$4:$BF$72)/SUMPRODUCT(((pf_BU="All")+(calc_bu=pf_BU))*_calc!$CD$4:$CD$72))</f>
        <v>1.5589123867069499E-2</v>
      </c>
      <c r="J65" s="169">
        <f>IF(SUMPRODUCT(((pf_BU="All")+(calc_bu=pf_BU))*_calc!$CE$4:$CE$72)=0,"",SUMPRODUCT(((pf_BU="All")+(calc_bu=pf_BU))*_calc!$CE$4:$CE$72*_calc!$BG$4:$BG$72)/SUMPRODUCT(((pf_BU="All")+(calc_bu=pf_BU))*_calc!$CE$4:$CE$72))</f>
        <v>1.5589123867069499E-2</v>
      </c>
      <c r="K65" s="169">
        <f>IF(SUMPRODUCT(((pf_BU="All")+(calc_bu=pf_BU))*_calc!$CF$4:$CF$72)=0,"",SUMPRODUCT(((pf_BU="All")+(calc_bu=pf_BU))*_calc!$CF$4:$CF$72*_calc!$BH$4:$BH$72)/SUMPRODUCT(((pf_BU="All")+(calc_bu=pf_BU))*_calc!$CF$4:$CF$72))</f>
        <v>1.4199395770392764E-2</v>
      </c>
      <c r="L65" s="169">
        <f>IF(SUMPRODUCT(((pf_BU="All")+(calc_bu=pf_BU))*_calc!$CG$4:$CG$72)=0,"",SUMPRODUCT(((pf_BU="All")+(calc_bu=pf_BU))*_calc!$CG$4:$CG$72*_calc!$BI$4:$BI$72)/SUMPRODUCT(((pf_BU="All")+(calc_bu=pf_BU))*_calc!$CG$4:$CG$72))</f>
        <v>1.3051359516616325E-2</v>
      </c>
      <c r="M65" s="169">
        <f>IF(SUMPRODUCT(((pf_BU="All")+(calc_bu=pf_BU))*_calc!$CH$4:$CH$72)=0,"",SUMPRODUCT(((pf_BU="All")+(calc_bu=pf_BU))*_calc!$CH$4:$CH$72*_calc!$BJ$4:$BJ$72)/SUMPRODUCT(((pf_BU="All")+(calc_bu=pf_BU))*_calc!$CH$4:$CH$72))</f>
        <v>1.3051359516616325E-2</v>
      </c>
    </row>
    <row r="69" spans="1:13" ht="15.6" x14ac:dyDescent="0.3">
      <c r="A69" s="3" t="s">
        <v>334</v>
      </c>
    </row>
    <row r="70" spans="1:13" x14ac:dyDescent="0.3">
      <c r="A70" s="51" t="s">
        <v>335</v>
      </c>
    </row>
    <row r="71" spans="1:13" x14ac:dyDescent="0.3">
      <c r="A71" s="41" t="s">
        <v>104</v>
      </c>
      <c r="B71" s="165" t="str">
        <f>TEXT(DATE(nr_PlanYear,1,1),"mmm")&amp;" "&amp;nr_PlanYear</f>
        <v>Jan 2027</v>
      </c>
      <c r="C71" s="165" t="str">
        <f>TEXT(DATE(nr_PlanYear,2,1),"mmm")&amp;" "&amp;nr_PlanYear</f>
        <v>Feb 2027</v>
      </c>
      <c r="D71" s="165" t="str">
        <f>TEXT(DATE(nr_PlanYear,3,1),"mmm")&amp;" "&amp;nr_PlanYear</f>
        <v>Mar 2027</v>
      </c>
      <c r="E71" s="165" t="str">
        <f>TEXT(DATE(nr_PlanYear,4,1),"mmm")&amp;" "&amp;nr_PlanYear</f>
        <v>Apr 2027</v>
      </c>
      <c r="F71" s="165" t="str">
        <f>TEXT(DATE(nr_PlanYear,5,1),"mmm")&amp;" "&amp;nr_PlanYear</f>
        <v>May 2027</v>
      </c>
      <c r="G71" s="165" t="str">
        <f>TEXT(DATE(nr_PlanYear,6,1),"mmm")&amp;" "&amp;nr_PlanYear</f>
        <v>Jun 2027</v>
      </c>
      <c r="H71" s="165" t="str">
        <f>TEXT(DATE(nr_PlanYear,7,1),"mmm")&amp;" "&amp;nr_PlanYear</f>
        <v>Jul 2027</v>
      </c>
      <c r="I71" s="165" t="str">
        <f>TEXT(DATE(nr_PlanYear,8,1),"mmm")&amp;" "&amp;nr_PlanYear</f>
        <v>Aug 2027</v>
      </c>
      <c r="J71" s="165" t="str">
        <f>TEXT(DATE(nr_PlanYear,9,1),"mmm")&amp;" "&amp;nr_PlanYear</f>
        <v>Sep 2027</v>
      </c>
      <c r="K71" s="165" t="str">
        <f>TEXT(DATE(nr_PlanYear,10,1),"mmm")&amp;" "&amp;nr_PlanYear</f>
        <v>Oct 2027</v>
      </c>
      <c r="L71" s="165" t="str">
        <f>TEXT(DATE(nr_PlanYear,11,1),"mmm")&amp;" "&amp;nr_PlanYear</f>
        <v>Nov 2027</v>
      </c>
      <c r="M71" s="165" t="str">
        <f>TEXT(DATE(nr_PlanYear,12,1),"mmm")&amp;" "&amp;nr_PlanYear</f>
        <v>Dec 2027</v>
      </c>
    </row>
    <row r="72" spans="1:13" x14ac:dyDescent="0.3">
      <c r="A72" s="166" t="str">
        <f>_lists!$B$3</f>
        <v>AZ</v>
      </c>
      <c r="B72" s="167">
        <f>IF($A72="","",IF(pf_BU="All",IF(SUMPRODUCT((calc_state=$A72)*_calc!$BW$4:$BW$72*_calc!$CI$4:$CI$72)=0,"—",SUMPRODUCT((calc_state=$A72)*_calc!$BW$4:$BW$72*_calc!$CI$4:$CI$72*_calc!$BK$4:$BK$72)/SUMPRODUCT((calc_state=$A72)*_calc!$BW$4:$BW$72*_calc!$CI$4:$CI$72)),IF($P$9=0,"",IF(INDEX(_calc!$O:$O,$P$9)=0,"—",INDEX(_calc!$O:$O,$P$9+27)/INDEX(_calc!$O:$O,$P$9+15)-1))))</f>
        <v>2.8419782244773595E-2</v>
      </c>
      <c r="C72" s="167">
        <f>IF($A72="","",IF(pf_BU="All",IF(SUMPRODUCT((calc_state=$A72)*_calc!$BX$4:$BX$72*_calc!$CI$4:$CI$72)=0,"—",SUMPRODUCT((calc_state=$A72)*_calc!$BX$4:$BX$72*_calc!$CI$4:$CI$72*_calc!$BL$4:$BL$72)/SUMPRODUCT((calc_state=$A72)*_calc!$BX$4:$BX$72*_calc!$CI$4:$CI$72)),IF($P$9=0,"",IF(INDEX(_calc!$O:$O,$P$9)=0,"—",INDEX(_calc!$O:$O,$P$9+28)/INDEX(_calc!$O:$O,$P$9+16)-1))))</f>
        <v>2.8354653270495689E-2</v>
      </c>
      <c r="D72" s="167">
        <f>IF($A72="","",IF(pf_BU="All",IF(SUMPRODUCT((calc_state=$A72)*_calc!$BY$4:$BY$72*_calc!$CI$4:$CI$72)=0,"—",SUMPRODUCT((calc_state=$A72)*_calc!$BY$4:$BY$72*_calc!$CI$4:$CI$72*_calc!$BM$4:$BM$72)/SUMPRODUCT((calc_state=$A72)*_calc!$BY$4:$BY$72*_calc!$CI$4:$CI$72)),IF($P$9=0,"",IF(INDEX(_calc!$O:$O,$P$9)=0,"—",INDEX(_calc!$O:$O,$P$9+29)/INDEX(_calc!$O:$O,$P$9+17)-1))))</f>
        <v>2.8289822122899322E-2</v>
      </c>
      <c r="E72" s="167">
        <f>IF($A72="","",IF(pf_BU="All",IF(SUMPRODUCT((calc_state=$A72)*_calc!$BZ$4:$BZ$72*_calc!$CI$4:$CI$72)=0,"—",SUMPRODUCT((calc_state=$A72)*_calc!$BZ$4:$BZ$72*_calc!$CI$4:$CI$72*_calc!$BN$4:$BN$72)/SUMPRODUCT((calc_state=$A72)*_calc!$BZ$4:$BZ$72*_calc!$CI$4:$CI$72)),IF($P$9=0,"",IF(INDEX(_calc!$O:$O,$P$9)=0,"—",INDEX(_calc!$O:$O,$P$9+30)/INDEX(_calc!$O:$O,$P$9+18)-1))))</f>
        <v>2.8223104283725986E-2</v>
      </c>
      <c r="F72" s="167">
        <f>IF($A72="","",IF(pf_BU="All",IF(SUMPRODUCT((calc_state=$A72)*_calc!$CA$4:$CA$72*_calc!$CI$4:$CI$72)=0,"—",SUMPRODUCT((calc_state=$A72)*_calc!$CA$4:$CA$72*_calc!$CI$4:$CI$72*_calc!$BO$4:$BO$72)/SUMPRODUCT((calc_state=$A72)*_calc!$CA$4:$CA$72*_calc!$CI$4:$CI$72)),IF($P$9=0,"",IF(INDEX(_calc!$O:$O,$P$9)=0,"—",INDEX(_calc!$O:$O,$P$9+31)/INDEX(_calc!$O:$O,$P$9+19)-1))))</f>
        <v>2.8156700394708079E-2</v>
      </c>
      <c r="G72" s="167">
        <f>IF($A72="","",IF(pf_BU="All",IF(SUMPRODUCT((calc_state=$A72)*_calc!$CB$4:$CB$72*_calc!$CI$4:$CI$72)=0,"—",SUMPRODUCT((calc_state=$A72)*_calc!$CB$4:$CB$72*_calc!$CI$4:$CI$72*_calc!$BP$4:$BP$72)/SUMPRODUCT((calc_state=$A72)*_calc!$CB$4:$CB$72*_calc!$CI$4:$CI$72)),IF($P$9=0,"",IF(INDEX(_calc!$O:$O,$P$9)=0,"—",INDEX(_calc!$O:$O,$P$9+32)/INDEX(_calc!$O:$O,$P$9+20)-1))))</f>
        <v>2.8090608245042503E-2</v>
      </c>
      <c r="H72" s="167">
        <f>IF($A72="","",IF(pf_BU="All",IF(SUMPRODUCT((calc_state=$A72)*_calc!$CC$4:$CC$72*_calc!$CI$4:$CI$72)=0,"—",SUMPRODUCT((calc_state=$A72)*_calc!$CC$4:$CC$72*_calc!$CI$4:$CI$72*_calc!$BQ$4:$BQ$72)/SUMPRODUCT((calc_state=$A72)*_calc!$CC$4:$CC$72*_calc!$CI$4:$CI$72)),IF($P$9=0,"",IF(INDEX(_calc!$O:$O,$P$9)=0,"—",INDEX(_calc!$O:$O,$P$9+33)/INDEX(_calc!$O:$O,$P$9+21)-1))))</f>
        <v>2.8024825644634932E-2</v>
      </c>
      <c r="I72" s="167">
        <f>IF($A72="","",IF(pf_BU="All",IF(SUMPRODUCT((calc_state=$A72)*_calc!$CD$4:$CD$72*_calc!$CI$4:$CI$72)=0,"—",SUMPRODUCT((calc_state=$A72)*_calc!$CD$4:$CD$72*_calc!$CI$4:$CI$72*_calc!$BR$4:$BR$72)/SUMPRODUCT((calc_state=$A72)*_calc!$CD$4:$CD$72*_calc!$CI$4:$CI$72)),IF($P$9=0,"",IF(INDEX(_calc!$O:$O,$P$9)=0,"—",INDEX(_calc!$O:$O,$P$9+34)/INDEX(_calc!$O:$O,$P$9+22)-1))))</f>
        <v>2.7958279608328862E-2</v>
      </c>
      <c r="J72" s="167">
        <f>IF($A72="","",IF(pf_BU="All",IF(SUMPRODUCT((calc_state=$A72)*_calc!$CE$4:$CE$72*_calc!$CI$4:$CI$72)=0,"—",SUMPRODUCT((calc_state=$A72)*_calc!$CE$4:$CE$72*_calc!$CI$4:$CI$72*_calc!$BS$4:$BS$72)/SUMPRODUCT((calc_state=$A72)*_calc!$CE$4:$CE$72*_calc!$CI$4:$CI$72)),IF($P$9=0,"",IF(INDEX(_calc!$O:$O,$P$9)=0,"—",INDEX(_calc!$O:$O,$P$9+35)/INDEX(_calc!$O:$O,$P$9+23)-1))))</f>
        <v>2.7893114603764868E-2</v>
      </c>
      <c r="K72" s="167">
        <f>IF($A72="","",IF(pf_BU="All",IF(SUMPRODUCT((calc_state=$A72)*_calc!$CF$4:$CF$72*_calc!$CI$4:$CI$72)=0,"—",SUMPRODUCT((calc_state=$A72)*_calc!$CF$4:$CF$72*_calc!$CI$4:$CI$72*_calc!$BT$4:$BT$72)/SUMPRODUCT((calc_state=$A72)*_calc!$CF$4:$CF$72*_calc!$CI$4:$CI$72)),IF($P$9=0,"",IF(INDEX(_calc!$O:$O,$P$9)=0,"—",INDEX(_calc!$O:$O,$P$9+36)/INDEX(_calc!$O:$O,$P$9+24)-1))))</f>
        <v>2.7828252665285769E-2</v>
      </c>
      <c r="L72" s="167">
        <f>IF($A72="","",IF(pf_BU="All",IF(SUMPRODUCT((calc_state=$A72)*_calc!$CG$4:$CG$72*_calc!$CI$4:$CI$72)=0,"—",SUMPRODUCT((calc_state=$A72)*_calc!$CG$4:$CG$72*_calc!$CI$4:$CI$72*_calc!$BU$4:$BU$72)/SUMPRODUCT((calc_state=$A72)*_calc!$CG$4:$CG$72*_calc!$CI$4:$CI$72)),IF($P$9=0,"",IF(INDEX(_calc!$O:$O,$P$9)=0,"—",INDEX(_calc!$O:$O,$P$9+37)/INDEX(_calc!$O:$O,$P$9+25)-1))))</f>
        <v>2.776369168357018E-2</v>
      </c>
      <c r="M72" s="167">
        <f>IF($A72="","",IF(pf_BU="All",IF(SUMPRODUCT((calc_state=$A72)*_calc!$CH$4:$CH$72*_calc!$CI$4:$CI$72)=0,"—",SUMPRODUCT((calc_state=$A72)*_calc!$CH$4:$CH$72*_calc!$CI$4:$CI$72*_calc!$BV$4:$BV$72)/SUMPRODUCT((calc_state=$A72)*_calc!$CH$4:$CH$72*_calc!$CI$4:$CI$72)),IF($P$9=0,"",IF(INDEX(_calc!$O:$O,$P$9)=0,"—",INDEX(_calc!$O:$O,$P$9+38)/INDEX(_calc!$O:$O,$P$9+26)-1))))</f>
        <v>2.7699429568824874E-2</v>
      </c>
    </row>
    <row r="73" spans="1:13" x14ac:dyDescent="0.3">
      <c r="A73" s="166" t="str">
        <f>_lists!$B$4</f>
        <v>CO</v>
      </c>
      <c r="B73" s="167">
        <f>IF($A73="","",IF(pf_BU="All",IF(SUMPRODUCT((calc_state=$A73)*_calc!$BW$4:$BW$72*_calc!$CI$4:$CI$72)=0,"—",SUMPRODUCT((calc_state=$A73)*_calc!$BW$4:$BW$72*_calc!$CI$4:$CI$72*_calc!$BK$4:$BK$72)/SUMPRODUCT((calc_state=$A73)*_calc!$BW$4:$BW$72*_calc!$CI$4:$CI$72)),IF($P$10=0,"",IF(INDEX(_calc!$O:$O,$P$10)=0,"—",INDEX(_calc!$O:$O,$P$10+27)/INDEX(_calc!$O:$O,$P$10+15)-1))))</f>
        <v>4.4020188985305353E-3</v>
      </c>
      <c r="C73" s="167">
        <f>IF($A73="","",IF(pf_BU="All",IF(SUMPRODUCT((calc_state=$A73)*_calc!$BX$4:$BX$72*_calc!$CI$4:$CI$72)=0,"—",SUMPRODUCT((calc_state=$A73)*_calc!$BX$4:$BX$72*_calc!$CI$4:$CI$72*_calc!$BL$4:$BL$72)/SUMPRODUCT((calc_state=$A73)*_calc!$BX$4:$BX$72*_calc!$CI$4:$CI$72)),IF($P$10=0,"",IF(INDEX(_calc!$O:$O,$P$10)=0,"—",INDEX(_calc!$O:$O,$P$10+28)/INDEX(_calc!$O:$O,$P$10+16)-1))))</f>
        <v>4.4004533069708085E-3</v>
      </c>
      <c r="D73" s="167">
        <f>IF($A73="","",IF(pf_BU="All",IF(SUMPRODUCT((calc_state=$A73)*_calc!$BY$4:$BY$72*_calc!$CI$4:$CI$72)=0,"—",SUMPRODUCT((calc_state=$A73)*_calc!$BY$4:$BY$72*_calc!$CI$4:$CI$72*_calc!$BM$4:$BM$72)/SUMPRODUCT((calc_state=$A73)*_calc!$BY$4:$BY$72*_calc!$CI$4:$CI$72)),IF($P$10=0,"",IF(INDEX(_calc!$O:$O,$P$10)=0,"—",INDEX(_calc!$O:$O,$P$10+29)/INDEX(_calc!$O:$O,$P$10+17)-1))))</f>
        <v>4.3988888286301542E-3</v>
      </c>
      <c r="E73" s="167">
        <f>IF($A73="","",IF(pf_BU="All",IF(SUMPRODUCT((calc_state=$A73)*_calc!$BZ$4:$BZ$72*_calc!$CI$4:$CI$72)=0,"—",SUMPRODUCT((calc_state=$A73)*_calc!$BZ$4:$BZ$72*_calc!$CI$4:$CI$72*_calc!$BN$4:$BN$72)/SUMPRODUCT((calc_state=$A73)*_calc!$BZ$4:$BZ$72*_calc!$CI$4:$CI$72)),IF($P$10=0,"",IF(INDEX(_calc!$O:$O,$P$10)=0,"—",INDEX(_calc!$O:$O,$P$10+30)/INDEX(_calc!$O:$O,$P$10+18)-1))))</f>
        <v>4.3972724863263757E-3</v>
      </c>
      <c r="F73" s="167">
        <f>IF($A73="","",IF(pf_BU="All",IF(SUMPRODUCT((calc_state=$A73)*_calc!$CA$4:$CA$72*_calc!$CI$4:$CI$72)=0,"—",SUMPRODUCT((calc_state=$A73)*_calc!$CA$4:$CA$72*_calc!$CI$4:$CI$72*_calc!$BO$4:$BO$72)/SUMPRODUCT((calc_state=$A73)*_calc!$CA$4:$CA$72*_calc!$CI$4:$CI$72)),IF($P$10=0,"",IF(INDEX(_calc!$O:$O,$P$10)=0,"—",INDEX(_calc!$O:$O,$P$10+31)/INDEX(_calc!$O:$O,$P$10+19)-1))))</f>
        <v>4.3956573314145597E-3</v>
      </c>
      <c r="G73" s="167">
        <f>IF($A73="","",IF(pf_BU="All",IF(SUMPRODUCT((calc_state=$A73)*_calc!$CB$4:$CB$72*_calc!$CI$4:$CI$72)=0,"—",SUMPRODUCT((calc_state=$A73)*_calc!$CB$4:$CB$72*_calc!$CI$4:$CI$72*_calc!$BP$4:$BP$72)/SUMPRODUCT((calc_state=$A73)*_calc!$CB$4:$CB$72*_calc!$CI$4:$CI$72)),IF($P$10=0,"",IF(INDEX(_calc!$O:$O,$P$10)=0,"—",INDEX(_calc!$O:$O,$P$10+32)/INDEX(_calc!$O:$O,$P$10+20)-1))))</f>
        <v>4.3940433625868636E-3</v>
      </c>
      <c r="H73" s="167">
        <f>IF($A73="","",IF(pf_BU="All",IF(SUMPRODUCT((calc_state=$A73)*_calc!$CC$4:$CC$72*_calc!$CI$4:$CI$72)=0,"—",SUMPRODUCT((calc_state=$A73)*_calc!$CC$4:$CC$72*_calc!$CI$4:$CI$72*_calc!$BQ$4:$BQ$72)/SUMPRODUCT((calc_state=$A73)*_calc!$CC$4:$CC$72*_calc!$CI$4:$CI$72)),IF($P$10=0,"",IF(INDEX(_calc!$O:$O,$P$10)=0,"—",INDEX(_calc!$O:$O,$P$10+33)/INDEX(_calc!$O:$O,$P$10+21)-1))))</f>
        <v>4.3924305785372209E-3</v>
      </c>
      <c r="I73" s="167">
        <f>IF($A73="","",IF(pf_BU="All",IF(SUMPRODUCT((calc_state=$A73)*_calc!$CD$4:$CD$72*_calc!$CI$4:$CI$72)=0,"—",SUMPRODUCT((calc_state=$A73)*_calc!$CD$4:$CD$72*_calc!$CI$4:$CI$72*_calc!$BR$4:$BR$72)/SUMPRODUCT((calc_state=$A73)*_calc!$CD$4:$CD$72*_calc!$CI$4:$CI$72)),IF($P$10=0,"",IF(INDEX(_calc!$O:$O,$P$10)=0,"—",INDEX(_calc!$O:$O,$P$10+34)/INDEX(_calc!$O:$O,$P$10+22)-1))))</f>
        <v>4.3907925681323512E-3</v>
      </c>
      <c r="J73" s="167">
        <f>IF($A73="","",IF(pf_BU="All",IF(SUMPRODUCT((calc_state=$A73)*_calc!$CE$4:$CE$72*_calc!$CI$4:$CI$72)=0,"—",SUMPRODUCT((calc_state=$A73)*_calc!$CE$4:$CE$72*_calc!$CI$4:$CI$72*_calc!$BS$4:$BS$72)/SUMPRODUCT((calc_state=$A73)*_calc!$CE$4:$CE$72*_calc!$CI$4:$CI$72)),IF($P$10=0,"",IF(INDEX(_calc!$O:$O,$P$10)=0,"—",INDEX(_calc!$O:$O,$P$10+35)/INDEX(_calc!$O:$O,$P$10+23)-1))))</f>
        <v>4.3891821690977828E-3</v>
      </c>
      <c r="K73" s="167">
        <f>IF($A73="","",IF(pf_BU="All",IF(SUMPRODUCT((calc_state=$A73)*_calc!$CF$4:$CF$72*_calc!$CI$4:$CI$72)=0,"—",SUMPRODUCT((calc_state=$A73)*_calc!$CF$4:$CF$72*_calc!$CI$4:$CI$72*_calc!$BT$4:$BT$72)/SUMPRODUCT((calc_state=$A73)*_calc!$CF$4:$CF$72*_calc!$CI$4:$CI$72)),IF($P$10=0,"",IF(INDEX(_calc!$O:$O,$P$10)=0,"—",INDEX(_calc!$O:$O,$P$10+36)/INDEX(_calc!$O:$O,$P$10+24)-1))))</f>
        <v>4.3875729509132988E-3</v>
      </c>
      <c r="L73" s="167">
        <f>IF($A73="","",IF(pf_BU="All",IF(SUMPRODUCT((calc_state=$A73)*_calc!$CG$4:$CG$72*_calc!$CI$4:$CI$72)=0,"—",SUMPRODUCT((calc_state=$A73)*_calc!$CG$4:$CG$72*_calc!$CI$4:$CI$72*_calc!$BU$4:$BU$72)/SUMPRODUCT((calc_state=$A73)*_calc!$CG$4:$CG$72*_calc!$CI$4:$CI$72)),IF($P$10=0,"",IF(INDEX(_calc!$O:$O,$P$10)=0,"—",INDEX(_calc!$O:$O,$P$10+37)/INDEX(_calc!$O:$O,$P$10+25)-1))))</f>
        <v>4.3859649122806044E-3</v>
      </c>
      <c r="M73" s="167">
        <f>IF($A73="","",IF(pf_BU="All",IF(SUMPRODUCT((calc_state=$A73)*_calc!$CH$4:$CH$72*_calc!$CI$4:$CI$72)=0,"—",SUMPRODUCT((calc_state=$A73)*_calc!$CH$4:$CH$72*_calc!$CI$4:$CI$72*_calc!$BV$4:$BV$72)/SUMPRODUCT((calc_state=$A73)*_calc!$CH$4:$CH$72*_calc!$CI$4:$CI$72)),IF($P$10=0,"",IF(INDEX(_calc!$O:$O,$P$10)=0,"—",INDEX(_calc!$O:$O,$P$10+38)/INDEX(_calc!$O:$O,$P$10+26)-1))))</f>
        <v>4.3843580519036252E-3</v>
      </c>
    </row>
    <row r="74" spans="1:13" x14ac:dyDescent="0.3">
      <c r="A74" s="166" t="str">
        <f>_lists!$B$5</f>
        <v>DE</v>
      </c>
      <c r="B74" s="167">
        <f>IF($A74="","",IF(pf_BU="All",IF(SUMPRODUCT((calc_state=$A74)*_calc!$BW$4:$BW$72*_calc!$CI$4:$CI$72)=0,"—",SUMPRODUCT((calc_state=$A74)*_calc!$BW$4:$BW$72*_calc!$CI$4:$CI$72*_calc!$BK$4:$BK$72)/SUMPRODUCT((calc_state=$A74)*_calc!$BW$4:$BW$72*_calc!$CI$4:$CI$72)),IF($P$11=0,"",IF(INDEX(_calc!$O:$O,$P$11)=0,"—",INDEX(_calc!$O:$O,$P$11+27)/INDEX(_calc!$O:$O,$P$11+15)-1))))</f>
        <v>1.7773665757693902E-2</v>
      </c>
      <c r="C74" s="167">
        <f>IF($A74="","",IF(pf_BU="All",IF(SUMPRODUCT((calc_state=$A74)*_calc!$BX$4:$BX$72*_calc!$CI$4:$CI$72)=0,"—",SUMPRODUCT((calc_state=$A74)*_calc!$BX$4:$BX$72*_calc!$CI$4:$CI$72*_calc!$BL$4:$BL$72)/SUMPRODUCT((calc_state=$A74)*_calc!$BX$4:$BX$72*_calc!$CI$4:$CI$72)),IF($P$11=0,"",IF(INDEX(_calc!$O:$O,$P$11)=0,"—",INDEX(_calc!$O:$O,$P$11+28)/INDEX(_calc!$O:$O,$P$11+16)-1))))</f>
        <v>1.7748170479686909E-2</v>
      </c>
      <c r="D74" s="167">
        <f>IF($A74="","",IF(pf_BU="All",IF(SUMPRODUCT((calc_state=$A74)*_calc!$BY$4:$BY$72*_calc!$CI$4:$CI$72)=0,"—",SUMPRODUCT((calc_state=$A74)*_calc!$BY$4:$BY$72*_calc!$CI$4:$CI$72*_calc!$BM$4:$BM$72)/SUMPRODUCT((calc_state=$A74)*_calc!$BY$4:$BY$72*_calc!$CI$4:$CI$72)),IF($P$11=0,"",IF(INDEX(_calc!$O:$O,$P$11)=0,"—",INDEX(_calc!$O:$O,$P$11+29)/INDEX(_calc!$O:$O,$P$11+17)-1))))</f>
        <v>1.7722748239864083E-2</v>
      </c>
      <c r="E74" s="167">
        <f>IF($A74="","",IF(pf_BU="All",IF(SUMPRODUCT((calc_state=$A74)*_calc!$BZ$4:$BZ$72*_calc!$CI$4:$CI$72)=0,"—",SUMPRODUCT((calc_state=$A74)*_calc!$BZ$4:$BZ$72*_calc!$CI$4:$CI$72*_calc!$BN$4:$BN$72)/SUMPRODUCT((calc_state=$A74)*_calc!$BZ$4:$BZ$72*_calc!$CI$4:$CI$72)),IF($P$11=0,"",IF(INDEX(_calc!$O:$O,$P$11)=0,"—",INDEX(_calc!$O:$O,$P$11+30)/INDEX(_calc!$O:$O,$P$11+18)-1))))</f>
        <v>1.7696540689922768E-2</v>
      </c>
      <c r="F74" s="167">
        <f>IF($A74="","",IF(pf_BU="All",IF(SUMPRODUCT((calc_state=$A74)*_calc!$CA$4:$CA$72*_calc!$CI$4:$CI$72)=0,"—",SUMPRODUCT((calc_state=$A74)*_calc!$CA$4:$CA$72*_calc!$CI$4:$CI$72*_calc!$BO$4:$BO$72)/SUMPRODUCT((calc_state=$A74)*_calc!$CA$4:$CA$72*_calc!$CI$4:$CI$72)),IF($P$11=0,"",IF(INDEX(_calc!$O:$O,$P$11)=0,"—",INDEX(_calc!$O:$O,$P$11+31)/INDEX(_calc!$O:$O,$P$11+19)-1))))</f>
        <v>1.7670410534469383E-2</v>
      </c>
      <c r="G74" s="167">
        <f>IF($A74="","",IF(pf_BU="All",IF(SUMPRODUCT((calc_state=$A74)*_calc!$CB$4:$CB$72*_calc!$CI$4:$CI$72)=0,"—",SUMPRODUCT((calc_state=$A74)*_calc!$CB$4:$CB$72*_calc!$CI$4:$CI$72*_calc!$BP$4:$BP$72)/SUMPRODUCT((calc_state=$A74)*_calc!$CB$4:$CB$72*_calc!$CI$4:$CI$72)),IF($P$11=0,"",IF(INDEX(_calc!$O:$O,$P$11)=0,"—",INDEX(_calc!$O:$O,$P$11+32)/INDEX(_calc!$O:$O,$P$11+20)-1))))</f>
        <v>1.7644357431174873E-2</v>
      </c>
      <c r="H74" s="167">
        <f>IF($A74="","",IF(pf_BU="All",IF(SUMPRODUCT((calc_state=$A74)*_calc!$CC$4:$CC$72*_calc!$CI$4:$CI$72)=0,"—",SUMPRODUCT((calc_state=$A74)*_calc!$CC$4:$CC$72*_calc!$CI$4:$CI$72*_calc!$BQ$4:$BQ$72)/SUMPRODUCT((calc_state=$A74)*_calc!$CC$4:$CC$72*_calc!$CI$4:$CI$72)),IF($P$11=0,"",IF(INDEX(_calc!$O:$O,$P$11)=0,"—",INDEX(_calc!$O:$O,$P$11+33)/INDEX(_calc!$O:$O,$P$11+21)-1))))</f>
        <v>1.7618381039725906E-2</v>
      </c>
      <c r="I74" s="167">
        <f>IF($A74="","",IF(pf_BU="All",IF(SUMPRODUCT((calc_state=$A74)*_calc!$CD$4:$CD$72*_calc!$CI$4:$CI$72)=0,"—",SUMPRODUCT((calc_state=$A74)*_calc!$CD$4:$CD$72*_calc!$CI$4:$CI$72*_calc!$BR$4:$BR$72)/SUMPRODUCT((calc_state=$A74)*_calc!$CD$4:$CD$72*_calc!$CI$4:$CI$72)),IF($P$11=0,"",IF(INDEX(_calc!$O:$O,$P$11)=0,"—",INDEX(_calc!$O:$O,$P$11+34)/INDEX(_calc!$O:$O,$P$11+22)-1))))</f>
        <v>1.7592057065741296E-2</v>
      </c>
      <c r="J74" s="167">
        <f>IF($A74="","",IF(pf_BU="All",IF(SUMPRODUCT((calc_state=$A74)*_calc!$CE$4:$CE$72*_calc!$CI$4:$CI$72)=0,"—",SUMPRODUCT((calc_state=$A74)*_calc!$CE$4:$CE$72*_calc!$CI$4:$CI$72*_calc!$BS$4:$BS$72)/SUMPRODUCT((calc_state=$A74)*_calc!$CE$4:$CE$72*_calc!$CI$4:$CI$72)),IF($P$11=0,"",IF(INDEX(_calc!$O:$O,$P$11)=0,"—",INDEX(_calc!$O:$O,$P$11+35)/INDEX(_calc!$O:$O,$P$11+23)-1))))</f>
        <v>1.7566234328753261E-2</v>
      </c>
      <c r="K74" s="167">
        <f>IF($A74="","",IF(pf_BU="All",IF(SUMPRODUCT((calc_state=$A74)*_calc!$CF$4:$CF$72*_calc!$CI$4:$CI$72)=0,"—",SUMPRODUCT((calc_state=$A74)*_calc!$CF$4:$CF$72*_calc!$CI$4:$CI$72*_calc!$BT$4:$BT$72)/SUMPRODUCT((calc_state=$A74)*_calc!$CF$4:$CF$72*_calc!$CI$4:$CI$72)),IF($P$11=0,"",IF(INDEX(_calc!$O:$O,$P$11)=0,"—",INDEX(_calc!$O:$O,$P$11+36)/INDEX(_calc!$O:$O,$P$11+24)-1))))</f>
        <v>1.7540487289153583E-2</v>
      </c>
      <c r="L74" s="167">
        <f>IF($A74="","",IF(pf_BU="All",IF(SUMPRODUCT((calc_state=$A74)*_calc!$CG$4:$CG$72*_calc!$CI$4:$CI$72)=0,"—",SUMPRODUCT((calc_state=$A74)*_calc!$CG$4:$CG$72*_calc!$CI$4:$CI$72*_calc!$BU$4:$BU$72)/SUMPRODUCT((calc_state=$A74)*_calc!$CG$4:$CG$72*_calc!$CI$4:$CI$72)),IF($P$11=0,"",IF(INDEX(_calc!$O:$O,$P$11)=0,"—",INDEX(_calc!$O:$O,$P$11+37)/INDEX(_calc!$O:$O,$P$11+25)-1))))</f>
        <v>1.7514815614577905E-2</v>
      </c>
      <c r="M74" s="167">
        <f>IF($A74="","",IF(pf_BU="All",IF(SUMPRODUCT((calc_state=$A74)*_calc!$CH$4:$CH$72*_calc!$CI$4:$CI$72)=0,"—",SUMPRODUCT((calc_state=$A74)*_calc!$CH$4:$CH$72*_calc!$CI$4:$CI$72*_calc!$BV$4:$BV$72)/SUMPRODUCT((calc_state=$A74)*_calc!$CH$4:$CH$72*_calc!$CI$4:$CI$72)),IF($P$11=0,"",IF(INDEX(_calc!$O:$O,$P$11)=0,"—",INDEX(_calc!$O:$O,$P$11+38)/INDEX(_calc!$O:$O,$P$11+26)-1))))</f>
        <v>1.7489218974604537E-2</v>
      </c>
    </row>
    <row r="75" spans="1:13" x14ac:dyDescent="0.3">
      <c r="A75" s="166" t="str">
        <f>_lists!$B$6</f>
        <v>FL</v>
      </c>
      <c r="B75" s="167" t="str">
        <f>IF($A75="","",IF(pf_BU="All",IF(SUMPRODUCT((calc_state=$A75)*_calc!$BW$4:$BW$72*_calc!$CI$4:$CI$72)=0,"—",SUMPRODUCT((calc_state=$A75)*_calc!$BW$4:$BW$72*_calc!$CI$4:$CI$72*_calc!$BK$4:$BK$72)/SUMPRODUCT((calc_state=$A75)*_calc!$BW$4:$BW$72*_calc!$CI$4:$CI$72)),IF($P$12=0,"",IF(INDEX(_calc!$O:$O,$P$12)=0,"—",INDEX(_calc!$O:$O,$P$12+27)/INDEX(_calc!$O:$O,$P$12+15)-1))))</f>
        <v>—</v>
      </c>
      <c r="C75" s="167" t="str">
        <f>IF($A75="","",IF(pf_BU="All",IF(SUMPRODUCT((calc_state=$A75)*_calc!$BX$4:$BX$72*_calc!$CI$4:$CI$72)=0,"—",SUMPRODUCT((calc_state=$A75)*_calc!$BX$4:$BX$72*_calc!$CI$4:$CI$72*_calc!$BL$4:$BL$72)/SUMPRODUCT((calc_state=$A75)*_calc!$BX$4:$BX$72*_calc!$CI$4:$CI$72)),IF($P$12=0,"",IF(INDEX(_calc!$O:$O,$P$12)=0,"—",INDEX(_calc!$O:$O,$P$12+28)/INDEX(_calc!$O:$O,$P$12+16)-1))))</f>
        <v>—</v>
      </c>
      <c r="D75" s="167" t="str">
        <f>IF($A75="","",IF(pf_BU="All",IF(SUMPRODUCT((calc_state=$A75)*_calc!$BY$4:$BY$72*_calc!$CI$4:$CI$72)=0,"—",SUMPRODUCT((calc_state=$A75)*_calc!$BY$4:$BY$72*_calc!$CI$4:$CI$72*_calc!$BM$4:$BM$72)/SUMPRODUCT((calc_state=$A75)*_calc!$BY$4:$BY$72*_calc!$CI$4:$CI$72)),IF($P$12=0,"",IF(INDEX(_calc!$O:$O,$P$12)=0,"—",INDEX(_calc!$O:$O,$P$12+29)/INDEX(_calc!$O:$O,$P$12+17)-1))))</f>
        <v>—</v>
      </c>
      <c r="E75" s="167" t="str">
        <f>IF($A75="","",IF(pf_BU="All",IF(SUMPRODUCT((calc_state=$A75)*_calc!$BZ$4:$BZ$72*_calc!$CI$4:$CI$72)=0,"—",SUMPRODUCT((calc_state=$A75)*_calc!$BZ$4:$BZ$72*_calc!$CI$4:$CI$72*_calc!$BN$4:$BN$72)/SUMPRODUCT((calc_state=$A75)*_calc!$BZ$4:$BZ$72*_calc!$CI$4:$CI$72)),IF($P$12=0,"",IF(INDEX(_calc!$O:$O,$P$12)=0,"—",INDEX(_calc!$O:$O,$P$12+30)/INDEX(_calc!$O:$O,$P$12+18)-1))))</f>
        <v>—</v>
      </c>
      <c r="F75" s="167" t="str">
        <f>IF($A75="","",IF(pf_BU="All",IF(SUMPRODUCT((calc_state=$A75)*_calc!$CA$4:$CA$72*_calc!$CI$4:$CI$72)=0,"—",SUMPRODUCT((calc_state=$A75)*_calc!$CA$4:$CA$72*_calc!$CI$4:$CI$72*_calc!$BO$4:$BO$72)/SUMPRODUCT((calc_state=$A75)*_calc!$CA$4:$CA$72*_calc!$CI$4:$CI$72)),IF($P$12=0,"",IF(INDEX(_calc!$O:$O,$P$12)=0,"—",INDEX(_calc!$O:$O,$P$12+31)/INDEX(_calc!$O:$O,$P$12+19)-1))))</f>
        <v>—</v>
      </c>
      <c r="G75" s="167" t="str">
        <f>IF($A75="","",IF(pf_BU="All",IF(SUMPRODUCT((calc_state=$A75)*_calc!$CB$4:$CB$72*_calc!$CI$4:$CI$72)=0,"—",SUMPRODUCT((calc_state=$A75)*_calc!$CB$4:$CB$72*_calc!$CI$4:$CI$72*_calc!$BP$4:$BP$72)/SUMPRODUCT((calc_state=$A75)*_calc!$CB$4:$CB$72*_calc!$CI$4:$CI$72)),IF($P$12=0,"",IF(INDEX(_calc!$O:$O,$P$12)=0,"—",INDEX(_calc!$O:$O,$P$12+32)/INDEX(_calc!$O:$O,$P$12+20)-1))))</f>
        <v>—</v>
      </c>
      <c r="H75" s="167" t="str">
        <f>IF($A75="","",IF(pf_BU="All",IF(SUMPRODUCT((calc_state=$A75)*_calc!$CC$4:$CC$72*_calc!$CI$4:$CI$72)=0,"—",SUMPRODUCT((calc_state=$A75)*_calc!$CC$4:$CC$72*_calc!$CI$4:$CI$72*_calc!$BQ$4:$BQ$72)/SUMPRODUCT((calc_state=$A75)*_calc!$CC$4:$CC$72*_calc!$CI$4:$CI$72)),IF($P$12=0,"",IF(INDEX(_calc!$O:$O,$P$12)=0,"—",INDEX(_calc!$O:$O,$P$12+33)/INDEX(_calc!$O:$O,$P$12+21)-1))))</f>
        <v>—</v>
      </c>
      <c r="I75" s="167" t="str">
        <f>IF($A75="","",IF(pf_BU="All",IF(SUMPRODUCT((calc_state=$A75)*_calc!$CD$4:$CD$72*_calc!$CI$4:$CI$72)=0,"—",SUMPRODUCT((calc_state=$A75)*_calc!$CD$4:$CD$72*_calc!$CI$4:$CI$72*_calc!$BR$4:$BR$72)/SUMPRODUCT((calc_state=$A75)*_calc!$CD$4:$CD$72*_calc!$CI$4:$CI$72)),IF($P$12=0,"",IF(INDEX(_calc!$O:$O,$P$12)=0,"—",INDEX(_calc!$O:$O,$P$12+34)/INDEX(_calc!$O:$O,$P$12+22)-1))))</f>
        <v>—</v>
      </c>
      <c r="J75" s="167" t="str">
        <f>IF($A75="","",IF(pf_BU="All",IF(SUMPRODUCT((calc_state=$A75)*_calc!$CE$4:$CE$72*_calc!$CI$4:$CI$72)=0,"—",SUMPRODUCT((calc_state=$A75)*_calc!$CE$4:$CE$72*_calc!$CI$4:$CI$72*_calc!$BS$4:$BS$72)/SUMPRODUCT((calc_state=$A75)*_calc!$CE$4:$CE$72*_calc!$CI$4:$CI$72)),IF($P$12=0,"",IF(INDEX(_calc!$O:$O,$P$12)=0,"—",INDEX(_calc!$O:$O,$P$12+35)/INDEX(_calc!$O:$O,$P$12+23)-1))))</f>
        <v>—</v>
      </c>
      <c r="K75" s="167" t="str">
        <f>IF($A75="","",IF(pf_BU="All",IF(SUMPRODUCT((calc_state=$A75)*_calc!$CF$4:$CF$72*_calc!$CI$4:$CI$72)=0,"—",SUMPRODUCT((calc_state=$A75)*_calc!$CF$4:$CF$72*_calc!$CI$4:$CI$72*_calc!$BT$4:$BT$72)/SUMPRODUCT((calc_state=$A75)*_calc!$CF$4:$CF$72*_calc!$CI$4:$CI$72)),IF($P$12=0,"",IF(INDEX(_calc!$O:$O,$P$12)=0,"—",INDEX(_calc!$O:$O,$P$12+36)/INDEX(_calc!$O:$O,$P$12+24)-1))))</f>
        <v>—</v>
      </c>
      <c r="L75" s="167" t="str">
        <f>IF($A75="","",IF(pf_BU="All",IF(SUMPRODUCT((calc_state=$A75)*_calc!$CG$4:$CG$72*_calc!$CI$4:$CI$72)=0,"—",SUMPRODUCT((calc_state=$A75)*_calc!$CG$4:$CG$72*_calc!$CI$4:$CI$72*_calc!$BU$4:$BU$72)/SUMPRODUCT((calc_state=$A75)*_calc!$CG$4:$CG$72*_calc!$CI$4:$CI$72)),IF($P$12=0,"",IF(INDEX(_calc!$O:$O,$P$12)=0,"—",INDEX(_calc!$O:$O,$P$12+37)/INDEX(_calc!$O:$O,$P$12+25)-1))))</f>
        <v>—</v>
      </c>
      <c r="M75" s="167" t="str">
        <f>IF($A75="","",IF(pf_BU="All",IF(SUMPRODUCT((calc_state=$A75)*_calc!$CH$4:$CH$72*_calc!$CI$4:$CI$72)=0,"—",SUMPRODUCT((calc_state=$A75)*_calc!$CH$4:$CH$72*_calc!$CI$4:$CI$72*_calc!$BV$4:$BV$72)/SUMPRODUCT((calc_state=$A75)*_calc!$CH$4:$CH$72*_calc!$CI$4:$CI$72)),IF($P$12=0,"",IF(INDEX(_calc!$O:$O,$P$12)=0,"—",INDEX(_calc!$O:$O,$P$12+38)/INDEX(_calc!$O:$O,$P$12+26)-1))))</f>
        <v>—</v>
      </c>
    </row>
    <row r="76" spans="1:13" x14ac:dyDescent="0.3">
      <c r="A76" s="166" t="str">
        <f>_lists!$B$7</f>
        <v>GA</v>
      </c>
      <c r="B76" s="167">
        <f>IF($A76="","",IF(pf_BU="All",IF(SUMPRODUCT((calc_state=$A76)*_calc!$BW$4:$BW$72*_calc!$CI$4:$CI$72)=0,"—",SUMPRODUCT((calc_state=$A76)*_calc!$BW$4:$BW$72*_calc!$CI$4:$CI$72*_calc!$BK$4:$BK$72)/SUMPRODUCT((calc_state=$A76)*_calc!$BW$4:$BW$72*_calc!$CI$4:$CI$72)),IF($P$13=0,"",IF(INDEX(_calc!$O:$O,$P$13)=0,"—",INDEX(_calc!$O:$O,$P$13+27)/INDEX(_calc!$O:$O,$P$13+15)-1))))</f>
        <v>1.3288593047456665E-2</v>
      </c>
      <c r="C76" s="167">
        <f>IF($A76="","",IF(pf_BU="All",IF(SUMPRODUCT((calc_state=$A76)*_calc!$BX$4:$BX$72*_calc!$CI$4:$CI$72)=0,"—",SUMPRODUCT((calc_state=$A76)*_calc!$BX$4:$BX$72*_calc!$CI$4:$CI$72*_calc!$BL$4:$BL$72)/SUMPRODUCT((calc_state=$A76)*_calc!$BX$4:$BX$72*_calc!$CI$4:$CI$72)),IF($P$13=0,"",IF(INDEX(_calc!$O:$O,$P$13)=0,"—",INDEX(_calc!$O:$O,$P$13+28)/INDEX(_calc!$O:$O,$P$13+16)-1))))</f>
        <v>1.3274336283185972E-2</v>
      </c>
      <c r="D76" s="167">
        <f>IF($A76="","",IF(pf_BU="All",IF(SUMPRODUCT((calc_state=$A76)*_calc!$BY$4:$BY$72*_calc!$CI$4:$CI$72)=0,"—",SUMPRODUCT((calc_state=$A76)*_calc!$BY$4:$BY$72*_calc!$CI$4:$CI$72*_calc!$BM$4:$BM$72)/SUMPRODUCT((calc_state=$A76)*_calc!$BY$4:$BY$72*_calc!$CI$4:$CI$72)),IF($P$13=0,"",IF(INDEX(_calc!$O:$O,$P$13)=0,"—",INDEX(_calc!$O:$O,$P$13+29)/INDEX(_calc!$O:$O,$P$13+17)-1))))</f>
        <v>1.3260110077078169E-2</v>
      </c>
      <c r="E76" s="167">
        <f>IF($A76="","",IF(pf_BU="All",IF(SUMPRODUCT((calc_state=$A76)*_calc!$BZ$4:$BZ$72*_calc!$CI$4:$CI$72)=0,"—",SUMPRODUCT((calc_state=$A76)*_calc!$BZ$4:$BZ$72*_calc!$CI$4:$CI$72*_calc!$BN$4:$BN$72)/SUMPRODUCT((calc_state=$A76)*_calc!$BZ$4:$BZ$72*_calc!$CI$4:$CI$72)),IF($P$13=0,"",IF(INDEX(_calc!$O:$O,$P$13)=0,"—",INDEX(_calc!$O:$O,$P$13+30)/INDEX(_calc!$O:$O,$P$13+18)-1))))</f>
        <v>1.3245433651869032E-2</v>
      </c>
      <c r="F76" s="167">
        <f>IF($A76="","",IF(pf_BU="All",IF(SUMPRODUCT((calc_state=$A76)*_calc!$CA$4:$CA$72*_calc!$CI$4:$CI$72)=0,"—",SUMPRODUCT((calc_state=$A76)*_calc!$CA$4:$CA$72*_calc!$CI$4:$CI$72*_calc!$BO$4:$BO$72)/SUMPRODUCT((calc_state=$A76)*_calc!$CA$4:$CA$72*_calc!$CI$4:$CI$72)),IF($P$13=0,"",IF(INDEX(_calc!$O:$O,$P$13)=0,"—",INDEX(_calc!$O:$O,$P$13+31)/INDEX(_calc!$O:$O,$P$13+19)-1))))</f>
        <v>1.3230789678775778E-2</v>
      </c>
      <c r="G76" s="167">
        <f>IF($A76="","",IF(pf_BU="All",IF(SUMPRODUCT((calc_state=$A76)*_calc!$CB$4:$CB$72*_calc!$CI$4:$CI$72)=0,"—",SUMPRODUCT((calc_state=$A76)*_calc!$CB$4:$CB$72*_calc!$CI$4:$CI$72*_calc!$BP$4:$BP$72)/SUMPRODUCT((calc_state=$A76)*_calc!$CB$4:$CB$72*_calc!$CI$4:$CI$72)),IF($P$13=0,"",IF(INDEX(_calc!$O:$O,$P$13)=0,"—",INDEX(_calc!$O:$O,$P$13+32)/INDEX(_calc!$O:$O,$P$13+20)-1))))</f>
        <v>1.3216178050281746E-2</v>
      </c>
      <c r="H76" s="167">
        <f>IF($A76="","",IF(pf_BU="All",IF(SUMPRODUCT((calc_state=$A76)*_calc!$CC$4:$CC$72*_calc!$CI$4:$CI$72)=0,"—",SUMPRODUCT((calc_state=$A76)*_calc!$CC$4:$CC$72*_calc!$CI$4:$CI$72*_calc!$BQ$4:$BQ$72)/SUMPRODUCT((calc_state=$A76)*_calc!$CC$4:$CC$72*_calc!$CI$4:$CI$72)),IF($P$13=0,"",IF(INDEX(_calc!$O:$O,$P$13)=0,"—",INDEX(_calc!$O:$O,$P$13+33)/INDEX(_calc!$O:$O,$P$13+21)-1))))</f>
        <v>1.320159865934456E-2</v>
      </c>
      <c r="I76" s="167">
        <f>IF($A76="","",IF(pf_BU="All",IF(SUMPRODUCT((calc_state=$A76)*_calc!$CD$4:$CD$72*_calc!$CI$4:$CI$72)=0,"—",SUMPRODUCT((calc_state=$A76)*_calc!$CD$4:$CD$72*_calc!$CI$4:$CI$72*_calc!$BR$4:$BR$72)/SUMPRODUCT((calc_state=$A76)*_calc!$CD$4:$CD$72*_calc!$CI$4:$CI$72)),IF($P$13=0,"",IF(INDEX(_calc!$O:$O,$P$13)=0,"—",INDEX(_calc!$O:$O,$P$13+34)/INDEX(_calc!$O:$O,$P$13+22)-1))))</f>
        <v>1.3186813186813362E-2</v>
      </c>
      <c r="J76" s="167">
        <f>IF($A76="","",IF(pf_BU="All",IF(SUMPRODUCT((calc_state=$A76)*_calc!$CE$4:$CE$72*_calc!$CI$4:$CI$72)=0,"—",SUMPRODUCT((calc_state=$A76)*_calc!$CE$4:$CE$72*_calc!$CI$4:$CI$72*_calc!$BS$4:$BS$72)/SUMPRODUCT((calc_state=$A76)*_calc!$CE$4:$CE$72*_calc!$CI$4:$CI$72)),IF($P$13=0,"",IF(INDEX(_calc!$O:$O,$P$13)=0,"—",INDEX(_calc!$O:$O,$P$13+35)/INDEX(_calc!$O:$O,$P$13+23)-1))))</f>
        <v>1.3172298475862876E-2</v>
      </c>
      <c r="K76" s="167">
        <f>IF($A76="","",IF(pf_BU="All",IF(SUMPRODUCT((calc_state=$A76)*_calc!$CF$4:$CF$72*_calc!$CI$4:$CI$72)=0,"—",SUMPRODUCT((calc_state=$A76)*_calc!$CF$4:$CF$72*_calc!$CI$4:$CI$72*_calc!$BT$4:$BT$72)/SUMPRODUCT((calc_state=$A76)*_calc!$CF$4:$CF$72*_calc!$CI$4:$CI$72)),IF($P$13=0,"",IF(INDEX(_calc!$O:$O,$P$13)=0,"—",INDEX(_calc!$O:$O,$P$13+36)/INDEX(_calc!$O:$O,$P$13+24)-1))))</f>
        <v>1.3157815682433904E-2</v>
      </c>
      <c r="L76" s="167">
        <f>IF($A76="","",IF(pf_BU="All",IF(SUMPRODUCT((calc_state=$A76)*_calc!$CG$4:$CG$72*_calc!$CI$4:$CI$72)=0,"—",SUMPRODUCT((calc_state=$A76)*_calc!$CG$4:$CG$72*_calc!$CI$4:$CI$72*_calc!$BU$4:$BU$72)/SUMPRODUCT((calc_state=$A76)*_calc!$CG$4:$CG$72*_calc!$CI$4:$CI$72)),IF($P$13=0,"",IF(INDEX(_calc!$O:$O,$P$13)=0,"—",INDEX(_calc!$O:$O,$P$13+37)/INDEX(_calc!$O:$O,$P$13+25)-1))))</f>
        <v>1.3143364701363458E-2</v>
      </c>
      <c r="M76" s="167">
        <f>IF($A76="","",IF(pf_BU="All",IF(SUMPRODUCT((calc_state=$A76)*_calc!$CH$4:$CH$72*_calc!$CI$4:$CI$72)=0,"—",SUMPRODUCT((calc_state=$A76)*_calc!$CH$4:$CH$72*_calc!$CI$4:$CI$72*_calc!$BV$4:$BV$72)/SUMPRODUCT((calc_state=$A76)*_calc!$CH$4:$CH$72*_calc!$CI$4:$CI$72)),IF($P$13=0,"",IF(INDEX(_calc!$O:$O,$P$13)=0,"—",INDEX(_calc!$O:$O,$P$13+38)/INDEX(_calc!$O:$O,$P$13+26)-1))))</f>
        <v>1.3128945427949512E-2</v>
      </c>
    </row>
    <row r="77" spans="1:13" x14ac:dyDescent="0.3">
      <c r="A77" s="166" t="str">
        <f>_lists!$B$8</f>
        <v>IA</v>
      </c>
      <c r="B77" s="167">
        <f>IF($A77="","",IF(pf_BU="All",IF(SUMPRODUCT((calc_state=$A77)*_calc!$BW$4:$BW$72*_calc!$CI$4:$CI$72)=0,"—",SUMPRODUCT((calc_state=$A77)*_calc!$BW$4:$BW$72*_calc!$CI$4:$CI$72*_calc!$BK$4:$BK$72)/SUMPRODUCT((calc_state=$A77)*_calc!$BW$4:$BW$72*_calc!$CI$4:$CI$72)),IF($P$14=0,"",IF(INDEX(_calc!$O:$O,$P$14)=0,"—",INDEX(_calc!$O:$O,$P$14+27)/INDEX(_calc!$O:$O,$P$14+15)-1))))</f>
        <v>6.5105232171065452E-3</v>
      </c>
      <c r="C77" s="167">
        <f>IF($A77="","",IF(pf_BU="All",IF(SUMPRODUCT((calc_state=$A77)*_calc!$BX$4:$BX$72*_calc!$CI$4:$CI$72)=0,"—",SUMPRODUCT((calc_state=$A77)*_calc!$BX$4:$BX$72*_calc!$CI$4:$CI$72*_calc!$BL$4:$BL$72)/SUMPRODUCT((calc_state=$A77)*_calc!$BX$4:$BX$72*_calc!$CI$4:$CI$72)),IF($P$14=0,"",IF(INDEX(_calc!$O:$O,$P$14)=0,"—",INDEX(_calc!$O:$O,$P$14+28)/INDEX(_calc!$O:$O,$P$14+16)-1))))</f>
        <v>5.2532796057380704E-3</v>
      </c>
      <c r="D77" s="167">
        <f>IF($A77="","",IF(pf_BU="All",IF(SUMPRODUCT((calc_state=$A77)*_calc!$BY$4:$BY$72*_calc!$CI$4:$CI$72)=0,"—",SUMPRODUCT((calc_state=$A77)*_calc!$BY$4:$BY$72*_calc!$CI$4:$CI$72*_calc!$BM$4:$BM$72)/SUMPRODUCT((calc_state=$A77)*_calc!$BY$4:$BY$72*_calc!$CI$4:$CI$72)),IF($P$14=0,"",IF(INDEX(_calc!$O:$O,$P$14)=0,"—",INDEX(_calc!$O:$O,$P$14+29)/INDEX(_calc!$O:$O,$P$14+17)-1))))</f>
        <v>3.9982826702158469E-3</v>
      </c>
      <c r="E77" s="167">
        <f>IF($A77="","",IF(pf_BU="All",IF(SUMPRODUCT((calc_state=$A77)*_calc!$BZ$4:$BZ$72*_calc!$CI$4:$CI$72)=0,"—",SUMPRODUCT((calc_state=$A77)*_calc!$BZ$4:$BZ$72*_calc!$CI$4:$CI$72*_calc!$BN$4:$BN$72)/SUMPRODUCT((calc_state=$A77)*_calc!$BZ$4:$BZ$72*_calc!$CI$4:$CI$72)),IF($P$14=0,"",IF(INDEX(_calc!$O:$O,$P$14)=0,"—",INDEX(_calc!$O:$O,$P$14+30)/INDEX(_calc!$O:$O,$P$14+18)-1))))</f>
        <v>2.7030992726426728E-3</v>
      </c>
      <c r="F77" s="167">
        <f>IF($A77="","",IF(pf_BU="All",IF(SUMPRODUCT((calc_state=$A77)*_calc!$CA$4:$CA$72*_calc!$CI$4:$CI$72)=0,"—",SUMPRODUCT((calc_state=$A77)*_calc!$CA$4:$CA$72*_calc!$CI$4:$CI$72*_calc!$BO$4:$BO$72)/SUMPRODUCT((calc_state=$A77)*_calc!$CA$4:$CA$72*_calc!$CI$4:$CI$72)),IF($P$14=0,"",IF(INDEX(_calc!$O:$O,$P$14)=0,"—",INDEX(_calc!$O:$O,$P$14+31)/INDEX(_calc!$O:$O,$P$14+19)-1))))</f>
        <v>1.4103043925586256E-3</v>
      </c>
      <c r="G77" s="167">
        <f>IF($A77="","",IF(pf_BU="All",IF(SUMPRODUCT((calc_state=$A77)*_calc!$CB$4:$CB$72*_calc!$CI$4:$CI$72)=0,"—",SUMPRODUCT((calc_state=$A77)*_calc!$CB$4:$CB$72*_calc!$CI$4:$CI$72*_calc!$BP$4:$BP$72)/SUMPRODUCT((calc_state=$A77)*_calc!$CB$4:$CB$72*_calc!$CI$4:$CI$72)),IF($P$14=0,"",IF(INDEX(_calc!$O:$O,$P$14)=0,"—",INDEX(_calc!$O:$O,$P$14+32)/INDEX(_calc!$O:$O,$P$14+20)-1))))</f>
        <v>1.1989142886004167E-4</v>
      </c>
      <c r="H77" s="167">
        <f>IF($A77="","",IF(pf_BU="All",IF(SUMPRODUCT((calc_state=$A77)*_calc!$CC$4:$CC$72*_calc!$CI$4:$CI$72)=0,"—",SUMPRODUCT((calc_state=$A77)*_calc!$CC$4:$CC$72*_calc!$CI$4:$CI$72*_calc!$BQ$4:$BQ$72)/SUMPRODUCT((calc_state=$A77)*_calc!$CC$4:$CC$72*_calc!$CI$4:$CI$72)),IF($P$14=0,"",IF(INDEX(_calc!$O:$O,$P$14)=0,"—",INDEX(_calc!$O:$O,$P$14+33)/INDEX(_calc!$O:$O,$P$14+21)-1))))</f>
        <v>-1.1681461952551819E-3</v>
      </c>
      <c r="I77" s="167">
        <f>IF($A77="","",IF(pf_BU="All",IF(SUMPRODUCT((calc_state=$A77)*_calc!$CD$4:$CD$72*_calc!$CI$4:$CI$72)=0,"—",SUMPRODUCT((calc_state=$A77)*_calc!$CD$4:$CD$72*_calc!$CI$4:$CI$72*_calc!$BR$4:$BR$72)/SUMPRODUCT((calc_state=$A77)*_calc!$CD$4:$CD$72*_calc!$CI$4:$CI$72)),IF($P$14=0,"",IF(INDEX(_calc!$O:$O,$P$14)=0,"—",INDEX(_calc!$O:$O,$P$14+34)/INDEX(_calc!$O:$O,$P$14+22)-1))))</f>
        <v>-2.4748718727161112E-3</v>
      </c>
      <c r="J77" s="167">
        <f>IF($A77="","",IF(pf_BU="All",IF(SUMPRODUCT((calc_state=$A77)*_calc!$CE$4:$CE$72*_calc!$CI$4:$CI$72)=0,"—",SUMPRODUCT((calc_state=$A77)*_calc!$CE$4:$CE$72*_calc!$CI$4:$CI$72*_calc!$BS$4:$BS$72)/SUMPRODUCT((calc_state=$A77)*_calc!$CE$4:$CE$72*_calc!$CI$4:$CI$72)),IF($P$14=0,"",IF(INDEX(_calc!$O:$O,$P$14)=0,"—",INDEX(_calc!$O:$O,$P$14+35)/INDEX(_calc!$O:$O,$P$14+23)-1))))</f>
        <v>-3.7581397801271788E-3</v>
      </c>
      <c r="K77" s="167">
        <f>IF($A77="","",IF(pf_BU="All",IF(SUMPRODUCT((calc_state=$A77)*_calc!$CF$4:$CF$72*_calc!$CI$4:$CI$72)=0,"—",SUMPRODUCT((calc_state=$A77)*_calc!$CF$4:$CF$72*_calc!$CI$4:$CI$72*_calc!$BT$4:$BT$72)/SUMPRODUCT((calc_state=$A77)*_calc!$CF$4:$CF$72*_calc!$CI$4:$CI$72)),IF($P$14=0,"",IF(INDEX(_calc!$O:$O,$P$14)=0,"—",INDEX(_calc!$O:$O,$P$14+36)/INDEX(_calc!$O:$O,$P$14+24)-1))))</f>
        <v>-4.3892085595579333E-3</v>
      </c>
      <c r="L77" s="167">
        <f>IF($A77="","",IF(pf_BU="All",IF(SUMPRODUCT((calc_state=$A77)*_calc!$CG$4:$CG$72*_calc!$CI$4:$CI$72)=0,"—",SUMPRODUCT((calc_state=$A77)*_calc!$CG$4:$CG$72*_calc!$CI$4:$CI$72*_calc!$BU$4:$BU$72)/SUMPRODUCT((calc_state=$A77)*_calc!$CG$4:$CG$72*_calc!$CI$4:$CI$72)),IF($P$14=0,"",IF(INDEX(_calc!$O:$O,$P$14)=0,"—",INDEX(_calc!$O:$O,$P$14+37)/INDEX(_calc!$O:$O,$P$14+25)-1))))</f>
        <v>-4.3908189779616746E-3</v>
      </c>
      <c r="M77" s="167">
        <f>IF($A77="","",IF(pf_BU="All",IF(SUMPRODUCT((calc_state=$A77)*_calc!$CH$4:$CH$72*_calc!$CI$4:$CI$72)=0,"—",SUMPRODUCT((calc_state=$A77)*_calc!$CH$4:$CH$72*_calc!$CI$4:$CI$72*_calc!$BV$4:$BV$72)/SUMPRODUCT((calc_state=$A77)*_calc!$CH$4:$CH$72*_calc!$CI$4:$CI$72)),IF($P$14=0,"",IF(INDEX(_calc!$O:$O,$P$14)=0,"—",INDEX(_calc!$O:$O,$P$14+38)/INDEX(_calc!$O:$O,$P$14+26)-1))))</f>
        <v>-4.3924305785372209E-3</v>
      </c>
    </row>
    <row r="78" spans="1:13" x14ac:dyDescent="0.3">
      <c r="A78" s="166" t="str">
        <f>_lists!$B$9</f>
        <v>IL</v>
      </c>
      <c r="B78" s="167">
        <f>IF($A78="","",IF(pf_BU="All",IF(SUMPRODUCT((calc_state=$A78)*_calc!$BW$4:$BW$72*_calc!$CI$4:$CI$72)=0,"—",SUMPRODUCT((calc_state=$A78)*_calc!$BW$4:$BW$72*_calc!$CI$4:$CI$72*_calc!$BK$4:$BK$72)/SUMPRODUCT((calc_state=$A78)*_calc!$BW$4:$BW$72*_calc!$CI$4:$CI$72)),IF($P$15=0,"",IF(INDEX(_calc!$O:$O,$P$15)=0,"—",INDEX(_calc!$O:$O,$P$15+27)/INDEX(_calc!$O:$O,$P$15+15)-1))))</f>
        <v>8.8314642083742179E-3</v>
      </c>
      <c r="C78" s="167">
        <f>IF($A78="","",IF(pf_BU="All",IF(SUMPRODUCT((calc_state=$A78)*_calc!$BX$4:$BX$72*_calc!$CI$4:$CI$72)=0,"—",SUMPRODUCT((calc_state=$A78)*_calc!$BX$4:$BX$72*_calc!$CI$4:$CI$72*_calc!$BL$4:$BL$72)/SUMPRODUCT((calc_state=$A78)*_calc!$BX$4:$BX$72*_calc!$CI$4:$CI$72)),IF($P$15=0,"",IF(INDEX(_calc!$O:$O,$P$15)=0,"—",INDEX(_calc!$O:$O,$P$15+28)/INDEX(_calc!$O:$O,$P$15+16)-1))))</f>
        <v>8.8251650184965058E-3</v>
      </c>
      <c r="D78" s="167">
        <f>IF($A78="","",IF(pf_BU="All",IF(SUMPRODUCT((calc_state=$A78)*_calc!$BY$4:$BY$72*_calc!$CI$4:$CI$72)=0,"—",SUMPRODUCT((calc_state=$A78)*_calc!$BY$4:$BY$72*_calc!$CI$4:$CI$72*_calc!$BM$4:$BM$72)/SUMPRODUCT((calc_state=$A78)*_calc!$BY$4:$BY$72*_calc!$CI$4:$CI$72)),IF($P$15=0,"",IF(INDEX(_calc!$O:$O,$P$15)=0,"—",INDEX(_calc!$O:$O,$P$15+29)/INDEX(_calc!$O:$O,$P$15+17)-1))))</f>
        <v>8.8188748082196344E-3</v>
      </c>
      <c r="E78" s="167">
        <f>IF($A78="","",IF(pf_BU="All",IF(SUMPRODUCT((calc_state=$A78)*_calc!$BZ$4:$BZ$72*_calc!$CI$4:$CI$72)=0,"—",SUMPRODUCT((calc_state=$A78)*_calc!$BZ$4:$BZ$72*_calc!$CI$4:$CI$72*_calc!$BN$4:$BN$72)/SUMPRODUCT((calc_state=$A78)*_calc!$BZ$4:$BZ$72*_calc!$CI$4:$CI$72)),IF($P$15=0,"",IF(INDEX(_calc!$O:$O,$P$15)=0,"—",INDEX(_calc!$O:$O,$P$15+30)/INDEX(_calc!$O:$O,$P$15+18)-1))))</f>
        <v>8.8123807914242125E-3</v>
      </c>
      <c r="F78" s="167">
        <f>IF($A78="","",IF(pf_BU="All",IF(SUMPRODUCT((calc_state=$A78)*_calc!$CA$4:$CA$72*_calc!$CI$4:$CI$72)=0,"—",SUMPRODUCT((calc_state=$A78)*_calc!$CA$4:$CA$72*_calc!$CI$4:$CI$72*_calc!$BO$4:$BO$72)/SUMPRODUCT((calc_state=$A78)*_calc!$CA$4:$CA$72*_calc!$CI$4:$CI$72)),IF($P$15=0,"",IF(INDEX(_calc!$O:$O,$P$15)=0,"—",INDEX(_calc!$O:$O,$P$15+31)/INDEX(_calc!$O:$O,$P$15+19)-1))))</f>
        <v>8.8058963316806071E-3</v>
      </c>
      <c r="G78" s="167">
        <f>IF($A78="","",IF(pf_BU="All",IF(SUMPRODUCT((calc_state=$A78)*_calc!$CB$4:$CB$72*_calc!$CI$4:$CI$72)=0,"—",SUMPRODUCT((calc_state=$A78)*_calc!$CB$4:$CB$72*_calc!$CI$4:$CI$72*_calc!$BP$4:$BP$72)/SUMPRODUCT((calc_state=$A78)*_calc!$CB$4:$CB$72*_calc!$CI$4:$CI$72)),IF($P$15=0,"",IF(INDEX(_calc!$O:$O,$P$15)=0,"—",INDEX(_calc!$O:$O,$P$15+32)/INDEX(_calc!$O:$O,$P$15+20)-1))))</f>
        <v>8.7994214079074595E-3</v>
      </c>
      <c r="H78" s="167">
        <f>IF($A78="","",IF(pf_BU="All",IF(SUMPRODUCT((calc_state=$A78)*_calc!$CC$4:$CC$72*_calc!$CI$4:$CI$72)=0,"—",SUMPRODUCT((calc_state=$A78)*_calc!$CC$4:$CC$72*_calc!$CI$4:$CI$72*_calc!$BQ$4:$BQ$72)/SUMPRODUCT((calc_state=$A78)*_calc!$CC$4:$CC$72*_calc!$CI$4:$CI$72)),IF($P$15=0,"",IF(INDEX(_calc!$O:$O,$P$15)=0,"—",INDEX(_calc!$O:$O,$P$15+33)/INDEX(_calc!$O:$O,$P$15+21)-1))))</f>
        <v>8.792955999084473E-3</v>
      </c>
      <c r="I78" s="167">
        <f>IF($A78="","",IF(pf_BU="All",IF(SUMPRODUCT((calc_state=$A78)*_calc!$CD$4:$CD$72*_calc!$CI$4:$CI$72)=0,"—",SUMPRODUCT((calc_state=$A78)*_calc!$CD$4:$CD$72*_calc!$CI$4:$CI$72*_calc!$BR$4:$BR$72)/SUMPRODUCT((calc_state=$A78)*_calc!$CD$4:$CD$72*_calc!$CI$4:$CI$72)),IF($P$15=0,"",IF(INDEX(_calc!$O:$O,$P$15)=0,"—",INDEX(_calc!$O:$O,$P$15+34)/INDEX(_calc!$O:$O,$P$15+22)-1))))</f>
        <v>8.7863943285630963E-3</v>
      </c>
      <c r="J78" s="167">
        <f>IF($A78="","",IF(pf_BU="All",IF(SUMPRODUCT((calc_state=$A78)*_calc!$CE$4:$CE$72*_calc!$CI$4:$CI$72)=0,"—",SUMPRODUCT((calc_state=$A78)*_calc!$CE$4:$CE$72*_calc!$CI$4:$CI$72*_calc!$BS$4:$BS$72)/SUMPRODUCT((calc_state=$A78)*_calc!$CE$4:$CE$72*_calc!$CI$4:$CI$72)),IF($P$15=0,"",IF(INDEX(_calc!$O:$O,$P$15)=0,"—",INDEX(_calc!$O:$O,$P$15+35)/INDEX(_calc!$O:$O,$P$15+23)-1))))</f>
        <v>8.7799480419512577E-3</v>
      </c>
      <c r="K78" s="167">
        <f>IF($A78="","",IF(pf_BU="All",IF(SUMPRODUCT((calc_state=$A78)*_calc!$CF$4:$CF$72*_calc!$CI$4:$CI$72)=0,"—",SUMPRODUCT((calc_state=$A78)*_calc!$CF$4:$CF$72*_calc!$CI$4:$CI$72*_calc!$BT$4:$BT$72)/SUMPRODUCT((calc_state=$A78)*_calc!$CF$4:$CF$72*_calc!$CI$4:$CI$72)),IF($P$15=0,"",IF(INDEX(_calc!$O:$O,$P$15)=0,"—",INDEX(_calc!$O:$O,$P$15+36)/INDEX(_calc!$O:$O,$P$15+24)-1))))</f>
        <v>8.7735112072593324E-3</v>
      </c>
      <c r="L78" s="167">
        <f>IF($A78="","",IF(pf_BU="All",IF(SUMPRODUCT((calc_state=$A78)*_calc!$CG$4:$CG$72*_calc!$CI$4:$CI$72)=0,"—",SUMPRODUCT((calc_state=$A78)*_calc!$CG$4:$CG$72*_calc!$CI$4:$CI$72*_calc!$BU$4:$BU$72)/SUMPRODUCT((calc_state=$A78)*_calc!$CG$4:$CG$72*_calc!$CI$4:$CI$72)),IF($P$15=0,"",IF(INDEX(_calc!$O:$O,$P$15)=0,"—",INDEX(_calc!$O:$O,$P$15+37)/INDEX(_calc!$O:$O,$P$15+25)-1))))</f>
        <v>8.7670838037132715E-3</v>
      </c>
      <c r="M78" s="167">
        <f>IF($A78="","",IF(pf_BU="All",IF(SUMPRODUCT((calc_state=$A78)*_calc!$CH$4:$CH$72*_calc!$CI$4:$CI$72)=0,"—",SUMPRODUCT((calc_state=$A78)*_calc!$CH$4:$CH$72*_calc!$CI$4:$CI$72*_calc!$BV$4:$BV$72)/SUMPRODUCT((calc_state=$A78)*_calc!$CH$4:$CH$72*_calc!$CI$4:$CI$72)),IF($P$15=0,"",IF(INDEX(_calc!$O:$O,$P$15)=0,"—",INDEX(_calc!$O:$O,$P$15+38)/INDEX(_calc!$O:$O,$P$15+26)-1))))</f>
        <v>8.7606658106016422E-3</v>
      </c>
    </row>
    <row r="79" spans="1:13" x14ac:dyDescent="0.3">
      <c r="A79" s="166" t="str">
        <f>_lists!$B$10</f>
        <v>IN</v>
      </c>
      <c r="B79" s="167">
        <f>IF($A79="","",IF(pf_BU="All",IF(SUMPRODUCT((calc_state=$A79)*_calc!$BW$4:$BW$72*_calc!$CI$4:$CI$72)=0,"—",SUMPRODUCT((calc_state=$A79)*_calc!$BW$4:$BW$72*_calc!$CI$4:$CI$72*_calc!$BK$4:$BK$72)/SUMPRODUCT((calc_state=$A79)*_calc!$BW$4:$BW$72*_calc!$CI$4:$CI$72)),IF($P$16=0,"",IF(INDEX(_calc!$O:$O,$P$16)=0,"—",INDEX(_calc!$O:$O,$P$16+27)/INDEX(_calc!$O:$O,$P$16+15)-1))))</f>
        <v>-8.7227712124651191E-3</v>
      </c>
      <c r="C79" s="167">
        <f>IF($A79="","",IF(pf_BU="All",IF(SUMPRODUCT((calc_state=$A79)*_calc!$BX$4:$BX$72*_calc!$CI$4:$CI$72)=0,"—",SUMPRODUCT((calc_state=$A79)*_calc!$BX$4:$BX$72*_calc!$CI$4:$CI$72*_calc!$BL$4:$BL$72)/SUMPRODUCT((calc_state=$A79)*_calc!$BX$4:$BX$72*_calc!$CI$4:$CI$72)),IF($P$16=0,"",IF(INDEX(_calc!$O:$O,$P$16)=0,"—",INDEX(_calc!$O:$O,$P$16+28)/INDEX(_calc!$O:$O,$P$16+16)-1))))</f>
        <v>-8.7289250269041441E-3</v>
      </c>
      <c r="D79" s="167">
        <f>IF($A79="","",IF(pf_BU="All",IF(SUMPRODUCT((calc_state=$A79)*_calc!$BY$4:$BY$72*_calc!$CI$4:$CI$72)=0,"—",SUMPRODUCT((calc_state=$A79)*_calc!$BY$4:$BY$72*_calc!$CI$4:$CI$72*_calc!$BM$4:$BM$72)/SUMPRODUCT((calc_state=$A79)*_calc!$BY$4:$BY$72*_calc!$CI$4:$CI$72)),IF($P$16=0,"",IF(INDEX(_calc!$O:$O,$P$16)=0,"—",INDEX(_calc!$O:$O,$P$16+29)/INDEX(_calc!$O:$O,$P$16+17)-1))))</f>
        <v>-8.7350875303633391E-3</v>
      </c>
      <c r="E79" s="167">
        <f>IF($A79="","",IF(pf_BU="All",IF(SUMPRODUCT((calc_state=$A79)*_calc!$BZ$4:$BZ$72*_calc!$CI$4:$CI$72)=0,"—",SUMPRODUCT((calc_state=$A79)*_calc!$BZ$4:$BZ$72*_calc!$CI$4:$CI$72*_calc!$BN$4:$BN$72)/SUMPRODUCT((calc_state=$A79)*_calc!$BZ$4:$BZ$72*_calc!$CI$4:$CI$72)),IF($P$16=0,"",IF(INDEX(_calc!$O:$O,$P$16)=0,"—",INDEX(_calc!$O:$O,$P$16+30)/INDEX(_calc!$O:$O,$P$16+18)-1))))</f>
        <v>-8.7414680876541917E-3</v>
      </c>
      <c r="F79" s="167">
        <f>IF($A79="","",IF(pf_BU="All",IF(SUMPRODUCT((calc_state=$A79)*_calc!$CA$4:$CA$72*_calc!$CI$4:$CI$72)=0,"—",SUMPRODUCT((calc_state=$A79)*_calc!$CA$4:$CA$72*_calc!$CI$4:$CI$72*_calc!$BO$4:$BO$72)/SUMPRODUCT((calc_state=$A79)*_calc!$CA$4:$CA$72*_calc!$CI$4:$CI$72)),IF($P$16=0,"",IF(INDEX(_calc!$O:$O,$P$16)=0,"—",INDEX(_calc!$O:$O,$P$16+31)/INDEX(_calc!$O:$O,$P$16+19)-1))))</f>
        <v>-8.7478579731332662E-3</v>
      </c>
      <c r="G79" s="167">
        <f>IF($A79="","",IF(pf_BU="All",IF(SUMPRODUCT((calc_state=$A79)*_calc!$CB$4:$CB$72*_calc!$CI$4:$CI$72)=0,"—",SUMPRODUCT((calc_state=$A79)*_calc!$CB$4:$CB$72*_calc!$CI$4:$CI$72*_calc!$BP$4:$BP$72)/SUMPRODUCT((calc_state=$A79)*_calc!$CB$4:$CB$72*_calc!$CI$4:$CI$72)),IF($P$16=0,"",IF(INDEX(_calc!$O:$O,$P$16)=0,"—",INDEX(_calc!$O:$O,$P$16+32)/INDEX(_calc!$O:$O,$P$16+20)-1))))</f>
        <v>-8.7542572072719649E-3</v>
      </c>
      <c r="H79" s="167">
        <f>IF($A79="","",IF(pf_BU="All",IF(SUMPRODUCT((calc_state=$A79)*_calc!$CC$4:$CC$72*_calc!$CI$4:$CI$72)=0,"—",SUMPRODUCT((calc_state=$A79)*_calc!$CC$4:$CC$72*_calc!$CI$4:$CI$72*_calc!$BQ$4:$BQ$72)/SUMPRODUCT((calc_state=$A79)*_calc!$CC$4:$CC$72*_calc!$CI$4:$CI$72)),IF($P$16=0,"",IF(INDEX(_calc!$O:$O,$P$16)=0,"—",INDEX(_calc!$O:$O,$P$16+33)/INDEX(_calc!$O:$O,$P$16+21)-1))))</f>
        <v>-8.7606658106015312E-3</v>
      </c>
      <c r="I79" s="167">
        <f>IF($A79="","",IF(pf_BU="All",IF(SUMPRODUCT((calc_state=$A79)*_calc!$CD$4:$CD$72*_calc!$CI$4:$CI$72)=0,"—",SUMPRODUCT((calc_state=$A79)*_calc!$CD$4:$CD$72*_calc!$CI$4:$CI$72*_calc!$BR$4:$BR$72)/SUMPRODUCT((calc_state=$A79)*_calc!$CD$4:$CD$72*_calc!$CI$4:$CI$72)),IF($P$16=0,"",IF(INDEX(_calc!$O:$O,$P$16)=0,"—",INDEX(_calc!$O:$O,$P$16+34)/INDEX(_calc!$O:$O,$P$16+22)-1))))</f>
        <v>-8.7671890950580256E-3</v>
      </c>
      <c r="J79" s="167">
        <f>IF($A79="","",IF(pf_BU="All",IF(SUMPRODUCT((calc_state=$A79)*_calc!$CE$4:$CE$72*_calc!$CI$4:$CI$72)=0,"—",SUMPRODUCT((calc_state=$A79)*_calc!$CE$4:$CE$72*_calc!$CI$4:$CI$72*_calc!$BS$4:$BS$72)/SUMPRODUCT((calc_state=$A79)*_calc!$CE$4:$CE$72*_calc!$CI$4:$CI$72)),IF($P$16=0,"",IF(INDEX(_calc!$O:$O,$P$16)=0,"—",INDEX(_calc!$O:$O,$P$16+35)/INDEX(_calc!$O:$O,$P$16+23)-1))))</f>
        <v>-8.7736166530455462E-3</v>
      </c>
      <c r="K79" s="167">
        <f>IF($A79="","",IF(pf_BU="All",IF(SUMPRODUCT((calc_state=$A79)*_calc!$CF$4:$CF$72*_calc!$CI$4:$CI$72)=0,"—",SUMPRODUCT((calc_state=$A79)*_calc!$CF$4:$CF$72*_calc!$CI$4:$CI$72*_calc!$BT$4:$BT$72)/SUMPRODUCT((calc_state=$A79)*_calc!$CF$4:$CF$72*_calc!$CI$4:$CI$72)),IF($P$16=0,"",IF(INDEX(_calc!$O:$O,$P$16)=0,"—",INDEX(_calc!$O:$O,$P$16+36)/INDEX(_calc!$O:$O,$P$16+24)-1))))</f>
        <v>-8.7800536425195475E-3</v>
      </c>
      <c r="L79" s="167">
        <f>IF($A79="","",IF(pf_BU="All",IF(SUMPRODUCT((calc_state=$A79)*_calc!$CG$4:$CG$72*_calc!$CI$4:$CI$72)=0,"—",SUMPRODUCT((calc_state=$A79)*_calc!$CG$4:$CG$72*_calc!$CI$4:$CI$72*_calc!$BU$4:$BU$72)/SUMPRODUCT((calc_state=$A79)*_calc!$CG$4:$CG$72*_calc!$CI$4:$CI$72)),IF($P$16=0,"",IF(INDEX(_calc!$O:$O,$P$16)=0,"—",INDEX(_calc!$O:$O,$P$16+37)/INDEX(_calc!$O:$O,$P$16+25)-1))))</f>
        <v>-8.7865000842540786E-3</v>
      </c>
      <c r="M79" s="167">
        <f>IF($A79="","",IF(pf_BU="All",IF(SUMPRODUCT((calc_state=$A79)*_calc!$CH$4:$CH$72*_calc!$CI$4:$CI$72)=0,"—",SUMPRODUCT((calc_state=$A79)*_calc!$CH$4:$CH$72*_calc!$CI$4:$CI$72*_calc!$BV$4:$BV$72)/SUMPRODUCT((calc_state=$A79)*_calc!$CH$4:$CH$72*_calc!$CI$4:$CI$72)),IF($P$16=0,"",IF(INDEX(_calc!$O:$O,$P$16)=0,"—",INDEX(_calc!$O:$O,$P$16+38)/INDEX(_calc!$O:$O,$P$16+26)-1))))</f>
        <v>-8.7929559990846951E-3</v>
      </c>
    </row>
    <row r="80" spans="1:13" x14ac:dyDescent="0.3">
      <c r="A80" s="166" t="str">
        <f>_lists!$B$11</f>
        <v>KY</v>
      </c>
      <c r="B80" s="167">
        <f>IF($A80="","",IF(pf_BU="All",IF(SUMPRODUCT((calc_state=$A80)*_calc!$BW$4:$BW$72*_calc!$CI$4:$CI$72)=0,"—",SUMPRODUCT((calc_state=$A80)*_calc!$BW$4:$BW$72*_calc!$CI$4:$CI$72*_calc!$BK$4:$BK$72)/SUMPRODUCT((calc_state=$A80)*_calc!$BW$4:$BW$72*_calc!$CI$4:$CI$72)),IF($P$17=0,"",IF(INDEX(_calc!$O:$O,$P$17)=0,"—",INDEX(_calc!$O:$O,$P$17+27)/INDEX(_calc!$O:$O,$P$17+15)-1))))</f>
        <v>4.4020188985305353E-3</v>
      </c>
      <c r="C80" s="167">
        <f>IF($A80="","",IF(pf_BU="All",IF(SUMPRODUCT((calc_state=$A80)*_calc!$BX$4:$BX$72*_calc!$CI$4:$CI$72)=0,"—",SUMPRODUCT((calc_state=$A80)*_calc!$BX$4:$BX$72*_calc!$CI$4:$CI$72*_calc!$BL$4:$BL$72)/SUMPRODUCT((calc_state=$A80)*_calc!$BX$4:$BX$72*_calc!$CI$4:$CI$72)),IF($P$17=0,"",IF(INDEX(_calc!$O:$O,$P$17)=0,"—",INDEX(_calc!$O:$O,$P$17+28)/INDEX(_calc!$O:$O,$P$17+16)-1))))</f>
        <v>4.4004533069708085E-3</v>
      </c>
      <c r="D80" s="167">
        <f>IF($A80="","",IF(pf_BU="All",IF(SUMPRODUCT((calc_state=$A80)*_calc!$BY$4:$BY$72*_calc!$CI$4:$CI$72)=0,"—",SUMPRODUCT((calc_state=$A80)*_calc!$BY$4:$BY$72*_calc!$CI$4:$CI$72*_calc!$BM$4:$BM$72)/SUMPRODUCT((calc_state=$A80)*_calc!$BY$4:$BY$72*_calc!$CI$4:$CI$72)),IF($P$17=0,"",IF(INDEX(_calc!$O:$O,$P$17)=0,"—",INDEX(_calc!$O:$O,$P$17+29)/INDEX(_calc!$O:$O,$P$17+17)-1))))</f>
        <v>4.3988888286301542E-3</v>
      </c>
      <c r="E80" s="167">
        <f>IF($A80="","",IF(pf_BU="All",IF(SUMPRODUCT((calc_state=$A80)*_calc!$BZ$4:$BZ$72*_calc!$CI$4:$CI$72)=0,"—",SUMPRODUCT((calc_state=$A80)*_calc!$BZ$4:$BZ$72*_calc!$CI$4:$CI$72*_calc!$BN$4:$BN$72)/SUMPRODUCT((calc_state=$A80)*_calc!$BZ$4:$BZ$72*_calc!$CI$4:$CI$72)),IF($P$17=0,"",IF(INDEX(_calc!$O:$O,$P$17)=0,"—",INDEX(_calc!$O:$O,$P$17+30)/INDEX(_calc!$O:$O,$P$17+18)-1))))</f>
        <v>4.3972724863263757E-3</v>
      </c>
      <c r="F80" s="167">
        <f>IF($A80="","",IF(pf_BU="All",IF(SUMPRODUCT((calc_state=$A80)*_calc!$CA$4:$CA$72*_calc!$CI$4:$CI$72)=0,"—",SUMPRODUCT((calc_state=$A80)*_calc!$CA$4:$CA$72*_calc!$CI$4:$CI$72*_calc!$BO$4:$BO$72)/SUMPRODUCT((calc_state=$A80)*_calc!$CA$4:$CA$72*_calc!$CI$4:$CI$72)),IF($P$17=0,"",IF(INDEX(_calc!$O:$O,$P$17)=0,"—",INDEX(_calc!$O:$O,$P$17+31)/INDEX(_calc!$O:$O,$P$17+19)-1))))</f>
        <v>4.3956573314145597E-3</v>
      </c>
      <c r="G80" s="167">
        <f>IF($A80="","",IF(pf_BU="All",IF(SUMPRODUCT((calc_state=$A80)*_calc!$CB$4:$CB$72*_calc!$CI$4:$CI$72)=0,"—",SUMPRODUCT((calc_state=$A80)*_calc!$CB$4:$CB$72*_calc!$CI$4:$CI$72*_calc!$BP$4:$BP$72)/SUMPRODUCT((calc_state=$A80)*_calc!$CB$4:$CB$72*_calc!$CI$4:$CI$72)),IF($P$17=0,"",IF(INDEX(_calc!$O:$O,$P$17)=0,"—",INDEX(_calc!$O:$O,$P$17+32)/INDEX(_calc!$O:$O,$P$17+20)-1))))</f>
        <v>4.3940433625868636E-3</v>
      </c>
      <c r="H80" s="167">
        <f>IF($A80="","",IF(pf_BU="All",IF(SUMPRODUCT((calc_state=$A80)*_calc!$CC$4:$CC$72*_calc!$CI$4:$CI$72)=0,"—",SUMPRODUCT((calc_state=$A80)*_calc!$CC$4:$CC$72*_calc!$CI$4:$CI$72*_calc!$BQ$4:$BQ$72)/SUMPRODUCT((calc_state=$A80)*_calc!$CC$4:$CC$72*_calc!$CI$4:$CI$72)),IF($P$17=0,"",IF(INDEX(_calc!$O:$O,$P$17)=0,"—",INDEX(_calc!$O:$O,$P$17+33)/INDEX(_calc!$O:$O,$P$17+21)-1))))</f>
        <v>4.3924305785372209E-3</v>
      </c>
      <c r="I80" s="167">
        <f>IF($A80="","",IF(pf_BU="All",IF(SUMPRODUCT((calc_state=$A80)*_calc!$CD$4:$CD$72*_calc!$CI$4:$CI$72)=0,"—",SUMPRODUCT((calc_state=$A80)*_calc!$CD$4:$CD$72*_calc!$CI$4:$CI$72*_calc!$BR$4:$BR$72)/SUMPRODUCT((calc_state=$A80)*_calc!$CD$4:$CD$72*_calc!$CI$4:$CI$72)),IF($P$17=0,"",IF(INDEX(_calc!$O:$O,$P$17)=0,"—",INDEX(_calc!$O:$O,$P$17+34)/INDEX(_calc!$O:$O,$P$17+22)-1))))</f>
        <v>4.3907925681323512E-3</v>
      </c>
      <c r="J80" s="167">
        <f>IF($A80="","",IF(pf_BU="All",IF(SUMPRODUCT((calc_state=$A80)*_calc!$CE$4:$CE$72*_calc!$CI$4:$CI$72)=0,"—",SUMPRODUCT((calc_state=$A80)*_calc!$CE$4:$CE$72*_calc!$CI$4:$CI$72*_calc!$BS$4:$BS$72)/SUMPRODUCT((calc_state=$A80)*_calc!$CE$4:$CE$72*_calc!$CI$4:$CI$72)),IF($P$17=0,"",IF(INDEX(_calc!$O:$O,$P$17)=0,"—",INDEX(_calc!$O:$O,$P$17+35)/INDEX(_calc!$O:$O,$P$17+23)-1))))</f>
        <v>4.3891821690977828E-3</v>
      </c>
      <c r="K80" s="167">
        <f>IF($A80="","",IF(pf_BU="All",IF(SUMPRODUCT((calc_state=$A80)*_calc!$CF$4:$CF$72*_calc!$CI$4:$CI$72)=0,"—",SUMPRODUCT((calc_state=$A80)*_calc!$CF$4:$CF$72*_calc!$CI$4:$CI$72*_calc!$BT$4:$BT$72)/SUMPRODUCT((calc_state=$A80)*_calc!$CF$4:$CF$72*_calc!$CI$4:$CI$72)),IF($P$17=0,"",IF(INDEX(_calc!$O:$O,$P$17)=0,"—",INDEX(_calc!$O:$O,$P$17+36)/INDEX(_calc!$O:$O,$P$17+24)-1))))</f>
        <v>4.3875729509132988E-3</v>
      </c>
      <c r="L80" s="167">
        <f>IF($A80="","",IF(pf_BU="All",IF(SUMPRODUCT((calc_state=$A80)*_calc!$CG$4:$CG$72*_calc!$CI$4:$CI$72)=0,"—",SUMPRODUCT((calc_state=$A80)*_calc!$CG$4:$CG$72*_calc!$CI$4:$CI$72*_calc!$BU$4:$BU$72)/SUMPRODUCT((calc_state=$A80)*_calc!$CG$4:$CG$72*_calc!$CI$4:$CI$72)),IF($P$17=0,"",IF(INDEX(_calc!$O:$O,$P$17)=0,"—",INDEX(_calc!$O:$O,$P$17+37)/INDEX(_calc!$O:$O,$P$17+25)-1))))</f>
        <v>4.3859649122806044E-3</v>
      </c>
      <c r="M80" s="167">
        <f>IF($A80="","",IF(pf_BU="All",IF(SUMPRODUCT((calc_state=$A80)*_calc!$CH$4:$CH$72*_calc!$CI$4:$CI$72)=0,"—",SUMPRODUCT((calc_state=$A80)*_calc!$CH$4:$CH$72*_calc!$CI$4:$CI$72*_calc!$BV$4:$BV$72)/SUMPRODUCT((calc_state=$A80)*_calc!$CH$4:$CH$72*_calc!$CI$4:$CI$72)),IF($P$17=0,"",IF(INDEX(_calc!$O:$O,$P$17)=0,"—",INDEX(_calc!$O:$O,$P$17+38)/INDEX(_calc!$O:$O,$P$17+26)-1))))</f>
        <v>4.3843580519036252E-3</v>
      </c>
    </row>
    <row r="81" spans="1:13" x14ac:dyDescent="0.3">
      <c r="A81" s="166" t="str">
        <f>_lists!$B$12</f>
        <v>MD</v>
      </c>
      <c r="B81" s="167">
        <f>IF($A81="","",IF(pf_BU="All",IF(SUMPRODUCT((calc_state=$A81)*_calc!$BW$4:$BW$72*_calc!$CI$4:$CI$72)=0,"—",SUMPRODUCT((calc_state=$A81)*_calc!$BW$4:$BW$72*_calc!$CI$4:$CI$72*_calc!$BK$4:$BK$72)/SUMPRODUCT((calc_state=$A81)*_calc!$BW$4:$BW$72*_calc!$CI$4:$CI$72)),IF($P$18=0,"",IF(INDEX(_calc!$O:$O,$P$18)=0,"—",INDEX(_calc!$O:$O,$P$18+27)/INDEX(_calc!$O:$O,$P$18+15)-1))))</f>
        <v>1.7773665757693902E-2</v>
      </c>
      <c r="C81" s="167">
        <f>IF($A81="","",IF(pf_BU="All",IF(SUMPRODUCT((calc_state=$A81)*_calc!$BX$4:$BX$72*_calc!$CI$4:$CI$72)=0,"—",SUMPRODUCT((calc_state=$A81)*_calc!$BX$4:$BX$72*_calc!$CI$4:$CI$72*_calc!$BL$4:$BL$72)/SUMPRODUCT((calc_state=$A81)*_calc!$BX$4:$BX$72*_calc!$CI$4:$CI$72)),IF($P$18=0,"",IF(INDEX(_calc!$O:$O,$P$18)=0,"—",INDEX(_calc!$O:$O,$P$18+28)/INDEX(_calc!$O:$O,$P$18+16)-1))))</f>
        <v>1.7748170479686909E-2</v>
      </c>
      <c r="D81" s="167">
        <f>IF($A81="","",IF(pf_BU="All",IF(SUMPRODUCT((calc_state=$A81)*_calc!$BY$4:$BY$72*_calc!$CI$4:$CI$72)=0,"—",SUMPRODUCT((calc_state=$A81)*_calc!$BY$4:$BY$72*_calc!$CI$4:$CI$72*_calc!$BM$4:$BM$72)/SUMPRODUCT((calc_state=$A81)*_calc!$BY$4:$BY$72*_calc!$CI$4:$CI$72)),IF($P$18=0,"",IF(INDEX(_calc!$O:$O,$P$18)=0,"—",INDEX(_calc!$O:$O,$P$18+29)/INDEX(_calc!$O:$O,$P$18+17)-1))))</f>
        <v>1.7722748239864083E-2</v>
      </c>
      <c r="E81" s="167">
        <f>IF($A81="","",IF(pf_BU="All",IF(SUMPRODUCT((calc_state=$A81)*_calc!$BZ$4:$BZ$72*_calc!$CI$4:$CI$72)=0,"—",SUMPRODUCT((calc_state=$A81)*_calc!$BZ$4:$BZ$72*_calc!$CI$4:$CI$72*_calc!$BN$4:$BN$72)/SUMPRODUCT((calc_state=$A81)*_calc!$BZ$4:$BZ$72*_calc!$CI$4:$CI$72)),IF($P$18=0,"",IF(INDEX(_calc!$O:$O,$P$18)=0,"—",INDEX(_calc!$O:$O,$P$18+30)/INDEX(_calc!$O:$O,$P$18+18)-1))))</f>
        <v>1.7696540689922768E-2</v>
      </c>
      <c r="F81" s="167">
        <f>IF($A81="","",IF(pf_BU="All",IF(SUMPRODUCT((calc_state=$A81)*_calc!$CA$4:$CA$72*_calc!$CI$4:$CI$72)=0,"—",SUMPRODUCT((calc_state=$A81)*_calc!$CA$4:$CA$72*_calc!$CI$4:$CI$72*_calc!$BO$4:$BO$72)/SUMPRODUCT((calc_state=$A81)*_calc!$CA$4:$CA$72*_calc!$CI$4:$CI$72)),IF($P$18=0,"",IF(INDEX(_calc!$O:$O,$P$18)=0,"—",INDEX(_calc!$O:$O,$P$18+31)/INDEX(_calc!$O:$O,$P$18+19)-1))))</f>
        <v>1.7670410534469383E-2</v>
      </c>
      <c r="G81" s="167">
        <f>IF($A81="","",IF(pf_BU="All",IF(SUMPRODUCT((calc_state=$A81)*_calc!$CB$4:$CB$72*_calc!$CI$4:$CI$72)=0,"—",SUMPRODUCT((calc_state=$A81)*_calc!$CB$4:$CB$72*_calc!$CI$4:$CI$72*_calc!$BP$4:$BP$72)/SUMPRODUCT((calc_state=$A81)*_calc!$CB$4:$CB$72*_calc!$CI$4:$CI$72)),IF($P$18=0,"",IF(INDEX(_calc!$O:$O,$P$18)=0,"—",INDEX(_calc!$O:$O,$P$18+32)/INDEX(_calc!$O:$O,$P$18+20)-1))))</f>
        <v>1.7644357431174873E-2</v>
      </c>
      <c r="H81" s="167">
        <f>IF($A81="","",IF(pf_BU="All",IF(SUMPRODUCT((calc_state=$A81)*_calc!$CC$4:$CC$72*_calc!$CI$4:$CI$72)=0,"—",SUMPRODUCT((calc_state=$A81)*_calc!$CC$4:$CC$72*_calc!$CI$4:$CI$72*_calc!$BQ$4:$BQ$72)/SUMPRODUCT((calc_state=$A81)*_calc!$CC$4:$CC$72*_calc!$CI$4:$CI$72)),IF($P$18=0,"",IF(INDEX(_calc!$O:$O,$P$18)=0,"—",INDEX(_calc!$O:$O,$P$18+33)/INDEX(_calc!$O:$O,$P$18+21)-1))))</f>
        <v>1.7618381039725906E-2</v>
      </c>
      <c r="I81" s="167">
        <f>IF($A81="","",IF(pf_BU="All",IF(SUMPRODUCT((calc_state=$A81)*_calc!$CD$4:$CD$72*_calc!$CI$4:$CI$72)=0,"—",SUMPRODUCT((calc_state=$A81)*_calc!$CD$4:$CD$72*_calc!$CI$4:$CI$72*_calc!$BR$4:$BR$72)/SUMPRODUCT((calc_state=$A81)*_calc!$CD$4:$CD$72*_calc!$CI$4:$CI$72)),IF($P$18=0,"",IF(INDEX(_calc!$O:$O,$P$18)=0,"—",INDEX(_calc!$O:$O,$P$18+34)/INDEX(_calc!$O:$O,$P$18+22)-1))))</f>
        <v>1.7592057065741296E-2</v>
      </c>
      <c r="J81" s="167">
        <f>IF($A81="","",IF(pf_BU="All",IF(SUMPRODUCT((calc_state=$A81)*_calc!$CE$4:$CE$72*_calc!$CI$4:$CI$72)=0,"—",SUMPRODUCT((calc_state=$A81)*_calc!$CE$4:$CE$72*_calc!$CI$4:$CI$72*_calc!$BS$4:$BS$72)/SUMPRODUCT((calc_state=$A81)*_calc!$CE$4:$CE$72*_calc!$CI$4:$CI$72)),IF($P$18=0,"",IF(INDEX(_calc!$O:$O,$P$18)=0,"—",INDEX(_calc!$O:$O,$P$18+35)/INDEX(_calc!$O:$O,$P$18+23)-1))))</f>
        <v>1.7566234328753261E-2</v>
      </c>
      <c r="K81" s="167">
        <f>IF($A81="","",IF(pf_BU="All",IF(SUMPRODUCT((calc_state=$A81)*_calc!$CF$4:$CF$72*_calc!$CI$4:$CI$72)=0,"—",SUMPRODUCT((calc_state=$A81)*_calc!$CF$4:$CF$72*_calc!$CI$4:$CI$72*_calc!$BT$4:$BT$72)/SUMPRODUCT((calc_state=$A81)*_calc!$CF$4:$CF$72*_calc!$CI$4:$CI$72)),IF($P$18=0,"",IF(INDEX(_calc!$O:$O,$P$18)=0,"—",INDEX(_calc!$O:$O,$P$18+36)/INDEX(_calc!$O:$O,$P$18+24)-1))))</f>
        <v>1.7540487289153583E-2</v>
      </c>
      <c r="L81" s="167">
        <f>IF($A81="","",IF(pf_BU="All",IF(SUMPRODUCT((calc_state=$A81)*_calc!$CG$4:$CG$72*_calc!$CI$4:$CI$72)=0,"—",SUMPRODUCT((calc_state=$A81)*_calc!$CG$4:$CG$72*_calc!$CI$4:$CI$72*_calc!$BU$4:$BU$72)/SUMPRODUCT((calc_state=$A81)*_calc!$CG$4:$CG$72*_calc!$CI$4:$CI$72)),IF($P$18=0,"",IF(INDEX(_calc!$O:$O,$P$18)=0,"—",INDEX(_calc!$O:$O,$P$18+37)/INDEX(_calc!$O:$O,$P$18+25)-1))))</f>
        <v>1.7514815614577905E-2</v>
      </c>
      <c r="M81" s="167">
        <f>IF($A81="","",IF(pf_BU="All",IF(SUMPRODUCT((calc_state=$A81)*_calc!$CH$4:$CH$72*_calc!$CI$4:$CI$72)=0,"—",SUMPRODUCT((calc_state=$A81)*_calc!$CH$4:$CH$72*_calc!$CI$4:$CI$72*_calc!$BV$4:$BV$72)/SUMPRODUCT((calc_state=$A81)*_calc!$CH$4:$CH$72*_calc!$CI$4:$CI$72)),IF($P$18=0,"",IF(INDEX(_calc!$O:$O,$P$18)=0,"—",INDEX(_calc!$O:$O,$P$18+38)/INDEX(_calc!$O:$O,$P$18+26)-1))))</f>
        <v>1.7489218974604537E-2</v>
      </c>
    </row>
    <row r="82" spans="1:13" x14ac:dyDescent="0.3">
      <c r="A82" s="166" t="str">
        <f>_lists!$B$13</f>
        <v>MI</v>
      </c>
      <c r="B82" s="167">
        <f>IF($A82="","",IF(pf_BU="All",IF(SUMPRODUCT((calc_state=$A82)*_calc!$BW$4:$BW$72*_calc!$CI$4:$CI$72)=0,"—",SUMPRODUCT((calc_state=$A82)*_calc!$BW$4:$BW$72*_calc!$CI$4:$CI$72*_calc!$BK$4:$BK$72)/SUMPRODUCT((calc_state=$A82)*_calc!$BW$4:$BW$72*_calc!$CI$4:$CI$72)),IF($P$19=0,"",IF(INDEX(_calc!$O:$O,$P$19)=0,"—",INDEX(_calc!$O:$O,$P$19+27)/INDEX(_calc!$O:$O,$P$19+15)-1))))</f>
        <v>0</v>
      </c>
      <c r="C82" s="167">
        <f>IF($A82="","",IF(pf_BU="All",IF(SUMPRODUCT((calc_state=$A82)*_calc!$BX$4:$BX$72*_calc!$CI$4:$CI$72)=0,"—",SUMPRODUCT((calc_state=$A82)*_calc!$BX$4:$BX$72*_calc!$CI$4:$CI$72*_calc!$BL$4:$BL$72)/SUMPRODUCT((calc_state=$A82)*_calc!$BX$4:$BX$72*_calc!$CI$4:$CI$72)),IF($P$19=0,"",IF(INDEX(_calc!$O:$O,$P$19)=0,"—",INDEX(_calc!$O:$O,$P$19+28)/INDEX(_calc!$O:$O,$P$19+16)-1))))</f>
        <v>0</v>
      </c>
      <c r="D82" s="167">
        <f>IF($A82="","",IF(pf_BU="All",IF(SUMPRODUCT((calc_state=$A82)*_calc!$BY$4:$BY$72*_calc!$CI$4:$CI$72)=0,"—",SUMPRODUCT((calc_state=$A82)*_calc!$BY$4:$BY$72*_calc!$CI$4:$CI$72*_calc!$BM$4:$BM$72)/SUMPRODUCT((calc_state=$A82)*_calc!$BY$4:$BY$72*_calc!$CI$4:$CI$72)),IF($P$19=0,"",IF(INDEX(_calc!$O:$O,$P$19)=0,"—",INDEX(_calc!$O:$O,$P$19+29)/INDEX(_calc!$O:$O,$P$19+17)-1))))</f>
        <v>0</v>
      </c>
      <c r="E82" s="167">
        <f>IF($A82="","",IF(pf_BU="All",IF(SUMPRODUCT((calc_state=$A82)*_calc!$BZ$4:$BZ$72*_calc!$CI$4:$CI$72)=0,"—",SUMPRODUCT((calc_state=$A82)*_calc!$BZ$4:$BZ$72*_calc!$CI$4:$CI$72*_calc!$BN$4:$BN$72)/SUMPRODUCT((calc_state=$A82)*_calc!$BZ$4:$BZ$72*_calc!$CI$4:$CI$72)),IF($P$19=0,"",IF(INDEX(_calc!$O:$O,$P$19)=0,"—",INDEX(_calc!$O:$O,$P$19+30)/INDEX(_calc!$O:$O,$P$19+18)-1))))</f>
        <v>0</v>
      </c>
      <c r="F82" s="167">
        <f>IF($A82="","",IF(pf_BU="All",IF(SUMPRODUCT((calc_state=$A82)*_calc!$CA$4:$CA$72*_calc!$CI$4:$CI$72)=0,"—",SUMPRODUCT((calc_state=$A82)*_calc!$CA$4:$CA$72*_calc!$CI$4:$CI$72*_calc!$BO$4:$BO$72)/SUMPRODUCT((calc_state=$A82)*_calc!$CA$4:$CA$72*_calc!$CI$4:$CI$72)),IF($P$19=0,"",IF(INDEX(_calc!$O:$O,$P$19)=0,"—",INDEX(_calc!$O:$O,$P$19+31)/INDEX(_calc!$O:$O,$P$19+19)-1))))</f>
        <v>0</v>
      </c>
      <c r="G82" s="167">
        <f>IF($A82="","",IF(pf_BU="All",IF(SUMPRODUCT((calc_state=$A82)*_calc!$CB$4:$CB$72*_calc!$CI$4:$CI$72)=0,"—",SUMPRODUCT((calc_state=$A82)*_calc!$CB$4:$CB$72*_calc!$CI$4:$CI$72*_calc!$BP$4:$BP$72)/SUMPRODUCT((calc_state=$A82)*_calc!$CB$4:$CB$72*_calc!$CI$4:$CI$72)),IF($P$19=0,"",IF(INDEX(_calc!$O:$O,$P$19)=0,"—",INDEX(_calc!$O:$O,$P$19+32)/INDEX(_calc!$O:$O,$P$19+20)-1))))</f>
        <v>0</v>
      </c>
      <c r="H82" s="167">
        <f>IF($A82="","",IF(pf_BU="All",IF(SUMPRODUCT((calc_state=$A82)*_calc!$CC$4:$CC$72*_calc!$CI$4:$CI$72)=0,"—",SUMPRODUCT((calc_state=$A82)*_calc!$CC$4:$CC$72*_calc!$CI$4:$CI$72*_calc!$BQ$4:$BQ$72)/SUMPRODUCT((calc_state=$A82)*_calc!$CC$4:$CC$72*_calc!$CI$4:$CI$72)),IF($P$19=0,"",IF(INDEX(_calc!$O:$O,$P$19)=0,"—",INDEX(_calc!$O:$O,$P$19+33)/INDEX(_calc!$O:$O,$P$19+21)-1))))</f>
        <v>0</v>
      </c>
      <c r="I82" s="167">
        <f>IF($A82="","",IF(pf_BU="All",IF(SUMPRODUCT((calc_state=$A82)*_calc!$CD$4:$CD$72*_calc!$CI$4:$CI$72)=0,"—",SUMPRODUCT((calc_state=$A82)*_calc!$CD$4:$CD$72*_calc!$CI$4:$CI$72*_calc!$BR$4:$BR$72)/SUMPRODUCT((calc_state=$A82)*_calc!$CD$4:$CD$72*_calc!$CI$4:$CI$72)),IF($P$19=0,"",IF(INDEX(_calc!$O:$O,$P$19)=0,"—",INDEX(_calc!$O:$O,$P$19+34)/INDEX(_calc!$O:$O,$P$19+22)-1))))</f>
        <v>0</v>
      </c>
      <c r="J82" s="167">
        <f>IF($A82="","",IF(pf_BU="All",IF(SUMPRODUCT((calc_state=$A82)*_calc!$CE$4:$CE$72*_calc!$CI$4:$CI$72)=0,"—",SUMPRODUCT((calc_state=$A82)*_calc!$CE$4:$CE$72*_calc!$CI$4:$CI$72*_calc!$BS$4:$BS$72)/SUMPRODUCT((calc_state=$A82)*_calc!$CE$4:$CE$72*_calc!$CI$4:$CI$72)),IF($P$19=0,"",IF(INDEX(_calc!$O:$O,$P$19)=0,"—",INDEX(_calc!$O:$O,$P$19+35)/INDEX(_calc!$O:$O,$P$19+23)-1))))</f>
        <v>0</v>
      </c>
      <c r="K82" s="167">
        <f>IF($A82="","",IF(pf_BU="All",IF(SUMPRODUCT((calc_state=$A82)*_calc!$CF$4:$CF$72*_calc!$CI$4:$CI$72)=0,"—",SUMPRODUCT((calc_state=$A82)*_calc!$CF$4:$CF$72*_calc!$CI$4:$CI$72*_calc!$BT$4:$BT$72)/SUMPRODUCT((calc_state=$A82)*_calc!$CF$4:$CF$72*_calc!$CI$4:$CI$72)),IF($P$19=0,"",IF(INDEX(_calc!$O:$O,$P$19)=0,"—",INDEX(_calc!$O:$O,$P$19+36)/INDEX(_calc!$O:$O,$P$19+24)-1))))</f>
        <v>0</v>
      </c>
      <c r="L82" s="167">
        <f>IF($A82="","",IF(pf_BU="All",IF(SUMPRODUCT((calc_state=$A82)*_calc!$CG$4:$CG$72*_calc!$CI$4:$CI$72)=0,"—",SUMPRODUCT((calc_state=$A82)*_calc!$CG$4:$CG$72*_calc!$CI$4:$CI$72*_calc!$BU$4:$BU$72)/SUMPRODUCT((calc_state=$A82)*_calc!$CG$4:$CG$72*_calc!$CI$4:$CI$72)),IF($P$19=0,"",IF(INDEX(_calc!$O:$O,$P$19)=0,"—",INDEX(_calc!$O:$O,$P$19+37)/INDEX(_calc!$O:$O,$P$19+25)-1))))</f>
        <v>0</v>
      </c>
      <c r="M82" s="167">
        <f>IF($A82="","",IF(pf_BU="All",IF(SUMPRODUCT((calc_state=$A82)*_calc!$CH$4:$CH$72*_calc!$CI$4:$CI$72)=0,"—",SUMPRODUCT((calc_state=$A82)*_calc!$CH$4:$CH$72*_calc!$CI$4:$CI$72*_calc!$BV$4:$BV$72)/SUMPRODUCT((calc_state=$A82)*_calc!$CH$4:$CH$72*_calc!$CI$4:$CI$72)),IF($P$19=0,"",IF(INDEX(_calc!$O:$O,$P$19)=0,"—",INDEX(_calc!$O:$O,$P$19+38)/INDEX(_calc!$O:$O,$P$19+26)-1))))</f>
        <v>0</v>
      </c>
    </row>
    <row r="83" spans="1:13" x14ac:dyDescent="0.3">
      <c r="A83" s="166" t="str">
        <f>_lists!$B$14</f>
        <v>MN</v>
      </c>
      <c r="B83" s="167">
        <f>IF($A83="","",IF(pf_BU="All",IF(SUMPRODUCT((calc_state=$A83)*_calc!$BW$4:$BW$72*_calc!$CI$4:$CI$72)=0,"—",SUMPRODUCT((calc_state=$A83)*_calc!$BW$4:$BW$72*_calc!$CI$4:$CI$72*_calc!$BK$4:$BK$72)/SUMPRODUCT((calc_state=$A83)*_calc!$BW$4:$BW$72*_calc!$CI$4:$CI$72)),IF($P$20=0,"",IF(INDEX(_calc!$O:$O,$P$20)=0,"—",INDEX(_calc!$O:$O,$P$20+27)/INDEX(_calc!$O:$O,$P$20+15)-1))))</f>
        <v>1.3288593047456665E-2</v>
      </c>
      <c r="C83" s="167">
        <f>IF($A83="","",IF(pf_BU="All",IF(SUMPRODUCT((calc_state=$A83)*_calc!$BX$4:$BX$72*_calc!$CI$4:$CI$72)=0,"—",SUMPRODUCT((calc_state=$A83)*_calc!$BX$4:$BX$72*_calc!$CI$4:$CI$72*_calc!$BL$4:$BL$72)/SUMPRODUCT((calc_state=$A83)*_calc!$BX$4:$BX$72*_calc!$CI$4:$CI$72)),IF($P$20=0,"",IF(INDEX(_calc!$O:$O,$P$20)=0,"—",INDEX(_calc!$O:$O,$P$20+28)/INDEX(_calc!$O:$O,$P$20+16)-1))))</f>
        <v>1.3274336283185972E-2</v>
      </c>
      <c r="D83" s="167">
        <f>IF($A83="","",IF(pf_BU="All",IF(SUMPRODUCT((calc_state=$A83)*_calc!$BY$4:$BY$72*_calc!$CI$4:$CI$72)=0,"—",SUMPRODUCT((calc_state=$A83)*_calc!$BY$4:$BY$72*_calc!$CI$4:$CI$72*_calc!$BM$4:$BM$72)/SUMPRODUCT((calc_state=$A83)*_calc!$BY$4:$BY$72*_calc!$CI$4:$CI$72)),IF($P$20=0,"",IF(INDEX(_calc!$O:$O,$P$20)=0,"—",INDEX(_calc!$O:$O,$P$20+29)/INDEX(_calc!$O:$O,$P$20+17)-1))))</f>
        <v>1.3260110077078169E-2</v>
      </c>
      <c r="E83" s="167">
        <f>IF($A83="","",IF(pf_BU="All",IF(SUMPRODUCT((calc_state=$A83)*_calc!$BZ$4:$BZ$72*_calc!$CI$4:$CI$72)=0,"—",SUMPRODUCT((calc_state=$A83)*_calc!$BZ$4:$BZ$72*_calc!$CI$4:$CI$72*_calc!$BN$4:$BN$72)/SUMPRODUCT((calc_state=$A83)*_calc!$BZ$4:$BZ$72*_calc!$CI$4:$CI$72)),IF($P$20=0,"",IF(INDEX(_calc!$O:$O,$P$20)=0,"—",INDEX(_calc!$O:$O,$P$20+30)/INDEX(_calc!$O:$O,$P$20+18)-1))))</f>
        <v>1.3245433651869032E-2</v>
      </c>
      <c r="F83" s="167">
        <f>IF($A83="","",IF(pf_BU="All",IF(SUMPRODUCT((calc_state=$A83)*_calc!$CA$4:$CA$72*_calc!$CI$4:$CI$72)=0,"—",SUMPRODUCT((calc_state=$A83)*_calc!$CA$4:$CA$72*_calc!$CI$4:$CI$72*_calc!$BO$4:$BO$72)/SUMPRODUCT((calc_state=$A83)*_calc!$CA$4:$CA$72*_calc!$CI$4:$CI$72)),IF($P$20=0,"",IF(INDEX(_calc!$O:$O,$P$20)=0,"—",INDEX(_calc!$O:$O,$P$20+31)/INDEX(_calc!$O:$O,$P$20+19)-1))))</f>
        <v>1.3230789678775778E-2</v>
      </c>
      <c r="G83" s="167">
        <f>IF($A83="","",IF(pf_BU="All",IF(SUMPRODUCT((calc_state=$A83)*_calc!$CB$4:$CB$72*_calc!$CI$4:$CI$72)=0,"—",SUMPRODUCT((calc_state=$A83)*_calc!$CB$4:$CB$72*_calc!$CI$4:$CI$72*_calc!$BP$4:$BP$72)/SUMPRODUCT((calc_state=$A83)*_calc!$CB$4:$CB$72*_calc!$CI$4:$CI$72)),IF($P$20=0,"",IF(INDEX(_calc!$O:$O,$P$20)=0,"—",INDEX(_calc!$O:$O,$P$20+32)/INDEX(_calc!$O:$O,$P$20+20)-1))))</f>
        <v>1.3216178050281746E-2</v>
      </c>
      <c r="H83" s="167">
        <f>IF($A83="","",IF(pf_BU="All",IF(SUMPRODUCT((calc_state=$A83)*_calc!$CC$4:$CC$72*_calc!$CI$4:$CI$72)=0,"—",SUMPRODUCT((calc_state=$A83)*_calc!$CC$4:$CC$72*_calc!$CI$4:$CI$72*_calc!$BQ$4:$BQ$72)/SUMPRODUCT((calc_state=$A83)*_calc!$CC$4:$CC$72*_calc!$CI$4:$CI$72)),IF($P$20=0,"",IF(INDEX(_calc!$O:$O,$P$20)=0,"—",INDEX(_calc!$O:$O,$P$20+33)/INDEX(_calc!$O:$O,$P$20+21)-1))))</f>
        <v>1.320159865934456E-2</v>
      </c>
      <c r="I83" s="167">
        <f>IF($A83="","",IF(pf_BU="All",IF(SUMPRODUCT((calc_state=$A83)*_calc!$CD$4:$CD$72*_calc!$CI$4:$CI$72)=0,"—",SUMPRODUCT((calc_state=$A83)*_calc!$CD$4:$CD$72*_calc!$CI$4:$CI$72*_calc!$BR$4:$BR$72)/SUMPRODUCT((calc_state=$A83)*_calc!$CD$4:$CD$72*_calc!$CI$4:$CI$72)),IF($P$20=0,"",IF(INDEX(_calc!$O:$O,$P$20)=0,"—",INDEX(_calc!$O:$O,$P$20+34)/INDEX(_calc!$O:$O,$P$20+22)-1))))</f>
        <v>1.3186813186813362E-2</v>
      </c>
      <c r="J83" s="167">
        <f>IF($A83="","",IF(pf_BU="All",IF(SUMPRODUCT((calc_state=$A83)*_calc!$CE$4:$CE$72*_calc!$CI$4:$CI$72)=0,"—",SUMPRODUCT((calc_state=$A83)*_calc!$CE$4:$CE$72*_calc!$CI$4:$CI$72*_calc!$BS$4:$BS$72)/SUMPRODUCT((calc_state=$A83)*_calc!$CE$4:$CE$72*_calc!$CI$4:$CI$72)),IF($P$20=0,"",IF(INDEX(_calc!$O:$O,$P$20)=0,"—",INDEX(_calc!$O:$O,$P$20+35)/INDEX(_calc!$O:$O,$P$20+23)-1))))</f>
        <v>1.3172298475862876E-2</v>
      </c>
      <c r="K83" s="167">
        <f>IF($A83="","",IF(pf_BU="All",IF(SUMPRODUCT((calc_state=$A83)*_calc!$CF$4:$CF$72*_calc!$CI$4:$CI$72)=0,"—",SUMPRODUCT((calc_state=$A83)*_calc!$CF$4:$CF$72*_calc!$CI$4:$CI$72*_calc!$BT$4:$BT$72)/SUMPRODUCT((calc_state=$A83)*_calc!$CF$4:$CF$72*_calc!$CI$4:$CI$72)),IF($P$20=0,"",IF(INDEX(_calc!$O:$O,$P$20)=0,"—",INDEX(_calc!$O:$O,$P$20+36)/INDEX(_calc!$O:$O,$P$20+24)-1))))</f>
        <v>1.3157815682433904E-2</v>
      </c>
      <c r="L83" s="167">
        <f>IF($A83="","",IF(pf_BU="All",IF(SUMPRODUCT((calc_state=$A83)*_calc!$CG$4:$CG$72*_calc!$CI$4:$CI$72)=0,"—",SUMPRODUCT((calc_state=$A83)*_calc!$CG$4:$CG$72*_calc!$CI$4:$CI$72*_calc!$BU$4:$BU$72)/SUMPRODUCT((calc_state=$A83)*_calc!$CG$4:$CG$72*_calc!$CI$4:$CI$72)),IF($P$20=0,"",IF(INDEX(_calc!$O:$O,$P$20)=0,"—",INDEX(_calc!$O:$O,$P$20+37)/INDEX(_calc!$O:$O,$P$20+25)-1))))</f>
        <v>1.3143364701363458E-2</v>
      </c>
      <c r="M83" s="167">
        <f>IF($A83="","",IF(pf_BU="All",IF(SUMPRODUCT((calc_state=$A83)*_calc!$CH$4:$CH$72*_calc!$CI$4:$CI$72)=0,"—",SUMPRODUCT((calc_state=$A83)*_calc!$CH$4:$CH$72*_calc!$CI$4:$CI$72*_calc!$BV$4:$BV$72)/SUMPRODUCT((calc_state=$A83)*_calc!$CH$4:$CH$72*_calc!$CI$4:$CI$72)),IF($P$20=0,"",IF(INDEX(_calc!$O:$O,$P$20)=0,"—",INDEX(_calc!$O:$O,$P$20+38)/INDEX(_calc!$O:$O,$P$20+26)-1))))</f>
        <v>1.3128945427949512E-2</v>
      </c>
    </row>
    <row r="84" spans="1:13" x14ac:dyDescent="0.3">
      <c r="A84" s="166" t="str">
        <f>_lists!$B$15</f>
        <v>NM</v>
      </c>
      <c r="B84" s="167">
        <f>IF($A84="","",IF(pf_BU="All",IF(SUMPRODUCT((calc_state=$A84)*_calc!$BW$4:$BW$72*_calc!$CI$4:$CI$72)=0,"—",SUMPRODUCT((calc_state=$A84)*_calc!$BW$4:$BW$72*_calc!$CI$4:$CI$72*_calc!$BK$4:$BK$72)/SUMPRODUCT((calc_state=$A84)*_calc!$BW$4:$BW$72*_calc!$CI$4:$CI$72)),IF($P$21=0,"",IF(INDEX(_calc!$O:$O,$P$21)=0,"—",INDEX(_calc!$O:$O,$P$21+27)/INDEX(_calc!$O:$O,$P$21+15)-1))))</f>
        <v>-4.3748464309043555E-3</v>
      </c>
      <c r="C84" s="167">
        <f>IF($A84="","",IF(pf_BU="All",IF(SUMPRODUCT((calc_state=$A84)*_calc!$BX$4:$BX$72*_calc!$CI$4:$CI$72)=0,"—",SUMPRODUCT((calc_state=$A84)*_calc!$BX$4:$BX$72*_calc!$CI$4:$CI$72*_calc!$BL$4:$BL$72)/SUMPRODUCT((calc_state=$A84)*_calc!$BX$4:$BX$72*_calc!$CI$4:$CI$72)),IF($P$21=0,"",IF(INDEX(_calc!$O:$O,$P$21)=0,"—",INDEX(_calc!$O:$O,$P$21+28)/INDEX(_calc!$O:$O,$P$21+16)-1))))</f>
        <v>-4.3763938514663758E-3</v>
      </c>
      <c r="D84" s="167">
        <f>IF($A84="","",IF(pf_BU="All",IF(SUMPRODUCT((calc_state=$A84)*_calc!$BY$4:$BY$72*_calc!$CI$4:$CI$72)=0,"—",SUMPRODUCT((calc_state=$A84)*_calc!$BY$4:$BY$72*_calc!$CI$4:$CI$72*_calc!$BM$4:$BM$72)/SUMPRODUCT((calc_state=$A84)*_calc!$BY$4:$BY$72*_calc!$CI$4:$CI$72)),IF($P$21=0,"",IF(INDEX(_calc!$O:$O,$P$21)=0,"—",INDEX(_calc!$O:$O,$P$21+29)/INDEX(_calc!$O:$O,$P$21+17)-1))))</f>
        <v>-4.3779423670874396E-3</v>
      </c>
      <c r="E84" s="167">
        <f>IF($A84="","",IF(pf_BU="All",IF(SUMPRODUCT((calc_state=$A84)*_calc!$BZ$4:$BZ$72*_calc!$CI$4:$CI$72)=0,"—",SUMPRODUCT((calc_state=$A84)*_calc!$BZ$4:$BZ$72*_calc!$CI$4:$CI$72*_calc!$BN$4:$BN$72)/SUMPRODUCT((calc_state=$A84)*_calc!$BZ$4:$BZ$72*_calc!$CI$4:$CI$72)),IF($P$21=0,"",IF(INDEX(_calc!$O:$O,$P$21)=0,"—",INDEX(_calc!$O:$O,$P$21+30)/INDEX(_calc!$O:$O,$P$21+18)-1))))</f>
        <v>-4.3795445273691058E-3</v>
      </c>
      <c r="F84" s="167">
        <f>IF($A84="","",IF(pf_BU="All",IF(SUMPRODUCT((calc_state=$A84)*_calc!$CA$4:$CA$72*_calc!$CI$4:$CI$72)=0,"—",SUMPRODUCT((calc_state=$A84)*_calc!$CA$4:$CA$72*_calc!$CI$4:$CI$72*_calc!$BO$4:$BO$72)/SUMPRODUCT((calc_state=$A84)*_calc!$CA$4:$CA$72*_calc!$CI$4:$CI$72)),IF($P$21=0,"",IF(INDEX(_calc!$O:$O,$P$21)=0,"—",INDEX(_calc!$O:$O,$P$21+31)/INDEX(_calc!$O:$O,$P$21+19)-1))))</f>
        <v>-4.3811478607395093E-3</v>
      </c>
      <c r="G84" s="167">
        <f>IF($A84="","",IF(pf_BU="All",IF(SUMPRODUCT((calc_state=$A84)*_calc!$CB$4:$CB$72*_calc!$CI$4:$CI$72)=0,"—",SUMPRODUCT((calc_state=$A84)*_calc!$CB$4:$CB$72*_calc!$CI$4:$CI$72*_calc!$BP$4:$BP$72)/SUMPRODUCT((calc_state=$A84)*_calc!$CB$4:$CB$72*_calc!$CI$4:$CI$72)),IF($P$21=0,"",IF(INDEX(_calc!$O:$O,$P$21)=0,"—",INDEX(_calc!$O:$O,$P$21+32)/INDEX(_calc!$O:$O,$P$21+20)-1))))</f>
        <v>-4.382752368487397E-3</v>
      </c>
      <c r="H84" s="167">
        <f>IF($A84="","",IF(pf_BU="All",IF(SUMPRODUCT((calc_state=$A84)*_calc!$CC$4:$CC$72*_calc!$CI$4:$CI$72)=0,"—",SUMPRODUCT((calc_state=$A84)*_calc!$CC$4:$CC$72*_calc!$CI$4:$CI$72*_calc!$BQ$4:$BQ$72)/SUMPRODUCT((calc_state=$A84)*_calc!$CC$4:$CC$72*_calc!$CI$4:$CI$72)),IF($P$21=0,"",IF(INDEX(_calc!$O:$O,$P$21)=0,"—",INDEX(_calc!$O:$O,$P$21+33)/INDEX(_calc!$O:$O,$P$21+21)-1))))</f>
        <v>-4.3843580519036252E-3</v>
      </c>
      <c r="I84" s="167">
        <f>IF($A84="","",IF(pf_BU="All",IF(SUMPRODUCT((calc_state=$A84)*_calc!$CD$4:$CD$72*_calc!$CI$4:$CI$72)=0,"—",SUMPRODUCT((calc_state=$A84)*_calc!$CD$4:$CD$72*_calc!$CI$4:$CI$72*_calc!$BR$4:$BR$72)/SUMPRODUCT((calc_state=$A84)*_calc!$CD$4:$CD$72*_calc!$CI$4:$CI$72)),IF($P$21=0,"",IF(INDEX(_calc!$O:$O,$P$21)=0,"—",INDEX(_calc!$O:$O,$P$21+34)/INDEX(_calc!$O:$O,$P$21+22)-1))))</f>
        <v>-4.3859912640666909E-3</v>
      </c>
      <c r="J84" s="167">
        <f>IF($A84="","",IF(pf_BU="All",IF(SUMPRODUCT((calc_state=$A84)*_calc!$CE$4:$CE$72*_calc!$CI$4:$CI$72)=0,"—",SUMPRODUCT((calc_state=$A84)*_calc!$CE$4:$CE$72*_calc!$CI$4:$CI$72*_calc!$BS$4:$BS$72)/SUMPRODUCT((calc_state=$A84)*_calc!$CE$4:$CE$72*_calc!$CI$4:$CI$72)),IF($P$21=0,"",IF(INDEX(_calc!$O:$O,$P$21)=0,"—",INDEX(_calc!$O:$O,$P$21+35)/INDEX(_calc!$O:$O,$P$21+23)-1))))</f>
        <v>-4.3875993220258147E-3</v>
      </c>
      <c r="K84" s="167">
        <f>IF($A84="","",IF(pf_BU="All",IF(SUMPRODUCT((calc_state=$A84)*_calc!$CF$4:$CF$72*_calc!$CI$4:$CI$72)=0,"—",SUMPRODUCT((calc_state=$A84)*_calc!$CF$4:$CF$72*_calc!$CI$4:$CI$72*_calc!$BT$4:$BT$72)/SUMPRODUCT((calc_state=$A84)*_calc!$CF$4:$CF$72*_calc!$CI$4:$CI$72)),IF($P$21=0,"",IF(INDEX(_calc!$O:$O,$P$21)=0,"—",INDEX(_calc!$O:$O,$P$21+36)/INDEX(_calc!$O:$O,$P$21+24)-1))))</f>
        <v>-4.3892085595579333E-3</v>
      </c>
      <c r="L84" s="167">
        <f>IF($A84="","",IF(pf_BU="All",IF(SUMPRODUCT((calc_state=$A84)*_calc!$CG$4:$CG$72*_calc!$CI$4:$CI$72)=0,"—",SUMPRODUCT((calc_state=$A84)*_calc!$CG$4:$CG$72*_calc!$CI$4:$CI$72*_calc!$BU$4:$BU$72)/SUMPRODUCT((calc_state=$A84)*_calc!$CG$4:$CG$72*_calc!$CI$4:$CI$72)),IF($P$21=0,"",IF(INDEX(_calc!$O:$O,$P$21)=0,"—",INDEX(_calc!$O:$O,$P$21+37)/INDEX(_calc!$O:$O,$P$21+25)-1))))</f>
        <v>-4.3908189779616746E-3</v>
      </c>
      <c r="M84" s="167">
        <f>IF($A84="","",IF(pf_BU="All",IF(SUMPRODUCT((calc_state=$A84)*_calc!$CH$4:$CH$72*_calc!$CI$4:$CI$72)=0,"—",SUMPRODUCT((calc_state=$A84)*_calc!$CH$4:$CH$72*_calc!$CI$4:$CI$72*_calc!$BV$4:$BV$72)/SUMPRODUCT((calc_state=$A84)*_calc!$CH$4:$CH$72*_calc!$CI$4:$CI$72)),IF($P$21=0,"",IF(INDEX(_calc!$O:$O,$P$21)=0,"—",INDEX(_calc!$O:$O,$P$21+38)/INDEX(_calc!$O:$O,$P$21+26)-1))))</f>
        <v>-4.3924305785372209E-3</v>
      </c>
    </row>
    <row r="85" spans="1:13" x14ac:dyDescent="0.3">
      <c r="A85" s="166" t="str">
        <f>_lists!$B$16</f>
        <v>NC</v>
      </c>
      <c r="B85" s="167">
        <f>IF($A85="","",IF(pf_BU="All",IF(SUMPRODUCT((calc_state=$A85)*_calc!$BW$4:$BW$72*_calc!$CI$4:$CI$72)=0,"—",SUMPRODUCT((calc_state=$A85)*_calc!$BW$4:$BW$72*_calc!$CI$4:$CI$72*_calc!$BK$4:$BK$72)/SUMPRODUCT((calc_state=$A85)*_calc!$BW$4:$BW$72*_calc!$CI$4:$CI$72)),IF($P$22=0,"",IF(INDEX(_calc!$O:$O,$P$22)=0,"—",INDEX(_calc!$O:$O,$P$22+27)/INDEX(_calc!$O:$O,$P$22+15)-1))))</f>
        <v>8.8314642083742179E-3</v>
      </c>
      <c r="C85" s="167">
        <f>IF($A85="","",IF(pf_BU="All",IF(SUMPRODUCT((calc_state=$A85)*_calc!$BX$4:$BX$72*_calc!$CI$4:$CI$72)=0,"—",SUMPRODUCT((calc_state=$A85)*_calc!$BX$4:$BX$72*_calc!$CI$4:$CI$72*_calc!$BL$4:$BL$72)/SUMPRODUCT((calc_state=$A85)*_calc!$BX$4:$BX$72*_calc!$CI$4:$CI$72)),IF($P$22=0,"",IF(INDEX(_calc!$O:$O,$P$22)=0,"—",INDEX(_calc!$O:$O,$P$22+28)/INDEX(_calc!$O:$O,$P$22+16)-1))))</f>
        <v>8.8251650184965058E-3</v>
      </c>
      <c r="D85" s="167">
        <f>IF($A85="","",IF(pf_BU="All",IF(SUMPRODUCT((calc_state=$A85)*_calc!$BY$4:$BY$72*_calc!$CI$4:$CI$72)=0,"—",SUMPRODUCT((calc_state=$A85)*_calc!$BY$4:$BY$72*_calc!$CI$4:$CI$72*_calc!$BM$4:$BM$72)/SUMPRODUCT((calc_state=$A85)*_calc!$BY$4:$BY$72*_calc!$CI$4:$CI$72)),IF($P$22=0,"",IF(INDEX(_calc!$O:$O,$P$22)=0,"—",INDEX(_calc!$O:$O,$P$22+29)/INDEX(_calc!$O:$O,$P$22+17)-1))))</f>
        <v>8.8188748082196344E-3</v>
      </c>
      <c r="E85" s="167">
        <f>IF($A85="","",IF(pf_BU="All",IF(SUMPRODUCT((calc_state=$A85)*_calc!$BZ$4:$BZ$72*_calc!$CI$4:$CI$72)=0,"—",SUMPRODUCT((calc_state=$A85)*_calc!$BZ$4:$BZ$72*_calc!$CI$4:$CI$72*_calc!$BN$4:$BN$72)/SUMPRODUCT((calc_state=$A85)*_calc!$BZ$4:$BZ$72*_calc!$CI$4:$CI$72)),IF($P$22=0,"",IF(INDEX(_calc!$O:$O,$P$22)=0,"—",INDEX(_calc!$O:$O,$P$22+30)/INDEX(_calc!$O:$O,$P$22+18)-1))))</f>
        <v>8.8123807914242125E-3</v>
      </c>
      <c r="F85" s="167">
        <f>IF($A85="","",IF(pf_BU="All",IF(SUMPRODUCT((calc_state=$A85)*_calc!$CA$4:$CA$72*_calc!$CI$4:$CI$72)=0,"—",SUMPRODUCT((calc_state=$A85)*_calc!$CA$4:$CA$72*_calc!$CI$4:$CI$72*_calc!$BO$4:$BO$72)/SUMPRODUCT((calc_state=$A85)*_calc!$CA$4:$CA$72*_calc!$CI$4:$CI$72)),IF($P$22=0,"",IF(INDEX(_calc!$O:$O,$P$22)=0,"—",INDEX(_calc!$O:$O,$P$22+31)/INDEX(_calc!$O:$O,$P$22+19)-1))))</f>
        <v>8.8058963316806071E-3</v>
      </c>
      <c r="G85" s="167">
        <f>IF($A85="","",IF(pf_BU="All",IF(SUMPRODUCT((calc_state=$A85)*_calc!$CB$4:$CB$72*_calc!$CI$4:$CI$72)=0,"—",SUMPRODUCT((calc_state=$A85)*_calc!$CB$4:$CB$72*_calc!$CI$4:$CI$72*_calc!$BP$4:$BP$72)/SUMPRODUCT((calc_state=$A85)*_calc!$CB$4:$CB$72*_calc!$CI$4:$CI$72)),IF($P$22=0,"",IF(INDEX(_calc!$O:$O,$P$22)=0,"—",INDEX(_calc!$O:$O,$P$22+32)/INDEX(_calc!$O:$O,$P$22+20)-1))))</f>
        <v>8.7994214079074595E-3</v>
      </c>
      <c r="H85" s="167">
        <f>IF($A85="","",IF(pf_BU="All",IF(SUMPRODUCT((calc_state=$A85)*_calc!$CC$4:$CC$72*_calc!$CI$4:$CI$72)=0,"—",SUMPRODUCT((calc_state=$A85)*_calc!$CC$4:$CC$72*_calc!$CI$4:$CI$72*_calc!$BQ$4:$BQ$72)/SUMPRODUCT((calc_state=$A85)*_calc!$CC$4:$CC$72*_calc!$CI$4:$CI$72)),IF($P$22=0,"",IF(INDEX(_calc!$O:$O,$P$22)=0,"—",INDEX(_calc!$O:$O,$P$22+33)/INDEX(_calc!$O:$O,$P$22+21)-1))))</f>
        <v>8.792955999084473E-3</v>
      </c>
      <c r="I85" s="167">
        <f>IF($A85="","",IF(pf_BU="All",IF(SUMPRODUCT((calc_state=$A85)*_calc!$CD$4:$CD$72*_calc!$CI$4:$CI$72)=0,"—",SUMPRODUCT((calc_state=$A85)*_calc!$CD$4:$CD$72*_calc!$CI$4:$CI$72*_calc!$BR$4:$BR$72)/SUMPRODUCT((calc_state=$A85)*_calc!$CD$4:$CD$72*_calc!$CI$4:$CI$72)),IF($P$22=0,"",IF(INDEX(_calc!$O:$O,$P$22)=0,"—",INDEX(_calc!$O:$O,$P$22+34)/INDEX(_calc!$O:$O,$P$22+22)-1))))</f>
        <v>8.7863943285630963E-3</v>
      </c>
      <c r="J85" s="167">
        <f>IF($A85="","",IF(pf_BU="All",IF(SUMPRODUCT((calc_state=$A85)*_calc!$CE$4:$CE$72*_calc!$CI$4:$CI$72)=0,"—",SUMPRODUCT((calc_state=$A85)*_calc!$CE$4:$CE$72*_calc!$CI$4:$CI$72*_calc!$BS$4:$BS$72)/SUMPRODUCT((calc_state=$A85)*_calc!$CE$4:$CE$72*_calc!$CI$4:$CI$72)),IF($P$22=0,"",IF(INDEX(_calc!$O:$O,$P$22)=0,"—",INDEX(_calc!$O:$O,$P$22+35)/INDEX(_calc!$O:$O,$P$22+23)-1))))</f>
        <v>8.7799480419512577E-3</v>
      </c>
      <c r="K85" s="167">
        <f>IF($A85="","",IF(pf_BU="All",IF(SUMPRODUCT((calc_state=$A85)*_calc!$CF$4:$CF$72*_calc!$CI$4:$CI$72)=0,"—",SUMPRODUCT((calc_state=$A85)*_calc!$CF$4:$CF$72*_calc!$CI$4:$CI$72*_calc!$BT$4:$BT$72)/SUMPRODUCT((calc_state=$A85)*_calc!$CF$4:$CF$72*_calc!$CI$4:$CI$72)),IF($P$22=0,"",IF(INDEX(_calc!$O:$O,$P$22)=0,"—",INDEX(_calc!$O:$O,$P$22+36)/INDEX(_calc!$O:$O,$P$22+24)-1))))</f>
        <v>8.7735112072593324E-3</v>
      </c>
      <c r="L85" s="167">
        <f>IF($A85="","",IF(pf_BU="All",IF(SUMPRODUCT((calc_state=$A85)*_calc!$CG$4:$CG$72*_calc!$CI$4:$CI$72)=0,"—",SUMPRODUCT((calc_state=$A85)*_calc!$CG$4:$CG$72*_calc!$CI$4:$CI$72*_calc!$BU$4:$BU$72)/SUMPRODUCT((calc_state=$A85)*_calc!$CG$4:$CG$72*_calc!$CI$4:$CI$72)),IF($P$22=0,"",IF(INDEX(_calc!$O:$O,$P$22)=0,"—",INDEX(_calc!$O:$O,$P$22+37)/INDEX(_calc!$O:$O,$P$22+25)-1))))</f>
        <v>8.7670838037132715E-3</v>
      </c>
      <c r="M85" s="167">
        <f>IF($A85="","",IF(pf_BU="All",IF(SUMPRODUCT((calc_state=$A85)*_calc!$CH$4:$CH$72*_calc!$CI$4:$CI$72)=0,"—",SUMPRODUCT((calc_state=$A85)*_calc!$CH$4:$CH$72*_calc!$CI$4:$CI$72*_calc!$BV$4:$BV$72)/SUMPRODUCT((calc_state=$A85)*_calc!$CH$4:$CH$72*_calc!$CI$4:$CI$72)),IF($P$22=0,"",IF(INDEX(_calc!$O:$O,$P$22)=0,"—",INDEX(_calc!$O:$O,$P$22+38)/INDEX(_calc!$O:$O,$P$22+26)-1))))</f>
        <v>8.7606658106016422E-3</v>
      </c>
    </row>
    <row r="86" spans="1:13" x14ac:dyDescent="0.3">
      <c r="A86" s="166" t="str">
        <f>_lists!$B$17</f>
        <v>OH</v>
      </c>
      <c r="B86" s="167">
        <f>IF($A86="","",IF(pf_BU="All",IF(SUMPRODUCT((calc_state=$A86)*_calc!$BW$4:$BW$72*_calc!$CI$4:$CI$72)=0,"—",SUMPRODUCT((calc_state=$A86)*_calc!$BW$4:$BW$72*_calc!$CI$4:$CI$72*_calc!$BK$4:$BK$72)/SUMPRODUCT((calc_state=$A86)*_calc!$BW$4:$BW$72*_calc!$CI$4:$CI$72)),IF($P$23=0,"",IF(INDEX(_calc!$O:$O,$P$23)=0,"—",INDEX(_calc!$O:$O,$P$23+27)/INDEX(_calc!$O:$O,$P$23+15)-1))))</f>
        <v>-8.7227712124651191E-3</v>
      </c>
      <c r="C86" s="167">
        <f>IF($A86="","",IF(pf_BU="All",IF(SUMPRODUCT((calc_state=$A86)*_calc!$BX$4:$BX$72*_calc!$CI$4:$CI$72)=0,"—",SUMPRODUCT((calc_state=$A86)*_calc!$BX$4:$BX$72*_calc!$CI$4:$CI$72*_calc!$BL$4:$BL$72)/SUMPRODUCT((calc_state=$A86)*_calc!$BX$4:$BX$72*_calc!$CI$4:$CI$72)),IF($P$23=0,"",IF(INDEX(_calc!$O:$O,$P$23)=0,"—",INDEX(_calc!$O:$O,$P$23+28)/INDEX(_calc!$O:$O,$P$23+16)-1))))</f>
        <v>-8.7289250269041441E-3</v>
      </c>
      <c r="D86" s="167">
        <f>IF($A86="","",IF(pf_BU="All",IF(SUMPRODUCT((calc_state=$A86)*_calc!$BY$4:$BY$72*_calc!$CI$4:$CI$72)=0,"—",SUMPRODUCT((calc_state=$A86)*_calc!$BY$4:$BY$72*_calc!$CI$4:$CI$72*_calc!$BM$4:$BM$72)/SUMPRODUCT((calc_state=$A86)*_calc!$BY$4:$BY$72*_calc!$CI$4:$CI$72)),IF($P$23=0,"",IF(INDEX(_calc!$O:$O,$P$23)=0,"—",INDEX(_calc!$O:$O,$P$23+29)/INDEX(_calc!$O:$O,$P$23+17)-1))))</f>
        <v>-8.7350875303633391E-3</v>
      </c>
      <c r="E86" s="167">
        <f>IF($A86="","",IF(pf_BU="All",IF(SUMPRODUCT((calc_state=$A86)*_calc!$BZ$4:$BZ$72*_calc!$CI$4:$CI$72)=0,"—",SUMPRODUCT((calc_state=$A86)*_calc!$BZ$4:$BZ$72*_calc!$CI$4:$CI$72*_calc!$BN$4:$BN$72)/SUMPRODUCT((calc_state=$A86)*_calc!$BZ$4:$BZ$72*_calc!$CI$4:$CI$72)),IF($P$23=0,"",IF(INDEX(_calc!$O:$O,$P$23)=0,"—",INDEX(_calc!$O:$O,$P$23+30)/INDEX(_calc!$O:$O,$P$23+18)-1))))</f>
        <v>-8.7414680876541917E-3</v>
      </c>
      <c r="F86" s="167">
        <f>IF($A86="","",IF(pf_BU="All",IF(SUMPRODUCT((calc_state=$A86)*_calc!$CA$4:$CA$72*_calc!$CI$4:$CI$72)=0,"—",SUMPRODUCT((calc_state=$A86)*_calc!$CA$4:$CA$72*_calc!$CI$4:$CI$72*_calc!$BO$4:$BO$72)/SUMPRODUCT((calc_state=$A86)*_calc!$CA$4:$CA$72*_calc!$CI$4:$CI$72)),IF($P$23=0,"",IF(INDEX(_calc!$O:$O,$P$23)=0,"—",INDEX(_calc!$O:$O,$P$23+31)/INDEX(_calc!$O:$O,$P$23+19)-1))))</f>
        <v>-8.7478579731332662E-3</v>
      </c>
      <c r="G86" s="167">
        <f>IF($A86="","",IF(pf_BU="All",IF(SUMPRODUCT((calc_state=$A86)*_calc!$CB$4:$CB$72*_calc!$CI$4:$CI$72)=0,"—",SUMPRODUCT((calc_state=$A86)*_calc!$CB$4:$CB$72*_calc!$CI$4:$CI$72*_calc!$BP$4:$BP$72)/SUMPRODUCT((calc_state=$A86)*_calc!$CB$4:$CB$72*_calc!$CI$4:$CI$72)),IF($P$23=0,"",IF(INDEX(_calc!$O:$O,$P$23)=0,"—",INDEX(_calc!$O:$O,$P$23+32)/INDEX(_calc!$O:$O,$P$23+20)-1))))</f>
        <v>-8.7542572072719649E-3</v>
      </c>
      <c r="H86" s="167">
        <f>IF($A86="","",IF(pf_BU="All",IF(SUMPRODUCT((calc_state=$A86)*_calc!$CC$4:$CC$72*_calc!$CI$4:$CI$72)=0,"—",SUMPRODUCT((calc_state=$A86)*_calc!$CC$4:$CC$72*_calc!$CI$4:$CI$72*_calc!$BQ$4:$BQ$72)/SUMPRODUCT((calc_state=$A86)*_calc!$CC$4:$CC$72*_calc!$CI$4:$CI$72)),IF($P$23=0,"",IF(INDEX(_calc!$O:$O,$P$23)=0,"—",INDEX(_calc!$O:$O,$P$23+33)/INDEX(_calc!$O:$O,$P$23+21)-1))))</f>
        <v>-8.7606658106015312E-3</v>
      </c>
      <c r="I86" s="167">
        <f>IF($A86="","",IF(pf_BU="All",IF(SUMPRODUCT((calc_state=$A86)*_calc!$CD$4:$CD$72*_calc!$CI$4:$CI$72)=0,"—",SUMPRODUCT((calc_state=$A86)*_calc!$CD$4:$CD$72*_calc!$CI$4:$CI$72*_calc!$BR$4:$BR$72)/SUMPRODUCT((calc_state=$A86)*_calc!$CD$4:$CD$72*_calc!$CI$4:$CI$72)),IF($P$23=0,"",IF(INDEX(_calc!$O:$O,$P$23)=0,"—",INDEX(_calc!$O:$O,$P$23+34)/INDEX(_calc!$O:$O,$P$23+22)-1))))</f>
        <v>-8.7671890950580256E-3</v>
      </c>
      <c r="J86" s="167">
        <f>IF($A86="","",IF(pf_BU="All",IF(SUMPRODUCT((calc_state=$A86)*_calc!$CE$4:$CE$72*_calc!$CI$4:$CI$72)=0,"—",SUMPRODUCT((calc_state=$A86)*_calc!$CE$4:$CE$72*_calc!$CI$4:$CI$72*_calc!$BS$4:$BS$72)/SUMPRODUCT((calc_state=$A86)*_calc!$CE$4:$CE$72*_calc!$CI$4:$CI$72)),IF($P$23=0,"",IF(INDEX(_calc!$O:$O,$P$23)=0,"—",INDEX(_calc!$O:$O,$P$23+35)/INDEX(_calc!$O:$O,$P$23+23)-1))))</f>
        <v>-8.7736166530455462E-3</v>
      </c>
      <c r="K86" s="167">
        <f>IF($A86="","",IF(pf_BU="All",IF(SUMPRODUCT((calc_state=$A86)*_calc!$CF$4:$CF$72*_calc!$CI$4:$CI$72)=0,"—",SUMPRODUCT((calc_state=$A86)*_calc!$CF$4:$CF$72*_calc!$CI$4:$CI$72*_calc!$BT$4:$BT$72)/SUMPRODUCT((calc_state=$A86)*_calc!$CF$4:$CF$72*_calc!$CI$4:$CI$72)),IF($P$23=0,"",IF(INDEX(_calc!$O:$O,$P$23)=0,"—",INDEX(_calc!$O:$O,$P$23+36)/INDEX(_calc!$O:$O,$P$23+24)-1))))</f>
        <v>-8.7800536425195475E-3</v>
      </c>
      <c r="L86" s="167">
        <f>IF($A86="","",IF(pf_BU="All",IF(SUMPRODUCT((calc_state=$A86)*_calc!$CG$4:$CG$72*_calc!$CI$4:$CI$72)=0,"—",SUMPRODUCT((calc_state=$A86)*_calc!$CG$4:$CG$72*_calc!$CI$4:$CI$72*_calc!$BU$4:$BU$72)/SUMPRODUCT((calc_state=$A86)*_calc!$CG$4:$CG$72*_calc!$CI$4:$CI$72)),IF($P$23=0,"",IF(INDEX(_calc!$O:$O,$P$23)=0,"—",INDEX(_calc!$O:$O,$P$23+37)/INDEX(_calc!$O:$O,$P$23+25)-1))))</f>
        <v>-8.7865000842540786E-3</v>
      </c>
      <c r="M86" s="167">
        <f>IF($A86="","",IF(pf_BU="All",IF(SUMPRODUCT((calc_state=$A86)*_calc!$CH$4:$CH$72*_calc!$CI$4:$CI$72)=0,"—",SUMPRODUCT((calc_state=$A86)*_calc!$CH$4:$CH$72*_calc!$CI$4:$CI$72*_calc!$BV$4:$BV$72)/SUMPRODUCT((calc_state=$A86)*_calc!$CH$4:$CH$72*_calc!$CI$4:$CI$72)),IF($P$23=0,"",IF(INDEX(_calc!$O:$O,$P$23)=0,"—",INDEX(_calc!$O:$O,$P$23+38)/INDEX(_calc!$O:$O,$P$23+26)-1))))</f>
        <v>-8.7929559990846951E-3</v>
      </c>
    </row>
    <row r="87" spans="1:13" x14ac:dyDescent="0.3">
      <c r="A87" s="166" t="str">
        <f>_lists!$B$18</f>
        <v>PA</v>
      </c>
      <c r="B87" s="167">
        <f>IF($A87="","",IF(pf_BU="All",IF(SUMPRODUCT((calc_state=$A87)*_calc!$BW$4:$BW$72*_calc!$CI$4:$CI$72)=0,"—",SUMPRODUCT((calc_state=$A87)*_calc!$BW$4:$BW$72*_calc!$CI$4:$CI$72*_calc!$BK$4:$BK$72)/SUMPRODUCT((calc_state=$A87)*_calc!$BW$4:$BW$72*_calc!$CI$4:$CI$72)),IF($P$24=0,"",IF(INDEX(_calc!$O:$O,$P$24)=0,"—",INDEX(_calc!$O:$O,$P$24+27)/INDEX(_calc!$O:$O,$P$24+15)-1))))</f>
        <v>4.4020188985305353E-3</v>
      </c>
      <c r="C87" s="167">
        <f>IF($A87="","",IF(pf_BU="All",IF(SUMPRODUCT((calc_state=$A87)*_calc!$BX$4:$BX$72*_calc!$CI$4:$CI$72)=0,"—",SUMPRODUCT((calc_state=$A87)*_calc!$BX$4:$BX$72*_calc!$CI$4:$CI$72*_calc!$BL$4:$BL$72)/SUMPRODUCT((calc_state=$A87)*_calc!$BX$4:$BX$72*_calc!$CI$4:$CI$72)),IF($P$24=0,"",IF(INDEX(_calc!$O:$O,$P$24)=0,"—",INDEX(_calc!$O:$O,$P$24+28)/INDEX(_calc!$O:$O,$P$24+16)-1))))</f>
        <v>4.4004533069708085E-3</v>
      </c>
      <c r="D87" s="167">
        <f>IF($A87="","",IF(pf_BU="All",IF(SUMPRODUCT((calc_state=$A87)*_calc!$BY$4:$BY$72*_calc!$CI$4:$CI$72)=0,"—",SUMPRODUCT((calc_state=$A87)*_calc!$BY$4:$BY$72*_calc!$CI$4:$CI$72*_calc!$BM$4:$BM$72)/SUMPRODUCT((calc_state=$A87)*_calc!$BY$4:$BY$72*_calc!$CI$4:$CI$72)),IF($P$24=0,"",IF(INDEX(_calc!$O:$O,$P$24)=0,"—",INDEX(_calc!$O:$O,$P$24+29)/INDEX(_calc!$O:$O,$P$24+17)-1))))</f>
        <v>4.3988888286301542E-3</v>
      </c>
      <c r="E87" s="167">
        <f>IF($A87="","",IF(pf_BU="All",IF(SUMPRODUCT((calc_state=$A87)*_calc!$BZ$4:$BZ$72*_calc!$CI$4:$CI$72)=0,"—",SUMPRODUCT((calc_state=$A87)*_calc!$BZ$4:$BZ$72*_calc!$CI$4:$CI$72*_calc!$BN$4:$BN$72)/SUMPRODUCT((calc_state=$A87)*_calc!$BZ$4:$BZ$72*_calc!$CI$4:$CI$72)),IF($P$24=0,"",IF(INDEX(_calc!$O:$O,$P$24)=0,"—",INDEX(_calc!$O:$O,$P$24+30)/INDEX(_calc!$O:$O,$P$24+18)-1))))</f>
        <v>4.3972724863263757E-3</v>
      </c>
      <c r="F87" s="167">
        <f>IF($A87="","",IF(pf_BU="All",IF(SUMPRODUCT((calc_state=$A87)*_calc!$CA$4:$CA$72*_calc!$CI$4:$CI$72)=0,"—",SUMPRODUCT((calc_state=$A87)*_calc!$CA$4:$CA$72*_calc!$CI$4:$CI$72*_calc!$BO$4:$BO$72)/SUMPRODUCT((calc_state=$A87)*_calc!$CA$4:$CA$72*_calc!$CI$4:$CI$72)),IF($P$24=0,"",IF(INDEX(_calc!$O:$O,$P$24)=0,"—",INDEX(_calc!$O:$O,$P$24+31)/INDEX(_calc!$O:$O,$P$24+19)-1))))</f>
        <v>4.3956573314145597E-3</v>
      </c>
      <c r="G87" s="167">
        <f>IF($A87="","",IF(pf_BU="All",IF(SUMPRODUCT((calc_state=$A87)*_calc!$CB$4:$CB$72*_calc!$CI$4:$CI$72)=0,"—",SUMPRODUCT((calc_state=$A87)*_calc!$CB$4:$CB$72*_calc!$CI$4:$CI$72*_calc!$BP$4:$BP$72)/SUMPRODUCT((calc_state=$A87)*_calc!$CB$4:$CB$72*_calc!$CI$4:$CI$72)),IF($P$24=0,"",IF(INDEX(_calc!$O:$O,$P$24)=0,"—",INDEX(_calc!$O:$O,$P$24+32)/INDEX(_calc!$O:$O,$P$24+20)-1))))</f>
        <v>4.3940433625868636E-3</v>
      </c>
      <c r="H87" s="167">
        <f>IF($A87="","",IF(pf_BU="All",IF(SUMPRODUCT((calc_state=$A87)*_calc!$CC$4:$CC$72*_calc!$CI$4:$CI$72)=0,"—",SUMPRODUCT((calc_state=$A87)*_calc!$CC$4:$CC$72*_calc!$CI$4:$CI$72*_calc!$BQ$4:$BQ$72)/SUMPRODUCT((calc_state=$A87)*_calc!$CC$4:$CC$72*_calc!$CI$4:$CI$72)),IF($P$24=0,"",IF(INDEX(_calc!$O:$O,$P$24)=0,"—",INDEX(_calc!$O:$O,$P$24+33)/INDEX(_calc!$O:$O,$P$24+21)-1))))</f>
        <v>4.3924305785372209E-3</v>
      </c>
      <c r="I87" s="167">
        <f>IF($A87="","",IF(pf_BU="All",IF(SUMPRODUCT((calc_state=$A87)*_calc!$CD$4:$CD$72*_calc!$CI$4:$CI$72)=0,"—",SUMPRODUCT((calc_state=$A87)*_calc!$CD$4:$CD$72*_calc!$CI$4:$CI$72*_calc!$BR$4:$BR$72)/SUMPRODUCT((calc_state=$A87)*_calc!$CD$4:$CD$72*_calc!$CI$4:$CI$72)),IF($P$24=0,"",IF(INDEX(_calc!$O:$O,$P$24)=0,"—",INDEX(_calc!$O:$O,$P$24+34)/INDEX(_calc!$O:$O,$P$24+22)-1))))</f>
        <v>4.3907925681323512E-3</v>
      </c>
      <c r="J87" s="167">
        <f>IF($A87="","",IF(pf_BU="All",IF(SUMPRODUCT((calc_state=$A87)*_calc!$CE$4:$CE$72*_calc!$CI$4:$CI$72)=0,"—",SUMPRODUCT((calc_state=$A87)*_calc!$CE$4:$CE$72*_calc!$CI$4:$CI$72*_calc!$BS$4:$BS$72)/SUMPRODUCT((calc_state=$A87)*_calc!$CE$4:$CE$72*_calc!$CI$4:$CI$72)),IF($P$24=0,"",IF(INDEX(_calc!$O:$O,$P$24)=0,"—",INDEX(_calc!$O:$O,$P$24+35)/INDEX(_calc!$O:$O,$P$24+23)-1))))</f>
        <v>4.3891821690977828E-3</v>
      </c>
      <c r="K87" s="167">
        <f>IF($A87="","",IF(pf_BU="All",IF(SUMPRODUCT((calc_state=$A87)*_calc!$CF$4:$CF$72*_calc!$CI$4:$CI$72)=0,"—",SUMPRODUCT((calc_state=$A87)*_calc!$CF$4:$CF$72*_calc!$CI$4:$CI$72*_calc!$BT$4:$BT$72)/SUMPRODUCT((calc_state=$A87)*_calc!$CF$4:$CF$72*_calc!$CI$4:$CI$72)),IF($P$24=0,"",IF(INDEX(_calc!$O:$O,$P$24)=0,"—",INDEX(_calc!$O:$O,$P$24+36)/INDEX(_calc!$O:$O,$P$24+24)-1))))</f>
        <v>4.3875729509132988E-3</v>
      </c>
      <c r="L87" s="167">
        <f>IF($A87="","",IF(pf_BU="All",IF(SUMPRODUCT((calc_state=$A87)*_calc!$CG$4:$CG$72*_calc!$CI$4:$CI$72)=0,"—",SUMPRODUCT((calc_state=$A87)*_calc!$CG$4:$CG$72*_calc!$CI$4:$CI$72*_calc!$BU$4:$BU$72)/SUMPRODUCT((calc_state=$A87)*_calc!$CG$4:$CG$72*_calc!$CI$4:$CI$72)),IF($P$24=0,"",IF(INDEX(_calc!$O:$O,$P$24)=0,"—",INDEX(_calc!$O:$O,$P$24+37)/INDEX(_calc!$O:$O,$P$24+25)-1))))</f>
        <v>4.3859649122806044E-3</v>
      </c>
      <c r="M87" s="167">
        <f>IF($A87="","",IF(pf_BU="All",IF(SUMPRODUCT((calc_state=$A87)*_calc!$CH$4:$CH$72*_calc!$CI$4:$CI$72)=0,"—",SUMPRODUCT((calc_state=$A87)*_calc!$CH$4:$CH$72*_calc!$CI$4:$CI$72*_calc!$BV$4:$BV$72)/SUMPRODUCT((calc_state=$A87)*_calc!$CH$4:$CH$72*_calc!$CI$4:$CI$72)),IF($P$24=0,"",IF(INDEX(_calc!$O:$O,$P$24)=0,"—",INDEX(_calc!$O:$O,$P$24+38)/INDEX(_calc!$O:$O,$P$24+26)-1))))</f>
        <v>4.3843580519036252E-3</v>
      </c>
    </row>
    <row r="88" spans="1:13" x14ac:dyDescent="0.3">
      <c r="A88" s="166" t="str">
        <f>_lists!$B$19</f>
        <v>SC</v>
      </c>
      <c r="B88" s="167">
        <f>IF($A88="","",IF(pf_BU="All",IF(SUMPRODUCT((calc_state=$A88)*_calc!$BW$4:$BW$72*_calc!$CI$4:$CI$72)=0,"—",SUMPRODUCT((calc_state=$A88)*_calc!$BW$4:$BW$72*_calc!$CI$4:$CI$72*_calc!$BK$4:$BK$72)/SUMPRODUCT((calc_state=$A88)*_calc!$BW$4:$BW$72*_calc!$CI$4:$CI$72)),IF($P$25=0,"",IF(INDEX(_calc!$O:$O,$P$25)=0,"—",INDEX(_calc!$O:$O,$P$25+27)/INDEX(_calc!$O:$O,$P$25+15)-1))))</f>
        <v>1.7773665757693902E-2</v>
      </c>
      <c r="C88" s="167">
        <f>IF($A88="","",IF(pf_BU="All",IF(SUMPRODUCT((calc_state=$A88)*_calc!$BX$4:$BX$72*_calc!$CI$4:$CI$72)=0,"—",SUMPRODUCT((calc_state=$A88)*_calc!$BX$4:$BX$72*_calc!$CI$4:$CI$72*_calc!$BL$4:$BL$72)/SUMPRODUCT((calc_state=$A88)*_calc!$BX$4:$BX$72*_calc!$CI$4:$CI$72)),IF($P$25=0,"",IF(INDEX(_calc!$O:$O,$P$25)=0,"—",INDEX(_calc!$O:$O,$P$25+28)/INDEX(_calc!$O:$O,$P$25+16)-1))))</f>
        <v>1.7748170479686909E-2</v>
      </c>
      <c r="D88" s="167">
        <f>IF($A88="","",IF(pf_BU="All",IF(SUMPRODUCT((calc_state=$A88)*_calc!$BY$4:$BY$72*_calc!$CI$4:$CI$72)=0,"—",SUMPRODUCT((calc_state=$A88)*_calc!$BY$4:$BY$72*_calc!$CI$4:$CI$72*_calc!$BM$4:$BM$72)/SUMPRODUCT((calc_state=$A88)*_calc!$BY$4:$BY$72*_calc!$CI$4:$CI$72)),IF($P$25=0,"",IF(INDEX(_calc!$O:$O,$P$25)=0,"—",INDEX(_calc!$O:$O,$P$25+29)/INDEX(_calc!$O:$O,$P$25+17)-1))))</f>
        <v>1.7722748239864083E-2</v>
      </c>
      <c r="E88" s="167">
        <f>IF($A88="","",IF(pf_BU="All",IF(SUMPRODUCT((calc_state=$A88)*_calc!$BZ$4:$BZ$72*_calc!$CI$4:$CI$72)=0,"—",SUMPRODUCT((calc_state=$A88)*_calc!$BZ$4:$BZ$72*_calc!$CI$4:$CI$72*_calc!$BN$4:$BN$72)/SUMPRODUCT((calc_state=$A88)*_calc!$BZ$4:$BZ$72*_calc!$CI$4:$CI$72)),IF($P$25=0,"",IF(INDEX(_calc!$O:$O,$P$25)=0,"—",INDEX(_calc!$O:$O,$P$25+30)/INDEX(_calc!$O:$O,$P$25+18)-1))))</f>
        <v>1.7696540689922768E-2</v>
      </c>
      <c r="F88" s="167">
        <f>IF($A88="","",IF(pf_BU="All",IF(SUMPRODUCT((calc_state=$A88)*_calc!$CA$4:$CA$72*_calc!$CI$4:$CI$72)=0,"—",SUMPRODUCT((calc_state=$A88)*_calc!$CA$4:$CA$72*_calc!$CI$4:$CI$72*_calc!$BO$4:$BO$72)/SUMPRODUCT((calc_state=$A88)*_calc!$CA$4:$CA$72*_calc!$CI$4:$CI$72)),IF($P$25=0,"",IF(INDEX(_calc!$O:$O,$P$25)=0,"—",INDEX(_calc!$O:$O,$P$25+31)/INDEX(_calc!$O:$O,$P$25+19)-1))))</f>
        <v>1.7670410534469383E-2</v>
      </c>
      <c r="G88" s="167">
        <f>IF($A88="","",IF(pf_BU="All",IF(SUMPRODUCT((calc_state=$A88)*_calc!$CB$4:$CB$72*_calc!$CI$4:$CI$72)=0,"—",SUMPRODUCT((calc_state=$A88)*_calc!$CB$4:$CB$72*_calc!$CI$4:$CI$72*_calc!$BP$4:$BP$72)/SUMPRODUCT((calc_state=$A88)*_calc!$CB$4:$CB$72*_calc!$CI$4:$CI$72)),IF($P$25=0,"",IF(INDEX(_calc!$O:$O,$P$25)=0,"—",INDEX(_calc!$O:$O,$P$25+32)/INDEX(_calc!$O:$O,$P$25+20)-1))))</f>
        <v>1.7644357431174873E-2</v>
      </c>
      <c r="H88" s="167">
        <f>IF($A88="","",IF(pf_BU="All",IF(SUMPRODUCT((calc_state=$A88)*_calc!$CC$4:$CC$72*_calc!$CI$4:$CI$72)=0,"—",SUMPRODUCT((calc_state=$A88)*_calc!$CC$4:$CC$72*_calc!$CI$4:$CI$72*_calc!$BQ$4:$BQ$72)/SUMPRODUCT((calc_state=$A88)*_calc!$CC$4:$CC$72*_calc!$CI$4:$CI$72)),IF($P$25=0,"",IF(INDEX(_calc!$O:$O,$P$25)=0,"—",INDEX(_calc!$O:$O,$P$25+33)/INDEX(_calc!$O:$O,$P$25+21)-1))))</f>
        <v>1.7618381039725906E-2</v>
      </c>
      <c r="I88" s="167">
        <f>IF($A88="","",IF(pf_BU="All",IF(SUMPRODUCT((calc_state=$A88)*_calc!$CD$4:$CD$72*_calc!$CI$4:$CI$72)=0,"—",SUMPRODUCT((calc_state=$A88)*_calc!$CD$4:$CD$72*_calc!$CI$4:$CI$72*_calc!$BR$4:$BR$72)/SUMPRODUCT((calc_state=$A88)*_calc!$CD$4:$CD$72*_calc!$CI$4:$CI$72)),IF($P$25=0,"",IF(INDEX(_calc!$O:$O,$P$25)=0,"—",INDEX(_calc!$O:$O,$P$25+34)/INDEX(_calc!$O:$O,$P$25+22)-1))))</f>
        <v>1.7592057065741296E-2</v>
      </c>
      <c r="J88" s="167">
        <f>IF($A88="","",IF(pf_BU="All",IF(SUMPRODUCT((calc_state=$A88)*_calc!$CE$4:$CE$72*_calc!$CI$4:$CI$72)=0,"—",SUMPRODUCT((calc_state=$A88)*_calc!$CE$4:$CE$72*_calc!$CI$4:$CI$72*_calc!$BS$4:$BS$72)/SUMPRODUCT((calc_state=$A88)*_calc!$CE$4:$CE$72*_calc!$CI$4:$CI$72)),IF($P$25=0,"",IF(INDEX(_calc!$O:$O,$P$25)=0,"—",INDEX(_calc!$O:$O,$P$25+35)/INDEX(_calc!$O:$O,$P$25+23)-1))))</f>
        <v>1.7566234328753261E-2</v>
      </c>
      <c r="K88" s="167">
        <f>IF($A88="","",IF(pf_BU="All",IF(SUMPRODUCT((calc_state=$A88)*_calc!$CF$4:$CF$72*_calc!$CI$4:$CI$72)=0,"—",SUMPRODUCT((calc_state=$A88)*_calc!$CF$4:$CF$72*_calc!$CI$4:$CI$72*_calc!$BT$4:$BT$72)/SUMPRODUCT((calc_state=$A88)*_calc!$CF$4:$CF$72*_calc!$CI$4:$CI$72)),IF($P$25=0,"",IF(INDEX(_calc!$O:$O,$P$25)=0,"—",INDEX(_calc!$O:$O,$P$25+36)/INDEX(_calc!$O:$O,$P$25+24)-1))))</f>
        <v>1.7540487289153583E-2</v>
      </c>
      <c r="L88" s="167">
        <f>IF($A88="","",IF(pf_BU="All",IF(SUMPRODUCT((calc_state=$A88)*_calc!$CG$4:$CG$72*_calc!$CI$4:$CI$72)=0,"—",SUMPRODUCT((calc_state=$A88)*_calc!$CG$4:$CG$72*_calc!$CI$4:$CI$72*_calc!$BU$4:$BU$72)/SUMPRODUCT((calc_state=$A88)*_calc!$CG$4:$CG$72*_calc!$CI$4:$CI$72)),IF($P$25=0,"",IF(INDEX(_calc!$O:$O,$P$25)=0,"—",INDEX(_calc!$O:$O,$P$25+37)/INDEX(_calc!$O:$O,$P$25+25)-1))))</f>
        <v>1.7514815614577905E-2</v>
      </c>
      <c r="M88" s="167">
        <f>IF($A88="","",IF(pf_BU="All",IF(SUMPRODUCT((calc_state=$A88)*_calc!$CH$4:$CH$72*_calc!$CI$4:$CI$72)=0,"—",SUMPRODUCT((calc_state=$A88)*_calc!$CH$4:$CH$72*_calc!$CI$4:$CI$72*_calc!$BV$4:$BV$72)/SUMPRODUCT((calc_state=$A88)*_calc!$CH$4:$CH$72*_calc!$CI$4:$CI$72)),IF($P$25=0,"",IF(INDEX(_calc!$O:$O,$P$25)=0,"—",INDEX(_calc!$O:$O,$P$25+38)/INDEX(_calc!$O:$O,$P$25+26)-1))))</f>
        <v>1.7489218974604537E-2</v>
      </c>
    </row>
    <row r="89" spans="1:13" x14ac:dyDescent="0.3">
      <c r="A89" s="166" t="str">
        <f>_lists!$B$20</f>
        <v>TN</v>
      </c>
      <c r="B89" s="167">
        <f>IF($A89="","",IF(pf_BU="All",IF(SUMPRODUCT((calc_state=$A89)*_calc!$BW$4:$BW$72*_calc!$CI$4:$CI$72)=0,"—",SUMPRODUCT((calc_state=$A89)*_calc!$BW$4:$BW$72*_calc!$CI$4:$CI$72*_calc!$BK$4:$BK$72)/SUMPRODUCT((calc_state=$A89)*_calc!$BW$4:$BW$72*_calc!$CI$4:$CI$72)),IF($P$26=0,"",IF(INDEX(_calc!$O:$O,$P$26)=0,"—",INDEX(_calc!$O:$O,$P$26+27)/INDEX(_calc!$O:$O,$P$26+15)-1))))</f>
        <v>0</v>
      </c>
      <c r="C89" s="167">
        <f>IF($A89="","",IF(pf_BU="All",IF(SUMPRODUCT((calc_state=$A89)*_calc!$BX$4:$BX$72*_calc!$CI$4:$CI$72)=0,"—",SUMPRODUCT((calc_state=$A89)*_calc!$BX$4:$BX$72*_calc!$CI$4:$CI$72*_calc!$BL$4:$BL$72)/SUMPRODUCT((calc_state=$A89)*_calc!$BX$4:$BX$72*_calc!$CI$4:$CI$72)),IF($P$26=0,"",IF(INDEX(_calc!$O:$O,$P$26)=0,"—",INDEX(_calc!$O:$O,$P$26+28)/INDEX(_calc!$O:$O,$P$26+16)-1))))</f>
        <v>0</v>
      </c>
      <c r="D89" s="167">
        <f>IF($A89="","",IF(pf_BU="All",IF(SUMPRODUCT((calc_state=$A89)*_calc!$BY$4:$BY$72*_calc!$CI$4:$CI$72)=0,"—",SUMPRODUCT((calc_state=$A89)*_calc!$BY$4:$BY$72*_calc!$CI$4:$CI$72*_calc!$BM$4:$BM$72)/SUMPRODUCT((calc_state=$A89)*_calc!$BY$4:$BY$72*_calc!$CI$4:$CI$72)),IF($P$26=0,"",IF(INDEX(_calc!$O:$O,$P$26)=0,"—",INDEX(_calc!$O:$O,$P$26+29)/INDEX(_calc!$O:$O,$P$26+17)-1))))</f>
        <v>0</v>
      </c>
      <c r="E89" s="167">
        <f>IF($A89="","",IF(pf_BU="All",IF(SUMPRODUCT((calc_state=$A89)*_calc!$BZ$4:$BZ$72*_calc!$CI$4:$CI$72)=0,"—",SUMPRODUCT((calc_state=$A89)*_calc!$BZ$4:$BZ$72*_calc!$CI$4:$CI$72*_calc!$BN$4:$BN$72)/SUMPRODUCT((calc_state=$A89)*_calc!$BZ$4:$BZ$72*_calc!$CI$4:$CI$72)),IF($P$26=0,"",IF(INDEX(_calc!$O:$O,$P$26)=0,"—",INDEX(_calc!$O:$O,$P$26+30)/INDEX(_calc!$O:$O,$P$26+18)-1))))</f>
        <v>0</v>
      </c>
      <c r="F89" s="167">
        <f>IF($A89="","",IF(pf_BU="All",IF(SUMPRODUCT((calc_state=$A89)*_calc!$CA$4:$CA$72*_calc!$CI$4:$CI$72)=0,"—",SUMPRODUCT((calc_state=$A89)*_calc!$CA$4:$CA$72*_calc!$CI$4:$CI$72*_calc!$BO$4:$BO$72)/SUMPRODUCT((calc_state=$A89)*_calc!$CA$4:$CA$72*_calc!$CI$4:$CI$72)),IF($P$26=0,"",IF(INDEX(_calc!$O:$O,$P$26)=0,"—",INDEX(_calc!$O:$O,$P$26+31)/INDEX(_calc!$O:$O,$P$26+19)-1))))</f>
        <v>0</v>
      </c>
      <c r="G89" s="167">
        <f>IF($A89="","",IF(pf_BU="All",IF(SUMPRODUCT((calc_state=$A89)*_calc!$CB$4:$CB$72*_calc!$CI$4:$CI$72)=0,"—",SUMPRODUCT((calc_state=$A89)*_calc!$CB$4:$CB$72*_calc!$CI$4:$CI$72*_calc!$BP$4:$BP$72)/SUMPRODUCT((calc_state=$A89)*_calc!$CB$4:$CB$72*_calc!$CI$4:$CI$72)),IF($P$26=0,"",IF(INDEX(_calc!$O:$O,$P$26)=0,"—",INDEX(_calc!$O:$O,$P$26+32)/INDEX(_calc!$O:$O,$P$26+20)-1))))</f>
        <v>0</v>
      </c>
      <c r="H89" s="167">
        <f>IF($A89="","",IF(pf_BU="All",IF(SUMPRODUCT((calc_state=$A89)*_calc!$CC$4:$CC$72*_calc!$CI$4:$CI$72)=0,"—",SUMPRODUCT((calc_state=$A89)*_calc!$CC$4:$CC$72*_calc!$CI$4:$CI$72*_calc!$BQ$4:$BQ$72)/SUMPRODUCT((calc_state=$A89)*_calc!$CC$4:$CC$72*_calc!$CI$4:$CI$72)),IF($P$26=0,"",IF(INDEX(_calc!$O:$O,$P$26)=0,"—",INDEX(_calc!$O:$O,$P$26+33)/INDEX(_calc!$O:$O,$P$26+21)-1))))</f>
        <v>0</v>
      </c>
      <c r="I89" s="167">
        <f>IF($A89="","",IF(pf_BU="All",IF(SUMPRODUCT((calc_state=$A89)*_calc!$CD$4:$CD$72*_calc!$CI$4:$CI$72)=0,"—",SUMPRODUCT((calc_state=$A89)*_calc!$CD$4:$CD$72*_calc!$CI$4:$CI$72*_calc!$BR$4:$BR$72)/SUMPRODUCT((calc_state=$A89)*_calc!$CD$4:$CD$72*_calc!$CI$4:$CI$72)),IF($P$26=0,"",IF(INDEX(_calc!$O:$O,$P$26)=0,"—",INDEX(_calc!$O:$O,$P$26+34)/INDEX(_calc!$O:$O,$P$26+22)-1))))</f>
        <v>0</v>
      </c>
      <c r="J89" s="167">
        <f>IF($A89="","",IF(pf_BU="All",IF(SUMPRODUCT((calc_state=$A89)*_calc!$CE$4:$CE$72*_calc!$CI$4:$CI$72)=0,"—",SUMPRODUCT((calc_state=$A89)*_calc!$CE$4:$CE$72*_calc!$CI$4:$CI$72*_calc!$BS$4:$BS$72)/SUMPRODUCT((calc_state=$A89)*_calc!$CE$4:$CE$72*_calc!$CI$4:$CI$72)),IF($P$26=0,"",IF(INDEX(_calc!$O:$O,$P$26)=0,"—",INDEX(_calc!$O:$O,$P$26+35)/INDEX(_calc!$O:$O,$P$26+23)-1))))</f>
        <v>0</v>
      </c>
      <c r="K89" s="167">
        <f>IF($A89="","",IF(pf_BU="All",IF(SUMPRODUCT((calc_state=$A89)*_calc!$CF$4:$CF$72*_calc!$CI$4:$CI$72)=0,"—",SUMPRODUCT((calc_state=$A89)*_calc!$CF$4:$CF$72*_calc!$CI$4:$CI$72*_calc!$BT$4:$BT$72)/SUMPRODUCT((calc_state=$A89)*_calc!$CF$4:$CF$72*_calc!$CI$4:$CI$72)),IF($P$26=0,"",IF(INDEX(_calc!$O:$O,$P$26)=0,"—",INDEX(_calc!$O:$O,$P$26+36)/INDEX(_calc!$O:$O,$P$26+24)-1))))</f>
        <v>0</v>
      </c>
      <c r="L89" s="167">
        <f>IF($A89="","",IF(pf_BU="All",IF(SUMPRODUCT((calc_state=$A89)*_calc!$CG$4:$CG$72*_calc!$CI$4:$CI$72)=0,"—",SUMPRODUCT((calc_state=$A89)*_calc!$CG$4:$CG$72*_calc!$CI$4:$CI$72*_calc!$BU$4:$BU$72)/SUMPRODUCT((calc_state=$A89)*_calc!$CG$4:$CG$72*_calc!$CI$4:$CI$72)),IF($P$26=0,"",IF(INDEX(_calc!$O:$O,$P$26)=0,"—",INDEX(_calc!$O:$O,$P$26+37)/INDEX(_calc!$O:$O,$P$26+25)-1))))</f>
        <v>0</v>
      </c>
      <c r="M89" s="167">
        <f>IF($A89="","",IF(pf_BU="All",IF(SUMPRODUCT((calc_state=$A89)*_calc!$CH$4:$CH$72*_calc!$CI$4:$CI$72)=0,"—",SUMPRODUCT((calc_state=$A89)*_calc!$CH$4:$CH$72*_calc!$CI$4:$CI$72*_calc!$BV$4:$BV$72)/SUMPRODUCT((calc_state=$A89)*_calc!$CH$4:$CH$72*_calc!$CI$4:$CI$72)),IF($P$26=0,"",IF(INDEX(_calc!$O:$O,$P$26)=0,"—",INDEX(_calc!$O:$O,$P$26+38)/INDEX(_calc!$O:$O,$P$26+26)-1))))</f>
        <v>0</v>
      </c>
    </row>
    <row r="90" spans="1:13" x14ac:dyDescent="0.3">
      <c r="A90" s="166" t="str">
        <f>_lists!$B$21</f>
        <v>VA</v>
      </c>
      <c r="B90" s="167">
        <f>IF($A90="","",IF(pf_BU="All",IF(SUMPRODUCT((calc_state=$A90)*_calc!$BW$4:$BW$72*_calc!$CI$4:$CI$72)=0,"—",SUMPRODUCT((calc_state=$A90)*_calc!$BW$4:$BW$72*_calc!$CI$4:$CI$72*_calc!$BK$4:$BK$72)/SUMPRODUCT((calc_state=$A90)*_calc!$BW$4:$BW$72*_calc!$CI$4:$CI$72)),IF($P$27=0,"",IF(INDEX(_calc!$O:$O,$P$27)=0,"—",INDEX(_calc!$O:$O,$P$27+27)/INDEX(_calc!$O:$O,$P$27+15)-1))))</f>
        <v>1.3288593047456665E-2</v>
      </c>
      <c r="C90" s="167">
        <f>IF($A90="","",IF(pf_BU="All",IF(SUMPRODUCT((calc_state=$A90)*_calc!$BX$4:$BX$72*_calc!$CI$4:$CI$72)=0,"—",SUMPRODUCT((calc_state=$A90)*_calc!$BX$4:$BX$72*_calc!$CI$4:$CI$72*_calc!$BL$4:$BL$72)/SUMPRODUCT((calc_state=$A90)*_calc!$BX$4:$BX$72*_calc!$CI$4:$CI$72)),IF($P$27=0,"",IF(INDEX(_calc!$O:$O,$P$27)=0,"—",INDEX(_calc!$O:$O,$P$27+28)/INDEX(_calc!$O:$O,$P$27+16)-1))))</f>
        <v>1.3274336283185972E-2</v>
      </c>
      <c r="D90" s="167">
        <f>IF($A90="","",IF(pf_BU="All",IF(SUMPRODUCT((calc_state=$A90)*_calc!$BY$4:$BY$72*_calc!$CI$4:$CI$72)=0,"—",SUMPRODUCT((calc_state=$A90)*_calc!$BY$4:$BY$72*_calc!$CI$4:$CI$72*_calc!$BM$4:$BM$72)/SUMPRODUCT((calc_state=$A90)*_calc!$BY$4:$BY$72*_calc!$CI$4:$CI$72)),IF($P$27=0,"",IF(INDEX(_calc!$O:$O,$P$27)=0,"—",INDEX(_calc!$O:$O,$P$27+29)/INDEX(_calc!$O:$O,$P$27+17)-1))))</f>
        <v>1.3260110077078169E-2</v>
      </c>
      <c r="E90" s="167">
        <f>IF($A90="","",IF(pf_BU="All",IF(SUMPRODUCT((calc_state=$A90)*_calc!$BZ$4:$BZ$72*_calc!$CI$4:$CI$72)=0,"—",SUMPRODUCT((calc_state=$A90)*_calc!$BZ$4:$BZ$72*_calc!$CI$4:$CI$72*_calc!$BN$4:$BN$72)/SUMPRODUCT((calc_state=$A90)*_calc!$BZ$4:$BZ$72*_calc!$CI$4:$CI$72)),IF($P$27=0,"",IF(INDEX(_calc!$O:$O,$P$27)=0,"—",INDEX(_calc!$O:$O,$P$27+30)/INDEX(_calc!$O:$O,$P$27+18)-1))))</f>
        <v>1.3245433651869032E-2</v>
      </c>
      <c r="F90" s="167">
        <f>IF($A90="","",IF(pf_BU="All",IF(SUMPRODUCT((calc_state=$A90)*_calc!$CA$4:$CA$72*_calc!$CI$4:$CI$72)=0,"—",SUMPRODUCT((calc_state=$A90)*_calc!$CA$4:$CA$72*_calc!$CI$4:$CI$72*_calc!$BO$4:$BO$72)/SUMPRODUCT((calc_state=$A90)*_calc!$CA$4:$CA$72*_calc!$CI$4:$CI$72)),IF($P$27=0,"",IF(INDEX(_calc!$O:$O,$P$27)=0,"—",INDEX(_calc!$O:$O,$P$27+31)/INDEX(_calc!$O:$O,$P$27+19)-1))))</f>
        <v>1.3230789678775778E-2</v>
      </c>
      <c r="G90" s="167">
        <f>IF($A90="","",IF(pf_BU="All",IF(SUMPRODUCT((calc_state=$A90)*_calc!$CB$4:$CB$72*_calc!$CI$4:$CI$72)=0,"—",SUMPRODUCT((calc_state=$A90)*_calc!$CB$4:$CB$72*_calc!$CI$4:$CI$72*_calc!$BP$4:$BP$72)/SUMPRODUCT((calc_state=$A90)*_calc!$CB$4:$CB$72*_calc!$CI$4:$CI$72)),IF($P$27=0,"",IF(INDEX(_calc!$O:$O,$P$27)=0,"—",INDEX(_calc!$O:$O,$P$27+32)/INDEX(_calc!$O:$O,$P$27+20)-1))))</f>
        <v>1.3216178050281746E-2</v>
      </c>
      <c r="H90" s="167">
        <f>IF($A90="","",IF(pf_BU="All",IF(SUMPRODUCT((calc_state=$A90)*_calc!$CC$4:$CC$72*_calc!$CI$4:$CI$72)=0,"—",SUMPRODUCT((calc_state=$A90)*_calc!$CC$4:$CC$72*_calc!$CI$4:$CI$72*_calc!$BQ$4:$BQ$72)/SUMPRODUCT((calc_state=$A90)*_calc!$CC$4:$CC$72*_calc!$CI$4:$CI$72)),IF($P$27=0,"",IF(INDEX(_calc!$O:$O,$P$27)=0,"—",INDEX(_calc!$O:$O,$P$27+33)/INDEX(_calc!$O:$O,$P$27+21)-1))))</f>
        <v>1.320159865934456E-2</v>
      </c>
      <c r="I90" s="167">
        <f>IF($A90="","",IF(pf_BU="All",IF(SUMPRODUCT((calc_state=$A90)*_calc!$CD$4:$CD$72*_calc!$CI$4:$CI$72)=0,"—",SUMPRODUCT((calc_state=$A90)*_calc!$CD$4:$CD$72*_calc!$CI$4:$CI$72*_calc!$BR$4:$BR$72)/SUMPRODUCT((calc_state=$A90)*_calc!$CD$4:$CD$72*_calc!$CI$4:$CI$72)),IF($P$27=0,"",IF(INDEX(_calc!$O:$O,$P$27)=0,"—",INDEX(_calc!$O:$O,$P$27+34)/INDEX(_calc!$O:$O,$P$27+22)-1))))</f>
        <v>1.3186813186813362E-2</v>
      </c>
      <c r="J90" s="167">
        <f>IF($A90="","",IF(pf_BU="All",IF(SUMPRODUCT((calc_state=$A90)*_calc!$CE$4:$CE$72*_calc!$CI$4:$CI$72)=0,"—",SUMPRODUCT((calc_state=$A90)*_calc!$CE$4:$CE$72*_calc!$CI$4:$CI$72*_calc!$BS$4:$BS$72)/SUMPRODUCT((calc_state=$A90)*_calc!$CE$4:$CE$72*_calc!$CI$4:$CI$72)),IF($P$27=0,"",IF(INDEX(_calc!$O:$O,$P$27)=0,"—",INDEX(_calc!$O:$O,$P$27+35)/INDEX(_calc!$O:$O,$P$27+23)-1))))</f>
        <v>1.3172298475862876E-2</v>
      </c>
      <c r="K90" s="167">
        <f>IF($A90="","",IF(pf_BU="All",IF(SUMPRODUCT((calc_state=$A90)*_calc!$CF$4:$CF$72*_calc!$CI$4:$CI$72)=0,"—",SUMPRODUCT((calc_state=$A90)*_calc!$CF$4:$CF$72*_calc!$CI$4:$CI$72*_calc!$BT$4:$BT$72)/SUMPRODUCT((calc_state=$A90)*_calc!$CF$4:$CF$72*_calc!$CI$4:$CI$72)),IF($P$27=0,"",IF(INDEX(_calc!$O:$O,$P$27)=0,"—",INDEX(_calc!$O:$O,$P$27+36)/INDEX(_calc!$O:$O,$P$27+24)-1))))</f>
        <v>1.3157815682433904E-2</v>
      </c>
      <c r="L90" s="167">
        <f>IF($A90="","",IF(pf_BU="All",IF(SUMPRODUCT((calc_state=$A90)*_calc!$CG$4:$CG$72*_calc!$CI$4:$CI$72)=0,"—",SUMPRODUCT((calc_state=$A90)*_calc!$CG$4:$CG$72*_calc!$CI$4:$CI$72*_calc!$BU$4:$BU$72)/SUMPRODUCT((calc_state=$A90)*_calc!$CG$4:$CG$72*_calc!$CI$4:$CI$72)),IF($P$27=0,"",IF(INDEX(_calc!$O:$O,$P$27)=0,"—",INDEX(_calc!$O:$O,$P$27+37)/INDEX(_calc!$O:$O,$P$27+25)-1))))</f>
        <v>1.3143364701363458E-2</v>
      </c>
      <c r="M90" s="167">
        <f>IF($A90="","",IF(pf_BU="All",IF(SUMPRODUCT((calc_state=$A90)*_calc!$CH$4:$CH$72*_calc!$CI$4:$CI$72)=0,"—",SUMPRODUCT((calc_state=$A90)*_calc!$CH$4:$CH$72*_calc!$CI$4:$CI$72*_calc!$BV$4:$BV$72)/SUMPRODUCT((calc_state=$A90)*_calc!$CH$4:$CH$72*_calc!$CI$4:$CI$72)),IF($P$27=0,"",IF(INDEX(_calc!$O:$O,$P$27)=0,"—",INDEX(_calc!$O:$O,$P$27+38)/INDEX(_calc!$O:$O,$P$27+26)-1))))</f>
        <v>1.3128945427949512E-2</v>
      </c>
    </row>
    <row r="91" spans="1:13" x14ac:dyDescent="0.3">
      <c r="A91" s="166" t="str">
        <f>_lists!$B$22</f>
        <v>WV</v>
      </c>
      <c r="B91" s="167">
        <f>IF($A91="","",IF(pf_BU="All",IF(SUMPRODUCT((calc_state=$A91)*_calc!$BW$4:$BW$72*_calc!$CI$4:$CI$72)=0,"—",SUMPRODUCT((calc_state=$A91)*_calc!$BW$4:$BW$72*_calc!$CI$4:$CI$72*_calc!$BK$4:$BK$72)/SUMPRODUCT((calc_state=$A91)*_calc!$BW$4:$BW$72*_calc!$CI$4:$CI$72)),IF($P$28=0,"",IF(INDEX(_calc!$O:$O,$P$28)=0,"—",INDEX(_calc!$O:$O,$P$28+27)/INDEX(_calc!$O:$O,$P$28+15)-1))))</f>
        <v>-4.3748464309043555E-3</v>
      </c>
      <c r="C91" s="167">
        <f>IF($A91="","",IF(pf_BU="All",IF(SUMPRODUCT((calc_state=$A91)*_calc!$BX$4:$BX$72*_calc!$CI$4:$CI$72)=0,"—",SUMPRODUCT((calc_state=$A91)*_calc!$BX$4:$BX$72*_calc!$CI$4:$CI$72*_calc!$BL$4:$BL$72)/SUMPRODUCT((calc_state=$A91)*_calc!$BX$4:$BX$72*_calc!$CI$4:$CI$72)),IF($P$28=0,"",IF(INDEX(_calc!$O:$O,$P$28)=0,"—",INDEX(_calc!$O:$O,$P$28+28)/INDEX(_calc!$O:$O,$P$28+16)-1))))</f>
        <v>-4.3763938514663758E-3</v>
      </c>
      <c r="D91" s="167">
        <f>IF($A91="","",IF(pf_BU="All",IF(SUMPRODUCT((calc_state=$A91)*_calc!$BY$4:$BY$72*_calc!$CI$4:$CI$72)=0,"—",SUMPRODUCT((calc_state=$A91)*_calc!$BY$4:$BY$72*_calc!$CI$4:$CI$72*_calc!$BM$4:$BM$72)/SUMPRODUCT((calc_state=$A91)*_calc!$BY$4:$BY$72*_calc!$CI$4:$CI$72)),IF($P$28=0,"",IF(INDEX(_calc!$O:$O,$P$28)=0,"—",INDEX(_calc!$O:$O,$P$28+29)/INDEX(_calc!$O:$O,$P$28+17)-1))))</f>
        <v>-4.3779423670874396E-3</v>
      </c>
      <c r="E91" s="167">
        <f>IF($A91="","",IF(pf_BU="All",IF(SUMPRODUCT((calc_state=$A91)*_calc!$BZ$4:$BZ$72*_calc!$CI$4:$CI$72)=0,"—",SUMPRODUCT((calc_state=$A91)*_calc!$BZ$4:$BZ$72*_calc!$CI$4:$CI$72*_calc!$BN$4:$BN$72)/SUMPRODUCT((calc_state=$A91)*_calc!$BZ$4:$BZ$72*_calc!$CI$4:$CI$72)),IF($P$28=0,"",IF(INDEX(_calc!$O:$O,$P$28)=0,"—",INDEX(_calc!$O:$O,$P$28+30)/INDEX(_calc!$O:$O,$P$28+18)-1))))</f>
        <v>-4.3795445273691058E-3</v>
      </c>
      <c r="F91" s="167">
        <f>IF($A91="","",IF(pf_BU="All",IF(SUMPRODUCT((calc_state=$A91)*_calc!$CA$4:$CA$72*_calc!$CI$4:$CI$72)=0,"—",SUMPRODUCT((calc_state=$A91)*_calc!$CA$4:$CA$72*_calc!$CI$4:$CI$72*_calc!$BO$4:$BO$72)/SUMPRODUCT((calc_state=$A91)*_calc!$CA$4:$CA$72*_calc!$CI$4:$CI$72)),IF($P$28=0,"",IF(INDEX(_calc!$O:$O,$P$28)=0,"—",INDEX(_calc!$O:$O,$P$28+31)/INDEX(_calc!$O:$O,$P$28+19)-1))))</f>
        <v>-4.3811478607395093E-3</v>
      </c>
      <c r="G91" s="167">
        <f>IF($A91="","",IF(pf_BU="All",IF(SUMPRODUCT((calc_state=$A91)*_calc!$CB$4:$CB$72*_calc!$CI$4:$CI$72)=0,"—",SUMPRODUCT((calc_state=$A91)*_calc!$CB$4:$CB$72*_calc!$CI$4:$CI$72*_calc!$BP$4:$BP$72)/SUMPRODUCT((calc_state=$A91)*_calc!$CB$4:$CB$72*_calc!$CI$4:$CI$72)),IF($P$28=0,"",IF(INDEX(_calc!$O:$O,$P$28)=0,"—",INDEX(_calc!$O:$O,$P$28+32)/INDEX(_calc!$O:$O,$P$28+20)-1))))</f>
        <v>-4.382752368487397E-3</v>
      </c>
      <c r="H91" s="167">
        <f>IF($A91="","",IF(pf_BU="All",IF(SUMPRODUCT((calc_state=$A91)*_calc!$CC$4:$CC$72*_calc!$CI$4:$CI$72)=0,"—",SUMPRODUCT((calc_state=$A91)*_calc!$CC$4:$CC$72*_calc!$CI$4:$CI$72*_calc!$BQ$4:$BQ$72)/SUMPRODUCT((calc_state=$A91)*_calc!$CC$4:$CC$72*_calc!$CI$4:$CI$72)),IF($P$28=0,"",IF(INDEX(_calc!$O:$O,$P$28)=0,"—",INDEX(_calc!$O:$O,$P$28+33)/INDEX(_calc!$O:$O,$P$28+21)-1))))</f>
        <v>-4.3843580519036252E-3</v>
      </c>
      <c r="I91" s="167">
        <f>IF($A91="","",IF(pf_BU="All",IF(SUMPRODUCT((calc_state=$A91)*_calc!$CD$4:$CD$72*_calc!$CI$4:$CI$72)=0,"—",SUMPRODUCT((calc_state=$A91)*_calc!$CD$4:$CD$72*_calc!$CI$4:$CI$72*_calc!$BR$4:$BR$72)/SUMPRODUCT((calc_state=$A91)*_calc!$CD$4:$CD$72*_calc!$CI$4:$CI$72)),IF($P$28=0,"",IF(INDEX(_calc!$O:$O,$P$28)=0,"—",INDEX(_calc!$O:$O,$P$28+34)/INDEX(_calc!$O:$O,$P$28+22)-1))))</f>
        <v>-4.3859912640666909E-3</v>
      </c>
      <c r="J91" s="167">
        <f>IF($A91="","",IF(pf_BU="All",IF(SUMPRODUCT((calc_state=$A91)*_calc!$CE$4:$CE$72*_calc!$CI$4:$CI$72)=0,"—",SUMPRODUCT((calc_state=$A91)*_calc!$CE$4:$CE$72*_calc!$CI$4:$CI$72*_calc!$BS$4:$BS$72)/SUMPRODUCT((calc_state=$A91)*_calc!$CE$4:$CE$72*_calc!$CI$4:$CI$72)),IF($P$28=0,"",IF(INDEX(_calc!$O:$O,$P$28)=0,"—",INDEX(_calc!$O:$O,$P$28+35)/INDEX(_calc!$O:$O,$P$28+23)-1))))</f>
        <v>-4.3875993220258147E-3</v>
      </c>
      <c r="K91" s="167">
        <f>IF($A91="","",IF(pf_BU="All",IF(SUMPRODUCT((calc_state=$A91)*_calc!$CF$4:$CF$72*_calc!$CI$4:$CI$72)=0,"—",SUMPRODUCT((calc_state=$A91)*_calc!$CF$4:$CF$72*_calc!$CI$4:$CI$72*_calc!$BT$4:$BT$72)/SUMPRODUCT((calc_state=$A91)*_calc!$CF$4:$CF$72*_calc!$CI$4:$CI$72)),IF($P$28=0,"",IF(INDEX(_calc!$O:$O,$P$28)=0,"—",INDEX(_calc!$O:$O,$P$28+36)/INDEX(_calc!$O:$O,$P$28+24)-1))))</f>
        <v>-4.3892085595579333E-3</v>
      </c>
      <c r="L91" s="167">
        <f>IF($A91="","",IF(pf_BU="All",IF(SUMPRODUCT((calc_state=$A91)*_calc!$CG$4:$CG$72*_calc!$CI$4:$CI$72)=0,"—",SUMPRODUCT((calc_state=$A91)*_calc!$CG$4:$CG$72*_calc!$CI$4:$CI$72*_calc!$BU$4:$BU$72)/SUMPRODUCT((calc_state=$A91)*_calc!$CG$4:$CG$72*_calc!$CI$4:$CI$72)),IF($P$28=0,"",IF(INDEX(_calc!$O:$O,$P$28)=0,"—",INDEX(_calc!$O:$O,$P$28+37)/INDEX(_calc!$O:$O,$P$28+25)-1))))</f>
        <v>-4.3908189779616746E-3</v>
      </c>
      <c r="M91" s="167">
        <f>IF($A91="","",IF(pf_BU="All",IF(SUMPRODUCT((calc_state=$A91)*_calc!$CH$4:$CH$72*_calc!$CI$4:$CI$72)=0,"—",SUMPRODUCT((calc_state=$A91)*_calc!$CH$4:$CH$72*_calc!$CI$4:$CI$72*_calc!$BV$4:$BV$72)/SUMPRODUCT((calc_state=$A91)*_calc!$CH$4:$CH$72*_calc!$CI$4:$CI$72)),IF($P$28=0,"",IF(INDEX(_calc!$O:$O,$P$28)=0,"—",INDEX(_calc!$O:$O,$P$28+38)/INDEX(_calc!$O:$O,$P$28+26)-1))))</f>
        <v>-4.3924305785372209E-3</v>
      </c>
    </row>
    <row r="92" spans="1:13" x14ac:dyDescent="0.3">
      <c r="A92" s="166" t="str">
        <f>_lists!$B$23</f>
        <v>WI</v>
      </c>
      <c r="B92" s="167">
        <f>IF($A92="","",IF(pf_BU="All",IF(SUMPRODUCT((calc_state=$A92)*_calc!$BW$4:$BW$72*_calc!$CI$4:$CI$72)=0,"—",SUMPRODUCT((calc_state=$A92)*_calc!$BW$4:$BW$72*_calc!$CI$4:$CI$72*_calc!$BK$4:$BK$72)/SUMPRODUCT((calc_state=$A92)*_calc!$BW$4:$BW$72*_calc!$CI$4:$CI$72)),IF($P$29=0,"",IF(INDEX(_calc!$O:$O,$P$29)=0,"—",INDEX(_calc!$O:$O,$P$29+27)/INDEX(_calc!$O:$O,$P$29+15)-1))))</f>
        <v>8.8314642083742179E-3</v>
      </c>
      <c r="C92" s="167">
        <f>IF($A92="","",IF(pf_BU="All",IF(SUMPRODUCT((calc_state=$A92)*_calc!$BX$4:$BX$72*_calc!$CI$4:$CI$72)=0,"—",SUMPRODUCT((calc_state=$A92)*_calc!$BX$4:$BX$72*_calc!$CI$4:$CI$72*_calc!$BL$4:$BL$72)/SUMPRODUCT((calc_state=$A92)*_calc!$BX$4:$BX$72*_calc!$CI$4:$CI$72)),IF($P$29=0,"",IF(INDEX(_calc!$O:$O,$P$29)=0,"—",INDEX(_calc!$O:$O,$P$29+28)/INDEX(_calc!$O:$O,$P$29+16)-1))))</f>
        <v>8.8251650184965058E-3</v>
      </c>
      <c r="D92" s="167">
        <f>IF($A92="","",IF(pf_BU="All",IF(SUMPRODUCT((calc_state=$A92)*_calc!$BY$4:$BY$72*_calc!$CI$4:$CI$72)=0,"—",SUMPRODUCT((calc_state=$A92)*_calc!$BY$4:$BY$72*_calc!$CI$4:$CI$72*_calc!$BM$4:$BM$72)/SUMPRODUCT((calc_state=$A92)*_calc!$BY$4:$BY$72*_calc!$CI$4:$CI$72)),IF($P$29=0,"",IF(INDEX(_calc!$O:$O,$P$29)=0,"—",INDEX(_calc!$O:$O,$P$29+29)/INDEX(_calc!$O:$O,$P$29+17)-1))))</f>
        <v>8.8188748082196344E-3</v>
      </c>
      <c r="E92" s="167">
        <f>IF($A92="","",IF(pf_BU="All",IF(SUMPRODUCT((calc_state=$A92)*_calc!$BZ$4:$BZ$72*_calc!$CI$4:$CI$72)=0,"—",SUMPRODUCT((calc_state=$A92)*_calc!$BZ$4:$BZ$72*_calc!$CI$4:$CI$72*_calc!$BN$4:$BN$72)/SUMPRODUCT((calc_state=$A92)*_calc!$BZ$4:$BZ$72*_calc!$CI$4:$CI$72)),IF($P$29=0,"",IF(INDEX(_calc!$O:$O,$P$29)=0,"—",INDEX(_calc!$O:$O,$P$29+30)/INDEX(_calc!$O:$O,$P$29+18)-1))))</f>
        <v>8.8123807914242125E-3</v>
      </c>
      <c r="F92" s="167">
        <f>IF($A92="","",IF(pf_BU="All",IF(SUMPRODUCT((calc_state=$A92)*_calc!$CA$4:$CA$72*_calc!$CI$4:$CI$72)=0,"—",SUMPRODUCT((calc_state=$A92)*_calc!$CA$4:$CA$72*_calc!$CI$4:$CI$72*_calc!$BO$4:$BO$72)/SUMPRODUCT((calc_state=$A92)*_calc!$CA$4:$CA$72*_calc!$CI$4:$CI$72)),IF($P$29=0,"",IF(INDEX(_calc!$O:$O,$P$29)=0,"—",INDEX(_calc!$O:$O,$P$29+31)/INDEX(_calc!$O:$O,$P$29+19)-1))))</f>
        <v>8.8058963316806071E-3</v>
      </c>
      <c r="G92" s="167">
        <f>IF($A92="","",IF(pf_BU="All",IF(SUMPRODUCT((calc_state=$A92)*_calc!$CB$4:$CB$72*_calc!$CI$4:$CI$72)=0,"—",SUMPRODUCT((calc_state=$A92)*_calc!$CB$4:$CB$72*_calc!$CI$4:$CI$72*_calc!$BP$4:$BP$72)/SUMPRODUCT((calc_state=$A92)*_calc!$CB$4:$CB$72*_calc!$CI$4:$CI$72)),IF($P$29=0,"",IF(INDEX(_calc!$O:$O,$P$29)=0,"—",INDEX(_calc!$O:$O,$P$29+32)/INDEX(_calc!$O:$O,$P$29+20)-1))))</f>
        <v>8.7994214079074595E-3</v>
      </c>
      <c r="H92" s="167">
        <f>IF($A92="","",IF(pf_BU="All",IF(SUMPRODUCT((calc_state=$A92)*_calc!$CC$4:$CC$72*_calc!$CI$4:$CI$72)=0,"—",SUMPRODUCT((calc_state=$A92)*_calc!$CC$4:$CC$72*_calc!$CI$4:$CI$72*_calc!$BQ$4:$BQ$72)/SUMPRODUCT((calc_state=$A92)*_calc!$CC$4:$CC$72*_calc!$CI$4:$CI$72)),IF($P$29=0,"",IF(INDEX(_calc!$O:$O,$P$29)=0,"—",INDEX(_calc!$O:$O,$P$29+33)/INDEX(_calc!$O:$O,$P$29+21)-1))))</f>
        <v>8.792955999084473E-3</v>
      </c>
      <c r="I92" s="167">
        <f>IF($A92="","",IF(pf_BU="All",IF(SUMPRODUCT((calc_state=$A92)*_calc!$CD$4:$CD$72*_calc!$CI$4:$CI$72)=0,"—",SUMPRODUCT((calc_state=$A92)*_calc!$CD$4:$CD$72*_calc!$CI$4:$CI$72*_calc!$BR$4:$BR$72)/SUMPRODUCT((calc_state=$A92)*_calc!$CD$4:$CD$72*_calc!$CI$4:$CI$72)),IF($P$29=0,"",IF(INDEX(_calc!$O:$O,$P$29)=0,"—",INDEX(_calc!$O:$O,$P$29+34)/INDEX(_calc!$O:$O,$P$29+22)-1))))</f>
        <v>8.7863943285630963E-3</v>
      </c>
      <c r="J92" s="167">
        <f>IF($A92="","",IF(pf_BU="All",IF(SUMPRODUCT((calc_state=$A92)*_calc!$CE$4:$CE$72*_calc!$CI$4:$CI$72)=0,"—",SUMPRODUCT((calc_state=$A92)*_calc!$CE$4:$CE$72*_calc!$CI$4:$CI$72*_calc!$BS$4:$BS$72)/SUMPRODUCT((calc_state=$A92)*_calc!$CE$4:$CE$72*_calc!$CI$4:$CI$72)),IF($P$29=0,"",IF(INDEX(_calc!$O:$O,$P$29)=0,"—",INDEX(_calc!$O:$O,$P$29+35)/INDEX(_calc!$O:$O,$P$29+23)-1))))</f>
        <v>8.7799480419512577E-3</v>
      </c>
      <c r="K92" s="167">
        <f>IF($A92="","",IF(pf_BU="All",IF(SUMPRODUCT((calc_state=$A92)*_calc!$CF$4:$CF$72*_calc!$CI$4:$CI$72)=0,"—",SUMPRODUCT((calc_state=$A92)*_calc!$CF$4:$CF$72*_calc!$CI$4:$CI$72*_calc!$BT$4:$BT$72)/SUMPRODUCT((calc_state=$A92)*_calc!$CF$4:$CF$72*_calc!$CI$4:$CI$72)),IF($P$29=0,"",IF(INDEX(_calc!$O:$O,$P$29)=0,"—",INDEX(_calc!$O:$O,$P$29+36)/INDEX(_calc!$O:$O,$P$29+24)-1))))</f>
        <v>8.7735112072593324E-3</v>
      </c>
      <c r="L92" s="167">
        <f>IF($A92="","",IF(pf_BU="All",IF(SUMPRODUCT((calc_state=$A92)*_calc!$CG$4:$CG$72*_calc!$CI$4:$CI$72)=0,"—",SUMPRODUCT((calc_state=$A92)*_calc!$CG$4:$CG$72*_calc!$CI$4:$CI$72*_calc!$BU$4:$BU$72)/SUMPRODUCT((calc_state=$A92)*_calc!$CG$4:$CG$72*_calc!$CI$4:$CI$72)),IF($P$29=0,"",IF(INDEX(_calc!$O:$O,$P$29)=0,"—",INDEX(_calc!$O:$O,$P$29+37)/INDEX(_calc!$O:$O,$P$29+25)-1))))</f>
        <v>8.7670838037132715E-3</v>
      </c>
      <c r="M92" s="167">
        <f>IF($A92="","",IF(pf_BU="All",IF(SUMPRODUCT((calc_state=$A92)*_calc!$CH$4:$CH$72*_calc!$CI$4:$CI$72)=0,"—",SUMPRODUCT((calc_state=$A92)*_calc!$CH$4:$CH$72*_calc!$CI$4:$CI$72*_calc!$BV$4:$BV$72)/SUMPRODUCT((calc_state=$A92)*_calc!$CH$4:$CH$72*_calc!$CI$4:$CI$72)),IF($P$29=0,"",IF(INDEX(_calc!$O:$O,$P$29)=0,"—",INDEX(_calc!$O:$O,$P$29+38)/INDEX(_calc!$O:$O,$P$29+26)-1))))</f>
        <v>8.7606658106016422E-3</v>
      </c>
    </row>
    <row r="93" spans="1:13" x14ac:dyDescent="0.3">
      <c r="A93" s="166" t="str">
        <f>_lists!$B$24</f>
        <v/>
      </c>
      <c r="B93" s="167" t="str">
        <f>IF($A93="","",IF(pf_BU="All",IF(SUMPRODUCT((calc_state=$A93)*_calc!$BW$4:$BW$72*_calc!$CI$4:$CI$72)=0,"—",SUMPRODUCT((calc_state=$A93)*_calc!$BW$4:$BW$72*_calc!$CI$4:$CI$72*_calc!$BK$4:$BK$72)/SUMPRODUCT((calc_state=$A93)*_calc!$BW$4:$BW$72*_calc!$CI$4:$CI$72)),IF($P$30=0,"",IF(INDEX(_calc!$O:$O,$P$30)=0,"—",INDEX(_calc!$O:$O,$P$30+27)/INDEX(_calc!$O:$O,$P$30+15)-1))))</f>
        <v/>
      </c>
      <c r="C93" s="167" t="str">
        <f>IF($A93="","",IF(pf_BU="All",IF(SUMPRODUCT((calc_state=$A93)*_calc!$BX$4:$BX$72*_calc!$CI$4:$CI$72)=0,"—",SUMPRODUCT((calc_state=$A93)*_calc!$BX$4:$BX$72*_calc!$CI$4:$CI$72*_calc!$BL$4:$BL$72)/SUMPRODUCT((calc_state=$A93)*_calc!$BX$4:$BX$72*_calc!$CI$4:$CI$72)),IF($P$30=0,"",IF(INDEX(_calc!$O:$O,$P$30)=0,"—",INDEX(_calc!$O:$O,$P$30+28)/INDEX(_calc!$O:$O,$P$30+16)-1))))</f>
        <v/>
      </c>
      <c r="D93" s="167" t="str">
        <f>IF($A93="","",IF(pf_BU="All",IF(SUMPRODUCT((calc_state=$A93)*_calc!$BY$4:$BY$72*_calc!$CI$4:$CI$72)=0,"—",SUMPRODUCT((calc_state=$A93)*_calc!$BY$4:$BY$72*_calc!$CI$4:$CI$72*_calc!$BM$4:$BM$72)/SUMPRODUCT((calc_state=$A93)*_calc!$BY$4:$BY$72*_calc!$CI$4:$CI$72)),IF($P$30=0,"",IF(INDEX(_calc!$O:$O,$P$30)=0,"—",INDEX(_calc!$O:$O,$P$30+29)/INDEX(_calc!$O:$O,$P$30+17)-1))))</f>
        <v/>
      </c>
      <c r="E93" s="167" t="str">
        <f>IF($A93="","",IF(pf_BU="All",IF(SUMPRODUCT((calc_state=$A93)*_calc!$BZ$4:$BZ$72*_calc!$CI$4:$CI$72)=0,"—",SUMPRODUCT((calc_state=$A93)*_calc!$BZ$4:$BZ$72*_calc!$CI$4:$CI$72*_calc!$BN$4:$BN$72)/SUMPRODUCT((calc_state=$A93)*_calc!$BZ$4:$BZ$72*_calc!$CI$4:$CI$72)),IF($P$30=0,"",IF(INDEX(_calc!$O:$O,$P$30)=0,"—",INDEX(_calc!$O:$O,$P$30+30)/INDEX(_calc!$O:$O,$P$30+18)-1))))</f>
        <v/>
      </c>
      <c r="F93" s="167" t="str">
        <f>IF($A93="","",IF(pf_BU="All",IF(SUMPRODUCT((calc_state=$A93)*_calc!$CA$4:$CA$72*_calc!$CI$4:$CI$72)=0,"—",SUMPRODUCT((calc_state=$A93)*_calc!$CA$4:$CA$72*_calc!$CI$4:$CI$72*_calc!$BO$4:$BO$72)/SUMPRODUCT((calc_state=$A93)*_calc!$CA$4:$CA$72*_calc!$CI$4:$CI$72)),IF($P$30=0,"",IF(INDEX(_calc!$O:$O,$P$30)=0,"—",INDEX(_calc!$O:$O,$P$30+31)/INDEX(_calc!$O:$O,$P$30+19)-1))))</f>
        <v/>
      </c>
      <c r="G93" s="167" t="str">
        <f>IF($A93="","",IF(pf_BU="All",IF(SUMPRODUCT((calc_state=$A93)*_calc!$CB$4:$CB$72*_calc!$CI$4:$CI$72)=0,"—",SUMPRODUCT((calc_state=$A93)*_calc!$CB$4:$CB$72*_calc!$CI$4:$CI$72*_calc!$BP$4:$BP$72)/SUMPRODUCT((calc_state=$A93)*_calc!$CB$4:$CB$72*_calc!$CI$4:$CI$72)),IF($P$30=0,"",IF(INDEX(_calc!$O:$O,$P$30)=0,"—",INDEX(_calc!$O:$O,$P$30+32)/INDEX(_calc!$O:$O,$P$30+20)-1))))</f>
        <v/>
      </c>
      <c r="H93" s="167" t="str">
        <f>IF($A93="","",IF(pf_BU="All",IF(SUMPRODUCT((calc_state=$A93)*_calc!$CC$4:$CC$72*_calc!$CI$4:$CI$72)=0,"—",SUMPRODUCT((calc_state=$A93)*_calc!$CC$4:$CC$72*_calc!$CI$4:$CI$72*_calc!$BQ$4:$BQ$72)/SUMPRODUCT((calc_state=$A93)*_calc!$CC$4:$CC$72*_calc!$CI$4:$CI$72)),IF($P$30=0,"",IF(INDEX(_calc!$O:$O,$P$30)=0,"—",INDEX(_calc!$O:$O,$P$30+33)/INDEX(_calc!$O:$O,$P$30+21)-1))))</f>
        <v/>
      </c>
      <c r="I93" s="167" t="str">
        <f>IF($A93="","",IF(pf_BU="All",IF(SUMPRODUCT((calc_state=$A93)*_calc!$CD$4:$CD$72*_calc!$CI$4:$CI$72)=0,"—",SUMPRODUCT((calc_state=$A93)*_calc!$CD$4:$CD$72*_calc!$CI$4:$CI$72*_calc!$BR$4:$BR$72)/SUMPRODUCT((calc_state=$A93)*_calc!$CD$4:$CD$72*_calc!$CI$4:$CI$72)),IF($P$30=0,"",IF(INDEX(_calc!$O:$O,$P$30)=0,"—",INDEX(_calc!$O:$O,$P$30+34)/INDEX(_calc!$O:$O,$P$30+22)-1))))</f>
        <v/>
      </c>
      <c r="J93" s="167" t="str">
        <f>IF($A93="","",IF(pf_BU="All",IF(SUMPRODUCT((calc_state=$A93)*_calc!$CE$4:$CE$72*_calc!$CI$4:$CI$72)=0,"—",SUMPRODUCT((calc_state=$A93)*_calc!$CE$4:$CE$72*_calc!$CI$4:$CI$72*_calc!$BS$4:$BS$72)/SUMPRODUCT((calc_state=$A93)*_calc!$CE$4:$CE$72*_calc!$CI$4:$CI$72)),IF($P$30=0,"",IF(INDEX(_calc!$O:$O,$P$30)=0,"—",INDEX(_calc!$O:$O,$P$30+35)/INDEX(_calc!$O:$O,$P$30+23)-1))))</f>
        <v/>
      </c>
      <c r="K93" s="167" t="str">
        <f>IF($A93="","",IF(pf_BU="All",IF(SUMPRODUCT((calc_state=$A93)*_calc!$CF$4:$CF$72*_calc!$CI$4:$CI$72)=0,"—",SUMPRODUCT((calc_state=$A93)*_calc!$CF$4:$CF$72*_calc!$CI$4:$CI$72*_calc!$BT$4:$BT$72)/SUMPRODUCT((calc_state=$A93)*_calc!$CF$4:$CF$72*_calc!$CI$4:$CI$72)),IF($P$30=0,"",IF(INDEX(_calc!$O:$O,$P$30)=0,"—",INDEX(_calc!$O:$O,$P$30+36)/INDEX(_calc!$O:$O,$P$30+24)-1))))</f>
        <v/>
      </c>
      <c r="L93" s="167" t="str">
        <f>IF($A93="","",IF(pf_BU="All",IF(SUMPRODUCT((calc_state=$A93)*_calc!$CG$4:$CG$72*_calc!$CI$4:$CI$72)=0,"—",SUMPRODUCT((calc_state=$A93)*_calc!$CG$4:$CG$72*_calc!$CI$4:$CI$72*_calc!$BU$4:$BU$72)/SUMPRODUCT((calc_state=$A93)*_calc!$CG$4:$CG$72*_calc!$CI$4:$CI$72)),IF($P$30=0,"",IF(INDEX(_calc!$O:$O,$P$30)=0,"—",INDEX(_calc!$O:$O,$P$30+37)/INDEX(_calc!$O:$O,$P$30+25)-1))))</f>
        <v/>
      </c>
      <c r="M93" s="167" t="str">
        <f>IF($A93="","",IF(pf_BU="All",IF(SUMPRODUCT((calc_state=$A93)*_calc!$CH$4:$CH$72*_calc!$CI$4:$CI$72)=0,"—",SUMPRODUCT((calc_state=$A93)*_calc!$CH$4:$CH$72*_calc!$CI$4:$CI$72*_calc!$BV$4:$BV$72)/SUMPRODUCT((calc_state=$A93)*_calc!$CH$4:$CH$72*_calc!$CI$4:$CI$72)),IF($P$30=0,"",IF(INDEX(_calc!$O:$O,$P$30)=0,"—",INDEX(_calc!$O:$O,$P$30+38)/INDEX(_calc!$O:$O,$P$30+26)-1))))</f>
        <v/>
      </c>
    </row>
    <row r="94" spans="1:13" x14ac:dyDescent="0.3">
      <c r="A94" s="166" t="str">
        <f>_lists!$B$25</f>
        <v/>
      </c>
      <c r="B94" s="167" t="str">
        <f>IF($A94="","",IF(pf_BU="All",IF(SUMPRODUCT((calc_state=$A94)*_calc!$BW$4:$BW$72*_calc!$CI$4:$CI$72)=0,"—",SUMPRODUCT((calc_state=$A94)*_calc!$BW$4:$BW$72*_calc!$CI$4:$CI$72*_calc!$BK$4:$BK$72)/SUMPRODUCT((calc_state=$A94)*_calc!$BW$4:$BW$72*_calc!$CI$4:$CI$72)),IF($P$31=0,"",IF(INDEX(_calc!$O:$O,$P$31)=0,"—",INDEX(_calc!$O:$O,$P$31+27)/INDEX(_calc!$O:$O,$P$31+15)-1))))</f>
        <v/>
      </c>
      <c r="C94" s="167" t="str">
        <f>IF($A94="","",IF(pf_BU="All",IF(SUMPRODUCT((calc_state=$A94)*_calc!$BX$4:$BX$72*_calc!$CI$4:$CI$72)=0,"—",SUMPRODUCT((calc_state=$A94)*_calc!$BX$4:$BX$72*_calc!$CI$4:$CI$72*_calc!$BL$4:$BL$72)/SUMPRODUCT((calc_state=$A94)*_calc!$BX$4:$BX$72*_calc!$CI$4:$CI$72)),IF($P$31=0,"",IF(INDEX(_calc!$O:$O,$P$31)=0,"—",INDEX(_calc!$O:$O,$P$31+28)/INDEX(_calc!$O:$O,$P$31+16)-1))))</f>
        <v/>
      </c>
      <c r="D94" s="167" t="str">
        <f>IF($A94="","",IF(pf_BU="All",IF(SUMPRODUCT((calc_state=$A94)*_calc!$BY$4:$BY$72*_calc!$CI$4:$CI$72)=0,"—",SUMPRODUCT((calc_state=$A94)*_calc!$BY$4:$BY$72*_calc!$CI$4:$CI$72*_calc!$BM$4:$BM$72)/SUMPRODUCT((calc_state=$A94)*_calc!$BY$4:$BY$72*_calc!$CI$4:$CI$72)),IF($P$31=0,"",IF(INDEX(_calc!$O:$O,$P$31)=0,"—",INDEX(_calc!$O:$O,$P$31+29)/INDEX(_calc!$O:$O,$P$31+17)-1))))</f>
        <v/>
      </c>
      <c r="E94" s="167" t="str">
        <f>IF($A94="","",IF(pf_BU="All",IF(SUMPRODUCT((calc_state=$A94)*_calc!$BZ$4:$BZ$72*_calc!$CI$4:$CI$72)=0,"—",SUMPRODUCT((calc_state=$A94)*_calc!$BZ$4:$BZ$72*_calc!$CI$4:$CI$72*_calc!$BN$4:$BN$72)/SUMPRODUCT((calc_state=$A94)*_calc!$BZ$4:$BZ$72*_calc!$CI$4:$CI$72)),IF($P$31=0,"",IF(INDEX(_calc!$O:$O,$P$31)=0,"—",INDEX(_calc!$O:$O,$P$31+30)/INDEX(_calc!$O:$O,$P$31+18)-1))))</f>
        <v/>
      </c>
      <c r="F94" s="167" t="str">
        <f>IF($A94="","",IF(pf_BU="All",IF(SUMPRODUCT((calc_state=$A94)*_calc!$CA$4:$CA$72*_calc!$CI$4:$CI$72)=0,"—",SUMPRODUCT((calc_state=$A94)*_calc!$CA$4:$CA$72*_calc!$CI$4:$CI$72*_calc!$BO$4:$BO$72)/SUMPRODUCT((calc_state=$A94)*_calc!$CA$4:$CA$72*_calc!$CI$4:$CI$72)),IF($P$31=0,"",IF(INDEX(_calc!$O:$O,$P$31)=0,"—",INDEX(_calc!$O:$O,$P$31+31)/INDEX(_calc!$O:$O,$P$31+19)-1))))</f>
        <v/>
      </c>
      <c r="G94" s="167" t="str">
        <f>IF($A94="","",IF(pf_BU="All",IF(SUMPRODUCT((calc_state=$A94)*_calc!$CB$4:$CB$72*_calc!$CI$4:$CI$72)=0,"—",SUMPRODUCT((calc_state=$A94)*_calc!$CB$4:$CB$72*_calc!$CI$4:$CI$72*_calc!$BP$4:$BP$72)/SUMPRODUCT((calc_state=$A94)*_calc!$CB$4:$CB$72*_calc!$CI$4:$CI$72)),IF($P$31=0,"",IF(INDEX(_calc!$O:$O,$P$31)=0,"—",INDEX(_calc!$O:$O,$P$31+32)/INDEX(_calc!$O:$O,$P$31+20)-1))))</f>
        <v/>
      </c>
      <c r="H94" s="167" t="str">
        <f>IF($A94="","",IF(pf_BU="All",IF(SUMPRODUCT((calc_state=$A94)*_calc!$CC$4:$CC$72*_calc!$CI$4:$CI$72)=0,"—",SUMPRODUCT((calc_state=$A94)*_calc!$CC$4:$CC$72*_calc!$CI$4:$CI$72*_calc!$BQ$4:$BQ$72)/SUMPRODUCT((calc_state=$A94)*_calc!$CC$4:$CC$72*_calc!$CI$4:$CI$72)),IF($P$31=0,"",IF(INDEX(_calc!$O:$O,$P$31)=0,"—",INDEX(_calc!$O:$O,$P$31+33)/INDEX(_calc!$O:$O,$P$31+21)-1))))</f>
        <v/>
      </c>
      <c r="I94" s="167" t="str">
        <f>IF($A94="","",IF(pf_BU="All",IF(SUMPRODUCT((calc_state=$A94)*_calc!$CD$4:$CD$72*_calc!$CI$4:$CI$72)=0,"—",SUMPRODUCT((calc_state=$A94)*_calc!$CD$4:$CD$72*_calc!$CI$4:$CI$72*_calc!$BR$4:$BR$72)/SUMPRODUCT((calc_state=$A94)*_calc!$CD$4:$CD$72*_calc!$CI$4:$CI$72)),IF($P$31=0,"",IF(INDEX(_calc!$O:$O,$P$31)=0,"—",INDEX(_calc!$O:$O,$P$31+34)/INDEX(_calc!$O:$O,$P$31+22)-1))))</f>
        <v/>
      </c>
      <c r="J94" s="167" t="str">
        <f>IF($A94="","",IF(pf_BU="All",IF(SUMPRODUCT((calc_state=$A94)*_calc!$CE$4:$CE$72*_calc!$CI$4:$CI$72)=0,"—",SUMPRODUCT((calc_state=$A94)*_calc!$CE$4:$CE$72*_calc!$CI$4:$CI$72*_calc!$BS$4:$BS$72)/SUMPRODUCT((calc_state=$A94)*_calc!$CE$4:$CE$72*_calc!$CI$4:$CI$72)),IF($P$31=0,"",IF(INDEX(_calc!$O:$O,$P$31)=0,"—",INDEX(_calc!$O:$O,$P$31+35)/INDEX(_calc!$O:$O,$P$31+23)-1))))</f>
        <v/>
      </c>
      <c r="K94" s="167" t="str">
        <f>IF($A94="","",IF(pf_BU="All",IF(SUMPRODUCT((calc_state=$A94)*_calc!$CF$4:$CF$72*_calc!$CI$4:$CI$72)=0,"—",SUMPRODUCT((calc_state=$A94)*_calc!$CF$4:$CF$72*_calc!$CI$4:$CI$72*_calc!$BT$4:$BT$72)/SUMPRODUCT((calc_state=$A94)*_calc!$CF$4:$CF$72*_calc!$CI$4:$CI$72)),IF($P$31=0,"",IF(INDEX(_calc!$O:$O,$P$31)=0,"—",INDEX(_calc!$O:$O,$P$31+36)/INDEX(_calc!$O:$O,$P$31+24)-1))))</f>
        <v/>
      </c>
      <c r="L94" s="167" t="str">
        <f>IF($A94="","",IF(pf_BU="All",IF(SUMPRODUCT((calc_state=$A94)*_calc!$CG$4:$CG$72*_calc!$CI$4:$CI$72)=0,"—",SUMPRODUCT((calc_state=$A94)*_calc!$CG$4:$CG$72*_calc!$CI$4:$CI$72*_calc!$BU$4:$BU$72)/SUMPRODUCT((calc_state=$A94)*_calc!$CG$4:$CG$72*_calc!$CI$4:$CI$72)),IF($P$31=0,"",IF(INDEX(_calc!$O:$O,$P$31)=0,"—",INDEX(_calc!$O:$O,$P$31+37)/INDEX(_calc!$O:$O,$P$31+25)-1))))</f>
        <v/>
      </c>
      <c r="M94" s="167" t="str">
        <f>IF($A94="","",IF(pf_BU="All",IF(SUMPRODUCT((calc_state=$A94)*_calc!$CH$4:$CH$72*_calc!$CI$4:$CI$72)=0,"—",SUMPRODUCT((calc_state=$A94)*_calc!$CH$4:$CH$72*_calc!$CI$4:$CI$72*_calc!$BV$4:$BV$72)/SUMPRODUCT((calc_state=$A94)*_calc!$CH$4:$CH$72*_calc!$CI$4:$CI$72)),IF($P$31=0,"",IF(INDEX(_calc!$O:$O,$P$31)=0,"—",INDEX(_calc!$O:$O,$P$31+38)/INDEX(_calc!$O:$O,$P$31+26)-1))))</f>
        <v/>
      </c>
    </row>
    <row r="95" spans="1:13" x14ac:dyDescent="0.3">
      <c r="A95" s="166" t="str">
        <f>_lists!$B$26</f>
        <v/>
      </c>
      <c r="B95" s="167" t="str">
        <f>IF($A95="","",IF(pf_BU="All",IF(SUMPRODUCT((calc_state=$A95)*_calc!$BW$4:$BW$72*_calc!$CI$4:$CI$72)=0,"—",SUMPRODUCT((calc_state=$A95)*_calc!$BW$4:$BW$72*_calc!$CI$4:$CI$72*_calc!$BK$4:$BK$72)/SUMPRODUCT((calc_state=$A95)*_calc!$BW$4:$BW$72*_calc!$CI$4:$CI$72)),IF($P$32=0,"",IF(INDEX(_calc!$O:$O,$P$32)=0,"—",INDEX(_calc!$O:$O,$P$32+27)/INDEX(_calc!$O:$O,$P$32+15)-1))))</f>
        <v/>
      </c>
      <c r="C95" s="167" t="str">
        <f>IF($A95="","",IF(pf_BU="All",IF(SUMPRODUCT((calc_state=$A95)*_calc!$BX$4:$BX$72*_calc!$CI$4:$CI$72)=0,"—",SUMPRODUCT((calc_state=$A95)*_calc!$BX$4:$BX$72*_calc!$CI$4:$CI$72*_calc!$BL$4:$BL$72)/SUMPRODUCT((calc_state=$A95)*_calc!$BX$4:$BX$72*_calc!$CI$4:$CI$72)),IF($P$32=0,"",IF(INDEX(_calc!$O:$O,$P$32)=0,"—",INDEX(_calc!$O:$O,$P$32+28)/INDEX(_calc!$O:$O,$P$32+16)-1))))</f>
        <v/>
      </c>
      <c r="D95" s="167" t="str">
        <f>IF($A95="","",IF(pf_BU="All",IF(SUMPRODUCT((calc_state=$A95)*_calc!$BY$4:$BY$72*_calc!$CI$4:$CI$72)=0,"—",SUMPRODUCT((calc_state=$A95)*_calc!$BY$4:$BY$72*_calc!$CI$4:$CI$72*_calc!$BM$4:$BM$72)/SUMPRODUCT((calc_state=$A95)*_calc!$BY$4:$BY$72*_calc!$CI$4:$CI$72)),IF($P$32=0,"",IF(INDEX(_calc!$O:$O,$P$32)=0,"—",INDEX(_calc!$O:$O,$P$32+29)/INDEX(_calc!$O:$O,$P$32+17)-1))))</f>
        <v/>
      </c>
      <c r="E95" s="167" t="str">
        <f>IF($A95="","",IF(pf_BU="All",IF(SUMPRODUCT((calc_state=$A95)*_calc!$BZ$4:$BZ$72*_calc!$CI$4:$CI$72)=0,"—",SUMPRODUCT((calc_state=$A95)*_calc!$BZ$4:$BZ$72*_calc!$CI$4:$CI$72*_calc!$BN$4:$BN$72)/SUMPRODUCT((calc_state=$A95)*_calc!$BZ$4:$BZ$72*_calc!$CI$4:$CI$72)),IF($P$32=0,"",IF(INDEX(_calc!$O:$O,$P$32)=0,"—",INDEX(_calc!$O:$O,$P$32+30)/INDEX(_calc!$O:$O,$P$32+18)-1))))</f>
        <v/>
      </c>
      <c r="F95" s="167" t="str">
        <f>IF($A95="","",IF(pf_BU="All",IF(SUMPRODUCT((calc_state=$A95)*_calc!$CA$4:$CA$72*_calc!$CI$4:$CI$72)=0,"—",SUMPRODUCT((calc_state=$A95)*_calc!$CA$4:$CA$72*_calc!$CI$4:$CI$72*_calc!$BO$4:$BO$72)/SUMPRODUCT((calc_state=$A95)*_calc!$CA$4:$CA$72*_calc!$CI$4:$CI$72)),IF($P$32=0,"",IF(INDEX(_calc!$O:$O,$P$32)=0,"—",INDEX(_calc!$O:$O,$P$32+31)/INDEX(_calc!$O:$O,$P$32+19)-1))))</f>
        <v/>
      </c>
      <c r="G95" s="167" t="str">
        <f>IF($A95="","",IF(pf_BU="All",IF(SUMPRODUCT((calc_state=$A95)*_calc!$CB$4:$CB$72*_calc!$CI$4:$CI$72)=0,"—",SUMPRODUCT((calc_state=$A95)*_calc!$CB$4:$CB$72*_calc!$CI$4:$CI$72*_calc!$BP$4:$BP$72)/SUMPRODUCT((calc_state=$A95)*_calc!$CB$4:$CB$72*_calc!$CI$4:$CI$72)),IF($P$32=0,"",IF(INDEX(_calc!$O:$O,$P$32)=0,"—",INDEX(_calc!$O:$O,$P$32+32)/INDEX(_calc!$O:$O,$P$32+20)-1))))</f>
        <v/>
      </c>
      <c r="H95" s="167" t="str">
        <f>IF($A95="","",IF(pf_BU="All",IF(SUMPRODUCT((calc_state=$A95)*_calc!$CC$4:$CC$72*_calc!$CI$4:$CI$72)=0,"—",SUMPRODUCT((calc_state=$A95)*_calc!$CC$4:$CC$72*_calc!$CI$4:$CI$72*_calc!$BQ$4:$BQ$72)/SUMPRODUCT((calc_state=$A95)*_calc!$CC$4:$CC$72*_calc!$CI$4:$CI$72)),IF($P$32=0,"",IF(INDEX(_calc!$O:$O,$P$32)=0,"—",INDEX(_calc!$O:$O,$P$32+33)/INDEX(_calc!$O:$O,$P$32+21)-1))))</f>
        <v/>
      </c>
      <c r="I95" s="167" t="str">
        <f>IF($A95="","",IF(pf_BU="All",IF(SUMPRODUCT((calc_state=$A95)*_calc!$CD$4:$CD$72*_calc!$CI$4:$CI$72)=0,"—",SUMPRODUCT((calc_state=$A95)*_calc!$CD$4:$CD$72*_calc!$CI$4:$CI$72*_calc!$BR$4:$BR$72)/SUMPRODUCT((calc_state=$A95)*_calc!$CD$4:$CD$72*_calc!$CI$4:$CI$72)),IF($P$32=0,"",IF(INDEX(_calc!$O:$O,$P$32)=0,"—",INDEX(_calc!$O:$O,$P$32+34)/INDEX(_calc!$O:$O,$P$32+22)-1))))</f>
        <v/>
      </c>
      <c r="J95" s="167" t="str">
        <f>IF($A95="","",IF(pf_BU="All",IF(SUMPRODUCT((calc_state=$A95)*_calc!$CE$4:$CE$72*_calc!$CI$4:$CI$72)=0,"—",SUMPRODUCT((calc_state=$A95)*_calc!$CE$4:$CE$72*_calc!$CI$4:$CI$72*_calc!$BS$4:$BS$72)/SUMPRODUCT((calc_state=$A95)*_calc!$CE$4:$CE$72*_calc!$CI$4:$CI$72)),IF($P$32=0,"",IF(INDEX(_calc!$O:$O,$P$32)=0,"—",INDEX(_calc!$O:$O,$P$32+35)/INDEX(_calc!$O:$O,$P$32+23)-1))))</f>
        <v/>
      </c>
      <c r="K95" s="167" t="str">
        <f>IF($A95="","",IF(pf_BU="All",IF(SUMPRODUCT((calc_state=$A95)*_calc!$CF$4:$CF$72*_calc!$CI$4:$CI$72)=0,"—",SUMPRODUCT((calc_state=$A95)*_calc!$CF$4:$CF$72*_calc!$CI$4:$CI$72*_calc!$BT$4:$BT$72)/SUMPRODUCT((calc_state=$A95)*_calc!$CF$4:$CF$72*_calc!$CI$4:$CI$72)),IF($P$32=0,"",IF(INDEX(_calc!$O:$O,$P$32)=0,"—",INDEX(_calc!$O:$O,$P$32+36)/INDEX(_calc!$O:$O,$P$32+24)-1))))</f>
        <v/>
      </c>
      <c r="L95" s="167" t="str">
        <f>IF($A95="","",IF(pf_BU="All",IF(SUMPRODUCT((calc_state=$A95)*_calc!$CG$4:$CG$72*_calc!$CI$4:$CI$72)=0,"—",SUMPRODUCT((calc_state=$A95)*_calc!$CG$4:$CG$72*_calc!$CI$4:$CI$72*_calc!$BU$4:$BU$72)/SUMPRODUCT((calc_state=$A95)*_calc!$CG$4:$CG$72*_calc!$CI$4:$CI$72)),IF($P$32=0,"",IF(INDEX(_calc!$O:$O,$P$32)=0,"—",INDEX(_calc!$O:$O,$P$32+37)/INDEX(_calc!$O:$O,$P$32+25)-1))))</f>
        <v/>
      </c>
      <c r="M95" s="167" t="str">
        <f>IF($A95="","",IF(pf_BU="All",IF(SUMPRODUCT((calc_state=$A95)*_calc!$CH$4:$CH$72*_calc!$CI$4:$CI$72)=0,"—",SUMPRODUCT((calc_state=$A95)*_calc!$CH$4:$CH$72*_calc!$CI$4:$CI$72*_calc!$BV$4:$BV$72)/SUMPRODUCT((calc_state=$A95)*_calc!$CH$4:$CH$72*_calc!$CI$4:$CI$72)),IF($P$32=0,"",IF(INDEX(_calc!$O:$O,$P$32)=0,"—",INDEX(_calc!$O:$O,$P$32+38)/INDEX(_calc!$O:$O,$P$32+26)-1))))</f>
        <v/>
      </c>
    </row>
    <row r="96" spans="1:13" x14ac:dyDescent="0.3">
      <c r="A96" s="168" t="str">
        <f>IF(pf_BU="All","BOOK AVG","BU AVG")</f>
        <v>BU AVG</v>
      </c>
      <c r="B96" s="169">
        <f>IF(SUMPRODUCT(((pf_BU="All")+(calc_bu=pf_BU))*_calc!$BW$4:$BW$72*_calc!$CI$4:$CI$72)=0,"—",SUMPRODUCT(((pf_BU="All")+(calc_bu=pf_BU))*_calc!$BW$4:$BW$72*_calc!$CI$4:$CI$72*_calc!$BK$4:$BK$72)/SUMPRODUCT(((pf_BU="All")+(calc_bu=pf_BU))*_calc!$BW$4:$BW$72*_calc!$CI$4:$CI$72))</f>
        <v>6.8124609234985747E-3</v>
      </c>
      <c r="C96" s="169">
        <f>IF(SUMPRODUCT(((pf_BU="All")+(calc_bu=pf_BU))*_calc!$BX$4:$BX$72*_calc!$CI$4:$CI$72)=0,"—",SUMPRODUCT(((pf_BU="All")+(calc_bu=pf_BU))*_calc!$BX$4:$BX$72*_calc!$CI$4:$CI$72*_calc!$BL$4:$BL$72)/SUMPRODUCT(((pf_BU="All")+(calc_bu=pf_BU))*_calc!$BX$4:$BX$72*_calc!$CI$4:$CI$72))</f>
        <v>6.7155417542969437E-3</v>
      </c>
      <c r="D96" s="169">
        <f>IF(SUMPRODUCT(((pf_BU="All")+(calc_bu=pf_BU))*_calc!$BY$4:$BY$72*_calc!$CI$4:$CI$72)=0,"—",SUMPRODUCT(((pf_BU="All")+(calc_bu=pf_BU))*_calc!$BY$4:$BY$72*_calc!$CI$4:$CI$72*_calc!$BM$4:$BM$72)/SUMPRODUCT(((pf_BU="All")+(calc_bu=pf_BU))*_calc!$BY$4:$BY$72*_calc!$CI$4:$CI$72))</f>
        <v>6.6188024677870704E-3</v>
      </c>
      <c r="E96" s="169">
        <f>IF(SUMPRODUCT(((pf_BU="All")+(calc_bu=pf_BU))*_calc!$BZ$4:$BZ$72*_calc!$CI$4:$CI$72)=0,"—",SUMPRODUCT(((pf_BU="All")+(calc_bu=pf_BU))*_calc!$BZ$4:$BZ$72*_calc!$CI$4:$CI$72*_calc!$BN$4:$BN$72)/SUMPRODUCT(((pf_BU="All")+(calc_bu=pf_BU))*_calc!$BZ$4:$BZ$72*_calc!$CI$4:$CI$72))</f>
        <v>6.5189724437645629E-3</v>
      </c>
      <c r="F96" s="169">
        <f>IF(SUMPRODUCT(((pf_BU="All")+(calc_bu=pf_BU))*_calc!$CA$4:$CA$72*_calc!$CI$4:$CI$72)=0,"—",SUMPRODUCT(((pf_BU="All")+(calc_bu=pf_BU))*_calc!$CA$4:$CA$72*_calc!$CI$4:$CI$72*_calc!$BO$4:$BO$72)/SUMPRODUCT(((pf_BU="All")+(calc_bu=pf_BU))*_calc!$CA$4:$CA$72*_calc!$CI$4:$CI$72))</f>
        <v>6.4193335369904193E-3</v>
      </c>
      <c r="G96" s="169">
        <f>IF(SUMPRODUCT(((pf_BU="All")+(calc_bu=pf_BU))*_calc!$CB$4:$CB$72*_calc!$CI$4:$CI$72)=0,"—",SUMPRODUCT(((pf_BU="All")+(calc_bu=pf_BU))*_calc!$CB$4:$CB$72*_calc!$CI$4:$CI$72*_calc!$BP$4:$BP$72)/SUMPRODUCT(((pf_BU="All")+(calc_bu=pf_BU))*_calc!$CB$4:$CB$72*_calc!$CI$4:$CI$72))</f>
        <v>6.3198851578321769E-3</v>
      </c>
      <c r="H96" s="169">
        <f>IF(SUMPRODUCT(((pf_BU="All")+(calc_bu=pf_BU))*_calc!$CC$4:$CC$72*_calc!$CI$4:$CI$72)=0,"—",SUMPRODUCT(((pf_BU="All")+(calc_bu=pf_BU))*_calc!$CC$4:$CC$72*_calc!$CI$4:$CI$72*_calc!$BQ$4:$BQ$72)/SUMPRODUCT(((pf_BU="All")+(calc_bu=pf_BU))*_calc!$CC$4:$CC$72*_calc!$CI$4:$CI$72))</f>
        <v>6.2206267192605651E-3</v>
      </c>
      <c r="I96" s="169">
        <f>IF(SUMPRODUCT(((pf_BU="All")+(calc_bu=pf_BU))*_calc!$CD$4:$CD$72*_calc!$CI$4:$CI$72)=0,"—",SUMPRODUCT(((pf_BU="All")+(calc_bu=pf_BU))*_calc!$CD$4:$CD$72*_calc!$CI$4:$CI$72*_calc!$BR$4:$BR$72)/SUMPRODUCT(((pf_BU="All")+(calc_bu=pf_BU))*_calc!$CD$4:$CD$72*_calc!$CI$4:$CI$72))</f>
        <v>6.1199351277967775E-3</v>
      </c>
      <c r="J96" s="169">
        <f>IF(SUMPRODUCT(((pf_BU="All")+(calc_bu=pf_BU))*_calc!$CE$4:$CE$72*_calc!$CI$4:$CI$72)=0,"—",SUMPRODUCT(((pf_BU="All")+(calc_bu=pf_BU))*_calc!$CE$4:$CE$72*_calc!$CI$4:$CI$72*_calc!$BS$4:$BS$72)/SUMPRODUCT(((pf_BU="All")+(calc_bu=pf_BU))*_calc!$CE$4:$CE$72*_calc!$CI$4:$CI$72))</f>
        <v>6.0210579094684379E-3</v>
      </c>
      <c r="K96" s="169">
        <f>IF(SUMPRODUCT(((pf_BU="All")+(calc_bu=pf_BU))*_calc!$CF$4:$CF$72*_calc!$CI$4:$CI$72)=0,"—",SUMPRODUCT(((pf_BU="All")+(calc_bu=pf_BU))*_calc!$CF$4:$CF$72*_calc!$CI$4:$CI$72*_calc!$BT$4:$BT$72)/SUMPRODUCT(((pf_BU="All")+(calc_bu=pf_BU))*_calc!$CF$4:$CF$72*_calc!$CI$4:$CI$72))</f>
        <v>5.9673266016868707E-3</v>
      </c>
      <c r="L96" s="169">
        <f>IF(SUMPRODUCT(((pf_BU="All")+(calc_bu=pf_BU))*_calc!$CG$4:$CG$72*_calc!$CI$4:$CI$72)=0,"—",SUMPRODUCT(((pf_BU="All")+(calc_bu=pf_BU))*_calc!$CG$4:$CG$72*_calc!$CI$4:$CI$72*_calc!$BU$4:$BU$72)/SUMPRODUCT(((pf_BU="All")+(calc_bu=pf_BU))*_calc!$CG$4:$CG$72*_calc!$CI$4:$CI$72))</f>
        <v>5.9571678154297595E-3</v>
      </c>
      <c r="M96" s="169">
        <f>IF(SUMPRODUCT(((pf_BU="All")+(calc_bu=pf_BU))*_calc!$CH$4:$CH$72*_calc!$CI$4:$CI$72)=0,"—",SUMPRODUCT(((pf_BU="All")+(calc_bu=pf_BU))*_calc!$CH$4:$CH$72*_calc!$CI$4:$CI$72*_calc!$BV$4:$BV$72)/SUMPRODUCT(((pf_BU="All")+(calc_bu=pf_BU))*_calc!$CH$4:$CH$72*_calc!$CI$4:$CI$72))</f>
        <v>5.9470339075930276E-3</v>
      </c>
    </row>
    <row r="100" spans="1:13" ht="15.6" x14ac:dyDescent="0.3">
      <c r="A100" s="3" t="s">
        <v>336</v>
      </c>
    </row>
    <row r="101" spans="1:13" x14ac:dyDescent="0.3">
      <c r="A101" s="51" t="s">
        <v>337</v>
      </c>
    </row>
    <row r="102" spans="1:13" x14ac:dyDescent="0.3">
      <c r="A102" s="41" t="s">
        <v>104</v>
      </c>
      <c r="B102" s="165" t="str">
        <f>TEXT(DATE(nr_PlanYear,1,1),"mmm")&amp;" "&amp;nr_PlanYear</f>
        <v>Jan 2027</v>
      </c>
      <c r="C102" s="165" t="str">
        <f>TEXT(DATE(nr_PlanYear,2,1),"mmm")&amp;" "&amp;nr_PlanYear</f>
        <v>Feb 2027</v>
      </c>
      <c r="D102" s="165" t="str">
        <f>TEXT(DATE(nr_PlanYear,3,1),"mmm")&amp;" "&amp;nr_PlanYear</f>
        <v>Mar 2027</v>
      </c>
      <c r="E102" s="165" t="str">
        <f>TEXT(DATE(nr_PlanYear,4,1),"mmm")&amp;" "&amp;nr_PlanYear</f>
        <v>Apr 2027</v>
      </c>
      <c r="F102" s="165" t="str">
        <f>TEXT(DATE(nr_PlanYear,5,1),"mmm")&amp;" "&amp;nr_PlanYear</f>
        <v>May 2027</v>
      </c>
      <c r="G102" s="165" t="str">
        <f>TEXT(DATE(nr_PlanYear,6,1),"mmm")&amp;" "&amp;nr_PlanYear</f>
        <v>Jun 2027</v>
      </c>
      <c r="H102" s="165" t="str">
        <f>TEXT(DATE(nr_PlanYear,7,1),"mmm")&amp;" "&amp;nr_PlanYear</f>
        <v>Jul 2027</v>
      </c>
      <c r="I102" s="165" t="str">
        <f>TEXT(DATE(nr_PlanYear,8,1),"mmm")&amp;" "&amp;nr_PlanYear</f>
        <v>Aug 2027</v>
      </c>
      <c r="J102" s="165" t="str">
        <f>TEXT(DATE(nr_PlanYear,9,1),"mmm")&amp;" "&amp;nr_PlanYear</f>
        <v>Sep 2027</v>
      </c>
      <c r="K102" s="165" t="str">
        <f>TEXT(DATE(nr_PlanYear,10,1),"mmm")&amp;" "&amp;nr_PlanYear</f>
        <v>Oct 2027</v>
      </c>
      <c r="L102" s="165" t="str">
        <f>TEXT(DATE(nr_PlanYear,11,1),"mmm")&amp;" "&amp;nr_PlanYear</f>
        <v>Nov 2027</v>
      </c>
      <c r="M102" s="165" t="str">
        <f>TEXT(DATE(nr_PlanYear,12,1),"mmm")&amp;" "&amp;nr_PlanYear</f>
        <v>Dec 2027</v>
      </c>
    </row>
    <row r="103" spans="1:13" x14ac:dyDescent="0.3">
      <c r="A103" s="166" t="str">
        <f>_lists!$B$3</f>
        <v>AZ</v>
      </c>
      <c r="B103" s="167">
        <f>IF($A103="","",IF(pf_BU="All",IF(SUMPRODUCT((calc_state=$A103)*_calc!$BW$4:$BW$72)=0,"",SUMPRODUCT((calc_state=$A103)*_calc!$BW$4:$BW$72*_calc!$AM$4:$AM$72)/SUMPRODUCT((calc_state=$A103)*_calc!$BW$4:$BW$72)),IF($P$9=0,"",INDEX(_calc!$N:$N,$P$9+27)/INDEX(_calc!$N:$N,$P$9+15)*IF(INDEX(_calc!$O:$O,$P$9)=1,INDEX(_calc!$O:$O,$P$9+27)/INDEX(_calc!$O:$O,$P$9+15),1)-1)))</f>
        <v>9.0124969179460113E-2</v>
      </c>
      <c r="C103" s="167">
        <f>IF($A103="","",IF(pf_BU="All",IF(SUMPRODUCT((calc_state=$A103)*_calc!$BX$4:$BX$72)=0,"",SUMPRODUCT((calc_state=$A103)*_calc!$BX$4:$BX$72*_calc!$AN$4:$AN$72)/SUMPRODUCT((calc_state=$A103)*_calc!$BX$4:$BX$72)),IF($P$9=0,"",INDEX(_calc!$N:$N,$P$9+28)/INDEX(_calc!$N:$N,$P$9+16)*IF(INDEX(_calc!$O:$O,$P$9)=1,INDEX(_calc!$O:$O,$P$9+28)/INDEX(_calc!$O:$O,$P$9+16),1)-1)))</f>
        <v>9.0055932466725386E-2</v>
      </c>
      <c r="D103" s="167">
        <f>IF($A103="","",IF(pf_BU="All",IF(SUMPRODUCT((calc_state=$A103)*_calc!$BY$4:$BY$72)=0,"",SUMPRODUCT((calc_state=$A103)*_calc!$BY$4:$BY$72*_calc!$AO$4:$AO$72)/SUMPRODUCT((calc_state=$A103)*_calc!$BY$4:$BY$72)),IF($P$9=0,"",INDEX(_calc!$N:$N,$P$9+29)/INDEX(_calc!$N:$N,$P$9+17)*IF(INDEX(_calc!$O:$O,$P$9)=1,INDEX(_calc!$O:$O,$P$9+29)/INDEX(_calc!$O:$O,$P$9+17),1)-1)))</f>
        <v>8.998721145027333E-2</v>
      </c>
      <c r="E103" s="167">
        <f>IF($A103="","",IF(pf_BU="All",IF(SUMPRODUCT((calc_state=$A103)*_calc!$BZ$4:$BZ$72)=0,"",SUMPRODUCT((calc_state=$A103)*_calc!$BZ$4:$BZ$72*_calc!$AP$4:$AP$72)/SUMPRODUCT((calc_state=$A103)*_calc!$BZ$4:$BZ$72)),IF($P$9=0,"",INDEX(_calc!$N:$N,$P$9+30)/INDEX(_calc!$N:$N,$P$9+18)*IF(INDEX(_calc!$O:$O,$P$9)=1,INDEX(_calc!$O:$O,$P$9+30)/INDEX(_calc!$O:$O,$P$9+18),1)-1)))</f>
        <v>0.14441231506778696</v>
      </c>
      <c r="F103" s="167">
        <f>IF($A103="","",IF(pf_BU="All",IF(SUMPRODUCT((calc_state=$A103)*_calc!$CA$4:$CA$72)=0,"",SUMPRODUCT((calc_state=$A103)*_calc!$CA$4:$CA$72*_calc!$AQ$4:$AQ$72)/SUMPRODUCT((calc_state=$A103)*_calc!$CA$4:$CA$72)),IF($P$9=0,"",INDEX(_calc!$N:$N,$P$9+31)/INDEX(_calc!$N:$N,$P$9+19)*IF(INDEX(_calc!$O:$O,$P$9)=1,INDEX(_calc!$O:$O,$P$9+31)/INDEX(_calc!$O:$O,$P$9+19),1)-1)))</f>
        <v>0.14433840753931015</v>
      </c>
      <c r="G103" s="167">
        <f>IF($A103="","",IF(pf_BU="All",IF(SUMPRODUCT((calc_state=$A103)*_calc!$CB$4:$CB$72)=0,"",SUMPRODUCT((calc_state=$A103)*_calc!$CB$4:$CB$72*_calc!$AR$4:$AR$72)/SUMPRODUCT((calc_state=$A103)*_calc!$CB$4:$CB$72)),IF($P$9=0,"",INDEX(_calc!$N:$N,$P$9+32)/INDEX(_calc!$N:$N,$P$9+20)*IF(INDEX(_calc!$O:$O,$P$9)=1,INDEX(_calc!$O:$O,$P$9+32)/INDEX(_calc!$O:$O,$P$9+20),1)-1)))</f>
        <v>0.14426484697673225</v>
      </c>
      <c r="H103" s="167">
        <f>IF($A103="","",IF(pf_BU="All",IF(SUMPRODUCT((calc_state=$A103)*_calc!$CC$4:$CC$72)=0,"",SUMPRODUCT((calc_state=$A103)*_calc!$CC$4:$CC$72*_calc!$AS$4:$AS$72)/SUMPRODUCT((calc_state=$A103)*_calc!$CC$4:$CC$72)),IF($P$9=0,"",INDEX(_calc!$N:$N,$P$9+33)/INDEX(_calc!$N:$N,$P$9+21)*IF(INDEX(_calc!$O:$O,$P$9)=1,INDEX(_calc!$O:$O,$P$9+33)/INDEX(_calc!$O:$O,$P$9+21),1)-1)))</f>
        <v>7.9426066926866712E-2</v>
      </c>
      <c r="I103" s="167">
        <f>IF($A103="","",IF(pf_BU="All",IF(SUMPRODUCT((calc_state=$A103)*_calc!$CD$4:$CD$72)=0,"",SUMPRODUCT((calc_state=$A103)*_calc!$CD$4:$CD$72*_calc!$AT$4:$AT$72)/SUMPRODUCT((calc_state=$A103)*_calc!$CD$4:$CD$72)),IF($P$9=0,"",INDEX(_calc!$N:$N,$P$9+34)/INDEX(_calc!$N:$N,$P$9+22)*IF(INDEX(_calc!$O:$O,$P$9)=1,INDEX(_calc!$O:$O,$P$9+34)/INDEX(_calc!$O:$O,$P$9+22),1)-1)))</f>
        <v>7.9356193588745461E-2</v>
      </c>
      <c r="J103" s="167">
        <f>IF($A103="","",IF(pf_BU="All",IF(SUMPRODUCT((calc_state=$A103)*_calc!$CE$4:$CE$72)=0,"",SUMPRODUCT((calc_state=$A103)*_calc!$CE$4:$CE$72*_calc!$AU$4:$AU$72)/SUMPRODUCT((calc_state=$A103)*_calc!$CE$4:$CE$72)),IF($P$9=0,"",INDEX(_calc!$N:$N,$P$9+35)/INDEX(_calc!$N:$N,$P$9+23)*IF(INDEX(_calc!$O:$O,$P$9)=1,INDEX(_calc!$O:$O,$P$9+35)/INDEX(_calc!$O:$O,$P$9+23),1)-1)))</f>
        <v>7.9287770333953178E-2</v>
      </c>
      <c r="K103" s="167">
        <f>IF($A103="","",IF(pf_BU="All",IF(SUMPRODUCT((calc_state=$A103)*_calc!$CF$4:$CF$72)=0,"",SUMPRODUCT((calc_state=$A103)*_calc!$CF$4:$CF$72*_calc!$AV$4:$AV$72)/SUMPRODUCT((calc_state=$A103)*_calc!$CF$4:$CF$72)),IF($P$9=0,"",INDEX(_calc!$N:$N,$P$9+36)/INDEX(_calc!$N:$N,$P$9+24)*IF(INDEX(_calc!$O:$O,$P$9)=1,INDEX(_calc!$O:$O,$P$9+36)/INDEX(_calc!$O:$O,$P$9+24),1)-1)))</f>
        <v>7.9219665298550179E-2</v>
      </c>
      <c r="L103" s="167">
        <f>IF($A103="","",IF(pf_BU="All",IF(SUMPRODUCT((calc_state=$A103)*_calc!$CG$4:$CG$72)=0,"",SUMPRODUCT((calc_state=$A103)*_calc!$CG$4:$CG$72*_calc!$AW$4:$AW$72)/SUMPRODUCT((calc_state=$A103)*_calc!$CG$4:$CG$72)),IF($P$9=0,"",INDEX(_calc!$N:$N,$P$9+37)/INDEX(_calc!$N:$N,$P$9+25)*IF(INDEX(_calc!$O:$O,$P$9)=1,INDEX(_calc!$O:$O,$P$9+37)/INDEX(_calc!$O:$O,$P$9+25),1)-1)))</f>
        <v>7.9151876267748777E-2</v>
      </c>
      <c r="M103" s="167">
        <f>IF($A103="","",IF(pf_BU="All",IF(SUMPRODUCT((calc_state=$A103)*_calc!$CH$4:$CH$72)=0,"",SUMPRODUCT((calc_state=$A103)*_calc!$CH$4:$CH$72*_calc!$AX$4:$AX$72)/SUMPRODUCT((calc_state=$A103)*_calc!$CH$4:$CH$72)),IF($P$9=0,"",INDEX(_calc!$N:$N,$P$9+38)/INDEX(_calc!$N:$N,$P$9+26)*IF(INDEX(_calc!$O:$O,$P$9)=1,INDEX(_calc!$O:$O,$P$9+38)/INDEX(_calc!$O:$O,$P$9+26),1)-1)))</f>
        <v>7.9084401047266217E-2</v>
      </c>
    </row>
    <row r="104" spans="1:13" x14ac:dyDescent="0.3">
      <c r="A104" s="166" t="str">
        <f>_lists!$B$4</f>
        <v>CO</v>
      </c>
      <c r="B104" s="167">
        <f>IF($A104="","",IF(pf_BU="All",IF(SUMPRODUCT((calc_state=$A104)*_calc!$BW$4:$BW$72)=0,"",SUMPRODUCT((calc_state=$A104)*_calc!$BW$4:$BW$72*_calc!$AM$4:$AM$72)/SUMPRODUCT((calc_state=$A104)*_calc!$BW$4:$BW$72)),IF($P$10=0,"",INDEX(_calc!$N:$N,$P$10+27)/INDEX(_calc!$N:$N,$P$10+15)*IF(INDEX(_calc!$O:$O,$P$10)=1,INDEX(_calc!$O:$O,$P$10+27)/INDEX(_calc!$O:$O,$P$10+15),1)-1)))</f>
        <v>3.4534079465486478E-2</v>
      </c>
      <c r="C104" s="167">
        <f>IF($A104="","",IF(pf_BU="All",IF(SUMPRODUCT((calc_state=$A104)*_calc!$BX$4:$BX$72)=0,"",SUMPRODUCT((calc_state=$A104)*_calc!$BX$4:$BX$72*_calc!$AN$4:$AN$72)/SUMPRODUCT((calc_state=$A104)*_calc!$BX$4:$BX$72)),IF($P$10=0,"",INDEX(_calc!$N:$N,$P$10+28)/INDEX(_calc!$N:$N,$P$10+16)*IF(INDEX(_calc!$O:$O,$P$10)=1,INDEX(_calc!$O:$O,$P$10+28)/INDEX(_calc!$O:$O,$P$10+16),1)-1)))</f>
        <v>4.4576471439249588E-2</v>
      </c>
      <c r="D104" s="167">
        <f>IF($A104="","",IF(pf_BU="All",IF(SUMPRODUCT((calc_state=$A104)*_calc!$BY$4:$BY$72)=0,"",SUMPRODUCT((calc_state=$A104)*_calc!$BY$4:$BY$72*_calc!$AO$4:$AO$72)/SUMPRODUCT((calc_state=$A104)*_calc!$BY$4:$BY$72)),IF($P$10=0,"",INDEX(_calc!$N:$N,$P$10+29)/INDEX(_calc!$N:$N,$P$10+17)*IF(INDEX(_calc!$O:$O,$P$10)=1,INDEX(_calc!$O:$O,$P$10+29)/INDEX(_calc!$O:$O,$P$10+17),1)-1)))</f>
        <v>4.4574844381775502E-2</v>
      </c>
      <c r="E104" s="167">
        <f>IF($A104="","",IF(pf_BU="All",IF(SUMPRODUCT((calc_state=$A104)*_calc!$BZ$4:$BZ$72)=0,"",SUMPRODUCT((calc_state=$A104)*_calc!$BZ$4:$BZ$72*_calc!$AP$4:$AP$72)/SUMPRODUCT((calc_state=$A104)*_calc!$BZ$4:$BZ$72)),IF($P$10=0,"",INDEX(_calc!$N:$N,$P$10+30)/INDEX(_calc!$N:$N,$P$10+18)*IF(INDEX(_calc!$O:$O,$P$10)=1,INDEX(_calc!$O:$O,$P$10+30)/INDEX(_calc!$O:$O,$P$10+18),1)-1)))</f>
        <v>4.4573163385779546E-2</v>
      </c>
      <c r="F104" s="167">
        <f>IF($A104="","",IF(pf_BU="All",IF(SUMPRODUCT((calc_state=$A104)*_calc!$CA$4:$CA$72)=0,"",SUMPRODUCT((calc_state=$A104)*_calc!$CA$4:$CA$72*_calc!$AQ$4:$AQ$72)/SUMPRODUCT((calc_state=$A104)*_calc!$CA$4:$CA$72)),IF($P$10=0,"",INDEX(_calc!$N:$N,$P$10+31)/INDEX(_calc!$N:$N,$P$10+19)*IF(INDEX(_calc!$O:$O,$P$10)=1,INDEX(_calc!$O:$O,$P$10+31)/INDEX(_calc!$O:$O,$P$10+19),1)-1)))</f>
        <v>4.4571483624671115E-2</v>
      </c>
      <c r="G104" s="167">
        <f>IF($A104="","",IF(pf_BU="All",IF(SUMPRODUCT((calc_state=$A104)*_calc!$CB$4:$CB$72)=0,"",SUMPRODUCT((calc_state=$A104)*_calc!$CB$4:$CB$72*_calc!$AR$4:$AR$72)/SUMPRODUCT((calc_state=$A104)*_calc!$CB$4:$CB$72)),IF($P$10=0,"",INDEX(_calc!$N:$N,$P$10+32)/INDEX(_calc!$N:$N,$P$10+20)*IF(INDEX(_calc!$O:$O,$P$10)=1,INDEX(_calc!$O:$O,$P$10+32)/INDEX(_calc!$O:$O,$P$10+20),1)-1)))</f>
        <v>4.4569805097090409E-2</v>
      </c>
      <c r="H104" s="167">
        <f>IF($A104="","",IF(pf_BU="All",IF(SUMPRODUCT((calc_state=$A104)*_calc!$CC$4:$CC$72)=0,"",SUMPRODUCT((calc_state=$A104)*_calc!$CC$4:$CC$72*_calc!$AS$4:$AS$72)/SUMPRODUCT((calc_state=$A104)*_calc!$CC$4:$CC$72)),IF($P$10=0,"",INDEX(_calc!$N:$N,$P$10+33)/INDEX(_calc!$N:$N,$P$10+21)*IF(INDEX(_calc!$O:$O,$P$10)=1,INDEX(_calc!$O:$O,$P$10+33)/INDEX(_calc!$O:$O,$P$10+21),1)-1)))</f>
        <v>4.4568127801678736E-2</v>
      </c>
      <c r="I104" s="167">
        <f>IF($A104="","",IF(pf_BU="All",IF(SUMPRODUCT((calc_state=$A104)*_calc!$CD$4:$CD$72)=0,"",SUMPRODUCT((calc_state=$A104)*_calc!$CD$4:$CD$72*_calc!$AT$4:$AT$72)/SUMPRODUCT((calc_state=$A104)*_calc!$CD$4:$CD$72)),IF($P$10=0,"",INDEX(_calc!$N:$N,$P$10+34)/INDEX(_calc!$N:$N,$P$10+22)*IF(INDEX(_calc!$O:$O,$P$10)=1,INDEX(_calc!$O:$O,$P$10+34)/INDEX(_calc!$O:$O,$P$10+22),1)-1)))</f>
        <v>4.4566424270857663E-2</v>
      </c>
      <c r="J104" s="167">
        <f>IF($A104="","",IF(pf_BU="All",IF(SUMPRODUCT((calc_state=$A104)*_calc!$CE$4:$CE$72)=0,"",SUMPRODUCT((calc_state=$A104)*_calc!$CE$4:$CE$72*_calc!$AU$4:$AU$72)/SUMPRODUCT((calc_state=$A104)*_calc!$CE$4:$CE$72)),IF($P$10=0,"",INDEX(_calc!$N:$N,$P$10+35)/INDEX(_calc!$N:$N,$P$10+23)*IF(INDEX(_calc!$O:$O,$P$10)=1,INDEX(_calc!$O:$O,$P$10+35)/INDEX(_calc!$O:$O,$P$10+23),1)-1)))</f>
        <v>4.4564749455861641E-2</v>
      </c>
      <c r="K104" s="167">
        <f>IF($A104="","",IF(pf_BU="All",IF(SUMPRODUCT((calc_state=$A104)*_calc!$CF$4:$CF$72)=0,"",SUMPRODUCT((calc_state=$A104)*_calc!$CF$4:$CF$72*_calc!$AV$4:$AV$72)/SUMPRODUCT((calc_state=$A104)*_calc!$CF$4:$CF$72)),IF($P$10=0,"",INDEX(_calc!$N:$N,$P$10+36)/INDEX(_calc!$N:$N,$P$10+24)*IF(INDEX(_calc!$O:$O,$P$10)=1,INDEX(_calc!$O:$O,$P$10+36)/INDEX(_calc!$O:$O,$P$10+24),1)-1)))</f>
        <v>4.456307586894992E-2</v>
      </c>
      <c r="L104" s="167">
        <f>IF($A104="","",IF(pf_BU="All",IF(SUMPRODUCT((calc_state=$A104)*_calc!$CG$4:$CG$72)=0,"",SUMPRODUCT((calc_state=$A104)*_calc!$CG$4:$CG$72*_calc!$AW$4:$AW$72)/SUMPRODUCT((calc_state=$A104)*_calc!$CG$4:$CG$72)),IF($P$10=0,"",INDEX(_calc!$N:$N,$P$10+37)/INDEX(_calc!$N:$N,$P$10+25)*IF(INDEX(_calc!$O:$O,$P$10)=1,INDEX(_calc!$O:$O,$P$10+37)/INDEX(_calc!$O:$O,$P$10+25),1)-1)))</f>
        <v>4.4561403508771802E-2</v>
      </c>
      <c r="M104" s="167">
        <f>IF($A104="","",IF(pf_BU="All",IF(SUMPRODUCT((calc_state=$A104)*_calc!$CH$4:$CH$72)=0,"",SUMPRODUCT((calc_state=$A104)*_calc!$CH$4:$CH$72*_calc!$AX$4:$AX$72)/SUMPRODUCT((calc_state=$A104)*_calc!$CH$4:$CH$72)),IF($P$10=0,"",INDEX(_calc!$N:$N,$P$10+38)/INDEX(_calc!$N:$N,$P$10+26)*IF(INDEX(_calc!$O:$O,$P$10)=1,INDEX(_calc!$O:$O,$P$10+38)/INDEX(_calc!$O:$O,$P$10+26),1)-1)))</f>
        <v>4.4559732373979699E-2</v>
      </c>
    </row>
    <row r="105" spans="1:13" x14ac:dyDescent="0.3">
      <c r="A105" s="166" t="str">
        <f>_lists!$B$5</f>
        <v>DE</v>
      </c>
      <c r="B105" s="167">
        <f>IF($A105="","",IF(pf_BU="All",IF(SUMPRODUCT((calc_state=$A105)*_calc!$BW$4:$BW$72)=0,"",SUMPRODUCT((calc_state=$A105)*_calc!$BW$4:$BW$72*_calc!$AM$4:$AM$72)/SUMPRODUCT((calc_state=$A105)*_calc!$BW$4:$BW$72)),IF($P$11=0,"",INDEX(_calc!$N:$N,$P$11+27)/INDEX(_calc!$N:$N,$P$11+15)*IF(INDEX(_calc!$O:$O,$P$11)=1,INDEX(_calc!$O:$O,$P$11+27)/INDEX(_calc!$O:$O,$P$11+15),1)-1)))</f>
        <v>1.7773665757693902E-2</v>
      </c>
      <c r="C105" s="167">
        <f>IF($A105="","",IF(pf_BU="All",IF(SUMPRODUCT((calc_state=$A105)*_calc!$BX$4:$BX$72)=0,"",SUMPRODUCT((calc_state=$A105)*_calc!$BX$4:$BX$72*_calc!$AN$4:$AN$72)/SUMPRODUCT((calc_state=$A105)*_calc!$BX$4:$BX$72)),IF($P$11=0,"",INDEX(_calc!$N:$N,$P$11+28)/INDEX(_calc!$N:$N,$P$11+16)*IF(INDEX(_calc!$O:$O,$P$11)=1,INDEX(_calc!$O:$O,$P$11+28)/INDEX(_calc!$O:$O,$P$11+16),1)-1)))</f>
        <v>1.7748170479686909E-2</v>
      </c>
      <c r="D105" s="167">
        <f>IF($A105="","",IF(pf_BU="All",IF(SUMPRODUCT((calc_state=$A105)*_calc!$BY$4:$BY$72)=0,"",SUMPRODUCT((calc_state=$A105)*_calc!$BY$4:$BY$72*_calc!$AO$4:$AO$72)/SUMPRODUCT((calc_state=$A105)*_calc!$BY$4:$BY$72)),IF($P$11=0,"",INDEX(_calc!$N:$N,$P$11+29)/INDEX(_calc!$N:$N,$P$11+17)*IF(INDEX(_calc!$O:$O,$P$11)=1,INDEX(_calc!$O:$O,$P$11+29)/INDEX(_calc!$O:$O,$P$11+17),1)-1)))</f>
        <v>1.7722748239864083E-2</v>
      </c>
      <c r="E105" s="167">
        <f>IF($A105="","",IF(pf_BU="All",IF(SUMPRODUCT((calc_state=$A105)*_calc!$BZ$4:$BZ$72)=0,"",SUMPRODUCT((calc_state=$A105)*_calc!$BZ$4:$BZ$72*_calc!$AP$4:$AP$72)/SUMPRODUCT((calc_state=$A105)*_calc!$BZ$4:$BZ$72)),IF($P$11=0,"",INDEX(_calc!$N:$N,$P$11+30)/INDEX(_calc!$N:$N,$P$11+18)*IF(INDEX(_calc!$O:$O,$P$11)=1,INDEX(_calc!$O:$O,$P$11+30)/INDEX(_calc!$O:$O,$P$11+18),1)-1)))</f>
        <v>1.7696540689922768E-2</v>
      </c>
      <c r="F105" s="167">
        <f>IF($A105="","",IF(pf_BU="All",IF(SUMPRODUCT((calc_state=$A105)*_calc!$CA$4:$CA$72)=0,"",SUMPRODUCT((calc_state=$A105)*_calc!$CA$4:$CA$72*_calc!$AQ$4:$AQ$72)/SUMPRODUCT((calc_state=$A105)*_calc!$CA$4:$CA$72)),IF($P$11=0,"",INDEX(_calc!$N:$N,$P$11+31)/INDEX(_calc!$N:$N,$P$11+19)*IF(INDEX(_calc!$O:$O,$P$11)=1,INDEX(_calc!$O:$O,$P$11+31)/INDEX(_calc!$O:$O,$P$11+19),1)-1)))</f>
        <v>1.7670410534469383E-2</v>
      </c>
      <c r="G105" s="167">
        <f>IF($A105="","",IF(pf_BU="All",IF(SUMPRODUCT((calc_state=$A105)*_calc!$CB$4:$CB$72)=0,"",SUMPRODUCT((calc_state=$A105)*_calc!$CB$4:$CB$72*_calc!$AR$4:$AR$72)/SUMPRODUCT((calc_state=$A105)*_calc!$CB$4:$CB$72)),IF($P$11=0,"",INDEX(_calc!$N:$N,$P$11+32)/INDEX(_calc!$N:$N,$P$11+20)*IF(INDEX(_calc!$O:$O,$P$11)=1,INDEX(_calc!$O:$O,$P$11+32)/INDEX(_calc!$O:$O,$P$11+20),1)-1)))</f>
        <v>1.7644357431174873E-2</v>
      </c>
      <c r="H105" s="167">
        <f>IF($A105="","",IF(pf_BU="All",IF(SUMPRODUCT((calc_state=$A105)*_calc!$CC$4:$CC$72)=0,"",SUMPRODUCT((calc_state=$A105)*_calc!$CC$4:$CC$72*_calc!$AS$4:$AS$72)/SUMPRODUCT((calc_state=$A105)*_calc!$CC$4:$CC$72)),IF($P$11=0,"",INDEX(_calc!$N:$N,$P$11+33)/INDEX(_calc!$N:$N,$P$11+21)*IF(INDEX(_calc!$O:$O,$P$11)=1,INDEX(_calc!$O:$O,$P$11+33)/INDEX(_calc!$O:$O,$P$11+21),1)-1)))</f>
        <v>1.7618381039725906E-2</v>
      </c>
      <c r="I105" s="167">
        <f>IF($A105="","",IF(pf_BU="All",IF(SUMPRODUCT((calc_state=$A105)*_calc!$CD$4:$CD$72)=0,"",SUMPRODUCT((calc_state=$A105)*_calc!$CD$4:$CD$72*_calc!$AT$4:$AT$72)/SUMPRODUCT((calc_state=$A105)*_calc!$CD$4:$CD$72)),IF($P$11=0,"",INDEX(_calc!$N:$N,$P$11+34)/INDEX(_calc!$N:$N,$P$11+22)*IF(INDEX(_calc!$O:$O,$P$11)=1,INDEX(_calc!$O:$O,$P$11+34)/INDEX(_calc!$O:$O,$P$11+22),1)-1)))</f>
        <v>1.7592057065741296E-2</v>
      </c>
      <c r="J105" s="167">
        <f>IF($A105="","",IF(pf_BU="All",IF(SUMPRODUCT((calc_state=$A105)*_calc!$CE$4:$CE$72)=0,"",SUMPRODUCT((calc_state=$A105)*_calc!$CE$4:$CE$72*_calc!$AU$4:$AU$72)/SUMPRODUCT((calc_state=$A105)*_calc!$CE$4:$CE$72)),IF($P$11=0,"",INDEX(_calc!$N:$N,$P$11+35)/INDEX(_calc!$N:$N,$P$11+23)*IF(INDEX(_calc!$O:$O,$P$11)=1,INDEX(_calc!$O:$O,$P$11+35)/INDEX(_calc!$O:$O,$P$11+23),1)-1)))</f>
        <v>1.7566234328753261E-2</v>
      </c>
      <c r="K105" s="167">
        <f>IF($A105="","",IF(pf_BU="All",IF(SUMPRODUCT((calc_state=$A105)*_calc!$CF$4:$CF$72)=0,"",SUMPRODUCT((calc_state=$A105)*_calc!$CF$4:$CF$72*_calc!$AV$4:$AV$72)/SUMPRODUCT((calc_state=$A105)*_calc!$CF$4:$CF$72)),IF($P$11=0,"",INDEX(_calc!$N:$N,$P$11+36)/INDEX(_calc!$N:$N,$P$11+24)*IF(INDEX(_calc!$O:$O,$P$11)=1,INDEX(_calc!$O:$O,$P$11+36)/INDEX(_calc!$O:$O,$P$11+24),1)-1)))</f>
        <v>1.7540487289153583E-2</v>
      </c>
      <c r="L105" s="167">
        <f>IF($A105="","",IF(pf_BU="All",IF(SUMPRODUCT((calc_state=$A105)*_calc!$CG$4:$CG$72)=0,"",SUMPRODUCT((calc_state=$A105)*_calc!$CG$4:$CG$72*_calc!$AW$4:$AW$72)/SUMPRODUCT((calc_state=$A105)*_calc!$CG$4:$CG$72)),IF($P$11=0,"",INDEX(_calc!$N:$N,$P$11+37)/INDEX(_calc!$N:$N,$P$11+25)*IF(INDEX(_calc!$O:$O,$P$11)=1,INDEX(_calc!$O:$O,$P$11+37)/INDEX(_calc!$O:$O,$P$11+25),1)-1)))</f>
        <v>1.7514815614577905E-2</v>
      </c>
      <c r="M105" s="167">
        <f>IF($A105="","",IF(pf_BU="All",IF(SUMPRODUCT((calc_state=$A105)*_calc!$CH$4:$CH$72)=0,"",SUMPRODUCT((calc_state=$A105)*_calc!$CH$4:$CH$72*_calc!$AX$4:$AX$72)/SUMPRODUCT((calc_state=$A105)*_calc!$CH$4:$CH$72)),IF($P$11=0,"",INDEX(_calc!$N:$N,$P$11+38)/INDEX(_calc!$N:$N,$P$11+26)*IF(INDEX(_calc!$O:$O,$P$11)=1,INDEX(_calc!$O:$O,$P$11+38)/INDEX(_calc!$O:$O,$P$11+26),1)-1)))</f>
        <v>1.7489218974604537E-2</v>
      </c>
    </row>
    <row r="106" spans="1:13" x14ac:dyDescent="0.3">
      <c r="A106" s="166" t="str">
        <f>_lists!$B$6</f>
        <v>FL</v>
      </c>
      <c r="B106" s="167">
        <f>IF($A106="","",IF(pf_BU="All",IF(SUMPRODUCT((calc_state=$A106)*_calc!$BW$4:$BW$72)=0,"",SUMPRODUCT((calc_state=$A106)*_calc!$BW$4:$BW$72*_calc!$AM$4:$AM$72)/SUMPRODUCT((calc_state=$A106)*_calc!$BW$4:$BW$72)),IF($P$12=0,"",INDEX(_calc!$N:$N,$P$12+27)/INDEX(_calc!$N:$N,$P$12+15)*IF(INDEX(_calc!$O:$O,$P$12)=1,INDEX(_calc!$O:$O,$P$12+27)/INDEX(_calc!$O:$O,$P$12+15),1)-1)))</f>
        <v>5.0000000000000044E-2</v>
      </c>
      <c r="C106" s="167">
        <f>IF($A106="","",IF(pf_BU="All",IF(SUMPRODUCT((calc_state=$A106)*_calc!$BX$4:$BX$72)=0,"",SUMPRODUCT((calc_state=$A106)*_calc!$BX$4:$BX$72*_calc!$AN$4:$AN$72)/SUMPRODUCT((calc_state=$A106)*_calc!$BX$4:$BX$72)),IF($P$12=0,"",INDEX(_calc!$N:$N,$P$12+28)/INDEX(_calc!$N:$N,$P$12+16)*IF(INDEX(_calc!$O:$O,$P$12)=1,INDEX(_calc!$O:$O,$P$12+28)/INDEX(_calc!$O:$O,$P$12+16),1)-1)))</f>
        <v>5.0000000000000044E-2</v>
      </c>
      <c r="D106" s="167">
        <f>IF($A106="","",IF(pf_BU="All",IF(SUMPRODUCT((calc_state=$A106)*_calc!$BY$4:$BY$72)=0,"",SUMPRODUCT((calc_state=$A106)*_calc!$BY$4:$BY$72*_calc!$AO$4:$AO$72)/SUMPRODUCT((calc_state=$A106)*_calc!$BY$4:$BY$72)),IF($P$12=0,"",INDEX(_calc!$N:$N,$P$12+29)/INDEX(_calc!$N:$N,$P$12+17)*IF(INDEX(_calc!$O:$O,$P$12)=1,INDEX(_calc!$O:$O,$P$12+29)/INDEX(_calc!$O:$O,$P$12+17),1)-1)))</f>
        <v>5.0000000000000044E-2</v>
      </c>
      <c r="E106" s="167">
        <f>IF($A106="","",IF(pf_BU="All",IF(SUMPRODUCT((calc_state=$A106)*_calc!$BZ$4:$BZ$72)=0,"",SUMPRODUCT((calc_state=$A106)*_calc!$BZ$4:$BZ$72*_calc!$AP$4:$AP$72)/SUMPRODUCT((calc_state=$A106)*_calc!$BZ$4:$BZ$72)),IF($P$12=0,"",INDEX(_calc!$N:$N,$P$12+30)/INDEX(_calc!$N:$N,$P$12+18)*IF(INDEX(_calc!$O:$O,$P$12)=1,INDEX(_calc!$O:$O,$P$12+30)/INDEX(_calc!$O:$O,$P$12+18),1)-1)))</f>
        <v>0</v>
      </c>
      <c r="F106" s="167">
        <f>IF($A106="","",IF(pf_BU="All",IF(SUMPRODUCT((calc_state=$A106)*_calc!$CA$4:$CA$72)=0,"",SUMPRODUCT((calc_state=$A106)*_calc!$CA$4:$CA$72*_calc!$AQ$4:$AQ$72)/SUMPRODUCT((calc_state=$A106)*_calc!$CA$4:$CA$72)),IF($P$12=0,"",INDEX(_calc!$N:$N,$P$12+31)/INDEX(_calc!$N:$N,$P$12+19)*IF(INDEX(_calc!$O:$O,$P$12)=1,INDEX(_calc!$O:$O,$P$12+31)/INDEX(_calc!$O:$O,$P$12+19),1)-1)))</f>
        <v>0</v>
      </c>
      <c r="G106" s="167">
        <f>IF($A106="","",IF(pf_BU="All",IF(SUMPRODUCT((calc_state=$A106)*_calc!$CB$4:$CB$72)=0,"",SUMPRODUCT((calc_state=$A106)*_calc!$CB$4:$CB$72*_calc!$AR$4:$AR$72)/SUMPRODUCT((calc_state=$A106)*_calc!$CB$4:$CB$72)),IF($P$12=0,"",INDEX(_calc!$N:$N,$P$12+32)/INDEX(_calc!$N:$N,$P$12+20)*IF(INDEX(_calc!$O:$O,$P$12)=1,INDEX(_calc!$O:$O,$P$12+32)/INDEX(_calc!$O:$O,$P$12+20),1)-1)))</f>
        <v>0</v>
      </c>
      <c r="H106" s="167">
        <f>IF($A106="","",IF(pf_BU="All",IF(SUMPRODUCT((calc_state=$A106)*_calc!$CC$4:$CC$72)=0,"",SUMPRODUCT((calc_state=$A106)*_calc!$CC$4:$CC$72*_calc!$AS$4:$AS$72)/SUMPRODUCT((calc_state=$A106)*_calc!$CC$4:$CC$72)),IF($P$12=0,"",INDEX(_calc!$N:$N,$P$12+33)/INDEX(_calc!$N:$N,$P$12+21)*IF(INDEX(_calc!$O:$O,$P$12)=1,INDEX(_calc!$O:$O,$P$12+33)/INDEX(_calc!$O:$O,$P$12+21),1)-1)))</f>
        <v>0</v>
      </c>
      <c r="I106" s="167">
        <f>IF($A106="","",IF(pf_BU="All",IF(SUMPRODUCT((calc_state=$A106)*_calc!$CD$4:$CD$72)=0,"",SUMPRODUCT((calc_state=$A106)*_calc!$CD$4:$CD$72*_calc!$AT$4:$AT$72)/SUMPRODUCT((calc_state=$A106)*_calc!$CD$4:$CD$72)),IF($P$12=0,"",INDEX(_calc!$N:$N,$P$12+34)/INDEX(_calc!$N:$N,$P$12+22)*IF(INDEX(_calc!$O:$O,$P$12)=1,INDEX(_calc!$O:$O,$P$12+34)/INDEX(_calc!$O:$O,$P$12+22),1)-1)))</f>
        <v>0</v>
      </c>
      <c r="J106" s="167">
        <f>IF($A106="","",IF(pf_BU="All",IF(SUMPRODUCT((calc_state=$A106)*_calc!$CE$4:$CE$72)=0,"",SUMPRODUCT((calc_state=$A106)*_calc!$CE$4:$CE$72*_calc!$AU$4:$AU$72)/SUMPRODUCT((calc_state=$A106)*_calc!$CE$4:$CE$72)),IF($P$12=0,"",INDEX(_calc!$N:$N,$P$12+35)/INDEX(_calc!$N:$N,$P$12+23)*IF(INDEX(_calc!$O:$O,$P$12)=1,INDEX(_calc!$O:$O,$P$12+35)/INDEX(_calc!$O:$O,$P$12+23),1)-1)))</f>
        <v>0</v>
      </c>
      <c r="K106" s="167">
        <f>IF($A106="","",IF(pf_BU="All",IF(SUMPRODUCT((calc_state=$A106)*_calc!$CF$4:$CF$72)=0,"",SUMPRODUCT((calc_state=$A106)*_calc!$CF$4:$CF$72*_calc!$AV$4:$AV$72)/SUMPRODUCT((calc_state=$A106)*_calc!$CF$4:$CF$72)),IF($P$12=0,"",INDEX(_calc!$N:$N,$P$12+36)/INDEX(_calc!$N:$N,$P$12+24)*IF(INDEX(_calc!$O:$O,$P$12)=1,INDEX(_calc!$O:$O,$P$12+36)/INDEX(_calc!$O:$O,$P$12+24),1)-1)))</f>
        <v>0</v>
      </c>
      <c r="L106" s="167">
        <f>IF($A106="","",IF(pf_BU="All",IF(SUMPRODUCT((calc_state=$A106)*_calc!$CG$4:$CG$72)=0,"",SUMPRODUCT((calc_state=$A106)*_calc!$CG$4:$CG$72*_calc!$AW$4:$AW$72)/SUMPRODUCT((calc_state=$A106)*_calc!$CG$4:$CG$72)),IF($P$12=0,"",INDEX(_calc!$N:$N,$P$12+37)/INDEX(_calc!$N:$N,$P$12+25)*IF(INDEX(_calc!$O:$O,$P$12)=1,INDEX(_calc!$O:$O,$P$12+37)/INDEX(_calc!$O:$O,$P$12+25),1)-1)))</f>
        <v>0</v>
      </c>
      <c r="M106" s="167">
        <f>IF($A106="","",IF(pf_BU="All",IF(SUMPRODUCT((calc_state=$A106)*_calc!$CH$4:$CH$72)=0,"",SUMPRODUCT((calc_state=$A106)*_calc!$CH$4:$CH$72*_calc!$AX$4:$AX$72)/SUMPRODUCT((calc_state=$A106)*_calc!$CH$4:$CH$72)),IF($P$12=0,"",INDEX(_calc!$N:$N,$P$12+38)/INDEX(_calc!$N:$N,$P$12+26)*IF(INDEX(_calc!$O:$O,$P$12)=1,INDEX(_calc!$O:$O,$P$12+38)/INDEX(_calc!$O:$O,$P$12+26),1)-1)))</f>
        <v>0</v>
      </c>
    </row>
    <row r="107" spans="1:13" x14ac:dyDescent="0.3">
      <c r="A107" s="166" t="str">
        <f>_lists!$B$7</f>
        <v>GA</v>
      </c>
      <c r="B107" s="167">
        <f>IF($A107="","",IF(pf_BU="All",IF(SUMPRODUCT((calc_state=$A107)*_calc!$BW$4:$BW$72)=0,"",SUMPRODUCT((calc_state=$A107)*_calc!$BW$4:$BW$72*_calc!$AM$4:$AM$72)/SUMPRODUCT((calc_state=$A107)*_calc!$BW$4:$BW$72)),IF($P$13=0,"",INDEX(_calc!$N:$N,$P$13+27)/INDEX(_calc!$N:$N,$P$13+15)*IF(INDEX(_calc!$O:$O,$P$13)=1,INDEX(_calc!$O:$O,$P$13+27)/INDEX(_calc!$O:$O,$P$13+15),1)-1)))</f>
        <v>7.4085908630304065E-2</v>
      </c>
      <c r="C107" s="167">
        <f>IF($A107="","",IF(pf_BU="All",IF(SUMPRODUCT((calc_state=$A107)*_calc!$BX$4:$BX$72)=0,"",SUMPRODUCT((calc_state=$A107)*_calc!$BX$4:$BX$72*_calc!$AN$4:$AN$72)/SUMPRODUCT((calc_state=$A107)*_calc!$BX$4:$BX$72)),IF($P$13=0,"",INDEX(_calc!$N:$N,$P$13+28)/INDEX(_calc!$N:$N,$P$13+16)*IF(INDEX(_calc!$O:$O,$P$13)=1,INDEX(_calc!$O:$O,$P$13+28)/INDEX(_calc!$O:$O,$P$13+16),1)-1)))</f>
        <v>7.4070796460177224E-2</v>
      </c>
      <c r="D107" s="167">
        <f>IF($A107="","",IF(pf_BU="All",IF(SUMPRODUCT((calc_state=$A107)*_calc!$BY$4:$BY$72)=0,"",SUMPRODUCT((calc_state=$A107)*_calc!$BY$4:$BY$72*_calc!$AO$4:$AO$72)/SUMPRODUCT((calc_state=$A107)*_calc!$BY$4:$BY$72)),IF($P$13=0,"",INDEX(_calc!$N:$N,$P$13+29)/INDEX(_calc!$N:$N,$P$13+17)*IF(INDEX(_calc!$O:$O,$P$13)=1,INDEX(_calc!$O:$O,$P$13+29)/INDEX(_calc!$O:$O,$P$13+17),1)-1)))</f>
        <v>7.4055716681702854E-2</v>
      </c>
      <c r="E107" s="167">
        <f>IF($A107="","",IF(pf_BU="All",IF(SUMPRODUCT((calc_state=$A107)*_calc!$BZ$4:$BZ$72)=0,"",SUMPRODUCT((calc_state=$A107)*_calc!$BZ$4:$BZ$72*_calc!$AP$4:$AP$72)/SUMPRODUCT((calc_state=$A107)*_calc!$BZ$4:$BZ$72)),IF($P$13=0,"",INDEX(_calc!$N:$N,$P$13+30)/INDEX(_calc!$N:$N,$P$13+18)*IF(INDEX(_calc!$O:$O,$P$13)=1,INDEX(_calc!$O:$O,$P$13+30)/INDEX(_calc!$O:$O,$P$13+18),1)-1)))</f>
        <v>7.4040159670981209E-2</v>
      </c>
      <c r="F107" s="167">
        <f>IF($A107="","",IF(pf_BU="All",IF(SUMPRODUCT((calc_state=$A107)*_calc!$CA$4:$CA$72)=0,"",SUMPRODUCT((calc_state=$A107)*_calc!$CA$4:$CA$72*_calc!$AQ$4:$AQ$72)/SUMPRODUCT((calc_state=$A107)*_calc!$CA$4:$CA$72)),IF($P$13=0,"",INDEX(_calc!$N:$N,$P$13+31)/INDEX(_calc!$N:$N,$P$13+19)*IF(INDEX(_calc!$O:$O,$P$13)=1,INDEX(_calc!$O:$O,$P$13+31)/INDEX(_calc!$O:$O,$P$13+19),1)-1)))</f>
        <v>1.3230789678775778E-2</v>
      </c>
      <c r="G107" s="167">
        <f>IF($A107="","",IF(pf_BU="All",IF(SUMPRODUCT((calc_state=$A107)*_calc!$CB$4:$CB$72)=0,"",SUMPRODUCT((calc_state=$A107)*_calc!$CB$4:$CB$72*_calc!$AR$4:$AR$72)/SUMPRODUCT((calc_state=$A107)*_calc!$CB$4:$CB$72)),IF($P$13=0,"",INDEX(_calc!$N:$N,$P$13+32)/INDEX(_calc!$N:$N,$P$13+20)*IF(INDEX(_calc!$O:$O,$P$13)=1,INDEX(_calc!$O:$O,$P$13+32)/INDEX(_calc!$O:$O,$P$13+20),1)-1)))</f>
        <v>1.3216178050281746E-2</v>
      </c>
      <c r="H107" s="167">
        <f>IF($A107="","",IF(pf_BU="All",IF(SUMPRODUCT((calc_state=$A107)*_calc!$CC$4:$CC$72)=0,"",SUMPRODUCT((calc_state=$A107)*_calc!$CC$4:$CC$72*_calc!$AS$4:$AS$72)/SUMPRODUCT((calc_state=$A107)*_calc!$CC$4:$CC$72)),IF($P$13=0,"",INDEX(_calc!$N:$N,$P$13+33)/INDEX(_calc!$N:$N,$P$13+21)*IF(INDEX(_calc!$O:$O,$P$13)=1,INDEX(_calc!$O:$O,$P$13+33)/INDEX(_calc!$O:$O,$P$13+21),1)-1)))</f>
        <v>1.320159865934456E-2</v>
      </c>
      <c r="I107" s="167">
        <f>IF($A107="","",IF(pf_BU="All",IF(SUMPRODUCT((calc_state=$A107)*_calc!$CD$4:$CD$72)=0,"",SUMPRODUCT((calc_state=$A107)*_calc!$CD$4:$CD$72*_calc!$AT$4:$AT$72)/SUMPRODUCT((calc_state=$A107)*_calc!$CD$4:$CD$72)),IF($P$13=0,"",INDEX(_calc!$N:$N,$P$13+34)/INDEX(_calc!$N:$N,$P$13+22)*IF(INDEX(_calc!$O:$O,$P$13)=1,INDEX(_calc!$O:$O,$P$13+34)/INDEX(_calc!$O:$O,$P$13+22),1)-1)))</f>
        <v>1.3186813186813362E-2</v>
      </c>
      <c r="J107" s="167">
        <f>IF($A107="","",IF(pf_BU="All",IF(SUMPRODUCT((calc_state=$A107)*_calc!$CE$4:$CE$72)=0,"",SUMPRODUCT((calc_state=$A107)*_calc!$CE$4:$CE$72*_calc!$AU$4:$AU$72)/SUMPRODUCT((calc_state=$A107)*_calc!$CE$4:$CE$72)),IF($P$13=0,"",INDEX(_calc!$N:$N,$P$13+35)/INDEX(_calc!$N:$N,$P$13+23)*IF(INDEX(_calc!$O:$O,$P$13)=1,INDEX(_calc!$O:$O,$P$13+35)/INDEX(_calc!$O:$O,$P$13+23),1)-1)))</f>
        <v>1.3172298475862876E-2</v>
      </c>
      <c r="K107" s="167">
        <f>IF($A107="","",IF(pf_BU="All",IF(SUMPRODUCT((calc_state=$A107)*_calc!$CF$4:$CF$72)=0,"",SUMPRODUCT((calc_state=$A107)*_calc!$CF$4:$CF$72*_calc!$AV$4:$AV$72)/SUMPRODUCT((calc_state=$A107)*_calc!$CF$4:$CF$72)),IF($P$13=0,"",INDEX(_calc!$N:$N,$P$13+36)/INDEX(_calc!$N:$N,$P$13+24)*IF(INDEX(_calc!$O:$O,$P$13)=1,INDEX(_calc!$O:$O,$P$13+36)/INDEX(_calc!$O:$O,$P$13+24),1)-1)))</f>
        <v>1.3157815682433904E-2</v>
      </c>
      <c r="L107" s="167">
        <f>IF($A107="","",IF(pf_BU="All",IF(SUMPRODUCT((calc_state=$A107)*_calc!$CG$4:$CG$72)=0,"",SUMPRODUCT((calc_state=$A107)*_calc!$CG$4:$CG$72*_calc!$AW$4:$AW$72)/SUMPRODUCT((calc_state=$A107)*_calc!$CG$4:$CG$72)),IF($P$13=0,"",INDEX(_calc!$N:$N,$P$13+37)/INDEX(_calc!$N:$N,$P$13+25)*IF(INDEX(_calc!$O:$O,$P$13)=1,INDEX(_calc!$O:$O,$P$13+37)/INDEX(_calc!$O:$O,$P$13+25),1)-1)))</f>
        <v>1.3143364701363458E-2</v>
      </c>
      <c r="M107" s="167">
        <f>IF($A107="","",IF(pf_BU="All",IF(SUMPRODUCT((calc_state=$A107)*_calc!$CH$4:$CH$72)=0,"",SUMPRODUCT((calc_state=$A107)*_calc!$CH$4:$CH$72*_calc!$AX$4:$AX$72)/SUMPRODUCT((calc_state=$A107)*_calc!$CH$4:$CH$72)),IF($P$13=0,"",INDEX(_calc!$N:$N,$P$13+38)/INDEX(_calc!$N:$N,$P$13+26)*IF(INDEX(_calc!$O:$O,$P$13)=1,INDEX(_calc!$O:$O,$P$13+38)/INDEX(_calc!$O:$O,$P$13+26),1)-1)))</f>
        <v>1.3128945427949512E-2</v>
      </c>
    </row>
    <row r="108" spans="1:13" x14ac:dyDescent="0.3">
      <c r="A108" s="166" t="str">
        <f>_lists!$B$8</f>
        <v>IA</v>
      </c>
      <c r="B108" s="167">
        <f>IF($A108="","",IF(pf_BU="All",IF(SUMPRODUCT((calc_state=$A108)*_calc!$BW$4:$BW$72)=0,"",SUMPRODUCT((calc_state=$A108)*_calc!$BW$4:$BW$72*_calc!$AM$4:$AM$72)/SUMPRODUCT((calc_state=$A108)*_calc!$BW$4:$BW$72)),IF($P$14=0,"",INDEX(_calc!$N:$N,$P$14+27)/INDEX(_calc!$N:$N,$P$14+15)*IF(INDEX(_calc!$O:$O,$P$14)=1,INDEX(_calc!$O:$O,$P$14+27)/INDEX(_calc!$O:$O,$P$14+15),1)-1)))</f>
        <v>5.1803496761876344E-2</v>
      </c>
      <c r="C108" s="167">
        <f>IF($A108="","",IF(pf_BU="All",IF(SUMPRODUCT((calc_state=$A108)*_calc!$BX$4:$BX$72)=0,"",SUMPRODUCT((calc_state=$A108)*_calc!$BX$4:$BX$72*_calc!$AN$4:$AN$72)/SUMPRODUCT((calc_state=$A108)*_calc!$BX$4:$BX$72)),IF($P$14=0,"",INDEX(_calc!$N:$N,$P$14+28)/INDEX(_calc!$N:$N,$P$14+16)*IF(INDEX(_calc!$O:$O,$P$14)=1,INDEX(_calc!$O:$O,$P$14+28)/INDEX(_calc!$O:$O,$P$14+16),1)-1)))</f>
        <v>5.0489677187996129E-2</v>
      </c>
      <c r="D108" s="167">
        <f>IF($A108="","",IF(pf_BU="All",IF(SUMPRODUCT((calc_state=$A108)*_calc!$BY$4:$BY$72)=0,"",SUMPRODUCT((calc_state=$A108)*_calc!$BY$4:$BY$72*_calc!$AO$4:$AO$72)/SUMPRODUCT((calc_state=$A108)*_calc!$BY$4:$BY$72)),IF($P$14=0,"",INDEX(_calc!$N:$N,$P$14+29)/INDEX(_calc!$N:$N,$P$14+17)*IF(INDEX(_calc!$O:$O,$P$14)=1,INDEX(_calc!$O:$O,$P$14+29)/INDEX(_calc!$O:$O,$P$14+17),1)-1)))</f>
        <v>4.917820539037554E-2</v>
      </c>
      <c r="E108" s="167">
        <f>IF($A108="","",IF(pf_BU="All",IF(SUMPRODUCT((calc_state=$A108)*_calc!$BZ$4:$BZ$72)=0,"",SUMPRODUCT((calc_state=$A108)*_calc!$BZ$4:$BZ$72*_calc!$AP$4:$AP$72)/SUMPRODUCT((calc_state=$A108)*_calc!$BZ$4:$BZ$72)),IF($P$14=0,"",INDEX(_calc!$N:$N,$P$14+30)/INDEX(_calc!$N:$N,$P$14+18)*IF(INDEX(_calc!$O:$O,$P$14)=1,INDEX(_calc!$O:$O,$P$14+30)/INDEX(_calc!$O:$O,$P$14+18),1)-1)))</f>
        <v>4.7824738739911554E-2</v>
      </c>
      <c r="F108" s="167">
        <f>IF($A108="","",IF(pf_BU="All",IF(SUMPRODUCT((calc_state=$A108)*_calc!$CA$4:$CA$72)=0,"",SUMPRODUCT((calc_state=$A108)*_calc!$CA$4:$CA$72*_calc!$AQ$4:$AQ$72)/SUMPRODUCT((calc_state=$A108)*_calc!$CA$4:$CA$72)),IF($P$14=0,"",INDEX(_calc!$N:$N,$P$14+31)/INDEX(_calc!$N:$N,$P$14+19)*IF(INDEX(_calc!$O:$O,$P$14)=1,INDEX(_calc!$O:$O,$P$14+31)/INDEX(_calc!$O:$O,$P$14+19),1)-1)))</f>
        <v>4.6473768090223633E-2</v>
      </c>
      <c r="G108" s="167">
        <f>IF($A108="","",IF(pf_BU="All",IF(SUMPRODUCT((calc_state=$A108)*_calc!$CB$4:$CB$72)=0,"",SUMPRODUCT((calc_state=$A108)*_calc!$CB$4:$CB$72*_calc!$AR$4:$AR$72)/SUMPRODUCT((calc_state=$A108)*_calc!$CB$4:$CB$72)),IF($P$14=0,"",INDEX(_calc!$N:$N,$P$14+32)/INDEX(_calc!$N:$N,$P$14+20)*IF(INDEX(_calc!$O:$O,$P$14)=1,INDEX(_calc!$O:$O,$P$14+32)/INDEX(_calc!$O:$O,$P$14+20),1)-1)))</f>
        <v>4.0124687086014577E-2</v>
      </c>
      <c r="H108" s="167">
        <f>IF($A108="","",IF(pf_BU="All",IF(SUMPRODUCT((calc_state=$A108)*_calc!$CC$4:$CC$72)=0,"",SUMPRODUCT((calc_state=$A108)*_calc!$CC$4:$CC$72*_calc!$AS$4:$AS$72)/SUMPRODUCT((calc_state=$A108)*_calc!$CC$4:$CC$72)),IF($P$14=0,"",INDEX(_calc!$N:$N,$P$14+33)/INDEX(_calc!$N:$N,$P$14+21)*IF(INDEX(_calc!$O:$O,$P$14)=1,INDEX(_calc!$O:$O,$P$14+33)/INDEX(_calc!$O:$O,$P$14+21),1)-1)))</f>
        <v>3.8785127956934673E-2</v>
      </c>
      <c r="I108" s="167">
        <f>IF($A108="","",IF(pf_BU="All",IF(SUMPRODUCT((calc_state=$A108)*_calc!$CD$4:$CD$72)=0,"",SUMPRODUCT((calc_state=$A108)*_calc!$CD$4:$CD$72*_calc!$AT$4:$AT$72)/SUMPRODUCT((calc_state=$A108)*_calc!$CD$4:$CD$72)),IF($P$14=0,"",INDEX(_calc!$N:$N,$P$14+34)/INDEX(_calc!$N:$N,$P$14+22)*IF(INDEX(_calc!$O:$O,$P$14)=1,INDEX(_calc!$O:$O,$P$14+34)/INDEX(_calc!$O:$O,$P$14+22),1)-1)))</f>
        <v>3.7426133252375315E-2</v>
      </c>
      <c r="J108" s="167">
        <f>IF($A108="","",IF(pf_BU="All",IF(SUMPRODUCT((calc_state=$A108)*_calc!$CE$4:$CE$72)=0,"",SUMPRODUCT((calc_state=$A108)*_calc!$CE$4:$CE$72*_calc!$AU$4:$AU$72)/SUMPRODUCT((calc_state=$A108)*_calc!$CE$4:$CE$72)),IF($P$14=0,"",INDEX(_calc!$N:$N,$P$14+35)/INDEX(_calc!$N:$N,$P$14+23)*IF(INDEX(_calc!$O:$O,$P$14)=1,INDEX(_calc!$O:$O,$P$14+35)/INDEX(_calc!$O:$O,$P$14+23),1)-1)))</f>
        <v>3.6091534628667876E-2</v>
      </c>
      <c r="K108" s="167">
        <f>IF($A108="","",IF(pf_BU="All",IF(SUMPRODUCT((calc_state=$A108)*_calc!$CF$4:$CF$72)=0,"",SUMPRODUCT((calc_state=$A108)*_calc!$CF$4:$CF$72*_calc!$AV$4:$AV$72)/SUMPRODUCT((calc_state=$A108)*_calc!$CF$4:$CF$72)),IF($P$14=0,"",INDEX(_calc!$N:$N,$P$14+36)/INDEX(_calc!$N:$N,$P$14+24)*IF(INDEX(_calc!$O:$O,$P$14)=1,INDEX(_calc!$O:$O,$P$14+36)/INDEX(_calc!$O:$O,$P$14+24),1)-1)))</f>
        <v>3.5435223098059687E-2</v>
      </c>
      <c r="L108" s="167">
        <f>IF($A108="","",IF(pf_BU="All",IF(SUMPRODUCT((calc_state=$A108)*_calc!$CG$4:$CG$72)=0,"",SUMPRODUCT((calc_state=$A108)*_calc!$CG$4:$CG$72*_calc!$AW$4:$AW$72)/SUMPRODUCT((calc_state=$A108)*_calc!$CG$4:$CG$72)),IF($P$14=0,"",INDEX(_calc!$N:$N,$P$14+37)/INDEX(_calc!$N:$N,$P$14+25)*IF(INDEX(_calc!$O:$O,$P$14)=1,INDEX(_calc!$O:$O,$P$14+37)/INDEX(_calc!$O:$O,$P$14+25),1)-1)))</f>
        <v>3.543354826292E-2</v>
      </c>
      <c r="M108" s="167">
        <f>IF($A108="","",IF(pf_BU="All",IF(SUMPRODUCT((calc_state=$A108)*_calc!$CH$4:$CH$72)=0,"",SUMPRODUCT((calc_state=$A108)*_calc!$CH$4:$CH$72*_calc!$AX$4:$AX$72)/SUMPRODUCT((calc_state=$A108)*_calc!$CH$4:$CH$72)),IF($P$14=0,"",INDEX(_calc!$N:$N,$P$14+38)/INDEX(_calc!$N:$N,$P$14+26)*IF(INDEX(_calc!$O:$O,$P$14)=1,INDEX(_calc!$O:$O,$P$14+38)/INDEX(_calc!$O:$O,$P$14+26),1)-1)))</f>
        <v>3.5431872198321335E-2</v>
      </c>
    </row>
    <row r="109" spans="1:13" x14ac:dyDescent="0.3">
      <c r="A109" s="166" t="str">
        <f>_lists!$B$9</f>
        <v>IL</v>
      </c>
      <c r="B109" s="167">
        <f>IF($A109="","",IF(pf_BU="All",IF(SUMPRODUCT((calc_state=$A109)*_calc!$BW$4:$BW$72)=0,"",SUMPRODUCT((calc_state=$A109)*_calc!$BW$4:$BW$72*_calc!$AM$4:$AM$72)/SUMPRODUCT((calc_state=$A109)*_calc!$BW$4:$BW$72)),IF($P$15=0,"",INDEX(_calc!$N:$N,$P$15+27)/INDEX(_calc!$N:$N,$P$15+15)*IF(INDEX(_calc!$O:$O,$P$15)=1,INDEX(_calc!$O:$O,$P$15+27)/INDEX(_calc!$O:$O,$P$15+15),1)-1)))</f>
        <v>3.9096408134625449E-2</v>
      </c>
      <c r="C109" s="167">
        <f>IF($A109="","",IF(pf_BU="All",IF(SUMPRODUCT((calc_state=$A109)*_calc!$BX$4:$BX$72)=0,"",SUMPRODUCT((calc_state=$A109)*_calc!$BX$4:$BX$72*_calc!$AN$4:$AN$72)/SUMPRODUCT((calc_state=$A109)*_calc!$BX$4:$BX$72)),IF($P$15=0,"",INDEX(_calc!$N:$N,$P$15+28)/INDEX(_calc!$N:$N,$P$15+16)*IF(INDEX(_calc!$O:$O,$P$15)=1,INDEX(_calc!$O:$O,$P$15+28)/INDEX(_calc!$O:$O,$P$15+16),1)-1)))</f>
        <v>3.9089919969051534E-2</v>
      </c>
      <c r="D109" s="167">
        <f>IF($A109="","",IF(pf_BU="All",IF(SUMPRODUCT((calc_state=$A109)*_calc!$BY$4:$BY$72)=0,"",SUMPRODUCT((calc_state=$A109)*_calc!$BY$4:$BY$72*_calc!$AO$4:$AO$72)/SUMPRODUCT((calc_state=$A109)*_calc!$BY$4:$BY$72)),IF($P$15=0,"",INDEX(_calc!$N:$N,$P$15+29)/INDEX(_calc!$N:$N,$P$15+17)*IF(INDEX(_calc!$O:$O,$P$15)=1,INDEX(_calc!$O:$O,$P$15+29)/INDEX(_calc!$O:$O,$P$15+17),1)-1)))</f>
        <v>3.9083441052466306E-2</v>
      </c>
      <c r="E109" s="167">
        <f>IF($A109="","",IF(pf_BU="All",IF(SUMPRODUCT((calc_state=$A109)*_calc!$BZ$4:$BZ$72)=0,"",SUMPRODUCT((calc_state=$A109)*_calc!$BZ$4:$BZ$72*_calc!$AP$4:$AP$72)/SUMPRODUCT((calc_state=$A109)*_calc!$BZ$4:$BZ$72)),IF($P$15=0,"",INDEX(_calc!$N:$N,$P$15+30)/INDEX(_calc!$N:$N,$P$15+18)*IF(INDEX(_calc!$O:$O,$P$15)=1,INDEX(_calc!$O:$O,$P$15+30)/INDEX(_calc!$O:$O,$P$15+18),1)-1)))</f>
        <v>3.9076752215166932E-2</v>
      </c>
      <c r="F109" s="167">
        <f>IF($A109="","",IF(pf_BU="All",IF(SUMPRODUCT((calc_state=$A109)*_calc!$CA$4:$CA$72)=0,"",SUMPRODUCT((calc_state=$A109)*_calc!$CA$4:$CA$72*_calc!$AQ$4:$AQ$72)/SUMPRODUCT((calc_state=$A109)*_calc!$CA$4:$CA$72)),IF($P$15=0,"",INDEX(_calc!$N:$N,$P$15+31)/INDEX(_calc!$N:$N,$P$15+19)*IF(INDEX(_calc!$O:$O,$P$15)=1,INDEX(_calc!$O:$O,$P$15+31)/INDEX(_calc!$O:$O,$P$15+19),1)-1)))</f>
        <v>3.9070073221631141E-2</v>
      </c>
      <c r="G109" s="167">
        <f>IF($A109="","",IF(pf_BU="All",IF(SUMPRODUCT((calc_state=$A109)*_calc!$CB$4:$CB$72)=0,"",SUMPRODUCT((calc_state=$A109)*_calc!$CB$4:$CB$72*_calc!$AR$4:$AR$72)/SUMPRODUCT((calc_state=$A109)*_calc!$CB$4:$CB$72)),IF($P$15=0,"",INDEX(_calc!$N:$N,$P$15+32)/INDEX(_calc!$N:$N,$P$15+20)*IF(INDEX(_calc!$O:$O,$P$15)=1,INDEX(_calc!$O:$O,$P$15+32)/INDEX(_calc!$O:$O,$P$15+20),1)-1)))</f>
        <v>3.9063404050144745E-2</v>
      </c>
      <c r="H109" s="167">
        <f>IF($A109="","",IF(pf_BU="All",IF(SUMPRODUCT((calc_state=$A109)*_calc!$CC$4:$CC$72)=0,"",SUMPRODUCT((calc_state=$A109)*_calc!$CC$4:$CC$72*_calc!$AS$4:$AS$72)/SUMPRODUCT((calc_state=$A109)*_calc!$CC$4:$CC$72)),IF($P$15=0,"",INDEX(_calc!$N:$N,$P$15+33)/INDEX(_calc!$N:$N,$P$15+21)*IF(INDEX(_calc!$O:$O,$P$15)=1,INDEX(_calc!$O:$O,$P$15+33)/INDEX(_calc!$O:$O,$P$15+21),1)-1)))</f>
        <v>8.792955999084473E-3</v>
      </c>
      <c r="I109" s="167">
        <f>IF($A109="","",IF(pf_BU="All",IF(SUMPRODUCT((calc_state=$A109)*_calc!$CD$4:$CD$72)=0,"",SUMPRODUCT((calc_state=$A109)*_calc!$CD$4:$CD$72*_calc!$AT$4:$AT$72)/SUMPRODUCT((calc_state=$A109)*_calc!$CD$4:$CD$72)),IF($P$15=0,"",INDEX(_calc!$N:$N,$P$15+34)/INDEX(_calc!$N:$N,$P$15+22)*IF(INDEX(_calc!$O:$O,$P$15)=1,INDEX(_calc!$O:$O,$P$15+34)/INDEX(_calc!$O:$O,$P$15+22),1)-1)))</f>
        <v>8.7863943285630963E-3</v>
      </c>
      <c r="J109" s="167">
        <f>IF($A109="","",IF(pf_BU="All",IF(SUMPRODUCT((calc_state=$A109)*_calc!$CE$4:$CE$72)=0,"",SUMPRODUCT((calc_state=$A109)*_calc!$CE$4:$CE$72*_calc!$AU$4:$AU$72)/SUMPRODUCT((calc_state=$A109)*_calc!$CE$4:$CE$72)),IF($P$15=0,"",INDEX(_calc!$N:$N,$P$15+35)/INDEX(_calc!$N:$N,$P$15+23)*IF(INDEX(_calc!$O:$O,$P$15)=1,INDEX(_calc!$O:$O,$P$15+35)/INDEX(_calc!$O:$O,$P$15+23),1)-1)))</f>
        <v>8.7799480419512577E-3</v>
      </c>
      <c r="K109" s="167">
        <f>IF($A109="","",IF(pf_BU="All",IF(SUMPRODUCT((calc_state=$A109)*_calc!$CF$4:$CF$72)=0,"",SUMPRODUCT((calc_state=$A109)*_calc!$CF$4:$CF$72*_calc!$AV$4:$AV$72)/SUMPRODUCT((calc_state=$A109)*_calc!$CF$4:$CF$72)),IF($P$15=0,"",INDEX(_calc!$N:$N,$P$15+36)/INDEX(_calc!$N:$N,$P$15+24)*IF(INDEX(_calc!$O:$O,$P$15)=1,INDEX(_calc!$O:$O,$P$15+36)/INDEX(_calc!$O:$O,$P$15+24),1)-1)))</f>
        <v>8.7735112072593324E-3</v>
      </c>
      <c r="L109" s="167">
        <f>IF($A109="","",IF(pf_BU="All",IF(SUMPRODUCT((calc_state=$A109)*_calc!$CG$4:$CG$72)=0,"",SUMPRODUCT((calc_state=$A109)*_calc!$CG$4:$CG$72*_calc!$AW$4:$AW$72)/SUMPRODUCT((calc_state=$A109)*_calc!$CG$4:$CG$72)),IF($P$15=0,"",INDEX(_calc!$N:$N,$P$15+37)/INDEX(_calc!$N:$N,$P$15+25)*IF(INDEX(_calc!$O:$O,$P$15)=1,INDEX(_calc!$O:$O,$P$15+37)/INDEX(_calc!$O:$O,$P$15+25),1)-1)))</f>
        <v>8.7670838037132715E-3</v>
      </c>
      <c r="M109" s="167">
        <f>IF($A109="","",IF(pf_BU="All",IF(SUMPRODUCT((calc_state=$A109)*_calc!$CH$4:$CH$72)=0,"",SUMPRODUCT((calc_state=$A109)*_calc!$CH$4:$CH$72*_calc!$AX$4:$AX$72)/SUMPRODUCT((calc_state=$A109)*_calc!$CH$4:$CH$72)),IF($P$15=0,"",INDEX(_calc!$N:$N,$P$15+38)/INDEX(_calc!$N:$N,$P$15+26)*IF(INDEX(_calc!$O:$O,$P$15)=1,INDEX(_calc!$O:$O,$P$15+38)/INDEX(_calc!$O:$O,$P$15+26),1)-1)))</f>
        <v>8.7606658106016422E-3</v>
      </c>
    </row>
    <row r="110" spans="1:13" x14ac:dyDescent="0.3">
      <c r="A110" s="166" t="str">
        <f>_lists!$B$10</f>
        <v>IN</v>
      </c>
      <c r="B110" s="167">
        <f>IF($A110="","",IF(pf_BU="All",IF(SUMPRODUCT((calc_state=$A110)*_calc!$BW$4:$BW$72)=0,"",SUMPRODUCT((calc_state=$A110)*_calc!$BW$4:$BW$72*_calc!$AM$4:$AM$72)/SUMPRODUCT((calc_state=$A110)*_calc!$BW$4:$BW$72)),IF($P$16=0,"",INDEX(_calc!$N:$N,$P$16+27)/INDEX(_calc!$N:$N,$P$16+15)*IF(INDEX(_calc!$O:$O,$P$16)=1,INDEX(_calc!$O:$O,$P$16+27)/INDEX(_calc!$O:$O,$P$16+15),1)-1)))</f>
        <v>3.0928317939036276E-2</v>
      </c>
      <c r="C110" s="167">
        <f>IF($A110="","",IF(pf_BU="All",IF(SUMPRODUCT((calc_state=$A110)*_calc!$BX$4:$BX$72)=0,"",SUMPRODUCT((calc_state=$A110)*_calc!$BX$4:$BX$72*_calc!$AN$4:$AN$72)/SUMPRODUCT((calc_state=$A110)*_calc!$BX$4:$BX$72)),IF($P$16=0,"",INDEX(_calc!$N:$N,$P$16+28)/INDEX(_calc!$N:$N,$P$16+16)*IF(INDEX(_calc!$O:$O,$P$16)=1,INDEX(_calc!$O:$O,$P$16+28)/INDEX(_calc!$O:$O,$P$16+16),1)-1)))</f>
        <v>3.0921917972019708E-2</v>
      </c>
      <c r="D110" s="167">
        <f>IF($A110="","",IF(pf_BU="All",IF(SUMPRODUCT((calc_state=$A110)*_calc!$BY$4:$BY$72)=0,"",SUMPRODUCT((calc_state=$A110)*_calc!$BY$4:$BY$72*_calc!$AO$4:$AO$72)/SUMPRODUCT((calc_state=$A110)*_calc!$BY$4:$BY$72)),IF($P$16=0,"",INDEX(_calc!$N:$N,$P$16+29)/INDEX(_calc!$N:$N,$P$16+17)*IF(INDEX(_calc!$O:$O,$P$16)=1,INDEX(_calc!$O:$O,$P$16+29)/INDEX(_calc!$O:$O,$P$16+17),1)-1)))</f>
        <v>3.0915508968422101E-2</v>
      </c>
      <c r="E110" s="167">
        <f>IF($A110="","",IF(pf_BU="All",IF(SUMPRODUCT((calc_state=$A110)*_calc!$BZ$4:$BZ$72)=0,"",SUMPRODUCT((calc_state=$A110)*_calc!$BZ$4:$BZ$72*_calc!$AP$4:$AP$72)/SUMPRODUCT((calc_state=$A110)*_calc!$BZ$4:$BZ$72)),IF($P$16=0,"",INDEX(_calc!$N:$N,$P$16+30)/INDEX(_calc!$N:$N,$P$16+18)*IF(INDEX(_calc!$O:$O,$P$16)=1,INDEX(_calc!$O:$O,$P$16+30)/INDEX(_calc!$O:$O,$P$16+18),1)-1)))</f>
        <v>3.0908873188839614E-2</v>
      </c>
      <c r="F110" s="167">
        <f>IF($A110="","",IF(pf_BU="All",IF(SUMPRODUCT((calc_state=$A110)*_calc!$CA$4:$CA$72)=0,"",SUMPRODUCT((calc_state=$A110)*_calc!$CA$4:$CA$72*_calc!$AQ$4:$AQ$72)/SUMPRODUCT((calc_state=$A110)*_calc!$CA$4:$CA$72)),IF($P$16=0,"",INDEX(_calc!$N:$N,$P$16+31)/INDEX(_calc!$N:$N,$P$16+19)*IF(INDEX(_calc!$O:$O,$P$16)=1,INDEX(_calc!$O:$O,$P$16+31)/INDEX(_calc!$O:$O,$P$16+19),1)-1)))</f>
        <v>3.0902227707941377E-2</v>
      </c>
      <c r="G110" s="167">
        <f>IF($A110="","",IF(pf_BU="All",IF(SUMPRODUCT((calc_state=$A110)*_calc!$CB$4:$CB$72)=0,"",SUMPRODUCT((calc_state=$A110)*_calc!$CB$4:$CB$72*_calc!$AR$4:$AR$72)/SUMPRODUCT((calc_state=$A110)*_calc!$CB$4:$CB$72)),IF($P$16=0,"",INDEX(_calc!$N:$N,$P$16+32)/INDEX(_calc!$N:$N,$P$16+20)*IF(INDEX(_calc!$O:$O,$P$16)=1,INDEX(_calc!$O:$O,$P$16+32)/INDEX(_calc!$O:$O,$P$16+20),1)-1)))</f>
        <v>3.0895572504437085E-2</v>
      </c>
      <c r="H110" s="167">
        <f>IF($A110="","",IF(pf_BU="All",IF(SUMPRODUCT((calc_state=$A110)*_calc!$CC$4:$CC$72)=0,"",SUMPRODUCT((calc_state=$A110)*_calc!$CC$4:$CC$72*_calc!$AS$4:$AS$72)/SUMPRODUCT((calc_state=$A110)*_calc!$CC$4:$CC$72)),IF($P$16=0,"",INDEX(_calc!$N:$N,$P$16+33)/INDEX(_calc!$N:$N,$P$16+21)*IF(INDEX(_calc!$O:$O,$P$16)=1,INDEX(_calc!$O:$O,$P$16+33)/INDEX(_calc!$O:$O,$P$16+21),1)-1)))</f>
        <v>3.0888907556974488E-2</v>
      </c>
      <c r="I110" s="167">
        <f>IF($A110="","",IF(pf_BU="All",IF(SUMPRODUCT((calc_state=$A110)*_calc!$CD$4:$CD$72)=0,"",SUMPRODUCT((calc_state=$A110)*_calc!$CD$4:$CD$72*_calc!$AT$4:$AT$72)/SUMPRODUCT((calc_state=$A110)*_calc!$CD$4:$CD$72)),IF($P$16=0,"",INDEX(_calc!$N:$N,$P$16+34)/INDEX(_calc!$N:$N,$P$16+22)*IF(INDEX(_calc!$O:$O,$P$16)=1,INDEX(_calc!$O:$O,$P$16+34)/INDEX(_calc!$O:$O,$P$16+22),1)-1)))</f>
        <v>-8.7671890950580256E-3</v>
      </c>
      <c r="J110" s="167">
        <f>IF($A110="","",IF(pf_BU="All",IF(SUMPRODUCT((calc_state=$A110)*_calc!$CE$4:$CE$72)=0,"",SUMPRODUCT((calc_state=$A110)*_calc!$CE$4:$CE$72*_calc!$AU$4:$AU$72)/SUMPRODUCT((calc_state=$A110)*_calc!$CE$4:$CE$72)),IF($P$16=0,"",INDEX(_calc!$N:$N,$P$16+35)/INDEX(_calc!$N:$N,$P$16+23)*IF(INDEX(_calc!$O:$O,$P$16)=1,INDEX(_calc!$O:$O,$P$16+35)/INDEX(_calc!$O:$O,$P$16+23),1)-1)))</f>
        <v>-8.7736166530455462E-3</v>
      </c>
      <c r="K110" s="167">
        <f>IF($A110="","",IF(pf_BU="All",IF(SUMPRODUCT((calc_state=$A110)*_calc!$CF$4:$CF$72)=0,"",SUMPRODUCT((calc_state=$A110)*_calc!$CF$4:$CF$72*_calc!$AV$4:$AV$72)/SUMPRODUCT((calc_state=$A110)*_calc!$CF$4:$CF$72)),IF($P$16=0,"",INDEX(_calc!$N:$N,$P$16+36)/INDEX(_calc!$N:$N,$P$16+24)*IF(INDEX(_calc!$O:$O,$P$16)=1,INDEX(_calc!$O:$O,$P$16+36)/INDEX(_calc!$O:$O,$P$16+24),1)-1)))</f>
        <v>-8.7800536425195475E-3</v>
      </c>
      <c r="L110" s="167">
        <f>IF($A110="","",IF(pf_BU="All",IF(SUMPRODUCT((calc_state=$A110)*_calc!$CG$4:$CG$72)=0,"",SUMPRODUCT((calc_state=$A110)*_calc!$CG$4:$CG$72*_calc!$AW$4:$AW$72)/SUMPRODUCT((calc_state=$A110)*_calc!$CG$4:$CG$72)),IF($P$16=0,"",INDEX(_calc!$N:$N,$P$16+37)/INDEX(_calc!$N:$N,$P$16+25)*IF(INDEX(_calc!$O:$O,$P$16)=1,INDEX(_calc!$O:$O,$P$16+37)/INDEX(_calc!$O:$O,$P$16+25),1)-1)))</f>
        <v>-8.7865000842540786E-3</v>
      </c>
      <c r="M110" s="167">
        <f>IF($A110="","",IF(pf_BU="All",IF(SUMPRODUCT((calc_state=$A110)*_calc!$CH$4:$CH$72)=0,"",SUMPRODUCT((calc_state=$A110)*_calc!$CH$4:$CH$72*_calc!$AX$4:$AX$72)/SUMPRODUCT((calc_state=$A110)*_calc!$CH$4:$CH$72)),IF($P$16=0,"",INDEX(_calc!$N:$N,$P$16+38)/INDEX(_calc!$N:$N,$P$16+26)*IF(INDEX(_calc!$O:$O,$P$16)=1,INDEX(_calc!$O:$O,$P$16+38)/INDEX(_calc!$O:$O,$P$16+26),1)-1)))</f>
        <v>-8.7929559990846951E-3</v>
      </c>
    </row>
    <row r="111" spans="1:13" x14ac:dyDescent="0.3">
      <c r="A111" s="166" t="str">
        <f>_lists!$B$11</f>
        <v>KY</v>
      </c>
      <c r="B111" s="167">
        <f>IF($A111="","",IF(pf_BU="All",IF(SUMPRODUCT((calc_state=$A111)*_calc!$BW$4:$BW$72)=0,"",SUMPRODUCT((calc_state=$A111)*_calc!$BW$4:$BW$72*_calc!$AM$4:$AM$72)/SUMPRODUCT((calc_state=$A111)*_calc!$BW$4:$BW$72)),IF($P$17=0,"",INDEX(_calc!$N:$N,$P$17+27)/INDEX(_calc!$N:$N,$P$17+15)*IF(INDEX(_calc!$O:$O,$P$17)=1,INDEX(_calc!$O:$O,$P$17+27)/INDEX(_calc!$O:$O,$P$17+15),1)-1)))</f>
        <v>4.4020188985305353E-3</v>
      </c>
      <c r="C111" s="167">
        <f>IF($A111="","",IF(pf_BU="All",IF(SUMPRODUCT((calc_state=$A111)*_calc!$BX$4:$BX$72)=0,"",SUMPRODUCT((calc_state=$A111)*_calc!$BX$4:$BX$72*_calc!$AN$4:$AN$72)/SUMPRODUCT((calc_state=$A111)*_calc!$BX$4:$BX$72)),IF($P$17=0,"",INDEX(_calc!$N:$N,$P$17+28)/INDEX(_calc!$N:$N,$P$17+16)*IF(INDEX(_calc!$O:$O,$P$17)=1,INDEX(_calc!$O:$O,$P$17+28)/INDEX(_calc!$O:$O,$P$17+16),1)-1)))</f>
        <v>4.4004533069708085E-3</v>
      </c>
      <c r="D111" s="167">
        <f>IF($A111="","",IF(pf_BU="All",IF(SUMPRODUCT((calc_state=$A111)*_calc!$BY$4:$BY$72)=0,"",SUMPRODUCT((calc_state=$A111)*_calc!$BY$4:$BY$72*_calc!$AO$4:$AO$72)/SUMPRODUCT((calc_state=$A111)*_calc!$BY$4:$BY$72)),IF($P$17=0,"",INDEX(_calc!$N:$N,$P$17+29)/INDEX(_calc!$N:$N,$P$17+17)*IF(INDEX(_calc!$O:$O,$P$17)=1,INDEX(_calc!$O:$O,$P$17+29)/INDEX(_calc!$O:$O,$P$17+17),1)-1)))</f>
        <v>4.3988888286301542E-3</v>
      </c>
      <c r="E111" s="167">
        <f>IF($A111="","",IF(pf_BU="All",IF(SUMPRODUCT((calc_state=$A111)*_calc!$BZ$4:$BZ$72)=0,"",SUMPRODUCT((calc_state=$A111)*_calc!$BZ$4:$BZ$72*_calc!$AP$4:$AP$72)/SUMPRODUCT((calc_state=$A111)*_calc!$BZ$4:$BZ$72)),IF($P$17=0,"",INDEX(_calc!$N:$N,$P$17+30)/INDEX(_calc!$N:$N,$P$17+18)*IF(INDEX(_calc!$O:$O,$P$17)=1,INDEX(_calc!$O:$O,$P$17+30)/INDEX(_calc!$O:$O,$P$17+18),1)-1)))</f>
        <v>4.3972724863263757E-3</v>
      </c>
      <c r="F111" s="167">
        <f>IF($A111="","",IF(pf_BU="All",IF(SUMPRODUCT((calc_state=$A111)*_calc!$CA$4:$CA$72)=0,"",SUMPRODUCT((calc_state=$A111)*_calc!$CA$4:$CA$72*_calc!$AQ$4:$AQ$72)/SUMPRODUCT((calc_state=$A111)*_calc!$CA$4:$CA$72)),IF($P$17=0,"",INDEX(_calc!$N:$N,$P$17+31)/INDEX(_calc!$N:$N,$P$17+19)*IF(INDEX(_calc!$O:$O,$P$17)=1,INDEX(_calc!$O:$O,$P$17+31)/INDEX(_calc!$O:$O,$P$17+19),1)-1)))</f>
        <v>4.3956573314145597E-3</v>
      </c>
      <c r="G111" s="167">
        <f>IF($A111="","",IF(pf_BU="All",IF(SUMPRODUCT((calc_state=$A111)*_calc!$CB$4:$CB$72)=0,"",SUMPRODUCT((calc_state=$A111)*_calc!$CB$4:$CB$72*_calc!$AR$4:$AR$72)/SUMPRODUCT((calc_state=$A111)*_calc!$CB$4:$CB$72)),IF($P$17=0,"",INDEX(_calc!$N:$N,$P$17+32)/INDEX(_calc!$N:$N,$P$17+20)*IF(INDEX(_calc!$O:$O,$P$17)=1,INDEX(_calc!$O:$O,$P$17+32)/INDEX(_calc!$O:$O,$P$17+20),1)-1)))</f>
        <v>4.3940433625868636E-3</v>
      </c>
      <c r="H111" s="167">
        <f>IF($A111="","",IF(pf_BU="All",IF(SUMPRODUCT((calc_state=$A111)*_calc!$CC$4:$CC$72)=0,"",SUMPRODUCT((calc_state=$A111)*_calc!$CC$4:$CC$72*_calc!$AS$4:$AS$72)/SUMPRODUCT((calc_state=$A111)*_calc!$CC$4:$CC$72)),IF($P$17=0,"",INDEX(_calc!$N:$N,$P$17+33)/INDEX(_calc!$N:$N,$P$17+21)*IF(INDEX(_calc!$O:$O,$P$17)=1,INDEX(_calc!$O:$O,$P$17+33)/INDEX(_calc!$O:$O,$P$17+21),1)-1)))</f>
        <v>4.3924305785372209E-3</v>
      </c>
      <c r="I111" s="167">
        <f>IF($A111="","",IF(pf_BU="All",IF(SUMPRODUCT((calc_state=$A111)*_calc!$CD$4:$CD$72)=0,"",SUMPRODUCT((calc_state=$A111)*_calc!$CD$4:$CD$72*_calc!$AT$4:$AT$72)/SUMPRODUCT((calc_state=$A111)*_calc!$CD$4:$CD$72)),IF($P$17=0,"",INDEX(_calc!$N:$N,$P$17+34)/INDEX(_calc!$N:$N,$P$17+22)*IF(INDEX(_calc!$O:$O,$P$17)=1,INDEX(_calc!$O:$O,$P$17+34)/INDEX(_calc!$O:$O,$P$17+22),1)-1)))</f>
        <v>4.3907925681323512E-3</v>
      </c>
      <c r="J111" s="167">
        <f>IF($A111="","",IF(pf_BU="All",IF(SUMPRODUCT((calc_state=$A111)*_calc!$CE$4:$CE$72)=0,"",SUMPRODUCT((calc_state=$A111)*_calc!$CE$4:$CE$72*_calc!$AU$4:$AU$72)/SUMPRODUCT((calc_state=$A111)*_calc!$CE$4:$CE$72)),IF($P$17=0,"",INDEX(_calc!$N:$N,$P$17+35)/INDEX(_calc!$N:$N,$P$17+23)*IF(INDEX(_calc!$O:$O,$P$17)=1,INDEX(_calc!$O:$O,$P$17+35)/INDEX(_calc!$O:$O,$P$17+23),1)-1)))</f>
        <v>4.3891821690977828E-3</v>
      </c>
      <c r="K111" s="167">
        <f>IF($A111="","",IF(pf_BU="All",IF(SUMPRODUCT((calc_state=$A111)*_calc!$CF$4:$CF$72)=0,"",SUMPRODUCT((calc_state=$A111)*_calc!$CF$4:$CF$72*_calc!$AV$4:$AV$72)/SUMPRODUCT((calc_state=$A111)*_calc!$CF$4:$CF$72)),IF($P$17=0,"",INDEX(_calc!$N:$N,$P$17+36)/INDEX(_calc!$N:$N,$P$17+24)*IF(INDEX(_calc!$O:$O,$P$17)=1,INDEX(_calc!$O:$O,$P$17+36)/INDEX(_calc!$O:$O,$P$17+24),1)-1)))</f>
        <v>4.3875729509132988E-3</v>
      </c>
      <c r="L111" s="167">
        <f>IF($A111="","",IF(pf_BU="All",IF(SUMPRODUCT((calc_state=$A111)*_calc!$CG$4:$CG$72)=0,"",SUMPRODUCT((calc_state=$A111)*_calc!$CG$4:$CG$72*_calc!$AW$4:$AW$72)/SUMPRODUCT((calc_state=$A111)*_calc!$CG$4:$CG$72)),IF($P$17=0,"",INDEX(_calc!$N:$N,$P$17+37)/INDEX(_calc!$N:$N,$P$17+25)*IF(INDEX(_calc!$O:$O,$P$17)=1,INDEX(_calc!$O:$O,$P$17+37)/INDEX(_calc!$O:$O,$P$17+25),1)-1)))</f>
        <v>4.3859649122806044E-3</v>
      </c>
      <c r="M111" s="167">
        <f>IF($A111="","",IF(pf_BU="All",IF(SUMPRODUCT((calc_state=$A111)*_calc!$CH$4:$CH$72)=0,"",SUMPRODUCT((calc_state=$A111)*_calc!$CH$4:$CH$72*_calc!$AX$4:$AX$72)/SUMPRODUCT((calc_state=$A111)*_calc!$CH$4:$CH$72)),IF($P$17=0,"",INDEX(_calc!$N:$N,$P$17+38)/INDEX(_calc!$N:$N,$P$17+26)*IF(INDEX(_calc!$O:$O,$P$17)=1,INDEX(_calc!$O:$O,$P$17+38)/INDEX(_calc!$O:$O,$P$17+26),1)-1)))</f>
        <v>4.3843580519036252E-3</v>
      </c>
    </row>
    <row r="112" spans="1:13" x14ac:dyDescent="0.3">
      <c r="A112" s="166" t="str">
        <f>_lists!$B$12</f>
        <v>MD</v>
      </c>
      <c r="B112" s="167">
        <f>IF($A112="","",IF(pf_BU="All",IF(SUMPRODUCT((calc_state=$A112)*_calc!$BW$4:$BW$72)=0,"",SUMPRODUCT((calc_state=$A112)*_calc!$BW$4:$BW$72*_calc!$AM$4:$AM$72)/SUMPRODUCT((calc_state=$A112)*_calc!$BW$4:$BW$72)),IF($P$18=0,"",INDEX(_calc!$N:$N,$P$18+27)/INDEX(_calc!$N:$N,$P$18+15)*IF(INDEX(_calc!$O:$O,$P$18)=1,INDEX(_calc!$O:$O,$P$18+27)/INDEX(_calc!$O:$O,$P$18+15),1)-1)))</f>
        <v>7.8840085703155482E-2</v>
      </c>
      <c r="C112" s="167">
        <f>IF($A112="","",IF(pf_BU="All",IF(SUMPRODUCT((calc_state=$A112)*_calc!$BX$4:$BX$72)=0,"",SUMPRODUCT((calc_state=$A112)*_calc!$BX$4:$BX$72*_calc!$AN$4:$AN$72)/SUMPRODUCT((calc_state=$A112)*_calc!$BX$4:$BX$72)),IF($P$18=0,"",INDEX(_calc!$N:$N,$P$18+28)/INDEX(_calc!$N:$N,$P$18+16)*IF(INDEX(_calc!$O:$O,$P$18)=1,INDEX(_calc!$O:$O,$P$18+28)/INDEX(_calc!$O:$O,$P$18+16),1)-1)))</f>
        <v>7.8813060708468274E-2</v>
      </c>
      <c r="D112" s="167">
        <f>IF($A112="","",IF(pf_BU="All",IF(SUMPRODUCT((calc_state=$A112)*_calc!$BY$4:$BY$72)=0,"",SUMPRODUCT((calc_state=$A112)*_calc!$BY$4:$BY$72*_calc!$AO$4:$AO$72)/SUMPRODUCT((calc_state=$A112)*_calc!$BY$4:$BY$72)),IF($P$18=0,"",INDEX(_calc!$N:$N,$P$18+29)/INDEX(_calc!$N:$N,$P$18+17)*IF(INDEX(_calc!$O:$O,$P$18)=1,INDEX(_calc!$O:$O,$P$18+29)/INDEX(_calc!$O:$O,$P$18+17),1)-1)))</f>
        <v>7.8786113134255986E-2</v>
      </c>
      <c r="E112" s="167">
        <f>IF($A112="","",IF(pf_BU="All",IF(SUMPRODUCT((calc_state=$A112)*_calc!$BZ$4:$BZ$72)=0,"",SUMPRODUCT((calc_state=$A112)*_calc!$BZ$4:$BZ$72*_calc!$AP$4:$AP$72)/SUMPRODUCT((calc_state=$A112)*_calc!$BZ$4:$BZ$72)),IF($P$18=0,"",INDEX(_calc!$N:$N,$P$18+30)/INDEX(_calc!$N:$N,$P$18+18)*IF(INDEX(_calc!$O:$O,$P$18)=1,INDEX(_calc!$O:$O,$P$18+30)/INDEX(_calc!$O:$O,$P$18+18),1)-1)))</f>
        <v>7.8758333131318192E-2</v>
      </c>
      <c r="F112" s="167">
        <f>IF($A112="","",IF(pf_BU="All",IF(SUMPRODUCT((calc_state=$A112)*_calc!$CA$4:$CA$72)=0,"",SUMPRODUCT((calc_state=$A112)*_calc!$CA$4:$CA$72*_calc!$AQ$4:$AQ$72)/SUMPRODUCT((calc_state=$A112)*_calc!$CA$4:$CA$72)),IF($P$18=0,"",INDEX(_calc!$N:$N,$P$18+31)/INDEX(_calc!$N:$N,$P$18+19)*IF(INDEX(_calc!$O:$O,$P$18)=1,INDEX(_calc!$O:$O,$P$18+31)/INDEX(_calc!$O:$O,$P$18+19),1)-1)))</f>
        <v>7.8730635166537555E-2</v>
      </c>
      <c r="G112" s="167">
        <f>IF($A112="","",IF(pf_BU="All",IF(SUMPRODUCT((calc_state=$A112)*_calc!$CB$4:$CB$72)=0,"",SUMPRODUCT((calc_state=$A112)*_calc!$CB$4:$CB$72*_calc!$AR$4:$AR$72)/SUMPRODUCT((calc_state=$A112)*_calc!$CB$4:$CB$72)),IF($P$18=0,"",INDEX(_calc!$N:$N,$P$18+32)/INDEX(_calc!$N:$N,$P$18+20)*IF(INDEX(_calc!$O:$O,$P$18)=1,INDEX(_calc!$O:$O,$P$18+32)/INDEX(_calc!$O:$O,$P$18+20),1)-1)))</f>
        <v>7.870301887704545E-2</v>
      </c>
      <c r="H112" s="167">
        <f>IF($A112="","",IF(pf_BU="All",IF(SUMPRODUCT((calc_state=$A112)*_calc!$CC$4:$CC$72)=0,"",SUMPRODUCT((calc_state=$A112)*_calc!$CC$4:$CC$72*_calc!$AS$4:$AS$72)/SUMPRODUCT((calc_state=$A112)*_calc!$CC$4:$CC$72)),IF($P$18=0,"",INDEX(_calc!$N:$N,$P$18+33)/INDEX(_calc!$N:$N,$P$18+21)*IF(INDEX(_calc!$O:$O,$P$18)=1,INDEX(_calc!$O:$O,$P$18+33)/INDEX(_calc!$O:$O,$P$18+21),1)-1)))</f>
        <v>7.8675483902109544E-2</v>
      </c>
      <c r="I112" s="167">
        <f>IF($A112="","",IF(pf_BU="All",IF(SUMPRODUCT((calc_state=$A112)*_calc!$CD$4:$CD$72)=0,"",SUMPRODUCT((calc_state=$A112)*_calc!$CD$4:$CD$72*_calc!$AT$4:$AT$72)/SUMPRODUCT((calc_state=$A112)*_calc!$CD$4:$CD$72)),IF($P$18=0,"",INDEX(_calc!$N:$N,$P$18+34)/INDEX(_calc!$N:$N,$P$18+22)*IF(INDEX(_calc!$O:$O,$P$18)=1,INDEX(_calc!$O:$O,$P$18+34)/INDEX(_calc!$O:$O,$P$18+22),1)-1)))</f>
        <v>7.8647580489685787E-2</v>
      </c>
      <c r="J112" s="167">
        <f>IF($A112="","",IF(pf_BU="All",IF(SUMPRODUCT((calc_state=$A112)*_calc!$CE$4:$CE$72)=0,"",SUMPRODUCT((calc_state=$A112)*_calc!$CE$4:$CE$72*_calc!$AU$4:$AU$72)/SUMPRODUCT((calc_state=$A112)*_calc!$CE$4:$CE$72)),IF($P$18=0,"",INDEX(_calc!$N:$N,$P$18+35)/INDEX(_calc!$N:$N,$P$18+23)*IF(INDEX(_calc!$O:$O,$P$18)=1,INDEX(_calc!$O:$O,$P$18+35)/INDEX(_calc!$O:$O,$P$18+23),1)-1)))</f>
        <v>7.8620208388478607E-2</v>
      </c>
      <c r="K112" s="167">
        <f>IF($A112="","",IF(pf_BU="All",IF(SUMPRODUCT((calc_state=$A112)*_calc!$CF$4:$CF$72)=0,"",SUMPRODUCT((calc_state=$A112)*_calc!$CF$4:$CF$72*_calc!$AV$4:$AV$72)/SUMPRODUCT((calc_state=$A112)*_calc!$CF$4:$CF$72)),IF($P$18=0,"",INDEX(_calc!$N:$N,$P$18+36)/INDEX(_calc!$N:$N,$P$18+24)*IF(INDEX(_calc!$O:$O,$P$18)=1,INDEX(_calc!$O:$O,$P$18+36)/INDEX(_calc!$O:$O,$P$18+24),1)-1)))</f>
        <v>5.8242106780719727E-2</v>
      </c>
      <c r="L112" s="167">
        <f>IF($A112="","",IF(pf_BU="All",IF(SUMPRODUCT((calc_state=$A112)*_calc!$CG$4:$CG$72)=0,"",SUMPRODUCT((calc_state=$A112)*_calc!$CG$4:$CG$72*_calc!$AW$4:$AW$72)/SUMPRODUCT((calc_state=$A112)*_calc!$CG$4:$CG$72)),IF($P$18=0,"",INDEX(_calc!$N:$N,$P$18+37)/INDEX(_calc!$N:$N,$P$18+25)*IF(INDEX(_calc!$O:$O,$P$18)=1,INDEX(_calc!$O:$O,$P$18+37)/INDEX(_calc!$O:$O,$P$18+25),1)-1)))</f>
        <v>5.8215408239161048E-2</v>
      </c>
      <c r="M112" s="167">
        <f>IF($A112="","",IF(pf_BU="All",IF(SUMPRODUCT((calc_state=$A112)*_calc!$CH$4:$CH$72)=0,"",SUMPRODUCT((calc_state=$A112)*_calc!$CH$4:$CH$72*_calc!$AX$4:$AX$72)/SUMPRODUCT((calc_state=$A112)*_calc!$CH$4:$CH$72)),IF($P$18=0,"",INDEX(_calc!$N:$N,$P$18+38)/INDEX(_calc!$N:$N,$P$18+26)*IF(INDEX(_calc!$O:$O,$P$18)=1,INDEX(_calc!$O:$O,$P$18+38)/INDEX(_calc!$O:$O,$P$18+26),1)-1)))</f>
        <v>5.8188787733588709E-2</v>
      </c>
    </row>
    <row r="113" spans="1:13" x14ac:dyDescent="0.3">
      <c r="A113" s="166" t="str">
        <f>_lists!$B$13</f>
        <v>MI</v>
      </c>
      <c r="B113" s="167">
        <f>IF($A113="","",IF(pf_BU="All",IF(SUMPRODUCT((calc_state=$A113)*_calc!$BW$4:$BW$72)=0,"",SUMPRODUCT((calc_state=$A113)*_calc!$BW$4:$BW$72*_calc!$AM$4:$AM$72)/SUMPRODUCT((calc_state=$A113)*_calc!$BW$4:$BW$72)),IF($P$19=0,"",INDEX(_calc!$N:$N,$P$19+27)/INDEX(_calc!$N:$N,$P$19+15)*IF(INDEX(_calc!$O:$O,$P$19)=1,INDEX(_calc!$O:$O,$P$19+27)/INDEX(_calc!$O:$O,$P$19+15),1)-1)))</f>
        <v>2.0000000000000018E-2</v>
      </c>
      <c r="C113" s="167">
        <f>IF($A113="","",IF(pf_BU="All",IF(SUMPRODUCT((calc_state=$A113)*_calc!$BX$4:$BX$72)=0,"",SUMPRODUCT((calc_state=$A113)*_calc!$BX$4:$BX$72*_calc!$AN$4:$AN$72)/SUMPRODUCT((calc_state=$A113)*_calc!$BX$4:$BX$72)),IF($P$19=0,"",INDEX(_calc!$N:$N,$P$19+28)/INDEX(_calc!$N:$N,$P$19+16)*IF(INDEX(_calc!$O:$O,$P$19)=1,INDEX(_calc!$O:$O,$P$19+28)/INDEX(_calc!$O:$O,$P$19+16),1)-1)))</f>
        <v>2.0000000000000018E-2</v>
      </c>
      <c r="D113" s="167">
        <f>IF($A113="","",IF(pf_BU="All",IF(SUMPRODUCT((calc_state=$A113)*_calc!$BY$4:$BY$72)=0,"",SUMPRODUCT((calc_state=$A113)*_calc!$BY$4:$BY$72*_calc!$AO$4:$AO$72)/SUMPRODUCT((calc_state=$A113)*_calc!$BY$4:$BY$72)),IF($P$19=0,"",INDEX(_calc!$N:$N,$P$19+29)/INDEX(_calc!$N:$N,$P$19+17)*IF(INDEX(_calc!$O:$O,$P$19)=1,INDEX(_calc!$O:$O,$P$19+29)/INDEX(_calc!$O:$O,$P$19+17),1)-1)))</f>
        <v>2.0000000000000018E-2</v>
      </c>
      <c r="E113" s="167">
        <f>IF($A113="","",IF(pf_BU="All",IF(SUMPRODUCT((calc_state=$A113)*_calc!$BZ$4:$BZ$72)=0,"",SUMPRODUCT((calc_state=$A113)*_calc!$BZ$4:$BZ$72*_calc!$AP$4:$AP$72)/SUMPRODUCT((calc_state=$A113)*_calc!$BZ$4:$BZ$72)),IF($P$19=0,"",INDEX(_calc!$N:$N,$P$19+30)/INDEX(_calc!$N:$N,$P$19+18)*IF(INDEX(_calc!$O:$O,$P$19)=1,INDEX(_calc!$O:$O,$P$19+30)/INDEX(_calc!$O:$O,$P$19+18),1)-1)))</f>
        <v>2.0000000000000018E-2</v>
      </c>
      <c r="F113" s="167">
        <f>IF($A113="","",IF(pf_BU="All",IF(SUMPRODUCT((calc_state=$A113)*_calc!$CA$4:$CA$72)=0,"",SUMPRODUCT((calc_state=$A113)*_calc!$CA$4:$CA$72*_calc!$AQ$4:$AQ$72)/SUMPRODUCT((calc_state=$A113)*_calc!$CA$4:$CA$72)),IF($P$19=0,"",INDEX(_calc!$N:$N,$P$19+31)/INDEX(_calc!$N:$N,$P$19+19)*IF(INDEX(_calc!$O:$O,$P$19)=1,INDEX(_calc!$O:$O,$P$19+31)/INDEX(_calc!$O:$O,$P$19+19),1)-1)))</f>
        <v>2.0000000000000018E-2</v>
      </c>
      <c r="G113" s="167">
        <f>IF($A113="","",IF(pf_BU="All",IF(SUMPRODUCT((calc_state=$A113)*_calc!$CB$4:$CB$72)=0,"",SUMPRODUCT((calc_state=$A113)*_calc!$CB$4:$CB$72*_calc!$AR$4:$AR$72)/SUMPRODUCT((calc_state=$A113)*_calc!$CB$4:$CB$72)),IF($P$19=0,"",INDEX(_calc!$N:$N,$P$19+32)/INDEX(_calc!$N:$N,$P$19+20)*IF(INDEX(_calc!$O:$O,$P$19)=1,INDEX(_calc!$O:$O,$P$19+32)/INDEX(_calc!$O:$O,$P$19+20),1)-1)))</f>
        <v>2.0000000000000018E-2</v>
      </c>
      <c r="H113" s="167">
        <f>IF($A113="","",IF(pf_BU="All",IF(SUMPRODUCT((calc_state=$A113)*_calc!$CC$4:$CC$72)=0,"",SUMPRODUCT((calc_state=$A113)*_calc!$CC$4:$CC$72*_calc!$AS$4:$AS$72)/SUMPRODUCT((calc_state=$A113)*_calc!$CC$4:$CC$72)),IF($P$19=0,"",INDEX(_calc!$N:$N,$P$19+33)/INDEX(_calc!$N:$N,$P$19+21)*IF(INDEX(_calc!$O:$O,$P$19)=1,INDEX(_calc!$O:$O,$P$19+33)/INDEX(_calc!$O:$O,$P$19+21),1)-1)))</f>
        <v>2.0000000000000018E-2</v>
      </c>
      <c r="I113" s="167">
        <f>IF($A113="","",IF(pf_BU="All",IF(SUMPRODUCT((calc_state=$A113)*_calc!$CD$4:$CD$72)=0,"",SUMPRODUCT((calc_state=$A113)*_calc!$CD$4:$CD$72*_calc!$AT$4:$AT$72)/SUMPRODUCT((calc_state=$A113)*_calc!$CD$4:$CD$72)),IF($P$19=0,"",INDEX(_calc!$N:$N,$P$19+34)/INDEX(_calc!$N:$N,$P$19+22)*IF(INDEX(_calc!$O:$O,$P$19)=1,INDEX(_calc!$O:$O,$P$19+34)/INDEX(_calc!$O:$O,$P$19+22),1)-1)))</f>
        <v>2.0000000000000018E-2</v>
      </c>
      <c r="J113" s="167">
        <f>IF($A113="","",IF(pf_BU="All",IF(SUMPRODUCT((calc_state=$A113)*_calc!$CE$4:$CE$72)=0,"",SUMPRODUCT((calc_state=$A113)*_calc!$CE$4:$CE$72*_calc!$AU$4:$AU$72)/SUMPRODUCT((calc_state=$A113)*_calc!$CE$4:$CE$72)),IF($P$19=0,"",INDEX(_calc!$N:$N,$P$19+35)/INDEX(_calc!$N:$N,$P$19+23)*IF(INDEX(_calc!$O:$O,$P$19)=1,INDEX(_calc!$O:$O,$P$19+35)/INDEX(_calc!$O:$O,$P$19+23),1)-1)))</f>
        <v>2.0000000000000018E-2</v>
      </c>
      <c r="K113" s="167">
        <f>IF($A113="","",IF(pf_BU="All",IF(SUMPRODUCT((calc_state=$A113)*_calc!$CF$4:$CF$72)=0,"",SUMPRODUCT((calc_state=$A113)*_calc!$CF$4:$CF$72*_calc!$AV$4:$AV$72)/SUMPRODUCT((calc_state=$A113)*_calc!$CF$4:$CF$72)),IF($P$19=0,"",INDEX(_calc!$N:$N,$P$19+36)/INDEX(_calc!$N:$N,$P$19+24)*IF(INDEX(_calc!$O:$O,$P$19)=1,INDEX(_calc!$O:$O,$P$19+36)/INDEX(_calc!$O:$O,$P$19+24),1)-1)))</f>
        <v>2.0000000000000018E-2</v>
      </c>
      <c r="L113" s="167">
        <f>IF($A113="","",IF(pf_BU="All",IF(SUMPRODUCT((calc_state=$A113)*_calc!$CG$4:$CG$72)=0,"",SUMPRODUCT((calc_state=$A113)*_calc!$CG$4:$CG$72*_calc!$AW$4:$AW$72)/SUMPRODUCT((calc_state=$A113)*_calc!$CG$4:$CG$72)),IF($P$19=0,"",INDEX(_calc!$N:$N,$P$19+37)/INDEX(_calc!$N:$N,$P$19+25)*IF(INDEX(_calc!$O:$O,$P$19)=1,INDEX(_calc!$O:$O,$P$19+37)/INDEX(_calc!$O:$O,$P$19+25),1)-1)))</f>
        <v>0</v>
      </c>
      <c r="M113" s="167">
        <f>IF($A113="","",IF(pf_BU="All",IF(SUMPRODUCT((calc_state=$A113)*_calc!$CH$4:$CH$72)=0,"",SUMPRODUCT((calc_state=$A113)*_calc!$CH$4:$CH$72*_calc!$AX$4:$AX$72)/SUMPRODUCT((calc_state=$A113)*_calc!$CH$4:$CH$72)),IF($P$19=0,"",INDEX(_calc!$N:$N,$P$19+38)/INDEX(_calc!$N:$N,$P$19+26)*IF(INDEX(_calc!$O:$O,$P$19)=1,INDEX(_calc!$O:$O,$P$19+38)/INDEX(_calc!$O:$O,$P$19+26),1)-1)))</f>
        <v>0</v>
      </c>
    </row>
    <row r="114" spans="1:13" x14ac:dyDescent="0.3">
      <c r="A114" s="166" t="str">
        <f>_lists!$B$14</f>
        <v>MN</v>
      </c>
      <c r="B114" s="167">
        <f>IF($A114="","",IF(pf_BU="All",IF(SUMPRODUCT((calc_state=$A114)*_calc!$BW$4:$BW$72)=0,"",SUMPRODUCT((calc_state=$A114)*_calc!$BW$4:$BW$72*_calc!$AM$4:$AM$72)/SUMPRODUCT((calc_state=$A114)*_calc!$BW$4:$BW$72)),IF($P$20=0,"",INDEX(_calc!$N:$N,$P$20+27)/INDEX(_calc!$N:$N,$P$20+15)*IF(INDEX(_calc!$O:$O,$P$20)=1,INDEX(_calc!$O:$O,$P$20+27)/INDEX(_calc!$O:$O,$P$20+15),1)-1)))</f>
        <v>1.3288593047456665E-2</v>
      </c>
      <c r="C114" s="167">
        <f>IF($A114="","",IF(pf_BU="All",IF(SUMPRODUCT((calc_state=$A114)*_calc!$BX$4:$BX$72)=0,"",SUMPRODUCT((calc_state=$A114)*_calc!$BX$4:$BX$72*_calc!$AN$4:$AN$72)/SUMPRODUCT((calc_state=$A114)*_calc!$BX$4:$BX$72)),IF($P$20=0,"",INDEX(_calc!$N:$N,$P$20+28)/INDEX(_calc!$N:$N,$P$20+16)*IF(INDEX(_calc!$O:$O,$P$20)=1,INDEX(_calc!$O:$O,$P$20+28)/INDEX(_calc!$O:$O,$P$20+16),1)-1)))</f>
        <v>1.3274336283185972E-2</v>
      </c>
      <c r="D114" s="167">
        <f>IF($A114="","",IF(pf_BU="All",IF(SUMPRODUCT((calc_state=$A114)*_calc!$BY$4:$BY$72)=0,"",SUMPRODUCT((calc_state=$A114)*_calc!$BY$4:$BY$72*_calc!$AO$4:$AO$72)/SUMPRODUCT((calc_state=$A114)*_calc!$BY$4:$BY$72)),IF($P$20=0,"",INDEX(_calc!$N:$N,$P$20+29)/INDEX(_calc!$N:$N,$P$20+17)*IF(INDEX(_calc!$O:$O,$P$20)=1,INDEX(_calc!$O:$O,$P$20+29)/INDEX(_calc!$O:$O,$P$20+17),1)-1)))</f>
        <v>1.3260110077078169E-2</v>
      </c>
      <c r="E114" s="167">
        <f>IF($A114="","",IF(pf_BU="All",IF(SUMPRODUCT((calc_state=$A114)*_calc!$BZ$4:$BZ$72)=0,"",SUMPRODUCT((calc_state=$A114)*_calc!$BZ$4:$BZ$72*_calc!$AP$4:$AP$72)/SUMPRODUCT((calc_state=$A114)*_calc!$BZ$4:$BZ$72)),IF($P$20=0,"",INDEX(_calc!$N:$N,$P$20+30)/INDEX(_calc!$N:$N,$P$20+18)*IF(INDEX(_calc!$O:$O,$P$20)=1,INDEX(_calc!$O:$O,$P$20+30)/INDEX(_calc!$O:$O,$P$20+18),1)-1)))</f>
        <v>1.3245433651869032E-2</v>
      </c>
      <c r="F114" s="167">
        <f>IF($A114="","",IF(pf_BU="All",IF(SUMPRODUCT((calc_state=$A114)*_calc!$CA$4:$CA$72)=0,"",SUMPRODUCT((calc_state=$A114)*_calc!$CA$4:$CA$72*_calc!$AQ$4:$AQ$72)/SUMPRODUCT((calc_state=$A114)*_calc!$CA$4:$CA$72)),IF($P$20=0,"",INDEX(_calc!$N:$N,$P$20+31)/INDEX(_calc!$N:$N,$P$20+19)*IF(INDEX(_calc!$O:$O,$P$20)=1,INDEX(_calc!$O:$O,$P$20+31)/INDEX(_calc!$O:$O,$P$20+19),1)-1)))</f>
        <v>1.3230789678775778E-2</v>
      </c>
      <c r="G114" s="167">
        <f>IF($A114="","",IF(pf_BU="All",IF(SUMPRODUCT((calc_state=$A114)*_calc!$CB$4:$CB$72)=0,"",SUMPRODUCT((calc_state=$A114)*_calc!$CB$4:$CB$72*_calc!$AR$4:$AR$72)/SUMPRODUCT((calc_state=$A114)*_calc!$CB$4:$CB$72)),IF($P$20=0,"",INDEX(_calc!$N:$N,$P$20+32)/INDEX(_calc!$N:$N,$P$20+20)*IF(INDEX(_calc!$O:$O,$P$20)=1,INDEX(_calc!$O:$O,$P$20+32)/INDEX(_calc!$O:$O,$P$20+20),1)-1)))</f>
        <v>1.3216178050281746E-2</v>
      </c>
      <c r="H114" s="167">
        <f>IF($A114="","",IF(pf_BU="All",IF(SUMPRODUCT((calc_state=$A114)*_calc!$CC$4:$CC$72)=0,"",SUMPRODUCT((calc_state=$A114)*_calc!$CC$4:$CC$72*_calc!$AS$4:$AS$72)/SUMPRODUCT((calc_state=$A114)*_calc!$CC$4:$CC$72)),IF($P$20=0,"",INDEX(_calc!$N:$N,$P$20+33)/INDEX(_calc!$N:$N,$P$20+21)*IF(INDEX(_calc!$O:$O,$P$20)=1,INDEX(_calc!$O:$O,$P$20+33)/INDEX(_calc!$O:$O,$P$20+21),1)-1)))</f>
        <v>1.320159865934456E-2</v>
      </c>
      <c r="I114" s="167">
        <f>IF($A114="","",IF(pf_BU="All",IF(SUMPRODUCT((calc_state=$A114)*_calc!$CD$4:$CD$72)=0,"",SUMPRODUCT((calc_state=$A114)*_calc!$CD$4:$CD$72*_calc!$AT$4:$AT$72)/SUMPRODUCT((calc_state=$A114)*_calc!$CD$4:$CD$72)),IF($P$20=0,"",INDEX(_calc!$N:$N,$P$20+34)/INDEX(_calc!$N:$N,$P$20+22)*IF(INDEX(_calc!$O:$O,$P$20)=1,INDEX(_calc!$O:$O,$P$20+34)/INDEX(_calc!$O:$O,$P$20+22),1)-1)))</f>
        <v>1.3186813186813362E-2</v>
      </c>
      <c r="J114" s="167">
        <f>IF($A114="","",IF(pf_BU="All",IF(SUMPRODUCT((calc_state=$A114)*_calc!$CE$4:$CE$72)=0,"",SUMPRODUCT((calc_state=$A114)*_calc!$CE$4:$CE$72*_calc!$AU$4:$AU$72)/SUMPRODUCT((calc_state=$A114)*_calc!$CE$4:$CE$72)),IF($P$20=0,"",INDEX(_calc!$N:$N,$P$20+35)/INDEX(_calc!$N:$N,$P$20+23)*IF(INDEX(_calc!$O:$O,$P$20)=1,INDEX(_calc!$O:$O,$P$20+35)/INDEX(_calc!$O:$O,$P$20+23),1)-1)))</f>
        <v>1.3172298475862876E-2</v>
      </c>
      <c r="K114" s="167">
        <f>IF($A114="","",IF(pf_BU="All",IF(SUMPRODUCT((calc_state=$A114)*_calc!$CF$4:$CF$72)=0,"",SUMPRODUCT((calc_state=$A114)*_calc!$CF$4:$CF$72*_calc!$AV$4:$AV$72)/SUMPRODUCT((calc_state=$A114)*_calc!$CF$4:$CF$72)),IF($P$20=0,"",INDEX(_calc!$N:$N,$P$20+36)/INDEX(_calc!$N:$N,$P$20+24)*IF(INDEX(_calc!$O:$O,$P$20)=1,INDEX(_calc!$O:$O,$P$20+36)/INDEX(_calc!$O:$O,$P$20+24),1)-1)))</f>
        <v>1.3157815682433904E-2</v>
      </c>
      <c r="L114" s="167">
        <f>IF($A114="","",IF(pf_BU="All",IF(SUMPRODUCT((calc_state=$A114)*_calc!$CG$4:$CG$72)=0,"",SUMPRODUCT((calc_state=$A114)*_calc!$CG$4:$CG$72*_calc!$AW$4:$AW$72)/SUMPRODUCT((calc_state=$A114)*_calc!$CG$4:$CG$72)),IF($P$20=0,"",INDEX(_calc!$N:$N,$P$20+37)/INDEX(_calc!$N:$N,$P$20+25)*IF(INDEX(_calc!$O:$O,$P$20)=1,INDEX(_calc!$O:$O,$P$20+37)/INDEX(_calc!$O:$O,$P$20+25),1)-1)))</f>
        <v>1.3143364701363458E-2</v>
      </c>
      <c r="M114" s="167">
        <f>IF($A114="","",IF(pf_BU="All",IF(SUMPRODUCT((calc_state=$A114)*_calc!$CH$4:$CH$72)=0,"",SUMPRODUCT((calc_state=$A114)*_calc!$CH$4:$CH$72*_calc!$AX$4:$AX$72)/SUMPRODUCT((calc_state=$A114)*_calc!$CH$4:$CH$72)),IF($P$20=0,"",INDEX(_calc!$N:$N,$P$20+38)/INDEX(_calc!$N:$N,$P$20+26)*IF(INDEX(_calc!$O:$O,$P$20)=1,INDEX(_calc!$O:$O,$P$20+38)/INDEX(_calc!$O:$O,$P$20+26),1)-1)))</f>
        <v>1.3128945427949512E-2</v>
      </c>
    </row>
    <row r="115" spans="1:13" x14ac:dyDescent="0.3">
      <c r="A115" s="166" t="str">
        <f>_lists!$B$15</f>
        <v>NM</v>
      </c>
      <c r="B115" s="167">
        <f>IF($A115="","",IF(pf_BU="All",IF(SUMPRODUCT((calc_state=$A115)*_calc!$BW$4:$BW$72)=0,"",SUMPRODUCT((calc_state=$A115)*_calc!$BW$4:$BW$72*_calc!$AM$4:$AM$72)/SUMPRODUCT((calc_state=$A115)*_calc!$BW$4:$BW$72)),IF($P$21=0,"",INDEX(_calc!$N:$N,$P$21+27)/INDEX(_calc!$N:$N,$P$21+15)*IF(INDEX(_calc!$O:$O,$P$21)=1,INDEX(_calc!$O:$O,$P$21+27)/INDEX(_calc!$O:$O,$P$21+15),1)-1)))</f>
        <v>-4.3748464309043555E-3</v>
      </c>
      <c r="C115" s="167">
        <f>IF($A115="","",IF(pf_BU="All",IF(SUMPRODUCT((calc_state=$A115)*_calc!$BX$4:$BX$72)=0,"",SUMPRODUCT((calc_state=$A115)*_calc!$BX$4:$BX$72*_calc!$AN$4:$AN$72)/SUMPRODUCT((calc_state=$A115)*_calc!$BX$4:$BX$72)),IF($P$21=0,"",INDEX(_calc!$N:$N,$P$21+28)/INDEX(_calc!$N:$N,$P$21+16)*IF(INDEX(_calc!$O:$O,$P$21)=1,INDEX(_calc!$O:$O,$P$21+28)/INDEX(_calc!$O:$O,$P$21+16),1)-1)))</f>
        <v>-4.3763938514663758E-3</v>
      </c>
      <c r="D115" s="167">
        <f>IF($A115="","",IF(pf_BU="All",IF(SUMPRODUCT((calc_state=$A115)*_calc!$BY$4:$BY$72)=0,"",SUMPRODUCT((calc_state=$A115)*_calc!$BY$4:$BY$72*_calc!$AO$4:$AO$72)/SUMPRODUCT((calc_state=$A115)*_calc!$BY$4:$BY$72)),IF($P$21=0,"",INDEX(_calc!$N:$N,$P$21+29)/INDEX(_calc!$N:$N,$P$21+17)*IF(INDEX(_calc!$O:$O,$P$21)=1,INDEX(_calc!$O:$O,$P$21+29)/INDEX(_calc!$O:$O,$P$21+17),1)-1)))</f>
        <v>-4.3779423670874396E-3</v>
      </c>
      <c r="E115" s="167">
        <f>IF($A115="","",IF(pf_BU="All",IF(SUMPRODUCT((calc_state=$A115)*_calc!$BZ$4:$BZ$72)=0,"",SUMPRODUCT((calc_state=$A115)*_calc!$BZ$4:$BZ$72*_calc!$AP$4:$AP$72)/SUMPRODUCT((calc_state=$A115)*_calc!$BZ$4:$BZ$72)),IF($P$21=0,"",INDEX(_calc!$N:$N,$P$21+30)/INDEX(_calc!$N:$N,$P$21+18)*IF(INDEX(_calc!$O:$O,$P$21)=1,INDEX(_calc!$O:$O,$P$21+30)/INDEX(_calc!$O:$O,$P$21+18),1)-1)))</f>
        <v>-4.3795445273691058E-3</v>
      </c>
      <c r="F115" s="167">
        <f>IF($A115="","",IF(pf_BU="All",IF(SUMPRODUCT((calc_state=$A115)*_calc!$CA$4:$CA$72)=0,"",SUMPRODUCT((calc_state=$A115)*_calc!$CA$4:$CA$72*_calc!$AQ$4:$AQ$72)/SUMPRODUCT((calc_state=$A115)*_calc!$CA$4:$CA$72)),IF($P$21=0,"",INDEX(_calc!$N:$N,$P$21+31)/INDEX(_calc!$N:$N,$P$21+19)*IF(INDEX(_calc!$O:$O,$P$21)=1,INDEX(_calc!$O:$O,$P$21+31)/INDEX(_calc!$O:$O,$P$21+19),1)-1)))</f>
        <v>-4.3811478607395093E-3</v>
      </c>
      <c r="G115" s="167">
        <f>IF($A115="","",IF(pf_BU="All",IF(SUMPRODUCT((calc_state=$A115)*_calc!$CB$4:$CB$72)=0,"",SUMPRODUCT((calc_state=$A115)*_calc!$CB$4:$CB$72*_calc!$AR$4:$AR$72)/SUMPRODUCT((calc_state=$A115)*_calc!$CB$4:$CB$72)),IF($P$21=0,"",INDEX(_calc!$N:$N,$P$21+32)/INDEX(_calc!$N:$N,$P$21+20)*IF(INDEX(_calc!$O:$O,$P$21)=1,INDEX(_calc!$O:$O,$P$21+32)/INDEX(_calc!$O:$O,$P$21+20),1)-1)))</f>
        <v>-4.382752368487397E-3</v>
      </c>
      <c r="H115" s="167">
        <f>IF($A115="","",IF(pf_BU="All",IF(SUMPRODUCT((calc_state=$A115)*_calc!$CC$4:$CC$72)=0,"",SUMPRODUCT((calc_state=$A115)*_calc!$CC$4:$CC$72*_calc!$AS$4:$AS$72)/SUMPRODUCT((calc_state=$A115)*_calc!$CC$4:$CC$72)),IF($P$21=0,"",INDEX(_calc!$N:$N,$P$21+33)/INDEX(_calc!$N:$N,$P$21+21)*IF(INDEX(_calc!$O:$O,$P$21)=1,INDEX(_calc!$O:$O,$P$21+33)/INDEX(_calc!$O:$O,$P$21+21),1)-1)))</f>
        <v>-4.3843580519036252E-3</v>
      </c>
      <c r="I115" s="167">
        <f>IF($A115="","",IF(pf_BU="All",IF(SUMPRODUCT((calc_state=$A115)*_calc!$CD$4:$CD$72)=0,"",SUMPRODUCT((calc_state=$A115)*_calc!$CD$4:$CD$72*_calc!$AT$4:$AT$72)/SUMPRODUCT((calc_state=$A115)*_calc!$CD$4:$CD$72)),IF($P$21=0,"",INDEX(_calc!$N:$N,$P$21+34)/INDEX(_calc!$N:$N,$P$21+22)*IF(INDEX(_calc!$O:$O,$P$21)=1,INDEX(_calc!$O:$O,$P$21+34)/INDEX(_calc!$O:$O,$P$21+22),1)-1)))</f>
        <v>-4.3859912640666909E-3</v>
      </c>
      <c r="J115" s="167">
        <f>IF($A115="","",IF(pf_BU="All",IF(SUMPRODUCT((calc_state=$A115)*_calc!$CE$4:$CE$72)=0,"",SUMPRODUCT((calc_state=$A115)*_calc!$CE$4:$CE$72*_calc!$AU$4:$AU$72)/SUMPRODUCT((calc_state=$A115)*_calc!$CE$4:$CE$72)),IF($P$21=0,"",INDEX(_calc!$N:$N,$P$21+35)/INDEX(_calc!$N:$N,$P$21+23)*IF(INDEX(_calc!$O:$O,$P$21)=1,INDEX(_calc!$O:$O,$P$21+35)/INDEX(_calc!$O:$O,$P$21+23),1)-1)))</f>
        <v>-4.3875993220258147E-3</v>
      </c>
      <c r="K115" s="167">
        <f>IF($A115="","",IF(pf_BU="All",IF(SUMPRODUCT((calc_state=$A115)*_calc!$CF$4:$CF$72)=0,"",SUMPRODUCT((calc_state=$A115)*_calc!$CF$4:$CF$72*_calc!$AV$4:$AV$72)/SUMPRODUCT((calc_state=$A115)*_calc!$CF$4:$CF$72)),IF($P$21=0,"",INDEX(_calc!$N:$N,$P$21+36)/INDEX(_calc!$N:$N,$P$21+24)*IF(INDEX(_calc!$O:$O,$P$21)=1,INDEX(_calc!$O:$O,$P$21+36)/INDEX(_calc!$O:$O,$P$21+24),1)-1)))</f>
        <v>-4.3892085595579333E-3</v>
      </c>
      <c r="L115" s="167">
        <f>IF($A115="","",IF(pf_BU="All",IF(SUMPRODUCT((calc_state=$A115)*_calc!$CG$4:$CG$72)=0,"",SUMPRODUCT((calc_state=$A115)*_calc!$CG$4:$CG$72*_calc!$AW$4:$AW$72)/SUMPRODUCT((calc_state=$A115)*_calc!$CG$4:$CG$72)),IF($P$21=0,"",INDEX(_calc!$N:$N,$P$21+37)/INDEX(_calc!$N:$N,$P$21+25)*IF(INDEX(_calc!$O:$O,$P$21)=1,INDEX(_calc!$O:$O,$P$21+37)/INDEX(_calc!$O:$O,$P$21+25),1)-1)))</f>
        <v>-4.3908189779616746E-3</v>
      </c>
      <c r="M115" s="167">
        <f>IF($A115="","",IF(pf_BU="All",IF(SUMPRODUCT((calc_state=$A115)*_calc!$CH$4:$CH$72)=0,"",SUMPRODUCT((calc_state=$A115)*_calc!$CH$4:$CH$72*_calc!$AX$4:$AX$72)/SUMPRODUCT((calc_state=$A115)*_calc!$CH$4:$CH$72)),IF($P$21=0,"",INDEX(_calc!$N:$N,$P$21+38)/INDEX(_calc!$N:$N,$P$21+26)*IF(INDEX(_calc!$O:$O,$P$21)=1,INDEX(_calc!$O:$O,$P$21+38)/INDEX(_calc!$O:$O,$P$21+26),1)-1)))</f>
        <v>-4.3924305785372209E-3</v>
      </c>
    </row>
    <row r="116" spans="1:13" x14ac:dyDescent="0.3">
      <c r="A116" s="166" t="str">
        <f>_lists!$B$16</f>
        <v>NC</v>
      </c>
      <c r="B116" s="167">
        <f>IF($A116="","",IF(pf_BU="All",IF(SUMPRODUCT((calc_state=$A116)*_calc!$BW$4:$BW$72)=0,"",SUMPRODUCT((calc_state=$A116)*_calc!$BW$4:$BW$72*_calc!$AM$4:$AM$72)/SUMPRODUCT((calc_state=$A116)*_calc!$BW$4:$BW$72)),IF($P$22=0,"",INDEX(_calc!$N:$N,$P$22+27)/INDEX(_calc!$N:$N,$P$22+15)*IF(INDEX(_calc!$O:$O,$P$22)=1,INDEX(_calc!$O:$O,$P$22+27)/INDEX(_calc!$O:$O,$P$22+15),1)-1)))</f>
        <v>5.9273037418793084E-2</v>
      </c>
      <c r="C116" s="167">
        <f>IF($A116="","",IF(pf_BU="All",IF(SUMPRODUCT((calc_state=$A116)*_calc!$BX$4:$BX$72)=0,"",SUMPRODUCT((calc_state=$A116)*_calc!$BX$4:$BX$72*_calc!$AN$4:$AN$72)/SUMPRODUCT((calc_state=$A116)*_calc!$BX$4:$BX$72)),IF($P$22=0,"",INDEX(_calc!$N:$N,$P$22+28)/INDEX(_calc!$N:$N,$P$22+16)*IF(INDEX(_calc!$O:$O,$P$22)=1,INDEX(_calc!$O:$O,$P$22+28)/INDEX(_calc!$O:$O,$P$22+16),1)-1)))</f>
        <v>8.8251650184965058E-3</v>
      </c>
      <c r="D116" s="167">
        <f>IF($A116="","",IF(pf_BU="All",IF(SUMPRODUCT((calc_state=$A116)*_calc!$BY$4:$BY$72)=0,"",SUMPRODUCT((calc_state=$A116)*_calc!$BY$4:$BY$72*_calc!$AO$4:$AO$72)/SUMPRODUCT((calc_state=$A116)*_calc!$BY$4:$BY$72)),IF($P$22=0,"",INDEX(_calc!$N:$N,$P$22+29)/INDEX(_calc!$N:$N,$P$22+17)*IF(INDEX(_calc!$O:$O,$P$22)=1,INDEX(_calc!$O:$O,$P$22+29)/INDEX(_calc!$O:$O,$P$22+17),1)-1)))</f>
        <v>8.8188748082196344E-3</v>
      </c>
      <c r="E116" s="167">
        <f>IF($A116="","",IF(pf_BU="All",IF(SUMPRODUCT((calc_state=$A116)*_calc!$BZ$4:$BZ$72)=0,"",SUMPRODUCT((calc_state=$A116)*_calc!$BZ$4:$BZ$72*_calc!$AP$4:$AP$72)/SUMPRODUCT((calc_state=$A116)*_calc!$BZ$4:$BZ$72)),IF($P$22=0,"",INDEX(_calc!$N:$N,$P$22+30)/INDEX(_calc!$N:$N,$P$22+18)*IF(INDEX(_calc!$O:$O,$P$22)=1,INDEX(_calc!$O:$O,$P$22+30)/INDEX(_calc!$O:$O,$P$22+18),1)-1)))</f>
        <v>4.9164876023081172E-2</v>
      </c>
      <c r="F116" s="167">
        <f>IF($A116="","",IF(pf_BU="All",IF(SUMPRODUCT((calc_state=$A116)*_calc!$CA$4:$CA$72)=0,"",SUMPRODUCT((calc_state=$A116)*_calc!$CA$4:$CA$72*_calc!$AQ$4:$AQ$72)/SUMPRODUCT((calc_state=$A116)*_calc!$CA$4:$CA$72)),IF($P$22=0,"",INDEX(_calc!$N:$N,$P$22+31)/INDEX(_calc!$N:$N,$P$22+19)*IF(INDEX(_calc!$O:$O,$P$22)=1,INDEX(_calc!$O:$O,$P$22+31)/INDEX(_calc!$O:$O,$P$22+19),1)-1)))</f>
        <v>4.9158132184947911E-2</v>
      </c>
      <c r="G116" s="167">
        <f>IF($A116="","",IF(pf_BU="All",IF(SUMPRODUCT((calc_state=$A116)*_calc!$CB$4:$CB$72)=0,"",SUMPRODUCT((calc_state=$A116)*_calc!$CB$4:$CB$72*_calc!$AR$4:$AR$72)/SUMPRODUCT((calc_state=$A116)*_calc!$CB$4:$CB$72)),IF($P$22=0,"",INDEX(_calc!$N:$N,$P$22+32)/INDEX(_calc!$N:$N,$P$22+20)*IF(INDEX(_calc!$O:$O,$P$22)=1,INDEX(_calc!$O:$O,$P$22+32)/INDEX(_calc!$O:$O,$P$22+20),1)-1)))</f>
        <v>4.9151398264223767E-2</v>
      </c>
      <c r="H116" s="167">
        <f>IF($A116="","",IF(pf_BU="All",IF(SUMPRODUCT((calc_state=$A116)*_calc!$CC$4:$CC$72)=0,"",SUMPRODUCT((calc_state=$A116)*_calc!$CC$4:$CC$72*_calc!$AS$4:$AS$72)/SUMPRODUCT((calc_state=$A116)*_calc!$CC$4:$CC$72)),IF($P$22=0,"",INDEX(_calc!$N:$N,$P$22+33)/INDEX(_calc!$N:$N,$P$22+21)*IF(INDEX(_calc!$O:$O,$P$22)=1,INDEX(_calc!$O:$O,$P$22+33)/INDEX(_calc!$O:$O,$P$22+21),1)-1)))</f>
        <v>4.9144674239047781E-2</v>
      </c>
      <c r="I116" s="167">
        <f>IF($A116="","",IF(pf_BU="All",IF(SUMPRODUCT((calc_state=$A116)*_calc!$CD$4:$CD$72)=0,"",SUMPRODUCT((calc_state=$A116)*_calc!$CD$4:$CD$72*_calc!$AT$4:$AT$72)/SUMPRODUCT((calc_state=$A116)*_calc!$CD$4:$CD$72)),IF($P$22=0,"",INDEX(_calc!$N:$N,$P$22+34)/INDEX(_calc!$N:$N,$P$22+22)*IF(INDEX(_calc!$O:$O,$P$22)=1,INDEX(_calc!$O:$O,$P$22+34)/INDEX(_calc!$O:$O,$P$22+22),1)-1)))</f>
        <v>4.9137850101705682E-2</v>
      </c>
      <c r="J116" s="167">
        <f>IF($A116="","",IF(pf_BU="All",IF(SUMPRODUCT((calc_state=$A116)*_calc!$CE$4:$CE$72)=0,"",SUMPRODUCT((calc_state=$A116)*_calc!$CE$4:$CE$72*_calc!$AU$4:$AU$72)/SUMPRODUCT((calc_state=$A116)*_calc!$CE$4:$CE$72)),IF($P$22=0,"",INDEX(_calc!$N:$N,$P$22+35)/INDEX(_calc!$N:$N,$P$22+23)*IF(INDEX(_calc!$O:$O,$P$22)=1,INDEX(_calc!$O:$O,$P$22+35)/INDEX(_calc!$O:$O,$P$22+23),1)-1)))</f>
        <v>4.9131145963629441E-2</v>
      </c>
      <c r="K116" s="167">
        <f>IF($A116="","",IF(pf_BU="All",IF(SUMPRODUCT((calc_state=$A116)*_calc!$CF$4:$CF$72)=0,"",SUMPRODUCT((calc_state=$A116)*_calc!$CF$4:$CF$72*_calc!$AV$4:$AV$72)/SUMPRODUCT((calc_state=$A116)*_calc!$CF$4:$CF$72)),IF($P$22=0,"",INDEX(_calc!$N:$N,$P$22+36)/INDEX(_calc!$N:$N,$P$22+24)*IF(INDEX(_calc!$O:$O,$P$22)=1,INDEX(_calc!$O:$O,$P$22+36)/INDEX(_calc!$O:$O,$P$22+24),1)-1)))</f>
        <v>4.9124451655549795E-2</v>
      </c>
      <c r="L116" s="167">
        <f>IF($A116="","",IF(pf_BU="All",IF(SUMPRODUCT((calc_state=$A116)*_calc!$CG$4:$CG$72)=0,"",SUMPRODUCT((calc_state=$A116)*_calc!$CG$4:$CG$72*_calc!$AW$4:$AW$72)/SUMPRODUCT((calc_state=$A116)*_calc!$CG$4:$CG$72)),IF($P$22=0,"",INDEX(_calc!$N:$N,$P$22+37)/INDEX(_calc!$N:$N,$P$22+25)*IF(INDEX(_calc!$O:$O,$P$22)=1,INDEX(_calc!$O:$O,$P$22+37)/INDEX(_calc!$O:$O,$P$22+25),1)-1)))</f>
        <v>4.9117767155861802E-2</v>
      </c>
      <c r="M116" s="167">
        <f>IF($A116="","",IF(pf_BU="All",IF(SUMPRODUCT((calc_state=$A116)*_calc!$CH$4:$CH$72)=0,"",SUMPRODUCT((calc_state=$A116)*_calc!$CH$4:$CH$72*_calc!$AX$4:$AX$72)/SUMPRODUCT((calc_state=$A116)*_calc!$CH$4:$CH$72)),IF($P$22=0,"",INDEX(_calc!$N:$N,$P$22+38)/INDEX(_calc!$N:$N,$P$22+26)*IF(INDEX(_calc!$O:$O,$P$22)=1,INDEX(_calc!$O:$O,$P$22+38)/INDEX(_calc!$O:$O,$P$22+26),1)-1)))</f>
        <v>4.9111092443025806E-2</v>
      </c>
    </row>
    <row r="117" spans="1:13" x14ac:dyDescent="0.3">
      <c r="A117" s="166" t="str">
        <f>_lists!$B$17</f>
        <v>OH</v>
      </c>
      <c r="B117" s="167">
        <f>IF($A117="","",IF(pf_BU="All",IF(SUMPRODUCT((calc_state=$A117)*_calc!$BW$4:$BW$72)=0,"",SUMPRODUCT((calc_state=$A117)*_calc!$BW$4:$BW$72*_calc!$AM$4:$AM$72)/SUMPRODUCT((calc_state=$A117)*_calc!$BW$4:$BW$72)),IF($P$23=0,"",INDEX(_calc!$N:$N,$P$23+27)/INDEX(_calc!$N:$N,$P$23+15)*IF(INDEX(_calc!$O:$O,$P$23)=1,INDEX(_calc!$O:$O,$P$23+27)/INDEX(_calc!$O:$O,$P$23+15),1)-1)))</f>
        <v>-8.7227712124651191E-3</v>
      </c>
      <c r="C117" s="167">
        <f>IF($A117="","",IF(pf_BU="All",IF(SUMPRODUCT((calc_state=$A117)*_calc!$BX$4:$BX$72)=0,"",SUMPRODUCT((calc_state=$A117)*_calc!$BX$4:$BX$72*_calc!$AN$4:$AN$72)/SUMPRODUCT((calc_state=$A117)*_calc!$BX$4:$BX$72)),IF($P$23=0,"",INDEX(_calc!$N:$N,$P$23+28)/INDEX(_calc!$N:$N,$P$23+16)*IF(INDEX(_calc!$O:$O,$P$23)=1,INDEX(_calc!$O:$O,$P$23+28)/INDEX(_calc!$O:$O,$P$23+16),1)-1)))</f>
        <v>-8.7289250269041441E-3</v>
      </c>
      <c r="D117" s="167">
        <f>IF($A117="","",IF(pf_BU="All",IF(SUMPRODUCT((calc_state=$A117)*_calc!$BY$4:$BY$72)=0,"",SUMPRODUCT((calc_state=$A117)*_calc!$BY$4:$BY$72*_calc!$AO$4:$AO$72)/SUMPRODUCT((calc_state=$A117)*_calc!$BY$4:$BY$72)),IF($P$23=0,"",INDEX(_calc!$N:$N,$P$23+29)/INDEX(_calc!$N:$N,$P$23+17)*IF(INDEX(_calc!$O:$O,$P$23)=1,INDEX(_calc!$O:$O,$P$23+29)/INDEX(_calc!$O:$O,$P$23+17),1)-1)))</f>
        <v>-8.7350875303633391E-3</v>
      </c>
      <c r="E117" s="167">
        <f>IF($A117="","",IF(pf_BU="All",IF(SUMPRODUCT((calc_state=$A117)*_calc!$BZ$4:$BZ$72)=0,"",SUMPRODUCT((calc_state=$A117)*_calc!$BZ$4:$BZ$72*_calc!$AP$4:$AP$72)/SUMPRODUCT((calc_state=$A117)*_calc!$BZ$4:$BZ$72)),IF($P$23=0,"",INDEX(_calc!$N:$N,$P$23+30)/INDEX(_calc!$N:$N,$P$23+18)*IF(INDEX(_calc!$O:$O,$P$23)=1,INDEX(_calc!$O:$O,$P$23+30)/INDEX(_calc!$O:$O,$P$23+18),1)-1)))</f>
        <v>-8.7414680876541917E-3</v>
      </c>
      <c r="F117" s="167">
        <f>IF($A117="","",IF(pf_BU="All",IF(SUMPRODUCT((calc_state=$A117)*_calc!$CA$4:$CA$72)=0,"",SUMPRODUCT((calc_state=$A117)*_calc!$CA$4:$CA$72*_calc!$AQ$4:$AQ$72)/SUMPRODUCT((calc_state=$A117)*_calc!$CA$4:$CA$72)),IF($P$23=0,"",INDEX(_calc!$N:$N,$P$23+31)/INDEX(_calc!$N:$N,$P$23+19)*IF(INDEX(_calc!$O:$O,$P$23)=1,INDEX(_calc!$O:$O,$P$23+31)/INDEX(_calc!$O:$O,$P$23+19),1)-1)))</f>
        <v>-8.7478579731332662E-3</v>
      </c>
      <c r="G117" s="167">
        <f>IF($A117="","",IF(pf_BU="All",IF(SUMPRODUCT((calc_state=$A117)*_calc!$CB$4:$CB$72)=0,"",SUMPRODUCT((calc_state=$A117)*_calc!$CB$4:$CB$72*_calc!$AR$4:$AR$72)/SUMPRODUCT((calc_state=$A117)*_calc!$CB$4:$CB$72)),IF($P$23=0,"",INDEX(_calc!$N:$N,$P$23+32)/INDEX(_calc!$N:$N,$P$23+20)*IF(INDEX(_calc!$O:$O,$P$23)=1,INDEX(_calc!$O:$O,$P$23+32)/INDEX(_calc!$O:$O,$P$23+20),1)-1)))</f>
        <v>-8.7542572072719649E-3</v>
      </c>
      <c r="H117" s="167">
        <f>IF($A117="","",IF(pf_BU="All",IF(SUMPRODUCT((calc_state=$A117)*_calc!$CC$4:$CC$72)=0,"",SUMPRODUCT((calc_state=$A117)*_calc!$CC$4:$CC$72*_calc!$AS$4:$AS$72)/SUMPRODUCT((calc_state=$A117)*_calc!$CC$4:$CC$72)),IF($P$23=0,"",INDEX(_calc!$N:$N,$P$23+33)/INDEX(_calc!$N:$N,$P$23+21)*IF(INDEX(_calc!$O:$O,$P$23)=1,INDEX(_calc!$O:$O,$P$23+33)/INDEX(_calc!$O:$O,$P$23+21),1)-1)))</f>
        <v>-8.7606658106015312E-3</v>
      </c>
      <c r="I117" s="167">
        <f>IF($A117="","",IF(pf_BU="All",IF(SUMPRODUCT((calc_state=$A117)*_calc!$CD$4:$CD$72)=0,"",SUMPRODUCT((calc_state=$A117)*_calc!$CD$4:$CD$72*_calc!$AT$4:$AT$72)/SUMPRODUCT((calc_state=$A117)*_calc!$CD$4:$CD$72)),IF($P$23=0,"",INDEX(_calc!$N:$N,$P$23+34)/INDEX(_calc!$N:$N,$P$23+22)*IF(INDEX(_calc!$O:$O,$P$23)=1,INDEX(_calc!$O:$O,$P$23+34)/INDEX(_calc!$O:$O,$P$23+22),1)-1)))</f>
        <v>-8.7671890950580256E-3</v>
      </c>
      <c r="J117" s="167">
        <f>IF($A117="","",IF(pf_BU="All",IF(SUMPRODUCT((calc_state=$A117)*_calc!$CE$4:$CE$72)=0,"",SUMPRODUCT((calc_state=$A117)*_calc!$CE$4:$CE$72*_calc!$AU$4:$AU$72)/SUMPRODUCT((calc_state=$A117)*_calc!$CE$4:$CE$72)),IF($P$23=0,"",INDEX(_calc!$N:$N,$P$23+35)/INDEX(_calc!$N:$N,$P$23+23)*IF(INDEX(_calc!$O:$O,$P$23)=1,INDEX(_calc!$O:$O,$P$23+35)/INDEX(_calc!$O:$O,$P$23+23),1)-1)))</f>
        <v>-8.7736166530455462E-3</v>
      </c>
      <c r="K117" s="167">
        <f>IF($A117="","",IF(pf_BU="All",IF(SUMPRODUCT((calc_state=$A117)*_calc!$CF$4:$CF$72)=0,"",SUMPRODUCT((calc_state=$A117)*_calc!$CF$4:$CF$72*_calc!$AV$4:$AV$72)/SUMPRODUCT((calc_state=$A117)*_calc!$CF$4:$CF$72)),IF($P$23=0,"",INDEX(_calc!$N:$N,$P$23+36)/INDEX(_calc!$N:$N,$P$23+24)*IF(INDEX(_calc!$O:$O,$P$23)=1,INDEX(_calc!$O:$O,$P$23+36)/INDEX(_calc!$O:$O,$P$23+24),1)-1)))</f>
        <v>-8.7800536425195475E-3</v>
      </c>
      <c r="L117" s="167">
        <f>IF($A117="","",IF(pf_BU="All",IF(SUMPRODUCT((calc_state=$A117)*_calc!$CG$4:$CG$72)=0,"",SUMPRODUCT((calc_state=$A117)*_calc!$CG$4:$CG$72*_calc!$AW$4:$AW$72)/SUMPRODUCT((calc_state=$A117)*_calc!$CG$4:$CG$72)),IF($P$23=0,"",INDEX(_calc!$N:$N,$P$23+37)/INDEX(_calc!$N:$N,$P$23+25)*IF(INDEX(_calc!$O:$O,$P$23)=1,INDEX(_calc!$O:$O,$P$23+37)/INDEX(_calc!$O:$O,$P$23+25),1)-1)))</f>
        <v>-8.7865000842540786E-3</v>
      </c>
      <c r="M117" s="167">
        <f>IF($A117="","",IF(pf_BU="All",IF(SUMPRODUCT((calc_state=$A117)*_calc!$CH$4:$CH$72)=0,"",SUMPRODUCT((calc_state=$A117)*_calc!$CH$4:$CH$72*_calc!$AX$4:$AX$72)/SUMPRODUCT((calc_state=$A117)*_calc!$CH$4:$CH$72)),IF($P$23=0,"",INDEX(_calc!$N:$N,$P$23+38)/INDEX(_calc!$N:$N,$P$23+26)*IF(INDEX(_calc!$O:$O,$P$23)=1,INDEX(_calc!$O:$O,$P$23+38)/INDEX(_calc!$O:$O,$P$23+26),1)-1)))</f>
        <v>-8.7929559990846951E-3</v>
      </c>
    </row>
    <row r="118" spans="1:13" x14ac:dyDescent="0.3">
      <c r="A118" s="166" t="str">
        <f>_lists!$B$18</f>
        <v>PA</v>
      </c>
      <c r="B118" s="167">
        <f>IF($A118="","",IF(pf_BU="All",IF(SUMPRODUCT((calc_state=$A118)*_calc!$BW$4:$BW$72)=0,"",SUMPRODUCT((calc_state=$A118)*_calc!$BW$4:$BW$72*_calc!$AM$4:$AM$72)/SUMPRODUCT((calc_state=$A118)*_calc!$BW$4:$BW$72)),IF($P$24=0,"",INDEX(_calc!$N:$N,$P$24+27)/INDEX(_calc!$N:$N,$P$24+15)*IF(INDEX(_calc!$O:$O,$P$24)=1,INDEX(_calc!$O:$O,$P$24+27)/INDEX(_calc!$O:$O,$P$24+15),1)-1)))</f>
        <v>2.4490059276501164E-2</v>
      </c>
      <c r="C118" s="167">
        <f>IF($A118="","",IF(pf_BU="All",IF(SUMPRODUCT((calc_state=$A118)*_calc!$BX$4:$BX$72)=0,"",SUMPRODUCT((calc_state=$A118)*_calc!$BX$4:$BX$72*_calc!$AN$4:$AN$72)/SUMPRODUCT((calc_state=$A118)*_calc!$BX$4:$BX$72)),IF($P$24=0,"",INDEX(_calc!$N:$N,$P$24+28)/INDEX(_calc!$N:$N,$P$24+16)*IF(INDEX(_calc!$O:$O,$P$24)=1,INDEX(_calc!$O:$O,$P$24+28)/INDEX(_calc!$O:$O,$P$24+16),1)-1)))</f>
        <v>2.4488462373110309E-2</v>
      </c>
      <c r="D118" s="167">
        <f>IF($A118="","",IF(pf_BU="All",IF(SUMPRODUCT((calc_state=$A118)*_calc!$BY$4:$BY$72)=0,"",SUMPRODUCT((calc_state=$A118)*_calc!$BY$4:$BY$72*_calc!$AO$4:$AO$72)/SUMPRODUCT((calc_state=$A118)*_calc!$BY$4:$BY$72)),IF($P$24=0,"",INDEX(_calc!$N:$N,$P$24+29)/INDEX(_calc!$N:$N,$P$24+17)*IF(INDEX(_calc!$O:$O,$P$24)=1,INDEX(_calc!$O:$O,$P$24+29)/INDEX(_calc!$O:$O,$P$24+17),1)-1)))</f>
        <v>2.4486866605202717E-2</v>
      </c>
      <c r="E118" s="167">
        <f>IF($A118="","",IF(pf_BU="All",IF(SUMPRODUCT((calc_state=$A118)*_calc!$BZ$4:$BZ$72)=0,"",SUMPRODUCT((calc_state=$A118)*_calc!$BZ$4:$BZ$72*_calc!$AP$4:$AP$72)/SUMPRODUCT((calc_state=$A118)*_calc!$BZ$4:$BZ$72)),IF($P$24=0,"",INDEX(_calc!$N:$N,$P$24+30)/INDEX(_calc!$N:$N,$P$24+18)*IF(INDEX(_calc!$O:$O,$P$24)=1,INDEX(_calc!$O:$O,$P$24+30)/INDEX(_calc!$O:$O,$P$24+18),1)-1)))</f>
        <v>4.3972724863263757E-3</v>
      </c>
      <c r="F118" s="167">
        <f>IF($A118="","",IF(pf_BU="All",IF(SUMPRODUCT((calc_state=$A118)*_calc!$CA$4:$CA$72)=0,"",SUMPRODUCT((calc_state=$A118)*_calc!$CA$4:$CA$72*_calc!$AQ$4:$AQ$72)/SUMPRODUCT((calc_state=$A118)*_calc!$CA$4:$CA$72)),IF($P$24=0,"",INDEX(_calc!$N:$N,$P$24+31)/INDEX(_calc!$N:$N,$P$24+19)*IF(INDEX(_calc!$O:$O,$P$24)=1,INDEX(_calc!$O:$O,$P$24+31)/INDEX(_calc!$O:$O,$P$24+19),1)-1)))</f>
        <v>4.3956573314145597E-3</v>
      </c>
      <c r="G118" s="167">
        <f>IF($A118="","",IF(pf_BU="All",IF(SUMPRODUCT((calc_state=$A118)*_calc!$CB$4:$CB$72)=0,"",SUMPRODUCT((calc_state=$A118)*_calc!$CB$4:$CB$72*_calc!$AR$4:$AR$72)/SUMPRODUCT((calc_state=$A118)*_calc!$CB$4:$CB$72)),IF($P$24=0,"",INDEX(_calc!$N:$N,$P$24+32)/INDEX(_calc!$N:$N,$P$24+20)*IF(INDEX(_calc!$O:$O,$P$24)=1,INDEX(_calc!$O:$O,$P$24+32)/INDEX(_calc!$O:$O,$P$24+20),1)-1)))</f>
        <v>4.3940433625868636E-3</v>
      </c>
      <c r="H118" s="167">
        <f>IF($A118="","",IF(pf_BU="All",IF(SUMPRODUCT((calc_state=$A118)*_calc!$CC$4:$CC$72)=0,"",SUMPRODUCT((calc_state=$A118)*_calc!$CC$4:$CC$72*_calc!$AS$4:$AS$72)/SUMPRODUCT((calc_state=$A118)*_calc!$CC$4:$CC$72)),IF($P$24=0,"",INDEX(_calc!$N:$N,$P$24+33)/INDEX(_calc!$N:$N,$P$24+21)*IF(INDEX(_calc!$O:$O,$P$24)=1,INDEX(_calc!$O:$O,$P$24+33)/INDEX(_calc!$O:$O,$P$24+21),1)-1)))</f>
        <v>4.3924305785372209E-3</v>
      </c>
      <c r="I118" s="167">
        <f>IF($A118="","",IF(pf_BU="All",IF(SUMPRODUCT((calc_state=$A118)*_calc!$CD$4:$CD$72)=0,"",SUMPRODUCT((calc_state=$A118)*_calc!$CD$4:$CD$72*_calc!$AT$4:$AT$72)/SUMPRODUCT((calc_state=$A118)*_calc!$CD$4:$CD$72)),IF($P$24=0,"",INDEX(_calc!$N:$N,$P$24+34)/INDEX(_calc!$N:$N,$P$24+22)*IF(INDEX(_calc!$O:$O,$P$24)=1,INDEX(_calc!$O:$O,$P$24+34)/INDEX(_calc!$O:$O,$P$24+22),1)-1)))</f>
        <v>4.3907925681323512E-3</v>
      </c>
      <c r="J118" s="167">
        <f>IF($A118="","",IF(pf_BU="All",IF(SUMPRODUCT((calc_state=$A118)*_calc!$CE$4:$CE$72)=0,"",SUMPRODUCT((calc_state=$A118)*_calc!$CE$4:$CE$72*_calc!$AU$4:$AU$72)/SUMPRODUCT((calc_state=$A118)*_calc!$CE$4:$CE$72)),IF($P$24=0,"",INDEX(_calc!$N:$N,$P$24+35)/INDEX(_calc!$N:$N,$P$24+23)*IF(INDEX(_calc!$O:$O,$P$24)=1,INDEX(_calc!$O:$O,$P$24+35)/INDEX(_calc!$O:$O,$P$24+23),1)-1)))</f>
        <v>4.3891821690977828E-3</v>
      </c>
      <c r="K118" s="167">
        <f>IF($A118="","",IF(pf_BU="All",IF(SUMPRODUCT((calc_state=$A118)*_calc!$CF$4:$CF$72)=0,"",SUMPRODUCT((calc_state=$A118)*_calc!$CF$4:$CF$72*_calc!$AV$4:$AV$72)/SUMPRODUCT((calc_state=$A118)*_calc!$CF$4:$CF$72)),IF($P$24=0,"",INDEX(_calc!$N:$N,$P$24+36)/INDEX(_calc!$N:$N,$P$24+24)*IF(INDEX(_calc!$O:$O,$P$24)=1,INDEX(_calc!$O:$O,$P$24+36)/INDEX(_calc!$O:$O,$P$24+24),1)-1)))</f>
        <v>4.3875729509132988E-3</v>
      </c>
      <c r="L118" s="167">
        <f>IF($A118="","",IF(pf_BU="All",IF(SUMPRODUCT((calc_state=$A118)*_calc!$CG$4:$CG$72)=0,"",SUMPRODUCT((calc_state=$A118)*_calc!$CG$4:$CG$72*_calc!$AW$4:$AW$72)/SUMPRODUCT((calc_state=$A118)*_calc!$CG$4:$CG$72)),IF($P$24=0,"",INDEX(_calc!$N:$N,$P$24+37)/INDEX(_calc!$N:$N,$P$24+25)*IF(INDEX(_calc!$O:$O,$P$24)=1,INDEX(_calc!$O:$O,$P$24+37)/INDEX(_calc!$O:$O,$P$24+25),1)-1)))</f>
        <v>4.3859649122806044E-3</v>
      </c>
      <c r="M118" s="167">
        <f>IF($A118="","",IF(pf_BU="All",IF(SUMPRODUCT((calc_state=$A118)*_calc!$CH$4:$CH$72)=0,"",SUMPRODUCT((calc_state=$A118)*_calc!$CH$4:$CH$72*_calc!$AX$4:$AX$72)/SUMPRODUCT((calc_state=$A118)*_calc!$CH$4:$CH$72)),IF($P$24=0,"",INDEX(_calc!$N:$N,$P$24+38)/INDEX(_calc!$N:$N,$P$24+26)*IF(INDEX(_calc!$O:$O,$P$24)=1,INDEX(_calc!$O:$O,$P$24+38)/INDEX(_calc!$O:$O,$P$24+26),1)-1)))</f>
        <v>4.3843580519036252E-3</v>
      </c>
    </row>
    <row r="119" spans="1:13" x14ac:dyDescent="0.3">
      <c r="A119" s="166" t="str">
        <f>_lists!$B$19</f>
        <v>SC</v>
      </c>
      <c r="B119" s="167">
        <f>IF($A119="","",IF(pf_BU="All",IF(SUMPRODUCT((calc_state=$A119)*_calc!$BW$4:$BW$72)=0,"",SUMPRODUCT((calc_state=$A119)*_calc!$BW$4:$BW$72*_calc!$AM$4:$AM$72)/SUMPRODUCT((calc_state=$A119)*_calc!$BW$4:$BW$72)),IF($P$25=0,"",INDEX(_calc!$N:$N,$P$25+27)/INDEX(_calc!$N:$N,$P$25+15)*IF(INDEX(_calc!$O:$O,$P$25)=1,INDEX(_calc!$O:$O,$P$25+27)/INDEX(_calc!$O:$O,$P$25+15),1)-1)))</f>
        <v>4.8306875730424803E-2</v>
      </c>
      <c r="C119" s="167">
        <f>IF($A119="","",IF(pf_BU="All",IF(SUMPRODUCT((calc_state=$A119)*_calc!$BX$4:$BX$72)=0,"",SUMPRODUCT((calc_state=$A119)*_calc!$BX$4:$BX$72*_calc!$AN$4:$AN$72)/SUMPRODUCT((calc_state=$A119)*_calc!$BX$4:$BX$72)),IF($P$25=0,"",INDEX(_calc!$N:$N,$P$25+28)/INDEX(_calc!$N:$N,$P$25+16)*IF(INDEX(_calc!$O:$O,$P$25)=1,INDEX(_calc!$O:$O,$P$25+28)/INDEX(_calc!$O:$O,$P$25+16),1)-1)))</f>
        <v>4.8280615594077592E-2</v>
      </c>
      <c r="D119" s="167">
        <f>IF($A119="","",IF(pf_BU="All",IF(SUMPRODUCT((calc_state=$A119)*_calc!$BY$4:$BY$72)=0,"",SUMPRODUCT((calc_state=$A119)*_calc!$BY$4:$BY$72*_calc!$AO$4:$AO$72)/SUMPRODUCT((calc_state=$A119)*_calc!$BY$4:$BY$72)),IF($P$25=0,"",INDEX(_calc!$N:$N,$P$25+29)/INDEX(_calc!$N:$N,$P$25+17)*IF(INDEX(_calc!$O:$O,$P$25)=1,INDEX(_calc!$O:$O,$P$25+29)/INDEX(_calc!$O:$O,$P$25+17),1)-1)))</f>
        <v>4.8254430687060035E-2</v>
      </c>
      <c r="E119" s="167">
        <f>IF($A119="","",IF(pf_BU="All",IF(SUMPRODUCT((calc_state=$A119)*_calc!$BZ$4:$BZ$72)=0,"",SUMPRODUCT((calc_state=$A119)*_calc!$BZ$4:$BZ$72*_calc!$AP$4:$AP$72)/SUMPRODUCT((calc_state=$A119)*_calc!$BZ$4:$BZ$72)),IF($P$25=0,"",INDEX(_calc!$N:$N,$P$25+30)/INDEX(_calc!$N:$N,$P$25+18)*IF(INDEX(_calc!$O:$O,$P$25)=1,INDEX(_calc!$O:$O,$P$25+30)/INDEX(_calc!$O:$O,$P$25+18),1)-1)))</f>
        <v>4.8227436910620369E-2</v>
      </c>
      <c r="F119" s="167">
        <f>IF($A119="","",IF(pf_BU="All",IF(SUMPRODUCT((calc_state=$A119)*_calc!$CA$4:$CA$72)=0,"",SUMPRODUCT((calc_state=$A119)*_calc!$CA$4:$CA$72*_calc!$AQ$4:$AQ$72)/SUMPRODUCT((calc_state=$A119)*_calc!$CA$4:$CA$72)),IF($P$25=0,"",INDEX(_calc!$N:$N,$P$25+31)/INDEX(_calc!$N:$N,$P$25+19)*IF(INDEX(_calc!$O:$O,$P$25)=1,INDEX(_calc!$O:$O,$P$25+31)/INDEX(_calc!$O:$O,$P$25+19),1)-1)))</f>
        <v>1.7670410534469383E-2</v>
      </c>
      <c r="G119" s="167">
        <f>IF($A119="","",IF(pf_BU="All",IF(SUMPRODUCT((calc_state=$A119)*_calc!$CB$4:$CB$72)=0,"",SUMPRODUCT((calc_state=$A119)*_calc!$CB$4:$CB$72*_calc!$AR$4:$AR$72)/SUMPRODUCT((calc_state=$A119)*_calc!$CB$4:$CB$72)),IF($P$25=0,"",INDEX(_calc!$N:$N,$P$25+32)/INDEX(_calc!$N:$N,$P$25+20)*IF(INDEX(_calc!$O:$O,$P$25)=1,INDEX(_calc!$O:$O,$P$25+32)/INDEX(_calc!$O:$O,$P$25+20),1)-1)))</f>
        <v>1.7644357431174873E-2</v>
      </c>
      <c r="H119" s="167">
        <f>IF($A119="","",IF(pf_BU="All",IF(SUMPRODUCT((calc_state=$A119)*_calc!$CC$4:$CC$72)=0,"",SUMPRODUCT((calc_state=$A119)*_calc!$CC$4:$CC$72*_calc!$AS$4:$AS$72)/SUMPRODUCT((calc_state=$A119)*_calc!$CC$4:$CC$72)),IF($P$25=0,"",INDEX(_calc!$N:$N,$P$25+33)/INDEX(_calc!$N:$N,$P$25+21)*IF(INDEX(_calc!$O:$O,$P$25)=1,INDEX(_calc!$O:$O,$P$25+33)/INDEX(_calc!$O:$O,$P$25+21),1)-1)))</f>
        <v>1.7618381039725906E-2</v>
      </c>
      <c r="I119" s="167">
        <f>IF($A119="","",IF(pf_BU="All",IF(SUMPRODUCT((calc_state=$A119)*_calc!$CD$4:$CD$72)=0,"",SUMPRODUCT((calc_state=$A119)*_calc!$CD$4:$CD$72*_calc!$AT$4:$AT$72)/SUMPRODUCT((calc_state=$A119)*_calc!$CD$4:$CD$72)),IF($P$25=0,"",INDEX(_calc!$N:$N,$P$25+34)/INDEX(_calc!$N:$N,$P$25+22)*IF(INDEX(_calc!$O:$O,$P$25)=1,INDEX(_calc!$O:$O,$P$25+34)/INDEX(_calc!$O:$O,$P$25+22),1)-1)))</f>
        <v>1.7592057065741296E-2</v>
      </c>
      <c r="J119" s="167">
        <f>IF($A119="","",IF(pf_BU="All",IF(SUMPRODUCT((calc_state=$A119)*_calc!$CE$4:$CE$72)=0,"",SUMPRODUCT((calc_state=$A119)*_calc!$CE$4:$CE$72*_calc!$AU$4:$AU$72)/SUMPRODUCT((calc_state=$A119)*_calc!$CE$4:$CE$72)),IF($P$25=0,"",INDEX(_calc!$N:$N,$P$25+35)/INDEX(_calc!$N:$N,$P$25+23)*IF(INDEX(_calc!$O:$O,$P$25)=1,INDEX(_calc!$O:$O,$P$25+35)/INDEX(_calc!$O:$O,$P$25+23),1)-1)))</f>
        <v>1.7566234328753261E-2</v>
      </c>
      <c r="K119" s="167">
        <f>IF($A119="","",IF(pf_BU="All",IF(SUMPRODUCT((calc_state=$A119)*_calc!$CF$4:$CF$72)=0,"",SUMPRODUCT((calc_state=$A119)*_calc!$CF$4:$CF$72*_calc!$AV$4:$AV$72)/SUMPRODUCT((calc_state=$A119)*_calc!$CF$4:$CF$72)),IF($P$25=0,"",INDEX(_calc!$N:$N,$P$25+36)/INDEX(_calc!$N:$N,$P$25+24)*IF(INDEX(_calc!$O:$O,$P$25)=1,INDEX(_calc!$O:$O,$P$25+36)/INDEX(_calc!$O:$O,$P$25+24),1)-1)))</f>
        <v>1.7540487289153583E-2</v>
      </c>
      <c r="L119" s="167">
        <f>IF($A119="","",IF(pf_BU="All",IF(SUMPRODUCT((calc_state=$A119)*_calc!$CG$4:$CG$72)=0,"",SUMPRODUCT((calc_state=$A119)*_calc!$CG$4:$CG$72*_calc!$AW$4:$AW$72)/SUMPRODUCT((calc_state=$A119)*_calc!$CG$4:$CG$72)),IF($P$25=0,"",INDEX(_calc!$N:$N,$P$25+37)/INDEX(_calc!$N:$N,$P$25+25)*IF(INDEX(_calc!$O:$O,$P$25)=1,INDEX(_calc!$O:$O,$P$25+37)/INDEX(_calc!$O:$O,$P$25+25),1)-1)))</f>
        <v>1.7514815614577905E-2</v>
      </c>
      <c r="M119" s="167">
        <f>IF($A119="","",IF(pf_BU="All",IF(SUMPRODUCT((calc_state=$A119)*_calc!$CH$4:$CH$72)=0,"",SUMPRODUCT((calc_state=$A119)*_calc!$CH$4:$CH$72*_calc!$AX$4:$AX$72)/SUMPRODUCT((calc_state=$A119)*_calc!$CH$4:$CH$72)),IF($P$25=0,"",INDEX(_calc!$N:$N,$P$25+38)/INDEX(_calc!$N:$N,$P$25+26)*IF(INDEX(_calc!$O:$O,$P$25)=1,INDEX(_calc!$O:$O,$P$25+38)/INDEX(_calc!$O:$O,$P$25+26),1)-1)))</f>
        <v>1.7489218974604537E-2</v>
      </c>
    </row>
    <row r="120" spans="1:13" x14ac:dyDescent="0.3">
      <c r="A120" s="166" t="str">
        <f>_lists!$B$20</f>
        <v>TN</v>
      </c>
      <c r="B120" s="167">
        <f>IF($A120="","",IF(pf_BU="All",IF(SUMPRODUCT((calc_state=$A120)*_calc!$BW$4:$BW$72)=0,"",SUMPRODUCT((calc_state=$A120)*_calc!$BW$4:$BW$72*_calc!$AM$4:$AM$72)/SUMPRODUCT((calc_state=$A120)*_calc!$BW$4:$BW$72)),IF($P$26=0,"",INDEX(_calc!$N:$N,$P$26+27)/INDEX(_calc!$N:$N,$P$26+15)*IF(INDEX(_calc!$O:$O,$P$26)=1,INDEX(_calc!$O:$O,$P$26+27)/INDEX(_calc!$O:$O,$P$26+15),1)-1)))</f>
        <v>0</v>
      </c>
      <c r="C120" s="167">
        <f>IF($A120="","",IF(pf_BU="All",IF(SUMPRODUCT((calc_state=$A120)*_calc!$BX$4:$BX$72)=0,"",SUMPRODUCT((calc_state=$A120)*_calc!$BX$4:$BX$72*_calc!$AN$4:$AN$72)/SUMPRODUCT((calc_state=$A120)*_calc!$BX$4:$BX$72)),IF($P$26=0,"",INDEX(_calc!$N:$N,$P$26+28)/INDEX(_calc!$N:$N,$P$26+16)*IF(INDEX(_calc!$O:$O,$P$26)=1,INDEX(_calc!$O:$O,$P$26+28)/INDEX(_calc!$O:$O,$P$26+16),1)-1)))</f>
        <v>0</v>
      </c>
      <c r="D120" s="167">
        <f>IF($A120="","",IF(pf_BU="All",IF(SUMPRODUCT((calc_state=$A120)*_calc!$BY$4:$BY$72)=0,"",SUMPRODUCT((calc_state=$A120)*_calc!$BY$4:$BY$72*_calc!$AO$4:$AO$72)/SUMPRODUCT((calc_state=$A120)*_calc!$BY$4:$BY$72)),IF($P$26=0,"",INDEX(_calc!$N:$N,$P$26+29)/INDEX(_calc!$N:$N,$P$26+17)*IF(INDEX(_calc!$O:$O,$P$26)=1,INDEX(_calc!$O:$O,$P$26+29)/INDEX(_calc!$O:$O,$P$26+17),1)-1)))</f>
        <v>0</v>
      </c>
      <c r="E120" s="167">
        <f>IF($A120="","",IF(pf_BU="All",IF(SUMPRODUCT((calc_state=$A120)*_calc!$BZ$4:$BZ$72)=0,"",SUMPRODUCT((calc_state=$A120)*_calc!$BZ$4:$BZ$72*_calc!$AP$4:$AP$72)/SUMPRODUCT((calc_state=$A120)*_calc!$BZ$4:$BZ$72)),IF($P$26=0,"",INDEX(_calc!$N:$N,$P$26+30)/INDEX(_calc!$N:$N,$P$26+18)*IF(INDEX(_calc!$O:$O,$P$26)=1,INDEX(_calc!$O:$O,$P$26+30)/INDEX(_calc!$O:$O,$P$26+18),1)-1)))</f>
        <v>0</v>
      </c>
      <c r="F120" s="167">
        <f>IF($A120="","",IF(pf_BU="All",IF(SUMPRODUCT((calc_state=$A120)*_calc!$CA$4:$CA$72)=0,"",SUMPRODUCT((calc_state=$A120)*_calc!$CA$4:$CA$72*_calc!$AQ$4:$AQ$72)/SUMPRODUCT((calc_state=$A120)*_calc!$CA$4:$CA$72)),IF($P$26=0,"",INDEX(_calc!$N:$N,$P$26+31)/INDEX(_calc!$N:$N,$P$26+19)*IF(INDEX(_calc!$O:$O,$P$26)=1,INDEX(_calc!$O:$O,$P$26+31)/INDEX(_calc!$O:$O,$P$26+19),1)-1)))</f>
        <v>0</v>
      </c>
      <c r="G120" s="167">
        <f>IF($A120="","",IF(pf_BU="All",IF(SUMPRODUCT((calc_state=$A120)*_calc!$CB$4:$CB$72)=0,"",SUMPRODUCT((calc_state=$A120)*_calc!$CB$4:$CB$72*_calc!$AR$4:$AR$72)/SUMPRODUCT((calc_state=$A120)*_calc!$CB$4:$CB$72)),IF($P$26=0,"",INDEX(_calc!$N:$N,$P$26+32)/INDEX(_calc!$N:$N,$P$26+20)*IF(INDEX(_calc!$O:$O,$P$26)=1,INDEX(_calc!$O:$O,$P$26+32)/INDEX(_calc!$O:$O,$P$26+20),1)-1)))</f>
        <v>0</v>
      </c>
      <c r="H120" s="167">
        <f>IF($A120="","",IF(pf_BU="All",IF(SUMPRODUCT((calc_state=$A120)*_calc!$CC$4:$CC$72)=0,"",SUMPRODUCT((calc_state=$A120)*_calc!$CC$4:$CC$72*_calc!$AS$4:$AS$72)/SUMPRODUCT((calc_state=$A120)*_calc!$CC$4:$CC$72)),IF($P$26=0,"",INDEX(_calc!$N:$N,$P$26+33)/INDEX(_calc!$N:$N,$P$26+21)*IF(INDEX(_calc!$O:$O,$P$26)=1,INDEX(_calc!$O:$O,$P$26+33)/INDEX(_calc!$O:$O,$P$26+21),1)-1)))</f>
        <v>0</v>
      </c>
      <c r="I120" s="167">
        <f>IF($A120="","",IF(pf_BU="All",IF(SUMPRODUCT((calc_state=$A120)*_calc!$CD$4:$CD$72)=0,"",SUMPRODUCT((calc_state=$A120)*_calc!$CD$4:$CD$72*_calc!$AT$4:$AT$72)/SUMPRODUCT((calc_state=$A120)*_calc!$CD$4:$CD$72)),IF($P$26=0,"",INDEX(_calc!$N:$N,$P$26+34)/INDEX(_calc!$N:$N,$P$26+22)*IF(INDEX(_calc!$O:$O,$P$26)=1,INDEX(_calc!$O:$O,$P$26+34)/INDEX(_calc!$O:$O,$P$26+22),1)-1)))</f>
        <v>4.0000000000000036E-2</v>
      </c>
      <c r="J120" s="167">
        <f>IF($A120="","",IF(pf_BU="All",IF(SUMPRODUCT((calc_state=$A120)*_calc!$CE$4:$CE$72)=0,"",SUMPRODUCT((calc_state=$A120)*_calc!$CE$4:$CE$72*_calc!$AU$4:$AU$72)/SUMPRODUCT((calc_state=$A120)*_calc!$CE$4:$CE$72)),IF($P$26=0,"",INDEX(_calc!$N:$N,$P$26+35)/INDEX(_calc!$N:$N,$P$26+23)*IF(INDEX(_calc!$O:$O,$P$26)=1,INDEX(_calc!$O:$O,$P$26+35)/INDEX(_calc!$O:$O,$P$26+23),1)-1)))</f>
        <v>4.0000000000000036E-2</v>
      </c>
      <c r="K120" s="167">
        <f>IF($A120="","",IF(pf_BU="All",IF(SUMPRODUCT((calc_state=$A120)*_calc!$CF$4:$CF$72)=0,"",SUMPRODUCT((calc_state=$A120)*_calc!$CF$4:$CF$72*_calc!$AV$4:$AV$72)/SUMPRODUCT((calc_state=$A120)*_calc!$CF$4:$CF$72)),IF($P$26=0,"",INDEX(_calc!$N:$N,$P$26+36)/INDEX(_calc!$N:$N,$P$26+24)*IF(INDEX(_calc!$O:$O,$P$26)=1,INDEX(_calc!$O:$O,$P$26+36)/INDEX(_calc!$O:$O,$P$26+24),1)-1)))</f>
        <v>4.0000000000000036E-2</v>
      </c>
      <c r="L120" s="167">
        <f>IF($A120="","",IF(pf_BU="All",IF(SUMPRODUCT((calc_state=$A120)*_calc!$CG$4:$CG$72)=0,"",SUMPRODUCT((calc_state=$A120)*_calc!$CG$4:$CG$72*_calc!$AW$4:$AW$72)/SUMPRODUCT((calc_state=$A120)*_calc!$CG$4:$CG$72)),IF($P$26=0,"",INDEX(_calc!$N:$N,$P$26+37)/INDEX(_calc!$N:$N,$P$26+25)*IF(INDEX(_calc!$O:$O,$P$26)=1,INDEX(_calc!$O:$O,$P$26+37)/INDEX(_calc!$O:$O,$P$26+25),1)-1)))</f>
        <v>4.0000000000000036E-2</v>
      </c>
      <c r="M120" s="167">
        <f>IF($A120="","",IF(pf_BU="All",IF(SUMPRODUCT((calc_state=$A120)*_calc!$CH$4:$CH$72)=0,"",SUMPRODUCT((calc_state=$A120)*_calc!$CH$4:$CH$72*_calc!$AX$4:$AX$72)/SUMPRODUCT((calc_state=$A120)*_calc!$CH$4:$CH$72)),IF($P$26=0,"",INDEX(_calc!$N:$N,$P$26+38)/INDEX(_calc!$N:$N,$P$26+26)*IF(INDEX(_calc!$O:$O,$P$26)=1,INDEX(_calc!$O:$O,$P$26+38)/INDEX(_calc!$O:$O,$P$26+26),1)-1)))</f>
        <v>4.0000000000000036E-2</v>
      </c>
    </row>
    <row r="121" spans="1:13" x14ac:dyDescent="0.3">
      <c r="A121" s="166" t="str">
        <f>_lists!$B$21</f>
        <v>VA</v>
      </c>
      <c r="B121" s="167">
        <f>IF($A121="","",IF(pf_BU="All",IF(SUMPRODUCT((calc_state=$A121)*_calc!$BW$4:$BW$72)=0,"",SUMPRODUCT((calc_state=$A121)*_calc!$BW$4:$BW$72*_calc!$AM$4:$AM$72)/SUMPRODUCT((calc_state=$A121)*_calc!$BW$4:$BW$72)),IF($P$27=0,"",INDEX(_calc!$N:$N,$P$27+27)/INDEX(_calc!$N:$N,$P$27+15)*IF(INDEX(_calc!$O:$O,$P$27)=1,INDEX(_calc!$O:$O,$P$27+27)/INDEX(_calc!$O:$O,$P$27+15),1)-1)))</f>
        <v>6.3953022699829498E-2</v>
      </c>
      <c r="C121" s="167">
        <f>IF($A121="","",IF(pf_BU="All",IF(SUMPRODUCT((calc_state=$A121)*_calc!$BX$4:$BX$72)=0,"",SUMPRODUCT((calc_state=$A121)*_calc!$BX$4:$BX$72*_calc!$AN$4:$AN$72)/SUMPRODUCT((calc_state=$A121)*_calc!$BX$4:$BX$72)),IF($P$27=0,"",INDEX(_calc!$N:$N,$P$27+28)/INDEX(_calc!$N:$N,$P$27+16)*IF(INDEX(_calc!$O:$O,$P$27)=1,INDEX(_calc!$O:$O,$P$27+28)/INDEX(_calc!$O:$O,$P$27+16),1)-1)))</f>
        <v>6.3938053097345238E-2</v>
      </c>
      <c r="D121" s="167">
        <f>IF($A121="","",IF(pf_BU="All",IF(SUMPRODUCT((calc_state=$A121)*_calc!$BY$4:$BY$72)=0,"",SUMPRODUCT((calc_state=$A121)*_calc!$BY$4:$BY$72*_calc!$AO$4:$AO$72)/SUMPRODUCT((calc_state=$A121)*_calc!$BY$4:$BY$72)),IF($P$27=0,"",INDEX(_calc!$N:$N,$P$27+29)/INDEX(_calc!$N:$N,$P$27+17)*IF(INDEX(_calc!$O:$O,$P$27)=1,INDEX(_calc!$O:$O,$P$27+29)/INDEX(_calc!$O:$O,$P$27+17),1)-1)))</f>
        <v>6.3923115580932111E-2</v>
      </c>
      <c r="E121" s="167">
        <f>IF($A121="","",IF(pf_BU="All",IF(SUMPRODUCT((calc_state=$A121)*_calc!$BZ$4:$BZ$72)=0,"",SUMPRODUCT((calc_state=$A121)*_calc!$BZ$4:$BZ$72*_calc!$AP$4:$AP$72)/SUMPRODUCT((calc_state=$A121)*_calc!$BZ$4:$BZ$72)),IF($P$27=0,"",INDEX(_calc!$N:$N,$P$27+30)/INDEX(_calc!$N:$N,$P$27+18)*IF(INDEX(_calc!$O:$O,$P$27)=1,INDEX(_calc!$O:$O,$P$27+30)/INDEX(_calc!$O:$O,$P$27+18),1)-1)))</f>
        <v>6.390770533446255E-2</v>
      </c>
      <c r="F121" s="167">
        <f>IF($A121="","",IF(pf_BU="All",IF(SUMPRODUCT((calc_state=$A121)*_calc!$CA$4:$CA$72)=0,"",SUMPRODUCT((calc_state=$A121)*_calc!$CA$4:$CA$72*_calc!$AQ$4:$AQ$72)/SUMPRODUCT((calc_state=$A121)*_calc!$CA$4:$CA$72)),IF($P$27=0,"",INDEX(_calc!$N:$N,$P$27+31)/INDEX(_calc!$N:$N,$P$27+19)*IF(INDEX(_calc!$O:$O,$P$27)=1,INDEX(_calc!$O:$O,$P$27+31)/INDEX(_calc!$O:$O,$P$27+19),1)-1)))</f>
        <v>6.3892329162714701E-2</v>
      </c>
      <c r="G121" s="167">
        <f>IF($A121="","",IF(pf_BU="All",IF(SUMPRODUCT((calc_state=$A121)*_calc!$CB$4:$CB$72)=0,"",SUMPRODUCT((calc_state=$A121)*_calc!$CB$4:$CB$72*_calc!$AR$4:$AR$72)/SUMPRODUCT((calc_state=$A121)*_calc!$CB$4:$CB$72)),IF($P$27=0,"",INDEX(_calc!$N:$N,$P$27+32)/INDEX(_calc!$N:$N,$P$27+20)*IF(INDEX(_calc!$O:$O,$P$27)=1,INDEX(_calc!$O:$O,$P$27+32)/INDEX(_calc!$O:$O,$P$27+20),1)-1)))</f>
        <v>6.3876986952795978E-2</v>
      </c>
      <c r="H121" s="167">
        <f>IF($A121="","",IF(pf_BU="All",IF(SUMPRODUCT((calc_state=$A121)*_calc!$CC$4:$CC$72)=0,"",SUMPRODUCT((calc_state=$A121)*_calc!$CC$4:$CC$72*_calc!$AS$4:$AS$72)/SUMPRODUCT((calc_state=$A121)*_calc!$CC$4:$CC$72)),IF($P$27=0,"",INDEX(_calc!$N:$N,$P$27+33)/INDEX(_calc!$N:$N,$P$27+21)*IF(INDEX(_calc!$O:$O,$P$27)=1,INDEX(_calc!$O:$O,$P$27+33)/INDEX(_calc!$O:$O,$P$27+21),1)-1)))</f>
        <v>1.320159865934456E-2</v>
      </c>
      <c r="I121" s="167">
        <f>IF($A121="","",IF(pf_BU="All",IF(SUMPRODUCT((calc_state=$A121)*_calc!$CD$4:$CD$72)=0,"",SUMPRODUCT((calc_state=$A121)*_calc!$CD$4:$CD$72*_calc!$AT$4:$AT$72)/SUMPRODUCT((calc_state=$A121)*_calc!$CD$4:$CD$72)),IF($P$27=0,"",INDEX(_calc!$N:$N,$P$27+34)/INDEX(_calc!$N:$N,$P$27+22)*IF(INDEX(_calc!$O:$O,$P$27)=1,INDEX(_calc!$O:$O,$P$27+34)/INDEX(_calc!$O:$O,$P$27+22),1)-1)))</f>
        <v>1.3186813186813362E-2</v>
      </c>
      <c r="J121" s="167">
        <f>IF($A121="","",IF(pf_BU="All",IF(SUMPRODUCT((calc_state=$A121)*_calc!$CE$4:$CE$72)=0,"",SUMPRODUCT((calc_state=$A121)*_calc!$CE$4:$CE$72*_calc!$AU$4:$AU$72)/SUMPRODUCT((calc_state=$A121)*_calc!$CE$4:$CE$72)),IF($P$27=0,"",INDEX(_calc!$N:$N,$P$27+35)/INDEX(_calc!$N:$N,$P$27+23)*IF(INDEX(_calc!$O:$O,$P$27)=1,INDEX(_calc!$O:$O,$P$27+35)/INDEX(_calc!$O:$O,$P$27+23),1)-1)))</f>
        <v>1.3172298475862876E-2</v>
      </c>
      <c r="K121" s="167">
        <f>IF($A121="","",IF(pf_BU="All",IF(SUMPRODUCT((calc_state=$A121)*_calc!$CF$4:$CF$72)=0,"",SUMPRODUCT((calc_state=$A121)*_calc!$CF$4:$CF$72*_calc!$AV$4:$AV$72)/SUMPRODUCT((calc_state=$A121)*_calc!$CF$4:$CF$72)),IF($P$27=0,"",INDEX(_calc!$N:$N,$P$27+36)/INDEX(_calc!$N:$N,$P$27+24)*IF(INDEX(_calc!$O:$O,$P$27)=1,INDEX(_calc!$O:$O,$P$27+36)/INDEX(_calc!$O:$O,$P$27+24),1)-1)))</f>
        <v>1.3157815682433904E-2</v>
      </c>
      <c r="L121" s="167">
        <f>IF($A121="","",IF(pf_BU="All",IF(SUMPRODUCT((calc_state=$A121)*_calc!$CG$4:$CG$72)=0,"",SUMPRODUCT((calc_state=$A121)*_calc!$CG$4:$CG$72*_calc!$AW$4:$AW$72)/SUMPRODUCT((calc_state=$A121)*_calc!$CG$4:$CG$72)),IF($P$27=0,"",INDEX(_calc!$N:$N,$P$27+37)/INDEX(_calc!$N:$N,$P$27+25)*IF(INDEX(_calc!$O:$O,$P$27)=1,INDEX(_calc!$O:$O,$P$27+37)/INDEX(_calc!$O:$O,$P$27+25),1)-1)))</f>
        <v>1.3143364701363458E-2</v>
      </c>
      <c r="M121" s="167">
        <f>IF($A121="","",IF(pf_BU="All",IF(SUMPRODUCT((calc_state=$A121)*_calc!$CH$4:$CH$72)=0,"",SUMPRODUCT((calc_state=$A121)*_calc!$CH$4:$CH$72*_calc!$AX$4:$AX$72)/SUMPRODUCT((calc_state=$A121)*_calc!$CH$4:$CH$72)),IF($P$27=0,"",INDEX(_calc!$N:$N,$P$27+38)/INDEX(_calc!$N:$N,$P$27+26)*IF(INDEX(_calc!$O:$O,$P$27)=1,INDEX(_calc!$O:$O,$P$27+38)/INDEX(_calc!$O:$O,$P$27+26),1)-1)))</f>
        <v>1.3128945427949512E-2</v>
      </c>
    </row>
    <row r="122" spans="1:13" x14ac:dyDescent="0.3">
      <c r="A122" s="166" t="str">
        <f>_lists!$B$22</f>
        <v>WV</v>
      </c>
      <c r="B122" s="167">
        <f>IF($A122="","",IF(pf_BU="All",IF(SUMPRODUCT((calc_state=$A122)*_calc!$BW$4:$BW$72)=0,"",SUMPRODUCT((calc_state=$A122)*_calc!$BW$4:$BW$72*_calc!$AM$4:$AM$72)/SUMPRODUCT((calc_state=$A122)*_calc!$BW$4:$BW$72)),IF($P$28=0,"",INDEX(_calc!$N:$N,$P$28+27)/INDEX(_calc!$N:$N,$P$28+15)*IF(INDEX(_calc!$O:$O,$P$28)=1,INDEX(_calc!$O:$O,$P$28+27)/INDEX(_calc!$O:$O,$P$28+15),1)-1)))</f>
        <v>5.5362662783241534E-2</v>
      </c>
      <c r="C122" s="167">
        <f>IF($A122="","",IF(pf_BU="All",IF(SUMPRODUCT((calc_state=$A122)*_calc!$BX$4:$BX$72)=0,"",SUMPRODUCT((calc_state=$A122)*_calc!$BX$4:$BX$72*_calc!$AN$4:$AN$72)/SUMPRODUCT((calc_state=$A122)*_calc!$BX$4:$BX$72)),IF($P$28=0,"",INDEX(_calc!$N:$N,$P$28+28)/INDEX(_calc!$N:$N,$P$28+16)*IF(INDEX(_calc!$O:$O,$P$28)=1,INDEX(_calc!$O:$O,$P$28+28)/INDEX(_calc!$O:$O,$P$28+16),1)-1)))</f>
        <v>5.5361022517445679E-2</v>
      </c>
      <c r="D122" s="167">
        <f>IF($A122="","",IF(pf_BU="All",IF(SUMPRODUCT((calc_state=$A122)*_calc!$BY$4:$BY$72)=0,"",SUMPRODUCT((calc_state=$A122)*_calc!$BY$4:$BY$72*_calc!$AO$4:$AO$72)/SUMPRODUCT((calc_state=$A122)*_calc!$BY$4:$BY$72)),IF($P$28=0,"",INDEX(_calc!$N:$N,$P$28+29)/INDEX(_calc!$N:$N,$P$28+17)*IF(INDEX(_calc!$O:$O,$P$28)=1,INDEX(_calc!$O:$O,$P$28+29)/INDEX(_calc!$O:$O,$P$28+17),1)-1)))</f>
        <v>5.535938109088745E-2</v>
      </c>
      <c r="E122" s="167">
        <f>IF($A122="","",IF(pf_BU="All",IF(SUMPRODUCT((calc_state=$A122)*_calc!$BZ$4:$BZ$72)=0,"",SUMPRODUCT((calc_state=$A122)*_calc!$BZ$4:$BZ$72*_calc!$AP$4:$AP$72)/SUMPRODUCT((calc_state=$A122)*_calc!$BZ$4:$BZ$72)),IF($P$28=0,"",INDEX(_calc!$N:$N,$P$28+30)/INDEX(_calc!$N:$N,$P$28+18)*IF(INDEX(_calc!$O:$O,$P$28)=1,INDEX(_calc!$O:$O,$P$28+30)/INDEX(_calc!$O:$O,$P$28+18),1)-1)))</f>
        <v>5.5357682800988739E-2</v>
      </c>
      <c r="F122" s="167">
        <f>IF($A122="","",IF(pf_BU="All",IF(SUMPRODUCT((calc_state=$A122)*_calc!$CA$4:$CA$72)=0,"",SUMPRODUCT((calc_state=$A122)*_calc!$CA$4:$CA$72*_calc!$AQ$4:$AQ$72)/SUMPRODUCT((calc_state=$A122)*_calc!$CA$4:$CA$72)),IF($P$28=0,"",INDEX(_calc!$N:$N,$P$28+31)/INDEX(_calc!$N:$N,$P$28+19)*IF(INDEX(_calc!$O:$O,$P$28)=1,INDEX(_calc!$O:$O,$P$28+31)/INDEX(_calc!$O:$O,$P$28+19),1)-1)))</f>
        <v>5.535598326761626E-2</v>
      </c>
      <c r="G122" s="167">
        <f>IF($A122="","",IF(pf_BU="All",IF(SUMPRODUCT((calc_state=$A122)*_calc!$CB$4:$CB$72)=0,"",SUMPRODUCT((calc_state=$A122)*_calc!$CB$4:$CB$72*_calc!$AR$4:$AR$72)/SUMPRODUCT((calc_state=$A122)*_calc!$CB$4:$CB$72)),IF($P$28=0,"",INDEX(_calc!$N:$N,$P$28+32)/INDEX(_calc!$N:$N,$P$28+20)*IF(INDEX(_calc!$O:$O,$P$28)=1,INDEX(_calc!$O:$O,$P$28+32)/INDEX(_calc!$O:$O,$P$28+20),1)-1)))</f>
        <v>5.5354282489403328E-2</v>
      </c>
      <c r="H122" s="167">
        <f>IF($A122="","",IF(pf_BU="All",IF(SUMPRODUCT((calc_state=$A122)*_calc!$CC$4:$CC$72)=0,"",SUMPRODUCT((calc_state=$A122)*_calc!$CC$4:$CC$72*_calc!$AS$4:$AS$72)/SUMPRODUCT((calc_state=$A122)*_calc!$CC$4:$CC$72)),IF($P$28=0,"",INDEX(_calc!$N:$N,$P$28+33)/INDEX(_calc!$N:$N,$P$28+21)*IF(INDEX(_calc!$O:$O,$P$28)=1,INDEX(_calc!$O:$O,$P$28+33)/INDEX(_calc!$O:$O,$P$28+21),1)-1)))</f>
        <v>5.5352580464982148E-2</v>
      </c>
      <c r="I122" s="167">
        <f>IF($A122="","",IF(pf_BU="All",IF(SUMPRODUCT((calc_state=$A122)*_calc!$CD$4:$CD$72)=0,"",SUMPRODUCT((calc_state=$A122)*_calc!$CD$4:$CD$72*_calc!$AT$4:$AT$72)/SUMPRODUCT((calc_state=$A122)*_calc!$CD$4:$CD$72)),IF($P$28=0,"",INDEX(_calc!$N:$N,$P$28+34)/INDEX(_calc!$N:$N,$P$28+22)*IF(INDEX(_calc!$O:$O,$P$28)=1,INDEX(_calc!$O:$O,$P$28+34)/INDEX(_calc!$O:$O,$P$28+22),1)-1)))</f>
        <v>-4.3859912640666909E-3</v>
      </c>
      <c r="J122" s="167">
        <f>IF($A122="","",IF(pf_BU="All",IF(SUMPRODUCT((calc_state=$A122)*_calc!$CE$4:$CE$72)=0,"",SUMPRODUCT((calc_state=$A122)*_calc!$CE$4:$CE$72*_calc!$AU$4:$AU$72)/SUMPRODUCT((calc_state=$A122)*_calc!$CE$4:$CE$72)),IF($P$28=0,"",INDEX(_calc!$N:$N,$P$28+35)/INDEX(_calc!$N:$N,$P$28+23)*IF(INDEX(_calc!$O:$O,$P$28)=1,INDEX(_calc!$O:$O,$P$28+35)/INDEX(_calc!$O:$O,$P$28+23),1)-1)))</f>
        <v>-4.3875993220258147E-3</v>
      </c>
      <c r="K122" s="167">
        <f>IF($A122="","",IF(pf_BU="All",IF(SUMPRODUCT((calc_state=$A122)*_calc!$CF$4:$CF$72)=0,"",SUMPRODUCT((calc_state=$A122)*_calc!$CF$4:$CF$72*_calc!$AV$4:$AV$72)/SUMPRODUCT((calc_state=$A122)*_calc!$CF$4:$CF$72)),IF($P$28=0,"",INDEX(_calc!$N:$N,$P$28+36)/INDEX(_calc!$N:$N,$P$28+24)*IF(INDEX(_calc!$O:$O,$P$28)=1,INDEX(_calc!$O:$O,$P$28+36)/INDEX(_calc!$O:$O,$P$28+24),1)-1)))</f>
        <v>-4.3892085595579333E-3</v>
      </c>
      <c r="L122" s="167">
        <f>IF($A122="","",IF(pf_BU="All",IF(SUMPRODUCT((calc_state=$A122)*_calc!$CG$4:$CG$72)=0,"",SUMPRODUCT((calc_state=$A122)*_calc!$CG$4:$CG$72*_calc!$AW$4:$AW$72)/SUMPRODUCT((calc_state=$A122)*_calc!$CG$4:$CG$72)),IF($P$28=0,"",INDEX(_calc!$N:$N,$P$28+37)/INDEX(_calc!$N:$N,$P$28+25)*IF(INDEX(_calc!$O:$O,$P$28)=1,INDEX(_calc!$O:$O,$P$28+37)/INDEX(_calc!$O:$O,$P$28+25),1)-1)))</f>
        <v>-4.3908189779616746E-3</v>
      </c>
      <c r="M122" s="167">
        <f>IF($A122="","",IF(pf_BU="All",IF(SUMPRODUCT((calc_state=$A122)*_calc!$CH$4:$CH$72)=0,"",SUMPRODUCT((calc_state=$A122)*_calc!$CH$4:$CH$72*_calc!$AX$4:$AX$72)/SUMPRODUCT((calc_state=$A122)*_calc!$CH$4:$CH$72)),IF($P$28=0,"",INDEX(_calc!$N:$N,$P$28+38)/INDEX(_calc!$N:$N,$P$28+26)*IF(INDEX(_calc!$O:$O,$P$28)=1,INDEX(_calc!$O:$O,$P$28+38)/INDEX(_calc!$O:$O,$P$28+26),1)-1)))</f>
        <v>-4.3924305785372209E-3</v>
      </c>
    </row>
    <row r="123" spans="1:13" x14ac:dyDescent="0.3">
      <c r="A123" s="166" t="str">
        <f>_lists!$B$23</f>
        <v>WI</v>
      </c>
      <c r="B123" s="167">
        <f>IF($A123="","",IF(pf_BU="All",IF(SUMPRODUCT((calc_state=$A123)*_calc!$BW$4:$BW$72)=0,"",SUMPRODUCT((calc_state=$A123)*_calc!$BW$4:$BW$72*_calc!$AM$4:$AM$72)/SUMPRODUCT((calc_state=$A123)*_calc!$BW$4:$BW$72)),IF($P$29=0,"",INDEX(_calc!$N:$N,$P$29+27)/INDEX(_calc!$N:$N,$P$29+15)*IF(INDEX(_calc!$O:$O,$P$29)=1,INDEX(_calc!$O:$O,$P$29+27)/INDEX(_calc!$O:$O,$P$29+15),1)-1)))</f>
        <v>8.8314642083742179E-3</v>
      </c>
      <c r="C123" s="167">
        <f>IF($A123="","",IF(pf_BU="All",IF(SUMPRODUCT((calc_state=$A123)*_calc!$BX$4:$BX$72)=0,"",SUMPRODUCT((calc_state=$A123)*_calc!$BX$4:$BX$72*_calc!$AN$4:$AN$72)/SUMPRODUCT((calc_state=$A123)*_calc!$BX$4:$BX$72)),IF($P$29=0,"",INDEX(_calc!$N:$N,$P$29+28)/INDEX(_calc!$N:$N,$P$29+16)*IF(INDEX(_calc!$O:$O,$P$29)=1,INDEX(_calc!$O:$O,$P$29+28)/INDEX(_calc!$O:$O,$P$29+16),1)-1)))</f>
        <v>8.8251650184965058E-3</v>
      </c>
      <c r="D123" s="167">
        <f>IF($A123="","",IF(pf_BU="All",IF(SUMPRODUCT((calc_state=$A123)*_calc!$BY$4:$BY$72)=0,"",SUMPRODUCT((calc_state=$A123)*_calc!$BY$4:$BY$72*_calc!$AO$4:$AO$72)/SUMPRODUCT((calc_state=$A123)*_calc!$BY$4:$BY$72)),IF($P$29=0,"",INDEX(_calc!$N:$N,$P$29+29)/INDEX(_calc!$N:$N,$P$29+17)*IF(INDEX(_calc!$O:$O,$P$29)=1,INDEX(_calc!$O:$O,$P$29+29)/INDEX(_calc!$O:$O,$P$29+17),1)-1)))</f>
        <v>8.8188748082196344E-3</v>
      </c>
      <c r="E123" s="167">
        <f>IF($A123="","",IF(pf_BU="All",IF(SUMPRODUCT((calc_state=$A123)*_calc!$BZ$4:$BZ$72)=0,"",SUMPRODUCT((calc_state=$A123)*_calc!$BZ$4:$BZ$72*_calc!$AP$4:$AP$72)/SUMPRODUCT((calc_state=$A123)*_calc!$BZ$4:$BZ$72)),IF($P$29=0,"",INDEX(_calc!$N:$N,$P$29+30)/INDEX(_calc!$N:$N,$P$29+18)*IF(INDEX(_calc!$O:$O,$P$29)=1,INDEX(_calc!$O:$O,$P$29+30)/INDEX(_calc!$O:$O,$P$29+18),1)-1)))</f>
        <v>8.8123807914242125E-3</v>
      </c>
      <c r="F123" s="167">
        <f>IF($A123="","",IF(pf_BU="All",IF(SUMPRODUCT((calc_state=$A123)*_calc!$CA$4:$CA$72)=0,"",SUMPRODUCT((calc_state=$A123)*_calc!$CA$4:$CA$72*_calc!$AQ$4:$AQ$72)/SUMPRODUCT((calc_state=$A123)*_calc!$CA$4:$CA$72)),IF($P$29=0,"",INDEX(_calc!$N:$N,$P$29+31)/INDEX(_calc!$N:$N,$P$29+19)*IF(INDEX(_calc!$O:$O,$P$29)=1,INDEX(_calc!$O:$O,$P$29+31)/INDEX(_calc!$O:$O,$P$29+19),1)-1)))</f>
        <v>8.8058963316806071E-3</v>
      </c>
      <c r="G123" s="167">
        <f>IF($A123="","",IF(pf_BU="All",IF(SUMPRODUCT((calc_state=$A123)*_calc!$CB$4:$CB$72)=0,"",SUMPRODUCT((calc_state=$A123)*_calc!$CB$4:$CB$72*_calc!$AR$4:$AR$72)/SUMPRODUCT((calc_state=$A123)*_calc!$CB$4:$CB$72)),IF($P$29=0,"",INDEX(_calc!$N:$N,$P$29+32)/INDEX(_calc!$N:$N,$P$29+20)*IF(INDEX(_calc!$O:$O,$P$29)=1,INDEX(_calc!$O:$O,$P$29+32)/INDEX(_calc!$O:$O,$P$29+20),1)-1)))</f>
        <v>8.7994214079074595E-3</v>
      </c>
      <c r="H123" s="167">
        <f>IF($A123="","",IF(pf_BU="All",IF(SUMPRODUCT((calc_state=$A123)*_calc!$CC$4:$CC$72)=0,"",SUMPRODUCT((calc_state=$A123)*_calc!$CC$4:$CC$72*_calc!$AS$4:$AS$72)/SUMPRODUCT((calc_state=$A123)*_calc!$CC$4:$CC$72)),IF($P$29=0,"",INDEX(_calc!$N:$N,$P$29+33)/INDEX(_calc!$N:$N,$P$29+21)*IF(INDEX(_calc!$O:$O,$P$29)=1,INDEX(_calc!$O:$O,$P$29+33)/INDEX(_calc!$O:$O,$P$29+21),1)-1)))</f>
        <v>8.792955999084473E-3</v>
      </c>
      <c r="I123" s="167">
        <f>IF($A123="","",IF(pf_BU="All",IF(SUMPRODUCT((calc_state=$A123)*_calc!$CD$4:$CD$72)=0,"",SUMPRODUCT((calc_state=$A123)*_calc!$CD$4:$CD$72*_calc!$AT$4:$AT$72)/SUMPRODUCT((calc_state=$A123)*_calc!$CD$4:$CD$72)),IF($P$29=0,"",INDEX(_calc!$N:$N,$P$29+34)/INDEX(_calc!$N:$N,$P$29+22)*IF(INDEX(_calc!$O:$O,$P$29)=1,INDEX(_calc!$O:$O,$P$29+34)/INDEX(_calc!$O:$O,$P$29+22),1)-1)))</f>
        <v>8.7863943285630963E-3</v>
      </c>
      <c r="J123" s="167">
        <f>IF($A123="","",IF(pf_BU="All",IF(SUMPRODUCT((calc_state=$A123)*_calc!$CE$4:$CE$72)=0,"",SUMPRODUCT((calc_state=$A123)*_calc!$CE$4:$CE$72*_calc!$AU$4:$AU$72)/SUMPRODUCT((calc_state=$A123)*_calc!$CE$4:$CE$72)),IF($P$29=0,"",INDEX(_calc!$N:$N,$P$29+35)/INDEX(_calc!$N:$N,$P$29+23)*IF(INDEX(_calc!$O:$O,$P$29)=1,INDEX(_calc!$O:$O,$P$29+35)/INDEX(_calc!$O:$O,$P$29+23),1)-1)))</f>
        <v>8.7799480419512577E-3</v>
      </c>
      <c r="K123" s="167">
        <f>IF($A123="","",IF(pf_BU="All",IF(SUMPRODUCT((calc_state=$A123)*_calc!$CF$4:$CF$72)=0,"",SUMPRODUCT((calc_state=$A123)*_calc!$CF$4:$CF$72*_calc!$AV$4:$AV$72)/SUMPRODUCT((calc_state=$A123)*_calc!$CF$4:$CF$72)),IF($P$29=0,"",INDEX(_calc!$N:$N,$P$29+36)/INDEX(_calc!$N:$N,$P$29+24)*IF(INDEX(_calc!$O:$O,$P$29)=1,INDEX(_calc!$O:$O,$P$29+36)/INDEX(_calc!$O:$O,$P$29+24),1)-1)))</f>
        <v>8.7735112072593324E-3</v>
      </c>
      <c r="L123" s="167">
        <f>IF($A123="","",IF(pf_BU="All",IF(SUMPRODUCT((calc_state=$A123)*_calc!$CG$4:$CG$72)=0,"",SUMPRODUCT((calc_state=$A123)*_calc!$CG$4:$CG$72*_calc!$AW$4:$AW$72)/SUMPRODUCT((calc_state=$A123)*_calc!$CG$4:$CG$72)),IF($P$29=0,"",INDEX(_calc!$N:$N,$P$29+37)/INDEX(_calc!$N:$N,$P$29+25)*IF(INDEX(_calc!$O:$O,$P$29)=1,INDEX(_calc!$O:$O,$P$29+37)/INDEX(_calc!$O:$O,$P$29+25),1)-1)))</f>
        <v>8.7670838037132715E-3</v>
      </c>
      <c r="M123" s="167">
        <f>IF($A123="","",IF(pf_BU="All",IF(SUMPRODUCT((calc_state=$A123)*_calc!$CH$4:$CH$72)=0,"",SUMPRODUCT((calc_state=$A123)*_calc!$CH$4:$CH$72*_calc!$AX$4:$AX$72)/SUMPRODUCT((calc_state=$A123)*_calc!$CH$4:$CH$72)),IF($P$29=0,"",INDEX(_calc!$N:$N,$P$29+38)/INDEX(_calc!$N:$N,$P$29+26)*IF(INDEX(_calc!$O:$O,$P$29)=1,INDEX(_calc!$O:$O,$P$29+38)/INDEX(_calc!$O:$O,$P$29+26),1)-1)))</f>
        <v>8.7606658106016422E-3</v>
      </c>
    </row>
    <row r="124" spans="1:13" x14ac:dyDescent="0.3">
      <c r="A124" s="166" t="str">
        <f>_lists!$B$24</f>
        <v/>
      </c>
      <c r="B124" s="167" t="str">
        <f>IF($A124="","",IF(pf_BU="All",IF(SUMPRODUCT((calc_state=$A124)*_calc!$BW$4:$BW$72)=0,"",SUMPRODUCT((calc_state=$A124)*_calc!$BW$4:$BW$72*_calc!$AM$4:$AM$72)/SUMPRODUCT((calc_state=$A124)*_calc!$BW$4:$BW$72)),IF($P$30=0,"",INDEX(_calc!$N:$N,$P$30+27)/INDEX(_calc!$N:$N,$P$30+15)*IF(INDEX(_calc!$O:$O,$P$30)=1,INDEX(_calc!$O:$O,$P$30+27)/INDEX(_calc!$O:$O,$P$30+15),1)-1)))</f>
        <v/>
      </c>
      <c r="C124" s="167" t="str">
        <f>IF($A124="","",IF(pf_BU="All",IF(SUMPRODUCT((calc_state=$A124)*_calc!$BX$4:$BX$72)=0,"",SUMPRODUCT((calc_state=$A124)*_calc!$BX$4:$BX$72*_calc!$AN$4:$AN$72)/SUMPRODUCT((calc_state=$A124)*_calc!$BX$4:$BX$72)),IF($P$30=0,"",INDEX(_calc!$N:$N,$P$30+28)/INDEX(_calc!$N:$N,$P$30+16)*IF(INDEX(_calc!$O:$O,$P$30)=1,INDEX(_calc!$O:$O,$P$30+28)/INDEX(_calc!$O:$O,$P$30+16),1)-1)))</f>
        <v/>
      </c>
      <c r="D124" s="167" t="str">
        <f>IF($A124="","",IF(pf_BU="All",IF(SUMPRODUCT((calc_state=$A124)*_calc!$BY$4:$BY$72)=0,"",SUMPRODUCT((calc_state=$A124)*_calc!$BY$4:$BY$72*_calc!$AO$4:$AO$72)/SUMPRODUCT((calc_state=$A124)*_calc!$BY$4:$BY$72)),IF($P$30=0,"",INDEX(_calc!$N:$N,$P$30+29)/INDEX(_calc!$N:$N,$P$30+17)*IF(INDEX(_calc!$O:$O,$P$30)=1,INDEX(_calc!$O:$O,$P$30+29)/INDEX(_calc!$O:$O,$P$30+17),1)-1)))</f>
        <v/>
      </c>
      <c r="E124" s="167" t="str">
        <f>IF($A124="","",IF(pf_BU="All",IF(SUMPRODUCT((calc_state=$A124)*_calc!$BZ$4:$BZ$72)=0,"",SUMPRODUCT((calc_state=$A124)*_calc!$BZ$4:$BZ$72*_calc!$AP$4:$AP$72)/SUMPRODUCT((calc_state=$A124)*_calc!$BZ$4:$BZ$72)),IF($P$30=0,"",INDEX(_calc!$N:$N,$P$30+30)/INDEX(_calc!$N:$N,$P$30+18)*IF(INDEX(_calc!$O:$O,$P$30)=1,INDEX(_calc!$O:$O,$P$30+30)/INDEX(_calc!$O:$O,$P$30+18),1)-1)))</f>
        <v/>
      </c>
      <c r="F124" s="167" t="str">
        <f>IF($A124="","",IF(pf_BU="All",IF(SUMPRODUCT((calc_state=$A124)*_calc!$CA$4:$CA$72)=0,"",SUMPRODUCT((calc_state=$A124)*_calc!$CA$4:$CA$72*_calc!$AQ$4:$AQ$72)/SUMPRODUCT((calc_state=$A124)*_calc!$CA$4:$CA$72)),IF($P$30=0,"",INDEX(_calc!$N:$N,$P$30+31)/INDEX(_calc!$N:$N,$P$30+19)*IF(INDEX(_calc!$O:$O,$P$30)=1,INDEX(_calc!$O:$O,$P$30+31)/INDEX(_calc!$O:$O,$P$30+19),1)-1)))</f>
        <v/>
      </c>
      <c r="G124" s="167" t="str">
        <f>IF($A124="","",IF(pf_BU="All",IF(SUMPRODUCT((calc_state=$A124)*_calc!$CB$4:$CB$72)=0,"",SUMPRODUCT((calc_state=$A124)*_calc!$CB$4:$CB$72*_calc!$AR$4:$AR$72)/SUMPRODUCT((calc_state=$A124)*_calc!$CB$4:$CB$72)),IF($P$30=0,"",INDEX(_calc!$N:$N,$P$30+32)/INDEX(_calc!$N:$N,$P$30+20)*IF(INDEX(_calc!$O:$O,$P$30)=1,INDEX(_calc!$O:$O,$P$30+32)/INDEX(_calc!$O:$O,$P$30+20),1)-1)))</f>
        <v/>
      </c>
      <c r="H124" s="167" t="str">
        <f>IF($A124="","",IF(pf_BU="All",IF(SUMPRODUCT((calc_state=$A124)*_calc!$CC$4:$CC$72)=0,"",SUMPRODUCT((calc_state=$A124)*_calc!$CC$4:$CC$72*_calc!$AS$4:$AS$72)/SUMPRODUCT((calc_state=$A124)*_calc!$CC$4:$CC$72)),IF($P$30=0,"",INDEX(_calc!$N:$N,$P$30+33)/INDEX(_calc!$N:$N,$P$30+21)*IF(INDEX(_calc!$O:$O,$P$30)=1,INDEX(_calc!$O:$O,$P$30+33)/INDEX(_calc!$O:$O,$P$30+21),1)-1)))</f>
        <v/>
      </c>
      <c r="I124" s="167" t="str">
        <f>IF($A124="","",IF(pf_BU="All",IF(SUMPRODUCT((calc_state=$A124)*_calc!$CD$4:$CD$72)=0,"",SUMPRODUCT((calc_state=$A124)*_calc!$CD$4:$CD$72*_calc!$AT$4:$AT$72)/SUMPRODUCT((calc_state=$A124)*_calc!$CD$4:$CD$72)),IF($P$30=0,"",INDEX(_calc!$N:$N,$P$30+34)/INDEX(_calc!$N:$N,$P$30+22)*IF(INDEX(_calc!$O:$O,$P$30)=1,INDEX(_calc!$O:$O,$P$30+34)/INDEX(_calc!$O:$O,$P$30+22),1)-1)))</f>
        <v/>
      </c>
      <c r="J124" s="167" t="str">
        <f>IF($A124="","",IF(pf_BU="All",IF(SUMPRODUCT((calc_state=$A124)*_calc!$CE$4:$CE$72)=0,"",SUMPRODUCT((calc_state=$A124)*_calc!$CE$4:$CE$72*_calc!$AU$4:$AU$72)/SUMPRODUCT((calc_state=$A124)*_calc!$CE$4:$CE$72)),IF($P$30=0,"",INDEX(_calc!$N:$N,$P$30+35)/INDEX(_calc!$N:$N,$P$30+23)*IF(INDEX(_calc!$O:$O,$P$30)=1,INDEX(_calc!$O:$O,$P$30+35)/INDEX(_calc!$O:$O,$P$30+23),1)-1)))</f>
        <v/>
      </c>
      <c r="K124" s="167" t="str">
        <f>IF($A124="","",IF(pf_BU="All",IF(SUMPRODUCT((calc_state=$A124)*_calc!$CF$4:$CF$72)=0,"",SUMPRODUCT((calc_state=$A124)*_calc!$CF$4:$CF$72*_calc!$AV$4:$AV$72)/SUMPRODUCT((calc_state=$A124)*_calc!$CF$4:$CF$72)),IF($P$30=0,"",INDEX(_calc!$N:$N,$P$30+36)/INDEX(_calc!$N:$N,$P$30+24)*IF(INDEX(_calc!$O:$O,$P$30)=1,INDEX(_calc!$O:$O,$P$30+36)/INDEX(_calc!$O:$O,$P$30+24),1)-1)))</f>
        <v/>
      </c>
      <c r="L124" s="167" t="str">
        <f>IF($A124="","",IF(pf_BU="All",IF(SUMPRODUCT((calc_state=$A124)*_calc!$CG$4:$CG$72)=0,"",SUMPRODUCT((calc_state=$A124)*_calc!$CG$4:$CG$72*_calc!$AW$4:$AW$72)/SUMPRODUCT((calc_state=$A124)*_calc!$CG$4:$CG$72)),IF($P$30=0,"",INDEX(_calc!$N:$N,$P$30+37)/INDEX(_calc!$N:$N,$P$30+25)*IF(INDEX(_calc!$O:$O,$P$30)=1,INDEX(_calc!$O:$O,$P$30+37)/INDEX(_calc!$O:$O,$P$30+25),1)-1)))</f>
        <v/>
      </c>
      <c r="M124" s="167" t="str">
        <f>IF($A124="","",IF(pf_BU="All",IF(SUMPRODUCT((calc_state=$A124)*_calc!$CH$4:$CH$72)=0,"",SUMPRODUCT((calc_state=$A124)*_calc!$CH$4:$CH$72*_calc!$AX$4:$AX$72)/SUMPRODUCT((calc_state=$A124)*_calc!$CH$4:$CH$72)),IF($P$30=0,"",INDEX(_calc!$N:$N,$P$30+38)/INDEX(_calc!$N:$N,$P$30+26)*IF(INDEX(_calc!$O:$O,$P$30)=1,INDEX(_calc!$O:$O,$P$30+38)/INDEX(_calc!$O:$O,$P$30+26),1)-1)))</f>
        <v/>
      </c>
    </row>
    <row r="125" spans="1:13" x14ac:dyDescent="0.3">
      <c r="A125" s="166" t="str">
        <f>_lists!$B$25</f>
        <v/>
      </c>
      <c r="B125" s="167" t="str">
        <f>IF($A125="","",IF(pf_BU="All",IF(SUMPRODUCT((calc_state=$A125)*_calc!$BW$4:$BW$72)=0,"",SUMPRODUCT((calc_state=$A125)*_calc!$BW$4:$BW$72*_calc!$AM$4:$AM$72)/SUMPRODUCT((calc_state=$A125)*_calc!$BW$4:$BW$72)),IF($P$31=0,"",INDEX(_calc!$N:$N,$P$31+27)/INDEX(_calc!$N:$N,$P$31+15)*IF(INDEX(_calc!$O:$O,$P$31)=1,INDEX(_calc!$O:$O,$P$31+27)/INDEX(_calc!$O:$O,$P$31+15),1)-1)))</f>
        <v/>
      </c>
      <c r="C125" s="167" t="str">
        <f>IF($A125="","",IF(pf_BU="All",IF(SUMPRODUCT((calc_state=$A125)*_calc!$BX$4:$BX$72)=0,"",SUMPRODUCT((calc_state=$A125)*_calc!$BX$4:$BX$72*_calc!$AN$4:$AN$72)/SUMPRODUCT((calc_state=$A125)*_calc!$BX$4:$BX$72)),IF($P$31=0,"",INDEX(_calc!$N:$N,$P$31+28)/INDEX(_calc!$N:$N,$P$31+16)*IF(INDEX(_calc!$O:$O,$P$31)=1,INDEX(_calc!$O:$O,$P$31+28)/INDEX(_calc!$O:$O,$P$31+16),1)-1)))</f>
        <v/>
      </c>
      <c r="D125" s="167" t="str">
        <f>IF($A125="","",IF(pf_BU="All",IF(SUMPRODUCT((calc_state=$A125)*_calc!$BY$4:$BY$72)=0,"",SUMPRODUCT((calc_state=$A125)*_calc!$BY$4:$BY$72*_calc!$AO$4:$AO$72)/SUMPRODUCT((calc_state=$A125)*_calc!$BY$4:$BY$72)),IF($P$31=0,"",INDEX(_calc!$N:$N,$P$31+29)/INDEX(_calc!$N:$N,$P$31+17)*IF(INDEX(_calc!$O:$O,$P$31)=1,INDEX(_calc!$O:$O,$P$31+29)/INDEX(_calc!$O:$O,$P$31+17),1)-1)))</f>
        <v/>
      </c>
      <c r="E125" s="167" t="str">
        <f>IF($A125="","",IF(pf_BU="All",IF(SUMPRODUCT((calc_state=$A125)*_calc!$BZ$4:$BZ$72)=0,"",SUMPRODUCT((calc_state=$A125)*_calc!$BZ$4:$BZ$72*_calc!$AP$4:$AP$72)/SUMPRODUCT((calc_state=$A125)*_calc!$BZ$4:$BZ$72)),IF($P$31=0,"",INDEX(_calc!$N:$N,$P$31+30)/INDEX(_calc!$N:$N,$P$31+18)*IF(INDEX(_calc!$O:$O,$P$31)=1,INDEX(_calc!$O:$O,$P$31+30)/INDEX(_calc!$O:$O,$P$31+18),1)-1)))</f>
        <v/>
      </c>
      <c r="F125" s="167" t="str">
        <f>IF($A125="","",IF(pf_BU="All",IF(SUMPRODUCT((calc_state=$A125)*_calc!$CA$4:$CA$72)=0,"",SUMPRODUCT((calc_state=$A125)*_calc!$CA$4:$CA$72*_calc!$AQ$4:$AQ$72)/SUMPRODUCT((calc_state=$A125)*_calc!$CA$4:$CA$72)),IF($P$31=0,"",INDEX(_calc!$N:$N,$P$31+31)/INDEX(_calc!$N:$N,$P$31+19)*IF(INDEX(_calc!$O:$O,$P$31)=1,INDEX(_calc!$O:$O,$P$31+31)/INDEX(_calc!$O:$O,$P$31+19),1)-1)))</f>
        <v/>
      </c>
      <c r="G125" s="167" t="str">
        <f>IF($A125="","",IF(pf_BU="All",IF(SUMPRODUCT((calc_state=$A125)*_calc!$CB$4:$CB$72)=0,"",SUMPRODUCT((calc_state=$A125)*_calc!$CB$4:$CB$72*_calc!$AR$4:$AR$72)/SUMPRODUCT((calc_state=$A125)*_calc!$CB$4:$CB$72)),IF($P$31=0,"",INDEX(_calc!$N:$N,$P$31+32)/INDEX(_calc!$N:$N,$P$31+20)*IF(INDEX(_calc!$O:$O,$P$31)=1,INDEX(_calc!$O:$O,$P$31+32)/INDEX(_calc!$O:$O,$P$31+20),1)-1)))</f>
        <v/>
      </c>
      <c r="H125" s="167" t="str">
        <f>IF($A125="","",IF(pf_BU="All",IF(SUMPRODUCT((calc_state=$A125)*_calc!$CC$4:$CC$72)=0,"",SUMPRODUCT((calc_state=$A125)*_calc!$CC$4:$CC$72*_calc!$AS$4:$AS$72)/SUMPRODUCT((calc_state=$A125)*_calc!$CC$4:$CC$72)),IF($P$31=0,"",INDEX(_calc!$N:$N,$P$31+33)/INDEX(_calc!$N:$N,$P$31+21)*IF(INDEX(_calc!$O:$O,$P$31)=1,INDEX(_calc!$O:$O,$P$31+33)/INDEX(_calc!$O:$O,$P$31+21),1)-1)))</f>
        <v/>
      </c>
      <c r="I125" s="167" t="str">
        <f>IF($A125="","",IF(pf_BU="All",IF(SUMPRODUCT((calc_state=$A125)*_calc!$CD$4:$CD$72)=0,"",SUMPRODUCT((calc_state=$A125)*_calc!$CD$4:$CD$72*_calc!$AT$4:$AT$72)/SUMPRODUCT((calc_state=$A125)*_calc!$CD$4:$CD$72)),IF($P$31=0,"",INDEX(_calc!$N:$N,$P$31+34)/INDEX(_calc!$N:$N,$P$31+22)*IF(INDEX(_calc!$O:$O,$P$31)=1,INDEX(_calc!$O:$O,$P$31+34)/INDEX(_calc!$O:$O,$P$31+22),1)-1)))</f>
        <v/>
      </c>
      <c r="J125" s="167" t="str">
        <f>IF($A125="","",IF(pf_BU="All",IF(SUMPRODUCT((calc_state=$A125)*_calc!$CE$4:$CE$72)=0,"",SUMPRODUCT((calc_state=$A125)*_calc!$CE$4:$CE$72*_calc!$AU$4:$AU$72)/SUMPRODUCT((calc_state=$A125)*_calc!$CE$4:$CE$72)),IF($P$31=0,"",INDEX(_calc!$N:$N,$P$31+35)/INDEX(_calc!$N:$N,$P$31+23)*IF(INDEX(_calc!$O:$O,$P$31)=1,INDEX(_calc!$O:$O,$P$31+35)/INDEX(_calc!$O:$O,$P$31+23),1)-1)))</f>
        <v/>
      </c>
      <c r="K125" s="167" t="str">
        <f>IF($A125="","",IF(pf_BU="All",IF(SUMPRODUCT((calc_state=$A125)*_calc!$CF$4:$CF$72)=0,"",SUMPRODUCT((calc_state=$A125)*_calc!$CF$4:$CF$72*_calc!$AV$4:$AV$72)/SUMPRODUCT((calc_state=$A125)*_calc!$CF$4:$CF$72)),IF($P$31=0,"",INDEX(_calc!$N:$N,$P$31+36)/INDEX(_calc!$N:$N,$P$31+24)*IF(INDEX(_calc!$O:$O,$P$31)=1,INDEX(_calc!$O:$O,$P$31+36)/INDEX(_calc!$O:$O,$P$31+24),1)-1)))</f>
        <v/>
      </c>
      <c r="L125" s="167" t="str">
        <f>IF($A125="","",IF(pf_BU="All",IF(SUMPRODUCT((calc_state=$A125)*_calc!$CG$4:$CG$72)=0,"",SUMPRODUCT((calc_state=$A125)*_calc!$CG$4:$CG$72*_calc!$AW$4:$AW$72)/SUMPRODUCT((calc_state=$A125)*_calc!$CG$4:$CG$72)),IF($P$31=0,"",INDEX(_calc!$N:$N,$P$31+37)/INDEX(_calc!$N:$N,$P$31+25)*IF(INDEX(_calc!$O:$O,$P$31)=1,INDEX(_calc!$O:$O,$P$31+37)/INDEX(_calc!$O:$O,$P$31+25),1)-1)))</f>
        <v/>
      </c>
      <c r="M125" s="167" t="str">
        <f>IF($A125="","",IF(pf_BU="All",IF(SUMPRODUCT((calc_state=$A125)*_calc!$CH$4:$CH$72)=0,"",SUMPRODUCT((calc_state=$A125)*_calc!$CH$4:$CH$72*_calc!$AX$4:$AX$72)/SUMPRODUCT((calc_state=$A125)*_calc!$CH$4:$CH$72)),IF($P$31=0,"",INDEX(_calc!$N:$N,$P$31+38)/INDEX(_calc!$N:$N,$P$31+26)*IF(INDEX(_calc!$O:$O,$P$31)=1,INDEX(_calc!$O:$O,$P$31+38)/INDEX(_calc!$O:$O,$P$31+26),1)-1)))</f>
        <v/>
      </c>
    </row>
    <row r="126" spans="1:13" x14ac:dyDescent="0.3">
      <c r="A126" s="166" t="str">
        <f>_lists!$B$26</f>
        <v/>
      </c>
      <c r="B126" s="167" t="str">
        <f>IF($A126="","",IF(pf_BU="All",IF(SUMPRODUCT((calc_state=$A126)*_calc!$BW$4:$BW$72)=0,"",SUMPRODUCT((calc_state=$A126)*_calc!$BW$4:$BW$72*_calc!$AM$4:$AM$72)/SUMPRODUCT((calc_state=$A126)*_calc!$BW$4:$BW$72)),IF($P$32=0,"",INDEX(_calc!$N:$N,$P$32+27)/INDEX(_calc!$N:$N,$P$32+15)*IF(INDEX(_calc!$O:$O,$P$32)=1,INDEX(_calc!$O:$O,$P$32+27)/INDEX(_calc!$O:$O,$P$32+15),1)-1)))</f>
        <v/>
      </c>
      <c r="C126" s="167" t="str">
        <f>IF($A126="","",IF(pf_BU="All",IF(SUMPRODUCT((calc_state=$A126)*_calc!$BX$4:$BX$72)=0,"",SUMPRODUCT((calc_state=$A126)*_calc!$BX$4:$BX$72*_calc!$AN$4:$AN$72)/SUMPRODUCT((calc_state=$A126)*_calc!$BX$4:$BX$72)),IF($P$32=0,"",INDEX(_calc!$N:$N,$P$32+28)/INDEX(_calc!$N:$N,$P$32+16)*IF(INDEX(_calc!$O:$O,$P$32)=1,INDEX(_calc!$O:$O,$P$32+28)/INDEX(_calc!$O:$O,$P$32+16),1)-1)))</f>
        <v/>
      </c>
      <c r="D126" s="167" t="str">
        <f>IF($A126="","",IF(pf_BU="All",IF(SUMPRODUCT((calc_state=$A126)*_calc!$BY$4:$BY$72)=0,"",SUMPRODUCT((calc_state=$A126)*_calc!$BY$4:$BY$72*_calc!$AO$4:$AO$72)/SUMPRODUCT((calc_state=$A126)*_calc!$BY$4:$BY$72)),IF($P$32=0,"",INDEX(_calc!$N:$N,$P$32+29)/INDEX(_calc!$N:$N,$P$32+17)*IF(INDEX(_calc!$O:$O,$P$32)=1,INDEX(_calc!$O:$O,$P$32+29)/INDEX(_calc!$O:$O,$P$32+17),1)-1)))</f>
        <v/>
      </c>
      <c r="E126" s="167" t="str">
        <f>IF($A126="","",IF(pf_BU="All",IF(SUMPRODUCT((calc_state=$A126)*_calc!$BZ$4:$BZ$72)=0,"",SUMPRODUCT((calc_state=$A126)*_calc!$BZ$4:$BZ$72*_calc!$AP$4:$AP$72)/SUMPRODUCT((calc_state=$A126)*_calc!$BZ$4:$BZ$72)),IF($P$32=0,"",INDEX(_calc!$N:$N,$P$32+30)/INDEX(_calc!$N:$N,$P$32+18)*IF(INDEX(_calc!$O:$O,$P$32)=1,INDEX(_calc!$O:$O,$P$32+30)/INDEX(_calc!$O:$O,$P$32+18),1)-1)))</f>
        <v/>
      </c>
      <c r="F126" s="167" t="str">
        <f>IF($A126="","",IF(pf_BU="All",IF(SUMPRODUCT((calc_state=$A126)*_calc!$CA$4:$CA$72)=0,"",SUMPRODUCT((calc_state=$A126)*_calc!$CA$4:$CA$72*_calc!$AQ$4:$AQ$72)/SUMPRODUCT((calc_state=$A126)*_calc!$CA$4:$CA$72)),IF($P$32=0,"",INDEX(_calc!$N:$N,$P$32+31)/INDEX(_calc!$N:$N,$P$32+19)*IF(INDEX(_calc!$O:$O,$P$32)=1,INDEX(_calc!$O:$O,$P$32+31)/INDEX(_calc!$O:$O,$P$32+19),1)-1)))</f>
        <v/>
      </c>
      <c r="G126" s="167" t="str">
        <f>IF($A126="","",IF(pf_BU="All",IF(SUMPRODUCT((calc_state=$A126)*_calc!$CB$4:$CB$72)=0,"",SUMPRODUCT((calc_state=$A126)*_calc!$CB$4:$CB$72*_calc!$AR$4:$AR$72)/SUMPRODUCT((calc_state=$A126)*_calc!$CB$4:$CB$72)),IF($P$32=0,"",INDEX(_calc!$N:$N,$P$32+32)/INDEX(_calc!$N:$N,$P$32+20)*IF(INDEX(_calc!$O:$O,$P$32)=1,INDEX(_calc!$O:$O,$P$32+32)/INDEX(_calc!$O:$O,$P$32+20),1)-1)))</f>
        <v/>
      </c>
      <c r="H126" s="167" t="str">
        <f>IF($A126="","",IF(pf_BU="All",IF(SUMPRODUCT((calc_state=$A126)*_calc!$CC$4:$CC$72)=0,"",SUMPRODUCT((calc_state=$A126)*_calc!$CC$4:$CC$72*_calc!$AS$4:$AS$72)/SUMPRODUCT((calc_state=$A126)*_calc!$CC$4:$CC$72)),IF($P$32=0,"",INDEX(_calc!$N:$N,$P$32+33)/INDEX(_calc!$N:$N,$P$32+21)*IF(INDEX(_calc!$O:$O,$P$32)=1,INDEX(_calc!$O:$O,$P$32+33)/INDEX(_calc!$O:$O,$P$32+21),1)-1)))</f>
        <v/>
      </c>
      <c r="I126" s="167" t="str">
        <f>IF($A126="","",IF(pf_BU="All",IF(SUMPRODUCT((calc_state=$A126)*_calc!$CD$4:$CD$72)=0,"",SUMPRODUCT((calc_state=$A126)*_calc!$CD$4:$CD$72*_calc!$AT$4:$AT$72)/SUMPRODUCT((calc_state=$A126)*_calc!$CD$4:$CD$72)),IF($P$32=0,"",INDEX(_calc!$N:$N,$P$32+34)/INDEX(_calc!$N:$N,$P$32+22)*IF(INDEX(_calc!$O:$O,$P$32)=1,INDEX(_calc!$O:$O,$P$32+34)/INDEX(_calc!$O:$O,$P$32+22),1)-1)))</f>
        <v/>
      </c>
      <c r="J126" s="167" t="str">
        <f>IF($A126="","",IF(pf_BU="All",IF(SUMPRODUCT((calc_state=$A126)*_calc!$CE$4:$CE$72)=0,"",SUMPRODUCT((calc_state=$A126)*_calc!$CE$4:$CE$72*_calc!$AU$4:$AU$72)/SUMPRODUCT((calc_state=$A126)*_calc!$CE$4:$CE$72)),IF($P$32=0,"",INDEX(_calc!$N:$N,$P$32+35)/INDEX(_calc!$N:$N,$P$32+23)*IF(INDEX(_calc!$O:$O,$P$32)=1,INDEX(_calc!$O:$O,$P$32+35)/INDEX(_calc!$O:$O,$P$32+23),1)-1)))</f>
        <v/>
      </c>
      <c r="K126" s="167" t="str">
        <f>IF($A126="","",IF(pf_BU="All",IF(SUMPRODUCT((calc_state=$A126)*_calc!$CF$4:$CF$72)=0,"",SUMPRODUCT((calc_state=$A126)*_calc!$CF$4:$CF$72*_calc!$AV$4:$AV$72)/SUMPRODUCT((calc_state=$A126)*_calc!$CF$4:$CF$72)),IF($P$32=0,"",INDEX(_calc!$N:$N,$P$32+36)/INDEX(_calc!$N:$N,$P$32+24)*IF(INDEX(_calc!$O:$O,$P$32)=1,INDEX(_calc!$O:$O,$P$32+36)/INDEX(_calc!$O:$O,$P$32+24),1)-1)))</f>
        <v/>
      </c>
      <c r="L126" s="167" t="str">
        <f>IF($A126="","",IF(pf_BU="All",IF(SUMPRODUCT((calc_state=$A126)*_calc!$CG$4:$CG$72)=0,"",SUMPRODUCT((calc_state=$A126)*_calc!$CG$4:$CG$72*_calc!$AW$4:$AW$72)/SUMPRODUCT((calc_state=$A126)*_calc!$CG$4:$CG$72)),IF($P$32=0,"",INDEX(_calc!$N:$N,$P$32+37)/INDEX(_calc!$N:$N,$P$32+25)*IF(INDEX(_calc!$O:$O,$P$32)=1,INDEX(_calc!$O:$O,$P$32+37)/INDEX(_calc!$O:$O,$P$32+25),1)-1)))</f>
        <v/>
      </c>
      <c r="M126" s="167" t="str">
        <f>IF($A126="","",IF(pf_BU="All",IF(SUMPRODUCT((calc_state=$A126)*_calc!$CH$4:$CH$72)=0,"",SUMPRODUCT((calc_state=$A126)*_calc!$CH$4:$CH$72*_calc!$AX$4:$AX$72)/SUMPRODUCT((calc_state=$A126)*_calc!$CH$4:$CH$72)),IF($P$32=0,"",INDEX(_calc!$N:$N,$P$32+38)/INDEX(_calc!$N:$N,$P$32+26)*IF(INDEX(_calc!$O:$O,$P$32)=1,INDEX(_calc!$O:$O,$P$32+38)/INDEX(_calc!$O:$O,$P$32+26),1)-1)))</f>
        <v/>
      </c>
    </row>
    <row r="127" spans="1:13" x14ac:dyDescent="0.3">
      <c r="A127" s="168" t="str">
        <f>IF(pf_BU="All","BOOK AVG","BU AVG")</f>
        <v>BU AVG</v>
      </c>
      <c r="B127" s="169">
        <f>IF(SUMPRODUCT(((pf_BU="All")+(calc_bu=pf_BU))*_calc!$BW$4:$BW$72)=0,"",SUMPRODUCT(((pf_BU="All")+(calc_bu=pf_BU))*_calc!$BW$4:$BW$72*_calc!$AM$4:$AM$72)/SUMPRODUCT(((pf_BU="All")+(calc_bu=pf_BU))*_calc!$BW$4:$BW$72))</f>
        <v>3.7307269181077032E-2</v>
      </c>
      <c r="C127" s="169">
        <f>IF(SUMPRODUCT(((pf_BU="All")+(calc_bu=pf_BU))*_calc!$BX$4:$BX$72)=0,"",SUMPRODUCT(((pf_BU="All")+(calc_bu=pf_BU))*_calc!$BX$4:$BX$72*_calc!$AN$4:$AN$72)/SUMPRODUCT(((pf_BU="All")+(calc_bu=pf_BU))*_calc!$BX$4:$BX$72))</f>
        <v>3.4189907144330456E-2</v>
      </c>
      <c r="D127" s="169">
        <f>IF(SUMPRODUCT(((pf_BU="All")+(calc_bu=pf_BU))*_calc!$BY$4:$BY$72)=0,"",SUMPRODUCT(((pf_BU="All")+(calc_bu=pf_BU))*_calc!$BY$4:$BY$72*_calc!$AO$4:$AO$72)/SUMPRODUCT(((pf_BU="All")+(calc_bu=pf_BU))*_calc!$BY$4:$BY$72))</f>
        <v>3.4092886735301919E-2</v>
      </c>
      <c r="E127" s="169">
        <f>IF(SUMPRODUCT(((pf_BU="All")+(calc_bu=pf_BU))*_calc!$BZ$4:$BZ$72)=0,"",SUMPRODUCT(((pf_BU="All")+(calc_bu=pf_BU))*_calc!$BZ$4:$BZ$72*_calc!$AP$4:$AP$72)/SUMPRODUCT(((pf_BU="All")+(calc_bu=pf_BU))*_calc!$BZ$4:$BZ$72))</f>
        <v>3.530098227947167E-2</v>
      </c>
      <c r="F127" s="169">
        <f>IF(SUMPRODUCT(((pf_BU="All")+(calc_bu=pf_BU))*_calc!$CA$4:$CA$72)=0,"",SUMPRODUCT(((pf_BU="All")+(calc_bu=pf_BU))*_calc!$CA$4:$CA$72*_calc!$AQ$4:$AQ$72)/SUMPRODUCT(((pf_BU="All")+(calc_bu=pf_BU))*_calc!$CA$4:$CA$72))</f>
        <v>3.2441114937588188E-2</v>
      </c>
      <c r="G127" s="169">
        <f>IF(SUMPRODUCT(((pf_BU="All")+(calc_bu=pf_BU))*_calc!$CB$4:$CB$72)=0,"",SUMPRODUCT(((pf_BU="All")+(calc_bu=pf_BU))*_calc!$CB$4:$CB$72*_calc!$AR$4:$AR$72)/SUMPRODUCT(((pf_BU="All")+(calc_bu=pf_BU))*_calc!$CB$4:$CB$72))</f>
        <v>3.2008962029588757E-2</v>
      </c>
      <c r="H127" s="169">
        <f>IF(SUMPRODUCT(((pf_BU="All")+(calc_bu=pf_BU))*_calc!$CC$4:$CC$72)=0,"",SUMPRODUCT(((pf_BU="All")+(calc_bu=pf_BU))*_calc!$CC$4:$CC$72*_calc!$AS$4:$AS$72)/SUMPRODUCT(((pf_BU="All")+(calc_bu=pf_BU))*_calc!$CC$4:$CC$72))</f>
        <v>2.5484614759951445E-2</v>
      </c>
      <c r="I127" s="169">
        <f>IF(SUMPRODUCT(((pf_BU="All")+(calc_bu=pf_BU))*_calc!$CD$4:$CD$72)=0,"",SUMPRODUCT(((pf_BU="All")+(calc_bu=pf_BU))*_calc!$CD$4:$CD$72*_calc!$AT$4:$AT$72)/SUMPRODUCT(((pf_BU="All")+(calc_bu=pf_BU))*_calc!$CD$4:$CD$72))</f>
        <v>2.1605876248634734E-2</v>
      </c>
      <c r="J127" s="169">
        <f>IF(SUMPRODUCT(((pf_BU="All")+(calc_bu=pf_BU))*_calc!$CE$4:$CE$72)=0,"",SUMPRODUCT(((pf_BU="All")+(calc_bu=pf_BU))*_calc!$CE$4:$CE$72*_calc!$AU$4:$AU$72)/SUMPRODUCT(((pf_BU="All")+(calc_bu=pf_BU))*_calc!$CE$4:$CE$72))</f>
        <v>2.1507261524356384E-2</v>
      </c>
      <c r="K127" s="169">
        <f>IF(SUMPRODUCT(((pf_BU="All")+(calc_bu=pf_BU))*_calc!$CF$4:$CF$72)=0,"",SUMPRODUCT(((pf_BU="All")+(calc_bu=pf_BU))*_calc!$CF$4:$CF$72*_calc!$AV$4:$AV$72)/SUMPRODUCT(((pf_BU="All")+(calc_bu=pf_BU))*_calc!$CF$4:$CF$72))</f>
        <v>2.0039649659256465E-2</v>
      </c>
      <c r="L127" s="169">
        <f>IF(SUMPRODUCT(((pf_BU="All")+(calc_bu=pf_BU))*_calc!$CG$4:$CG$72)=0,"",SUMPRODUCT(((pf_BU="All")+(calc_bu=pf_BU))*_calc!$CG$4:$CG$72*_calc!$AW$4:$AW$72)/SUMPRODUCT(((pf_BU="All")+(calc_bu=pf_BU))*_calc!$CG$4:$CG$72))</f>
        <v>1.8881677228467619E-2</v>
      </c>
      <c r="M127" s="169">
        <f>IF(SUMPRODUCT(((pf_BU="All")+(calc_bu=pf_BU))*_calc!$CH$4:$CH$72)=0,"",SUMPRODUCT(((pf_BU="All")+(calc_bu=pf_BU))*_calc!$CH$4:$CH$72*_calc!$AX$4:$AX$72)/SUMPRODUCT(((pf_BU="All")+(calc_bu=pf_BU))*_calc!$CH$4:$CH$72))</f>
        <v>1.8871765549641741E-2</v>
      </c>
    </row>
    <row r="129" spans="1:1" x14ac:dyDescent="0.3">
      <c r="A129" s="51" t="s">
        <v>338</v>
      </c>
    </row>
    <row r="130" spans="1:1" x14ac:dyDescent="0.3">
      <c r="A130" s="155" t="str">
        <f>HYPERLINK("#'Net Delivery'!A1","Net combos: see Net Delivery for the filing + pricing walk that closes the gap &gt;")</f>
        <v>Net combos: see Net Delivery for the filing + pricing walk that closes the gap &gt;</v>
      </c>
    </row>
  </sheetData>
  <conditionalFormatting sqref="B103:M126">
    <cfRule type="colorScale" priority="1">
      <colorScale>
        <cfvo type="min"/>
        <cfvo type="percentile" val="50"/>
        <cfvo type="max"/>
        <color rgb="FFD6E8D5"/>
        <color rgb="FFFFF2CC"/>
        <color rgb="FFF4B8B8"/>
      </colorScale>
    </cfRule>
  </conditionalFormatting>
  <dataValidations count="1">
    <dataValidation type="list" showErrorMessage="1" sqref="B5" xr:uid="{00000000-0002-0000-0600-000000000000}">
      <formula1>lst_bu_all</formula1>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P141"/>
  <sheetViews>
    <sheetView showGridLines="0" workbookViewId="0">
      <pane xSplit="1" ySplit="8" topLeftCell="B9" activePane="bottomRight" state="frozen"/>
      <selection pane="topRight"/>
      <selection pane="bottomLeft"/>
      <selection pane="bottomRight"/>
    </sheetView>
  </sheetViews>
  <sheetFormatPr defaultRowHeight="14.4" x14ac:dyDescent="0.3"/>
  <cols>
    <col min="1" max="1" width="26" customWidth="1"/>
    <col min="2" max="2" width="12" customWidth="1"/>
    <col min="3" max="4" width="10" customWidth="1"/>
    <col min="5" max="5" width="12" customWidth="1"/>
    <col min="6" max="9" width="11" customWidth="1"/>
    <col min="10" max="10" width="12" customWidth="1"/>
    <col min="11" max="12" width="11" customWidth="1"/>
    <col min="13" max="13" width="12" customWidth="1"/>
    <col min="14" max="14" width="22" customWidth="1"/>
    <col min="15" max="15" width="12" customWidth="1"/>
    <col min="16" max="16" width="22" customWidth="1"/>
  </cols>
  <sheetData>
    <row r="1" spans="1:16" ht="21" x14ac:dyDescent="0.3">
      <c r="A1" s="1" t="s">
        <v>339</v>
      </c>
    </row>
    <row r="2" spans="1:16" x14ac:dyDescent="0.3">
      <c r="A2" s="2" t="s">
        <v>340</v>
      </c>
    </row>
    <row r="3" spans="1:16" x14ac:dyDescent="0.3">
      <c r="A3" s="6" t="s">
        <v>154</v>
      </c>
      <c r="C3" s="19" t="str">
        <f>HYPERLINK("#Control!A1","Control")</f>
        <v>Control</v>
      </c>
      <c r="E3" s="19" t="str">
        <f>HYPERLINK("#'State Summary'!A1","State Summary")</f>
        <v>State Summary</v>
      </c>
      <c r="G3" s="19" t="str">
        <f>HYPERLINK("#'Rate Log'!A1","Rate Log")</f>
        <v>Rate Log</v>
      </c>
      <c r="I3" s="19" t="str">
        <f>HYPERLINK("#Solver!A1","Solver")</f>
        <v>Solver</v>
      </c>
      <c r="K3" s="19" t="str">
        <f>HYPERLINK("#Checks!A1","Checks")</f>
        <v>Checks</v>
      </c>
    </row>
    <row r="5" spans="1:16" x14ac:dyDescent="0.3">
      <c r="A5" s="18" t="s">
        <v>321</v>
      </c>
      <c r="B5" s="156" t="s">
        <v>206</v>
      </c>
      <c r="D5" s="20" t="s">
        <v>341</v>
      </c>
      <c r="E5" s="170"/>
      <c r="F5" s="74">
        <f>IF(N(nd_DefaultDateRaw)=0,DATE(nr_PlanYear,4,1),nd_DefaultDateRaw)</f>
        <v>46478</v>
      </c>
      <c r="H5" s="20" t="s">
        <v>74</v>
      </c>
      <c r="I5" s="59">
        <v>1</v>
      </c>
    </row>
    <row r="6" spans="1:16" x14ac:dyDescent="0.3">
      <c r="A6" s="78" t="str">
        <f>IF(nd_BU="All","Pick a single business unit to see delivery and suggestions — combining different rate histories across BUs would not mean anything.",IF(nr_ModAdjMaster="OFF","NOTE: master mod toggle is OFF — targets are interpreted RATE-ONLY (D39); the pricing columns show a dash.",IF(COUNT(sc_dnet)&gt;0,"NOTE: a Scenarios delta-net lever is set; scenario levers do not affect this tab.","")))</f>
        <v/>
      </c>
    </row>
    <row r="8" spans="1:16" ht="42" customHeight="1" x14ac:dyDescent="0.3">
      <c r="A8" s="56" t="s">
        <v>104</v>
      </c>
      <c r="B8" s="56" t="s">
        <v>172</v>
      </c>
      <c r="C8" s="56" t="s">
        <v>322</v>
      </c>
      <c r="D8" s="56" t="s">
        <v>342</v>
      </c>
      <c r="E8" s="56" t="s">
        <v>343</v>
      </c>
      <c r="F8" s="56" t="s">
        <v>344</v>
      </c>
      <c r="G8" s="56" t="s">
        <v>345</v>
      </c>
      <c r="H8" s="56" t="s">
        <v>346</v>
      </c>
      <c r="I8" s="56" t="s">
        <v>347</v>
      </c>
      <c r="J8" s="56" t="s">
        <v>348</v>
      </c>
      <c r="K8" s="56" t="s">
        <v>323</v>
      </c>
      <c r="L8" s="56" t="s">
        <v>349</v>
      </c>
      <c r="M8" s="56" t="s">
        <v>350</v>
      </c>
      <c r="N8" s="56" t="s">
        <v>351</v>
      </c>
      <c r="O8" s="56" t="s">
        <v>352</v>
      </c>
      <c r="P8" s="56" t="s">
        <v>353</v>
      </c>
    </row>
    <row r="9" spans="1:16" x14ac:dyDescent="0.3">
      <c r="A9" s="103" t="str">
        <f>_lists!$B$3</f>
        <v>AZ</v>
      </c>
      <c r="B9" s="158">
        <f t="shared" ref="B9:B32" si="0">IF($A9="","",IF(nd_BU="All",SUMIFS(calc_ep,calc_state,$A9),SUMIFS(calc_ep,calc_state,$A9,calc_bu,nd_BU)))</f>
        <v>8000</v>
      </c>
      <c r="C9" s="108" t="str">
        <f>IF($A9="","",IF(nd_BU="All",IF(SUMIFS(calc_netmode,calc_state,$A9)=0,"—",SUMIFS(calc_netx,calc_state,$A9)/SUMIFS(calc_netmode,calc_state,$A9)),IF(_netcalc!$D$247=0,"—",_netcalc!$E$247)))</f>
        <v>—</v>
      </c>
      <c r="D9" s="171"/>
      <c r="E9" s="59"/>
      <c r="F9" s="110" t="str">
        <f>IF(OR($A9="",nd_BU="All"),"",IF(_netcalc!$D$247=0,"—",IF(_netcalc!$W$247=0,"none",_netcalc!$X$247)))</f>
        <v>—</v>
      </c>
      <c r="G9" s="108" t="str">
        <f>IF(OR($A9="",nd_BU="All"),"",IF(_netcalc!$D$247=0,"—",IF(_netcalc!$W$247=0,"none",_netcalc!$Z$247)))</f>
        <v>—</v>
      </c>
      <c r="H9" s="172" t="str">
        <f>IF(OR($A9="",nd_BU="All"),"",IF(_netcalc!$D$247=0,"—",_netcalc!$E$298))</f>
        <v>—</v>
      </c>
      <c r="I9" s="173" t="str">
        <f>IF(OR($A9="",nd_BU="All"),"",IF(_netcalc!$D$247=0,"—",_netcalc!$F$298))</f>
        <v>—</v>
      </c>
      <c r="J9" s="172" t="str">
        <f>IF(OR($A9="",nd_BU="All"),"",IF(_netcalc!$D$247=0,"—",_netcalc!$G$298))</f>
        <v>—</v>
      </c>
      <c r="K9" s="108" t="str">
        <f>IF(OR($A9="",nd_BU="All"),"",IF(_netcalc!$D$247=0,"—",_netcalc!$I$298))</f>
        <v>—</v>
      </c>
      <c r="L9" s="159" t="str">
        <f>IF(OR($A9="",nd_BU="All"),"",IF(_netcalc!$D$247=0,"—",_netcalc!$J$298))</f>
        <v>—</v>
      </c>
      <c r="M9" s="106" t="str">
        <f>IF(OR($A9="",nd_BU="All"),"",IF(_netcalc!$D$247=0,"—",_netcalc!$H$298))</f>
        <v>—</v>
      </c>
      <c r="N9" s="174" t="str">
        <f>IF(OR($A9="",nd_BU="All"),"",IF(_netcalc!$D$247=0,"—",IF(ISNUMBER(_netcalc!$H$298),(_netcalc!$H$298-_netcalc!$J$247)*100,"n/a")))</f>
        <v>—</v>
      </c>
      <c r="O9" s="118" t="str">
        <f>IF(OR($A9="",nd_BU="All"),"",IF(_netcalc!$D$247=0,"—",_netcalc!$L$298))</f>
        <v>—</v>
      </c>
      <c r="P9" s="109" t="str">
        <f>IF(OR($A9="",nd_BU="All"),"",IF(_netcalc!$D$247=0,"—",_netcalc!$M$298))</f>
        <v>—</v>
      </c>
    </row>
    <row r="10" spans="1:16" x14ac:dyDescent="0.3">
      <c r="A10" s="122" t="str">
        <f>_lists!$B$4</f>
        <v>CO</v>
      </c>
      <c r="B10" s="161">
        <f t="shared" si="0"/>
        <v>18400</v>
      </c>
      <c r="C10" s="127" t="str">
        <f>IF($A10="","",IF(nd_BU="All",IF(SUMIFS(calc_netmode,calc_state,$A10)=0,"—",SUMIFS(calc_netx,calc_state,$A10)/SUMIFS(calc_netmode,calc_state,$A10)),IF(_netcalc!$D$303=0,"—",_netcalc!$E$303)))</f>
        <v>—</v>
      </c>
      <c r="D10" s="171"/>
      <c r="E10" s="59"/>
      <c r="F10" s="129" t="str">
        <f>IF(OR($A10="",nd_BU="All"),"",IF(_netcalc!$D$303=0,"—",IF(_netcalc!$W$303=0,"none",_netcalc!$X$303)))</f>
        <v>—</v>
      </c>
      <c r="G10" s="127" t="str">
        <f>IF(OR($A10="",nd_BU="All"),"",IF(_netcalc!$D$303=0,"—",IF(_netcalc!$W$303=0,"none",_netcalc!$Z$303)))</f>
        <v>—</v>
      </c>
      <c r="H10" s="175" t="str">
        <f>IF(OR($A10="",nd_BU="All"),"",IF(_netcalc!$D$303=0,"—",_netcalc!$E$354))</f>
        <v>—</v>
      </c>
      <c r="I10" s="176" t="str">
        <f>IF(OR($A10="",nd_BU="All"),"",IF(_netcalc!$D$303=0,"—",_netcalc!$F$354))</f>
        <v>—</v>
      </c>
      <c r="J10" s="175" t="str">
        <f>IF(OR($A10="",nd_BU="All"),"",IF(_netcalc!$D$303=0,"—",_netcalc!$G$354))</f>
        <v>—</v>
      </c>
      <c r="K10" s="127" t="str">
        <f>IF(OR($A10="",nd_BU="All"),"",IF(_netcalc!$D$303=0,"—",_netcalc!$I$354))</f>
        <v>—</v>
      </c>
      <c r="L10" s="162" t="str">
        <f>IF(OR($A10="",nd_BU="All"),"",IF(_netcalc!$D$303=0,"—",_netcalc!$J$354))</f>
        <v>—</v>
      </c>
      <c r="M10" s="125" t="str">
        <f>IF(OR($A10="",nd_BU="All"),"",IF(_netcalc!$D$303=0,"—",_netcalc!$H$354))</f>
        <v>—</v>
      </c>
      <c r="N10" s="177" t="str">
        <f>IF(OR($A10="",nd_BU="All"),"",IF(_netcalc!$D$303=0,"—",IF(ISNUMBER(_netcalc!$H$354),(_netcalc!$H$354-_netcalc!$J$303)*100,"n/a")))</f>
        <v>—</v>
      </c>
      <c r="O10" s="137" t="str">
        <f>IF(OR($A10="",nd_BU="All"),"",IF(_netcalc!$D$303=0,"—",_netcalc!$L$354))</f>
        <v>—</v>
      </c>
      <c r="P10" s="128" t="str">
        <f>IF(OR($A10="",nd_BU="All"),"",IF(_netcalc!$D$303=0,"—",_netcalc!$M$354))</f>
        <v>—</v>
      </c>
    </row>
    <row r="11" spans="1:16" x14ac:dyDescent="0.3">
      <c r="A11" s="103" t="str">
        <f>_lists!$B$5</f>
        <v>DE</v>
      </c>
      <c r="B11" s="158">
        <f t="shared" si="0"/>
        <v>15200</v>
      </c>
      <c r="C11" s="108" t="str">
        <f>IF($A11="","",IF(nd_BU="All",IF(SUMIFS(calc_netmode,calc_state,$A11)=0,"—",SUMIFS(calc_netx,calc_state,$A11)/SUMIFS(calc_netmode,calc_state,$A11)),IF(_netcalc!$D$359=0,"—",_netcalc!$E$359)))</f>
        <v>—</v>
      </c>
      <c r="D11" s="171"/>
      <c r="E11" s="59"/>
      <c r="F11" s="110" t="str">
        <f>IF(OR($A11="",nd_BU="All"),"",IF(_netcalc!$D$359=0,"—",IF(_netcalc!$W$359=0,"none",_netcalc!$X$359)))</f>
        <v>—</v>
      </c>
      <c r="G11" s="108" t="str">
        <f>IF(OR($A11="",nd_BU="All"),"",IF(_netcalc!$D$359=0,"—",IF(_netcalc!$W$359=0,"none",_netcalc!$Z$359)))</f>
        <v>—</v>
      </c>
      <c r="H11" s="172" t="str">
        <f>IF(OR($A11="",nd_BU="All"),"",IF(_netcalc!$D$359=0,"—",_netcalc!$E$410))</f>
        <v>—</v>
      </c>
      <c r="I11" s="173" t="str">
        <f>IF(OR($A11="",nd_BU="All"),"",IF(_netcalc!$D$359=0,"—",_netcalc!$F$410))</f>
        <v>—</v>
      </c>
      <c r="J11" s="172" t="str">
        <f>IF(OR($A11="",nd_BU="All"),"",IF(_netcalc!$D$359=0,"—",_netcalc!$G$410))</f>
        <v>—</v>
      </c>
      <c r="K11" s="108" t="str">
        <f>IF(OR($A11="",nd_BU="All"),"",IF(_netcalc!$D$359=0,"—",_netcalc!$I$410))</f>
        <v>—</v>
      </c>
      <c r="L11" s="159" t="str">
        <f>IF(OR($A11="",nd_BU="All"),"",IF(_netcalc!$D$359=0,"—",_netcalc!$J$410))</f>
        <v>—</v>
      </c>
      <c r="M11" s="106" t="str">
        <f>IF(OR($A11="",nd_BU="All"),"",IF(_netcalc!$D$359=0,"—",_netcalc!$H$410))</f>
        <v>—</v>
      </c>
      <c r="N11" s="174" t="str">
        <f>IF(OR($A11="",nd_BU="All"),"",IF(_netcalc!$D$359=0,"—",IF(ISNUMBER(_netcalc!$H$410),(_netcalc!$H$410-_netcalc!$J$359)*100,"n/a")))</f>
        <v>—</v>
      </c>
      <c r="O11" s="118" t="str">
        <f>IF(OR($A11="",nd_BU="All"),"",IF(_netcalc!$D$359=0,"—",_netcalc!$L$410))</f>
        <v>—</v>
      </c>
      <c r="P11" s="109" t="str">
        <f>IF(OR($A11="",nd_BU="All"),"",IF(_netcalc!$D$359=0,"—",_netcalc!$M$410))</f>
        <v>—</v>
      </c>
    </row>
    <row r="12" spans="1:16" x14ac:dyDescent="0.3">
      <c r="A12" s="122" t="str">
        <f>_lists!$B$6</f>
        <v>FL</v>
      </c>
      <c r="B12" s="161">
        <f t="shared" si="0"/>
        <v>12000</v>
      </c>
      <c r="C12" s="127" t="str">
        <f>IF($A12="","",IF(nd_BU="All",IF(SUMIFS(calc_netmode,calc_state,$A12)=0,"—",SUMIFS(calc_netx,calc_state,$A12)/SUMIFS(calc_netmode,calc_state,$A12)),IF(_netcalc!$D$415=0,"—",_netcalc!$E$415)))</f>
        <v>—</v>
      </c>
      <c r="D12" s="171"/>
      <c r="E12" s="59"/>
      <c r="F12" s="129" t="str">
        <f>IF(OR($A12="",nd_BU="All"),"",IF(_netcalc!$D$415=0,"—",IF(_netcalc!$W$415=0,"none",_netcalc!$X$415)))</f>
        <v>—</v>
      </c>
      <c r="G12" s="127" t="str">
        <f>IF(OR($A12="",nd_BU="All"),"",IF(_netcalc!$D$415=0,"—",IF(_netcalc!$W$415=0,"none",_netcalc!$Z$415)))</f>
        <v>—</v>
      </c>
      <c r="H12" s="175" t="str">
        <f>IF(OR($A12="",nd_BU="All"),"",IF(_netcalc!$D$415=0,"—",_netcalc!$E$466))</f>
        <v>—</v>
      </c>
      <c r="I12" s="176" t="str">
        <f>IF(OR($A12="",nd_BU="All"),"",IF(_netcalc!$D$415=0,"—",_netcalc!$F$466))</f>
        <v>—</v>
      </c>
      <c r="J12" s="175" t="str">
        <f>IF(OR($A12="",nd_BU="All"),"",IF(_netcalc!$D$415=0,"—",_netcalc!$G$466))</f>
        <v>—</v>
      </c>
      <c r="K12" s="127" t="str">
        <f>IF(OR($A12="",nd_BU="All"),"",IF(_netcalc!$D$415=0,"—",_netcalc!$I$466))</f>
        <v>—</v>
      </c>
      <c r="L12" s="162" t="str">
        <f>IF(OR($A12="",nd_BU="All"),"",IF(_netcalc!$D$415=0,"—",_netcalc!$J$466))</f>
        <v>—</v>
      </c>
      <c r="M12" s="125" t="str">
        <f>IF(OR($A12="",nd_BU="All"),"",IF(_netcalc!$D$415=0,"—",_netcalc!$H$466))</f>
        <v>—</v>
      </c>
      <c r="N12" s="177" t="str">
        <f>IF(OR($A12="",nd_BU="All"),"",IF(_netcalc!$D$415=0,"—",IF(ISNUMBER(_netcalc!$H$466),(_netcalc!$H$466-_netcalc!$J$415)*100,"n/a")))</f>
        <v>—</v>
      </c>
      <c r="O12" s="137" t="str">
        <f>IF(OR($A12="",nd_BU="All"),"",IF(_netcalc!$D$415=0,"—",_netcalc!$L$466))</f>
        <v>—</v>
      </c>
      <c r="P12" s="128" t="str">
        <f>IF(OR($A12="",nd_BU="All"),"",IF(_netcalc!$D$415=0,"—",_netcalc!$M$466))</f>
        <v>—</v>
      </c>
    </row>
    <row r="13" spans="1:16" x14ac:dyDescent="0.3">
      <c r="A13" s="103" t="str">
        <f>_lists!$B$7</f>
        <v>GA</v>
      </c>
      <c r="B13" s="158">
        <f t="shared" si="0"/>
        <v>8800</v>
      </c>
      <c r="C13" s="108" t="str">
        <f>IF($A13="","",IF(nd_BU="All",IF(SUMIFS(calc_netmode,calc_state,$A13)=0,"—",SUMIFS(calc_netx,calc_state,$A13)/SUMIFS(calc_netmode,calc_state,$A13)),IF(_netcalc!$D$471=0,"—",_netcalc!$E$471)))</f>
        <v>—</v>
      </c>
      <c r="D13" s="171"/>
      <c r="E13" s="59"/>
      <c r="F13" s="110" t="str">
        <f>IF(OR($A13="",nd_BU="All"),"",IF(_netcalc!$D$471=0,"—",IF(_netcalc!$W$471=0,"none",_netcalc!$X$471)))</f>
        <v>—</v>
      </c>
      <c r="G13" s="108" t="str">
        <f>IF(OR($A13="",nd_BU="All"),"",IF(_netcalc!$D$471=0,"—",IF(_netcalc!$W$471=0,"none",_netcalc!$Z$471)))</f>
        <v>—</v>
      </c>
      <c r="H13" s="172" t="str">
        <f>IF(OR($A13="",nd_BU="All"),"",IF(_netcalc!$D$471=0,"—",_netcalc!$E$522))</f>
        <v>—</v>
      </c>
      <c r="I13" s="173" t="str">
        <f>IF(OR($A13="",nd_BU="All"),"",IF(_netcalc!$D$471=0,"—",_netcalc!$F$522))</f>
        <v>—</v>
      </c>
      <c r="J13" s="172" t="str">
        <f>IF(OR($A13="",nd_BU="All"),"",IF(_netcalc!$D$471=0,"—",_netcalc!$G$522))</f>
        <v>—</v>
      </c>
      <c r="K13" s="108" t="str">
        <f>IF(OR($A13="",nd_BU="All"),"",IF(_netcalc!$D$471=0,"—",_netcalc!$I$522))</f>
        <v>—</v>
      </c>
      <c r="L13" s="159" t="str">
        <f>IF(OR($A13="",nd_BU="All"),"",IF(_netcalc!$D$471=0,"—",_netcalc!$J$522))</f>
        <v>—</v>
      </c>
      <c r="M13" s="106" t="str">
        <f>IF(OR($A13="",nd_BU="All"),"",IF(_netcalc!$D$471=0,"—",_netcalc!$H$522))</f>
        <v>—</v>
      </c>
      <c r="N13" s="174" t="str">
        <f>IF(OR($A13="",nd_BU="All"),"",IF(_netcalc!$D$471=0,"—",IF(ISNUMBER(_netcalc!$H$522),(_netcalc!$H$522-_netcalc!$J$471)*100,"n/a")))</f>
        <v>—</v>
      </c>
      <c r="O13" s="118" t="str">
        <f>IF(OR($A13="",nd_BU="All"),"",IF(_netcalc!$D$471=0,"—",_netcalc!$L$522))</f>
        <v>—</v>
      </c>
      <c r="P13" s="109" t="str">
        <f>IF(OR($A13="",nd_BU="All"),"",IF(_netcalc!$D$471=0,"—",_netcalc!$M$522))</f>
        <v>—</v>
      </c>
    </row>
    <row r="14" spans="1:16" x14ac:dyDescent="0.3">
      <c r="A14" s="122" t="str">
        <f>_lists!$B$8</f>
        <v>IA</v>
      </c>
      <c r="B14" s="161">
        <f t="shared" si="0"/>
        <v>19200</v>
      </c>
      <c r="C14" s="127" t="str">
        <f>IF($A14="","",IF(nd_BU="All",IF(SUMIFS(calc_netmode,calc_state,$A14)=0,"—",SUMIFS(calc_netx,calc_state,$A14)/SUMIFS(calc_netmode,calc_state,$A14)),IF(_netcalc!$D$527=0,"—",_netcalc!$E$527)))</f>
        <v>—</v>
      </c>
      <c r="D14" s="171"/>
      <c r="E14" s="59"/>
      <c r="F14" s="129" t="str">
        <f>IF(OR($A14="",nd_BU="All"),"",IF(_netcalc!$D$527=0,"—",IF(_netcalc!$W$527=0,"none",_netcalc!$X$527)))</f>
        <v>—</v>
      </c>
      <c r="G14" s="127" t="str">
        <f>IF(OR($A14="",nd_BU="All"),"",IF(_netcalc!$D$527=0,"—",IF(_netcalc!$W$527=0,"none",_netcalc!$Z$527)))</f>
        <v>—</v>
      </c>
      <c r="H14" s="175" t="str">
        <f>IF(OR($A14="",nd_BU="All"),"",IF(_netcalc!$D$527=0,"—",_netcalc!$E$578))</f>
        <v>—</v>
      </c>
      <c r="I14" s="176" t="str">
        <f>IF(OR($A14="",nd_BU="All"),"",IF(_netcalc!$D$527=0,"—",_netcalc!$F$578))</f>
        <v>—</v>
      </c>
      <c r="J14" s="175" t="str">
        <f>IF(OR($A14="",nd_BU="All"),"",IF(_netcalc!$D$527=0,"—",_netcalc!$G$578))</f>
        <v>—</v>
      </c>
      <c r="K14" s="127" t="str">
        <f>IF(OR($A14="",nd_BU="All"),"",IF(_netcalc!$D$527=0,"—",_netcalc!$I$578))</f>
        <v>—</v>
      </c>
      <c r="L14" s="162" t="str">
        <f>IF(OR($A14="",nd_BU="All"),"",IF(_netcalc!$D$527=0,"—",_netcalc!$J$578))</f>
        <v>—</v>
      </c>
      <c r="M14" s="125" t="str">
        <f>IF(OR($A14="",nd_BU="All"),"",IF(_netcalc!$D$527=0,"—",_netcalc!$H$578))</f>
        <v>—</v>
      </c>
      <c r="N14" s="177" t="str">
        <f>IF(OR($A14="",nd_BU="All"),"",IF(_netcalc!$D$527=0,"—",IF(ISNUMBER(_netcalc!$H$578),(_netcalc!$H$578-_netcalc!$J$527)*100,"n/a")))</f>
        <v>—</v>
      </c>
      <c r="O14" s="137" t="str">
        <f>IF(OR($A14="",nd_BU="All"),"",IF(_netcalc!$D$527=0,"—",_netcalc!$L$578))</f>
        <v>—</v>
      </c>
      <c r="P14" s="128" t="str">
        <f>IF(OR($A14="",nd_BU="All"),"",IF(_netcalc!$D$527=0,"—",_netcalc!$M$578))</f>
        <v>—</v>
      </c>
    </row>
    <row r="15" spans="1:16" x14ac:dyDescent="0.3">
      <c r="A15" s="103" t="str">
        <f>_lists!$B$9</f>
        <v>IL</v>
      </c>
      <c r="B15" s="158">
        <f t="shared" si="0"/>
        <v>16000</v>
      </c>
      <c r="C15" s="108" t="str">
        <f>IF($A15="","",IF(nd_BU="All",IF(SUMIFS(calc_netmode,calc_state,$A15)=0,"—",SUMIFS(calc_netx,calc_state,$A15)/SUMIFS(calc_netmode,calc_state,$A15)),IF(_netcalc!$D$583=0,"—",_netcalc!$E$583)))</f>
        <v>—</v>
      </c>
      <c r="D15" s="171"/>
      <c r="E15" s="59"/>
      <c r="F15" s="110" t="str">
        <f>IF(OR($A15="",nd_BU="All"),"",IF(_netcalc!$D$583=0,"—",IF(_netcalc!$W$583=0,"none",_netcalc!$X$583)))</f>
        <v>—</v>
      </c>
      <c r="G15" s="108" t="str">
        <f>IF(OR($A15="",nd_BU="All"),"",IF(_netcalc!$D$583=0,"—",IF(_netcalc!$W$583=0,"none",_netcalc!$Z$583)))</f>
        <v>—</v>
      </c>
      <c r="H15" s="172" t="str">
        <f>IF(OR($A15="",nd_BU="All"),"",IF(_netcalc!$D$583=0,"—",_netcalc!$E$634))</f>
        <v>—</v>
      </c>
      <c r="I15" s="173" t="str">
        <f>IF(OR($A15="",nd_BU="All"),"",IF(_netcalc!$D$583=0,"—",_netcalc!$F$634))</f>
        <v>—</v>
      </c>
      <c r="J15" s="172" t="str">
        <f>IF(OR($A15="",nd_BU="All"),"",IF(_netcalc!$D$583=0,"—",_netcalc!$G$634))</f>
        <v>—</v>
      </c>
      <c r="K15" s="108" t="str">
        <f>IF(OR($A15="",nd_BU="All"),"",IF(_netcalc!$D$583=0,"—",_netcalc!$I$634))</f>
        <v>—</v>
      </c>
      <c r="L15" s="159" t="str">
        <f>IF(OR($A15="",nd_BU="All"),"",IF(_netcalc!$D$583=0,"—",_netcalc!$J$634))</f>
        <v>—</v>
      </c>
      <c r="M15" s="106" t="str">
        <f>IF(OR($A15="",nd_BU="All"),"",IF(_netcalc!$D$583=0,"—",_netcalc!$H$634))</f>
        <v>—</v>
      </c>
      <c r="N15" s="174" t="str">
        <f>IF(OR($A15="",nd_BU="All"),"",IF(_netcalc!$D$583=0,"—",IF(ISNUMBER(_netcalc!$H$634),(_netcalc!$H$634-_netcalc!$J$583)*100,"n/a")))</f>
        <v>—</v>
      </c>
      <c r="O15" s="118" t="str">
        <f>IF(OR($A15="",nd_BU="All"),"",IF(_netcalc!$D$583=0,"—",_netcalc!$L$634))</f>
        <v>—</v>
      </c>
      <c r="P15" s="109" t="str">
        <f>IF(OR($A15="",nd_BU="All"),"",IF(_netcalc!$D$583=0,"—",_netcalc!$M$634))</f>
        <v>—</v>
      </c>
    </row>
    <row r="16" spans="1:16" x14ac:dyDescent="0.3">
      <c r="A16" s="122" t="str">
        <f>_lists!$B$10</f>
        <v>IN</v>
      </c>
      <c r="B16" s="161">
        <f t="shared" si="0"/>
        <v>12800</v>
      </c>
      <c r="C16" s="127" t="str">
        <f>IF($A16="","",IF(nd_BU="All",IF(SUMIFS(calc_netmode,calc_state,$A16)=0,"—",SUMIFS(calc_netx,calc_state,$A16)/SUMIFS(calc_netmode,calc_state,$A16)),IF(_netcalc!$D$639=0,"—",_netcalc!$E$639)))</f>
        <v>—</v>
      </c>
      <c r="D16" s="171"/>
      <c r="E16" s="59"/>
      <c r="F16" s="129" t="str">
        <f>IF(OR($A16="",nd_BU="All"),"",IF(_netcalc!$D$639=0,"—",IF(_netcalc!$W$639=0,"none",_netcalc!$X$639)))</f>
        <v>—</v>
      </c>
      <c r="G16" s="127" t="str">
        <f>IF(OR($A16="",nd_BU="All"),"",IF(_netcalc!$D$639=0,"—",IF(_netcalc!$W$639=0,"none",_netcalc!$Z$639)))</f>
        <v>—</v>
      </c>
      <c r="H16" s="175" t="str">
        <f>IF(OR($A16="",nd_BU="All"),"",IF(_netcalc!$D$639=0,"—",_netcalc!$E$690))</f>
        <v>—</v>
      </c>
      <c r="I16" s="176" t="str">
        <f>IF(OR($A16="",nd_BU="All"),"",IF(_netcalc!$D$639=0,"—",_netcalc!$F$690))</f>
        <v>—</v>
      </c>
      <c r="J16" s="175" t="str">
        <f>IF(OR($A16="",nd_BU="All"),"",IF(_netcalc!$D$639=0,"—",_netcalc!$G$690))</f>
        <v>—</v>
      </c>
      <c r="K16" s="127" t="str">
        <f>IF(OR($A16="",nd_BU="All"),"",IF(_netcalc!$D$639=0,"—",_netcalc!$I$690))</f>
        <v>—</v>
      </c>
      <c r="L16" s="162" t="str">
        <f>IF(OR($A16="",nd_BU="All"),"",IF(_netcalc!$D$639=0,"—",_netcalc!$J$690))</f>
        <v>—</v>
      </c>
      <c r="M16" s="125" t="str">
        <f>IF(OR($A16="",nd_BU="All"),"",IF(_netcalc!$D$639=0,"—",_netcalc!$H$690))</f>
        <v>—</v>
      </c>
      <c r="N16" s="177" t="str">
        <f>IF(OR($A16="",nd_BU="All"),"",IF(_netcalc!$D$639=0,"—",IF(ISNUMBER(_netcalc!$H$690),(_netcalc!$H$690-_netcalc!$J$639)*100,"n/a")))</f>
        <v>—</v>
      </c>
      <c r="O16" s="137" t="str">
        <f>IF(OR($A16="",nd_BU="All"),"",IF(_netcalc!$D$639=0,"—",_netcalc!$L$690))</f>
        <v>—</v>
      </c>
      <c r="P16" s="128" t="str">
        <f>IF(OR($A16="",nd_BU="All"),"",IF(_netcalc!$D$639=0,"—",_netcalc!$M$690))</f>
        <v>—</v>
      </c>
    </row>
    <row r="17" spans="1:16" x14ac:dyDescent="0.3">
      <c r="A17" s="103" t="str">
        <f>_lists!$B$11</f>
        <v>KY</v>
      </c>
      <c r="B17" s="158">
        <f t="shared" si="0"/>
        <v>9600</v>
      </c>
      <c r="C17" s="108">
        <f>IF($A17="","",IF(nd_BU="All",IF(SUMIFS(calc_netmode,calc_state,$A17)=0,"—",SUMIFS(calc_netx,calc_state,$A17)/SUMIFS(calc_netmode,calc_state,$A17)),IF(_netcalc!$D$695=0,"—",_netcalc!$E$695)))</f>
        <v>0.1</v>
      </c>
      <c r="D17" s="171"/>
      <c r="E17" s="59"/>
      <c r="F17" s="110">
        <f>IF(OR($A17="",nd_BU="All"),"",IF(_netcalc!$D$695=0,"—",IF(_netcalc!$W$695=0,"none",_netcalc!$X$695)))</f>
        <v>46478</v>
      </c>
      <c r="G17" s="108">
        <f>IF(OR($A17="",nd_BU="All"),"",IF(_netcalc!$D$695=0,"—",IF(_netcalc!$W$695=0,"none",_netcalc!$Z$695)))</f>
        <v>0.04</v>
      </c>
      <c r="H17" s="172">
        <f>IF(OR($A17="",nd_BU="All"),"",IF(_netcalc!$D$695=0,"—",_netcalc!$E$746))</f>
        <v>2.5235576042521628E-2</v>
      </c>
      <c r="I17" s="173">
        <f>IF(OR($A17="",nd_BU="All"),"",IF(_netcalc!$D$695=0,"—",_netcalc!$F$746))</f>
        <v>0.04</v>
      </c>
      <c r="J17" s="172">
        <f>IF(OR($A17="",nd_BU="All"),"",IF(_netcalc!$D$695=0,"—",_netcalc!$G$746))</f>
        <v>0.04</v>
      </c>
      <c r="K17" s="108">
        <f>IF(OR($A17="",nd_BU="All"),"",IF(_netcalc!$D$695=0,"—",_netcalc!$I$746))</f>
        <v>0.10699999999999998</v>
      </c>
      <c r="L17" s="159">
        <f>IF(OR($A17="",nd_BU="All"),"",IF(_netcalc!$D$695=0,"—",_netcalc!$J$746))</f>
        <v>-6.3233965672989667E-3</v>
      </c>
      <c r="M17" s="106">
        <f>IF(OR($A17="",nd_BU="All"),"",IF(_netcalc!$D$695=0,"—",_netcalc!$H$746))</f>
        <v>0.89861591847615585</v>
      </c>
      <c r="N17" s="174">
        <f>IF(OR($A17="",nd_BU="All"),"",IF(_netcalc!$D$695=0,"—",IF(ISNUMBER(_netcalc!$H$746),(_netcalc!$H$746-_netcalc!$J$695)*100,"n/a")))</f>
        <v>-1.6384081523844185</v>
      </c>
      <c r="O17" s="118">
        <f>IF(OR($A17="",nd_BU="All"),"",IF(_netcalc!$D$695=0,"—",_netcalc!$L$746))</f>
        <v>0.75</v>
      </c>
      <c r="P17" s="109" t="str">
        <f>IF(OR($A17="",nd_BU="All"),"",IF(_netcalc!$D$695=0,"—",_netcalc!$M$746))</f>
        <v/>
      </c>
    </row>
    <row r="18" spans="1:16" x14ac:dyDescent="0.3">
      <c r="A18" s="122" t="str">
        <f>_lists!$B$12</f>
        <v>MD</v>
      </c>
      <c r="B18" s="161">
        <f t="shared" si="0"/>
        <v>6400</v>
      </c>
      <c r="C18" s="127" t="str">
        <f>IF($A18="","",IF(nd_BU="All",IF(SUMIFS(calc_netmode,calc_state,$A18)=0,"—",SUMIFS(calc_netx,calc_state,$A18)/SUMIFS(calc_netmode,calc_state,$A18)),IF(_netcalc!$D$751=0,"—",_netcalc!$E$751)))</f>
        <v>—</v>
      </c>
      <c r="D18" s="171"/>
      <c r="E18" s="59"/>
      <c r="F18" s="129" t="str">
        <f>IF(OR($A18="",nd_BU="All"),"",IF(_netcalc!$D$751=0,"—",IF(_netcalc!$W$751=0,"none",_netcalc!$X$751)))</f>
        <v>—</v>
      </c>
      <c r="G18" s="127" t="str">
        <f>IF(OR($A18="",nd_BU="All"),"",IF(_netcalc!$D$751=0,"—",IF(_netcalc!$W$751=0,"none",_netcalc!$Z$751)))</f>
        <v>—</v>
      </c>
      <c r="H18" s="175" t="str">
        <f>IF(OR($A18="",nd_BU="All"),"",IF(_netcalc!$D$751=0,"—",_netcalc!$E$802))</f>
        <v>—</v>
      </c>
      <c r="I18" s="176" t="str">
        <f>IF(OR($A18="",nd_BU="All"),"",IF(_netcalc!$D$751=0,"—",_netcalc!$F$802))</f>
        <v>—</v>
      </c>
      <c r="J18" s="175" t="str">
        <f>IF(OR($A18="",nd_BU="All"),"",IF(_netcalc!$D$751=0,"—",_netcalc!$G$802))</f>
        <v>—</v>
      </c>
      <c r="K18" s="127" t="str">
        <f>IF(OR($A18="",nd_BU="All"),"",IF(_netcalc!$D$751=0,"—",_netcalc!$I$802))</f>
        <v>—</v>
      </c>
      <c r="L18" s="162" t="str">
        <f>IF(OR($A18="",nd_BU="All"),"",IF(_netcalc!$D$751=0,"—",_netcalc!$J$802))</f>
        <v>—</v>
      </c>
      <c r="M18" s="125" t="str">
        <f>IF(OR($A18="",nd_BU="All"),"",IF(_netcalc!$D$751=0,"—",_netcalc!$H$802))</f>
        <v>—</v>
      </c>
      <c r="N18" s="177" t="str">
        <f>IF(OR($A18="",nd_BU="All"),"",IF(_netcalc!$D$751=0,"—",IF(ISNUMBER(_netcalc!$H$802),(_netcalc!$H$802-_netcalc!$J$751)*100,"n/a")))</f>
        <v>—</v>
      </c>
      <c r="O18" s="137" t="str">
        <f>IF(OR($A18="",nd_BU="All"),"",IF(_netcalc!$D$751=0,"—",_netcalc!$L$802))</f>
        <v>—</v>
      </c>
      <c r="P18" s="128" t="str">
        <f>IF(OR($A18="",nd_BU="All"),"",IF(_netcalc!$D$751=0,"—",_netcalc!$M$802))</f>
        <v>—</v>
      </c>
    </row>
    <row r="19" spans="1:16" x14ac:dyDescent="0.3">
      <c r="A19" s="103" t="str">
        <f>_lists!$B$13</f>
        <v>MI</v>
      </c>
      <c r="B19" s="158">
        <f t="shared" si="0"/>
        <v>16800</v>
      </c>
      <c r="C19" s="108" t="str">
        <f>IF($A19="","",IF(nd_BU="All",IF(SUMIFS(calc_netmode,calc_state,$A19)=0,"—",SUMIFS(calc_netx,calc_state,$A19)/SUMIFS(calc_netmode,calc_state,$A19)),IF(_netcalc!$D$807=0,"—",_netcalc!$E$807)))</f>
        <v>—</v>
      </c>
      <c r="D19" s="171"/>
      <c r="E19" s="59"/>
      <c r="F19" s="110" t="str">
        <f>IF(OR($A19="",nd_BU="All"),"",IF(_netcalc!$D$807=0,"—",IF(_netcalc!$W$807=0,"none",_netcalc!$X$807)))</f>
        <v>—</v>
      </c>
      <c r="G19" s="108" t="str">
        <f>IF(OR($A19="",nd_BU="All"),"",IF(_netcalc!$D$807=0,"—",IF(_netcalc!$W$807=0,"none",_netcalc!$Z$807)))</f>
        <v>—</v>
      </c>
      <c r="H19" s="172" t="str">
        <f>IF(OR($A19="",nd_BU="All"),"",IF(_netcalc!$D$807=0,"—",_netcalc!$E$858))</f>
        <v>—</v>
      </c>
      <c r="I19" s="173" t="str">
        <f>IF(OR($A19="",nd_BU="All"),"",IF(_netcalc!$D$807=0,"—",_netcalc!$F$858))</f>
        <v>—</v>
      </c>
      <c r="J19" s="172" t="str">
        <f>IF(OR($A19="",nd_BU="All"),"",IF(_netcalc!$D$807=0,"—",_netcalc!$G$858))</f>
        <v>—</v>
      </c>
      <c r="K19" s="108" t="str">
        <f>IF(OR($A19="",nd_BU="All"),"",IF(_netcalc!$D$807=0,"—",_netcalc!$I$858))</f>
        <v>—</v>
      </c>
      <c r="L19" s="159" t="str">
        <f>IF(OR($A19="",nd_BU="All"),"",IF(_netcalc!$D$807=0,"—",_netcalc!$J$858))</f>
        <v>—</v>
      </c>
      <c r="M19" s="106" t="str">
        <f>IF(OR($A19="",nd_BU="All"),"",IF(_netcalc!$D$807=0,"—",_netcalc!$H$858))</f>
        <v>—</v>
      </c>
      <c r="N19" s="174" t="str">
        <f>IF(OR($A19="",nd_BU="All"),"",IF(_netcalc!$D$807=0,"—",IF(ISNUMBER(_netcalc!$H$858),(_netcalc!$H$858-_netcalc!$J$807)*100,"n/a")))</f>
        <v>—</v>
      </c>
      <c r="O19" s="118" t="str">
        <f>IF(OR($A19="",nd_BU="All"),"",IF(_netcalc!$D$807=0,"—",_netcalc!$L$858))</f>
        <v>—</v>
      </c>
      <c r="P19" s="109" t="str">
        <f>IF(OR($A19="",nd_BU="All"),"",IF(_netcalc!$D$807=0,"—",_netcalc!$M$858))</f>
        <v>—</v>
      </c>
    </row>
    <row r="20" spans="1:16" x14ac:dyDescent="0.3">
      <c r="A20" s="122" t="str">
        <f>_lists!$B$14</f>
        <v>MN</v>
      </c>
      <c r="B20" s="161">
        <f t="shared" si="0"/>
        <v>13600</v>
      </c>
      <c r="C20" s="127" t="str">
        <f>IF($A20="","",IF(nd_BU="All",IF(SUMIFS(calc_netmode,calc_state,$A20)=0,"—",SUMIFS(calc_netx,calc_state,$A20)/SUMIFS(calc_netmode,calc_state,$A20)),IF(_netcalc!$D$863=0,"—",_netcalc!$E$863)))</f>
        <v>—</v>
      </c>
      <c r="D20" s="171"/>
      <c r="E20" s="59"/>
      <c r="F20" s="129" t="str">
        <f>IF(OR($A20="",nd_BU="All"),"",IF(_netcalc!$D$863=0,"—",IF(_netcalc!$W$863=0,"none",_netcalc!$X$863)))</f>
        <v>—</v>
      </c>
      <c r="G20" s="127" t="str">
        <f>IF(OR($A20="",nd_BU="All"),"",IF(_netcalc!$D$863=0,"—",IF(_netcalc!$W$863=0,"none",_netcalc!$Z$863)))</f>
        <v>—</v>
      </c>
      <c r="H20" s="175" t="str">
        <f>IF(OR($A20="",nd_BU="All"),"",IF(_netcalc!$D$863=0,"—",_netcalc!$E$914))</f>
        <v>—</v>
      </c>
      <c r="I20" s="176" t="str">
        <f>IF(OR($A20="",nd_BU="All"),"",IF(_netcalc!$D$863=0,"—",_netcalc!$F$914))</f>
        <v>—</v>
      </c>
      <c r="J20" s="175" t="str">
        <f>IF(OR($A20="",nd_BU="All"),"",IF(_netcalc!$D$863=0,"—",_netcalc!$G$914))</f>
        <v>—</v>
      </c>
      <c r="K20" s="127" t="str">
        <f>IF(OR($A20="",nd_BU="All"),"",IF(_netcalc!$D$863=0,"—",_netcalc!$I$914))</f>
        <v>—</v>
      </c>
      <c r="L20" s="162" t="str">
        <f>IF(OR($A20="",nd_BU="All"),"",IF(_netcalc!$D$863=0,"—",_netcalc!$J$914))</f>
        <v>—</v>
      </c>
      <c r="M20" s="125" t="str">
        <f>IF(OR($A20="",nd_BU="All"),"",IF(_netcalc!$D$863=0,"—",_netcalc!$H$914))</f>
        <v>—</v>
      </c>
      <c r="N20" s="177" t="str">
        <f>IF(OR($A20="",nd_BU="All"),"",IF(_netcalc!$D$863=0,"—",IF(ISNUMBER(_netcalc!$H$914),(_netcalc!$H$914-_netcalc!$J$863)*100,"n/a")))</f>
        <v>—</v>
      </c>
      <c r="O20" s="137" t="str">
        <f>IF(OR($A20="",nd_BU="All"),"",IF(_netcalc!$D$863=0,"—",_netcalc!$L$914))</f>
        <v>—</v>
      </c>
      <c r="P20" s="128" t="str">
        <f>IF(OR($A20="",nd_BU="All"),"",IF(_netcalc!$D$863=0,"—",_netcalc!$M$914))</f>
        <v>—</v>
      </c>
    </row>
    <row r="21" spans="1:16" x14ac:dyDescent="0.3">
      <c r="A21" s="103" t="str">
        <f>_lists!$B$15</f>
        <v>NM</v>
      </c>
      <c r="B21" s="158">
        <f t="shared" si="0"/>
        <v>10400</v>
      </c>
      <c r="C21" s="108" t="str">
        <f>IF($A21="","",IF(nd_BU="All",IF(SUMIFS(calc_netmode,calc_state,$A21)=0,"—",SUMIFS(calc_netx,calc_state,$A21)/SUMIFS(calc_netmode,calc_state,$A21)),IF(_netcalc!$D$919=0,"—",_netcalc!$E$919)))</f>
        <v>—</v>
      </c>
      <c r="D21" s="171"/>
      <c r="E21" s="59"/>
      <c r="F21" s="110" t="str">
        <f>IF(OR($A21="",nd_BU="All"),"",IF(_netcalc!$D$919=0,"—",IF(_netcalc!$W$919=0,"none",_netcalc!$X$919)))</f>
        <v>—</v>
      </c>
      <c r="G21" s="108" t="str">
        <f>IF(OR($A21="",nd_BU="All"),"",IF(_netcalc!$D$919=0,"—",IF(_netcalc!$W$919=0,"none",_netcalc!$Z$919)))</f>
        <v>—</v>
      </c>
      <c r="H21" s="172" t="str">
        <f>IF(OR($A21="",nd_BU="All"),"",IF(_netcalc!$D$919=0,"—",_netcalc!$E$970))</f>
        <v>—</v>
      </c>
      <c r="I21" s="173" t="str">
        <f>IF(OR($A21="",nd_BU="All"),"",IF(_netcalc!$D$919=0,"—",_netcalc!$F$970))</f>
        <v>—</v>
      </c>
      <c r="J21" s="172" t="str">
        <f>IF(OR($A21="",nd_BU="All"),"",IF(_netcalc!$D$919=0,"—",_netcalc!$G$970))</f>
        <v>—</v>
      </c>
      <c r="K21" s="108" t="str">
        <f>IF(OR($A21="",nd_BU="All"),"",IF(_netcalc!$D$919=0,"—",_netcalc!$I$970))</f>
        <v>—</v>
      </c>
      <c r="L21" s="159" t="str">
        <f>IF(OR($A21="",nd_BU="All"),"",IF(_netcalc!$D$919=0,"—",_netcalc!$J$970))</f>
        <v>—</v>
      </c>
      <c r="M21" s="106" t="str">
        <f>IF(OR($A21="",nd_BU="All"),"",IF(_netcalc!$D$919=0,"—",_netcalc!$H$970))</f>
        <v>—</v>
      </c>
      <c r="N21" s="174" t="str">
        <f>IF(OR($A21="",nd_BU="All"),"",IF(_netcalc!$D$919=0,"—",IF(ISNUMBER(_netcalc!$H$970),(_netcalc!$H$970-_netcalc!$J$919)*100,"n/a")))</f>
        <v>—</v>
      </c>
      <c r="O21" s="118" t="str">
        <f>IF(OR($A21="",nd_BU="All"),"",IF(_netcalc!$D$919=0,"—",_netcalc!$L$970))</f>
        <v>—</v>
      </c>
      <c r="P21" s="109" t="str">
        <f>IF(OR($A21="",nd_BU="All"),"",IF(_netcalc!$D$919=0,"—",_netcalc!$M$970))</f>
        <v>—</v>
      </c>
    </row>
    <row r="22" spans="1:16" x14ac:dyDescent="0.3">
      <c r="A22" s="122" t="str">
        <f>_lists!$B$16</f>
        <v>NC</v>
      </c>
      <c r="B22" s="161">
        <f t="shared" si="0"/>
        <v>7200</v>
      </c>
      <c r="C22" s="127" t="str">
        <f>IF($A22="","",IF(nd_BU="All",IF(SUMIFS(calc_netmode,calc_state,$A22)=0,"—",SUMIFS(calc_netx,calc_state,$A22)/SUMIFS(calc_netmode,calc_state,$A22)),IF(_netcalc!$D$975=0,"—",_netcalc!$E$975)))</f>
        <v>—</v>
      </c>
      <c r="D22" s="171"/>
      <c r="E22" s="59"/>
      <c r="F22" s="129" t="str">
        <f>IF(OR($A22="",nd_BU="All"),"",IF(_netcalc!$D$975=0,"—",IF(_netcalc!$W$975=0,"none",_netcalc!$X$975)))</f>
        <v>—</v>
      </c>
      <c r="G22" s="127" t="str">
        <f>IF(OR($A22="",nd_BU="All"),"",IF(_netcalc!$D$975=0,"—",IF(_netcalc!$W$975=0,"none",_netcalc!$Z$975)))</f>
        <v>—</v>
      </c>
      <c r="H22" s="175" t="str">
        <f>IF(OR($A22="",nd_BU="All"),"",IF(_netcalc!$D$975=0,"—",_netcalc!$E$1026))</f>
        <v>—</v>
      </c>
      <c r="I22" s="176" t="str">
        <f>IF(OR($A22="",nd_BU="All"),"",IF(_netcalc!$D$975=0,"—",_netcalc!$F$1026))</f>
        <v>—</v>
      </c>
      <c r="J22" s="175" t="str">
        <f>IF(OR($A22="",nd_BU="All"),"",IF(_netcalc!$D$975=0,"—",_netcalc!$G$1026))</f>
        <v>—</v>
      </c>
      <c r="K22" s="127" t="str">
        <f>IF(OR($A22="",nd_BU="All"),"",IF(_netcalc!$D$975=0,"—",_netcalc!$I$1026))</f>
        <v>—</v>
      </c>
      <c r="L22" s="162" t="str">
        <f>IF(OR($A22="",nd_BU="All"),"",IF(_netcalc!$D$975=0,"—",_netcalc!$J$1026))</f>
        <v>—</v>
      </c>
      <c r="M22" s="125" t="str">
        <f>IF(OR($A22="",nd_BU="All"),"",IF(_netcalc!$D$975=0,"—",_netcalc!$H$1026))</f>
        <v>—</v>
      </c>
      <c r="N22" s="177" t="str">
        <f>IF(OR($A22="",nd_BU="All"),"",IF(_netcalc!$D$975=0,"—",IF(ISNUMBER(_netcalc!$H$1026),(_netcalc!$H$1026-_netcalc!$J$975)*100,"n/a")))</f>
        <v>—</v>
      </c>
      <c r="O22" s="137" t="str">
        <f>IF(OR($A22="",nd_BU="All"),"",IF(_netcalc!$D$975=0,"—",_netcalc!$L$1026))</f>
        <v>—</v>
      </c>
      <c r="P22" s="128" t="str">
        <f>IF(OR($A22="",nd_BU="All"),"",IF(_netcalc!$D$975=0,"—",_netcalc!$M$1026))</f>
        <v>—</v>
      </c>
    </row>
    <row r="23" spans="1:16" x14ac:dyDescent="0.3">
      <c r="A23" s="103" t="str">
        <f>_lists!$B$17</f>
        <v>OH</v>
      </c>
      <c r="B23" s="158">
        <f t="shared" si="0"/>
        <v>17600</v>
      </c>
      <c r="C23" s="108" t="str">
        <f>IF($A23="","",IF(nd_BU="All",IF(SUMIFS(calc_netmode,calc_state,$A23)=0,"—",SUMIFS(calc_netx,calc_state,$A23)/SUMIFS(calc_netmode,calc_state,$A23)),IF(_netcalc!$D$1031=0,"—",_netcalc!$E$1031)))</f>
        <v>—</v>
      </c>
      <c r="D23" s="171"/>
      <c r="E23" s="59"/>
      <c r="F23" s="110" t="str">
        <f>IF(OR($A23="",nd_BU="All"),"",IF(_netcalc!$D$1031=0,"—",IF(_netcalc!$W$1031=0,"none",_netcalc!$X$1031)))</f>
        <v>—</v>
      </c>
      <c r="G23" s="108" t="str">
        <f>IF(OR($A23="",nd_BU="All"),"",IF(_netcalc!$D$1031=0,"—",IF(_netcalc!$W$1031=0,"none",_netcalc!$Z$1031)))</f>
        <v>—</v>
      </c>
      <c r="H23" s="172" t="str">
        <f>IF(OR($A23="",nd_BU="All"),"",IF(_netcalc!$D$1031=0,"—",_netcalc!$E$1082))</f>
        <v>—</v>
      </c>
      <c r="I23" s="173" t="str">
        <f>IF(OR($A23="",nd_BU="All"),"",IF(_netcalc!$D$1031=0,"—",_netcalc!$F$1082))</f>
        <v>—</v>
      </c>
      <c r="J23" s="172" t="str">
        <f>IF(OR($A23="",nd_BU="All"),"",IF(_netcalc!$D$1031=0,"—",_netcalc!$G$1082))</f>
        <v>—</v>
      </c>
      <c r="K23" s="108" t="str">
        <f>IF(OR($A23="",nd_BU="All"),"",IF(_netcalc!$D$1031=0,"—",_netcalc!$I$1082))</f>
        <v>—</v>
      </c>
      <c r="L23" s="159" t="str">
        <f>IF(OR($A23="",nd_BU="All"),"",IF(_netcalc!$D$1031=0,"—",_netcalc!$J$1082))</f>
        <v>—</v>
      </c>
      <c r="M23" s="106" t="str">
        <f>IF(OR($A23="",nd_BU="All"),"",IF(_netcalc!$D$1031=0,"—",_netcalc!$H$1082))</f>
        <v>—</v>
      </c>
      <c r="N23" s="174" t="str">
        <f>IF(OR($A23="",nd_BU="All"),"",IF(_netcalc!$D$1031=0,"—",IF(ISNUMBER(_netcalc!$H$1082),(_netcalc!$H$1082-_netcalc!$J$1031)*100,"n/a")))</f>
        <v>—</v>
      </c>
      <c r="O23" s="118" t="str">
        <f>IF(OR($A23="",nd_BU="All"),"",IF(_netcalc!$D$1031=0,"—",_netcalc!$L$1082))</f>
        <v>—</v>
      </c>
      <c r="P23" s="109" t="str">
        <f>IF(OR($A23="",nd_BU="All"),"",IF(_netcalc!$D$1031=0,"—",_netcalc!$M$1082))</f>
        <v>—</v>
      </c>
    </row>
    <row r="24" spans="1:16" x14ac:dyDescent="0.3">
      <c r="A24" s="122" t="str">
        <f>_lists!$B$18</f>
        <v>PA</v>
      </c>
      <c r="B24" s="161">
        <f t="shared" si="0"/>
        <v>14400</v>
      </c>
      <c r="C24" s="127" t="str">
        <f>IF($A24="","",IF(nd_BU="All",IF(SUMIFS(calc_netmode,calc_state,$A24)=0,"—",SUMIFS(calc_netx,calc_state,$A24)/SUMIFS(calc_netmode,calc_state,$A24)),IF(_netcalc!$D$1087=0,"—",_netcalc!$E$1087)))</f>
        <v>—</v>
      </c>
      <c r="D24" s="171"/>
      <c r="E24" s="59"/>
      <c r="F24" s="129" t="str">
        <f>IF(OR($A24="",nd_BU="All"),"",IF(_netcalc!$D$1087=0,"—",IF(_netcalc!$W$1087=0,"none",_netcalc!$X$1087)))</f>
        <v>—</v>
      </c>
      <c r="G24" s="127" t="str">
        <f>IF(OR($A24="",nd_BU="All"),"",IF(_netcalc!$D$1087=0,"—",IF(_netcalc!$W$1087=0,"none",_netcalc!$Z$1087)))</f>
        <v>—</v>
      </c>
      <c r="H24" s="175" t="str">
        <f>IF(OR($A24="",nd_BU="All"),"",IF(_netcalc!$D$1087=0,"—",_netcalc!$E$1138))</f>
        <v>—</v>
      </c>
      <c r="I24" s="176" t="str">
        <f>IF(OR($A24="",nd_BU="All"),"",IF(_netcalc!$D$1087=0,"—",_netcalc!$F$1138))</f>
        <v>—</v>
      </c>
      <c r="J24" s="175" t="str">
        <f>IF(OR($A24="",nd_BU="All"),"",IF(_netcalc!$D$1087=0,"—",_netcalc!$G$1138))</f>
        <v>—</v>
      </c>
      <c r="K24" s="127" t="str">
        <f>IF(OR($A24="",nd_BU="All"),"",IF(_netcalc!$D$1087=0,"—",_netcalc!$I$1138))</f>
        <v>—</v>
      </c>
      <c r="L24" s="162" t="str">
        <f>IF(OR($A24="",nd_BU="All"),"",IF(_netcalc!$D$1087=0,"—",_netcalc!$J$1138))</f>
        <v>—</v>
      </c>
      <c r="M24" s="125" t="str">
        <f>IF(OR($A24="",nd_BU="All"),"",IF(_netcalc!$D$1087=0,"—",_netcalc!$H$1138))</f>
        <v>—</v>
      </c>
      <c r="N24" s="177" t="str">
        <f>IF(OR($A24="",nd_BU="All"),"",IF(_netcalc!$D$1087=0,"—",IF(ISNUMBER(_netcalc!$H$1138),(_netcalc!$H$1138-_netcalc!$J$1087)*100,"n/a")))</f>
        <v>—</v>
      </c>
      <c r="O24" s="137" t="str">
        <f>IF(OR($A24="",nd_BU="All"),"",IF(_netcalc!$D$1087=0,"—",_netcalc!$L$1138))</f>
        <v>—</v>
      </c>
      <c r="P24" s="128" t="str">
        <f>IF(OR($A24="",nd_BU="All"),"",IF(_netcalc!$D$1087=0,"—",_netcalc!$M$1138))</f>
        <v>—</v>
      </c>
    </row>
    <row r="25" spans="1:16" x14ac:dyDescent="0.3">
      <c r="A25" s="103" t="str">
        <f>_lists!$B$19</f>
        <v>SC</v>
      </c>
      <c r="B25" s="158">
        <f t="shared" si="0"/>
        <v>11200</v>
      </c>
      <c r="C25" s="108" t="str">
        <f>IF($A25="","",IF(nd_BU="All",IF(SUMIFS(calc_netmode,calc_state,$A25)=0,"—",SUMIFS(calc_netx,calc_state,$A25)/SUMIFS(calc_netmode,calc_state,$A25)),IF(_netcalc!$D$1143=0,"—",_netcalc!$E$1143)))</f>
        <v>—</v>
      </c>
      <c r="D25" s="171"/>
      <c r="E25" s="59"/>
      <c r="F25" s="110" t="str">
        <f>IF(OR($A25="",nd_BU="All"),"",IF(_netcalc!$D$1143=0,"—",IF(_netcalc!$W$1143=0,"none",_netcalc!$X$1143)))</f>
        <v>—</v>
      </c>
      <c r="G25" s="108" t="str">
        <f>IF(OR($A25="",nd_BU="All"),"",IF(_netcalc!$D$1143=0,"—",IF(_netcalc!$W$1143=0,"none",_netcalc!$Z$1143)))</f>
        <v>—</v>
      </c>
      <c r="H25" s="172" t="str">
        <f>IF(OR($A25="",nd_BU="All"),"",IF(_netcalc!$D$1143=0,"—",_netcalc!$E$1194))</f>
        <v>—</v>
      </c>
      <c r="I25" s="173" t="str">
        <f>IF(OR($A25="",nd_BU="All"),"",IF(_netcalc!$D$1143=0,"—",_netcalc!$F$1194))</f>
        <v>—</v>
      </c>
      <c r="J25" s="172" t="str">
        <f>IF(OR($A25="",nd_BU="All"),"",IF(_netcalc!$D$1143=0,"—",_netcalc!$G$1194))</f>
        <v>—</v>
      </c>
      <c r="K25" s="108" t="str">
        <f>IF(OR($A25="",nd_BU="All"),"",IF(_netcalc!$D$1143=0,"—",_netcalc!$I$1194))</f>
        <v>—</v>
      </c>
      <c r="L25" s="159" t="str">
        <f>IF(OR($A25="",nd_BU="All"),"",IF(_netcalc!$D$1143=0,"—",_netcalc!$J$1194))</f>
        <v>—</v>
      </c>
      <c r="M25" s="106" t="str">
        <f>IF(OR($A25="",nd_BU="All"),"",IF(_netcalc!$D$1143=0,"—",_netcalc!$H$1194))</f>
        <v>—</v>
      </c>
      <c r="N25" s="174" t="str">
        <f>IF(OR($A25="",nd_BU="All"),"",IF(_netcalc!$D$1143=0,"—",IF(ISNUMBER(_netcalc!$H$1194),(_netcalc!$H$1194-_netcalc!$J$1143)*100,"n/a")))</f>
        <v>—</v>
      </c>
      <c r="O25" s="118" t="str">
        <f>IF(OR($A25="",nd_BU="All"),"",IF(_netcalc!$D$1143=0,"—",_netcalc!$L$1194))</f>
        <v>—</v>
      </c>
      <c r="P25" s="109" t="str">
        <f>IF(OR($A25="",nd_BU="All"),"",IF(_netcalc!$D$1143=0,"—",_netcalc!$M$1194))</f>
        <v>—</v>
      </c>
    </row>
    <row r="26" spans="1:16" x14ac:dyDescent="0.3">
      <c r="A26" s="122" t="str">
        <f>_lists!$B$20</f>
        <v>TN</v>
      </c>
      <c r="B26" s="161">
        <f t="shared" si="0"/>
        <v>8000</v>
      </c>
      <c r="C26" s="127" t="str">
        <f>IF($A26="","",IF(nd_BU="All",IF(SUMIFS(calc_netmode,calc_state,$A26)=0,"—",SUMIFS(calc_netx,calc_state,$A26)/SUMIFS(calc_netmode,calc_state,$A26)),IF(_netcalc!$D$1199=0,"—",_netcalc!$E$1199)))</f>
        <v>—</v>
      </c>
      <c r="D26" s="171"/>
      <c r="E26" s="59"/>
      <c r="F26" s="129" t="str">
        <f>IF(OR($A26="",nd_BU="All"),"",IF(_netcalc!$D$1199=0,"—",IF(_netcalc!$W$1199=0,"none",_netcalc!$X$1199)))</f>
        <v>—</v>
      </c>
      <c r="G26" s="127" t="str">
        <f>IF(OR($A26="",nd_BU="All"),"",IF(_netcalc!$D$1199=0,"—",IF(_netcalc!$W$1199=0,"none",_netcalc!$Z$1199)))</f>
        <v>—</v>
      </c>
      <c r="H26" s="175" t="str">
        <f>IF(OR($A26="",nd_BU="All"),"",IF(_netcalc!$D$1199=0,"—",_netcalc!$E$1250))</f>
        <v>—</v>
      </c>
      <c r="I26" s="176" t="str">
        <f>IF(OR($A26="",nd_BU="All"),"",IF(_netcalc!$D$1199=0,"—",_netcalc!$F$1250))</f>
        <v>—</v>
      </c>
      <c r="J26" s="175" t="str">
        <f>IF(OR($A26="",nd_BU="All"),"",IF(_netcalc!$D$1199=0,"—",_netcalc!$G$1250))</f>
        <v>—</v>
      </c>
      <c r="K26" s="127" t="str">
        <f>IF(OR($A26="",nd_BU="All"),"",IF(_netcalc!$D$1199=0,"—",_netcalc!$I$1250))</f>
        <v>—</v>
      </c>
      <c r="L26" s="162" t="str">
        <f>IF(OR($A26="",nd_BU="All"),"",IF(_netcalc!$D$1199=0,"—",_netcalc!$J$1250))</f>
        <v>—</v>
      </c>
      <c r="M26" s="125" t="str">
        <f>IF(OR($A26="",nd_BU="All"),"",IF(_netcalc!$D$1199=0,"—",_netcalc!$H$1250))</f>
        <v>—</v>
      </c>
      <c r="N26" s="177" t="str">
        <f>IF(OR($A26="",nd_BU="All"),"",IF(_netcalc!$D$1199=0,"—",IF(ISNUMBER(_netcalc!$H$1250),(_netcalc!$H$1250-_netcalc!$J$1199)*100,"n/a")))</f>
        <v>—</v>
      </c>
      <c r="O26" s="137" t="str">
        <f>IF(OR($A26="",nd_BU="All"),"",IF(_netcalc!$D$1199=0,"—",_netcalc!$L$1250))</f>
        <v>—</v>
      </c>
      <c r="P26" s="128" t="str">
        <f>IF(OR($A26="",nd_BU="All"),"",IF(_netcalc!$D$1199=0,"—",_netcalc!$M$1250))</f>
        <v>—</v>
      </c>
    </row>
    <row r="27" spans="1:16" x14ac:dyDescent="0.3">
      <c r="A27" s="103" t="str">
        <f>_lists!$B$21</f>
        <v>VA</v>
      </c>
      <c r="B27" s="158">
        <f t="shared" si="0"/>
        <v>18400</v>
      </c>
      <c r="C27" s="108" t="str">
        <f>IF($A27="","",IF(nd_BU="All",IF(SUMIFS(calc_netmode,calc_state,$A27)=0,"—",SUMIFS(calc_netx,calc_state,$A27)/SUMIFS(calc_netmode,calc_state,$A27)),IF(_netcalc!$D$1255=0,"—",_netcalc!$E$1255)))</f>
        <v>—</v>
      </c>
      <c r="D27" s="171"/>
      <c r="E27" s="59"/>
      <c r="F27" s="110" t="str">
        <f>IF(OR($A27="",nd_BU="All"),"",IF(_netcalc!$D$1255=0,"—",IF(_netcalc!$W$1255=0,"none",_netcalc!$X$1255)))</f>
        <v>—</v>
      </c>
      <c r="G27" s="108" t="str">
        <f>IF(OR($A27="",nd_BU="All"),"",IF(_netcalc!$D$1255=0,"—",IF(_netcalc!$W$1255=0,"none",_netcalc!$Z$1255)))</f>
        <v>—</v>
      </c>
      <c r="H27" s="172" t="str">
        <f>IF(OR($A27="",nd_BU="All"),"",IF(_netcalc!$D$1255=0,"—",_netcalc!$E$1306))</f>
        <v>—</v>
      </c>
      <c r="I27" s="173" t="str">
        <f>IF(OR($A27="",nd_BU="All"),"",IF(_netcalc!$D$1255=0,"—",_netcalc!$F$1306))</f>
        <v>—</v>
      </c>
      <c r="J27" s="172" t="str">
        <f>IF(OR($A27="",nd_BU="All"),"",IF(_netcalc!$D$1255=0,"—",_netcalc!$G$1306))</f>
        <v>—</v>
      </c>
      <c r="K27" s="108" t="str">
        <f>IF(OR($A27="",nd_BU="All"),"",IF(_netcalc!$D$1255=0,"—",_netcalc!$I$1306))</f>
        <v>—</v>
      </c>
      <c r="L27" s="159" t="str">
        <f>IF(OR($A27="",nd_BU="All"),"",IF(_netcalc!$D$1255=0,"—",_netcalc!$J$1306))</f>
        <v>—</v>
      </c>
      <c r="M27" s="106" t="str">
        <f>IF(OR($A27="",nd_BU="All"),"",IF(_netcalc!$D$1255=0,"—",_netcalc!$H$1306))</f>
        <v>—</v>
      </c>
      <c r="N27" s="174" t="str">
        <f>IF(OR($A27="",nd_BU="All"),"",IF(_netcalc!$D$1255=0,"—",IF(ISNUMBER(_netcalc!$H$1306),(_netcalc!$H$1306-_netcalc!$J$1255)*100,"n/a")))</f>
        <v>—</v>
      </c>
      <c r="O27" s="118" t="str">
        <f>IF(OR($A27="",nd_BU="All"),"",IF(_netcalc!$D$1255=0,"—",_netcalc!$L$1306))</f>
        <v>—</v>
      </c>
      <c r="P27" s="109" t="str">
        <f>IF(OR($A27="",nd_BU="All"),"",IF(_netcalc!$D$1255=0,"—",_netcalc!$M$1306))</f>
        <v>—</v>
      </c>
    </row>
    <row r="28" spans="1:16" x14ac:dyDescent="0.3">
      <c r="A28" s="122" t="str">
        <f>_lists!$B$22</f>
        <v>WV</v>
      </c>
      <c r="B28" s="161">
        <f t="shared" si="0"/>
        <v>15200</v>
      </c>
      <c r="C28" s="127" t="str">
        <f>IF($A28="","",IF(nd_BU="All",IF(SUMIFS(calc_netmode,calc_state,$A28)=0,"—",SUMIFS(calc_netx,calc_state,$A28)/SUMIFS(calc_netmode,calc_state,$A28)),IF(_netcalc!$D$1311=0,"—",_netcalc!$E$1311)))</f>
        <v>—</v>
      </c>
      <c r="D28" s="171"/>
      <c r="E28" s="59"/>
      <c r="F28" s="129" t="str">
        <f>IF(OR($A28="",nd_BU="All"),"",IF(_netcalc!$D$1311=0,"—",IF(_netcalc!$W$1311=0,"none",_netcalc!$X$1311)))</f>
        <v>—</v>
      </c>
      <c r="G28" s="127" t="str">
        <f>IF(OR($A28="",nd_BU="All"),"",IF(_netcalc!$D$1311=0,"—",IF(_netcalc!$W$1311=0,"none",_netcalc!$Z$1311)))</f>
        <v>—</v>
      </c>
      <c r="H28" s="175" t="str">
        <f>IF(OR($A28="",nd_BU="All"),"",IF(_netcalc!$D$1311=0,"—",_netcalc!$E$1362))</f>
        <v>—</v>
      </c>
      <c r="I28" s="176" t="str">
        <f>IF(OR($A28="",nd_BU="All"),"",IF(_netcalc!$D$1311=0,"—",_netcalc!$F$1362))</f>
        <v>—</v>
      </c>
      <c r="J28" s="175" t="str">
        <f>IF(OR($A28="",nd_BU="All"),"",IF(_netcalc!$D$1311=0,"—",_netcalc!$G$1362))</f>
        <v>—</v>
      </c>
      <c r="K28" s="127" t="str">
        <f>IF(OR($A28="",nd_BU="All"),"",IF(_netcalc!$D$1311=0,"—",_netcalc!$I$1362))</f>
        <v>—</v>
      </c>
      <c r="L28" s="162" t="str">
        <f>IF(OR($A28="",nd_BU="All"),"",IF(_netcalc!$D$1311=0,"—",_netcalc!$J$1362))</f>
        <v>—</v>
      </c>
      <c r="M28" s="125" t="str">
        <f>IF(OR($A28="",nd_BU="All"),"",IF(_netcalc!$D$1311=0,"—",_netcalc!$H$1362))</f>
        <v>—</v>
      </c>
      <c r="N28" s="177" t="str">
        <f>IF(OR($A28="",nd_BU="All"),"",IF(_netcalc!$D$1311=0,"—",IF(ISNUMBER(_netcalc!$H$1362),(_netcalc!$H$1362-_netcalc!$J$1311)*100,"n/a")))</f>
        <v>—</v>
      </c>
      <c r="O28" s="137" t="str">
        <f>IF(OR($A28="",nd_BU="All"),"",IF(_netcalc!$D$1311=0,"—",_netcalc!$L$1362))</f>
        <v>—</v>
      </c>
      <c r="P28" s="128" t="str">
        <f>IF(OR($A28="",nd_BU="All"),"",IF(_netcalc!$D$1311=0,"—",_netcalc!$M$1362))</f>
        <v>—</v>
      </c>
    </row>
    <row r="29" spans="1:16" x14ac:dyDescent="0.3">
      <c r="A29" s="103" t="str">
        <f>_lists!$B$23</f>
        <v>WI</v>
      </c>
      <c r="B29" s="158">
        <f t="shared" si="0"/>
        <v>12000</v>
      </c>
      <c r="C29" s="108" t="str">
        <f>IF($A29="","",IF(nd_BU="All",IF(SUMIFS(calc_netmode,calc_state,$A29)=0,"—",SUMIFS(calc_netx,calc_state,$A29)/SUMIFS(calc_netmode,calc_state,$A29)),IF(_netcalc!$D$1367=0,"—",_netcalc!$E$1367)))</f>
        <v>—</v>
      </c>
      <c r="D29" s="171"/>
      <c r="E29" s="59"/>
      <c r="F29" s="110" t="str">
        <f>IF(OR($A29="",nd_BU="All"),"",IF(_netcalc!$D$1367=0,"—",IF(_netcalc!$W$1367=0,"none",_netcalc!$X$1367)))</f>
        <v>—</v>
      </c>
      <c r="G29" s="108" t="str">
        <f>IF(OR($A29="",nd_BU="All"),"",IF(_netcalc!$D$1367=0,"—",IF(_netcalc!$W$1367=0,"none",_netcalc!$Z$1367)))</f>
        <v>—</v>
      </c>
      <c r="H29" s="172" t="str">
        <f>IF(OR($A29="",nd_BU="All"),"",IF(_netcalc!$D$1367=0,"—",_netcalc!$E$1418))</f>
        <v>—</v>
      </c>
      <c r="I29" s="173" t="str">
        <f>IF(OR($A29="",nd_BU="All"),"",IF(_netcalc!$D$1367=0,"—",_netcalc!$F$1418))</f>
        <v>—</v>
      </c>
      <c r="J29" s="172" t="str">
        <f>IF(OR($A29="",nd_BU="All"),"",IF(_netcalc!$D$1367=0,"—",_netcalc!$G$1418))</f>
        <v>—</v>
      </c>
      <c r="K29" s="108" t="str">
        <f>IF(OR($A29="",nd_BU="All"),"",IF(_netcalc!$D$1367=0,"—",_netcalc!$I$1418))</f>
        <v>—</v>
      </c>
      <c r="L29" s="159" t="str">
        <f>IF(OR($A29="",nd_BU="All"),"",IF(_netcalc!$D$1367=0,"—",_netcalc!$J$1418))</f>
        <v>—</v>
      </c>
      <c r="M29" s="106" t="str">
        <f>IF(OR($A29="",nd_BU="All"),"",IF(_netcalc!$D$1367=0,"—",_netcalc!$H$1418))</f>
        <v>—</v>
      </c>
      <c r="N29" s="174" t="str">
        <f>IF(OR($A29="",nd_BU="All"),"",IF(_netcalc!$D$1367=0,"—",IF(ISNUMBER(_netcalc!$H$1418),(_netcalc!$H$1418-_netcalc!$J$1367)*100,"n/a")))</f>
        <v>—</v>
      </c>
      <c r="O29" s="118" t="str">
        <f>IF(OR($A29="",nd_BU="All"),"",IF(_netcalc!$D$1367=0,"—",_netcalc!$L$1418))</f>
        <v>—</v>
      </c>
      <c r="P29" s="109" t="str">
        <f>IF(OR($A29="",nd_BU="All"),"",IF(_netcalc!$D$1367=0,"—",_netcalc!$M$1418))</f>
        <v>—</v>
      </c>
    </row>
    <row r="30" spans="1:16" x14ac:dyDescent="0.3">
      <c r="A30" s="122" t="str">
        <f>_lists!$B$24</f>
        <v/>
      </c>
      <c r="B30" s="161" t="str">
        <f t="shared" si="0"/>
        <v/>
      </c>
      <c r="C30" s="127" t="str">
        <f>IF($A30="","",IF(nd_BU="All",IF(SUMIFS(calc_netmode,calc_state,$A30)=0,"—",SUMIFS(calc_netx,calc_state,$A30)/SUMIFS(calc_netmode,calc_state,$A30)),IF(_netcalc!$D$1423=0,"—",_netcalc!$E$1423)))</f>
        <v/>
      </c>
      <c r="D30" s="171"/>
      <c r="E30" s="59"/>
      <c r="F30" s="129" t="str">
        <f>IF(OR($A30="",nd_BU="All"),"",IF(_netcalc!$D$1423=0,"—",IF(_netcalc!$W$1423=0,"none",_netcalc!$X$1423)))</f>
        <v/>
      </c>
      <c r="G30" s="127" t="str">
        <f>IF(OR($A30="",nd_BU="All"),"",IF(_netcalc!$D$1423=0,"—",IF(_netcalc!$W$1423=0,"none",_netcalc!$Z$1423)))</f>
        <v/>
      </c>
      <c r="H30" s="175" t="str">
        <f>IF(OR($A30="",nd_BU="All"),"",IF(_netcalc!$D$1423=0,"—",_netcalc!$E$1474))</f>
        <v/>
      </c>
      <c r="I30" s="176" t="str">
        <f>IF(OR($A30="",nd_BU="All"),"",IF(_netcalc!$D$1423=0,"—",_netcalc!$F$1474))</f>
        <v/>
      </c>
      <c r="J30" s="175" t="str">
        <f>IF(OR($A30="",nd_BU="All"),"",IF(_netcalc!$D$1423=0,"—",_netcalc!$G$1474))</f>
        <v/>
      </c>
      <c r="K30" s="127" t="str">
        <f>IF(OR($A30="",nd_BU="All"),"",IF(_netcalc!$D$1423=0,"—",_netcalc!$I$1474))</f>
        <v/>
      </c>
      <c r="L30" s="162" t="str">
        <f>IF(OR($A30="",nd_BU="All"),"",IF(_netcalc!$D$1423=0,"—",_netcalc!$J$1474))</f>
        <v/>
      </c>
      <c r="M30" s="125" t="str">
        <f>IF(OR($A30="",nd_BU="All"),"",IF(_netcalc!$D$1423=0,"—",_netcalc!$H$1474))</f>
        <v/>
      </c>
      <c r="N30" s="177" t="str">
        <f>IF(OR($A30="",nd_BU="All"),"",IF(_netcalc!$D$1423=0,"—",IF(ISNUMBER(_netcalc!$H$1474),(_netcalc!$H$1474-_netcalc!$J$1423)*100,"n/a")))</f>
        <v/>
      </c>
      <c r="O30" s="137" t="str">
        <f>IF(OR($A30="",nd_BU="All"),"",IF(_netcalc!$D$1423=0,"—",_netcalc!$L$1474))</f>
        <v/>
      </c>
      <c r="P30" s="128" t="str">
        <f>IF(OR($A30="",nd_BU="All"),"",IF(_netcalc!$D$1423=0,"—",_netcalc!$M$1474))</f>
        <v/>
      </c>
    </row>
    <row r="31" spans="1:16" x14ac:dyDescent="0.3">
      <c r="A31" s="103" t="str">
        <f>_lists!$B$25</f>
        <v/>
      </c>
      <c r="B31" s="158" t="str">
        <f t="shared" si="0"/>
        <v/>
      </c>
      <c r="C31" s="108" t="str">
        <f>IF($A31="","",IF(nd_BU="All",IF(SUMIFS(calc_netmode,calc_state,$A31)=0,"—",SUMIFS(calc_netx,calc_state,$A31)/SUMIFS(calc_netmode,calc_state,$A31)),IF(_netcalc!$D$1479=0,"—",_netcalc!$E$1479)))</f>
        <v/>
      </c>
      <c r="D31" s="171"/>
      <c r="E31" s="59"/>
      <c r="F31" s="110" t="str">
        <f>IF(OR($A31="",nd_BU="All"),"",IF(_netcalc!$D$1479=0,"—",IF(_netcalc!$W$1479=0,"none",_netcalc!$X$1479)))</f>
        <v/>
      </c>
      <c r="G31" s="108" t="str">
        <f>IF(OR($A31="",nd_BU="All"),"",IF(_netcalc!$D$1479=0,"—",IF(_netcalc!$W$1479=0,"none",_netcalc!$Z$1479)))</f>
        <v/>
      </c>
      <c r="H31" s="172" t="str">
        <f>IF(OR($A31="",nd_BU="All"),"",IF(_netcalc!$D$1479=0,"—",_netcalc!$E$1530))</f>
        <v/>
      </c>
      <c r="I31" s="173" t="str">
        <f>IF(OR($A31="",nd_BU="All"),"",IF(_netcalc!$D$1479=0,"—",_netcalc!$F$1530))</f>
        <v/>
      </c>
      <c r="J31" s="172" t="str">
        <f>IF(OR($A31="",nd_BU="All"),"",IF(_netcalc!$D$1479=0,"—",_netcalc!$G$1530))</f>
        <v/>
      </c>
      <c r="K31" s="108" t="str">
        <f>IF(OR($A31="",nd_BU="All"),"",IF(_netcalc!$D$1479=0,"—",_netcalc!$I$1530))</f>
        <v/>
      </c>
      <c r="L31" s="159" t="str">
        <f>IF(OR($A31="",nd_BU="All"),"",IF(_netcalc!$D$1479=0,"—",_netcalc!$J$1530))</f>
        <v/>
      </c>
      <c r="M31" s="106" t="str">
        <f>IF(OR($A31="",nd_BU="All"),"",IF(_netcalc!$D$1479=0,"—",_netcalc!$H$1530))</f>
        <v/>
      </c>
      <c r="N31" s="174" t="str">
        <f>IF(OR($A31="",nd_BU="All"),"",IF(_netcalc!$D$1479=0,"—",IF(ISNUMBER(_netcalc!$H$1530),(_netcalc!$H$1530-_netcalc!$J$1479)*100,"n/a")))</f>
        <v/>
      </c>
      <c r="O31" s="118" t="str">
        <f>IF(OR($A31="",nd_BU="All"),"",IF(_netcalc!$D$1479=0,"—",_netcalc!$L$1530))</f>
        <v/>
      </c>
      <c r="P31" s="109" t="str">
        <f>IF(OR($A31="",nd_BU="All"),"",IF(_netcalc!$D$1479=0,"—",_netcalc!$M$1530))</f>
        <v/>
      </c>
    </row>
    <row r="32" spans="1:16" x14ac:dyDescent="0.3">
      <c r="A32" s="122" t="str">
        <f>_lists!$B$26</f>
        <v/>
      </c>
      <c r="B32" s="161" t="str">
        <f t="shared" si="0"/>
        <v/>
      </c>
      <c r="C32" s="127" t="str">
        <f>IF($A32="","",IF(nd_BU="All",IF(SUMIFS(calc_netmode,calc_state,$A32)=0,"—",SUMIFS(calc_netx,calc_state,$A32)/SUMIFS(calc_netmode,calc_state,$A32)),IF(_netcalc!$D$1535=0,"—",_netcalc!$E$1535)))</f>
        <v/>
      </c>
      <c r="D32" s="171"/>
      <c r="E32" s="59"/>
      <c r="F32" s="129" t="str">
        <f>IF(OR($A32="",nd_BU="All"),"",IF(_netcalc!$D$1535=0,"—",IF(_netcalc!$W$1535=0,"none",_netcalc!$X$1535)))</f>
        <v/>
      </c>
      <c r="G32" s="127" t="str">
        <f>IF(OR($A32="",nd_BU="All"),"",IF(_netcalc!$D$1535=0,"—",IF(_netcalc!$W$1535=0,"none",_netcalc!$Z$1535)))</f>
        <v/>
      </c>
      <c r="H32" s="175" t="str">
        <f>IF(OR($A32="",nd_BU="All"),"",IF(_netcalc!$D$1535=0,"—",_netcalc!$E$1586))</f>
        <v/>
      </c>
      <c r="I32" s="176" t="str">
        <f>IF(OR($A32="",nd_BU="All"),"",IF(_netcalc!$D$1535=0,"—",_netcalc!$F$1586))</f>
        <v/>
      </c>
      <c r="J32" s="175" t="str">
        <f>IF(OR($A32="",nd_BU="All"),"",IF(_netcalc!$D$1535=0,"—",_netcalc!$G$1586))</f>
        <v/>
      </c>
      <c r="K32" s="127" t="str">
        <f>IF(OR($A32="",nd_BU="All"),"",IF(_netcalc!$D$1535=0,"—",_netcalc!$I$1586))</f>
        <v/>
      </c>
      <c r="L32" s="162" t="str">
        <f>IF(OR($A32="",nd_BU="All"),"",IF(_netcalc!$D$1535=0,"—",_netcalc!$J$1586))</f>
        <v/>
      </c>
      <c r="M32" s="125" t="str">
        <f>IF(OR($A32="",nd_BU="All"),"",IF(_netcalc!$D$1535=0,"—",_netcalc!$H$1586))</f>
        <v/>
      </c>
      <c r="N32" s="177" t="str">
        <f>IF(OR($A32="",nd_BU="All"),"",IF(_netcalc!$D$1535=0,"—",IF(ISNUMBER(_netcalc!$H$1586),(_netcalc!$H$1586-_netcalc!$J$1535)*100,"n/a")))</f>
        <v/>
      </c>
      <c r="O32" s="137" t="str">
        <f>IF(OR($A32="",nd_BU="All"),"",IF(_netcalc!$D$1535=0,"—",_netcalc!$L$1586))</f>
        <v/>
      </c>
      <c r="P32" s="128" t="str">
        <f>IF(OR($A32="",nd_BU="All"),"",IF(_netcalc!$D$1535=0,"—",_netcalc!$M$1586))</f>
        <v/>
      </c>
    </row>
    <row r="34" spans="1:13" x14ac:dyDescent="0.3">
      <c r="A34" s="163" t="s">
        <v>354</v>
      </c>
      <c r="B34" s="164">
        <f>IF(nd_BU="All",SUM(calc_ep),SUMIFS(calc_ep,calc_bu,nd_BU))</f>
        <v>271200</v>
      </c>
      <c r="C34" s="20" t="str">
        <f>IF(nd_BU="All",SUMPRODUCT(calc_netmode),SUMPRODUCT(calc_netmode*(calc_bu=nd_BU)))&amp;" net combo(s)"</f>
        <v>1 net combo(s)</v>
      </c>
    </row>
    <row r="36" spans="1:13" x14ac:dyDescent="0.3">
      <c r="A36" s="51" t="s">
        <v>355</v>
      </c>
    </row>
    <row r="37" spans="1:13" x14ac:dyDescent="0.3">
      <c r="A37" s="51" t="s">
        <v>356</v>
      </c>
    </row>
    <row r="38" spans="1:13" ht="15.6" x14ac:dyDescent="0.3">
      <c r="A38" s="3" t="s">
        <v>357</v>
      </c>
    </row>
    <row r="39" spans="1:13" x14ac:dyDescent="0.3">
      <c r="A39" s="51" t="s">
        <v>358</v>
      </c>
    </row>
    <row r="40" spans="1:13" x14ac:dyDescent="0.3">
      <c r="A40" s="41" t="s">
        <v>104</v>
      </c>
      <c r="B40" s="165" t="str">
        <f>TEXT(DATE(nr_PlanYear,1,1),"mmm")&amp;" "&amp;nr_PlanYear</f>
        <v>Jan 2027</v>
      </c>
      <c r="C40" s="165" t="str">
        <f>TEXT(DATE(nr_PlanYear,2,1),"mmm")&amp;" "&amp;nr_PlanYear</f>
        <v>Feb 2027</v>
      </c>
      <c r="D40" s="165" t="str">
        <f>TEXT(DATE(nr_PlanYear,3,1),"mmm")&amp;" "&amp;nr_PlanYear</f>
        <v>Mar 2027</v>
      </c>
      <c r="E40" s="165" t="str">
        <f>TEXT(DATE(nr_PlanYear,4,1),"mmm")&amp;" "&amp;nr_PlanYear</f>
        <v>Apr 2027</v>
      </c>
      <c r="F40" s="165" t="str">
        <f>TEXT(DATE(nr_PlanYear,5,1),"mmm")&amp;" "&amp;nr_PlanYear</f>
        <v>May 2027</v>
      </c>
      <c r="G40" s="165" t="str">
        <f>TEXT(DATE(nr_PlanYear,6,1),"mmm")&amp;" "&amp;nr_PlanYear</f>
        <v>Jun 2027</v>
      </c>
      <c r="H40" s="165" t="str">
        <f>TEXT(DATE(nr_PlanYear,7,1),"mmm")&amp;" "&amp;nr_PlanYear</f>
        <v>Jul 2027</v>
      </c>
      <c r="I40" s="165" t="str">
        <f>TEXT(DATE(nr_PlanYear,8,1),"mmm")&amp;" "&amp;nr_PlanYear</f>
        <v>Aug 2027</v>
      </c>
      <c r="J40" s="165" t="str">
        <f>TEXT(DATE(nr_PlanYear,9,1),"mmm")&amp;" "&amp;nr_PlanYear</f>
        <v>Sep 2027</v>
      </c>
      <c r="K40" s="165" t="str">
        <f>TEXT(DATE(nr_PlanYear,10,1),"mmm")&amp;" "&amp;nr_PlanYear</f>
        <v>Oct 2027</v>
      </c>
      <c r="L40" s="165" t="str">
        <f>TEXT(DATE(nr_PlanYear,11,1),"mmm")&amp;" "&amp;nr_PlanYear</f>
        <v>Nov 2027</v>
      </c>
      <c r="M40" s="165" t="str">
        <f>TEXT(DATE(nr_PlanYear,12,1),"mmm")&amp;" "&amp;nr_PlanYear</f>
        <v>Dec 2027</v>
      </c>
    </row>
    <row r="41" spans="1:13" x14ac:dyDescent="0.3">
      <c r="A41" s="166" t="str">
        <f>_lists!$B$3</f>
        <v>AZ</v>
      </c>
      <c r="B41" s="167" t="str">
        <f>IF(nd_BU="All","",_netcalc!$AG$274)</f>
        <v/>
      </c>
      <c r="C41" s="167" t="str">
        <f>IF(nd_BU="All","",_netcalc!$AG$275)</f>
        <v/>
      </c>
      <c r="D41" s="167" t="str">
        <f>IF(nd_BU="All","",_netcalc!$AG$276)</f>
        <v/>
      </c>
      <c r="E41" s="167" t="str">
        <f>IF(nd_BU="All","",_netcalc!$AG$277)</f>
        <v/>
      </c>
      <c r="F41" s="167" t="str">
        <f>IF(nd_BU="All","",_netcalc!$AG$278)</f>
        <v/>
      </c>
      <c r="G41" s="167" t="str">
        <f>IF(nd_BU="All","",_netcalc!$AG$279)</f>
        <v/>
      </c>
      <c r="H41" s="167" t="str">
        <f>IF(nd_BU="All","",_netcalc!$AG$280)</f>
        <v/>
      </c>
      <c r="I41" s="167" t="str">
        <f>IF(nd_BU="All","",_netcalc!$AG$281)</f>
        <v/>
      </c>
      <c r="J41" s="167" t="str">
        <f>IF(nd_BU="All","",_netcalc!$AG$282)</f>
        <v/>
      </c>
      <c r="K41" s="167" t="str">
        <f>IF(nd_BU="All","",_netcalc!$AG$283)</f>
        <v/>
      </c>
      <c r="L41" s="167" t="str">
        <f>IF(nd_BU="All","",_netcalc!$AG$284)</f>
        <v/>
      </c>
      <c r="M41" s="167" t="str">
        <f>IF(nd_BU="All","",_netcalc!$AG$285)</f>
        <v/>
      </c>
    </row>
    <row r="42" spans="1:13" x14ac:dyDescent="0.3">
      <c r="A42" s="166" t="str">
        <f>_lists!$B$4</f>
        <v>CO</v>
      </c>
      <c r="B42" s="167" t="str">
        <f>IF(nd_BU="All","",_netcalc!$AG$330)</f>
        <v/>
      </c>
      <c r="C42" s="167" t="str">
        <f>IF(nd_BU="All","",_netcalc!$AG$331)</f>
        <v/>
      </c>
      <c r="D42" s="167" t="str">
        <f>IF(nd_BU="All","",_netcalc!$AG$332)</f>
        <v/>
      </c>
      <c r="E42" s="167" t="str">
        <f>IF(nd_BU="All","",_netcalc!$AG$333)</f>
        <v/>
      </c>
      <c r="F42" s="167" t="str">
        <f>IF(nd_BU="All","",_netcalc!$AG$334)</f>
        <v/>
      </c>
      <c r="G42" s="167" t="str">
        <f>IF(nd_BU="All","",_netcalc!$AG$335)</f>
        <v/>
      </c>
      <c r="H42" s="167" t="str">
        <f>IF(nd_BU="All","",_netcalc!$AG$336)</f>
        <v/>
      </c>
      <c r="I42" s="167" t="str">
        <f>IF(nd_BU="All","",_netcalc!$AG$337)</f>
        <v/>
      </c>
      <c r="J42" s="167" t="str">
        <f>IF(nd_BU="All","",_netcalc!$AG$338)</f>
        <v/>
      </c>
      <c r="K42" s="167" t="str">
        <f>IF(nd_BU="All","",_netcalc!$AG$339)</f>
        <v/>
      </c>
      <c r="L42" s="167" t="str">
        <f>IF(nd_BU="All","",_netcalc!$AG$340)</f>
        <v/>
      </c>
      <c r="M42" s="167" t="str">
        <f>IF(nd_BU="All","",_netcalc!$AG$341)</f>
        <v/>
      </c>
    </row>
    <row r="43" spans="1:13" x14ac:dyDescent="0.3">
      <c r="A43" s="166" t="str">
        <f>_lists!$B$5</f>
        <v>DE</v>
      </c>
      <c r="B43" s="167" t="str">
        <f>IF(nd_BU="All","",_netcalc!$AG$386)</f>
        <v/>
      </c>
      <c r="C43" s="167" t="str">
        <f>IF(nd_BU="All","",_netcalc!$AG$387)</f>
        <v/>
      </c>
      <c r="D43" s="167" t="str">
        <f>IF(nd_BU="All","",_netcalc!$AG$388)</f>
        <v/>
      </c>
      <c r="E43" s="167" t="str">
        <f>IF(nd_BU="All","",_netcalc!$AG$389)</f>
        <v/>
      </c>
      <c r="F43" s="167" t="str">
        <f>IF(nd_BU="All","",_netcalc!$AG$390)</f>
        <v/>
      </c>
      <c r="G43" s="167" t="str">
        <f>IF(nd_BU="All","",_netcalc!$AG$391)</f>
        <v/>
      </c>
      <c r="H43" s="167" t="str">
        <f>IF(nd_BU="All","",_netcalc!$AG$392)</f>
        <v/>
      </c>
      <c r="I43" s="167" t="str">
        <f>IF(nd_BU="All","",_netcalc!$AG$393)</f>
        <v/>
      </c>
      <c r="J43" s="167" t="str">
        <f>IF(nd_BU="All","",_netcalc!$AG$394)</f>
        <v/>
      </c>
      <c r="K43" s="167" t="str">
        <f>IF(nd_BU="All","",_netcalc!$AG$395)</f>
        <v/>
      </c>
      <c r="L43" s="167" t="str">
        <f>IF(nd_BU="All","",_netcalc!$AG$396)</f>
        <v/>
      </c>
      <c r="M43" s="167" t="str">
        <f>IF(nd_BU="All","",_netcalc!$AG$397)</f>
        <v/>
      </c>
    </row>
    <row r="44" spans="1:13" x14ac:dyDescent="0.3">
      <c r="A44" s="166" t="str">
        <f>_lists!$B$6</f>
        <v>FL</v>
      </c>
      <c r="B44" s="167" t="str">
        <f>IF(nd_BU="All","",_netcalc!$AG$442)</f>
        <v/>
      </c>
      <c r="C44" s="167" t="str">
        <f>IF(nd_BU="All","",_netcalc!$AG$443)</f>
        <v/>
      </c>
      <c r="D44" s="167" t="str">
        <f>IF(nd_BU="All","",_netcalc!$AG$444)</f>
        <v/>
      </c>
      <c r="E44" s="167" t="str">
        <f>IF(nd_BU="All","",_netcalc!$AG$445)</f>
        <v/>
      </c>
      <c r="F44" s="167" t="str">
        <f>IF(nd_BU="All","",_netcalc!$AG$446)</f>
        <v/>
      </c>
      <c r="G44" s="167" t="str">
        <f>IF(nd_BU="All","",_netcalc!$AG$447)</f>
        <v/>
      </c>
      <c r="H44" s="167" t="str">
        <f>IF(nd_BU="All","",_netcalc!$AG$448)</f>
        <v/>
      </c>
      <c r="I44" s="167" t="str">
        <f>IF(nd_BU="All","",_netcalc!$AG$449)</f>
        <v/>
      </c>
      <c r="J44" s="167" t="str">
        <f>IF(nd_BU="All","",_netcalc!$AG$450)</f>
        <v/>
      </c>
      <c r="K44" s="167" t="str">
        <f>IF(nd_BU="All","",_netcalc!$AG$451)</f>
        <v/>
      </c>
      <c r="L44" s="167" t="str">
        <f>IF(nd_BU="All","",_netcalc!$AG$452)</f>
        <v/>
      </c>
      <c r="M44" s="167" t="str">
        <f>IF(nd_BU="All","",_netcalc!$AG$453)</f>
        <v/>
      </c>
    </row>
    <row r="45" spans="1:13" x14ac:dyDescent="0.3">
      <c r="A45" s="166" t="str">
        <f>_lists!$B$7</f>
        <v>GA</v>
      </c>
      <c r="B45" s="167" t="str">
        <f>IF(nd_BU="All","",_netcalc!$AG$498)</f>
        <v/>
      </c>
      <c r="C45" s="167" t="str">
        <f>IF(nd_BU="All","",_netcalc!$AG$499)</f>
        <v/>
      </c>
      <c r="D45" s="167" t="str">
        <f>IF(nd_BU="All","",_netcalc!$AG$500)</f>
        <v/>
      </c>
      <c r="E45" s="167" t="str">
        <f>IF(nd_BU="All","",_netcalc!$AG$501)</f>
        <v/>
      </c>
      <c r="F45" s="167" t="str">
        <f>IF(nd_BU="All","",_netcalc!$AG$502)</f>
        <v/>
      </c>
      <c r="G45" s="167" t="str">
        <f>IF(nd_BU="All","",_netcalc!$AG$503)</f>
        <v/>
      </c>
      <c r="H45" s="167" t="str">
        <f>IF(nd_BU="All","",_netcalc!$AG$504)</f>
        <v/>
      </c>
      <c r="I45" s="167" t="str">
        <f>IF(nd_BU="All","",_netcalc!$AG$505)</f>
        <v/>
      </c>
      <c r="J45" s="167" t="str">
        <f>IF(nd_BU="All","",_netcalc!$AG$506)</f>
        <v/>
      </c>
      <c r="K45" s="167" t="str">
        <f>IF(nd_BU="All","",_netcalc!$AG$507)</f>
        <v/>
      </c>
      <c r="L45" s="167" t="str">
        <f>IF(nd_BU="All","",_netcalc!$AG$508)</f>
        <v/>
      </c>
      <c r="M45" s="167" t="str">
        <f>IF(nd_BU="All","",_netcalc!$AG$509)</f>
        <v/>
      </c>
    </row>
    <row r="46" spans="1:13" x14ac:dyDescent="0.3">
      <c r="A46" s="166" t="str">
        <f>_lists!$B$8</f>
        <v>IA</v>
      </c>
      <c r="B46" s="167" t="str">
        <f>IF(nd_BU="All","",_netcalc!$AG$554)</f>
        <v/>
      </c>
      <c r="C46" s="167" t="str">
        <f>IF(nd_BU="All","",_netcalc!$AG$555)</f>
        <v/>
      </c>
      <c r="D46" s="167" t="str">
        <f>IF(nd_BU="All","",_netcalc!$AG$556)</f>
        <v/>
      </c>
      <c r="E46" s="167" t="str">
        <f>IF(nd_BU="All","",_netcalc!$AG$557)</f>
        <v/>
      </c>
      <c r="F46" s="167" t="str">
        <f>IF(nd_BU="All","",_netcalc!$AG$558)</f>
        <v/>
      </c>
      <c r="G46" s="167" t="str">
        <f>IF(nd_BU="All","",_netcalc!$AG$559)</f>
        <v/>
      </c>
      <c r="H46" s="167" t="str">
        <f>IF(nd_BU="All","",_netcalc!$AG$560)</f>
        <v/>
      </c>
      <c r="I46" s="167" t="str">
        <f>IF(nd_BU="All","",_netcalc!$AG$561)</f>
        <v/>
      </c>
      <c r="J46" s="167" t="str">
        <f>IF(nd_BU="All","",_netcalc!$AG$562)</f>
        <v/>
      </c>
      <c r="K46" s="167" t="str">
        <f>IF(nd_BU="All","",_netcalc!$AG$563)</f>
        <v/>
      </c>
      <c r="L46" s="167" t="str">
        <f>IF(nd_BU="All","",_netcalc!$AG$564)</f>
        <v/>
      </c>
      <c r="M46" s="167" t="str">
        <f>IF(nd_BU="All","",_netcalc!$AG$565)</f>
        <v/>
      </c>
    </row>
    <row r="47" spans="1:13" x14ac:dyDescent="0.3">
      <c r="A47" s="166" t="str">
        <f>_lists!$B$9</f>
        <v>IL</v>
      </c>
      <c r="B47" s="167" t="str">
        <f>IF(nd_BU="All","",_netcalc!$AG$610)</f>
        <v/>
      </c>
      <c r="C47" s="167" t="str">
        <f>IF(nd_BU="All","",_netcalc!$AG$611)</f>
        <v/>
      </c>
      <c r="D47" s="167" t="str">
        <f>IF(nd_BU="All","",_netcalc!$AG$612)</f>
        <v/>
      </c>
      <c r="E47" s="167" t="str">
        <f>IF(nd_BU="All","",_netcalc!$AG$613)</f>
        <v/>
      </c>
      <c r="F47" s="167" t="str">
        <f>IF(nd_BU="All","",_netcalc!$AG$614)</f>
        <v/>
      </c>
      <c r="G47" s="167" t="str">
        <f>IF(nd_BU="All","",_netcalc!$AG$615)</f>
        <v/>
      </c>
      <c r="H47" s="167" t="str">
        <f>IF(nd_BU="All","",_netcalc!$AG$616)</f>
        <v/>
      </c>
      <c r="I47" s="167" t="str">
        <f>IF(nd_BU="All","",_netcalc!$AG$617)</f>
        <v/>
      </c>
      <c r="J47" s="167" t="str">
        <f>IF(nd_BU="All","",_netcalc!$AG$618)</f>
        <v/>
      </c>
      <c r="K47" s="167" t="str">
        <f>IF(nd_BU="All","",_netcalc!$AG$619)</f>
        <v/>
      </c>
      <c r="L47" s="167" t="str">
        <f>IF(nd_BU="All","",_netcalc!$AG$620)</f>
        <v/>
      </c>
      <c r="M47" s="167" t="str">
        <f>IF(nd_BU="All","",_netcalc!$AG$621)</f>
        <v/>
      </c>
    </row>
    <row r="48" spans="1:13" x14ac:dyDescent="0.3">
      <c r="A48" s="166" t="str">
        <f>_lists!$B$10</f>
        <v>IN</v>
      </c>
      <c r="B48" s="167" t="str">
        <f>IF(nd_BU="All","",_netcalc!$AG$666)</f>
        <v/>
      </c>
      <c r="C48" s="167" t="str">
        <f>IF(nd_BU="All","",_netcalc!$AG$667)</f>
        <v/>
      </c>
      <c r="D48" s="167" t="str">
        <f>IF(nd_BU="All","",_netcalc!$AG$668)</f>
        <v/>
      </c>
      <c r="E48" s="167" t="str">
        <f>IF(nd_BU="All","",_netcalc!$AG$669)</f>
        <v/>
      </c>
      <c r="F48" s="167" t="str">
        <f>IF(nd_BU="All","",_netcalc!$AG$670)</f>
        <v/>
      </c>
      <c r="G48" s="167" t="str">
        <f>IF(nd_BU="All","",_netcalc!$AG$671)</f>
        <v/>
      </c>
      <c r="H48" s="167" t="str">
        <f>IF(nd_BU="All","",_netcalc!$AG$672)</f>
        <v/>
      </c>
      <c r="I48" s="167" t="str">
        <f>IF(nd_BU="All","",_netcalc!$AG$673)</f>
        <v/>
      </c>
      <c r="J48" s="167" t="str">
        <f>IF(nd_BU="All","",_netcalc!$AG$674)</f>
        <v/>
      </c>
      <c r="K48" s="167" t="str">
        <f>IF(nd_BU="All","",_netcalc!$AG$675)</f>
        <v/>
      </c>
      <c r="L48" s="167" t="str">
        <f>IF(nd_BU="All","",_netcalc!$AG$676)</f>
        <v/>
      </c>
      <c r="M48" s="167" t="str">
        <f>IF(nd_BU="All","",_netcalc!$AG$677)</f>
        <v/>
      </c>
    </row>
    <row r="49" spans="1:13" x14ac:dyDescent="0.3">
      <c r="A49" s="166" t="str">
        <f>_lists!$B$11</f>
        <v>KY</v>
      </c>
      <c r="B49" s="167">
        <f>IF(nd_BU="All","",_netcalc!$AG$722)</f>
        <v>0.10000000000000009</v>
      </c>
      <c r="C49" s="167">
        <f>IF(nd_BU="All","",_netcalc!$AG$723)</f>
        <v>0.10000000000000009</v>
      </c>
      <c r="D49" s="167">
        <f>IF(nd_BU="All","",_netcalc!$AG$724)</f>
        <v>0.10000000000000009</v>
      </c>
      <c r="E49" s="167">
        <f>IF(nd_BU="All","",_netcalc!$AG$725)</f>
        <v>0.14400000000000013</v>
      </c>
      <c r="F49" s="167">
        <f>IF(nd_BU="All","",_netcalc!$AG$726)</f>
        <v>0.14400000000000013</v>
      </c>
      <c r="G49" s="167">
        <f>IF(nd_BU="All","",_netcalc!$AG$727)</f>
        <v>0.14400000000000013</v>
      </c>
      <c r="H49" s="167">
        <f>IF(nd_BU="All","",_netcalc!$AG$728)</f>
        <v>0.14400000000000013</v>
      </c>
      <c r="I49" s="167">
        <f>IF(nd_BU="All","",_netcalc!$AG$729)</f>
        <v>0.14400000000000013</v>
      </c>
      <c r="J49" s="167">
        <f>IF(nd_BU="All","",_netcalc!$AG$730)</f>
        <v>0.14400000000000013</v>
      </c>
      <c r="K49" s="167">
        <f>IF(nd_BU="All","",_netcalc!$AG$731)</f>
        <v>4.0000000000000036E-2</v>
      </c>
      <c r="L49" s="167">
        <f>IF(nd_BU="All","",_netcalc!$AG$732)</f>
        <v>4.0000000000000036E-2</v>
      </c>
      <c r="M49" s="167">
        <f>IF(nd_BU="All","",_netcalc!$AG$733)</f>
        <v>4.0000000000000036E-2</v>
      </c>
    </row>
    <row r="50" spans="1:13" x14ac:dyDescent="0.3">
      <c r="A50" s="166" t="str">
        <f>_lists!$B$12</f>
        <v>MD</v>
      </c>
      <c r="B50" s="167" t="str">
        <f>IF(nd_BU="All","",_netcalc!$AG$778)</f>
        <v/>
      </c>
      <c r="C50" s="167" t="str">
        <f>IF(nd_BU="All","",_netcalc!$AG$779)</f>
        <v/>
      </c>
      <c r="D50" s="167" t="str">
        <f>IF(nd_BU="All","",_netcalc!$AG$780)</f>
        <v/>
      </c>
      <c r="E50" s="167" t="str">
        <f>IF(nd_BU="All","",_netcalc!$AG$781)</f>
        <v/>
      </c>
      <c r="F50" s="167" t="str">
        <f>IF(nd_BU="All","",_netcalc!$AG$782)</f>
        <v/>
      </c>
      <c r="G50" s="167" t="str">
        <f>IF(nd_BU="All","",_netcalc!$AG$783)</f>
        <v/>
      </c>
      <c r="H50" s="167" t="str">
        <f>IF(nd_BU="All","",_netcalc!$AG$784)</f>
        <v/>
      </c>
      <c r="I50" s="167" t="str">
        <f>IF(nd_BU="All","",_netcalc!$AG$785)</f>
        <v/>
      </c>
      <c r="J50" s="167" t="str">
        <f>IF(nd_BU="All","",_netcalc!$AG$786)</f>
        <v/>
      </c>
      <c r="K50" s="167" t="str">
        <f>IF(nd_BU="All","",_netcalc!$AG$787)</f>
        <v/>
      </c>
      <c r="L50" s="167" t="str">
        <f>IF(nd_BU="All","",_netcalc!$AG$788)</f>
        <v/>
      </c>
      <c r="M50" s="167" t="str">
        <f>IF(nd_BU="All","",_netcalc!$AG$789)</f>
        <v/>
      </c>
    </row>
    <row r="51" spans="1:13" x14ac:dyDescent="0.3">
      <c r="A51" s="166" t="str">
        <f>_lists!$B$13</f>
        <v>MI</v>
      </c>
      <c r="B51" s="167" t="str">
        <f>IF(nd_BU="All","",_netcalc!$AG$834)</f>
        <v/>
      </c>
      <c r="C51" s="167" t="str">
        <f>IF(nd_BU="All","",_netcalc!$AG$835)</f>
        <v/>
      </c>
      <c r="D51" s="167" t="str">
        <f>IF(nd_BU="All","",_netcalc!$AG$836)</f>
        <v/>
      </c>
      <c r="E51" s="167" t="str">
        <f>IF(nd_BU="All","",_netcalc!$AG$837)</f>
        <v/>
      </c>
      <c r="F51" s="167" t="str">
        <f>IF(nd_BU="All","",_netcalc!$AG$838)</f>
        <v/>
      </c>
      <c r="G51" s="167" t="str">
        <f>IF(nd_BU="All","",_netcalc!$AG$839)</f>
        <v/>
      </c>
      <c r="H51" s="167" t="str">
        <f>IF(nd_BU="All","",_netcalc!$AG$840)</f>
        <v/>
      </c>
      <c r="I51" s="167" t="str">
        <f>IF(nd_BU="All","",_netcalc!$AG$841)</f>
        <v/>
      </c>
      <c r="J51" s="167" t="str">
        <f>IF(nd_BU="All","",_netcalc!$AG$842)</f>
        <v/>
      </c>
      <c r="K51" s="167" t="str">
        <f>IF(nd_BU="All","",_netcalc!$AG$843)</f>
        <v/>
      </c>
      <c r="L51" s="167" t="str">
        <f>IF(nd_BU="All","",_netcalc!$AG$844)</f>
        <v/>
      </c>
      <c r="M51" s="167" t="str">
        <f>IF(nd_BU="All","",_netcalc!$AG$845)</f>
        <v/>
      </c>
    </row>
    <row r="52" spans="1:13" x14ac:dyDescent="0.3">
      <c r="A52" s="166" t="str">
        <f>_lists!$B$14</f>
        <v>MN</v>
      </c>
      <c r="B52" s="167" t="str">
        <f>IF(nd_BU="All","",_netcalc!$AG$890)</f>
        <v/>
      </c>
      <c r="C52" s="167" t="str">
        <f>IF(nd_BU="All","",_netcalc!$AG$891)</f>
        <v/>
      </c>
      <c r="D52" s="167" t="str">
        <f>IF(nd_BU="All","",_netcalc!$AG$892)</f>
        <v/>
      </c>
      <c r="E52" s="167" t="str">
        <f>IF(nd_BU="All","",_netcalc!$AG$893)</f>
        <v/>
      </c>
      <c r="F52" s="167" t="str">
        <f>IF(nd_BU="All","",_netcalc!$AG$894)</f>
        <v/>
      </c>
      <c r="G52" s="167" t="str">
        <f>IF(nd_BU="All","",_netcalc!$AG$895)</f>
        <v/>
      </c>
      <c r="H52" s="167" t="str">
        <f>IF(nd_BU="All","",_netcalc!$AG$896)</f>
        <v/>
      </c>
      <c r="I52" s="167" t="str">
        <f>IF(nd_BU="All","",_netcalc!$AG$897)</f>
        <v/>
      </c>
      <c r="J52" s="167" t="str">
        <f>IF(nd_BU="All","",_netcalc!$AG$898)</f>
        <v/>
      </c>
      <c r="K52" s="167" t="str">
        <f>IF(nd_BU="All","",_netcalc!$AG$899)</f>
        <v/>
      </c>
      <c r="L52" s="167" t="str">
        <f>IF(nd_BU="All","",_netcalc!$AG$900)</f>
        <v/>
      </c>
      <c r="M52" s="167" t="str">
        <f>IF(nd_BU="All","",_netcalc!$AG$901)</f>
        <v/>
      </c>
    </row>
    <row r="53" spans="1:13" x14ac:dyDescent="0.3">
      <c r="A53" s="166" t="str">
        <f>_lists!$B$15</f>
        <v>NM</v>
      </c>
      <c r="B53" s="167" t="str">
        <f>IF(nd_BU="All","",_netcalc!$AG$946)</f>
        <v/>
      </c>
      <c r="C53" s="167" t="str">
        <f>IF(nd_BU="All","",_netcalc!$AG$947)</f>
        <v/>
      </c>
      <c r="D53" s="167" t="str">
        <f>IF(nd_BU="All","",_netcalc!$AG$948)</f>
        <v/>
      </c>
      <c r="E53" s="167" t="str">
        <f>IF(nd_BU="All","",_netcalc!$AG$949)</f>
        <v/>
      </c>
      <c r="F53" s="167" t="str">
        <f>IF(nd_BU="All","",_netcalc!$AG$950)</f>
        <v/>
      </c>
      <c r="G53" s="167" t="str">
        <f>IF(nd_BU="All","",_netcalc!$AG$951)</f>
        <v/>
      </c>
      <c r="H53" s="167" t="str">
        <f>IF(nd_BU="All","",_netcalc!$AG$952)</f>
        <v/>
      </c>
      <c r="I53" s="167" t="str">
        <f>IF(nd_BU="All","",_netcalc!$AG$953)</f>
        <v/>
      </c>
      <c r="J53" s="167" t="str">
        <f>IF(nd_BU="All","",_netcalc!$AG$954)</f>
        <v/>
      </c>
      <c r="K53" s="167" t="str">
        <f>IF(nd_BU="All","",_netcalc!$AG$955)</f>
        <v/>
      </c>
      <c r="L53" s="167" t="str">
        <f>IF(nd_BU="All","",_netcalc!$AG$956)</f>
        <v/>
      </c>
      <c r="M53" s="167" t="str">
        <f>IF(nd_BU="All","",_netcalc!$AG$957)</f>
        <v/>
      </c>
    </row>
    <row r="54" spans="1:13" x14ac:dyDescent="0.3">
      <c r="A54" s="166" t="str">
        <f>_lists!$B$16</f>
        <v>NC</v>
      </c>
      <c r="B54" s="167" t="str">
        <f>IF(nd_BU="All","",_netcalc!$AG$1002)</f>
        <v/>
      </c>
      <c r="C54" s="167" t="str">
        <f>IF(nd_BU="All","",_netcalc!$AG$1003)</f>
        <v/>
      </c>
      <c r="D54" s="167" t="str">
        <f>IF(nd_BU="All","",_netcalc!$AG$1004)</f>
        <v/>
      </c>
      <c r="E54" s="167" t="str">
        <f>IF(nd_BU="All","",_netcalc!$AG$1005)</f>
        <v/>
      </c>
      <c r="F54" s="167" t="str">
        <f>IF(nd_BU="All","",_netcalc!$AG$1006)</f>
        <v/>
      </c>
      <c r="G54" s="167" t="str">
        <f>IF(nd_BU="All","",_netcalc!$AG$1007)</f>
        <v/>
      </c>
      <c r="H54" s="167" t="str">
        <f>IF(nd_BU="All","",_netcalc!$AG$1008)</f>
        <v/>
      </c>
      <c r="I54" s="167" t="str">
        <f>IF(nd_BU="All","",_netcalc!$AG$1009)</f>
        <v/>
      </c>
      <c r="J54" s="167" t="str">
        <f>IF(nd_BU="All","",_netcalc!$AG$1010)</f>
        <v/>
      </c>
      <c r="K54" s="167" t="str">
        <f>IF(nd_BU="All","",_netcalc!$AG$1011)</f>
        <v/>
      </c>
      <c r="L54" s="167" t="str">
        <f>IF(nd_BU="All","",_netcalc!$AG$1012)</f>
        <v/>
      </c>
      <c r="M54" s="167" t="str">
        <f>IF(nd_BU="All","",_netcalc!$AG$1013)</f>
        <v/>
      </c>
    </row>
    <row r="55" spans="1:13" x14ac:dyDescent="0.3">
      <c r="A55" s="166" t="str">
        <f>_lists!$B$17</f>
        <v>OH</v>
      </c>
      <c r="B55" s="167" t="str">
        <f>IF(nd_BU="All","",_netcalc!$AG$1058)</f>
        <v/>
      </c>
      <c r="C55" s="167" t="str">
        <f>IF(nd_BU="All","",_netcalc!$AG$1059)</f>
        <v/>
      </c>
      <c r="D55" s="167" t="str">
        <f>IF(nd_BU="All","",_netcalc!$AG$1060)</f>
        <v/>
      </c>
      <c r="E55" s="167" t="str">
        <f>IF(nd_BU="All","",_netcalc!$AG$1061)</f>
        <v/>
      </c>
      <c r="F55" s="167" t="str">
        <f>IF(nd_BU="All","",_netcalc!$AG$1062)</f>
        <v/>
      </c>
      <c r="G55" s="167" t="str">
        <f>IF(nd_BU="All","",_netcalc!$AG$1063)</f>
        <v/>
      </c>
      <c r="H55" s="167" t="str">
        <f>IF(nd_BU="All","",_netcalc!$AG$1064)</f>
        <v/>
      </c>
      <c r="I55" s="167" t="str">
        <f>IF(nd_BU="All","",_netcalc!$AG$1065)</f>
        <v/>
      </c>
      <c r="J55" s="167" t="str">
        <f>IF(nd_BU="All","",_netcalc!$AG$1066)</f>
        <v/>
      </c>
      <c r="K55" s="167" t="str">
        <f>IF(nd_BU="All","",_netcalc!$AG$1067)</f>
        <v/>
      </c>
      <c r="L55" s="167" t="str">
        <f>IF(nd_BU="All","",_netcalc!$AG$1068)</f>
        <v/>
      </c>
      <c r="M55" s="167" t="str">
        <f>IF(nd_BU="All","",_netcalc!$AG$1069)</f>
        <v/>
      </c>
    </row>
    <row r="56" spans="1:13" x14ac:dyDescent="0.3">
      <c r="A56" s="166" t="str">
        <f>_lists!$B$18</f>
        <v>PA</v>
      </c>
      <c r="B56" s="167" t="str">
        <f>IF(nd_BU="All","",_netcalc!$AG$1114)</f>
        <v/>
      </c>
      <c r="C56" s="167" t="str">
        <f>IF(nd_BU="All","",_netcalc!$AG$1115)</f>
        <v/>
      </c>
      <c r="D56" s="167" t="str">
        <f>IF(nd_BU="All","",_netcalc!$AG$1116)</f>
        <v/>
      </c>
      <c r="E56" s="167" t="str">
        <f>IF(nd_BU="All","",_netcalc!$AG$1117)</f>
        <v/>
      </c>
      <c r="F56" s="167" t="str">
        <f>IF(nd_BU="All","",_netcalc!$AG$1118)</f>
        <v/>
      </c>
      <c r="G56" s="167" t="str">
        <f>IF(nd_BU="All","",_netcalc!$AG$1119)</f>
        <v/>
      </c>
      <c r="H56" s="167" t="str">
        <f>IF(nd_BU="All","",_netcalc!$AG$1120)</f>
        <v/>
      </c>
      <c r="I56" s="167" t="str">
        <f>IF(nd_BU="All","",_netcalc!$AG$1121)</f>
        <v/>
      </c>
      <c r="J56" s="167" t="str">
        <f>IF(nd_BU="All","",_netcalc!$AG$1122)</f>
        <v/>
      </c>
      <c r="K56" s="167" t="str">
        <f>IF(nd_BU="All","",_netcalc!$AG$1123)</f>
        <v/>
      </c>
      <c r="L56" s="167" t="str">
        <f>IF(nd_BU="All","",_netcalc!$AG$1124)</f>
        <v/>
      </c>
      <c r="M56" s="167" t="str">
        <f>IF(nd_BU="All","",_netcalc!$AG$1125)</f>
        <v/>
      </c>
    </row>
    <row r="57" spans="1:13" x14ac:dyDescent="0.3">
      <c r="A57" s="166" t="str">
        <f>_lists!$B$19</f>
        <v>SC</v>
      </c>
      <c r="B57" s="167" t="str">
        <f>IF(nd_BU="All","",_netcalc!$AG$1170)</f>
        <v/>
      </c>
      <c r="C57" s="167" t="str">
        <f>IF(nd_BU="All","",_netcalc!$AG$1171)</f>
        <v/>
      </c>
      <c r="D57" s="167" t="str">
        <f>IF(nd_BU="All","",_netcalc!$AG$1172)</f>
        <v/>
      </c>
      <c r="E57" s="167" t="str">
        <f>IF(nd_BU="All","",_netcalc!$AG$1173)</f>
        <v/>
      </c>
      <c r="F57" s="167" t="str">
        <f>IF(nd_BU="All","",_netcalc!$AG$1174)</f>
        <v/>
      </c>
      <c r="G57" s="167" t="str">
        <f>IF(nd_BU="All","",_netcalc!$AG$1175)</f>
        <v/>
      </c>
      <c r="H57" s="167" t="str">
        <f>IF(nd_BU="All","",_netcalc!$AG$1176)</f>
        <v/>
      </c>
      <c r="I57" s="167" t="str">
        <f>IF(nd_BU="All","",_netcalc!$AG$1177)</f>
        <v/>
      </c>
      <c r="J57" s="167" t="str">
        <f>IF(nd_BU="All","",_netcalc!$AG$1178)</f>
        <v/>
      </c>
      <c r="K57" s="167" t="str">
        <f>IF(nd_BU="All","",_netcalc!$AG$1179)</f>
        <v/>
      </c>
      <c r="L57" s="167" t="str">
        <f>IF(nd_BU="All","",_netcalc!$AG$1180)</f>
        <v/>
      </c>
      <c r="M57" s="167" t="str">
        <f>IF(nd_BU="All","",_netcalc!$AG$1181)</f>
        <v/>
      </c>
    </row>
    <row r="58" spans="1:13" x14ac:dyDescent="0.3">
      <c r="A58" s="166" t="str">
        <f>_lists!$B$20</f>
        <v>TN</v>
      </c>
      <c r="B58" s="167" t="str">
        <f>IF(nd_BU="All","",_netcalc!$AG$1226)</f>
        <v/>
      </c>
      <c r="C58" s="167" t="str">
        <f>IF(nd_BU="All","",_netcalc!$AG$1227)</f>
        <v/>
      </c>
      <c r="D58" s="167" t="str">
        <f>IF(nd_BU="All","",_netcalc!$AG$1228)</f>
        <v/>
      </c>
      <c r="E58" s="167" t="str">
        <f>IF(nd_BU="All","",_netcalc!$AG$1229)</f>
        <v/>
      </c>
      <c r="F58" s="167" t="str">
        <f>IF(nd_BU="All","",_netcalc!$AG$1230)</f>
        <v/>
      </c>
      <c r="G58" s="167" t="str">
        <f>IF(nd_BU="All","",_netcalc!$AG$1231)</f>
        <v/>
      </c>
      <c r="H58" s="167" t="str">
        <f>IF(nd_BU="All","",_netcalc!$AG$1232)</f>
        <v/>
      </c>
      <c r="I58" s="167" t="str">
        <f>IF(nd_BU="All","",_netcalc!$AG$1233)</f>
        <v/>
      </c>
      <c r="J58" s="167" t="str">
        <f>IF(nd_BU="All","",_netcalc!$AG$1234)</f>
        <v/>
      </c>
      <c r="K58" s="167" t="str">
        <f>IF(nd_BU="All","",_netcalc!$AG$1235)</f>
        <v/>
      </c>
      <c r="L58" s="167" t="str">
        <f>IF(nd_BU="All","",_netcalc!$AG$1236)</f>
        <v/>
      </c>
      <c r="M58" s="167" t="str">
        <f>IF(nd_BU="All","",_netcalc!$AG$1237)</f>
        <v/>
      </c>
    </row>
    <row r="59" spans="1:13" x14ac:dyDescent="0.3">
      <c r="A59" s="166" t="str">
        <f>_lists!$B$21</f>
        <v>VA</v>
      </c>
      <c r="B59" s="167" t="str">
        <f>IF(nd_BU="All","",_netcalc!$AG$1282)</f>
        <v/>
      </c>
      <c r="C59" s="167" t="str">
        <f>IF(nd_BU="All","",_netcalc!$AG$1283)</f>
        <v/>
      </c>
      <c r="D59" s="167" t="str">
        <f>IF(nd_BU="All","",_netcalc!$AG$1284)</f>
        <v/>
      </c>
      <c r="E59" s="167" t="str">
        <f>IF(nd_BU="All","",_netcalc!$AG$1285)</f>
        <v/>
      </c>
      <c r="F59" s="167" t="str">
        <f>IF(nd_BU="All","",_netcalc!$AG$1286)</f>
        <v/>
      </c>
      <c r="G59" s="167" t="str">
        <f>IF(nd_BU="All","",_netcalc!$AG$1287)</f>
        <v/>
      </c>
      <c r="H59" s="167" t="str">
        <f>IF(nd_BU="All","",_netcalc!$AG$1288)</f>
        <v/>
      </c>
      <c r="I59" s="167" t="str">
        <f>IF(nd_BU="All","",_netcalc!$AG$1289)</f>
        <v/>
      </c>
      <c r="J59" s="167" t="str">
        <f>IF(nd_BU="All","",_netcalc!$AG$1290)</f>
        <v/>
      </c>
      <c r="K59" s="167" t="str">
        <f>IF(nd_BU="All","",_netcalc!$AG$1291)</f>
        <v/>
      </c>
      <c r="L59" s="167" t="str">
        <f>IF(nd_BU="All","",_netcalc!$AG$1292)</f>
        <v/>
      </c>
      <c r="M59" s="167" t="str">
        <f>IF(nd_BU="All","",_netcalc!$AG$1293)</f>
        <v/>
      </c>
    </row>
    <row r="60" spans="1:13" x14ac:dyDescent="0.3">
      <c r="A60" s="166" t="str">
        <f>_lists!$B$22</f>
        <v>WV</v>
      </c>
      <c r="B60" s="167" t="str">
        <f>IF(nd_BU="All","",_netcalc!$AG$1338)</f>
        <v/>
      </c>
      <c r="C60" s="167" t="str">
        <f>IF(nd_BU="All","",_netcalc!$AG$1339)</f>
        <v/>
      </c>
      <c r="D60" s="167" t="str">
        <f>IF(nd_BU="All","",_netcalc!$AG$1340)</f>
        <v/>
      </c>
      <c r="E60" s="167" t="str">
        <f>IF(nd_BU="All","",_netcalc!$AG$1341)</f>
        <v/>
      </c>
      <c r="F60" s="167" t="str">
        <f>IF(nd_BU="All","",_netcalc!$AG$1342)</f>
        <v/>
      </c>
      <c r="G60" s="167" t="str">
        <f>IF(nd_BU="All","",_netcalc!$AG$1343)</f>
        <v/>
      </c>
      <c r="H60" s="167" t="str">
        <f>IF(nd_BU="All","",_netcalc!$AG$1344)</f>
        <v/>
      </c>
      <c r="I60" s="167" t="str">
        <f>IF(nd_BU="All","",_netcalc!$AG$1345)</f>
        <v/>
      </c>
      <c r="J60" s="167" t="str">
        <f>IF(nd_BU="All","",_netcalc!$AG$1346)</f>
        <v/>
      </c>
      <c r="K60" s="167" t="str">
        <f>IF(nd_BU="All","",_netcalc!$AG$1347)</f>
        <v/>
      </c>
      <c r="L60" s="167" t="str">
        <f>IF(nd_BU="All","",_netcalc!$AG$1348)</f>
        <v/>
      </c>
      <c r="M60" s="167" t="str">
        <f>IF(nd_BU="All","",_netcalc!$AG$1349)</f>
        <v/>
      </c>
    </row>
    <row r="61" spans="1:13" x14ac:dyDescent="0.3">
      <c r="A61" s="166" t="str">
        <f>_lists!$B$23</f>
        <v>WI</v>
      </c>
      <c r="B61" s="167" t="str">
        <f>IF(nd_BU="All","",_netcalc!$AG$1394)</f>
        <v/>
      </c>
      <c r="C61" s="167" t="str">
        <f>IF(nd_BU="All","",_netcalc!$AG$1395)</f>
        <v/>
      </c>
      <c r="D61" s="167" t="str">
        <f>IF(nd_BU="All","",_netcalc!$AG$1396)</f>
        <v/>
      </c>
      <c r="E61" s="167" t="str">
        <f>IF(nd_BU="All","",_netcalc!$AG$1397)</f>
        <v/>
      </c>
      <c r="F61" s="167" t="str">
        <f>IF(nd_BU="All","",_netcalc!$AG$1398)</f>
        <v/>
      </c>
      <c r="G61" s="167" t="str">
        <f>IF(nd_BU="All","",_netcalc!$AG$1399)</f>
        <v/>
      </c>
      <c r="H61" s="167" t="str">
        <f>IF(nd_BU="All","",_netcalc!$AG$1400)</f>
        <v/>
      </c>
      <c r="I61" s="167" t="str">
        <f>IF(nd_BU="All","",_netcalc!$AG$1401)</f>
        <v/>
      </c>
      <c r="J61" s="167" t="str">
        <f>IF(nd_BU="All","",_netcalc!$AG$1402)</f>
        <v/>
      </c>
      <c r="K61" s="167" t="str">
        <f>IF(nd_BU="All","",_netcalc!$AG$1403)</f>
        <v/>
      </c>
      <c r="L61" s="167" t="str">
        <f>IF(nd_BU="All","",_netcalc!$AG$1404)</f>
        <v/>
      </c>
      <c r="M61" s="167" t="str">
        <f>IF(nd_BU="All","",_netcalc!$AG$1405)</f>
        <v/>
      </c>
    </row>
    <row r="62" spans="1:13" x14ac:dyDescent="0.3">
      <c r="A62" s="166" t="str">
        <f>_lists!$B$24</f>
        <v/>
      </c>
      <c r="B62" s="167" t="str">
        <f>IF(nd_BU="All","",_netcalc!$AG$1450)</f>
        <v/>
      </c>
      <c r="C62" s="167" t="str">
        <f>IF(nd_BU="All","",_netcalc!$AG$1451)</f>
        <v/>
      </c>
      <c r="D62" s="167" t="str">
        <f>IF(nd_BU="All","",_netcalc!$AG$1452)</f>
        <v/>
      </c>
      <c r="E62" s="167" t="str">
        <f>IF(nd_BU="All","",_netcalc!$AG$1453)</f>
        <v/>
      </c>
      <c r="F62" s="167" t="str">
        <f>IF(nd_BU="All","",_netcalc!$AG$1454)</f>
        <v/>
      </c>
      <c r="G62" s="167" t="str">
        <f>IF(nd_BU="All","",_netcalc!$AG$1455)</f>
        <v/>
      </c>
      <c r="H62" s="167" t="str">
        <f>IF(nd_BU="All","",_netcalc!$AG$1456)</f>
        <v/>
      </c>
      <c r="I62" s="167" t="str">
        <f>IF(nd_BU="All","",_netcalc!$AG$1457)</f>
        <v/>
      </c>
      <c r="J62" s="167" t="str">
        <f>IF(nd_BU="All","",_netcalc!$AG$1458)</f>
        <v/>
      </c>
      <c r="K62" s="167" t="str">
        <f>IF(nd_BU="All","",_netcalc!$AG$1459)</f>
        <v/>
      </c>
      <c r="L62" s="167" t="str">
        <f>IF(nd_BU="All","",_netcalc!$AG$1460)</f>
        <v/>
      </c>
      <c r="M62" s="167" t="str">
        <f>IF(nd_BU="All","",_netcalc!$AG$1461)</f>
        <v/>
      </c>
    </row>
    <row r="63" spans="1:13" x14ac:dyDescent="0.3">
      <c r="A63" s="166" t="str">
        <f>_lists!$B$25</f>
        <v/>
      </c>
      <c r="B63" s="167" t="str">
        <f>IF(nd_BU="All","",_netcalc!$AG$1506)</f>
        <v/>
      </c>
      <c r="C63" s="167" t="str">
        <f>IF(nd_BU="All","",_netcalc!$AG$1507)</f>
        <v/>
      </c>
      <c r="D63" s="167" t="str">
        <f>IF(nd_BU="All","",_netcalc!$AG$1508)</f>
        <v/>
      </c>
      <c r="E63" s="167" t="str">
        <f>IF(nd_BU="All","",_netcalc!$AG$1509)</f>
        <v/>
      </c>
      <c r="F63" s="167" t="str">
        <f>IF(nd_BU="All","",_netcalc!$AG$1510)</f>
        <v/>
      </c>
      <c r="G63" s="167" t="str">
        <f>IF(nd_BU="All","",_netcalc!$AG$1511)</f>
        <v/>
      </c>
      <c r="H63" s="167" t="str">
        <f>IF(nd_BU="All","",_netcalc!$AG$1512)</f>
        <v/>
      </c>
      <c r="I63" s="167" t="str">
        <f>IF(nd_BU="All","",_netcalc!$AG$1513)</f>
        <v/>
      </c>
      <c r="J63" s="167" t="str">
        <f>IF(nd_BU="All","",_netcalc!$AG$1514)</f>
        <v/>
      </c>
      <c r="K63" s="167" t="str">
        <f>IF(nd_BU="All","",_netcalc!$AG$1515)</f>
        <v/>
      </c>
      <c r="L63" s="167" t="str">
        <f>IF(nd_BU="All","",_netcalc!$AG$1516)</f>
        <v/>
      </c>
      <c r="M63" s="167" t="str">
        <f>IF(nd_BU="All","",_netcalc!$AG$1517)</f>
        <v/>
      </c>
    </row>
    <row r="64" spans="1:13" x14ac:dyDescent="0.3">
      <c r="A64" s="166" t="str">
        <f>_lists!$B$26</f>
        <v/>
      </c>
      <c r="B64" s="167" t="str">
        <f>IF(nd_BU="All","",_netcalc!$AG$1562)</f>
        <v/>
      </c>
      <c r="C64" s="167" t="str">
        <f>IF(nd_BU="All","",_netcalc!$AG$1563)</f>
        <v/>
      </c>
      <c r="D64" s="167" t="str">
        <f>IF(nd_BU="All","",_netcalc!$AG$1564)</f>
        <v/>
      </c>
      <c r="E64" s="167" t="str">
        <f>IF(nd_BU="All","",_netcalc!$AG$1565)</f>
        <v/>
      </c>
      <c r="F64" s="167" t="str">
        <f>IF(nd_BU="All","",_netcalc!$AG$1566)</f>
        <v/>
      </c>
      <c r="G64" s="167" t="str">
        <f>IF(nd_BU="All","",_netcalc!$AG$1567)</f>
        <v/>
      </c>
      <c r="H64" s="167" t="str">
        <f>IF(nd_BU="All","",_netcalc!$AG$1568)</f>
        <v/>
      </c>
      <c r="I64" s="167" t="str">
        <f>IF(nd_BU="All","",_netcalc!$AG$1569)</f>
        <v/>
      </c>
      <c r="J64" s="167" t="str">
        <f>IF(nd_BU="All","",_netcalc!$AG$1570)</f>
        <v/>
      </c>
      <c r="K64" s="167" t="str">
        <f>IF(nd_BU="All","",_netcalc!$AG$1571)</f>
        <v/>
      </c>
      <c r="L64" s="167" t="str">
        <f>IF(nd_BU="All","",_netcalc!$AG$1572)</f>
        <v/>
      </c>
      <c r="M64" s="167" t="str">
        <f>IF(nd_BU="All","",_netcalc!$AG$1573)</f>
        <v/>
      </c>
    </row>
    <row r="68" spans="1:13" ht="15.6" x14ac:dyDescent="0.3">
      <c r="A68" s="3" t="s">
        <v>359</v>
      </c>
    </row>
    <row r="69" spans="1:13" x14ac:dyDescent="0.3">
      <c r="A69" s="51" t="s">
        <v>360</v>
      </c>
    </row>
    <row r="70" spans="1:13" x14ac:dyDescent="0.3">
      <c r="A70" s="41" t="s">
        <v>104</v>
      </c>
      <c r="B70" s="165" t="str">
        <f>TEXT(DATE(nr_PlanYear,1,1),"mmm")&amp;" "&amp;nr_PlanYear</f>
        <v>Jan 2027</v>
      </c>
      <c r="C70" s="165" t="str">
        <f>TEXT(DATE(nr_PlanYear,2,1),"mmm")&amp;" "&amp;nr_PlanYear</f>
        <v>Feb 2027</v>
      </c>
      <c r="D70" s="165" t="str">
        <f>TEXT(DATE(nr_PlanYear,3,1),"mmm")&amp;" "&amp;nr_PlanYear</f>
        <v>Mar 2027</v>
      </c>
      <c r="E70" s="165" t="str">
        <f>TEXT(DATE(nr_PlanYear,4,1),"mmm")&amp;" "&amp;nr_PlanYear</f>
        <v>Apr 2027</v>
      </c>
      <c r="F70" s="165" t="str">
        <f>TEXT(DATE(nr_PlanYear,5,1),"mmm")&amp;" "&amp;nr_PlanYear</f>
        <v>May 2027</v>
      </c>
      <c r="G70" s="165" t="str">
        <f>TEXT(DATE(nr_PlanYear,6,1),"mmm")&amp;" "&amp;nr_PlanYear</f>
        <v>Jun 2027</v>
      </c>
      <c r="H70" s="165" t="str">
        <f>TEXT(DATE(nr_PlanYear,7,1),"mmm")&amp;" "&amp;nr_PlanYear</f>
        <v>Jul 2027</v>
      </c>
      <c r="I70" s="165" t="str">
        <f>TEXT(DATE(nr_PlanYear,8,1),"mmm")&amp;" "&amp;nr_PlanYear</f>
        <v>Aug 2027</v>
      </c>
      <c r="J70" s="165" t="str">
        <f>TEXT(DATE(nr_PlanYear,9,1),"mmm")&amp;" "&amp;nr_PlanYear</f>
        <v>Sep 2027</v>
      </c>
      <c r="K70" s="165" t="str">
        <f>TEXT(DATE(nr_PlanYear,10,1),"mmm")&amp;" "&amp;nr_PlanYear</f>
        <v>Oct 2027</v>
      </c>
      <c r="L70" s="165" t="str">
        <f>TEXT(DATE(nr_PlanYear,11,1),"mmm")&amp;" "&amp;nr_PlanYear</f>
        <v>Nov 2027</v>
      </c>
      <c r="M70" s="165" t="str">
        <f>TEXT(DATE(nr_PlanYear,12,1),"mmm")&amp;" "&amp;nr_PlanYear</f>
        <v>Dec 2027</v>
      </c>
    </row>
    <row r="71" spans="1:13" x14ac:dyDescent="0.3">
      <c r="A71" s="166" t="str">
        <f>_lists!$B$3</f>
        <v>AZ</v>
      </c>
      <c r="B71" s="167" t="str">
        <f>IF(nd_BU="All","",_netcalc!$AH$274)</f>
        <v/>
      </c>
      <c r="C71" s="167" t="str">
        <f>IF(nd_BU="All","",_netcalc!$AH$275)</f>
        <v/>
      </c>
      <c r="D71" s="167" t="str">
        <f>IF(nd_BU="All","",_netcalc!$AH$276)</f>
        <v/>
      </c>
      <c r="E71" s="167" t="str">
        <f>IF(nd_BU="All","",_netcalc!$AH$277)</f>
        <v/>
      </c>
      <c r="F71" s="167" t="str">
        <f>IF(nd_BU="All","",_netcalc!$AH$278)</f>
        <v/>
      </c>
      <c r="G71" s="167" t="str">
        <f>IF(nd_BU="All","",_netcalc!$AH$279)</f>
        <v/>
      </c>
      <c r="H71" s="167" t="str">
        <f>IF(nd_BU="All","",_netcalc!$AH$280)</f>
        <v/>
      </c>
      <c r="I71" s="167" t="str">
        <f>IF(nd_BU="All","",_netcalc!$AH$281)</f>
        <v/>
      </c>
      <c r="J71" s="167" t="str">
        <f>IF(nd_BU="All","",_netcalc!$AH$282)</f>
        <v/>
      </c>
      <c r="K71" s="167" t="str">
        <f>IF(nd_BU="All","",_netcalc!$AH$283)</f>
        <v/>
      </c>
      <c r="L71" s="167" t="str">
        <f>IF(nd_BU="All","",_netcalc!$AH$284)</f>
        <v/>
      </c>
      <c r="M71" s="167" t="str">
        <f>IF(nd_BU="All","",_netcalc!$AH$285)</f>
        <v/>
      </c>
    </row>
    <row r="72" spans="1:13" x14ac:dyDescent="0.3">
      <c r="A72" s="166" t="str">
        <f>_lists!$B$4</f>
        <v>CO</v>
      </c>
      <c r="B72" s="167" t="str">
        <f>IF(nd_BU="All","",_netcalc!$AH$330)</f>
        <v/>
      </c>
      <c r="C72" s="167" t="str">
        <f>IF(nd_BU="All","",_netcalc!$AH$331)</f>
        <v/>
      </c>
      <c r="D72" s="167" t="str">
        <f>IF(nd_BU="All","",_netcalc!$AH$332)</f>
        <v/>
      </c>
      <c r="E72" s="167" t="str">
        <f>IF(nd_BU="All","",_netcalc!$AH$333)</f>
        <v/>
      </c>
      <c r="F72" s="167" t="str">
        <f>IF(nd_BU="All","",_netcalc!$AH$334)</f>
        <v/>
      </c>
      <c r="G72" s="167" t="str">
        <f>IF(nd_BU="All","",_netcalc!$AH$335)</f>
        <v/>
      </c>
      <c r="H72" s="167" t="str">
        <f>IF(nd_BU="All","",_netcalc!$AH$336)</f>
        <v/>
      </c>
      <c r="I72" s="167" t="str">
        <f>IF(nd_BU="All","",_netcalc!$AH$337)</f>
        <v/>
      </c>
      <c r="J72" s="167" t="str">
        <f>IF(nd_BU="All","",_netcalc!$AH$338)</f>
        <v/>
      </c>
      <c r="K72" s="167" t="str">
        <f>IF(nd_BU="All","",_netcalc!$AH$339)</f>
        <v/>
      </c>
      <c r="L72" s="167" t="str">
        <f>IF(nd_BU="All","",_netcalc!$AH$340)</f>
        <v/>
      </c>
      <c r="M72" s="167" t="str">
        <f>IF(nd_BU="All","",_netcalc!$AH$341)</f>
        <v/>
      </c>
    </row>
    <row r="73" spans="1:13" x14ac:dyDescent="0.3">
      <c r="A73" s="166" t="str">
        <f>_lists!$B$5</f>
        <v>DE</v>
      </c>
      <c r="B73" s="167" t="str">
        <f>IF(nd_BU="All","",_netcalc!$AH$386)</f>
        <v/>
      </c>
      <c r="C73" s="167" t="str">
        <f>IF(nd_BU="All","",_netcalc!$AH$387)</f>
        <v/>
      </c>
      <c r="D73" s="167" t="str">
        <f>IF(nd_BU="All","",_netcalc!$AH$388)</f>
        <v/>
      </c>
      <c r="E73" s="167" t="str">
        <f>IF(nd_BU="All","",_netcalc!$AH$389)</f>
        <v/>
      </c>
      <c r="F73" s="167" t="str">
        <f>IF(nd_BU="All","",_netcalc!$AH$390)</f>
        <v/>
      </c>
      <c r="G73" s="167" t="str">
        <f>IF(nd_BU="All","",_netcalc!$AH$391)</f>
        <v/>
      </c>
      <c r="H73" s="167" t="str">
        <f>IF(nd_BU="All","",_netcalc!$AH$392)</f>
        <v/>
      </c>
      <c r="I73" s="167" t="str">
        <f>IF(nd_BU="All","",_netcalc!$AH$393)</f>
        <v/>
      </c>
      <c r="J73" s="167" t="str">
        <f>IF(nd_BU="All","",_netcalc!$AH$394)</f>
        <v/>
      </c>
      <c r="K73" s="167" t="str">
        <f>IF(nd_BU="All","",_netcalc!$AH$395)</f>
        <v/>
      </c>
      <c r="L73" s="167" t="str">
        <f>IF(nd_BU="All","",_netcalc!$AH$396)</f>
        <v/>
      </c>
      <c r="M73" s="167" t="str">
        <f>IF(nd_BU="All","",_netcalc!$AH$397)</f>
        <v/>
      </c>
    </row>
    <row r="74" spans="1:13" x14ac:dyDescent="0.3">
      <c r="A74" s="166" t="str">
        <f>_lists!$B$6</f>
        <v>FL</v>
      </c>
      <c r="B74" s="167" t="str">
        <f>IF(nd_BU="All","",_netcalc!$AH$442)</f>
        <v/>
      </c>
      <c r="C74" s="167" t="str">
        <f>IF(nd_BU="All","",_netcalc!$AH$443)</f>
        <v/>
      </c>
      <c r="D74" s="167" t="str">
        <f>IF(nd_BU="All","",_netcalc!$AH$444)</f>
        <v/>
      </c>
      <c r="E74" s="167" t="str">
        <f>IF(nd_BU="All","",_netcalc!$AH$445)</f>
        <v/>
      </c>
      <c r="F74" s="167" t="str">
        <f>IF(nd_BU="All","",_netcalc!$AH$446)</f>
        <v/>
      </c>
      <c r="G74" s="167" t="str">
        <f>IF(nd_BU="All","",_netcalc!$AH$447)</f>
        <v/>
      </c>
      <c r="H74" s="167" t="str">
        <f>IF(nd_BU="All","",_netcalc!$AH$448)</f>
        <v/>
      </c>
      <c r="I74" s="167" t="str">
        <f>IF(nd_BU="All","",_netcalc!$AH$449)</f>
        <v/>
      </c>
      <c r="J74" s="167" t="str">
        <f>IF(nd_BU="All","",_netcalc!$AH$450)</f>
        <v/>
      </c>
      <c r="K74" s="167" t="str">
        <f>IF(nd_BU="All","",_netcalc!$AH$451)</f>
        <v/>
      </c>
      <c r="L74" s="167" t="str">
        <f>IF(nd_BU="All","",_netcalc!$AH$452)</f>
        <v/>
      </c>
      <c r="M74" s="167" t="str">
        <f>IF(nd_BU="All","",_netcalc!$AH$453)</f>
        <v/>
      </c>
    </row>
    <row r="75" spans="1:13" x14ac:dyDescent="0.3">
      <c r="A75" s="166" t="str">
        <f>_lists!$B$7</f>
        <v>GA</v>
      </c>
      <c r="B75" s="167" t="str">
        <f>IF(nd_BU="All","",_netcalc!$AH$498)</f>
        <v/>
      </c>
      <c r="C75" s="167" t="str">
        <f>IF(nd_BU="All","",_netcalc!$AH$499)</f>
        <v/>
      </c>
      <c r="D75" s="167" t="str">
        <f>IF(nd_BU="All","",_netcalc!$AH$500)</f>
        <v/>
      </c>
      <c r="E75" s="167" t="str">
        <f>IF(nd_BU="All","",_netcalc!$AH$501)</f>
        <v/>
      </c>
      <c r="F75" s="167" t="str">
        <f>IF(nd_BU="All","",_netcalc!$AH$502)</f>
        <v/>
      </c>
      <c r="G75" s="167" t="str">
        <f>IF(nd_BU="All","",_netcalc!$AH$503)</f>
        <v/>
      </c>
      <c r="H75" s="167" t="str">
        <f>IF(nd_BU="All","",_netcalc!$AH$504)</f>
        <v/>
      </c>
      <c r="I75" s="167" t="str">
        <f>IF(nd_BU="All","",_netcalc!$AH$505)</f>
        <v/>
      </c>
      <c r="J75" s="167" t="str">
        <f>IF(nd_BU="All","",_netcalc!$AH$506)</f>
        <v/>
      </c>
      <c r="K75" s="167" t="str">
        <f>IF(nd_BU="All","",_netcalc!$AH$507)</f>
        <v/>
      </c>
      <c r="L75" s="167" t="str">
        <f>IF(nd_BU="All","",_netcalc!$AH$508)</f>
        <v/>
      </c>
      <c r="M75" s="167" t="str">
        <f>IF(nd_BU="All","",_netcalc!$AH$509)</f>
        <v/>
      </c>
    </row>
    <row r="76" spans="1:13" x14ac:dyDescent="0.3">
      <c r="A76" s="166" t="str">
        <f>_lists!$B$8</f>
        <v>IA</v>
      </c>
      <c r="B76" s="167" t="str">
        <f>IF(nd_BU="All","",_netcalc!$AH$554)</f>
        <v/>
      </c>
      <c r="C76" s="167" t="str">
        <f>IF(nd_BU="All","",_netcalc!$AH$555)</f>
        <v/>
      </c>
      <c r="D76" s="167" t="str">
        <f>IF(nd_BU="All","",_netcalc!$AH$556)</f>
        <v/>
      </c>
      <c r="E76" s="167" t="str">
        <f>IF(nd_BU="All","",_netcalc!$AH$557)</f>
        <v/>
      </c>
      <c r="F76" s="167" t="str">
        <f>IF(nd_BU="All","",_netcalc!$AH$558)</f>
        <v/>
      </c>
      <c r="G76" s="167" t="str">
        <f>IF(nd_BU="All","",_netcalc!$AH$559)</f>
        <v/>
      </c>
      <c r="H76" s="167" t="str">
        <f>IF(nd_BU="All","",_netcalc!$AH$560)</f>
        <v/>
      </c>
      <c r="I76" s="167" t="str">
        <f>IF(nd_BU="All","",_netcalc!$AH$561)</f>
        <v/>
      </c>
      <c r="J76" s="167" t="str">
        <f>IF(nd_BU="All","",_netcalc!$AH$562)</f>
        <v/>
      </c>
      <c r="K76" s="167" t="str">
        <f>IF(nd_BU="All","",_netcalc!$AH$563)</f>
        <v/>
      </c>
      <c r="L76" s="167" t="str">
        <f>IF(nd_BU="All","",_netcalc!$AH$564)</f>
        <v/>
      </c>
      <c r="M76" s="167" t="str">
        <f>IF(nd_BU="All","",_netcalc!$AH$565)</f>
        <v/>
      </c>
    </row>
    <row r="77" spans="1:13" x14ac:dyDescent="0.3">
      <c r="A77" s="166" t="str">
        <f>_lists!$B$9</f>
        <v>IL</v>
      </c>
      <c r="B77" s="167" t="str">
        <f>IF(nd_BU="All","",_netcalc!$AH$610)</f>
        <v/>
      </c>
      <c r="C77" s="167" t="str">
        <f>IF(nd_BU="All","",_netcalc!$AH$611)</f>
        <v/>
      </c>
      <c r="D77" s="167" t="str">
        <f>IF(nd_BU="All","",_netcalc!$AH$612)</f>
        <v/>
      </c>
      <c r="E77" s="167" t="str">
        <f>IF(nd_BU="All","",_netcalc!$AH$613)</f>
        <v/>
      </c>
      <c r="F77" s="167" t="str">
        <f>IF(nd_BU="All","",_netcalc!$AH$614)</f>
        <v/>
      </c>
      <c r="G77" s="167" t="str">
        <f>IF(nd_BU="All","",_netcalc!$AH$615)</f>
        <v/>
      </c>
      <c r="H77" s="167" t="str">
        <f>IF(nd_BU="All","",_netcalc!$AH$616)</f>
        <v/>
      </c>
      <c r="I77" s="167" t="str">
        <f>IF(nd_BU="All","",_netcalc!$AH$617)</f>
        <v/>
      </c>
      <c r="J77" s="167" t="str">
        <f>IF(nd_BU="All","",_netcalc!$AH$618)</f>
        <v/>
      </c>
      <c r="K77" s="167" t="str">
        <f>IF(nd_BU="All","",_netcalc!$AH$619)</f>
        <v/>
      </c>
      <c r="L77" s="167" t="str">
        <f>IF(nd_BU="All","",_netcalc!$AH$620)</f>
        <v/>
      </c>
      <c r="M77" s="167" t="str">
        <f>IF(nd_BU="All","",_netcalc!$AH$621)</f>
        <v/>
      </c>
    </row>
    <row r="78" spans="1:13" x14ac:dyDescent="0.3">
      <c r="A78" s="166" t="str">
        <f>_lists!$B$10</f>
        <v>IN</v>
      </c>
      <c r="B78" s="167" t="str">
        <f>IF(nd_BU="All","",_netcalc!$AH$666)</f>
        <v/>
      </c>
      <c r="C78" s="167" t="str">
        <f>IF(nd_BU="All","",_netcalc!$AH$667)</f>
        <v/>
      </c>
      <c r="D78" s="167" t="str">
        <f>IF(nd_BU="All","",_netcalc!$AH$668)</f>
        <v/>
      </c>
      <c r="E78" s="167" t="str">
        <f>IF(nd_BU="All","",_netcalc!$AH$669)</f>
        <v/>
      </c>
      <c r="F78" s="167" t="str">
        <f>IF(nd_BU="All","",_netcalc!$AH$670)</f>
        <v/>
      </c>
      <c r="G78" s="167" t="str">
        <f>IF(nd_BU="All","",_netcalc!$AH$671)</f>
        <v/>
      </c>
      <c r="H78" s="167" t="str">
        <f>IF(nd_BU="All","",_netcalc!$AH$672)</f>
        <v/>
      </c>
      <c r="I78" s="167" t="str">
        <f>IF(nd_BU="All","",_netcalc!$AH$673)</f>
        <v/>
      </c>
      <c r="J78" s="167" t="str">
        <f>IF(nd_BU="All","",_netcalc!$AH$674)</f>
        <v/>
      </c>
      <c r="K78" s="167" t="str">
        <f>IF(nd_BU="All","",_netcalc!$AH$675)</f>
        <v/>
      </c>
      <c r="L78" s="167" t="str">
        <f>IF(nd_BU="All","",_netcalc!$AH$676)</f>
        <v/>
      </c>
      <c r="M78" s="167" t="str">
        <f>IF(nd_BU="All","",_netcalc!$AH$677)</f>
        <v/>
      </c>
    </row>
    <row r="79" spans="1:13" x14ac:dyDescent="0.3">
      <c r="A79" s="166" t="str">
        <f>_lists!$B$11</f>
        <v>KY</v>
      </c>
      <c r="B79" s="167">
        <f>IF(nd_BU="All","",_netcalc!$AH$722)</f>
        <v>0</v>
      </c>
      <c r="C79" s="167">
        <f>IF(nd_BU="All","",_netcalc!$AH$723)</f>
        <v>0</v>
      </c>
      <c r="D79" s="167">
        <f>IF(nd_BU="All","",_netcalc!$AH$724)</f>
        <v>0</v>
      </c>
      <c r="E79" s="167">
        <f>IF(nd_BU="All","",_netcalc!$AH$725)</f>
        <v>-3.8461538461538436E-2</v>
      </c>
      <c r="F79" s="167">
        <f>IF(nd_BU="All","",_netcalc!$AH$726)</f>
        <v>-3.8461538461538436E-2</v>
      </c>
      <c r="G79" s="167">
        <f>IF(nd_BU="All","",_netcalc!$AH$727)</f>
        <v>-3.8461538461538436E-2</v>
      </c>
      <c r="H79" s="167">
        <f>IF(nd_BU="All","",_netcalc!$AH$728)</f>
        <v>-3.8461538461538436E-2</v>
      </c>
      <c r="I79" s="167">
        <f>IF(nd_BU="All","",_netcalc!$AH$729)</f>
        <v>-3.8461538461538436E-2</v>
      </c>
      <c r="J79" s="167">
        <f>IF(nd_BU="All","",_netcalc!$AH$730)</f>
        <v>-3.8461538461538436E-2</v>
      </c>
      <c r="K79" s="167">
        <f>IF(nd_BU="All","",_netcalc!$AH$731)</f>
        <v>5.7692307692307709E-2</v>
      </c>
      <c r="L79" s="167">
        <f>IF(nd_BU="All","",_netcalc!$AH$732)</f>
        <v>5.7692307692307709E-2</v>
      </c>
      <c r="M79" s="167">
        <f>IF(nd_BU="All","",_netcalc!$AH$733)</f>
        <v>5.7692307692307709E-2</v>
      </c>
    </row>
    <row r="80" spans="1:13" x14ac:dyDescent="0.3">
      <c r="A80" s="166" t="str">
        <f>_lists!$B$12</f>
        <v>MD</v>
      </c>
      <c r="B80" s="167" t="str">
        <f>IF(nd_BU="All","",_netcalc!$AH$778)</f>
        <v/>
      </c>
      <c r="C80" s="167" t="str">
        <f>IF(nd_BU="All","",_netcalc!$AH$779)</f>
        <v/>
      </c>
      <c r="D80" s="167" t="str">
        <f>IF(nd_BU="All","",_netcalc!$AH$780)</f>
        <v/>
      </c>
      <c r="E80" s="167" t="str">
        <f>IF(nd_BU="All","",_netcalc!$AH$781)</f>
        <v/>
      </c>
      <c r="F80" s="167" t="str">
        <f>IF(nd_BU="All","",_netcalc!$AH$782)</f>
        <v/>
      </c>
      <c r="G80" s="167" t="str">
        <f>IF(nd_BU="All","",_netcalc!$AH$783)</f>
        <v/>
      </c>
      <c r="H80" s="167" t="str">
        <f>IF(nd_BU="All","",_netcalc!$AH$784)</f>
        <v/>
      </c>
      <c r="I80" s="167" t="str">
        <f>IF(nd_BU="All","",_netcalc!$AH$785)</f>
        <v/>
      </c>
      <c r="J80" s="167" t="str">
        <f>IF(nd_BU="All","",_netcalc!$AH$786)</f>
        <v/>
      </c>
      <c r="K80" s="167" t="str">
        <f>IF(nd_BU="All","",_netcalc!$AH$787)</f>
        <v/>
      </c>
      <c r="L80" s="167" t="str">
        <f>IF(nd_BU="All","",_netcalc!$AH$788)</f>
        <v/>
      </c>
      <c r="M80" s="167" t="str">
        <f>IF(nd_BU="All","",_netcalc!$AH$789)</f>
        <v/>
      </c>
    </row>
    <row r="81" spans="1:13" x14ac:dyDescent="0.3">
      <c r="A81" s="166" t="str">
        <f>_lists!$B$13</f>
        <v>MI</v>
      </c>
      <c r="B81" s="167" t="str">
        <f>IF(nd_BU="All","",_netcalc!$AH$834)</f>
        <v/>
      </c>
      <c r="C81" s="167" t="str">
        <f>IF(nd_BU="All","",_netcalc!$AH$835)</f>
        <v/>
      </c>
      <c r="D81" s="167" t="str">
        <f>IF(nd_BU="All","",_netcalc!$AH$836)</f>
        <v/>
      </c>
      <c r="E81" s="167" t="str">
        <f>IF(nd_BU="All","",_netcalc!$AH$837)</f>
        <v/>
      </c>
      <c r="F81" s="167" t="str">
        <f>IF(nd_BU="All","",_netcalc!$AH$838)</f>
        <v/>
      </c>
      <c r="G81" s="167" t="str">
        <f>IF(nd_BU="All","",_netcalc!$AH$839)</f>
        <v/>
      </c>
      <c r="H81" s="167" t="str">
        <f>IF(nd_BU="All","",_netcalc!$AH$840)</f>
        <v/>
      </c>
      <c r="I81" s="167" t="str">
        <f>IF(nd_BU="All","",_netcalc!$AH$841)</f>
        <v/>
      </c>
      <c r="J81" s="167" t="str">
        <f>IF(nd_BU="All","",_netcalc!$AH$842)</f>
        <v/>
      </c>
      <c r="K81" s="167" t="str">
        <f>IF(nd_BU="All","",_netcalc!$AH$843)</f>
        <v/>
      </c>
      <c r="L81" s="167" t="str">
        <f>IF(nd_BU="All","",_netcalc!$AH$844)</f>
        <v/>
      </c>
      <c r="M81" s="167" t="str">
        <f>IF(nd_BU="All","",_netcalc!$AH$845)</f>
        <v/>
      </c>
    </row>
    <row r="82" spans="1:13" x14ac:dyDescent="0.3">
      <c r="A82" s="166" t="str">
        <f>_lists!$B$14</f>
        <v>MN</v>
      </c>
      <c r="B82" s="167" t="str">
        <f>IF(nd_BU="All","",_netcalc!$AH$890)</f>
        <v/>
      </c>
      <c r="C82" s="167" t="str">
        <f>IF(nd_BU="All","",_netcalc!$AH$891)</f>
        <v/>
      </c>
      <c r="D82" s="167" t="str">
        <f>IF(nd_BU="All","",_netcalc!$AH$892)</f>
        <v/>
      </c>
      <c r="E82" s="167" t="str">
        <f>IF(nd_BU="All","",_netcalc!$AH$893)</f>
        <v/>
      </c>
      <c r="F82" s="167" t="str">
        <f>IF(nd_BU="All","",_netcalc!$AH$894)</f>
        <v/>
      </c>
      <c r="G82" s="167" t="str">
        <f>IF(nd_BU="All","",_netcalc!$AH$895)</f>
        <v/>
      </c>
      <c r="H82" s="167" t="str">
        <f>IF(nd_BU="All","",_netcalc!$AH$896)</f>
        <v/>
      </c>
      <c r="I82" s="167" t="str">
        <f>IF(nd_BU="All","",_netcalc!$AH$897)</f>
        <v/>
      </c>
      <c r="J82" s="167" t="str">
        <f>IF(nd_BU="All","",_netcalc!$AH$898)</f>
        <v/>
      </c>
      <c r="K82" s="167" t="str">
        <f>IF(nd_BU="All","",_netcalc!$AH$899)</f>
        <v/>
      </c>
      <c r="L82" s="167" t="str">
        <f>IF(nd_BU="All","",_netcalc!$AH$900)</f>
        <v/>
      </c>
      <c r="M82" s="167" t="str">
        <f>IF(nd_BU="All","",_netcalc!$AH$901)</f>
        <v/>
      </c>
    </row>
    <row r="83" spans="1:13" x14ac:dyDescent="0.3">
      <c r="A83" s="166" t="str">
        <f>_lists!$B$15</f>
        <v>NM</v>
      </c>
      <c r="B83" s="167" t="str">
        <f>IF(nd_BU="All","",_netcalc!$AH$946)</f>
        <v/>
      </c>
      <c r="C83" s="167" t="str">
        <f>IF(nd_BU="All","",_netcalc!$AH$947)</f>
        <v/>
      </c>
      <c r="D83" s="167" t="str">
        <f>IF(nd_BU="All","",_netcalc!$AH$948)</f>
        <v/>
      </c>
      <c r="E83" s="167" t="str">
        <f>IF(nd_BU="All","",_netcalc!$AH$949)</f>
        <v/>
      </c>
      <c r="F83" s="167" t="str">
        <f>IF(nd_BU="All","",_netcalc!$AH$950)</f>
        <v/>
      </c>
      <c r="G83" s="167" t="str">
        <f>IF(nd_BU="All","",_netcalc!$AH$951)</f>
        <v/>
      </c>
      <c r="H83" s="167" t="str">
        <f>IF(nd_BU="All","",_netcalc!$AH$952)</f>
        <v/>
      </c>
      <c r="I83" s="167" t="str">
        <f>IF(nd_BU="All","",_netcalc!$AH$953)</f>
        <v/>
      </c>
      <c r="J83" s="167" t="str">
        <f>IF(nd_BU="All","",_netcalc!$AH$954)</f>
        <v/>
      </c>
      <c r="K83" s="167" t="str">
        <f>IF(nd_BU="All","",_netcalc!$AH$955)</f>
        <v/>
      </c>
      <c r="L83" s="167" t="str">
        <f>IF(nd_BU="All","",_netcalc!$AH$956)</f>
        <v/>
      </c>
      <c r="M83" s="167" t="str">
        <f>IF(nd_BU="All","",_netcalc!$AH$957)</f>
        <v/>
      </c>
    </row>
    <row r="84" spans="1:13" x14ac:dyDescent="0.3">
      <c r="A84" s="166" t="str">
        <f>_lists!$B$16</f>
        <v>NC</v>
      </c>
      <c r="B84" s="167" t="str">
        <f>IF(nd_BU="All","",_netcalc!$AH$1002)</f>
        <v/>
      </c>
      <c r="C84" s="167" t="str">
        <f>IF(nd_BU="All","",_netcalc!$AH$1003)</f>
        <v/>
      </c>
      <c r="D84" s="167" t="str">
        <f>IF(nd_BU="All","",_netcalc!$AH$1004)</f>
        <v/>
      </c>
      <c r="E84" s="167" t="str">
        <f>IF(nd_BU="All","",_netcalc!$AH$1005)</f>
        <v/>
      </c>
      <c r="F84" s="167" t="str">
        <f>IF(nd_BU="All","",_netcalc!$AH$1006)</f>
        <v/>
      </c>
      <c r="G84" s="167" t="str">
        <f>IF(nd_BU="All","",_netcalc!$AH$1007)</f>
        <v/>
      </c>
      <c r="H84" s="167" t="str">
        <f>IF(nd_BU="All","",_netcalc!$AH$1008)</f>
        <v/>
      </c>
      <c r="I84" s="167" t="str">
        <f>IF(nd_BU="All","",_netcalc!$AH$1009)</f>
        <v/>
      </c>
      <c r="J84" s="167" t="str">
        <f>IF(nd_BU="All","",_netcalc!$AH$1010)</f>
        <v/>
      </c>
      <c r="K84" s="167" t="str">
        <f>IF(nd_BU="All","",_netcalc!$AH$1011)</f>
        <v/>
      </c>
      <c r="L84" s="167" t="str">
        <f>IF(nd_BU="All","",_netcalc!$AH$1012)</f>
        <v/>
      </c>
      <c r="M84" s="167" t="str">
        <f>IF(nd_BU="All","",_netcalc!$AH$1013)</f>
        <v/>
      </c>
    </row>
    <row r="85" spans="1:13" x14ac:dyDescent="0.3">
      <c r="A85" s="166" t="str">
        <f>_lists!$B$17</f>
        <v>OH</v>
      </c>
      <c r="B85" s="167" t="str">
        <f>IF(nd_BU="All","",_netcalc!$AH$1058)</f>
        <v/>
      </c>
      <c r="C85" s="167" t="str">
        <f>IF(nd_BU="All","",_netcalc!$AH$1059)</f>
        <v/>
      </c>
      <c r="D85" s="167" t="str">
        <f>IF(nd_BU="All","",_netcalc!$AH$1060)</f>
        <v/>
      </c>
      <c r="E85" s="167" t="str">
        <f>IF(nd_BU="All","",_netcalc!$AH$1061)</f>
        <v/>
      </c>
      <c r="F85" s="167" t="str">
        <f>IF(nd_BU="All","",_netcalc!$AH$1062)</f>
        <v/>
      </c>
      <c r="G85" s="167" t="str">
        <f>IF(nd_BU="All","",_netcalc!$AH$1063)</f>
        <v/>
      </c>
      <c r="H85" s="167" t="str">
        <f>IF(nd_BU="All","",_netcalc!$AH$1064)</f>
        <v/>
      </c>
      <c r="I85" s="167" t="str">
        <f>IF(nd_BU="All","",_netcalc!$AH$1065)</f>
        <v/>
      </c>
      <c r="J85" s="167" t="str">
        <f>IF(nd_BU="All","",_netcalc!$AH$1066)</f>
        <v/>
      </c>
      <c r="K85" s="167" t="str">
        <f>IF(nd_BU="All","",_netcalc!$AH$1067)</f>
        <v/>
      </c>
      <c r="L85" s="167" t="str">
        <f>IF(nd_BU="All","",_netcalc!$AH$1068)</f>
        <v/>
      </c>
      <c r="M85" s="167" t="str">
        <f>IF(nd_BU="All","",_netcalc!$AH$1069)</f>
        <v/>
      </c>
    </row>
    <row r="86" spans="1:13" x14ac:dyDescent="0.3">
      <c r="A86" s="166" t="str">
        <f>_lists!$B$18</f>
        <v>PA</v>
      </c>
      <c r="B86" s="167" t="str">
        <f>IF(nd_BU="All","",_netcalc!$AH$1114)</f>
        <v/>
      </c>
      <c r="C86" s="167" t="str">
        <f>IF(nd_BU="All","",_netcalc!$AH$1115)</f>
        <v/>
      </c>
      <c r="D86" s="167" t="str">
        <f>IF(nd_BU="All","",_netcalc!$AH$1116)</f>
        <v/>
      </c>
      <c r="E86" s="167" t="str">
        <f>IF(nd_BU="All","",_netcalc!$AH$1117)</f>
        <v/>
      </c>
      <c r="F86" s="167" t="str">
        <f>IF(nd_BU="All","",_netcalc!$AH$1118)</f>
        <v/>
      </c>
      <c r="G86" s="167" t="str">
        <f>IF(nd_BU="All","",_netcalc!$AH$1119)</f>
        <v/>
      </c>
      <c r="H86" s="167" t="str">
        <f>IF(nd_BU="All","",_netcalc!$AH$1120)</f>
        <v/>
      </c>
      <c r="I86" s="167" t="str">
        <f>IF(nd_BU="All","",_netcalc!$AH$1121)</f>
        <v/>
      </c>
      <c r="J86" s="167" t="str">
        <f>IF(nd_BU="All","",_netcalc!$AH$1122)</f>
        <v/>
      </c>
      <c r="K86" s="167" t="str">
        <f>IF(nd_BU="All","",_netcalc!$AH$1123)</f>
        <v/>
      </c>
      <c r="L86" s="167" t="str">
        <f>IF(nd_BU="All","",_netcalc!$AH$1124)</f>
        <v/>
      </c>
      <c r="M86" s="167" t="str">
        <f>IF(nd_BU="All","",_netcalc!$AH$1125)</f>
        <v/>
      </c>
    </row>
    <row r="87" spans="1:13" x14ac:dyDescent="0.3">
      <c r="A87" s="166" t="str">
        <f>_lists!$B$19</f>
        <v>SC</v>
      </c>
      <c r="B87" s="167" t="str">
        <f>IF(nd_BU="All","",_netcalc!$AH$1170)</f>
        <v/>
      </c>
      <c r="C87" s="167" t="str">
        <f>IF(nd_BU="All","",_netcalc!$AH$1171)</f>
        <v/>
      </c>
      <c r="D87" s="167" t="str">
        <f>IF(nd_BU="All","",_netcalc!$AH$1172)</f>
        <v/>
      </c>
      <c r="E87" s="167" t="str">
        <f>IF(nd_BU="All","",_netcalc!$AH$1173)</f>
        <v/>
      </c>
      <c r="F87" s="167" t="str">
        <f>IF(nd_BU="All","",_netcalc!$AH$1174)</f>
        <v/>
      </c>
      <c r="G87" s="167" t="str">
        <f>IF(nd_BU="All","",_netcalc!$AH$1175)</f>
        <v/>
      </c>
      <c r="H87" s="167" t="str">
        <f>IF(nd_BU="All","",_netcalc!$AH$1176)</f>
        <v/>
      </c>
      <c r="I87" s="167" t="str">
        <f>IF(nd_BU="All","",_netcalc!$AH$1177)</f>
        <v/>
      </c>
      <c r="J87" s="167" t="str">
        <f>IF(nd_BU="All","",_netcalc!$AH$1178)</f>
        <v/>
      </c>
      <c r="K87" s="167" t="str">
        <f>IF(nd_BU="All","",_netcalc!$AH$1179)</f>
        <v/>
      </c>
      <c r="L87" s="167" t="str">
        <f>IF(nd_BU="All","",_netcalc!$AH$1180)</f>
        <v/>
      </c>
      <c r="M87" s="167" t="str">
        <f>IF(nd_BU="All","",_netcalc!$AH$1181)</f>
        <v/>
      </c>
    </row>
    <row r="88" spans="1:13" x14ac:dyDescent="0.3">
      <c r="A88" s="166" t="str">
        <f>_lists!$B$20</f>
        <v>TN</v>
      </c>
      <c r="B88" s="167" t="str">
        <f>IF(nd_BU="All","",_netcalc!$AH$1226)</f>
        <v/>
      </c>
      <c r="C88" s="167" t="str">
        <f>IF(nd_BU="All","",_netcalc!$AH$1227)</f>
        <v/>
      </c>
      <c r="D88" s="167" t="str">
        <f>IF(nd_BU="All","",_netcalc!$AH$1228)</f>
        <v/>
      </c>
      <c r="E88" s="167" t="str">
        <f>IF(nd_BU="All","",_netcalc!$AH$1229)</f>
        <v/>
      </c>
      <c r="F88" s="167" t="str">
        <f>IF(nd_BU="All","",_netcalc!$AH$1230)</f>
        <v/>
      </c>
      <c r="G88" s="167" t="str">
        <f>IF(nd_BU="All","",_netcalc!$AH$1231)</f>
        <v/>
      </c>
      <c r="H88" s="167" t="str">
        <f>IF(nd_BU="All","",_netcalc!$AH$1232)</f>
        <v/>
      </c>
      <c r="I88" s="167" t="str">
        <f>IF(nd_BU="All","",_netcalc!$AH$1233)</f>
        <v/>
      </c>
      <c r="J88" s="167" t="str">
        <f>IF(nd_BU="All","",_netcalc!$AH$1234)</f>
        <v/>
      </c>
      <c r="K88" s="167" t="str">
        <f>IF(nd_BU="All","",_netcalc!$AH$1235)</f>
        <v/>
      </c>
      <c r="L88" s="167" t="str">
        <f>IF(nd_BU="All","",_netcalc!$AH$1236)</f>
        <v/>
      </c>
      <c r="M88" s="167" t="str">
        <f>IF(nd_BU="All","",_netcalc!$AH$1237)</f>
        <v/>
      </c>
    </row>
    <row r="89" spans="1:13" x14ac:dyDescent="0.3">
      <c r="A89" s="166" t="str">
        <f>_lists!$B$21</f>
        <v>VA</v>
      </c>
      <c r="B89" s="167" t="str">
        <f>IF(nd_BU="All","",_netcalc!$AH$1282)</f>
        <v/>
      </c>
      <c r="C89" s="167" t="str">
        <f>IF(nd_BU="All","",_netcalc!$AH$1283)</f>
        <v/>
      </c>
      <c r="D89" s="167" t="str">
        <f>IF(nd_BU="All","",_netcalc!$AH$1284)</f>
        <v/>
      </c>
      <c r="E89" s="167" t="str">
        <f>IF(nd_BU="All","",_netcalc!$AH$1285)</f>
        <v/>
      </c>
      <c r="F89" s="167" t="str">
        <f>IF(nd_BU="All","",_netcalc!$AH$1286)</f>
        <v/>
      </c>
      <c r="G89" s="167" t="str">
        <f>IF(nd_BU="All","",_netcalc!$AH$1287)</f>
        <v/>
      </c>
      <c r="H89" s="167" t="str">
        <f>IF(nd_BU="All","",_netcalc!$AH$1288)</f>
        <v/>
      </c>
      <c r="I89" s="167" t="str">
        <f>IF(nd_BU="All","",_netcalc!$AH$1289)</f>
        <v/>
      </c>
      <c r="J89" s="167" t="str">
        <f>IF(nd_BU="All","",_netcalc!$AH$1290)</f>
        <v/>
      </c>
      <c r="K89" s="167" t="str">
        <f>IF(nd_BU="All","",_netcalc!$AH$1291)</f>
        <v/>
      </c>
      <c r="L89" s="167" t="str">
        <f>IF(nd_BU="All","",_netcalc!$AH$1292)</f>
        <v/>
      </c>
      <c r="M89" s="167" t="str">
        <f>IF(nd_BU="All","",_netcalc!$AH$1293)</f>
        <v/>
      </c>
    </row>
    <row r="90" spans="1:13" x14ac:dyDescent="0.3">
      <c r="A90" s="166" t="str">
        <f>_lists!$B$22</f>
        <v>WV</v>
      </c>
      <c r="B90" s="167" t="str">
        <f>IF(nd_BU="All","",_netcalc!$AH$1338)</f>
        <v/>
      </c>
      <c r="C90" s="167" t="str">
        <f>IF(nd_BU="All","",_netcalc!$AH$1339)</f>
        <v/>
      </c>
      <c r="D90" s="167" t="str">
        <f>IF(nd_BU="All","",_netcalc!$AH$1340)</f>
        <v/>
      </c>
      <c r="E90" s="167" t="str">
        <f>IF(nd_BU="All","",_netcalc!$AH$1341)</f>
        <v/>
      </c>
      <c r="F90" s="167" t="str">
        <f>IF(nd_BU="All","",_netcalc!$AH$1342)</f>
        <v/>
      </c>
      <c r="G90" s="167" t="str">
        <f>IF(nd_BU="All","",_netcalc!$AH$1343)</f>
        <v/>
      </c>
      <c r="H90" s="167" t="str">
        <f>IF(nd_BU="All","",_netcalc!$AH$1344)</f>
        <v/>
      </c>
      <c r="I90" s="167" t="str">
        <f>IF(nd_BU="All","",_netcalc!$AH$1345)</f>
        <v/>
      </c>
      <c r="J90" s="167" t="str">
        <f>IF(nd_BU="All","",_netcalc!$AH$1346)</f>
        <v/>
      </c>
      <c r="K90" s="167" t="str">
        <f>IF(nd_BU="All","",_netcalc!$AH$1347)</f>
        <v/>
      </c>
      <c r="L90" s="167" t="str">
        <f>IF(nd_BU="All","",_netcalc!$AH$1348)</f>
        <v/>
      </c>
      <c r="M90" s="167" t="str">
        <f>IF(nd_BU="All","",_netcalc!$AH$1349)</f>
        <v/>
      </c>
    </row>
    <row r="91" spans="1:13" x14ac:dyDescent="0.3">
      <c r="A91" s="166" t="str">
        <f>_lists!$B$23</f>
        <v>WI</v>
      </c>
      <c r="B91" s="167" t="str">
        <f>IF(nd_BU="All","",_netcalc!$AH$1394)</f>
        <v/>
      </c>
      <c r="C91" s="167" t="str">
        <f>IF(nd_BU="All","",_netcalc!$AH$1395)</f>
        <v/>
      </c>
      <c r="D91" s="167" t="str">
        <f>IF(nd_BU="All","",_netcalc!$AH$1396)</f>
        <v/>
      </c>
      <c r="E91" s="167" t="str">
        <f>IF(nd_BU="All","",_netcalc!$AH$1397)</f>
        <v/>
      </c>
      <c r="F91" s="167" t="str">
        <f>IF(nd_BU="All","",_netcalc!$AH$1398)</f>
        <v/>
      </c>
      <c r="G91" s="167" t="str">
        <f>IF(nd_BU="All","",_netcalc!$AH$1399)</f>
        <v/>
      </c>
      <c r="H91" s="167" t="str">
        <f>IF(nd_BU="All","",_netcalc!$AH$1400)</f>
        <v/>
      </c>
      <c r="I91" s="167" t="str">
        <f>IF(nd_BU="All","",_netcalc!$AH$1401)</f>
        <v/>
      </c>
      <c r="J91" s="167" t="str">
        <f>IF(nd_BU="All","",_netcalc!$AH$1402)</f>
        <v/>
      </c>
      <c r="K91" s="167" t="str">
        <f>IF(nd_BU="All","",_netcalc!$AH$1403)</f>
        <v/>
      </c>
      <c r="L91" s="167" t="str">
        <f>IF(nd_BU="All","",_netcalc!$AH$1404)</f>
        <v/>
      </c>
      <c r="M91" s="167" t="str">
        <f>IF(nd_BU="All","",_netcalc!$AH$1405)</f>
        <v/>
      </c>
    </row>
    <row r="92" spans="1:13" x14ac:dyDescent="0.3">
      <c r="A92" s="166" t="str">
        <f>_lists!$B$24</f>
        <v/>
      </c>
      <c r="B92" s="167" t="str">
        <f>IF(nd_BU="All","",_netcalc!$AH$1450)</f>
        <v/>
      </c>
      <c r="C92" s="167" t="str">
        <f>IF(nd_BU="All","",_netcalc!$AH$1451)</f>
        <v/>
      </c>
      <c r="D92" s="167" t="str">
        <f>IF(nd_BU="All","",_netcalc!$AH$1452)</f>
        <v/>
      </c>
      <c r="E92" s="167" t="str">
        <f>IF(nd_BU="All","",_netcalc!$AH$1453)</f>
        <v/>
      </c>
      <c r="F92" s="167" t="str">
        <f>IF(nd_BU="All","",_netcalc!$AH$1454)</f>
        <v/>
      </c>
      <c r="G92" s="167" t="str">
        <f>IF(nd_BU="All","",_netcalc!$AH$1455)</f>
        <v/>
      </c>
      <c r="H92" s="167" t="str">
        <f>IF(nd_BU="All","",_netcalc!$AH$1456)</f>
        <v/>
      </c>
      <c r="I92" s="167" t="str">
        <f>IF(nd_BU="All","",_netcalc!$AH$1457)</f>
        <v/>
      </c>
      <c r="J92" s="167" t="str">
        <f>IF(nd_BU="All","",_netcalc!$AH$1458)</f>
        <v/>
      </c>
      <c r="K92" s="167" t="str">
        <f>IF(nd_BU="All","",_netcalc!$AH$1459)</f>
        <v/>
      </c>
      <c r="L92" s="167" t="str">
        <f>IF(nd_BU="All","",_netcalc!$AH$1460)</f>
        <v/>
      </c>
      <c r="M92" s="167" t="str">
        <f>IF(nd_BU="All","",_netcalc!$AH$1461)</f>
        <v/>
      </c>
    </row>
    <row r="93" spans="1:13" x14ac:dyDescent="0.3">
      <c r="A93" s="166" t="str">
        <f>_lists!$B$25</f>
        <v/>
      </c>
      <c r="B93" s="167" t="str">
        <f>IF(nd_BU="All","",_netcalc!$AH$1506)</f>
        <v/>
      </c>
      <c r="C93" s="167" t="str">
        <f>IF(nd_BU="All","",_netcalc!$AH$1507)</f>
        <v/>
      </c>
      <c r="D93" s="167" t="str">
        <f>IF(nd_BU="All","",_netcalc!$AH$1508)</f>
        <v/>
      </c>
      <c r="E93" s="167" t="str">
        <f>IF(nd_BU="All","",_netcalc!$AH$1509)</f>
        <v/>
      </c>
      <c r="F93" s="167" t="str">
        <f>IF(nd_BU="All","",_netcalc!$AH$1510)</f>
        <v/>
      </c>
      <c r="G93" s="167" t="str">
        <f>IF(nd_BU="All","",_netcalc!$AH$1511)</f>
        <v/>
      </c>
      <c r="H93" s="167" t="str">
        <f>IF(nd_BU="All","",_netcalc!$AH$1512)</f>
        <v/>
      </c>
      <c r="I93" s="167" t="str">
        <f>IF(nd_BU="All","",_netcalc!$AH$1513)</f>
        <v/>
      </c>
      <c r="J93" s="167" t="str">
        <f>IF(nd_BU="All","",_netcalc!$AH$1514)</f>
        <v/>
      </c>
      <c r="K93" s="167" t="str">
        <f>IF(nd_BU="All","",_netcalc!$AH$1515)</f>
        <v/>
      </c>
      <c r="L93" s="167" t="str">
        <f>IF(nd_BU="All","",_netcalc!$AH$1516)</f>
        <v/>
      </c>
      <c r="M93" s="167" t="str">
        <f>IF(nd_BU="All","",_netcalc!$AH$1517)</f>
        <v/>
      </c>
    </row>
    <row r="94" spans="1:13" x14ac:dyDescent="0.3">
      <c r="A94" s="166" t="str">
        <f>_lists!$B$26</f>
        <v/>
      </c>
      <c r="B94" s="167" t="str">
        <f>IF(nd_BU="All","",_netcalc!$AH$1562)</f>
        <v/>
      </c>
      <c r="C94" s="167" t="str">
        <f>IF(nd_BU="All","",_netcalc!$AH$1563)</f>
        <v/>
      </c>
      <c r="D94" s="167" t="str">
        <f>IF(nd_BU="All","",_netcalc!$AH$1564)</f>
        <v/>
      </c>
      <c r="E94" s="167" t="str">
        <f>IF(nd_BU="All","",_netcalc!$AH$1565)</f>
        <v/>
      </c>
      <c r="F94" s="167" t="str">
        <f>IF(nd_BU="All","",_netcalc!$AH$1566)</f>
        <v/>
      </c>
      <c r="G94" s="167" t="str">
        <f>IF(nd_BU="All","",_netcalc!$AH$1567)</f>
        <v/>
      </c>
      <c r="H94" s="167" t="str">
        <f>IF(nd_BU="All","",_netcalc!$AH$1568)</f>
        <v/>
      </c>
      <c r="I94" s="167" t="str">
        <f>IF(nd_BU="All","",_netcalc!$AH$1569)</f>
        <v/>
      </c>
      <c r="J94" s="167" t="str">
        <f>IF(nd_BU="All","",_netcalc!$AH$1570)</f>
        <v/>
      </c>
      <c r="K94" s="167" t="str">
        <f>IF(nd_BU="All","",_netcalc!$AH$1571)</f>
        <v/>
      </c>
      <c r="L94" s="167" t="str">
        <f>IF(nd_BU="All","",_netcalc!$AH$1572)</f>
        <v/>
      </c>
      <c r="M94" s="167" t="str">
        <f>IF(nd_BU="All","",_netcalc!$AH$1573)</f>
        <v/>
      </c>
    </row>
    <row r="98" spans="1:13" ht="15.6" x14ac:dyDescent="0.3">
      <c r="A98" s="3" t="s">
        <v>361</v>
      </c>
    </row>
    <row r="99" spans="1:13" x14ac:dyDescent="0.3">
      <c r="A99" s="20" t="s">
        <v>101</v>
      </c>
      <c r="B99" s="13" t="s">
        <v>206</v>
      </c>
      <c r="C99" s="20" t="s">
        <v>104</v>
      </c>
      <c r="D99" s="13" t="s">
        <v>190</v>
      </c>
      <c r="F99" s="25" t="str">
        <f>IF(_netcalc!$D$1591=0,"— not on a net selection (explicit program; see Solver / Scenarios) —","net target "&amp;TEXT(_netcalc!$E$1591,"+0.0%;-0.0%")&amp;"  |  change in force "&amp;IF(ISNUMBER(_netcalc!$F$1642),TEXT(_netcalc!$F$1642,"+0.000%;-0.000%"),"n/a")&amp;"  |  date "&amp;TEXT(_netcalc!$O$1591,"m/d/yy"))</f>
        <v>net target +10.0%  |  change in force +4.000%  |  date 4/1/27</v>
      </c>
    </row>
    <row r="101" spans="1:13" x14ac:dyDescent="0.3">
      <c r="A101" s="178"/>
      <c r="B101" s="179" t="str">
        <f>TEXT(DATE(nr_PlanYear,1,1),"mmm")</f>
        <v>Jan</v>
      </c>
      <c r="C101" s="179" t="str">
        <f>TEXT(DATE(nr_PlanYear,2,1),"mmm")</f>
        <v>Feb</v>
      </c>
      <c r="D101" s="179" t="str">
        <f>TEXT(DATE(nr_PlanYear,3,1),"mmm")</f>
        <v>Mar</v>
      </c>
      <c r="E101" s="179" t="str">
        <f>TEXT(DATE(nr_PlanYear,4,1),"mmm")</f>
        <v>Apr</v>
      </c>
      <c r="F101" s="179" t="str">
        <f>TEXT(DATE(nr_PlanYear,5,1),"mmm")</f>
        <v>May</v>
      </c>
      <c r="G101" s="179" t="str">
        <f>TEXT(DATE(nr_PlanYear,6,1),"mmm")</f>
        <v>Jun</v>
      </c>
      <c r="H101" s="179" t="str">
        <f>TEXT(DATE(nr_PlanYear,7,1),"mmm")</f>
        <v>Jul</v>
      </c>
      <c r="I101" s="179" t="str">
        <f>TEXT(DATE(nr_PlanYear,8,1),"mmm")</f>
        <v>Aug</v>
      </c>
      <c r="J101" s="179" t="str">
        <f>TEXT(DATE(nr_PlanYear,9,1),"mmm")</f>
        <v>Sep</v>
      </c>
      <c r="K101" s="179" t="str">
        <f>TEXT(DATE(nr_PlanYear,10,1),"mmm")</f>
        <v>Oct</v>
      </c>
      <c r="L101" s="179" t="str">
        <f>TEXT(DATE(nr_PlanYear,11,1),"mmm")</f>
        <v>Nov</v>
      </c>
      <c r="M101" s="179" t="str">
        <f>TEXT(DATE(nr_PlanYear,12,1),"mmm")</f>
        <v>Dec</v>
      </c>
    </row>
    <row r="102" spans="1:13" x14ac:dyDescent="0.3">
      <c r="A102" s="20" t="s">
        <v>362</v>
      </c>
      <c r="B102" s="180">
        <f>_netcalc!$H$1618</f>
        <v>1</v>
      </c>
      <c r="C102" s="180">
        <f>_netcalc!$H$1619</f>
        <v>1</v>
      </c>
      <c r="D102" s="180">
        <f>_netcalc!$H$1620</f>
        <v>1</v>
      </c>
      <c r="E102" s="180">
        <f>_netcalc!$H$1621</f>
        <v>1</v>
      </c>
      <c r="F102" s="180">
        <f>_netcalc!$H$1622</f>
        <v>1</v>
      </c>
      <c r="G102" s="180">
        <f>_netcalc!$H$1623</f>
        <v>1</v>
      </c>
      <c r="H102" s="180">
        <f>_netcalc!$H$1624</f>
        <v>1</v>
      </c>
      <c r="I102" s="180">
        <f>_netcalc!$H$1625</f>
        <v>1</v>
      </c>
      <c r="J102" s="180">
        <f>_netcalc!$H$1626</f>
        <v>1</v>
      </c>
      <c r="K102" s="180">
        <f>_netcalc!$H$1627</f>
        <v>1</v>
      </c>
      <c r="L102" s="180">
        <f>_netcalc!$H$1628</f>
        <v>1</v>
      </c>
      <c r="M102" s="180">
        <f>_netcalc!$H$1629</f>
        <v>1</v>
      </c>
    </row>
    <row r="103" spans="1:13" x14ac:dyDescent="0.3">
      <c r="A103" s="20" t="s">
        <v>363</v>
      </c>
      <c r="B103" s="167">
        <f>_netcalc!$AG$1618</f>
        <v>0.10000000000000009</v>
      </c>
      <c r="C103" s="167">
        <f>_netcalc!$AG$1619</f>
        <v>0.10000000000000009</v>
      </c>
      <c r="D103" s="167">
        <f>_netcalc!$AG$1620</f>
        <v>0.10000000000000009</v>
      </c>
      <c r="E103" s="167">
        <f>_netcalc!$AG$1621</f>
        <v>0.14400000000000013</v>
      </c>
      <c r="F103" s="167">
        <f>_netcalc!$AG$1622</f>
        <v>0.14400000000000013</v>
      </c>
      <c r="G103" s="167">
        <f>_netcalc!$AG$1623</f>
        <v>0.14400000000000013</v>
      </c>
      <c r="H103" s="167">
        <f>_netcalc!$AG$1624</f>
        <v>0.14400000000000013</v>
      </c>
      <c r="I103" s="167">
        <f>_netcalc!$AG$1625</f>
        <v>0.14400000000000013</v>
      </c>
      <c r="J103" s="167">
        <f>_netcalc!$AG$1626</f>
        <v>0.14400000000000013</v>
      </c>
      <c r="K103" s="167">
        <f>_netcalc!$AG$1627</f>
        <v>4.0000000000000036E-2</v>
      </c>
      <c r="L103" s="167">
        <f>_netcalc!$AG$1628</f>
        <v>4.0000000000000036E-2</v>
      </c>
      <c r="M103" s="167">
        <f>_netcalc!$AG$1629</f>
        <v>4.0000000000000036E-2</v>
      </c>
    </row>
    <row r="104" spans="1:13" x14ac:dyDescent="0.3">
      <c r="A104" s="20" t="s">
        <v>364</v>
      </c>
      <c r="B104" s="167">
        <f>_netcalc!$AH$1618</f>
        <v>0</v>
      </c>
      <c r="C104" s="167">
        <f>_netcalc!$AH$1619</f>
        <v>0</v>
      </c>
      <c r="D104" s="167">
        <f>_netcalc!$AH$1620</f>
        <v>0</v>
      </c>
      <c r="E104" s="167">
        <f>_netcalc!$AH$1621</f>
        <v>-3.8461538461538436E-2</v>
      </c>
      <c r="F104" s="167">
        <f>_netcalc!$AH$1622</f>
        <v>-3.8461538461538436E-2</v>
      </c>
      <c r="G104" s="167">
        <f>_netcalc!$AH$1623</f>
        <v>-3.8461538461538436E-2</v>
      </c>
      <c r="H104" s="167">
        <f>_netcalc!$AH$1624</f>
        <v>-3.8461538461538436E-2</v>
      </c>
      <c r="I104" s="167">
        <f>_netcalc!$AH$1625</f>
        <v>-3.8461538461538436E-2</v>
      </c>
      <c r="J104" s="167">
        <f>_netcalc!$AH$1626</f>
        <v>-3.8461538461538436E-2</v>
      </c>
      <c r="K104" s="167">
        <f>_netcalc!$AH$1627</f>
        <v>5.7692307692307709E-2</v>
      </c>
      <c r="L104" s="167">
        <f>_netcalc!$AH$1628</f>
        <v>5.7692307692307709E-2</v>
      </c>
      <c r="M104" s="167">
        <f>_netcalc!$AH$1629</f>
        <v>5.7692307692307709E-2</v>
      </c>
    </row>
    <row r="105" spans="1:13" x14ac:dyDescent="0.3">
      <c r="A105" s="20" t="s">
        <v>365</v>
      </c>
      <c r="B105" s="181">
        <f>_netcalc!$AI$1618</f>
        <v>0.90718271334792122</v>
      </c>
      <c r="C105" s="181">
        <f>_netcalc!$AI$1619</f>
        <v>0.90750547045951868</v>
      </c>
      <c r="D105" s="181">
        <f>_netcalc!$AI$1620</f>
        <v>0.90782822757111603</v>
      </c>
      <c r="E105" s="181">
        <f>_netcalc!$AI$1621</f>
        <v>0.87323262077091401</v>
      </c>
      <c r="F105" s="181">
        <f>_netcalc!$AI$1622</f>
        <v>0.87355348426190871</v>
      </c>
      <c r="G105" s="181">
        <f>_netcalc!$AI$1623</f>
        <v>0.87387434775290362</v>
      </c>
      <c r="H105" s="181">
        <f>_netcalc!$AI$1624</f>
        <v>0.87419521124389843</v>
      </c>
      <c r="I105" s="181">
        <f>_netcalc!$AI$1625</f>
        <v>0.87452133479212257</v>
      </c>
      <c r="J105" s="181">
        <f>_netcalc!$AI$1626</f>
        <v>0.87484219828311727</v>
      </c>
      <c r="K105" s="181">
        <f>_netcalc!$AI$1627</f>
        <v>0.96267936795152353</v>
      </c>
      <c r="L105" s="181">
        <f>_netcalc!$AI$1628</f>
        <v>0.9630323177916178</v>
      </c>
      <c r="M105" s="181">
        <f>_netcalc!$AI$1629</f>
        <v>0.96338526763171195</v>
      </c>
    </row>
    <row r="106" spans="1:13" x14ac:dyDescent="0.3">
      <c r="A106" s="20" t="s">
        <v>366</v>
      </c>
      <c r="B106" s="181">
        <f>_netcalc!$O$1618</f>
        <v>0.91117614879649889</v>
      </c>
      <c r="C106" s="181">
        <f>_netcalc!$O$1619</f>
        <v>0.91149890590809635</v>
      </c>
      <c r="D106" s="181">
        <f>_netcalc!$O$1620</f>
        <v>0.9118216630196937</v>
      </c>
      <c r="E106" s="181">
        <f>_netcalc!$O$1621</f>
        <v>0.91215536105032824</v>
      </c>
      <c r="F106" s="181">
        <f>_netcalc!$O$1622</f>
        <v>0.91248905908096278</v>
      </c>
      <c r="G106" s="181">
        <f>_netcalc!$O$1623</f>
        <v>0.91282275711159744</v>
      </c>
      <c r="H106" s="181">
        <f>_netcalc!$O$1624</f>
        <v>0.91315645514223198</v>
      </c>
      <c r="I106" s="181">
        <f>_netcalc!$O$1625</f>
        <v>0.91349562363238512</v>
      </c>
      <c r="J106" s="181">
        <f>_netcalc!$O$1626</f>
        <v>0.91382932166301978</v>
      </c>
      <c r="K106" s="181">
        <f>_netcalc!$O$1627</f>
        <v>0.91416301969365432</v>
      </c>
      <c r="L106" s="181">
        <f>_netcalc!$O$1628</f>
        <v>0.91449671772428887</v>
      </c>
      <c r="M106" s="181">
        <f>_netcalc!$O$1629</f>
        <v>0.91483041575492341</v>
      </c>
    </row>
    <row r="107" spans="1:13" x14ac:dyDescent="0.3">
      <c r="A107" s="20" t="s">
        <v>367</v>
      </c>
      <c r="B107" s="182">
        <f>IF(_netcalc!$AI$1618="","",(_netcalc!$AI$1618-_netcalc!$O$1618)*100)</f>
        <v>-0.39934354485776646</v>
      </c>
      <c r="C107" s="182">
        <f>IF(_netcalc!$AI$1619="","",(_netcalc!$AI$1619-_netcalc!$O$1619)*100)</f>
        <v>-0.39934354485776646</v>
      </c>
      <c r="D107" s="182">
        <f>IF(_netcalc!$AI$1620="","",(_netcalc!$AI$1620-_netcalc!$O$1620)*100)</f>
        <v>-0.39934354485776646</v>
      </c>
      <c r="E107" s="182">
        <f>IF(_netcalc!$AI$1621="","",(_netcalc!$AI$1621-_netcalc!$O$1621)*100)</f>
        <v>-3.8922740279414225</v>
      </c>
      <c r="F107" s="182">
        <f>IF(_netcalc!$AI$1622="","",(_netcalc!$AI$1622-_netcalc!$O$1622)*100)</f>
        <v>-3.8935574819054075</v>
      </c>
      <c r="G107" s="182">
        <f>IF(_netcalc!$AI$1623="","",(_netcalc!$AI$1623-_netcalc!$O$1623)*100)</f>
        <v>-3.8948409358693814</v>
      </c>
      <c r="H107" s="182">
        <f>IF(_netcalc!$AI$1624="","",(_netcalc!$AI$1624-_netcalc!$O$1624)*100)</f>
        <v>-3.8961243898333553</v>
      </c>
      <c r="I107" s="182">
        <f>IF(_netcalc!$AI$1625="","",(_netcalc!$AI$1625-_netcalc!$O$1625)*100)</f>
        <v>-3.897428884026255</v>
      </c>
      <c r="J107" s="182">
        <f>IF(_netcalc!$AI$1626="","",(_netcalc!$AI$1626-_netcalc!$O$1626)*100)</f>
        <v>-3.8987123379902511</v>
      </c>
      <c r="K107" s="182">
        <f>IF(_netcalc!$AI$1627="","",(_netcalc!$AI$1627-_netcalc!$O$1627)*100)</f>
        <v>4.8516348257869213</v>
      </c>
      <c r="L107" s="182">
        <f>IF(_netcalc!$AI$1628="","",(_netcalc!$AI$1628-_netcalc!$O$1628)*100)</f>
        <v>4.8535600067328932</v>
      </c>
      <c r="M107" s="182">
        <f>IF(_netcalc!$AI$1629="","",(_netcalc!$AI$1629-_netcalc!$O$1629)*100)</f>
        <v>4.8554851876788536</v>
      </c>
    </row>
    <row r="109" spans="1:13" x14ac:dyDescent="0.3">
      <c r="A109" s="20" t="s">
        <v>368</v>
      </c>
      <c r="C109" s="106">
        <f>IF(ISNUMBER(_netcalc!$H$1642),_netcalc!$H$1642,"n/a")</f>
        <v>0.89861591847615585</v>
      </c>
    </row>
    <row r="110" spans="1:13" x14ac:dyDescent="0.3">
      <c r="A110" s="20" t="s">
        <v>369</v>
      </c>
      <c r="C110" s="115">
        <f>_netcalc!$N$1642</f>
        <v>0.54263563255155889</v>
      </c>
    </row>
    <row r="111" spans="1:13" x14ac:dyDescent="0.3">
      <c r="A111" s="20" t="s">
        <v>370</v>
      </c>
      <c r="C111" s="118">
        <f>_netcalc!$O$1642</f>
        <v>0.54805984563196153</v>
      </c>
    </row>
    <row r="112" spans="1:13" x14ac:dyDescent="0.3">
      <c r="A112" s="20" t="s">
        <v>371</v>
      </c>
      <c r="C112" s="116">
        <f>IF(OR(NOT(ISNUMBER(_netcalc!$N$1642)),NOT(ISNUMBER(_netcalc!$O$1642))),"n/a",(_netcalc!$N$1642-_netcalc!$O$1642)*100)</f>
        <v>-0.54242130804026401</v>
      </c>
    </row>
    <row r="113" spans="1:1" x14ac:dyDescent="0.3">
      <c r="A113" s="51" t="s">
        <v>372</v>
      </c>
    </row>
    <row r="128" spans="1:1" x14ac:dyDescent="0.3">
      <c r="A128" s="51" t="s">
        <v>373</v>
      </c>
    </row>
    <row r="129" spans="1:5" x14ac:dyDescent="0.3">
      <c r="A129" s="6" t="s">
        <v>374</v>
      </c>
      <c r="B129" s="6" t="s">
        <v>375</v>
      </c>
      <c r="C129" s="6" t="s">
        <v>376</v>
      </c>
      <c r="D129" s="6" t="s">
        <v>377</v>
      </c>
      <c r="E129" s="6" t="s">
        <v>378</v>
      </c>
    </row>
    <row r="130" spans="1:5" x14ac:dyDescent="0.3">
      <c r="A130" s="23" t="str">
        <f>TEXT(DATE(nr_PlanYear,1,1),"mmm")</f>
        <v>Jan</v>
      </c>
      <c r="B130" s="183">
        <f>IF(OR(_netcalc!$AG$1618="",_netcalc!$E$1591=0),"",_netcalc!$E$1591*LN(1+_netcalc!$AG$1618)/LN(1+_netcalc!$E$1591))</f>
        <v>0.10000000000000002</v>
      </c>
      <c r="C130" s="183">
        <f>IF(OR(_netcalc!$AH$1618="",_netcalc!$E$1591=0),"",_netcalc!$E$1591*LN(1+_netcalc!$AH$1618)/LN(1+_netcalc!$E$1591))</f>
        <v>0</v>
      </c>
      <c r="D130" s="183">
        <f>IF(_netcalc!$AG$1618="","",(1+_netcalc!$AG$1618)*IF(_netcalc!$F$1591=1,_netcalc!$O$1618/_netcalc!$O$1606,1)-1)</f>
        <v>0.10484222078838368</v>
      </c>
      <c r="E130" s="183">
        <f>IF(_netcalc!$D$1591=0,"",_netcalc!$E$1591)</f>
        <v>0.1</v>
      </c>
    </row>
    <row r="131" spans="1:5" x14ac:dyDescent="0.3">
      <c r="A131" s="23" t="str">
        <f>TEXT(DATE(nr_PlanYear,2,1),"mmm")</f>
        <v>Feb</v>
      </c>
      <c r="B131" s="183">
        <f>IF(OR(_netcalc!$AG$1619="",_netcalc!$E$1591=0),"",_netcalc!$E$1591*LN(1+_netcalc!$AG$1619)/LN(1+_netcalc!$E$1591))</f>
        <v>0.10000000000000002</v>
      </c>
      <c r="C131" s="183">
        <f>IF(OR(_netcalc!$AH$1619="",_netcalc!$E$1591=0),"",_netcalc!$E$1591*LN(1+_netcalc!$AH$1619)/LN(1+_netcalc!$E$1591))</f>
        <v>0</v>
      </c>
      <c r="D131" s="183">
        <f>IF(_netcalc!$AG$1619="","",(1+_netcalc!$AG$1619)*IF(_netcalc!$F$1591=1,_netcalc!$O$1619/_netcalc!$O$1607,1)-1)</f>
        <v>0.10484049863766809</v>
      </c>
      <c r="E131" s="183">
        <f>IF(_netcalc!$D$1591=0,"",_netcalc!$E$1591)</f>
        <v>0.1</v>
      </c>
    </row>
    <row r="132" spans="1:5" x14ac:dyDescent="0.3">
      <c r="A132" s="23" t="str">
        <f>TEXT(DATE(nr_PlanYear,3,1),"mmm")</f>
        <v>Mar</v>
      </c>
      <c r="B132" s="183">
        <f>IF(OR(_netcalc!$AG$1620="",_netcalc!$E$1591=0),"",_netcalc!$E$1591*LN(1+_netcalc!$AG$1620)/LN(1+_netcalc!$E$1591))</f>
        <v>0.10000000000000002</v>
      </c>
      <c r="C132" s="183">
        <f>IF(OR(_netcalc!$AH$1620="",_netcalc!$E$1591=0),"",_netcalc!$E$1591*LN(1+_netcalc!$AH$1620)/LN(1+_netcalc!$E$1591))</f>
        <v>0</v>
      </c>
      <c r="D132" s="183">
        <f>IF(_netcalc!$AG$1620="","",(1+_netcalc!$AG$1620)*IF(_netcalc!$F$1591=1,_netcalc!$O$1620/_netcalc!$O$1608,1)-1)</f>
        <v>0.10483877771149319</v>
      </c>
      <c r="E132" s="183">
        <f>IF(_netcalc!$D$1591=0,"",_netcalc!$E$1591)</f>
        <v>0.1</v>
      </c>
    </row>
    <row r="133" spans="1:5" x14ac:dyDescent="0.3">
      <c r="A133" s="23" t="str">
        <f>TEXT(DATE(nr_PlanYear,4,1),"mmm")</f>
        <v>Apr</v>
      </c>
      <c r="B133" s="183">
        <f>IF(OR(_netcalc!$AG$1621="",_netcalc!$E$1591=0),"",_netcalc!$E$1591*LN(1+_netcalc!$AG$1621)/LN(1+_netcalc!$E$1591))</f>
        <v>0.14115060241603025</v>
      </c>
      <c r="C133" s="183">
        <f>IF(OR(_netcalc!$AH$1621="",_netcalc!$E$1591=0),"",_netcalc!$E$1591*LN(1+_netcalc!$AH$1621)/LN(1+_netcalc!$E$1591))</f>
        <v>-4.1150602416030198E-2</v>
      </c>
      <c r="D133" s="183">
        <f>IF(_netcalc!$AG$1621="","",(1+_netcalc!$AG$1621)*IF(_netcalc!$F$1591=1,_netcalc!$O$1621/_netcalc!$O$1609,1)-1)</f>
        <v>0.14903047972435757</v>
      </c>
      <c r="E133" s="183">
        <f>IF(_netcalc!$D$1591=0,"",_netcalc!$E$1591)</f>
        <v>0.1</v>
      </c>
    </row>
    <row r="134" spans="1:5" x14ac:dyDescent="0.3">
      <c r="A134" s="23" t="str">
        <f>TEXT(DATE(nr_PlanYear,5,1),"mmm")</f>
        <v>May</v>
      </c>
      <c r="B134" s="183">
        <f>IF(OR(_netcalc!$AG$1622="",_netcalc!$E$1591=0),"",_netcalc!$E$1591*LN(1+_netcalc!$AG$1622)/LN(1+_netcalc!$E$1591))</f>
        <v>0.14115060241603025</v>
      </c>
      <c r="C134" s="183">
        <f>IF(OR(_netcalc!$AH$1622="",_netcalc!$E$1591=0),"",_netcalc!$E$1591*LN(1+_netcalc!$AH$1622)/LN(1+_netcalc!$E$1591))</f>
        <v>-4.1150602416030198E-2</v>
      </c>
      <c r="D134" s="183">
        <f>IF(_netcalc!$AG$1622="","",(1+_netcalc!$AG$1622)*IF(_netcalc!$F$1591=1,_netcalc!$O$1622/_netcalc!$O$1610,1)-1)</f>
        <v>0.14902863198713834</v>
      </c>
      <c r="E134" s="183">
        <f>IF(_netcalc!$D$1591=0,"",_netcalc!$E$1591)</f>
        <v>0.1</v>
      </c>
    </row>
    <row r="135" spans="1:5" x14ac:dyDescent="0.3">
      <c r="A135" s="23" t="str">
        <f>TEXT(DATE(nr_PlanYear,6,1),"mmm")</f>
        <v>Jun</v>
      </c>
      <c r="B135" s="183">
        <f>IF(OR(_netcalc!$AG$1623="",_netcalc!$E$1591=0),"",_netcalc!$E$1591*LN(1+_netcalc!$AG$1623)/LN(1+_netcalc!$E$1591))</f>
        <v>0.14115060241603025</v>
      </c>
      <c r="C135" s="183">
        <f>IF(OR(_netcalc!$AH$1623="",_netcalc!$E$1591=0),"",_netcalc!$E$1591*LN(1+_netcalc!$AH$1623)/LN(1+_netcalc!$E$1591))</f>
        <v>-4.1150602416030198E-2</v>
      </c>
      <c r="D135" s="183">
        <f>IF(_netcalc!$AG$1623="","",(1+_netcalc!$AG$1623)*IF(_netcalc!$F$1591=1,_netcalc!$O$1623/_netcalc!$O$1611,1)-1)</f>
        <v>0.14902678560679949</v>
      </c>
      <c r="E135" s="183">
        <f>IF(_netcalc!$D$1591=0,"",_netcalc!$E$1591)</f>
        <v>0.1</v>
      </c>
    </row>
    <row r="136" spans="1:5" x14ac:dyDescent="0.3">
      <c r="A136" s="23" t="str">
        <f>TEXT(DATE(nr_PlanYear,7,1),"mmm")</f>
        <v>Jul</v>
      </c>
      <c r="B136" s="183">
        <f>IF(OR(_netcalc!$AG$1624="",_netcalc!$E$1591=0),"",_netcalc!$E$1591*LN(1+_netcalc!$AG$1624)/LN(1+_netcalc!$E$1591))</f>
        <v>0.14115060241603025</v>
      </c>
      <c r="C136" s="183">
        <f>IF(OR(_netcalc!$AH$1624="",_netcalc!$E$1591=0),"",_netcalc!$E$1591*LN(1+_netcalc!$AH$1624)/LN(1+_netcalc!$E$1591))</f>
        <v>-4.1150602416030198E-2</v>
      </c>
      <c r="D136" s="183">
        <f>IF(_netcalc!$AG$1624="","",(1+_netcalc!$AG$1624)*IF(_netcalc!$F$1591=1,_netcalc!$O$1624/_netcalc!$O$1612,1)-1)</f>
        <v>0.14902494058184668</v>
      </c>
      <c r="E136" s="183">
        <f>IF(_netcalc!$D$1591=0,"",_netcalc!$E$1591)</f>
        <v>0.1</v>
      </c>
    </row>
    <row r="137" spans="1:5" x14ac:dyDescent="0.3">
      <c r="A137" s="23" t="str">
        <f>TEXT(DATE(nr_PlanYear,8,1),"mmm")</f>
        <v>Aug</v>
      </c>
      <c r="B137" s="183">
        <f>IF(OR(_netcalc!$AG$1625="",_netcalc!$E$1591=0),"",_netcalc!$E$1591*LN(1+_netcalc!$AG$1625)/LN(1+_netcalc!$E$1591))</f>
        <v>0.14115060241603025</v>
      </c>
      <c r="C137" s="183">
        <f>IF(OR(_netcalc!$AH$1625="",_netcalc!$E$1591=0),"",_netcalc!$E$1591*LN(1+_netcalc!$AH$1625)/LN(1+_netcalc!$E$1591))</f>
        <v>-4.1150602416030198E-2</v>
      </c>
      <c r="D137" s="183">
        <f>IF(_netcalc!$AG$1625="","",(1+_netcalc!$AG$1625)*IF(_netcalc!$F$1591=1,_netcalc!$O$1625/_netcalc!$O$1613,1)-1)</f>
        <v>0.14902306669794352</v>
      </c>
      <c r="E137" s="183">
        <f>IF(_netcalc!$D$1591=0,"",_netcalc!$E$1591)</f>
        <v>0.1</v>
      </c>
    </row>
    <row r="138" spans="1:5" x14ac:dyDescent="0.3">
      <c r="A138" s="23" t="str">
        <f>TEXT(DATE(nr_PlanYear,9,1),"mmm")</f>
        <v>Sep</v>
      </c>
      <c r="B138" s="183">
        <f>IF(OR(_netcalc!$AG$1626="",_netcalc!$E$1591=0),"",_netcalc!$E$1591*LN(1+_netcalc!$AG$1626)/LN(1+_netcalc!$E$1591))</f>
        <v>0.14115060241603025</v>
      </c>
      <c r="C138" s="183">
        <f>IF(OR(_netcalc!$AH$1626="",_netcalc!$E$1591=0),"",_netcalc!$E$1591*LN(1+_netcalc!$AH$1626)/LN(1+_netcalc!$E$1591))</f>
        <v>-4.1150602416030198E-2</v>
      </c>
      <c r="D138" s="183">
        <f>IF(_netcalc!$AG$1626="","",(1+_netcalc!$AG$1626)*IF(_netcalc!$F$1591=1,_netcalc!$O$1626/_netcalc!$O$1614,1)-1)</f>
        <v>0.14902122440144794</v>
      </c>
      <c r="E138" s="183">
        <f>IF(_netcalc!$D$1591=0,"",_netcalc!$E$1591)</f>
        <v>0.1</v>
      </c>
    </row>
    <row r="139" spans="1:5" x14ac:dyDescent="0.3">
      <c r="A139" s="23" t="str">
        <f>TEXT(DATE(nr_PlanYear,10,1),"mmm")</f>
        <v>Oct</v>
      </c>
      <c r="B139" s="183">
        <f>IF(OR(_netcalc!$AG$1627="",_netcalc!$E$1591=0),"",_netcalc!$E$1591*LN(1+_netcalc!$AG$1627)/LN(1+_netcalc!$E$1591))</f>
        <v>4.1150602416030274E-2</v>
      </c>
      <c r="C139" s="183">
        <f>IF(OR(_netcalc!$AH$1627="",_netcalc!$E$1591=0),"",_netcalc!$E$1591*LN(1+_netcalc!$AH$1627)/LN(1+_netcalc!$E$1591))</f>
        <v>5.8849397583969704E-2</v>
      </c>
      <c r="D139" s="183">
        <f>IF(_netcalc!$AG$1627="","",(1+_netcalc!$AG$1627)*IF(_netcalc!$F$1591=1,_netcalc!$O$1627/_netcalc!$O$1615,1)-1)</f>
        <v>4.456307586894992E-2</v>
      </c>
      <c r="E139" s="183">
        <f>IF(_netcalc!$D$1591=0,"",_netcalc!$E$1591)</f>
        <v>0.1</v>
      </c>
    </row>
    <row r="140" spans="1:5" x14ac:dyDescent="0.3">
      <c r="A140" s="23" t="str">
        <f>TEXT(DATE(nr_PlanYear,11,1),"mmm")</f>
        <v>Nov</v>
      </c>
      <c r="B140" s="183">
        <f>IF(OR(_netcalc!$AG$1628="",_netcalc!$E$1591=0),"",_netcalc!$E$1591*LN(1+_netcalc!$AG$1628)/LN(1+_netcalc!$E$1591))</f>
        <v>4.1150602416030274E-2</v>
      </c>
      <c r="C140" s="183">
        <f>IF(OR(_netcalc!$AH$1628="",_netcalc!$E$1591=0),"",_netcalc!$E$1591*LN(1+_netcalc!$AH$1628)/LN(1+_netcalc!$E$1591))</f>
        <v>5.8849397583969704E-2</v>
      </c>
      <c r="D140" s="183">
        <f>IF(_netcalc!$AG$1628="","",(1+_netcalc!$AG$1628)*IF(_netcalc!$F$1591=1,_netcalc!$O$1628/_netcalc!$O$1616,1)-1)</f>
        <v>4.4561403508771802E-2</v>
      </c>
      <c r="E140" s="183">
        <f>IF(_netcalc!$D$1591=0,"",_netcalc!$E$1591)</f>
        <v>0.1</v>
      </c>
    </row>
    <row r="141" spans="1:5" x14ac:dyDescent="0.3">
      <c r="A141" s="23" t="str">
        <f>TEXT(DATE(nr_PlanYear,12,1),"mmm")</f>
        <v>Dec</v>
      </c>
      <c r="B141" s="183">
        <f>IF(OR(_netcalc!$AG$1629="",_netcalc!$E$1591=0),"",_netcalc!$E$1591*LN(1+_netcalc!$AG$1629)/LN(1+_netcalc!$E$1591))</f>
        <v>4.1150602416030274E-2</v>
      </c>
      <c r="C141" s="183">
        <f>IF(OR(_netcalc!$AH$1629="",_netcalc!$E$1591=0),"",_netcalc!$E$1591*LN(1+_netcalc!$AH$1629)/LN(1+_netcalc!$E$1591))</f>
        <v>5.8849397583969704E-2</v>
      </c>
      <c r="D141" s="183">
        <f>IF(_netcalc!$AG$1629="","",(1+_netcalc!$AG$1629)*IF(_netcalc!$F$1591=1,_netcalc!$O$1629/_netcalc!$O$1617,1)-1)</f>
        <v>4.4559732373979699E-2</v>
      </c>
      <c r="E141" s="183">
        <f>IF(_netcalc!$D$1591=0,"",_netcalc!$E$1591)</f>
        <v>0.1</v>
      </c>
    </row>
  </sheetData>
  <conditionalFormatting sqref="B71:M94">
    <cfRule type="colorScale" priority="1">
      <colorScale>
        <cfvo type="min"/>
        <cfvo type="percentile" val="50"/>
        <cfvo type="max"/>
        <color rgb="FFD6E8D5"/>
        <color rgb="FFFFF2CC"/>
        <color rgb="FFF4B8B8"/>
      </colorScale>
    </cfRule>
  </conditionalFormatting>
  <dataValidations count="5">
    <dataValidation type="list" showErrorMessage="1" sqref="B5" xr:uid="{00000000-0002-0000-0700-000000000000}">
      <formula1>lst_bu_all</formula1>
    </dataValidation>
    <dataValidation type="date" allowBlank="1" showErrorMessage="1" error="The rate-change date must lie inside the plan year (prior-year vehicles belong in the Rate Log)." sqref="D9 D10 D11 D12 D13 D14 D15 D16 D17 D18 D19 D20 D21 D22 D23 D24 D25 D26 D27 D28 D29 D30 D31 D32" xr:uid="{00000000-0002-0000-0700-000001000000}">
      <formula1>DATE(2027,1,1)</formula1>
      <formula2>DATE(2027,12,31)</formula2>
    </dataValidation>
    <dataValidation type="decimal" allowBlank="1" showErrorMessage="1" error="Enter a decimal fraction in [-50%, +200%]." sqref="E9 E10 E11 E12 E13 E14 E15 E16 E17 E18 E19 E20 E21 E22 E23 E24 E25 E26 E27 E28 E29 E30 E31 E32" xr:uid="{00000000-0002-0000-0700-000002000000}">
      <formula1>-0.5</formula1>
      <formula2>2</formula2>
    </dataValidation>
    <dataValidation type="list" allowBlank="1" sqref="B99" xr:uid="{00000000-0002-0000-0700-000003000000}">
      <formula1>lst_bu</formula1>
    </dataValidation>
    <dataValidation type="list" allowBlank="1" sqref="D99" xr:uid="{00000000-0002-0000-0700-000004000000}">
      <formula1>lst_state</formula1>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pageSetUpPr fitToPage="1"/>
  </sheetPr>
  <dimension ref="B2:H66"/>
  <sheetViews>
    <sheetView showGridLines="0" workbookViewId="0">
      <pane ySplit="7" topLeftCell="A8" activePane="bottomLeft" state="frozen"/>
      <selection pane="bottomLeft"/>
    </sheetView>
  </sheetViews>
  <sheetFormatPr defaultRowHeight="14.4" outlineLevelRow="1" x14ac:dyDescent="0.3"/>
  <cols>
    <col min="1" max="1" width="2" customWidth="1"/>
    <col min="2" max="2" width="34" customWidth="1"/>
    <col min="3" max="3" width="13" customWidth="1"/>
    <col min="4" max="4" width="12" customWidth="1"/>
    <col min="5" max="5" width="11" customWidth="1"/>
    <col min="6" max="6" width="12" customWidth="1"/>
    <col min="7" max="7" width="13" customWidth="1"/>
    <col min="8" max="8" width="11" customWidth="1"/>
  </cols>
  <sheetData>
    <row r="2" spans="2:8" ht="21" x14ac:dyDescent="0.3">
      <c r="B2" s="1" t="s">
        <v>379</v>
      </c>
    </row>
    <row r="3" spans="2:8" x14ac:dyDescent="0.3">
      <c r="B3" s="2" t="s">
        <v>380</v>
      </c>
    </row>
    <row r="4" spans="2:8" x14ac:dyDescent="0.3">
      <c r="E4" s="20" t="s">
        <v>381</v>
      </c>
      <c r="F4" s="184" t="str">
        <f>nr_SelKey</f>
        <v>ABD|AZ</v>
      </c>
      <c r="H4" s="155" t="str">
        <f>HYPERLINK("#Control!C7","Change BU/state selection &gt;")</f>
        <v>Change BU/state selection &gt;</v>
      </c>
    </row>
    <row r="5" spans="2:8" ht="18" x14ac:dyDescent="0.35">
      <c r="B5" s="185" t="str">
        <f>IF(nr_SelOK,"Projected "&amp;TEXT(nr_LRproj,"0.0%")&amp;"  -&gt;  CY "&amp;nr_PlanYear&amp;" plan "&amp;TEXT(nr_CYLR_P,"0.0%")&amp;"   ("&amp;TEXT((nr_CYLR_P-nr_LRcur)*100,"+0.0;-0.0;0.0")&amp;" pts vs current level)","Select a BU and state that exist in tbl_LR to see the bridge.")</f>
        <v>Projected 65.0%  -&gt;  CY 2027 plan 61.8%   (-3.2 pts vs current level)</v>
      </c>
      <c r="C5" s="34"/>
      <c r="D5" s="34"/>
      <c r="E5" s="34"/>
      <c r="F5" s="34"/>
      <c r="G5" s="34"/>
      <c r="H5" s="34"/>
    </row>
    <row r="6" spans="2:8" x14ac:dyDescent="0.3">
      <c r="B6" s="51" t="s">
        <v>382</v>
      </c>
    </row>
    <row r="7" spans="2:8" ht="15.6" x14ac:dyDescent="0.3">
      <c r="B7" s="3" t="s">
        <v>383</v>
      </c>
    </row>
    <row r="8" spans="2:8" x14ac:dyDescent="0.3">
      <c r="B8" s="56" t="s">
        <v>384</v>
      </c>
      <c r="C8" s="56" t="str">
        <f>"Factor "&amp;nr_PlanYear</f>
        <v>Factor 2027</v>
      </c>
      <c r="D8" s="56" t="str">
        <f>"LR after ("&amp;nr_PlanYear&amp;")"</f>
        <v>LR after (2027)</v>
      </c>
      <c r="E8" s="56" t="str">
        <f>"Step ("&amp;nr_PlanYear&amp;")"</f>
        <v>Step (2027)</v>
      </c>
      <c r="F8" s="56" t="str">
        <f>"Factor "&amp;(nr_PlanYear+1)</f>
        <v>Factor 2028</v>
      </c>
      <c r="G8" s="56" t="str">
        <f>"LR after ("&amp;(nr_PlanYear+1)&amp;")"</f>
        <v>LR after (2028)</v>
      </c>
      <c r="H8" s="56" t="str">
        <f>"Step ("&amp;(nr_PlanYear+1)&amp;")"</f>
        <v>Step (2028)</v>
      </c>
    </row>
    <row r="9" spans="2:8" x14ac:dyDescent="0.3">
      <c r="B9" s="20" t="s">
        <v>257</v>
      </c>
      <c r="D9" s="46">
        <f>nr_LRproj</f>
        <v>0.65</v>
      </c>
      <c r="G9" s="46">
        <f>nr_LRproj</f>
        <v>0.65</v>
      </c>
    </row>
    <row r="10" spans="2:8" x14ac:dyDescent="0.3">
      <c r="B10" s="20" t="s">
        <v>385</v>
      </c>
      <c r="C10" s="50">
        <f>IF(nr_Basis="proposed",1+nr_SelS,1)</f>
        <v>1</v>
      </c>
      <c r="D10" s="46">
        <f>$D9*$C10</f>
        <v>0.65</v>
      </c>
      <c r="E10" s="186">
        <f>($D10-$D9)*100</f>
        <v>0</v>
      </c>
      <c r="F10" s="50">
        <f>IF(nr_Basis="proposed",1+nr_SelS,1)</f>
        <v>1</v>
      </c>
      <c r="G10" s="46">
        <f>$G9*$F10</f>
        <v>0.65</v>
      </c>
      <c r="H10" s="186">
        <f>($G10-$G9)*100</f>
        <v>0</v>
      </c>
    </row>
    <row r="11" spans="2:8" x14ac:dyDescent="0.3">
      <c r="B11" s="20" t="str">
        <f>"Net trend (applies to "&amp;(nr_PlanYear+1)&amp;" only)"</f>
        <v>Net trend (applies to 2028 only)</v>
      </c>
      <c r="C11" s="50">
        <f>1</f>
        <v>1</v>
      </c>
      <c r="D11" s="46">
        <f>$D10*$C11</f>
        <v>0.65</v>
      </c>
      <c r="E11" s="186">
        <f>($D11-$D10)*100</f>
        <v>0</v>
      </c>
      <c r="F11" s="50">
        <f>1+nr_Trend</f>
        <v>1</v>
      </c>
      <c r="G11" s="46">
        <f>$G10*$F11</f>
        <v>0.65</v>
      </c>
      <c r="H11" s="186">
        <f>($G11-$G10)*100</f>
        <v>0</v>
      </c>
    </row>
    <row r="12" spans="2:8" x14ac:dyDescent="0.3">
      <c r="B12" s="20" t="str">
        <f>IF(nr_NetMode,"Rate + price earn-in (net)  A_net","Rate earn-in  A_rate")</f>
        <v>Rate earn-in  A_rate</v>
      </c>
      <c r="C12" s="50">
        <f>nr_Arate_P</f>
        <v>0.97560975609756095</v>
      </c>
      <c r="D12" s="46">
        <f>$D11*$C12</f>
        <v>0.63414634146341464</v>
      </c>
      <c r="E12" s="186">
        <f>($D12-$D11)*100</f>
        <v>-1.585365853658538</v>
      </c>
      <c r="F12" s="50">
        <f>nr_Arate_P1</f>
        <v>0.95238095238095233</v>
      </c>
      <c r="G12" s="46">
        <f>$G11*$F12</f>
        <v>0.61904761904761907</v>
      </c>
      <c r="H12" s="186">
        <f>($G12-$G11)*100</f>
        <v>-3.0952380952380953</v>
      </c>
    </row>
    <row r="13" spans="2:8" x14ac:dyDescent="0.3">
      <c r="B13" s="20" t="str">
        <f>IF(nr_NetMode,"Mod drift (merged into A_net)","Schedule mod drift  A_mod")</f>
        <v>Schedule mod drift  A_mod</v>
      </c>
      <c r="C13" s="50">
        <f>nr_Amod_P</f>
        <v>0.97479571511472884</v>
      </c>
      <c r="D13" s="46">
        <f>$D12*$C13</f>
        <v>0.61816313641421827</v>
      </c>
      <c r="E13" s="186">
        <f>($D13-$D12)*100</f>
        <v>-1.598320504919637</v>
      </c>
      <c r="F13" s="50">
        <f>nr_Amod_P1</f>
        <v>0.95615127267356836</v>
      </c>
      <c r="G13" s="46">
        <f>$G12*$F13</f>
        <v>0.59190316879792326</v>
      </c>
      <c r="H13" s="186">
        <f>($G13-$G12)*100</f>
        <v>-2.7144450249695806</v>
      </c>
    </row>
    <row r="14" spans="2:8" x14ac:dyDescent="0.3">
      <c r="B14" s="20" t="s">
        <v>386</v>
      </c>
      <c r="C14" s="50">
        <f>nr_AOther</f>
        <v>1</v>
      </c>
      <c r="D14" s="46">
        <f>$D13*$C14</f>
        <v>0.61816313641421827</v>
      </c>
      <c r="E14" s="186">
        <f>($D14-$D13)*100</f>
        <v>0</v>
      </c>
      <c r="F14" s="50">
        <f>nr_AOther</f>
        <v>1</v>
      </c>
      <c r="G14" s="46">
        <f>$G13*$F14</f>
        <v>0.59190316879792326</v>
      </c>
      <c r="H14" s="186">
        <f>($G14-$G13)*100</f>
        <v>0</v>
      </c>
    </row>
    <row r="15" spans="2:8" x14ac:dyDescent="0.3">
      <c r="B15" s="8" t="s">
        <v>144</v>
      </c>
      <c r="D15" s="92">
        <f>$D14</f>
        <v>0.61816313641421827</v>
      </c>
      <c r="E15" s="94">
        <f>($D15-$D9)*100</f>
        <v>-3.1836863585781749</v>
      </c>
      <c r="G15" s="92">
        <f>$G14</f>
        <v>0.59190316879792326</v>
      </c>
      <c r="H15" s="94">
        <f>($G15-$G9)*100</f>
        <v>-5.8096831202076764</v>
      </c>
    </row>
    <row r="17" spans="2:7" ht="70.95" customHeight="1" x14ac:dyDescent="0.3">
      <c r="B17" s="27" t="s">
        <v>387</v>
      </c>
    </row>
    <row r="19" spans="2:7" ht="15.6" x14ac:dyDescent="0.3">
      <c r="B19" s="3" t="s">
        <v>388</v>
      </c>
    </row>
    <row r="20" spans="2:7" x14ac:dyDescent="0.3">
      <c r="B20" s="20" t="str">
        <f>"CY earned rate chg vs indication level"</f>
        <v>CY earned rate chg vs indication level</v>
      </c>
      <c r="D20" s="84">
        <f>nr_EChgVsInd</f>
        <v>2.5000000000000133E-2</v>
      </c>
    </row>
    <row r="21" spans="2:7" x14ac:dyDescent="0.3">
      <c r="B21" s="20" t="str">
        <f>"Earned rate chg "&amp;(nr_PlanYear-1)&amp;" -&gt; "&amp;nr_PlanYear</f>
        <v>Earned rate chg 2026 -&gt; 2027</v>
      </c>
      <c r="D21" s="84">
        <f>nr_YoY_P</f>
        <v>7.0443349753694706E-2</v>
      </c>
    </row>
    <row r="22" spans="2:7" x14ac:dyDescent="0.3">
      <c r="B22" s="20" t="str">
        <f>"Earned rate chg "&amp;nr_PlanYear&amp;" -&gt; "&amp;(nr_PlanYear+1)&amp;" (carryover + new actions)"</f>
        <v>Earned rate chg 2027 -&gt; 2028 (carryover + new actions)</v>
      </c>
      <c r="D22" s="84">
        <f>nr_YoY_P1</f>
        <v>2.4390243902439046E-2</v>
      </c>
    </row>
    <row r="24" spans="2:7" ht="15.6" x14ac:dyDescent="0.3">
      <c r="B24" s="3" t="s">
        <v>389</v>
      </c>
      <c r="F24" s="19" t="str">
        <f>HYPERLINK("#'Rate Log'!A1","edit these on the Rate Log &gt;")</f>
        <v>edit these on the Rate Log &gt;</v>
      </c>
    </row>
    <row r="25" spans="2:7" x14ac:dyDescent="0.3">
      <c r="B25" s="58" t="s">
        <v>390</v>
      </c>
      <c r="C25" s="58" t="s">
        <v>391</v>
      </c>
      <c r="D25" s="58" t="s">
        <v>392</v>
      </c>
      <c r="E25" s="58" t="s">
        <v>393</v>
      </c>
      <c r="F25" s="58" t="s">
        <v>394</v>
      </c>
      <c r="G25" s="58" t="s">
        <v>395</v>
      </c>
    </row>
    <row r="26" spans="2:7" x14ac:dyDescent="0.3">
      <c r="B26" s="187">
        <v>1</v>
      </c>
      <c r="C26" s="188">
        <f>IF(COUNTIFS(rl_key,nr_SelKey,rl_seq,1)=0,"",SUMIFS(rl_eff,rl_key,nr_SelKey,rl_seq,1))</f>
        <v>45839</v>
      </c>
      <c r="D26" s="46">
        <f>IF(COUNTIFS(rl_key,nr_SelKey,rl_seq,1)=0,"",SUMIFS(rl_filed,rl_key,nr_SelKey,rl_seq,1))</f>
        <v>0.04</v>
      </c>
      <c r="E26" s="89" t="str">
        <f>IF(COUNTIFS(rl_key,nr_SelKey,rl_seq,1)=0,"",IF(COUNTIFS(rl_key,nr_SelKey,rl_seq,1,rl_status,"planned")&gt;0,"planned","taken"))</f>
        <v>taken</v>
      </c>
      <c r="F26" s="89" t="str">
        <f>IF(COUNTIFS(rl_key,nr_SelKey,rl_seq,1)=0,"",IF(COUNTIFS(rl_key,nr_SelKey,rl_seq,1,rl_cons,"Y")&gt;0,"Y","N"))</f>
        <v>Y</v>
      </c>
      <c r="G26" s="53">
        <f>IF(COUNTIFS(rl_key,nr_SelKey,rl_seq,1)=0,"",SUMIFS(rl_reff,rl_key,nr_SelKey,rl_seq,1))</f>
        <v>0.04</v>
      </c>
    </row>
    <row r="27" spans="2:7" x14ac:dyDescent="0.3">
      <c r="B27" s="187">
        <v>2</v>
      </c>
      <c r="C27" s="188">
        <f>IF(COUNTIFS(rl_key,nr_SelKey,rl_seq,2)=0,"",SUMIFS(rl_eff,rl_key,nr_SelKey,rl_seq,2))</f>
        <v>46204</v>
      </c>
      <c r="D27" s="46">
        <f>IF(COUNTIFS(rl_key,nr_SelKey,rl_seq,2)=0,"",SUMIFS(rl_filed,rl_key,nr_SelKey,rl_seq,2))</f>
        <v>0.06</v>
      </c>
      <c r="E27" s="89" t="str">
        <f>IF(COUNTIFS(rl_key,nr_SelKey,rl_seq,2)=0,"",IF(COUNTIFS(rl_key,nr_SelKey,rl_seq,2,rl_status,"planned")&gt;0,"planned","taken"))</f>
        <v>taken</v>
      </c>
      <c r="F27" s="89" t="str">
        <f>IF(COUNTIFS(rl_key,nr_SelKey,rl_seq,2)=0,"",IF(COUNTIFS(rl_key,nr_SelKey,rl_seq,2,rl_cons,"Y")&gt;0,"Y","N"))</f>
        <v>Y</v>
      </c>
      <c r="G27" s="53">
        <f>IF(COUNTIFS(rl_key,nr_SelKey,rl_seq,2)=0,"",SUMIFS(rl_reff,rl_key,nr_SelKey,rl_seq,2))</f>
        <v>0.06</v>
      </c>
    </row>
    <row r="28" spans="2:7" x14ac:dyDescent="0.3">
      <c r="B28" s="187">
        <v>3</v>
      </c>
      <c r="C28" s="188">
        <f>IF(COUNTIFS(rl_key,nr_SelKey,rl_seq,3)=0,"",SUMIFS(rl_eff,rl_key,nr_SelKey,rl_seq,3))</f>
        <v>46478</v>
      </c>
      <c r="D28" s="46">
        <f>IF(COUNTIFS(rl_key,nr_SelKey,rl_seq,3)=0,"",SUMIFS(rl_filed,rl_key,nr_SelKey,rl_seq,3))</f>
        <v>0.05</v>
      </c>
      <c r="E28" s="89" t="str">
        <f>IF(COUNTIFS(rl_key,nr_SelKey,rl_seq,3)=0,"",IF(COUNTIFS(rl_key,nr_SelKey,rl_seq,3,rl_status,"planned")&gt;0,"planned","taken"))</f>
        <v>planned</v>
      </c>
      <c r="F28" s="89" t="str">
        <f>IF(COUNTIFS(rl_key,nr_SelKey,rl_seq,3)=0,"",IF(COUNTIFS(rl_key,nr_SelKey,rl_seq,3,rl_cons,"Y")&gt;0,"Y","N"))</f>
        <v>N</v>
      </c>
      <c r="G28" s="53">
        <f>IF(COUNTIFS(rl_key,nr_SelKey,rl_seq,3)=0,"",SUMIFS(rl_reff,rl_key,nr_SelKey,rl_seq,3))</f>
        <v>0.05</v>
      </c>
    </row>
    <row r="29" spans="2:7" x14ac:dyDescent="0.3">
      <c r="B29" s="187">
        <v>4</v>
      </c>
      <c r="C29" s="188" t="str">
        <f>IF(COUNTIFS(rl_key,nr_SelKey,rl_seq,4)=0,"",SUMIFS(rl_eff,rl_key,nr_SelKey,rl_seq,4))</f>
        <v/>
      </c>
      <c r="D29" s="46" t="str">
        <f>IF(COUNTIFS(rl_key,nr_SelKey,rl_seq,4)=0,"",SUMIFS(rl_filed,rl_key,nr_SelKey,rl_seq,4))</f>
        <v/>
      </c>
      <c r="E29" s="89" t="str">
        <f>IF(COUNTIFS(rl_key,nr_SelKey,rl_seq,4)=0,"",IF(COUNTIFS(rl_key,nr_SelKey,rl_seq,4,rl_status,"planned")&gt;0,"planned","taken"))</f>
        <v/>
      </c>
      <c r="F29" s="89" t="str">
        <f>IF(COUNTIFS(rl_key,nr_SelKey,rl_seq,4)=0,"",IF(COUNTIFS(rl_key,nr_SelKey,rl_seq,4,rl_cons,"Y")&gt;0,"Y","N"))</f>
        <v/>
      </c>
      <c r="G29" s="53" t="str">
        <f>IF(COUNTIFS(rl_key,nr_SelKey,rl_seq,4)=0,"",SUMIFS(rl_reff,rl_key,nr_SelKey,rl_seq,4))</f>
        <v/>
      </c>
    </row>
    <row r="30" spans="2:7" x14ac:dyDescent="0.3">
      <c r="B30" s="187">
        <v>5</v>
      </c>
      <c r="C30" s="188" t="str">
        <f>IF(COUNTIFS(rl_key,nr_SelKey,rl_seq,5)=0,"",SUMIFS(rl_eff,rl_key,nr_SelKey,rl_seq,5))</f>
        <v/>
      </c>
      <c r="D30" s="46" t="str">
        <f>IF(COUNTIFS(rl_key,nr_SelKey,rl_seq,5)=0,"",SUMIFS(rl_filed,rl_key,nr_SelKey,rl_seq,5))</f>
        <v/>
      </c>
      <c r="E30" s="89" t="str">
        <f>IF(COUNTIFS(rl_key,nr_SelKey,rl_seq,5)=0,"",IF(COUNTIFS(rl_key,nr_SelKey,rl_seq,5,rl_status,"planned")&gt;0,"planned","taken"))</f>
        <v/>
      </c>
      <c r="F30" s="89" t="str">
        <f>IF(COUNTIFS(rl_key,nr_SelKey,rl_seq,5)=0,"",IF(COUNTIFS(rl_key,nr_SelKey,rl_seq,5,rl_cons,"Y")&gt;0,"Y","N"))</f>
        <v/>
      </c>
      <c r="G30" s="53" t="str">
        <f>IF(COUNTIFS(rl_key,nr_SelKey,rl_seq,5)=0,"",SUMIFS(rl_reff,rl_key,nr_SelKey,rl_seq,5))</f>
        <v/>
      </c>
    </row>
    <row r="31" spans="2:7" x14ac:dyDescent="0.3">
      <c r="B31" s="187">
        <v>6</v>
      </c>
      <c r="C31" s="188" t="str">
        <f>IF(COUNTIFS(rl_key,nr_SelKey,rl_seq,6)=0,"",SUMIFS(rl_eff,rl_key,nr_SelKey,rl_seq,6))</f>
        <v/>
      </c>
      <c r="D31" s="46" t="str">
        <f>IF(COUNTIFS(rl_key,nr_SelKey,rl_seq,6)=0,"",SUMIFS(rl_filed,rl_key,nr_SelKey,rl_seq,6))</f>
        <v/>
      </c>
      <c r="E31" s="89" t="str">
        <f>IF(COUNTIFS(rl_key,nr_SelKey,rl_seq,6)=0,"",IF(COUNTIFS(rl_key,nr_SelKey,rl_seq,6,rl_status,"planned")&gt;0,"planned","taken"))</f>
        <v/>
      </c>
      <c r="F31" s="89" t="str">
        <f>IF(COUNTIFS(rl_key,nr_SelKey,rl_seq,6)=0,"",IF(COUNTIFS(rl_key,nr_SelKey,rl_seq,6,rl_cons,"Y")&gt;0,"Y","N"))</f>
        <v/>
      </c>
      <c r="G31" s="53" t="str">
        <f>IF(COUNTIFS(rl_key,nr_SelKey,rl_seq,6)=0,"",SUMIFS(rl_reff,rl_key,nr_SelKey,rl_seq,6))</f>
        <v/>
      </c>
    </row>
    <row r="32" spans="2:7" x14ac:dyDescent="0.3">
      <c r="B32" s="187">
        <v>7</v>
      </c>
      <c r="C32" s="188" t="str">
        <f>IF(COUNTIFS(rl_key,nr_SelKey,rl_seq,7)=0,"",SUMIFS(rl_eff,rl_key,nr_SelKey,rl_seq,7))</f>
        <v/>
      </c>
      <c r="D32" s="46" t="str">
        <f>IF(COUNTIFS(rl_key,nr_SelKey,rl_seq,7)=0,"",SUMIFS(rl_filed,rl_key,nr_SelKey,rl_seq,7))</f>
        <v/>
      </c>
      <c r="E32" s="89" t="str">
        <f>IF(COUNTIFS(rl_key,nr_SelKey,rl_seq,7)=0,"",IF(COUNTIFS(rl_key,nr_SelKey,rl_seq,7,rl_status,"planned")&gt;0,"planned","taken"))</f>
        <v/>
      </c>
      <c r="F32" s="89" t="str">
        <f>IF(COUNTIFS(rl_key,nr_SelKey,rl_seq,7)=0,"",IF(COUNTIFS(rl_key,nr_SelKey,rl_seq,7,rl_cons,"Y")&gt;0,"Y","N"))</f>
        <v/>
      </c>
      <c r="G32" s="53" t="str">
        <f>IF(COUNTIFS(rl_key,nr_SelKey,rl_seq,7)=0,"",SUMIFS(rl_reff,rl_key,nr_SelKey,rl_seq,7))</f>
        <v/>
      </c>
    </row>
    <row r="33" spans="2:7" x14ac:dyDescent="0.3">
      <c r="B33" s="187">
        <v>8</v>
      </c>
      <c r="C33" s="188" t="str">
        <f>IF(COUNTIFS(rl_key,nr_SelKey,rl_seq,8)=0,"",SUMIFS(rl_eff,rl_key,nr_SelKey,rl_seq,8))</f>
        <v/>
      </c>
      <c r="D33" s="46" t="str">
        <f>IF(COUNTIFS(rl_key,nr_SelKey,rl_seq,8)=0,"",SUMIFS(rl_filed,rl_key,nr_SelKey,rl_seq,8))</f>
        <v/>
      </c>
      <c r="E33" s="89" t="str">
        <f>IF(COUNTIFS(rl_key,nr_SelKey,rl_seq,8)=0,"",IF(COUNTIFS(rl_key,nr_SelKey,rl_seq,8,rl_status,"planned")&gt;0,"planned","taken"))</f>
        <v/>
      </c>
      <c r="F33" s="89" t="str">
        <f>IF(COUNTIFS(rl_key,nr_SelKey,rl_seq,8)=0,"",IF(COUNTIFS(rl_key,nr_SelKey,rl_seq,8,rl_cons,"Y")&gt;0,"Y","N"))</f>
        <v/>
      </c>
      <c r="G33" s="53" t="str">
        <f>IF(COUNTIFS(rl_key,nr_SelKey,rl_seq,8)=0,"",SUMIFS(rl_reff,rl_key,nr_SelKey,rl_seq,8))</f>
        <v/>
      </c>
    </row>
    <row r="34" spans="2:7" x14ac:dyDescent="0.3">
      <c r="B34" s="51" t="str">
        <f>IF(COUNTIFS(rl_key,nr_SelKey)&gt;8,"Showing the first 8 of "&amp;COUNTIFS(rl_key,nr_SelKey)&amp;" changes - see the rate log for the rest.",IF(nr_NetMode,"Net selection active: planned rows on/after 1/1 of the plan year are superseded (D39).",""))</f>
        <v/>
      </c>
    </row>
    <row r="35" spans="2:7" x14ac:dyDescent="0.3">
      <c r="B35" s="189" t="str">
        <f>IF(NOT(nr_NetMode),"","If you booked the logged program instead of asserting the net target, CY "&amp;nr_PlanYear&amp;" plan LR would be "&amp;TEXT(IF(br_selrow=0,0,INDEX(calc_cylr_prog,br_selrow)),"0.0%")&amp;" — "&amp;TEXT(IF(br_selrow=0,0,INDEX(calc_proggap,br_selrow)),"+0.00;-0.00")&amp;" pts vs the asserted path. Net Delivery closes that gap state by state.")</f>
        <v/>
      </c>
    </row>
    <row r="36" spans="2:7" ht="15.6" x14ac:dyDescent="0.3">
      <c r="B36" s="3" t="s">
        <v>396</v>
      </c>
      <c r="E36" s="20" t="s">
        <v>397</v>
      </c>
      <c r="F36" s="75">
        <f>IF(nr_SelOK,MATCH(nr_SelKey,lr_key,0),0)</f>
        <v>1</v>
      </c>
    </row>
    <row r="37" spans="2:7" hidden="1" outlineLevel="1" x14ac:dyDescent="0.3">
      <c r="D37" s="51" t="s">
        <v>398</v>
      </c>
    </row>
    <row r="38" spans="2:7" hidden="1" outlineLevel="1" x14ac:dyDescent="0.3">
      <c r="B38" s="20" t="s">
        <v>101</v>
      </c>
      <c r="C38" s="190" t="str">
        <f>nr_SelBU</f>
        <v>ABD</v>
      </c>
    </row>
    <row r="39" spans="2:7" hidden="1" outlineLevel="1" x14ac:dyDescent="0.3">
      <c r="B39" s="20" t="s">
        <v>104</v>
      </c>
      <c r="C39" s="190" t="str">
        <f>nr_SelState</f>
        <v>AZ</v>
      </c>
    </row>
    <row r="40" spans="2:7" hidden="1" outlineLevel="1" x14ac:dyDescent="0.3">
      <c r="B40" s="20" t="s">
        <v>257</v>
      </c>
      <c r="C40" s="191">
        <f>IF($F$36=0,0,N(INDEX(lr_lrproj,$F$36)))</f>
        <v>0.65</v>
      </c>
    </row>
    <row r="41" spans="2:7" hidden="1" outlineLevel="1" x14ac:dyDescent="0.3">
      <c r="B41" s="20" t="s">
        <v>164</v>
      </c>
      <c r="C41" s="190" t="str">
        <f>IF($F$36=0,"current",INDEX(lr_basis,$F$36)&amp;"")</f>
        <v>current</v>
      </c>
    </row>
    <row r="42" spans="2:7" hidden="1" outlineLevel="1" x14ac:dyDescent="0.3">
      <c r="B42" s="20" t="s">
        <v>399</v>
      </c>
      <c r="C42" s="191">
        <f>IF($F$36=0,0,N(INDEX(lr_s,$F$36)))</f>
        <v>0.05</v>
      </c>
    </row>
    <row r="43" spans="2:7" hidden="1" outlineLevel="1" x14ac:dyDescent="0.3">
      <c r="B43" s="20" t="s">
        <v>400</v>
      </c>
      <c r="C43" s="191">
        <f>IF(nr_Basis="proposed",nr_LRproj*(1+nr_SelS),nr_LRproj)</f>
        <v>0.65</v>
      </c>
    </row>
    <row r="44" spans="2:7" hidden="1" outlineLevel="1" x14ac:dyDescent="0.3">
      <c r="B44" s="20" t="s">
        <v>166</v>
      </c>
      <c r="C44" s="192">
        <f>IF($F$36=0,1,IF(N(INDEX(lr_mind,$F$36))=0,1,INDEX(lr_mind,$F$36)))</f>
        <v>0.85</v>
      </c>
    </row>
    <row r="45" spans="2:7" hidden="1" outlineLevel="1" x14ac:dyDescent="0.3">
      <c r="B45" s="20" t="s">
        <v>167</v>
      </c>
      <c r="C45" s="192">
        <f>IF($F$36=0,1,IF(N(INDEX(lr_m0,$F$36))=0,1,INDEX(lr_m0,$F$36)))</f>
        <v>0.86</v>
      </c>
    </row>
    <row r="46" spans="2:7" hidden="1" outlineLevel="1" x14ac:dyDescent="0.3">
      <c r="B46" s="20" t="s">
        <v>401</v>
      </c>
      <c r="C46" s="193">
        <f>IF($F$36=0,DATE(nr_PlanYear-1,10,1),IF(N(INDEX(lr_m0asof,$F$36))=0,DATE(nr_PlanYear-1,10,1),INDEX(lr_m0asof,$F$36)))</f>
        <v>46295</v>
      </c>
    </row>
    <row r="47" spans="2:7" hidden="1" outlineLevel="1" x14ac:dyDescent="0.3">
      <c r="B47" s="20" t="s">
        <v>169</v>
      </c>
      <c r="C47" s="192">
        <f>IF($F$36=0,1,IF(N(INDEX(lr_m1,$F$36))=0,1,INDEX(lr_m1,$F$36)))</f>
        <v>0.89</v>
      </c>
    </row>
    <row r="48" spans="2:7" hidden="1" outlineLevel="1" x14ac:dyDescent="0.3">
      <c r="B48" s="20" t="s">
        <v>402</v>
      </c>
      <c r="C48" s="192">
        <f>IF($F$36=0,0,N(INDEX(lr_mprior,$F$36)))</f>
        <v>0</v>
      </c>
      <c r="D48" s="51" t="str">
        <f>IF(N($C48)=0,"blank -&gt; backward anchor sits on the M_0 -&gt; M_1 line","")</f>
        <v>blank -&gt; backward anchor sits on the M_0 -&gt; M_1 line</v>
      </c>
    </row>
    <row r="49" spans="2:6" hidden="1" outlineLevel="1" x14ac:dyDescent="0.3">
      <c r="B49" s="20" t="s">
        <v>403</v>
      </c>
      <c r="C49" s="192">
        <f>IF($F$36=0,0,N(INDEX(lr_m2,$F$36)))</f>
        <v>0</v>
      </c>
      <c r="D49" s="51" t="str">
        <f>IF(N($C49)=0,"blank -&gt; M_1 carried flat beyond the plan year","")</f>
        <v>blank -&gt; M_1 carried flat beyond the plan year</v>
      </c>
    </row>
    <row r="50" spans="2:6" hidden="1" outlineLevel="1" x14ac:dyDescent="0.3">
      <c r="B50" s="20" t="s">
        <v>404</v>
      </c>
      <c r="C50" s="191">
        <f>IF($F$36=0,N(nr_TrendDefault),IF(ISBLANK(INDEX(lr_trend,$F$36)),N(nr_TrendDefault),INDEX(lr_trend,$F$36)))</f>
        <v>0</v>
      </c>
    </row>
    <row r="51" spans="2:6" hidden="1" outlineLevel="1" x14ac:dyDescent="0.3">
      <c r="B51" s="20" t="s">
        <v>405</v>
      </c>
      <c r="C51" s="194">
        <f>IF($F$36=0,1,IF(N(INDEX(lr_aother,$F$36))=0,1,INDEX(lr_aother,$F$36)))</f>
        <v>1</v>
      </c>
      <c r="D51" s="78" t="str">
        <f>IF(AND(nr_AOther&lt;&gt;1,nr_AOtherLbl=""),"WARNING: A_other &lt;&gt; 1 requires a label","")</f>
        <v/>
      </c>
    </row>
    <row r="52" spans="2:6" hidden="1" outlineLevel="1" x14ac:dyDescent="0.3">
      <c r="B52" s="20" t="s">
        <v>406</v>
      </c>
      <c r="C52" s="190" t="str">
        <f>IF($F$36=0,"",INDEX(lr_aotherlbl,$F$36)&amp;"")</f>
        <v/>
      </c>
    </row>
    <row r="53" spans="2:6" hidden="1" outlineLevel="1" x14ac:dyDescent="0.3">
      <c r="B53" s="20" t="s">
        <v>407</v>
      </c>
      <c r="C53" s="190" t="str">
        <f>IF($F$36=0,"ON",IF(INDEX(lr_modadj,$F$36)="OFF","OFF","ON"))</f>
        <v>ON</v>
      </c>
    </row>
    <row r="54" spans="2:6" hidden="1" outlineLevel="1" x14ac:dyDescent="0.3">
      <c r="B54" s="20" t="s">
        <v>408</v>
      </c>
      <c r="C54" s="190" t="str">
        <f>IF(AND(nr_ModAdjMaster="ON",nr_ModAdjRow="ON"),"ON","OFF")</f>
        <v>ON</v>
      </c>
    </row>
    <row r="55" spans="2:6" hidden="1" outlineLevel="1" x14ac:dyDescent="0.3">
      <c r="B55" s="20" t="s">
        <v>409</v>
      </c>
      <c r="C55" s="190" t="b">
        <f>IF($F$36=0,FALSE,NOT(ISBLANK(INDEX(lr_netp,$F$36))))</f>
        <v>0</v>
      </c>
      <c r="D55" s="51" t="str">
        <f>IF($C55,"NET SELECTION ACTIVE — supersedes planned rows from 1/1","explicit rate program")</f>
        <v>explicit rate program</v>
      </c>
    </row>
    <row r="56" spans="2:6" hidden="1" outlineLevel="1" x14ac:dyDescent="0.3">
      <c r="B56" s="20" t="s">
        <v>410</v>
      </c>
      <c r="C56" s="191">
        <f>IF($F$36=0,0,N(INDEX(lr_netp,$F$36)))</f>
        <v>0</v>
      </c>
    </row>
    <row r="57" spans="2:6" hidden="1" outlineLevel="1" x14ac:dyDescent="0.3">
      <c r="B57" s="20" t="s">
        <v>411</v>
      </c>
      <c r="C57" s="191">
        <f>IF($F$36=0,0,IF(ISBLANK(INDEX(lr_netp1,$F$36)),N(INDEX(lr_netp,$F$36)),N(INDEX(lr_netp1,$F$36))))</f>
        <v>0</v>
      </c>
    </row>
    <row r="59" spans="2:6" hidden="1" outlineLevel="1" x14ac:dyDescent="0.3">
      <c r="B59" s="51" t="s">
        <v>412</v>
      </c>
    </row>
    <row r="60" spans="2:6" hidden="1" outlineLevel="1" x14ac:dyDescent="0.3">
      <c r="B60" s="6" t="s">
        <v>384</v>
      </c>
      <c r="C60" s="6" t="s">
        <v>413</v>
      </c>
      <c r="D60" s="6" t="s">
        <v>414</v>
      </c>
      <c r="E60" s="6" t="s">
        <v>415</v>
      </c>
      <c r="F60" s="6" t="s">
        <v>416</v>
      </c>
    </row>
    <row r="61" spans="2:6" hidden="1" outlineLevel="1" x14ac:dyDescent="0.3">
      <c r="B61" s="6" t="s">
        <v>417</v>
      </c>
      <c r="C61" s="72">
        <f>0</f>
        <v>0</v>
      </c>
      <c r="D61" s="72">
        <f>0</f>
        <v>0</v>
      </c>
      <c r="E61" s="72">
        <f>0</f>
        <v>0</v>
      </c>
      <c r="F61" s="72">
        <f>$D$9</f>
        <v>0.65</v>
      </c>
    </row>
    <row r="62" spans="2:6" hidden="1" outlineLevel="1" x14ac:dyDescent="0.3">
      <c r="B62" s="6" t="s">
        <v>258</v>
      </c>
      <c r="C62" s="72">
        <f>MIN($D$9,$D$10)</f>
        <v>0.65</v>
      </c>
      <c r="D62" s="72">
        <f>MAX(0,$D$10-$D$9)</f>
        <v>0</v>
      </c>
      <c r="E62" s="72">
        <f>MAX(0,$D$9-$D$10)</f>
        <v>0</v>
      </c>
      <c r="F62" s="72">
        <f>0</f>
        <v>0</v>
      </c>
    </row>
    <row r="63" spans="2:6" hidden="1" outlineLevel="1" x14ac:dyDescent="0.3">
      <c r="B63" s="6" t="str">
        <f>IF(nr_NetMode,"Net earn-in","Rate earn-in")</f>
        <v>Rate earn-in</v>
      </c>
      <c r="C63" s="72">
        <f>MIN($D$11,$D$12)</f>
        <v>0.63414634146341464</v>
      </c>
      <c r="D63" s="72">
        <f>MAX(0,$D$12-$D$11)</f>
        <v>0</v>
      </c>
      <c r="E63" s="72">
        <f>MAX(0,$D$11-$D$12)</f>
        <v>1.585365853658538E-2</v>
      </c>
      <c r="F63" s="72">
        <f>0</f>
        <v>0</v>
      </c>
    </row>
    <row r="64" spans="2:6" hidden="1" outlineLevel="1" x14ac:dyDescent="0.3">
      <c r="B64" s="6" t="str">
        <f>IF(nr_NetMode,"Mod (in net)","Mod drift")</f>
        <v>Mod drift</v>
      </c>
      <c r="C64" s="72">
        <f>MIN($D$12,$D$13)</f>
        <v>0.61816313641421827</v>
      </c>
      <c r="D64" s="72">
        <f>MAX(0,$D$13-$D$12)</f>
        <v>0</v>
      </c>
      <c r="E64" s="72">
        <f>MAX(0,$D$12-$D$13)</f>
        <v>1.598320504919637E-2</v>
      </c>
      <c r="F64" s="72">
        <f>0</f>
        <v>0</v>
      </c>
    </row>
    <row r="65" spans="2:6" hidden="1" outlineLevel="1" x14ac:dyDescent="0.3">
      <c r="B65" s="6" t="s">
        <v>418</v>
      </c>
      <c r="C65" s="72">
        <f>MIN($D$13,$D$14)</f>
        <v>0.61816313641421827</v>
      </c>
      <c r="D65" s="72">
        <f>MAX(0,$D$14-$D$13)</f>
        <v>0</v>
      </c>
      <c r="E65" s="72">
        <f>MAX(0,$D$13-$D$14)</f>
        <v>0</v>
      </c>
      <c r="F65" s="72">
        <f>0</f>
        <v>0</v>
      </c>
    </row>
    <row r="66" spans="2:6" hidden="1" outlineLevel="1" x14ac:dyDescent="0.3">
      <c r="B66" s="6" t="str">
        <f>"CY "&amp;nr_PlanYear&amp;" plan LR"</f>
        <v>CY 2027 plan LR</v>
      </c>
      <c r="C66" s="72">
        <f>0</f>
        <v>0</v>
      </c>
      <c r="D66" s="72">
        <f>0</f>
        <v>0</v>
      </c>
      <c r="E66" s="72">
        <f>0</f>
        <v>0</v>
      </c>
      <c r="F66" s="72">
        <f>$D$15</f>
        <v>0.61816313641421827</v>
      </c>
    </row>
  </sheetData>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pageSetUpPr fitToPage="1"/>
  </sheetPr>
  <dimension ref="B2:J81"/>
  <sheetViews>
    <sheetView showGridLines="0" workbookViewId="0">
      <pane ySplit="6" topLeftCell="A7" activePane="bottomLeft" state="frozen"/>
      <selection pane="bottomLeft"/>
    </sheetView>
  </sheetViews>
  <sheetFormatPr defaultRowHeight="14.4" x14ac:dyDescent="0.3"/>
  <cols>
    <col min="1" max="1" width="2" customWidth="1"/>
    <col min="2" max="2" width="42" customWidth="1"/>
    <col min="3" max="6" width="13" customWidth="1"/>
    <col min="7" max="9" width="12" customWidth="1"/>
    <col min="10" max="10" width="85" customWidth="1"/>
  </cols>
  <sheetData>
    <row r="2" spans="2:10" ht="21" x14ac:dyDescent="0.3">
      <c r="B2" s="1" t="s">
        <v>419</v>
      </c>
    </row>
    <row r="3" spans="2:10" x14ac:dyDescent="0.3">
      <c r="B3" s="2" t="s">
        <v>420</v>
      </c>
    </row>
    <row r="4" spans="2:10" x14ac:dyDescent="0.3">
      <c r="B4" s="20" t="s">
        <v>381</v>
      </c>
      <c r="C4" s="184" t="str">
        <f>nr_SelKey</f>
        <v>ABD|AZ</v>
      </c>
      <c r="E4" s="155" t="str">
        <f>HYPERLINK("#Control!C7","Change BU/state selection &gt;")</f>
        <v>Change BU/state selection &gt;</v>
      </c>
      <c r="H4" s="51" t="s">
        <v>421</v>
      </c>
    </row>
    <row r="5" spans="2:10" ht="17.399999999999999" x14ac:dyDescent="0.35">
      <c r="B5" s="195" t="str">
        <f>IF(nr_SelOK,"Your "&amp;TEXT(nr_LRproj,"0.0%")&amp;" projected loss ratio becomes a "&amp;TEXT(nr_CYLR_P,"0.0%")&amp;" CY "&amp;nr_PlanYear&amp;" plan loss ratio  ("&amp;TEXT((nr_CYLR_P-nr_LRcur)*100,"+0.0;-0.0;0.0")&amp;" pts vs current level).","Select a BU and state that exist in tbl_LR.")</f>
        <v>Your 65.0% projected loss ratio becomes a 61.8% CY 2027 plan loss ratio  (-3.2 pts vs current level).</v>
      </c>
      <c r="C5" s="34"/>
      <c r="D5" s="34"/>
      <c r="E5" s="34"/>
      <c r="F5" s="34"/>
      <c r="G5" s="34"/>
      <c r="H5" s="34"/>
      <c r="I5" s="34"/>
      <c r="J5" s="34"/>
    </row>
    <row r="6" spans="2:10" x14ac:dyDescent="0.3">
      <c r="B6" s="196" t="str">
        <f>"THE BRIDGE IN ONE LINE:   "&amp;TEXT(nr_LRcur,"0.0%")&amp;"  x  "&amp;TEXT(nr_Arate_P,"0.0000")&amp;" rate earn-in  x  "&amp;TEXT(nr_Amod_P,"0.0000")&amp;" mod drift  x  "&amp;TEXT(nr_AOther,"0.0000")&amp;" other  =  "&amp;TEXT(nr_CYLR_P,"0.0%")</f>
        <v>THE BRIDGE IN ONE LINE:   65.0%  x  0.9756 rate earn-in  x  0.9748 mod drift  x  1.0000 other  =  61.8%</v>
      </c>
    </row>
    <row r="8" spans="2:10" ht="19.95" customHeight="1" x14ac:dyDescent="0.3">
      <c r="B8" s="3" t="s">
        <v>422</v>
      </c>
      <c r="J8" s="197" t="s">
        <v>423</v>
      </c>
    </row>
    <row r="9" spans="2:10" x14ac:dyDescent="0.3">
      <c r="B9" s="20" t="s">
        <v>163</v>
      </c>
      <c r="C9" s="198">
        <f>nr_LRproj</f>
        <v>0.65</v>
      </c>
      <c r="I9" s="19" t="str">
        <f>IF(br_selrow=0,"",HYPERLINK("#Inputs!C"&amp;(br_selrow+11),"edit &gt;"))</f>
        <v>edit &gt;</v>
      </c>
      <c r="J9" s="51" t="str">
        <f>IF(nr_Basis="proposed","entered at the PROPOSED level — step 2 converts it to current level","already at the current rate level — no conversion needed")</f>
        <v>already at the current rate level — no conversion needed</v>
      </c>
    </row>
    <row r="10" spans="2:10" ht="19.05" customHeight="1" x14ac:dyDescent="0.3">
      <c r="B10" s="20" t="s">
        <v>164</v>
      </c>
      <c r="C10" s="199" t="str">
        <f>nr_Basis</f>
        <v>current</v>
      </c>
      <c r="I10" s="19" t="str">
        <f>IF(br_selrow=0,"",HYPERLINK("#Inputs!D"&amp;(br_selrow+11),"edit &gt;"))</f>
        <v>edit &gt;</v>
      </c>
      <c r="J10" s="27" t="s">
        <v>424</v>
      </c>
    </row>
    <row r="11" spans="2:10" ht="19.05" customHeight="1" x14ac:dyDescent="0.3">
      <c r="B11" s="20" t="s">
        <v>399</v>
      </c>
      <c r="C11" s="198">
        <f>nr_SelS</f>
        <v>0.05</v>
      </c>
      <c r="I11" s="19" t="str">
        <f>IF(br_selrow=0,"",HYPERLINK("#Inputs!E"&amp;(br_selrow+11),"edit &gt;"))</f>
        <v>edit &gt;</v>
      </c>
      <c r="J11" s="27" t="s">
        <v>425</v>
      </c>
    </row>
    <row r="12" spans="2:10" ht="19.05" customHeight="1" x14ac:dyDescent="0.3">
      <c r="B12" s="20" t="s">
        <v>166</v>
      </c>
      <c r="C12" s="200">
        <f>nr_MInd</f>
        <v>0.85</v>
      </c>
      <c r="I12" s="19" t="str">
        <f>IF(br_selrow=0,"",HYPERLINK("#Inputs!F"&amp;(br_selrow+11),"edit &gt;"))</f>
        <v>edit &gt;</v>
      </c>
      <c r="J12" s="27" t="s">
        <v>426</v>
      </c>
    </row>
    <row r="13" spans="2:10" ht="19.05" customHeight="1" x14ac:dyDescent="0.3">
      <c r="B13" s="20" t="s">
        <v>167</v>
      </c>
      <c r="C13" s="200">
        <f>nr_M0</f>
        <v>0.86</v>
      </c>
      <c r="I13" s="19" t="str">
        <f>IF(br_selrow=0,"",HYPERLINK("#Inputs!G"&amp;(br_selrow+11),"edit &gt;"))</f>
        <v>edit &gt;</v>
      </c>
      <c r="J13" s="27" t="s">
        <v>427</v>
      </c>
    </row>
    <row r="14" spans="2:10" ht="19.05" customHeight="1" x14ac:dyDescent="0.3">
      <c r="B14" s="20" t="s">
        <v>428</v>
      </c>
      <c r="C14" s="201">
        <f>nr_M0Asof</f>
        <v>46295</v>
      </c>
      <c r="I14" s="19" t="str">
        <f>IF(br_selrow=0,"",HYPERLINK("#Inputs!H"&amp;(br_selrow+11),"edit &gt;"))</f>
        <v>edit &gt;</v>
      </c>
      <c r="J14" s="27" t="s">
        <v>429</v>
      </c>
    </row>
    <row r="15" spans="2:10" ht="19.05" customHeight="1" x14ac:dyDescent="0.3">
      <c r="B15" s="20" t="s">
        <v>430</v>
      </c>
      <c r="C15" s="200">
        <f>nr_M1</f>
        <v>0.89</v>
      </c>
      <c r="I15" s="19" t="str">
        <f>IF(br_selrow=0,"",HYPERLINK("#Inputs!I"&amp;(br_selrow+11),"edit &gt;"))</f>
        <v>edit &gt;</v>
      </c>
      <c r="J15" s="27" t="s">
        <v>431</v>
      </c>
    </row>
    <row r="16" spans="2:10" x14ac:dyDescent="0.3">
      <c r="B16" s="20" t="s">
        <v>432</v>
      </c>
      <c r="C16" s="200">
        <f>nr_MPrior</f>
        <v>0</v>
      </c>
      <c r="I16" s="19" t="str">
        <f>IF(br_selrow=0,"",HYPERLINK("#Inputs!J"&amp;(br_selrow+11),"edit &gt;"))</f>
        <v>edit &gt;</v>
      </c>
      <c r="J16" s="51" t="str">
        <f>IF(N(nr_MPrior)=0,"not provided — the path extends the M_0 -&gt; M_1 slope backward","anchors the path 12 months before the as-of date")</f>
        <v>not provided — the path extends the M_0 -&gt; M_1 slope backward</v>
      </c>
    </row>
    <row r="17" spans="2:10" x14ac:dyDescent="0.3">
      <c r="B17" s="20" t="s">
        <v>433</v>
      </c>
      <c r="C17" s="200">
        <f>nr_M2</f>
        <v>0</v>
      </c>
      <c r="I17" s="19" t="str">
        <f>IF(br_selrow=0,"",HYPERLINK("#Inputs!K"&amp;(br_selrow+11),"edit &gt;"))</f>
        <v>edit &gt;</v>
      </c>
      <c r="J17" s="51" t="str">
        <f>IF(N(nr_M2)=0,"not provided — M_1 carries flat beyond the plan year","anchors the path at the end of the following year")</f>
        <v>not provided — M_1 carries flat beyond the plan year</v>
      </c>
    </row>
    <row r="18" spans="2:10" ht="31.95" customHeight="1" x14ac:dyDescent="0.3">
      <c r="B18" s="20" t="s">
        <v>434</v>
      </c>
      <c r="C18" s="198">
        <f>nr_Trend</f>
        <v>0</v>
      </c>
      <c r="I18" s="19" t="str">
        <f>IF(br_selrow=0,"",HYPERLINK("#Inputs!M"&amp;(br_selrow+11),"edit &gt;"))</f>
        <v>edit &gt;</v>
      </c>
      <c r="J18" s="27" t="s">
        <v>435</v>
      </c>
    </row>
    <row r="19" spans="2:10" x14ac:dyDescent="0.3">
      <c r="B19" s="20" t="s">
        <v>86</v>
      </c>
      <c r="C19" s="202">
        <f>nr_AOther</f>
        <v>1</v>
      </c>
      <c r="I19" s="19" t="str">
        <f>IF(br_selrow=0,"",HYPERLINK("#Inputs!N"&amp;(br_selrow+11),"edit &gt;"))</f>
        <v>edit &gt;</v>
      </c>
      <c r="J19" s="51" t="str">
        <f>IF(nr_AOtherLbl="","no manual adjustment","reason: "&amp;nr_AOtherLbl)</f>
        <v>no manual adjustment</v>
      </c>
    </row>
    <row r="20" spans="2:10" ht="19.05" customHeight="1" x14ac:dyDescent="0.3">
      <c r="B20" s="20" t="s">
        <v>436</v>
      </c>
      <c r="C20" s="199" t="str">
        <f>nr_ModAdjEff</f>
        <v>ON</v>
      </c>
      <c r="I20" s="19" t="str">
        <f>IF(br_selrow=0,"",HYPERLINK("#Inputs!P"&amp;(br_selrow+11),"edit &gt;"))</f>
        <v>edit &gt;</v>
      </c>
      <c r="J20" s="27" t="s">
        <v>437</v>
      </c>
    </row>
    <row r="21" spans="2:10" x14ac:dyDescent="0.3">
      <c r="B21" s="20" t="s">
        <v>438</v>
      </c>
      <c r="C21" s="198">
        <f>IF(nr_NetMode,nr_NetSelP,0)</f>
        <v>0</v>
      </c>
      <c r="I21" s="19" t="str">
        <f>IF(br_selrow=0,"",HYPERLINK("#Inputs!Q"&amp;(br_selrow+11),"edit &gt;"))</f>
        <v>edit &gt;</v>
      </c>
      <c r="J21" s="51" t="str">
        <f>IF(nr_NetMode,"ACTIVE: from 1/1 the combined rate x price renews this % above the year-ago cohort — planned rows and the mod projection are superseded","off — the explicit rate program below drives the year")</f>
        <v>off — the explicit rate program below drives the year</v>
      </c>
    </row>
    <row r="23" spans="2:10" ht="48" customHeight="1" x14ac:dyDescent="0.3">
      <c r="B23" s="3" t="s">
        <v>439</v>
      </c>
      <c r="J23" s="197" t="s">
        <v>440</v>
      </c>
    </row>
    <row r="24" spans="2:10" ht="48" x14ac:dyDescent="0.3">
      <c r="B24" s="58" t="s">
        <v>390</v>
      </c>
      <c r="C24" s="58" t="s">
        <v>391</v>
      </c>
      <c r="D24" s="58" t="s">
        <v>392</v>
      </c>
      <c r="E24" s="58" t="s">
        <v>393</v>
      </c>
      <c r="F24" s="58" t="s">
        <v>394</v>
      </c>
      <c r="G24" s="58" t="s">
        <v>395</v>
      </c>
      <c r="H24" s="58" t="s">
        <v>441</v>
      </c>
    </row>
    <row r="25" spans="2:10" x14ac:dyDescent="0.3">
      <c r="B25" s="187">
        <v>1</v>
      </c>
      <c r="C25" s="188">
        <f>IF(COUNTIFS(rl_key,nr_SelKey,rl_seq,1)=0,"",SUMIFS(rl_eff,rl_key,nr_SelKey,rl_seq,1))</f>
        <v>45839</v>
      </c>
      <c r="D25" s="46">
        <f>IF(COUNTIFS(rl_key,nr_SelKey,rl_seq,1)=0,"",SUMIFS(rl_filed,rl_key,nr_SelKey,rl_seq,1))</f>
        <v>0.04</v>
      </c>
      <c r="E25" s="89" t="str">
        <f>IF(COUNTIFS(rl_key,nr_SelKey,rl_seq,1)=0,"",IF(COUNTIFS(rl_key,nr_SelKey,rl_seq,1,rl_status,"planned")&gt;0,"planned","taken"))</f>
        <v>taken</v>
      </c>
      <c r="F25" s="89" t="str">
        <f>IF(COUNTIFS(rl_key,nr_SelKey,rl_seq,1)=0,"",IF(COUNTIFS(rl_key,nr_SelKey,rl_seq,1,rl_cons,"Y")&gt;0,"Y","N"))</f>
        <v>Y</v>
      </c>
      <c r="G25" s="53">
        <f>IF(COUNTIFS(rl_key,nr_SelKey,rl_seq,1)=0,"",SUMIFS(rl_reff,rl_key,nr_SelKey,rl_seq,1))</f>
        <v>0.04</v>
      </c>
      <c r="H25" s="50">
        <f>IF(COUNTIFS(rl_key,nr_SelKey,rl_seq,1)=0,"",EXP(SUMPRODUCT((rl_key=nr_SelKey)*(rl_cons="Y")*(rl_seq&lt;=1)*rl_ln1p)))</f>
        <v>1.04</v>
      </c>
    </row>
    <row r="26" spans="2:10" x14ac:dyDescent="0.3">
      <c r="B26" s="187">
        <v>2</v>
      </c>
      <c r="C26" s="188">
        <f>IF(COUNTIFS(rl_key,nr_SelKey,rl_seq,2)=0,"",SUMIFS(rl_eff,rl_key,nr_SelKey,rl_seq,2))</f>
        <v>46204</v>
      </c>
      <c r="D26" s="46">
        <f>IF(COUNTIFS(rl_key,nr_SelKey,rl_seq,2)=0,"",SUMIFS(rl_filed,rl_key,nr_SelKey,rl_seq,2))</f>
        <v>0.06</v>
      </c>
      <c r="E26" s="89" t="str">
        <f>IF(COUNTIFS(rl_key,nr_SelKey,rl_seq,2)=0,"",IF(COUNTIFS(rl_key,nr_SelKey,rl_seq,2,rl_status,"planned")&gt;0,"planned","taken"))</f>
        <v>taken</v>
      </c>
      <c r="F26" s="89" t="str">
        <f>IF(COUNTIFS(rl_key,nr_SelKey,rl_seq,2)=0,"",IF(COUNTIFS(rl_key,nr_SelKey,rl_seq,2,rl_cons,"Y")&gt;0,"Y","N"))</f>
        <v>Y</v>
      </c>
      <c r="G26" s="53">
        <f>IF(COUNTIFS(rl_key,nr_SelKey,rl_seq,2)=0,"",SUMIFS(rl_reff,rl_key,nr_SelKey,rl_seq,2))</f>
        <v>0.06</v>
      </c>
      <c r="H26" s="50">
        <f>IF(COUNTIFS(rl_key,nr_SelKey,rl_seq,2)=0,"",EXP(SUMPRODUCT((rl_key=nr_SelKey)*(rl_cons="Y")*(rl_seq&lt;=2)*rl_ln1p)))</f>
        <v>1.1024</v>
      </c>
    </row>
    <row r="27" spans="2:10" x14ac:dyDescent="0.3">
      <c r="B27" s="187">
        <v>3</v>
      </c>
      <c r="C27" s="188">
        <f>IF(COUNTIFS(rl_key,nr_SelKey,rl_seq,3)=0,"",SUMIFS(rl_eff,rl_key,nr_SelKey,rl_seq,3))</f>
        <v>46478</v>
      </c>
      <c r="D27" s="46">
        <f>IF(COUNTIFS(rl_key,nr_SelKey,rl_seq,3)=0,"",SUMIFS(rl_filed,rl_key,nr_SelKey,rl_seq,3))</f>
        <v>0.05</v>
      </c>
      <c r="E27" s="89" t="str">
        <f>IF(COUNTIFS(rl_key,nr_SelKey,rl_seq,3)=0,"",IF(COUNTIFS(rl_key,nr_SelKey,rl_seq,3,rl_status,"planned")&gt;0,"planned","taken"))</f>
        <v>planned</v>
      </c>
      <c r="F27" s="89" t="str">
        <f>IF(COUNTIFS(rl_key,nr_SelKey,rl_seq,3)=0,"",IF(COUNTIFS(rl_key,nr_SelKey,rl_seq,3,rl_cons,"Y")&gt;0,"Y","N"))</f>
        <v>N</v>
      </c>
      <c r="G27" s="53">
        <f>IF(COUNTIFS(rl_key,nr_SelKey,rl_seq,3)=0,"",SUMIFS(rl_reff,rl_key,nr_SelKey,rl_seq,3))</f>
        <v>0.05</v>
      </c>
      <c r="H27" s="50">
        <f>IF(COUNTIFS(rl_key,nr_SelKey,rl_seq,3)=0,"",EXP(SUMPRODUCT((rl_key=nr_SelKey)*(rl_cons="Y")*(rl_seq&lt;=3)*rl_ln1p)))</f>
        <v>1.1024</v>
      </c>
    </row>
    <row r="28" spans="2:10" x14ac:dyDescent="0.3">
      <c r="B28" s="187">
        <v>4</v>
      </c>
      <c r="C28" s="188" t="str">
        <f>IF(COUNTIFS(rl_key,nr_SelKey,rl_seq,4)=0,"",SUMIFS(rl_eff,rl_key,nr_SelKey,rl_seq,4))</f>
        <v/>
      </c>
      <c r="D28" s="46" t="str">
        <f>IF(COUNTIFS(rl_key,nr_SelKey,rl_seq,4)=0,"",SUMIFS(rl_filed,rl_key,nr_SelKey,rl_seq,4))</f>
        <v/>
      </c>
      <c r="E28" s="89" t="str">
        <f>IF(COUNTIFS(rl_key,nr_SelKey,rl_seq,4)=0,"",IF(COUNTIFS(rl_key,nr_SelKey,rl_seq,4,rl_status,"planned")&gt;0,"planned","taken"))</f>
        <v/>
      </c>
      <c r="F28" s="89" t="str">
        <f>IF(COUNTIFS(rl_key,nr_SelKey,rl_seq,4)=0,"",IF(COUNTIFS(rl_key,nr_SelKey,rl_seq,4,rl_cons,"Y")&gt;0,"Y","N"))</f>
        <v/>
      </c>
      <c r="G28" s="53" t="str">
        <f>IF(COUNTIFS(rl_key,nr_SelKey,rl_seq,4)=0,"",SUMIFS(rl_reff,rl_key,nr_SelKey,rl_seq,4))</f>
        <v/>
      </c>
      <c r="H28" s="50" t="str">
        <f>IF(COUNTIFS(rl_key,nr_SelKey,rl_seq,4)=0,"",EXP(SUMPRODUCT((rl_key=nr_SelKey)*(rl_cons="Y")*(rl_seq&lt;=4)*rl_ln1p)))</f>
        <v/>
      </c>
    </row>
    <row r="29" spans="2:10" x14ac:dyDescent="0.3">
      <c r="B29" s="187">
        <v>5</v>
      </c>
      <c r="C29" s="188" t="str">
        <f>IF(COUNTIFS(rl_key,nr_SelKey,rl_seq,5)=0,"",SUMIFS(rl_eff,rl_key,nr_SelKey,rl_seq,5))</f>
        <v/>
      </c>
      <c r="D29" s="46" t="str">
        <f>IF(COUNTIFS(rl_key,nr_SelKey,rl_seq,5)=0,"",SUMIFS(rl_filed,rl_key,nr_SelKey,rl_seq,5))</f>
        <v/>
      </c>
      <c r="E29" s="89" t="str">
        <f>IF(COUNTIFS(rl_key,nr_SelKey,rl_seq,5)=0,"",IF(COUNTIFS(rl_key,nr_SelKey,rl_seq,5,rl_status,"planned")&gt;0,"planned","taken"))</f>
        <v/>
      </c>
      <c r="F29" s="89" t="str">
        <f>IF(COUNTIFS(rl_key,nr_SelKey,rl_seq,5)=0,"",IF(COUNTIFS(rl_key,nr_SelKey,rl_seq,5,rl_cons,"Y")&gt;0,"Y","N"))</f>
        <v/>
      </c>
      <c r="G29" s="53" t="str">
        <f>IF(COUNTIFS(rl_key,nr_SelKey,rl_seq,5)=0,"",SUMIFS(rl_reff,rl_key,nr_SelKey,rl_seq,5))</f>
        <v/>
      </c>
      <c r="H29" s="50" t="str">
        <f>IF(COUNTIFS(rl_key,nr_SelKey,rl_seq,5)=0,"",EXP(SUMPRODUCT((rl_key=nr_SelKey)*(rl_cons="Y")*(rl_seq&lt;=5)*rl_ln1p)))</f>
        <v/>
      </c>
    </row>
    <row r="30" spans="2:10" x14ac:dyDescent="0.3">
      <c r="B30" s="187">
        <v>6</v>
      </c>
      <c r="C30" s="188" t="str">
        <f>IF(COUNTIFS(rl_key,nr_SelKey,rl_seq,6)=0,"",SUMIFS(rl_eff,rl_key,nr_SelKey,rl_seq,6))</f>
        <v/>
      </c>
      <c r="D30" s="46" t="str">
        <f>IF(COUNTIFS(rl_key,nr_SelKey,rl_seq,6)=0,"",SUMIFS(rl_filed,rl_key,nr_SelKey,rl_seq,6))</f>
        <v/>
      </c>
      <c r="E30" s="89" t="str">
        <f>IF(COUNTIFS(rl_key,nr_SelKey,rl_seq,6)=0,"",IF(COUNTIFS(rl_key,nr_SelKey,rl_seq,6,rl_status,"planned")&gt;0,"planned","taken"))</f>
        <v/>
      </c>
      <c r="F30" s="89" t="str">
        <f>IF(COUNTIFS(rl_key,nr_SelKey,rl_seq,6)=0,"",IF(COUNTIFS(rl_key,nr_SelKey,rl_seq,6,rl_cons,"Y")&gt;0,"Y","N"))</f>
        <v/>
      </c>
      <c r="G30" s="53" t="str">
        <f>IF(COUNTIFS(rl_key,nr_SelKey,rl_seq,6)=0,"",SUMIFS(rl_reff,rl_key,nr_SelKey,rl_seq,6))</f>
        <v/>
      </c>
      <c r="H30" s="50" t="str">
        <f>IF(COUNTIFS(rl_key,nr_SelKey,rl_seq,6)=0,"",EXP(SUMPRODUCT((rl_key=nr_SelKey)*(rl_cons="Y")*(rl_seq&lt;=6)*rl_ln1p)))</f>
        <v/>
      </c>
    </row>
    <row r="31" spans="2:10" x14ac:dyDescent="0.3">
      <c r="B31" s="187">
        <v>7</v>
      </c>
      <c r="C31" s="188" t="str">
        <f>IF(COUNTIFS(rl_key,nr_SelKey,rl_seq,7)=0,"",SUMIFS(rl_eff,rl_key,nr_SelKey,rl_seq,7))</f>
        <v/>
      </c>
      <c r="D31" s="46" t="str">
        <f>IF(COUNTIFS(rl_key,nr_SelKey,rl_seq,7)=0,"",SUMIFS(rl_filed,rl_key,nr_SelKey,rl_seq,7))</f>
        <v/>
      </c>
      <c r="E31" s="89" t="str">
        <f>IF(COUNTIFS(rl_key,nr_SelKey,rl_seq,7)=0,"",IF(COUNTIFS(rl_key,nr_SelKey,rl_seq,7,rl_status,"planned")&gt;0,"planned","taken"))</f>
        <v/>
      </c>
      <c r="F31" s="89" t="str">
        <f>IF(COUNTIFS(rl_key,nr_SelKey,rl_seq,7)=0,"",IF(COUNTIFS(rl_key,nr_SelKey,rl_seq,7,rl_cons,"Y")&gt;0,"Y","N"))</f>
        <v/>
      </c>
      <c r="G31" s="53" t="str">
        <f>IF(COUNTIFS(rl_key,nr_SelKey,rl_seq,7)=0,"",SUMIFS(rl_reff,rl_key,nr_SelKey,rl_seq,7))</f>
        <v/>
      </c>
      <c r="H31" s="50" t="str">
        <f>IF(COUNTIFS(rl_key,nr_SelKey,rl_seq,7)=0,"",EXP(SUMPRODUCT((rl_key=nr_SelKey)*(rl_cons="Y")*(rl_seq&lt;=7)*rl_ln1p)))</f>
        <v/>
      </c>
    </row>
    <row r="32" spans="2:10" x14ac:dyDescent="0.3">
      <c r="B32" s="187">
        <v>8</v>
      </c>
      <c r="C32" s="188" t="str">
        <f>IF(COUNTIFS(rl_key,nr_SelKey,rl_seq,8)=0,"",SUMIFS(rl_eff,rl_key,nr_SelKey,rl_seq,8))</f>
        <v/>
      </c>
      <c r="D32" s="46" t="str">
        <f>IF(COUNTIFS(rl_key,nr_SelKey,rl_seq,8)=0,"",SUMIFS(rl_filed,rl_key,nr_SelKey,rl_seq,8))</f>
        <v/>
      </c>
      <c r="E32" s="89" t="str">
        <f>IF(COUNTIFS(rl_key,nr_SelKey,rl_seq,8)=0,"",IF(COUNTIFS(rl_key,nr_SelKey,rl_seq,8,rl_status,"planned")&gt;0,"planned","taken"))</f>
        <v/>
      </c>
      <c r="F32" s="89" t="str">
        <f>IF(COUNTIFS(rl_key,nr_SelKey,rl_seq,8)=0,"",IF(COUNTIFS(rl_key,nr_SelKey,rl_seq,8,rl_cons,"Y")&gt;0,"Y","N"))</f>
        <v/>
      </c>
      <c r="G32" s="53" t="str">
        <f>IF(COUNTIFS(rl_key,nr_SelKey,rl_seq,8)=0,"",SUMIFS(rl_reff,rl_key,nr_SelKey,rl_seq,8))</f>
        <v/>
      </c>
      <c r="H32" s="50" t="str">
        <f>IF(COUNTIFS(rl_key,nr_SelKey,rl_seq,8)=0,"",EXP(SUMPRODUCT((rl_key=nr_SelKey)*(rl_cons="Y")*(rl_seq&lt;=8)*rl_ln1p)))</f>
        <v/>
      </c>
    </row>
    <row r="33" spans="2:10" ht="31.95" customHeight="1" x14ac:dyDescent="0.3">
      <c r="F33" s="18" t="s">
        <v>442</v>
      </c>
      <c r="H33" s="203">
        <f>nr_CRLind</f>
        <v>1.1024</v>
      </c>
      <c r="I33" s="19" t="str">
        <f>HYPERLINK("#'Rate Log'!A1","rate log &gt;")</f>
        <v>rate log &gt;</v>
      </c>
      <c r="J33" s="27" t="s">
        <v>443</v>
      </c>
    </row>
    <row r="35" spans="2:10" ht="48" customHeight="1" x14ac:dyDescent="0.3">
      <c r="B35" s="3" t="s">
        <v>444</v>
      </c>
      <c r="J35" s="197" t="s">
        <v>445</v>
      </c>
    </row>
    <row r="36" spans="2:10" ht="24" x14ac:dyDescent="0.3">
      <c r="B36" s="58"/>
      <c r="C36" s="58" t="s">
        <v>446</v>
      </c>
      <c r="D36" s="58" t="s">
        <v>447</v>
      </c>
      <c r="E36" s="58" t="s">
        <v>448</v>
      </c>
    </row>
    <row r="37" spans="2:10" ht="19.05" customHeight="1" x14ac:dyDescent="0.3">
      <c r="B37" s="20" t="s">
        <v>449</v>
      </c>
      <c r="C37" s="204">
        <f>INDEX('Rate Engine'!$B$17:$B$64,$I$37)</f>
        <v>46296</v>
      </c>
      <c r="D37" s="204">
        <f>INDEX('Rate Engine'!$B$17:$B$64,$I$38)</f>
        <v>45839</v>
      </c>
      <c r="E37" s="204">
        <f>INDEX('Rate Engine'!$B$17:$B$64,$I$39)</f>
        <v>46661</v>
      </c>
      <c r="H37" s="23" t="s">
        <v>450</v>
      </c>
      <c r="I37" s="43">
        <f>12+13-ROUND(nr_TermMonths/2,0)</f>
        <v>22</v>
      </c>
      <c r="J37" s="27" t="s">
        <v>451</v>
      </c>
    </row>
    <row r="38" spans="2:10" ht="19.05" customHeight="1" x14ac:dyDescent="0.3">
      <c r="B38" s="20" t="s">
        <v>452</v>
      </c>
      <c r="C38" s="205">
        <f>INDEX('Rate Engine'!$H$17:$H$64,$I$37)</f>
        <v>1</v>
      </c>
      <c r="D38" s="205">
        <f>INDEX('Rate Engine'!$H$17:$H$64,$I$38)</f>
        <v>1</v>
      </c>
      <c r="E38" s="205">
        <f>INDEX('Rate Engine'!$H$17:$H$64,$I$39)</f>
        <v>1</v>
      </c>
      <c r="H38" s="23" t="s">
        <v>453</v>
      </c>
      <c r="I38" s="43">
        <f>IF(COUNTIF('Rate Engine'!$K$17:$K$64,"&gt;0")=0,25,MATCH(1,INDEX(('Rate Engine'!$K$17:$K$64&gt;0)*1,0),0))</f>
        <v>7</v>
      </c>
      <c r="J38" s="27" t="s">
        <v>454</v>
      </c>
    </row>
    <row r="39" spans="2:10" ht="19.05" customHeight="1" x14ac:dyDescent="0.3">
      <c r="B39" s="20" t="s">
        <v>455</v>
      </c>
      <c r="C39" s="50">
        <f>INDEX('Rate Engine'!$I$17:$I$64,$I$37)</f>
        <v>1.1024</v>
      </c>
      <c r="D39" s="50">
        <f>INDEX('Rate Engine'!$I$17:$I$64,$I$38)</f>
        <v>1</v>
      </c>
      <c r="E39" s="50">
        <f>INDEX('Rate Engine'!$I$17:$I$64,$I$39)</f>
        <v>1.1575200000000001</v>
      </c>
      <c r="H39" s="23" t="s">
        <v>456</v>
      </c>
      <c r="I39" s="43">
        <f>24+13-ROUND(nr_TermMonths/2,0)</f>
        <v>34</v>
      </c>
      <c r="J39" s="27" t="s">
        <v>457</v>
      </c>
    </row>
    <row r="40" spans="2:10" ht="19.05" customHeight="1" x14ac:dyDescent="0.3">
      <c r="B40" s="20" t="s">
        <v>458</v>
      </c>
      <c r="C40" s="50">
        <f>INDEX('Rate Engine'!$J$17:$J$64,$I$37)</f>
        <v>1.1024</v>
      </c>
      <c r="D40" s="50">
        <f>INDEX('Rate Engine'!$J$17:$J$64,$I$38)</f>
        <v>1.04</v>
      </c>
      <c r="E40" s="50">
        <f>INDEX('Rate Engine'!$J$17:$J$64,$I$39)</f>
        <v>1.1575200000000001</v>
      </c>
      <c r="J40" s="27" t="s">
        <v>459</v>
      </c>
    </row>
    <row r="41" spans="2:10" ht="19.05" customHeight="1" x14ac:dyDescent="0.3">
      <c r="B41" s="20" t="s">
        <v>460</v>
      </c>
      <c r="C41" s="206">
        <f>INDEX('Rate Engine'!$K$17:$K$64,$I$37)</f>
        <v>0</v>
      </c>
      <c r="D41" s="206">
        <f>INDEX('Rate Engine'!$K$17:$K$64,$I$38)</f>
        <v>1</v>
      </c>
      <c r="E41" s="206">
        <f>INDEX('Rate Engine'!$K$17:$K$64,$I$39)</f>
        <v>0</v>
      </c>
      <c r="J41" s="27" t="s">
        <v>461</v>
      </c>
    </row>
    <row r="42" spans="2:10" ht="19.05" customHeight="1" x14ac:dyDescent="0.3">
      <c r="B42" s="20" t="s">
        <v>462</v>
      </c>
      <c r="C42" s="206">
        <f>INDEX('Rate Engine'!$L$17:$L$64,$I$37)</f>
        <v>0</v>
      </c>
      <c r="D42" s="206">
        <f>INDEX('Rate Engine'!$L$17:$L$64,$I$38)</f>
        <v>31</v>
      </c>
      <c r="E42" s="206">
        <f>INDEX('Rate Engine'!$L$17:$L$64,$I$39)</f>
        <v>0</v>
      </c>
      <c r="J42" s="27" t="s">
        <v>463</v>
      </c>
    </row>
    <row r="43" spans="2:10" ht="19.05" customHeight="1" x14ac:dyDescent="0.3">
      <c r="B43" s="20" t="s">
        <v>464</v>
      </c>
      <c r="C43" s="207">
        <f>INDEX('Rate Engine'!$M$17:$M$64,$I$37)</f>
        <v>0</v>
      </c>
      <c r="D43" s="207">
        <f>INDEX('Rate Engine'!$M$17:$M$64,$I$38)</f>
        <v>1</v>
      </c>
      <c r="E43" s="207">
        <f>INDEX('Rate Engine'!$M$17:$M$64,$I$39)</f>
        <v>0</v>
      </c>
      <c r="J43" s="27" t="s">
        <v>465</v>
      </c>
    </row>
    <row r="44" spans="2:10" ht="19.05" customHeight="1" x14ac:dyDescent="0.3">
      <c r="B44" s="20" t="s">
        <v>466</v>
      </c>
      <c r="C44" s="50">
        <f>INDEX('Rate Engine'!$N$17:$N$64,$I$37)</f>
        <v>1.1024</v>
      </c>
      <c r="D44" s="50">
        <f>INDEX('Rate Engine'!$N$17:$N$64,$I$38)</f>
        <v>1.04</v>
      </c>
      <c r="E44" s="50">
        <f>INDEX('Rate Engine'!$N$17:$N$64,$I$39)</f>
        <v>1.1575200000000001</v>
      </c>
      <c r="J44" s="27" t="s">
        <v>467</v>
      </c>
    </row>
    <row r="45" spans="2:10" ht="19.05" customHeight="1" x14ac:dyDescent="0.3">
      <c r="B45" s="20" t="s">
        <v>468</v>
      </c>
      <c r="C45" s="50">
        <f>INDEX('Rate Engine'!$P$17:$P$64,$I$37)</f>
        <v>0.41666666666666669</v>
      </c>
      <c r="D45" s="50">
        <f>INDEX('Rate Engine'!$P$17:$P$64,$I$38)</f>
        <v>8.333333333333337E-2</v>
      </c>
      <c r="E45" s="50">
        <f>INDEX('Rate Engine'!$P$17:$P$64,$I$39)</f>
        <v>0</v>
      </c>
      <c r="J45" s="27" t="s">
        <v>469</v>
      </c>
    </row>
    <row r="46" spans="2:10" ht="19.05" customHeight="1" x14ac:dyDescent="0.3">
      <c r="B46" s="20" t="s">
        <v>470</v>
      </c>
      <c r="C46" s="50">
        <f>INDEX('Rate Engine'!$Q$17:$Q$64,$I$37)</f>
        <v>0.58333333333333326</v>
      </c>
      <c r="D46" s="50">
        <f>INDEX('Rate Engine'!$Q$17:$Q$64,$I$38)</f>
        <v>0</v>
      </c>
      <c r="E46" s="50">
        <f>INDEX('Rate Engine'!$Q$17:$Q$64,$I$39)</f>
        <v>0.41666666666666669</v>
      </c>
      <c r="J46" s="27" t="s">
        <v>471</v>
      </c>
    </row>
    <row r="47" spans="2:10" ht="19.05" customHeight="1" x14ac:dyDescent="0.3">
      <c r="B47" s="20" t="s">
        <v>472</v>
      </c>
      <c r="C47" s="50">
        <f>INDEX('Rate Engine'!$R$17:$R$64,$I$37)</f>
        <v>0</v>
      </c>
      <c r="D47" s="50">
        <f>INDEX('Rate Engine'!$R$17:$R$64,$I$38)</f>
        <v>0</v>
      </c>
      <c r="E47" s="50">
        <f>INDEX('Rate Engine'!$R$17:$R$64,$I$39)</f>
        <v>0.58333333333333326</v>
      </c>
      <c r="J47" s="27" t="s">
        <v>473</v>
      </c>
    </row>
    <row r="48" spans="2:10" ht="31.95" customHeight="1" x14ac:dyDescent="0.3">
      <c r="B48" s="18" t="s">
        <v>474</v>
      </c>
      <c r="C48" s="208">
        <f>(1-INDEX('Rate Engine'!$M$17:$M$64,$I$37))*INDEX('Rate Engine'!$I$17:$I$64,$I$37)+INDEX('Rate Engine'!$M$17:$M$64,$I$37)*INDEX('Rate Engine'!$J$17:$J$64,$I$37)</f>
        <v>1.1024</v>
      </c>
      <c r="D48" s="208">
        <f>(1-INDEX('Rate Engine'!$M$17:$M$64,$I$38))*INDEX('Rate Engine'!$I$17:$I$64,$I$38)+INDEX('Rate Engine'!$M$17:$M$64,$I$38)*INDEX('Rate Engine'!$J$17:$J$64,$I$38)</f>
        <v>1.04</v>
      </c>
      <c r="E48" s="208">
        <f>(1-INDEX('Rate Engine'!$M$17:$M$64,$I$39))*INDEX('Rate Engine'!$I$17:$I$64,$I$39)+INDEX('Rate Engine'!$M$17:$M$64,$I$39)*INDEX('Rate Engine'!$J$17:$J$64,$I$39)</f>
        <v>1.1575200000000001</v>
      </c>
      <c r="I48" s="19" t="str">
        <f>HYPERLINK("#'Rate Engine'!A16","all 48 cohorts &gt;")</f>
        <v>all 48 cohorts &gt;</v>
      </c>
      <c r="J48" s="27" t="s">
        <v>475</v>
      </c>
    </row>
    <row r="50" spans="2:10" ht="48" customHeight="1" x14ac:dyDescent="0.3">
      <c r="B50" s="3" t="s">
        <v>476</v>
      </c>
      <c r="J50" s="197" t="s">
        <v>477</v>
      </c>
    </row>
    <row r="51" spans="2:10" ht="19.05" customHeight="1" x14ac:dyDescent="0.3">
      <c r="B51" s="20" t="s">
        <v>478</v>
      </c>
      <c r="C51" s="113">
        <f>SUM('Rate Engine'!AH$66:AS$66)</f>
        <v>13.559519999999997</v>
      </c>
      <c r="J51" s="27" t="s">
        <v>479</v>
      </c>
    </row>
    <row r="52" spans="2:10" ht="19.05" customHeight="1" x14ac:dyDescent="0.3">
      <c r="B52" s="20" t="s">
        <v>480</v>
      </c>
      <c r="C52" s="113">
        <f>SUM('Rate Engine'!AH$67:AS$67)</f>
        <v>11.999999999999998</v>
      </c>
      <c r="J52" s="27" t="s">
        <v>481</v>
      </c>
    </row>
    <row r="53" spans="2:10" x14ac:dyDescent="0.3">
      <c r="B53" s="20" t="s">
        <v>482</v>
      </c>
      <c r="C53" s="202">
        <f>nr_ECY_P</f>
        <v>1.1299600000000001</v>
      </c>
      <c r="J53" s="51" t="str">
        <f>"Numerator / denominator — the level CY "&amp;nr_PlanYear&amp;" premium actually carries."</f>
        <v>Numerator / denominator — the level CY 2027 premium actually carries.</v>
      </c>
    </row>
    <row r="54" spans="2:10" x14ac:dyDescent="0.3">
      <c r="B54" s="20" t="s">
        <v>483</v>
      </c>
      <c r="C54" s="209">
        <f>nr_Arate_P</f>
        <v>0.97560975609756095</v>
      </c>
      <c r="J54" s="51" t="str">
        <f>IF(nr_NetMode,"under the net selection this is the COMBINED rate x price factor A_net (mod drift shows 1.000)",IF(nr_Arate_P&gt;1,"above 1.000: the year earns LESS rate than the indication assumed — pressure UP on the plan LR","at or below 1.000: extra rate earns in — pressure DOWN on the plan LR"))</f>
        <v>at or below 1.000: extra rate earns in — pressure DOWN on the plan LR</v>
      </c>
    </row>
    <row r="56" spans="2:10" ht="48" customHeight="1" x14ac:dyDescent="0.3">
      <c r="B56" s="3" t="s">
        <v>484</v>
      </c>
      <c r="J56" s="197" t="s">
        <v>485</v>
      </c>
    </row>
    <row r="57" spans="2:10" x14ac:dyDescent="0.3">
      <c r="B57" s="20" t="s">
        <v>486</v>
      </c>
      <c r="C57" s="210">
        <f>'Mod Engine'!$F$6-1</f>
        <v>45930</v>
      </c>
      <c r="D57" s="44">
        <f>'Mod Engine'!$G$6</f>
        <v>0.83603938730853389</v>
      </c>
    </row>
    <row r="58" spans="2:10" x14ac:dyDescent="0.3">
      <c r="B58" s="20" t="s">
        <v>487</v>
      </c>
      <c r="C58" s="210">
        <f>'Mod Engine'!$F$7-1</f>
        <v>46295</v>
      </c>
      <c r="D58" s="44">
        <f>'Mod Engine'!$G$7</f>
        <v>0.86</v>
      </c>
    </row>
    <row r="59" spans="2:10" x14ac:dyDescent="0.3">
      <c r="B59" s="20" t="s">
        <v>488</v>
      </c>
      <c r="C59" s="210">
        <f>'Mod Engine'!$F$8-1</f>
        <v>46752</v>
      </c>
      <c r="D59" s="44">
        <f>'Mod Engine'!$G$8</f>
        <v>0.89</v>
      </c>
    </row>
    <row r="60" spans="2:10" x14ac:dyDescent="0.3">
      <c r="B60" s="20" t="s">
        <v>489</v>
      </c>
      <c r="C60" s="210">
        <f>'Mod Engine'!$F$9-1</f>
        <v>47118</v>
      </c>
      <c r="D60" s="44">
        <f>'Mod Engine'!$G$9</f>
        <v>0.89</v>
      </c>
    </row>
    <row r="61" spans="2:10" ht="31.95" customHeight="1" x14ac:dyDescent="0.3">
      <c r="B61" s="20" t="s">
        <v>490</v>
      </c>
      <c r="C61" s="211">
        <f>'Mod Engine'!$H$7*30.4375*100</f>
        <v>0.19980853391684922</v>
      </c>
      <c r="J61" s="27" t="s">
        <v>491</v>
      </c>
    </row>
    <row r="62" spans="2:10" x14ac:dyDescent="0.3">
      <c r="B62" s="20" t="s">
        <v>492</v>
      </c>
      <c r="C62" s="200">
        <f>nr_MEarned_P</f>
        <v>0.87197757111597374</v>
      </c>
      <c r="J62" s="196" t="str">
        <f>IF(me_identity_ok,"sanity check: equals the written mod at Jan 1 ("&amp;TEXT(me_identity,"0.000")&amp;") — the uniform + annual + linear identity","the Jan-1 identity is suspended (seasonality, short term, or a kinked path) — the earned average still governs")</f>
        <v>the Jan-1 identity is suspended (seasonality, short term, or a kinked path) — the earned average still governs</v>
      </c>
    </row>
    <row r="63" spans="2:10" x14ac:dyDescent="0.3">
      <c r="B63" s="18" t="s">
        <v>493</v>
      </c>
      <c r="C63" s="209">
        <f>nr_Amod_P</f>
        <v>0.97479571511472884</v>
      </c>
      <c r="I63" s="19" t="str">
        <f>HYPERLINK("#'Mod Engine'!A1","mod engine &gt;")</f>
        <v>mod engine &gt;</v>
      </c>
      <c r="J63" s="196" t="str">
        <f>IF(nr_NetMode,"1.000 — merged into the net factor in step 4","the indication assumed "&amp;TEXT(nr_MInd,"0.000")&amp;"; the year earns "&amp;TEXT(nr_MEarned_P,"0.000")&amp;" — the gap is a price change that earns in exactly like rate")</f>
        <v>the indication assumed 0.850; the year earns 0.872 — the gap is a price change that earns in exactly like rate</v>
      </c>
    </row>
    <row r="65" spans="2:10" ht="15.6" x14ac:dyDescent="0.3">
      <c r="B65" s="3" t="s">
        <v>494</v>
      </c>
    </row>
    <row r="66" spans="2:10" ht="19.05" customHeight="1" x14ac:dyDescent="0.3">
      <c r="B66" s="18" t="s">
        <v>495</v>
      </c>
      <c r="D66" s="46">
        <f>nr_LRcur</f>
        <v>0.65</v>
      </c>
      <c r="J66" s="27" t="s">
        <v>496</v>
      </c>
    </row>
    <row r="67" spans="2:10" x14ac:dyDescent="0.3">
      <c r="B67" s="20" t="s">
        <v>497</v>
      </c>
      <c r="C67" s="42">
        <f>nr_Arate_P</f>
        <v>0.97560975609756095</v>
      </c>
      <c r="D67" s="46">
        <f>$D66*$C67</f>
        <v>0.63414634146341464</v>
      </c>
    </row>
    <row r="68" spans="2:10" x14ac:dyDescent="0.3">
      <c r="B68" s="20" t="s">
        <v>498</v>
      </c>
      <c r="C68" s="42">
        <f>nr_Amod_P</f>
        <v>0.97479571511472884</v>
      </c>
      <c r="D68" s="46">
        <f>$D67*$C68</f>
        <v>0.61816313641421827</v>
      </c>
    </row>
    <row r="69" spans="2:10" x14ac:dyDescent="0.3">
      <c r="B69" s="20" t="s">
        <v>499</v>
      </c>
      <c r="C69" s="42">
        <f>nr_AOther</f>
        <v>1</v>
      </c>
      <c r="D69" s="46">
        <f>$D68*$C69</f>
        <v>0.61816313641421827</v>
      </c>
    </row>
    <row r="70" spans="2:10" x14ac:dyDescent="0.3">
      <c r="B70" s="18" t="s">
        <v>500</v>
      </c>
      <c r="D70" s="134">
        <f>$D69</f>
        <v>0.61816313641421827</v>
      </c>
      <c r="J70" s="196" t="str">
        <f>"The same number the Bridge, Portfolio row, and State Summary show for "&amp;nr_SelKey&amp;"."</f>
        <v>The same number the Bridge, Portfolio row, and State Summary show for ABD|AZ.</v>
      </c>
    </row>
    <row r="71" spans="2:10" ht="31.95" customHeight="1" x14ac:dyDescent="0.3">
      <c r="B71" s="20" t="s">
        <v>501</v>
      </c>
      <c r="D71" s="46">
        <f>nr_LRcur*(1+nr_Trend)*nr_Arate_P1*nr_Amod_P1*nr_AOther</f>
        <v>0.59190316879792326</v>
      </c>
      <c r="J71" s="27" t="s">
        <v>502</v>
      </c>
    </row>
    <row r="73" spans="2:10" ht="15.6" x14ac:dyDescent="0.3">
      <c r="B73" s="3" t="s">
        <v>503</v>
      </c>
    </row>
    <row r="74" spans="2:10" x14ac:dyDescent="0.3">
      <c r="B74" s="212" t="str">
        <f>"CY "&amp;nr_PlanYear&amp;" plan loss ratio for "&amp;nr_SelKey&amp;" is "&amp;TEXT(nr_CYLR_P,"0.0%")&amp;", versus "&amp;TEXT(nr_LRcur,"0.0%")&amp;" projected at current rate level ("&amp;TEXT((nr_CYLR_P-nr_LRcur)*100,"+0.0;-0.0;0.0")&amp;" pts)."</f>
        <v>CY 2027 plan loss ratio for ABD|AZ is 61.8%, versus 65.0% projected at current rate level (-3.2 pts).</v>
      </c>
    </row>
    <row r="75" spans="2:10" x14ac:dyDescent="0.3">
      <c r="B75" s="212" t="str">
        <f>IF(nr_NetMode,"Driver: the "&amp;TEXT(nr_NetSelP,"+0.0%;-0.0%")&amp;" net rate selection from 1/1 — rate and price together renew at that pace, so earn-in nets to "&amp;TEXT((nr_Arate_P*nr_Amod_P-1)*100,"+0.0;-0.0;0.0")&amp;" pts of LR.","Drivers: rate earn-in contributes "&amp;TEXT(nr_LRcur*(nr_Arate_P-1)*100,"+0.0;-0.0;0.0")&amp;" pts and schedule-mod drift "&amp;TEXT(nr_LRcur*nr_Arate_P*(nr_Amod_P-1)*100,"+0.0;-0.0;0.0")&amp;" pts; the year earns "&amp;TEXT(nr_EChgVsInd,"+0.0%;-0.0%;0.0%")&amp;" versus the level the indication assumed.")</f>
        <v>Drivers: rate earn-in contributes -1.6 pts and schedule-mod drift -1.6 pts; the year earns +2.5% versus the level the indication assumed.</v>
      </c>
    </row>
    <row r="77" spans="2:10" ht="15.6" x14ac:dyDescent="0.3">
      <c r="B77" s="3" t="s">
        <v>504</v>
      </c>
    </row>
    <row r="78" spans="2:10" ht="19.05" customHeight="1" x14ac:dyDescent="0.3">
      <c r="B78" s="20" t="s">
        <v>505</v>
      </c>
      <c r="C78" s="213" t="str">
        <f>IF(ABS(nr_WalkLR-nr_CYLR_P)&lt;0.000000001,"MATCHES","DIFFERS")</f>
        <v>MATCHES</v>
      </c>
      <c r="J78" s="27" t="s">
        <v>506</v>
      </c>
    </row>
    <row r="79" spans="2:10" ht="19.05" customHeight="1" x14ac:dyDescent="0.3">
      <c r="B79" s="20" t="s">
        <v>507</v>
      </c>
      <c r="C79" s="213" t="str">
        <f>IF(br_selrow=0,"n/a",IF(ABS(INDEX(calc_cylr_p,br_selrow)-nr_CYLR_P)&lt;0.000000001,"MATCHES","DIFFERS"))</f>
        <v>MATCHES</v>
      </c>
      <c r="J79" s="27" t="s">
        <v>508</v>
      </c>
    </row>
    <row r="80" spans="2:10" ht="19.05" customHeight="1" x14ac:dyDescent="0.3">
      <c r="B80" s="20" t="s">
        <v>509</v>
      </c>
      <c r="C80" s="213" t="str">
        <f>IF(NOT(orc_fp),"n/a - sample data changed (regenerate to re-bake)",IF(ABS(nr_CYLR_P-orc_cylr_p)&lt;0.000001,"MATCHES","DIFFERS"))</f>
        <v>MATCHES</v>
      </c>
      <c r="J80" s="27" t="s">
        <v>510</v>
      </c>
    </row>
    <row r="81" spans="2:2" x14ac:dyDescent="0.3">
      <c r="B81" s="155" t="str">
        <f>HYPERLINK("#Checks!A1","Full validation panel: Checks &gt;")</f>
        <v>Full validation panel: Checks &gt;</v>
      </c>
    </row>
  </sheetData>
  <conditionalFormatting sqref="C78:C80">
    <cfRule type="cellIs" dxfId="14" priority="1" operator="equal">
      <formula>"MATCHES"</formula>
    </cfRule>
    <cfRule type="cellIs" dxfId="13" priority="2" operator="equal">
      <formula>"DIFFERS"</formula>
    </cfRule>
  </conditionalFormatting>
  <pageMargins left="0.75" right="0.75" top="1" bottom="1" header="0.5" footer="0.5"/>
  <pageSetup fitToHeight="0" orientation="portrait"/>
  <headerFooter>
    <oddHeader>&amp;C&amp;"Calibri,Bold"&amp;10 CY Plan Loss Ratio Workbook</oddHeader>
    <oddFooter>&amp;L&amp;9 &amp;A&amp;R&amp;9 Page &amp;P of &amp;N</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pageSetUpPr fitToPage="1"/>
  </sheetPr>
  <dimension ref="B2:G33"/>
  <sheetViews>
    <sheetView showGridLines="0" workbookViewId="0"/>
  </sheetViews>
  <sheetFormatPr defaultRowHeight="14.4" x14ac:dyDescent="0.3"/>
  <cols>
    <col min="1" max="1" width="2" customWidth="1"/>
    <col min="2" max="2" width="34" customWidth="1"/>
    <col min="3" max="3" width="12" customWidth="1"/>
    <col min="4" max="4" width="14" customWidth="1"/>
    <col min="5" max="7" width="12" customWidth="1"/>
  </cols>
  <sheetData>
    <row r="2" spans="2:7" ht="21" x14ac:dyDescent="0.3">
      <c r="B2" s="1" t="s">
        <v>511</v>
      </c>
    </row>
    <row r="3" spans="2:7" x14ac:dyDescent="0.3">
      <c r="B3" s="2" t="s">
        <v>512</v>
      </c>
    </row>
    <row r="4" spans="2:7" x14ac:dyDescent="0.3">
      <c r="B4" s="20" t="s">
        <v>513</v>
      </c>
      <c r="C4" s="184" t="str">
        <f>nr_SelKey</f>
        <v>ABD|AZ</v>
      </c>
      <c r="E4" s="155" t="str">
        <f>HYPERLINK("#Control!C7","Change selection &gt;")</f>
        <v>Change selection &gt;</v>
      </c>
    </row>
    <row r="5" spans="2:7" ht="18" x14ac:dyDescent="0.35">
      <c r="B5" s="185" t="str">
        <f>IF(nr_SelOK,"Projected "&amp;TEXT(nr_LRproj,"0.0%")&amp;"  -&gt;  CY "&amp;nr_PlanYear&amp;" plan "&amp;TEXT(nr_CYLR_P,"0.0%")&amp;"   ("&amp;TEXT((nr_CYLR_P-nr_LRcur)*100,"+0.0;-0.0;0.0")&amp;" pts vs current level)","Select a combo on Control first.")</f>
        <v>Projected 65.0%  -&gt;  CY 2027 plan 61.8%   (-3.2 pts vs current level)</v>
      </c>
      <c r="C5" s="34"/>
      <c r="D5" s="34"/>
      <c r="E5" s="34"/>
      <c r="F5" s="34"/>
      <c r="G5" s="34"/>
    </row>
    <row r="7" spans="2:7" ht="15.6" x14ac:dyDescent="0.3">
      <c r="B7" s="3" t="s">
        <v>514</v>
      </c>
    </row>
    <row r="8" spans="2:7" x14ac:dyDescent="0.3">
      <c r="B8" s="20" t="s">
        <v>495</v>
      </c>
      <c r="D8" s="45">
        <f>nr_LRcur</f>
        <v>0.65</v>
      </c>
    </row>
    <row r="9" spans="2:7" x14ac:dyDescent="0.3">
      <c r="B9" s="20" t="str">
        <f>IF(nr_NetMode,"x  net earn-in (rate + price)","x  rate earn-in")</f>
        <v>x  rate earn-in</v>
      </c>
      <c r="C9" s="42">
        <f>nr_Arate_P</f>
        <v>0.97560975609756095</v>
      </c>
      <c r="D9" s="46">
        <f>$D8*$C9</f>
        <v>0.63414634146341464</v>
      </c>
    </row>
    <row r="10" spans="2:7" x14ac:dyDescent="0.3">
      <c r="B10" s="20" t="str">
        <f>IF(nr_NetMode,"x  mod drift (merged into net)","x  schedule-mod drift")</f>
        <v>x  schedule-mod drift</v>
      </c>
      <c r="C10" s="42">
        <f>nr_Amod_P</f>
        <v>0.97479571511472884</v>
      </c>
      <c r="D10" s="46">
        <f>$D9*$C10</f>
        <v>0.61816313641421827</v>
      </c>
    </row>
    <row r="11" spans="2:7" x14ac:dyDescent="0.3">
      <c r="B11" s="20" t="s">
        <v>515</v>
      </c>
      <c r="C11" s="42">
        <f>nr_AOther</f>
        <v>1</v>
      </c>
      <c r="D11" s="46">
        <f>$D10*$C11</f>
        <v>0.61816313641421827</v>
      </c>
    </row>
    <row r="12" spans="2:7" x14ac:dyDescent="0.3">
      <c r="B12" s="25" t="str">
        <f>"CY "&amp;nr_PlanYear&amp;" PLAN LOSS RATIO"</f>
        <v>CY 2027 PLAN LOSS RATIO</v>
      </c>
      <c r="D12" s="214">
        <f>nr_CYLR_P</f>
        <v>0.61816313641421827</v>
      </c>
    </row>
    <row r="13" spans="2:7" x14ac:dyDescent="0.3">
      <c r="B13" s="20" t="str">
        <f>"CY "&amp;(nr_PlanYear+1)&amp;" (indicative, + net trend)"</f>
        <v>CY 2028 (indicative, + net trend)</v>
      </c>
      <c r="D13" s="45">
        <f>nr_CYLR_P1</f>
        <v>0.59190316879792326</v>
      </c>
    </row>
    <row r="15" spans="2:7" ht="15.6" x14ac:dyDescent="0.3">
      <c r="B15" s="3" t="s">
        <v>516</v>
      </c>
    </row>
    <row r="16" spans="2:7" x14ac:dyDescent="0.3">
      <c r="B16" s="20" t="s">
        <v>517</v>
      </c>
      <c r="D16" s="215">
        <f>IF(br_selrow=0,"",N(INDEX(lr_ep,br_selrow)))</f>
        <v>6400</v>
      </c>
    </row>
    <row r="17" spans="2:5" x14ac:dyDescent="0.3">
      <c r="B17" s="20" t="s">
        <v>259</v>
      </c>
      <c r="D17" s="48">
        <f>IF(nr_SelOK,nr_EChgVsInd,"")</f>
        <v>2.5000000000000133E-2</v>
      </c>
    </row>
    <row r="18" spans="2:5" x14ac:dyDescent="0.3">
      <c r="B18" s="20" t="str">
        <f>"Carryover into "&amp;(nr_PlanYear+1)</f>
        <v>Carryover into 2028</v>
      </c>
      <c r="D18" s="48">
        <f>IF(nr_SelOK,nr_YoY_P1,"")</f>
        <v>2.4390243902439046E-2</v>
      </c>
    </row>
    <row r="19" spans="2:5" x14ac:dyDescent="0.3">
      <c r="B19" s="20" t="s">
        <v>518</v>
      </c>
      <c r="D19" s="52" t="str">
        <f>IF(NOT(nr_SelOK),"",IF(nr_NetMode,"NET RATE SELECTION: "&amp;TEXT(nr_NetSelP,"+0.0%;-0.0%")&amp;" combined from 1/1","explicit rate program (see actions below)"))</f>
        <v>explicit rate program (see actions below)</v>
      </c>
    </row>
    <row r="20" spans="2:5" x14ac:dyDescent="0.3">
      <c r="B20" s="20" t="s">
        <v>519</v>
      </c>
      <c r="D20" s="52" t="str">
        <f>ck_overall</f>
        <v>ALL CHECKS PASS</v>
      </c>
    </row>
    <row r="22" spans="2:5" ht="15.6" x14ac:dyDescent="0.3">
      <c r="B22" s="3" t="s">
        <v>520</v>
      </c>
    </row>
    <row r="23" spans="2:5" x14ac:dyDescent="0.3">
      <c r="B23" s="58" t="s">
        <v>390</v>
      </c>
      <c r="C23" s="58" t="s">
        <v>391</v>
      </c>
      <c r="D23" s="58" t="s">
        <v>395</v>
      </c>
      <c r="E23" s="58" t="s">
        <v>393</v>
      </c>
    </row>
    <row r="24" spans="2:5" x14ac:dyDescent="0.3">
      <c r="B24" s="187">
        <v>1</v>
      </c>
      <c r="C24" s="188">
        <f>IF(COUNTIFS(rl_key,nr_SelKey,rl_seq,1)=0,"",SUMIFS(rl_eff,rl_key,nr_SelKey,rl_seq,1))</f>
        <v>45839</v>
      </c>
      <c r="D24" s="53">
        <f>IF(COUNTIFS(rl_key,nr_SelKey,rl_seq,1)=0,"",SUMIFS(rl_reff,rl_key,nr_SelKey,rl_seq,1))</f>
        <v>0.04</v>
      </c>
      <c r="E24" s="89" t="str">
        <f>IF(COUNTIFS(rl_key,nr_SelKey,rl_seq,1)=0,"",IF(COUNTIFS(rl_key,nr_SelKey,rl_seq,1,rl_status,"planned")&gt;0,"planned","taken"))</f>
        <v>taken</v>
      </c>
    </row>
    <row r="25" spans="2:5" x14ac:dyDescent="0.3">
      <c r="B25" s="187">
        <v>2</v>
      </c>
      <c r="C25" s="188">
        <f>IF(COUNTIFS(rl_key,nr_SelKey,rl_seq,2)=0,"",SUMIFS(rl_eff,rl_key,nr_SelKey,rl_seq,2))</f>
        <v>46204</v>
      </c>
      <c r="D25" s="53">
        <f>IF(COUNTIFS(rl_key,nr_SelKey,rl_seq,2)=0,"",SUMIFS(rl_reff,rl_key,nr_SelKey,rl_seq,2))</f>
        <v>0.06</v>
      </c>
      <c r="E25" s="89" t="str">
        <f>IF(COUNTIFS(rl_key,nr_SelKey,rl_seq,2)=0,"",IF(COUNTIFS(rl_key,nr_SelKey,rl_seq,2,rl_status,"planned")&gt;0,"planned","taken"))</f>
        <v>taken</v>
      </c>
    </row>
    <row r="26" spans="2:5" x14ac:dyDescent="0.3">
      <c r="B26" s="187">
        <v>3</v>
      </c>
      <c r="C26" s="188">
        <f>IF(COUNTIFS(rl_key,nr_SelKey,rl_seq,3)=0,"",SUMIFS(rl_eff,rl_key,nr_SelKey,rl_seq,3))</f>
        <v>46478</v>
      </c>
      <c r="D26" s="53">
        <f>IF(COUNTIFS(rl_key,nr_SelKey,rl_seq,3)=0,"",SUMIFS(rl_reff,rl_key,nr_SelKey,rl_seq,3))</f>
        <v>0.05</v>
      </c>
      <c r="E26" s="89" t="str">
        <f>IF(COUNTIFS(rl_key,nr_SelKey,rl_seq,3)=0,"",IF(COUNTIFS(rl_key,nr_SelKey,rl_seq,3,rl_status,"planned")&gt;0,"planned","taken"))</f>
        <v>planned</v>
      </c>
    </row>
    <row r="27" spans="2:5" x14ac:dyDescent="0.3">
      <c r="B27" s="187">
        <v>4</v>
      </c>
      <c r="C27" s="188" t="str">
        <f>IF(COUNTIFS(rl_key,nr_SelKey,rl_seq,4)=0,"",SUMIFS(rl_eff,rl_key,nr_SelKey,rl_seq,4))</f>
        <v/>
      </c>
      <c r="D27" s="53" t="str">
        <f>IF(COUNTIFS(rl_key,nr_SelKey,rl_seq,4)=0,"",SUMIFS(rl_reff,rl_key,nr_SelKey,rl_seq,4))</f>
        <v/>
      </c>
      <c r="E27" s="89" t="str">
        <f>IF(COUNTIFS(rl_key,nr_SelKey,rl_seq,4)=0,"",IF(COUNTIFS(rl_key,nr_SelKey,rl_seq,4,rl_status,"planned")&gt;0,"planned","taken"))</f>
        <v/>
      </c>
    </row>
    <row r="28" spans="2:5" x14ac:dyDescent="0.3">
      <c r="B28" s="187">
        <v>5</v>
      </c>
      <c r="C28" s="188" t="str">
        <f>IF(COUNTIFS(rl_key,nr_SelKey,rl_seq,5)=0,"",SUMIFS(rl_eff,rl_key,nr_SelKey,rl_seq,5))</f>
        <v/>
      </c>
      <c r="D28" s="53" t="str">
        <f>IF(COUNTIFS(rl_key,nr_SelKey,rl_seq,5)=0,"",SUMIFS(rl_reff,rl_key,nr_SelKey,rl_seq,5))</f>
        <v/>
      </c>
      <c r="E28" s="89" t="str">
        <f>IF(COUNTIFS(rl_key,nr_SelKey,rl_seq,5)=0,"",IF(COUNTIFS(rl_key,nr_SelKey,rl_seq,5,rl_status,"planned")&gt;0,"planned","taken"))</f>
        <v/>
      </c>
    </row>
    <row r="29" spans="2:5" x14ac:dyDescent="0.3">
      <c r="B29" s="51" t="str">
        <f>IF(COUNTIFS(rl_key,nr_SelKey)&gt;5,"+ "&amp;(COUNTIFS(rl_key,nr_SelKey)-5)&amp;" more on the Rate Log","")</f>
        <v/>
      </c>
    </row>
    <row r="31" spans="2:5" ht="15.6" x14ac:dyDescent="0.3">
      <c r="B31" s="3" t="s">
        <v>521</v>
      </c>
    </row>
    <row r="32" spans="2:5" x14ac:dyDescent="0.3">
      <c r="B32" s="212" t="str">
        <f>"CY "&amp;nr_PlanYear&amp;" plan loss ratio for "&amp;nr_SelKey&amp;" is "&amp;TEXT(nr_CYLR_P,"0.0%")&amp;", versus "&amp;TEXT(nr_LRcur,"0.0%")&amp;" projected at current rate level ("&amp;TEXT((nr_CYLR_P-nr_LRcur)*100,"+0.0;-0.0;0.0")&amp;" pts)."</f>
        <v>CY 2027 plan loss ratio for ABD|AZ is 61.8%, versus 65.0% projected at current rate level (-3.2 pts).</v>
      </c>
    </row>
    <row r="33" spans="2:2" x14ac:dyDescent="0.3">
      <c r="B33" s="212" t="str">
        <f>IF(nr_NetMode,"Driver: the "&amp;TEXT(nr_NetSelP,"+0.0%;-0.0%")&amp;" net rate selection from 1/1 — rate and price together renew at that pace.","Drivers: rate earn-in "&amp;TEXT(nr_LRcur*(nr_Arate_P-1)*100,"+0.0;-0.0;0.0")&amp;" pts, schedule-mod drift "&amp;TEXT(nr_LRcur*nr_Arate_P*(nr_Amod_P-1)*100,"+0.0;-0.0;0.0")&amp;" pts; the year earns "&amp;TEXT(nr_EChgVsInd,"+0.0%;-0.0%;0.0%")&amp;" vs the indication's assumed level.")</f>
        <v>Drivers: rate earn-in -1.6 pts, schedule-mod drift -1.6 pts; the year earns +2.5% vs the indication's assumed level.</v>
      </c>
    </row>
  </sheetData>
  <conditionalFormatting sqref="D20">
    <cfRule type="cellIs" dxfId="12" priority="1" operator="equal">
      <formula>"ALL CHECKS PASS"</formula>
    </cfRule>
    <cfRule type="cellIs" dxfId="11" priority="2" operator="notEqual">
      <formula>"ALL CHECKS PASS"</formula>
    </cfRule>
  </conditionalFormatting>
  <pageMargins left="0.75" right="0.75" top="1" bottom="1" header="0.5" footer="0.5"/>
  <pageSetup orientation="portrait"/>
  <headerFooter>
    <oddHeader>&amp;C&amp;"Calibri,Bold"&amp;10 CY Plan Loss Ratio Workbook</oddHeader>
    <oddFooter>&amp;L&amp;9 &amp;A&amp;R&amp;9 Page &amp;P of &amp;N</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pageSetUpPr fitToPage="1"/>
  </sheetPr>
  <dimension ref="B2:U116"/>
  <sheetViews>
    <sheetView showGridLines="0" workbookViewId="0"/>
  </sheetViews>
  <sheetFormatPr defaultRowHeight="14.4" x14ac:dyDescent="0.3"/>
  <cols>
    <col min="1" max="1" width="2" customWidth="1"/>
    <col min="2" max="2" width="11" customWidth="1"/>
    <col min="3" max="6" width="12" customWidth="1"/>
    <col min="7" max="8" width="13" customWidth="1"/>
    <col min="9" max="9" width="11" customWidth="1"/>
    <col min="10" max="14" width="12" customWidth="1"/>
    <col min="15" max="15" width="13" customWidth="1"/>
    <col min="16" max="18" width="12" customWidth="1"/>
  </cols>
  <sheetData>
    <row r="2" spans="2:12" ht="21" x14ac:dyDescent="0.3">
      <c r="B2" s="1" t="s">
        <v>522</v>
      </c>
      <c r="J2" s="184" t="str">
        <f>nr_SelKey</f>
        <v>ABD|AZ</v>
      </c>
      <c r="L2" s="155" t="str">
        <f>HYPERLINK("#Control!C7","Change BU/state selection &gt;")</f>
        <v>Change BU/state selection &gt;</v>
      </c>
    </row>
    <row r="3" spans="2:12" x14ac:dyDescent="0.3">
      <c r="B3" s="2" t="s">
        <v>523</v>
      </c>
    </row>
    <row r="21" spans="2:20" x14ac:dyDescent="0.3">
      <c r="B21" s="51" t="s">
        <v>524</v>
      </c>
      <c r="K21" s="51" t="s">
        <v>525</v>
      </c>
      <c r="T21" s="51" t="s">
        <v>526</v>
      </c>
    </row>
    <row r="39" spans="2:20" x14ac:dyDescent="0.3">
      <c r="B39" s="51" t="s">
        <v>527</v>
      </c>
      <c r="K39" s="51" t="s">
        <v>528</v>
      </c>
      <c r="T39" s="51" t="s">
        <v>529</v>
      </c>
    </row>
    <row r="47" spans="2:20" ht="15.6" x14ac:dyDescent="0.3">
      <c r="B47" s="3" t="s">
        <v>530</v>
      </c>
    </row>
    <row r="48" spans="2:20" ht="30" customHeight="1" x14ac:dyDescent="0.3">
      <c r="B48" s="56" t="s">
        <v>531</v>
      </c>
      <c r="C48" s="56" t="s">
        <v>532</v>
      </c>
      <c r="D48" s="56" t="s">
        <v>533</v>
      </c>
      <c r="E48" s="56" t="s">
        <v>534</v>
      </c>
      <c r="F48" s="56" t="s">
        <v>535</v>
      </c>
      <c r="G48" s="56" t="s">
        <v>80</v>
      </c>
      <c r="H48" s="56" t="s">
        <v>536</v>
      </c>
      <c r="I48" s="56" t="s">
        <v>537</v>
      </c>
      <c r="J48" s="56" t="s">
        <v>538</v>
      </c>
    </row>
    <row r="49" spans="2:10" x14ac:dyDescent="0.3">
      <c r="B49" s="89" t="str">
        <f>"Q1 "&amp;nr_PlanYear</f>
        <v>Q1 2027</v>
      </c>
      <c r="C49" s="50">
        <f>SUM('Rate Engine'!AH$66:AJ$66)/SUM('Rate Engine'!AH$67:AJ$67)</f>
        <v>1.1024</v>
      </c>
      <c r="D49" s="50">
        <f>SUM('Rate Engine'!V$66:X$66)/SUM('Rate Engine'!V$67:X$67)</f>
        <v>1.0400000000000003</v>
      </c>
      <c r="E49" s="53">
        <f t="shared" ref="E49:E56" si="0">$C49/$D49-1</f>
        <v>5.9999999999999831E-2</v>
      </c>
      <c r="F49" s="42">
        <f>'Rate Engine'!$N$43</f>
        <v>1.1024</v>
      </c>
      <c r="G49" s="53">
        <f t="shared" ref="G49:G56" si="1">$F49/$C49-1</f>
        <v>0</v>
      </c>
      <c r="H49" s="50">
        <f>IF(nr_NetMode,$C49,$C49*SUM('Rate Engine'!AH$73:AJ$73)/SUM('Rate Engine'!AH$67:AJ$67)/nr_MInd)</f>
        <v>1.1192834118505173</v>
      </c>
      <c r="I49" s="68">
        <f>IF(nr_NetMode,$D49,$D49*SUM('Rate Engine'!V$73:X$73)/SUM('Rate Engine'!V$67:X$67)/nr_MInd)</f>
        <v>1.0266112326768784</v>
      </c>
      <c r="J49" s="53">
        <f t="shared" ref="J49:J56" si="2">$H49/$I49-1</f>
        <v>9.0269983635379747E-2</v>
      </c>
    </row>
    <row r="50" spans="2:10" x14ac:dyDescent="0.3">
      <c r="B50" s="89" t="str">
        <f>"Q2 "&amp;nr_PlanYear</f>
        <v>Q2 2027</v>
      </c>
      <c r="C50" s="50">
        <f>SUM('Rate Engine'!AK$66:AM$66)/SUM('Rate Engine'!AK$67:AM$67)</f>
        <v>1.1161800000000002</v>
      </c>
      <c r="D50" s="50">
        <f>SUM('Rate Engine'!Y$66:AA$66)/SUM('Rate Engine'!Y$67:AA$67)</f>
        <v>1.0400000000000003</v>
      </c>
      <c r="E50" s="53">
        <f t="shared" si="0"/>
        <v>7.3249999999999815E-2</v>
      </c>
      <c r="F50" s="42">
        <f>'Rate Engine'!$N$46</f>
        <v>1.1575200000000001</v>
      </c>
      <c r="G50" s="53">
        <f t="shared" si="1"/>
        <v>3.7037037037036979E-2</v>
      </c>
      <c r="H50" s="50">
        <f>IF(nr_NetMode,$C50,$C50*SUM('Rate Engine'!AK$73:AM$73)/SUM('Rate Engine'!AK$67:AM$67)/nr_MInd)</f>
        <v>1.1411105102973358</v>
      </c>
      <c r="I50" s="68">
        <f>IF(nr_NetMode,$D50,$D50*SUM('Rate Engine'!Y$73:AA$73)/SUM('Rate Engine'!Y$67:AA$67)/nr_MInd)</f>
        <v>1.0339124726477027</v>
      </c>
      <c r="J50" s="53">
        <f t="shared" si="2"/>
        <v>0.10368192713171753</v>
      </c>
    </row>
    <row r="51" spans="2:10" x14ac:dyDescent="0.3">
      <c r="B51" s="89" t="str">
        <f>"Q3 "&amp;nr_PlanYear</f>
        <v>Q3 2027</v>
      </c>
      <c r="C51" s="50">
        <f>SUM('Rate Engine'!AN$66:AP$66)/SUM('Rate Engine'!AN$67:AP$67)</f>
        <v>1.14374</v>
      </c>
      <c r="D51" s="50">
        <f>SUM('Rate Engine'!AB$66:AD$66)/SUM('Rate Engine'!AB$67:AD$67)</f>
        <v>1.0556000000000003</v>
      </c>
      <c r="E51" s="53">
        <f t="shared" si="0"/>
        <v>8.3497536945812412E-2</v>
      </c>
      <c r="F51" s="42">
        <f>'Rate Engine'!$N$49</f>
        <v>1.1575200000000001</v>
      </c>
      <c r="G51" s="53">
        <f t="shared" si="1"/>
        <v>1.2048192771084487E-2</v>
      </c>
      <c r="H51" s="50">
        <f>IF(nr_NetMode,$C51,$C51*SUM('Rate Engine'!AN$73:AP$73)/SUM('Rate Engine'!AN$67:AP$67)/nr_MInd)</f>
        <v>1.1773082561891279</v>
      </c>
      <c r="I51" s="68">
        <f>IF(nr_NetMode,$D51,$D51*SUM('Rate Engine'!AB$73:AD$73)/SUM('Rate Engine'!AB$67:AD$67)/nr_MInd)</f>
        <v>1.0568251246406664</v>
      </c>
      <c r="J51" s="53">
        <f t="shared" si="2"/>
        <v>0.114004794870322</v>
      </c>
    </row>
    <row r="52" spans="2:10" x14ac:dyDescent="0.3">
      <c r="B52" s="89" t="str">
        <f>"Q4 "&amp;nr_PlanYear</f>
        <v>Q4 2027</v>
      </c>
      <c r="C52" s="50">
        <f>SUM('Rate Engine'!AQ$66:AS$66)/SUM('Rate Engine'!AQ$67:AS$67)</f>
        <v>1.1575200000000003</v>
      </c>
      <c r="D52" s="50">
        <f>SUM('Rate Engine'!AE$66:AG$66)/SUM('Rate Engine'!AE$67:AG$67)</f>
        <v>1.0868</v>
      </c>
      <c r="E52" s="53">
        <f t="shared" si="0"/>
        <v>6.5071770334928614E-2</v>
      </c>
      <c r="F52" s="42">
        <f>'Rate Engine'!$N$52</f>
        <v>1.1575200000000001</v>
      </c>
      <c r="G52" s="53">
        <f t="shared" si="1"/>
        <v>0</v>
      </c>
      <c r="H52" s="50">
        <f>IF(nr_NetMode,$C52,$C52*SUM('Rate Engine'!AQ$73:AS$73)/SUM('Rate Engine'!AQ$67:AS$67)/nr_MInd)</f>
        <v>1.1996810531599953</v>
      </c>
      <c r="I52" s="68">
        <f>IF(nr_NetMode,$D52,$D52*SUM('Rate Engine'!AE$73:AG$73)/SUM('Rate Engine'!AE$67:AG$67)/nr_MInd)</f>
        <v>1.0957494182005407</v>
      </c>
      <c r="J52" s="53">
        <f t="shared" si="2"/>
        <v>9.4849819888686682E-2</v>
      </c>
    </row>
    <row r="53" spans="2:10" x14ac:dyDescent="0.3">
      <c r="B53" s="89" t="str">
        <f>"Q1 "&amp;(nr_PlanYear+1)</f>
        <v>Q1 2028</v>
      </c>
      <c r="C53" s="50">
        <f>SUM('Rate Engine'!AT$66:AV$66)/SUM('Rate Engine'!AT$67:AV$67)</f>
        <v>1.1575200000000003</v>
      </c>
      <c r="D53" s="50">
        <f>SUM('Rate Engine'!AH$66:AJ$66)/SUM('Rate Engine'!AH$67:AJ$67)</f>
        <v>1.1024</v>
      </c>
      <c r="E53" s="53">
        <f t="shared" si="0"/>
        <v>5.0000000000000266E-2</v>
      </c>
      <c r="F53" s="42">
        <f>'Rate Engine'!$N$55</f>
        <v>1.1575200000000001</v>
      </c>
      <c r="G53" s="53">
        <f t="shared" si="1"/>
        <v>0</v>
      </c>
      <c r="H53" s="50">
        <f>IF(nr_NetMode,$C53,$C53*SUM('Rate Engine'!AT$73:AV$73)/SUM('Rate Engine'!AT$67:AV$67)/nr_MInd)</f>
        <v>1.2071641838074403</v>
      </c>
      <c r="I53" s="68">
        <f>IF(nr_NetMode,$D53,$D53*SUM('Rate Engine'!AH$73:AJ$73)/SUM('Rate Engine'!AH$67:AJ$67)/nr_MInd)</f>
        <v>1.1192834118505173</v>
      </c>
      <c r="J53" s="53">
        <f t="shared" si="2"/>
        <v>7.8515209844510547E-2</v>
      </c>
    </row>
    <row r="54" spans="2:10" x14ac:dyDescent="0.3">
      <c r="B54" s="89" t="str">
        <f>"Q2 "&amp;(nr_PlanYear+1)</f>
        <v>Q2 2028</v>
      </c>
      <c r="C54" s="50">
        <f>SUM('Rate Engine'!AW$66:AY$66)/SUM('Rate Engine'!AW$67:AY$67)</f>
        <v>1.1575200000000003</v>
      </c>
      <c r="D54" s="50">
        <f>SUM('Rate Engine'!AK$66:AM$66)/SUM('Rate Engine'!AK$67:AM$67)</f>
        <v>1.1161800000000002</v>
      </c>
      <c r="E54" s="53">
        <f t="shared" si="0"/>
        <v>3.7037037037037202E-2</v>
      </c>
      <c r="F54" s="42">
        <f>'Rate Engine'!$N$58</f>
        <v>1.1575200000000001</v>
      </c>
      <c r="G54" s="53">
        <f t="shared" si="1"/>
        <v>0</v>
      </c>
      <c r="H54" s="50">
        <f>IF(nr_NetMode,$C54,$C54*SUM('Rate Engine'!AW$73:AY$73)/SUM('Rate Engine'!AW$67:AY$67)/nr_MInd)</f>
        <v>1.2112664342901283</v>
      </c>
      <c r="I54" s="68">
        <f>IF(nr_NetMode,$D54,$D54*SUM('Rate Engine'!AK$73:AM$73)/SUM('Rate Engine'!AK$67:AM$67)/nr_MInd)</f>
        <v>1.1411105102973358</v>
      </c>
      <c r="J54" s="53">
        <f t="shared" si="2"/>
        <v>6.1480394194697308E-2</v>
      </c>
    </row>
    <row r="55" spans="2:10" x14ac:dyDescent="0.3">
      <c r="B55" s="89" t="str">
        <f>"Q3 "&amp;(nr_PlanYear+1)</f>
        <v>Q3 2028</v>
      </c>
      <c r="C55" s="50">
        <f>SUM('Rate Engine'!AZ$66:BB$66)/SUM('Rate Engine'!AZ$67:BB$67)</f>
        <v>1.1575200000000003</v>
      </c>
      <c r="D55" s="50">
        <f>SUM('Rate Engine'!AN$66:AP$66)/SUM('Rate Engine'!AN$67:AP$67)</f>
        <v>1.14374</v>
      </c>
      <c r="E55" s="53">
        <f t="shared" si="0"/>
        <v>1.2048192771084709E-2</v>
      </c>
      <c r="F55" s="42">
        <f>'Rate Engine'!$N$61</f>
        <v>1.1575200000000001</v>
      </c>
      <c r="G55" s="53">
        <f t="shared" si="1"/>
        <v>0</v>
      </c>
      <c r="H55" s="50">
        <f>IF(nr_NetMode,$C55,$C55*SUM('Rate Engine'!AZ$73:BB$73)/SUM('Rate Engine'!AZ$67:BB$67)/nr_MInd)</f>
        <v>1.2119915294117654</v>
      </c>
      <c r="I55" s="68">
        <f>IF(nr_NetMode,$D55,$D55*SUM('Rate Engine'!AN$73:AP$73)/SUM('Rate Engine'!AN$67:AP$67)/nr_MInd)</f>
        <v>1.1773082561891279</v>
      </c>
      <c r="J55" s="53">
        <f t="shared" si="2"/>
        <v>2.9459806333903549E-2</v>
      </c>
    </row>
    <row r="56" spans="2:10" x14ac:dyDescent="0.3">
      <c r="B56" s="89" t="str">
        <f>"Q4 "&amp;(nr_PlanYear+1)</f>
        <v>Q4 2028</v>
      </c>
      <c r="C56" s="50">
        <f>SUM('Rate Engine'!BC$66:BE$66)/SUM('Rate Engine'!BC$67:BE$67)</f>
        <v>1.1575200000000003</v>
      </c>
      <c r="D56" s="50">
        <f>SUM('Rate Engine'!AQ$66:AS$66)/SUM('Rate Engine'!AQ$67:AS$67)</f>
        <v>1.1575200000000003</v>
      </c>
      <c r="E56" s="53">
        <f t="shared" si="0"/>
        <v>0</v>
      </c>
      <c r="F56" s="42">
        <f>'Rate Engine'!$N$64</f>
        <v>1.1575200000000001</v>
      </c>
      <c r="G56" s="53">
        <f t="shared" si="1"/>
        <v>0</v>
      </c>
      <c r="H56" s="50">
        <f>IF(nr_NetMode,$C56,$C56*SUM('Rate Engine'!BC$73:BE$73)/SUM('Rate Engine'!BC$67:BE$67)/nr_MInd)</f>
        <v>1.2119915294117654</v>
      </c>
      <c r="I56" s="68">
        <f>IF(nr_NetMode,$D56,$D56*SUM('Rate Engine'!AQ$73:AS$73)/SUM('Rate Engine'!AQ$67:AS$67)/nr_MInd)</f>
        <v>1.1996810531599953</v>
      </c>
      <c r="J56" s="53">
        <f t="shared" si="2"/>
        <v>1.0261457592702472E-2</v>
      </c>
    </row>
    <row r="58" spans="2:10" x14ac:dyDescent="0.3">
      <c r="B58" s="51" t="s">
        <v>539</v>
      </c>
    </row>
    <row r="60" spans="2:10" ht="15.6" x14ac:dyDescent="0.3">
      <c r="B60" s="3" t="s">
        <v>540</v>
      </c>
    </row>
    <row r="61" spans="2:10" x14ac:dyDescent="0.3">
      <c r="B61" s="51" t="str">
        <f>IF(nr_NetMode,"Net selection active: the carryover is set by the net renewal path — this ledger describes the explicit program counterfactual.","Each action earns partly in the plan year and fully in the next; the difference is carryover.")</f>
        <v>Each action earns partly in the plan year and fully in the next; the difference is carryover.</v>
      </c>
    </row>
    <row r="62" spans="2:10" ht="24" x14ac:dyDescent="0.3">
      <c r="B62" s="58" t="s">
        <v>390</v>
      </c>
      <c r="C62" s="58" t="s">
        <v>391</v>
      </c>
      <c r="D62" s="58" t="s">
        <v>395</v>
      </c>
      <c r="E62" s="58" t="s">
        <v>541</v>
      </c>
      <c r="F62" s="58" t="s">
        <v>542</v>
      </c>
      <c r="G62" s="58" t="s">
        <v>543</v>
      </c>
    </row>
    <row r="63" spans="2:10" x14ac:dyDescent="0.3">
      <c r="B63" s="187">
        <v>1</v>
      </c>
      <c r="C63" s="188">
        <f>IF(COUNTIFS(rl_key,nr_SelKey,rl_seq,1)=0,"",SUMIFS(rl_eff,rl_key,nr_SelKey,rl_seq,1))</f>
        <v>45839</v>
      </c>
      <c r="D63" s="53">
        <f>IF(COUNTIFS(rl_key,nr_SelKey,rl_seq,1)=0,"",SUMIFS(rl_reff,rl_key,nr_SelKey,rl_seq,1))</f>
        <v>0.04</v>
      </c>
      <c r="E63" s="46">
        <f>IF($C63="","",(SUMPRODUCT(('Rate Engine'!$G$17:$G$64&gt;YEAR($C63)*12+MONTH($C63)-1)*'Rate Engine'!$H$17:$H$64,'Rate Engine'!$Q$17:$Q$64)+(EOMONTH($C63,0)-$C63+1)/DAY(EOMONTH($C63,0))*SUMPRODUCT(('Rate Engine'!$G$17:$G$64=YEAR($C63)*12+MONTH($C63)-1)*'Rate Engine'!$H$17:$H$64,'Rate Engine'!$Q$17:$Q$64))/SUMPRODUCT('Rate Engine'!$H$17:$H$64,'Rate Engine'!$Q$17:$Q$64))</f>
        <v>1</v>
      </c>
      <c r="F63" s="46">
        <f>IF($C63="","",(SUMPRODUCT(('Rate Engine'!$G$17:$G$64&gt;YEAR($C63)*12+MONTH($C63)-1)*'Rate Engine'!$H$17:$H$64,'Rate Engine'!$R$17:$R$64)+(EOMONTH($C63,0)-$C63+1)/DAY(EOMONTH($C63,0))*SUMPRODUCT(('Rate Engine'!$G$17:$G$64=YEAR($C63)*12+MONTH($C63)-1)*'Rate Engine'!$H$17:$H$64,'Rate Engine'!$R$17:$R$64))/SUMPRODUCT('Rate Engine'!$H$17:$H$64,'Rate Engine'!$R$17:$R$64))</f>
        <v>1</v>
      </c>
      <c r="G63" s="53">
        <f t="shared" ref="G63:G70" si="3">IF($C63="","",EXP(LN(1+$D63)*($F63-$E63))-1)</f>
        <v>0</v>
      </c>
      <c r="H63" s="160">
        <f t="shared" ref="H63:H70" si="4">IF($C63="",0,LN(1+$D63)*($F63-$E63))</f>
        <v>0</v>
      </c>
    </row>
    <row r="64" spans="2:10" x14ac:dyDescent="0.3">
      <c r="B64" s="187">
        <v>2</v>
      </c>
      <c r="C64" s="188">
        <f>IF(COUNTIFS(rl_key,nr_SelKey,rl_seq,2)=0,"",SUMIFS(rl_eff,rl_key,nr_SelKey,rl_seq,2))</f>
        <v>46204</v>
      </c>
      <c r="D64" s="53">
        <f>IF(COUNTIFS(rl_key,nr_SelKey,rl_seq,2)=0,"",SUMIFS(rl_reff,rl_key,nr_SelKey,rl_seq,2))</f>
        <v>0.06</v>
      </c>
      <c r="E64" s="46">
        <f>IF($C64="","",(SUMPRODUCT(('Rate Engine'!$G$17:$G$64&gt;YEAR($C64)*12+MONTH($C64)-1)*'Rate Engine'!$H$17:$H$64,'Rate Engine'!$Q$17:$Q$64)+(EOMONTH($C64,0)-$C64+1)/DAY(EOMONTH($C64,0))*SUMPRODUCT(('Rate Engine'!$G$17:$G$64=YEAR($C64)*12+MONTH($C64)-1)*'Rate Engine'!$H$17:$H$64,'Rate Engine'!$Q$17:$Q$64))/SUMPRODUCT('Rate Engine'!$H$17:$H$64,'Rate Engine'!$Q$17:$Q$64))</f>
        <v>1</v>
      </c>
      <c r="F64" s="46">
        <f>IF($C64="","",(SUMPRODUCT(('Rate Engine'!$G$17:$G$64&gt;YEAR($C64)*12+MONTH($C64)-1)*'Rate Engine'!$H$17:$H$64,'Rate Engine'!$R$17:$R$64)+(EOMONTH($C64,0)-$C64+1)/DAY(EOMONTH($C64,0))*SUMPRODUCT(('Rate Engine'!$G$17:$G$64=YEAR($C64)*12+MONTH($C64)-1)*'Rate Engine'!$H$17:$H$64,'Rate Engine'!$R$17:$R$64))/SUMPRODUCT('Rate Engine'!$H$17:$H$64,'Rate Engine'!$R$17:$R$64))</f>
        <v>1</v>
      </c>
      <c r="G64" s="53">
        <f t="shared" si="3"/>
        <v>0</v>
      </c>
      <c r="H64" s="160">
        <f t="shared" si="4"/>
        <v>0</v>
      </c>
    </row>
    <row r="65" spans="2:21" x14ac:dyDescent="0.3">
      <c r="B65" s="187">
        <v>3</v>
      </c>
      <c r="C65" s="188">
        <f>IF(COUNTIFS(rl_key,nr_SelKey,rl_seq,3)=0,"",SUMIFS(rl_eff,rl_key,nr_SelKey,rl_seq,3))</f>
        <v>46478</v>
      </c>
      <c r="D65" s="53">
        <f>IF(COUNTIFS(rl_key,nr_SelKey,rl_seq,3)=0,"",SUMIFS(rl_reff,rl_key,nr_SelKey,rl_seq,3))</f>
        <v>0.05</v>
      </c>
      <c r="E65" s="46">
        <f>IF($C65="","",(SUMPRODUCT(('Rate Engine'!$G$17:$G$64&gt;YEAR($C65)*12+MONTH($C65)-1)*'Rate Engine'!$H$17:$H$64,'Rate Engine'!$Q$17:$Q$64)+(EOMONTH($C65,0)-$C65+1)/DAY(EOMONTH($C65,0))*SUMPRODUCT(('Rate Engine'!$G$17:$G$64=YEAR($C65)*12+MONTH($C65)-1)*'Rate Engine'!$H$17:$H$64,'Rate Engine'!$Q$17:$Q$64))/SUMPRODUCT('Rate Engine'!$H$17:$H$64,'Rate Engine'!$Q$17:$Q$64))</f>
        <v>0.5</v>
      </c>
      <c r="F65" s="46">
        <f>IF($C65="","",(SUMPRODUCT(('Rate Engine'!$G$17:$G$64&gt;YEAR($C65)*12+MONTH($C65)-1)*'Rate Engine'!$H$17:$H$64,'Rate Engine'!$R$17:$R$64)+(EOMONTH($C65,0)-$C65+1)/DAY(EOMONTH($C65,0))*SUMPRODUCT(('Rate Engine'!$G$17:$G$64=YEAR($C65)*12+MONTH($C65)-1)*'Rate Engine'!$H$17:$H$64,'Rate Engine'!$R$17:$R$64))/SUMPRODUCT('Rate Engine'!$H$17:$H$64,'Rate Engine'!$R$17:$R$64))</f>
        <v>1</v>
      </c>
      <c r="G65" s="53">
        <f t="shared" si="3"/>
        <v>2.4695076595959931E-2</v>
      </c>
      <c r="H65" s="160">
        <f t="shared" si="4"/>
        <v>2.4395082084716024E-2</v>
      </c>
    </row>
    <row r="66" spans="2:21" x14ac:dyDescent="0.3">
      <c r="B66" s="187">
        <v>4</v>
      </c>
      <c r="C66" s="188" t="str">
        <f>IF(COUNTIFS(rl_key,nr_SelKey,rl_seq,4)=0,"",SUMIFS(rl_eff,rl_key,nr_SelKey,rl_seq,4))</f>
        <v/>
      </c>
      <c r="D66" s="53" t="str">
        <f>IF(COUNTIFS(rl_key,nr_SelKey,rl_seq,4)=0,"",SUMIFS(rl_reff,rl_key,nr_SelKey,rl_seq,4))</f>
        <v/>
      </c>
      <c r="E66" s="46" t="str">
        <f>IF($C66="","",(SUMPRODUCT(('Rate Engine'!$G$17:$G$64&gt;YEAR($C66)*12+MONTH($C66)-1)*'Rate Engine'!$H$17:$H$64,'Rate Engine'!$Q$17:$Q$64)+(EOMONTH($C66,0)-$C66+1)/DAY(EOMONTH($C66,0))*SUMPRODUCT(('Rate Engine'!$G$17:$G$64=YEAR($C66)*12+MONTH($C66)-1)*'Rate Engine'!$H$17:$H$64,'Rate Engine'!$Q$17:$Q$64))/SUMPRODUCT('Rate Engine'!$H$17:$H$64,'Rate Engine'!$Q$17:$Q$64))</f>
        <v/>
      </c>
      <c r="F66" s="46" t="str">
        <f>IF($C66="","",(SUMPRODUCT(('Rate Engine'!$G$17:$G$64&gt;YEAR($C66)*12+MONTH($C66)-1)*'Rate Engine'!$H$17:$H$64,'Rate Engine'!$R$17:$R$64)+(EOMONTH($C66,0)-$C66+1)/DAY(EOMONTH($C66,0))*SUMPRODUCT(('Rate Engine'!$G$17:$G$64=YEAR($C66)*12+MONTH($C66)-1)*'Rate Engine'!$H$17:$H$64,'Rate Engine'!$R$17:$R$64))/SUMPRODUCT('Rate Engine'!$H$17:$H$64,'Rate Engine'!$R$17:$R$64))</f>
        <v/>
      </c>
      <c r="G66" s="53" t="str">
        <f t="shared" si="3"/>
        <v/>
      </c>
      <c r="H66" s="160">
        <f t="shared" si="4"/>
        <v>0</v>
      </c>
    </row>
    <row r="67" spans="2:21" x14ac:dyDescent="0.3">
      <c r="B67" s="187">
        <v>5</v>
      </c>
      <c r="C67" s="188" t="str">
        <f>IF(COUNTIFS(rl_key,nr_SelKey,rl_seq,5)=0,"",SUMIFS(rl_eff,rl_key,nr_SelKey,rl_seq,5))</f>
        <v/>
      </c>
      <c r="D67" s="53" t="str">
        <f>IF(COUNTIFS(rl_key,nr_SelKey,rl_seq,5)=0,"",SUMIFS(rl_reff,rl_key,nr_SelKey,rl_seq,5))</f>
        <v/>
      </c>
      <c r="E67" s="46" t="str">
        <f>IF($C67="","",(SUMPRODUCT(('Rate Engine'!$G$17:$G$64&gt;YEAR($C67)*12+MONTH($C67)-1)*'Rate Engine'!$H$17:$H$64,'Rate Engine'!$Q$17:$Q$64)+(EOMONTH($C67,0)-$C67+1)/DAY(EOMONTH($C67,0))*SUMPRODUCT(('Rate Engine'!$G$17:$G$64=YEAR($C67)*12+MONTH($C67)-1)*'Rate Engine'!$H$17:$H$64,'Rate Engine'!$Q$17:$Q$64))/SUMPRODUCT('Rate Engine'!$H$17:$H$64,'Rate Engine'!$Q$17:$Q$64))</f>
        <v/>
      </c>
      <c r="F67" s="46" t="str">
        <f>IF($C67="","",(SUMPRODUCT(('Rate Engine'!$G$17:$G$64&gt;YEAR($C67)*12+MONTH($C67)-1)*'Rate Engine'!$H$17:$H$64,'Rate Engine'!$R$17:$R$64)+(EOMONTH($C67,0)-$C67+1)/DAY(EOMONTH($C67,0))*SUMPRODUCT(('Rate Engine'!$G$17:$G$64=YEAR($C67)*12+MONTH($C67)-1)*'Rate Engine'!$H$17:$H$64,'Rate Engine'!$R$17:$R$64))/SUMPRODUCT('Rate Engine'!$H$17:$H$64,'Rate Engine'!$R$17:$R$64))</f>
        <v/>
      </c>
      <c r="G67" s="53" t="str">
        <f t="shared" si="3"/>
        <v/>
      </c>
      <c r="H67" s="160">
        <f t="shared" si="4"/>
        <v>0</v>
      </c>
    </row>
    <row r="68" spans="2:21" x14ac:dyDescent="0.3">
      <c r="B68" s="187">
        <v>6</v>
      </c>
      <c r="C68" s="188" t="str">
        <f>IF(COUNTIFS(rl_key,nr_SelKey,rl_seq,6)=0,"",SUMIFS(rl_eff,rl_key,nr_SelKey,rl_seq,6))</f>
        <v/>
      </c>
      <c r="D68" s="53" t="str">
        <f>IF(COUNTIFS(rl_key,nr_SelKey,rl_seq,6)=0,"",SUMIFS(rl_reff,rl_key,nr_SelKey,rl_seq,6))</f>
        <v/>
      </c>
      <c r="E68" s="46" t="str">
        <f>IF($C68="","",(SUMPRODUCT(('Rate Engine'!$G$17:$G$64&gt;YEAR($C68)*12+MONTH($C68)-1)*'Rate Engine'!$H$17:$H$64,'Rate Engine'!$Q$17:$Q$64)+(EOMONTH($C68,0)-$C68+1)/DAY(EOMONTH($C68,0))*SUMPRODUCT(('Rate Engine'!$G$17:$G$64=YEAR($C68)*12+MONTH($C68)-1)*'Rate Engine'!$H$17:$H$64,'Rate Engine'!$Q$17:$Q$64))/SUMPRODUCT('Rate Engine'!$H$17:$H$64,'Rate Engine'!$Q$17:$Q$64))</f>
        <v/>
      </c>
      <c r="F68" s="46" t="str">
        <f>IF($C68="","",(SUMPRODUCT(('Rate Engine'!$G$17:$G$64&gt;YEAR($C68)*12+MONTH($C68)-1)*'Rate Engine'!$H$17:$H$64,'Rate Engine'!$R$17:$R$64)+(EOMONTH($C68,0)-$C68+1)/DAY(EOMONTH($C68,0))*SUMPRODUCT(('Rate Engine'!$G$17:$G$64=YEAR($C68)*12+MONTH($C68)-1)*'Rate Engine'!$H$17:$H$64,'Rate Engine'!$R$17:$R$64))/SUMPRODUCT('Rate Engine'!$H$17:$H$64,'Rate Engine'!$R$17:$R$64))</f>
        <v/>
      </c>
      <c r="G68" s="53" t="str">
        <f t="shared" si="3"/>
        <v/>
      </c>
      <c r="H68" s="160">
        <f t="shared" si="4"/>
        <v>0</v>
      </c>
    </row>
    <row r="69" spans="2:21" x14ac:dyDescent="0.3">
      <c r="B69" s="187">
        <v>7</v>
      </c>
      <c r="C69" s="188" t="str">
        <f>IF(COUNTIFS(rl_key,nr_SelKey,rl_seq,7)=0,"",SUMIFS(rl_eff,rl_key,nr_SelKey,rl_seq,7))</f>
        <v/>
      </c>
      <c r="D69" s="53" t="str">
        <f>IF(COUNTIFS(rl_key,nr_SelKey,rl_seq,7)=0,"",SUMIFS(rl_reff,rl_key,nr_SelKey,rl_seq,7))</f>
        <v/>
      </c>
      <c r="E69" s="46" t="str">
        <f>IF($C69="","",(SUMPRODUCT(('Rate Engine'!$G$17:$G$64&gt;YEAR($C69)*12+MONTH($C69)-1)*'Rate Engine'!$H$17:$H$64,'Rate Engine'!$Q$17:$Q$64)+(EOMONTH($C69,0)-$C69+1)/DAY(EOMONTH($C69,0))*SUMPRODUCT(('Rate Engine'!$G$17:$G$64=YEAR($C69)*12+MONTH($C69)-1)*'Rate Engine'!$H$17:$H$64,'Rate Engine'!$Q$17:$Q$64))/SUMPRODUCT('Rate Engine'!$H$17:$H$64,'Rate Engine'!$Q$17:$Q$64))</f>
        <v/>
      </c>
      <c r="F69" s="46" t="str">
        <f>IF($C69="","",(SUMPRODUCT(('Rate Engine'!$G$17:$G$64&gt;YEAR($C69)*12+MONTH($C69)-1)*'Rate Engine'!$H$17:$H$64,'Rate Engine'!$R$17:$R$64)+(EOMONTH($C69,0)-$C69+1)/DAY(EOMONTH($C69,0))*SUMPRODUCT(('Rate Engine'!$G$17:$G$64=YEAR($C69)*12+MONTH($C69)-1)*'Rate Engine'!$H$17:$H$64,'Rate Engine'!$R$17:$R$64))/SUMPRODUCT('Rate Engine'!$H$17:$H$64,'Rate Engine'!$R$17:$R$64))</f>
        <v/>
      </c>
      <c r="G69" s="53" t="str">
        <f t="shared" si="3"/>
        <v/>
      </c>
      <c r="H69" s="160">
        <f t="shared" si="4"/>
        <v>0</v>
      </c>
    </row>
    <row r="70" spans="2:21" x14ac:dyDescent="0.3">
      <c r="B70" s="187">
        <v>8</v>
      </c>
      <c r="C70" s="188" t="str">
        <f>IF(COUNTIFS(rl_key,nr_SelKey,rl_seq,8)=0,"",SUMIFS(rl_eff,rl_key,nr_SelKey,rl_seq,8))</f>
        <v/>
      </c>
      <c r="D70" s="53" t="str">
        <f>IF(COUNTIFS(rl_key,nr_SelKey,rl_seq,8)=0,"",SUMIFS(rl_reff,rl_key,nr_SelKey,rl_seq,8))</f>
        <v/>
      </c>
      <c r="E70" s="46" t="str">
        <f>IF($C70="","",(SUMPRODUCT(('Rate Engine'!$G$17:$G$64&gt;YEAR($C70)*12+MONTH($C70)-1)*'Rate Engine'!$H$17:$H$64,'Rate Engine'!$Q$17:$Q$64)+(EOMONTH($C70,0)-$C70+1)/DAY(EOMONTH($C70,0))*SUMPRODUCT(('Rate Engine'!$G$17:$G$64=YEAR($C70)*12+MONTH($C70)-1)*'Rate Engine'!$H$17:$H$64,'Rate Engine'!$Q$17:$Q$64))/SUMPRODUCT('Rate Engine'!$H$17:$H$64,'Rate Engine'!$Q$17:$Q$64))</f>
        <v/>
      </c>
      <c r="F70" s="46" t="str">
        <f>IF($C70="","",(SUMPRODUCT(('Rate Engine'!$G$17:$G$64&gt;YEAR($C70)*12+MONTH($C70)-1)*'Rate Engine'!$H$17:$H$64,'Rate Engine'!$R$17:$R$64)+(EOMONTH($C70,0)-$C70+1)/DAY(EOMONTH($C70,0))*SUMPRODUCT(('Rate Engine'!$G$17:$G$64=YEAR($C70)*12+MONTH($C70)-1)*'Rate Engine'!$H$17:$H$64,'Rate Engine'!$R$17:$R$64))/SUMPRODUCT('Rate Engine'!$H$17:$H$64,'Rate Engine'!$R$17:$R$64))</f>
        <v/>
      </c>
      <c r="G70" s="53" t="str">
        <f t="shared" si="3"/>
        <v/>
      </c>
      <c r="H70" s="160">
        <f t="shared" si="4"/>
        <v>0</v>
      </c>
    </row>
    <row r="71" spans="2:21" x14ac:dyDescent="0.3">
      <c r="C71" s="18" t="s">
        <v>544</v>
      </c>
      <c r="G71" s="216">
        <f>EXP(SUM($H$63:$H$70))-1</f>
        <v>2.4695076595959931E-2</v>
      </c>
    </row>
    <row r="72" spans="2:21" x14ac:dyDescent="0.3">
      <c r="C72" s="20" t="s">
        <v>545</v>
      </c>
      <c r="G72" s="53">
        <f>(1+nr_YoY_P1)/EXP(SUM($H$63:$H$70))-1</f>
        <v>-2.9748624784409206E-4</v>
      </c>
    </row>
    <row r="73" spans="2:21" x14ac:dyDescent="0.3">
      <c r="C73" s="18" t="s">
        <v>546</v>
      </c>
      <c r="G73" s="217">
        <f>nr_YoY_P1</f>
        <v>2.4390243902439046E-2</v>
      </c>
    </row>
    <row r="79" spans="2:21" x14ac:dyDescent="0.3">
      <c r="B79" s="51" t="s">
        <v>547</v>
      </c>
      <c r="T79" s="23" t="s">
        <v>548</v>
      </c>
      <c r="U79" s="218">
        <f>SUMPRODUCT('Rate Engine'!$H$41:$H$52,1+$O$93:$O$104)/SUM('Rate Engine'!$H$41:$H$52)-1</f>
        <v>9.8225804678618411E-2</v>
      </c>
    </row>
    <row r="80" spans="2:21" x14ac:dyDescent="0.3">
      <c r="B80" s="6" t="s">
        <v>374</v>
      </c>
      <c r="C80" s="6" t="s">
        <v>549</v>
      </c>
      <c r="D80" s="6" t="s">
        <v>550</v>
      </c>
      <c r="E80" s="6" t="s">
        <v>551</v>
      </c>
      <c r="F80" s="6" t="s">
        <v>552</v>
      </c>
      <c r="G80" s="6" t="s">
        <v>553</v>
      </c>
      <c r="H80" s="6" t="s">
        <v>554</v>
      </c>
      <c r="I80" s="6" t="s">
        <v>555</v>
      </c>
      <c r="J80" s="6" t="s">
        <v>556</v>
      </c>
      <c r="K80" s="6" t="s">
        <v>557</v>
      </c>
      <c r="L80" s="6" t="s">
        <v>80</v>
      </c>
      <c r="M80" s="6" t="s">
        <v>558</v>
      </c>
      <c r="N80" s="6" t="s">
        <v>559</v>
      </c>
      <c r="O80" s="6" t="s">
        <v>560</v>
      </c>
      <c r="P80" s="6" t="s">
        <v>561</v>
      </c>
      <c r="Q80" s="6" t="s">
        <v>562</v>
      </c>
      <c r="R80" s="6" t="s">
        <v>326</v>
      </c>
    </row>
    <row r="81" spans="2:18" x14ac:dyDescent="0.3">
      <c r="B81" s="219">
        <f>'Rate Engine'!V$16</f>
        <v>46023</v>
      </c>
      <c r="C81" s="160">
        <f>'Rate Engine'!$U$29</f>
        <v>1.04</v>
      </c>
      <c r="D81" s="160">
        <f>'Rate Engine'!V$68</f>
        <v>1.0400000000000003</v>
      </c>
      <c r="E81" s="220">
        <f>'Mod Engine'!$E$29</f>
        <v>0.84309628008752735</v>
      </c>
      <c r="F81" s="220">
        <f>'Rate Engine'!V$72</f>
        <v>0.83705689277899342</v>
      </c>
      <c r="G81" s="160">
        <f t="shared" ref="G81:G116" si="5">IF(nr_NetMode,$C81,$C81*($E81/nr_MInd))</f>
        <v>1.031553095636504</v>
      </c>
      <c r="H81" s="160">
        <f t="shared" ref="H81:H116" si="6">IF(OR($D81="",$F81=""),"",IF(nr_NetMode,$D81,$D81*($F81/nr_MInd)))</f>
        <v>1.0241637276354747</v>
      </c>
      <c r="I81" s="43">
        <f t="shared" ref="I81:I116" si="7">IF(YEAR($B81)=nr_PlanYear,1,0)</f>
        <v>0</v>
      </c>
      <c r="J81" s="23"/>
      <c r="K81" s="23"/>
      <c r="L81" s="183">
        <f t="shared" ref="L81:L116" si="8">IF(OR($C81="",$D81=""),"",$C81/$D81-1)</f>
        <v>-2.2204460492503131E-16</v>
      </c>
    </row>
    <row r="82" spans="2:18" x14ac:dyDescent="0.3">
      <c r="B82" s="219">
        <f>'Rate Engine'!W$16</f>
        <v>46054</v>
      </c>
      <c r="C82" s="160">
        <f>'Rate Engine'!$U$30</f>
        <v>1.04</v>
      </c>
      <c r="D82" s="160">
        <f>'Rate Engine'!W$68</f>
        <v>1.0400000000000003</v>
      </c>
      <c r="E82" s="220">
        <f>'Mod Engine'!$E$30</f>
        <v>0.84503282275711156</v>
      </c>
      <c r="F82" s="220">
        <f>'Rate Engine'!W$72</f>
        <v>0.83906181619256015</v>
      </c>
      <c r="G82" s="160">
        <f t="shared" si="5"/>
        <v>1.0339225125498777</v>
      </c>
      <c r="H82" s="160">
        <f t="shared" si="6"/>
        <v>1.0266168104003091</v>
      </c>
      <c r="I82" s="43">
        <f t="shared" si="7"/>
        <v>0</v>
      </c>
      <c r="J82" s="23"/>
      <c r="K82" s="23"/>
      <c r="L82" s="183">
        <f t="shared" si="8"/>
        <v>-2.2204460492503131E-16</v>
      </c>
    </row>
    <row r="83" spans="2:18" x14ac:dyDescent="0.3">
      <c r="B83" s="219">
        <f>'Rate Engine'!X$16</f>
        <v>46082</v>
      </c>
      <c r="C83" s="160">
        <f>'Rate Engine'!$U$31</f>
        <v>1.04</v>
      </c>
      <c r="D83" s="160">
        <f>'Rate Engine'!X$68</f>
        <v>1.0400000000000003</v>
      </c>
      <c r="E83" s="220">
        <f>'Mod Engine'!$E$31</f>
        <v>0.84696936542669587</v>
      </c>
      <c r="F83" s="220">
        <f>'Rate Engine'!X$72</f>
        <v>0.84105306345733044</v>
      </c>
      <c r="G83" s="160">
        <f t="shared" si="5"/>
        <v>1.0362919294632515</v>
      </c>
      <c r="H83" s="160">
        <f t="shared" si="6"/>
        <v>1.0290531599948516</v>
      </c>
      <c r="I83" s="43">
        <f t="shared" si="7"/>
        <v>0</v>
      </c>
      <c r="J83" s="23"/>
      <c r="K83" s="23"/>
      <c r="L83" s="183">
        <f t="shared" si="8"/>
        <v>-2.2204460492503131E-16</v>
      </c>
    </row>
    <row r="84" spans="2:18" x14ac:dyDescent="0.3">
      <c r="B84" s="219">
        <f>'Rate Engine'!Y$16</f>
        <v>46113</v>
      </c>
      <c r="C84" s="160">
        <f>'Rate Engine'!$U$32</f>
        <v>1.04</v>
      </c>
      <c r="D84" s="160">
        <f>'Rate Engine'!Y$68</f>
        <v>1.0400000000000003</v>
      </c>
      <c r="E84" s="220">
        <f>'Mod Engine'!$E$32</f>
        <v>0.84897155361050325</v>
      </c>
      <c r="F84" s="220">
        <f>'Rate Engine'!Y$72</f>
        <v>0.84303884026258202</v>
      </c>
      <c r="G84" s="160">
        <f t="shared" si="5"/>
        <v>1.0387416655940276</v>
      </c>
      <c r="H84" s="160">
        <f t="shared" si="6"/>
        <v>1.0314828163212773</v>
      </c>
      <c r="I84" s="43">
        <f t="shared" si="7"/>
        <v>0</v>
      </c>
      <c r="J84" s="23"/>
      <c r="K84" s="23"/>
      <c r="L84" s="183">
        <f t="shared" si="8"/>
        <v>-2.2204460492503131E-16</v>
      </c>
    </row>
    <row r="85" spans="2:18" x14ac:dyDescent="0.3">
      <c r="B85" s="219">
        <f>'Rate Engine'!Z$16</f>
        <v>46143</v>
      </c>
      <c r="C85" s="160">
        <f>'Rate Engine'!$U$33</f>
        <v>1.04</v>
      </c>
      <c r="D85" s="160">
        <f>'Rate Engine'!Z$68</f>
        <v>1.0400000000000003</v>
      </c>
      <c r="E85" s="220">
        <f>'Mod Engine'!$E$33</f>
        <v>0.85097374179431073</v>
      </c>
      <c r="F85" s="220">
        <f>'Rate Engine'!Z$72</f>
        <v>0.84502461706783372</v>
      </c>
      <c r="G85" s="160">
        <f t="shared" si="5"/>
        <v>1.0411914017248036</v>
      </c>
      <c r="H85" s="160">
        <f t="shared" si="6"/>
        <v>1.0339124726477027</v>
      </c>
      <c r="I85" s="43">
        <f t="shared" si="7"/>
        <v>0</v>
      </c>
      <c r="J85" s="23"/>
      <c r="K85" s="23"/>
      <c r="L85" s="183">
        <f t="shared" si="8"/>
        <v>-2.2204460492503131E-16</v>
      </c>
    </row>
    <row r="86" spans="2:18" x14ac:dyDescent="0.3">
      <c r="B86" s="219">
        <f>'Rate Engine'!AA$16</f>
        <v>46174</v>
      </c>
      <c r="C86" s="160">
        <f>'Rate Engine'!$U$34</f>
        <v>1.04</v>
      </c>
      <c r="D86" s="160">
        <f>'Rate Engine'!AA$68</f>
        <v>1.0400000000000003</v>
      </c>
      <c r="E86" s="220">
        <f>'Mod Engine'!$E$34</f>
        <v>0.85297592997811811</v>
      </c>
      <c r="F86" s="220">
        <f>'Rate Engine'!AA$72</f>
        <v>0.84701039387308541</v>
      </c>
      <c r="G86" s="160">
        <f t="shared" si="5"/>
        <v>1.0436411378555797</v>
      </c>
      <c r="H86" s="160">
        <f t="shared" si="6"/>
        <v>1.0363421289741284</v>
      </c>
      <c r="I86" s="43">
        <f t="shared" si="7"/>
        <v>0</v>
      </c>
      <c r="J86" s="23"/>
      <c r="K86" s="23"/>
      <c r="L86" s="183">
        <f t="shared" si="8"/>
        <v>-2.2204460492503131E-16</v>
      </c>
    </row>
    <row r="87" spans="2:18" x14ac:dyDescent="0.3">
      <c r="B87" s="219">
        <f>'Rate Engine'!AB$16</f>
        <v>46204</v>
      </c>
      <c r="C87" s="160">
        <f>'Rate Engine'!$U$35</f>
        <v>1.1024</v>
      </c>
      <c r="D87" s="160">
        <f>'Rate Engine'!AB$68</f>
        <v>1.0452000000000004</v>
      </c>
      <c r="E87" s="220">
        <f>'Mod Engine'!$E$35</f>
        <v>0.85497811816192559</v>
      </c>
      <c r="F87" s="220">
        <f>'Rate Engine'!AB$72</f>
        <v>0.84899343544857786</v>
      </c>
      <c r="G87" s="160">
        <f t="shared" si="5"/>
        <v>1.1088563264255376</v>
      </c>
      <c r="H87" s="160">
        <f t="shared" si="6"/>
        <v>1.0439622808598281</v>
      </c>
      <c r="I87" s="43">
        <f t="shared" si="7"/>
        <v>0</v>
      </c>
      <c r="J87" s="23"/>
      <c r="K87" s="23"/>
      <c r="L87" s="183">
        <f t="shared" si="8"/>
        <v>5.472636815920362E-2</v>
      </c>
    </row>
    <row r="88" spans="2:18" x14ac:dyDescent="0.3">
      <c r="B88" s="219">
        <f>'Rate Engine'!AC$16</f>
        <v>46235</v>
      </c>
      <c r="C88" s="160">
        <f>'Rate Engine'!$U$36</f>
        <v>1.1024</v>
      </c>
      <c r="D88" s="160">
        <f>'Rate Engine'!AC$68</f>
        <v>1.0556000000000003</v>
      </c>
      <c r="E88" s="220">
        <f>'Mod Engine'!$E$36</f>
        <v>0.85701312910284466</v>
      </c>
      <c r="F88" s="220">
        <f>'Rate Engine'!AC$72</f>
        <v>0.85098194748358869</v>
      </c>
      <c r="G88" s="160">
        <f t="shared" si="5"/>
        <v>1.1114956159093834</v>
      </c>
      <c r="H88" s="160">
        <f t="shared" si="6"/>
        <v>1.0568194632513841</v>
      </c>
      <c r="I88" s="43">
        <f t="shared" si="7"/>
        <v>0</v>
      </c>
      <c r="J88" s="23"/>
      <c r="K88" s="23"/>
      <c r="L88" s="183">
        <f t="shared" si="8"/>
        <v>4.4334975369457963E-2</v>
      </c>
    </row>
    <row r="89" spans="2:18" x14ac:dyDescent="0.3">
      <c r="B89" s="219">
        <f>'Rate Engine'!AD$16</f>
        <v>46266</v>
      </c>
      <c r="C89" s="160">
        <f>'Rate Engine'!$U$37</f>
        <v>1.1024</v>
      </c>
      <c r="D89" s="160">
        <f>'Rate Engine'!AD$68</f>
        <v>1.0660000000000003</v>
      </c>
      <c r="E89" s="220">
        <f>'Mod Engine'!$E$37</f>
        <v>0.85901531728665204</v>
      </c>
      <c r="F89" s="220">
        <f>'Rate Engine'!AD$72</f>
        <v>0.85298413566739617</v>
      </c>
      <c r="G89" s="160">
        <f t="shared" si="5"/>
        <v>1.1140923362080062</v>
      </c>
      <c r="H89" s="160">
        <f t="shared" si="6"/>
        <v>1.0697424572016996</v>
      </c>
      <c r="I89" s="43">
        <f t="shared" si="7"/>
        <v>0</v>
      </c>
      <c r="J89" s="23"/>
      <c r="K89" s="23"/>
      <c r="L89" s="183">
        <f t="shared" si="8"/>
        <v>3.4146341463414442E-2</v>
      </c>
    </row>
    <row r="90" spans="2:18" x14ac:dyDescent="0.3">
      <c r="B90" s="219">
        <f>'Rate Engine'!AE$16</f>
        <v>46296</v>
      </c>
      <c r="C90" s="160">
        <f>'Rate Engine'!$U$38</f>
        <v>1.1024</v>
      </c>
      <c r="D90" s="160">
        <f>'Rate Engine'!AE$68</f>
        <v>1.0764000000000002</v>
      </c>
      <c r="E90" s="220">
        <f>'Mod Engine'!$E$38</f>
        <v>0.86101750547045952</v>
      </c>
      <c r="F90" s="220">
        <f>'Rate Engine'!AE$72</f>
        <v>0.85499179431072225</v>
      </c>
      <c r="G90" s="160">
        <f t="shared" si="5"/>
        <v>1.116689056506629</v>
      </c>
      <c r="H90" s="160">
        <f t="shared" si="6"/>
        <v>1.0827213734071313</v>
      </c>
      <c r="I90" s="43">
        <f t="shared" si="7"/>
        <v>0</v>
      </c>
      <c r="J90" s="23"/>
      <c r="K90" s="23"/>
      <c r="L90" s="183">
        <f t="shared" si="8"/>
        <v>2.4154589371980562E-2</v>
      </c>
    </row>
    <row r="91" spans="2:18" x14ac:dyDescent="0.3">
      <c r="B91" s="219">
        <f>'Rate Engine'!AF$16</f>
        <v>46327</v>
      </c>
      <c r="C91" s="160">
        <f>'Rate Engine'!$U$39</f>
        <v>1.1024</v>
      </c>
      <c r="D91" s="160">
        <f>'Rate Engine'!AF$68</f>
        <v>1.0868000000000002</v>
      </c>
      <c r="E91" s="220">
        <f>'Mod Engine'!$E$39</f>
        <v>0.8630196936542669</v>
      </c>
      <c r="F91" s="220">
        <f>'Rate Engine'!AF$72</f>
        <v>0.85699945295404822</v>
      </c>
      <c r="G91" s="160">
        <f t="shared" si="5"/>
        <v>1.1192857768052518</v>
      </c>
      <c r="H91" s="160">
        <f t="shared" si="6"/>
        <v>1.0957494182005409</v>
      </c>
      <c r="I91" s="43">
        <f t="shared" si="7"/>
        <v>0</v>
      </c>
      <c r="J91" s="23"/>
      <c r="K91" s="23"/>
      <c r="L91" s="183">
        <f t="shared" si="8"/>
        <v>1.4354066985645675E-2</v>
      </c>
    </row>
    <row r="92" spans="2:18" x14ac:dyDescent="0.3">
      <c r="B92" s="219">
        <f>'Rate Engine'!AG$16</f>
        <v>46357</v>
      </c>
      <c r="C92" s="160">
        <f>'Rate Engine'!$U$40</f>
        <v>1.1024</v>
      </c>
      <c r="D92" s="160">
        <f>'Rate Engine'!AG$68</f>
        <v>1.0972000000000002</v>
      </c>
      <c r="E92" s="220">
        <f>'Mod Engine'!$E$40</f>
        <v>0.86502188183807438</v>
      </c>
      <c r="F92" s="220">
        <f>'Rate Engine'!AG$72</f>
        <v>0.8590071115973742</v>
      </c>
      <c r="G92" s="160">
        <f t="shared" si="5"/>
        <v>1.1218824971038743</v>
      </c>
      <c r="H92" s="160">
        <f t="shared" si="6"/>
        <v>1.1088265915819284</v>
      </c>
      <c r="I92" s="43">
        <f t="shared" si="7"/>
        <v>0</v>
      </c>
      <c r="J92" s="23"/>
      <c r="K92" s="23"/>
      <c r="L92" s="183">
        <f t="shared" si="8"/>
        <v>4.7393364928909332E-3</v>
      </c>
    </row>
    <row r="93" spans="2:18" x14ac:dyDescent="0.3">
      <c r="B93" s="219">
        <f>'Rate Engine'!AH$16</f>
        <v>46388</v>
      </c>
      <c r="C93" s="160">
        <f>'Rate Engine'!$U$41</f>
        <v>1.1024</v>
      </c>
      <c r="D93" s="160">
        <f>'Rate Engine'!AH$68</f>
        <v>1.1024000000000003</v>
      </c>
      <c r="E93" s="220">
        <f>'Mod Engine'!$E$41</f>
        <v>0.86705689277899345</v>
      </c>
      <c r="F93" s="220">
        <f>'Rate Engine'!AH$72</f>
        <v>0.86101750547045963</v>
      </c>
      <c r="G93" s="160">
        <f t="shared" si="5"/>
        <v>1.1245217865877206</v>
      </c>
      <c r="H93" s="160">
        <f t="shared" si="6"/>
        <v>1.1166890565066292</v>
      </c>
      <c r="I93" s="43">
        <f t="shared" si="7"/>
        <v>1</v>
      </c>
      <c r="J93" s="183">
        <f t="shared" ref="J93:J116" si="9">IF(OR($D93="",$D81=""),"",$D93/$D81-1)</f>
        <v>6.0000000000000053E-2</v>
      </c>
      <c r="K93" s="183">
        <f t="shared" ref="K93:K116" si="10">IF(OR($H93="",$H81=""),"",$H93/$H81-1)</f>
        <v>9.0342321617629562E-2</v>
      </c>
      <c r="L93" s="183">
        <f t="shared" si="8"/>
        <v>-2.2204460492503131E-16</v>
      </c>
      <c r="M93" s="183">
        <f>'Rate Engine'!$N$41/'Rate Engine'!$N$29-1</f>
        <v>6.0000000000000053E-2</v>
      </c>
      <c r="N93" s="183">
        <f>IF(nr_ModAdjEff="ON",'Mod Engine'!$E$41/'Mod Engine'!$E$29-1,"—")</f>
        <v>2.8419782244773595E-2</v>
      </c>
      <c r="O93" s="183">
        <f>'Rate Engine'!$N$41/'Rate Engine'!$N$29*IF(nr_ModAdjEff="ON",'Mod Engine'!$E$41/'Mod Engine'!$E$29,1)-1</f>
        <v>9.0124969179460113E-2</v>
      </c>
      <c r="P93" s="183">
        <f>_calc!$N$4753/_calc!$N$4741-1</f>
        <v>6.0000000000000053E-2</v>
      </c>
      <c r="Q93" s="183">
        <f t="shared" ref="Q93:Q116" si="11">(1+$M93)/(1+$P93)-1</f>
        <v>0</v>
      </c>
      <c r="R93" s="183" t="str">
        <f t="shared" ref="R93:R116" si="12">IF(NOT(nr_NetMode),"",$O93-IF($I93=1,nr_NetSelP,nr_NetSelP1))</f>
        <v/>
      </c>
    </row>
    <row r="94" spans="2:18" x14ac:dyDescent="0.3">
      <c r="B94" s="219">
        <f>'Rate Engine'!AI$16</f>
        <v>46419</v>
      </c>
      <c r="C94" s="160">
        <f>'Rate Engine'!$U$42</f>
        <v>1.1024</v>
      </c>
      <c r="D94" s="160">
        <f>'Rate Engine'!AI$68</f>
        <v>1.1024000000000003</v>
      </c>
      <c r="E94" s="220">
        <f>'Mod Engine'!$E$42</f>
        <v>0.86899343544857766</v>
      </c>
      <c r="F94" s="220">
        <f>'Rate Engine'!AI$72</f>
        <v>0.86302242888402625</v>
      </c>
      <c r="G94" s="160">
        <f t="shared" si="5"/>
        <v>1.1270333685158964</v>
      </c>
      <c r="H94" s="160">
        <f t="shared" si="6"/>
        <v>1.1192893242373538</v>
      </c>
      <c r="I94" s="43">
        <f t="shared" si="7"/>
        <v>1</v>
      </c>
      <c r="J94" s="183">
        <f t="shared" si="9"/>
        <v>6.0000000000000053E-2</v>
      </c>
      <c r="K94" s="183">
        <f t="shared" si="10"/>
        <v>9.0269819175188504E-2</v>
      </c>
      <c r="L94" s="183">
        <f t="shared" si="8"/>
        <v>-2.2204460492503131E-16</v>
      </c>
      <c r="M94" s="183">
        <f>'Rate Engine'!$N$42/'Rate Engine'!$N$30-1</f>
        <v>6.0000000000000053E-2</v>
      </c>
      <c r="N94" s="183">
        <f>IF(nr_ModAdjEff="ON",'Mod Engine'!$E$42/'Mod Engine'!$E$30-1,"—")</f>
        <v>2.8354653270495689E-2</v>
      </c>
      <c r="O94" s="183">
        <f>'Rate Engine'!$N$42/'Rate Engine'!$N$30*IF(nr_ModAdjEff="ON",'Mod Engine'!$E$42/'Mod Engine'!$E$30,1)-1</f>
        <v>9.0055932466725386E-2</v>
      </c>
      <c r="P94" s="183">
        <f>_calc!$N$4754/_calc!$N$4742-1</f>
        <v>6.0000000000000053E-2</v>
      </c>
      <c r="Q94" s="183">
        <f t="shared" si="11"/>
        <v>0</v>
      </c>
      <c r="R94" s="183" t="str">
        <f t="shared" si="12"/>
        <v/>
      </c>
    </row>
    <row r="95" spans="2:18" x14ac:dyDescent="0.3">
      <c r="B95" s="219">
        <f>'Rate Engine'!AJ$16</f>
        <v>46447</v>
      </c>
      <c r="C95" s="160">
        <f>'Rate Engine'!$U$43</f>
        <v>1.1024</v>
      </c>
      <c r="D95" s="160">
        <f>'Rate Engine'!AJ$68</f>
        <v>1.1024000000000003</v>
      </c>
      <c r="E95" s="220">
        <f>'Mod Engine'!$E$43</f>
        <v>0.87092997811816197</v>
      </c>
      <c r="F95" s="220">
        <f>'Rate Engine'!AJ$72</f>
        <v>0.86501367614879665</v>
      </c>
      <c r="G95" s="160">
        <f t="shared" si="5"/>
        <v>1.1295449504440729</v>
      </c>
      <c r="H95" s="160">
        <f t="shared" si="6"/>
        <v>1.1218718548075692</v>
      </c>
      <c r="I95" s="43">
        <f t="shared" si="7"/>
        <v>1</v>
      </c>
      <c r="J95" s="183">
        <f t="shared" si="9"/>
        <v>6.0000000000000053E-2</v>
      </c>
      <c r="K95" s="183">
        <f t="shared" si="10"/>
        <v>9.0198153429879246E-2</v>
      </c>
      <c r="L95" s="183">
        <f t="shared" si="8"/>
        <v>-2.2204460492503131E-16</v>
      </c>
      <c r="M95" s="183">
        <f>'Rate Engine'!$N$43/'Rate Engine'!$N$31-1</f>
        <v>6.0000000000000053E-2</v>
      </c>
      <c r="N95" s="183">
        <f>IF(nr_ModAdjEff="ON",'Mod Engine'!$E$43/'Mod Engine'!$E$31-1,"—")</f>
        <v>2.8289822122899322E-2</v>
      </c>
      <c r="O95" s="183">
        <f>'Rate Engine'!$N$43/'Rate Engine'!$N$31*IF(nr_ModAdjEff="ON",'Mod Engine'!$E$43/'Mod Engine'!$E$31,1)-1</f>
        <v>8.998721145027333E-2</v>
      </c>
      <c r="P95" s="183">
        <f>_calc!$N$4755/_calc!$N$4743-1</f>
        <v>6.0000000000000053E-2</v>
      </c>
      <c r="Q95" s="183">
        <f t="shared" si="11"/>
        <v>0</v>
      </c>
      <c r="R95" s="183" t="str">
        <f t="shared" si="12"/>
        <v/>
      </c>
    </row>
    <row r="96" spans="2:18" x14ac:dyDescent="0.3">
      <c r="B96" s="219">
        <f>'Rate Engine'!AK$16</f>
        <v>46478</v>
      </c>
      <c r="C96" s="160">
        <f>'Rate Engine'!$U$44</f>
        <v>1.1575200000000001</v>
      </c>
      <c r="D96" s="160">
        <f>'Rate Engine'!AK$68</f>
        <v>1.1069933333333335</v>
      </c>
      <c r="E96" s="220">
        <f>'Mod Engine'!$E$44</f>
        <v>0.87293216630196935</v>
      </c>
      <c r="F96" s="220">
        <f>'Rate Engine'!AK$72</f>
        <v>0.86699945295404823</v>
      </c>
      <c r="G96" s="160">
        <f t="shared" si="5"/>
        <v>1.1887487542798303</v>
      </c>
      <c r="H96" s="160">
        <f t="shared" si="6"/>
        <v>1.1291324875573865</v>
      </c>
      <c r="I96" s="43">
        <f t="shared" si="7"/>
        <v>1</v>
      </c>
      <c r="J96" s="183">
        <f t="shared" si="9"/>
        <v>6.4416666666666567E-2</v>
      </c>
      <c r="K96" s="183">
        <f t="shared" si="10"/>
        <v>9.4669217645690917E-2</v>
      </c>
      <c r="L96" s="183">
        <f t="shared" si="8"/>
        <v>4.5643153526970792E-2</v>
      </c>
      <c r="M96" s="183">
        <f>'Rate Engine'!$N$44/'Rate Engine'!$N$32-1</f>
        <v>0.11299999999999999</v>
      </c>
      <c r="N96" s="183">
        <f>IF(nr_ModAdjEff="ON",'Mod Engine'!$E$44/'Mod Engine'!$E$32-1,"—")</f>
        <v>2.8223104283725986E-2</v>
      </c>
      <c r="O96" s="183">
        <f>'Rate Engine'!$N$44/'Rate Engine'!$N$32*IF(nr_ModAdjEff="ON",'Mod Engine'!$E$44/'Mod Engine'!$E$32,1)-1</f>
        <v>0.14441231506778696</v>
      </c>
      <c r="P96" s="183">
        <f>_calc!$N$4756/_calc!$N$4744-1</f>
        <v>6.0000000000000053E-2</v>
      </c>
      <c r="Q96" s="183">
        <f t="shared" si="11"/>
        <v>5.0000000000000044E-2</v>
      </c>
      <c r="R96" s="183" t="str">
        <f t="shared" si="12"/>
        <v/>
      </c>
    </row>
    <row r="97" spans="2:18" x14ac:dyDescent="0.3">
      <c r="B97" s="219">
        <f>'Rate Engine'!AL$16</f>
        <v>46508</v>
      </c>
      <c r="C97" s="160">
        <f>'Rate Engine'!$U$45</f>
        <v>1.1575200000000001</v>
      </c>
      <c r="D97" s="160">
        <f>'Rate Engine'!AL$68</f>
        <v>1.1161800000000002</v>
      </c>
      <c r="E97" s="220">
        <f>'Mod Engine'!$E$45</f>
        <v>0.87493435448577683</v>
      </c>
      <c r="F97" s="220">
        <f>'Rate Engine'!AL$72</f>
        <v>0.86898522975929982</v>
      </c>
      <c r="G97" s="160">
        <f t="shared" si="5"/>
        <v>1.191475310593384</v>
      </c>
      <c r="H97" s="160">
        <f t="shared" si="6"/>
        <v>1.1411105102973358</v>
      </c>
      <c r="I97" s="43">
        <f t="shared" si="7"/>
        <v>1</v>
      </c>
      <c r="J97" s="183">
        <f t="shared" si="9"/>
        <v>7.3249999999999815E-2</v>
      </c>
      <c r="K97" s="183">
        <f t="shared" si="10"/>
        <v>0.10368192713171753</v>
      </c>
      <c r="L97" s="183">
        <f t="shared" si="8"/>
        <v>3.7037037037036979E-2</v>
      </c>
      <c r="M97" s="183">
        <f>'Rate Engine'!$N$45/'Rate Engine'!$N$33-1</f>
        <v>0.11299999999999999</v>
      </c>
      <c r="N97" s="183">
        <f>IF(nr_ModAdjEff="ON",'Mod Engine'!$E$45/'Mod Engine'!$E$33-1,"—")</f>
        <v>2.8156700394708079E-2</v>
      </c>
      <c r="O97" s="183">
        <f>'Rate Engine'!$N$45/'Rate Engine'!$N$33*IF(nr_ModAdjEff="ON",'Mod Engine'!$E$45/'Mod Engine'!$E$33,1)-1</f>
        <v>0.14433840753931015</v>
      </c>
      <c r="P97" s="183">
        <f>_calc!$N$4757/_calc!$N$4745-1</f>
        <v>6.0000000000000053E-2</v>
      </c>
      <c r="Q97" s="183">
        <f t="shared" si="11"/>
        <v>5.0000000000000044E-2</v>
      </c>
      <c r="R97" s="183" t="str">
        <f t="shared" si="12"/>
        <v/>
      </c>
    </row>
    <row r="98" spans="2:18" x14ac:dyDescent="0.3">
      <c r="B98" s="219">
        <f>'Rate Engine'!AM$16</f>
        <v>46539</v>
      </c>
      <c r="C98" s="160">
        <f>'Rate Engine'!$U$46</f>
        <v>1.1575200000000001</v>
      </c>
      <c r="D98" s="160">
        <f>'Rate Engine'!AM$68</f>
        <v>1.1253666666666668</v>
      </c>
      <c r="E98" s="220">
        <f>'Mod Engine'!$E$46</f>
        <v>0.87693654266958421</v>
      </c>
      <c r="F98" s="220">
        <f>'Rate Engine'!AM$72</f>
        <v>0.8709710065645514</v>
      </c>
      <c r="G98" s="160">
        <f t="shared" si="5"/>
        <v>1.1942018669069379</v>
      </c>
      <c r="H98" s="160">
        <f t="shared" si="6"/>
        <v>1.1531314569657187</v>
      </c>
      <c r="I98" s="43">
        <f t="shared" si="7"/>
        <v>1</v>
      </c>
      <c r="J98" s="183">
        <f t="shared" si="9"/>
        <v>8.2083333333333286E-2</v>
      </c>
      <c r="K98" s="183">
        <f t="shared" si="10"/>
        <v>0.11269379553950953</v>
      </c>
      <c r="L98" s="183">
        <f t="shared" si="8"/>
        <v>2.857142857142847E-2</v>
      </c>
      <c r="M98" s="183">
        <f>'Rate Engine'!$N$46/'Rate Engine'!$N$34-1</f>
        <v>0.11299999999999999</v>
      </c>
      <c r="N98" s="183">
        <f>IF(nr_ModAdjEff="ON",'Mod Engine'!$E$46/'Mod Engine'!$E$34-1,"—")</f>
        <v>2.8090608245042503E-2</v>
      </c>
      <c r="O98" s="183">
        <f>'Rate Engine'!$N$46/'Rate Engine'!$N$34*IF(nr_ModAdjEff="ON",'Mod Engine'!$E$46/'Mod Engine'!$E$34,1)-1</f>
        <v>0.14426484697673225</v>
      </c>
      <c r="P98" s="183">
        <f>_calc!$N$4758/_calc!$N$4746-1</f>
        <v>6.0000000000000053E-2</v>
      </c>
      <c r="Q98" s="183">
        <f t="shared" si="11"/>
        <v>5.0000000000000044E-2</v>
      </c>
      <c r="R98" s="183" t="str">
        <f t="shared" si="12"/>
        <v/>
      </c>
    </row>
    <row r="99" spans="2:18" x14ac:dyDescent="0.3">
      <c r="B99" s="219">
        <f>'Rate Engine'!AN$16</f>
        <v>46569</v>
      </c>
      <c r="C99" s="160">
        <f>'Rate Engine'!$U$47</f>
        <v>1.1575200000000001</v>
      </c>
      <c r="D99" s="160">
        <f>'Rate Engine'!AN$68</f>
        <v>1.1345533333333335</v>
      </c>
      <c r="E99" s="220">
        <f>'Mod Engine'!$E$47</f>
        <v>0.87893873085339169</v>
      </c>
      <c r="F99" s="220">
        <f>'Rate Engine'!AN$72</f>
        <v>0.87295404814004385</v>
      </c>
      <c r="G99" s="160">
        <f t="shared" si="5"/>
        <v>1.1969284232204918</v>
      </c>
      <c r="H99" s="160">
        <f t="shared" si="6"/>
        <v>1.1651916766636634</v>
      </c>
      <c r="I99" s="43">
        <f t="shared" si="7"/>
        <v>1</v>
      </c>
      <c r="J99" s="183">
        <f t="shared" si="9"/>
        <v>8.5489220563847335E-2</v>
      </c>
      <c r="K99" s="183">
        <f t="shared" si="10"/>
        <v>0.1161243064299109</v>
      </c>
      <c r="L99" s="183">
        <f t="shared" si="8"/>
        <v>2.0242914979756943E-2</v>
      </c>
      <c r="M99" s="183">
        <f>'Rate Engine'!$N$47/'Rate Engine'!$N$35-1</f>
        <v>5.0000000000000044E-2</v>
      </c>
      <c r="N99" s="183">
        <f>IF(nr_ModAdjEff="ON",'Mod Engine'!$E$47/'Mod Engine'!$E$35-1,"—")</f>
        <v>2.8024825644634932E-2</v>
      </c>
      <c r="O99" s="183">
        <f>'Rate Engine'!$N$47/'Rate Engine'!$N$35*IF(nr_ModAdjEff="ON",'Mod Engine'!$E$47/'Mod Engine'!$E$35,1)-1</f>
        <v>7.9426066926866712E-2</v>
      </c>
      <c r="P99" s="183">
        <f>_calc!$N$4759/_calc!$N$4747-1</f>
        <v>0</v>
      </c>
      <c r="Q99" s="183">
        <f t="shared" si="11"/>
        <v>5.0000000000000044E-2</v>
      </c>
      <c r="R99" s="183" t="str">
        <f t="shared" si="12"/>
        <v/>
      </c>
    </row>
    <row r="100" spans="2:18" x14ac:dyDescent="0.3">
      <c r="B100" s="219">
        <f>'Rate Engine'!AO$16</f>
        <v>46600</v>
      </c>
      <c r="C100" s="160">
        <f>'Rate Engine'!$U$48</f>
        <v>1.1575200000000001</v>
      </c>
      <c r="D100" s="160">
        <f>'Rate Engine'!AO$68</f>
        <v>1.1437400000000002</v>
      </c>
      <c r="E100" s="220">
        <f>'Mod Engine'!$E$48</f>
        <v>0.88097374179431076</v>
      </c>
      <c r="F100" s="220">
        <f>'Rate Engine'!AO$72</f>
        <v>0.87494256017505478</v>
      </c>
      <c r="G100" s="160">
        <f t="shared" si="5"/>
        <v>1.1996996771785302</v>
      </c>
      <c r="H100" s="160">
        <f t="shared" si="6"/>
        <v>1.1773021220877851</v>
      </c>
      <c r="I100" s="43">
        <f t="shared" si="7"/>
        <v>1</v>
      </c>
      <c r="J100" s="183">
        <f t="shared" si="9"/>
        <v>8.3497536945812634E-2</v>
      </c>
      <c r="K100" s="183">
        <f t="shared" si="10"/>
        <v>0.11400495829791701</v>
      </c>
      <c r="L100" s="183">
        <f t="shared" si="8"/>
        <v>1.2048192771084265E-2</v>
      </c>
      <c r="M100" s="183">
        <f>'Rate Engine'!$N$48/'Rate Engine'!$N$36-1</f>
        <v>5.0000000000000044E-2</v>
      </c>
      <c r="N100" s="183">
        <f>IF(nr_ModAdjEff="ON",'Mod Engine'!$E$48/'Mod Engine'!$E$36-1,"—")</f>
        <v>2.7958279608328862E-2</v>
      </c>
      <c r="O100" s="183">
        <f>'Rate Engine'!$N$48/'Rate Engine'!$N$36*IF(nr_ModAdjEff="ON",'Mod Engine'!$E$48/'Mod Engine'!$E$36,1)-1</f>
        <v>7.9356193588745461E-2</v>
      </c>
      <c r="P100" s="183">
        <f>_calc!$N$4760/_calc!$N$4748-1</f>
        <v>0</v>
      </c>
      <c r="Q100" s="183">
        <f t="shared" si="11"/>
        <v>5.0000000000000044E-2</v>
      </c>
      <c r="R100" s="183" t="str">
        <f t="shared" si="12"/>
        <v/>
      </c>
    </row>
    <row r="101" spans="2:18" x14ac:dyDescent="0.3">
      <c r="B101" s="219">
        <f>'Rate Engine'!AP$16</f>
        <v>46631</v>
      </c>
      <c r="C101" s="160">
        <f>'Rate Engine'!$U$49</f>
        <v>1.1575200000000001</v>
      </c>
      <c r="D101" s="160">
        <f>'Rate Engine'!AP$68</f>
        <v>1.1529266666666669</v>
      </c>
      <c r="E101" s="220">
        <f>'Mod Engine'!$E$49</f>
        <v>0.88297592997811813</v>
      </c>
      <c r="F101" s="220">
        <f>'Rate Engine'!AP$72</f>
        <v>0.87694474835886227</v>
      </c>
      <c r="G101" s="160">
        <f t="shared" si="5"/>
        <v>1.2024262334920839</v>
      </c>
      <c r="H101" s="160">
        <f t="shared" si="6"/>
        <v>1.1894741006779084</v>
      </c>
      <c r="I101" s="43">
        <f t="shared" si="7"/>
        <v>1</v>
      </c>
      <c r="J101" s="183">
        <f t="shared" si="9"/>
        <v>8.154471544715447E-2</v>
      </c>
      <c r="K101" s="183">
        <f t="shared" si="10"/>
        <v>0.11192567208130688</v>
      </c>
      <c r="L101" s="183">
        <f t="shared" si="8"/>
        <v>3.9840637450199168E-3</v>
      </c>
      <c r="M101" s="183">
        <f>'Rate Engine'!$N$49/'Rate Engine'!$N$37-1</f>
        <v>5.0000000000000044E-2</v>
      </c>
      <c r="N101" s="183">
        <f>IF(nr_ModAdjEff="ON",'Mod Engine'!$E$49/'Mod Engine'!$E$37-1,"—")</f>
        <v>2.7893114603764868E-2</v>
      </c>
      <c r="O101" s="183">
        <f>'Rate Engine'!$N$49/'Rate Engine'!$N$37*IF(nr_ModAdjEff="ON",'Mod Engine'!$E$49/'Mod Engine'!$E$37,1)-1</f>
        <v>7.9287770333953178E-2</v>
      </c>
      <c r="P101" s="183">
        <f>_calc!$N$4761/_calc!$N$4749-1</f>
        <v>0</v>
      </c>
      <c r="Q101" s="183">
        <f t="shared" si="11"/>
        <v>5.0000000000000044E-2</v>
      </c>
      <c r="R101" s="183" t="str">
        <f t="shared" si="12"/>
        <v/>
      </c>
    </row>
    <row r="102" spans="2:18" x14ac:dyDescent="0.3">
      <c r="B102" s="219">
        <f>'Rate Engine'!AQ$16</f>
        <v>46661</v>
      </c>
      <c r="C102" s="160">
        <f>'Rate Engine'!$U$50</f>
        <v>1.1575200000000001</v>
      </c>
      <c r="D102" s="160">
        <f>'Rate Engine'!AQ$68</f>
        <v>1.1575200000000003</v>
      </c>
      <c r="E102" s="220">
        <f>'Mod Engine'!$E$50</f>
        <v>0.88497811816192562</v>
      </c>
      <c r="F102" s="220">
        <f>'Rate Engine'!AQ$72</f>
        <v>0.87895240700218802</v>
      </c>
      <c r="G102" s="160">
        <f t="shared" si="5"/>
        <v>1.205152789805638</v>
      </c>
      <c r="H102" s="160">
        <f t="shared" si="6"/>
        <v>1.1969470472390271</v>
      </c>
      <c r="I102" s="43">
        <f t="shared" si="7"/>
        <v>1</v>
      </c>
      <c r="J102" s="183">
        <f t="shared" si="9"/>
        <v>7.5362318840579867E-2</v>
      </c>
      <c r="K102" s="183">
        <f t="shared" si="10"/>
        <v>0.1054986782725531</v>
      </c>
      <c r="L102" s="183">
        <f t="shared" si="8"/>
        <v>-2.2204460492503131E-16</v>
      </c>
      <c r="M102" s="183">
        <f>'Rate Engine'!$N$50/'Rate Engine'!$N$38-1</f>
        <v>5.0000000000000044E-2</v>
      </c>
      <c r="N102" s="183">
        <f>IF(nr_ModAdjEff="ON",'Mod Engine'!$E$50/'Mod Engine'!$E$38-1,"—")</f>
        <v>2.7828252665285769E-2</v>
      </c>
      <c r="O102" s="183">
        <f>'Rate Engine'!$N$50/'Rate Engine'!$N$38*IF(nr_ModAdjEff="ON",'Mod Engine'!$E$50/'Mod Engine'!$E$38,1)-1</f>
        <v>7.9219665298550179E-2</v>
      </c>
      <c r="P102" s="183">
        <f>_calc!$N$4762/_calc!$N$4750-1</f>
        <v>0</v>
      </c>
      <c r="Q102" s="183">
        <f t="shared" si="11"/>
        <v>5.0000000000000044E-2</v>
      </c>
      <c r="R102" s="183" t="str">
        <f t="shared" si="12"/>
        <v/>
      </c>
    </row>
    <row r="103" spans="2:18" x14ac:dyDescent="0.3">
      <c r="B103" s="219">
        <f>'Rate Engine'!AR$16</f>
        <v>46692</v>
      </c>
      <c r="C103" s="160">
        <f>'Rate Engine'!$U$51</f>
        <v>1.1575200000000001</v>
      </c>
      <c r="D103" s="160">
        <f>'Rate Engine'!AR$68</f>
        <v>1.1575200000000003</v>
      </c>
      <c r="E103" s="220">
        <f>'Mod Engine'!$E$51</f>
        <v>0.8869803063457331</v>
      </c>
      <c r="F103" s="220">
        <f>'Rate Engine'!AR$72</f>
        <v>0.88096006564551421</v>
      </c>
      <c r="G103" s="160">
        <f t="shared" si="5"/>
        <v>1.2078793461191919</v>
      </c>
      <c r="H103" s="160">
        <f t="shared" si="6"/>
        <v>1.1996810531599951</v>
      </c>
      <c r="I103" s="43">
        <f t="shared" si="7"/>
        <v>1</v>
      </c>
      <c r="J103" s="183">
        <f t="shared" si="9"/>
        <v>6.5071770334928392E-2</v>
      </c>
      <c r="K103" s="183">
        <f t="shared" si="10"/>
        <v>9.4849819888686238E-2</v>
      </c>
      <c r="L103" s="183">
        <f t="shared" si="8"/>
        <v>-2.2204460492503131E-16</v>
      </c>
      <c r="M103" s="183">
        <f>'Rate Engine'!$N$51/'Rate Engine'!$N$39-1</f>
        <v>5.0000000000000044E-2</v>
      </c>
      <c r="N103" s="183">
        <f>IF(nr_ModAdjEff="ON",'Mod Engine'!$E$51/'Mod Engine'!$E$39-1,"—")</f>
        <v>2.776369168357018E-2</v>
      </c>
      <c r="O103" s="183">
        <f>'Rate Engine'!$N$51/'Rate Engine'!$N$39*IF(nr_ModAdjEff="ON",'Mod Engine'!$E$51/'Mod Engine'!$E$39,1)-1</f>
        <v>7.9151876267748777E-2</v>
      </c>
      <c r="P103" s="183">
        <f>_calc!$N$4763/_calc!$N$4751-1</f>
        <v>0</v>
      </c>
      <c r="Q103" s="183">
        <f t="shared" si="11"/>
        <v>5.0000000000000044E-2</v>
      </c>
      <c r="R103" s="183" t="str">
        <f t="shared" si="12"/>
        <v/>
      </c>
    </row>
    <row r="104" spans="2:18" x14ac:dyDescent="0.3">
      <c r="B104" s="219">
        <f>'Rate Engine'!AS$16</f>
        <v>46722</v>
      </c>
      <c r="C104" s="160">
        <f>'Rate Engine'!$U$52</f>
        <v>1.1575200000000001</v>
      </c>
      <c r="D104" s="160">
        <f>'Rate Engine'!AS$68</f>
        <v>1.1575200000000003</v>
      </c>
      <c r="E104" s="220">
        <f>'Mod Engine'!$E$52</f>
        <v>0.88898249452954048</v>
      </c>
      <c r="F104" s="220">
        <f>'Rate Engine'!AS$72</f>
        <v>0.88296772428884029</v>
      </c>
      <c r="G104" s="160">
        <f t="shared" si="5"/>
        <v>1.2106059024327456</v>
      </c>
      <c r="H104" s="160">
        <f t="shared" si="6"/>
        <v>1.2024150590809632</v>
      </c>
      <c r="I104" s="43">
        <f t="shared" si="7"/>
        <v>1</v>
      </c>
      <c r="J104" s="183">
        <f t="shared" si="9"/>
        <v>5.4976303317535669E-2</v>
      </c>
      <c r="K104" s="183">
        <f t="shared" si="10"/>
        <v>8.4403159348401813E-2</v>
      </c>
      <c r="L104" s="183">
        <f t="shared" si="8"/>
        <v>-2.2204460492503131E-16</v>
      </c>
      <c r="M104" s="183">
        <f>'Rate Engine'!$N$52/'Rate Engine'!$N$40-1</f>
        <v>5.0000000000000044E-2</v>
      </c>
      <c r="N104" s="183">
        <f>IF(nr_ModAdjEff="ON",'Mod Engine'!$E$52/'Mod Engine'!$E$40-1,"—")</f>
        <v>2.7699429568824874E-2</v>
      </c>
      <c r="O104" s="183">
        <f>'Rate Engine'!$N$52/'Rate Engine'!$N$40*IF(nr_ModAdjEff="ON",'Mod Engine'!$E$52/'Mod Engine'!$E$40,1)-1</f>
        <v>7.9084401047266217E-2</v>
      </c>
      <c r="P104" s="183">
        <f>_calc!$N$4764/_calc!$N$4752-1</f>
        <v>0</v>
      </c>
      <c r="Q104" s="183">
        <f t="shared" si="11"/>
        <v>5.0000000000000044E-2</v>
      </c>
      <c r="R104" s="183" t="str">
        <f t="shared" si="12"/>
        <v/>
      </c>
    </row>
    <row r="105" spans="2:18" x14ac:dyDescent="0.3">
      <c r="B105" s="219">
        <f>'Rate Engine'!AT$16</f>
        <v>46753</v>
      </c>
      <c r="C105" s="160">
        <f>'Rate Engine'!$U$53</f>
        <v>1.1575200000000001</v>
      </c>
      <c r="D105" s="160">
        <f>'Rate Engine'!AT$68</f>
        <v>1.1575200000000003</v>
      </c>
      <c r="E105" s="220">
        <f>'Mod Engine'!$E$53</f>
        <v>0.89</v>
      </c>
      <c r="F105" s="220">
        <f>'Rate Engine'!AT$72</f>
        <v>0.88489332603938731</v>
      </c>
      <c r="G105" s="160">
        <f t="shared" si="5"/>
        <v>1.2119915294117649</v>
      </c>
      <c r="H105" s="160">
        <f t="shared" si="6"/>
        <v>1.2050373208907199</v>
      </c>
      <c r="I105" s="43">
        <f t="shared" si="7"/>
        <v>0</v>
      </c>
      <c r="J105" s="183">
        <f t="shared" si="9"/>
        <v>5.0000000000000044E-2</v>
      </c>
      <c r="K105" s="183">
        <f t="shared" si="10"/>
        <v>7.9116262373406965E-2</v>
      </c>
      <c r="L105" s="183">
        <f t="shared" si="8"/>
        <v>-2.2204460492503131E-16</v>
      </c>
      <c r="M105" s="183">
        <f>'Rate Engine'!$N$53/'Rate Engine'!$N$41-1</f>
        <v>5.0000000000000044E-2</v>
      </c>
      <c r="N105" s="183">
        <f>IF(nr_ModAdjEff="ON",'Mod Engine'!$E$53/'Mod Engine'!$E$41-1,"—")</f>
        <v>2.6460901714848051E-2</v>
      </c>
      <c r="O105" s="183">
        <f>'Rate Engine'!$N$53/'Rate Engine'!$N$41*IF(nr_ModAdjEff="ON",'Mod Engine'!$E$53/'Mod Engine'!$E$41,1)-1</f>
        <v>7.7783946800590531E-2</v>
      </c>
      <c r="P105" s="183">
        <f>_calc!$N$4765/_calc!$N$4753-1</f>
        <v>0</v>
      </c>
      <c r="Q105" s="183">
        <f t="shared" si="11"/>
        <v>5.0000000000000044E-2</v>
      </c>
      <c r="R105" s="183" t="str">
        <f t="shared" si="12"/>
        <v/>
      </c>
    </row>
    <row r="106" spans="2:18" x14ac:dyDescent="0.3">
      <c r="B106" s="219">
        <f>'Rate Engine'!AU$16</f>
        <v>46784</v>
      </c>
      <c r="C106" s="160">
        <f>'Rate Engine'!$U$54</f>
        <v>1.1575200000000001</v>
      </c>
      <c r="D106" s="160">
        <f>'Rate Engine'!AU$68</f>
        <v>1.1575200000000003</v>
      </c>
      <c r="E106" s="220">
        <f>'Mod Engine'!$E$54</f>
        <v>0.89</v>
      </c>
      <c r="F106" s="220">
        <f>'Rate Engine'!AU$72</f>
        <v>0.88656728665207873</v>
      </c>
      <c r="G106" s="160">
        <f t="shared" si="5"/>
        <v>1.2119915294117649</v>
      </c>
      <c r="H106" s="160">
        <f t="shared" si="6"/>
        <v>1.2073169007594289</v>
      </c>
      <c r="I106" s="43">
        <f t="shared" si="7"/>
        <v>0</v>
      </c>
      <c r="J106" s="183">
        <f t="shared" si="9"/>
        <v>5.0000000000000044E-2</v>
      </c>
      <c r="K106" s="183">
        <f t="shared" si="10"/>
        <v>7.8645953835085658E-2</v>
      </c>
      <c r="L106" s="183">
        <f t="shared" si="8"/>
        <v>-2.2204460492503131E-16</v>
      </c>
      <c r="M106" s="183">
        <f>'Rate Engine'!$N$54/'Rate Engine'!$N$42-1</f>
        <v>5.0000000000000044E-2</v>
      </c>
      <c r="N106" s="183">
        <f>IF(nr_ModAdjEff="ON",'Mod Engine'!$E$54/'Mod Engine'!$E$42-1,"—")</f>
        <v>2.4173444464029359E-2</v>
      </c>
      <c r="O106" s="183">
        <f>'Rate Engine'!$N$54/'Rate Engine'!$N$42*IF(nr_ModAdjEff="ON",'Mod Engine'!$E$54/'Mod Engine'!$E$42,1)-1</f>
        <v>7.5382116687230827E-2</v>
      </c>
      <c r="P106" s="183">
        <f>_calc!$N$4766/_calc!$N$4754-1</f>
        <v>0</v>
      </c>
      <c r="Q106" s="183">
        <f t="shared" si="11"/>
        <v>5.0000000000000044E-2</v>
      </c>
      <c r="R106" s="183" t="str">
        <f t="shared" si="12"/>
        <v/>
      </c>
    </row>
    <row r="107" spans="2:18" x14ac:dyDescent="0.3">
      <c r="B107" s="219">
        <f>'Rate Engine'!AV$16</f>
        <v>46813</v>
      </c>
      <c r="C107" s="160">
        <f>'Rate Engine'!$U$55</f>
        <v>1.1575200000000001</v>
      </c>
      <c r="D107" s="160">
        <f>'Rate Engine'!AV$68</f>
        <v>1.1575200000000003</v>
      </c>
      <c r="E107" s="220">
        <f>'Mod Engine'!$E$55</f>
        <v>0.89</v>
      </c>
      <c r="F107" s="220">
        <f>'Rate Engine'!AV$72</f>
        <v>0.88790481400437649</v>
      </c>
      <c r="G107" s="160">
        <f t="shared" si="5"/>
        <v>1.2119915294117649</v>
      </c>
      <c r="H107" s="160">
        <f t="shared" si="6"/>
        <v>1.2091383297721721</v>
      </c>
      <c r="I107" s="43">
        <f t="shared" si="7"/>
        <v>0</v>
      </c>
      <c r="J107" s="183">
        <f t="shared" si="9"/>
        <v>5.0000000000000044E-2</v>
      </c>
      <c r="K107" s="183">
        <f t="shared" si="10"/>
        <v>7.7786491024477433E-2</v>
      </c>
      <c r="L107" s="183">
        <f t="shared" si="8"/>
        <v>-2.2204460492503131E-16</v>
      </c>
      <c r="M107" s="183">
        <f>'Rate Engine'!$N$55/'Rate Engine'!$N$43-1</f>
        <v>5.0000000000000044E-2</v>
      </c>
      <c r="N107" s="183">
        <f>IF(nr_ModAdjEff="ON",'Mod Engine'!$E$55/'Mod Engine'!$E$43-1,"—")</f>
        <v>2.1896159692473827E-2</v>
      </c>
      <c r="O107" s="183">
        <f>'Rate Engine'!$N$55/'Rate Engine'!$N$43*IF(nr_ModAdjEff="ON",'Mod Engine'!$E$55/'Mod Engine'!$E$43,1)-1</f>
        <v>7.2990967677097673E-2</v>
      </c>
      <c r="P107" s="183">
        <f>_calc!$N$4767/_calc!$N$4755-1</f>
        <v>0</v>
      </c>
      <c r="Q107" s="183">
        <f t="shared" si="11"/>
        <v>5.0000000000000044E-2</v>
      </c>
      <c r="R107" s="183" t="str">
        <f t="shared" si="12"/>
        <v/>
      </c>
    </row>
    <row r="108" spans="2:18" x14ac:dyDescent="0.3">
      <c r="B108" s="219">
        <f>'Rate Engine'!AW$16</f>
        <v>46844</v>
      </c>
      <c r="C108" s="160">
        <f>'Rate Engine'!$U$56</f>
        <v>1.1575200000000001</v>
      </c>
      <c r="D108" s="160">
        <f>'Rate Engine'!AW$68</f>
        <v>1.1575200000000003</v>
      </c>
      <c r="E108" s="220">
        <f>'Mod Engine'!$E$56</f>
        <v>0.89</v>
      </c>
      <c r="F108" s="220">
        <f>'Rate Engine'!AW$72</f>
        <v>0.88890864332603947</v>
      </c>
      <c r="G108" s="160">
        <f t="shared" si="5"/>
        <v>1.2119915294117649</v>
      </c>
      <c r="H108" s="160">
        <f t="shared" si="6"/>
        <v>1.210505332732656</v>
      </c>
      <c r="I108" s="43">
        <f t="shared" si="7"/>
        <v>0</v>
      </c>
      <c r="J108" s="183">
        <f t="shared" si="9"/>
        <v>4.5643153526971014E-2</v>
      </c>
      <c r="K108" s="183">
        <f t="shared" si="10"/>
        <v>7.2066693742291132E-2</v>
      </c>
      <c r="L108" s="183">
        <f t="shared" si="8"/>
        <v>-2.2204460492503131E-16</v>
      </c>
      <c r="M108" s="183">
        <f>'Rate Engine'!$N$56/'Rate Engine'!$N$44-1</f>
        <v>0</v>
      </c>
      <c r="N108" s="183">
        <f>IF(nr_ModAdjEff="ON",'Mod Engine'!$E$56/'Mod Engine'!$E$44-1,"—")</f>
        <v>1.95523024089439E-2</v>
      </c>
      <c r="O108" s="183">
        <f>'Rate Engine'!$N$56/'Rate Engine'!$N$44*IF(nr_ModAdjEff="ON",'Mod Engine'!$E$56/'Mod Engine'!$E$44,1)-1</f>
        <v>1.95523024089439E-2</v>
      </c>
      <c r="P108" s="183">
        <f>_calc!$N$4768/_calc!$N$4756-1</f>
        <v>0</v>
      </c>
      <c r="Q108" s="183">
        <f t="shared" si="11"/>
        <v>0</v>
      </c>
      <c r="R108" s="183" t="str">
        <f t="shared" si="12"/>
        <v/>
      </c>
    </row>
    <row r="109" spans="2:18" x14ac:dyDescent="0.3">
      <c r="B109" s="219">
        <f>'Rate Engine'!AX$16</f>
        <v>46874</v>
      </c>
      <c r="C109" s="160">
        <f>'Rate Engine'!$U$57</f>
        <v>1.1575200000000001</v>
      </c>
      <c r="D109" s="160">
        <f>'Rate Engine'!AX$68</f>
        <v>1.1575200000000003</v>
      </c>
      <c r="E109" s="220">
        <f>'Mod Engine'!$E$57</f>
        <v>0.89</v>
      </c>
      <c r="F109" s="220">
        <f>'Rate Engine'!AX$72</f>
        <v>0.88957877461706791</v>
      </c>
      <c r="G109" s="160">
        <f t="shared" si="5"/>
        <v>1.2119915294117649</v>
      </c>
      <c r="H109" s="160">
        <f t="shared" si="6"/>
        <v>1.2114179096408808</v>
      </c>
      <c r="I109" s="43">
        <f t="shared" si="7"/>
        <v>0</v>
      </c>
      <c r="J109" s="183">
        <f t="shared" si="9"/>
        <v>3.7037037037037202E-2</v>
      </c>
      <c r="K109" s="183">
        <f t="shared" si="10"/>
        <v>6.1613137999425804E-2</v>
      </c>
      <c r="L109" s="183">
        <f t="shared" si="8"/>
        <v>-2.2204460492503131E-16</v>
      </c>
      <c r="M109" s="183">
        <f>'Rate Engine'!$N$57/'Rate Engine'!$N$45-1</f>
        <v>0</v>
      </c>
      <c r="N109" s="183">
        <f>IF(nr_ModAdjEff="ON",'Mod Engine'!$E$57/'Mod Engine'!$E$45-1,"—")</f>
        <v>1.7219172429316254E-2</v>
      </c>
      <c r="O109" s="183">
        <f>'Rate Engine'!$N$57/'Rate Engine'!$N$45*IF(nr_ModAdjEff="ON",'Mod Engine'!$E$57/'Mod Engine'!$E$45,1)-1</f>
        <v>1.7219172429316254E-2</v>
      </c>
      <c r="P109" s="183">
        <f>_calc!$N$4769/_calc!$N$4757-1</f>
        <v>0</v>
      </c>
      <c r="Q109" s="183">
        <f t="shared" si="11"/>
        <v>0</v>
      </c>
      <c r="R109" s="183" t="str">
        <f t="shared" si="12"/>
        <v/>
      </c>
    </row>
    <row r="110" spans="2:18" x14ac:dyDescent="0.3">
      <c r="B110" s="219">
        <f>'Rate Engine'!AY$16</f>
        <v>46905</v>
      </c>
      <c r="C110" s="160">
        <f>'Rate Engine'!$U$58</f>
        <v>1.1575200000000001</v>
      </c>
      <c r="D110" s="160">
        <f>'Rate Engine'!AY$68</f>
        <v>1.1575200000000003</v>
      </c>
      <c r="E110" s="220">
        <f>'Mod Engine'!$E$58</f>
        <v>0.89</v>
      </c>
      <c r="F110" s="220">
        <f>'Rate Engine'!AY$72</f>
        <v>0.88991520787746181</v>
      </c>
      <c r="G110" s="160">
        <f t="shared" si="5"/>
        <v>1.2119915294117649</v>
      </c>
      <c r="H110" s="160">
        <f t="shared" si="6"/>
        <v>1.211876060496847</v>
      </c>
      <c r="I110" s="43">
        <f t="shared" si="7"/>
        <v>0</v>
      </c>
      <c r="J110" s="183">
        <f t="shared" si="9"/>
        <v>2.8571428571428692E-2</v>
      </c>
      <c r="K110" s="183">
        <f t="shared" si="10"/>
        <v>5.0943544360246173E-2</v>
      </c>
      <c r="L110" s="183">
        <f t="shared" si="8"/>
        <v>-2.2204460492503131E-16</v>
      </c>
      <c r="M110" s="183">
        <f>'Rate Engine'!$N$58/'Rate Engine'!$N$46-1</f>
        <v>0</v>
      </c>
      <c r="N110" s="183">
        <f>IF(nr_ModAdjEff="ON",'Mod Engine'!$E$58/'Mod Engine'!$E$46-1,"—")</f>
        <v>1.4896696277073573E-2</v>
      </c>
      <c r="O110" s="183">
        <f>'Rate Engine'!$N$58/'Rate Engine'!$N$46*IF(nr_ModAdjEff="ON",'Mod Engine'!$E$58/'Mod Engine'!$E$46,1)-1</f>
        <v>1.4896696277073573E-2</v>
      </c>
      <c r="P110" s="183">
        <f>_calc!$N$4770/_calc!$N$4758-1</f>
        <v>0</v>
      </c>
      <c r="Q110" s="183">
        <f t="shared" si="11"/>
        <v>0</v>
      </c>
      <c r="R110" s="183" t="str">
        <f t="shared" si="12"/>
        <v/>
      </c>
    </row>
    <row r="111" spans="2:18" x14ac:dyDescent="0.3">
      <c r="B111" s="219">
        <f>'Rate Engine'!AZ$16</f>
        <v>46935</v>
      </c>
      <c r="C111" s="160">
        <f>'Rate Engine'!$U$59</f>
        <v>1.1575200000000001</v>
      </c>
      <c r="D111" s="160">
        <f>'Rate Engine'!AZ$68</f>
        <v>1.1575200000000003</v>
      </c>
      <c r="E111" s="220">
        <f>'Mod Engine'!$E$59</f>
        <v>0.89</v>
      </c>
      <c r="F111" s="220">
        <f>'Rate Engine'!AZ$72</f>
        <v>0.89</v>
      </c>
      <c r="G111" s="160">
        <f t="shared" si="5"/>
        <v>1.2119915294117649</v>
      </c>
      <c r="H111" s="160">
        <f t="shared" si="6"/>
        <v>1.2119915294117651</v>
      </c>
      <c r="I111" s="43">
        <f t="shared" si="7"/>
        <v>0</v>
      </c>
      <c r="J111" s="183">
        <f t="shared" si="9"/>
        <v>2.0242914979757165E-2</v>
      </c>
      <c r="K111" s="183">
        <f t="shared" si="10"/>
        <v>4.0164939112941056E-2</v>
      </c>
      <c r="L111" s="183">
        <f t="shared" si="8"/>
        <v>-2.2204460492503131E-16</v>
      </c>
      <c r="M111" s="183">
        <f>'Rate Engine'!$N$59/'Rate Engine'!$N$47-1</f>
        <v>0</v>
      </c>
      <c r="N111" s="183">
        <f>IF(nr_ModAdjEff="ON",'Mod Engine'!$E$59/'Mod Engine'!$E$47-1,"—")</f>
        <v>1.2584801145204549E-2</v>
      </c>
      <c r="O111" s="183">
        <f>'Rate Engine'!$N$59/'Rate Engine'!$N$47*IF(nr_ModAdjEff="ON",'Mod Engine'!$E$59/'Mod Engine'!$E$47,1)-1</f>
        <v>1.2584801145204549E-2</v>
      </c>
      <c r="P111" s="183">
        <f>_calc!$N$4771/_calc!$N$4759-1</f>
        <v>0</v>
      </c>
      <c r="Q111" s="183">
        <f t="shared" si="11"/>
        <v>0</v>
      </c>
      <c r="R111" s="183" t="str">
        <f t="shared" si="12"/>
        <v/>
      </c>
    </row>
    <row r="112" spans="2:18" x14ac:dyDescent="0.3">
      <c r="B112" s="219">
        <f>'Rate Engine'!BA$16</f>
        <v>46966</v>
      </c>
      <c r="C112" s="160">
        <f>'Rate Engine'!$U$60</f>
        <v>1.1575200000000001</v>
      </c>
      <c r="D112" s="160">
        <f>'Rate Engine'!BA$68</f>
        <v>1.1575200000000003</v>
      </c>
      <c r="E112" s="220">
        <f>'Mod Engine'!$E$60</f>
        <v>0.89</v>
      </c>
      <c r="F112" s="220">
        <f>'Rate Engine'!BA$72</f>
        <v>0.89</v>
      </c>
      <c r="G112" s="160">
        <f t="shared" si="5"/>
        <v>1.2119915294117649</v>
      </c>
      <c r="H112" s="160">
        <f t="shared" si="6"/>
        <v>1.2119915294117651</v>
      </c>
      <c r="I112" s="43">
        <f t="shared" si="7"/>
        <v>0</v>
      </c>
      <c r="J112" s="183">
        <f t="shared" si="9"/>
        <v>1.2048192771084487E-2</v>
      </c>
      <c r="K112" s="183">
        <f t="shared" si="10"/>
        <v>2.9465170131914187E-2</v>
      </c>
      <c r="L112" s="183">
        <f t="shared" si="8"/>
        <v>-2.2204460492503131E-16</v>
      </c>
      <c r="M112" s="183">
        <f>'Rate Engine'!$N$60/'Rate Engine'!$N$48-1</f>
        <v>0</v>
      </c>
      <c r="N112" s="183">
        <f>IF(nr_ModAdjEff="ON",'Mod Engine'!$E$60/'Mod Engine'!$E$48-1,"—")</f>
        <v>1.0245774394257445E-2</v>
      </c>
      <c r="O112" s="183">
        <f>'Rate Engine'!$N$60/'Rate Engine'!$N$48*IF(nr_ModAdjEff="ON",'Mod Engine'!$E$60/'Mod Engine'!$E$48,1)-1</f>
        <v>1.0245774394257445E-2</v>
      </c>
      <c r="P112" s="183">
        <f>_calc!$N$4772/_calc!$N$4760-1</f>
        <v>0</v>
      </c>
      <c r="Q112" s="183">
        <f t="shared" si="11"/>
        <v>0</v>
      </c>
      <c r="R112" s="183" t="str">
        <f t="shared" si="12"/>
        <v/>
      </c>
    </row>
    <row r="113" spans="2:18" x14ac:dyDescent="0.3">
      <c r="B113" s="219">
        <f>'Rate Engine'!BB$16</f>
        <v>46997</v>
      </c>
      <c r="C113" s="160">
        <f>'Rate Engine'!$U$61</f>
        <v>1.1575200000000001</v>
      </c>
      <c r="D113" s="160">
        <f>'Rate Engine'!BB$68</f>
        <v>1.1575200000000003</v>
      </c>
      <c r="E113" s="220">
        <f>'Mod Engine'!$E$61</f>
        <v>0.89</v>
      </c>
      <c r="F113" s="220">
        <f>'Rate Engine'!BB$72</f>
        <v>0.89</v>
      </c>
      <c r="G113" s="160">
        <f t="shared" si="5"/>
        <v>1.2119915294117649</v>
      </c>
      <c r="H113" s="160">
        <f t="shared" si="6"/>
        <v>1.2119915294117651</v>
      </c>
      <c r="I113" s="43">
        <f t="shared" si="7"/>
        <v>0</v>
      </c>
      <c r="J113" s="183">
        <f t="shared" si="9"/>
        <v>3.9840637450199168E-3</v>
      </c>
      <c r="K113" s="183">
        <f t="shared" si="10"/>
        <v>1.8930575050792209E-2</v>
      </c>
      <c r="L113" s="183">
        <f t="shared" si="8"/>
        <v>-2.2204460492503131E-16</v>
      </c>
      <c r="M113" s="183">
        <f>'Rate Engine'!$N$61/'Rate Engine'!$N$49-1</f>
        <v>0</v>
      </c>
      <c r="N113" s="183">
        <f>IF(nr_ModAdjEff="ON",'Mod Engine'!$E$61/'Mod Engine'!$E$49-1,"—")</f>
        <v>7.9549960348930249E-3</v>
      </c>
      <c r="O113" s="183">
        <f>'Rate Engine'!$N$61/'Rate Engine'!$N$49*IF(nr_ModAdjEff="ON",'Mod Engine'!$E$61/'Mod Engine'!$E$49,1)-1</f>
        <v>7.9549960348930249E-3</v>
      </c>
      <c r="P113" s="183">
        <f>_calc!$N$4773/_calc!$N$4761-1</f>
        <v>0</v>
      </c>
      <c r="Q113" s="183">
        <f t="shared" si="11"/>
        <v>0</v>
      </c>
      <c r="R113" s="183" t="str">
        <f t="shared" si="12"/>
        <v/>
      </c>
    </row>
    <row r="114" spans="2:18" x14ac:dyDescent="0.3">
      <c r="B114" s="219">
        <f>'Rate Engine'!BC$16</f>
        <v>47027</v>
      </c>
      <c r="C114" s="160">
        <f>'Rate Engine'!$U$62</f>
        <v>1.1575200000000001</v>
      </c>
      <c r="D114" s="160">
        <f>'Rate Engine'!BC$68</f>
        <v>1.1575200000000003</v>
      </c>
      <c r="E114" s="220">
        <f>'Mod Engine'!$E$62</f>
        <v>0.89</v>
      </c>
      <c r="F114" s="220">
        <f>'Rate Engine'!BC$72</f>
        <v>0.89</v>
      </c>
      <c r="G114" s="160">
        <f t="shared" si="5"/>
        <v>1.2119915294117649</v>
      </c>
      <c r="H114" s="160">
        <f t="shared" si="6"/>
        <v>1.2119915294117651</v>
      </c>
      <c r="I114" s="43">
        <f t="shared" si="7"/>
        <v>0</v>
      </c>
      <c r="J114" s="183">
        <f t="shared" si="9"/>
        <v>0</v>
      </c>
      <c r="K114" s="183">
        <f t="shared" si="10"/>
        <v>1.2569045729667661E-2</v>
      </c>
      <c r="L114" s="183">
        <f t="shared" si="8"/>
        <v>-2.2204460492503131E-16</v>
      </c>
      <c r="M114" s="183">
        <f>'Rate Engine'!$N$62/'Rate Engine'!$N$50-1</f>
        <v>0</v>
      </c>
      <c r="N114" s="183">
        <f>IF(nr_ModAdjEff="ON",'Mod Engine'!$E$62/'Mod Engine'!$E$50-1,"—")</f>
        <v>5.6745830603186498E-3</v>
      </c>
      <c r="O114" s="183">
        <f>'Rate Engine'!$N$62/'Rate Engine'!$N$50*IF(nr_ModAdjEff="ON",'Mod Engine'!$E$62/'Mod Engine'!$E$50,1)-1</f>
        <v>5.6745830603186498E-3</v>
      </c>
      <c r="P114" s="183">
        <f>_calc!$N$4774/_calc!$N$4762-1</f>
        <v>0</v>
      </c>
      <c r="Q114" s="183">
        <f t="shared" si="11"/>
        <v>0</v>
      </c>
      <c r="R114" s="183" t="str">
        <f t="shared" si="12"/>
        <v/>
      </c>
    </row>
    <row r="115" spans="2:18" x14ac:dyDescent="0.3">
      <c r="B115" s="219">
        <f>'Rate Engine'!BD$16</f>
        <v>47058</v>
      </c>
      <c r="C115" s="160">
        <f>'Rate Engine'!$U$63</f>
        <v>1.1575200000000001</v>
      </c>
      <c r="D115" s="160">
        <f>'Rate Engine'!BD$68</f>
        <v>1.1575200000000003</v>
      </c>
      <c r="E115" s="220">
        <f>'Mod Engine'!$E$63</f>
        <v>0.89</v>
      </c>
      <c r="F115" s="220">
        <f>'Rate Engine'!BD$72</f>
        <v>0.89</v>
      </c>
      <c r="G115" s="160">
        <f t="shared" si="5"/>
        <v>1.2119915294117649</v>
      </c>
      <c r="H115" s="160">
        <f t="shared" si="6"/>
        <v>1.2119915294117651</v>
      </c>
      <c r="I115" s="43">
        <f t="shared" si="7"/>
        <v>0</v>
      </c>
      <c r="J115" s="183">
        <f t="shared" si="9"/>
        <v>0</v>
      </c>
      <c r="K115" s="183">
        <f t="shared" si="10"/>
        <v>1.0261457592702694E-2</v>
      </c>
      <c r="L115" s="183">
        <f t="shared" si="8"/>
        <v>-2.2204460492503131E-16</v>
      </c>
      <c r="M115" s="183">
        <f>'Rate Engine'!$N$63/'Rate Engine'!$N$51-1</f>
        <v>0</v>
      </c>
      <c r="N115" s="183">
        <f>IF(nr_ModAdjEff="ON",'Mod Engine'!$E$63/'Mod Engine'!$E$51-1,"—")</f>
        <v>3.4044652769211758E-3</v>
      </c>
      <c r="O115" s="183">
        <f>'Rate Engine'!$N$63/'Rate Engine'!$N$51*IF(nr_ModAdjEff="ON",'Mod Engine'!$E$63/'Mod Engine'!$E$51,1)-1</f>
        <v>3.4044652769211758E-3</v>
      </c>
      <c r="P115" s="183">
        <f>_calc!$N$4775/_calc!$N$4763-1</f>
        <v>0</v>
      </c>
      <c r="Q115" s="183">
        <f t="shared" si="11"/>
        <v>0</v>
      </c>
      <c r="R115" s="183" t="str">
        <f t="shared" si="12"/>
        <v/>
      </c>
    </row>
    <row r="116" spans="2:18" x14ac:dyDescent="0.3">
      <c r="B116" s="219">
        <f>'Rate Engine'!BE$16</f>
        <v>47088</v>
      </c>
      <c r="C116" s="160">
        <f>'Rate Engine'!$U$64</f>
        <v>1.1575200000000001</v>
      </c>
      <c r="D116" s="160">
        <f>'Rate Engine'!BE$68</f>
        <v>1.1575200000000003</v>
      </c>
      <c r="E116" s="220">
        <f>'Mod Engine'!$E$64</f>
        <v>0.89</v>
      </c>
      <c r="F116" s="220">
        <f>'Rate Engine'!BE$72</f>
        <v>0.89</v>
      </c>
      <c r="G116" s="160">
        <f t="shared" si="5"/>
        <v>1.2119915294117649</v>
      </c>
      <c r="H116" s="160">
        <f t="shared" si="6"/>
        <v>1.2119915294117651</v>
      </c>
      <c r="I116" s="43">
        <f t="shared" si="7"/>
        <v>0</v>
      </c>
      <c r="J116" s="183">
        <f t="shared" si="9"/>
        <v>0</v>
      </c>
      <c r="K116" s="183">
        <f t="shared" si="10"/>
        <v>7.9643632691372979E-3</v>
      </c>
      <c r="L116" s="183">
        <f t="shared" si="8"/>
        <v>-2.2204460492503131E-16</v>
      </c>
      <c r="M116" s="183">
        <f>'Rate Engine'!$N$64/'Rate Engine'!$N$52-1</f>
        <v>0</v>
      </c>
      <c r="N116" s="183">
        <f>IF(nr_ModAdjEff="ON",'Mod Engine'!$E$64/'Mod Engine'!$E$52-1,"—")</f>
        <v>1.1445731234538403E-3</v>
      </c>
      <c r="O116" s="183">
        <f>'Rate Engine'!$N$64/'Rate Engine'!$N$52*IF(nr_ModAdjEff="ON",'Mod Engine'!$E$64/'Mod Engine'!$E$52,1)-1</f>
        <v>1.1445731234538403E-3</v>
      </c>
      <c r="P116" s="183">
        <f>_calc!$N$4776/_calc!$N$4764-1</f>
        <v>0</v>
      </c>
      <c r="Q116" s="183">
        <f t="shared" si="11"/>
        <v>0</v>
      </c>
      <c r="R116" s="183" t="str">
        <f t="shared" si="12"/>
        <v/>
      </c>
    </row>
  </sheetData>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D6DCE4"/>
    <pageSetUpPr fitToPage="1"/>
  </sheetPr>
  <dimension ref="B2:G21"/>
  <sheetViews>
    <sheetView showGridLines="0" workbookViewId="0"/>
  </sheetViews>
  <sheetFormatPr defaultRowHeight="14.4" x14ac:dyDescent="0.3"/>
  <cols>
    <col min="1" max="1" width="2" customWidth="1"/>
    <col min="2" max="2" width="40" customWidth="1"/>
    <col min="3" max="7" width="11" customWidth="1"/>
  </cols>
  <sheetData>
    <row r="2" spans="2:7" ht="21" x14ac:dyDescent="0.3">
      <c r="B2" s="1" t="s">
        <v>563</v>
      </c>
    </row>
    <row r="3" spans="2:7" x14ac:dyDescent="0.3">
      <c r="B3" s="20" t="s">
        <v>381</v>
      </c>
      <c r="C3" s="184" t="str">
        <f>nr_SelKey</f>
        <v>ABD|AZ</v>
      </c>
      <c r="D3" s="155" t="str">
        <f>HYPERLINK("#Control!C7","Change BU/state selection &gt;")</f>
        <v>Change BU/state selection &gt;</v>
      </c>
    </row>
    <row r="5" spans="2:7" ht="15.6" x14ac:dyDescent="0.3">
      <c r="B5" s="3" t="s">
        <v>564</v>
      </c>
      <c r="C5" s="56" t="s">
        <v>565</v>
      </c>
      <c r="D5" s="56" t="s">
        <v>566</v>
      </c>
      <c r="E5" s="56" t="s">
        <v>567</v>
      </c>
      <c r="F5" s="56" t="s">
        <v>568</v>
      </c>
    </row>
    <row r="6" spans="2:7" x14ac:dyDescent="0.3">
      <c r="B6" s="20" t="s">
        <v>569</v>
      </c>
      <c r="C6" s="59">
        <v>0.02</v>
      </c>
      <c r="D6" s="59"/>
      <c r="E6" s="59"/>
      <c r="F6" s="59"/>
      <c r="G6" s="51" t="s">
        <v>570</v>
      </c>
    </row>
    <row r="7" spans="2:7" x14ac:dyDescent="0.3">
      <c r="B7" s="20" t="s">
        <v>571</v>
      </c>
      <c r="C7" s="221"/>
      <c r="D7" s="221"/>
      <c r="E7" s="221"/>
      <c r="F7" s="221"/>
      <c r="G7" s="51" t="s">
        <v>572</v>
      </c>
    </row>
    <row r="8" spans="2:7" x14ac:dyDescent="0.3">
      <c r="B8" s="20" t="s">
        <v>573</v>
      </c>
      <c r="C8" s="59"/>
      <c r="D8" s="59"/>
      <c r="E8" s="59"/>
      <c r="F8" s="59"/>
      <c r="G8" s="51" t="s">
        <v>574</v>
      </c>
    </row>
    <row r="9" spans="2:7" x14ac:dyDescent="0.3">
      <c r="B9" s="20" t="s">
        <v>575</v>
      </c>
      <c r="C9" s="62"/>
      <c r="D9" s="62"/>
      <c r="E9" s="62"/>
      <c r="F9" s="62"/>
      <c r="G9" s="51" t="s">
        <v>576</v>
      </c>
    </row>
    <row r="10" spans="2:7" x14ac:dyDescent="0.3">
      <c r="B10" s="20" t="s">
        <v>577</v>
      </c>
      <c r="C10" s="59"/>
      <c r="D10" s="59"/>
      <c r="E10" s="59"/>
      <c r="F10" s="59"/>
      <c r="G10" s="51" t="s">
        <v>578</v>
      </c>
    </row>
    <row r="12" spans="2:7" ht="15.6" x14ac:dyDescent="0.3">
      <c r="B12" s="3" t="s">
        <v>579</v>
      </c>
    </row>
    <row r="13" spans="2:7" x14ac:dyDescent="0.3">
      <c r="B13" s="40" t="s">
        <v>132</v>
      </c>
      <c r="C13" s="41" t="s">
        <v>108</v>
      </c>
      <c r="D13" s="41" t="s">
        <v>565</v>
      </c>
      <c r="E13" s="41" t="s">
        <v>566</v>
      </c>
      <c r="F13" s="41" t="s">
        <v>567</v>
      </c>
      <c r="G13" s="41" t="s">
        <v>568</v>
      </c>
    </row>
    <row r="14" spans="2:7" x14ac:dyDescent="0.3">
      <c r="B14" s="20" t="str">
        <f>"CY "&amp;nr_PlanYear&amp;" plan LR"</f>
        <v>CY 2027 plan LR</v>
      </c>
      <c r="C14" s="49">
        <f>nr_CYLR_P</f>
        <v>0.61816313641421827</v>
      </c>
      <c r="D14" s="222">
        <f>nr_LRcur*D16*D17*nr_AOther</f>
        <v>0.61219054572422571</v>
      </c>
      <c r="E14" s="222">
        <f>nr_LRcur*E16*E17*nr_AOther</f>
        <v>0.61816313641421827</v>
      </c>
      <c r="F14" s="222">
        <f>nr_LRcur*F16*F17*nr_AOther</f>
        <v>0.61816313641421827</v>
      </c>
      <c r="G14" s="222">
        <f>nr_LRcur*G16*G17*nr_AOther</f>
        <v>0.61816313641421827</v>
      </c>
    </row>
    <row r="15" spans="2:7" x14ac:dyDescent="0.3">
      <c r="B15" s="20" t="s">
        <v>580</v>
      </c>
      <c r="C15" s="82">
        <f>($C$14-$C$14)*100</f>
        <v>0</v>
      </c>
      <c r="D15" s="186">
        <f>(D14-$C$14)*100</f>
        <v>-0.59725906899925629</v>
      </c>
      <c r="E15" s="186">
        <f>(E14-$C$14)*100</f>
        <v>0</v>
      </c>
      <c r="F15" s="186">
        <f>(F14-$C$14)*100</f>
        <v>0</v>
      </c>
      <c r="G15" s="186">
        <f>(G14-$C$14)*100</f>
        <v>0</v>
      </c>
    </row>
    <row r="16" spans="2:7" x14ac:dyDescent="0.3">
      <c r="B16" s="20" t="s">
        <v>66</v>
      </c>
      <c r="C16" s="42">
        <f>nr_Arate_P</f>
        <v>0.97560975609756095</v>
      </c>
      <c r="D16" s="42">
        <f>nr_CRLind/_calc!$B$4099</f>
        <v>0.9661835748792269</v>
      </c>
      <c r="E16" s="42">
        <f>nr_CRLind/_calc!$B$4153</f>
        <v>0.97560975609756095</v>
      </c>
      <c r="F16" s="42">
        <f>nr_CRLind/_calc!$B$4207</f>
        <v>0.97560975609756095</v>
      </c>
      <c r="G16" s="42">
        <f>nr_CRLind/_calc!$B$4261</f>
        <v>0.97560975609756095</v>
      </c>
    </row>
    <row r="17" spans="2:7" x14ac:dyDescent="0.3">
      <c r="B17" s="20" t="s">
        <v>146</v>
      </c>
      <c r="C17" s="42">
        <f>nr_Amod_P</f>
        <v>0.97479571511472884</v>
      </c>
      <c r="D17" s="42">
        <f>IF(nr_NetMode,1,IF(AND(nr_ModAdjMaster="ON",nr_ModAdjRow="ON"),nr_MInd/_calc!$D$4099,1))</f>
        <v>0.97479571511472884</v>
      </c>
      <c r="E17" s="42">
        <f>IF(nr_NetMode,1,IF(AND(nr_ModAdjMaster="ON",nr_ModAdjRow="ON"),nr_MInd/_calc!$D$4153,1))</f>
        <v>0.97479571511472884</v>
      </c>
      <c r="F17" s="42">
        <f>IF(nr_NetMode,1,IF(AND(nr_ModAdjMaster="ON",nr_ModAdjRow="ON"),nr_MInd/_calc!$D$4207,1))</f>
        <v>0.97479571511472884</v>
      </c>
      <c r="G17" s="42">
        <f>IF(nr_NetMode,1,IF(AND(nr_ModAdjMaster="ON",nr_ModAdjRow="ON"),nr_MInd/_calc!$D$4261,1))</f>
        <v>0.97479571511472884</v>
      </c>
    </row>
    <row r="18" spans="2:7" x14ac:dyDescent="0.3">
      <c r="B18" s="20" t="s">
        <v>64</v>
      </c>
      <c r="C18" s="42">
        <f>nr_ECY_P</f>
        <v>1.1299600000000001</v>
      </c>
      <c r="D18" s="42">
        <f>_calc!$B$4099</f>
        <v>1.1409840000000002</v>
      </c>
      <c r="E18" s="42">
        <f>_calc!$B$4153</f>
        <v>1.1299600000000001</v>
      </c>
      <c r="F18" s="42">
        <f>_calc!$B$4207</f>
        <v>1.1299600000000001</v>
      </c>
      <c r="G18" s="42">
        <f>_calc!$B$4261</f>
        <v>1.1299600000000001</v>
      </c>
    </row>
    <row r="19" spans="2:7" x14ac:dyDescent="0.3">
      <c r="B19" s="20" t="str">
        <f>"Carryover into "&amp;(nr_PlanYear+1)</f>
        <v>Carryover into 2028</v>
      </c>
      <c r="C19" s="84">
        <f>nr_YoY_P1</f>
        <v>2.4390243902439046E-2</v>
      </c>
      <c r="D19" s="84">
        <f>_calc!$C$4099/_calc!$B$4099-1</f>
        <v>3.3816425120772653E-2</v>
      </c>
      <c r="E19" s="84">
        <f>_calc!$C$4153/_calc!$B$4153-1</f>
        <v>2.4390243902439046E-2</v>
      </c>
      <c r="F19" s="84">
        <f>_calc!$C$4207/_calc!$B$4207-1</f>
        <v>2.4390243902439046E-2</v>
      </c>
      <c r="G19" s="84">
        <f>_calc!$C$4261/_calc!$B$4261-1</f>
        <v>2.4390243902439046E-2</v>
      </c>
    </row>
    <row r="21" spans="2:7" ht="60" x14ac:dyDescent="0.3">
      <c r="B21" s="27" t="s">
        <v>581</v>
      </c>
    </row>
  </sheetData>
  <dataValidations count="5">
    <dataValidation type="decimal" allowBlank="1" showErrorMessage="1" error="Enter rate points as a decimal fraction in [-50%, +50%]." sqref="C6:F6" xr:uid="{00000000-0002-0000-0C00-000000000000}">
      <formula1>-0.5</formula1>
      <formula2>0.5</formula2>
    </dataValidation>
    <dataValidation type="whole" allowBlank="1" showErrorMessage="1" error="Shift is in whole months, -12..12." sqref="C7:F7" xr:uid="{00000000-0002-0000-0C00-000001000000}">
      <formula1>-12</formula1>
      <formula2>12</formula2>
    </dataValidation>
    <dataValidation type="decimal" allowBlank="1" showErrorMessage="1" error="Achievement lies in [0%, 150%]." sqref="C8:F8" xr:uid="{00000000-0002-0000-0C00-000002000000}">
      <formula1>0</formula1>
      <formula2>1.5</formula2>
    </dataValidation>
    <dataValidation type="decimal" allowBlank="1" showErrorMessage="1" error="Mod shift lies in [-0.5, +0.5]." sqref="C9:F9" xr:uid="{00000000-0002-0000-0C00-000003000000}">
      <formula1>-0.5</formula1>
      <formula2>0.5</formula2>
    </dataValidation>
    <dataValidation type="decimal" allowBlank="1" showErrorMessage="1" error="Net adjustment lies in [-50%, +50%]." sqref="C10:F10" xr:uid="{00000000-0002-0000-0C00-000004000000}">
      <formula1>-0.5</formula1>
      <formula2>0.5</formula2>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pageSetUpPr fitToPage="1"/>
  </sheetPr>
  <dimension ref="B2:L30"/>
  <sheetViews>
    <sheetView showGridLines="0" workbookViewId="0"/>
  </sheetViews>
  <sheetFormatPr defaultRowHeight="14.4" x14ac:dyDescent="0.3"/>
  <cols>
    <col min="1" max="1" width="2" customWidth="1"/>
    <col min="2" max="2" width="34" customWidth="1"/>
    <col min="3" max="5" width="13" customWidth="1"/>
    <col min="6" max="6" width="3" customWidth="1"/>
    <col min="7" max="7" width="12" customWidth="1"/>
    <col min="8" max="8" width="6" customWidth="1"/>
  </cols>
  <sheetData>
    <row r="2" spans="2:12" ht="21" x14ac:dyDescent="0.3">
      <c r="B2" s="1" t="s">
        <v>582</v>
      </c>
    </row>
    <row r="3" spans="2:12" x14ac:dyDescent="0.3">
      <c r="B3" s="6" t="s">
        <v>154</v>
      </c>
      <c r="D3" s="19" t="str">
        <f>HYPERLINK("#Control!A1","Control")</f>
        <v>Control</v>
      </c>
      <c r="F3" s="19" t="str">
        <f>HYPERLINK("#Inputs!A1","Inputs")</f>
        <v>Inputs</v>
      </c>
      <c r="H3" s="19" t="str">
        <f>HYPERLINK("#'Rate Log'!A1","Rate Log")</f>
        <v>Rate Log</v>
      </c>
      <c r="J3" s="19" t="str">
        <f>HYPERLINK("#Portfolio!A1","Portfolio")</f>
        <v>Portfolio</v>
      </c>
      <c r="L3" s="19" t="str">
        <f>HYPERLINK("#Checks!A1","Checks")</f>
        <v>Checks</v>
      </c>
    </row>
    <row r="4" spans="2:12" x14ac:dyDescent="0.3">
      <c r="C4" s="25" t="s">
        <v>583</v>
      </c>
      <c r="E4" s="25" t="s">
        <v>584</v>
      </c>
    </row>
    <row r="5" spans="2:12" x14ac:dyDescent="0.3">
      <c r="B5" s="20" t="s">
        <v>101</v>
      </c>
      <c r="C5" s="13" t="s">
        <v>102</v>
      </c>
      <c r="E5" s="13"/>
      <c r="G5" s="23" t="str">
        <f>IF(OR($C$5="",$C$6=""),"",$C$5&amp;"|"&amp;$C$6)</f>
        <v>ABD|AZ</v>
      </c>
      <c r="H5" s="43">
        <f>IF($G$5="",0,IF(COUNTIF(calc_key,$G$5)=0,0,MATCH($G$5,calc_key,0)))</f>
        <v>1</v>
      </c>
    </row>
    <row r="6" spans="2:12" x14ac:dyDescent="0.3">
      <c r="B6" s="20" t="s">
        <v>104</v>
      </c>
      <c r="C6" s="13" t="s">
        <v>105</v>
      </c>
      <c r="E6" s="13"/>
      <c r="G6" s="23" t="str">
        <f>IF(OR($E$5="",$E$6=""),"",$E$5&amp;"|"&amp;$E$6)</f>
        <v/>
      </c>
      <c r="H6" s="43">
        <f>IF($G$6="",0,IF(COUNTIF(calc_key,$G$6)=0,0,MATCH($G$6,calc_key,0)))</f>
        <v>0</v>
      </c>
    </row>
    <row r="8" spans="2:12" x14ac:dyDescent="0.3">
      <c r="B8" s="56" t="s">
        <v>132</v>
      </c>
      <c r="C8" s="56" t="str">
        <f>IF($G$5="","Combo A",$G$5)</f>
        <v>ABD|AZ</v>
      </c>
      <c r="D8" s="56" t="str">
        <f>IF($G$6="","Combo B",$G$6)</f>
        <v>Combo B</v>
      </c>
      <c r="E8" s="56" t="s">
        <v>585</v>
      </c>
    </row>
    <row r="9" spans="2:12" x14ac:dyDescent="0.3">
      <c r="B9" s="20" t="s">
        <v>257</v>
      </c>
      <c r="C9" s="118">
        <f>IF($H$5=0,"",N(INDEX(lr_lrproj,$H$5)))</f>
        <v>0.65</v>
      </c>
      <c r="D9" s="118" t="str">
        <f>IF($H$6=0,"",N(INDEX(lr_lrproj,$H$6)))</f>
        <v/>
      </c>
      <c r="E9" s="47" t="str">
        <f t="shared" ref="E9:E28" si="0">IF(OR($H$5=0,$H$6=0),"",IF(AND(ISNUMBER($C9),ISNUMBER($D9)),$D9-$C9,""))</f>
        <v/>
      </c>
    </row>
    <row r="10" spans="2:12" x14ac:dyDescent="0.3">
      <c r="B10" s="20" t="s">
        <v>142</v>
      </c>
      <c r="C10" s="118">
        <f>IF($H$5=0,"",INDEX(calc_lrcur,$H$5))</f>
        <v>0.65</v>
      </c>
      <c r="D10" s="118" t="str">
        <f>IF($H$6=0,"",INDEX(calc_lrcur,$H$6))</f>
        <v/>
      </c>
      <c r="E10" s="47" t="str">
        <f t="shared" si="0"/>
        <v/>
      </c>
    </row>
    <row r="11" spans="2:12" x14ac:dyDescent="0.3">
      <c r="B11" s="20" t="s">
        <v>166</v>
      </c>
      <c r="C11" s="106">
        <f>IF($H$5=0,"",N(INDEX(lr_mind,$H$5)))</f>
        <v>0.85</v>
      </c>
      <c r="D11" s="106" t="str">
        <f>IF($H$6=0,"",N(INDEX(lr_mind,$H$6)))</f>
        <v/>
      </c>
      <c r="E11" s="47" t="str">
        <f t="shared" si="0"/>
        <v/>
      </c>
    </row>
    <row r="12" spans="2:12" x14ac:dyDescent="0.3">
      <c r="B12" s="20" t="s">
        <v>586</v>
      </c>
      <c r="C12" s="106">
        <f>IF($H$5=0,"",N(INDEX(lr_m0,$H$5)))</f>
        <v>0.86</v>
      </c>
      <c r="D12" s="106" t="str">
        <f>IF($H$6=0,"",N(INDEX(lr_m0,$H$6)))</f>
        <v/>
      </c>
      <c r="E12" s="47" t="str">
        <f t="shared" si="0"/>
        <v/>
      </c>
    </row>
    <row r="13" spans="2:12" x14ac:dyDescent="0.3">
      <c r="B13" s="20" t="s">
        <v>430</v>
      </c>
      <c r="C13" s="106">
        <f>IF($H$5=0,"",N(INDEX(lr_m1,$H$5)))</f>
        <v>0.89</v>
      </c>
      <c r="D13" s="106" t="str">
        <f>IF($H$6=0,"",N(INDEX(lr_m1,$H$6)))</f>
        <v/>
      </c>
      <c r="E13" s="47" t="str">
        <f t="shared" si="0"/>
        <v/>
      </c>
    </row>
    <row r="14" spans="2:12" x14ac:dyDescent="0.3">
      <c r="B14" s="20" t="s">
        <v>62</v>
      </c>
      <c r="C14" s="113">
        <f>IF($H$5=0,"",INDEX(calc_crl,$H$5))</f>
        <v>1.1024</v>
      </c>
      <c r="D14" s="113" t="str">
        <f>IF($H$6=0,"",INDEX(calc_crl,$H$6))</f>
        <v/>
      </c>
      <c r="E14" s="47" t="str">
        <f t="shared" si="0"/>
        <v/>
      </c>
    </row>
    <row r="15" spans="2:12" x14ac:dyDescent="0.3">
      <c r="B15" s="20" t="s">
        <v>64</v>
      </c>
      <c r="C15" s="113">
        <f>IF($H$5=0,"",INDEX(calc_ecy_p,$H$5))</f>
        <v>1.1299600000000001</v>
      </c>
      <c r="D15" s="113" t="str">
        <f>IF($H$6=0,"",INDEX(calc_ecy_p,$H$6))</f>
        <v/>
      </c>
      <c r="E15" s="47" t="str">
        <f t="shared" si="0"/>
        <v/>
      </c>
    </row>
    <row r="16" spans="2:12" x14ac:dyDescent="0.3">
      <c r="B16" s="20" t="s">
        <v>66</v>
      </c>
      <c r="C16" s="113">
        <f>IF($H$5=0,"",INDEX(calc_arate_p,$H$5))</f>
        <v>0.97560975609756095</v>
      </c>
      <c r="D16" s="113" t="str">
        <f>IF($H$6=0,"",INDEX(calc_arate_p,$H$6))</f>
        <v/>
      </c>
      <c r="E16" s="47" t="str">
        <f t="shared" si="0"/>
        <v/>
      </c>
    </row>
    <row r="17" spans="2:5" x14ac:dyDescent="0.3">
      <c r="B17" s="20" t="s">
        <v>587</v>
      </c>
      <c r="C17" s="106">
        <f>IF($H$5=0,"",INDEX(calc_mbar_p,$H$5))</f>
        <v>0.87197757111597374</v>
      </c>
      <c r="D17" s="106" t="str">
        <f>IF($H$6=0,"",INDEX(calc_mbar_p,$H$6))</f>
        <v/>
      </c>
      <c r="E17" s="47" t="str">
        <f t="shared" si="0"/>
        <v/>
      </c>
    </row>
    <row r="18" spans="2:5" x14ac:dyDescent="0.3">
      <c r="B18" s="20" t="s">
        <v>146</v>
      </c>
      <c r="C18" s="113">
        <f>IF($H$5=0,"",INDEX(calc_amod_p,$H$5))</f>
        <v>0.97479571511472884</v>
      </c>
      <c r="D18" s="113" t="str">
        <f>IF($H$6=0,"",INDEX(calc_amod_p,$H$6))</f>
        <v/>
      </c>
      <c r="E18" s="47" t="str">
        <f t="shared" si="0"/>
        <v/>
      </c>
    </row>
    <row r="19" spans="2:5" x14ac:dyDescent="0.3">
      <c r="B19" s="20" t="s">
        <v>86</v>
      </c>
      <c r="C19" s="113">
        <f>IF($H$5=0,"",INDEX(calc_aother,$H$5))</f>
        <v>1</v>
      </c>
      <c r="D19" s="113" t="str">
        <f>IF($H$6=0,"",INDEX(calc_aother,$H$6))</f>
        <v/>
      </c>
      <c r="E19" s="47" t="str">
        <f t="shared" si="0"/>
        <v/>
      </c>
    </row>
    <row r="20" spans="2:5" x14ac:dyDescent="0.3">
      <c r="B20" s="25" t="str">
        <f>"CY "&amp;nr_PlanYear&amp;" PLAN LOSS RATIO"</f>
        <v>CY 2027 PLAN LOSS RATIO</v>
      </c>
      <c r="C20" s="134">
        <f>IF($H$5=0,"",INDEX(calc_cylr_p,$H$5))</f>
        <v>0.61816313641421827</v>
      </c>
      <c r="D20" s="134" t="str">
        <f>IF($H$6=0,"",INDEX(calc_cylr_p,$H$6))</f>
        <v/>
      </c>
      <c r="E20" s="47" t="str">
        <f t="shared" si="0"/>
        <v/>
      </c>
    </row>
    <row r="21" spans="2:5" x14ac:dyDescent="0.3">
      <c r="B21" s="20" t="s">
        <v>181</v>
      </c>
      <c r="C21" s="116">
        <f>IF($H$5=0,"",(INDEX(calc_cylr_p,$H$5)-INDEX(calc_lrcur,$H$5))*100)</f>
        <v>-3.1836863585781749</v>
      </c>
      <c r="D21" s="116" t="str">
        <f>IF($H$6=0,"",(INDEX(calc_cylr_p,$H$6)-INDEX(calc_lrcur,$H$6))*100)</f>
        <v/>
      </c>
      <c r="E21" s="47" t="str">
        <f t="shared" si="0"/>
        <v/>
      </c>
    </row>
    <row r="22" spans="2:5" x14ac:dyDescent="0.3">
      <c r="B22" s="20" t="s">
        <v>588</v>
      </c>
      <c r="C22" s="108">
        <f>IF($H$5=0,"",INDEX(calc_trend,$H$5))</f>
        <v>0</v>
      </c>
      <c r="D22" s="108" t="str">
        <f>IF($H$6=0,"",INDEX(calc_trend,$H$6))</f>
        <v/>
      </c>
      <c r="E22" s="47" t="str">
        <f t="shared" si="0"/>
        <v/>
      </c>
    </row>
    <row r="23" spans="2:5" x14ac:dyDescent="0.3">
      <c r="B23" s="20" t="s">
        <v>589</v>
      </c>
      <c r="C23" s="113">
        <f>IF($H$5=0,"",INDEX(calc_arate_p1,$H$5))</f>
        <v>0.95238095238095233</v>
      </c>
      <c r="D23" s="113" t="str">
        <f>IF($H$6=0,"",INDEX(calc_arate_p1,$H$6))</f>
        <v/>
      </c>
      <c r="E23" s="47" t="str">
        <f t="shared" si="0"/>
        <v/>
      </c>
    </row>
    <row r="24" spans="2:5" x14ac:dyDescent="0.3">
      <c r="B24" s="20" t="s">
        <v>590</v>
      </c>
      <c r="C24" s="113">
        <f>IF($H$5=0,"",INDEX(calc_amod_p1,$H$5))</f>
        <v>0.95615127267356836</v>
      </c>
      <c r="D24" s="113" t="str">
        <f>IF($H$6=0,"",INDEX(calc_amod_p1,$H$6))</f>
        <v/>
      </c>
      <c r="E24" s="47" t="str">
        <f t="shared" si="0"/>
        <v/>
      </c>
    </row>
    <row r="25" spans="2:5" x14ac:dyDescent="0.3">
      <c r="B25" s="20" t="str">
        <f>"CY "&amp;(nr_PlanYear+1)&amp;" plan LR (indicative)"</f>
        <v>CY 2028 plan LR (indicative)</v>
      </c>
      <c r="C25" s="134">
        <f>IF($H$5=0,"",INDEX(calc_cylr_p1,$H$5))</f>
        <v>0.59190316879792326</v>
      </c>
      <c r="D25" s="134" t="str">
        <f>IF($H$6=0,"",INDEX(calc_cylr_p1,$H$6))</f>
        <v/>
      </c>
      <c r="E25" s="47" t="str">
        <f t="shared" si="0"/>
        <v/>
      </c>
    </row>
    <row r="26" spans="2:5" x14ac:dyDescent="0.3">
      <c r="B26" s="20" t="s">
        <v>591</v>
      </c>
      <c r="C26" s="108">
        <f>IF($H$5=0,"",INDEX(calc_carry,$H$5))</f>
        <v>2.4390243902439046E-2</v>
      </c>
      <c r="D26" s="108" t="str">
        <f>IF($H$6=0,"",INDEX(calc_carry,$H$6))</f>
        <v/>
      </c>
      <c r="E26" s="47" t="str">
        <f t="shared" si="0"/>
        <v/>
      </c>
    </row>
    <row r="27" spans="2:5" x14ac:dyDescent="0.3">
      <c r="B27" s="20" t="s">
        <v>517</v>
      </c>
      <c r="C27" s="104">
        <f>IF($H$5=0,"",INDEX(calc_ep,$H$5))</f>
        <v>6400</v>
      </c>
      <c r="D27" s="104" t="str">
        <f>IF($H$6=0,"",INDEX(calc_ep,$H$6))</f>
        <v/>
      </c>
      <c r="E27" s="47" t="str">
        <f t="shared" si="0"/>
        <v/>
      </c>
    </row>
    <row r="28" spans="2:5" x14ac:dyDescent="0.3">
      <c r="B28" s="20" t="s">
        <v>438</v>
      </c>
      <c r="C28" s="108" t="str">
        <f>IF($H$5=0,"",IF(INDEX(calc_netmode,$H$5)=0,"—",INDEX(calc_netx,$H$5)))</f>
        <v>—</v>
      </c>
      <c r="D28" s="108" t="str">
        <f>IF($H$6=0,"",IF(INDEX(calc_netmode,$H$6)=0,"—",INDEX(calc_netx,$H$6)))</f>
        <v/>
      </c>
      <c r="E28" s="47" t="str">
        <f t="shared" si="0"/>
        <v/>
      </c>
    </row>
    <row r="30" spans="2:5" x14ac:dyDescent="0.3">
      <c r="B30" s="51" t="s">
        <v>592</v>
      </c>
    </row>
  </sheetData>
  <dataValidations count="2">
    <dataValidation type="list" allowBlank="1" sqref="C5 E5" xr:uid="{00000000-0002-0000-0D00-000000000000}">
      <formula1>lst_bu</formula1>
    </dataValidation>
    <dataValidation type="list" allowBlank="1" sqref="C6 E6" xr:uid="{00000000-0002-0000-0D00-000001000000}">
      <formula1>lst_state</formula1>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497B0"/>
    <pageSetUpPr fitToPage="1"/>
  </sheetPr>
  <dimension ref="B2:J42"/>
  <sheetViews>
    <sheetView showGridLines="0" workbookViewId="0"/>
  </sheetViews>
  <sheetFormatPr defaultRowHeight="14.4" x14ac:dyDescent="0.3"/>
  <cols>
    <col min="1" max="1" width="2" customWidth="1"/>
    <col min="2" max="2" width="38" customWidth="1"/>
    <col min="3" max="3" width="12" customWidth="1"/>
    <col min="4" max="4" width="30" customWidth="1"/>
    <col min="5" max="5" width="3" customWidth="1"/>
    <col min="6" max="6" width="30" customWidth="1"/>
    <col min="7" max="7" width="11" customWidth="1"/>
    <col min="8" max="8" width="13" customWidth="1"/>
  </cols>
  <sheetData>
    <row r="2" spans="2:7" ht="21" x14ac:dyDescent="0.3">
      <c r="B2" s="1" t="s">
        <v>593</v>
      </c>
    </row>
    <row r="3" spans="2:7" x14ac:dyDescent="0.3">
      <c r="B3" s="20" t="s">
        <v>594</v>
      </c>
      <c r="C3" s="184" t="str">
        <f>slv_key</f>
        <v>ABD|AZ</v>
      </c>
      <c r="E3" s="155" t="str">
        <f>HYPERLINK("#Control!C7","Change Control selection &gt;")</f>
        <v>Change Control selection &gt;</v>
      </c>
    </row>
    <row r="4" spans="2:7" ht="70.95" customHeight="1" x14ac:dyDescent="0.3">
      <c r="B4" s="20" t="s">
        <v>595</v>
      </c>
      <c r="C4" s="11" t="s">
        <v>244</v>
      </c>
      <c r="D4" s="28" t="s">
        <v>596</v>
      </c>
      <c r="F4" s="23" t="s">
        <v>597</v>
      </c>
      <c r="G4" s="6" t="str">
        <f>IF(UPPER($C$4)="N",$C$5&amp;"|"&amp;$D$5,nr_SelKey)</f>
        <v>ABD|AZ</v>
      </c>
    </row>
    <row r="5" spans="2:7" x14ac:dyDescent="0.3">
      <c r="B5" s="20" t="s">
        <v>598</v>
      </c>
      <c r="C5" s="13" t="s">
        <v>102</v>
      </c>
      <c r="D5" s="13" t="s">
        <v>105</v>
      </c>
      <c r="F5" s="23" t="s">
        <v>599</v>
      </c>
      <c r="G5" s="6" t="str">
        <f>IF(UPPER($C$4)="N",$D$5,nr_SelState)</f>
        <v>AZ</v>
      </c>
    </row>
    <row r="6" spans="2:7" ht="15.6" x14ac:dyDescent="0.3">
      <c r="B6" s="3" t="s">
        <v>600</v>
      </c>
    </row>
    <row r="7" spans="2:7" ht="48" x14ac:dyDescent="0.3">
      <c r="B7" s="20" t="str">
        <f>"Target CY "&amp;nr_PlanYear&amp;" loss ratio"</f>
        <v>Target CY 2027 loss ratio</v>
      </c>
      <c r="C7" s="29">
        <v>0.61816313641421827</v>
      </c>
      <c r="D7" s="27" t="s">
        <v>601</v>
      </c>
      <c r="F7" s="6" t="s">
        <v>602</v>
      </c>
      <c r="G7" s="75">
        <f>YEAR($C$8)*12+MONTH($C$8)-1</f>
        <v>24327</v>
      </c>
    </row>
    <row r="8" spans="2:7" x14ac:dyDescent="0.3">
      <c r="B8" s="20" t="s">
        <v>225</v>
      </c>
      <c r="C8" s="61">
        <v>46478</v>
      </c>
      <c r="F8" s="6" t="s">
        <v>603</v>
      </c>
      <c r="G8" s="74">
        <f>DATE(YEAR($C$8),MONTH($C$8),1)</f>
        <v>46478</v>
      </c>
    </row>
    <row r="9" spans="2:7" x14ac:dyDescent="0.3">
      <c r="B9" s="20" t="s">
        <v>604</v>
      </c>
      <c r="C9" s="29">
        <v>1</v>
      </c>
      <c r="F9" s="6" t="s">
        <v>605</v>
      </c>
      <c r="G9" s="74">
        <f>EOMONTH($C$8,0)</f>
        <v>46507</v>
      </c>
    </row>
    <row r="10" spans="2:7" x14ac:dyDescent="0.3">
      <c r="F10" s="6" t="s">
        <v>606</v>
      </c>
      <c r="G10" s="75">
        <f>$G$9-$G$8+1</f>
        <v>30</v>
      </c>
    </row>
    <row r="11" spans="2:7" x14ac:dyDescent="0.3">
      <c r="B11" s="20" t="s">
        <v>607</v>
      </c>
      <c r="C11" s="223">
        <f>SUMPRODUCT((slv_absmi&lt;$G$7)*slv_w*slv_ecp*slv_widx)+$G$18*(1-$G$15)*$G$16</f>
        <v>6.6144000000000007</v>
      </c>
      <c r="F11" s="6" t="s">
        <v>608</v>
      </c>
      <c r="G11" s="75">
        <f>$G$9-$C$8+1</f>
        <v>30</v>
      </c>
    </row>
    <row r="12" spans="2:7" x14ac:dyDescent="0.3">
      <c r="B12" s="20" t="s">
        <v>609</v>
      </c>
      <c r="C12" s="223">
        <f>SUMPRODUCT((slv_absmi&gt;$G$7)*slv_w*slv_ecp*slv_widx)+$G$18*$G$15*$G$17</f>
        <v>6.6144000000000007</v>
      </c>
      <c r="F12" s="6" t="s">
        <v>610</v>
      </c>
      <c r="G12" s="6" t="b">
        <f>AND($G$7&gt;=(nr_PlanYear-2)*12,$G$7&lt;=(nr_PlanYear+1)*12+11)</f>
        <v>1</v>
      </c>
    </row>
    <row r="13" spans="2:7" x14ac:dyDescent="0.3">
      <c r="B13" s="20" t="s">
        <v>611</v>
      </c>
      <c r="C13" s="223">
        <f>slv_den</f>
        <v>12</v>
      </c>
      <c r="F13" s="6" t="s">
        <v>612</v>
      </c>
      <c r="G13" s="75">
        <f>MIN(48,MAX(1,$G$7-(nr_PlanYear-2)*12+1))</f>
        <v>28</v>
      </c>
    </row>
    <row r="14" spans="2:7" x14ac:dyDescent="0.3">
      <c r="B14" s="20" t="s">
        <v>613</v>
      </c>
      <c r="C14" s="223">
        <f>slv_amod</f>
        <v>0.97479571511472884</v>
      </c>
      <c r="F14" s="6" t="s">
        <v>614</v>
      </c>
      <c r="G14" s="75">
        <f>IF($G$12,INDEX(slv_dfirst,$G$13),0)</f>
        <v>0</v>
      </c>
    </row>
    <row r="15" spans="2:7" x14ac:dyDescent="0.3">
      <c r="B15" s="20" t="s">
        <v>615</v>
      </c>
      <c r="C15" s="223">
        <f>IF(OR(slv_lrcur=0,$C$7=""),0,$C$7/(slv_lrcur*$C$14*slv_aother))</f>
        <v>0.97560975609756084</v>
      </c>
      <c r="F15" s="6" t="s">
        <v>616</v>
      </c>
      <c r="G15" s="224">
        <f>IF($G$12,MIN(1,MAX($G$11,$G$14)/$G$10),1)</f>
        <v>1</v>
      </c>
    </row>
    <row r="16" spans="2:7" x14ac:dyDescent="0.3">
      <c r="B16" s="20" t="s">
        <v>617</v>
      </c>
      <c r="C16" s="223">
        <f>IF($C$15=0,0,slv_crl/$C$15)</f>
        <v>1.1299600000000003</v>
      </c>
      <c r="F16" s="6" t="s">
        <v>618</v>
      </c>
      <c r="G16" s="73">
        <f>IF($G$12,INDEX(slv_wpre,$G$13),1)</f>
        <v>1.1024</v>
      </c>
    </row>
    <row r="17" spans="2:10" x14ac:dyDescent="0.3">
      <c r="B17" s="18" t="s">
        <v>619</v>
      </c>
      <c r="C17" s="225">
        <f>IF(OR($C$12=0,$C$16=0),"n/a",($C$16*$C$13-$C$11)/$C$12-1)</f>
        <v>5.0000000000000266E-2</v>
      </c>
      <c r="D17" s="78" t="str">
        <f>IF(ISNUMBER($C$17),IF(ABS($C$17)&gt;nr_SolvMaxRate,"WARNING: exceeds the reasonability bound","OK"),"no solvable rate at this date")</f>
        <v>OK</v>
      </c>
      <c r="F17" s="6" t="s">
        <v>620</v>
      </c>
      <c r="G17" s="73">
        <f>IF($G$12,INDEX(slv_weom,$G$13),1)</f>
        <v>1.1024</v>
      </c>
    </row>
    <row r="18" spans="2:10" x14ac:dyDescent="0.3">
      <c r="B18" s="20" t="s">
        <v>621</v>
      </c>
      <c r="C18" s="226">
        <f>IF(OR($C$9=0,NOT(ISNUMBER($C$17))),"n/a",$C$17/$C$9)</f>
        <v>5.0000000000000266E-2</v>
      </c>
      <c r="F18" s="6" t="s">
        <v>622</v>
      </c>
      <c r="G18" s="73">
        <f>IF($G$12,INDEX(slv_w,$G$13)*INDEX(slv_ecp,$G$13),0)</f>
        <v>1</v>
      </c>
    </row>
    <row r="19" spans="2:10" x14ac:dyDescent="0.3">
      <c r="B19" s="20" t="s">
        <v>623</v>
      </c>
      <c r="C19" s="227">
        <f>$C$12/($C$11+$C$12)</f>
        <v>0.5</v>
      </c>
      <c r="D19" s="78" t="str">
        <f>IF($C$19&lt;nr_SolvMinShare,"WARNING: only "&amp;TEXT($C$19,"0.0%")&amp;" of CY exposure sits on/after this date - late-year targets are mathematically absurd","OK")</f>
        <v>OK</v>
      </c>
      <c r="F19" s="6" t="s">
        <v>624</v>
      </c>
      <c r="G19" s="75">
        <f>IF(COUNTIF(calc_key,slv_key)=0,0,MATCH(slv_key,calc_key,0))</f>
        <v>1</v>
      </c>
    </row>
    <row r="20" spans="2:10" x14ac:dyDescent="0.3">
      <c r="F20" s="6" t="s">
        <v>625</v>
      </c>
      <c r="G20" s="73">
        <f>IF(slv_row=0,1,INDEX(calc_crl,slv_row))</f>
        <v>1.1024</v>
      </c>
    </row>
    <row r="21" spans="2:10" x14ac:dyDescent="0.3">
      <c r="B21" s="20" t="s">
        <v>626</v>
      </c>
      <c r="C21" s="59">
        <v>0.25</v>
      </c>
      <c r="F21" s="6" t="s">
        <v>627</v>
      </c>
      <c r="G21" s="72">
        <f>IF(slv_row=0,0,INDEX(calc_lrcur,slv_row))</f>
        <v>0.65</v>
      </c>
    </row>
    <row r="22" spans="2:10" x14ac:dyDescent="0.3">
      <c r="B22" s="20" t="s">
        <v>628</v>
      </c>
      <c r="C22" s="59">
        <v>0.05</v>
      </c>
      <c r="F22" s="6" t="s">
        <v>629</v>
      </c>
      <c r="G22" s="73">
        <f>IF(slv_row=0,1,INDEX(calc_amod_p,slv_row))</f>
        <v>0.97479571511472884</v>
      </c>
    </row>
    <row r="23" spans="2:10" x14ac:dyDescent="0.3">
      <c r="F23" s="6" t="s">
        <v>630</v>
      </c>
      <c r="G23" s="73">
        <f>IF(slv_row=0,1,INDEX(calc_aother,slv_row))</f>
        <v>1</v>
      </c>
    </row>
    <row r="24" spans="2:10" x14ac:dyDescent="0.3">
      <c r="B24" s="78" t="str">
        <f>IF(slv_row=0,"",IF(INDEX(calc_netmode,slv_row)=1,"NOTE: this combo carries a NET RATE SELECTION - Solver results describe the explicit-program counterfactual (planned rows + classic A_mod), not the net path (D39).",""))</f>
        <v/>
      </c>
    </row>
    <row r="25" spans="2:10" ht="15.6" x14ac:dyDescent="0.3">
      <c r="B25" s="3" t="s">
        <v>631</v>
      </c>
    </row>
    <row r="26" spans="2:10" ht="72" x14ac:dyDescent="0.3">
      <c r="B26" s="20" t="s">
        <v>632</v>
      </c>
      <c r="C26" s="29">
        <v>0.05</v>
      </c>
      <c r="D26" s="27" t="s">
        <v>633</v>
      </c>
    </row>
    <row r="28" spans="2:10" ht="72" x14ac:dyDescent="0.3">
      <c r="B28" s="56" t="s">
        <v>634</v>
      </c>
      <c r="C28" s="56" t="s">
        <v>391</v>
      </c>
      <c r="D28" s="56" t="s">
        <v>635</v>
      </c>
      <c r="E28" s="56" t="s">
        <v>636</v>
      </c>
      <c r="F28" s="56" t="s">
        <v>637</v>
      </c>
      <c r="G28" s="56" t="s">
        <v>638</v>
      </c>
      <c r="H28" s="56" t="s">
        <v>639</v>
      </c>
      <c r="I28" s="23" t="s">
        <v>640</v>
      </c>
      <c r="J28" s="23" t="s">
        <v>641</v>
      </c>
    </row>
    <row r="29" spans="2:10" x14ac:dyDescent="0.3">
      <c r="B29" s="89" t="str">
        <f>TEXT(DATE(nr_PlanYear,1,1),"mmm yyyy")</f>
        <v>Jan 2027</v>
      </c>
      <c r="C29" s="228">
        <f>DATE(nr_PlanYear,1,1)</f>
        <v>46388</v>
      </c>
      <c r="D29" s="42">
        <f>_calc!$T$4698</f>
        <v>3.3071999999999999</v>
      </c>
      <c r="E29" s="42">
        <f>slv_total-_calc!$T$4699+_calc!$U$4699</f>
        <v>9.921599999999998</v>
      </c>
      <c r="F29" s="50">
        <f t="shared" ref="F29:F40" si="0">($D29+(1+$C$26)*$E29)/slv_den</f>
        <v>1.14374</v>
      </c>
      <c r="G29" s="46">
        <f t="shared" ref="G29:G40" si="1">IF(slv_lrcur=0,0,slv_lrcur*(slv_crl/$F29)*$C$14*slv_aother)</f>
        <v>0.61071538778272183</v>
      </c>
      <c r="H29" s="89" t="str">
        <f t="shared" ref="H29:H40" si="2">IF($C$7="","-",IF($G29&lt;=$C$7,"YES","no"))</f>
        <v>YES</v>
      </c>
      <c r="I29" s="43">
        <f>IF($H29="YES",1,0)</f>
        <v>1</v>
      </c>
      <c r="J29" s="229">
        <f t="shared" ref="J29:J40" si="3">IF($C$7="","",$C$7)</f>
        <v>0.61816313641421827</v>
      </c>
    </row>
    <row r="30" spans="2:10" x14ac:dyDescent="0.3">
      <c r="B30" s="89" t="str">
        <f>TEXT(DATE(nr_PlanYear,2,1),"mmm yyyy")</f>
        <v>Feb 2027</v>
      </c>
      <c r="C30" s="228">
        <f>DATE(nr_PlanYear,2,1)</f>
        <v>46419</v>
      </c>
      <c r="D30" s="42">
        <f>_calc!$T$4699</f>
        <v>4.4096000000000002</v>
      </c>
      <c r="E30" s="42">
        <f>slv_total-_calc!$T$4700+_calc!$U$4700</f>
        <v>8.8191999999999986</v>
      </c>
      <c r="F30" s="50">
        <f t="shared" si="0"/>
        <v>1.1391466666666668</v>
      </c>
      <c r="G30" s="46">
        <f t="shared" si="1"/>
        <v>0.61317794983023266</v>
      </c>
      <c r="H30" s="89" t="str">
        <f t="shared" si="2"/>
        <v>YES</v>
      </c>
      <c r="I30" s="43">
        <f>IF($H30="YES",2,0)</f>
        <v>2</v>
      </c>
      <c r="J30" s="229">
        <f t="shared" si="3"/>
        <v>0.61816313641421827</v>
      </c>
    </row>
    <row r="31" spans="2:10" x14ac:dyDescent="0.3">
      <c r="B31" s="89" t="str">
        <f>TEXT(DATE(nr_PlanYear,3,1),"mmm yyyy")</f>
        <v>Mar 2027</v>
      </c>
      <c r="C31" s="228">
        <f>DATE(nr_PlanYear,3,1)</f>
        <v>46447</v>
      </c>
      <c r="D31" s="42">
        <f>_calc!$T$4700</f>
        <v>5.5120000000000005</v>
      </c>
      <c r="E31" s="42">
        <f>slv_total-_calc!$T$4701+_calc!$U$4701</f>
        <v>7.7167999999999992</v>
      </c>
      <c r="F31" s="50">
        <f t="shared" si="0"/>
        <v>1.1345533333333333</v>
      </c>
      <c r="G31" s="46">
        <f t="shared" si="1"/>
        <v>0.61566045165140781</v>
      </c>
      <c r="H31" s="89" t="str">
        <f t="shared" si="2"/>
        <v>YES</v>
      </c>
      <c r="I31" s="43">
        <f>IF($H31="YES",3,0)</f>
        <v>3</v>
      </c>
      <c r="J31" s="229">
        <f t="shared" si="3"/>
        <v>0.61816313641421827</v>
      </c>
    </row>
    <row r="32" spans="2:10" x14ac:dyDescent="0.3">
      <c r="B32" s="89" t="str">
        <f>TEXT(DATE(nr_PlanYear,4,1),"mmm yyyy")</f>
        <v>Apr 2027</v>
      </c>
      <c r="C32" s="228">
        <f>DATE(nr_PlanYear,4,1)</f>
        <v>46478</v>
      </c>
      <c r="D32" s="42">
        <f>_calc!$T$4701</f>
        <v>6.6144000000000007</v>
      </c>
      <c r="E32" s="42">
        <f>slv_total-_calc!$T$4702+_calc!$U$4702</f>
        <v>6.6143999999999989</v>
      </c>
      <c r="F32" s="50">
        <f t="shared" si="0"/>
        <v>1.1299599999999999</v>
      </c>
      <c r="G32" s="46">
        <f t="shared" si="1"/>
        <v>0.61816313641421838</v>
      </c>
      <c r="H32" s="89" t="str">
        <f t="shared" si="2"/>
        <v>YES</v>
      </c>
      <c r="I32" s="43">
        <f>IF($H32="YES",4,0)</f>
        <v>4</v>
      </c>
      <c r="J32" s="229">
        <f t="shared" si="3"/>
        <v>0.61816313641421827</v>
      </c>
    </row>
    <row r="33" spans="2:10" x14ac:dyDescent="0.3">
      <c r="B33" s="89" t="str">
        <f>TEXT(DATE(nr_PlanYear,5,1),"mmm yyyy")</f>
        <v>May 2027</v>
      </c>
      <c r="C33" s="228">
        <f>DATE(nr_PlanYear,5,1)</f>
        <v>46508</v>
      </c>
      <c r="D33" s="42">
        <f>_calc!$T$4702</f>
        <v>7.716800000000001</v>
      </c>
      <c r="E33" s="42">
        <f>slv_total-_calc!$T$4703+_calc!$U$4703</f>
        <v>5.5119999999999996</v>
      </c>
      <c r="F33" s="50">
        <f t="shared" si="0"/>
        <v>1.1253666666666666</v>
      </c>
      <c r="G33" s="46">
        <f t="shared" si="1"/>
        <v>0.62068625125672539</v>
      </c>
      <c r="H33" s="89" t="str">
        <f t="shared" si="2"/>
        <v>no</v>
      </c>
      <c r="I33" s="43">
        <f>IF($H33="YES",5,0)</f>
        <v>0</v>
      </c>
      <c r="J33" s="229">
        <f t="shared" si="3"/>
        <v>0.61816313641421827</v>
      </c>
    </row>
    <row r="34" spans="2:10" x14ac:dyDescent="0.3">
      <c r="B34" s="89" t="str">
        <f>TEXT(DATE(nr_PlanYear,6,1),"mmm yyyy")</f>
        <v>Jun 2027</v>
      </c>
      <c r="C34" s="228">
        <f>DATE(nr_PlanYear,6,1)</f>
        <v>46539</v>
      </c>
      <c r="D34" s="42">
        <f>_calc!$T$4703</f>
        <v>8.8192000000000004</v>
      </c>
      <c r="E34" s="42">
        <f>slv_total-_calc!$T$4704+_calc!$U$4704</f>
        <v>4.4096000000000002</v>
      </c>
      <c r="F34" s="50">
        <f t="shared" si="0"/>
        <v>1.1207733333333334</v>
      </c>
      <c r="G34" s="46">
        <f t="shared" si="1"/>
        <v>0.62323004736843324</v>
      </c>
      <c r="H34" s="89" t="str">
        <f t="shared" si="2"/>
        <v>no</v>
      </c>
      <c r="I34" s="43">
        <f>IF($H34="YES",6,0)</f>
        <v>0</v>
      </c>
      <c r="J34" s="229">
        <f t="shared" si="3"/>
        <v>0.61816313641421827</v>
      </c>
    </row>
    <row r="35" spans="2:10" x14ac:dyDescent="0.3">
      <c r="B35" s="89" t="str">
        <f>TEXT(DATE(nr_PlanYear,7,1),"mmm yyyy")</f>
        <v>Jul 2027</v>
      </c>
      <c r="C35" s="228">
        <f>DATE(nr_PlanYear,7,1)</f>
        <v>46569</v>
      </c>
      <c r="D35" s="42">
        <f>_calc!$T$4704</f>
        <v>9.9215999999999998</v>
      </c>
      <c r="E35" s="42">
        <f>slv_total-_calc!$T$4705+_calc!$U$4705</f>
        <v>3.3071999999999999</v>
      </c>
      <c r="F35" s="50">
        <f t="shared" si="0"/>
        <v>1.1161799999999999</v>
      </c>
      <c r="G35" s="46">
        <f t="shared" si="1"/>
        <v>0.62579478007365319</v>
      </c>
      <c r="H35" s="89" t="str">
        <f t="shared" si="2"/>
        <v>no</v>
      </c>
      <c r="I35" s="43">
        <f>IF($H35="YES",7,0)</f>
        <v>0</v>
      </c>
      <c r="J35" s="229">
        <f t="shared" si="3"/>
        <v>0.61816313641421827</v>
      </c>
    </row>
    <row r="36" spans="2:10" x14ac:dyDescent="0.3">
      <c r="B36" s="89" t="str">
        <f>TEXT(DATE(nr_PlanYear,8,1),"mmm yyyy")</f>
        <v>Aug 2027</v>
      </c>
      <c r="C36" s="228">
        <f>DATE(nr_PlanYear,8,1)</f>
        <v>46600</v>
      </c>
      <c r="D36" s="42">
        <f>_calc!$T$4705</f>
        <v>10.932133333333333</v>
      </c>
      <c r="E36" s="42">
        <f>slv_total-_calc!$T$4706+_calc!$U$4706</f>
        <v>2.2966666666666664</v>
      </c>
      <c r="F36" s="50">
        <f t="shared" si="0"/>
        <v>1.1119694444444443</v>
      </c>
      <c r="G36" s="46">
        <f t="shared" si="1"/>
        <v>0.62816439886222808</v>
      </c>
      <c r="H36" s="89" t="str">
        <f t="shared" si="2"/>
        <v>no</v>
      </c>
      <c r="I36" s="43">
        <f>IF($H36="YES",8,0)</f>
        <v>0</v>
      </c>
      <c r="J36" s="229">
        <f t="shared" si="3"/>
        <v>0.61816313641421827</v>
      </c>
    </row>
    <row r="37" spans="2:10" x14ac:dyDescent="0.3">
      <c r="B37" s="89" t="str">
        <f>TEXT(DATE(nr_PlanYear,9,1),"mmm yyyy")</f>
        <v>Sep 2027</v>
      </c>
      <c r="C37" s="228">
        <f>DATE(nr_PlanYear,9,1)</f>
        <v>46631</v>
      </c>
      <c r="D37" s="42">
        <f>_calc!$T$4706</f>
        <v>11.758933333333333</v>
      </c>
      <c r="E37" s="42">
        <f>slv_total-_calc!$T$4707+_calc!$U$4707</f>
        <v>1.4698666666666673</v>
      </c>
      <c r="F37" s="50">
        <f t="shared" si="0"/>
        <v>1.1085244444444446</v>
      </c>
      <c r="G37" s="46">
        <f t="shared" si="1"/>
        <v>0.63011656722885778</v>
      </c>
      <c r="H37" s="89" t="str">
        <f t="shared" si="2"/>
        <v>no</v>
      </c>
      <c r="I37" s="43">
        <f>IF($H37="YES",9,0)</f>
        <v>0</v>
      </c>
      <c r="J37" s="229">
        <f t="shared" si="3"/>
        <v>0.61816313641421827</v>
      </c>
    </row>
    <row r="38" spans="2:10" x14ac:dyDescent="0.3">
      <c r="B38" s="89" t="str">
        <f>TEXT(DATE(nr_PlanYear,10,1),"mmm yyyy")</f>
        <v>Oct 2027</v>
      </c>
      <c r="C38" s="228">
        <f>DATE(nr_PlanYear,10,1)</f>
        <v>46661</v>
      </c>
      <c r="D38" s="42">
        <f>_calc!$T$4707</f>
        <v>12.401999999999999</v>
      </c>
      <c r="E38" s="42">
        <f>slv_total-_calc!$T$4708+_calc!$U$4708</f>
        <v>0.82680000000000042</v>
      </c>
      <c r="F38" s="50">
        <f t="shared" si="0"/>
        <v>1.105845</v>
      </c>
      <c r="G38" s="46">
        <f t="shared" si="1"/>
        <v>0.6316433294201359</v>
      </c>
      <c r="H38" s="89" t="str">
        <f t="shared" si="2"/>
        <v>no</v>
      </c>
      <c r="I38" s="43">
        <f>IF($H38="YES",10,0)</f>
        <v>0</v>
      </c>
      <c r="J38" s="229">
        <f t="shared" si="3"/>
        <v>0.61816313641421827</v>
      </c>
    </row>
    <row r="39" spans="2:10" x14ac:dyDescent="0.3">
      <c r="B39" s="89" t="str">
        <f>TEXT(DATE(nr_PlanYear,11,1),"mmm yyyy")</f>
        <v>Nov 2027</v>
      </c>
      <c r="C39" s="228">
        <f>DATE(nr_PlanYear,11,1)</f>
        <v>46692</v>
      </c>
      <c r="D39" s="42">
        <f>_calc!$T$4708</f>
        <v>12.861333333333333</v>
      </c>
      <c r="E39" s="42">
        <f>slv_total-_calc!$T$4709+_calc!$U$4709</f>
        <v>0.36746666666666633</v>
      </c>
      <c r="F39" s="50">
        <f t="shared" si="0"/>
        <v>1.103931111111111</v>
      </c>
      <c r="G39" s="46">
        <f t="shared" si="1"/>
        <v>0.63273841147530252</v>
      </c>
      <c r="H39" s="89" t="str">
        <f t="shared" si="2"/>
        <v>no</v>
      </c>
      <c r="I39" s="43">
        <f>IF($H39="YES",11,0)</f>
        <v>0</v>
      </c>
      <c r="J39" s="229">
        <f t="shared" si="3"/>
        <v>0.61816313641421827</v>
      </c>
    </row>
    <row r="40" spans="2:10" x14ac:dyDescent="0.3">
      <c r="B40" s="89" t="str">
        <f>TEXT(DATE(nr_PlanYear,12,1),"mmm yyyy")</f>
        <v>Dec 2027</v>
      </c>
      <c r="C40" s="228">
        <f>DATE(nr_PlanYear,12,1)</f>
        <v>46722</v>
      </c>
      <c r="D40" s="42">
        <f>_calc!$T$4709</f>
        <v>13.136933333333333</v>
      </c>
      <c r="E40" s="42">
        <f>slv_total-_calc!$T$4710+_calc!$U$4710</f>
        <v>9.1866666666666666E-2</v>
      </c>
      <c r="F40" s="50">
        <f t="shared" si="0"/>
        <v>1.1027827777777779</v>
      </c>
      <c r="G40" s="46">
        <f t="shared" si="1"/>
        <v>0.63339728521165306</v>
      </c>
      <c r="H40" s="89" t="str">
        <f t="shared" si="2"/>
        <v>no</v>
      </c>
      <c r="I40" s="43">
        <f>IF($H40="YES",12,0)</f>
        <v>0</v>
      </c>
      <c r="J40" s="229">
        <f t="shared" si="3"/>
        <v>0.61816313641421827</v>
      </c>
    </row>
    <row r="42" spans="2:10" x14ac:dyDescent="0.3">
      <c r="B42" s="18" t="s">
        <v>642</v>
      </c>
      <c r="D42" s="230" t="str">
        <f>IF(MAX($I$29:$I$40)=0,"No start month meets the target",TEXT(DATE(nr_PlanYear,MAX($I$29:$I$40),1),"mmm yyyy"))</f>
        <v>Apr 2027</v>
      </c>
    </row>
  </sheetData>
  <dataValidations count="3">
    <dataValidation type="list" allowBlank="1" showErrorMessage="1" sqref="C4" xr:uid="{00000000-0002-0000-0E00-000000000000}">
      <formula1>"Y,N"</formula1>
    </dataValidation>
    <dataValidation type="list" allowBlank="1" showErrorMessage="1" sqref="C5" xr:uid="{00000000-0002-0000-0E00-000001000000}">
      <formula1>lst_bu</formula1>
    </dataValidation>
    <dataValidation type="list" allowBlank="1" showErrorMessage="1" sqref="D5" xr:uid="{00000000-0002-0000-0E00-000002000000}">
      <formula1>lst_state</formula1>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8497B0"/>
    <pageSetUpPr fitToPage="1"/>
  </sheetPr>
  <dimension ref="B2:F43"/>
  <sheetViews>
    <sheetView showGridLines="0" workbookViewId="0"/>
  </sheetViews>
  <sheetFormatPr defaultRowHeight="14.4" x14ac:dyDescent="0.3"/>
  <cols>
    <col min="1" max="1" width="2" customWidth="1"/>
    <col min="2" max="2" width="34" customWidth="1"/>
    <col min="3" max="3" width="14" customWidth="1"/>
    <col min="4" max="5" width="15" customWidth="1"/>
    <col min="6" max="6" width="14" customWidth="1"/>
  </cols>
  <sheetData>
    <row r="2" spans="2:6" ht="21" x14ac:dyDescent="0.3">
      <c r="B2" s="1" t="s">
        <v>643</v>
      </c>
    </row>
    <row r="3" spans="2:6" x14ac:dyDescent="0.3">
      <c r="B3" s="20" t="s">
        <v>381</v>
      </c>
      <c r="C3" s="184" t="str">
        <f>nr_SelKey</f>
        <v>ABD|AZ</v>
      </c>
      <c r="D3" s="155" t="str">
        <f>HYPERLINK("#Control!C7","Change BU/state selection &gt;")</f>
        <v>Change BU/state selection &gt;</v>
      </c>
      <c r="E3" s="78" t="str">
        <f>IF(nr_NetMode,"NOTE: this combo carries a NET RATE SELECTION - premium-side steps 1-3 are suspended (factors = 1) because rate and mods are merged in the net path; plan-vs-actual deviation flows to the residual (D39).","")</f>
        <v/>
      </c>
    </row>
    <row r="4" spans="2:6" x14ac:dyDescent="0.3">
      <c r="B4" s="231" t="str">
        <f>IF(N(att_actlr)=0,"AWAITING ACTUALS — enter the actual CY "&amp;nr_PlanYear&amp;" loss ratio below; the decomposition stays greyed until then.","")</f>
        <v>AWAITING ACTUALS — enter the actual CY 2027 loss ratio below; the decomposition stays greyed until then.</v>
      </c>
    </row>
    <row r="5" spans="2:6" ht="15.6" x14ac:dyDescent="0.3">
      <c r="B5" s="3" t="s">
        <v>644</v>
      </c>
    </row>
    <row r="6" spans="2:6" ht="48" x14ac:dyDescent="0.3">
      <c r="B6" s="20" t="s">
        <v>645</v>
      </c>
      <c r="C6" s="62"/>
      <c r="D6" s="27" t="s">
        <v>646</v>
      </c>
    </row>
    <row r="7" spans="2:6" x14ac:dyDescent="0.3">
      <c r="B7" s="20" t="s">
        <v>647</v>
      </c>
      <c r="C7" s="170"/>
    </row>
    <row r="8" spans="2:6" x14ac:dyDescent="0.3">
      <c r="B8" s="20" t="s">
        <v>648</v>
      </c>
      <c r="C8" s="62"/>
    </row>
    <row r="9" spans="2:6" x14ac:dyDescent="0.3">
      <c r="B9" s="20" t="s">
        <v>649</v>
      </c>
      <c r="C9" s="62"/>
    </row>
    <row r="10" spans="2:6" x14ac:dyDescent="0.3">
      <c r="B10" s="18" t="s">
        <v>650</v>
      </c>
      <c r="C10" s="29"/>
    </row>
    <row r="12" spans="2:6" ht="15.6" x14ac:dyDescent="0.3">
      <c r="B12" s="3" t="s">
        <v>651</v>
      </c>
    </row>
    <row r="13" spans="2:6" ht="28.8" x14ac:dyDescent="0.3">
      <c r="B13" s="56" t="s">
        <v>390</v>
      </c>
      <c r="C13" s="56" t="s">
        <v>652</v>
      </c>
      <c r="D13" s="56" t="s">
        <v>653</v>
      </c>
      <c r="E13" s="56" t="s">
        <v>654</v>
      </c>
      <c r="F13" s="56" t="s">
        <v>655</v>
      </c>
    </row>
    <row r="14" spans="2:6" x14ac:dyDescent="0.3">
      <c r="B14" s="187">
        <v>1</v>
      </c>
      <c r="C14" s="232">
        <f>IF(COUNTIF(_calc!$A$4268:$A$4507,1)=0,"",INDEX(rl_eff,MATCH(1,_calc!$A$4268:$A$4507,0)))</f>
        <v>46478</v>
      </c>
      <c r="D14" s="45">
        <f>IF($C14="","",INDEX(rl_reff,MATCH(1,_calc!$A$4268:$A$4507,0)))</f>
        <v>0.05</v>
      </c>
      <c r="E14" s="59"/>
      <c r="F14" s="170"/>
    </row>
    <row r="15" spans="2:6" x14ac:dyDescent="0.3">
      <c r="B15" s="187">
        <v>2</v>
      </c>
      <c r="C15" s="232" t="str">
        <f>IF(COUNTIF(_calc!$A$4268:$A$4507,2)=0,"",INDEX(rl_eff,MATCH(2,_calc!$A$4268:$A$4507,0)))</f>
        <v/>
      </c>
      <c r="D15" s="45" t="str">
        <f>IF($C15="","",INDEX(rl_reff,MATCH(2,_calc!$A$4268:$A$4507,0)))</f>
        <v/>
      </c>
      <c r="E15" s="59"/>
      <c r="F15" s="170"/>
    </row>
    <row r="16" spans="2:6" x14ac:dyDescent="0.3">
      <c r="B16" s="187">
        <v>3</v>
      </c>
      <c r="C16" s="232" t="str">
        <f>IF(COUNTIF(_calc!$A$4268:$A$4507,3)=0,"",INDEX(rl_eff,MATCH(3,_calc!$A$4268:$A$4507,0)))</f>
        <v/>
      </c>
      <c r="D16" s="45" t="str">
        <f>IF($C16="","",INDEX(rl_reff,MATCH(3,_calc!$A$4268:$A$4507,0)))</f>
        <v/>
      </c>
      <c r="E16" s="59"/>
      <c r="F16" s="170"/>
    </row>
    <row r="17" spans="2:6" x14ac:dyDescent="0.3">
      <c r="B17" s="187">
        <v>4</v>
      </c>
      <c r="C17" s="232" t="str">
        <f>IF(COUNTIF(_calc!$A$4268:$A$4507,4)=0,"",INDEX(rl_eff,MATCH(4,_calc!$A$4268:$A$4507,0)))</f>
        <v/>
      </c>
      <c r="D17" s="45" t="str">
        <f>IF($C17="","",INDEX(rl_reff,MATCH(4,_calc!$A$4268:$A$4507,0)))</f>
        <v/>
      </c>
      <c r="E17" s="59"/>
      <c r="F17" s="170"/>
    </row>
    <row r="18" spans="2:6" x14ac:dyDescent="0.3">
      <c r="B18" s="187">
        <v>5</v>
      </c>
      <c r="C18" s="232" t="str">
        <f>IF(COUNTIF(_calc!$A$4268:$A$4507,5)=0,"",INDEX(rl_eff,MATCH(5,_calc!$A$4268:$A$4507,0)))</f>
        <v/>
      </c>
      <c r="D18" s="45" t="str">
        <f>IF($C18="","",INDEX(rl_reff,MATCH(5,_calc!$A$4268:$A$4507,0)))</f>
        <v/>
      </c>
      <c r="E18" s="59"/>
      <c r="F18" s="170"/>
    </row>
    <row r="19" spans="2:6" x14ac:dyDescent="0.3">
      <c r="B19" s="187">
        <v>6</v>
      </c>
      <c r="C19" s="232" t="str">
        <f>IF(COUNTIF(_calc!$A$4268:$A$4507,6)=0,"",INDEX(rl_eff,MATCH(6,_calc!$A$4268:$A$4507,0)))</f>
        <v/>
      </c>
      <c r="D19" s="45" t="str">
        <f>IF($C19="","",INDEX(rl_reff,MATCH(6,_calc!$A$4268:$A$4507,0)))</f>
        <v/>
      </c>
      <c r="E19" s="59"/>
      <c r="F19" s="170"/>
    </row>
    <row r="20" spans="2:6" x14ac:dyDescent="0.3">
      <c r="B20" s="187">
        <v>7</v>
      </c>
      <c r="C20" s="232" t="str">
        <f>IF(COUNTIF(_calc!$A$4268:$A$4507,7)=0,"",INDEX(rl_eff,MATCH(7,_calc!$A$4268:$A$4507,0)))</f>
        <v/>
      </c>
      <c r="D20" s="45" t="str">
        <f>IF($C20="","",INDEX(rl_reff,MATCH(7,_calc!$A$4268:$A$4507,0)))</f>
        <v/>
      </c>
      <c r="E20" s="59"/>
      <c r="F20" s="170"/>
    </row>
    <row r="21" spans="2:6" x14ac:dyDescent="0.3">
      <c r="B21" s="187">
        <v>8</v>
      </c>
      <c r="C21" s="232" t="str">
        <f>IF(COUNTIF(_calc!$A$4268:$A$4507,8)=0,"",INDEX(rl_eff,MATCH(8,_calc!$A$4268:$A$4507,0)))</f>
        <v/>
      </c>
      <c r="D21" s="45" t="str">
        <f>IF($C21="","",INDEX(rl_reff,MATCH(8,_calc!$A$4268:$A$4507,0)))</f>
        <v/>
      </c>
      <c r="E21" s="59"/>
      <c r="F21" s="170"/>
    </row>
    <row r="23" spans="2:6" ht="15.6" x14ac:dyDescent="0.3">
      <c r="B23" s="3" t="s">
        <v>656</v>
      </c>
    </row>
    <row r="24" spans="2:6" x14ac:dyDescent="0.3">
      <c r="B24" s="56" t="s">
        <v>384</v>
      </c>
      <c r="C24" s="56" t="s">
        <v>657</v>
      </c>
      <c r="D24" s="56" t="s">
        <v>658</v>
      </c>
      <c r="E24" s="56" t="s">
        <v>384</v>
      </c>
    </row>
    <row r="25" spans="2:6" x14ac:dyDescent="0.3">
      <c r="B25" s="18" t="s">
        <v>659</v>
      </c>
      <c r="D25" s="222">
        <f>nr_CYLR_P</f>
        <v>0.61816313641421827</v>
      </c>
    </row>
    <row r="26" spans="2:6" x14ac:dyDescent="0.3">
      <c r="B26" s="20" t="s">
        <v>660</v>
      </c>
      <c r="C26" s="50">
        <f>IF(nr_NetMode,1,nr_ECY_P/_calc!$B$4561)</f>
        <v>1</v>
      </c>
      <c r="D26" s="46">
        <f>$D25*$C26</f>
        <v>0.61816313641421827</v>
      </c>
      <c r="E26" s="186">
        <f>($D26-$D25)*100</f>
        <v>0</v>
      </c>
    </row>
    <row r="27" spans="2:6" x14ac:dyDescent="0.3">
      <c r="B27" s="20" t="s">
        <v>661</v>
      </c>
      <c r="C27" s="50">
        <f>IF(nr_NetMode,1,_calc!$B$4561/_calc!$B$4615)</f>
        <v>1</v>
      </c>
      <c r="D27" s="46">
        <f>$D26*$C27</f>
        <v>0.61816313641421827</v>
      </c>
      <c r="E27" s="186">
        <f>($D27-$D26)*100</f>
        <v>0</v>
      </c>
    </row>
    <row r="28" spans="2:6" x14ac:dyDescent="0.3">
      <c r="B28" s="20" t="s">
        <v>662</v>
      </c>
      <c r="C28" s="50">
        <f>IF(nr_NetMode,1,IF(AND(nr_ModAdjMaster="ON",nr_ModAdjRow="ON"),nr_MEarned_P/_calc!$B$4669,1))</f>
        <v>1</v>
      </c>
      <c r="D28" s="46">
        <f>$D27*$C28</f>
        <v>0.61816313641421827</v>
      </c>
      <c r="E28" s="186">
        <f>($D28-$D27)*100</f>
        <v>0</v>
      </c>
    </row>
    <row r="29" spans="2:6" x14ac:dyDescent="0.3">
      <c r="B29" s="20" t="s">
        <v>663</v>
      </c>
      <c r="C29" s="50">
        <f>IF(N(att_actlr)=0,1,att_actlr/$D$28)</f>
        <v>1</v>
      </c>
      <c r="D29" s="46">
        <f>$D28*$C29</f>
        <v>0.61816313641421827</v>
      </c>
      <c r="E29" s="186">
        <f>($D29-$D28)*100</f>
        <v>0</v>
      </c>
    </row>
    <row r="30" spans="2:6" x14ac:dyDescent="0.3">
      <c r="B30" s="18" t="s">
        <v>664</v>
      </c>
      <c r="D30" s="92">
        <f>$D$29</f>
        <v>0.61816313641421827</v>
      </c>
    </row>
    <row r="32" spans="2:6" x14ac:dyDescent="0.3">
      <c r="B32" s="233" t="str">
        <f>IF(N(att_actlr)=0,"Enter the actual CY LR above to complete the residual step.",IF(ABS($D$25*$C$26*$C$27*$C$28*$C$29-att_actlr)&lt;0.0000001,"RECONCILES: factors multiply back to the actual CY LR.","DOES NOT RECONCILE - check inputs."))</f>
        <v>Enter the actual CY LR above to complete the residual step.</v>
      </c>
    </row>
    <row r="34" spans="2:6" ht="84" x14ac:dyDescent="0.3">
      <c r="B34" s="27" t="s">
        <v>665</v>
      </c>
    </row>
    <row r="36" spans="2:6" x14ac:dyDescent="0.3">
      <c r="B36" s="51" t="s">
        <v>412</v>
      </c>
    </row>
    <row r="37" spans="2:6" x14ac:dyDescent="0.3">
      <c r="B37" s="6" t="s">
        <v>384</v>
      </c>
      <c r="C37" s="6" t="s">
        <v>413</v>
      </c>
      <c r="D37" s="6" t="s">
        <v>414</v>
      </c>
      <c r="E37" s="6" t="s">
        <v>415</v>
      </c>
      <c r="F37" s="6" t="s">
        <v>416</v>
      </c>
    </row>
    <row r="38" spans="2:6" x14ac:dyDescent="0.3">
      <c r="B38" s="6" t="s">
        <v>659</v>
      </c>
      <c r="C38" s="72">
        <f>0</f>
        <v>0</v>
      </c>
      <c r="D38" s="72">
        <f>0</f>
        <v>0</v>
      </c>
      <c r="E38" s="72">
        <f>0</f>
        <v>0</v>
      </c>
      <c r="F38" s="72">
        <f>$D$25</f>
        <v>0.61816313641421827</v>
      </c>
    </row>
    <row r="39" spans="2:6" x14ac:dyDescent="0.3">
      <c r="B39" s="6" t="s">
        <v>666</v>
      </c>
      <c r="C39" s="72">
        <f>MIN($D$25,$D$26)</f>
        <v>0.61816313641421827</v>
      </c>
      <c r="D39" s="72">
        <f>MAX(0,$D$26-$D$25)</f>
        <v>0</v>
      </c>
      <c r="E39" s="72">
        <f>MAX(0,$D$25-$D$26)</f>
        <v>0</v>
      </c>
      <c r="F39" s="72">
        <f>0</f>
        <v>0</v>
      </c>
    </row>
    <row r="40" spans="2:6" x14ac:dyDescent="0.3">
      <c r="B40" s="6" t="s">
        <v>667</v>
      </c>
      <c r="C40" s="72">
        <f>MIN($D$26,$D$27)</f>
        <v>0.61816313641421827</v>
      </c>
      <c r="D40" s="72">
        <f>MAX(0,$D$27-$D$26)</f>
        <v>0</v>
      </c>
      <c r="E40" s="72">
        <f>MAX(0,$D$26-$D$27)</f>
        <v>0</v>
      </c>
      <c r="F40" s="72">
        <f>0</f>
        <v>0</v>
      </c>
    </row>
    <row r="41" spans="2:6" x14ac:dyDescent="0.3">
      <c r="B41" s="6" t="s">
        <v>668</v>
      </c>
      <c r="C41" s="72">
        <f>MIN($D$27,$D$28)</f>
        <v>0.61816313641421827</v>
      </c>
      <c r="D41" s="72">
        <f>MAX(0,$D$28-$D$27)</f>
        <v>0</v>
      </c>
      <c r="E41" s="72">
        <f>MAX(0,$D$27-$D$28)</f>
        <v>0</v>
      </c>
      <c r="F41" s="72">
        <f>0</f>
        <v>0</v>
      </c>
    </row>
    <row r="42" spans="2:6" x14ac:dyDescent="0.3">
      <c r="B42" s="6" t="s">
        <v>669</v>
      </c>
      <c r="C42" s="72">
        <f>MIN($D$28,$D$29)</f>
        <v>0.61816313641421827</v>
      </c>
      <c r="D42" s="72">
        <f>MAX(0,$D$29-$D$28)</f>
        <v>0</v>
      </c>
      <c r="E42" s="72">
        <f>MAX(0,$D$28-$D$29)</f>
        <v>0</v>
      </c>
      <c r="F42" s="72">
        <f>0</f>
        <v>0</v>
      </c>
    </row>
    <row r="43" spans="2:6" x14ac:dyDescent="0.3">
      <c r="B43" s="6" t="s">
        <v>664</v>
      </c>
      <c r="C43" s="72">
        <f>0</f>
        <v>0</v>
      </c>
      <c r="D43" s="72">
        <f>0</f>
        <v>0</v>
      </c>
      <c r="E43" s="72">
        <f>0</f>
        <v>0</v>
      </c>
      <c r="F43" s="72">
        <f>$D$30</f>
        <v>0.61816313641421827</v>
      </c>
    </row>
  </sheetData>
  <conditionalFormatting sqref="B25:E31">
    <cfRule type="expression" dxfId="10" priority="1">
      <formula>N(att_actlr)=0</formula>
    </cfRule>
  </conditionalFormatting>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8497B0"/>
    <pageSetUpPr fitToPage="1"/>
  </sheetPr>
  <dimension ref="A1:BG73"/>
  <sheetViews>
    <sheetView zoomScale="85" workbookViewId="0">
      <pane xSplit="8" ySplit="16" topLeftCell="I17" activePane="bottomRight" state="frozen"/>
      <selection pane="topRight"/>
      <selection pane="bottomLeft"/>
      <selection pane="bottomRight"/>
    </sheetView>
  </sheetViews>
  <sheetFormatPr defaultRowHeight="14.4" outlineLevelCol="1" x14ac:dyDescent="0.3"/>
  <cols>
    <col min="1" max="1" width="5" customWidth="1"/>
    <col min="2" max="3" width="11" customWidth="1"/>
    <col min="4" max="4" width="6" customWidth="1"/>
    <col min="5" max="5" width="5" customWidth="1"/>
    <col min="6" max="6" width="10" customWidth="1"/>
    <col min="7" max="7" width="8" customWidth="1"/>
    <col min="8" max="8" width="6" customWidth="1"/>
    <col min="9" max="10" width="9" customWidth="1" outlineLevel="1"/>
    <col min="11" max="11" width="6" customWidth="1" outlineLevel="1"/>
    <col min="12" max="12" width="10" customWidth="1" outlineLevel="1"/>
    <col min="13" max="13" width="7" customWidth="1" outlineLevel="1"/>
    <col min="14" max="15" width="9" customWidth="1"/>
    <col min="16" max="18" width="8" customWidth="1"/>
    <col min="19" max="21" width="9" customWidth="1"/>
    <col min="22" max="57" width="7.44140625" customWidth="1"/>
  </cols>
  <sheetData>
    <row r="1" spans="1:58" ht="21" x14ac:dyDescent="0.3">
      <c r="A1" s="1" t="s">
        <v>670</v>
      </c>
    </row>
    <row r="2" spans="1:58" x14ac:dyDescent="0.3">
      <c r="A2" s="2" t="s">
        <v>671</v>
      </c>
    </row>
    <row r="3" spans="1:58" x14ac:dyDescent="0.3">
      <c r="A3" s="20" t="s">
        <v>381</v>
      </c>
      <c r="B3" s="184" t="str">
        <f>nr_SelKey</f>
        <v>ABD|AZ</v>
      </c>
      <c r="D3" s="155" t="str">
        <f>HYPERLINK("#Control!C7","Change BU/state selection &gt;")</f>
        <v>Change BU/state selection &gt;</v>
      </c>
      <c r="H3" s="234" t="str">
        <f>IF(nr_NetMode,"NET RATE SELECTION ACTIVE: index, E_CY, and A_rate are the COMBINED rate x mod path from column U (A_mod = 1).","")</f>
        <v/>
      </c>
    </row>
    <row r="4" spans="1:58" ht="15.6" x14ac:dyDescent="0.3">
      <c r="A4" s="3" t="s">
        <v>672</v>
      </c>
    </row>
    <row r="5" spans="1:58" x14ac:dyDescent="0.3">
      <c r="A5" s="20" t="s">
        <v>673</v>
      </c>
      <c r="C5" s="223">
        <f>EXP(SUMPRODUCT((rl_key=nr_SelKey)*(rl_cons="Y")*rl_ln1p))</f>
        <v>1.1024</v>
      </c>
      <c r="E5" s="20" t="s">
        <v>674</v>
      </c>
      <c r="F5" s="235">
        <f>nr_TermMonths</f>
        <v>6</v>
      </c>
    </row>
    <row r="6" spans="1:58" x14ac:dyDescent="0.3">
      <c r="A6" s="20" t="str">
        <f>"CY "&amp;(nr_PlanYear-1)&amp;" earned rate level  E_CY(P-1)"</f>
        <v>CY 2026 earned rate level  E_CY(P-1)</v>
      </c>
      <c r="C6" s="223">
        <f>SUMPRODUCT($H$17:$H$64,$P$17:$P$64,$U$17:$U$64)/SUMPRODUCT($H$17:$H$64,$P$17:$P$64)</f>
        <v>1.0555999999999999</v>
      </c>
      <c r="E6" s="20" t="s">
        <v>675</v>
      </c>
      <c r="F6" s="236">
        <f>IF(COUNTIF(se_state,nr_SelState)=0,0,MATCH(nr_SelState,se_state,0))</f>
        <v>0</v>
      </c>
    </row>
    <row r="7" spans="1:58" x14ac:dyDescent="0.3">
      <c r="A7" s="20" t="str">
        <f>"CY "&amp;nr_PlanYear&amp;" earned rate level  E_CY(P)"</f>
        <v>CY 2027 earned rate level  E_CY(P)</v>
      </c>
      <c r="C7" s="237">
        <f>SUMPRODUCT($H$17:$H$64,$Q$17:$Q$64,$U$17:$U$64)/SUMPRODUCT($H$17:$H$64,$Q$17:$Q$64)</f>
        <v>1.1299600000000001</v>
      </c>
      <c r="E7" s="20" t="s">
        <v>676</v>
      </c>
      <c r="F7" s="238">
        <f>IF($F$6=0,0,INDEX(se_sum,$F$6))</f>
        <v>0</v>
      </c>
    </row>
    <row r="8" spans="1:58" x14ac:dyDescent="0.3">
      <c r="A8" s="20" t="str">
        <f>"CY "&amp;(nr_PlanYear+1)&amp;" earned rate level  E_CY(P+1)"</f>
        <v>CY 2028 earned rate level  E_CY(P+1)</v>
      </c>
      <c r="C8" s="223">
        <f>SUMPRODUCT($H$17:$H$64,$R$17:$R$64,$U$17:$U$64)/SUMPRODUCT($H$17:$H$64,$R$17:$R$64)</f>
        <v>1.1575200000000001</v>
      </c>
      <c r="E8" s="20" t="s">
        <v>677</v>
      </c>
      <c r="F8" s="239" t="b">
        <f>AND(nr_SeasonOn="ON",$F$6&gt;0,$F$7&gt;0)</f>
        <v>0</v>
      </c>
    </row>
    <row r="9" spans="1:58" x14ac:dyDescent="0.3">
      <c r="A9" s="20" t="str">
        <f>"Rate earn-in factor  A_rate("&amp;nr_PlanYear&amp;") = CRL / E_CY"</f>
        <v>Rate earn-in factor  A_rate(2027) = CRL / E_CY</v>
      </c>
      <c r="C9" s="237">
        <f>nr_CRLind/nr_ECY_P</f>
        <v>0.97560975609756095</v>
      </c>
      <c r="E9" s="20" t="s">
        <v>678</v>
      </c>
      <c r="F9" s="236">
        <f>(nr_PlanYear-1)*12</f>
        <v>24312</v>
      </c>
      <c r="G9" s="120">
        <f>$F$9+11</f>
        <v>24323</v>
      </c>
    </row>
    <row r="10" spans="1:58" x14ac:dyDescent="0.3">
      <c r="A10" s="20" t="str">
        <f>"Rate earn-in factor  A_rate("&amp;(nr_PlanYear+1)&amp;")"</f>
        <v>Rate earn-in factor  A_rate(2028)</v>
      </c>
      <c r="C10" s="223">
        <f>nr_CRLind/nr_ECY_P1</f>
        <v>0.95238095238095233</v>
      </c>
      <c r="E10" s="20" t="s">
        <v>679</v>
      </c>
      <c r="F10" s="236">
        <f>nr_PlanYear*12</f>
        <v>24324</v>
      </c>
      <c r="G10" s="120">
        <f>$F$10+11</f>
        <v>24335</v>
      </c>
    </row>
    <row r="11" spans="1:58" x14ac:dyDescent="0.3">
      <c r="A11" s="20" t="s">
        <v>680</v>
      </c>
      <c r="C11" s="240">
        <f>nr_ECY_P/nr_CRLind-1</f>
        <v>2.5000000000000133E-2</v>
      </c>
      <c r="E11" s="20" t="s">
        <v>681</v>
      </c>
      <c r="F11" s="236">
        <f>(nr_PlanYear+1)*12</f>
        <v>24336</v>
      </c>
      <c r="G11" s="120">
        <f>$F$11+11</f>
        <v>24347</v>
      </c>
    </row>
    <row r="12" spans="1:58" x14ac:dyDescent="0.3">
      <c r="A12" s="20" t="str">
        <f>"Earned rate chg "&amp;(nr_PlanYear-1)&amp;" -&gt; "&amp;nr_PlanYear</f>
        <v>Earned rate chg 2026 -&gt; 2027</v>
      </c>
      <c r="C12" s="240">
        <f>nr_ECY_P/nr_ECY_Pm1-1</f>
        <v>7.0443349753694706E-2</v>
      </c>
      <c r="E12" s="20" t="s">
        <v>682</v>
      </c>
      <c r="F12" s="223">
        <f>SUM(AH66:AS66)/SUM(AH67:AS67)</f>
        <v>1.1299599999999999</v>
      </c>
    </row>
    <row r="13" spans="1:58" x14ac:dyDescent="0.3">
      <c r="A13" s="20" t="str">
        <f>"Earned rate chg "&amp;nr_PlanYear&amp;" -&gt; "&amp;(nr_PlanYear+1)&amp;" (carryover + new)"</f>
        <v>Earned rate chg 2027 -&gt; 2028 (carryover + new)</v>
      </c>
      <c r="C13" s="240">
        <f>nr_ECY_P1/nr_ECY_P-1</f>
        <v>2.4390243902439046E-2</v>
      </c>
    </row>
    <row r="14" spans="1:58" x14ac:dyDescent="0.3">
      <c r="V14" s="234" t="s">
        <v>683</v>
      </c>
    </row>
    <row r="15" spans="1:58" ht="15.6" x14ac:dyDescent="0.3">
      <c r="A15" s="3" t="s">
        <v>684</v>
      </c>
      <c r="V15" s="43">
        <f>(nr_PlanYear-1)*12</f>
        <v>24312</v>
      </c>
      <c r="W15" s="43">
        <f t="shared" ref="W15:BE15" si="0">V15+1</f>
        <v>24313</v>
      </c>
      <c r="X15" s="43">
        <f t="shared" si="0"/>
        <v>24314</v>
      </c>
      <c r="Y15" s="43">
        <f t="shared" si="0"/>
        <v>24315</v>
      </c>
      <c r="Z15" s="43">
        <f t="shared" si="0"/>
        <v>24316</v>
      </c>
      <c r="AA15" s="43">
        <f t="shared" si="0"/>
        <v>24317</v>
      </c>
      <c r="AB15" s="43">
        <f t="shared" si="0"/>
        <v>24318</v>
      </c>
      <c r="AC15" s="43">
        <f t="shared" si="0"/>
        <v>24319</v>
      </c>
      <c r="AD15" s="43">
        <f t="shared" si="0"/>
        <v>24320</v>
      </c>
      <c r="AE15" s="43">
        <f t="shared" si="0"/>
        <v>24321</v>
      </c>
      <c r="AF15" s="43">
        <f t="shared" si="0"/>
        <v>24322</v>
      </c>
      <c r="AG15" s="43">
        <f t="shared" si="0"/>
        <v>24323</v>
      </c>
      <c r="AH15" s="43">
        <f t="shared" si="0"/>
        <v>24324</v>
      </c>
      <c r="AI15" s="43">
        <f t="shared" si="0"/>
        <v>24325</v>
      </c>
      <c r="AJ15" s="43">
        <f t="shared" si="0"/>
        <v>24326</v>
      </c>
      <c r="AK15" s="43">
        <f t="shared" si="0"/>
        <v>24327</v>
      </c>
      <c r="AL15" s="43">
        <f t="shared" si="0"/>
        <v>24328</v>
      </c>
      <c r="AM15" s="43">
        <f t="shared" si="0"/>
        <v>24329</v>
      </c>
      <c r="AN15" s="43">
        <f t="shared" si="0"/>
        <v>24330</v>
      </c>
      <c r="AO15" s="43">
        <f t="shared" si="0"/>
        <v>24331</v>
      </c>
      <c r="AP15" s="43">
        <f t="shared" si="0"/>
        <v>24332</v>
      </c>
      <c r="AQ15" s="43">
        <f t="shared" si="0"/>
        <v>24333</v>
      </c>
      <c r="AR15" s="43">
        <f t="shared" si="0"/>
        <v>24334</v>
      </c>
      <c r="AS15" s="43">
        <f t="shared" si="0"/>
        <v>24335</v>
      </c>
      <c r="AT15" s="43">
        <f t="shared" si="0"/>
        <v>24336</v>
      </c>
      <c r="AU15" s="43">
        <f t="shared" si="0"/>
        <v>24337</v>
      </c>
      <c r="AV15" s="43">
        <f t="shared" si="0"/>
        <v>24338</v>
      </c>
      <c r="AW15" s="43">
        <f t="shared" si="0"/>
        <v>24339</v>
      </c>
      <c r="AX15" s="43">
        <f t="shared" si="0"/>
        <v>24340</v>
      </c>
      <c r="AY15" s="43">
        <f t="shared" si="0"/>
        <v>24341</v>
      </c>
      <c r="AZ15" s="43">
        <f t="shared" si="0"/>
        <v>24342</v>
      </c>
      <c r="BA15" s="43">
        <f t="shared" si="0"/>
        <v>24343</v>
      </c>
      <c r="BB15" s="43">
        <f t="shared" si="0"/>
        <v>24344</v>
      </c>
      <c r="BC15" s="43">
        <f t="shared" si="0"/>
        <v>24345</v>
      </c>
      <c r="BD15" s="43">
        <f t="shared" si="0"/>
        <v>24346</v>
      </c>
      <c r="BE15" s="43">
        <f t="shared" si="0"/>
        <v>24347</v>
      </c>
    </row>
    <row r="16" spans="1:58" ht="42" customHeight="1" x14ac:dyDescent="0.3">
      <c r="A16" s="58" t="s">
        <v>390</v>
      </c>
      <c r="B16" s="58" t="s">
        <v>449</v>
      </c>
      <c r="C16" s="58" t="s">
        <v>685</v>
      </c>
      <c r="D16" s="58" t="s">
        <v>686</v>
      </c>
      <c r="E16" s="58" t="s">
        <v>687</v>
      </c>
      <c r="F16" s="58" t="s">
        <v>688</v>
      </c>
      <c r="G16" s="58" t="s">
        <v>689</v>
      </c>
      <c r="H16" s="58" t="s">
        <v>452</v>
      </c>
      <c r="I16" s="58" t="s">
        <v>690</v>
      </c>
      <c r="J16" s="58" t="s">
        <v>691</v>
      </c>
      <c r="K16" s="58" t="s">
        <v>692</v>
      </c>
      <c r="L16" s="58" t="s">
        <v>693</v>
      </c>
      <c r="M16" s="58" t="s">
        <v>694</v>
      </c>
      <c r="N16" s="58" t="s">
        <v>695</v>
      </c>
      <c r="O16" s="58" t="s">
        <v>696</v>
      </c>
      <c r="P16" s="58" t="s">
        <v>697</v>
      </c>
      <c r="Q16" s="58" t="s">
        <v>698</v>
      </c>
      <c r="R16" s="58" t="s">
        <v>699</v>
      </c>
      <c r="S16" s="58" t="s">
        <v>700</v>
      </c>
      <c r="T16" s="58" t="s">
        <v>701</v>
      </c>
      <c r="U16" s="58" t="s">
        <v>702</v>
      </c>
      <c r="V16" s="241">
        <f>DATE(nr_PlanYear-1,1,1)</f>
        <v>46023</v>
      </c>
      <c r="W16" s="241">
        <f t="shared" ref="W16:BE16" si="1">EDATE(V16,1)</f>
        <v>46054</v>
      </c>
      <c r="X16" s="241">
        <f t="shared" si="1"/>
        <v>46082</v>
      </c>
      <c r="Y16" s="241">
        <f t="shared" si="1"/>
        <v>46113</v>
      </c>
      <c r="Z16" s="241">
        <f t="shared" si="1"/>
        <v>46143</v>
      </c>
      <c r="AA16" s="241">
        <f t="shared" si="1"/>
        <v>46174</v>
      </c>
      <c r="AB16" s="241">
        <f t="shared" si="1"/>
        <v>46204</v>
      </c>
      <c r="AC16" s="241">
        <f t="shared" si="1"/>
        <v>46235</v>
      </c>
      <c r="AD16" s="241">
        <f t="shared" si="1"/>
        <v>46266</v>
      </c>
      <c r="AE16" s="241">
        <f t="shared" si="1"/>
        <v>46296</v>
      </c>
      <c r="AF16" s="241">
        <f t="shared" si="1"/>
        <v>46327</v>
      </c>
      <c r="AG16" s="241">
        <f t="shared" si="1"/>
        <v>46357</v>
      </c>
      <c r="AH16" s="241">
        <f t="shared" si="1"/>
        <v>46388</v>
      </c>
      <c r="AI16" s="241">
        <f t="shared" si="1"/>
        <v>46419</v>
      </c>
      <c r="AJ16" s="241">
        <f t="shared" si="1"/>
        <v>46447</v>
      </c>
      <c r="AK16" s="241">
        <f t="shared" si="1"/>
        <v>46478</v>
      </c>
      <c r="AL16" s="241">
        <f t="shared" si="1"/>
        <v>46508</v>
      </c>
      <c r="AM16" s="241">
        <f t="shared" si="1"/>
        <v>46539</v>
      </c>
      <c r="AN16" s="241">
        <f t="shared" si="1"/>
        <v>46569</v>
      </c>
      <c r="AO16" s="241">
        <f t="shared" si="1"/>
        <v>46600</v>
      </c>
      <c r="AP16" s="241">
        <f t="shared" si="1"/>
        <v>46631</v>
      </c>
      <c r="AQ16" s="241">
        <f t="shared" si="1"/>
        <v>46661</v>
      </c>
      <c r="AR16" s="241">
        <f t="shared" si="1"/>
        <v>46692</v>
      </c>
      <c r="AS16" s="241">
        <f t="shared" si="1"/>
        <v>46722</v>
      </c>
      <c r="AT16" s="241">
        <f t="shared" si="1"/>
        <v>46753</v>
      </c>
      <c r="AU16" s="241">
        <f t="shared" si="1"/>
        <v>46784</v>
      </c>
      <c r="AV16" s="241">
        <f t="shared" si="1"/>
        <v>46813</v>
      </c>
      <c r="AW16" s="241">
        <f t="shared" si="1"/>
        <v>46844</v>
      </c>
      <c r="AX16" s="241">
        <f t="shared" si="1"/>
        <v>46874</v>
      </c>
      <c r="AY16" s="241">
        <f t="shared" si="1"/>
        <v>46905</v>
      </c>
      <c r="AZ16" s="241">
        <f t="shared" si="1"/>
        <v>46935</v>
      </c>
      <c r="BA16" s="241">
        <f t="shared" si="1"/>
        <v>46966</v>
      </c>
      <c r="BB16" s="241">
        <f t="shared" si="1"/>
        <v>46997</v>
      </c>
      <c r="BC16" s="241">
        <f t="shared" si="1"/>
        <v>47027</v>
      </c>
      <c r="BD16" s="241">
        <f t="shared" si="1"/>
        <v>47058</v>
      </c>
      <c r="BE16" s="241">
        <f t="shared" si="1"/>
        <v>47088</v>
      </c>
      <c r="BF16" s="57" t="s">
        <v>703</v>
      </c>
    </row>
    <row r="17" spans="1:58" x14ac:dyDescent="0.3">
      <c r="A17" s="187">
        <v>1</v>
      </c>
      <c r="B17" s="242">
        <f>DATE(nr_PlanYear-2,1,1)</f>
        <v>45658</v>
      </c>
      <c r="C17" s="243">
        <f t="shared" ref="C17:C64" si="2">EOMONTH($B17,0)</f>
        <v>45688</v>
      </c>
      <c r="D17" s="120">
        <f t="shared" ref="D17:D64" si="3">$C17-$B17+1</f>
        <v>31</v>
      </c>
      <c r="E17" s="120">
        <f t="shared" ref="E17:E64" si="4">MONTH($B17)</f>
        <v>1</v>
      </c>
      <c r="F17" s="244">
        <f t="shared" ref="F17:F64" si="5">($B17+$C17+1)/2</f>
        <v>45673.5</v>
      </c>
      <c r="G17" s="120">
        <f t="shared" ref="G17:G64" si="6">YEAR($B17)*12+MONTH($B17)-1</f>
        <v>24300</v>
      </c>
      <c r="H17" s="245">
        <f t="shared" ref="H17:H64" si="7">IF(OR(nr_SeasonOn="OFF",$F$6=0,$F$7=0),1,12*INDEX(se_block,$F$6,$E17)/$F$7)</f>
        <v>1</v>
      </c>
      <c r="I17" s="121">
        <f t="shared" ref="I17:I64" si="8">EXP(SUMPRODUCT((rl_eff&lt;$B17)*(rl_key=nr_SelKey)*rl_ln1p))</f>
        <v>1</v>
      </c>
      <c r="J17" s="121">
        <f t="shared" ref="J17:J64" si="9">EXP(SUMPRODUCT((rl_eff&lt;=$C17)*(rl_key=nr_SelKey)*rl_ln1p))</f>
        <v>1</v>
      </c>
      <c r="K17" s="120">
        <f t="shared" ref="K17:K64" si="10">COUNTIFS(rl_key,nr_SelKey,rl_eff,"&gt;="&amp;$B17,rl_eff,"&lt;="&amp;$C17)</f>
        <v>0</v>
      </c>
      <c r="L17" s="120">
        <f t="shared" ref="L17:L64" si="11">SUMIFS(rl_daysafter,rl_key,nr_SelKey,rl_effmonth,$B17,rl_first,1)</f>
        <v>0</v>
      </c>
      <c r="M17" s="246">
        <f t="shared" ref="M17:M64" si="12">IF($K17=0,0,MIN(1,$L17/$D17))</f>
        <v>0</v>
      </c>
      <c r="N17" s="121">
        <f t="shared" ref="N17:N64" si="13">IF($K17=0,$J17,(1-$M17)*$I17+$M17*$J17)</f>
        <v>1</v>
      </c>
      <c r="O17" s="247">
        <f>'Mod Engine'!$E17</f>
        <v>0.81913566739606125</v>
      </c>
      <c r="P17" s="121">
        <f t="shared" ref="P17:P64" si="14">MIN(1,MAX(0,(nr_MEndPm1-$G17+0.5)/$F$5))-MIN(1,MAX(0,(nr_MStartPm1-1-$G17+0.5)/$F$5))</f>
        <v>0</v>
      </c>
      <c r="Q17" s="121">
        <f t="shared" ref="Q17:Q64" si="15">MIN(1,MAX(0,(nr_MEndP-$G17+0.5)/$F$5))-MIN(1,MAX(0,(nr_MStartP-1-$G17+0.5)/$F$5))</f>
        <v>0</v>
      </c>
      <c r="R17" s="121">
        <f t="shared" ref="R17:R64" si="16">MIN(1,MAX(0,(nr_MEndP1-$G17+0.5)/$F$5))-MIN(1,MAX(0,(nr_MStartP1-1-$G17+0.5)/$F$5))</f>
        <v>0</v>
      </c>
      <c r="S17" s="121" t="str">
        <f t="shared" ref="S17:S64" si="17">IF(nr_NetMode,$N17*IF(nr_ModAdjEff="ON",$O17/nr_MInd,1),"")</f>
        <v/>
      </c>
      <c r="T17" s="121" t="str">
        <f t="shared" ref="T17:T64" si="18">IF(NOT(nr_NetMode),"",IF($G17&lt;nr_MStartP,$S17,$T5*(1+IF($G17&lt;nr_MStartP1,nr_NetSelP,nr_NetSelP1))))</f>
        <v/>
      </c>
      <c r="U17" s="121">
        <f t="shared" ref="U17:U64" si="19">IF(nr_NetMode,$T17,$N17)</f>
        <v>1</v>
      </c>
      <c r="V17" s="220">
        <f t="shared" ref="V17:AE26" si="20">IF(OR(V$15&lt;$G17,V$15&gt;$G17+$F$5),0,IF(OR(V$15=$G17,V$15=$G17+$F$5),0.5,1)/$F$5)</f>
        <v>0</v>
      </c>
      <c r="W17" s="220">
        <f t="shared" si="20"/>
        <v>0</v>
      </c>
      <c r="X17" s="220">
        <f t="shared" si="20"/>
        <v>0</v>
      </c>
      <c r="Y17" s="220">
        <f t="shared" si="20"/>
        <v>0</v>
      </c>
      <c r="Z17" s="220">
        <f t="shared" si="20"/>
        <v>0</v>
      </c>
      <c r="AA17" s="220">
        <f t="shared" si="20"/>
        <v>0</v>
      </c>
      <c r="AB17" s="220">
        <f t="shared" si="20"/>
        <v>0</v>
      </c>
      <c r="AC17" s="220">
        <f t="shared" si="20"/>
        <v>0</v>
      </c>
      <c r="AD17" s="220">
        <f t="shared" si="20"/>
        <v>0</v>
      </c>
      <c r="AE17" s="220">
        <f t="shared" si="20"/>
        <v>0</v>
      </c>
      <c r="AF17" s="220">
        <f t="shared" ref="AF17:AO26" si="21">IF(OR(AF$15&lt;$G17,AF$15&gt;$G17+$F$5),0,IF(OR(AF$15=$G17,AF$15=$G17+$F$5),0.5,1)/$F$5)</f>
        <v>0</v>
      </c>
      <c r="AG17" s="220">
        <f t="shared" si="21"/>
        <v>0</v>
      </c>
      <c r="AH17" s="220">
        <f t="shared" si="21"/>
        <v>0</v>
      </c>
      <c r="AI17" s="220">
        <f t="shared" si="21"/>
        <v>0</v>
      </c>
      <c r="AJ17" s="220">
        <f t="shared" si="21"/>
        <v>0</v>
      </c>
      <c r="AK17" s="220">
        <f t="shared" si="21"/>
        <v>0</v>
      </c>
      <c r="AL17" s="220">
        <f t="shared" si="21"/>
        <v>0</v>
      </c>
      <c r="AM17" s="220">
        <f t="shared" si="21"/>
        <v>0</v>
      </c>
      <c r="AN17" s="220">
        <f t="shared" si="21"/>
        <v>0</v>
      </c>
      <c r="AO17" s="220">
        <f t="shared" si="21"/>
        <v>0</v>
      </c>
      <c r="AP17" s="220">
        <f t="shared" ref="AP17:AY26" si="22">IF(OR(AP$15&lt;$G17,AP$15&gt;$G17+$F$5),0,IF(OR(AP$15=$G17,AP$15=$G17+$F$5),0.5,1)/$F$5)</f>
        <v>0</v>
      </c>
      <c r="AQ17" s="220">
        <f t="shared" si="22"/>
        <v>0</v>
      </c>
      <c r="AR17" s="220">
        <f t="shared" si="22"/>
        <v>0</v>
      </c>
      <c r="AS17" s="220">
        <f t="shared" si="22"/>
        <v>0</v>
      </c>
      <c r="AT17" s="220">
        <f t="shared" si="22"/>
        <v>0</v>
      </c>
      <c r="AU17" s="220">
        <f t="shared" si="22"/>
        <v>0</v>
      </c>
      <c r="AV17" s="220">
        <f t="shared" si="22"/>
        <v>0</v>
      </c>
      <c r="AW17" s="220">
        <f t="shared" si="22"/>
        <v>0</v>
      </c>
      <c r="AX17" s="220">
        <f t="shared" si="22"/>
        <v>0</v>
      </c>
      <c r="AY17" s="220">
        <f t="shared" si="22"/>
        <v>0</v>
      </c>
      <c r="AZ17" s="220">
        <f t="shared" ref="AZ17:BE26" si="23">IF(OR(AZ$15&lt;$G17,AZ$15&gt;$G17+$F$5),0,IF(OR(AZ$15=$G17,AZ$15=$G17+$F$5),0.5,1)/$F$5)</f>
        <v>0</v>
      </c>
      <c r="BA17" s="220">
        <f t="shared" si="23"/>
        <v>0</v>
      </c>
      <c r="BB17" s="220">
        <f t="shared" si="23"/>
        <v>0</v>
      </c>
      <c r="BC17" s="220">
        <f t="shared" si="23"/>
        <v>0</v>
      </c>
      <c r="BD17" s="220">
        <f t="shared" si="23"/>
        <v>0</v>
      </c>
      <c r="BE17" s="220">
        <f t="shared" si="23"/>
        <v>0</v>
      </c>
      <c r="BF17" s="248">
        <f t="shared" ref="BF17:BF64" si="24">IF(OR($G17&lt;V$15,$G17+$F$5&gt;BE$15),0,ABS(SUM(V17:BE17)-1))</f>
        <v>0</v>
      </c>
    </row>
    <row r="18" spans="1:58" x14ac:dyDescent="0.3">
      <c r="A18" s="187">
        <v>2</v>
      </c>
      <c r="B18" s="242">
        <f t="shared" ref="B18:B64" si="25">EDATE($B17,1)</f>
        <v>45689</v>
      </c>
      <c r="C18" s="243">
        <f t="shared" si="2"/>
        <v>45716</v>
      </c>
      <c r="D18" s="120">
        <f t="shared" si="3"/>
        <v>28</v>
      </c>
      <c r="E18" s="120">
        <f t="shared" si="4"/>
        <v>2</v>
      </c>
      <c r="F18" s="244">
        <f t="shared" si="5"/>
        <v>45703</v>
      </c>
      <c r="G18" s="120">
        <f t="shared" si="6"/>
        <v>24301</v>
      </c>
      <c r="H18" s="245">
        <f t="shared" si="7"/>
        <v>1</v>
      </c>
      <c r="I18" s="121">
        <f t="shared" si="8"/>
        <v>1</v>
      </c>
      <c r="J18" s="121">
        <f t="shared" si="9"/>
        <v>1</v>
      </c>
      <c r="K18" s="120">
        <f t="shared" si="10"/>
        <v>0</v>
      </c>
      <c r="L18" s="120">
        <f t="shared" si="11"/>
        <v>0</v>
      </c>
      <c r="M18" s="246">
        <f t="shared" si="12"/>
        <v>0</v>
      </c>
      <c r="N18" s="121">
        <f t="shared" si="13"/>
        <v>1</v>
      </c>
      <c r="O18" s="247">
        <f>'Mod Engine'!$E18</f>
        <v>0.82107221006564546</v>
      </c>
      <c r="P18" s="121">
        <f t="shared" si="14"/>
        <v>0</v>
      </c>
      <c r="Q18" s="121">
        <f t="shared" si="15"/>
        <v>0</v>
      </c>
      <c r="R18" s="121">
        <f t="shared" si="16"/>
        <v>0</v>
      </c>
      <c r="S18" s="121" t="str">
        <f t="shared" si="17"/>
        <v/>
      </c>
      <c r="T18" s="121" t="str">
        <f t="shared" si="18"/>
        <v/>
      </c>
      <c r="U18" s="121">
        <f t="shared" si="19"/>
        <v>1</v>
      </c>
      <c r="V18" s="220">
        <f t="shared" si="20"/>
        <v>0</v>
      </c>
      <c r="W18" s="220">
        <f t="shared" si="20"/>
        <v>0</v>
      </c>
      <c r="X18" s="220">
        <f t="shared" si="20"/>
        <v>0</v>
      </c>
      <c r="Y18" s="220">
        <f t="shared" si="20"/>
        <v>0</v>
      </c>
      <c r="Z18" s="220">
        <f t="shared" si="20"/>
        <v>0</v>
      </c>
      <c r="AA18" s="220">
        <f t="shared" si="20"/>
        <v>0</v>
      </c>
      <c r="AB18" s="220">
        <f t="shared" si="20"/>
        <v>0</v>
      </c>
      <c r="AC18" s="220">
        <f t="shared" si="20"/>
        <v>0</v>
      </c>
      <c r="AD18" s="220">
        <f t="shared" si="20"/>
        <v>0</v>
      </c>
      <c r="AE18" s="220">
        <f t="shared" si="20"/>
        <v>0</v>
      </c>
      <c r="AF18" s="220">
        <f t="shared" si="21"/>
        <v>0</v>
      </c>
      <c r="AG18" s="220">
        <f t="shared" si="21"/>
        <v>0</v>
      </c>
      <c r="AH18" s="220">
        <f t="shared" si="21"/>
        <v>0</v>
      </c>
      <c r="AI18" s="220">
        <f t="shared" si="21"/>
        <v>0</v>
      </c>
      <c r="AJ18" s="220">
        <f t="shared" si="21"/>
        <v>0</v>
      </c>
      <c r="AK18" s="220">
        <f t="shared" si="21"/>
        <v>0</v>
      </c>
      <c r="AL18" s="220">
        <f t="shared" si="21"/>
        <v>0</v>
      </c>
      <c r="AM18" s="220">
        <f t="shared" si="21"/>
        <v>0</v>
      </c>
      <c r="AN18" s="220">
        <f t="shared" si="21"/>
        <v>0</v>
      </c>
      <c r="AO18" s="220">
        <f t="shared" si="21"/>
        <v>0</v>
      </c>
      <c r="AP18" s="220">
        <f t="shared" si="22"/>
        <v>0</v>
      </c>
      <c r="AQ18" s="220">
        <f t="shared" si="22"/>
        <v>0</v>
      </c>
      <c r="AR18" s="220">
        <f t="shared" si="22"/>
        <v>0</v>
      </c>
      <c r="AS18" s="220">
        <f t="shared" si="22"/>
        <v>0</v>
      </c>
      <c r="AT18" s="220">
        <f t="shared" si="22"/>
        <v>0</v>
      </c>
      <c r="AU18" s="220">
        <f t="shared" si="22"/>
        <v>0</v>
      </c>
      <c r="AV18" s="220">
        <f t="shared" si="22"/>
        <v>0</v>
      </c>
      <c r="AW18" s="220">
        <f t="shared" si="22"/>
        <v>0</v>
      </c>
      <c r="AX18" s="220">
        <f t="shared" si="22"/>
        <v>0</v>
      </c>
      <c r="AY18" s="220">
        <f t="shared" si="22"/>
        <v>0</v>
      </c>
      <c r="AZ18" s="220">
        <f t="shared" si="23"/>
        <v>0</v>
      </c>
      <c r="BA18" s="220">
        <f t="shared" si="23"/>
        <v>0</v>
      </c>
      <c r="BB18" s="220">
        <f t="shared" si="23"/>
        <v>0</v>
      </c>
      <c r="BC18" s="220">
        <f t="shared" si="23"/>
        <v>0</v>
      </c>
      <c r="BD18" s="220">
        <f t="shared" si="23"/>
        <v>0</v>
      </c>
      <c r="BE18" s="220">
        <f t="shared" si="23"/>
        <v>0</v>
      </c>
      <c r="BF18" s="248">
        <f t="shared" si="24"/>
        <v>0</v>
      </c>
    </row>
    <row r="19" spans="1:58" x14ac:dyDescent="0.3">
      <c r="A19" s="187">
        <v>3</v>
      </c>
      <c r="B19" s="242">
        <f t="shared" si="25"/>
        <v>45717</v>
      </c>
      <c r="C19" s="243">
        <f t="shared" si="2"/>
        <v>45747</v>
      </c>
      <c r="D19" s="120">
        <f t="shared" si="3"/>
        <v>31</v>
      </c>
      <c r="E19" s="120">
        <f t="shared" si="4"/>
        <v>3</v>
      </c>
      <c r="F19" s="244">
        <f t="shared" si="5"/>
        <v>45732.5</v>
      </c>
      <c r="G19" s="120">
        <f t="shared" si="6"/>
        <v>24302</v>
      </c>
      <c r="H19" s="245">
        <f t="shared" si="7"/>
        <v>1</v>
      </c>
      <c r="I19" s="121">
        <f t="shared" si="8"/>
        <v>1</v>
      </c>
      <c r="J19" s="121">
        <f t="shared" si="9"/>
        <v>1</v>
      </c>
      <c r="K19" s="120">
        <f t="shared" si="10"/>
        <v>0</v>
      </c>
      <c r="L19" s="120">
        <f t="shared" si="11"/>
        <v>0</v>
      </c>
      <c r="M19" s="246">
        <f t="shared" si="12"/>
        <v>0</v>
      </c>
      <c r="N19" s="121">
        <f t="shared" si="13"/>
        <v>1</v>
      </c>
      <c r="O19" s="247">
        <f>'Mod Engine'!$E19</f>
        <v>0.82300875273522978</v>
      </c>
      <c r="P19" s="121">
        <f t="shared" si="14"/>
        <v>0</v>
      </c>
      <c r="Q19" s="121">
        <f t="shared" si="15"/>
        <v>0</v>
      </c>
      <c r="R19" s="121">
        <f t="shared" si="16"/>
        <v>0</v>
      </c>
      <c r="S19" s="121" t="str">
        <f t="shared" si="17"/>
        <v/>
      </c>
      <c r="T19" s="121" t="str">
        <f t="shared" si="18"/>
        <v/>
      </c>
      <c r="U19" s="121">
        <f t="shared" si="19"/>
        <v>1</v>
      </c>
      <c r="V19" s="220">
        <f t="shared" si="20"/>
        <v>0</v>
      </c>
      <c r="W19" s="220">
        <f t="shared" si="20"/>
        <v>0</v>
      </c>
      <c r="X19" s="220">
        <f t="shared" si="20"/>
        <v>0</v>
      </c>
      <c r="Y19" s="220">
        <f t="shared" si="20"/>
        <v>0</v>
      </c>
      <c r="Z19" s="220">
        <f t="shared" si="20"/>
        <v>0</v>
      </c>
      <c r="AA19" s="220">
        <f t="shared" si="20"/>
        <v>0</v>
      </c>
      <c r="AB19" s="220">
        <f t="shared" si="20"/>
        <v>0</v>
      </c>
      <c r="AC19" s="220">
        <f t="shared" si="20"/>
        <v>0</v>
      </c>
      <c r="AD19" s="220">
        <f t="shared" si="20"/>
        <v>0</v>
      </c>
      <c r="AE19" s="220">
        <f t="shared" si="20"/>
        <v>0</v>
      </c>
      <c r="AF19" s="220">
        <f t="shared" si="21"/>
        <v>0</v>
      </c>
      <c r="AG19" s="220">
        <f t="shared" si="21"/>
        <v>0</v>
      </c>
      <c r="AH19" s="220">
        <f t="shared" si="21"/>
        <v>0</v>
      </c>
      <c r="AI19" s="220">
        <f t="shared" si="21"/>
        <v>0</v>
      </c>
      <c r="AJ19" s="220">
        <f t="shared" si="21"/>
        <v>0</v>
      </c>
      <c r="AK19" s="220">
        <f t="shared" si="21"/>
        <v>0</v>
      </c>
      <c r="AL19" s="220">
        <f t="shared" si="21"/>
        <v>0</v>
      </c>
      <c r="AM19" s="220">
        <f t="shared" si="21"/>
        <v>0</v>
      </c>
      <c r="AN19" s="220">
        <f t="shared" si="21"/>
        <v>0</v>
      </c>
      <c r="AO19" s="220">
        <f t="shared" si="21"/>
        <v>0</v>
      </c>
      <c r="AP19" s="220">
        <f t="shared" si="22"/>
        <v>0</v>
      </c>
      <c r="AQ19" s="220">
        <f t="shared" si="22"/>
        <v>0</v>
      </c>
      <c r="AR19" s="220">
        <f t="shared" si="22"/>
        <v>0</v>
      </c>
      <c r="AS19" s="220">
        <f t="shared" si="22"/>
        <v>0</v>
      </c>
      <c r="AT19" s="220">
        <f t="shared" si="22"/>
        <v>0</v>
      </c>
      <c r="AU19" s="220">
        <f t="shared" si="22"/>
        <v>0</v>
      </c>
      <c r="AV19" s="220">
        <f t="shared" si="22"/>
        <v>0</v>
      </c>
      <c r="AW19" s="220">
        <f t="shared" si="22"/>
        <v>0</v>
      </c>
      <c r="AX19" s="220">
        <f t="shared" si="22"/>
        <v>0</v>
      </c>
      <c r="AY19" s="220">
        <f t="shared" si="22"/>
        <v>0</v>
      </c>
      <c r="AZ19" s="220">
        <f t="shared" si="23"/>
        <v>0</v>
      </c>
      <c r="BA19" s="220">
        <f t="shared" si="23"/>
        <v>0</v>
      </c>
      <c r="BB19" s="220">
        <f t="shared" si="23"/>
        <v>0</v>
      </c>
      <c r="BC19" s="220">
        <f t="shared" si="23"/>
        <v>0</v>
      </c>
      <c r="BD19" s="220">
        <f t="shared" si="23"/>
        <v>0</v>
      </c>
      <c r="BE19" s="220">
        <f t="shared" si="23"/>
        <v>0</v>
      </c>
      <c r="BF19" s="248">
        <f t="shared" si="24"/>
        <v>0</v>
      </c>
    </row>
    <row r="20" spans="1:58" x14ac:dyDescent="0.3">
      <c r="A20" s="187">
        <v>4</v>
      </c>
      <c r="B20" s="242">
        <f t="shared" si="25"/>
        <v>45748</v>
      </c>
      <c r="C20" s="243">
        <f t="shared" si="2"/>
        <v>45777</v>
      </c>
      <c r="D20" s="120">
        <f t="shared" si="3"/>
        <v>30</v>
      </c>
      <c r="E20" s="120">
        <f t="shared" si="4"/>
        <v>4</v>
      </c>
      <c r="F20" s="244">
        <f t="shared" si="5"/>
        <v>45763</v>
      </c>
      <c r="G20" s="120">
        <f t="shared" si="6"/>
        <v>24303</v>
      </c>
      <c r="H20" s="245">
        <f t="shared" si="7"/>
        <v>1</v>
      </c>
      <c r="I20" s="121">
        <f t="shared" si="8"/>
        <v>1</v>
      </c>
      <c r="J20" s="121">
        <f t="shared" si="9"/>
        <v>1</v>
      </c>
      <c r="K20" s="120">
        <f t="shared" si="10"/>
        <v>0</v>
      </c>
      <c r="L20" s="120">
        <f t="shared" si="11"/>
        <v>0</v>
      </c>
      <c r="M20" s="246">
        <f t="shared" si="12"/>
        <v>0</v>
      </c>
      <c r="N20" s="121">
        <f t="shared" si="13"/>
        <v>1</v>
      </c>
      <c r="O20" s="247">
        <f>'Mod Engine'!$E20</f>
        <v>0.82501094091903715</v>
      </c>
      <c r="P20" s="121">
        <f t="shared" si="14"/>
        <v>0</v>
      </c>
      <c r="Q20" s="121">
        <f t="shared" si="15"/>
        <v>0</v>
      </c>
      <c r="R20" s="121">
        <f t="shared" si="16"/>
        <v>0</v>
      </c>
      <c r="S20" s="121" t="str">
        <f t="shared" si="17"/>
        <v/>
      </c>
      <c r="T20" s="121" t="str">
        <f t="shared" si="18"/>
        <v/>
      </c>
      <c r="U20" s="121">
        <f t="shared" si="19"/>
        <v>1</v>
      </c>
      <c r="V20" s="220">
        <f t="shared" si="20"/>
        <v>0</v>
      </c>
      <c r="W20" s="220">
        <f t="shared" si="20"/>
        <v>0</v>
      </c>
      <c r="X20" s="220">
        <f t="shared" si="20"/>
        <v>0</v>
      </c>
      <c r="Y20" s="220">
        <f t="shared" si="20"/>
        <v>0</v>
      </c>
      <c r="Z20" s="220">
        <f t="shared" si="20"/>
        <v>0</v>
      </c>
      <c r="AA20" s="220">
        <f t="shared" si="20"/>
        <v>0</v>
      </c>
      <c r="AB20" s="220">
        <f t="shared" si="20"/>
        <v>0</v>
      </c>
      <c r="AC20" s="220">
        <f t="shared" si="20"/>
        <v>0</v>
      </c>
      <c r="AD20" s="220">
        <f t="shared" si="20"/>
        <v>0</v>
      </c>
      <c r="AE20" s="220">
        <f t="shared" si="20"/>
        <v>0</v>
      </c>
      <c r="AF20" s="220">
        <f t="shared" si="21"/>
        <v>0</v>
      </c>
      <c r="AG20" s="220">
        <f t="shared" si="21"/>
        <v>0</v>
      </c>
      <c r="AH20" s="220">
        <f t="shared" si="21"/>
        <v>0</v>
      </c>
      <c r="AI20" s="220">
        <f t="shared" si="21"/>
        <v>0</v>
      </c>
      <c r="AJ20" s="220">
        <f t="shared" si="21"/>
        <v>0</v>
      </c>
      <c r="AK20" s="220">
        <f t="shared" si="21"/>
        <v>0</v>
      </c>
      <c r="AL20" s="220">
        <f t="shared" si="21"/>
        <v>0</v>
      </c>
      <c r="AM20" s="220">
        <f t="shared" si="21"/>
        <v>0</v>
      </c>
      <c r="AN20" s="220">
        <f t="shared" si="21"/>
        <v>0</v>
      </c>
      <c r="AO20" s="220">
        <f t="shared" si="21"/>
        <v>0</v>
      </c>
      <c r="AP20" s="220">
        <f t="shared" si="22"/>
        <v>0</v>
      </c>
      <c r="AQ20" s="220">
        <f t="shared" si="22"/>
        <v>0</v>
      </c>
      <c r="AR20" s="220">
        <f t="shared" si="22"/>
        <v>0</v>
      </c>
      <c r="AS20" s="220">
        <f t="shared" si="22"/>
        <v>0</v>
      </c>
      <c r="AT20" s="220">
        <f t="shared" si="22"/>
        <v>0</v>
      </c>
      <c r="AU20" s="220">
        <f t="shared" si="22"/>
        <v>0</v>
      </c>
      <c r="AV20" s="220">
        <f t="shared" si="22"/>
        <v>0</v>
      </c>
      <c r="AW20" s="220">
        <f t="shared" si="22"/>
        <v>0</v>
      </c>
      <c r="AX20" s="220">
        <f t="shared" si="22"/>
        <v>0</v>
      </c>
      <c r="AY20" s="220">
        <f t="shared" si="22"/>
        <v>0</v>
      </c>
      <c r="AZ20" s="220">
        <f t="shared" si="23"/>
        <v>0</v>
      </c>
      <c r="BA20" s="220">
        <f t="shared" si="23"/>
        <v>0</v>
      </c>
      <c r="BB20" s="220">
        <f t="shared" si="23"/>
        <v>0</v>
      </c>
      <c r="BC20" s="220">
        <f t="shared" si="23"/>
        <v>0</v>
      </c>
      <c r="BD20" s="220">
        <f t="shared" si="23"/>
        <v>0</v>
      </c>
      <c r="BE20" s="220">
        <f t="shared" si="23"/>
        <v>0</v>
      </c>
      <c r="BF20" s="248">
        <f t="shared" si="24"/>
        <v>0</v>
      </c>
    </row>
    <row r="21" spans="1:58" x14ac:dyDescent="0.3">
      <c r="A21" s="187">
        <v>5</v>
      </c>
      <c r="B21" s="242">
        <f t="shared" si="25"/>
        <v>45778</v>
      </c>
      <c r="C21" s="243">
        <f t="shared" si="2"/>
        <v>45808</v>
      </c>
      <c r="D21" s="120">
        <f t="shared" si="3"/>
        <v>31</v>
      </c>
      <c r="E21" s="120">
        <f t="shared" si="4"/>
        <v>5</v>
      </c>
      <c r="F21" s="244">
        <f t="shared" si="5"/>
        <v>45793.5</v>
      </c>
      <c r="G21" s="120">
        <f t="shared" si="6"/>
        <v>24304</v>
      </c>
      <c r="H21" s="245">
        <f t="shared" si="7"/>
        <v>1</v>
      </c>
      <c r="I21" s="121">
        <f t="shared" si="8"/>
        <v>1</v>
      </c>
      <c r="J21" s="121">
        <f t="shared" si="9"/>
        <v>1</v>
      </c>
      <c r="K21" s="120">
        <f t="shared" si="10"/>
        <v>0</v>
      </c>
      <c r="L21" s="120">
        <f t="shared" si="11"/>
        <v>0</v>
      </c>
      <c r="M21" s="246">
        <f t="shared" si="12"/>
        <v>0</v>
      </c>
      <c r="N21" s="121">
        <f t="shared" si="13"/>
        <v>1</v>
      </c>
      <c r="O21" s="247">
        <f>'Mod Engine'!$E21</f>
        <v>0.82701312910284464</v>
      </c>
      <c r="P21" s="121">
        <f t="shared" si="14"/>
        <v>0</v>
      </c>
      <c r="Q21" s="121">
        <f t="shared" si="15"/>
        <v>0</v>
      </c>
      <c r="R21" s="121">
        <f t="shared" si="16"/>
        <v>0</v>
      </c>
      <c r="S21" s="121" t="str">
        <f t="shared" si="17"/>
        <v/>
      </c>
      <c r="T21" s="121" t="str">
        <f t="shared" si="18"/>
        <v/>
      </c>
      <c r="U21" s="121">
        <f t="shared" si="19"/>
        <v>1</v>
      </c>
      <c r="V21" s="220">
        <f t="shared" si="20"/>
        <v>0</v>
      </c>
      <c r="W21" s="220">
        <f t="shared" si="20"/>
        <v>0</v>
      </c>
      <c r="X21" s="220">
        <f t="shared" si="20"/>
        <v>0</v>
      </c>
      <c r="Y21" s="220">
        <f t="shared" si="20"/>
        <v>0</v>
      </c>
      <c r="Z21" s="220">
        <f t="shared" si="20"/>
        <v>0</v>
      </c>
      <c r="AA21" s="220">
        <f t="shared" si="20"/>
        <v>0</v>
      </c>
      <c r="AB21" s="220">
        <f t="shared" si="20"/>
        <v>0</v>
      </c>
      <c r="AC21" s="220">
        <f t="shared" si="20"/>
        <v>0</v>
      </c>
      <c r="AD21" s="220">
        <f t="shared" si="20"/>
        <v>0</v>
      </c>
      <c r="AE21" s="220">
        <f t="shared" si="20"/>
        <v>0</v>
      </c>
      <c r="AF21" s="220">
        <f t="shared" si="21"/>
        <v>0</v>
      </c>
      <c r="AG21" s="220">
        <f t="shared" si="21"/>
        <v>0</v>
      </c>
      <c r="AH21" s="220">
        <f t="shared" si="21"/>
        <v>0</v>
      </c>
      <c r="AI21" s="220">
        <f t="shared" si="21"/>
        <v>0</v>
      </c>
      <c r="AJ21" s="220">
        <f t="shared" si="21"/>
        <v>0</v>
      </c>
      <c r="AK21" s="220">
        <f t="shared" si="21"/>
        <v>0</v>
      </c>
      <c r="AL21" s="220">
        <f t="shared" si="21"/>
        <v>0</v>
      </c>
      <c r="AM21" s="220">
        <f t="shared" si="21"/>
        <v>0</v>
      </c>
      <c r="AN21" s="220">
        <f t="shared" si="21"/>
        <v>0</v>
      </c>
      <c r="AO21" s="220">
        <f t="shared" si="21"/>
        <v>0</v>
      </c>
      <c r="AP21" s="220">
        <f t="shared" si="22"/>
        <v>0</v>
      </c>
      <c r="AQ21" s="220">
        <f t="shared" si="22"/>
        <v>0</v>
      </c>
      <c r="AR21" s="220">
        <f t="shared" si="22"/>
        <v>0</v>
      </c>
      <c r="AS21" s="220">
        <f t="shared" si="22"/>
        <v>0</v>
      </c>
      <c r="AT21" s="220">
        <f t="shared" si="22"/>
        <v>0</v>
      </c>
      <c r="AU21" s="220">
        <f t="shared" si="22"/>
        <v>0</v>
      </c>
      <c r="AV21" s="220">
        <f t="shared" si="22"/>
        <v>0</v>
      </c>
      <c r="AW21" s="220">
        <f t="shared" si="22"/>
        <v>0</v>
      </c>
      <c r="AX21" s="220">
        <f t="shared" si="22"/>
        <v>0</v>
      </c>
      <c r="AY21" s="220">
        <f t="shared" si="22"/>
        <v>0</v>
      </c>
      <c r="AZ21" s="220">
        <f t="shared" si="23"/>
        <v>0</v>
      </c>
      <c r="BA21" s="220">
        <f t="shared" si="23"/>
        <v>0</v>
      </c>
      <c r="BB21" s="220">
        <f t="shared" si="23"/>
        <v>0</v>
      </c>
      <c r="BC21" s="220">
        <f t="shared" si="23"/>
        <v>0</v>
      </c>
      <c r="BD21" s="220">
        <f t="shared" si="23"/>
        <v>0</v>
      </c>
      <c r="BE21" s="220">
        <f t="shared" si="23"/>
        <v>0</v>
      </c>
      <c r="BF21" s="248">
        <f t="shared" si="24"/>
        <v>0</v>
      </c>
    </row>
    <row r="22" spans="1:58" x14ac:dyDescent="0.3">
      <c r="A22" s="187">
        <v>6</v>
      </c>
      <c r="B22" s="242">
        <f t="shared" si="25"/>
        <v>45809</v>
      </c>
      <c r="C22" s="243">
        <f t="shared" si="2"/>
        <v>45838</v>
      </c>
      <c r="D22" s="120">
        <f t="shared" si="3"/>
        <v>30</v>
      </c>
      <c r="E22" s="120">
        <f t="shared" si="4"/>
        <v>6</v>
      </c>
      <c r="F22" s="244">
        <f t="shared" si="5"/>
        <v>45824</v>
      </c>
      <c r="G22" s="120">
        <f t="shared" si="6"/>
        <v>24305</v>
      </c>
      <c r="H22" s="245">
        <f t="shared" si="7"/>
        <v>1</v>
      </c>
      <c r="I22" s="121">
        <f t="shared" si="8"/>
        <v>1</v>
      </c>
      <c r="J22" s="121">
        <f t="shared" si="9"/>
        <v>1</v>
      </c>
      <c r="K22" s="120">
        <f t="shared" si="10"/>
        <v>0</v>
      </c>
      <c r="L22" s="120">
        <f t="shared" si="11"/>
        <v>0</v>
      </c>
      <c r="M22" s="246">
        <f t="shared" si="12"/>
        <v>0</v>
      </c>
      <c r="N22" s="121">
        <f t="shared" si="13"/>
        <v>1</v>
      </c>
      <c r="O22" s="247">
        <f>'Mod Engine'!$E22</f>
        <v>0.82901531728665201</v>
      </c>
      <c r="P22" s="121">
        <f t="shared" si="14"/>
        <v>0</v>
      </c>
      <c r="Q22" s="121">
        <f t="shared" si="15"/>
        <v>0</v>
      </c>
      <c r="R22" s="121">
        <f t="shared" si="16"/>
        <v>0</v>
      </c>
      <c r="S22" s="121" t="str">
        <f t="shared" si="17"/>
        <v/>
      </c>
      <c r="T22" s="121" t="str">
        <f t="shared" si="18"/>
        <v/>
      </c>
      <c r="U22" s="121">
        <f t="shared" si="19"/>
        <v>1</v>
      </c>
      <c r="V22" s="220">
        <f t="shared" si="20"/>
        <v>0</v>
      </c>
      <c r="W22" s="220">
        <f t="shared" si="20"/>
        <v>0</v>
      </c>
      <c r="X22" s="220">
        <f t="shared" si="20"/>
        <v>0</v>
      </c>
      <c r="Y22" s="220">
        <f t="shared" si="20"/>
        <v>0</v>
      </c>
      <c r="Z22" s="220">
        <f t="shared" si="20"/>
        <v>0</v>
      </c>
      <c r="AA22" s="220">
        <f t="shared" si="20"/>
        <v>0</v>
      </c>
      <c r="AB22" s="220">
        <f t="shared" si="20"/>
        <v>0</v>
      </c>
      <c r="AC22" s="220">
        <f t="shared" si="20"/>
        <v>0</v>
      </c>
      <c r="AD22" s="220">
        <f t="shared" si="20"/>
        <v>0</v>
      </c>
      <c r="AE22" s="220">
        <f t="shared" si="20"/>
        <v>0</v>
      </c>
      <c r="AF22" s="220">
        <f t="shared" si="21"/>
        <v>0</v>
      </c>
      <c r="AG22" s="220">
        <f t="shared" si="21"/>
        <v>0</v>
      </c>
      <c r="AH22" s="220">
        <f t="shared" si="21"/>
        <v>0</v>
      </c>
      <c r="AI22" s="220">
        <f t="shared" si="21"/>
        <v>0</v>
      </c>
      <c r="AJ22" s="220">
        <f t="shared" si="21"/>
        <v>0</v>
      </c>
      <c r="AK22" s="220">
        <f t="shared" si="21"/>
        <v>0</v>
      </c>
      <c r="AL22" s="220">
        <f t="shared" si="21"/>
        <v>0</v>
      </c>
      <c r="AM22" s="220">
        <f t="shared" si="21"/>
        <v>0</v>
      </c>
      <c r="AN22" s="220">
        <f t="shared" si="21"/>
        <v>0</v>
      </c>
      <c r="AO22" s="220">
        <f t="shared" si="21"/>
        <v>0</v>
      </c>
      <c r="AP22" s="220">
        <f t="shared" si="22"/>
        <v>0</v>
      </c>
      <c r="AQ22" s="220">
        <f t="shared" si="22"/>
        <v>0</v>
      </c>
      <c r="AR22" s="220">
        <f t="shared" si="22"/>
        <v>0</v>
      </c>
      <c r="AS22" s="220">
        <f t="shared" si="22"/>
        <v>0</v>
      </c>
      <c r="AT22" s="220">
        <f t="shared" si="22"/>
        <v>0</v>
      </c>
      <c r="AU22" s="220">
        <f t="shared" si="22"/>
        <v>0</v>
      </c>
      <c r="AV22" s="220">
        <f t="shared" si="22"/>
        <v>0</v>
      </c>
      <c r="AW22" s="220">
        <f t="shared" si="22"/>
        <v>0</v>
      </c>
      <c r="AX22" s="220">
        <f t="shared" si="22"/>
        <v>0</v>
      </c>
      <c r="AY22" s="220">
        <f t="shared" si="22"/>
        <v>0</v>
      </c>
      <c r="AZ22" s="220">
        <f t="shared" si="23"/>
        <v>0</v>
      </c>
      <c r="BA22" s="220">
        <f t="shared" si="23"/>
        <v>0</v>
      </c>
      <c r="BB22" s="220">
        <f t="shared" si="23"/>
        <v>0</v>
      </c>
      <c r="BC22" s="220">
        <f t="shared" si="23"/>
        <v>0</v>
      </c>
      <c r="BD22" s="220">
        <f t="shared" si="23"/>
        <v>0</v>
      </c>
      <c r="BE22" s="220">
        <f t="shared" si="23"/>
        <v>0</v>
      </c>
      <c r="BF22" s="248">
        <f t="shared" si="24"/>
        <v>0</v>
      </c>
    </row>
    <row r="23" spans="1:58" x14ac:dyDescent="0.3">
      <c r="A23" s="187">
        <v>7</v>
      </c>
      <c r="B23" s="242">
        <f t="shared" si="25"/>
        <v>45839</v>
      </c>
      <c r="C23" s="243">
        <f t="shared" si="2"/>
        <v>45869</v>
      </c>
      <c r="D23" s="120">
        <f t="shared" si="3"/>
        <v>31</v>
      </c>
      <c r="E23" s="120">
        <f t="shared" si="4"/>
        <v>7</v>
      </c>
      <c r="F23" s="244">
        <f t="shared" si="5"/>
        <v>45854.5</v>
      </c>
      <c r="G23" s="120">
        <f t="shared" si="6"/>
        <v>24306</v>
      </c>
      <c r="H23" s="245">
        <f t="shared" si="7"/>
        <v>1</v>
      </c>
      <c r="I23" s="121">
        <f t="shared" si="8"/>
        <v>1</v>
      </c>
      <c r="J23" s="121">
        <f t="shared" si="9"/>
        <v>1.04</v>
      </c>
      <c r="K23" s="120">
        <f t="shared" si="10"/>
        <v>1</v>
      </c>
      <c r="L23" s="120">
        <f t="shared" si="11"/>
        <v>31</v>
      </c>
      <c r="M23" s="246">
        <f t="shared" si="12"/>
        <v>1</v>
      </c>
      <c r="N23" s="121">
        <f t="shared" si="13"/>
        <v>1.04</v>
      </c>
      <c r="O23" s="247">
        <f>'Mod Engine'!$E23</f>
        <v>0.83101750547045949</v>
      </c>
      <c r="P23" s="121">
        <f t="shared" si="14"/>
        <v>8.333333333333337E-2</v>
      </c>
      <c r="Q23" s="121">
        <f t="shared" si="15"/>
        <v>0</v>
      </c>
      <c r="R23" s="121">
        <f t="shared" si="16"/>
        <v>0</v>
      </c>
      <c r="S23" s="121" t="str">
        <f t="shared" si="17"/>
        <v/>
      </c>
      <c r="T23" s="121" t="str">
        <f t="shared" si="18"/>
        <v/>
      </c>
      <c r="U23" s="121">
        <f t="shared" si="19"/>
        <v>1.04</v>
      </c>
      <c r="V23" s="220">
        <f t="shared" si="20"/>
        <v>8.3333333333333329E-2</v>
      </c>
      <c r="W23" s="220">
        <f t="shared" si="20"/>
        <v>0</v>
      </c>
      <c r="X23" s="220">
        <f t="shared" si="20"/>
        <v>0</v>
      </c>
      <c r="Y23" s="220">
        <f t="shared" si="20"/>
        <v>0</v>
      </c>
      <c r="Z23" s="220">
        <f t="shared" si="20"/>
        <v>0</v>
      </c>
      <c r="AA23" s="220">
        <f t="shared" si="20"/>
        <v>0</v>
      </c>
      <c r="AB23" s="220">
        <f t="shared" si="20"/>
        <v>0</v>
      </c>
      <c r="AC23" s="220">
        <f t="shared" si="20"/>
        <v>0</v>
      </c>
      <c r="AD23" s="220">
        <f t="shared" si="20"/>
        <v>0</v>
      </c>
      <c r="AE23" s="220">
        <f t="shared" si="20"/>
        <v>0</v>
      </c>
      <c r="AF23" s="220">
        <f t="shared" si="21"/>
        <v>0</v>
      </c>
      <c r="AG23" s="220">
        <f t="shared" si="21"/>
        <v>0</v>
      </c>
      <c r="AH23" s="220">
        <f t="shared" si="21"/>
        <v>0</v>
      </c>
      <c r="AI23" s="220">
        <f t="shared" si="21"/>
        <v>0</v>
      </c>
      <c r="AJ23" s="220">
        <f t="shared" si="21"/>
        <v>0</v>
      </c>
      <c r="AK23" s="220">
        <f t="shared" si="21"/>
        <v>0</v>
      </c>
      <c r="AL23" s="220">
        <f t="shared" si="21"/>
        <v>0</v>
      </c>
      <c r="AM23" s="220">
        <f t="shared" si="21"/>
        <v>0</v>
      </c>
      <c r="AN23" s="220">
        <f t="shared" si="21"/>
        <v>0</v>
      </c>
      <c r="AO23" s="220">
        <f t="shared" si="21"/>
        <v>0</v>
      </c>
      <c r="AP23" s="220">
        <f t="shared" si="22"/>
        <v>0</v>
      </c>
      <c r="AQ23" s="220">
        <f t="shared" si="22"/>
        <v>0</v>
      </c>
      <c r="AR23" s="220">
        <f t="shared" si="22"/>
        <v>0</v>
      </c>
      <c r="AS23" s="220">
        <f t="shared" si="22"/>
        <v>0</v>
      </c>
      <c r="AT23" s="220">
        <f t="shared" si="22"/>
        <v>0</v>
      </c>
      <c r="AU23" s="220">
        <f t="shared" si="22"/>
        <v>0</v>
      </c>
      <c r="AV23" s="220">
        <f t="shared" si="22"/>
        <v>0</v>
      </c>
      <c r="AW23" s="220">
        <f t="shared" si="22"/>
        <v>0</v>
      </c>
      <c r="AX23" s="220">
        <f t="shared" si="22"/>
        <v>0</v>
      </c>
      <c r="AY23" s="220">
        <f t="shared" si="22"/>
        <v>0</v>
      </c>
      <c r="AZ23" s="220">
        <f t="shared" si="23"/>
        <v>0</v>
      </c>
      <c r="BA23" s="220">
        <f t="shared" si="23"/>
        <v>0</v>
      </c>
      <c r="BB23" s="220">
        <f t="shared" si="23"/>
        <v>0</v>
      </c>
      <c r="BC23" s="220">
        <f t="shared" si="23"/>
        <v>0</v>
      </c>
      <c r="BD23" s="220">
        <f t="shared" si="23"/>
        <v>0</v>
      </c>
      <c r="BE23" s="220">
        <f t="shared" si="23"/>
        <v>0</v>
      </c>
      <c r="BF23" s="248">
        <f t="shared" si="24"/>
        <v>0</v>
      </c>
    </row>
    <row r="24" spans="1:58" x14ac:dyDescent="0.3">
      <c r="A24" s="187">
        <v>8</v>
      </c>
      <c r="B24" s="242">
        <f t="shared" si="25"/>
        <v>45870</v>
      </c>
      <c r="C24" s="243">
        <f t="shared" si="2"/>
        <v>45900</v>
      </c>
      <c r="D24" s="120">
        <f t="shared" si="3"/>
        <v>31</v>
      </c>
      <c r="E24" s="120">
        <f t="shared" si="4"/>
        <v>8</v>
      </c>
      <c r="F24" s="244">
        <f t="shared" si="5"/>
        <v>45885.5</v>
      </c>
      <c r="G24" s="120">
        <f t="shared" si="6"/>
        <v>24307</v>
      </c>
      <c r="H24" s="245">
        <f t="shared" si="7"/>
        <v>1</v>
      </c>
      <c r="I24" s="121">
        <f t="shared" si="8"/>
        <v>1.04</v>
      </c>
      <c r="J24" s="121">
        <f t="shared" si="9"/>
        <v>1.04</v>
      </c>
      <c r="K24" s="120">
        <f t="shared" si="10"/>
        <v>0</v>
      </c>
      <c r="L24" s="120">
        <f t="shared" si="11"/>
        <v>0</v>
      </c>
      <c r="M24" s="246">
        <f t="shared" si="12"/>
        <v>0</v>
      </c>
      <c r="N24" s="121">
        <f t="shared" si="13"/>
        <v>1.04</v>
      </c>
      <c r="O24" s="247">
        <f>'Mod Engine'!$E24</f>
        <v>0.83305251641137856</v>
      </c>
      <c r="P24" s="121">
        <f t="shared" si="14"/>
        <v>0.25</v>
      </c>
      <c r="Q24" s="121">
        <f t="shared" si="15"/>
        <v>0</v>
      </c>
      <c r="R24" s="121">
        <f t="shared" si="16"/>
        <v>0</v>
      </c>
      <c r="S24" s="121" t="str">
        <f t="shared" si="17"/>
        <v/>
      </c>
      <c r="T24" s="121" t="str">
        <f t="shared" si="18"/>
        <v/>
      </c>
      <c r="U24" s="121">
        <f t="shared" si="19"/>
        <v>1.04</v>
      </c>
      <c r="V24" s="220">
        <f t="shared" si="20"/>
        <v>0.16666666666666666</v>
      </c>
      <c r="W24" s="220">
        <f t="shared" si="20"/>
        <v>8.3333333333333329E-2</v>
      </c>
      <c r="X24" s="220">
        <f t="shared" si="20"/>
        <v>0</v>
      </c>
      <c r="Y24" s="220">
        <f t="shared" si="20"/>
        <v>0</v>
      </c>
      <c r="Z24" s="220">
        <f t="shared" si="20"/>
        <v>0</v>
      </c>
      <c r="AA24" s="220">
        <f t="shared" si="20"/>
        <v>0</v>
      </c>
      <c r="AB24" s="220">
        <f t="shared" si="20"/>
        <v>0</v>
      </c>
      <c r="AC24" s="220">
        <f t="shared" si="20"/>
        <v>0</v>
      </c>
      <c r="AD24" s="220">
        <f t="shared" si="20"/>
        <v>0</v>
      </c>
      <c r="AE24" s="220">
        <f t="shared" si="20"/>
        <v>0</v>
      </c>
      <c r="AF24" s="220">
        <f t="shared" si="21"/>
        <v>0</v>
      </c>
      <c r="AG24" s="220">
        <f t="shared" si="21"/>
        <v>0</v>
      </c>
      <c r="AH24" s="220">
        <f t="shared" si="21"/>
        <v>0</v>
      </c>
      <c r="AI24" s="220">
        <f t="shared" si="21"/>
        <v>0</v>
      </c>
      <c r="AJ24" s="220">
        <f t="shared" si="21"/>
        <v>0</v>
      </c>
      <c r="AK24" s="220">
        <f t="shared" si="21"/>
        <v>0</v>
      </c>
      <c r="AL24" s="220">
        <f t="shared" si="21"/>
        <v>0</v>
      </c>
      <c r="AM24" s="220">
        <f t="shared" si="21"/>
        <v>0</v>
      </c>
      <c r="AN24" s="220">
        <f t="shared" si="21"/>
        <v>0</v>
      </c>
      <c r="AO24" s="220">
        <f t="shared" si="21"/>
        <v>0</v>
      </c>
      <c r="AP24" s="220">
        <f t="shared" si="22"/>
        <v>0</v>
      </c>
      <c r="AQ24" s="220">
        <f t="shared" si="22"/>
        <v>0</v>
      </c>
      <c r="AR24" s="220">
        <f t="shared" si="22"/>
        <v>0</v>
      </c>
      <c r="AS24" s="220">
        <f t="shared" si="22"/>
        <v>0</v>
      </c>
      <c r="AT24" s="220">
        <f t="shared" si="22"/>
        <v>0</v>
      </c>
      <c r="AU24" s="220">
        <f t="shared" si="22"/>
        <v>0</v>
      </c>
      <c r="AV24" s="220">
        <f t="shared" si="22"/>
        <v>0</v>
      </c>
      <c r="AW24" s="220">
        <f t="shared" si="22"/>
        <v>0</v>
      </c>
      <c r="AX24" s="220">
        <f t="shared" si="22"/>
        <v>0</v>
      </c>
      <c r="AY24" s="220">
        <f t="shared" si="22"/>
        <v>0</v>
      </c>
      <c r="AZ24" s="220">
        <f t="shared" si="23"/>
        <v>0</v>
      </c>
      <c r="BA24" s="220">
        <f t="shared" si="23"/>
        <v>0</v>
      </c>
      <c r="BB24" s="220">
        <f t="shared" si="23"/>
        <v>0</v>
      </c>
      <c r="BC24" s="220">
        <f t="shared" si="23"/>
        <v>0</v>
      </c>
      <c r="BD24" s="220">
        <f t="shared" si="23"/>
        <v>0</v>
      </c>
      <c r="BE24" s="220">
        <f t="shared" si="23"/>
        <v>0</v>
      </c>
      <c r="BF24" s="248">
        <f t="shared" si="24"/>
        <v>0</v>
      </c>
    </row>
    <row r="25" spans="1:58" x14ac:dyDescent="0.3">
      <c r="A25" s="187">
        <v>9</v>
      </c>
      <c r="B25" s="242">
        <f t="shared" si="25"/>
        <v>45901</v>
      </c>
      <c r="C25" s="243">
        <f t="shared" si="2"/>
        <v>45930</v>
      </c>
      <c r="D25" s="120">
        <f t="shared" si="3"/>
        <v>30</v>
      </c>
      <c r="E25" s="120">
        <f t="shared" si="4"/>
        <v>9</v>
      </c>
      <c r="F25" s="244">
        <f t="shared" si="5"/>
        <v>45916</v>
      </c>
      <c r="G25" s="120">
        <f t="shared" si="6"/>
        <v>24308</v>
      </c>
      <c r="H25" s="245">
        <f t="shared" si="7"/>
        <v>1</v>
      </c>
      <c r="I25" s="121">
        <f t="shared" si="8"/>
        <v>1.04</v>
      </c>
      <c r="J25" s="121">
        <f t="shared" si="9"/>
        <v>1.04</v>
      </c>
      <c r="K25" s="120">
        <f t="shared" si="10"/>
        <v>0</v>
      </c>
      <c r="L25" s="120">
        <f t="shared" si="11"/>
        <v>0</v>
      </c>
      <c r="M25" s="246">
        <f t="shared" si="12"/>
        <v>0</v>
      </c>
      <c r="N25" s="121">
        <f t="shared" si="13"/>
        <v>1.04</v>
      </c>
      <c r="O25" s="247">
        <f>'Mod Engine'!$E25</f>
        <v>0.83505470459518594</v>
      </c>
      <c r="P25" s="121">
        <f t="shared" si="14"/>
        <v>0.41666666666666663</v>
      </c>
      <c r="Q25" s="121">
        <f t="shared" si="15"/>
        <v>0</v>
      </c>
      <c r="R25" s="121">
        <f t="shared" si="16"/>
        <v>0</v>
      </c>
      <c r="S25" s="121" t="str">
        <f t="shared" si="17"/>
        <v/>
      </c>
      <c r="T25" s="121" t="str">
        <f t="shared" si="18"/>
        <v/>
      </c>
      <c r="U25" s="121">
        <f t="shared" si="19"/>
        <v>1.04</v>
      </c>
      <c r="V25" s="220">
        <f t="shared" si="20"/>
        <v>0.16666666666666666</v>
      </c>
      <c r="W25" s="220">
        <f t="shared" si="20"/>
        <v>0.16666666666666666</v>
      </c>
      <c r="X25" s="220">
        <f t="shared" si="20"/>
        <v>8.3333333333333329E-2</v>
      </c>
      <c r="Y25" s="220">
        <f t="shared" si="20"/>
        <v>0</v>
      </c>
      <c r="Z25" s="220">
        <f t="shared" si="20"/>
        <v>0</v>
      </c>
      <c r="AA25" s="220">
        <f t="shared" si="20"/>
        <v>0</v>
      </c>
      <c r="AB25" s="220">
        <f t="shared" si="20"/>
        <v>0</v>
      </c>
      <c r="AC25" s="220">
        <f t="shared" si="20"/>
        <v>0</v>
      </c>
      <c r="AD25" s="220">
        <f t="shared" si="20"/>
        <v>0</v>
      </c>
      <c r="AE25" s="220">
        <f t="shared" si="20"/>
        <v>0</v>
      </c>
      <c r="AF25" s="220">
        <f t="shared" si="21"/>
        <v>0</v>
      </c>
      <c r="AG25" s="220">
        <f t="shared" si="21"/>
        <v>0</v>
      </c>
      <c r="AH25" s="220">
        <f t="shared" si="21"/>
        <v>0</v>
      </c>
      <c r="AI25" s="220">
        <f t="shared" si="21"/>
        <v>0</v>
      </c>
      <c r="AJ25" s="220">
        <f t="shared" si="21"/>
        <v>0</v>
      </c>
      <c r="AK25" s="220">
        <f t="shared" si="21"/>
        <v>0</v>
      </c>
      <c r="AL25" s="220">
        <f t="shared" si="21"/>
        <v>0</v>
      </c>
      <c r="AM25" s="220">
        <f t="shared" si="21"/>
        <v>0</v>
      </c>
      <c r="AN25" s="220">
        <f t="shared" si="21"/>
        <v>0</v>
      </c>
      <c r="AO25" s="220">
        <f t="shared" si="21"/>
        <v>0</v>
      </c>
      <c r="AP25" s="220">
        <f t="shared" si="22"/>
        <v>0</v>
      </c>
      <c r="AQ25" s="220">
        <f t="shared" si="22"/>
        <v>0</v>
      </c>
      <c r="AR25" s="220">
        <f t="shared" si="22"/>
        <v>0</v>
      </c>
      <c r="AS25" s="220">
        <f t="shared" si="22"/>
        <v>0</v>
      </c>
      <c r="AT25" s="220">
        <f t="shared" si="22"/>
        <v>0</v>
      </c>
      <c r="AU25" s="220">
        <f t="shared" si="22"/>
        <v>0</v>
      </c>
      <c r="AV25" s="220">
        <f t="shared" si="22"/>
        <v>0</v>
      </c>
      <c r="AW25" s="220">
        <f t="shared" si="22"/>
        <v>0</v>
      </c>
      <c r="AX25" s="220">
        <f t="shared" si="22"/>
        <v>0</v>
      </c>
      <c r="AY25" s="220">
        <f t="shared" si="22"/>
        <v>0</v>
      </c>
      <c r="AZ25" s="220">
        <f t="shared" si="23"/>
        <v>0</v>
      </c>
      <c r="BA25" s="220">
        <f t="shared" si="23"/>
        <v>0</v>
      </c>
      <c r="BB25" s="220">
        <f t="shared" si="23"/>
        <v>0</v>
      </c>
      <c r="BC25" s="220">
        <f t="shared" si="23"/>
        <v>0</v>
      </c>
      <c r="BD25" s="220">
        <f t="shared" si="23"/>
        <v>0</v>
      </c>
      <c r="BE25" s="220">
        <f t="shared" si="23"/>
        <v>0</v>
      </c>
      <c r="BF25" s="248">
        <f t="shared" si="24"/>
        <v>0</v>
      </c>
    </row>
    <row r="26" spans="1:58" x14ac:dyDescent="0.3">
      <c r="A26" s="187">
        <v>10</v>
      </c>
      <c r="B26" s="242">
        <f t="shared" si="25"/>
        <v>45931</v>
      </c>
      <c r="C26" s="243">
        <f t="shared" si="2"/>
        <v>45961</v>
      </c>
      <c r="D26" s="120">
        <f t="shared" si="3"/>
        <v>31</v>
      </c>
      <c r="E26" s="120">
        <f t="shared" si="4"/>
        <v>10</v>
      </c>
      <c r="F26" s="244">
        <f t="shared" si="5"/>
        <v>45946.5</v>
      </c>
      <c r="G26" s="120">
        <f t="shared" si="6"/>
        <v>24309</v>
      </c>
      <c r="H26" s="245">
        <f t="shared" si="7"/>
        <v>1</v>
      </c>
      <c r="I26" s="121">
        <f t="shared" si="8"/>
        <v>1.04</v>
      </c>
      <c r="J26" s="121">
        <f t="shared" si="9"/>
        <v>1.04</v>
      </c>
      <c r="K26" s="120">
        <f t="shared" si="10"/>
        <v>0</v>
      </c>
      <c r="L26" s="120">
        <f t="shared" si="11"/>
        <v>0</v>
      </c>
      <c r="M26" s="246">
        <f t="shared" si="12"/>
        <v>0</v>
      </c>
      <c r="N26" s="121">
        <f t="shared" si="13"/>
        <v>1.04</v>
      </c>
      <c r="O26" s="247">
        <f>'Mod Engine'!$E26</f>
        <v>0.83705689277899342</v>
      </c>
      <c r="P26" s="121">
        <f t="shared" si="14"/>
        <v>0.58333333333333326</v>
      </c>
      <c r="Q26" s="121">
        <f t="shared" si="15"/>
        <v>0</v>
      </c>
      <c r="R26" s="121">
        <f t="shared" si="16"/>
        <v>0</v>
      </c>
      <c r="S26" s="121" t="str">
        <f t="shared" si="17"/>
        <v/>
      </c>
      <c r="T26" s="121" t="str">
        <f t="shared" si="18"/>
        <v/>
      </c>
      <c r="U26" s="121">
        <f t="shared" si="19"/>
        <v>1.04</v>
      </c>
      <c r="V26" s="220">
        <f t="shared" si="20"/>
        <v>0.16666666666666666</v>
      </c>
      <c r="W26" s="220">
        <f t="shared" si="20"/>
        <v>0.16666666666666666</v>
      </c>
      <c r="X26" s="220">
        <f t="shared" si="20"/>
        <v>0.16666666666666666</v>
      </c>
      <c r="Y26" s="220">
        <f t="shared" si="20"/>
        <v>8.3333333333333329E-2</v>
      </c>
      <c r="Z26" s="220">
        <f t="shared" si="20"/>
        <v>0</v>
      </c>
      <c r="AA26" s="220">
        <f t="shared" si="20"/>
        <v>0</v>
      </c>
      <c r="AB26" s="220">
        <f t="shared" si="20"/>
        <v>0</v>
      </c>
      <c r="AC26" s="220">
        <f t="shared" si="20"/>
        <v>0</v>
      </c>
      <c r="AD26" s="220">
        <f t="shared" si="20"/>
        <v>0</v>
      </c>
      <c r="AE26" s="220">
        <f t="shared" si="20"/>
        <v>0</v>
      </c>
      <c r="AF26" s="220">
        <f t="shared" si="21"/>
        <v>0</v>
      </c>
      <c r="AG26" s="220">
        <f t="shared" si="21"/>
        <v>0</v>
      </c>
      <c r="AH26" s="220">
        <f t="shared" si="21"/>
        <v>0</v>
      </c>
      <c r="AI26" s="220">
        <f t="shared" si="21"/>
        <v>0</v>
      </c>
      <c r="AJ26" s="220">
        <f t="shared" si="21"/>
        <v>0</v>
      </c>
      <c r="AK26" s="220">
        <f t="shared" si="21"/>
        <v>0</v>
      </c>
      <c r="AL26" s="220">
        <f t="shared" si="21"/>
        <v>0</v>
      </c>
      <c r="AM26" s="220">
        <f t="shared" si="21"/>
        <v>0</v>
      </c>
      <c r="AN26" s="220">
        <f t="shared" si="21"/>
        <v>0</v>
      </c>
      <c r="AO26" s="220">
        <f t="shared" si="21"/>
        <v>0</v>
      </c>
      <c r="AP26" s="220">
        <f t="shared" si="22"/>
        <v>0</v>
      </c>
      <c r="AQ26" s="220">
        <f t="shared" si="22"/>
        <v>0</v>
      </c>
      <c r="AR26" s="220">
        <f t="shared" si="22"/>
        <v>0</v>
      </c>
      <c r="AS26" s="220">
        <f t="shared" si="22"/>
        <v>0</v>
      </c>
      <c r="AT26" s="220">
        <f t="shared" si="22"/>
        <v>0</v>
      </c>
      <c r="AU26" s="220">
        <f t="shared" si="22"/>
        <v>0</v>
      </c>
      <c r="AV26" s="220">
        <f t="shared" si="22"/>
        <v>0</v>
      </c>
      <c r="AW26" s="220">
        <f t="shared" si="22"/>
        <v>0</v>
      </c>
      <c r="AX26" s="220">
        <f t="shared" si="22"/>
        <v>0</v>
      </c>
      <c r="AY26" s="220">
        <f t="shared" si="22"/>
        <v>0</v>
      </c>
      <c r="AZ26" s="220">
        <f t="shared" si="23"/>
        <v>0</v>
      </c>
      <c r="BA26" s="220">
        <f t="shared" si="23"/>
        <v>0</v>
      </c>
      <c r="BB26" s="220">
        <f t="shared" si="23"/>
        <v>0</v>
      </c>
      <c r="BC26" s="220">
        <f t="shared" si="23"/>
        <v>0</v>
      </c>
      <c r="BD26" s="220">
        <f t="shared" si="23"/>
        <v>0</v>
      </c>
      <c r="BE26" s="220">
        <f t="shared" si="23"/>
        <v>0</v>
      </c>
      <c r="BF26" s="248">
        <f t="shared" si="24"/>
        <v>0</v>
      </c>
    </row>
    <row r="27" spans="1:58" x14ac:dyDescent="0.3">
      <c r="A27" s="187">
        <v>11</v>
      </c>
      <c r="B27" s="242">
        <f t="shared" si="25"/>
        <v>45962</v>
      </c>
      <c r="C27" s="243">
        <f t="shared" si="2"/>
        <v>45991</v>
      </c>
      <c r="D27" s="120">
        <f t="shared" si="3"/>
        <v>30</v>
      </c>
      <c r="E27" s="120">
        <f t="shared" si="4"/>
        <v>11</v>
      </c>
      <c r="F27" s="244">
        <f t="shared" si="5"/>
        <v>45977</v>
      </c>
      <c r="G27" s="120">
        <f t="shared" si="6"/>
        <v>24310</v>
      </c>
      <c r="H27" s="245">
        <f t="shared" si="7"/>
        <v>1</v>
      </c>
      <c r="I27" s="121">
        <f t="shared" si="8"/>
        <v>1.04</v>
      </c>
      <c r="J27" s="121">
        <f t="shared" si="9"/>
        <v>1.04</v>
      </c>
      <c r="K27" s="120">
        <f t="shared" si="10"/>
        <v>0</v>
      </c>
      <c r="L27" s="120">
        <f t="shared" si="11"/>
        <v>0</v>
      </c>
      <c r="M27" s="246">
        <f t="shared" si="12"/>
        <v>0</v>
      </c>
      <c r="N27" s="121">
        <f t="shared" si="13"/>
        <v>1.04</v>
      </c>
      <c r="O27" s="247">
        <f>'Mod Engine'!$E27</f>
        <v>0.8390590809628008</v>
      </c>
      <c r="P27" s="121">
        <f t="shared" si="14"/>
        <v>0.75</v>
      </c>
      <c r="Q27" s="121">
        <f t="shared" si="15"/>
        <v>0</v>
      </c>
      <c r="R27" s="121">
        <f t="shared" si="16"/>
        <v>0</v>
      </c>
      <c r="S27" s="121" t="str">
        <f t="shared" si="17"/>
        <v/>
      </c>
      <c r="T27" s="121" t="str">
        <f t="shared" si="18"/>
        <v/>
      </c>
      <c r="U27" s="121">
        <f t="shared" si="19"/>
        <v>1.04</v>
      </c>
      <c r="V27" s="220">
        <f t="shared" ref="V27:AE36" si="26">IF(OR(V$15&lt;$G27,V$15&gt;$G27+$F$5),0,IF(OR(V$15=$G27,V$15=$G27+$F$5),0.5,1)/$F$5)</f>
        <v>0.16666666666666666</v>
      </c>
      <c r="W27" s="220">
        <f t="shared" si="26"/>
        <v>0.16666666666666666</v>
      </c>
      <c r="X27" s="220">
        <f t="shared" si="26"/>
        <v>0.16666666666666666</v>
      </c>
      <c r="Y27" s="220">
        <f t="shared" si="26"/>
        <v>0.16666666666666666</v>
      </c>
      <c r="Z27" s="220">
        <f t="shared" si="26"/>
        <v>8.3333333333333329E-2</v>
      </c>
      <c r="AA27" s="220">
        <f t="shared" si="26"/>
        <v>0</v>
      </c>
      <c r="AB27" s="220">
        <f t="shared" si="26"/>
        <v>0</v>
      </c>
      <c r="AC27" s="220">
        <f t="shared" si="26"/>
        <v>0</v>
      </c>
      <c r="AD27" s="220">
        <f t="shared" si="26"/>
        <v>0</v>
      </c>
      <c r="AE27" s="220">
        <f t="shared" si="26"/>
        <v>0</v>
      </c>
      <c r="AF27" s="220">
        <f t="shared" ref="AF27:AO36" si="27">IF(OR(AF$15&lt;$G27,AF$15&gt;$G27+$F$5),0,IF(OR(AF$15=$G27,AF$15=$G27+$F$5),0.5,1)/$F$5)</f>
        <v>0</v>
      </c>
      <c r="AG27" s="220">
        <f t="shared" si="27"/>
        <v>0</v>
      </c>
      <c r="AH27" s="220">
        <f t="shared" si="27"/>
        <v>0</v>
      </c>
      <c r="AI27" s="220">
        <f t="shared" si="27"/>
        <v>0</v>
      </c>
      <c r="AJ27" s="220">
        <f t="shared" si="27"/>
        <v>0</v>
      </c>
      <c r="AK27" s="220">
        <f t="shared" si="27"/>
        <v>0</v>
      </c>
      <c r="AL27" s="220">
        <f t="shared" si="27"/>
        <v>0</v>
      </c>
      <c r="AM27" s="220">
        <f t="shared" si="27"/>
        <v>0</v>
      </c>
      <c r="AN27" s="220">
        <f t="shared" si="27"/>
        <v>0</v>
      </c>
      <c r="AO27" s="220">
        <f t="shared" si="27"/>
        <v>0</v>
      </c>
      <c r="AP27" s="220">
        <f t="shared" ref="AP27:AY36" si="28">IF(OR(AP$15&lt;$G27,AP$15&gt;$G27+$F$5),0,IF(OR(AP$15=$G27,AP$15=$G27+$F$5),0.5,1)/$F$5)</f>
        <v>0</v>
      </c>
      <c r="AQ27" s="220">
        <f t="shared" si="28"/>
        <v>0</v>
      </c>
      <c r="AR27" s="220">
        <f t="shared" si="28"/>
        <v>0</v>
      </c>
      <c r="AS27" s="220">
        <f t="shared" si="28"/>
        <v>0</v>
      </c>
      <c r="AT27" s="220">
        <f t="shared" si="28"/>
        <v>0</v>
      </c>
      <c r="AU27" s="220">
        <f t="shared" si="28"/>
        <v>0</v>
      </c>
      <c r="AV27" s="220">
        <f t="shared" si="28"/>
        <v>0</v>
      </c>
      <c r="AW27" s="220">
        <f t="shared" si="28"/>
        <v>0</v>
      </c>
      <c r="AX27" s="220">
        <f t="shared" si="28"/>
        <v>0</v>
      </c>
      <c r="AY27" s="220">
        <f t="shared" si="28"/>
        <v>0</v>
      </c>
      <c r="AZ27" s="220">
        <f t="shared" ref="AZ27:BE36" si="29">IF(OR(AZ$15&lt;$G27,AZ$15&gt;$G27+$F$5),0,IF(OR(AZ$15=$G27,AZ$15=$G27+$F$5),0.5,1)/$F$5)</f>
        <v>0</v>
      </c>
      <c r="BA27" s="220">
        <f t="shared" si="29"/>
        <v>0</v>
      </c>
      <c r="BB27" s="220">
        <f t="shared" si="29"/>
        <v>0</v>
      </c>
      <c r="BC27" s="220">
        <f t="shared" si="29"/>
        <v>0</v>
      </c>
      <c r="BD27" s="220">
        <f t="shared" si="29"/>
        <v>0</v>
      </c>
      <c r="BE27" s="220">
        <f t="shared" si="29"/>
        <v>0</v>
      </c>
      <c r="BF27" s="248">
        <f t="shared" si="24"/>
        <v>0</v>
      </c>
    </row>
    <row r="28" spans="1:58" x14ac:dyDescent="0.3">
      <c r="A28" s="187">
        <v>12</v>
      </c>
      <c r="B28" s="242">
        <f t="shared" si="25"/>
        <v>45992</v>
      </c>
      <c r="C28" s="243">
        <f t="shared" si="2"/>
        <v>46022</v>
      </c>
      <c r="D28" s="120">
        <f t="shared" si="3"/>
        <v>31</v>
      </c>
      <c r="E28" s="120">
        <f t="shared" si="4"/>
        <v>12</v>
      </c>
      <c r="F28" s="244">
        <f t="shared" si="5"/>
        <v>46007.5</v>
      </c>
      <c r="G28" s="120">
        <f t="shared" si="6"/>
        <v>24311</v>
      </c>
      <c r="H28" s="245">
        <f t="shared" si="7"/>
        <v>1</v>
      </c>
      <c r="I28" s="121">
        <f t="shared" si="8"/>
        <v>1.04</v>
      </c>
      <c r="J28" s="121">
        <f t="shared" si="9"/>
        <v>1.04</v>
      </c>
      <c r="K28" s="120">
        <f t="shared" si="10"/>
        <v>0</v>
      </c>
      <c r="L28" s="120">
        <f t="shared" si="11"/>
        <v>0</v>
      </c>
      <c r="M28" s="246">
        <f t="shared" si="12"/>
        <v>0</v>
      </c>
      <c r="N28" s="121">
        <f t="shared" si="13"/>
        <v>1.04</v>
      </c>
      <c r="O28" s="247">
        <f>'Mod Engine'!$E28</f>
        <v>0.84106126914660828</v>
      </c>
      <c r="P28" s="121">
        <f t="shared" si="14"/>
        <v>0.91666666666666663</v>
      </c>
      <c r="Q28" s="121">
        <f t="shared" si="15"/>
        <v>0</v>
      </c>
      <c r="R28" s="121">
        <f t="shared" si="16"/>
        <v>0</v>
      </c>
      <c r="S28" s="121" t="str">
        <f t="shared" si="17"/>
        <v/>
      </c>
      <c r="T28" s="121" t="str">
        <f t="shared" si="18"/>
        <v/>
      </c>
      <c r="U28" s="121">
        <f t="shared" si="19"/>
        <v>1.04</v>
      </c>
      <c r="V28" s="220">
        <f t="shared" si="26"/>
        <v>0.16666666666666666</v>
      </c>
      <c r="W28" s="220">
        <f t="shared" si="26"/>
        <v>0.16666666666666666</v>
      </c>
      <c r="X28" s="220">
        <f t="shared" si="26"/>
        <v>0.16666666666666666</v>
      </c>
      <c r="Y28" s="220">
        <f t="shared" si="26"/>
        <v>0.16666666666666666</v>
      </c>
      <c r="Z28" s="220">
        <f t="shared" si="26"/>
        <v>0.16666666666666666</v>
      </c>
      <c r="AA28" s="220">
        <f t="shared" si="26"/>
        <v>8.3333333333333329E-2</v>
      </c>
      <c r="AB28" s="220">
        <f t="shared" si="26"/>
        <v>0</v>
      </c>
      <c r="AC28" s="220">
        <f t="shared" si="26"/>
        <v>0</v>
      </c>
      <c r="AD28" s="220">
        <f t="shared" si="26"/>
        <v>0</v>
      </c>
      <c r="AE28" s="220">
        <f t="shared" si="26"/>
        <v>0</v>
      </c>
      <c r="AF28" s="220">
        <f t="shared" si="27"/>
        <v>0</v>
      </c>
      <c r="AG28" s="220">
        <f t="shared" si="27"/>
        <v>0</v>
      </c>
      <c r="AH28" s="220">
        <f t="shared" si="27"/>
        <v>0</v>
      </c>
      <c r="AI28" s="220">
        <f t="shared" si="27"/>
        <v>0</v>
      </c>
      <c r="AJ28" s="220">
        <f t="shared" si="27"/>
        <v>0</v>
      </c>
      <c r="AK28" s="220">
        <f t="shared" si="27"/>
        <v>0</v>
      </c>
      <c r="AL28" s="220">
        <f t="shared" si="27"/>
        <v>0</v>
      </c>
      <c r="AM28" s="220">
        <f t="shared" si="27"/>
        <v>0</v>
      </c>
      <c r="AN28" s="220">
        <f t="shared" si="27"/>
        <v>0</v>
      </c>
      <c r="AO28" s="220">
        <f t="shared" si="27"/>
        <v>0</v>
      </c>
      <c r="AP28" s="220">
        <f t="shared" si="28"/>
        <v>0</v>
      </c>
      <c r="AQ28" s="220">
        <f t="shared" si="28"/>
        <v>0</v>
      </c>
      <c r="AR28" s="220">
        <f t="shared" si="28"/>
        <v>0</v>
      </c>
      <c r="AS28" s="220">
        <f t="shared" si="28"/>
        <v>0</v>
      </c>
      <c r="AT28" s="220">
        <f t="shared" si="28"/>
        <v>0</v>
      </c>
      <c r="AU28" s="220">
        <f t="shared" si="28"/>
        <v>0</v>
      </c>
      <c r="AV28" s="220">
        <f t="shared" si="28"/>
        <v>0</v>
      </c>
      <c r="AW28" s="220">
        <f t="shared" si="28"/>
        <v>0</v>
      </c>
      <c r="AX28" s="220">
        <f t="shared" si="28"/>
        <v>0</v>
      </c>
      <c r="AY28" s="220">
        <f t="shared" si="28"/>
        <v>0</v>
      </c>
      <c r="AZ28" s="220">
        <f t="shared" si="29"/>
        <v>0</v>
      </c>
      <c r="BA28" s="220">
        <f t="shared" si="29"/>
        <v>0</v>
      </c>
      <c r="BB28" s="220">
        <f t="shared" si="29"/>
        <v>0</v>
      </c>
      <c r="BC28" s="220">
        <f t="shared" si="29"/>
        <v>0</v>
      </c>
      <c r="BD28" s="220">
        <f t="shared" si="29"/>
        <v>0</v>
      </c>
      <c r="BE28" s="220">
        <f t="shared" si="29"/>
        <v>0</v>
      </c>
      <c r="BF28" s="248">
        <f t="shared" si="24"/>
        <v>0</v>
      </c>
    </row>
    <row r="29" spans="1:58" x14ac:dyDescent="0.3">
      <c r="A29" s="187">
        <v>13</v>
      </c>
      <c r="B29" s="242">
        <f t="shared" si="25"/>
        <v>46023</v>
      </c>
      <c r="C29" s="243">
        <f t="shared" si="2"/>
        <v>46053</v>
      </c>
      <c r="D29" s="120">
        <f t="shared" si="3"/>
        <v>31</v>
      </c>
      <c r="E29" s="120">
        <f t="shared" si="4"/>
        <v>1</v>
      </c>
      <c r="F29" s="244">
        <f t="shared" si="5"/>
        <v>46038.5</v>
      </c>
      <c r="G29" s="120">
        <f t="shared" si="6"/>
        <v>24312</v>
      </c>
      <c r="H29" s="245">
        <f t="shared" si="7"/>
        <v>1</v>
      </c>
      <c r="I29" s="121">
        <f t="shared" si="8"/>
        <v>1.04</v>
      </c>
      <c r="J29" s="121">
        <f t="shared" si="9"/>
        <v>1.04</v>
      </c>
      <c r="K29" s="120">
        <f t="shared" si="10"/>
        <v>0</v>
      </c>
      <c r="L29" s="120">
        <f t="shared" si="11"/>
        <v>0</v>
      </c>
      <c r="M29" s="246">
        <f t="shared" si="12"/>
        <v>0</v>
      </c>
      <c r="N29" s="121">
        <f t="shared" si="13"/>
        <v>1.04</v>
      </c>
      <c r="O29" s="247">
        <f>'Mod Engine'!$E29</f>
        <v>0.84309628008752735</v>
      </c>
      <c r="P29" s="121">
        <f t="shared" si="14"/>
        <v>1</v>
      </c>
      <c r="Q29" s="121">
        <f t="shared" si="15"/>
        <v>0</v>
      </c>
      <c r="R29" s="121">
        <f t="shared" si="16"/>
        <v>0</v>
      </c>
      <c r="S29" s="121" t="str">
        <f t="shared" si="17"/>
        <v/>
      </c>
      <c r="T29" s="121" t="str">
        <f t="shared" si="18"/>
        <v/>
      </c>
      <c r="U29" s="121">
        <f t="shared" si="19"/>
        <v>1.04</v>
      </c>
      <c r="V29" s="220">
        <f t="shared" si="26"/>
        <v>8.3333333333333329E-2</v>
      </c>
      <c r="W29" s="220">
        <f t="shared" si="26"/>
        <v>0.16666666666666666</v>
      </c>
      <c r="X29" s="220">
        <f t="shared" si="26"/>
        <v>0.16666666666666666</v>
      </c>
      <c r="Y29" s="220">
        <f t="shared" si="26"/>
        <v>0.16666666666666666</v>
      </c>
      <c r="Z29" s="220">
        <f t="shared" si="26"/>
        <v>0.16666666666666666</v>
      </c>
      <c r="AA29" s="220">
        <f t="shared" si="26"/>
        <v>0.16666666666666666</v>
      </c>
      <c r="AB29" s="220">
        <f t="shared" si="26"/>
        <v>8.3333333333333329E-2</v>
      </c>
      <c r="AC29" s="220">
        <f t="shared" si="26"/>
        <v>0</v>
      </c>
      <c r="AD29" s="220">
        <f t="shared" si="26"/>
        <v>0</v>
      </c>
      <c r="AE29" s="220">
        <f t="shared" si="26"/>
        <v>0</v>
      </c>
      <c r="AF29" s="220">
        <f t="shared" si="27"/>
        <v>0</v>
      </c>
      <c r="AG29" s="220">
        <f t="shared" si="27"/>
        <v>0</v>
      </c>
      <c r="AH29" s="220">
        <f t="shared" si="27"/>
        <v>0</v>
      </c>
      <c r="AI29" s="220">
        <f t="shared" si="27"/>
        <v>0</v>
      </c>
      <c r="AJ29" s="220">
        <f t="shared" si="27"/>
        <v>0</v>
      </c>
      <c r="AK29" s="220">
        <f t="shared" si="27"/>
        <v>0</v>
      </c>
      <c r="AL29" s="220">
        <f t="shared" si="27"/>
        <v>0</v>
      </c>
      <c r="AM29" s="220">
        <f t="shared" si="27"/>
        <v>0</v>
      </c>
      <c r="AN29" s="220">
        <f t="shared" si="27"/>
        <v>0</v>
      </c>
      <c r="AO29" s="220">
        <f t="shared" si="27"/>
        <v>0</v>
      </c>
      <c r="AP29" s="220">
        <f t="shared" si="28"/>
        <v>0</v>
      </c>
      <c r="AQ29" s="220">
        <f t="shared" si="28"/>
        <v>0</v>
      </c>
      <c r="AR29" s="220">
        <f t="shared" si="28"/>
        <v>0</v>
      </c>
      <c r="AS29" s="220">
        <f t="shared" si="28"/>
        <v>0</v>
      </c>
      <c r="AT29" s="220">
        <f t="shared" si="28"/>
        <v>0</v>
      </c>
      <c r="AU29" s="220">
        <f t="shared" si="28"/>
        <v>0</v>
      </c>
      <c r="AV29" s="220">
        <f t="shared" si="28"/>
        <v>0</v>
      </c>
      <c r="AW29" s="220">
        <f t="shared" si="28"/>
        <v>0</v>
      </c>
      <c r="AX29" s="220">
        <f t="shared" si="28"/>
        <v>0</v>
      </c>
      <c r="AY29" s="220">
        <f t="shared" si="28"/>
        <v>0</v>
      </c>
      <c r="AZ29" s="220">
        <f t="shared" si="29"/>
        <v>0</v>
      </c>
      <c r="BA29" s="220">
        <f t="shared" si="29"/>
        <v>0</v>
      </c>
      <c r="BB29" s="220">
        <f t="shared" si="29"/>
        <v>0</v>
      </c>
      <c r="BC29" s="220">
        <f t="shared" si="29"/>
        <v>0</v>
      </c>
      <c r="BD29" s="220">
        <f t="shared" si="29"/>
        <v>0</v>
      </c>
      <c r="BE29" s="220">
        <f t="shared" si="29"/>
        <v>0</v>
      </c>
      <c r="BF29" s="248">
        <f t="shared" si="24"/>
        <v>1.1102230246251565E-16</v>
      </c>
    </row>
    <row r="30" spans="1:58" x14ac:dyDescent="0.3">
      <c r="A30" s="187">
        <v>14</v>
      </c>
      <c r="B30" s="242">
        <f t="shared" si="25"/>
        <v>46054</v>
      </c>
      <c r="C30" s="243">
        <f t="shared" si="2"/>
        <v>46081</v>
      </c>
      <c r="D30" s="120">
        <f t="shared" si="3"/>
        <v>28</v>
      </c>
      <c r="E30" s="120">
        <f t="shared" si="4"/>
        <v>2</v>
      </c>
      <c r="F30" s="244">
        <f t="shared" si="5"/>
        <v>46068</v>
      </c>
      <c r="G30" s="120">
        <f t="shared" si="6"/>
        <v>24313</v>
      </c>
      <c r="H30" s="245">
        <f t="shared" si="7"/>
        <v>1</v>
      </c>
      <c r="I30" s="121">
        <f t="shared" si="8"/>
        <v>1.04</v>
      </c>
      <c r="J30" s="121">
        <f t="shared" si="9"/>
        <v>1.04</v>
      </c>
      <c r="K30" s="120">
        <f t="shared" si="10"/>
        <v>0</v>
      </c>
      <c r="L30" s="120">
        <f t="shared" si="11"/>
        <v>0</v>
      </c>
      <c r="M30" s="246">
        <f t="shared" si="12"/>
        <v>0</v>
      </c>
      <c r="N30" s="121">
        <f t="shared" si="13"/>
        <v>1.04</v>
      </c>
      <c r="O30" s="247">
        <f>'Mod Engine'!$E30</f>
        <v>0.84503282275711156</v>
      </c>
      <c r="P30" s="121">
        <f t="shared" si="14"/>
        <v>1</v>
      </c>
      <c r="Q30" s="121">
        <f t="shared" si="15"/>
        <v>0</v>
      </c>
      <c r="R30" s="121">
        <f t="shared" si="16"/>
        <v>0</v>
      </c>
      <c r="S30" s="121" t="str">
        <f t="shared" si="17"/>
        <v/>
      </c>
      <c r="T30" s="121" t="str">
        <f t="shared" si="18"/>
        <v/>
      </c>
      <c r="U30" s="121">
        <f t="shared" si="19"/>
        <v>1.04</v>
      </c>
      <c r="V30" s="220">
        <f t="shared" si="26"/>
        <v>0</v>
      </c>
      <c r="W30" s="220">
        <f t="shared" si="26"/>
        <v>8.3333333333333329E-2</v>
      </c>
      <c r="X30" s="220">
        <f t="shared" si="26"/>
        <v>0.16666666666666666</v>
      </c>
      <c r="Y30" s="220">
        <f t="shared" si="26"/>
        <v>0.16666666666666666</v>
      </c>
      <c r="Z30" s="220">
        <f t="shared" si="26"/>
        <v>0.16666666666666666</v>
      </c>
      <c r="AA30" s="220">
        <f t="shared" si="26"/>
        <v>0.16666666666666666</v>
      </c>
      <c r="AB30" s="220">
        <f t="shared" si="26"/>
        <v>0.16666666666666666</v>
      </c>
      <c r="AC30" s="220">
        <f t="shared" si="26"/>
        <v>8.3333333333333329E-2</v>
      </c>
      <c r="AD30" s="220">
        <f t="shared" si="26"/>
        <v>0</v>
      </c>
      <c r="AE30" s="220">
        <f t="shared" si="26"/>
        <v>0</v>
      </c>
      <c r="AF30" s="220">
        <f t="shared" si="27"/>
        <v>0</v>
      </c>
      <c r="AG30" s="220">
        <f t="shared" si="27"/>
        <v>0</v>
      </c>
      <c r="AH30" s="220">
        <f t="shared" si="27"/>
        <v>0</v>
      </c>
      <c r="AI30" s="220">
        <f t="shared" si="27"/>
        <v>0</v>
      </c>
      <c r="AJ30" s="220">
        <f t="shared" si="27"/>
        <v>0</v>
      </c>
      <c r="AK30" s="220">
        <f t="shared" si="27"/>
        <v>0</v>
      </c>
      <c r="AL30" s="220">
        <f t="shared" si="27"/>
        <v>0</v>
      </c>
      <c r="AM30" s="220">
        <f t="shared" si="27"/>
        <v>0</v>
      </c>
      <c r="AN30" s="220">
        <f t="shared" si="27"/>
        <v>0</v>
      </c>
      <c r="AO30" s="220">
        <f t="shared" si="27"/>
        <v>0</v>
      </c>
      <c r="AP30" s="220">
        <f t="shared" si="28"/>
        <v>0</v>
      </c>
      <c r="AQ30" s="220">
        <f t="shared" si="28"/>
        <v>0</v>
      </c>
      <c r="AR30" s="220">
        <f t="shared" si="28"/>
        <v>0</v>
      </c>
      <c r="AS30" s="220">
        <f t="shared" si="28"/>
        <v>0</v>
      </c>
      <c r="AT30" s="220">
        <f t="shared" si="28"/>
        <v>0</v>
      </c>
      <c r="AU30" s="220">
        <f t="shared" si="28"/>
        <v>0</v>
      </c>
      <c r="AV30" s="220">
        <f t="shared" si="28"/>
        <v>0</v>
      </c>
      <c r="AW30" s="220">
        <f t="shared" si="28"/>
        <v>0</v>
      </c>
      <c r="AX30" s="220">
        <f t="shared" si="28"/>
        <v>0</v>
      </c>
      <c r="AY30" s="220">
        <f t="shared" si="28"/>
        <v>0</v>
      </c>
      <c r="AZ30" s="220">
        <f t="shared" si="29"/>
        <v>0</v>
      </c>
      <c r="BA30" s="220">
        <f t="shared" si="29"/>
        <v>0</v>
      </c>
      <c r="BB30" s="220">
        <f t="shared" si="29"/>
        <v>0</v>
      </c>
      <c r="BC30" s="220">
        <f t="shared" si="29"/>
        <v>0</v>
      </c>
      <c r="BD30" s="220">
        <f t="shared" si="29"/>
        <v>0</v>
      </c>
      <c r="BE30" s="220">
        <f t="shared" si="29"/>
        <v>0</v>
      </c>
      <c r="BF30" s="248">
        <f t="shared" si="24"/>
        <v>1.1102230246251565E-16</v>
      </c>
    </row>
    <row r="31" spans="1:58" x14ac:dyDescent="0.3">
      <c r="A31" s="187">
        <v>15</v>
      </c>
      <c r="B31" s="242">
        <f t="shared" si="25"/>
        <v>46082</v>
      </c>
      <c r="C31" s="243">
        <f t="shared" si="2"/>
        <v>46112</v>
      </c>
      <c r="D31" s="120">
        <f t="shared" si="3"/>
        <v>31</v>
      </c>
      <c r="E31" s="120">
        <f t="shared" si="4"/>
        <v>3</v>
      </c>
      <c r="F31" s="244">
        <f t="shared" si="5"/>
        <v>46097.5</v>
      </c>
      <c r="G31" s="120">
        <f t="shared" si="6"/>
        <v>24314</v>
      </c>
      <c r="H31" s="245">
        <f t="shared" si="7"/>
        <v>1</v>
      </c>
      <c r="I31" s="121">
        <f t="shared" si="8"/>
        <v>1.04</v>
      </c>
      <c r="J31" s="121">
        <f t="shared" si="9"/>
        <v>1.04</v>
      </c>
      <c r="K31" s="120">
        <f t="shared" si="10"/>
        <v>0</v>
      </c>
      <c r="L31" s="120">
        <f t="shared" si="11"/>
        <v>0</v>
      </c>
      <c r="M31" s="246">
        <f t="shared" si="12"/>
        <v>0</v>
      </c>
      <c r="N31" s="121">
        <f t="shared" si="13"/>
        <v>1.04</v>
      </c>
      <c r="O31" s="247">
        <f>'Mod Engine'!$E31</f>
        <v>0.84696936542669587</v>
      </c>
      <c r="P31" s="121">
        <f t="shared" si="14"/>
        <v>1</v>
      </c>
      <c r="Q31" s="121">
        <f t="shared" si="15"/>
        <v>0</v>
      </c>
      <c r="R31" s="121">
        <f t="shared" si="16"/>
        <v>0</v>
      </c>
      <c r="S31" s="121" t="str">
        <f t="shared" si="17"/>
        <v/>
      </c>
      <c r="T31" s="121" t="str">
        <f t="shared" si="18"/>
        <v/>
      </c>
      <c r="U31" s="121">
        <f t="shared" si="19"/>
        <v>1.04</v>
      </c>
      <c r="V31" s="220">
        <f t="shared" si="26"/>
        <v>0</v>
      </c>
      <c r="W31" s="220">
        <f t="shared" si="26"/>
        <v>0</v>
      </c>
      <c r="X31" s="220">
        <f t="shared" si="26"/>
        <v>8.3333333333333329E-2</v>
      </c>
      <c r="Y31" s="220">
        <f t="shared" si="26"/>
        <v>0.16666666666666666</v>
      </c>
      <c r="Z31" s="220">
        <f t="shared" si="26"/>
        <v>0.16666666666666666</v>
      </c>
      <c r="AA31" s="220">
        <f t="shared" si="26"/>
        <v>0.16666666666666666</v>
      </c>
      <c r="AB31" s="220">
        <f t="shared" si="26"/>
        <v>0.16666666666666666</v>
      </c>
      <c r="AC31" s="220">
        <f t="shared" si="26"/>
        <v>0.16666666666666666</v>
      </c>
      <c r="AD31" s="220">
        <f t="shared" si="26"/>
        <v>8.3333333333333329E-2</v>
      </c>
      <c r="AE31" s="220">
        <f t="shared" si="26"/>
        <v>0</v>
      </c>
      <c r="AF31" s="220">
        <f t="shared" si="27"/>
        <v>0</v>
      </c>
      <c r="AG31" s="220">
        <f t="shared" si="27"/>
        <v>0</v>
      </c>
      <c r="AH31" s="220">
        <f t="shared" si="27"/>
        <v>0</v>
      </c>
      <c r="AI31" s="220">
        <f t="shared" si="27"/>
        <v>0</v>
      </c>
      <c r="AJ31" s="220">
        <f t="shared" si="27"/>
        <v>0</v>
      </c>
      <c r="AK31" s="220">
        <f t="shared" si="27"/>
        <v>0</v>
      </c>
      <c r="AL31" s="220">
        <f t="shared" si="27"/>
        <v>0</v>
      </c>
      <c r="AM31" s="220">
        <f t="shared" si="27"/>
        <v>0</v>
      </c>
      <c r="AN31" s="220">
        <f t="shared" si="27"/>
        <v>0</v>
      </c>
      <c r="AO31" s="220">
        <f t="shared" si="27"/>
        <v>0</v>
      </c>
      <c r="AP31" s="220">
        <f t="shared" si="28"/>
        <v>0</v>
      </c>
      <c r="AQ31" s="220">
        <f t="shared" si="28"/>
        <v>0</v>
      </c>
      <c r="AR31" s="220">
        <f t="shared" si="28"/>
        <v>0</v>
      </c>
      <c r="AS31" s="220">
        <f t="shared" si="28"/>
        <v>0</v>
      </c>
      <c r="AT31" s="220">
        <f t="shared" si="28"/>
        <v>0</v>
      </c>
      <c r="AU31" s="220">
        <f t="shared" si="28"/>
        <v>0</v>
      </c>
      <c r="AV31" s="220">
        <f t="shared" si="28"/>
        <v>0</v>
      </c>
      <c r="AW31" s="220">
        <f t="shared" si="28"/>
        <v>0</v>
      </c>
      <c r="AX31" s="220">
        <f t="shared" si="28"/>
        <v>0</v>
      </c>
      <c r="AY31" s="220">
        <f t="shared" si="28"/>
        <v>0</v>
      </c>
      <c r="AZ31" s="220">
        <f t="shared" si="29"/>
        <v>0</v>
      </c>
      <c r="BA31" s="220">
        <f t="shared" si="29"/>
        <v>0</v>
      </c>
      <c r="BB31" s="220">
        <f t="shared" si="29"/>
        <v>0</v>
      </c>
      <c r="BC31" s="220">
        <f t="shared" si="29"/>
        <v>0</v>
      </c>
      <c r="BD31" s="220">
        <f t="shared" si="29"/>
        <v>0</v>
      </c>
      <c r="BE31" s="220">
        <f t="shared" si="29"/>
        <v>0</v>
      </c>
      <c r="BF31" s="248">
        <f t="shared" si="24"/>
        <v>1.1102230246251565E-16</v>
      </c>
    </row>
    <row r="32" spans="1:58" x14ac:dyDescent="0.3">
      <c r="A32" s="187">
        <v>16</v>
      </c>
      <c r="B32" s="242">
        <f t="shared" si="25"/>
        <v>46113</v>
      </c>
      <c r="C32" s="243">
        <f t="shared" si="2"/>
        <v>46142</v>
      </c>
      <c r="D32" s="120">
        <f t="shared" si="3"/>
        <v>30</v>
      </c>
      <c r="E32" s="120">
        <f t="shared" si="4"/>
        <v>4</v>
      </c>
      <c r="F32" s="244">
        <f t="shared" si="5"/>
        <v>46128</v>
      </c>
      <c r="G32" s="120">
        <f t="shared" si="6"/>
        <v>24315</v>
      </c>
      <c r="H32" s="245">
        <f t="shared" si="7"/>
        <v>1</v>
      </c>
      <c r="I32" s="121">
        <f t="shared" si="8"/>
        <v>1.04</v>
      </c>
      <c r="J32" s="121">
        <f t="shared" si="9"/>
        <v>1.04</v>
      </c>
      <c r="K32" s="120">
        <f t="shared" si="10"/>
        <v>0</v>
      </c>
      <c r="L32" s="120">
        <f t="shared" si="11"/>
        <v>0</v>
      </c>
      <c r="M32" s="246">
        <f t="shared" si="12"/>
        <v>0</v>
      </c>
      <c r="N32" s="121">
        <f t="shared" si="13"/>
        <v>1.04</v>
      </c>
      <c r="O32" s="247">
        <f>'Mod Engine'!$E32</f>
        <v>0.84897155361050325</v>
      </c>
      <c r="P32" s="121">
        <f t="shared" si="14"/>
        <v>1</v>
      </c>
      <c r="Q32" s="121">
        <f t="shared" si="15"/>
        <v>0</v>
      </c>
      <c r="R32" s="121">
        <f t="shared" si="16"/>
        <v>0</v>
      </c>
      <c r="S32" s="121" t="str">
        <f t="shared" si="17"/>
        <v/>
      </c>
      <c r="T32" s="121" t="str">
        <f t="shared" si="18"/>
        <v/>
      </c>
      <c r="U32" s="121">
        <f t="shared" si="19"/>
        <v>1.04</v>
      </c>
      <c r="V32" s="220">
        <f t="shared" si="26"/>
        <v>0</v>
      </c>
      <c r="W32" s="220">
        <f t="shared" si="26"/>
        <v>0</v>
      </c>
      <c r="X32" s="220">
        <f t="shared" si="26"/>
        <v>0</v>
      </c>
      <c r="Y32" s="220">
        <f t="shared" si="26"/>
        <v>8.3333333333333329E-2</v>
      </c>
      <c r="Z32" s="220">
        <f t="shared" si="26"/>
        <v>0.16666666666666666</v>
      </c>
      <c r="AA32" s="220">
        <f t="shared" si="26"/>
        <v>0.16666666666666666</v>
      </c>
      <c r="AB32" s="220">
        <f t="shared" si="26"/>
        <v>0.16666666666666666</v>
      </c>
      <c r="AC32" s="220">
        <f t="shared" si="26"/>
        <v>0.16666666666666666</v>
      </c>
      <c r="AD32" s="220">
        <f t="shared" si="26"/>
        <v>0.16666666666666666</v>
      </c>
      <c r="AE32" s="220">
        <f t="shared" si="26"/>
        <v>8.3333333333333329E-2</v>
      </c>
      <c r="AF32" s="220">
        <f t="shared" si="27"/>
        <v>0</v>
      </c>
      <c r="AG32" s="220">
        <f t="shared" si="27"/>
        <v>0</v>
      </c>
      <c r="AH32" s="220">
        <f t="shared" si="27"/>
        <v>0</v>
      </c>
      <c r="AI32" s="220">
        <f t="shared" si="27"/>
        <v>0</v>
      </c>
      <c r="AJ32" s="220">
        <f t="shared" si="27"/>
        <v>0</v>
      </c>
      <c r="AK32" s="220">
        <f t="shared" si="27"/>
        <v>0</v>
      </c>
      <c r="AL32" s="220">
        <f t="shared" si="27"/>
        <v>0</v>
      </c>
      <c r="AM32" s="220">
        <f t="shared" si="27"/>
        <v>0</v>
      </c>
      <c r="AN32" s="220">
        <f t="shared" si="27"/>
        <v>0</v>
      </c>
      <c r="AO32" s="220">
        <f t="shared" si="27"/>
        <v>0</v>
      </c>
      <c r="AP32" s="220">
        <f t="shared" si="28"/>
        <v>0</v>
      </c>
      <c r="AQ32" s="220">
        <f t="shared" si="28"/>
        <v>0</v>
      </c>
      <c r="AR32" s="220">
        <f t="shared" si="28"/>
        <v>0</v>
      </c>
      <c r="AS32" s="220">
        <f t="shared" si="28"/>
        <v>0</v>
      </c>
      <c r="AT32" s="220">
        <f t="shared" si="28"/>
        <v>0</v>
      </c>
      <c r="AU32" s="220">
        <f t="shared" si="28"/>
        <v>0</v>
      </c>
      <c r="AV32" s="220">
        <f t="shared" si="28"/>
        <v>0</v>
      </c>
      <c r="AW32" s="220">
        <f t="shared" si="28"/>
        <v>0</v>
      </c>
      <c r="AX32" s="220">
        <f t="shared" si="28"/>
        <v>0</v>
      </c>
      <c r="AY32" s="220">
        <f t="shared" si="28"/>
        <v>0</v>
      </c>
      <c r="AZ32" s="220">
        <f t="shared" si="29"/>
        <v>0</v>
      </c>
      <c r="BA32" s="220">
        <f t="shared" si="29"/>
        <v>0</v>
      </c>
      <c r="BB32" s="220">
        <f t="shared" si="29"/>
        <v>0</v>
      </c>
      <c r="BC32" s="220">
        <f t="shared" si="29"/>
        <v>0</v>
      </c>
      <c r="BD32" s="220">
        <f t="shared" si="29"/>
        <v>0</v>
      </c>
      <c r="BE32" s="220">
        <f t="shared" si="29"/>
        <v>0</v>
      </c>
      <c r="BF32" s="248">
        <f t="shared" si="24"/>
        <v>1.1102230246251565E-16</v>
      </c>
    </row>
    <row r="33" spans="1:58" x14ac:dyDescent="0.3">
      <c r="A33" s="187">
        <v>17</v>
      </c>
      <c r="B33" s="242">
        <f t="shared" si="25"/>
        <v>46143</v>
      </c>
      <c r="C33" s="243">
        <f t="shared" si="2"/>
        <v>46173</v>
      </c>
      <c r="D33" s="120">
        <f t="shared" si="3"/>
        <v>31</v>
      </c>
      <c r="E33" s="120">
        <f t="shared" si="4"/>
        <v>5</v>
      </c>
      <c r="F33" s="244">
        <f t="shared" si="5"/>
        <v>46158.5</v>
      </c>
      <c r="G33" s="120">
        <f t="shared" si="6"/>
        <v>24316</v>
      </c>
      <c r="H33" s="245">
        <f t="shared" si="7"/>
        <v>1</v>
      </c>
      <c r="I33" s="121">
        <f t="shared" si="8"/>
        <v>1.04</v>
      </c>
      <c r="J33" s="121">
        <f t="shared" si="9"/>
        <v>1.04</v>
      </c>
      <c r="K33" s="120">
        <f t="shared" si="10"/>
        <v>0</v>
      </c>
      <c r="L33" s="120">
        <f t="shared" si="11"/>
        <v>0</v>
      </c>
      <c r="M33" s="246">
        <f t="shared" si="12"/>
        <v>0</v>
      </c>
      <c r="N33" s="121">
        <f t="shared" si="13"/>
        <v>1.04</v>
      </c>
      <c r="O33" s="247">
        <f>'Mod Engine'!$E33</f>
        <v>0.85097374179431073</v>
      </c>
      <c r="P33" s="121">
        <f t="shared" si="14"/>
        <v>1</v>
      </c>
      <c r="Q33" s="121">
        <f t="shared" si="15"/>
        <v>0</v>
      </c>
      <c r="R33" s="121">
        <f t="shared" si="16"/>
        <v>0</v>
      </c>
      <c r="S33" s="121" t="str">
        <f t="shared" si="17"/>
        <v/>
      </c>
      <c r="T33" s="121" t="str">
        <f t="shared" si="18"/>
        <v/>
      </c>
      <c r="U33" s="121">
        <f t="shared" si="19"/>
        <v>1.04</v>
      </c>
      <c r="V33" s="220">
        <f t="shared" si="26"/>
        <v>0</v>
      </c>
      <c r="W33" s="220">
        <f t="shared" si="26"/>
        <v>0</v>
      </c>
      <c r="X33" s="220">
        <f t="shared" si="26"/>
        <v>0</v>
      </c>
      <c r="Y33" s="220">
        <f t="shared" si="26"/>
        <v>0</v>
      </c>
      <c r="Z33" s="220">
        <f t="shared" si="26"/>
        <v>8.3333333333333329E-2</v>
      </c>
      <c r="AA33" s="220">
        <f t="shared" si="26"/>
        <v>0.16666666666666666</v>
      </c>
      <c r="AB33" s="220">
        <f t="shared" si="26"/>
        <v>0.16666666666666666</v>
      </c>
      <c r="AC33" s="220">
        <f t="shared" si="26"/>
        <v>0.16666666666666666</v>
      </c>
      <c r="AD33" s="220">
        <f t="shared" si="26"/>
        <v>0.16666666666666666</v>
      </c>
      <c r="AE33" s="220">
        <f t="shared" si="26"/>
        <v>0.16666666666666666</v>
      </c>
      <c r="AF33" s="220">
        <f t="shared" si="27"/>
        <v>8.3333333333333329E-2</v>
      </c>
      <c r="AG33" s="220">
        <f t="shared" si="27"/>
        <v>0</v>
      </c>
      <c r="AH33" s="220">
        <f t="shared" si="27"/>
        <v>0</v>
      </c>
      <c r="AI33" s="220">
        <f t="shared" si="27"/>
        <v>0</v>
      </c>
      <c r="AJ33" s="220">
        <f t="shared" si="27"/>
        <v>0</v>
      </c>
      <c r="AK33" s="220">
        <f t="shared" si="27"/>
        <v>0</v>
      </c>
      <c r="AL33" s="220">
        <f t="shared" si="27"/>
        <v>0</v>
      </c>
      <c r="AM33" s="220">
        <f t="shared" si="27"/>
        <v>0</v>
      </c>
      <c r="AN33" s="220">
        <f t="shared" si="27"/>
        <v>0</v>
      </c>
      <c r="AO33" s="220">
        <f t="shared" si="27"/>
        <v>0</v>
      </c>
      <c r="AP33" s="220">
        <f t="shared" si="28"/>
        <v>0</v>
      </c>
      <c r="AQ33" s="220">
        <f t="shared" si="28"/>
        <v>0</v>
      </c>
      <c r="AR33" s="220">
        <f t="shared" si="28"/>
        <v>0</v>
      </c>
      <c r="AS33" s="220">
        <f t="shared" si="28"/>
        <v>0</v>
      </c>
      <c r="AT33" s="220">
        <f t="shared" si="28"/>
        <v>0</v>
      </c>
      <c r="AU33" s="220">
        <f t="shared" si="28"/>
        <v>0</v>
      </c>
      <c r="AV33" s="220">
        <f t="shared" si="28"/>
        <v>0</v>
      </c>
      <c r="AW33" s="220">
        <f t="shared" si="28"/>
        <v>0</v>
      </c>
      <c r="AX33" s="220">
        <f t="shared" si="28"/>
        <v>0</v>
      </c>
      <c r="AY33" s="220">
        <f t="shared" si="28"/>
        <v>0</v>
      </c>
      <c r="AZ33" s="220">
        <f t="shared" si="29"/>
        <v>0</v>
      </c>
      <c r="BA33" s="220">
        <f t="shared" si="29"/>
        <v>0</v>
      </c>
      <c r="BB33" s="220">
        <f t="shared" si="29"/>
        <v>0</v>
      </c>
      <c r="BC33" s="220">
        <f t="shared" si="29"/>
        <v>0</v>
      </c>
      <c r="BD33" s="220">
        <f t="shared" si="29"/>
        <v>0</v>
      </c>
      <c r="BE33" s="220">
        <f t="shared" si="29"/>
        <v>0</v>
      </c>
      <c r="BF33" s="248">
        <f t="shared" si="24"/>
        <v>1.1102230246251565E-16</v>
      </c>
    </row>
    <row r="34" spans="1:58" x14ac:dyDescent="0.3">
      <c r="A34" s="187">
        <v>18</v>
      </c>
      <c r="B34" s="242">
        <f t="shared" si="25"/>
        <v>46174</v>
      </c>
      <c r="C34" s="243">
        <f t="shared" si="2"/>
        <v>46203</v>
      </c>
      <c r="D34" s="120">
        <f t="shared" si="3"/>
        <v>30</v>
      </c>
      <c r="E34" s="120">
        <f t="shared" si="4"/>
        <v>6</v>
      </c>
      <c r="F34" s="244">
        <f t="shared" si="5"/>
        <v>46189</v>
      </c>
      <c r="G34" s="120">
        <f t="shared" si="6"/>
        <v>24317</v>
      </c>
      <c r="H34" s="245">
        <f t="shared" si="7"/>
        <v>1</v>
      </c>
      <c r="I34" s="121">
        <f t="shared" si="8"/>
        <v>1.04</v>
      </c>
      <c r="J34" s="121">
        <f t="shared" si="9"/>
        <v>1.04</v>
      </c>
      <c r="K34" s="120">
        <f t="shared" si="10"/>
        <v>0</v>
      </c>
      <c r="L34" s="120">
        <f t="shared" si="11"/>
        <v>0</v>
      </c>
      <c r="M34" s="246">
        <f t="shared" si="12"/>
        <v>0</v>
      </c>
      <c r="N34" s="121">
        <f t="shared" si="13"/>
        <v>1.04</v>
      </c>
      <c r="O34" s="247">
        <f>'Mod Engine'!$E34</f>
        <v>0.85297592997811811</v>
      </c>
      <c r="P34" s="121">
        <f t="shared" si="14"/>
        <v>1</v>
      </c>
      <c r="Q34" s="121">
        <f t="shared" si="15"/>
        <v>0</v>
      </c>
      <c r="R34" s="121">
        <f t="shared" si="16"/>
        <v>0</v>
      </c>
      <c r="S34" s="121" t="str">
        <f t="shared" si="17"/>
        <v/>
      </c>
      <c r="T34" s="121" t="str">
        <f t="shared" si="18"/>
        <v/>
      </c>
      <c r="U34" s="121">
        <f t="shared" si="19"/>
        <v>1.04</v>
      </c>
      <c r="V34" s="220">
        <f t="shared" si="26"/>
        <v>0</v>
      </c>
      <c r="W34" s="220">
        <f t="shared" si="26"/>
        <v>0</v>
      </c>
      <c r="X34" s="220">
        <f t="shared" si="26"/>
        <v>0</v>
      </c>
      <c r="Y34" s="220">
        <f t="shared" si="26"/>
        <v>0</v>
      </c>
      <c r="Z34" s="220">
        <f t="shared" si="26"/>
        <v>0</v>
      </c>
      <c r="AA34" s="220">
        <f t="shared" si="26"/>
        <v>8.3333333333333329E-2</v>
      </c>
      <c r="AB34" s="220">
        <f t="shared" si="26"/>
        <v>0.16666666666666666</v>
      </c>
      <c r="AC34" s="220">
        <f t="shared" si="26"/>
        <v>0.16666666666666666</v>
      </c>
      <c r="AD34" s="220">
        <f t="shared" si="26"/>
        <v>0.16666666666666666</v>
      </c>
      <c r="AE34" s="220">
        <f t="shared" si="26"/>
        <v>0.16666666666666666</v>
      </c>
      <c r="AF34" s="220">
        <f t="shared" si="27"/>
        <v>0.16666666666666666</v>
      </c>
      <c r="AG34" s="220">
        <f t="shared" si="27"/>
        <v>8.3333333333333329E-2</v>
      </c>
      <c r="AH34" s="220">
        <f t="shared" si="27"/>
        <v>0</v>
      </c>
      <c r="AI34" s="220">
        <f t="shared" si="27"/>
        <v>0</v>
      </c>
      <c r="AJ34" s="220">
        <f t="shared" si="27"/>
        <v>0</v>
      </c>
      <c r="AK34" s="220">
        <f t="shared" si="27"/>
        <v>0</v>
      </c>
      <c r="AL34" s="220">
        <f t="shared" si="27"/>
        <v>0</v>
      </c>
      <c r="AM34" s="220">
        <f t="shared" si="27"/>
        <v>0</v>
      </c>
      <c r="AN34" s="220">
        <f t="shared" si="27"/>
        <v>0</v>
      </c>
      <c r="AO34" s="220">
        <f t="shared" si="27"/>
        <v>0</v>
      </c>
      <c r="AP34" s="220">
        <f t="shared" si="28"/>
        <v>0</v>
      </c>
      <c r="AQ34" s="220">
        <f t="shared" si="28"/>
        <v>0</v>
      </c>
      <c r="AR34" s="220">
        <f t="shared" si="28"/>
        <v>0</v>
      </c>
      <c r="AS34" s="220">
        <f t="shared" si="28"/>
        <v>0</v>
      </c>
      <c r="AT34" s="220">
        <f t="shared" si="28"/>
        <v>0</v>
      </c>
      <c r="AU34" s="220">
        <f t="shared" si="28"/>
        <v>0</v>
      </c>
      <c r="AV34" s="220">
        <f t="shared" si="28"/>
        <v>0</v>
      </c>
      <c r="AW34" s="220">
        <f t="shared" si="28"/>
        <v>0</v>
      </c>
      <c r="AX34" s="220">
        <f t="shared" si="28"/>
        <v>0</v>
      </c>
      <c r="AY34" s="220">
        <f t="shared" si="28"/>
        <v>0</v>
      </c>
      <c r="AZ34" s="220">
        <f t="shared" si="29"/>
        <v>0</v>
      </c>
      <c r="BA34" s="220">
        <f t="shared" si="29"/>
        <v>0</v>
      </c>
      <c r="BB34" s="220">
        <f t="shared" si="29"/>
        <v>0</v>
      </c>
      <c r="BC34" s="220">
        <f t="shared" si="29"/>
        <v>0</v>
      </c>
      <c r="BD34" s="220">
        <f t="shared" si="29"/>
        <v>0</v>
      </c>
      <c r="BE34" s="220">
        <f t="shared" si="29"/>
        <v>0</v>
      </c>
      <c r="BF34" s="248">
        <f t="shared" si="24"/>
        <v>1.1102230246251565E-16</v>
      </c>
    </row>
    <row r="35" spans="1:58" x14ac:dyDescent="0.3">
      <c r="A35" s="187">
        <v>19</v>
      </c>
      <c r="B35" s="242">
        <f t="shared" si="25"/>
        <v>46204</v>
      </c>
      <c r="C35" s="243">
        <f t="shared" si="2"/>
        <v>46234</v>
      </c>
      <c r="D35" s="120">
        <f t="shared" si="3"/>
        <v>31</v>
      </c>
      <c r="E35" s="120">
        <f t="shared" si="4"/>
        <v>7</v>
      </c>
      <c r="F35" s="244">
        <f t="shared" si="5"/>
        <v>46219.5</v>
      </c>
      <c r="G35" s="120">
        <f t="shared" si="6"/>
        <v>24318</v>
      </c>
      <c r="H35" s="245">
        <f t="shared" si="7"/>
        <v>1</v>
      </c>
      <c r="I35" s="121">
        <f t="shared" si="8"/>
        <v>1.04</v>
      </c>
      <c r="J35" s="121">
        <f t="shared" si="9"/>
        <v>1.1024</v>
      </c>
      <c r="K35" s="120">
        <f t="shared" si="10"/>
        <v>1</v>
      </c>
      <c r="L35" s="120">
        <f t="shared" si="11"/>
        <v>31</v>
      </c>
      <c r="M35" s="246">
        <f t="shared" si="12"/>
        <v>1</v>
      </c>
      <c r="N35" s="121">
        <f t="shared" si="13"/>
        <v>1.1024</v>
      </c>
      <c r="O35" s="247">
        <f>'Mod Engine'!$E35</f>
        <v>0.85497811816192559</v>
      </c>
      <c r="P35" s="121">
        <f t="shared" si="14"/>
        <v>0.91666666666666663</v>
      </c>
      <c r="Q35" s="121">
        <f t="shared" si="15"/>
        <v>8.333333333333337E-2</v>
      </c>
      <c r="R35" s="121">
        <f t="shared" si="16"/>
        <v>0</v>
      </c>
      <c r="S35" s="121" t="str">
        <f t="shared" si="17"/>
        <v/>
      </c>
      <c r="T35" s="121" t="str">
        <f t="shared" si="18"/>
        <v/>
      </c>
      <c r="U35" s="121">
        <f t="shared" si="19"/>
        <v>1.1024</v>
      </c>
      <c r="V35" s="220">
        <f t="shared" si="26"/>
        <v>0</v>
      </c>
      <c r="W35" s="220">
        <f t="shared" si="26"/>
        <v>0</v>
      </c>
      <c r="X35" s="220">
        <f t="shared" si="26"/>
        <v>0</v>
      </c>
      <c r="Y35" s="220">
        <f t="shared" si="26"/>
        <v>0</v>
      </c>
      <c r="Z35" s="220">
        <f t="shared" si="26"/>
        <v>0</v>
      </c>
      <c r="AA35" s="220">
        <f t="shared" si="26"/>
        <v>0</v>
      </c>
      <c r="AB35" s="220">
        <f t="shared" si="26"/>
        <v>8.3333333333333329E-2</v>
      </c>
      <c r="AC35" s="220">
        <f t="shared" si="26"/>
        <v>0.16666666666666666</v>
      </c>
      <c r="AD35" s="220">
        <f t="shared" si="26"/>
        <v>0.16666666666666666</v>
      </c>
      <c r="AE35" s="220">
        <f t="shared" si="26"/>
        <v>0.16666666666666666</v>
      </c>
      <c r="AF35" s="220">
        <f t="shared" si="27"/>
        <v>0.16666666666666666</v>
      </c>
      <c r="AG35" s="220">
        <f t="shared" si="27"/>
        <v>0.16666666666666666</v>
      </c>
      <c r="AH35" s="220">
        <f t="shared" si="27"/>
        <v>8.3333333333333329E-2</v>
      </c>
      <c r="AI35" s="220">
        <f t="shared" si="27"/>
        <v>0</v>
      </c>
      <c r="AJ35" s="220">
        <f t="shared" si="27"/>
        <v>0</v>
      </c>
      <c r="AK35" s="220">
        <f t="shared" si="27"/>
        <v>0</v>
      </c>
      <c r="AL35" s="220">
        <f t="shared" si="27"/>
        <v>0</v>
      </c>
      <c r="AM35" s="220">
        <f t="shared" si="27"/>
        <v>0</v>
      </c>
      <c r="AN35" s="220">
        <f t="shared" si="27"/>
        <v>0</v>
      </c>
      <c r="AO35" s="220">
        <f t="shared" si="27"/>
        <v>0</v>
      </c>
      <c r="AP35" s="220">
        <f t="shared" si="28"/>
        <v>0</v>
      </c>
      <c r="AQ35" s="220">
        <f t="shared" si="28"/>
        <v>0</v>
      </c>
      <c r="AR35" s="220">
        <f t="shared" si="28"/>
        <v>0</v>
      </c>
      <c r="AS35" s="220">
        <f t="shared" si="28"/>
        <v>0</v>
      </c>
      <c r="AT35" s="220">
        <f t="shared" si="28"/>
        <v>0</v>
      </c>
      <c r="AU35" s="220">
        <f t="shared" si="28"/>
        <v>0</v>
      </c>
      <c r="AV35" s="220">
        <f t="shared" si="28"/>
        <v>0</v>
      </c>
      <c r="AW35" s="220">
        <f t="shared" si="28"/>
        <v>0</v>
      </c>
      <c r="AX35" s="220">
        <f t="shared" si="28"/>
        <v>0</v>
      </c>
      <c r="AY35" s="220">
        <f t="shared" si="28"/>
        <v>0</v>
      </c>
      <c r="AZ35" s="220">
        <f t="shared" si="29"/>
        <v>0</v>
      </c>
      <c r="BA35" s="220">
        <f t="shared" si="29"/>
        <v>0</v>
      </c>
      <c r="BB35" s="220">
        <f t="shared" si="29"/>
        <v>0</v>
      </c>
      <c r="BC35" s="220">
        <f t="shared" si="29"/>
        <v>0</v>
      </c>
      <c r="BD35" s="220">
        <f t="shared" si="29"/>
        <v>0</v>
      </c>
      <c r="BE35" s="220">
        <f t="shared" si="29"/>
        <v>0</v>
      </c>
      <c r="BF35" s="248">
        <f t="shared" si="24"/>
        <v>1.1102230246251565E-16</v>
      </c>
    </row>
    <row r="36" spans="1:58" x14ac:dyDescent="0.3">
      <c r="A36" s="187">
        <v>20</v>
      </c>
      <c r="B36" s="242">
        <f t="shared" si="25"/>
        <v>46235</v>
      </c>
      <c r="C36" s="243">
        <f t="shared" si="2"/>
        <v>46265</v>
      </c>
      <c r="D36" s="120">
        <f t="shared" si="3"/>
        <v>31</v>
      </c>
      <c r="E36" s="120">
        <f t="shared" si="4"/>
        <v>8</v>
      </c>
      <c r="F36" s="244">
        <f t="shared" si="5"/>
        <v>46250.5</v>
      </c>
      <c r="G36" s="120">
        <f t="shared" si="6"/>
        <v>24319</v>
      </c>
      <c r="H36" s="245">
        <f t="shared" si="7"/>
        <v>1</v>
      </c>
      <c r="I36" s="121">
        <f t="shared" si="8"/>
        <v>1.1024</v>
      </c>
      <c r="J36" s="121">
        <f t="shared" si="9"/>
        <v>1.1024</v>
      </c>
      <c r="K36" s="120">
        <f t="shared" si="10"/>
        <v>0</v>
      </c>
      <c r="L36" s="120">
        <f t="shared" si="11"/>
        <v>0</v>
      </c>
      <c r="M36" s="246">
        <f t="shared" si="12"/>
        <v>0</v>
      </c>
      <c r="N36" s="121">
        <f t="shared" si="13"/>
        <v>1.1024</v>
      </c>
      <c r="O36" s="247">
        <f>'Mod Engine'!$E36</f>
        <v>0.85701312910284466</v>
      </c>
      <c r="P36" s="121">
        <f t="shared" si="14"/>
        <v>0.75</v>
      </c>
      <c r="Q36" s="121">
        <f t="shared" si="15"/>
        <v>0.25</v>
      </c>
      <c r="R36" s="121">
        <f t="shared" si="16"/>
        <v>0</v>
      </c>
      <c r="S36" s="121" t="str">
        <f t="shared" si="17"/>
        <v/>
      </c>
      <c r="T36" s="121" t="str">
        <f t="shared" si="18"/>
        <v/>
      </c>
      <c r="U36" s="121">
        <f t="shared" si="19"/>
        <v>1.1024</v>
      </c>
      <c r="V36" s="220">
        <f t="shared" si="26"/>
        <v>0</v>
      </c>
      <c r="W36" s="220">
        <f t="shared" si="26"/>
        <v>0</v>
      </c>
      <c r="X36" s="220">
        <f t="shared" si="26"/>
        <v>0</v>
      </c>
      <c r="Y36" s="220">
        <f t="shared" si="26"/>
        <v>0</v>
      </c>
      <c r="Z36" s="220">
        <f t="shared" si="26"/>
        <v>0</v>
      </c>
      <c r="AA36" s="220">
        <f t="shared" si="26"/>
        <v>0</v>
      </c>
      <c r="AB36" s="220">
        <f t="shared" si="26"/>
        <v>0</v>
      </c>
      <c r="AC36" s="220">
        <f t="shared" si="26"/>
        <v>8.3333333333333329E-2</v>
      </c>
      <c r="AD36" s="220">
        <f t="shared" si="26"/>
        <v>0.16666666666666666</v>
      </c>
      <c r="AE36" s="220">
        <f t="shared" si="26"/>
        <v>0.16666666666666666</v>
      </c>
      <c r="AF36" s="220">
        <f t="shared" si="27"/>
        <v>0.16666666666666666</v>
      </c>
      <c r="AG36" s="220">
        <f t="shared" si="27"/>
        <v>0.16666666666666666</v>
      </c>
      <c r="AH36" s="220">
        <f t="shared" si="27"/>
        <v>0.16666666666666666</v>
      </c>
      <c r="AI36" s="220">
        <f t="shared" si="27"/>
        <v>8.3333333333333329E-2</v>
      </c>
      <c r="AJ36" s="220">
        <f t="shared" si="27"/>
        <v>0</v>
      </c>
      <c r="AK36" s="220">
        <f t="shared" si="27"/>
        <v>0</v>
      </c>
      <c r="AL36" s="220">
        <f t="shared" si="27"/>
        <v>0</v>
      </c>
      <c r="AM36" s="220">
        <f t="shared" si="27"/>
        <v>0</v>
      </c>
      <c r="AN36" s="220">
        <f t="shared" si="27"/>
        <v>0</v>
      </c>
      <c r="AO36" s="220">
        <f t="shared" si="27"/>
        <v>0</v>
      </c>
      <c r="AP36" s="220">
        <f t="shared" si="28"/>
        <v>0</v>
      </c>
      <c r="AQ36" s="220">
        <f t="shared" si="28"/>
        <v>0</v>
      </c>
      <c r="AR36" s="220">
        <f t="shared" si="28"/>
        <v>0</v>
      </c>
      <c r="AS36" s="220">
        <f t="shared" si="28"/>
        <v>0</v>
      </c>
      <c r="AT36" s="220">
        <f t="shared" si="28"/>
        <v>0</v>
      </c>
      <c r="AU36" s="220">
        <f t="shared" si="28"/>
        <v>0</v>
      </c>
      <c r="AV36" s="220">
        <f t="shared" si="28"/>
        <v>0</v>
      </c>
      <c r="AW36" s="220">
        <f t="shared" si="28"/>
        <v>0</v>
      </c>
      <c r="AX36" s="220">
        <f t="shared" si="28"/>
        <v>0</v>
      </c>
      <c r="AY36" s="220">
        <f t="shared" si="28"/>
        <v>0</v>
      </c>
      <c r="AZ36" s="220">
        <f t="shared" si="29"/>
        <v>0</v>
      </c>
      <c r="BA36" s="220">
        <f t="shared" si="29"/>
        <v>0</v>
      </c>
      <c r="BB36" s="220">
        <f t="shared" si="29"/>
        <v>0</v>
      </c>
      <c r="BC36" s="220">
        <f t="shared" si="29"/>
        <v>0</v>
      </c>
      <c r="BD36" s="220">
        <f t="shared" si="29"/>
        <v>0</v>
      </c>
      <c r="BE36" s="220">
        <f t="shared" si="29"/>
        <v>0</v>
      </c>
      <c r="BF36" s="248">
        <f t="shared" si="24"/>
        <v>1.1102230246251565E-16</v>
      </c>
    </row>
    <row r="37" spans="1:58" x14ac:dyDescent="0.3">
      <c r="A37" s="187">
        <v>21</v>
      </c>
      <c r="B37" s="242">
        <f t="shared" si="25"/>
        <v>46266</v>
      </c>
      <c r="C37" s="243">
        <f t="shared" si="2"/>
        <v>46295</v>
      </c>
      <c r="D37" s="120">
        <f t="shared" si="3"/>
        <v>30</v>
      </c>
      <c r="E37" s="120">
        <f t="shared" si="4"/>
        <v>9</v>
      </c>
      <c r="F37" s="244">
        <f t="shared" si="5"/>
        <v>46281</v>
      </c>
      <c r="G37" s="120">
        <f t="shared" si="6"/>
        <v>24320</v>
      </c>
      <c r="H37" s="245">
        <f t="shared" si="7"/>
        <v>1</v>
      </c>
      <c r="I37" s="121">
        <f t="shared" si="8"/>
        <v>1.1024</v>
      </c>
      <c r="J37" s="121">
        <f t="shared" si="9"/>
        <v>1.1024</v>
      </c>
      <c r="K37" s="120">
        <f t="shared" si="10"/>
        <v>0</v>
      </c>
      <c r="L37" s="120">
        <f t="shared" si="11"/>
        <v>0</v>
      </c>
      <c r="M37" s="246">
        <f t="shared" si="12"/>
        <v>0</v>
      </c>
      <c r="N37" s="121">
        <f t="shared" si="13"/>
        <v>1.1024</v>
      </c>
      <c r="O37" s="247">
        <f>'Mod Engine'!$E37</f>
        <v>0.85901531728665204</v>
      </c>
      <c r="P37" s="121">
        <f t="shared" si="14"/>
        <v>0.58333333333333337</v>
      </c>
      <c r="Q37" s="121">
        <f t="shared" si="15"/>
        <v>0.41666666666666663</v>
      </c>
      <c r="R37" s="121">
        <f t="shared" si="16"/>
        <v>0</v>
      </c>
      <c r="S37" s="121" t="str">
        <f t="shared" si="17"/>
        <v/>
      </c>
      <c r="T37" s="121" t="str">
        <f t="shared" si="18"/>
        <v/>
      </c>
      <c r="U37" s="121">
        <f t="shared" si="19"/>
        <v>1.1024</v>
      </c>
      <c r="V37" s="220">
        <f t="shared" ref="V37:AE46" si="30">IF(OR(V$15&lt;$G37,V$15&gt;$G37+$F$5),0,IF(OR(V$15=$G37,V$15=$G37+$F$5),0.5,1)/$F$5)</f>
        <v>0</v>
      </c>
      <c r="W37" s="220">
        <f t="shared" si="30"/>
        <v>0</v>
      </c>
      <c r="X37" s="220">
        <f t="shared" si="30"/>
        <v>0</v>
      </c>
      <c r="Y37" s="220">
        <f t="shared" si="30"/>
        <v>0</v>
      </c>
      <c r="Z37" s="220">
        <f t="shared" si="30"/>
        <v>0</v>
      </c>
      <c r="AA37" s="220">
        <f t="shared" si="30"/>
        <v>0</v>
      </c>
      <c r="AB37" s="220">
        <f t="shared" si="30"/>
        <v>0</v>
      </c>
      <c r="AC37" s="220">
        <f t="shared" si="30"/>
        <v>0</v>
      </c>
      <c r="AD37" s="220">
        <f t="shared" si="30"/>
        <v>8.3333333333333329E-2</v>
      </c>
      <c r="AE37" s="220">
        <f t="shared" si="30"/>
        <v>0.16666666666666666</v>
      </c>
      <c r="AF37" s="220">
        <f t="shared" ref="AF37:AO46" si="31">IF(OR(AF$15&lt;$G37,AF$15&gt;$G37+$F$5),0,IF(OR(AF$15=$G37,AF$15=$G37+$F$5),0.5,1)/$F$5)</f>
        <v>0.16666666666666666</v>
      </c>
      <c r="AG37" s="220">
        <f t="shared" si="31"/>
        <v>0.16666666666666666</v>
      </c>
      <c r="AH37" s="220">
        <f t="shared" si="31"/>
        <v>0.16666666666666666</v>
      </c>
      <c r="AI37" s="220">
        <f t="shared" si="31"/>
        <v>0.16666666666666666</v>
      </c>
      <c r="AJ37" s="220">
        <f t="shared" si="31"/>
        <v>8.3333333333333329E-2</v>
      </c>
      <c r="AK37" s="220">
        <f t="shared" si="31"/>
        <v>0</v>
      </c>
      <c r="AL37" s="220">
        <f t="shared" si="31"/>
        <v>0</v>
      </c>
      <c r="AM37" s="220">
        <f t="shared" si="31"/>
        <v>0</v>
      </c>
      <c r="AN37" s="220">
        <f t="shared" si="31"/>
        <v>0</v>
      </c>
      <c r="AO37" s="220">
        <f t="shared" si="31"/>
        <v>0</v>
      </c>
      <c r="AP37" s="220">
        <f t="shared" ref="AP37:AY46" si="32">IF(OR(AP$15&lt;$G37,AP$15&gt;$G37+$F$5),0,IF(OR(AP$15=$G37,AP$15=$G37+$F$5),0.5,1)/$F$5)</f>
        <v>0</v>
      </c>
      <c r="AQ37" s="220">
        <f t="shared" si="32"/>
        <v>0</v>
      </c>
      <c r="AR37" s="220">
        <f t="shared" si="32"/>
        <v>0</v>
      </c>
      <c r="AS37" s="220">
        <f t="shared" si="32"/>
        <v>0</v>
      </c>
      <c r="AT37" s="220">
        <f t="shared" si="32"/>
        <v>0</v>
      </c>
      <c r="AU37" s="220">
        <f t="shared" si="32"/>
        <v>0</v>
      </c>
      <c r="AV37" s="220">
        <f t="shared" si="32"/>
        <v>0</v>
      </c>
      <c r="AW37" s="220">
        <f t="shared" si="32"/>
        <v>0</v>
      </c>
      <c r="AX37" s="220">
        <f t="shared" si="32"/>
        <v>0</v>
      </c>
      <c r="AY37" s="220">
        <f t="shared" si="32"/>
        <v>0</v>
      </c>
      <c r="AZ37" s="220">
        <f t="shared" ref="AZ37:BE46" si="33">IF(OR(AZ$15&lt;$G37,AZ$15&gt;$G37+$F$5),0,IF(OR(AZ$15=$G37,AZ$15=$G37+$F$5),0.5,1)/$F$5)</f>
        <v>0</v>
      </c>
      <c r="BA37" s="220">
        <f t="shared" si="33"/>
        <v>0</v>
      </c>
      <c r="BB37" s="220">
        <f t="shared" si="33"/>
        <v>0</v>
      </c>
      <c r="BC37" s="220">
        <f t="shared" si="33"/>
        <v>0</v>
      </c>
      <c r="BD37" s="220">
        <f t="shared" si="33"/>
        <v>0</v>
      </c>
      <c r="BE37" s="220">
        <f t="shared" si="33"/>
        <v>0</v>
      </c>
      <c r="BF37" s="248">
        <f t="shared" si="24"/>
        <v>1.1102230246251565E-16</v>
      </c>
    </row>
    <row r="38" spans="1:58" x14ac:dyDescent="0.3">
      <c r="A38" s="187">
        <v>22</v>
      </c>
      <c r="B38" s="242">
        <f t="shared" si="25"/>
        <v>46296</v>
      </c>
      <c r="C38" s="243">
        <f t="shared" si="2"/>
        <v>46326</v>
      </c>
      <c r="D38" s="120">
        <f t="shared" si="3"/>
        <v>31</v>
      </c>
      <c r="E38" s="120">
        <f t="shared" si="4"/>
        <v>10</v>
      </c>
      <c r="F38" s="244">
        <f t="shared" si="5"/>
        <v>46311.5</v>
      </c>
      <c r="G38" s="120">
        <f t="shared" si="6"/>
        <v>24321</v>
      </c>
      <c r="H38" s="245">
        <f t="shared" si="7"/>
        <v>1</v>
      </c>
      <c r="I38" s="121">
        <f t="shared" si="8"/>
        <v>1.1024</v>
      </c>
      <c r="J38" s="121">
        <f t="shared" si="9"/>
        <v>1.1024</v>
      </c>
      <c r="K38" s="120">
        <f t="shared" si="10"/>
        <v>0</v>
      </c>
      <c r="L38" s="120">
        <f t="shared" si="11"/>
        <v>0</v>
      </c>
      <c r="M38" s="246">
        <f t="shared" si="12"/>
        <v>0</v>
      </c>
      <c r="N38" s="121">
        <f t="shared" si="13"/>
        <v>1.1024</v>
      </c>
      <c r="O38" s="247">
        <f>'Mod Engine'!$E38</f>
        <v>0.86101750547045952</v>
      </c>
      <c r="P38" s="121">
        <f t="shared" si="14"/>
        <v>0.41666666666666669</v>
      </c>
      <c r="Q38" s="121">
        <f t="shared" si="15"/>
        <v>0.58333333333333326</v>
      </c>
      <c r="R38" s="121">
        <f t="shared" si="16"/>
        <v>0</v>
      </c>
      <c r="S38" s="121" t="str">
        <f t="shared" si="17"/>
        <v/>
      </c>
      <c r="T38" s="121" t="str">
        <f t="shared" si="18"/>
        <v/>
      </c>
      <c r="U38" s="121">
        <f t="shared" si="19"/>
        <v>1.1024</v>
      </c>
      <c r="V38" s="220">
        <f t="shared" si="30"/>
        <v>0</v>
      </c>
      <c r="W38" s="220">
        <f t="shared" si="30"/>
        <v>0</v>
      </c>
      <c r="X38" s="220">
        <f t="shared" si="30"/>
        <v>0</v>
      </c>
      <c r="Y38" s="220">
        <f t="shared" si="30"/>
        <v>0</v>
      </c>
      <c r="Z38" s="220">
        <f t="shared" si="30"/>
        <v>0</v>
      </c>
      <c r="AA38" s="220">
        <f t="shared" si="30"/>
        <v>0</v>
      </c>
      <c r="AB38" s="220">
        <f t="shared" si="30"/>
        <v>0</v>
      </c>
      <c r="AC38" s="220">
        <f t="shared" si="30"/>
        <v>0</v>
      </c>
      <c r="AD38" s="220">
        <f t="shared" si="30"/>
        <v>0</v>
      </c>
      <c r="AE38" s="220">
        <f t="shared" si="30"/>
        <v>8.3333333333333329E-2</v>
      </c>
      <c r="AF38" s="220">
        <f t="shared" si="31"/>
        <v>0.16666666666666666</v>
      </c>
      <c r="AG38" s="220">
        <f t="shared" si="31"/>
        <v>0.16666666666666666</v>
      </c>
      <c r="AH38" s="220">
        <f t="shared" si="31"/>
        <v>0.16666666666666666</v>
      </c>
      <c r="AI38" s="220">
        <f t="shared" si="31"/>
        <v>0.16666666666666666</v>
      </c>
      <c r="AJ38" s="220">
        <f t="shared" si="31"/>
        <v>0.16666666666666666</v>
      </c>
      <c r="AK38" s="220">
        <f t="shared" si="31"/>
        <v>8.3333333333333329E-2</v>
      </c>
      <c r="AL38" s="220">
        <f t="shared" si="31"/>
        <v>0</v>
      </c>
      <c r="AM38" s="220">
        <f t="shared" si="31"/>
        <v>0</v>
      </c>
      <c r="AN38" s="220">
        <f t="shared" si="31"/>
        <v>0</v>
      </c>
      <c r="AO38" s="220">
        <f t="shared" si="31"/>
        <v>0</v>
      </c>
      <c r="AP38" s="220">
        <f t="shared" si="32"/>
        <v>0</v>
      </c>
      <c r="AQ38" s="220">
        <f t="shared" si="32"/>
        <v>0</v>
      </c>
      <c r="AR38" s="220">
        <f t="shared" si="32"/>
        <v>0</v>
      </c>
      <c r="AS38" s="220">
        <f t="shared" si="32"/>
        <v>0</v>
      </c>
      <c r="AT38" s="220">
        <f t="shared" si="32"/>
        <v>0</v>
      </c>
      <c r="AU38" s="220">
        <f t="shared" si="32"/>
        <v>0</v>
      </c>
      <c r="AV38" s="220">
        <f t="shared" si="32"/>
        <v>0</v>
      </c>
      <c r="AW38" s="220">
        <f t="shared" si="32"/>
        <v>0</v>
      </c>
      <c r="AX38" s="220">
        <f t="shared" si="32"/>
        <v>0</v>
      </c>
      <c r="AY38" s="220">
        <f t="shared" si="32"/>
        <v>0</v>
      </c>
      <c r="AZ38" s="220">
        <f t="shared" si="33"/>
        <v>0</v>
      </c>
      <c r="BA38" s="220">
        <f t="shared" si="33"/>
        <v>0</v>
      </c>
      <c r="BB38" s="220">
        <f t="shared" si="33"/>
        <v>0</v>
      </c>
      <c r="BC38" s="220">
        <f t="shared" si="33"/>
        <v>0</v>
      </c>
      <c r="BD38" s="220">
        <f t="shared" si="33"/>
        <v>0</v>
      </c>
      <c r="BE38" s="220">
        <f t="shared" si="33"/>
        <v>0</v>
      </c>
      <c r="BF38" s="248">
        <f t="shared" si="24"/>
        <v>1.1102230246251565E-16</v>
      </c>
    </row>
    <row r="39" spans="1:58" x14ac:dyDescent="0.3">
      <c r="A39" s="187">
        <v>23</v>
      </c>
      <c r="B39" s="242">
        <f t="shared" si="25"/>
        <v>46327</v>
      </c>
      <c r="C39" s="243">
        <f t="shared" si="2"/>
        <v>46356</v>
      </c>
      <c r="D39" s="120">
        <f t="shared" si="3"/>
        <v>30</v>
      </c>
      <c r="E39" s="120">
        <f t="shared" si="4"/>
        <v>11</v>
      </c>
      <c r="F39" s="244">
        <f t="shared" si="5"/>
        <v>46342</v>
      </c>
      <c r="G39" s="120">
        <f t="shared" si="6"/>
        <v>24322</v>
      </c>
      <c r="H39" s="245">
        <f t="shared" si="7"/>
        <v>1</v>
      </c>
      <c r="I39" s="121">
        <f t="shared" si="8"/>
        <v>1.1024</v>
      </c>
      <c r="J39" s="121">
        <f t="shared" si="9"/>
        <v>1.1024</v>
      </c>
      <c r="K39" s="120">
        <f t="shared" si="10"/>
        <v>0</v>
      </c>
      <c r="L39" s="120">
        <f t="shared" si="11"/>
        <v>0</v>
      </c>
      <c r="M39" s="246">
        <f t="shared" si="12"/>
        <v>0</v>
      </c>
      <c r="N39" s="121">
        <f t="shared" si="13"/>
        <v>1.1024</v>
      </c>
      <c r="O39" s="247">
        <f>'Mod Engine'!$E39</f>
        <v>0.8630196936542669</v>
      </c>
      <c r="P39" s="121">
        <f t="shared" si="14"/>
        <v>0.25</v>
      </c>
      <c r="Q39" s="121">
        <f t="shared" si="15"/>
        <v>0.75</v>
      </c>
      <c r="R39" s="121">
        <f t="shared" si="16"/>
        <v>0</v>
      </c>
      <c r="S39" s="121" t="str">
        <f t="shared" si="17"/>
        <v/>
      </c>
      <c r="T39" s="121" t="str">
        <f t="shared" si="18"/>
        <v/>
      </c>
      <c r="U39" s="121">
        <f t="shared" si="19"/>
        <v>1.1024</v>
      </c>
      <c r="V39" s="220">
        <f t="shared" si="30"/>
        <v>0</v>
      </c>
      <c r="W39" s="220">
        <f t="shared" si="30"/>
        <v>0</v>
      </c>
      <c r="X39" s="220">
        <f t="shared" si="30"/>
        <v>0</v>
      </c>
      <c r="Y39" s="220">
        <f t="shared" si="30"/>
        <v>0</v>
      </c>
      <c r="Z39" s="220">
        <f t="shared" si="30"/>
        <v>0</v>
      </c>
      <c r="AA39" s="220">
        <f t="shared" si="30"/>
        <v>0</v>
      </c>
      <c r="AB39" s="220">
        <f t="shared" si="30"/>
        <v>0</v>
      </c>
      <c r="AC39" s="220">
        <f t="shared" si="30"/>
        <v>0</v>
      </c>
      <c r="AD39" s="220">
        <f t="shared" si="30"/>
        <v>0</v>
      </c>
      <c r="AE39" s="220">
        <f t="shared" si="30"/>
        <v>0</v>
      </c>
      <c r="AF39" s="220">
        <f t="shared" si="31"/>
        <v>8.3333333333333329E-2</v>
      </c>
      <c r="AG39" s="220">
        <f t="shared" si="31"/>
        <v>0.16666666666666666</v>
      </c>
      <c r="AH39" s="220">
        <f t="shared" si="31"/>
        <v>0.16666666666666666</v>
      </c>
      <c r="AI39" s="220">
        <f t="shared" si="31"/>
        <v>0.16666666666666666</v>
      </c>
      <c r="AJ39" s="220">
        <f t="shared" si="31"/>
        <v>0.16666666666666666</v>
      </c>
      <c r="AK39" s="220">
        <f t="shared" si="31"/>
        <v>0.16666666666666666</v>
      </c>
      <c r="AL39" s="220">
        <f t="shared" si="31"/>
        <v>8.3333333333333329E-2</v>
      </c>
      <c r="AM39" s="220">
        <f t="shared" si="31"/>
        <v>0</v>
      </c>
      <c r="AN39" s="220">
        <f t="shared" si="31"/>
        <v>0</v>
      </c>
      <c r="AO39" s="220">
        <f t="shared" si="31"/>
        <v>0</v>
      </c>
      <c r="AP39" s="220">
        <f t="shared" si="32"/>
        <v>0</v>
      </c>
      <c r="AQ39" s="220">
        <f t="shared" si="32"/>
        <v>0</v>
      </c>
      <c r="AR39" s="220">
        <f t="shared" si="32"/>
        <v>0</v>
      </c>
      <c r="AS39" s="220">
        <f t="shared" si="32"/>
        <v>0</v>
      </c>
      <c r="AT39" s="220">
        <f t="shared" si="32"/>
        <v>0</v>
      </c>
      <c r="AU39" s="220">
        <f t="shared" si="32"/>
        <v>0</v>
      </c>
      <c r="AV39" s="220">
        <f t="shared" si="32"/>
        <v>0</v>
      </c>
      <c r="AW39" s="220">
        <f t="shared" si="32"/>
        <v>0</v>
      </c>
      <c r="AX39" s="220">
        <f t="shared" si="32"/>
        <v>0</v>
      </c>
      <c r="AY39" s="220">
        <f t="shared" si="32"/>
        <v>0</v>
      </c>
      <c r="AZ39" s="220">
        <f t="shared" si="33"/>
        <v>0</v>
      </c>
      <c r="BA39" s="220">
        <f t="shared" si="33"/>
        <v>0</v>
      </c>
      <c r="BB39" s="220">
        <f t="shared" si="33"/>
        <v>0</v>
      </c>
      <c r="BC39" s="220">
        <f t="shared" si="33"/>
        <v>0</v>
      </c>
      <c r="BD39" s="220">
        <f t="shared" si="33"/>
        <v>0</v>
      </c>
      <c r="BE39" s="220">
        <f t="shared" si="33"/>
        <v>0</v>
      </c>
      <c r="BF39" s="248">
        <f t="shared" si="24"/>
        <v>1.1102230246251565E-16</v>
      </c>
    </row>
    <row r="40" spans="1:58" x14ac:dyDescent="0.3">
      <c r="A40" s="187">
        <v>24</v>
      </c>
      <c r="B40" s="242">
        <f t="shared" si="25"/>
        <v>46357</v>
      </c>
      <c r="C40" s="243">
        <f t="shared" si="2"/>
        <v>46387</v>
      </c>
      <c r="D40" s="120">
        <f t="shared" si="3"/>
        <v>31</v>
      </c>
      <c r="E40" s="120">
        <f t="shared" si="4"/>
        <v>12</v>
      </c>
      <c r="F40" s="244">
        <f t="shared" si="5"/>
        <v>46372.5</v>
      </c>
      <c r="G40" s="120">
        <f t="shared" si="6"/>
        <v>24323</v>
      </c>
      <c r="H40" s="245">
        <f t="shared" si="7"/>
        <v>1</v>
      </c>
      <c r="I40" s="121">
        <f t="shared" si="8"/>
        <v>1.1024</v>
      </c>
      <c r="J40" s="121">
        <f t="shared" si="9"/>
        <v>1.1024</v>
      </c>
      <c r="K40" s="120">
        <f t="shared" si="10"/>
        <v>0</v>
      </c>
      <c r="L40" s="120">
        <f t="shared" si="11"/>
        <v>0</v>
      </c>
      <c r="M40" s="246">
        <f t="shared" si="12"/>
        <v>0</v>
      </c>
      <c r="N40" s="121">
        <f t="shared" si="13"/>
        <v>1.1024</v>
      </c>
      <c r="O40" s="247">
        <f>'Mod Engine'!$E40</f>
        <v>0.86502188183807438</v>
      </c>
      <c r="P40" s="121">
        <f t="shared" si="14"/>
        <v>8.3333333333333329E-2</v>
      </c>
      <c r="Q40" s="121">
        <f t="shared" si="15"/>
        <v>0.91666666666666663</v>
      </c>
      <c r="R40" s="121">
        <f t="shared" si="16"/>
        <v>0</v>
      </c>
      <c r="S40" s="121" t="str">
        <f t="shared" si="17"/>
        <v/>
      </c>
      <c r="T40" s="121" t="str">
        <f t="shared" si="18"/>
        <v/>
      </c>
      <c r="U40" s="121">
        <f t="shared" si="19"/>
        <v>1.1024</v>
      </c>
      <c r="V40" s="220">
        <f t="shared" si="30"/>
        <v>0</v>
      </c>
      <c r="W40" s="220">
        <f t="shared" si="30"/>
        <v>0</v>
      </c>
      <c r="X40" s="220">
        <f t="shared" si="30"/>
        <v>0</v>
      </c>
      <c r="Y40" s="220">
        <f t="shared" si="30"/>
        <v>0</v>
      </c>
      <c r="Z40" s="220">
        <f t="shared" si="30"/>
        <v>0</v>
      </c>
      <c r="AA40" s="220">
        <f t="shared" si="30"/>
        <v>0</v>
      </c>
      <c r="AB40" s="220">
        <f t="shared" si="30"/>
        <v>0</v>
      </c>
      <c r="AC40" s="220">
        <f t="shared" si="30"/>
        <v>0</v>
      </c>
      <c r="AD40" s="220">
        <f t="shared" si="30"/>
        <v>0</v>
      </c>
      <c r="AE40" s="220">
        <f t="shared" si="30"/>
        <v>0</v>
      </c>
      <c r="AF40" s="220">
        <f t="shared" si="31"/>
        <v>0</v>
      </c>
      <c r="AG40" s="220">
        <f t="shared" si="31"/>
        <v>8.3333333333333329E-2</v>
      </c>
      <c r="AH40" s="220">
        <f t="shared" si="31"/>
        <v>0.16666666666666666</v>
      </c>
      <c r="AI40" s="220">
        <f t="shared" si="31"/>
        <v>0.16666666666666666</v>
      </c>
      <c r="AJ40" s="220">
        <f t="shared" si="31"/>
        <v>0.16666666666666666</v>
      </c>
      <c r="AK40" s="220">
        <f t="shared" si="31"/>
        <v>0.16666666666666666</v>
      </c>
      <c r="AL40" s="220">
        <f t="shared" si="31"/>
        <v>0.16666666666666666</v>
      </c>
      <c r="AM40" s="220">
        <f t="shared" si="31"/>
        <v>8.3333333333333329E-2</v>
      </c>
      <c r="AN40" s="220">
        <f t="shared" si="31"/>
        <v>0</v>
      </c>
      <c r="AO40" s="220">
        <f t="shared" si="31"/>
        <v>0</v>
      </c>
      <c r="AP40" s="220">
        <f t="shared" si="32"/>
        <v>0</v>
      </c>
      <c r="AQ40" s="220">
        <f t="shared" si="32"/>
        <v>0</v>
      </c>
      <c r="AR40" s="220">
        <f t="shared" si="32"/>
        <v>0</v>
      </c>
      <c r="AS40" s="220">
        <f t="shared" si="32"/>
        <v>0</v>
      </c>
      <c r="AT40" s="220">
        <f t="shared" si="32"/>
        <v>0</v>
      </c>
      <c r="AU40" s="220">
        <f t="shared" si="32"/>
        <v>0</v>
      </c>
      <c r="AV40" s="220">
        <f t="shared" si="32"/>
        <v>0</v>
      </c>
      <c r="AW40" s="220">
        <f t="shared" si="32"/>
        <v>0</v>
      </c>
      <c r="AX40" s="220">
        <f t="shared" si="32"/>
        <v>0</v>
      </c>
      <c r="AY40" s="220">
        <f t="shared" si="32"/>
        <v>0</v>
      </c>
      <c r="AZ40" s="220">
        <f t="shared" si="33"/>
        <v>0</v>
      </c>
      <c r="BA40" s="220">
        <f t="shared" si="33"/>
        <v>0</v>
      </c>
      <c r="BB40" s="220">
        <f t="shared" si="33"/>
        <v>0</v>
      </c>
      <c r="BC40" s="220">
        <f t="shared" si="33"/>
        <v>0</v>
      </c>
      <c r="BD40" s="220">
        <f t="shared" si="33"/>
        <v>0</v>
      </c>
      <c r="BE40" s="220">
        <f t="shared" si="33"/>
        <v>0</v>
      </c>
      <c r="BF40" s="248">
        <f t="shared" si="24"/>
        <v>1.1102230246251565E-16</v>
      </c>
    </row>
    <row r="41" spans="1:58" x14ac:dyDescent="0.3">
      <c r="A41" s="187">
        <v>25</v>
      </c>
      <c r="B41" s="242">
        <f t="shared" si="25"/>
        <v>46388</v>
      </c>
      <c r="C41" s="243">
        <f t="shared" si="2"/>
        <v>46418</v>
      </c>
      <c r="D41" s="120">
        <f t="shared" si="3"/>
        <v>31</v>
      </c>
      <c r="E41" s="120">
        <f t="shared" si="4"/>
        <v>1</v>
      </c>
      <c r="F41" s="244">
        <f t="shared" si="5"/>
        <v>46403.5</v>
      </c>
      <c r="G41" s="120">
        <f t="shared" si="6"/>
        <v>24324</v>
      </c>
      <c r="H41" s="245">
        <f t="shared" si="7"/>
        <v>1</v>
      </c>
      <c r="I41" s="121">
        <f t="shared" si="8"/>
        <v>1.1024</v>
      </c>
      <c r="J41" s="121">
        <f t="shared" si="9"/>
        <v>1.1024</v>
      </c>
      <c r="K41" s="120">
        <f t="shared" si="10"/>
        <v>0</v>
      </c>
      <c r="L41" s="120">
        <f t="shared" si="11"/>
        <v>0</v>
      </c>
      <c r="M41" s="246">
        <f t="shared" si="12"/>
        <v>0</v>
      </c>
      <c r="N41" s="121">
        <f t="shared" si="13"/>
        <v>1.1024</v>
      </c>
      <c r="O41" s="247">
        <f>'Mod Engine'!$E41</f>
        <v>0.86705689277899345</v>
      </c>
      <c r="P41" s="121">
        <f t="shared" si="14"/>
        <v>0</v>
      </c>
      <c r="Q41" s="121">
        <f t="shared" si="15"/>
        <v>1</v>
      </c>
      <c r="R41" s="121">
        <f t="shared" si="16"/>
        <v>0</v>
      </c>
      <c r="S41" s="121" t="str">
        <f t="shared" si="17"/>
        <v/>
      </c>
      <c r="T41" s="121" t="str">
        <f t="shared" si="18"/>
        <v/>
      </c>
      <c r="U41" s="121">
        <f t="shared" si="19"/>
        <v>1.1024</v>
      </c>
      <c r="V41" s="220">
        <f t="shared" si="30"/>
        <v>0</v>
      </c>
      <c r="W41" s="220">
        <f t="shared" si="30"/>
        <v>0</v>
      </c>
      <c r="X41" s="220">
        <f t="shared" si="30"/>
        <v>0</v>
      </c>
      <c r="Y41" s="220">
        <f t="shared" si="30"/>
        <v>0</v>
      </c>
      <c r="Z41" s="220">
        <f t="shared" si="30"/>
        <v>0</v>
      </c>
      <c r="AA41" s="220">
        <f t="shared" si="30"/>
        <v>0</v>
      </c>
      <c r="AB41" s="220">
        <f t="shared" si="30"/>
        <v>0</v>
      </c>
      <c r="AC41" s="220">
        <f t="shared" si="30"/>
        <v>0</v>
      </c>
      <c r="AD41" s="220">
        <f t="shared" si="30"/>
        <v>0</v>
      </c>
      <c r="AE41" s="220">
        <f t="shared" si="30"/>
        <v>0</v>
      </c>
      <c r="AF41" s="220">
        <f t="shared" si="31"/>
        <v>0</v>
      </c>
      <c r="AG41" s="220">
        <f t="shared" si="31"/>
        <v>0</v>
      </c>
      <c r="AH41" s="220">
        <f t="shared" si="31"/>
        <v>8.3333333333333329E-2</v>
      </c>
      <c r="AI41" s="220">
        <f t="shared" si="31"/>
        <v>0.16666666666666666</v>
      </c>
      <c r="AJ41" s="220">
        <f t="shared" si="31"/>
        <v>0.16666666666666666</v>
      </c>
      <c r="AK41" s="220">
        <f t="shared" si="31"/>
        <v>0.16666666666666666</v>
      </c>
      <c r="AL41" s="220">
        <f t="shared" si="31"/>
        <v>0.16666666666666666</v>
      </c>
      <c r="AM41" s="220">
        <f t="shared" si="31"/>
        <v>0.16666666666666666</v>
      </c>
      <c r="AN41" s="220">
        <f t="shared" si="31"/>
        <v>8.3333333333333329E-2</v>
      </c>
      <c r="AO41" s="220">
        <f t="shared" si="31"/>
        <v>0</v>
      </c>
      <c r="AP41" s="220">
        <f t="shared" si="32"/>
        <v>0</v>
      </c>
      <c r="AQ41" s="220">
        <f t="shared" si="32"/>
        <v>0</v>
      </c>
      <c r="AR41" s="220">
        <f t="shared" si="32"/>
        <v>0</v>
      </c>
      <c r="AS41" s="220">
        <f t="shared" si="32"/>
        <v>0</v>
      </c>
      <c r="AT41" s="220">
        <f t="shared" si="32"/>
        <v>0</v>
      </c>
      <c r="AU41" s="220">
        <f t="shared" si="32"/>
        <v>0</v>
      </c>
      <c r="AV41" s="220">
        <f t="shared" si="32"/>
        <v>0</v>
      </c>
      <c r="AW41" s="220">
        <f t="shared" si="32"/>
        <v>0</v>
      </c>
      <c r="AX41" s="220">
        <f t="shared" si="32"/>
        <v>0</v>
      </c>
      <c r="AY41" s="220">
        <f t="shared" si="32"/>
        <v>0</v>
      </c>
      <c r="AZ41" s="220">
        <f t="shared" si="33"/>
        <v>0</v>
      </c>
      <c r="BA41" s="220">
        <f t="shared" si="33"/>
        <v>0</v>
      </c>
      <c r="BB41" s="220">
        <f t="shared" si="33"/>
        <v>0</v>
      </c>
      <c r="BC41" s="220">
        <f t="shared" si="33"/>
        <v>0</v>
      </c>
      <c r="BD41" s="220">
        <f t="shared" si="33"/>
        <v>0</v>
      </c>
      <c r="BE41" s="220">
        <f t="shared" si="33"/>
        <v>0</v>
      </c>
      <c r="BF41" s="248">
        <f t="shared" si="24"/>
        <v>1.1102230246251565E-16</v>
      </c>
    </row>
    <row r="42" spans="1:58" x14ac:dyDescent="0.3">
      <c r="A42" s="187">
        <v>26</v>
      </c>
      <c r="B42" s="242">
        <f t="shared" si="25"/>
        <v>46419</v>
      </c>
      <c r="C42" s="243">
        <f t="shared" si="2"/>
        <v>46446</v>
      </c>
      <c r="D42" s="120">
        <f t="shared" si="3"/>
        <v>28</v>
      </c>
      <c r="E42" s="120">
        <f t="shared" si="4"/>
        <v>2</v>
      </c>
      <c r="F42" s="244">
        <f t="shared" si="5"/>
        <v>46433</v>
      </c>
      <c r="G42" s="120">
        <f t="shared" si="6"/>
        <v>24325</v>
      </c>
      <c r="H42" s="245">
        <f t="shared" si="7"/>
        <v>1</v>
      </c>
      <c r="I42" s="121">
        <f t="shared" si="8"/>
        <v>1.1024</v>
      </c>
      <c r="J42" s="121">
        <f t="shared" si="9"/>
        <v>1.1024</v>
      </c>
      <c r="K42" s="120">
        <f t="shared" si="10"/>
        <v>0</v>
      </c>
      <c r="L42" s="120">
        <f t="shared" si="11"/>
        <v>0</v>
      </c>
      <c r="M42" s="246">
        <f t="shared" si="12"/>
        <v>0</v>
      </c>
      <c r="N42" s="121">
        <f t="shared" si="13"/>
        <v>1.1024</v>
      </c>
      <c r="O42" s="247">
        <f>'Mod Engine'!$E42</f>
        <v>0.86899343544857766</v>
      </c>
      <c r="P42" s="121">
        <f t="shared" si="14"/>
        <v>0</v>
      </c>
      <c r="Q42" s="121">
        <f t="shared" si="15"/>
        <v>1</v>
      </c>
      <c r="R42" s="121">
        <f t="shared" si="16"/>
        <v>0</v>
      </c>
      <c r="S42" s="121" t="str">
        <f t="shared" si="17"/>
        <v/>
      </c>
      <c r="T42" s="121" t="str">
        <f t="shared" si="18"/>
        <v/>
      </c>
      <c r="U42" s="121">
        <f t="shared" si="19"/>
        <v>1.1024</v>
      </c>
      <c r="V42" s="220">
        <f t="shared" si="30"/>
        <v>0</v>
      </c>
      <c r="W42" s="220">
        <f t="shared" si="30"/>
        <v>0</v>
      </c>
      <c r="X42" s="220">
        <f t="shared" si="30"/>
        <v>0</v>
      </c>
      <c r="Y42" s="220">
        <f t="shared" si="30"/>
        <v>0</v>
      </c>
      <c r="Z42" s="220">
        <f t="shared" si="30"/>
        <v>0</v>
      </c>
      <c r="AA42" s="220">
        <f t="shared" si="30"/>
        <v>0</v>
      </c>
      <c r="AB42" s="220">
        <f t="shared" si="30"/>
        <v>0</v>
      </c>
      <c r="AC42" s="220">
        <f t="shared" si="30"/>
        <v>0</v>
      </c>
      <c r="AD42" s="220">
        <f t="shared" si="30"/>
        <v>0</v>
      </c>
      <c r="AE42" s="220">
        <f t="shared" si="30"/>
        <v>0</v>
      </c>
      <c r="AF42" s="220">
        <f t="shared" si="31"/>
        <v>0</v>
      </c>
      <c r="AG42" s="220">
        <f t="shared" si="31"/>
        <v>0</v>
      </c>
      <c r="AH42" s="220">
        <f t="shared" si="31"/>
        <v>0</v>
      </c>
      <c r="AI42" s="220">
        <f t="shared" si="31"/>
        <v>8.3333333333333329E-2</v>
      </c>
      <c r="AJ42" s="220">
        <f t="shared" si="31"/>
        <v>0.16666666666666666</v>
      </c>
      <c r="AK42" s="220">
        <f t="shared" si="31"/>
        <v>0.16666666666666666</v>
      </c>
      <c r="AL42" s="220">
        <f t="shared" si="31"/>
        <v>0.16666666666666666</v>
      </c>
      <c r="AM42" s="220">
        <f t="shared" si="31"/>
        <v>0.16666666666666666</v>
      </c>
      <c r="AN42" s="220">
        <f t="shared" si="31"/>
        <v>0.16666666666666666</v>
      </c>
      <c r="AO42" s="220">
        <f t="shared" si="31"/>
        <v>8.3333333333333329E-2</v>
      </c>
      <c r="AP42" s="220">
        <f t="shared" si="32"/>
        <v>0</v>
      </c>
      <c r="AQ42" s="220">
        <f t="shared" si="32"/>
        <v>0</v>
      </c>
      <c r="AR42" s="220">
        <f t="shared" si="32"/>
        <v>0</v>
      </c>
      <c r="AS42" s="220">
        <f t="shared" si="32"/>
        <v>0</v>
      </c>
      <c r="AT42" s="220">
        <f t="shared" si="32"/>
        <v>0</v>
      </c>
      <c r="AU42" s="220">
        <f t="shared" si="32"/>
        <v>0</v>
      </c>
      <c r="AV42" s="220">
        <f t="shared" si="32"/>
        <v>0</v>
      </c>
      <c r="AW42" s="220">
        <f t="shared" si="32"/>
        <v>0</v>
      </c>
      <c r="AX42" s="220">
        <f t="shared" si="32"/>
        <v>0</v>
      </c>
      <c r="AY42" s="220">
        <f t="shared" si="32"/>
        <v>0</v>
      </c>
      <c r="AZ42" s="220">
        <f t="shared" si="33"/>
        <v>0</v>
      </c>
      <c r="BA42" s="220">
        <f t="shared" si="33"/>
        <v>0</v>
      </c>
      <c r="BB42" s="220">
        <f t="shared" si="33"/>
        <v>0</v>
      </c>
      <c r="BC42" s="220">
        <f t="shared" si="33"/>
        <v>0</v>
      </c>
      <c r="BD42" s="220">
        <f t="shared" si="33"/>
        <v>0</v>
      </c>
      <c r="BE42" s="220">
        <f t="shared" si="33"/>
        <v>0</v>
      </c>
      <c r="BF42" s="248">
        <f t="shared" si="24"/>
        <v>1.1102230246251565E-16</v>
      </c>
    </row>
    <row r="43" spans="1:58" x14ac:dyDescent="0.3">
      <c r="A43" s="187">
        <v>27</v>
      </c>
      <c r="B43" s="242">
        <f t="shared" si="25"/>
        <v>46447</v>
      </c>
      <c r="C43" s="243">
        <f t="shared" si="2"/>
        <v>46477</v>
      </c>
      <c r="D43" s="120">
        <f t="shared" si="3"/>
        <v>31</v>
      </c>
      <c r="E43" s="120">
        <f t="shared" si="4"/>
        <v>3</v>
      </c>
      <c r="F43" s="244">
        <f t="shared" si="5"/>
        <v>46462.5</v>
      </c>
      <c r="G43" s="120">
        <f t="shared" si="6"/>
        <v>24326</v>
      </c>
      <c r="H43" s="245">
        <f t="shared" si="7"/>
        <v>1</v>
      </c>
      <c r="I43" s="121">
        <f t="shared" si="8"/>
        <v>1.1024</v>
      </c>
      <c r="J43" s="121">
        <f t="shared" si="9"/>
        <v>1.1024</v>
      </c>
      <c r="K43" s="120">
        <f t="shared" si="10"/>
        <v>0</v>
      </c>
      <c r="L43" s="120">
        <f t="shared" si="11"/>
        <v>0</v>
      </c>
      <c r="M43" s="246">
        <f t="shared" si="12"/>
        <v>0</v>
      </c>
      <c r="N43" s="121">
        <f t="shared" si="13"/>
        <v>1.1024</v>
      </c>
      <c r="O43" s="247">
        <f>'Mod Engine'!$E43</f>
        <v>0.87092997811816197</v>
      </c>
      <c r="P43" s="121">
        <f t="shared" si="14"/>
        <v>0</v>
      </c>
      <c r="Q43" s="121">
        <f t="shared" si="15"/>
        <v>1</v>
      </c>
      <c r="R43" s="121">
        <f t="shared" si="16"/>
        <v>0</v>
      </c>
      <c r="S43" s="121" t="str">
        <f t="shared" si="17"/>
        <v/>
      </c>
      <c r="T43" s="121" t="str">
        <f t="shared" si="18"/>
        <v/>
      </c>
      <c r="U43" s="121">
        <f t="shared" si="19"/>
        <v>1.1024</v>
      </c>
      <c r="V43" s="220">
        <f t="shared" si="30"/>
        <v>0</v>
      </c>
      <c r="W43" s="220">
        <f t="shared" si="30"/>
        <v>0</v>
      </c>
      <c r="X43" s="220">
        <f t="shared" si="30"/>
        <v>0</v>
      </c>
      <c r="Y43" s="220">
        <f t="shared" si="30"/>
        <v>0</v>
      </c>
      <c r="Z43" s="220">
        <f t="shared" si="30"/>
        <v>0</v>
      </c>
      <c r="AA43" s="220">
        <f t="shared" si="30"/>
        <v>0</v>
      </c>
      <c r="AB43" s="220">
        <f t="shared" si="30"/>
        <v>0</v>
      </c>
      <c r="AC43" s="220">
        <f t="shared" si="30"/>
        <v>0</v>
      </c>
      <c r="AD43" s="220">
        <f t="shared" si="30"/>
        <v>0</v>
      </c>
      <c r="AE43" s="220">
        <f t="shared" si="30"/>
        <v>0</v>
      </c>
      <c r="AF43" s="220">
        <f t="shared" si="31"/>
        <v>0</v>
      </c>
      <c r="AG43" s="220">
        <f t="shared" si="31"/>
        <v>0</v>
      </c>
      <c r="AH43" s="220">
        <f t="shared" si="31"/>
        <v>0</v>
      </c>
      <c r="AI43" s="220">
        <f t="shared" si="31"/>
        <v>0</v>
      </c>
      <c r="AJ43" s="220">
        <f t="shared" si="31"/>
        <v>8.3333333333333329E-2</v>
      </c>
      <c r="AK43" s="220">
        <f t="shared" si="31"/>
        <v>0.16666666666666666</v>
      </c>
      <c r="AL43" s="220">
        <f t="shared" si="31"/>
        <v>0.16666666666666666</v>
      </c>
      <c r="AM43" s="220">
        <f t="shared" si="31"/>
        <v>0.16666666666666666</v>
      </c>
      <c r="AN43" s="220">
        <f t="shared" si="31"/>
        <v>0.16666666666666666</v>
      </c>
      <c r="AO43" s="220">
        <f t="shared" si="31"/>
        <v>0.16666666666666666</v>
      </c>
      <c r="AP43" s="220">
        <f t="shared" si="32"/>
        <v>8.3333333333333329E-2</v>
      </c>
      <c r="AQ43" s="220">
        <f t="shared" si="32"/>
        <v>0</v>
      </c>
      <c r="AR43" s="220">
        <f t="shared" si="32"/>
        <v>0</v>
      </c>
      <c r="AS43" s="220">
        <f t="shared" si="32"/>
        <v>0</v>
      </c>
      <c r="AT43" s="220">
        <f t="shared" si="32"/>
        <v>0</v>
      </c>
      <c r="AU43" s="220">
        <f t="shared" si="32"/>
        <v>0</v>
      </c>
      <c r="AV43" s="220">
        <f t="shared" si="32"/>
        <v>0</v>
      </c>
      <c r="AW43" s="220">
        <f t="shared" si="32"/>
        <v>0</v>
      </c>
      <c r="AX43" s="220">
        <f t="shared" si="32"/>
        <v>0</v>
      </c>
      <c r="AY43" s="220">
        <f t="shared" si="32"/>
        <v>0</v>
      </c>
      <c r="AZ43" s="220">
        <f t="shared" si="33"/>
        <v>0</v>
      </c>
      <c r="BA43" s="220">
        <f t="shared" si="33"/>
        <v>0</v>
      </c>
      <c r="BB43" s="220">
        <f t="shared" si="33"/>
        <v>0</v>
      </c>
      <c r="BC43" s="220">
        <f t="shared" si="33"/>
        <v>0</v>
      </c>
      <c r="BD43" s="220">
        <f t="shared" si="33"/>
        <v>0</v>
      </c>
      <c r="BE43" s="220">
        <f t="shared" si="33"/>
        <v>0</v>
      </c>
      <c r="BF43" s="248">
        <f t="shared" si="24"/>
        <v>1.1102230246251565E-16</v>
      </c>
    </row>
    <row r="44" spans="1:58" x14ac:dyDescent="0.3">
      <c r="A44" s="187">
        <v>28</v>
      </c>
      <c r="B44" s="242">
        <f t="shared" si="25"/>
        <v>46478</v>
      </c>
      <c r="C44" s="243">
        <f t="shared" si="2"/>
        <v>46507</v>
      </c>
      <c r="D44" s="120">
        <f t="shared" si="3"/>
        <v>30</v>
      </c>
      <c r="E44" s="120">
        <f t="shared" si="4"/>
        <v>4</v>
      </c>
      <c r="F44" s="244">
        <f t="shared" si="5"/>
        <v>46493</v>
      </c>
      <c r="G44" s="120">
        <f t="shared" si="6"/>
        <v>24327</v>
      </c>
      <c r="H44" s="245">
        <f t="shared" si="7"/>
        <v>1</v>
      </c>
      <c r="I44" s="121">
        <f t="shared" si="8"/>
        <v>1.1024</v>
      </c>
      <c r="J44" s="121">
        <f t="shared" si="9"/>
        <v>1.1575200000000001</v>
      </c>
      <c r="K44" s="120">
        <f t="shared" si="10"/>
        <v>1</v>
      </c>
      <c r="L44" s="120">
        <f t="shared" si="11"/>
        <v>30</v>
      </c>
      <c r="M44" s="246">
        <f t="shared" si="12"/>
        <v>1</v>
      </c>
      <c r="N44" s="121">
        <f t="shared" si="13"/>
        <v>1.1575200000000001</v>
      </c>
      <c r="O44" s="247">
        <f>'Mod Engine'!$E44</f>
        <v>0.87293216630196935</v>
      </c>
      <c r="P44" s="121">
        <f t="shared" si="14"/>
        <v>0</v>
      </c>
      <c r="Q44" s="121">
        <f t="shared" si="15"/>
        <v>1</v>
      </c>
      <c r="R44" s="121">
        <f t="shared" si="16"/>
        <v>0</v>
      </c>
      <c r="S44" s="121" t="str">
        <f t="shared" si="17"/>
        <v/>
      </c>
      <c r="T44" s="121" t="str">
        <f t="shared" si="18"/>
        <v/>
      </c>
      <c r="U44" s="121">
        <f t="shared" si="19"/>
        <v>1.1575200000000001</v>
      </c>
      <c r="V44" s="220">
        <f t="shared" si="30"/>
        <v>0</v>
      </c>
      <c r="W44" s="220">
        <f t="shared" si="30"/>
        <v>0</v>
      </c>
      <c r="X44" s="220">
        <f t="shared" si="30"/>
        <v>0</v>
      </c>
      <c r="Y44" s="220">
        <f t="shared" si="30"/>
        <v>0</v>
      </c>
      <c r="Z44" s="220">
        <f t="shared" si="30"/>
        <v>0</v>
      </c>
      <c r="AA44" s="220">
        <f t="shared" si="30"/>
        <v>0</v>
      </c>
      <c r="AB44" s="220">
        <f t="shared" si="30"/>
        <v>0</v>
      </c>
      <c r="AC44" s="220">
        <f t="shared" si="30"/>
        <v>0</v>
      </c>
      <c r="AD44" s="220">
        <f t="shared" si="30"/>
        <v>0</v>
      </c>
      <c r="AE44" s="220">
        <f t="shared" si="30"/>
        <v>0</v>
      </c>
      <c r="AF44" s="220">
        <f t="shared" si="31"/>
        <v>0</v>
      </c>
      <c r="AG44" s="220">
        <f t="shared" si="31"/>
        <v>0</v>
      </c>
      <c r="AH44" s="220">
        <f t="shared" si="31"/>
        <v>0</v>
      </c>
      <c r="AI44" s="220">
        <f t="shared" si="31"/>
        <v>0</v>
      </c>
      <c r="AJ44" s="220">
        <f t="shared" si="31"/>
        <v>0</v>
      </c>
      <c r="AK44" s="220">
        <f t="shared" si="31"/>
        <v>8.3333333333333329E-2</v>
      </c>
      <c r="AL44" s="220">
        <f t="shared" si="31"/>
        <v>0.16666666666666666</v>
      </c>
      <c r="AM44" s="220">
        <f t="shared" si="31"/>
        <v>0.16666666666666666</v>
      </c>
      <c r="AN44" s="220">
        <f t="shared" si="31"/>
        <v>0.16666666666666666</v>
      </c>
      <c r="AO44" s="220">
        <f t="shared" si="31"/>
        <v>0.16666666666666666</v>
      </c>
      <c r="AP44" s="220">
        <f t="shared" si="32"/>
        <v>0.16666666666666666</v>
      </c>
      <c r="AQ44" s="220">
        <f t="shared" si="32"/>
        <v>8.3333333333333329E-2</v>
      </c>
      <c r="AR44" s="220">
        <f t="shared" si="32"/>
        <v>0</v>
      </c>
      <c r="AS44" s="220">
        <f t="shared" si="32"/>
        <v>0</v>
      </c>
      <c r="AT44" s="220">
        <f t="shared" si="32"/>
        <v>0</v>
      </c>
      <c r="AU44" s="220">
        <f t="shared" si="32"/>
        <v>0</v>
      </c>
      <c r="AV44" s="220">
        <f t="shared" si="32"/>
        <v>0</v>
      </c>
      <c r="AW44" s="220">
        <f t="shared" si="32"/>
        <v>0</v>
      </c>
      <c r="AX44" s="220">
        <f t="shared" si="32"/>
        <v>0</v>
      </c>
      <c r="AY44" s="220">
        <f t="shared" si="32"/>
        <v>0</v>
      </c>
      <c r="AZ44" s="220">
        <f t="shared" si="33"/>
        <v>0</v>
      </c>
      <c r="BA44" s="220">
        <f t="shared" si="33"/>
        <v>0</v>
      </c>
      <c r="BB44" s="220">
        <f t="shared" si="33"/>
        <v>0</v>
      </c>
      <c r="BC44" s="220">
        <f t="shared" si="33"/>
        <v>0</v>
      </c>
      <c r="BD44" s="220">
        <f t="shared" si="33"/>
        <v>0</v>
      </c>
      <c r="BE44" s="220">
        <f t="shared" si="33"/>
        <v>0</v>
      </c>
      <c r="BF44" s="248">
        <f t="shared" si="24"/>
        <v>1.1102230246251565E-16</v>
      </c>
    </row>
    <row r="45" spans="1:58" x14ac:dyDescent="0.3">
      <c r="A45" s="187">
        <v>29</v>
      </c>
      <c r="B45" s="242">
        <f t="shared" si="25"/>
        <v>46508</v>
      </c>
      <c r="C45" s="243">
        <f t="shared" si="2"/>
        <v>46538</v>
      </c>
      <c r="D45" s="120">
        <f t="shared" si="3"/>
        <v>31</v>
      </c>
      <c r="E45" s="120">
        <f t="shared" si="4"/>
        <v>5</v>
      </c>
      <c r="F45" s="244">
        <f t="shared" si="5"/>
        <v>46523.5</v>
      </c>
      <c r="G45" s="120">
        <f t="shared" si="6"/>
        <v>24328</v>
      </c>
      <c r="H45" s="245">
        <f t="shared" si="7"/>
        <v>1</v>
      </c>
      <c r="I45" s="121">
        <f t="shared" si="8"/>
        <v>1.1575200000000001</v>
      </c>
      <c r="J45" s="121">
        <f t="shared" si="9"/>
        <v>1.1575200000000001</v>
      </c>
      <c r="K45" s="120">
        <f t="shared" si="10"/>
        <v>0</v>
      </c>
      <c r="L45" s="120">
        <f t="shared" si="11"/>
        <v>0</v>
      </c>
      <c r="M45" s="246">
        <f t="shared" si="12"/>
        <v>0</v>
      </c>
      <c r="N45" s="121">
        <f t="shared" si="13"/>
        <v>1.1575200000000001</v>
      </c>
      <c r="O45" s="247">
        <f>'Mod Engine'!$E45</f>
        <v>0.87493435448577683</v>
      </c>
      <c r="P45" s="121">
        <f t="shared" si="14"/>
        <v>0</v>
      </c>
      <c r="Q45" s="121">
        <f t="shared" si="15"/>
        <v>1</v>
      </c>
      <c r="R45" s="121">
        <f t="shared" si="16"/>
        <v>0</v>
      </c>
      <c r="S45" s="121" t="str">
        <f t="shared" si="17"/>
        <v/>
      </c>
      <c r="T45" s="121" t="str">
        <f t="shared" si="18"/>
        <v/>
      </c>
      <c r="U45" s="121">
        <f t="shared" si="19"/>
        <v>1.1575200000000001</v>
      </c>
      <c r="V45" s="220">
        <f t="shared" si="30"/>
        <v>0</v>
      </c>
      <c r="W45" s="220">
        <f t="shared" si="30"/>
        <v>0</v>
      </c>
      <c r="X45" s="220">
        <f t="shared" si="30"/>
        <v>0</v>
      </c>
      <c r="Y45" s="220">
        <f t="shared" si="30"/>
        <v>0</v>
      </c>
      <c r="Z45" s="220">
        <f t="shared" si="30"/>
        <v>0</v>
      </c>
      <c r="AA45" s="220">
        <f t="shared" si="30"/>
        <v>0</v>
      </c>
      <c r="AB45" s="220">
        <f t="shared" si="30"/>
        <v>0</v>
      </c>
      <c r="AC45" s="220">
        <f t="shared" si="30"/>
        <v>0</v>
      </c>
      <c r="AD45" s="220">
        <f t="shared" si="30"/>
        <v>0</v>
      </c>
      <c r="AE45" s="220">
        <f t="shared" si="30"/>
        <v>0</v>
      </c>
      <c r="AF45" s="220">
        <f t="shared" si="31"/>
        <v>0</v>
      </c>
      <c r="AG45" s="220">
        <f t="shared" si="31"/>
        <v>0</v>
      </c>
      <c r="AH45" s="220">
        <f t="shared" si="31"/>
        <v>0</v>
      </c>
      <c r="AI45" s="220">
        <f t="shared" si="31"/>
        <v>0</v>
      </c>
      <c r="AJ45" s="220">
        <f t="shared" si="31"/>
        <v>0</v>
      </c>
      <c r="AK45" s="220">
        <f t="shared" si="31"/>
        <v>0</v>
      </c>
      <c r="AL45" s="220">
        <f t="shared" si="31"/>
        <v>8.3333333333333329E-2</v>
      </c>
      <c r="AM45" s="220">
        <f t="shared" si="31"/>
        <v>0.16666666666666666</v>
      </c>
      <c r="AN45" s="220">
        <f t="shared" si="31"/>
        <v>0.16666666666666666</v>
      </c>
      <c r="AO45" s="220">
        <f t="shared" si="31"/>
        <v>0.16666666666666666</v>
      </c>
      <c r="AP45" s="220">
        <f t="shared" si="32"/>
        <v>0.16666666666666666</v>
      </c>
      <c r="AQ45" s="220">
        <f t="shared" si="32"/>
        <v>0.16666666666666666</v>
      </c>
      <c r="AR45" s="220">
        <f t="shared" si="32"/>
        <v>8.3333333333333329E-2</v>
      </c>
      <c r="AS45" s="220">
        <f t="shared" si="32"/>
        <v>0</v>
      </c>
      <c r="AT45" s="220">
        <f t="shared" si="32"/>
        <v>0</v>
      </c>
      <c r="AU45" s="220">
        <f t="shared" si="32"/>
        <v>0</v>
      </c>
      <c r="AV45" s="220">
        <f t="shared" si="32"/>
        <v>0</v>
      </c>
      <c r="AW45" s="220">
        <f t="shared" si="32"/>
        <v>0</v>
      </c>
      <c r="AX45" s="220">
        <f t="shared" si="32"/>
        <v>0</v>
      </c>
      <c r="AY45" s="220">
        <f t="shared" si="32"/>
        <v>0</v>
      </c>
      <c r="AZ45" s="220">
        <f t="shared" si="33"/>
        <v>0</v>
      </c>
      <c r="BA45" s="220">
        <f t="shared" si="33"/>
        <v>0</v>
      </c>
      <c r="BB45" s="220">
        <f t="shared" si="33"/>
        <v>0</v>
      </c>
      <c r="BC45" s="220">
        <f t="shared" si="33"/>
        <v>0</v>
      </c>
      <c r="BD45" s="220">
        <f t="shared" si="33"/>
        <v>0</v>
      </c>
      <c r="BE45" s="220">
        <f t="shared" si="33"/>
        <v>0</v>
      </c>
      <c r="BF45" s="248">
        <f t="shared" si="24"/>
        <v>1.1102230246251565E-16</v>
      </c>
    </row>
    <row r="46" spans="1:58" x14ac:dyDescent="0.3">
      <c r="A46" s="187">
        <v>30</v>
      </c>
      <c r="B46" s="242">
        <f t="shared" si="25"/>
        <v>46539</v>
      </c>
      <c r="C46" s="243">
        <f t="shared" si="2"/>
        <v>46568</v>
      </c>
      <c r="D46" s="120">
        <f t="shared" si="3"/>
        <v>30</v>
      </c>
      <c r="E46" s="120">
        <f t="shared" si="4"/>
        <v>6</v>
      </c>
      <c r="F46" s="244">
        <f t="shared" si="5"/>
        <v>46554</v>
      </c>
      <c r="G46" s="120">
        <f t="shared" si="6"/>
        <v>24329</v>
      </c>
      <c r="H46" s="245">
        <f t="shared" si="7"/>
        <v>1</v>
      </c>
      <c r="I46" s="121">
        <f t="shared" si="8"/>
        <v>1.1575200000000001</v>
      </c>
      <c r="J46" s="121">
        <f t="shared" si="9"/>
        <v>1.1575200000000001</v>
      </c>
      <c r="K46" s="120">
        <f t="shared" si="10"/>
        <v>0</v>
      </c>
      <c r="L46" s="120">
        <f t="shared" si="11"/>
        <v>0</v>
      </c>
      <c r="M46" s="246">
        <f t="shared" si="12"/>
        <v>0</v>
      </c>
      <c r="N46" s="121">
        <f t="shared" si="13"/>
        <v>1.1575200000000001</v>
      </c>
      <c r="O46" s="247">
        <f>'Mod Engine'!$E46</f>
        <v>0.87693654266958421</v>
      </c>
      <c r="P46" s="121">
        <f t="shared" si="14"/>
        <v>0</v>
      </c>
      <c r="Q46" s="121">
        <f t="shared" si="15"/>
        <v>1</v>
      </c>
      <c r="R46" s="121">
        <f t="shared" si="16"/>
        <v>0</v>
      </c>
      <c r="S46" s="121" t="str">
        <f t="shared" si="17"/>
        <v/>
      </c>
      <c r="T46" s="121" t="str">
        <f t="shared" si="18"/>
        <v/>
      </c>
      <c r="U46" s="121">
        <f t="shared" si="19"/>
        <v>1.1575200000000001</v>
      </c>
      <c r="V46" s="220">
        <f t="shared" si="30"/>
        <v>0</v>
      </c>
      <c r="W46" s="220">
        <f t="shared" si="30"/>
        <v>0</v>
      </c>
      <c r="X46" s="220">
        <f t="shared" si="30"/>
        <v>0</v>
      </c>
      <c r="Y46" s="220">
        <f t="shared" si="30"/>
        <v>0</v>
      </c>
      <c r="Z46" s="220">
        <f t="shared" si="30"/>
        <v>0</v>
      </c>
      <c r="AA46" s="220">
        <f t="shared" si="30"/>
        <v>0</v>
      </c>
      <c r="AB46" s="220">
        <f t="shared" si="30"/>
        <v>0</v>
      </c>
      <c r="AC46" s="220">
        <f t="shared" si="30"/>
        <v>0</v>
      </c>
      <c r="AD46" s="220">
        <f t="shared" si="30"/>
        <v>0</v>
      </c>
      <c r="AE46" s="220">
        <f t="shared" si="30"/>
        <v>0</v>
      </c>
      <c r="AF46" s="220">
        <f t="shared" si="31"/>
        <v>0</v>
      </c>
      <c r="AG46" s="220">
        <f t="shared" si="31"/>
        <v>0</v>
      </c>
      <c r="AH46" s="220">
        <f t="shared" si="31"/>
        <v>0</v>
      </c>
      <c r="AI46" s="220">
        <f t="shared" si="31"/>
        <v>0</v>
      </c>
      <c r="AJ46" s="220">
        <f t="shared" si="31"/>
        <v>0</v>
      </c>
      <c r="AK46" s="220">
        <f t="shared" si="31"/>
        <v>0</v>
      </c>
      <c r="AL46" s="220">
        <f t="shared" si="31"/>
        <v>0</v>
      </c>
      <c r="AM46" s="220">
        <f t="shared" si="31"/>
        <v>8.3333333333333329E-2</v>
      </c>
      <c r="AN46" s="220">
        <f t="shared" si="31"/>
        <v>0.16666666666666666</v>
      </c>
      <c r="AO46" s="220">
        <f t="shared" si="31"/>
        <v>0.16666666666666666</v>
      </c>
      <c r="AP46" s="220">
        <f t="shared" si="32"/>
        <v>0.16666666666666666</v>
      </c>
      <c r="AQ46" s="220">
        <f t="shared" si="32"/>
        <v>0.16666666666666666</v>
      </c>
      <c r="AR46" s="220">
        <f t="shared" si="32"/>
        <v>0.16666666666666666</v>
      </c>
      <c r="AS46" s="220">
        <f t="shared" si="32"/>
        <v>8.3333333333333329E-2</v>
      </c>
      <c r="AT46" s="220">
        <f t="shared" si="32"/>
        <v>0</v>
      </c>
      <c r="AU46" s="220">
        <f t="shared" si="32"/>
        <v>0</v>
      </c>
      <c r="AV46" s="220">
        <f t="shared" si="32"/>
        <v>0</v>
      </c>
      <c r="AW46" s="220">
        <f t="shared" si="32"/>
        <v>0</v>
      </c>
      <c r="AX46" s="220">
        <f t="shared" si="32"/>
        <v>0</v>
      </c>
      <c r="AY46" s="220">
        <f t="shared" si="32"/>
        <v>0</v>
      </c>
      <c r="AZ46" s="220">
        <f t="shared" si="33"/>
        <v>0</v>
      </c>
      <c r="BA46" s="220">
        <f t="shared" si="33"/>
        <v>0</v>
      </c>
      <c r="BB46" s="220">
        <f t="shared" si="33"/>
        <v>0</v>
      </c>
      <c r="BC46" s="220">
        <f t="shared" si="33"/>
        <v>0</v>
      </c>
      <c r="BD46" s="220">
        <f t="shared" si="33"/>
        <v>0</v>
      </c>
      <c r="BE46" s="220">
        <f t="shared" si="33"/>
        <v>0</v>
      </c>
      <c r="BF46" s="248">
        <f t="shared" si="24"/>
        <v>1.1102230246251565E-16</v>
      </c>
    </row>
    <row r="47" spans="1:58" x14ac:dyDescent="0.3">
      <c r="A47" s="187">
        <v>31</v>
      </c>
      <c r="B47" s="242">
        <f t="shared" si="25"/>
        <v>46569</v>
      </c>
      <c r="C47" s="243">
        <f t="shared" si="2"/>
        <v>46599</v>
      </c>
      <c r="D47" s="120">
        <f t="shared" si="3"/>
        <v>31</v>
      </c>
      <c r="E47" s="120">
        <f t="shared" si="4"/>
        <v>7</v>
      </c>
      <c r="F47" s="244">
        <f t="shared" si="5"/>
        <v>46584.5</v>
      </c>
      <c r="G47" s="120">
        <f t="shared" si="6"/>
        <v>24330</v>
      </c>
      <c r="H47" s="245">
        <f t="shared" si="7"/>
        <v>1</v>
      </c>
      <c r="I47" s="121">
        <f t="shared" si="8"/>
        <v>1.1575200000000001</v>
      </c>
      <c r="J47" s="121">
        <f t="shared" si="9"/>
        <v>1.1575200000000001</v>
      </c>
      <c r="K47" s="120">
        <f t="shared" si="10"/>
        <v>0</v>
      </c>
      <c r="L47" s="120">
        <f t="shared" si="11"/>
        <v>0</v>
      </c>
      <c r="M47" s="246">
        <f t="shared" si="12"/>
        <v>0</v>
      </c>
      <c r="N47" s="121">
        <f t="shared" si="13"/>
        <v>1.1575200000000001</v>
      </c>
      <c r="O47" s="247">
        <f>'Mod Engine'!$E47</f>
        <v>0.87893873085339169</v>
      </c>
      <c r="P47" s="121">
        <f t="shared" si="14"/>
        <v>0</v>
      </c>
      <c r="Q47" s="121">
        <f t="shared" si="15"/>
        <v>0.91666666666666663</v>
      </c>
      <c r="R47" s="121">
        <f t="shared" si="16"/>
        <v>8.333333333333337E-2</v>
      </c>
      <c r="S47" s="121" t="str">
        <f t="shared" si="17"/>
        <v/>
      </c>
      <c r="T47" s="121" t="str">
        <f t="shared" si="18"/>
        <v/>
      </c>
      <c r="U47" s="121">
        <f t="shared" si="19"/>
        <v>1.1575200000000001</v>
      </c>
      <c r="V47" s="220">
        <f t="shared" ref="V47:AE56" si="34">IF(OR(V$15&lt;$G47,V$15&gt;$G47+$F$5),0,IF(OR(V$15=$G47,V$15=$G47+$F$5),0.5,1)/$F$5)</f>
        <v>0</v>
      </c>
      <c r="W47" s="220">
        <f t="shared" si="34"/>
        <v>0</v>
      </c>
      <c r="X47" s="220">
        <f t="shared" si="34"/>
        <v>0</v>
      </c>
      <c r="Y47" s="220">
        <f t="shared" si="34"/>
        <v>0</v>
      </c>
      <c r="Z47" s="220">
        <f t="shared" si="34"/>
        <v>0</v>
      </c>
      <c r="AA47" s="220">
        <f t="shared" si="34"/>
        <v>0</v>
      </c>
      <c r="AB47" s="220">
        <f t="shared" si="34"/>
        <v>0</v>
      </c>
      <c r="AC47" s="220">
        <f t="shared" si="34"/>
        <v>0</v>
      </c>
      <c r="AD47" s="220">
        <f t="shared" si="34"/>
        <v>0</v>
      </c>
      <c r="AE47" s="220">
        <f t="shared" si="34"/>
        <v>0</v>
      </c>
      <c r="AF47" s="220">
        <f t="shared" ref="AF47:AO56" si="35">IF(OR(AF$15&lt;$G47,AF$15&gt;$G47+$F$5),0,IF(OR(AF$15=$G47,AF$15=$G47+$F$5),0.5,1)/$F$5)</f>
        <v>0</v>
      </c>
      <c r="AG47" s="220">
        <f t="shared" si="35"/>
        <v>0</v>
      </c>
      <c r="AH47" s="220">
        <f t="shared" si="35"/>
        <v>0</v>
      </c>
      <c r="AI47" s="220">
        <f t="shared" si="35"/>
        <v>0</v>
      </c>
      <c r="AJ47" s="220">
        <f t="shared" si="35"/>
        <v>0</v>
      </c>
      <c r="AK47" s="220">
        <f t="shared" si="35"/>
        <v>0</v>
      </c>
      <c r="AL47" s="220">
        <f t="shared" si="35"/>
        <v>0</v>
      </c>
      <c r="AM47" s="220">
        <f t="shared" si="35"/>
        <v>0</v>
      </c>
      <c r="AN47" s="220">
        <f t="shared" si="35"/>
        <v>8.3333333333333329E-2</v>
      </c>
      <c r="AO47" s="220">
        <f t="shared" si="35"/>
        <v>0.16666666666666666</v>
      </c>
      <c r="AP47" s="220">
        <f t="shared" ref="AP47:AY56" si="36">IF(OR(AP$15&lt;$G47,AP$15&gt;$G47+$F$5),0,IF(OR(AP$15=$G47,AP$15=$G47+$F$5),0.5,1)/$F$5)</f>
        <v>0.16666666666666666</v>
      </c>
      <c r="AQ47" s="220">
        <f t="shared" si="36"/>
        <v>0.16666666666666666</v>
      </c>
      <c r="AR47" s="220">
        <f t="shared" si="36"/>
        <v>0.16666666666666666</v>
      </c>
      <c r="AS47" s="220">
        <f t="shared" si="36"/>
        <v>0.16666666666666666</v>
      </c>
      <c r="AT47" s="220">
        <f t="shared" si="36"/>
        <v>8.3333333333333329E-2</v>
      </c>
      <c r="AU47" s="220">
        <f t="shared" si="36"/>
        <v>0</v>
      </c>
      <c r="AV47" s="220">
        <f t="shared" si="36"/>
        <v>0</v>
      </c>
      <c r="AW47" s="220">
        <f t="shared" si="36"/>
        <v>0</v>
      </c>
      <c r="AX47" s="220">
        <f t="shared" si="36"/>
        <v>0</v>
      </c>
      <c r="AY47" s="220">
        <f t="shared" si="36"/>
        <v>0</v>
      </c>
      <c r="AZ47" s="220">
        <f t="shared" ref="AZ47:BE56" si="37">IF(OR(AZ$15&lt;$G47,AZ$15&gt;$G47+$F$5),0,IF(OR(AZ$15=$G47,AZ$15=$G47+$F$5),0.5,1)/$F$5)</f>
        <v>0</v>
      </c>
      <c r="BA47" s="220">
        <f t="shared" si="37"/>
        <v>0</v>
      </c>
      <c r="BB47" s="220">
        <f t="shared" si="37"/>
        <v>0</v>
      </c>
      <c r="BC47" s="220">
        <f t="shared" si="37"/>
        <v>0</v>
      </c>
      <c r="BD47" s="220">
        <f t="shared" si="37"/>
        <v>0</v>
      </c>
      <c r="BE47" s="220">
        <f t="shared" si="37"/>
        <v>0</v>
      </c>
      <c r="BF47" s="248">
        <f t="shared" si="24"/>
        <v>1.1102230246251565E-16</v>
      </c>
    </row>
    <row r="48" spans="1:58" x14ac:dyDescent="0.3">
      <c r="A48" s="187">
        <v>32</v>
      </c>
      <c r="B48" s="242">
        <f t="shared" si="25"/>
        <v>46600</v>
      </c>
      <c r="C48" s="243">
        <f t="shared" si="2"/>
        <v>46630</v>
      </c>
      <c r="D48" s="120">
        <f t="shared" si="3"/>
        <v>31</v>
      </c>
      <c r="E48" s="120">
        <f t="shared" si="4"/>
        <v>8</v>
      </c>
      <c r="F48" s="244">
        <f t="shared" si="5"/>
        <v>46615.5</v>
      </c>
      <c r="G48" s="120">
        <f t="shared" si="6"/>
        <v>24331</v>
      </c>
      <c r="H48" s="245">
        <f t="shared" si="7"/>
        <v>1</v>
      </c>
      <c r="I48" s="121">
        <f t="shared" si="8"/>
        <v>1.1575200000000001</v>
      </c>
      <c r="J48" s="121">
        <f t="shared" si="9"/>
        <v>1.1575200000000001</v>
      </c>
      <c r="K48" s="120">
        <f t="shared" si="10"/>
        <v>0</v>
      </c>
      <c r="L48" s="120">
        <f t="shared" si="11"/>
        <v>0</v>
      </c>
      <c r="M48" s="246">
        <f t="shared" si="12"/>
        <v>0</v>
      </c>
      <c r="N48" s="121">
        <f t="shared" si="13"/>
        <v>1.1575200000000001</v>
      </c>
      <c r="O48" s="247">
        <f>'Mod Engine'!$E48</f>
        <v>0.88097374179431076</v>
      </c>
      <c r="P48" s="121">
        <f t="shared" si="14"/>
        <v>0</v>
      </c>
      <c r="Q48" s="121">
        <f t="shared" si="15"/>
        <v>0.75</v>
      </c>
      <c r="R48" s="121">
        <f t="shared" si="16"/>
        <v>0.25</v>
      </c>
      <c r="S48" s="121" t="str">
        <f t="shared" si="17"/>
        <v/>
      </c>
      <c r="T48" s="121" t="str">
        <f t="shared" si="18"/>
        <v/>
      </c>
      <c r="U48" s="121">
        <f t="shared" si="19"/>
        <v>1.1575200000000001</v>
      </c>
      <c r="V48" s="220">
        <f t="shared" si="34"/>
        <v>0</v>
      </c>
      <c r="W48" s="220">
        <f t="shared" si="34"/>
        <v>0</v>
      </c>
      <c r="X48" s="220">
        <f t="shared" si="34"/>
        <v>0</v>
      </c>
      <c r="Y48" s="220">
        <f t="shared" si="34"/>
        <v>0</v>
      </c>
      <c r="Z48" s="220">
        <f t="shared" si="34"/>
        <v>0</v>
      </c>
      <c r="AA48" s="220">
        <f t="shared" si="34"/>
        <v>0</v>
      </c>
      <c r="AB48" s="220">
        <f t="shared" si="34"/>
        <v>0</v>
      </c>
      <c r="AC48" s="220">
        <f t="shared" si="34"/>
        <v>0</v>
      </c>
      <c r="AD48" s="220">
        <f t="shared" si="34"/>
        <v>0</v>
      </c>
      <c r="AE48" s="220">
        <f t="shared" si="34"/>
        <v>0</v>
      </c>
      <c r="AF48" s="220">
        <f t="shared" si="35"/>
        <v>0</v>
      </c>
      <c r="AG48" s="220">
        <f t="shared" si="35"/>
        <v>0</v>
      </c>
      <c r="AH48" s="220">
        <f t="shared" si="35"/>
        <v>0</v>
      </c>
      <c r="AI48" s="220">
        <f t="shared" si="35"/>
        <v>0</v>
      </c>
      <c r="AJ48" s="220">
        <f t="shared" si="35"/>
        <v>0</v>
      </c>
      <c r="AK48" s="220">
        <f t="shared" si="35"/>
        <v>0</v>
      </c>
      <c r="AL48" s="220">
        <f t="shared" si="35"/>
        <v>0</v>
      </c>
      <c r="AM48" s="220">
        <f t="shared" si="35"/>
        <v>0</v>
      </c>
      <c r="AN48" s="220">
        <f t="shared" si="35"/>
        <v>0</v>
      </c>
      <c r="AO48" s="220">
        <f t="shared" si="35"/>
        <v>8.3333333333333329E-2</v>
      </c>
      <c r="AP48" s="220">
        <f t="shared" si="36"/>
        <v>0.16666666666666666</v>
      </c>
      <c r="AQ48" s="220">
        <f t="shared" si="36"/>
        <v>0.16666666666666666</v>
      </c>
      <c r="AR48" s="220">
        <f t="shared" si="36"/>
        <v>0.16666666666666666</v>
      </c>
      <c r="AS48" s="220">
        <f t="shared" si="36"/>
        <v>0.16666666666666666</v>
      </c>
      <c r="AT48" s="220">
        <f t="shared" si="36"/>
        <v>0.16666666666666666</v>
      </c>
      <c r="AU48" s="220">
        <f t="shared" si="36"/>
        <v>8.3333333333333329E-2</v>
      </c>
      <c r="AV48" s="220">
        <f t="shared" si="36"/>
        <v>0</v>
      </c>
      <c r="AW48" s="220">
        <f t="shared" si="36"/>
        <v>0</v>
      </c>
      <c r="AX48" s="220">
        <f t="shared" si="36"/>
        <v>0</v>
      </c>
      <c r="AY48" s="220">
        <f t="shared" si="36"/>
        <v>0</v>
      </c>
      <c r="AZ48" s="220">
        <f t="shared" si="37"/>
        <v>0</v>
      </c>
      <c r="BA48" s="220">
        <f t="shared" si="37"/>
        <v>0</v>
      </c>
      <c r="BB48" s="220">
        <f t="shared" si="37"/>
        <v>0</v>
      </c>
      <c r="BC48" s="220">
        <f t="shared" si="37"/>
        <v>0</v>
      </c>
      <c r="BD48" s="220">
        <f t="shared" si="37"/>
        <v>0</v>
      </c>
      <c r="BE48" s="220">
        <f t="shared" si="37"/>
        <v>0</v>
      </c>
      <c r="BF48" s="248">
        <f t="shared" si="24"/>
        <v>1.1102230246251565E-16</v>
      </c>
    </row>
    <row r="49" spans="1:58" x14ac:dyDescent="0.3">
      <c r="A49" s="187">
        <v>33</v>
      </c>
      <c r="B49" s="242">
        <f t="shared" si="25"/>
        <v>46631</v>
      </c>
      <c r="C49" s="243">
        <f t="shared" si="2"/>
        <v>46660</v>
      </c>
      <c r="D49" s="120">
        <f t="shared" si="3"/>
        <v>30</v>
      </c>
      <c r="E49" s="120">
        <f t="shared" si="4"/>
        <v>9</v>
      </c>
      <c r="F49" s="244">
        <f t="shared" si="5"/>
        <v>46646</v>
      </c>
      <c r="G49" s="120">
        <f t="shared" si="6"/>
        <v>24332</v>
      </c>
      <c r="H49" s="245">
        <f t="shared" si="7"/>
        <v>1</v>
      </c>
      <c r="I49" s="121">
        <f t="shared" si="8"/>
        <v>1.1575200000000001</v>
      </c>
      <c r="J49" s="121">
        <f t="shared" si="9"/>
        <v>1.1575200000000001</v>
      </c>
      <c r="K49" s="120">
        <f t="shared" si="10"/>
        <v>0</v>
      </c>
      <c r="L49" s="120">
        <f t="shared" si="11"/>
        <v>0</v>
      </c>
      <c r="M49" s="246">
        <f t="shared" si="12"/>
        <v>0</v>
      </c>
      <c r="N49" s="121">
        <f t="shared" si="13"/>
        <v>1.1575200000000001</v>
      </c>
      <c r="O49" s="247">
        <f>'Mod Engine'!$E49</f>
        <v>0.88297592997811813</v>
      </c>
      <c r="P49" s="121">
        <f t="shared" si="14"/>
        <v>0</v>
      </c>
      <c r="Q49" s="121">
        <f t="shared" si="15"/>
        <v>0.58333333333333337</v>
      </c>
      <c r="R49" s="121">
        <f t="shared" si="16"/>
        <v>0.41666666666666663</v>
      </c>
      <c r="S49" s="121" t="str">
        <f t="shared" si="17"/>
        <v/>
      </c>
      <c r="T49" s="121" t="str">
        <f t="shared" si="18"/>
        <v/>
      </c>
      <c r="U49" s="121">
        <f t="shared" si="19"/>
        <v>1.1575200000000001</v>
      </c>
      <c r="V49" s="220">
        <f t="shared" si="34"/>
        <v>0</v>
      </c>
      <c r="W49" s="220">
        <f t="shared" si="34"/>
        <v>0</v>
      </c>
      <c r="X49" s="220">
        <f t="shared" si="34"/>
        <v>0</v>
      </c>
      <c r="Y49" s="220">
        <f t="shared" si="34"/>
        <v>0</v>
      </c>
      <c r="Z49" s="220">
        <f t="shared" si="34"/>
        <v>0</v>
      </c>
      <c r="AA49" s="220">
        <f t="shared" si="34"/>
        <v>0</v>
      </c>
      <c r="AB49" s="220">
        <f t="shared" si="34"/>
        <v>0</v>
      </c>
      <c r="AC49" s="220">
        <f t="shared" si="34"/>
        <v>0</v>
      </c>
      <c r="AD49" s="220">
        <f t="shared" si="34"/>
        <v>0</v>
      </c>
      <c r="AE49" s="220">
        <f t="shared" si="34"/>
        <v>0</v>
      </c>
      <c r="AF49" s="220">
        <f t="shared" si="35"/>
        <v>0</v>
      </c>
      <c r="AG49" s="220">
        <f t="shared" si="35"/>
        <v>0</v>
      </c>
      <c r="AH49" s="220">
        <f t="shared" si="35"/>
        <v>0</v>
      </c>
      <c r="AI49" s="220">
        <f t="shared" si="35"/>
        <v>0</v>
      </c>
      <c r="AJ49" s="220">
        <f t="shared" si="35"/>
        <v>0</v>
      </c>
      <c r="AK49" s="220">
        <f t="shared" si="35"/>
        <v>0</v>
      </c>
      <c r="AL49" s="220">
        <f t="shared" si="35"/>
        <v>0</v>
      </c>
      <c r="AM49" s="220">
        <f t="shared" si="35"/>
        <v>0</v>
      </c>
      <c r="AN49" s="220">
        <f t="shared" si="35"/>
        <v>0</v>
      </c>
      <c r="AO49" s="220">
        <f t="shared" si="35"/>
        <v>0</v>
      </c>
      <c r="AP49" s="220">
        <f t="shared" si="36"/>
        <v>8.3333333333333329E-2</v>
      </c>
      <c r="AQ49" s="220">
        <f t="shared" si="36"/>
        <v>0.16666666666666666</v>
      </c>
      <c r="AR49" s="220">
        <f t="shared" si="36"/>
        <v>0.16666666666666666</v>
      </c>
      <c r="AS49" s="220">
        <f t="shared" si="36"/>
        <v>0.16666666666666666</v>
      </c>
      <c r="AT49" s="220">
        <f t="shared" si="36"/>
        <v>0.16666666666666666</v>
      </c>
      <c r="AU49" s="220">
        <f t="shared" si="36"/>
        <v>0.16666666666666666</v>
      </c>
      <c r="AV49" s="220">
        <f t="shared" si="36"/>
        <v>8.3333333333333329E-2</v>
      </c>
      <c r="AW49" s="220">
        <f t="shared" si="36"/>
        <v>0</v>
      </c>
      <c r="AX49" s="220">
        <f t="shared" si="36"/>
        <v>0</v>
      </c>
      <c r="AY49" s="220">
        <f t="shared" si="36"/>
        <v>0</v>
      </c>
      <c r="AZ49" s="220">
        <f t="shared" si="37"/>
        <v>0</v>
      </c>
      <c r="BA49" s="220">
        <f t="shared" si="37"/>
        <v>0</v>
      </c>
      <c r="BB49" s="220">
        <f t="shared" si="37"/>
        <v>0</v>
      </c>
      <c r="BC49" s="220">
        <f t="shared" si="37"/>
        <v>0</v>
      </c>
      <c r="BD49" s="220">
        <f t="shared" si="37"/>
        <v>0</v>
      </c>
      <c r="BE49" s="220">
        <f t="shared" si="37"/>
        <v>0</v>
      </c>
      <c r="BF49" s="248">
        <f t="shared" si="24"/>
        <v>1.1102230246251565E-16</v>
      </c>
    </row>
    <row r="50" spans="1:58" x14ac:dyDescent="0.3">
      <c r="A50" s="187">
        <v>34</v>
      </c>
      <c r="B50" s="242">
        <f t="shared" si="25"/>
        <v>46661</v>
      </c>
      <c r="C50" s="243">
        <f t="shared" si="2"/>
        <v>46691</v>
      </c>
      <c r="D50" s="120">
        <f t="shared" si="3"/>
        <v>31</v>
      </c>
      <c r="E50" s="120">
        <f t="shared" si="4"/>
        <v>10</v>
      </c>
      <c r="F50" s="244">
        <f t="shared" si="5"/>
        <v>46676.5</v>
      </c>
      <c r="G50" s="120">
        <f t="shared" si="6"/>
        <v>24333</v>
      </c>
      <c r="H50" s="245">
        <f t="shared" si="7"/>
        <v>1</v>
      </c>
      <c r="I50" s="121">
        <f t="shared" si="8"/>
        <v>1.1575200000000001</v>
      </c>
      <c r="J50" s="121">
        <f t="shared" si="9"/>
        <v>1.1575200000000001</v>
      </c>
      <c r="K50" s="120">
        <f t="shared" si="10"/>
        <v>0</v>
      </c>
      <c r="L50" s="120">
        <f t="shared" si="11"/>
        <v>0</v>
      </c>
      <c r="M50" s="246">
        <f t="shared" si="12"/>
        <v>0</v>
      </c>
      <c r="N50" s="121">
        <f t="shared" si="13"/>
        <v>1.1575200000000001</v>
      </c>
      <c r="O50" s="247">
        <f>'Mod Engine'!$E50</f>
        <v>0.88497811816192562</v>
      </c>
      <c r="P50" s="121">
        <f t="shared" si="14"/>
        <v>0</v>
      </c>
      <c r="Q50" s="121">
        <f t="shared" si="15"/>
        <v>0.41666666666666669</v>
      </c>
      <c r="R50" s="121">
        <f t="shared" si="16"/>
        <v>0.58333333333333326</v>
      </c>
      <c r="S50" s="121" t="str">
        <f t="shared" si="17"/>
        <v/>
      </c>
      <c r="T50" s="121" t="str">
        <f t="shared" si="18"/>
        <v/>
      </c>
      <c r="U50" s="121">
        <f t="shared" si="19"/>
        <v>1.1575200000000001</v>
      </c>
      <c r="V50" s="220">
        <f t="shared" si="34"/>
        <v>0</v>
      </c>
      <c r="W50" s="220">
        <f t="shared" si="34"/>
        <v>0</v>
      </c>
      <c r="X50" s="220">
        <f t="shared" si="34"/>
        <v>0</v>
      </c>
      <c r="Y50" s="220">
        <f t="shared" si="34"/>
        <v>0</v>
      </c>
      <c r="Z50" s="220">
        <f t="shared" si="34"/>
        <v>0</v>
      </c>
      <c r="AA50" s="220">
        <f t="shared" si="34"/>
        <v>0</v>
      </c>
      <c r="AB50" s="220">
        <f t="shared" si="34"/>
        <v>0</v>
      </c>
      <c r="AC50" s="220">
        <f t="shared" si="34"/>
        <v>0</v>
      </c>
      <c r="AD50" s="220">
        <f t="shared" si="34"/>
        <v>0</v>
      </c>
      <c r="AE50" s="220">
        <f t="shared" si="34"/>
        <v>0</v>
      </c>
      <c r="AF50" s="220">
        <f t="shared" si="35"/>
        <v>0</v>
      </c>
      <c r="AG50" s="220">
        <f t="shared" si="35"/>
        <v>0</v>
      </c>
      <c r="AH50" s="220">
        <f t="shared" si="35"/>
        <v>0</v>
      </c>
      <c r="AI50" s="220">
        <f t="shared" si="35"/>
        <v>0</v>
      </c>
      <c r="AJ50" s="220">
        <f t="shared" si="35"/>
        <v>0</v>
      </c>
      <c r="AK50" s="220">
        <f t="shared" si="35"/>
        <v>0</v>
      </c>
      <c r="AL50" s="220">
        <f t="shared" si="35"/>
        <v>0</v>
      </c>
      <c r="AM50" s="220">
        <f t="shared" si="35"/>
        <v>0</v>
      </c>
      <c r="AN50" s="220">
        <f t="shared" si="35"/>
        <v>0</v>
      </c>
      <c r="AO50" s="220">
        <f t="shared" si="35"/>
        <v>0</v>
      </c>
      <c r="AP50" s="220">
        <f t="shared" si="36"/>
        <v>0</v>
      </c>
      <c r="AQ50" s="220">
        <f t="shared" si="36"/>
        <v>8.3333333333333329E-2</v>
      </c>
      <c r="AR50" s="220">
        <f t="shared" si="36"/>
        <v>0.16666666666666666</v>
      </c>
      <c r="AS50" s="220">
        <f t="shared" si="36"/>
        <v>0.16666666666666666</v>
      </c>
      <c r="AT50" s="220">
        <f t="shared" si="36"/>
        <v>0.16666666666666666</v>
      </c>
      <c r="AU50" s="220">
        <f t="shared" si="36"/>
        <v>0.16666666666666666</v>
      </c>
      <c r="AV50" s="220">
        <f t="shared" si="36"/>
        <v>0.16666666666666666</v>
      </c>
      <c r="AW50" s="220">
        <f t="shared" si="36"/>
        <v>8.3333333333333329E-2</v>
      </c>
      <c r="AX50" s="220">
        <f t="shared" si="36"/>
        <v>0</v>
      </c>
      <c r="AY50" s="220">
        <f t="shared" si="36"/>
        <v>0</v>
      </c>
      <c r="AZ50" s="220">
        <f t="shared" si="37"/>
        <v>0</v>
      </c>
      <c r="BA50" s="220">
        <f t="shared" si="37"/>
        <v>0</v>
      </c>
      <c r="BB50" s="220">
        <f t="shared" si="37"/>
        <v>0</v>
      </c>
      <c r="BC50" s="220">
        <f t="shared" si="37"/>
        <v>0</v>
      </c>
      <c r="BD50" s="220">
        <f t="shared" si="37"/>
        <v>0</v>
      </c>
      <c r="BE50" s="220">
        <f t="shared" si="37"/>
        <v>0</v>
      </c>
      <c r="BF50" s="248">
        <f t="shared" si="24"/>
        <v>1.1102230246251565E-16</v>
      </c>
    </row>
    <row r="51" spans="1:58" x14ac:dyDescent="0.3">
      <c r="A51" s="187">
        <v>35</v>
      </c>
      <c r="B51" s="242">
        <f t="shared" si="25"/>
        <v>46692</v>
      </c>
      <c r="C51" s="243">
        <f t="shared" si="2"/>
        <v>46721</v>
      </c>
      <c r="D51" s="120">
        <f t="shared" si="3"/>
        <v>30</v>
      </c>
      <c r="E51" s="120">
        <f t="shared" si="4"/>
        <v>11</v>
      </c>
      <c r="F51" s="244">
        <f t="shared" si="5"/>
        <v>46707</v>
      </c>
      <c r="G51" s="120">
        <f t="shared" si="6"/>
        <v>24334</v>
      </c>
      <c r="H51" s="245">
        <f t="shared" si="7"/>
        <v>1</v>
      </c>
      <c r="I51" s="121">
        <f t="shared" si="8"/>
        <v>1.1575200000000001</v>
      </c>
      <c r="J51" s="121">
        <f t="shared" si="9"/>
        <v>1.1575200000000001</v>
      </c>
      <c r="K51" s="120">
        <f t="shared" si="10"/>
        <v>0</v>
      </c>
      <c r="L51" s="120">
        <f t="shared" si="11"/>
        <v>0</v>
      </c>
      <c r="M51" s="246">
        <f t="shared" si="12"/>
        <v>0</v>
      </c>
      <c r="N51" s="121">
        <f t="shared" si="13"/>
        <v>1.1575200000000001</v>
      </c>
      <c r="O51" s="247">
        <f>'Mod Engine'!$E51</f>
        <v>0.8869803063457331</v>
      </c>
      <c r="P51" s="121">
        <f t="shared" si="14"/>
        <v>0</v>
      </c>
      <c r="Q51" s="121">
        <f t="shared" si="15"/>
        <v>0.25</v>
      </c>
      <c r="R51" s="121">
        <f t="shared" si="16"/>
        <v>0.75</v>
      </c>
      <c r="S51" s="121" t="str">
        <f t="shared" si="17"/>
        <v/>
      </c>
      <c r="T51" s="121" t="str">
        <f t="shared" si="18"/>
        <v/>
      </c>
      <c r="U51" s="121">
        <f t="shared" si="19"/>
        <v>1.1575200000000001</v>
      </c>
      <c r="V51" s="220">
        <f t="shared" si="34"/>
        <v>0</v>
      </c>
      <c r="W51" s="220">
        <f t="shared" si="34"/>
        <v>0</v>
      </c>
      <c r="X51" s="220">
        <f t="shared" si="34"/>
        <v>0</v>
      </c>
      <c r="Y51" s="220">
        <f t="shared" si="34"/>
        <v>0</v>
      </c>
      <c r="Z51" s="220">
        <f t="shared" si="34"/>
        <v>0</v>
      </c>
      <c r="AA51" s="220">
        <f t="shared" si="34"/>
        <v>0</v>
      </c>
      <c r="AB51" s="220">
        <f t="shared" si="34"/>
        <v>0</v>
      </c>
      <c r="AC51" s="220">
        <f t="shared" si="34"/>
        <v>0</v>
      </c>
      <c r="AD51" s="220">
        <f t="shared" si="34"/>
        <v>0</v>
      </c>
      <c r="AE51" s="220">
        <f t="shared" si="34"/>
        <v>0</v>
      </c>
      <c r="AF51" s="220">
        <f t="shared" si="35"/>
        <v>0</v>
      </c>
      <c r="AG51" s="220">
        <f t="shared" si="35"/>
        <v>0</v>
      </c>
      <c r="AH51" s="220">
        <f t="shared" si="35"/>
        <v>0</v>
      </c>
      <c r="AI51" s="220">
        <f t="shared" si="35"/>
        <v>0</v>
      </c>
      <c r="AJ51" s="220">
        <f t="shared" si="35"/>
        <v>0</v>
      </c>
      <c r="AK51" s="220">
        <f t="shared" si="35"/>
        <v>0</v>
      </c>
      <c r="AL51" s="220">
        <f t="shared" si="35"/>
        <v>0</v>
      </c>
      <c r="AM51" s="220">
        <f t="shared" si="35"/>
        <v>0</v>
      </c>
      <c r="AN51" s="220">
        <f t="shared" si="35"/>
        <v>0</v>
      </c>
      <c r="AO51" s="220">
        <f t="shared" si="35"/>
        <v>0</v>
      </c>
      <c r="AP51" s="220">
        <f t="shared" si="36"/>
        <v>0</v>
      </c>
      <c r="AQ51" s="220">
        <f t="shared" si="36"/>
        <v>0</v>
      </c>
      <c r="AR51" s="220">
        <f t="shared" si="36"/>
        <v>8.3333333333333329E-2</v>
      </c>
      <c r="AS51" s="220">
        <f t="shared" si="36"/>
        <v>0.16666666666666666</v>
      </c>
      <c r="AT51" s="220">
        <f t="shared" si="36"/>
        <v>0.16666666666666666</v>
      </c>
      <c r="AU51" s="220">
        <f t="shared" si="36"/>
        <v>0.16666666666666666</v>
      </c>
      <c r="AV51" s="220">
        <f t="shared" si="36"/>
        <v>0.16666666666666666</v>
      </c>
      <c r="AW51" s="220">
        <f t="shared" si="36"/>
        <v>0.16666666666666666</v>
      </c>
      <c r="AX51" s="220">
        <f t="shared" si="36"/>
        <v>8.3333333333333329E-2</v>
      </c>
      <c r="AY51" s="220">
        <f t="shared" si="36"/>
        <v>0</v>
      </c>
      <c r="AZ51" s="220">
        <f t="shared" si="37"/>
        <v>0</v>
      </c>
      <c r="BA51" s="220">
        <f t="shared" si="37"/>
        <v>0</v>
      </c>
      <c r="BB51" s="220">
        <f t="shared" si="37"/>
        <v>0</v>
      </c>
      <c r="BC51" s="220">
        <f t="shared" si="37"/>
        <v>0</v>
      </c>
      <c r="BD51" s="220">
        <f t="shared" si="37"/>
        <v>0</v>
      </c>
      <c r="BE51" s="220">
        <f t="shared" si="37"/>
        <v>0</v>
      </c>
      <c r="BF51" s="248">
        <f t="shared" si="24"/>
        <v>1.1102230246251565E-16</v>
      </c>
    </row>
    <row r="52" spans="1:58" x14ac:dyDescent="0.3">
      <c r="A52" s="187">
        <v>36</v>
      </c>
      <c r="B52" s="242">
        <f t="shared" si="25"/>
        <v>46722</v>
      </c>
      <c r="C52" s="243">
        <f t="shared" si="2"/>
        <v>46752</v>
      </c>
      <c r="D52" s="120">
        <f t="shared" si="3"/>
        <v>31</v>
      </c>
      <c r="E52" s="120">
        <f t="shared" si="4"/>
        <v>12</v>
      </c>
      <c r="F52" s="244">
        <f t="shared" si="5"/>
        <v>46737.5</v>
      </c>
      <c r="G52" s="120">
        <f t="shared" si="6"/>
        <v>24335</v>
      </c>
      <c r="H52" s="245">
        <f t="shared" si="7"/>
        <v>1</v>
      </c>
      <c r="I52" s="121">
        <f t="shared" si="8"/>
        <v>1.1575200000000001</v>
      </c>
      <c r="J52" s="121">
        <f t="shared" si="9"/>
        <v>1.1575200000000001</v>
      </c>
      <c r="K52" s="120">
        <f t="shared" si="10"/>
        <v>0</v>
      </c>
      <c r="L52" s="120">
        <f t="shared" si="11"/>
        <v>0</v>
      </c>
      <c r="M52" s="246">
        <f t="shared" si="12"/>
        <v>0</v>
      </c>
      <c r="N52" s="121">
        <f t="shared" si="13"/>
        <v>1.1575200000000001</v>
      </c>
      <c r="O52" s="247">
        <f>'Mod Engine'!$E52</f>
        <v>0.88898249452954048</v>
      </c>
      <c r="P52" s="121">
        <f t="shared" si="14"/>
        <v>0</v>
      </c>
      <c r="Q52" s="121">
        <f t="shared" si="15"/>
        <v>8.3333333333333329E-2</v>
      </c>
      <c r="R52" s="121">
        <f t="shared" si="16"/>
        <v>0.91666666666666663</v>
      </c>
      <c r="S52" s="121" t="str">
        <f t="shared" si="17"/>
        <v/>
      </c>
      <c r="T52" s="121" t="str">
        <f t="shared" si="18"/>
        <v/>
      </c>
      <c r="U52" s="121">
        <f t="shared" si="19"/>
        <v>1.1575200000000001</v>
      </c>
      <c r="V52" s="220">
        <f t="shared" si="34"/>
        <v>0</v>
      </c>
      <c r="W52" s="220">
        <f t="shared" si="34"/>
        <v>0</v>
      </c>
      <c r="X52" s="220">
        <f t="shared" si="34"/>
        <v>0</v>
      </c>
      <c r="Y52" s="220">
        <f t="shared" si="34"/>
        <v>0</v>
      </c>
      <c r="Z52" s="220">
        <f t="shared" si="34"/>
        <v>0</v>
      </c>
      <c r="AA52" s="220">
        <f t="shared" si="34"/>
        <v>0</v>
      </c>
      <c r="AB52" s="220">
        <f t="shared" si="34"/>
        <v>0</v>
      </c>
      <c r="AC52" s="220">
        <f t="shared" si="34"/>
        <v>0</v>
      </c>
      <c r="AD52" s="220">
        <f t="shared" si="34"/>
        <v>0</v>
      </c>
      <c r="AE52" s="220">
        <f t="shared" si="34"/>
        <v>0</v>
      </c>
      <c r="AF52" s="220">
        <f t="shared" si="35"/>
        <v>0</v>
      </c>
      <c r="AG52" s="220">
        <f t="shared" si="35"/>
        <v>0</v>
      </c>
      <c r="AH52" s="220">
        <f t="shared" si="35"/>
        <v>0</v>
      </c>
      <c r="AI52" s="220">
        <f t="shared" si="35"/>
        <v>0</v>
      </c>
      <c r="AJ52" s="220">
        <f t="shared" si="35"/>
        <v>0</v>
      </c>
      <c r="AK52" s="220">
        <f t="shared" si="35"/>
        <v>0</v>
      </c>
      <c r="AL52" s="220">
        <f t="shared" si="35"/>
        <v>0</v>
      </c>
      <c r="AM52" s="220">
        <f t="shared" si="35"/>
        <v>0</v>
      </c>
      <c r="AN52" s="220">
        <f t="shared" si="35"/>
        <v>0</v>
      </c>
      <c r="AO52" s="220">
        <f t="shared" si="35"/>
        <v>0</v>
      </c>
      <c r="AP52" s="220">
        <f t="shared" si="36"/>
        <v>0</v>
      </c>
      <c r="AQ52" s="220">
        <f t="shared" si="36"/>
        <v>0</v>
      </c>
      <c r="AR52" s="220">
        <f t="shared" si="36"/>
        <v>0</v>
      </c>
      <c r="AS52" s="220">
        <f t="shared" si="36"/>
        <v>8.3333333333333329E-2</v>
      </c>
      <c r="AT52" s="220">
        <f t="shared" si="36"/>
        <v>0.16666666666666666</v>
      </c>
      <c r="AU52" s="220">
        <f t="shared" si="36"/>
        <v>0.16666666666666666</v>
      </c>
      <c r="AV52" s="220">
        <f t="shared" si="36"/>
        <v>0.16666666666666666</v>
      </c>
      <c r="AW52" s="220">
        <f t="shared" si="36"/>
        <v>0.16666666666666666</v>
      </c>
      <c r="AX52" s="220">
        <f t="shared" si="36"/>
        <v>0.16666666666666666</v>
      </c>
      <c r="AY52" s="220">
        <f t="shared" si="36"/>
        <v>8.3333333333333329E-2</v>
      </c>
      <c r="AZ52" s="220">
        <f t="shared" si="37"/>
        <v>0</v>
      </c>
      <c r="BA52" s="220">
        <f t="shared" si="37"/>
        <v>0</v>
      </c>
      <c r="BB52" s="220">
        <f t="shared" si="37"/>
        <v>0</v>
      </c>
      <c r="BC52" s="220">
        <f t="shared" si="37"/>
        <v>0</v>
      </c>
      <c r="BD52" s="220">
        <f t="shared" si="37"/>
        <v>0</v>
      </c>
      <c r="BE52" s="220">
        <f t="shared" si="37"/>
        <v>0</v>
      </c>
      <c r="BF52" s="248">
        <f t="shared" si="24"/>
        <v>1.1102230246251565E-16</v>
      </c>
    </row>
    <row r="53" spans="1:58" x14ac:dyDescent="0.3">
      <c r="A53" s="187">
        <v>37</v>
      </c>
      <c r="B53" s="242">
        <f t="shared" si="25"/>
        <v>46753</v>
      </c>
      <c r="C53" s="243">
        <f t="shared" si="2"/>
        <v>46783</v>
      </c>
      <c r="D53" s="120">
        <f t="shared" si="3"/>
        <v>31</v>
      </c>
      <c r="E53" s="120">
        <f t="shared" si="4"/>
        <v>1</v>
      </c>
      <c r="F53" s="244">
        <f t="shared" si="5"/>
        <v>46768.5</v>
      </c>
      <c r="G53" s="120">
        <f t="shared" si="6"/>
        <v>24336</v>
      </c>
      <c r="H53" s="245">
        <f t="shared" si="7"/>
        <v>1</v>
      </c>
      <c r="I53" s="121">
        <f t="shared" si="8"/>
        <v>1.1575200000000001</v>
      </c>
      <c r="J53" s="121">
        <f t="shared" si="9"/>
        <v>1.1575200000000001</v>
      </c>
      <c r="K53" s="120">
        <f t="shared" si="10"/>
        <v>0</v>
      </c>
      <c r="L53" s="120">
        <f t="shared" si="11"/>
        <v>0</v>
      </c>
      <c r="M53" s="246">
        <f t="shared" si="12"/>
        <v>0</v>
      </c>
      <c r="N53" s="121">
        <f t="shared" si="13"/>
        <v>1.1575200000000001</v>
      </c>
      <c r="O53" s="247">
        <f>'Mod Engine'!$E53</f>
        <v>0.89</v>
      </c>
      <c r="P53" s="121">
        <f t="shared" si="14"/>
        <v>0</v>
      </c>
      <c r="Q53" s="121">
        <f t="shared" si="15"/>
        <v>0</v>
      </c>
      <c r="R53" s="121">
        <f t="shared" si="16"/>
        <v>1</v>
      </c>
      <c r="S53" s="121" t="str">
        <f t="shared" si="17"/>
        <v/>
      </c>
      <c r="T53" s="121" t="str">
        <f t="shared" si="18"/>
        <v/>
      </c>
      <c r="U53" s="121">
        <f t="shared" si="19"/>
        <v>1.1575200000000001</v>
      </c>
      <c r="V53" s="220">
        <f t="shared" si="34"/>
        <v>0</v>
      </c>
      <c r="W53" s="220">
        <f t="shared" si="34"/>
        <v>0</v>
      </c>
      <c r="X53" s="220">
        <f t="shared" si="34"/>
        <v>0</v>
      </c>
      <c r="Y53" s="220">
        <f t="shared" si="34"/>
        <v>0</v>
      </c>
      <c r="Z53" s="220">
        <f t="shared" si="34"/>
        <v>0</v>
      </c>
      <c r="AA53" s="220">
        <f t="shared" si="34"/>
        <v>0</v>
      </c>
      <c r="AB53" s="220">
        <f t="shared" si="34"/>
        <v>0</v>
      </c>
      <c r="AC53" s="220">
        <f t="shared" si="34"/>
        <v>0</v>
      </c>
      <c r="AD53" s="220">
        <f t="shared" si="34"/>
        <v>0</v>
      </c>
      <c r="AE53" s="220">
        <f t="shared" si="34"/>
        <v>0</v>
      </c>
      <c r="AF53" s="220">
        <f t="shared" si="35"/>
        <v>0</v>
      </c>
      <c r="AG53" s="220">
        <f t="shared" si="35"/>
        <v>0</v>
      </c>
      <c r="AH53" s="220">
        <f t="shared" si="35"/>
        <v>0</v>
      </c>
      <c r="AI53" s="220">
        <f t="shared" si="35"/>
        <v>0</v>
      </c>
      <c r="AJ53" s="220">
        <f t="shared" si="35"/>
        <v>0</v>
      </c>
      <c r="AK53" s="220">
        <f t="shared" si="35"/>
        <v>0</v>
      </c>
      <c r="AL53" s="220">
        <f t="shared" si="35"/>
        <v>0</v>
      </c>
      <c r="AM53" s="220">
        <f t="shared" si="35"/>
        <v>0</v>
      </c>
      <c r="AN53" s="220">
        <f t="shared" si="35"/>
        <v>0</v>
      </c>
      <c r="AO53" s="220">
        <f t="shared" si="35"/>
        <v>0</v>
      </c>
      <c r="AP53" s="220">
        <f t="shared" si="36"/>
        <v>0</v>
      </c>
      <c r="AQ53" s="220">
        <f t="shared" si="36"/>
        <v>0</v>
      </c>
      <c r="AR53" s="220">
        <f t="shared" si="36"/>
        <v>0</v>
      </c>
      <c r="AS53" s="220">
        <f t="shared" si="36"/>
        <v>0</v>
      </c>
      <c r="AT53" s="220">
        <f t="shared" si="36"/>
        <v>8.3333333333333329E-2</v>
      </c>
      <c r="AU53" s="220">
        <f t="shared" si="36"/>
        <v>0.16666666666666666</v>
      </c>
      <c r="AV53" s="220">
        <f t="shared" si="36"/>
        <v>0.16666666666666666</v>
      </c>
      <c r="AW53" s="220">
        <f t="shared" si="36"/>
        <v>0.16666666666666666</v>
      </c>
      <c r="AX53" s="220">
        <f t="shared" si="36"/>
        <v>0.16666666666666666</v>
      </c>
      <c r="AY53" s="220">
        <f t="shared" si="36"/>
        <v>0.16666666666666666</v>
      </c>
      <c r="AZ53" s="220">
        <f t="shared" si="37"/>
        <v>8.3333333333333329E-2</v>
      </c>
      <c r="BA53" s="220">
        <f t="shared" si="37"/>
        <v>0</v>
      </c>
      <c r="BB53" s="220">
        <f t="shared" si="37"/>
        <v>0</v>
      </c>
      <c r="BC53" s="220">
        <f t="shared" si="37"/>
        <v>0</v>
      </c>
      <c r="BD53" s="220">
        <f t="shared" si="37"/>
        <v>0</v>
      </c>
      <c r="BE53" s="220">
        <f t="shared" si="37"/>
        <v>0</v>
      </c>
      <c r="BF53" s="248">
        <f t="shared" si="24"/>
        <v>1.1102230246251565E-16</v>
      </c>
    </row>
    <row r="54" spans="1:58" x14ac:dyDescent="0.3">
      <c r="A54" s="187">
        <v>38</v>
      </c>
      <c r="B54" s="242">
        <f t="shared" si="25"/>
        <v>46784</v>
      </c>
      <c r="C54" s="243">
        <f t="shared" si="2"/>
        <v>46812</v>
      </c>
      <c r="D54" s="120">
        <f t="shared" si="3"/>
        <v>29</v>
      </c>
      <c r="E54" s="120">
        <f t="shared" si="4"/>
        <v>2</v>
      </c>
      <c r="F54" s="244">
        <f t="shared" si="5"/>
        <v>46798.5</v>
      </c>
      <c r="G54" s="120">
        <f t="shared" si="6"/>
        <v>24337</v>
      </c>
      <c r="H54" s="245">
        <f t="shared" si="7"/>
        <v>1</v>
      </c>
      <c r="I54" s="121">
        <f t="shared" si="8"/>
        <v>1.1575200000000001</v>
      </c>
      <c r="J54" s="121">
        <f t="shared" si="9"/>
        <v>1.1575200000000001</v>
      </c>
      <c r="K54" s="120">
        <f t="shared" si="10"/>
        <v>0</v>
      </c>
      <c r="L54" s="120">
        <f t="shared" si="11"/>
        <v>0</v>
      </c>
      <c r="M54" s="246">
        <f t="shared" si="12"/>
        <v>0</v>
      </c>
      <c r="N54" s="121">
        <f t="shared" si="13"/>
        <v>1.1575200000000001</v>
      </c>
      <c r="O54" s="247">
        <f>'Mod Engine'!$E54</f>
        <v>0.89</v>
      </c>
      <c r="P54" s="121">
        <f t="shared" si="14"/>
        <v>0</v>
      </c>
      <c r="Q54" s="121">
        <f t="shared" si="15"/>
        <v>0</v>
      </c>
      <c r="R54" s="121">
        <f t="shared" si="16"/>
        <v>1</v>
      </c>
      <c r="S54" s="121" t="str">
        <f t="shared" si="17"/>
        <v/>
      </c>
      <c r="T54" s="121" t="str">
        <f t="shared" si="18"/>
        <v/>
      </c>
      <c r="U54" s="121">
        <f t="shared" si="19"/>
        <v>1.1575200000000001</v>
      </c>
      <c r="V54" s="220">
        <f t="shared" si="34"/>
        <v>0</v>
      </c>
      <c r="W54" s="220">
        <f t="shared" si="34"/>
        <v>0</v>
      </c>
      <c r="X54" s="220">
        <f t="shared" si="34"/>
        <v>0</v>
      </c>
      <c r="Y54" s="220">
        <f t="shared" si="34"/>
        <v>0</v>
      </c>
      <c r="Z54" s="220">
        <f t="shared" si="34"/>
        <v>0</v>
      </c>
      <c r="AA54" s="220">
        <f t="shared" si="34"/>
        <v>0</v>
      </c>
      <c r="AB54" s="220">
        <f t="shared" si="34"/>
        <v>0</v>
      </c>
      <c r="AC54" s="220">
        <f t="shared" si="34"/>
        <v>0</v>
      </c>
      <c r="AD54" s="220">
        <f t="shared" si="34"/>
        <v>0</v>
      </c>
      <c r="AE54" s="220">
        <f t="shared" si="34"/>
        <v>0</v>
      </c>
      <c r="AF54" s="220">
        <f t="shared" si="35"/>
        <v>0</v>
      </c>
      <c r="AG54" s="220">
        <f t="shared" si="35"/>
        <v>0</v>
      </c>
      <c r="AH54" s="220">
        <f t="shared" si="35"/>
        <v>0</v>
      </c>
      <c r="AI54" s="220">
        <f t="shared" si="35"/>
        <v>0</v>
      </c>
      <c r="AJ54" s="220">
        <f t="shared" si="35"/>
        <v>0</v>
      </c>
      <c r="AK54" s="220">
        <f t="shared" si="35"/>
        <v>0</v>
      </c>
      <c r="AL54" s="220">
        <f t="shared" si="35"/>
        <v>0</v>
      </c>
      <c r="AM54" s="220">
        <f t="shared" si="35"/>
        <v>0</v>
      </c>
      <c r="AN54" s="220">
        <f t="shared" si="35"/>
        <v>0</v>
      </c>
      <c r="AO54" s="220">
        <f t="shared" si="35"/>
        <v>0</v>
      </c>
      <c r="AP54" s="220">
        <f t="shared" si="36"/>
        <v>0</v>
      </c>
      <c r="AQ54" s="220">
        <f t="shared" si="36"/>
        <v>0</v>
      </c>
      <c r="AR54" s="220">
        <f t="shared" si="36"/>
        <v>0</v>
      </c>
      <c r="AS54" s="220">
        <f t="shared" si="36"/>
        <v>0</v>
      </c>
      <c r="AT54" s="220">
        <f t="shared" si="36"/>
        <v>0</v>
      </c>
      <c r="AU54" s="220">
        <f t="shared" si="36"/>
        <v>8.3333333333333329E-2</v>
      </c>
      <c r="AV54" s="220">
        <f t="shared" si="36"/>
        <v>0.16666666666666666</v>
      </c>
      <c r="AW54" s="220">
        <f t="shared" si="36"/>
        <v>0.16666666666666666</v>
      </c>
      <c r="AX54" s="220">
        <f t="shared" si="36"/>
        <v>0.16666666666666666</v>
      </c>
      <c r="AY54" s="220">
        <f t="shared" si="36"/>
        <v>0.16666666666666666</v>
      </c>
      <c r="AZ54" s="220">
        <f t="shared" si="37"/>
        <v>0.16666666666666666</v>
      </c>
      <c r="BA54" s="220">
        <f t="shared" si="37"/>
        <v>8.3333333333333329E-2</v>
      </c>
      <c r="BB54" s="220">
        <f t="shared" si="37"/>
        <v>0</v>
      </c>
      <c r="BC54" s="220">
        <f t="shared" si="37"/>
        <v>0</v>
      </c>
      <c r="BD54" s="220">
        <f t="shared" si="37"/>
        <v>0</v>
      </c>
      <c r="BE54" s="220">
        <f t="shared" si="37"/>
        <v>0</v>
      </c>
      <c r="BF54" s="248">
        <f t="shared" si="24"/>
        <v>1.1102230246251565E-16</v>
      </c>
    </row>
    <row r="55" spans="1:58" x14ac:dyDescent="0.3">
      <c r="A55" s="187">
        <v>39</v>
      </c>
      <c r="B55" s="242">
        <f t="shared" si="25"/>
        <v>46813</v>
      </c>
      <c r="C55" s="243">
        <f t="shared" si="2"/>
        <v>46843</v>
      </c>
      <c r="D55" s="120">
        <f t="shared" si="3"/>
        <v>31</v>
      </c>
      <c r="E55" s="120">
        <f t="shared" si="4"/>
        <v>3</v>
      </c>
      <c r="F55" s="244">
        <f t="shared" si="5"/>
        <v>46828.5</v>
      </c>
      <c r="G55" s="120">
        <f t="shared" si="6"/>
        <v>24338</v>
      </c>
      <c r="H55" s="245">
        <f t="shared" si="7"/>
        <v>1</v>
      </c>
      <c r="I55" s="121">
        <f t="shared" si="8"/>
        <v>1.1575200000000001</v>
      </c>
      <c r="J55" s="121">
        <f t="shared" si="9"/>
        <v>1.1575200000000001</v>
      </c>
      <c r="K55" s="120">
        <f t="shared" si="10"/>
        <v>0</v>
      </c>
      <c r="L55" s="120">
        <f t="shared" si="11"/>
        <v>0</v>
      </c>
      <c r="M55" s="246">
        <f t="shared" si="12"/>
        <v>0</v>
      </c>
      <c r="N55" s="121">
        <f t="shared" si="13"/>
        <v>1.1575200000000001</v>
      </c>
      <c r="O55" s="247">
        <f>'Mod Engine'!$E55</f>
        <v>0.89</v>
      </c>
      <c r="P55" s="121">
        <f t="shared" si="14"/>
        <v>0</v>
      </c>
      <c r="Q55" s="121">
        <f t="shared" si="15"/>
        <v>0</v>
      </c>
      <c r="R55" s="121">
        <f t="shared" si="16"/>
        <v>1</v>
      </c>
      <c r="S55" s="121" t="str">
        <f t="shared" si="17"/>
        <v/>
      </c>
      <c r="T55" s="121" t="str">
        <f t="shared" si="18"/>
        <v/>
      </c>
      <c r="U55" s="121">
        <f t="shared" si="19"/>
        <v>1.1575200000000001</v>
      </c>
      <c r="V55" s="220">
        <f t="shared" si="34"/>
        <v>0</v>
      </c>
      <c r="W55" s="220">
        <f t="shared" si="34"/>
        <v>0</v>
      </c>
      <c r="X55" s="220">
        <f t="shared" si="34"/>
        <v>0</v>
      </c>
      <c r="Y55" s="220">
        <f t="shared" si="34"/>
        <v>0</v>
      </c>
      <c r="Z55" s="220">
        <f t="shared" si="34"/>
        <v>0</v>
      </c>
      <c r="AA55" s="220">
        <f t="shared" si="34"/>
        <v>0</v>
      </c>
      <c r="AB55" s="220">
        <f t="shared" si="34"/>
        <v>0</v>
      </c>
      <c r="AC55" s="220">
        <f t="shared" si="34"/>
        <v>0</v>
      </c>
      <c r="AD55" s="220">
        <f t="shared" si="34"/>
        <v>0</v>
      </c>
      <c r="AE55" s="220">
        <f t="shared" si="34"/>
        <v>0</v>
      </c>
      <c r="AF55" s="220">
        <f t="shared" si="35"/>
        <v>0</v>
      </c>
      <c r="AG55" s="220">
        <f t="shared" si="35"/>
        <v>0</v>
      </c>
      <c r="AH55" s="220">
        <f t="shared" si="35"/>
        <v>0</v>
      </c>
      <c r="AI55" s="220">
        <f t="shared" si="35"/>
        <v>0</v>
      </c>
      <c r="AJ55" s="220">
        <f t="shared" si="35"/>
        <v>0</v>
      </c>
      <c r="AK55" s="220">
        <f t="shared" si="35"/>
        <v>0</v>
      </c>
      <c r="AL55" s="220">
        <f t="shared" si="35"/>
        <v>0</v>
      </c>
      <c r="AM55" s="220">
        <f t="shared" si="35"/>
        <v>0</v>
      </c>
      <c r="AN55" s="220">
        <f t="shared" si="35"/>
        <v>0</v>
      </c>
      <c r="AO55" s="220">
        <f t="shared" si="35"/>
        <v>0</v>
      </c>
      <c r="AP55" s="220">
        <f t="shared" si="36"/>
        <v>0</v>
      </c>
      <c r="AQ55" s="220">
        <f t="shared" si="36"/>
        <v>0</v>
      </c>
      <c r="AR55" s="220">
        <f t="shared" si="36"/>
        <v>0</v>
      </c>
      <c r="AS55" s="220">
        <f t="shared" si="36"/>
        <v>0</v>
      </c>
      <c r="AT55" s="220">
        <f t="shared" si="36"/>
        <v>0</v>
      </c>
      <c r="AU55" s="220">
        <f t="shared" si="36"/>
        <v>0</v>
      </c>
      <c r="AV55" s="220">
        <f t="shared" si="36"/>
        <v>8.3333333333333329E-2</v>
      </c>
      <c r="AW55" s="220">
        <f t="shared" si="36"/>
        <v>0.16666666666666666</v>
      </c>
      <c r="AX55" s="220">
        <f t="shared" si="36"/>
        <v>0.16666666666666666</v>
      </c>
      <c r="AY55" s="220">
        <f t="shared" si="36"/>
        <v>0.16666666666666666</v>
      </c>
      <c r="AZ55" s="220">
        <f t="shared" si="37"/>
        <v>0.16666666666666666</v>
      </c>
      <c r="BA55" s="220">
        <f t="shared" si="37"/>
        <v>0.16666666666666666</v>
      </c>
      <c r="BB55" s="220">
        <f t="shared" si="37"/>
        <v>8.3333333333333329E-2</v>
      </c>
      <c r="BC55" s="220">
        <f t="shared" si="37"/>
        <v>0</v>
      </c>
      <c r="BD55" s="220">
        <f t="shared" si="37"/>
        <v>0</v>
      </c>
      <c r="BE55" s="220">
        <f t="shared" si="37"/>
        <v>0</v>
      </c>
      <c r="BF55" s="248">
        <f t="shared" si="24"/>
        <v>1.1102230246251565E-16</v>
      </c>
    </row>
    <row r="56" spans="1:58" x14ac:dyDescent="0.3">
      <c r="A56" s="187">
        <v>40</v>
      </c>
      <c r="B56" s="242">
        <f t="shared" si="25"/>
        <v>46844</v>
      </c>
      <c r="C56" s="243">
        <f t="shared" si="2"/>
        <v>46873</v>
      </c>
      <c r="D56" s="120">
        <f t="shared" si="3"/>
        <v>30</v>
      </c>
      <c r="E56" s="120">
        <f t="shared" si="4"/>
        <v>4</v>
      </c>
      <c r="F56" s="244">
        <f t="shared" si="5"/>
        <v>46859</v>
      </c>
      <c r="G56" s="120">
        <f t="shared" si="6"/>
        <v>24339</v>
      </c>
      <c r="H56" s="245">
        <f t="shared" si="7"/>
        <v>1</v>
      </c>
      <c r="I56" s="121">
        <f t="shared" si="8"/>
        <v>1.1575200000000001</v>
      </c>
      <c r="J56" s="121">
        <f t="shared" si="9"/>
        <v>1.1575200000000001</v>
      </c>
      <c r="K56" s="120">
        <f t="shared" si="10"/>
        <v>0</v>
      </c>
      <c r="L56" s="120">
        <f t="shared" si="11"/>
        <v>0</v>
      </c>
      <c r="M56" s="246">
        <f t="shared" si="12"/>
        <v>0</v>
      </c>
      <c r="N56" s="121">
        <f t="shared" si="13"/>
        <v>1.1575200000000001</v>
      </c>
      <c r="O56" s="247">
        <f>'Mod Engine'!$E56</f>
        <v>0.89</v>
      </c>
      <c r="P56" s="121">
        <f t="shared" si="14"/>
        <v>0</v>
      </c>
      <c r="Q56" s="121">
        <f t="shared" si="15"/>
        <v>0</v>
      </c>
      <c r="R56" s="121">
        <f t="shared" si="16"/>
        <v>1</v>
      </c>
      <c r="S56" s="121" t="str">
        <f t="shared" si="17"/>
        <v/>
      </c>
      <c r="T56" s="121" t="str">
        <f t="shared" si="18"/>
        <v/>
      </c>
      <c r="U56" s="121">
        <f t="shared" si="19"/>
        <v>1.1575200000000001</v>
      </c>
      <c r="V56" s="220">
        <f t="shared" si="34"/>
        <v>0</v>
      </c>
      <c r="W56" s="220">
        <f t="shared" si="34"/>
        <v>0</v>
      </c>
      <c r="X56" s="220">
        <f t="shared" si="34"/>
        <v>0</v>
      </c>
      <c r="Y56" s="220">
        <f t="shared" si="34"/>
        <v>0</v>
      </c>
      <c r="Z56" s="220">
        <f t="shared" si="34"/>
        <v>0</v>
      </c>
      <c r="AA56" s="220">
        <f t="shared" si="34"/>
        <v>0</v>
      </c>
      <c r="AB56" s="220">
        <f t="shared" si="34"/>
        <v>0</v>
      </c>
      <c r="AC56" s="220">
        <f t="shared" si="34"/>
        <v>0</v>
      </c>
      <c r="AD56" s="220">
        <f t="shared" si="34"/>
        <v>0</v>
      </c>
      <c r="AE56" s="220">
        <f t="shared" si="34"/>
        <v>0</v>
      </c>
      <c r="AF56" s="220">
        <f t="shared" si="35"/>
        <v>0</v>
      </c>
      <c r="AG56" s="220">
        <f t="shared" si="35"/>
        <v>0</v>
      </c>
      <c r="AH56" s="220">
        <f t="shared" si="35"/>
        <v>0</v>
      </c>
      <c r="AI56" s="220">
        <f t="shared" si="35"/>
        <v>0</v>
      </c>
      <c r="AJ56" s="220">
        <f t="shared" si="35"/>
        <v>0</v>
      </c>
      <c r="AK56" s="220">
        <f t="shared" si="35"/>
        <v>0</v>
      </c>
      <c r="AL56" s="220">
        <f t="shared" si="35"/>
        <v>0</v>
      </c>
      <c r="AM56" s="220">
        <f t="shared" si="35"/>
        <v>0</v>
      </c>
      <c r="AN56" s="220">
        <f t="shared" si="35"/>
        <v>0</v>
      </c>
      <c r="AO56" s="220">
        <f t="shared" si="35"/>
        <v>0</v>
      </c>
      <c r="AP56" s="220">
        <f t="shared" si="36"/>
        <v>0</v>
      </c>
      <c r="AQ56" s="220">
        <f t="shared" si="36"/>
        <v>0</v>
      </c>
      <c r="AR56" s="220">
        <f t="shared" si="36"/>
        <v>0</v>
      </c>
      <c r="AS56" s="220">
        <f t="shared" si="36"/>
        <v>0</v>
      </c>
      <c r="AT56" s="220">
        <f t="shared" si="36"/>
        <v>0</v>
      </c>
      <c r="AU56" s="220">
        <f t="shared" si="36"/>
        <v>0</v>
      </c>
      <c r="AV56" s="220">
        <f t="shared" si="36"/>
        <v>0</v>
      </c>
      <c r="AW56" s="220">
        <f t="shared" si="36"/>
        <v>8.3333333333333329E-2</v>
      </c>
      <c r="AX56" s="220">
        <f t="shared" si="36"/>
        <v>0.16666666666666666</v>
      </c>
      <c r="AY56" s="220">
        <f t="shared" si="36"/>
        <v>0.16666666666666666</v>
      </c>
      <c r="AZ56" s="220">
        <f t="shared" si="37"/>
        <v>0.16666666666666666</v>
      </c>
      <c r="BA56" s="220">
        <f t="shared" si="37"/>
        <v>0.16666666666666666</v>
      </c>
      <c r="BB56" s="220">
        <f t="shared" si="37"/>
        <v>0.16666666666666666</v>
      </c>
      <c r="BC56" s="220">
        <f t="shared" si="37"/>
        <v>8.3333333333333329E-2</v>
      </c>
      <c r="BD56" s="220">
        <f t="shared" si="37"/>
        <v>0</v>
      </c>
      <c r="BE56" s="220">
        <f t="shared" si="37"/>
        <v>0</v>
      </c>
      <c r="BF56" s="248">
        <f t="shared" si="24"/>
        <v>1.1102230246251565E-16</v>
      </c>
    </row>
    <row r="57" spans="1:58" x14ac:dyDescent="0.3">
      <c r="A57" s="187">
        <v>41</v>
      </c>
      <c r="B57" s="242">
        <f t="shared" si="25"/>
        <v>46874</v>
      </c>
      <c r="C57" s="243">
        <f t="shared" si="2"/>
        <v>46904</v>
      </c>
      <c r="D57" s="120">
        <f t="shared" si="3"/>
        <v>31</v>
      </c>
      <c r="E57" s="120">
        <f t="shared" si="4"/>
        <v>5</v>
      </c>
      <c r="F57" s="244">
        <f t="shared" si="5"/>
        <v>46889.5</v>
      </c>
      <c r="G57" s="120">
        <f t="shared" si="6"/>
        <v>24340</v>
      </c>
      <c r="H57" s="245">
        <f t="shared" si="7"/>
        <v>1</v>
      </c>
      <c r="I57" s="121">
        <f t="shared" si="8"/>
        <v>1.1575200000000001</v>
      </c>
      <c r="J57" s="121">
        <f t="shared" si="9"/>
        <v>1.1575200000000001</v>
      </c>
      <c r="K57" s="120">
        <f t="shared" si="10"/>
        <v>0</v>
      </c>
      <c r="L57" s="120">
        <f t="shared" si="11"/>
        <v>0</v>
      </c>
      <c r="M57" s="246">
        <f t="shared" si="12"/>
        <v>0</v>
      </c>
      <c r="N57" s="121">
        <f t="shared" si="13"/>
        <v>1.1575200000000001</v>
      </c>
      <c r="O57" s="247">
        <f>'Mod Engine'!$E57</f>
        <v>0.89</v>
      </c>
      <c r="P57" s="121">
        <f t="shared" si="14"/>
        <v>0</v>
      </c>
      <c r="Q57" s="121">
        <f t="shared" si="15"/>
        <v>0</v>
      </c>
      <c r="R57" s="121">
        <f t="shared" si="16"/>
        <v>1</v>
      </c>
      <c r="S57" s="121" t="str">
        <f t="shared" si="17"/>
        <v/>
      </c>
      <c r="T57" s="121" t="str">
        <f t="shared" si="18"/>
        <v/>
      </c>
      <c r="U57" s="121">
        <f t="shared" si="19"/>
        <v>1.1575200000000001</v>
      </c>
      <c r="V57" s="220">
        <f t="shared" ref="V57:AE64" si="38">IF(OR(V$15&lt;$G57,V$15&gt;$G57+$F$5),0,IF(OR(V$15=$G57,V$15=$G57+$F$5),0.5,1)/$F$5)</f>
        <v>0</v>
      </c>
      <c r="W57" s="220">
        <f t="shared" si="38"/>
        <v>0</v>
      </c>
      <c r="X57" s="220">
        <f t="shared" si="38"/>
        <v>0</v>
      </c>
      <c r="Y57" s="220">
        <f t="shared" si="38"/>
        <v>0</v>
      </c>
      <c r="Z57" s="220">
        <f t="shared" si="38"/>
        <v>0</v>
      </c>
      <c r="AA57" s="220">
        <f t="shared" si="38"/>
        <v>0</v>
      </c>
      <c r="AB57" s="220">
        <f t="shared" si="38"/>
        <v>0</v>
      </c>
      <c r="AC57" s="220">
        <f t="shared" si="38"/>
        <v>0</v>
      </c>
      <c r="AD57" s="220">
        <f t="shared" si="38"/>
        <v>0</v>
      </c>
      <c r="AE57" s="220">
        <f t="shared" si="38"/>
        <v>0</v>
      </c>
      <c r="AF57" s="220">
        <f t="shared" ref="AF57:AO64" si="39">IF(OR(AF$15&lt;$G57,AF$15&gt;$G57+$F$5),0,IF(OR(AF$15=$G57,AF$15=$G57+$F$5),0.5,1)/$F$5)</f>
        <v>0</v>
      </c>
      <c r="AG57" s="220">
        <f t="shared" si="39"/>
        <v>0</v>
      </c>
      <c r="AH57" s="220">
        <f t="shared" si="39"/>
        <v>0</v>
      </c>
      <c r="AI57" s="220">
        <f t="shared" si="39"/>
        <v>0</v>
      </c>
      <c r="AJ57" s="220">
        <f t="shared" si="39"/>
        <v>0</v>
      </c>
      <c r="AK57" s="220">
        <f t="shared" si="39"/>
        <v>0</v>
      </c>
      <c r="AL57" s="220">
        <f t="shared" si="39"/>
        <v>0</v>
      </c>
      <c r="AM57" s="220">
        <f t="shared" si="39"/>
        <v>0</v>
      </c>
      <c r="AN57" s="220">
        <f t="shared" si="39"/>
        <v>0</v>
      </c>
      <c r="AO57" s="220">
        <f t="shared" si="39"/>
        <v>0</v>
      </c>
      <c r="AP57" s="220">
        <f t="shared" ref="AP57:AY64" si="40">IF(OR(AP$15&lt;$G57,AP$15&gt;$G57+$F$5),0,IF(OR(AP$15=$G57,AP$15=$G57+$F$5),0.5,1)/$F$5)</f>
        <v>0</v>
      </c>
      <c r="AQ57" s="220">
        <f t="shared" si="40"/>
        <v>0</v>
      </c>
      <c r="AR57" s="220">
        <f t="shared" si="40"/>
        <v>0</v>
      </c>
      <c r="AS57" s="220">
        <f t="shared" si="40"/>
        <v>0</v>
      </c>
      <c r="AT57" s="220">
        <f t="shared" si="40"/>
        <v>0</v>
      </c>
      <c r="AU57" s="220">
        <f t="shared" si="40"/>
        <v>0</v>
      </c>
      <c r="AV57" s="220">
        <f t="shared" si="40"/>
        <v>0</v>
      </c>
      <c r="AW57" s="220">
        <f t="shared" si="40"/>
        <v>0</v>
      </c>
      <c r="AX57" s="220">
        <f t="shared" si="40"/>
        <v>8.3333333333333329E-2</v>
      </c>
      <c r="AY57" s="220">
        <f t="shared" si="40"/>
        <v>0.16666666666666666</v>
      </c>
      <c r="AZ57" s="220">
        <f t="shared" ref="AZ57:BE64" si="41">IF(OR(AZ$15&lt;$G57,AZ$15&gt;$G57+$F$5),0,IF(OR(AZ$15=$G57,AZ$15=$G57+$F$5),0.5,1)/$F$5)</f>
        <v>0.16666666666666666</v>
      </c>
      <c r="BA57" s="220">
        <f t="shared" si="41"/>
        <v>0.16666666666666666</v>
      </c>
      <c r="BB57" s="220">
        <f t="shared" si="41"/>
        <v>0.16666666666666666</v>
      </c>
      <c r="BC57" s="220">
        <f t="shared" si="41"/>
        <v>0.16666666666666666</v>
      </c>
      <c r="BD57" s="220">
        <f t="shared" si="41"/>
        <v>8.3333333333333329E-2</v>
      </c>
      <c r="BE57" s="220">
        <f t="shared" si="41"/>
        <v>0</v>
      </c>
      <c r="BF57" s="248">
        <f t="shared" si="24"/>
        <v>1.1102230246251565E-16</v>
      </c>
    </row>
    <row r="58" spans="1:58" x14ac:dyDescent="0.3">
      <c r="A58" s="187">
        <v>42</v>
      </c>
      <c r="B58" s="242">
        <f t="shared" si="25"/>
        <v>46905</v>
      </c>
      <c r="C58" s="243">
        <f t="shared" si="2"/>
        <v>46934</v>
      </c>
      <c r="D58" s="120">
        <f t="shared" si="3"/>
        <v>30</v>
      </c>
      <c r="E58" s="120">
        <f t="shared" si="4"/>
        <v>6</v>
      </c>
      <c r="F58" s="244">
        <f t="shared" si="5"/>
        <v>46920</v>
      </c>
      <c r="G58" s="120">
        <f t="shared" si="6"/>
        <v>24341</v>
      </c>
      <c r="H58" s="245">
        <f t="shared" si="7"/>
        <v>1</v>
      </c>
      <c r="I58" s="121">
        <f t="shared" si="8"/>
        <v>1.1575200000000001</v>
      </c>
      <c r="J58" s="121">
        <f t="shared" si="9"/>
        <v>1.1575200000000001</v>
      </c>
      <c r="K58" s="120">
        <f t="shared" si="10"/>
        <v>0</v>
      </c>
      <c r="L58" s="120">
        <f t="shared" si="11"/>
        <v>0</v>
      </c>
      <c r="M58" s="246">
        <f t="shared" si="12"/>
        <v>0</v>
      </c>
      <c r="N58" s="121">
        <f t="shared" si="13"/>
        <v>1.1575200000000001</v>
      </c>
      <c r="O58" s="247">
        <f>'Mod Engine'!$E58</f>
        <v>0.89</v>
      </c>
      <c r="P58" s="121">
        <f t="shared" si="14"/>
        <v>0</v>
      </c>
      <c r="Q58" s="121">
        <f t="shared" si="15"/>
        <v>0</v>
      </c>
      <c r="R58" s="121">
        <f t="shared" si="16"/>
        <v>1</v>
      </c>
      <c r="S58" s="121" t="str">
        <f t="shared" si="17"/>
        <v/>
      </c>
      <c r="T58" s="121" t="str">
        <f t="shared" si="18"/>
        <v/>
      </c>
      <c r="U58" s="121">
        <f t="shared" si="19"/>
        <v>1.1575200000000001</v>
      </c>
      <c r="V58" s="220">
        <f t="shared" si="38"/>
        <v>0</v>
      </c>
      <c r="W58" s="220">
        <f t="shared" si="38"/>
        <v>0</v>
      </c>
      <c r="X58" s="220">
        <f t="shared" si="38"/>
        <v>0</v>
      </c>
      <c r="Y58" s="220">
        <f t="shared" si="38"/>
        <v>0</v>
      </c>
      <c r="Z58" s="220">
        <f t="shared" si="38"/>
        <v>0</v>
      </c>
      <c r="AA58" s="220">
        <f t="shared" si="38"/>
        <v>0</v>
      </c>
      <c r="AB58" s="220">
        <f t="shared" si="38"/>
        <v>0</v>
      </c>
      <c r="AC58" s="220">
        <f t="shared" si="38"/>
        <v>0</v>
      </c>
      <c r="AD58" s="220">
        <f t="shared" si="38"/>
        <v>0</v>
      </c>
      <c r="AE58" s="220">
        <f t="shared" si="38"/>
        <v>0</v>
      </c>
      <c r="AF58" s="220">
        <f t="shared" si="39"/>
        <v>0</v>
      </c>
      <c r="AG58" s="220">
        <f t="shared" si="39"/>
        <v>0</v>
      </c>
      <c r="AH58" s="220">
        <f t="shared" si="39"/>
        <v>0</v>
      </c>
      <c r="AI58" s="220">
        <f t="shared" si="39"/>
        <v>0</v>
      </c>
      <c r="AJ58" s="220">
        <f t="shared" si="39"/>
        <v>0</v>
      </c>
      <c r="AK58" s="220">
        <f t="shared" si="39"/>
        <v>0</v>
      </c>
      <c r="AL58" s="220">
        <f t="shared" si="39"/>
        <v>0</v>
      </c>
      <c r="AM58" s="220">
        <f t="shared" si="39"/>
        <v>0</v>
      </c>
      <c r="AN58" s="220">
        <f t="shared" si="39"/>
        <v>0</v>
      </c>
      <c r="AO58" s="220">
        <f t="shared" si="39"/>
        <v>0</v>
      </c>
      <c r="AP58" s="220">
        <f t="shared" si="40"/>
        <v>0</v>
      </c>
      <c r="AQ58" s="220">
        <f t="shared" si="40"/>
        <v>0</v>
      </c>
      <c r="AR58" s="220">
        <f t="shared" si="40"/>
        <v>0</v>
      </c>
      <c r="AS58" s="220">
        <f t="shared" si="40"/>
        <v>0</v>
      </c>
      <c r="AT58" s="220">
        <f t="shared" si="40"/>
        <v>0</v>
      </c>
      <c r="AU58" s="220">
        <f t="shared" si="40"/>
        <v>0</v>
      </c>
      <c r="AV58" s="220">
        <f t="shared" si="40"/>
        <v>0</v>
      </c>
      <c r="AW58" s="220">
        <f t="shared" si="40"/>
        <v>0</v>
      </c>
      <c r="AX58" s="220">
        <f t="shared" si="40"/>
        <v>0</v>
      </c>
      <c r="AY58" s="220">
        <f t="shared" si="40"/>
        <v>8.3333333333333329E-2</v>
      </c>
      <c r="AZ58" s="220">
        <f t="shared" si="41"/>
        <v>0.16666666666666666</v>
      </c>
      <c r="BA58" s="220">
        <f t="shared" si="41"/>
        <v>0.16666666666666666</v>
      </c>
      <c r="BB58" s="220">
        <f t="shared" si="41"/>
        <v>0.16666666666666666</v>
      </c>
      <c r="BC58" s="220">
        <f t="shared" si="41"/>
        <v>0.16666666666666666</v>
      </c>
      <c r="BD58" s="220">
        <f t="shared" si="41"/>
        <v>0.16666666666666666</v>
      </c>
      <c r="BE58" s="220">
        <f t="shared" si="41"/>
        <v>8.3333333333333329E-2</v>
      </c>
      <c r="BF58" s="248">
        <f t="shared" si="24"/>
        <v>1.1102230246251565E-16</v>
      </c>
    </row>
    <row r="59" spans="1:58" x14ac:dyDescent="0.3">
      <c r="A59" s="187">
        <v>43</v>
      </c>
      <c r="B59" s="242">
        <f t="shared" si="25"/>
        <v>46935</v>
      </c>
      <c r="C59" s="243">
        <f t="shared" si="2"/>
        <v>46965</v>
      </c>
      <c r="D59" s="120">
        <f t="shared" si="3"/>
        <v>31</v>
      </c>
      <c r="E59" s="120">
        <f t="shared" si="4"/>
        <v>7</v>
      </c>
      <c r="F59" s="244">
        <f t="shared" si="5"/>
        <v>46950.5</v>
      </c>
      <c r="G59" s="120">
        <f t="shared" si="6"/>
        <v>24342</v>
      </c>
      <c r="H59" s="245">
        <f t="shared" si="7"/>
        <v>1</v>
      </c>
      <c r="I59" s="121">
        <f t="shared" si="8"/>
        <v>1.1575200000000001</v>
      </c>
      <c r="J59" s="121">
        <f t="shared" si="9"/>
        <v>1.1575200000000001</v>
      </c>
      <c r="K59" s="120">
        <f t="shared" si="10"/>
        <v>0</v>
      </c>
      <c r="L59" s="120">
        <f t="shared" si="11"/>
        <v>0</v>
      </c>
      <c r="M59" s="246">
        <f t="shared" si="12"/>
        <v>0</v>
      </c>
      <c r="N59" s="121">
        <f t="shared" si="13"/>
        <v>1.1575200000000001</v>
      </c>
      <c r="O59" s="247">
        <f>'Mod Engine'!$E59</f>
        <v>0.89</v>
      </c>
      <c r="P59" s="121">
        <f t="shared" si="14"/>
        <v>0</v>
      </c>
      <c r="Q59" s="121">
        <f t="shared" si="15"/>
        <v>0</v>
      </c>
      <c r="R59" s="121">
        <f t="shared" si="16"/>
        <v>0.91666666666666663</v>
      </c>
      <c r="S59" s="121" t="str">
        <f t="shared" si="17"/>
        <v/>
      </c>
      <c r="T59" s="121" t="str">
        <f t="shared" si="18"/>
        <v/>
      </c>
      <c r="U59" s="121">
        <f t="shared" si="19"/>
        <v>1.1575200000000001</v>
      </c>
      <c r="V59" s="220">
        <f t="shared" si="38"/>
        <v>0</v>
      </c>
      <c r="W59" s="220">
        <f t="shared" si="38"/>
        <v>0</v>
      </c>
      <c r="X59" s="220">
        <f t="shared" si="38"/>
        <v>0</v>
      </c>
      <c r="Y59" s="220">
        <f t="shared" si="38"/>
        <v>0</v>
      </c>
      <c r="Z59" s="220">
        <f t="shared" si="38"/>
        <v>0</v>
      </c>
      <c r="AA59" s="220">
        <f t="shared" si="38"/>
        <v>0</v>
      </c>
      <c r="AB59" s="220">
        <f t="shared" si="38"/>
        <v>0</v>
      </c>
      <c r="AC59" s="220">
        <f t="shared" si="38"/>
        <v>0</v>
      </c>
      <c r="AD59" s="220">
        <f t="shared" si="38"/>
        <v>0</v>
      </c>
      <c r="AE59" s="220">
        <f t="shared" si="38"/>
        <v>0</v>
      </c>
      <c r="AF59" s="220">
        <f t="shared" si="39"/>
        <v>0</v>
      </c>
      <c r="AG59" s="220">
        <f t="shared" si="39"/>
        <v>0</v>
      </c>
      <c r="AH59" s="220">
        <f t="shared" si="39"/>
        <v>0</v>
      </c>
      <c r="AI59" s="220">
        <f t="shared" si="39"/>
        <v>0</v>
      </c>
      <c r="AJ59" s="220">
        <f t="shared" si="39"/>
        <v>0</v>
      </c>
      <c r="AK59" s="220">
        <f t="shared" si="39"/>
        <v>0</v>
      </c>
      <c r="AL59" s="220">
        <f t="shared" si="39"/>
        <v>0</v>
      </c>
      <c r="AM59" s="220">
        <f t="shared" si="39"/>
        <v>0</v>
      </c>
      <c r="AN59" s="220">
        <f t="shared" si="39"/>
        <v>0</v>
      </c>
      <c r="AO59" s="220">
        <f t="shared" si="39"/>
        <v>0</v>
      </c>
      <c r="AP59" s="220">
        <f t="shared" si="40"/>
        <v>0</v>
      </c>
      <c r="AQ59" s="220">
        <f t="shared" si="40"/>
        <v>0</v>
      </c>
      <c r="AR59" s="220">
        <f t="shared" si="40"/>
        <v>0</v>
      </c>
      <c r="AS59" s="220">
        <f t="shared" si="40"/>
        <v>0</v>
      </c>
      <c r="AT59" s="220">
        <f t="shared" si="40"/>
        <v>0</v>
      </c>
      <c r="AU59" s="220">
        <f t="shared" si="40"/>
        <v>0</v>
      </c>
      <c r="AV59" s="220">
        <f t="shared" si="40"/>
        <v>0</v>
      </c>
      <c r="AW59" s="220">
        <f t="shared" si="40"/>
        <v>0</v>
      </c>
      <c r="AX59" s="220">
        <f t="shared" si="40"/>
        <v>0</v>
      </c>
      <c r="AY59" s="220">
        <f t="shared" si="40"/>
        <v>0</v>
      </c>
      <c r="AZ59" s="220">
        <f t="shared" si="41"/>
        <v>8.3333333333333329E-2</v>
      </c>
      <c r="BA59" s="220">
        <f t="shared" si="41"/>
        <v>0.16666666666666666</v>
      </c>
      <c r="BB59" s="220">
        <f t="shared" si="41"/>
        <v>0.16666666666666666</v>
      </c>
      <c r="BC59" s="220">
        <f t="shared" si="41"/>
        <v>0.16666666666666666</v>
      </c>
      <c r="BD59" s="220">
        <f t="shared" si="41"/>
        <v>0.16666666666666666</v>
      </c>
      <c r="BE59" s="220">
        <f t="shared" si="41"/>
        <v>0.16666666666666666</v>
      </c>
      <c r="BF59" s="248">
        <f t="shared" si="24"/>
        <v>0</v>
      </c>
    </row>
    <row r="60" spans="1:58" x14ac:dyDescent="0.3">
      <c r="A60" s="187">
        <v>44</v>
      </c>
      <c r="B60" s="242">
        <f t="shared" si="25"/>
        <v>46966</v>
      </c>
      <c r="C60" s="243">
        <f t="shared" si="2"/>
        <v>46996</v>
      </c>
      <c r="D60" s="120">
        <f t="shared" si="3"/>
        <v>31</v>
      </c>
      <c r="E60" s="120">
        <f t="shared" si="4"/>
        <v>8</v>
      </c>
      <c r="F60" s="244">
        <f t="shared" si="5"/>
        <v>46981.5</v>
      </c>
      <c r="G60" s="120">
        <f t="shared" si="6"/>
        <v>24343</v>
      </c>
      <c r="H60" s="245">
        <f t="shared" si="7"/>
        <v>1</v>
      </c>
      <c r="I60" s="121">
        <f t="shared" si="8"/>
        <v>1.1575200000000001</v>
      </c>
      <c r="J60" s="121">
        <f t="shared" si="9"/>
        <v>1.1575200000000001</v>
      </c>
      <c r="K60" s="120">
        <f t="shared" si="10"/>
        <v>0</v>
      </c>
      <c r="L60" s="120">
        <f t="shared" si="11"/>
        <v>0</v>
      </c>
      <c r="M60" s="246">
        <f t="shared" si="12"/>
        <v>0</v>
      </c>
      <c r="N60" s="121">
        <f t="shared" si="13"/>
        <v>1.1575200000000001</v>
      </c>
      <c r="O60" s="247">
        <f>'Mod Engine'!$E60</f>
        <v>0.89</v>
      </c>
      <c r="P60" s="121">
        <f t="shared" si="14"/>
        <v>0</v>
      </c>
      <c r="Q60" s="121">
        <f t="shared" si="15"/>
        <v>0</v>
      </c>
      <c r="R60" s="121">
        <f t="shared" si="16"/>
        <v>0.75</v>
      </c>
      <c r="S60" s="121" t="str">
        <f t="shared" si="17"/>
        <v/>
      </c>
      <c r="T60" s="121" t="str">
        <f t="shared" si="18"/>
        <v/>
      </c>
      <c r="U60" s="121">
        <f t="shared" si="19"/>
        <v>1.1575200000000001</v>
      </c>
      <c r="V60" s="220">
        <f t="shared" si="38"/>
        <v>0</v>
      </c>
      <c r="W60" s="220">
        <f t="shared" si="38"/>
        <v>0</v>
      </c>
      <c r="X60" s="220">
        <f t="shared" si="38"/>
        <v>0</v>
      </c>
      <c r="Y60" s="220">
        <f t="shared" si="38"/>
        <v>0</v>
      </c>
      <c r="Z60" s="220">
        <f t="shared" si="38"/>
        <v>0</v>
      </c>
      <c r="AA60" s="220">
        <f t="shared" si="38"/>
        <v>0</v>
      </c>
      <c r="AB60" s="220">
        <f t="shared" si="38"/>
        <v>0</v>
      </c>
      <c r="AC60" s="220">
        <f t="shared" si="38"/>
        <v>0</v>
      </c>
      <c r="AD60" s="220">
        <f t="shared" si="38"/>
        <v>0</v>
      </c>
      <c r="AE60" s="220">
        <f t="shared" si="38"/>
        <v>0</v>
      </c>
      <c r="AF60" s="220">
        <f t="shared" si="39"/>
        <v>0</v>
      </c>
      <c r="AG60" s="220">
        <f t="shared" si="39"/>
        <v>0</v>
      </c>
      <c r="AH60" s="220">
        <f t="shared" si="39"/>
        <v>0</v>
      </c>
      <c r="AI60" s="220">
        <f t="shared" si="39"/>
        <v>0</v>
      </c>
      <c r="AJ60" s="220">
        <f t="shared" si="39"/>
        <v>0</v>
      </c>
      <c r="AK60" s="220">
        <f t="shared" si="39"/>
        <v>0</v>
      </c>
      <c r="AL60" s="220">
        <f t="shared" si="39"/>
        <v>0</v>
      </c>
      <c r="AM60" s="220">
        <f t="shared" si="39"/>
        <v>0</v>
      </c>
      <c r="AN60" s="220">
        <f t="shared" si="39"/>
        <v>0</v>
      </c>
      <c r="AO60" s="220">
        <f t="shared" si="39"/>
        <v>0</v>
      </c>
      <c r="AP60" s="220">
        <f t="shared" si="40"/>
        <v>0</v>
      </c>
      <c r="AQ60" s="220">
        <f t="shared" si="40"/>
        <v>0</v>
      </c>
      <c r="AR60" s="220">
        <f t="shared" si="40"/>
        <v>0</v>
      </c>
      <c r="AS60" s="220">
        <f t="shared" si="40"/>
        <v>0</v>
      </c>
      <c r="AT60" s="220">
        <f t="shared" si="40"/>
        <v>0</v>
      </c>
      <c r="AU60" s="220">
        <f t="shared" si="40"/>
        <v>0</v>
      </c>
      <c r="AV60" s="220">
        <f t="shared" si="40"/>
        <v>0</v>
      </c>
      <c r="AW60" s="220">
        <f t="shared" si="40"/>
        <v>0</v>
      </c>
      <c r="AX60" s="220">
        <f t="shared" si="40"/>
        <v>0</v>
      </c>
      <c r="AY60" s="220">
        <f t="shared" si="40"/>
        <v>0</v>
      </c>
      <c r="AZ60" s="220">
        <f t="shared" si="41"/>
        <v>0</v>
      </c>
      <c r="BA60" s="220">
        <f t="shared" si="41"/>
        <v>8.3333333333333329E-2</v>
      </c>
      <c r="BB60" s="220">
        <f t="shared" si="41"/>
        <v>0.16666666666666666</v>
      </c>
      <c r="BC60" s="220">
        <f t="shared" si="41"/>
        <v>0.16666666666666666</v>
      </c>
      <c r="BD60" s="220">
        <f t="shared" si="41"/>
        <v>0.16666666666666666</v>
      </c>
      <c r="BE60" s="220">
        <f t="shared" si="41"/>
        <v>0.16666666666666666</v>
      </c>
      <c r="BF60" s="248">
        <f t="shared" si="24"/>
        <v>0</v>
      </c>
    </row>
    <row r="61" spans="1:58" x14ac:dyDescent="0.3">
      <c r="A61" s="187">
        <v>45</v>
      </c>
      <c r="B61" s="242">
        <f t="shared" si="25"/>
        <v>46997</v>
      </c>
      <c r="C61" s="243">
        <f t="shared" si="2"/>
        <v>47026</v>
      </c>
      <c r="D61" s="120">
        <f t="shared" si="3"/>
        <v>30</v>
      </c>
      <c r="E61" s="120">
        <f t="shared" si="4"/>
        <v>9</v>
      </c>
      <c r="F61" s="244">
        <f t="shared" si="5"/>
        <v>47012</v>
      </c>
      <c r="G61" s="120">
        <f t="shared" si="6"/>
        <v>24344</v>
      </c>
      <c r="H61" s="245">
        <f t="shared" si="7"/>
        <v>1</v>
      </c>
      <c r="I61" s="121">
        <f t="shared" si="8"/>
        <v>1.1575200000000001</v>
      </c>
      <c r="J61" s="121">
        <f t="shared" si="9"/>
        <v>1.1575200000000001</v>
      </c>
      <c r="K61" s="120">
        <f t="shared" si="10"/>
        <v>0</v>
      </c>
      <c r="L61" s="120">
        <f t="shared" si="11"/>
        <v>0</v>
      </c>
      <c r="M61" s="246">
        <f t="shared" si="12"/>
        <v>0</v>
      </c>
      <c r="N61" s="121">
        <f t="shared" si="13"/>
        <v>1.1575200000000001</v>
      </c>
      <c r="O61" s="247">
        <f>'Mod Engine'!$E61</f>
        <v>0.89</v>
      </c>
      <c r="P61" s="121">
        <f t="shared" si="14"/>
        <v>0</v>
      </c>
      <c r="Q61" s="121">
        <f t="shared" si="15"/>
        <v>0</v>
      </c>
      <c r="R61" s="121">
        <f t="shared" si="16"/>
        <v>0.58333333333333337</v>
      </c>
      <c r="S61" s="121" t="str">
        <f t="shared" si="17"/>
        <v/>
      </c>
      <c r="T61" s="121" t="str">
        <f t="shared" si="18"/>
        <v/>
      </c>
      <c r="U61" s="121">
        <f t="shared" si="19"/>
        <v>1.1575200000000001</v>
      </c>
      <c r="V61" s="220">
        <f t="shared" si="38"/>
        <v>0</v>
      </c>
      <c r="W61" s="220">
        <f t="shared" si="38"/>
        <v>0</v>
      </c>
      <c r="X61" s="220">
        <f t="shared" si="38"/>
        <v>0</v>
      </c>
      <c r="Y61" s="220">
        <f t="shared" si="38"/>
        <v>0</v>
      </c>
      <c r="Z61" s="220">
        <f t="shared" si="38"/>
        <v>0</v>
      </c>
      <c r="AA61" s="220">
        <f t="shared" si="38"/>
        <v>0</v>
      </c>
      <c r="AB61" s="220">
        <f t="shared" si="38"/>
        <v>0</v>
      </c>
      <c r="AC61" s="220">
        <f t="shared" si="38"/>
        <v>0</v>
      </c>
      <c r="AD61" s="220">
        <f t="shared" si="38"/>
        <v>0</v>
      </c>
      <c r="AE61" s="220">
        <f t="shared" si="38"/>
        <v>0</v>
      </c>
      <c r="AF61" s="220">
        <f t="shared" si="39"/>
        <v>0</v>
      </c>
      <c r="AG61" s="220">
        <f t="shared" si="39"/>
        <v>0</v>
      </c>
      <c r="AH61" s="220">
        <f t="shared" si="39"/>
        <v>0</v>
      </c>
      <c r="AI61" s="220">
        <f t="shared" si="39"/>
        <v>0</v>
      </c>
      <c r="AJ61" s="220">
        <f t="shared" si="39"/>
        <v>0</v>
      </c>
      <c r="AK61" s="220">
        <f t="shared" si="39"/>
        <v>0</v>
      </c>
      <c r="AL61" s="220">
        <f t="shared" si="39"/>
        <v>0</v>
      </c>
      <c r="AM61" s="220">
        <f t="shared" si="39"/>
        <v>0</v>
      </c>
      <c r="AN61" s="220">
        <f t="shared" si="39"/>
        <v>0</v>
      </c>
      <c r="AO61" s="220">
        <f t="shared" si="39"/>
        <v>0</v>
      </c>
      <c r="AP61" s="220">
        <f t="shared" si="40"/>
        <v>0</v>
      </c>
      <c r="AQ61" s="220">
        <f t="shared" si="40"/>
        <v>0</v>
      </c>
      <c r="AR61" s="220">
        <f t="shared" si="40"/>
        <v>0</v>
      </c>
      <c r="AS61" s="220">
        <f t="shared" si="40"/>
        <v>0</v>
      </c>
      <c r="AT61" s="220">
        <f t="shared" si="40"/>
        <v>0</v>
      </c>
      <c r="AU61" s="220">
        <f t="shared" si="40"/>
        <v>0</v>
      </c>
      <c r="AV61" s="220">
        <f t="shared" si="40"/>
        <v>0</v>
      </c>
      <c r="AW61" s="220">
        <f t="shared" si="40"/>
        <v>0</v>
      </c>
      <c r="AX61" s="220">
        <f t="shared" si="40"/>
        <v>0</v>
      </c>
      <c r="AY61" s="220">
        <f t="shared" si="40"/>
        <v>0</v>
      </c>
      <c r="AZ61" s="220">
        <f t="shared" si="41"/>
        <v>0</v>
      </c>
      <c r="BA61" s="220">
        <f t="shared" si="41"/>
        <v>0</v>
      </c>
      <c r="BB61" s="220">
        <f t="shared" si="41"/>
        <v>8.3333333333333329E-2</v>
      </c>
      <c r="BC61" s="220">
        <f t="shared" si="41"/>
        <v>0.16666666666666666</v>
      </c>
      <c r="BD61" s="220">
        <f t="shared" si="41"/>
        <v>0.16666666666666666</v>
      </c>
      <c r="BE61" s="220">
        <f t="shared" si="41"/>
        <v>0.16666666666666666</v>
      </c>
      <c r="BF61" s="248">
        <f t="shared" si="24"/>
        <v>0</v>
      </c>
    </row>
    <row r="62" spans="1:58" x14ac:dyDescent="0.3">
      <c r="A62" s="187">
        <v>46</v>
      </c>
      <c r="B62" s="242">
        <f t="shared" si="25"/>
        <v>47027</v>
      </c>
      <c r="C62" s="243">
        <f t="shared" si="2"/>
        <v>47057</v>
      </c>
      <c r="D62" s="120">
        <f t="shared" si="3"/>
        <v>31</v>
      </c>
      <c r="E62" s="120">
        <f t="shared" si="4"/>
        <v>10</v>
      </c>
      <c r="F62" s="244">
        <f t="shared" si="5"/>
        <v>47042.5</v>
      </c>
      <c r="G62" s="120">
        <f t="shared" si="6"/>
        <v>24345</v>
      </c>
      <c r="H62" s="245">
        <f t="shared" si="7"/>
        <v>1</v>
      </c>
      <c r="I62" s="121">
        <f t="shared" si="8"/>
        <v>1.1575200000000001</v>
      </c>
      <c r="J62" s="121">
        <f t="shared" si="9"/>
        <v>1.1575200000000001</v>
      </c>
      <c r="K62" s="120">
        <f t="shared" si="10"/>
        <v>0</v>
      </c>
      <c r="L62" s="120">
        <f t="shared" si="11"/>
        <v>0</v>
      </c>
      <c r="M62" s="246">
        <f t="shared" si="12"/>
        <v>0</v>
      </c>
      <c r="N62" s="121">
        <f t="shared" si="13"/>
        <v>1.1575200000000001</v>
      </c>
      <c r="O62" s="247">
        <f>'Mod Engine'!$E62</f>
        <v>0.89</v>
      </c>
      <c r="P62" s="121">
        <f t="shared" si="14"/>
        <v>0</v>
      </c>
      <c r="Q62" s="121">
        <f t="shared" si="15"/>
        <v>0</v>
      </c>
      <c r="R62" s="121">
        <f t="shared" si="16"/>
        <v>0.41666666666666669</v>
      </c>
      <c r="S62" s="121" t="str">
        <f t="shared" si="17"/>
        <v/>
      </c>
      <c r="T62" s="121" t="str">
        <f t="shared" si="18"/>
        <v/>
      </c>
      <c r="U62" s="121">
        <f t="shared" si="19"/>
        <v>1.1575200000000001</v>
      </c>
      <c r="V62" s="220">
        <f t="shared" si="38"/>
        <v>0</v>
      </c>
      <c r="W62" s="220">
        <f t="shared" si="38"/>
        <v>0</v>
      </c>
      <c r="X62" s="220">
        <f t="shared" si="38"/>
        <v>0</v>
      </c>
      <c r="Y62" s="220">
        <f t="shared" si="38"/>
        <v>0</v>
      </c>
      <c r="Z62" s="220">
        <f t="shared" si="38"/>
        <v>0</v>
      </c>
      <c r="AA62" s="220">
        <f t="shared" si="38"/>
        <v>0</v>
      </c>
      <c r="AB62" s="220">
        <f t="shared" si="38"/>
        <v>0</v>
      </c>
      <c r="AC62" s="220">
        <f t="shared" si="38"/>
        <v>0</v>
      </c>
      <c r="AD62" s="220">
        <f t="shared" si="38"/>
        <v>0</v>
      </c>
      <c r="AE62" s="220">
        <f t="shared" si="38"/>
        <v>0</v>
      </c>
      <c r="AF62" s="220">
        <f t="shared" si="39"/>
        <v>0</v>
      </c>
      <c r="AG62" s="220">
        <f t="shared" si="39"/>
        <v>0</v>
      </c>
      <c r="AH62" s="220">
        <f t="shared" si="39"/>
        <v>0</v>
      </c>
      <c r="AI62" s="220">
        <f t="shared" si="39"/>
        <v>0</v>
      </c>
      <c r="AJ62" s="220">
        <f t="shared" si="39"/>
        <v>0</v>
      </c>
      <c r="AK62" s="220">
        <f t="shared" si="39"/>
        <v>0</v>
      </c>
      <c r="AL62" s="220">
        <f t="shared" si="39"/>
        <v>0</v>
      </c>
      <c r="AM62" s="220">
        <f t="shared" si="39"/>
        <v>0</v>
      </c>
      <c r="AN62" s="220">
        <f t="shared" si="39"/>
        <v>0</v>
      </c>
      <c r="AO62" s="220">
        <f t="shared" si="39"/>
        <v>0</v>
      </c>
      <c r="AP62" s="220">
        <f t="shared" si="40"/>
        <v>0</v>
      </c>
      <c r="AQ62" s="220">
        <f t="shared" si="40"/>
        <v>0</v>
      </c>
      <c r="AR62" s="220">
        <f t="shared" si="40"/>
        <v>0</v>
      </c>
      <c r="AS62" s="220">
        <f t="shared" si="40"/>
        <v>0</v>
      </c>
      <c r="AT62" s="220">
        <f t="shared" si="40"/>
        <v>0</v>
      </c>
      <c r="AU62" s="220">
        <f t="shared" si="40"/>
        <v>0</v>
      </c>
      <c r="AV62" s="220">
        <f t="shared" si="40"/>
        <v>0</v>
      </c>
      <c r="AW62" s="220">
        <f t="shared" si="40"/>
        <v>0</v>
      </c>
      <c r="AX62" s="220">
        <f t="shared" si="40"/>
        <v>0</v>
      </c>
      <c r="AY62" s="220">
        <f t="shared" si="40"/>
        <v>0</v>
      </c>
      <c r="AZ62" s="220">
        <f t="shared" si="41"/>
        <v>0</v>
      </c>
      <c r="BA62" s="220">
        <f t="shared" si="41"/>
        <v>0</v>
      </c>
      <c r="BB62" s="220">
        <f t="shared" si="41"/>
        <v>0</v>
      </c>
      <c r="BC62" s="220">
        <f t="shared" si="41"/>
        <v>8.3333333333333329E-2</v>
      </c>
      <c r="BD62" s="220">
        <f t="shared" si="41"/>
        <v>0.16666666666666666</v>
      </c>
      <c r="BE62" s="220">
        <f t="shared" si="41"/>
        <v>0.16666666666666666</v>
      </c>
      <c r="BF62" s="248">
        <f t="shared" si="24"/>
        <v>0</v>
      </c>
    </row>
    <row r="63" spans="1:58" x14ac:dyDescent="0.3">
      <c r="A63" s="187">
        <v>47</v>
      </c>
      <c r="B63" s="242">
        <f t="shared" si="25"/>
        <v>47058</v>
      </c>
      <c r="C63" s="243">
        <f t="shared" si="2"/>
        <v>47087</v>
      </c>
      <c r="D63" s="120">
        <f t="shared" si="3"/>
        <v>30</v>
      </c>
      <c r="E63" s="120">
        <f t="shared" si="4"/>
        <v>11</v>
      </c>
      <c r="F63" s="244">
        <f t="shared" si="5"/>
        <v>47073</v>
      </c>
      <c r="G63" s="120">
        <f t="shared" si="6"/>
        <v>24346</v>
      </c>
      <c r="H63" s="245">
        <f t="shared" si="7"/>
        <v>1</v>
      </c>
      <c r="I63" s="121">
        <f t="shared" si="8"/>
        <v>1.1575200000000001</v>
      </c>
      <c r="J63" s="121">
        <f t="shared" si="9"/>
        <v>1.1575200000000001</v>
      </c>
      <c r="K63" s="120">
        <f t="shared" si="10"/>
        <v>0</v>
      </c>
      <c r="L63" s="120">
        <f t="shared" si="11"/>
        <v>0</v>
      </c>
      <c r="M63" s="246">
        <f t="shared" si="12"/>
        <v>0</v>
      </c>
      <c r="N63" s="121">
        <f t="shared" si="13"/>
        <v>1.1575200000000001</v>
      </c>
      <c r="O63" s="247">
        <f>'Mod Engine'!$E63</f>
        <v>0.89</v>
      </c>
      <c r="P63" s="121">
        <f t="shared" si="14"/>
        <v>0</v>
      </c>
      <c r="Q63" s="121">
        <f t="shared" si="15"/>
        <v>0</v>
      </c>
      <c r="R63" s="121">
        <f t="shared" si="16"/>
        <v>0.25</v>
      </c>
      <c r="S63" s="121" t="str">
        <f t="shared" si="17"/>
        <v/>
      </c>
      <c r="T63" s="121" t="str">
        <f t="shared" si="18"/>
        <v/>
      </c>
      <c r="U63" s="121">
        <f t="shared" si="19"/>
        <v>1.1575200000000001</v>
      </c>
      <c r="V63" s="220">
        <f t="shared" si="38"/>
        <v>0</v>
      </c>
      <c r="W63" s="220">
        <f t="shared" si="38"/>
        <v>0</v>
      </c>
      <c r="X63" s="220">
        <f t="shared" si="38"/>
        <v>0</v>
      </c>
      <c r="Y63" s="220">
        <f t="shared" si="38"/>
        <v>0</v>
      </c>
      <c r="Z63" s="220">
        <f t="shared" si="38"/>
        <v>0</v>
      </c>
      <c r="AA63" s="220">
        <f t="shared" si="38"/>
        <v>0</v>
      </c>
      <c r="AB63" s="220">
        <f t="shared" si="38"/>
        <v>0</v>
      </c>
      <c r="AC63" s="220">
        <f t="shared" si="38"/>
        <v>0</v>
      </c>
      <c r="AD63" s="220">
        <f t="shared" si="38"/>
        <v>0</v>
      </c>
      <c r="AE63" s="220">
        <f t="shared" si="38"/>
        <v>0</v>
      </c>
      <c r="AF63" s="220">
        <f t="shared" si="39"/>
        <v>0</v>
      </c>
      <c r="AG63" s="220">
        <f t="shared" si="39"/>
        <v>0</v>
      </c>
      <c r="AH63" s="220">
        <f t="shared" si="39"/>
        <v>0</v>
      </c>
      <c r="AI63" s="220">
        <f t="shared" si="39"/>
        <v>0</v>
      </c>
      <c r="AJ63" s="220">
        <f t="shared" si="39"/>
        <v>0</v>
      </c>
      <c r="AK63" s="220">
        <f t="shared" si="39"/>
        <v>0</v>
      </c>
      <c r="AL63" s="220">
        <f t="shared" si="39"/>
        <v>0</v>
      </c>
      <c r="AM63" s="220">
        <f t="shared" si="39"/>
        <v>0</v>
      </c>
      <c r="AN63" s="220">
        <f t="shared" si="39"/>
        <v>0</v>
      </c>
      <c r="AO63" s="220">
        <f t="shared" si="39"/>
        <v>0</v>
      </c>
      <c r="AP63" s="220">
        <f t="shared" si="40"/>
        <v>0</v>
      </c>
      <c r="AQ63" s="220">
        <f t="shared" si="40"/>
        <v>0</v>
      </c>
      <c r="AR63" s="220">
        <f t="shared" si="40"/>
        <v>0</v>
      </c>
      <c r="AS63" s="220">
        <f t="shared" si="40"/>
        <v>0</v>
      </c>
      <c r="AT63" s="220">
        <f t="shared" si="40"/>
        <v>0</v>
      </c>
      <c r="AU63" s="220">
        <f t="shared" si="40"/>
        <v>0</v>
      </c>
      <c r="AV63" s="220">
        <f t="shared" si="40"/>
        <v>0</v>
      </c>
      <c r="AW63" s="220">
        <f t="shared" si="40"/>
        <v>0</v>
      </c>
      <c r="AX63" s="220">
        <f t="shared" si="40"/>
        <v>0</v>
      </c>
      <c r="AY63" s="220">
        <f t="shared" si="40"/>
        <v>0</v>
      </c>
      <c r="AZ63" s="220">
        <f t="shared" si="41"/>
        <v>0</v>
      </c>
      <c r="BA63" s="220">
        <f t="shared" si="41"/>
        <v>0</v>
      </c>
      <c r="BB63" s="220">
        <f t="shared" si="41"/>
        <v>0</v>
      </c>
      <c r="BC63" s="220">
        <f t="shared" si="41"/>
        <v>0</v>
      </c>
      <c r="BD63" s="220">
        <f t="shared" si="41"/>
        <v>8.3333333333333329E-2</v>
      </c>
      <c r="BE63" s="220">
        <f t="shared" si="41"/>
        <v>0.16666666666666666</v>
      </c>
      <c r="BF63" s="248">
        <f t="shared" si="24"/>
        <v>0</v>
      </c>
    </row>
    <row r="64" spans="1:58" x14ac:dyDescent="0.3">
      <c r="A64" s="187">
        <v>48</v>
      </c>
      <c r="B64" s="242">
        <f t="shared" si="25"/>
        <v>47088</v>
      </c>
      <c r="C64" s="243">
        <f t="shared" si="2"/>
        <v>47118</v>
      </c>
      <c r="D64" s="120">
        <f t="shared" si="3"/>
        <v>31</v>
      </c>
      <c r="E64" s="120">
        <f t="shared" si="4"/>
        <v>12</v>
      </c>
      <c r="F64" s="244">
        <f t="shared" si="5"/>
        <v>47103.5</v>
      </c>
      <c r="G64" s="120">
        <f t="shared" si="6"/>
        <v>24347</v>
      </c>
      <c r="H64" s="245">
        <f t="shared" si="7"/>
        <v>1</v>
      </c>
      <c r="I64" s="121">
        <f t="shared" si="8"/>
        <v>1.1575200000000001</v>
      </c>
      <c r="J64" s="121">
        <f t="shared" si="9"/>
        <v>1.1575200000000001</v>
      </c>
      <c r="K64" s="120">
        <f t="shared" si="10"/>
        <v>0</v>
      </c>
      <c r="L64" s="120">
        <f t="shared" si="11"/>
        <v>0</v>
      </c>
      <c r="M64" s="246">
        <f t="shared" si="12"/>
        <v>0</v>
      </c>
      <c r="N64" s="121">
        <f t="shared" si="13"/>
        <v>1.1575200000000001</v>
      </c>
      <c r="O64" s="247">
        <f>'Mod Engine'!$E64</f>
        <v>0.89</v>
      </c>
      <c r="P64" s="121">
        <f t="shared" si="14"/>
        <v>0</v>
      </c>
      <c r="Q64" s="121">
        <f t="shared" si="15"/>
        <v>0</v>
      </c>
      <c r="R64" s="121">
        <f t="shared" si="16"/>
        <v>8.3333333333333329E-2</v>
      </c>
      <c r="S64" s="121" t="str">
        <f t="shared" si="17"/>
        <v/>
      </c>
      <c r="T64" s="121" t="str">
        <f t="shared" si="18"/>
        <v/>
      </c>
      <c r="U64" s="121">
        <f t="shared" si="19"/>
        <v>1.1575200000000001</v>
      </c>
      <c r="V64" s="220">
        <f t="shared" si="38"/>
        <v>0</v>
      </c>
      <c r="W64" s="220">
        <f t="shared" si="38"/>
        <v>0</v>
      </c>
      <c r="X64" s="220">
        <f t="shared" si="38"/>
        <v>0</v>
      </c>
      <c r="Y64" s="220">
        <f t="shared" si="38"/>
        <v>0</v>
      </c>
      <c r="Z64" s="220">
        <f t="shared" si="38"/>
        <v>0</v>
      </c>
      <c r="AA64" s="220">
        <f t="shared" si="38"/>
        <v>0</v>
      </c>
      <c r="AB64" s="220">
        <f t="shared" si="38"/>
        <v>0</v>
      </c>
      <c r="AC64" s="220">
        <f t="shared" si="38"/>
        <v>0</v>
      </c>
      <c r="AD64" s="220">
        <f t="shared" si="38"/>
        <v>0</v>
      </c>
      <c r="AE64" s="220">
        <f t="shared" si="38"/>
        <v>0</v>
      </c>
      <c r="AF64" s="220">
        <f t="shared" si="39"/>
        <v>0</v>
      </c>
      <c r="AG64" s="220">
        <f t="shared" si="39"/>
        <v>0</v>
      </c>
      <c r="AH64" s="220">
        <f t="shared" si="39"/>
        <v>0</v>
      </c>
      <c r="AI64" s="220">
        <f t="shared" si="39"/>
        <v>0</v>
      </c>
      <c r="AJ64" s="220">
        <f t="shared" si="39"/>
        <v>0</v>
      </c>
      <c r="AK64" s="220">
        <f t="shared" si="39"/>
        <v>0</v>
      </c>
      <c r="AL64" s="220">
        <f t="shared" si="39"/>
        <v>0</v>
      </c>
      <c r="AM64" s="220">
        <f t="shared" si="39"/>
        <v>0</v>
      </c>
      <c r="AN64" s="220">
        <f t="shared" si="39"/>
        <v>0</v>
      </c>
      <c r="AO64" s="220">
        <f t="shared" si="39"/>
        <v>0</v>
      </c>
      <c r="AP64" s="220">
        <f t="shared" si="40"/>
        <v>0</v>
      </c>
      <c r="AQ64" s="220">
        <f t="shared" si="40"/>
        <v>0</v>
      </c>
      <c r="AR64" s="220">
        <f t="shared" si="40"/>
        <v>0</v>
      </c>
      <c r="AS64" s="220">
        <f t="shared" si="40"/>
        <v>0</v>
      </c>
      <c r="AT64" s="220">
        <f t="shared" si="40"/>
        <v>0</v>
      </c>
      <c r="AU64" s="220">
        <f t="shared" si="40"/>
        <v>0</v>
      </c>
      <c r="AV64" s="220">
        <f t="shared" si="40"/>
        <v>0</v>
      </c>
      <c r="AW64" s="220">
        <f t="shared" si="40"/>
        <v>0</v>
      </c>
      <c r="AX64" s="220">
        <f t="shared" si="40"/>
        <v>0</v>
      </c>
      <c r="AY64" s="220">
        <f t="shared" si="40"/>
        <v>0</v>
      </c>
      <c r="AZ64" s="220">
        <f t="shared" si="41"/>
        <v>0</v>
      </c>
      <c r="BA64" s="220">
        <f t="shared" si="41"/>
        <v>0</v>
      </c>
      <c r="BB64" s="220">
        <f t="shared" si="41"/>
        <v>0</v>
      </c>
      <c r="BC64" s="220">
        <f t="shared" si="41"/>
        <v>0</v>
      </c>
      <c r="BD64" s="220">
        <f t="shared" si="41"/>
        <v>0</v>
      </c>
      <c r="BE64" s="220">
        <f t="shared" si="41"/>
        <v>8.3333333333333329E-2</v>
      </c>
      <c r="BF64" s="248">
        <f t="shared" si="24"/>
        <v>0</v>
      </c>
    </row>
    <row r="66" spans="21:59" x14ac:dyDescent="0.3">
      <c r="U66" s="6" t="s">
        <v>704</v>
      </c>
      <c r="V66" s="121">
        <f t="shared" ref="V66:BE66" si="42">SUMPRODUCT($H$17:$H$64,V$17:V$64,$U$17:$U$64)</f>
        <v>1.04</v>
      </c>
      <c r="W66" s="121">
        <f t="shared" si="42"/>
        <v>1.04</v>
      </c>
      <c r="X66" s="121">
        <f t="shared" si="42"/>
        <v>1.04</v>
      </c>
      <c r="Y66" s="121">
        <f t="shared" si="42"/>
        <v>1.04</v>
      </c>
      <c r="Z66" s="121">
        <f t="shared" si="42"/>
        <v>1.04</v>
      </c>
      <c r="AA66" s="121">
        <f t="shared" si="42"/>
        <v>1.04</v>
      </c>
      <c r="AB66" s="121">
        <f t="shared" si="42"/>
        <v>1.0452000000000001</v>
      </c>
      <c r="AC66" s="121">
        <f t="shared" si="42"/>
        <v>1.0556000000000001</v>
      </c>
      <c r="AD66" s="121">
        <f t="shared" si="42"/>
        <v>1.0660000000000001</v>
      </c>
      <c r="AE66" s="121">
        <f t="shared" si="42"/>
        <v>1.0764</v>
      </c>
      <c r="AF66" s="121">
        <f t="shared" si="42"/>
        <v>1.0868</v>
      </c>
      <c r="AG66" s="121">
        <f t="shared" si="42"/>
        <v>1.0972</v>
      </c>
      <c r="AH66" s="121">
        <f t="shared" si="42"/>
        <v>1.1024</v>
      </c>
      <c r="AI66" s="121">
        <f t="shared" si="42"/>
        <v>1.1024</v>
      </c>
      <c r="AJ66" s="121">
        <f t="shared" si="42"/>
        <v>1.1024</v>
      </c>
      <c r="AK66" s="121">
        <f t="shared" si="42"/>
        <v>1.1069933333333333</v>
      </c>
      <c r="AL66" s="121">
        <f t="shared" si="42"/>
        <v>1.1161799999999999</v>
      </c>
      <c r="AM66" s="121">
        <f t="shared" si="42"/>
        <v>1.1253666666666666</v>
      </c>
      <c r="AN66" s="121">
        <f t="shared" si="42"/>
        <v>1.1345533333333333</v>
      </c>
      <c r="AO66" s="121">
        <f t="shared" si="42"/>
        <v>1.14374</v>
      </c>
      <c r="AP66" s="121">
        <f t="shared" si="42"/>
        <v>1.1529266666666667</v>
      </c>
      <c r="AQ66" s="121">
        <f t="shared" si="42"/>
        <v>1.1575200000000001</v>
      </c>
      <c r="AR66" s="121">
        <f t="shared" si="42"/>
        <v>1.1575200000000001</v>
      </c>
      <c r="AS66" s="121">
        <f t="shared" si="42"/>
        <v>1.1575200000000001</v>
      </c>
      <c r="AT66" s="121">
        <f t="shared" si="42"/>
        <v>1.1575200000000001</v>
      </c>
      <c r="AU66" s="121">
        <f t="shared" si="42"/>
        <v>1.1575200000000001</v>
      </c>
      <c r="AV66" s="121">
        <f t="shared" si="42"/>
        <v>1.1575200000000001</v>
      </c>
      <c r="AW66" s="121">
        <f t="shared" si="42"/>
        <v>1.1575200000000001</v>
      </c>
      <c r="AX66" s="121">
        <f t="shared" si="42"/>
        <v>1.1575200000000001</v>
      </c>
      <c r="AY66" s="121">
        <f t="shared" si="42"/>
        <v>1.1575200000000001</v>
      </c>
      <c r="AZ66" s="121">
        <f t="shared" si="42"/>
        <v>1.1575200000000001</v>
      </c>
      <c r="BA66" s="121">
        <f t="shared" si="42"/>
        <v>1.1575200000000001</v>
      </c>
      <c r="BB66" s="121">
        <f t="shared" si="42"/>
        <v>1.1575200000000001</v>
      </c>
      <c r="BC66" s="121">
        <f t="shared" si="42"/>
        <v>1.1575200000000001</v>
      </c>
      <c r="BD66" s="121">
        <f t="shared" si="42"/>
        <v>1.1575200000000001</v>
      </c>
      <c r="BE66" s="121">
        <f t="shared" si="42"/>
        <v>1.1575200000000001</v>
      </c>
      <c r="BG66" s="6" t="s">
        <v>704</v>
      </c>
    </row>
    <row r="67" spans="21:59" x14ac:dyDescent="0.3">
      <c r="U67" s="6" t="s">
        <v>705</v>
      </c>
      <c r="V67" s="121">
        <f t="shared" ref="V67:BE67" si="43">SUMPRODUCT($H$17:$H$64,V$17:V$64)</f>
        <v>0.99999999999999989</v>
      </c>
      <c r="W67" s="121">
        <f t="shared" si="43"/>
        <v>0.99999999999999989</v>
      </c>
      <c r="X67" s="121">
        <f t="shared" si="43"/>
        <v>0.99999999999999989</v>
      </c>
      <c r="Y67" s="121">
        <f t="shared" si="43"/>
        <v>0.99999999999999989</v>
      </c>
      <c r="Z67" s="121">
        <f t="shared" si="43"/>
        <v>0.99999999999999989</v>
      </c>
      <c r="AA67" s="121">
        <f t="shared" si="43"/>
        <v>0.99999999999999989</v>
      </c>
      <c r="AB67" s="121">
        <f t="shared" si="43"/>
        <v>0.99999999999999989</v>
      </c>
      <c r="AC67" s="121">
        <f t="shared" si="43"/>
        <v>0.99999999999999989</v>
      </c>
      <c r="AD67" s="121">
        <f t="shared" si="43"/>
        <v>0.99999999999999989</v>
      </c>
      <c r="AE67" s="121">
        <f t="shared" si="43"/>
        <v>0.99999999999999989</v>
      </c>
      <c r="AF67" s="121">
        <f t="shared" si="43"/>
        <v>0.99999999999999989</v>
      </c>
      <c r="AG67" s="121">
        <f t="shared" si="43"/>
        <v>0.99999999999999989</v>
      </c>
      <c r="AH67" s="121">
        <f t="shared" si="43"/>
        <v>0.99999999999999989</v>
      </c>
      <c r="AI67" s="121">
        <f t="shared" si="43"/>
        <v>0.99999999999999989</v>
      </c>
      <c r="AJ67" s="121">
        <f t="shared" si="43"/>
        <v>0.99999999999999989</v>
      </c>
      <c r="AK67" s="121">
        <f t="shared" si="43"/>
        <v>0.99999999999999989</v>
      </c>
      <c r="AL67" s="121">
        <f t="shared" si="43"/>
        <v>0.99999999999999989</v>
      </c>
      <c r="AM67" s="121">
        <f t="shared" si="43"/>
        <v>0.99999999999999989</v>
      </c>
      <c r="AN67" s="121">
        <f t="shared" si="43"/>
        <v>0.99999999999999989</v>
      </c>
      <c r="AO67" s="121">
        <f t="shared" si="43"/>
        <v>0.99999999999999989</v>
      </c>
      <c r="AP67" s="121">
        <f t="shared" si="43"/>
        <v>0.99999999999999989</v>
      </c>
      <c r="AQ67" s="121">
        <f t="shared" si="43"/>
        <v>0.99999999999999989</v>
      </c>
      <c r="AR67" s="121">
        <f t="shared" si="43"/>
        <v>0.99999999999999989</v>
      </c>
      <c r="AS67" s="121">
        <f t="shared" si="43"/>
        <v>0.99999999999999989</v>
      </c>
      <c r="AT67" s="121">
        <f t="shared" si="43"/>
        <v>0.99999999999999989</v>
      </c>
      <c r="AU67" s="121">
        <f t="shared" si="43"/>
        <v>0.99999999999999989</v>
      </c>
      <c r="AV67" s="121">
        <f t="shared" si="43"/>
        <v>0.99999999999999989</v>
      </c>
      <c r="AW67" s="121">
        <f t="shared" si="43"/>
        <v>0.99999999999999989</v>
      </c>
      <c r="AX67" s="121">
        <f t="shared" si="43"/>
        <v>0.99999999999999989</v>
      </c>
      <c r="AY67" s="121">
        <f t="shared" si="43"/>
        <v>0.99999999999999989</v>
      </c>
      <c r="AZ67" s="121">
        <f t="shared" si="43"/>
        <v>0.99999999999999989</v>
      </c>
      <c r="BA67" s="121">
        <f t="shared" si="43"/>
        <v>0.99999999999999989</v>
      </c>
      <c r="BB67" s="121">
        <f t="shared" si="43"/>
        <v>0.99999999999999989</v>
      </c>
      <c r="BC67" s="121">
        <f t="shared" si="43"/>
        <v>0.99999999999999989</v>
      </c>
      <c r="BD67" s="121">
        <f t="shared" si="43"/>
        <v>0.99999999999999989</v>
      </c>
      <c r="BE67" s="121">
        <f t="shared" si="43"/>
        <v>0.99999999999999989</v>
      </c>
      <c r="BG67" s="6" t="s">
        <v>705</v>
      </c>
    </row>
    <row r="68" spans="21:59" x14ac:dyDescent="0.3">
      <c r="U68" s="6" t="s">
        <v>706</v>
      </c>
      <c r="V68" s="249">
        <f t="shared" ref="V68:BE68" si="44">IF(V67=0,"",V66/V67)</f>
        <v>1.0400000000000003</v>
      </c>
      <c r="W68" s="249">
        <f t="shared" si="44"/>
        <v>1.0400000000000003</v>
      </c>
      <c r="X68" s="249">
        <f t="shared" si="44"/>
        <v>1.0400000000000003</v>
      </c>
      <c r="Y68" s="249">
        <f t="shared" si="44"/>
        <v>1.0400000000000003</v>
      </c>
      <c r="Z68" s="249">
        <f t="shared" si="44"/>
        <v>1.0400000000000003</v>
      </c>
      <c r="AA68" s="249">
        <f t="shared" si="44"/>
        <v>1.0400000000000003</v>
      </c>
      <c r="AB68" s="249">
        <f t="shared" si="44"/>
        <v>1.0452000000000004</v>
      </c>
      <c r="AC68" s="249">
        <f t="shared" si="44"/>
        <v>1.0556000000000003</v>
      </c>
      <c r="AD68" s="249">
        <f t="shared" si="44"/>
        <v>1.0660000000000003</v>
      </c>
      <c r="AE68" s="249">
        <f t="shared" si="44"/>
        <v>1.0764000000000002</v>
      </c>
      <c r="AF68" s="249">
        <f t="shared" si="44"/>
        <v>1.0868000000000002</v>
      </c>
      <c r="AG68" s="249">
        <f t="shared" si="44"/>
        <v>1.0972000000000002</v>
      </c>
      <c r="AH68" s="249">
        <f t="shared" si="44"/>
        <v>1.1024000000000003</v>
      </c>
      <c r="AI68" s="249">
        <f t="shared" si="44"/>
        <v>1.1024000000000003</v>
      </c>
      <c r="AJ68" s="249">
        <f t="shared" si="44"/>
        <v>1.1024000000000003</v>
      </c>
      <c r="AK68" s="249">
        <f t="shared" si="44"/>
        <v>1.1069933333333335</v>
      </c>
      <c r="AL68" s="249">
        <f t="shared" si="44"/>
        <v>1.1161800000000002</v>
      </c>
      <c r="AM68" s="249">
        <f t="shared" si="44"/>
        <v>1.1253666666666668</v>
      </c>
      <c r="AN68" s="249">
        <f t="shared" si="44"/>
        <v>1.1345533333333335</v>
      </c>
      <c r="AO68" s="249">
        <f t="shared" si="44"/>
        <v>1.1437400000000002</v>
      </c>
      <c r="AP68" s="249">
        <f t="shared" si="44"/>
        <v>1.1529266666666669</v>
      </c>
      <c r="AQ68" s="249">
        <f t="shared" si="44"/>
        <v>1.1575200000000003</v>
      </c>
      <c r="AR68" s="249">
        <f t="shared" si="44"/>
        <v>1.1575200000000003</v>
      </c>
      <c r="AS68" s="249">
        <f t="shared" si="44"/>
        <v>1.1575200000000003</v>
      </c>
      <c r="AT68" s="249">
        <f t="shared" si="44"/>
        <v>1.1575200000000003</v>
      </c>
      <c r="AU68" s="249">
        <f t="shared" si="44"/>
        <v>1.1575200000000003</v>
      </c>
      <c r="AV68" s="249">
        <f t="shared" si="44"/>
        <v>1.1575200000000003</v>
      </c>
      <c r="AW68" s="249">
        <f t="shared" si="44"/>
        <v>1.1575200000000003</v>
      </c>
      <c r="AX68" s="249">
        <f t="shared" si="44"/>
        <v>1.1575200000000003</v>
      </c>
      <c r="AY68" s="249">
        <f t="shared" si="44"/>
        <v>1.1575200000000003</v>
      </c>
      <c r="AZ68" s="249">
        <f t="shared" si="44"/>
        <v>1.1575200000000003</v>
      </c>
      <c r="BA68" s="249">
        <f t="shared" si="44"/>
        <v>1.1575200000000003</v>
      </c>
      <c r="BB68" s="249">
        <f t="shared" si="44"/>
        <v>1.1575200000000003</v>
      </c>
      <c r="BC68" s="249">
        <f t="shared" si="44"/>
        <v>1.1575200000000003</v>
      </c>
      <c r="BD68" s="249">
        <f t="shared" si="44"/>
        <v>1.1575200000000003</v>
      </c>
      <c r="BE68" s="249">
        <f t="shared" si="44"/>
        <v>1.1575200000000003</v>
      </c>
      <c r="BG68" s="6" t="s">
        <v>706</v>
      </c>
    </row>
    <row r="69" spans="21:59" x14ac:dyDescent="0.3">
      <c r="U69" s="6" t="s">
        <v>707</v>
      </c>
      <c r="V69" s="160">
        <f>MIN(INDEX($U$17:$U$64,MAX(1,V$15-$G$17-$F$5+1)):INDEX($U$17:$U$64,V$15-$G$17+1))</f>
        <v>1.04</v>
      </c>
      <c r="W69" s="160">
        <f>MIN(INDEX($U$17:$U$64,MAX(1,W$15-$G$17-$F$5+1)):INDEX($U$17:$U$64,W$15-$G$17+1))</f>
        <v>1.04</v>
      </c>
      <c r="X69" s="160">
        <f>MIN(INDEX($U$17:$U$64,MAX(1,X$15-$G$17-$F$5+1)):INDEX($U$17:$U$64,X$15-$G$17+1))</f>
        <v>1.04</v>
      </c>
      <c r="Y69" s="160">
        <f>MIN(INDEX($U$17:$U$64,MAX(1,Y$15-$G$17-$F$5+1)):INDEX($U$17:$U$64,Y$15-$G$17+1))</f>
        <v>1.04</v>
      </c>
      <c r="Z69" s="160">
        <f>MIN(INDEX($U$17:$U$64,MAX(1,Z$15-$G$17-$F$5+1)):INDEX($U$17:$U$64,Z$15-$G$17+1))</f>
        <v>1.04</v>
      </c>
      <c r="AA69" s="160">
        <f>MIN(INDEX($U$17:$U$64,MAX(1,AA$15-$G$17-$F$5+1)):INDEX($U$17:$U$64,AA$15-$G$17+1))</f>
        <v>1.04</v>
      </c>
      <c r="AB69" s="160">
        <f>MIN(INDEX($U$17:$U$64,MAX(1,AB$15-$G$17-$F$5+1)):INDEX($U$17:$U$64,AB$15-$G$17+1))</f>
        <v>1.04</v>
      </c>
      <c r="AC69" s="160">
        <f>MIN(INDEX($U$17:$U$64,MAX(1,AC$15-$G$17-$F$5+1)):INDEX($U$17:$U$64,AC$15-$G$17+1))</f>
        <v>1.04</v>
      </c>
      <c r="AD69" s="160">
        <f>MIN(INDEX($U$17:$U$64,MAX(1,AD$15-$G$17-$F$5+1)):INDEX($U$17:$U$64,AD$15-$G$17+1))</f>
        <v>1.04</v>
      </c>
      <c r="AE69" s="160">
        <f>MIN(INDEX($U$17:$U$64,MAX(1,AE$15-$G$17-$F$5+1)):INDEX($U$17:$U$64,AE$15-$G$17+1))</f>
        <v>1.04</v>
      </c>
      <c r="AF69" s="160">
        <f>MIN(INDEX($U$17:$U$64,MAX(1,AF$15-$G$17-$F$5+1)):INDEX($U$17:$U$64,AF$15-$G$17+1))</f>
        <v>1.04</v>
      </c>
      <c r="AG69" s="160">
        <f>MIN(INDEX($U$17:$U$64,MAX(1,AG$15-$G$17-$F$5+1)):INDEX($U$17:$U$64,AG$15-$G$17+1))</f>
        <v>1.04</v>
      </c>
      <c r="AH69" s="160">
        <f>MIN(INDEX($U$17:$U$64,MAX(1,AH$15-$G$17-$F$5+1)):INDEX($U$17:$U$64,AH$15-$G$17+1))</f>
        <v>1.1024</v>
      </c>
      <c r="AI69" s="160">
        <f>MIN(INDEX($U$17:$U$64,MAX(1,AI$15-$G$17-$F$5+1)):INDEX($U$17:$U$64,AI$15-$G$17+1))</f>
        <v>1.1024</v>
      </c>
      <c r="AJ69" s="160">
        <f>MIN(INDEX($U$17:$U$64,MAX(1,AJ$15-$G$17-$F$5+1)):INDEX($U$17:$U$64,AJ$15-$G$17+1))</f>
        <v>1.1024</v>
      </c>
      <c r="AK69" s="160">
        <f>MIN(INDEX($U$17:$U$64,MAX(1,AK$15-$G$17-$F$5+1)):INDEX($U$17:$U$64,AK$15-$G$17+1))</f>
        <v>1.1024</v>
      </c>
      <c r="AL69" s="160">
        <f>MIN(INDEX($U$17:$U$64,MAX(1,AL$15-$G$17-$F$5+1)):INDEX($U$17:$U$64,AL$15-$G$17+1))</f>
        <v>1.1024</v>
      </c>
      <c r="AM69" s="160">
        <f>MIN(INDEX($U$17:$U$64,MAX(1,AM$15-$G$17-$F$5+1)):INDEX($U$17:$U$64,AM$15-$G$17+1))</f>
        <v>1.1024</v>
      </c>
      <c r="AN69" s="160">
        <f>MIN(INDEX($U$17:$U$64,MAX(1,AN$15-$G$17-$F$5+1)):INDEX($U$17:$U$64,AN$15-$G$17+1))</f>
        <v>1.1024</v>
      </c>
      <c r="AO69" s="160">
        <f>MIN(INDEX($U$17:$U$64,MAX(1,AO$15-$G$17-$F$5+1)):INDEX($U$17:$U$64,AO$15-$G$17+1))</f>
        <v>1.1024</v>
      </c>
      <c r="AP69" s="160">
        <f>MIN(INDEX($U$17:$U$64,MAX(1,AP$15-$G$17-$F$5+1)):INDEX($U$17:$U$64,AP$15-$G$17+1))</f>
        <v>1.1024</v>
      </c>
      <c r="AQ69" s="160">
        <f>MIN(INDEX($U$17:$U$64,MAX(1,AQ$15-$G$17-$F$5+1)):INDEX($U$17:$U$64,AQ$15-$G$17+1))</f>
        <v>1.1575200000000001</v>
      </c>
      <c r="AR69" s="160">
        <f>MIN(INDEX($U$17:$U$64,MAX(1,AR$15-$G$17-$F$5+1)):INDEX($U$17:$U$64,AR$15-$G$17+1))</f>
        <v>1.1575200000000001</v>
      </c>
      <c r="AS69" s="160">
        <f>MIN(INDEX($U$17:$U$64,MAX(1,AS$15-$G$17-$F$5+1)):INDEX($U$17:$U$64,AS$15-$G$17+1))</f>
        <v>1.1575200000000001</v>
      </c>
      <c r="AT69" s="160">
        <f>MIN(INDEX($U$17:$U$64,MAX(1,AT$15-$G$17-$F$5+1)):INDEX($U$17:$U$64,AT$15-$G$17+1))</f>
        <v>1.1575200000000001</v>
      </c>
      <c r="AU69" s="160">
        <f>MIN(INDEX($U$17:$U$64,MAX(1,AU$15-$G$17-$F$5+1)):INDEX($U$17:$U$64,AU$15-$G$17+1))</f>
        <v>1.1575200000000001</v>
      </c>
      <c r="AV69" s="160">
        <f>MIN(INDEX($U$17:$U$64,MAX(1,AV$15-$G$17-$F$5+1)):INDEX($U$17:$U$64,AV$15-$G$17+1))</f>
        <v>1.1575200000000001</v>
      </c>
      <c r="AW69" s="160">
        <f>MIN(INDEX($U$17:$U$64,MAX(1,AW$15-$G$17-$F$5+1)):INDEX($U$17:$U$64,AW$15-$G$17+1))</f>
        <v>1.1575200000000001</v>
      </c>
      <c r="AX69" s="160">
        <f>MIN(INDEX($U$17:$U$64,MAX(1,AX$15-$G$17-$F$5+1)):INDEX($U$17:$U$64,AX$15-$G$17+1))</f>
        <v>1.1575200000000001</v>
      </c>
      <c r="AY69" s="160">
        <f>MIN(INDEX($U$17:$U$64,MAX(1,AY$15-$G$17-$F$5+1)):INDEX($U$17:$U$64,AY$15-$G$17+1))</f>
        <v>1.1575200000000001</v>
      </c>
      <c r="AZ69" s="160">
        <f>MIN(INDEX($U$17:$U$64,MAX(1,AZ$15-$G$17-$F$5+1)):INDEX($U$17:$U$64,AZ$15-$G$17+1))</f>
        <v>1.1575200000000001</v>
      </c>
      <c r="BA69" s="160">
        <f>MIN(INDEX($U$17:$U$64,MAX(1,BA$15-$G$17-$F$5+1)):INDEX($U$17:$U$64,BA$15-$G$17+1))</f>
        <v>1.1575200000000001</v>
      </c>
      <c r="BB69" s="160">
        <f>MIN(INDEX($U$17:$U$64,MAX(1,BB$15-$G$17-$F$5+1)):INDEX($U$17:$U$64,BB$15-$G$17+1))</f>
        <v>1.1575200000000001</v>
      </c>
      <c r="BC69" s="160">
        <f>MIN(INDEX($U$17:$U$64,MAX(1,BC$15-$G$17-$F$5+1)):INDEX($U$17:$U$64,BC$15-$G$17+1))</f>
        <v>1.1575200000000001</v>
      </c>
      <c r="BD69" s="160">
        <f>MIN(INDEX($U$17:$U$64,MAX(1,BD$15-$G$17-$F$5+1)):INDEX($U$17:$U$64,BD$15-$G$17+1))</f>
        <v>1.1575200000000001</v>
      </c>
      <c r="BE69" s="160">
        <f>MIN(INDEX($U$17:$U$64,MAX(1,BE$15-$G$17-$F$5+1)):INDEX($U$17:$U$64,BE$15-$G$17+1))</f>
        <v>1.1575200000000001</v>
      </c>
      <c r="BG69" s="6" t="s">
        <v>707</v>
      </c>
    </row>
    <row r="70" spans="21:59" x14ac:dyDescent="0.3">
      <c r="U70" s="6" t="s">
        <v>708</v>
      </c>
      <c r="V70" s="160">
        <f>MAX(INDEX($U$17:$U$64,MAX(1,V$15-$G$17-$F$5+1)):INDEX($U$17:$U$64,V$15-$G$17+1))</f>
        <v>1.04</v>
      </c>
      <c r="W70" s="160">
        <f>MAX(INDEX($U$17:$U$64,MAX(1,W$15-$G$17-$F$5+1)):INDEX($U$17:$U$64,W$15-$G$17+1))</f>
        <v>1.04</v>
      </c>
      <c r="X70" s="160">
        <f>MAX(INDEX($U$17:$U$64,MAX(1,X$15-$G$17-$F$5+1)):INDEX($U$17:$U$64,X$15-$G$17+1))</f>
        <v>1.04</v>
      </c>
      <c r="Y70" s="160">
        <f>MAX(INDEX($U$17:$U$64,MAX(1,Y$15-$G$17-$F$5+1)):INDEX($U$17:$U$64,Y$15-$G$17+1))</f>
        <v>1.04</v>
      </c>
      <c r="Z70" s="160">
        <f>MAX(INDEX($U$17:$U$64,MAX(1,Z$15-$G$17-$F$5+1)):INDEX($U$17:$U$64,Z$15-$G$17+1))</f>
        <v>1.04</v>
      </c>
      <c r="AA70" s="160">
        <f>MAX(INDEX($U$17:$U$64,MAX(1,AA$15-$G$17-$F$5+1)):INDEX($U$17:$U$64,AA$15-$G$17+1))</f>
        <v>1.04</v>
      </c>
      <c r="AB70" s="160">
        <f>MAX(INDEX($U$17:$U$64,MAX(1,AB$15-$G$17-$F$5+1)):INDEX($U$17:$U$64,AB$15-$G$17+1))</f>
        <v>1.1024</v>
      </c>
      <c r="AC70" s="160">
        <f>MAX(INDEX($U$17:$U$64,MAX(1,AC$15-$G$17-$F$5+1)):INDEX($U$17:$U$64,AC$15-$G$17+1))</f>
        <v>1.1024</v>
      </c>
      <c r="AD70" s="160">
        <f>MAX(INDEX($U$17:$U$64,MAX(1,AD$15-$G$17-$F$5+1)):INDEX($U$17:$U$64,AD$15-$G$17+1))</f>
        <v>1.1024</v>
      </c>
      <c r="AE70" s="160">
        <f>MAX(INDEX($U$17:$U$64,MAX(1,AE$15-$G$17-$F$5+1)):INDEX($U$17:$U$64,AE$15-$G$17+1))</f>
        <v>1.1024</v>
      </c>
      <c r="AF70" s="160">
        <f>MAX(INDEX($U$17:$U$64,MAX(1,AF$15-$G$17-$F$5+1)):INDEX($U$17:$U$64,AF$15-$G$17+1))</f>
        <v>1.1024</v>
      </c>
      <c r="AG70" s="160">
        <f>MAX(INDEX($U$17:$U$64,MAX(1,AG$15-$G$17-$F$5+1)):INDEX($U$17:$U$64,AG$15-$G$17+1))</f>
        <v>1.1024</v>
      </c>
      <c r="AH70" s="160">
        <f>MAX(INDEX($U$17:$U$64,MAX(1,AH$15-$G$17-$F$5+1)):INDEX($U$17:$U$64,AH$15-$G$17+1))</f>
        <v>1.1024</v>
      </c>
      <c r="AI70" s="160">
        <f>MAX(INDEX($U$17:$U$64,MAX(1,AI$15-$G$17-$F$5+1)):INDEX($U$17:$U$64,AI$15-$G$17+1))</f>
        <v>1.1024</v>
      </c>
      <c r="AJ70" s="160">
        <f>MAX(INDEX($U$17:$U$64,MAX(1,AJ$15-$G$17-$F$5+1)):INDEX($U$17:$U$64,AJ$15-$G$17+1))</f>
        <v>1.1024</v>
      </c>
      <c r="AK70" s="160">
        <f>MAX(INDEX($U$17:$U$64,MAX(1,AK$15-$G$17-$F$5+1)):INDEX($U$17:$U$64,AK$15-$G$17+1))</f>
        <v>1.1575200000000001</v>
      </c>
      <c r="AL70" s="160">
        <f>MAX(INDEX($U$17:$U$64,MAX(1,AL$15-$G$17-$F$5+1)):INDEX($U$17:$U$64,AL$15-$G$17+1))</f>
        <v>1.1575200000000001</v>
      </c>
      <c r="AM70" s="160">
        <f>MAX(INDEX($U$17:$U$64,MAX(1,AM$15-$G$17-$F$5+1)):INDEX($U$17:$U$64,AM$15-$G$17+1))</f>
        <v>1.1575200000000001</v>
      </c>
      <c r="AN70" s="160">
        <f>MAX(INDEX($U$17:$U$64,MAX(1,AN$15-$G$17-$F$5+1)):INDEX($U$17:$U$64,AN$15-$G$17+1))</f>
        <v>1.1575200000000001</v>
      </c>
      <c r="AO70" s="160">
        <f>MAX(INDEX($U$17:$U$64,MAX(1,AO$15-$G$17-$F$5+1)):INDEX($U$17:$U$64,AO$15-$G$17+1))</f>
        <v>1.1575200000000001</v>
      </c>
      <c r="AP70" s="160">
        <f>MAX(INDEX($U$17:$U$64,MAX(1,AP$15-$G$17-$F$5+1)):INDEX($U$17:$U$64,AP$15-$G$17+1))</f>
        <v>1.1575200000000001</v>
      </c>
      <c r="AQ70" s="160">
        <f>MAX(INDEX($U$17:$U$64,MAX(1,AQ$15-$G$17-$F$5+1)):INDEX($U$17:$U$64,AQ$15-$G$17+1))</f>
        <v>1.1575200000000001</v>
      </c>
      <c r="AR70" s="160">
        <f>MAX(INDEX($U$17:$U$64,MAX(1,AR$15-$G$17-$F$5+1)):INDEX($U$17:$U$64,AR$15-$G$17+1))</f>
        <v>1.1575200000000001</v>
      </c>
      <c r="AS70" s="160">
        <f>MAX(INDEX($U$17:$U$64,MAX(1,AS$15-$G$17-$F$5+1)):INDEX($U$17:$U$64,AS$15-$G$17+1))</f>
        <v>1.1575200000000001</v>
      </c>
      <c r="AT70" s="160">
        <f>MAX(INDEX($U$17:$U$64,MAX(1,AT$15-$G$17-$F$5+1)):INDEX($U$17:$U$64,AT$15-$G$17+1))</f>
        <v>1.1575200000000001</v>
      </c>
      <c r="AU70" s="160">
        <f>MAX(INDEX($U$17:$U$64,MAX(1,AU$15-$G$17-$F$5+1)):INDEX($U$17:$U$64,AU$15-$G$17+1))</f>
        <v>1.1575200000000001</v>
      </c>
      <c r="AV70" s="160">
        <f>MAX(INDEX($U$17:$U$64,MAX(1,AV$15-$G$17-$F$5+1)):INDEX($U$17:$U$64,AV$15-$G$17+1))</f>
        <v>1.1575200000000001</v>
      </c>
      <c r="AW70" s="160">
        <f>MAX(INDEX($U$17:$U$64,MAX(1,AW$15-$G$17-$F$5+1)):INDEX($U$17:$U$64,AW$15-$G$17+1))</f>
        <v>1.1575200000000001</v>
      </c>
      <c r="AX70" s="160">
        <f>MAX(INDEX($U$17:$U$64,MAX(1,AX$15-$G$17-$F$5+1)):INDEX($U$17:$U$64,AX$15-$G$17+1))</f>
        <v>1.1575200000000001</v>
      </c>
      <c r="AY70" s="160">
        <f>MAX(INDEX($U$17:$U$64,MAX(1,AY$15-$G$17-$F$5+1)):INDEX($U$17:$U$64,AY$15-$G$17+1))</f>
        <v>1.1575200000000001</v>
      </c>
      <c r="AZ70" s="160">
        <f>MAX(INDEX($U$17:$U$64,MAX(1,AZ$15-$G$17-$F$5+1)):INDEX($U$17:$U$64,AZ$15-$G$17+1))</f>
        <v>1.1575200000000001</v>
      </c>
      <c r="BA70" s="160">
        <f>MAX(INDEX($U$17:$U$64,MAX(1,BA$15-$G$17-$F$5+1)):INDEX($U$17:$U$64,BA$15-$G$17+1))</f>
        <v>1.1575200000000001</v>
      </c>
      <c r="BB70" s="160">
        <f>MAX(INDEX($U$17:$U$64,MAX(1,BB$15-$G$17-$F$5+1)):INDEX($U$17:$U$64,BB$15-$G$17+1))</f>
        <v>1.1575200000000001</v>
      </c>
      <c r="BC70" s="160">
        <f>MAX(INDEX($U$17:$U$64,MAX(1,BC$15-$G$17-$F$5+1)):INDEX($U$17:$U$64,BC$15-$G$17+1))</f>
        <v>1.1575200000000001</v>
      </c>
      <c r="BD70" s="160">
        <f>MAX(INDEX($U$17:$U$64,MAX(1,BD$15-$G$17-$F$5+1)):INDEX($U$17:$U$64,BD$15-$G$17+1))</f>
        <v>1.1575200000000001</v>
      </c>
      <c r="BE70" s="160">
        <f>MAX(INDEX($U$17:$U$64,MAX(1,BE$15-$G$17-$F$5+1)):INDEX($U$17:$U$64,BE$15-$G$17+1))</f>
        <v>1.1575200000000001</v>
      </c>
      <c r="BG70" s="6" t="s">
        <v>708</v>
      </c>
    </row>
    <row r="71" spans="21:59" x14ac:dyDescent="0.3">
      <c r="U71" s="6" t="s">
        <v>709</v>
      </c>
      <c r="V71" s="248">
        <f t="shared" ref="V71:BE71" si="45">IF(V68="",0,MAX(0,V69-V68,V68-V70))</f>
        <v>2.2204460492503131E-16</v>
      </c>
      <c r="W71" s="248">
        <f t="shared" si="45"/>
        <v>2.2204460492503131E-16</v>
      </c>
      <c r="X71" s="248">
        <f t="shared" si="45"/>
        <v>2.2204460492503131E-16</v>
      </c>
      <c r="Y71" s="248">
        <f t="shared" si="45"/>
        <v>2.2204460492503131E-16</v>
      </c>
      <c r="Z71" s="248">
        <f t="shared" si="45"/>
        <v>2.2204460492503131E-16</v>
      </c>
      <c r="AA71" s="248">
        <f t="shared" si="45"/>
        <v>2.2204460492503131E-16</v>
      </c>
      <c r="AB71" s="248">
        <f t="shared" si="45"/>
        <v>0</v>
      </c>
      <c r="AC71" s="248">
        <f t="shared" si="45"/>
        <v>0</v>
      </c>
      <c r="AD71" s="248">
        <f t="shared" si="45"/>
        <v>0</v>
      </c>
      <c r="AE71" s="248">
        <f t="shared" si="45"/>
        <v>0</v>
      </c>
      <c r="AF71" s="248">
        <f t="shared" si="45"/>
        <v>0</v>
      </c>
      <c r="AG71" s="248">
        <f t="shared" si="45"/>
        <v>0</v>
      </c>
      <c r="AH71" s="248">
        <f t="shared" si="45"/>
        <v>2.2204460492503131E-16</v>
      </c>
      <c r="AI71" s="248">
        <f t="shared" si="45"/>
        <v>2.2204460492503131E-16</v>
      </c>
      <c r="AJ71" s="248">
        <f t="shared" si="45"/>
        <v>2.2204460492503131E-16</v>
      </c>
      <c r="AK71" s="248">
        <f t="shared" si="45"/>
        <v>0</v>
      </c>
      <c r="AL71" s="248">
        <f t="shared" si="45"/>
        <v>0</v>
      </c>
      <c r="AM71" s="248">
        <f t="shared" si="45"/>
        <v>0</v>
      </c>
      <c r="AN71" s="248">
        <f t="shared" si="45"/>
        <v>0</v>
      </c>
      <c r="AO71" s="248">
        <f t="shared" si="45"/>
        <v>0</v>
      </c>
      <c r="AP71" s="248">
        <f t="shared" si="45"/>
        <v>0</v>
      </c>
      <c r="AQ71" s="248">
        <f t="shared" si="45"/>
        <v>2.2204460492503131E-16</v>
      </c>
      <c r="AR71" s="248">
        <f t="shared" si="45"/>
        <v>2.2204460492503131E-16</v>
      </c>
      <c r="AS71" s="248">
        <f t="shared" si="45"/>
        <v>2.2204460492503131E-16</v>
      </c>
      <c r="AT71" s="248">
        <f t="shared" si="45"/>
        <v>2.2204460492503131E-16</v>
      </c>
      <c r="AU71" s="248">
        <f t="shared" si="45"/>
        <v>2.2204460492503131E-16</v>
      </c>
      <c r="AV71" s="248">
        <f t="shared" si="45"/>
        <v>2.2204460492503131E-16</v>
      </c>
      <c r="AW71" s="248">
        <f t="shared" si="45"/>
        <v>2.2204460492503131E-16</v>
      </c>
      <c r="AX71" s="248">
        <f t="shared" si="45"/>
        <v>2.2204460492503131E-16</v>
      </c>
      <c r="AY71" s="248">
        <f t="shared" si="45"/>
        <v>2.2204460492503131E-16</v>
      </c>
      <c r="AZ71" s="248">
        <f t="shared" si="45"/>
        <v>2.2204460492503131E-16</v>
      </c>
      <c r="BA71" s="248">
        <f t="shared" si="45"/>
        <v>2.2204460492503131E-16</v>
      </c>
      <c r="BB71" s="248">
        <f t="shared" si="45"/>
        <v>2.2204460492503131E-16</v>
      </c>
      <c r="BC71" s="248">
        <f t="shared" si="45"/>
        <v>2.2204460492503131E-16</v>
      </c>
      <c r="BD71" s="248">
        <f t="shared" si="45"/>
        <v>2.2204460492503131E-16</v>
      </c>
      <c r="BE71" s="248">
        <f t="shared" si="45"/>
        <v>2.2204460492503131E-16</v>
      </c>
      <c r="BG71" s="6" t="s">
        <v>709</v>
      </c>
    </row>
    <row r="72" spans="21:59" x14ac:dyDescent="0.3">
      <c r="U72" s="6" t="s">
        <v>710</v>
      </c>
      <c r="V72" s="220">
        <f>IF(V67=0,"",SUMPRODUCT(V$17:V$64,$H$17:$H$64,'Mod Engine'!$E$17:$E$64)/V67)</f>
        <v>0.83705689277899342</v>
      </c>
      <c r="W72" s="220">
        <f>IF(W67=0,"",SUMPRODUCT(W$17:W$64,$H$17:$H$64,'Mod Engine'!$E$17:$E$64)/W67)</f>
        <v>0.83906181619256015</v>
      </c>
      <c r="X72" s="220">
        <f>IF(X67=0,"",SUMPRODUCT(X$17:X$64,$H$17:$H$64,'Mod Engine'!$E$17:$E$64)/X67)</f>
        <v>0.84105306345733044</v>
      </c>
      <c r="Y72" s="220">
        <f>IF(Y67=0,"",SUMPRODUCT(Y$17:Y$64,$H$17:$H$64,'Mod Engine'!$E$17:$E$64)/Y67)</f>
        <v>0.84303884026258202</v>
      </c>
      <c r="Z72" s="220">
        <f>IF(Z67=0,"",SUMPRODUCT(Z$17:Z$64,$H$17:$H$64,'Mod Engine'!$E$17:$E$64)/Z67)</f>
        <v>0.84502461706783372</v>
      </c>
      <c r="AA72" s="220">
        <f>IF(AA67=0,"",SUMPRODUCT(AA$17:AA$64,$H$17:$H$64,'Mod Engine'!$E$17:$E$64)/AA67)</f>
        <v>0.84701039387308541</v>
      </c>
      <c r="AB72" s="220">
        <f>IF(AB67=0,"",SUMPRODUCT(AB$17:AB$64,$H$17:$H$64,'Mod Engine'!$E$17:$E$64)/AB67)</f>
        <v>0.84899343544857786</v>
      </c>
      <c r="AC72" s="220">
        <f>IF(AC67=0,"",SUMPRODUCT(AC$17:AC$64,$H$17:$H$64,'Mod Engine'!$E$17:$E$64)/AC67)</f>
        <v>0.85098194748358869</v>
      </c>
      <c r="AD72" s="220">
        <f>IF(AD67=0,"",SUMPRODUCT(AD$17:AD$64,$H$17:$H$64,'Mod Engine'!$E$17:$E$64)/AD67)</f>
        <v>0.85298413566739617</v>
      </c>
      <c r="AE72" s="220">
        <f>IF(AE67=0,"",SUMPRODUCT(AE$17:AE$64,$H$17:$H$64,'Mod Engine'!$E$17:$E$64)/AE67)</f>
        <v>0.85499179431072225</v>
      </c>
      <c r="AF72" s="220">
        <f>IF(AF67=0,"",SUMPRODUCT(AF$17:AF$64,$H$17:$H$64,'Mod Engine'!$E$17:$E$64)/AF67)</f>
        <v>0.85699945295404822</v>
      </c>
      <c r="AG72" s="220">
        <f>IF(AG67=0,"",SUMPRODUCT(AG$17:AG$64,$H$17:$H$64,'Mod Engine'!$E$17:$E$64)/AG67)</f>
        <v>0.8590071115973742</v>
      </c>
      <c r="AH72" s="220">
        <f>IF(AH67=0,"",SUMPRODUCT(AH$17:AH$64,$H$17:$H$64,'Mod Engine'!$E$17:$E$64)/AH67)</f>
        <v>0.86101750547045963</v>
      </c>
      <c r="AI72" s="220">
        <f>IF(AI67=0,"",SUMPRODUCT(AI$17:AI$64,$H$17:$H$64,'Mod Engine'!$E$17:$E$64)/AI67)</f>
        <v>0.86302242888402625</v>
      </c>
      <c r="AJ72" s="220">
        <f>IF(AJ67=0,"",SUMPRODUCT(AJ$17:AJ$64,$H$17:$H$64,'Mod Engine'!$E$17:$E$64)/AJ67)</f>
        <v>0.86501367614879665</v>
      </c>
      <c r="AK72" s="220">
        <f>IF(AK67=0,"",SUMPRODUCT(AK$17:AK$64,$H$17:$H$64,'Mod Engine'!$E$17:$E$64)/AK67)</f>
        <v>0.86699945295404823</v>
      </c>
      <c r="AL72" s="220">
        <f>IF(AL67=0,"",SUMPRODUCT(AL$17:AL$64,$H$17:$H$64,'Mod Engine'!$E$17:$E$64)/AL67)</f>
        <v>0.86898522975929982</v>
      </c>
      <c r="AM72" s="220">
        <f>IF(AM67=0,"",SUMPRODUCT(AM$17:AM$64,$H$17:$H$64,'Mod Engine'!$E$17:$E$64)/AM67)</f>
        <v>0.8709710065645514</v>
      </c>
      <c r="AN72" s="220">
        <f>IF(AN67=0,"",SUMPRODUCT(AN$17:AN$64,$H$17:$H$64,'Mod Engine'!$E$17:$E$64)/AN67)</f>
        <v>0.87295404814004385</v>
      </c>
      <c r="AO72" s="220">
        <f>IF(AO67=0,"",SUMPRODUCT(AO$17:AO$64,$H$17:$H$64,'Mod Engine'!$E$17:$E$64)/AO67)</f>
        <v>0.87494256017505478</v>
      </c>
      <c r="AP72" s="220">
        <f>IF(AP67=0,"",SUMPRODUCT(AP$17:AP$64,$H$17:$H$64,'Mod Engine'!$E$17:$E$64)/AP67)</f>
        <v>0.87694474835886227</v>
      </c>
      <c r="AQ72" s="220">
        <f>IF(AQ67=0,"",SUMPRODUCT(AQ$17:AQ$64,$H$17:$H$64,'Mod Engine'!$E$17:$E$64)/AQ67)</f>
        <v>0.87895240700218802</v>
      </c>
      <c r="AR72" s="220">
        <f>IF(AR67=0,"",SUMPRODUCT(AR$17:AR$64,$H$17:$H$64,'Mod Engine'!$E$17:$E$64)/AR67)</f>
        <v>0.88096006564551421</v>
      </c>
      <c r="AS72" s="220">
        <f>IF(AS67=0,"",SUMPRODUCT(AS$17:AS$64,$H$17:$H$64,'Mod Engine'!$E$17:$E$64)/AS67)</f>
        <v>0.88296772428884029</v>
      </c>
      <c r="AT72" s="220">
        <f>IF(AT67=0,"",SUMPRODUCT(AT$17:AT$64,$H$17:$H$64,'Mod Engine'!$E$17:$E$64)/AT67)</f>
        <v>0.88489332603938731</v>
      </c>
      <c r="AU72" s="220">
        <f>IF(AU67=0,"",SUMPRODUCT(AU$17:AU$64,$H$17:$H$64,'Mod Engine'!$E$17:$E$64)/AU67)</f>
        <v>0.88656728665207873</v>
      </c>
      <c r="AV72" s="220">
        <f>IF(AV67=0,"",SUMPRODUCT(AV$17:AV$64,$H$17:$H$64,'Mod Engine'!$E$17:$E$64)/AV67)</f>
        <v>0.88790481400437649</v>
      </c>
      <c r="AW72" s="220">
        <f>IF(AW67=0,"",SUMPRODUCT(AW$17:AW$64,$H$17:$H$64,'Mod Engine'!$E$17:$E$64)/AW67)</f>
        <v>0.88890864332603947</v>
      </c>
      <c r="AX72" s="220">
        <f>IF(AX67=0,"",SUMPRODUCT(AX$17:AX$64,$H$17:$H$64,'Mod Engine'!$E$17:$E$64)/AX67)</f>
        <v>0.88957877461706791</v>
      </c>
      <c r="AY72" s="220">
        <f>IF(AY67=0,"",SUMPRODUCT(AY$17:AY$64,$H$17:$H$64,'Mod Engine'!$E$17:$E$64)/AY67)</f>
        <v>0.88991520787746181</v>
      </c>
      <c r="AZ72" s="220">
        <f>IF(AZ67=0,"",SUMPRODUCT(AZ$17:AZ$64,$H$17:$H$64,'Mod Engine'!$E$17:$E$64)/AZ67)</f>
        <v>0.89</v>
      </c>
      <c r="BA72" s="220">
        <f>IF(BA67=0,"",SUMPRODUCT(BA$17:BA$64,$H$17:$H$64,'Mod Engine'!$E$17:$E$64)/BA67)</f>
        <v>0.89</v>
      </c>
      <c r="BB72" s="220">
        <f>IF(BB67=0,"",SUMPRODUCT(BB$17:BB$64,$H$17:$H$64,'Mod Engine'!$E$17:$E$64)/BB67)</f>
        <v>0.89</v>
      </c>
      <c r="BC72" s="220">
        <f>IF(BC67=0,"",SUMPRODUCT(BC$17:BC$64,$H$17:$H$64,'Mod Engine'!$E$17:$E$64)/BC67)</f>
        <v>0.89</v>
      </c>
      <c r="BD72" s="220">
        <f>IF(BD67=0,"",SUMPRODUCT(BD$17:BD$64,$H$17:$H$64,'Mod Engine'!$E$17:$E$64)/BD67)</f>
        <v>0.89</v>
      </c>
      <c r="BE72" s="220">
        <f>IF(BE67=0,"",SUMPRODUCT(BE$17:BE$64,$H$17:$H$64,'Mod Engine'!$E$17:$E$64)/BE67)</f>
        <v>0.89</v>
      </c>
      <c r="BG72" s="6" t="s">
        <v>710</v>
      </c>
    </row>
    <row r="73" spans="21:59" x14ac:dyDescent="0.3">
      <c r="U73" s="6" t="s">
        <v>711</v>
      </c>
      <c r="V73" s="160">
        <f>SUMPRODUCT(V$17:V$64,$H$17:$H$64,'Mod Engine'!$E$17:$E$64)</f>
        <v>0.83705689277899331</v>
      </c>
      <c r="W73" s="160">
        <f>SUMPRODUCT(W$17:W$64,$H$17:$H$64,'Mod Engine'!$E$17:$E$64)</f>
        <v>0.83906181619256004</v>
      </c>
      <c r="X73" s="160">
        <f>SUMPRODUCT(X$17:X$64,$H$17:$H$64,'Mod Engine'!$E$17:$E$64)</f>
        <v>0.84105306345733033</v>
      </c>
      <c r="Y73" s="160">
        <f>SUMPRODUCT(Y$17:Y$64,$H$17:$H$64,'Mod Engine'!$E$17:$E$64)</f>
        <v>0.84303884026258191</v>
      </c>
      <c r="Z73" s="160">
        <f>SUMPRODUCT(Z$17:Z$64,$H$17:$H$64,'Mod Engine'!$E$17:$E$64)</f>
        <v>0.84502461706783361</v>
      </c>
      <c r="AA73" s="160">
        <f>SUMPRODUCT(AA$17:AA$64,$H$17:$H$64,'Mod Engine'!$E$17:$E$64)</f>
        <v>0.8470103938730853</v>
      </c>
      <c r="AB73" s="160">
        <f>SUMPRODUCT(AB$17:AB$64,$H$17:$H$64,'Mod Engine'!$E$17:$E$64)</f>
        <v>0.84899343544857775</v>
      </c>
      <c r="AC73" s="160">
        <f>SUMPRODUCT(AC$17:AC$64,$H$17:$H$64,'Mod Engine'!$E$17:$E$64)</f>
        <v>0.85098194748358857</v>
      </c>
      <c r="AD73" s="160">
        <f>SUMPRODUCT(AD$17:AD$64,$H$17:$H$64,'Mod Engine'!$E$17:$E$64)</f>
        <v>0.85298413566739606</v>
      </c>
      <c r="AE73" s="160">
        <f>SUMPRODUCT(AE$17:AE$64,$H$17:$H$64,'Mod Engine'!$E$17:$E$64)</f>
        <v>0.85499179431072214</v>
      </c>
      <c r="AF73" s="160">
        <f>SUMPRODUCT(AF$17:AF$64,$H$17:$H$64,'Mod Engine'!$E$17:$E$64)</f>
        <v>0.85699945295404811</v>
      </c>
      <c r="AG73" s="160">
        <f>SUMPRODUCT(AG$17:AG$64,$H$17:$H$64,'Mod Engine'!$E$17:$E$64)</f>
        <v>0.85900711159737408</v>
      </c>
      <c r="AH73" s="160">
        <f>SUMPRODUCT(AH$17:AH$64,$H$17:$H$64,'Mod Engine'!$E$17:$E$64)</f>
        <v>0.86101750547045952</v>
      </c>
      <c r="AI73" s="160">
        <f>SUMPRODUCT(AI$17:AI$64,$H$17:$H$64,'Mod Engine'!$E$17:$E$64)</f>
        <v>0.86302242888402614</v>
      </c>
      <c r="AJ73" s="160">
        <f>SUMPRODUCT(AJ$17:AJ$64,$H$17:$H$64,'Mod Engine'!$E$17:$E$64)</f>
        <v>0.86501367614879654</v>
      </c>
      <c r="AK73" s="160">
        <f>SUMPRODUCT(AK$17:AK$64,$H$17:$H$64,'Mod Engine'!$E$17:$E$64)</f>
        <v>0.86699945295404812</v>
      </c>
      <c r="AL73" s="160">
        <f>SUMPRODUCT(AL$17:AL$64,$H$17:$H$64,'Mod Engine'!$E$17:$E$64)</f>
        <v>0.8689852297592997</v>
      </c>
      <c r="AM73" s="160">
        <f>SUMPRODUCT(AM$17:AM$64,$H$17:$H$64,'Mod Engine'!$E$17:$E$64)</f>
        <v>0.87097100656455129</v>
      </c>
      <c r="AN73" s="160">
        <f>SUMPRODUCT(AN$17:AN$64,$H$17:$H$64,'Mod Engine'!$E$17:$E$64)</f>
        <v>0.87295404814004374</v>
      </c>
      <c r="AO73" s="160">
        <f>SUMPRODUCT(AO$17:AO$64,$H$17:$H$64,'Mod Engine'!$E$17:$E$64)</f>
        <v>0.87494256017505467</v>
      </c>
      <c r="AP73" s="160">
        <f>SUMPRODUCT(AP$17:AP$64,$H$17:$H$64,'Mod Engine'!$E$17:$E$64)</f>
        <v>0.87694474835886216</v>
      </c>
      <c r="AQ73" s="160">
        <f>SUMPRODUCT(AQ$17:AQ$64,$H$17:$H$64,'Mod Engine'!$E$17:$E$64)</f>
        <v>0.87895240700218791</v>
      </c>
      <c r="AR73" s="160">
        <f>SUMPRODUCT(AR$17:AR$64,$H$17:$H$64,'Mod Engine'!$E$17:$E$64)</f>
        <v>0.8809600656455141</v>
      </c>
      <c r="AS73" s="160">
        <f>SUMPRODUCT(AS$17:AS$64,$H$17:$H$64,'Mod Engine'!$E$17:$E$64)</f>
        <v>0.88296772428884018</v>
      </c>
      <c r="AT73" s="160">
        <f>SUMPRODUCT(AT$17:AT$64,$H$17:$H$64,'Mod Engine'!$E$17:$E$64)</f>
        <v>0.8848933260393872</v>
      </c>
      <c r="AU73" s="160">
        <f>SUMPRODUCT(AU$17:AU$64,$H$17:$H$64,'Mod Engine'!$E$17:$E$64)</f>
        <v>0.88656728665207862</v>
      </c>
      <c r="AV73" s="160">
        <f>SUMPRODUCT(AV$17:AV$64,$H$17:$H$64,'Mod Engine'!$E$17:$E$64)</f>
        <v>0.88790481400437637</v>
      </c>
      <c r="AW73" s="160">
        <f>SUMPRODUCT(AW$17:AW$64,$H$17:$H$64,'Mod Engine'!$E$17:$E$64)</f>
        <v>0.88890864332603936</v>
      </c>
      <c r="AX73" s="160">
        <f>SUMPRODUCT(AX$17:AX$64,$H$17:$H$64,'Mod Engine'!$E$17:$E$64)</f>
        <v>0.8895787746170678</v>
      </c>
      <c r="AY73" s="160">
        <f>SUMPRODUCT(AY$17:AY$64,$H$17:$H$64,'Mod Engine'!$E$17:$E$64)</f>
        <v>0.8899152078774617</v>
      </c>
      <c r="AZ73" s="160">
        <f>SUMPRODUCT(AZ$17:AZ$64,$H$17:$H$64,'Mod Engine'!$E$17:$E$64)</f>
        <v>0.8899999999999999</v>
      </c>
      <c r="BA73" s="160">
        <f>SUMPRODUCT(BA$17:BA$64,$H$17:$H$64,'Mod Engine'!$E$17:$E$64)</f>
        <v>0.8899999999999999</v>
      </c>
      <c r="BB73" s="160">
        <f>SUMPRODUCT(BB$17:BB$64,$H$17:$H$64,'Mod Engine'!$E$17:$E$64)</f>
        <v>0.8899999999999999</v>
      </c>
      <c r="BC73" s="160">
        <f>SUMPRODUCT(BC$17:BC$64,$H$17:$H$64,'Mod Engine'!$E$17:$E$64)</f>
        <v>0.8899999999999999</v>
      </c>
      <c r="BD73" s="160">
        <f>SUMPRODUCT(BD$17:BD$64,$H$17:$H$64,'Mod Engine'!$E$17:$E$64)</f>
        <v>0.8899999999999999</v>
      </c>
      <c r="BE73" s="160">
        <f>SUMPRODUCT(BE$17:BE$64,$H$17:$H$64,'Mod Engine'!$E$17:$E$64)</f>
        <v>0.8899999999999999</v>
      </c>
      <c r="BG73" s="6" t="s">
        <v>711</v>
      </c>
    </row>
  </sheetData>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8497B0"/>
    <pageSetUpPr fitToPage="1"/>
  </sheetPr>
  <dimension ref="A1:L64"/>
  <sheetViews>
    <sheetView zoomScale="90" workbookViewId="0">
      <pane ySplit="16" topLeftCell="A17" activePane="bottomLeft" state="frozen"/>
      <selection pane="bottomLeft"/>
    </sheetView>
  </sheetViews>
  <sheetFormatPr defaultRowHeight="14.4" outlineLevelRow="1" x14ac:dyDescent="0.3"/>
  <cols>
    <col min="1" max="1" width="6" customWidth="1"/>
    <col min="2" max="2" width="12" customWidth="1"/>
    <col min="3" max="3" width="10" customWidth="1"/>
    <col min="4" max="4" width="7" customWidth="1"/>
    <col min="5" max="8" width="9" customWidth="1"/>
    <col min="9" max="9" width="3" customWidth="1"/>
    <col min="10" max="10" width="26" customWidth="1"/>
    <col min="11" max="11" width="10" customWidth="1"/>
    <col min="12" max="12" width="11" customWidth="1"/>
  </cols>
  <sheetData>
    <row r="1" spans="1:12" ht="21" x14ac:dyDescent="0.3">
      <c r="A1" s="1" t="s">
        <v>712</v>
      </c>
    </row>
    <row r="2" spans="1:12" x14ac:dyDescent="0.3">
      <c r="A2" s="2" t="s">
        <v>713</v>
      </c>
    </row>
    <row r="3" spans="1:12" x14ac:dyDescent="0.3">
      <c r="A3" s="20" t="s">
        <v>381</v>
      </c>
      <c r="B3" s="184" t="str">
        <f>nr_SelKey</f>
        <v>ABD|AZ</v>
      </c>
      <c r="D3" s="155" t="str">
        <f>HYPERLINK("#Control!C7","Change BU/state selection &gt;")</f>
        <v>Change BU/state selection &gt;</v>
      </c>
    </row>
    <row r="4" spans="1:12" ht="15.6" x14ac:dyDescent="0.3">
      <c r="A4" s="3" t="s">
        <v>714</v>
      </c>
      <c r="E4" s="3" t="s">
        <v>715</v>
      </c>
      <c r="J4" s="3" t="s">
        <v>716</v>
      </c>
    </row>
    <row r="5" spans="1:12" ht="100.8" x14ac:dyDescent="0.3">
      <c r="A5" s="20" t="s">
        <v>166</v>
      </c>
      <c r="C5" s="250">
        <f>nr_MInd</f>
        <v>0.85</v>
      </c>
      <c r="E5" s="56" t="s">
        <v>717</v>
      </c>
      <c r="F5" s="56" t="s">
        <v>718</v>
      </c>
      <c r="G5" s="56" t="s">
        <v>719</v>
      </c>
      <c r="H5" s="56" t="s">
        <v>720</v>
      </c>
      <c r="I5" s="56" t="s">
        <v>721</v>
      </c>
      <c r="J5" s="20" t="str">
        <f>"Earned mod CY "&amp;(nr_PlanYear-1)</f>
        <v>Earned mod CY 2026</v>
      </c>
      <c r="L5" s="251">
        <f>SUMPRODUCT($D$17:$D$64,$F$17:$F$64,$E$17:$E$64)/SUMPRODUCT($D$17:$D$64,$F$17:$F$64)</f>
        <v>0.84801695842450764</v>
      </c>
    </row>
    <row r="6" spans="1:12" x14ac:dyDescent="0.3">
      <c r="A6" s="20" t="s">
        <v>167</v>
      </c>
      <c r="C6" s="250">
        <f>nr_M0</f>
        <v>0.86</v>
      </c>
      <c r="E6" s="20" t="s">
        <v>722</v>
      </c>
      <c r="F6" s="252">
        <f>EDATE(nr_M0Asof,-12)+1</f>
        <v>45931</v>
      </c>
      <c r="G6" s="251">
        <f>IF(N(nr_MPrior)=0,$G$7-($G$8-$G$7)/($F$8-$F$7)*($F$7-$F$6),nr_MPrior)</f>
        <v>0.83603938730853389</v>
      </c>
      <c r="H6" s="253">
        <f>($G$7-$G$6)/($F$7-$F$6)</f>
        <v>6.5645514223194786E-5</v>
      </c>
      <c r="I6" s="254">
        <f>$H$6*30.4375*100</f>
        <v>0.19980853391684911</v>
      </c>
      <c r="J6" s="20" t="str">
        <f>"Earned mod CY "&amp;nr_PlanYear</f>
        <v>Earned mod CY 2027</v>
      </c>
      <c r="L6" s="255">
        <f>SUMPRODUCT($D$17:$D$64,$G$17:$G$64,$E$17:$E$64)/SUMPRODUCT($D$17:$D$64,$G$17:$G$64)</f>
        <v>0.87197757111597374</v>
      </c>
    </row>
    <row r="7" spans="1:12" x14ac:dyDescent="0.3">
      <c r="A7" s="20" t="s">
        <v>168</v>
      </c>
      <c r="C7" s="256">
        <f>nr_M0Asof</f>
        <v>46295</v>
      </c>
      <c r="E7" s="20" t="s">
        <v>723</v>
      </c>
      <c r="F7" s="252">
        <f>nr_M0Asof+1</f>
        <v>46296</v>
      </c>
      <c r="G7" s="251">
        <f>nr_M0</f>
        <v>0.86</v>
      </c>
      <c r="H7" s="253">
        <f>($G$8-$G$7)/($F$8-$F$7)</f>
        <v>6.5645514223194813E-5</v>
      </c>
      <c r="I7" s="254">
        <f>$H$7*30.4375*100</f>
        <v>0.19980853391684922</v>
      </c>
      <c r="J7" s="20" t="str">
        <f>"Earned mod CY "&amp;(nr_PlanYear+1)</f>
        <v>Earned mod CY 2028</v>
      </c>
      <c r="L7" s="251">
        <f>SUMPRODUCT($D$17:$D$64,$H$17:$H$64,$E$17:$E$64)/SUMPRODUCT($D$17:$D$64,$H$17:$H$64)</f>
        <v>0.88898067104303424</v>
      </c>
    </row>
    <row r="8" spans="1:12" x14ac:dyDescent="0.3">
      <c r="A8" s="20" t="s">
        <v>169</v>
      </c>
      <c r="C8" s="250">
        <f>nr_M1</f>
        <v>0.89</v>
      </c>
      <c r="E8" s="20" t="s">
        <v>724</v>
      </c>
      <c r="F8" s="252">
        <f>DATE(nr_PlanYear,12,31)+1</f>
        <v>46753</v>
      </c>
      <c r="G8" s="251">
        <f>nr_M1</f>
        <v>0.89</v>
      </c>
      <c r="H8" s="253">
        <f>($G$9-$G$8)/($F$9-$F$8)</f>
        <v>0</v>
      </c>
      <c r="I8" s="254">
        <f>$H$8*30.4375*100</f>
        <v>0</v>
      </c>
      <c r="J8" s="20" t="s">
        <v>725</v>
      </c>
      <c r="L8" s="237">
        <f>IF(nr_NetMode,1,IF(AND(nr_ModAdjMaster="ON",nr_ModAdjRow="ON"),nr_MInd/nr_MEarned_P,1))</f>
        <v>0.97479571511472884</v>
      </c>
    </row>
    <row r="9" spans="1:12" x14ac:dyDescent="0.3">
      <c r="A9" s="20" t="s">
        <v>170</v>
      </c>
      <c r="C9" s="250">
        <f>nr_MPrior</f>
        <v>0</v>
      </c>
      <c r="E9" s="20" t="s">
        <v>726</v>
      </c>
      <c r="F9" s="252">
        <f>DATE(nr_PlanYear+1,12,31)+1</f>
        <v>47119</v>
      </c>
      <c r="G9" s="251">
        <f>IF(N(nr_M2)=0,nr_M1,nr_M2)</f>
        <v>0.89</v>
      </c>
      <c r="J9" s="20" t="s">
        <v>727</v>
      </c>
      <c r="L9" s="223">
        <f>IF(nr_NetMode,1,IF(AND(nr_ModAdjMaster="ON",nr_ModAdjRow="ON"),nr_MInd/nr_MEarned_P1,1))</f>
        <v>0.95615127267356836</v>
      </c>
    </row>
    <row r="10" spans="1:12" ht="168" x14ac:dyDescent="0.3">
      <c r="A10" s="20" t="s">
        <v>171</v>
      </c>
      <c r="C10" s="250">
        <f>nr_M2</f>
        <v>0</v>
      </c>
      <c r="E10" s="27" t="s">
        <v>728</v>
      </c>
    </row>
    <row r="11" spans="1:12" x14ac:dyDescent="0.3">
      <c r="J11" s="20" t="s">
        <v>729</v>
      </c>
      <c r="K11" s="75">
        <f>DATE(nr_PlanYear,1,1)</f>
        <v>46388</v>
      </c>
      <c r="L11" s="251">
        <f>IF($K$11&lt;$F$7,$G$6+$H$6*($K$11-$F$6),IF($K$11&lt;$F$8,$G$7+$H$7*($K$11-$F$7),$G$8+$H$8*($K$11-$F$8)))</f>
        <v>0.86603938730853391</v>
      </c>
    </row>
    <row r="12" spans="1:12" x14ac:dyDescent="0.3">
      <c r="J12" s="20" t="s">
        <v>730</v>
      </c>
      <c r="L12" s="239" t="b">
        <f>AND(N(nr_MPrior)=0,nr_TermMonths=12,NOT(re_season_active))</f>
        <v>0</v>
      </c>
    </row>
    <row r="15" spans="1:12" ht="15.6" x14ac:dyDescent="0.3">
      <c r="A15" s="3" t="s">
        <v>731</v>
      </c>
    </row>
    <row r="16" spans="1:12" ht="30" customHeight="1" x14ac:dyDescent="0.3">
      <c r="A16" s="58" t="s">
        <v>390</v>
      </c>
      <c r="B16" s="58" t="s">
        <v>449</v>
      </c>
      <c r="C16" s="58" t="s">
        <v>688</v>
      </c>
      <c r="D16" s="58" t="s">
        <v>452</v>
      </c>
      <c r="E16" s="58" t="s">
        <v>696</v>
      </c>
      <c r="F16" s="58" t="s">
        <v>732</v>
      </c>
      <c r="G16" s="58" t="s">
        <v>733</v>
      </c>
      <c r="H16" s="58" t="s">
        <v>734</v>
      </c>
    </row>
    <row r="17" spans="1:8" outlineLevel="1" x14ac:dyDescent="0.3">
      <c r="A17" s="257">
        <f>'Rate Engine'!$A17</f>
        <v>1</v>
      </c>
      <c r="B17" s="258">
        <f>'Rate Engine'!$B17</f>
        <v>45658</v>
      </c>
      <c r="C17" s="259">
        <f>'Rate Engine'!$F17</f>
        <v>45673.5</v>
      </c>
      <c r="D17" s="260">
        <f>'Rate Engine'!$H17</f>
        <v>1</v>
      </c>
      <c r="E17" s="246">
        <f t="shared" ref="E17:E64" si="0">IF($C17&lt;$F$7,$G$6+$H$6*($C17-$F$6),IF($C17&lt;$F$8,$G$7+$H$7*($C17-$F$7),$G$8+$H$8*($C17-$F$8)))</f>
        <v>0.81913566739606125</v>
      </c>
      <c r="F17" s="261">
        <f>'Rate Engine'!$P17</f>
        <v>0</v>
      </c>
      <c r="G17" s="261">
        <f>'Rate Engine'!$Q17</f>
        <v>0</v>
      </c>
      <c r="H17" s="261">
        <f>'Rate Engine'!$R17</f>
        <v>0</v>
      </c>
    </row>
    <row r="18" spans="1:8" outlineLevel="1" x14ac:dyDescent="0.3">
      <c r="A18" s="257">
        <f>'Rate Engine'!$A18</f>
        <v>2</v>
      </c>
      <c r="B18" s="258">
        <f>'Rate Engine'!$B18</f>
        <v>45689</v>
      </c>
      <c r="C18" s="259">
        <f>'Rate Engine'!$F18</f>
        <v>45703</v>
      </c>
      <c r="D18" s="260">
        <f>'Rate Engine'!$H18</f>
        <v>1</v>
      </c>
      <c r="E18" s="246">
        <f t="shared" si="0"/>
        <v>0.82107221006564546</v>
      </c>
      <c r="F18" s="261">
        <f>'Rate Engine'!$P18</f>
        <v>0</v>
      </c>
      <c r="G18" s="261">
        <f>'Rate Engine'!$Q18</f>
        <v>0</v>
      </c>
      <c r="H18" s="261">
        <f>'Rate Engine'!$R18</f>
        <v>0</v>
      </c>
    </row>
    <row r="19" spans="1:8" outlineLevel="1" x14ac:dyDescent="0.3">
      <c r="A19" s="257">
        <f>'Rate Engine'!$A19</f>
        <v>3</v>
      </c>
      <c r="B19" s="258">
        <f>'Rate Engine'!$B19</f>
        <v>45717</v>
      </c>
      <c r="C19" s="259">
        <f>'Rate Engine'!$F19</f>
        <v>45732.5</v>
      </c>
      <c r="D19" s="260">
        <f>'Rate Engine'!$H19</f>
        <v>1</v>
      </c>
      <c r="E19" s="246">
        <f t="shared" si="0"/>
        <v>0.82300875273522978</v>
      </c>
      <c r="F19" s="261">
        <f>'Rate Engine'!$P19</f>
        <v>0</v>
      </c>
      <c r="G19" s="261">
        <f>'Rate Engine'!$Q19</f>
        <v>0</v>
      </c>
      <c r="H19" s="261">
        <f>'Rate Engine'!$R19</f>
        <v>0</v>
      </c>
    </row>
    <row r="20" spans="1:8" outlineLevel="1" x14ac:dyDescent="0.3">
      <c r="A20" s="257">
        <f>'Rate Engine'!$A20</f>
        <v>4</v>
      </c>
      <c r="B20" s="258">
        <f>'Rate Engine'!$B20</f>
        <v>45748</v>
      </c>
      <c r="C20" s="259">
        <f>'Rate Engine'!$F20</f>
        <v>45763</v>
      </c>
      <c r="D20" s="260">
        <f>'Rate Engine'!$H20</f>
        <v>1</v>
      </c>
      <c r="E20" s="246">
        <f t="shared" si="0"/>
        <v>0.82501094091903715</v>
      </c>
      <c r="F20" s="261">
        <f>'Rate Engine'!$P20</f>
        <v>0</v>
      </c>
      <c r="G20" s="261">
        <f>'Rate Engine'!$Q20</f>
        <v>0</v>
      </c>
      <c r="H20" s="261">
        <f>'Rate Engine'!$R20</f>
        <v>0</v>
      </c>
    </row>
    <row r="21" spans="1:8" outlineLevel="1" x14ac:dyDescent="0.3">
      <c r="A21" s="257">
        <f>'Rate Engine'!$A21</f>
        <v>5</v>
      </c>
      <c r="B21" s="258">
        <f>'Rate Engine'!$B21</f>
        <v>45778</v>
      </c>
      <c r="C21" s="259">
        <f>'Rate Engine'!$F21</f>
        <v>45793.5</v>
      </c>
      <c r="D21" s="260">
        <f>'Rate Engine'!$H21</f>
        <v>1</v>
      </c>
      <c r="E21" s="246">
        <f t="shared" si="0"/>
        <v>0.82701312910284464</v>
      </c>
      <c r="F21" s="261">
        <f>'Rate Engine'!$P21</f>
        <v>0</v>
      </c>
      <c r="G21" s="261">
        <f>'Rate Engine'!$Q21</f>
        <v>0</v>
      </c>
      <c r="H21" s="261">
        <f>'Rate Engine'!$R21</f>
        <v>0</v>
      </c>
    </row>
    <row r="22" spans="1:8" outlineLevel="1" x14ac:dyDescent="0.3">
      <c r="A22" s="257">
        <f>'Rate Engine'!$A22</f>
        <v>6</v>
      </c>
      <c r="B22" s="258">
        <f>'Rate Engine'!$B22</f>
        <v>45809</v>
      </c>
      <c r="C22" s="259">
        <f>'Rate Engine'!$F22</f>
        <v>45824</v>
      </c>
      <c r="D22" s="260">
        <f>'Rate Engine'!$H22</f>
        <v>1</v>
      </c>
      <c r="E22" s="246">
        <f t="shared" si="0"/>
        <v>0.82901531728665201</v>
      </c>
      <c r="F22" s="261">
        <f>'Rate Engine'!$P22</f>
        <v>0</v>
      </c>
      <c r="G22" s="261">
        <f>'Rate Engine'!$Q22</f>
        <v>0</v>
      </c>
      <c r="H22" s="261">
        <f>'Rate Engine'!$R22</f>
        <v>0</v>
      </c>
    </row>
    <row r="23" spans="1:8" outlineLevel="1" x14ac:dyDescent="0.3">
      <c r="A23" s="257">
        <f>'Rate Engine'!$A23</f>
        <v>7</v>
      </c>
      <c r="B23" s="258">
        <f>'Rate Engine'!$B23</f>
        <v>45839</v>
      </c>
      <c r="C23" s="259">
        <f>'Rate Engine'!$F23</f>
        <v>45854.5</v>
      </c>
      <c r="D23" s="260">
        <f>'Rate Engine'!$H23</f>
        <v>1</v>
      </c>
      <c r="E23" s="246">
        <f t="shared" si="0"/>
        <v>0.83101750547045949</v>
      </c>
      <c r="F23" s="261">
        <f>'Rate Engine'!$P23</f>
        <v>8.333333333333337E-2</v>
      </c>
      <c r="G23" s="261">
        <f>'Rate Engine'!$Q23</f>
        <v>0</v>
      </c>
      <c r="H23" s="261">
        <f>'Rate Engine'!$R23</f>
        <v>0</v>
      </c>
    </row>
    <row r="24" spans="1:8" outlineLevel="1" x14ac:dyDescent="0.3">
      <c r="A24" s="257">
        <f>'Rate Engine'!$A24</f>
        <v>8</v>
      </c>
      <c r="B24" s="258">
        <f>'Rate Engine'!$B24</f>
        <v>45870</v>
      </c>
      <c r="C24" s="259">
        <f>'Rate Engine'!$F24</f>
        <v>45885.5</v>
      </c>
      <c r="D24" s="260">
        <f>'Rate Engine'!$H24</f>
        <v>1</v>
      </c>
      <c r="E24" s="246">
        <f t="shared" si="0"/>
        <v>0.83305251641137856</v>
      </c>
      <c r="F24" s="261">
        <f>'Rate Engine'!$P24</f>
        <v>0.25</v>
      </c>
      <c r="G24" s="261">
        <f>'Rate Engine'!$Q24</f>
        <v>0</v>
      </c>
      <c r="H24" s="261">
        <f>'Rate Engine'!$R24</f>
        <v>0</v>
      </c>
    </row>
    <row r="25" spans="1:8" outlineLevel="1" x14ac:dyDescent="0.3">
      <c r="A25" s="257">
        <f>'Rate Engine'!$A25</f>
        <v>9</v>
      </c>
      <c r="B25" s="258">
        <f>'Rate Engine'!$B25</f>
        <v>45901</v>
      </c>
      <c r="C25" s="259">
        <f>'Rate Engine'!$F25</f>
        <v>45916</v>
      </c>
      <c r="D25" s="260">
        <f>'Rate Engine'!$H25</f>
        <v>1</v>
      </c>
      <c r="E25" s="246">
        <f t="shared" si="0"/>
        <v>0.83505470459518594</v>
      </c>
      <c r="F25" s="261">
        <f>'Rate Engine'!$P25</f>
        <v>0.41666666666666663</v>
      </c>
      <c r="G25" s="261">
        <f>'Rate Engine'!$Q25</f>
        <v>0</v>
      </c>
      <c r="H25" s="261">
        <f>'Rate Engine'!$R25</f>
        <v>0</v>
      </c>
    </row>
    <row r="26" spans="1:8" outlineLevel="1" x14ac:dyDescent="0.3">
      <c r="A26" s="257">
        <f>'Rate Engine'!$A26</f>
        <v>10</v>
      </c>
      <c r="B26" s="258">
        <f>'Rate Engine'!$B26</f>
        <v>45931</v>
      </c>
      <c r="C26" s="259">
        <f>'Rate Engine'!$F26</f>
        <v>45946.5</v>
      </c>
      <c r="D26" s="260">
        <f>'Rate Engine'!$H26</f>
        <v>1</v>
      </c>
      <c r="E26" s="246">
        <f t="shared" si="0"/>
        <v>0.83705689277899342</v>
      </c>
      <c r="F26" s="261">
        <f>'Rate Engine'!$P26</f>
        <v>0.58333333333333326</v>
      </c>
      <c r="G26" s="261">
        <f>'Rate Engine'!$Q26</f>
        <v>0</v>
      </c>
      <c r="H26" s="261">
        <f>'Rate Engine'!$R26</f>
        <v>0</v>
      </c>
    </row>
    <row r="27" spans="1:8" outlineLevel="1" x14ac:dyDescent="0.3">
      <c r="A27" s="257">
        <f>'Rate Engine'!$A27</f>
        <v>11</v>
      </c>
      <c r="B27" s="258">
        <f>'Rate Engine'!$B27</f>
        <v>45962</v>
      </c>
      <c r="C27" s="259">
        <f>'Rate Engine'!$F27</f>
        <v>45977</v>
      </c>
      <c r="D27" s="260">
        <f>'Rate Engine'!$H27</f>
        <v>1</v>
      </c>
      <c r="E27" s="246">
        <f t="shared" si="0"/>
        <v>0.8390590809628008</v>
      </c>
      <c r="F27" s="261">
        <f>'Rate Engine'!$P27</f>
        <v>0.75</v>
      </c>
      <c r="G27" s="261">
        <f>'Rate Engine'!$Q27</f>
        <v>0</v>
      </c>
      <c r="H27" s="261">
        <f>'Rate Engine'!$R27</f>
        <v>0</v>
      </c>
    </row>
    <row r="28" spans="1:8" outlineLevel="1" x14ac:dyDescent="0.3">
      <c r="A28" s="257">
        <f>'Rate Engine'!$A28</f>
        <v>12</v>
      </c>
      <c r="B28" s="258">
        <f>'Rate Engine'!$B28</f>
        <v>45992</v>
      </c>
      <c r="C28" s="259">
        <f>'Rate Engine'!$F28</f>
        <v>46007.5</v>
      </c>
      <c r="D28" s="260">
        <f>'Rate Engine'!$H28</f>
        <v>1</v>
      </c>
      <c r="E28" s="246">
        <f t="shared" si="0"/>
        <v>0.84106126914660828</v>
      </c>
      <c r="F28" s="261">
        <f>'Rate Engine'!$P28</f>
        <v>0.91666666666666663</v>
      </c>
      <c r="G28" s="261">
        <f>'Rate Engine'!$Q28</f>
        <v>0</v>
      </c>
      <c r="H28" s="261">
        <f>'Rate Engine'!$R28</f>
        <v>0</v>
      </c>
    </row>
    <row r="29" spans="1:8" outlineLevel="1" x14ac:dyDescent="0.3">
      <c r="A29" s="257">
        <f>'Rate Engine'!$A29</f>
        <v>13</v>
      </c>
      <c r="B29" s="258">
        <f>'Rate Engine'!$B29</f>
        <v>46023</v>
      </c>
      <c r="C29" s="259">
        <f>'Rate Engine'!$F29</f>
        <v>46038.5</v>
      </c>
      <c r="D29" s="260">
        <f>'Rate Engine'!$H29</f>
        <v>1</v>
      </c>
      <c r="E29" s="246">
        <f t="shared" si="0"/>
        <v>0.84309628008752735</v>
      </c>
      <c r="F29" s="261">
        <f>'Rate Engine'!$P29</f>
        <v>1</v>
      </c>
      <c r="G29" s="261">
        <f>'Rate Engine'!$Q29</f>
        <v>0</v>
      </c>
      <c r="H29" s="261">
        <f>'Rate Engine'!$R29</f>
        <v>0</v>
      </c>
    </row>
    <row r="30" spans="1:8" outlineLevel="1" x14ac:dyDescent="0.3">
      <c r="A30" s="257">
        <f>'Rate Engine'!$A30</f>
        <v>14</v>
      </c>
      <c r="B30" s="258">
        <f>'Rate Engine'!$B30</f>
        <v>46054</v>
      </c>
      <c r="C30" s="259">
        <f>'Rate Engine'!$F30</f>
        <v>46068</v>
      </c>
      <c r="D30" s="260">
        <f>'Rate Engine'!$H30</f>
        <v>1</v>
      </c>
      <c r="E30" s="246">
        <f t="shared" si="0"/>
        <v>0.84503282275711156</v>
      </c>
      <c r="F30" s="261">
        <f>'Rate Engine'!$P30</f>
        <v>1</v>
      </c>
      <c r="G30" s="261">
        <f>'Rate Engine'!$Q30</f>
        <v>0</v>
      </c>
      <c r="H30" s="261">
        <f>'Rate Engine'!$R30</f>
        <v>0</v>
      </c>
    </row>
    <row r="31" spans="1:8" outlineLevel="1" x14ac:dyDescent="0.3">
      <c r="A31" s="257">
        <f>'Rate Engine'!$A31</f>
        <v>15</v>
      </c>
      <c r="B31" s="258">
        <f>'Rate Engine'!$B31</f>
        <v>46082</v>
      </c>
      <c r="C31" s="259">
        <f>'Rate Engine'!$F31</f>
        <v>46097.5</v>
      </c>
      <c r="D31" s="260">
        <f>'Rate Engine'!$H31</f>
        <v>1</v>
      </c>
      <c r="E31" s="246">
        <f t="shared" si="0"/>
        <v>0.84696936542669587</v>
      </c>
      <c r="F31" s="261">
        <f>'Rate Engine'!$P31</f>
        <v>1</v>
      </c>
      <c r="G31" s="261">
        <f>'Rate Engine'!$Q31</f>
        <v>0</v>
      </c>
      <c r="H31" s="261">
        <f>'Rate Engine'!$R31</f>
        <v>0</v>
      </c>
    </row>
    <row r="32" spans="1:8" outlineLevel="1" x14ac:dyDescent="0.3">
      <c r="A32" s="257">
        <f>'Rate Engine'!$A32</f>
        <v>16</v>
      </c>
      <c r="B32" s="258">
        <f>'Rate Engine'!$B32</f>
        <v>46113</v>
      </c>
      <c r="C32" s="259">
        <f>'Rate Engine'!$F32</f>
        <v>46128</v>
      </c>
      <c r="D32" s="260">
        <f>'Rate Engine'!$H32</f>
        <v>1</v>
      </c>
      <c r="E32" s="246">
        <f t="shared" si="0"/>
        <v>0.84897155361050325</v>
      </c>
      <c r="F32" s="261">
        <f>'Rate Engine'!$P32</f>
        <v>1</v>
      </c>
      <c r="G32" s="261">
        <f>'Rate Engine'!$Q32</f>
        <v>0</v>
      </c>
      <c r="H32" s="261">
        <f>'Rate Engine'!$R32</f>
        <v>0</v>
      </c>
    </row>
    <row r="33" spans="1:8" outlineLevel="1" x14ac:dyDescent="0.3">
      <c r="A33" s="257">
        <f>'Rate Engine'!$A33</f>
        <v>17</v>
      </c>
      <c r="B33" s="258">
        <f>'Rate Engine'!$B33</f>
        <v>46143</v>
      </c>
      <c r="C33" s="259">
        <f>'Rate Engine'!$F33</f>
        <v>46158.5</v>
      </c>
      <c r="D33" s="260">
        <f>'Rate Engine'!$H33</f>
        <v>1</v>
      </c>
      <c r="E33" s="246">
        <f t="shared" si="0"/>
        <v>0.85097374179431073</v>
      </c>
      <c r="F33" s="261">
        <f>'Rate Engine'!$P33</f>
        <v>1</v>
      </c>
      <c r="G33" s="261">
        <f>'Rate Engine'!$Q33</f>
        <v>0</v>
      </c>
      <c r="H33" s="261">
        <f>'Rate Engine'!$R33</f>
        <v>0</v>
      </c>
    </row>
    <row r="34" spans="1:8" outlineLevel="1" x14ac:dyDescent="0.3">
      <c r="A34" s="257">
        <f>'Rate Engine'!$A34</f>
        <v>18</v>
      </c>
      <c r="B34" s="258">
        <f>'Rate Engine'!$B34</f>
        <v>46174</v>
      </c>
      <c r="C34" s="259">
        <f>'Rate Engine'!$F34</f>
        <v>46189</v>
      </c>
      <c r="D34" s="260">
        <f>'Rate Engine'!$H34</f>
        <v>1</v>
      </c>
      <c r="E34" s="246">
        <f t="shared" si="0"/>
        <v>0.85297592997811811</v>
      </c>
      <c r="F34" s="261">
        <f>'Rate Engine'!$P34</f>
        <v>1</v>
      </c>
      <c r="G34" s="261">
        <f>'Rate Engine'!$Q34</f>
        <v>0</v>
      </c>
      <c r="H34" s="261">
        <f>'Rate Engine'!$R34</f>
        <v>0</v>
      </c>
    </row>
    <row r="35" spans="1:8" outlineLevel="1" x14ac:dyDescent="0.3">
      <c r="A35" s="257">
        <f>'Rate Engine'!$A35</f>
        <v>19</v>
      </c>
      <c r="B35" s="258">
        <f>'Rate Engine'!$B35</f>
        <v>46204</v>
      </c>
      <c r="C35" s="259">
        <f>'Rate Engine'!$F35</f>
        <v>46219.5</v>
      </c>
      <c r="D35" s="260">
        <f>'Rate Engine'!$H35</f>
        <v>1</v>
      </c>
      <c r="E35" s="246">
        <f t="shared" si="0"/>
        <v>0.85497811816192559</v>
      </c>
      <c r="F35" s="261">
        <f>'Rate Engine'!$P35</f>
        <v>0.91666666666666663</v>
      </c>
      <c r="G35" s="261">
        <f>'Rate Engine'!$Q35</f>
        <v>8.333333333333337E-2</v>
      </c>
      <c r="H35" s="261">
        <f>'Rate Engine'!$R35</f>
        <v>0</v>
      </c>
    </row>
    <row r="36" spans="1:8" outlineLevel="1" x14ac:dyDescent="0.3">
      <c r="A36" s="257">
        <f>'Rate Engine'!$A36</f>
        <v>20</v>
      </c>
      <c r="B36" s="258">
        <f>'Rate Engine'!$B36</f>
        <v>46235</v>
      </c>
      <c r="C36" s="259">
        <f>'Rate Engine'!$F36</f>
        <v>46250.5</v>
      </c>
      <c r="D36" s="260">
        <f>'Rate Engine'!$H36</f>
        <v>1</v>
      </c>
      <c r="E36" s="246">
        <f t="shared" si="0"/>
        <v>0.85701312910284466</v>
      </c>
      <c r="F36" s="261">
        <f>'Rate Engine'!$P36</f>
        <v>0.75</v>
      </c>
      <c r="G36" s="261">
        <f>'Rate Engine'!$Q36</f>
        <v>0.25</v>
      </c>
      <c r="H36" s="261">
        <f>'Rate Engine'!$R36</f>
        <v>0</v>
      </c>
    </row>
    <row r="37" spans="1:8" outlineLevel="1" x14ac:dyDescent="0.3">
      <c r="A37" s="257">
        <f>'Rate Engine'!$A37</f>
        <v>21</v>
      </c>
      <c r="B37" s="258">
        <f>'Rate Engine'!$B37</f>
        <v>46266</v>
      </c>
      <c r="C37" s="259">
        <f>'Rate Engine'!$F37</f>
        <v>46281</v>
      </c>
      <c r="D37" s="260">
        <f>'Rate Engine'!$H37</f>
        <v>1</v>
      </c>
      <c r="E37" s="246">
        <f t="shared" si="0"/>
        <v>0.85901531728665204</v>
      </c>
      <c r="F37" s="261">
        <f>'Rate Engine'!$P37</f>
        <v>0.58333333333333337</v>
      </c>
      <c r="G37" s="261">
        <f>'Rate Engine'!$Q37</f>
        <v>0.41666666666666663</v>
      </c>
      <c r="H37" s="261">
        <f>'Rate Engine'!$R37</f>
        <v>0</v>
      </c>
    </row>
    <row r="38" spans="1:8" outlineLevel="1" x14ac:dyDescent="0.3">
      <c r="A38" s="257">
        <f>'Rate Engine'!$A38</f>
        <v>22</v>
      </c>
      <c r="B38" s="258">
        <f>'Rate Engine'!$B38</f>
        <v>46296</v>
      </c>
      <c r="C38" s="259">
        <f>'Rate Engine'!$F38</f>
        <v>46311.5</v>
      </c>
      <c r="D38" s="260">
        <f>'Rate Engine'!$H38</f>
        <v>1</v>
      </c>
      <c r="E38" s="246">
        <f t="shared" si="0"/>
        <v>0.86101750547045952</v>
      </c>
      <c r="F38" s="261">
        <f>'Rate Engine'!$P38</f>
        <v>0.41666666666666669</v>
      </c>
      <c r="G38" s="261">
        <f>'Rate Engine'!$Q38</f>
        <v>0.58333333333333326</v>
      </c>
      <c r="H38" s="261">
        <f>'Rate Engine'!$R38</f>
        <v>0</v>
      </c>
    </row>
    <row r="39" spans="1:8" outlineLevel="1" x14ac:dyDescent="0.3">
      <c r="A39" s="257">
        <f>'Rate Engine'!$A39</f>
        <v>23</v>
      </c>
      <c r="B39" s="258">
        <f>'Rate Engine'!$B39</f>
        <v>46327</v>
      </c>
      <c r="C39" s="259">
        <f>'Rate Engine'!$F39</f>
        <v>46342</v>
      </c>
      <c r="D39" s="260">
        <f>'Rate Engine'!$H39</f>
        <v>1</v>
      </c>
      <c r="E39" s="246">
        <f t="shared" si="0"/>
        <v>0.8630196936542669</v>
      </c>
      <c r="F39" s="261">
        <f>'Rate Engine'!$P39</f>
        <v>0.25</v>
      </c>
      <c r="G39" s="261">
        <f>'Rate Engine'!$Q39</f>
        <v>0.75</v>
      </c>
      <c r="H39" s="261">
        <f>'Rate Engine'!$R39</f>
        <v>0</v>
      </c>
    </row>
    <row r="40" spans="1:8" outlineLevel="1" x14ac:dyDescent="0.3">
      <c r="A40" s="257">
        <f>'Rate Engine'!$A40</f>
        <v>24</v>
      </c>
      <c r="B40" s="258">
        <f>'Rate Engine'!$B40</f>
        <v>46357</v>
      </c>
      <c r="C40" s="259">
        <f>'Rate Engine'!$F40</f>
        <v>46372.5</v>
      </c>
      <c r="D40" s="260">
        <f>'Rate Engine'!$H40</f>
        <v>1</v>
      </c>
      <c r="E40" s="246">
        <f t="shared" si="0"/>
        <v>0.86502188183807438</v>
      </c>
      <c r="F40" s="261">
        <f>'Rate Engine'!$P40</f>
        <v>8.3333333333333329E-2</v>
      </c>
      <c r="G40" s="261">
        <f>'Rate Engine'!$Q40</f>
        <v>0.91666666666666663</v>
      </c>
      <c r="H40" s="261">
        <f>'Rate Engine'!$R40</f>
        <v>0</v>
      </c>
    </row>
    <row r="41" spans="1:8" outlineLevel="1" x14ac:dyDescent="0.3">
      <c r="A41" s="257">
        <f>'Rate Engine'!$A41</f>
        <v>25</v>
      </c>
      <c r="B41" s="258">
        <f>'Rate Engine'!$B41</f>
        <v>46388</v>
      </c>
      <c r="C41" s="259">
        <f>'Rate Engine'!$F41</f>
        <v>46403.5</v>
      </c>
      <c r="D41" s="260">
        <f>'Rate Engine'!$H41</f>
        <v>1</v>
      </c>
      <c r="E41" s="246">
        <f t="shared" si="0"/>
        <v>0.86705689277899345</v>
      </c>
      <c r="F41" s="261">
        <f>'Rate Engine'!$P41</f>
        <v>0</v>
      </c>
      <c r="G41" s="261">
        <f>'Rate Engine'!$Q41</f>
        <v>1</v>
      </c>
      <c r="H41" s="261">
        <f>'Rate Engine'!$R41</f>
        <v>0</v>
      </c>
    </row>
    <row r="42" spans="1:8" outlineLevel="1" x14ac:dyDescent="0.3">
      <c r="A42" s="257">
        <f>'Rate Engine'!$A42</f>
        <v>26</v>
      </c>
      <c r="B42" s="258">
        <f>'Rate Engine'!$B42</f>
        <v>46419</v>
      </c>
      <c r="C42" s="259">
        <f>'Rate Engine'!$F42</f>
        <v>46433</v>
      </c>
      <c r="D42" s="260">
        <f>'Rate Engine'!$H42</f>
        <v>1</v>
      </c>
      <c r="E42" s="246">
        <f t="shared" si="0"/>
        <v>0.86899343544857766</v>
      </c>
      <c r="F42" s="261">
        <f>'Rate Engine'!$P42</f>
        <v>0</v>
      </c>
      <c r="G42" s="261">
        <f>'Rate Engine'!$Q42</f>
        <v>1</v>
      </c>
      <c r="H42" s="261">
        <f>'Rate Engine'!$R42</f>
        <v>0</v>
      </c>
    </row>
    <row r="43" spans="1:8" outlineLevel="1" x14ac:dyDescent="0.3">
      <c r="A43" s="257">
        <f>'Rate Engine'!$A43</f>
        <v>27</v>
      </c>
      <c r="B43" s="258">
        <f>'Rate Engine'!$B43</f>
        <v>46447</v>
      </c>
      <c r="C43" s="259">
        <f>'Rate Engine'!$F43</f>
        <v>46462.5</v>
      </c>
      <c r="D43" s="260">
        <f>'Rate Engine'!$H43</f>
        <v>1</v>
      </c>
      <c r="E43" s="246">
        <f t="shared" si="0"/>
        <v>0.87092997811816197</v>
      </c>
      <c r="F43" s="261">
        <f>'Rate Engine'!$P43</f>
        <v>0</v>
      </c>
      <c r="G43" s="261">
        <f>'Rate Engine'!$Q43</f>
        <v>1</v>
      </c>
      <c r="H43" s="261">
        <f>'Rate Engine'!$R43</f>
        <v>0</v>
      </c>
    </row>
    <row r="44" spans="1:8" outlineLevel="1" x14ac:dyDescent="0.3">
      <c r="A44" s="257">
        <f>'Rate Engine'!$A44</f>
        <v>28</v>
      </c>
      <c r="B44" s="258">
        <f>'Rate Engine'!$B44</f>
        <v>46478</v>
      </c>
      <c r="C44" s="259">
        <f>'Rate Engine'!$F44</f>
        <v>46493</v>
      </c>
      <c r="D44" s="260">
        <f>'Rate Engine'!$H44</f>
        <v>1</v>
      </c>
      <c r="E44" s="246">
        <f t="shared" si="0"/>
        <v>0.87293216630196935</v>
      </c>
      <c r="F44" s="261">
        <f>'Rate Engine'!$P44</f>
        <v>0</v>
      </c>
      <c r="G44" s="261">
        <f>'Rate Engine'!$Q44</f>
        <v>1</v>
      </c>
      <c r="H44" s="261">
        <f>'Rate Engine'!$R44</f>
        <v>0</v>
      </c>
    </row>
    <row r="45" spans="1:8" outlineLevel="1" x14ac:dyDescent="0.3">
      <c r="A45" s="257">
        <f>'Rate Engine'!$A45</f>
        <v>29</v>
      </c>
      <c r="B45" s="258">
        <f>'Rate Engine'!$B45</f>
        <v>46508</v>
      </c>
      <c r="C45" s="259">
        <f>'Rate Engine'!$F45</f>
        <v>46523.5</v>
      </c>
      <c r="D45" s="260">
        <f>'Rate Engine'!$H45</f>
        <v>1</v>
      </c>
      <c r="E45" s="246">
        <f t="shared" si="0"/>
        <v>0.87493435448577683</v>
      </c>
      <c r="F45" s="261">
        <f>'Rate Engine'!$P45</f>
        <v>0</v>
      </c>
      <c r="G45" s="261">
        <f>'Rate Engine'!$Q45</f>
        <v>1</v>
      </c>
      <c r="H45" s="261">
        <f>'Rate Engine'!$R45</f>
        <v>0</v>
      </c>
    </row>
    <row r="46" spans="1:8" outlineLevel="1" x14ac:dyDescent="0.3">
      <c r="A46" s="257">
        <f>'Rate Engine'!$A46</f>
        <v>30</v>
      </c>
      <c r="B46" s="258">
        <f>'Rate Engine'!$B46</f>
        <v>46539</v>
      </c>
      <c r="C46" s="259">
        <f>'Rate Engine'!$F46</f>
        <v>46554</v>
      </c>
      <c r="D46" s="260">
        <f>'Rate Engine'!$H46</f>
        <v>1</v>
      </c>
      <c r="E46" s="246">
        <f t="shared" si="0"/>
        <v>0.87693654266958421</v>
      </c>
      <c r="F46" s="261">
        <f>'Rate Engine'!$P46</f>
        <v>0</v>
      </c>
      <c r="G46" s="261">
        <f>'Rate Engine'!$Q46</f>
        <v>1</v>
      </c>
      <c r="H46" s="261">
        <f>'Rate Engine'!$R46</f>
        <v>0</v>
      </c>
    </row>
    <row r="47" spans="1:8" outlineLevel="1" x14ac:dyDescent="0.3">
      <c r="A47" s="257">
        <f>'Rate Engine'!$A47</f>
        <v>31</v>
      </c>
      <c r="B47" s="258">
        <f>'Rate Engine'!$B47</f>
        <v>46569</v>
      </c>
      <c r="C47" s="259">
        <f>'Rate Engine'!$F47</f>
        <v>46584.5</v>
      </c>
      <c r="D47" s="260">
        <f>'Rate Engine'!$H47</f>
        <v>1</v>
      </c>
      <c r="E47" s="246">
        <f t="shared" si="0"/>
        <v>0.87893873085339169</v>
      </c>
      <c r="F47" s="261">
        <f>'Rate Engine'!$P47</f>
        <v>0</v>
      </c>
      <c r="G47" s="261">
        <f>'Rate Engine'!$Q47</f>
        <v>0.91666666666666663</v>
      </c>
      <c r="H47" s="261">
        <f>'Rate Engine'!$R47</f>
        <v>8.333333333333337E-2</v>
      </c>
    </row>
    <row r="48" spans="1:8" outlineLevel="1" x14ac:dyDescent="0.3">
      <c r="A48" s="257">
        <f>'Rate Engine'!$A48</f>
        <v>32</v>
      </c>
      <c r="B48" s="258">
        <f>'Rate Engine'!$B48</f>
        <v>46600</v>
      </c>
      <c r="C48" s="259">
        <f>'Rate Engine'!$F48</f>
        <v>46615.5</v>
      </c>
      <c r="D48" s="260">
        <f>'Rate Engine'!$H48</f>
        <v>1</v>
      </c>
      <c r="E48" s="246">
        <f t="shared" si="0"/>
        <v>0.88097374179431076</v>
      </c>
      <c r="F48" s="261">
        <f>'Rate Engine'!$P48</f>
        <v>0</v>
      </c>
      <c r="G48" s="261">
        <f>'Rate Engine'!$Q48</f>
        <v>0.75</v>
      </c>
      <c r="H48" s="261">
        <f>'Rate Engine'!$R48</f>
        <v>0.25</v>
      </c>
    </row>
    <row r="49" spans="1:8" outlineLevel="1" x14ac:dyDescent="0.3">
      <c r="A49" s="257">
        <f>'Rate Engine'!$A49</f>
        <v>33</v>
      </c>
      <c r="B49" s="258">
        <f>'Rate Engine'!$B49</f>
        <v>46631</v>
      </c>
      <c r="C49" s="259">
        <f>'Rate Engine'!$F49</f>
        <v>46646</v>
      </c>
      <c r="D49" s="260">
        <f>'Rate Engine'!$H49</f>
        <v>1</v>
      </c>
      <c r="E49" s="246">
        <f t="shared" si="0"/>
        <v>0.88297592997811813</v>
      </c>
      <c r="F49" s="261">
        <f>'Rate Engine'!$P49</f>
        <v>0</v>
      </c>
      <c r="G49" s="261">
        <f>'Rate Engine'!$Q49</f>
        <v>0.58333333333333337</v>
      </c>
      <c r="H49" s="261">
        <f>'Rate Engine'!$R49</f>
        <v>0.41666666666666663</v>
      </c>
    </row>
    <row r="50" spans="1:8" outlineLevel="1" x14ac:dyDescent="0.3">
      <c r="A50" s="257">
        <f>'Rate Engine'!$A50</f>
        <v>34</v>
      </c>
      <c r="B50" s="258">
        <f>'Rate Engine'!$B50</f>
        <v>46661</v>
      </c>
      <c r="C50" s="259">
        <f>'Rate Engine'!$F50</f>
        <v>46676.5</v>
      </c>
      <c r="D50" s="260">
        <f>'Rate Engine'!$H50</f>
        <v>1</v>
      </c>
      <c r="E50" s="246">
        <f t="shared" si="0"/>
        <v>0.88497811816192562</v>
      </c>
      <c r="F50" s="261">
        <f>'Rate Engine'!$P50</f>
        <v>0</v>
      </c>
      <c r="G50" s="261">
        <f>'Rate Engine'!$Q50</f>
        <v>0.41666666666666669</v>
      </c>
      <c r="H50" s="261">
        <f>'Rate Engine'!$R50</f>
        <v>0.58333333333333326</v>
      </c>
    </row>
    <row r="51" spans="1:8" outlineLevel="1" x14ac:dyDescent="0.3">
      <c r="A51" s="257">
        <f>'Rate Engine'!$A51</f>
        <v>35</v>
      </c>
      <c r="B51" s="258">
        <f>'Rate Engine'!$B51</f>
        <v>46692</v>
      </c>
      <c r="C51" s="259">
        <f>'Rate Engine'!$F51</f>
        <v>46707</v>
      </c>
      <c r="D51" s="260">
        <f>'Rate Engine'!$H51</f>
        <v>1</v>
      </c>
      <c r="E51" s="246">
        <f t="shared" si="0"/>
        <v>0.8869803063457331</v>
      </c>
      <c r="F51" s="261">
        <f>'Rate Engine'!$P51</f>
        <v>0</v>
      </c>
      <c r="G51" s="261">
        <f>'Rate Engine'!$Q51</f>
        <v>0.25</v>
      </c>
      <c r="H51" s="261">
        <f>'Rate Engine'!$R51</f>
        <v>0.75</v>
      </c>
    </row>
    <row r="52" spans="1:8" outlineLevel="1" x14ac:dyDescent="0.3">
      <c r="A52" s="257">
        <f>'Rate Engine'!$A52</f>
        <v>36</v>
      </c>
      <c r="B52" s="258">
        <f>'Rate Engine'!$B52</f>
        <v>46722</v>
      </c>
      <c r="C52" s="259">
        <f>'Rate Engine'!$F52</f>
        <v>46737.5</v>
      </c>
      <c r="D52" s="260">
        <f>'Rate Engine'!$H52</f>
        <v>1</v>
      </c>
      <c r="E52" s="246">
        <f t="shared" si="0"/>
        <v>0.88898249452954048</v>
      </c>
      <c r="F52" s="261">
        <f>'Rate Engine'!$P52</f>
        <v>0</v>
      </c>
      <c r="G52" s="261">
        <f>'Rate Engine'!$Q52</f>
        <v>8.3333333333333329E-2</v>
      </c>
      <c r="H52" s="261">
        <f>'Rate Engine'!$R52</f>
        <v>0.91666666666666663</v>
      </c>
    </row>
    <row r="53" spans="1:8" outlineLevel="1" x14ac:dyDescent="0.3">
      <c r="A53" s="257">
        <f>'Rate Engine'!$A53</f>
        <v>37</v>
      </c>
      <c r="B53" s="258">
        <f>'Rate Engine'!$B53</f>
        <v>46753</v>
      </c>
      <c r="C53" s="259">
        <f>'Rate Engine'!$F53</f>
        <v>46768.5</v>
      </c>
      <c r="D53" s="260">
        <f>'Rate Engine'!$H53</f>
        <v>1</v>
      </c>
      <c r="E53" s="246">
        <f t="shared" si="0"/>
        <v>0.89</v>
      </c>
      <c r="F53" s="261">
        <f>'Rate Engine'!$P53</f>
        <v>0</v>
      </c>
      <c r="G53" s="261">
        <f>'Rate Engine'!$Q53</f>
        <v>0</v>
      </c>
      <c r="H53" s="261">
        <f>'Rate Engine'!$R53</f>
        <v>1</v>
      </c>
    </row>
    <row r="54" spans="1:8" outlineLevel="1" x14ac:dyDescent="0.3">
      <c r="A54" s="257">
        <f>'Rate Engine'!$A54</f>
        <v>38</v>
      </c>
      <c r="B54" s="258">
        <f>'Rate Engine'!$B54</f>
        <v>46784</v>
      </c>
      <c r="C54" s="259">
        <f>'Rate Engine'!$F54</f>
        <v>46798.5</v>
      </c>
      <c r="D54" s="260">
        <f>'Rate Engine'!$H54</f>
        <v>1</v>
      </c>
      <c r="E54" s="246">
        <f t="shared" si="0"/>
        <v>0.89</v>
      </c>
      <c r="F54" s="261">
        <f>'Rate Engine'!$P54</f>
        <v>0</v>
      </c>
      <c r="G54" s="261">
        <f>'Rate Engine'!$Q54</f>
        <v>0</v>
      </c>
      <c r="H54" s="261">
        <f>'Rate Engine'!$R54</f>
        <v>1</v>
      </c>
    </row>
    <row r="55" spans="1:8" outlineLevel="1" x14ac:dyDescent="0.3">
      <c r="A55" s="257">
        <f>'Rate Engine'!$A55</f>
        <v>39</v>
      </c>
      <c r="B55" s="258">
        <f>'Rate Engine'!$B55</f>
        <v>46813</v>
      </c>
      <c r="C55" s="259">
        <f>'Rate Engine'!$F55</f>
        <v>46828.5</v>
      </c>
      <c r="D55" s="260">
        <f>'Rate Engine'!$H55</f>
        <v>1</v>
      </c>
      <c r="E55" s="246">
        <f t="shared" si="0"/>
        <v>0.89</v>
      </c>
      <c r="F55" s="261">
        <f>'Rate Engine'!$P55</f>
        <v>0</v>
      </c>
      <c r="G55" s="261">
        <f>'Rate Engine'!$Q55</f>
        <v>0</v>
      </c>
      <c r="H55" s="261">
        <f>'Rate Engine'!$R55</f>
        <v>1</v>
      </c>
    </row>
    <row r="56" spans="1:8" outlineLevel="1" x14ac:dyDescent="0.3">
      <c r="A56" s="257">
        <f>'Rate Engine'!$A56</f>
        <v>40</v>
      </c>
      <c r="B56" s="258">
        <f>'Rate Engine'!$B56</f>
        <v>46844</v>
      </c>
      <c r="C56" s="259">
        <f>'Rate Engine'!$F56</f>
        <v>46859</v>
      </c>
      <c r="D56" s="260">
        <f>'Rate Engine'!$H56</f>
        <v>1</v>
      </c>
      <c r="E56" s="246">
        <f t="shared" si="0"/>
        <v>0.89</v>
      </c>
      <c r="F56" s="261">
        <f>'Rate Engine'!$P56</f>
        <v>0</v>
      </c>
      <c r="G56" s="261">
        <f>'Rate Engine'!$Q56</f>
        <v>0</v>
      </c>
      <c r="H56" s="261">
        <f>'Rate Engine'!$R56</f>
        <v>1</v>
      </c>
    </row>
    <row r="57" spans="1:8" outlineLevel="1" x14ac:dyDescent="0.3">
      <c r="A57" s="257">
        <f>'Rate Engine'!$A57</f>
        <v>41</v>
      </c>
      <c r="B57" s="258">
        <f>'Rate Engine'!$B57</f>
        <v>46874</v>
      </c>
      <c r="C57" s="259">
        <f>'Rate Engine'!$F57</f>
        <v>46889.5</v>
      </c>
      <c r="D57" s="260">
        <f>'Rate Engine'!$H57</f>
        <v>1</v>
      </c>
      <c r="E57" s="246">
        <f t="shared" si="0"/>
        <v>0.89</v>
      </c>
      <c r="F57" s="261">
        <f>'Rate Engine'!$P57</f>
        <v>0</v>
      </c>
      <c r="G57" s="261">
        <f>'Rate Engine'!$Q57</f>
        <v>0</v>
      </c>
      <c r="H57" s="261">
        <f>'Rate Engine'!$R57</f>
        <v>1</v>
      </c>
    </row>
    <row r="58" spans="1:8" outlineLevel="1" x14ac:dyDescent="0.3">
      <c r="A58" s="257">
        <f>'Rate Engine'!$A58</f>
        <v>42</v>
      </c>
      <c r="B58" s="258">
        <f>'Rate Engine'!$B58</f>
        <v>46905</v>
      </c>
      <c r="C58" s="259">
        <f>'Rate Engine'!$F58</f>
        <v>46920</v>
      </c>
      <c r="D58" s="260">
        <f>'Rate Engine'!$H58</f>
        <v>1</v>
      </c>
      <c r="E58" s="246">
        <f t="shared" si="0"/>
        <v>0.89</v>
      </c>
      <c r="F58" s="261">
        <f>'Rate Engine'!$P58</f>
        <v>0</v>
      </c>
      <c r="G58" s="261">
        <f>'Rate Engine'!$Q58</f>
        <v>0</v>
      </c>
      <c r="H58" s="261">
        <f>'Rate Engine'!$R58</f>
        <v>1</v>
      </c>
    </row>
    <row r="59" spans="1:8" outlineLevel="1" x14ac:dyDescent="0.3">
      <c r="A59" s="257">
        <f>'Rate Engine'!$A59</f>
        <v>43</v>
      </c>
      <c r="B59" s="258">
        <f>'Rate Engine'!$B59</f>
        <v>46935</v>
      </c>
      <c r="C59" s="259">
        <f>'Rate Engine'!$F59</f>
        <v>46950.5</v>
      </c>
      <c r="D59" s="260">
        <f>'Rate Engine'!$H59</f>
        <v>1</v>
      </c>
      <c r="E59" s="246">
        <f t="shared" si="0"/>
        <v>0.89</v>
      </c>
      <c r="F59" s="261">
        <f>'Rate Engine'!$P59</f>
        <v>0</v>
      </c>
      <c r="G59" s="261">
        <f>'Rate Engine'!$Q59</f>
        <v>0</v>
      </c>
      <c r="H59" s="261">
        <f>'Rate Engine'!$R59</f>
        <v>0.91666666666666663</v>
      </c>
    </row>
    <row r="60" spans="1:8" outlineLevel="1" x14ac:dyDescent="0.3">
      <c r="A60" s="257">
        <f>'Rate Engine'!$A60</f>
        <v>44</v>
      </c>
      <c r="B60" s="258">
        <f>'Rate Engine'!$B60</f>
        <v>46966</v>
      </c>
      <c r="C60" s="259">
        <f>'Rate Engine'!$F60</f>
        <v>46981.5</v>
      </c>
      <c r="D60" s="260">
        <f>'Rate Engine'!$H60</f>
        <v>1</v>
      </c>
      <c r="E60" s="246">
        <f t="shared" si="0"/>
        <v>0.89</v>
      </c>
      <c r="F60" s="261">
        <f>'Rate Engine'!$P60</f>
        <v>0</v>
      </c>
      <c r="G60" s="261">
        <f>'Rate Engine'!$Q60</f>
        <v>0</v>
      </c>
      <c r="H60" s="261">
        <f>'Rate Engine'!$R60</f>
        <v>0.75</v>
      </c>
    </row>
    <row r="61" spans="1:8" outlineLevel="1" x14ac:dyDescent="0.3">
      <c r="A61" s="257">
        <f>'Rate Engine'!$A61</f>
        <v>45</v>
      </c>
      <c r="B61" s="258">
        <f>'Rate Engine'!$B61</f>
        <v>46997</v>
      </c>
      <c r="C61" s="259">
        <f>'Rate Engine'!$F61</f>
        <v>47012</v>
      </c>
      <c r="D61" s="260">
        <f>'Rate Engine'!$H61</f>
        <v>1</v>
      </c>
      <c r="E61" s="246">
        <f t="shared" si="0"/>
        <v>0.89</v>
      </c>
      <c r="F61" s="261">
        <f>'Rate Engine'!$P61</f>
        <v>0</v>
      </c>
      <c r="G61" s="261">
        <f>'Rate Engine'!$Q61</f>
        <v>0</v>
      </c>
      <c r="H61" s="261">
        <f>'Rate Engine'!$R61</f>
        <v>0.58333333333333337</v>
      </c>
    </row>
    <row r="62" spans="1:8" outlineLevel="1" x14ac:dyDescent="0.3">
      <c r="A62" s="257">
        <f>'Rate Engine'!$A62</f>
        <v>46</v>
      </c>
      <c r="B62" s="258">
        <f>'Rate Engine'!$B62</f>
        <v>47027</v>
      </c>
      <c r="C62" s="259">
        <f>'Rate Engine'!$F62</f>
        <v>47042.5</v>
      </c>
      <c r="D62" s="260">
        <f>'Rate Engine'!$H62</f>
        <v>1</v>
      </c>
      <c r="E62" s="246">
        <f t="shared" si="0"/>
        <v>0.89</v>
      </c>
      <c r="F62" s="261">
        <f>'Rate Engine'!$P62</f>
        <v>0</v>
      </c>
      <c r="G62" s="261">
        <f>'Rate Engine'!$Q62</f>
        <v>0</v>
      </c>
      <c r="H62" s="261">
        <f>'Rate Engine'!$R62</f>
        <v>0.41666666666666669</v>
      </c>
    </row>
    <row r="63" spans="1:8" outlineLevel="1" x14ac:dyDescent="0.3">
      <c r="A63" s="257">
        <f>'Rate Engine'!$A63</f>
        <v>47</v>
      </c>
      <c r="B63" s="258">
        <f>'Rate Engine'!$B63</f>
        <v>47058</v>
      </c>
      <c r="C63" s="259">
        <f>'Rate Engine'!$F63</f>
        <v>47073</v>
      </c>
      <c r="D63" s="260">
        <f>'Rate Engine'!$H63</f>
        <v>1</v>
      </c>
      <c r="E63" s="246">
        <f t="shared" si="0"/>
        <v>0.89</v>
      </c>
      <c r="F63" s="261">
        <f>'Rate Engine'!$P63</f>
        <v>0</v>
      </c>
      <c r="G63" s="261">
        <f>'Rate Engine'!$Q63</f>
        <v>0</v>
      </c>
      <c r="H63" s="261">
        <f>'Rate Engine'!$R63</f>
        <v>0.25</v>
      </c>
    </row>
    <row r="64" spans="1:8" outlineLevel="1" x14ac:dyDescent="0.3">
      <c r="A64" s="257">
        <f>'Rate Engine'!$A64</f>
        <v>48</v>
      </c>
      <c r="B64" s="258">
        <f>'Rate Engine'!$B64</f>
        <v>47088</v>
      </c>
      <c r="C64" s="259">
        <f>'Rate Engine'!$F64</f>
        <v>47103.5</v>
      </c>
      <c r="D64" s="260">
        <f>'Rate Engine'!$H64</f>
        <v>1</v>
      </c>
      <c r="E64" s="246">
        <f t="shared" si="0"/>
        <v>0.89</v>
      </c>
      <c r="F64" s="261">
        <f>'Rate Engine'!$P64</f>
        <v>0</v>
      </c>
      <c r="G64" s="261">
        <f>'Rate Engine'!$Q64</f>
        <v>0</v>
      </c>
      <c r="H64" s="261">
        <f>'Rate Engine'!$R64</f>
        <v>8.3333333333333329E-2</v>
      </c>
    </row>
  </sheetData>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2E7D32"/>
    <pageSetUpPr fitToPage="1"/>
  </sheetPr>
  <dimension ref="A1:O65"/>
  <sheetViews>
    <sheetView showGridLines="0" workbookViewId="0">
      <pane ySplit="5" topLeftCell="A6" activePane="bottomLeft" state="frozen"/>
      <selection pane="bottomLeft"/>
    </sheetView>
  </sheetViews>
  <sheetFormatPr defaultRowHeight="14.4" x14ac:dyDescent="0.3"/>
  <cols>
    <col min="1" max="1" width="5" customWidth="1"/>
    <col min="2" max="2" width="12" customWidth="1"/>
    <col min="3" max="3" width="78" customWidth="1"/>
    <col min="4" max="5" width="13" customWidth="1"/>
    <col min="6" max="6" width="11" customWidth="1"/>
    <col min="7" max="7" width="10" customWidth="1"/>
    <col min="8" max="8" width="11" customWidth="1"/>
  </cols>
  <sheetData>
    <row r="1" spans="1:15" ht="21" x14ac:dyDescent="0.3">
      <c r="A1" s="1" t="s">
        <v>735</v>
      </c>
    </row>
    <row r="2" spans="1:15" x14ac:dyDescent="0.3">
      <c r="A2" s="2" t="s">
        <v>736</v>
      </c>
    </row>
    <row r="3" spans="1:15" x14ac:dyDescent="0.3">
      <c r="A3" s="18" t="s">
        <v>737</v>
      </c>
      <c r="C3" s="230" t="str">
        <f>IF(COUNTIF($G$6:$G$62,"FAIL")=0,"ALL CHECKS PASS","CHECKS FAILING: "&amp;COUNTIF($G$6:$G$62,"FAIL"))</f>
        <v>ALL CHECKS PASS</v>
      </c>
      <c r="E3" s="6" t="str">
        <f>COUNTIF($G$6:$G$62,"WARN")&amp;" warning(s), "&amp;COUNTIF($G$6:$G$62,"N/A")&amp;" not applicable"</f>
        <v>1 warning(s), 2 not applicable</v>
      </c>
      <c r="I3" s="10" t="s">
        <v>738</v>
      </c>
      <c r="K3" s="19" t="str">
        <f>HYPERLINK("#Control!A1","Control")</f>
        <v>Control</v>
      </c>
      <c r="M3" s="19" t="str">
        <f>HYPERLINK("#Inputs!A1","Inputs")</f>
        <v>Inputs</v>
      </c>
      <c r="O3" s="19" t="str">
        <f>HYPERLINK("#'Read Me'!A1","Read Me")</f>
        <v>Read Me</v>
      </c>
    </row>
    <row r="4" spans="1:15" x14ac:dyDescent="0.3">
      <c r="I4" s="6" t="s">
        <v>739</v>
      </c>
      <c r="J4" s="6" t="str">
        <f>COUNTIFS($B$6:$B$62,"Structure",$G$6:$G$62,"PASS")&amp;" / "&amp;COUNTIF($B$6:$B$62,"Structure")&amp;" pass"</f>
        <v>18 / 19 pass</v>
      </c>
      <c r="K4" s="262" t="str">
        <f>IF(COUNTIFS($B$6:$B$62,"Structure",$G$6:$G$62,"FAIL")&gt;0,"FAIL",IF(COUNTIFS($B$6:$B$62,"Structure",$G$6:$G$62,"WARN")&gt;0,"WARN",IF(COUNTIFS($B$6:$B$62,"Structure",$G$6:$G$62,"N/A")=COUNTIF($B$6:$B$62,"Structure"),"N/A","OK")))</f>
        <v>OK</v>
      </c>
    </row>
    <row r="5" spans="1:15" x14ac:dyDescent="0.3">
      <c r="A5" s="56" t="s">
        <v>390</v>
      </c>
      <c r="B5" s="56" t="s">
        <v>740</v>
      </c>
      <c r="C5" s="56" t="s">
        <v>741</v>
      </c>
      <c r="D5" s="56" t="s">
        <v>742</v>
      </c>
      <c r="E5" s="56" t="s">
        <v>743</v>
      </c>
      <c r="F5" s="56" t="s">
        <v>744</v>
      </c>
      <c r="G5" s="56" t="s">
        <v>393</v>
      </c>
      <c r="H5" s="56" t="s">
        <v>745</v>
      </c>
      <c r="I5" s="6" t="s">
        <v>746</v>
      </c>
      <c r="J5" s="6" t="str">
        <f>COUNTIFS($B$6:$B$62,"Identity",$G$6:$G$62,"PASS")&amp;" / "&amp;COUNTIF($B$6:$B$62,"Identity")&amp;" pass"</f>
        <v>0 / 1 pass</v>
      </c>
      <c r="K5" s="262" t="str">
        <f>IF(COUNTIFS($B$6:$B$62,"Identity",$G$6:$G$62,"FAIL")&gt;0,"FAIL",IF(COUNTIFS($B$6:$B$62,"Identity",$G$6:$G$62,"WARN")&gt;0,"WARN",IF(COUNTIFS($B$6:$B$62,"Identity",$G$6:$G$62,"N/A")=COUNTIF($B$6:$B$62,"Identity"),"N/A","OK")))</f>
        <v>N/A</v>
      </c>
    </row>
    <row r="6" spans="1:15" x14ac:dyDescent="0.3">
      <c r="A6" s="187">
        <v>1</v>
      </c>
      <c r="B6" s="6" t="s">
        <v>739</v>
      </c>
      <c r="C6" s="20" t="s">
        <v>747</v>
      </c>
      <c r="D6" s="263">
        <f>0</f>
        <v>0</v>
      </c>
      <c r="E6" s="263">
        <f>MAX(re_rowsum_chk)</f>
        <v>1.1102230246251565E-16</v>
      </c>
      <c r="F6" s="264">
        <v>1.0000000000000001E-9</v>
      </c>
      <c r="G6" s="262" t="str">
        <f t="shared" ref="G6:G14" si="0">IF(ABS($E6-$D6)&lt;=$F6,"PASS","FAIL")</f>
        <v>PASS</v>
      </c>
      <c r="H6" s="19" t="str">
        <f t="shared" ref="H6:H12" si="1">HYPERLINK("#'Rate Engine'!A1","Rate Engine")</f>
        <v>Rate Engine</v>
      </c>
      <c r="I6" s="6" t="s">
        <v>748</v>
      </c>
      <c r="J6" s="6" t="str">
        <f>COUNTIFS($B$6:$B$62,"Oracle tie",$G$6:$G$62,"PASS")&amp;" / "&amp;COUNTIF($B$6:$B$62,"Oracle tie")&amp;" pass"</f>
        <v>13 / 13 pass</v>
      </c>
      <c r="K6" s="262" t="str">
        <f>IF(COUNTIFS($B$6:$B$62,"Oracle tie",$G$6:$G$62,"FAIL")&gt;0,"FAIL",IF(COUNTIFS($B$6:$B$62,"Oracle tie",$G$6:$G$62,"WARN")&gt;0,"WARN",IF(COUNTIFS($B$6:$B$62,"Oracle tie",$G$6:$G$62,"N/A")=COUNTIF($B$6:$B$62,"Oracle tie"),"N/A","OK")))</f>
        <v>OK</v>
      </c>
    </row>
    <row r="7" spans="1:15" x14ac:dyDescent="0.3">
      <c r="A7" s="187">
        <v>2</v>
      </c>
      <c r="B7" s="6" t="s">
        <v>739</v>
      </c>
      <c r="C7" s="20" t="s">
        <v>749</v>
      </c>
      <c r="D7" s="263">
        <f>0</f>
        <v>0</v>
      </c>
      <c r="E7" s="263">
        <f>MAX(re_viol_row)</f>
        <v>2.2204460492503131E-16</v>
      </c>
      <c r="F7" s="264">
        <v>1.0000000000000001E-9</v>
      </c>
      <c r="G7" s="262" t="str">
        <f t="shared" si="0"/>
        <v>PASS</v>
      </c>
      <c r="H7" s="19" t="str">
        <f t="shared" si="1"/>
        <v>Rate Engine</v>
      </c>
      <c r="I7" s="6" t="s">
        <v>750</v>
      </c>
      <c r="J7" s="6" t="str">
        <f>COUNTIFS($B$6:$B$62,"Input sanity",$G$6:$G$62,"PASS")&amp;" / "&amp;COUNTIF($B$6:$B$62,"Input sanity")&amp;" pass"</f>
        <v>9 / 9 pass</v>
      </c>
      <c r="K7" s="262" t="str">
        <f>IF(COUNTIFS($B$6:$B$62,"Input sanity",$G$6:$G$62,"FAIL")&gt;0,"FAIL",IF(COUNTIFS($B$6:$B$62,"Input sanity",$G$6:$G$62,"WARN")&gt;0,"WARN",IF(COUNTIFS($B$6:$B$62,"Input sanity",$G$6:$G$62,"N/A")=COUNTIF($B$6:$B$62,"Input sanity"),"N/A","OK")))</f>
        <v>OK</v>
      </c>
    </row>
    <row r="8" spans="1:15" x14ac:dyDescent="0.3">
      <c r="A8" s="187">
        <v>3</v>
      </c>
      <c r="B8" s="6" t="s">
        <v>739</v>
      </c>
      <c r="C8" s="20" t="s">
        <v>751</v>
      </c>
      <c r="D8" s="263">
        <f>nr_ECY_P</f>
        <v>1.1299600000000001</v>
      </c>
      <c r="E8" s="263">
        <f>re_ecy_matrix</f>
        <v>1.1299599999999999</v>
      </c>
      <c r="F8" s="264">
        <v>1.0000000000000001E-9</v>
      </c>
      <c r="G8" s="262" t="str">
        <f t="shared" si="0"/>
        <v>PASS</v>
      </c>
      <c r="H8" s="19" t="str">
        <f t="shared" si="1"/>
        <v>Rate Engine</v>
      </c>
      <c r="I8" s="6" t="s">
        <v>752</v>
      </c>
      <c r="J8" s="6" t="str">
        <f>COUNTIFS($B$6:$B$62,"Advisory",$G$6:$G$62,"PASS")&amp;" / "&amp;COUNTIF($B$6:$B$62,"Advisory")&amp;" pass"</f>
        <v>14 / 15 pass</v>
      </c>
      <c r="K8" s="262" t="str">
        <f>IF(COUNTIFS($B$6:$B$62,"Advisory",$G$6:$G$62,"FAIL")&gt;0,"FAIL",IF(COUNTIFS($B$6:$B$62,"Advisory",$G$6:$G$62,"WARN")&gt;0,"WARN",IF(COUNTIFS($B$6:$B$62,"Advisory",$G$6:$G$62,"N/A")=COUNTIF($B$6:$B$62,"Advisory"),"N/A","OK")))</f>
        <v>WARN</v>
      </c>
    </row>
    <row r="9" spans="1:15" x14ac:dyDescent="0.3">
      <c r="A9" s="187">
        <v>4</v>
      </c>
      <c r="B9" s="6" t="s">
        <v>739</v>
      </c>
      <c r="C9" s="20" t="s">
        <v>753</v>
      </c>
      <c r="D9" s="263">
        <f>0</f>
        <v>0</v>
      </c>
      <c r="E9" s="263">
        <f>IF(br_selrow=0,0,ABS(INDEX(calc_ecy_p,br_selrow)-nr_ECY_P))</f>
        <v>0</v>
      </c>
      <c r="F9" s="264">
        <v>1.0000000000000001E-9</v>
      </c>
      <c r="G9" s="262" t="str">
        <f t="shared" si="0"/>
        <v>PASS</v>
      </c>
      <c r="H9" s="19" t="str">
        <f t="shared" si="1"/>
        <v>Rate Engine</v>
      </c>
    </row>
    <row r="10" spans="1:15" x14ac:dyDescent="0.3">
      <c r="A10" s="187">
        <v>5</v>
      </c>
      <c r="B10" s="6" t="s">
        <v>739</v>
      </c>
      <c r="C10" s="20" t="s">
        <v>754</v>
      </c>
      <c r="D10" s="263">
        <f>0</f>
        <v>0</v>
      </c>
      <c r="E10" s="263">
        <f>IF(br_selrow=0,0,ABS(INDEX(calc_crl,br_selrow)-nr_CRLind))</f>
        <v>0</v>
      </c>
      <c r="F10" s="264">
        <v>1.0000000000000001E-9</v>
      </c>
      <c r="G10" s="262" t="str">
        <f t="shared" si="0"/>
        <v>PASS</v>
      </c>
      <c r="H10" s="19" t="str">
        <f t="shared" si="1"/>
        <v>Rate Engine</v>
      </c>
    </row>
    <row r="11" spans="1:15" x14ac:dyDescent="0.3">
      <c r="A11" s="187">
        <v>6</v>
      </c>
      <c r="B11" s="6" t="s">
        <v>739</v>
      </c>
      <c r="C11" s="20" t="s">
        <v>755</v>
      </c>
      <c r="D11" s="263">
        <f>0</f>
        <v>0</v>
      </c>
      <c r="E11" s="263">
        <f>ABS(nr_LRcur*nr_Arate_P*nr_Amod_P*nr_AOther-nr_CYLR_P)</f>
        <v>0</v>
      </c>
      <c r="F11" s="264">
        <v>1.0000000000000001E-9</v>
      </c>
      <c r="G11" s="262" t="str">
        <f t="shared" si="0"/>
        <v>PASS</v>
      </c>
      <c r="H11" s="19" t="str">
        <f t="shared" si="1"/>
        <v>Rate Engine</v>
      </c>
    </row>
    <row r="12" spans="1:15" x14ac:dyDescent="0.3">
      <c r="A12" s="187">
        <v>7</v>
      </c>
      <c r="B12" s="6" t="s">
        <v>739</v>
      </c>
      <c r="C12" s="20" t="s">
        <v>756</v>
      </c>
      <c r="D12" s="263">
        <f>0</f>
        <v>0</v>
      </c>
      <c r="E12" s="263">
        <f>ABS(nr_LRcur*(1+nr_Trend)*nr_Arate_P1*nr_Amod_P1*nr_AOther-nr_CYLR_P1)</f>
        <v>0</v>
      </c>
      <c r="F12" s="264">
        <v>1.0000000000000001E-9</v>
      </c>
      <c r="G12" s="262" t="str">
        <f t="shared" si="0"/>
        <v>PASS</v>
      </c>
      <c r="H12" s="19" t="str">
        <f t="shared" si="1"/>
        <v>Rate Engine</v>
      </c>
    </row>
    <row r="13" spans="1:15" x14ac:dyDescent="0.3">
      <c r="A13" s="187">
        <v>8</v>
      </c>
      <c r="B13" s="6" t="s">
        <v>739</v>
      </c>
      <c r="C13" s="20" t="s">
        <v>757</v>
      </c>
      <c r="D13" s="263">
        <f>0</f>
        <v>0</v>
      </c>
      <c r="E13" s="263">
        <f>IF(br_selrow=0,0,ABS(INDEX(calc_cylr_p,br_selrow)-nr_CYLR_P))</f>
        <v>0</v>
      </c>
      <c r="F13" s="264">
        <v>1.0000000000000001E-9</v>
      </c>
      <c r="G13" s="262" t="str">
        <f t="shared" si="0"/>
        <v>PASS</v>
      </c>
      <c r="H13" s="19" t="str">
        <f>HYPERLINK("#Inputs!A1","Inputs")</f>
        <v>Inputs</v>
      </c>
    </row>
    <row r="14" spans="1:15" x14ac:dyDescent="0.3">
      <c r="A14" s="187">
        <v>9</v>
      </c>
      <c r="B14" s="6" t="s">
        <v>739</v>
      </c>
      <c r="C14" s="20" t="s">
        <v>758</v>
      </c>
      <c r="D14" s="263">
        <f>0</f>
        <v>0</v>
      </c>
      <c r="E14" s="263">
        <f>IF(COUNT(sc_dpts,sc_shift,sc_ach,sc_dm1,sc_dnet)&gt;0,0,ABS(INDEX(sc_res_cylr,2)-nr_CYLR_P))</f>
        <v>0</v>
      </c>
      <c r="F14" s="264">
        <v>1.0000000000000001E-9</v>
      </c>
      <c r="G14" s="262" t="str">
        <f t="shared" si="0"/>
        <v>PASS</v>
      </c>
      <c r="H14" s="19" t="str">
        <f>HYPERLINK("#'Rate Engine'!A1","Rate Engine")</f>
        <v>Rate Engine</v>
      </c>
    </row>
    <row r="15" spans="1:15" x14ac:dyDescent="0.3">
      <c r="A15" s="187">
        <v>10</v>
      </c>
      <c r="B15" s="6" t="s">
        <v>746</v>
      </c>
      <c r="C15" s="20" t="s">
        <v>759</v>
      </c>
      <c r="D15" s="207">
        <f>me_identity</f>
        <v>0.86603938730853391</v>
      </c>
      <c r="E15" s="207">
        <f>nr_MEarned_P</f>
        <v>0.87197757111597374</v>
      </c>
      <c r="F15" s="265">
        <f>MAX(0.0002,ABS('Mod Engine'!$H$7)*2)</f>
        <v>2.0000000000000001E-4</v>
      </c>
      <c r="G15" s="262" t="str">
        <f>IF(NOT(me_identity_ok),"N/A",IF(ABS(nr_MEarned_P-me_identity)&lt;=$F15,"PASS","FAIL"))</f>
        <v>N/A</v>
      </c>
      <c r="H15" s="19" t="str">
        <f>HYPERLINK("#'Mod Engine'!A1","Mod Engine")</f>
        <v>Mod Engine</v>
      </c>
    </row>
    <row r="16" spans="1:15" x14ac:dyDescent="0.3">
      <c r="A16" s="187">
        <v>11</v>
      </c>
      <c r="B16" s="6" t="s">
        <v>739</v>
      </c>
      <c r="C16" s="20" t="s">
        <v>760</v>
      </c>
      <c r="D16" s="46">
        <f>N(att_actlr)</f>
        <v>0</v>
      </c>
      <c r="E16" s="263">
        <f>IF(N(att_actlr)=0,0,ABS(Attribution!$D$25*Attribution!$C$26*Attribution!$C$27*Attribution!$C$28*Attribution!$C$29-att_actlr))</f>
        <v>0</v>
      </c>
      <c r="F16" s="187">
        <v>9.9999999999999995E-8</v>
      </c>
      <c r="G16" s="262" t="str">
        <f>IF(N(att_actlr)=0,"N/A",IF($E16&lt;=$F16,"PASS","FAIL"))</f>
        <v>N/A</v>
      </c>
      <c r="H16" s="19" t="str">
        <f>HYPERLINK("#Attribution!A1","Attribution")</f>
        <v>Attribution</v>
      </c>
    </row>
    <row r="17" spans="1:8" x14ac:dyDescent="0.3">
      <c r="A17" s="187">
        <v>12</v>
      </c>
      <c r="B17" s="6" t="s">
        <v>748</v>
      </c>
      <c r="C17" s="20" t="s">
        <v>761</v>
      </c>
      <c r="D17" s="263">
        <f>orc_crl</f>
        <v>1.1024</v>
      </c>
      <c r="E17" s="263">
        <f>nr_CRLind</f>
        <v>1.1024</v>
      </c>
      <c r="F17" s="264">
        <v>9.9999999999999995E-7</v>
      </c>
      <c r="G17" s="262" t="str">
        <f t="shared" ref="G17:G27" si="2">IF(NOT(orc_fp),"N/A",IF(ABS($E17-$D17)&lt;=$F17,"PASS","FAIL"))</f>
        <v>PASS</v>
      </c>
      <c r="H17" s="19" t="str">
        <f t="shared" ref="H17:H29" si="3">HYPERLINK("#'Walkthrough'!A1","Walkthrough")</f>
        <v>Walkthrough</v>
      </c>
    </row>
    <row r="18" spans="1:8" x14ac:dyDescent="0.3">
      <c r="A18" s="187">
        <v>13</v>
      </c>
      <c r="B18" s="6" t="s">
        <v>748</v>
      </c>
      <c r="C18" s="20" t="s">
        <v>762</v>
      </c>
      <c r="D18" s="263">
        <f>orc_ecy_pm1</f>
        <v>1.0556000000000001</v>
      </c>
      <c r="E18" s="263">
        <f>nr_ECY_Pm1</f>
        <v>1.0555999999999999</v>
      </c>
      <c r="F18" s="264">
        <v>9.9999999999999995E-7</v>
      </c>
      <c r="G18" s="262" t="str">
        <f t="shared" si="2"/>
        <v>PASS</v>
      </c>
      <c r="H18" s="19" t="str">
        <f t="shared" si="3"/>
        <v>Walkthrough</v>
      </c>
    </row>
    <row r="19" spans="1:8" x14ac:dyDescent="0.3">
      <c r="A19" s="187">
        <v>14</v>
      </c>
      <c r="B19" s="6" t="s">
        <v>748</v>
      </c>
      <c r="C19" s="20" t="s">
        <v>763</v>
      </c>
      <c r="D19" s="263">
        <f>orc_ecy_p</f>
        <v>1.1299600000000001</v>
      </c>
      <c r="E19" s="263">
        <f>nr_ECY_P</f>
        <v>1.1299600000000001</v>
      </c>
      <c r="F19" s="264">
        <v>9.9999999999999995E-7</v>
      </c>
      <c r="G19" s="262" t="str">
        <f t="shared" si="2"/>
        <v>PASS</v>
      </c>
      <c r="H19" s="19" t="str">
        <f t="shared" si="3"/>
        <v>Walkthrough</v>
      </c>
    </row>
    <row r="20" spans="1:8" x14ac:dyDescent="0.3">
      <c r="A20" s="187">
        <v>15</v>
      </c>
      <c r="B20" s="6" t="s">
        <v>748</v>
      </c>
      <c r="C20" s="20" t="s">
        <v>764</v>
      </c>
      <c r="D20" s="263">
        <f>orc_ecy_p1</f>
        <v>1.1575200000000001</v>
      </c>
      <c r="E20" s="263">
        <f>nr_ECY_P1</f>
        <v>1.1575200000000001</v>
      </c>
      <c r="F20" s="264">
        <v>9.9999999999999995E-7</v>
      </c>
      <c r="G20" s="262" t="str">
        <f t="shared" si="2"/>
        <v>PASS</v>
      </c>
      <c r="H20" s="19" t="str">
        <f t="shared" si="3"/>
        <v>Walkthrough</v>
      </c>
    </row>
    <row r="21" spans="1:8" x14ac:dyDescent="0.3">
      <c r="A21" s="187">
        <v>16</v>
      </c>
      <c r="B21" s="6" t="s">
        <v>748</v>
      </c>
      <c r="C21" s="20" t="s">
        <v>765</v>
      </c>
      <c r="D21" s="263">
        <f>orc_mbar_p</f>
        <v>0.87197757111597374</v>
      </c>
      <c r="E21" s="263">
        <f>nr_MEarned_P</f>
        <v>0.87197757111597374</v>
      </c>
      <c r="F21" s="264">
        <v>9.9999999999999995E-7</v>
      </c>
      <c r="G21" s="262" t="str">
        <f t="shared" si="2"/>
        <v>PASS</v>
      </c>
      <c r="H21" s="19" t="str">
        <f t="shared" si="3"/>
        <v>Walkthrough</v>
      </c>
    </row>
    <row r="22" spans="1:8" x14ac:dyDescent="0.3">
      <c r="A22" s="187">
        <v>17</v>
      </c>
      <c r="B22" s="6" t="s">
        <v>748</v>
      </c>
      <c r="C22" s="20" t="s">
        <v>766</v>
      </c>
      <c r="D22" s="263">
        <f>orc_arate_p</f>
        <v>0.97560975609756095</v>
      </c>
      <c r="E22" s="263">
        <f>nr_Arate_P</f>
        <v>0.97560975609756095</v>
      </c>
      <c r="F22" s="264">
        <v>9.9999999999999995E-7</v>
      </c>
      <c r="G22" s="262" t="str">
        <f t="shared" si="2"/>
        <v>PASS</v>
      </c>
      <c r="H22" s="19" t="str">
        <f t="shared" si="3"/>
        <v>Walkthrough</v>
      </c>
    </row>
    <row r="23" spans="1:8" x14ac:dyDescent="0.3">
      <c r="A23" s="187">
        <v>18</v>
      </c>
      <c r="B23" s="6" t="s">
        <v>748</v>
      </c>
      <c r="C23" s="20" t="s">
        <v>767</v>
      </c>
      <c r="D23" s="263">
        <f>orc_arate_p1</f>
        <v>0.95238095238095233</v>
      </c>
      <c r="E23" s="263">
        <f>nr_Arate_P1</f>
        <v>0.95238095238095233</v>
      </c>
      <c r="F23" s="264">
        <v>9.9999999999999995E-7</v>
      </c>
      <c r="G23" s="262" t="str">
        <f t="shared" si="2"/>
        <v>PASS</v>
      </c>
      <c r="H23" s="19" t="str">
        <f t="shared" si="3"/>
        <v>Walkthrough</v>
      </c>
    </row>
    <row r="24" spans="1:8" x14ac:dyDescent="0.3">
      <c r="A24" s="187">
        <v>19</v>
      </c>
      <c r="B24" s="6" t="s">
        <v>748</v>
      </c>
      <c r="C24" s="20" t="s">
        <v>768</v>
      </c>
      <c r="D24" s="263">
        <f>orc_amod_p</f>
        <v>0.97479571511472884</v>
      </c>
      <c r="E24" s="263">
        <f>nr_Amod_P</f>
        <v>0.97479571511472884</v>
      </c>
      <c r="F24" s="264">
        <v>9.9999999999999995E-7</v>
      </c>
      <c r="G24" s="262" t="str">
        <f t="shared" si="2"/>
        <v>PASS</v>
      </c>
      <c r="H24" s="19" t="str">
        <f t="shared" si="3"/>
        <v>Walkthrough</v>
      </c>
    </row>
    <row r="25" spans="1:8" x14ac:dyDescent="0.3">
      <c r="A25" s="187">
        <v>20</v>
      </c>
      <c r="B25" s="6" t="s">
        <v>748</v>
      </c>
      <c r="C25" s="20" t="s">
        <v>769</v>
      </c>
      <c r="D25" s="263">
        <f>orc_cylr_p</f>
        <v>0.61816313641421827</v>
      </c>
      <c r="E25" s="263">
        <f>nr_CYLR_P</f>
        <v>0.61816313641421827</v>
      </c>
      <c r="F25" s="264">
        <v>9.9999999999999995E-7</v>
      </c>
      <c r="G25" s="262" t="str">
        <f t="shared" si="2"/>
        <v>PASS</v>
      </c>
      <c r="H25" s="19" t="str">
        <f t="shared" si="3"/>
        <v>Walkthrough</v>
      </c>
    </row>
    <row r="26" spans="1:8" x14ac:dyDescent="0.3">
      <c r="A26" s="187">
        <v>21</v>
      </c>
      <c r="B26" s="6" t="s">
        <v>748</v>
      </c>
      <c r="C26" s="20" t="s">
        <v>770</v>
      </c>
      <c r="D26" s="263">
        <f>orc_cylr_p1</f>
        <v>0.59190316879792326</v>
      </c>
      <c r="E26" s="263">
        <f>nr_CYLR_P1</f>
        <v>0.59190316879792326</v>
      </c>
      <c r="F26" s="264">
        <v>9.9999999999999995E-7</v>
      </c>
      <c r="G26" s="262" t="str">
        <f t="shared" si="2"/>
        <v>PASS</v>
      </c>
      <c r="H26" s="19" t="str">
        <f t="shared" si="3"/>
        <v>Walkthrough</v>
      </c>
    </row>
    <row r="27" spans="1:8" x14ac:dyDescent="0.3">
      <c r="A27" s="187">
        <v>22</v>
      </c>
      <c r="B27" s="6" t="s">
        <v>748</v>
      </c>
      <c r="C27" s="20" t="s">
        <v>771</v>
      </c>
      <c r="D27" s="263">
        <f>orc_cylr_p_cont</f>
        <v>0.61814723651823666</v>
      </c>
      <c r="E27" s="263">
        <f>nr_CYLR_P</f>
        <v>0.61816313641421827</v>
      </c>
      <c r="F27" s="264">
        <v>1E-3</v>
      </c>
      <c r="G27" s="262" t="str">
        <f t="shared" si="2"/>
        <v>PASS</v>
      </c>
      <c r="H27" s="19" t="str">
        <f t="shared" si="3"/>
        <v>Walkthrough</v>
      </c>
    </row>
    <row r="28" spans="1:8" x14ac:dyDescent="0.3">
      <c r="A28" s="187">
        <v>23</v>
      </c>
      <c r="B28" s="6" t="s">
        <v>748</v>
      </c>
      <c r="C28" s="20" t="s">
        <v>772</v>
      </c>
      <c r="D28" s="266">
        <f>orc_solver_r</f>
        <v>5.0000000000000273E-2</v>
      </c>
      <c r="E28" s="266">
        <f>IF(ISNUMBER(nr_SolverR),nr_SolverR,-999)</f>
        <v>5.0000000000000266E-2</v>
      </c>
      <c r="F28" s="187">
        <v>9.9999999999999995E-7</v>
      </c>
      <c r="G28" s="262" t="str">
        <f>IF(OR(NOT(orc_fp),UPPER(Solver!$C$4)&lt;&gt;"Y",ABS(Solver!$C$7-orc_cylr_p)&gt;0.000001,Solver!$C$8&lt;&gt;DATE(nr_PlanYear,4,1)),"N/A",IF(ABS($E28-$D28)&lt;=$F28,"PASS","FAIL"))</f>
        <v>PASS</v>
      </c>
      <c r="H28" s="19" t="str">
        <f t="shared" si="3"/>
        <v>Walkthrough</v>
      </c>
    </row>
    <row r="29" spans="1:8" x14ac:dyDescent="0.3">
      <c r="A29" s="187">
        <v>24</v>
      </c>
      <c r="B29" s="6" t="s">
        <v>748</v>
      </c>
      <c r="C29" s="20" t="s">
        <v>773</v>
      </c>
      <c r="D29" s="46">
        <f>orc_cylr_p</f>
        <v>0.61816313641421827</v>
      </c>
      <c r="E29" s="46">
        <f>Solver!$G$32</f>
        <v>0.61816313641421838</v>
      </c>
      <c r="F29" s="187">
        <v>9.9999999999999995E-7</v>
      </c>
      <c r="G29" s="262" t="str">
        <f>IF(OR(NOT(orc_fp),UPPER(Solver!$C$4)&lt;&gt;"Y",Solver!$C$26&lt;&gt;0.05),"N/A",IF(ABS($E29-$D29)&lt;=$F29,"PASS","FAIL"))</f>
        <v>PASS</v>
      </c>
      <c r="H29" s="19" t="str">
        <f t="shared" si="3"/>
        <v>Walkthrough</v>
      </c>
    </row>
    <row r="30" spans="1:8" x14ac:dyDescent="0.3">
      <c r="A30" s="187">
        <v>25</v>
      </c>
      <c r="B30" s="6" t="s">
        <v>750</v>
      </c>
      <c r="C30" s="20" t="s">
        <v>774</v>
      </c>
      <c r="D30" s="263">
        <f>0</f>
        <v>0</v>
      </c>
      <c r="E30" s="263">
        <f>COUNTIF(rl_ach,"&gt;1.5")+COUNTIF(rl_ach,"&lt;0")</f>
        <v>0</v>
      </c>
      <c r="F30" s="264">
        <v>0</v>
      </c>
      <c r="G30" s="262" t="str">
        <f t="shared" ref="G30:G38" si="4">IF(ABS($E30-$D30)&lt;=$F30,"PASS","FAIL")</f>
        <v>PASS</v>
      </c>
      <c r="H30" s="19" t="str">
        <f>HYPERLINK("#'Rate Log'!A1","Rate Log")</f>
        <v>Rate Log</v>
      </c>
    </row>
    <row r="31" spans="1:8" x14ac:dyDescent="0.3">
      <c r="A31" s="187">
        <v>26</v>
      </c>
      <c r="B31" s="6" t="s">
        <v>750</v>
      </c>
      <c r="C31" s="20" t="s">
        <v>775</v>
      </c>
      <c r="D31" s="263">
        <f>0</f>
        <v>0</v>
      </c>
      <c r="E31" s="263">
        <f>COUNTIF(lr_mind,"&gt;1.5")+COUNTIF(lr_mind,"&lt;0.5")+COUNTIF(lr_m0,"&gt;1.5")+COUNTIF(lr_m0,"&lt;0.5")+COUNTIF(lr_m1,"&gt;1.5")+COUNTIF(lr_m1,"&lt;0.5")</f>
        <v>0</v>
      </c>
      <c r="F31" s="264">
        <v>0</v>
      </c>
      <c r="G31" s="262" t="str">
        <f t="shared" si="4"/>
        <v>PASS</v>
      </c>
      <c r="H31" s="19" t="str">
        <f>HYPERLINK("#Inputs!A1","Inputs")</f>
        <v>Inputs</v>
      </c>
    </row>
    <row r="32" spans="1:8" x14ac:dyDescent="0.3">
      <c r="A32" s="187">
        <v>27</v>
      </c>
      <c r="B32" s="6" t="s">
        <v>750</v>
      </c>
      <c r="C32" s="20" t="s">
        <v>776</v>
      </c>
      <c r="D32" s="263">
        <f>0</f>
        <v>0</v>
      </c>
      <c r="E32" s="263">
        <f>COUNTIF(lr_mprior,"&gt;1.5")+COUNTIF(lr_mprior,"&lt;0.5")+COUNTIF(lr_m2,"&gt;1.5")+COUNTIF(lr_m2,"&lt;0.5")</f>
        <v>0</v>
      </c>
      <c r="F32" s="264">
        <v>0</v>
      </c>
      <c r="G32" s="262" t="str">
        <f t="shared" si="4"/>
        <v>PASS</v>
      </c>
      <c r="H32" s="19" t="str">
        <f>HYPERLINK("#Inputs!A1","Inputs")</f>
        <v>Inputs</v>
      </c>
    </row>
    <row r="33" spans="1:8" x14ac:dyDescent="0.3">
      <c r="A33" s="187">
        <v>28</v>
      </c>
      <c r="B33" s="6" t="s">
        <v>750</v>
      </c>
      <c r="C33" s="20" t="s">
        <v>777</v>
      </c>
      <c r="D33" s="263">
        <f>0</f>
        <v>0</v>
      </c>
      <c r="E33" s="263">
        <f>COUNTIF(rl_reff,"&lt;=-1")</f>
        <v>0</v>
      </c>
      <c r="F33" s="264">
        <v>0</v>
      </c>
      <c r="G33" s="262" t="str">
        <f t="shared" si="4"/>
        <v>PASS</v>
      </c>
      <c r="H33" s="19" t="str">
        <f>HYPERLINK("#'Rate Log'!A1","Rate Log")</f>
        <v>Rate Log</v>
      </c>
    </row>
    <row r="34" spans="1:8" x14ac:dyDescent="0.3">
      <c r="A34" s="187">
        <v>29</v>
      </c>
      <c r="B34" s="6" t="s">
        <v>750</v>
      </c>
      <c r="C34" s="20" t="s">
        <v>778</v>
      </c>
      <c r="D34" s="263">
        <f>0</f>
        <v>0</v>
      </c>
      <c r="E34" s="263">
        <f>SUMPRODUCT((lr_key&lt;&gt;"")*(N(lr_m0asof)&gt;=DATE(nr_PlanYear,12,31))*1)</f>
        <v>0</v>
      </c>
      <c r="F34" s="264">
        <v>0</v>
      </c>
      <c r="G34" s="262" t="str">
        <f t="shared" si="4"/>
        <v>PASS</v>
      </c>
      <c r="H34" s="19" t="str">
        <f>HYPERLINK("#Inputs!A1","Inputs")</f>
        <v>Inputs</v>
      </c>
    </row>
    <row r="35" spans="1:8" x14ac:dyDescent="0.3">
      <c r="A35" s="187">
        <v>30</v>
      </c>
      <c r="B35" s="6" t="s">
        <v>750</v>
      </c>
      <c r="C35" s="20" t="s">
        <v>779</v>
      </c>
      <c r="D35" s="263">
        <f>0</f>
        <v>0</v>
      </c>
      <c r="E35" s="263">
        <f>SUMPRODUCT((rl_key&lt;&gt;"")*(rl_status&lt;&gt;"taken")*(rl_status&lt;&gt;"planned")*1)</f>
        <v>0</v>
      </c>
      <c r="F35" s="264">
        <v>0</v>
      </c>
      <c r="G35" s="262" t="str">
        <f t="shared" si="4"/>
        <v>PASS</v>
      </c>
      <c r="H35" s="19" t="str">
        <f>HYPERLINK("#'Rate Log'!A1","Rate Log")</f>
        <v>Rate Log</v>
      </c>
    </row>
    <row r="36" spans="1:8" x14ac:dyDescent="0.3">
      <c r="A36" s="187">
        <v>31</v>
      </c>
      <c r="B36" s="6" t="s">
        <v>750</v>
      </c>
      <c r="C36" s="20" t="s">
        <v>780</v>
      </c>
      <c r="D36" s="263">
        <f>0</f>
        <v>0</v>
      </c>
      <c r="E36" s="263">
        <f>SUMPRODUCT((lr_basis&lt;&gt;"current")*(lr_basis&lt;&gt;"proposed")*(lr_basis&lt;&gt;"")*1)</f>
        <v>0</v>
      </c>
      <c r="F36" s="264">
        <v>0</v>
      </c>
      <c r="G36" s="262" t="str">
        <f t="shared" si="4"/>
        <v>PASS</v>
      </c>
      <c r="H36" s="19" t="str">
        <f>HYPERLINK("#Inputs!A1","Inputs")</f>
        <v>Inputs</v>
      </c>
    </row>
    <row r="37" spans="1:8" x14ac:dyDescent="0.3">
      <c r="A37" s="187">
        <v>32</v>
      </c>
      <c r="B37" s="6" t="s">
        <v>750</v>
      </c>
      <c r="C37" s="20" t="s">
        <v>781</v>
      </c>
      <c r="D37" s="263">
        <f>0</f>
        <v>0</v>
      </c>
      <c r="E37" s="263">
        <f>COUNTIF(lr_ep,"&lt;0")</f>
        <v>0</v>
      </c>
      <c r="F37" s="264">
        <v>0</v>
      </c>
      <c r="G37" s="262" t="str">
        <f t="shared" si="4"/>
        <v>PASS</v>
      </c>
      <c r="H37" s="19" t="str">
        <f>HYPERLINK("#Inputs!A1","Inputs")</f>
        <v>Inputs</v>
      </c>
    </row>
    <row r="38" spans="1:8" x14ac:dyDescent="0.3">
      <c r="A38" s="187">
        <v>33</v>
      </c>
      <c r="B38" s="6" t="s">
        <v>750</v>
      </c>
      <c r="C38" s="20" t="s">
        <v>782</v>
      </c>
      <c r="D38" s="263">
        <f>0</f>
        <v>0</v>
      </c>
      <c r="E38" s="263">
        <f>COUNTIF(lr_netp,"&gt;1")+COUNTIF(lr_netp,"&lt;-0.5")+COUNTIF(lr_netp1,"&gt;1")+COUNTIF(lr_netp1,"&lt;-0.5")</f>
        <v>0</v>
      </c>
      <c r="F38" s="264">
        <v>0</v>
      </c>
      <c r="G38" s="262" t="str">
        <f t="shared" si="4"/>
        <v>PASS</v>
      </c>
      <c r="H38" s="19" t="str">
        <f>HYPERLINK("#Inputs!A1","Inputs")</f>
        <v>Inputs</v>
      </c>
    </row>
    <row r="39" spans="1:8" x14ac:dyDescent="0.3">
      <c r="A39" s="187">
        <v>34</v>
      </c>
      <c r="B39" s="6" t="s">
        <v>752</v>
      </c>
      <c r="C39" s="20" t="s">
        <v>783</v>
      </c>
      <c r="D39" s="263">
        <f>0</f>
        <v>0</v>
      </c>
      <c r="E39" s="263">
        <f>SUMPRODUCT((rl_status="planned")*(rl_cons="Y")*1)</f>
        <v>0</v>
      </c>
      <c r="F39" s="264">
        <v>0</v>
      </c>
      <c r="G39" s="262" t="str">
        <f t="shared" ref="G39:G48" si="5">IF(ABS($E39-$D39)&lt;=$F39,"PASS","WARN")</f>
        <v>PASS</v>
      </c>
      <c r="H39" s="19" t="str">
        <f>HYPERLINK("#'Rate Log'!A1","Rate Log")</f>
        <v>Rate Log</v>
      </c>
    </row>
    <row r="40" spans="1:8" x14ac:dyDescent="0.3">
      <c r="A40" s="187">
        <v>35</v>
      </c>
      <c r="B40" s="6" t="s">
        <v>752</v>
      </c>
      <c r="C40" s="20" t="s">
        <v>784</v>
      </c>
      <c r="D40" s="263">
        <f>0</f>
        <v>0</v>
      </c>
      <c r="E40" s="263">
        <f>SUM(rl_dup)</f>
        <v>0</v>
      </c>
      <c r="F40" s="264">
        <v>0</v>
      </c>
      <c r="G40" s="262" t="str">
        <f t="shared" si="5"/>
        <v>PASS</v>
      </c>
      <c r="H40" s="19" t="str">
        <f>HYPERLINK("#'Rate Log'!A1","Rate Log")</f>
        <v>Rate Log</v>
      </c>
    </row>
    <row r="41" spans="1:8" x14ac:dyDescent="0.3">
      <c r="A41" s="187">
        <v>36</v>
      </c>
      <c r="B41" s="6" t="s">
        <v>752</v>
      </c>
      <c r="C41" s="20" t="s">
        <v>785</v>
      </c>
      <c r="D41" s="263">
        <f>0</f>
        <v>0</v>
      </c>
      <c r="E41" s="263">
        <f>COUNTIF(rl_eff,"&lt;"&amp;DATE(nr_PlanYear-2,1,1))+COUNTIF(rl_eff,"&gt;"&amp;DATE(nr_PlanYear+1,12,31))</f>
        <v>0</v>
      </c>
      <c r="F41" s="264">
        <v>0</v>
      </c>
      <c r="G41" s="262" t="str">
        <f t="shared" si="5"/>
        <v>PASS</v>
      </c>
      <c r="H41" s="19" t="str">
        <f>HYPERLINK("#'Rate Log'!A1","Rate Log")</f>
        <v>Rate Log</v>
      </c>
    </row>
    <row r="42" spans="1:8" x14ac:dyDescent="0.3">
      <c r="A42" s="187">
        <v>37</v>
      </c>
      <c r="B42" s="6" t="s">
        <v>752</v>
      </c>
      <c r="C42" s="20" t="s">
        <v>786</v>
      </c>
      <c r="D42" s="263">
        <f>0</f>
        <v>0</v>
      </c>
      <c r="E42" s="263">
        <f>SUMPRODUCT((lr_key&lt;&gt;"")*(lr_aother&lt;&gt;"")*(lr_aother&lt;&gt;1)*(lr_aotherlbl="")*1)</f>
        <v>0</v>
      </c>
      <c r="F42" s="264">
        <v>0</v>
      </c>
      <c r="G42" s="262" t="str">
        <f t="shared" si="5"/>
        <v>PASS</v>
      </c>
      <c r="H42" s="19" t="str">
        <f>HYPERLINK("#Inputs!A1","Inputs")</f>
        <v>Inputs</v>
      </c>
    </row>
    <row r="43" spans="1:8" x14ac:dyDescent="0.3">
      <c r="A43" s="187">
        <v>38</v>
      </c>
      <c r="B43" s="6" t="s">
        <v>752</v>
      </c>
      <c r="C43" s="20" t="s">
        <v>787</v>
      </c>
      <c r="D43" s="263">
        <f>0</f>
        <v>0</v>
      </c>
      <c r="E43" s="263">
        <f>SUMPRODUCT((se_state&lt;&gt;"")*(N(se_sum)=0)*1)</f>
        <v>0</v>
      </c>
      <c r="F43" s="264">
        <v>0</v>
      </c>
      <c r="G43" s="262" t="str">
        <f t="shared" si="5"/>
        <v>PASS</v>
      </c>
      <c r="H43" s="19" t="str">
        <f>HYPERLINK("#Inputs!A1","Inputs")</f>
        <v>Inputs</v>
      </c>
    </row>
    <row r="44" spans="1:8" x14ac:dyDescent="0.3">
      <c r="A44" s="187">
        <v>39</v>
      </c>
      <c r="B44" s="6" t="s">
        <v>752</v>
      </c>
      <c r="C44" s="20" t="s">
        <v>788</v>
      </c>
      <c r="D44" s="263">
        <f>0</f>
        <v>0</v>
      </c>
      <c r="E44" s="263">
        <f>SUMPRODUCT((rl_key&lt;&gt;"")*(rl_cons&lt;&gt;"Y")*(rl_cons&lt;&gt;"N")*(rl_cons&lt;&gt;"")*1)</f>
        <v>0</v>
      </c>
      <c r="F44" s="264">
        <v>0</v>
      </c>
      <c r="G44" s="262" t="str">
        <f t="shared" si="5"/>
        <v>PASS</v>
      </c>
      <c r="H44" s="19" t="str">
        <f>HYPERLINK("#'Rate Log'!A1","Rate Log")</f>
        <v>Rate Log</v>
      </c>
    </row>
    <row r="45" spans="1:8" x14ac:dyDescent="0.3">
      <c r="A45" s="187">
        <v>40</v>
      </c>
      <c r="B45" s="6" t="s">
        <v>752</v>
      </c>
      <c r="C45" s="20" t="s">
        <v>789</v>
      </c>
      <c r="D45" s="263">
        <f>0</f>
        <v>0</v>
      </c>
      <c r="E45" s="263">
        <f>SUMPRODUCT((lr_key&lt;&gt;"")*(COUNTIF(lr_key,lr_key)&gt;1)*1)</f>
        <v>0</v>
      </c>
      <c r="F45" s="264">
        <v>0</v>
      </c>
      <c r="G45" s="262" t="str">
        <f t="shared" si="5"/>
        <v>PASS</v>
      </c>
      <c r="H45" s="19" t="str">
        <f>HYPERLINK("#Inputs!A1","Inputs")</f>
        <v>Inputs</v>
      </c>
    </row>
    <row r="46" spans="1:8" x14ac:dyDescent="0.3">
      <c r="A46" s="187">
        <v>41</v>
      </c>
      <c r="B46" s="6" t="s">
        <v>752</v>
      </c>
      <c r="C46" s="20" t="s">
        <v>790</v>
      </c>
      <c r="D46" s="263">
        <f>0</f>
        <v>0</v>
      </c>
      <c r="E46" s="263">
        <f>SUMPRODUCT((lr_key&lt;&gt;"")*(1-ISBLANK(lr_netp))*(lr_modadj="OFF")*1)</f>
        <v>0</v>
      </c>
      <c r="F46" s="264">
        <v>0</v>
      </c>
      <c r="G46" s="262" t="str">
        <f t="shared" si="5"/>
        <v>PASS</v>
      </c>
      <c r="H46" s="19" t="str">
        <f>HYPERLINK("#Inputs!A1","Inputs")</f>
        <v>Inputs</v>
      </c>
    </row>
    <row r="47" spans="1:8" x14ac:dyDescent="0.3">
      <c r="A47" s="187">
        <v>42</v>
      </c>
      <c r="B47" s="6" t="s">
        <v>752</v>
      </c>
      <c r="C47" s="20" t="s">
        <v>791</v>
      </c>
      <c r="D47" s="263">
        <f>0</f>
        <v>0</v>
      </c>
      <c r="E47" s="263">
        <f>IF(NOT(nr_NetMode),0,COUNTIFS(rl_key,nr_SelKey,rl_status,"planned",rl_eff,"&gt;="&amp;DATE(nr_PlanYear,1,1)))</f>
        <v>0</v>
      </c>
      <c r="F47" s="264">
        <v>0</v>
      </c>
      <c r="G47" s="262" t="str">
        <f t="shared" si="5"/>
        <v>PASS</v>
      </c>
      <c r="H47" s="19" t="str">
        <f>HYPERLINK("#'Rate Log'!A1","Rate Log")</f>
        <v>Rate Log</v>
      </c>
    </row>
    <row r="48" spans="1:8" x14ac:dyDescent="0.3">
      <c r="A48" s="187">
        <v>43</v>
      </c>
      <c r="B48" s="6" t="s">
        <v>752</v>
      </c>
      <c r="C48" s="20" t="s">
        <v>792</v>
      </c>
      <c r="D48" s="263">
        <f>0</f>
        <v>0</v>
      </c>
      <c r="E48" s="263">
        <f>IF(nr_SelOK,0,1)</f>
        <v>0</v>
      </c>
      <c r="F48" s="264">
        <v>0</v>
      </c>
      <c r="G48" s="262" t="str">
        <f t="shared" si="5"/>
        <v>PASS</v>
      </c>
      <c r="H48" s="19" t="str">
        <f>HYPERLINK("#Inputs!A1","Inputs")</f>
        <v>Inputs</v>
      </c>
    </row>
    <row r="49" spans="1:8" x14ac:dyDescent="0.3">
      <c r="A49" s="187">
        <v>44</v>
      </c>
      <c r="B49" s="6" t="s">
        <v>739</v>
      </c>
      <c r="C49" s="20" t="s">
        <v>793</v>
      </c>
      <c r="D49" s="263">
        <f>0</f>
        <v>0</v>
      </c>
      <c r="E49" s="263">
        <f>ABS(nr_WalkLR-nr_CYLR_P)</f>
        <v>0</v>
      </c>
      <c r="F49" s="264">
        <v>1.0000000000000001E-9</v>
      </c>
      <c r="G49" s="262" t="str">
        <f>IF(ABS($E49-$D49)&lt;=$F49,"PASS","FAIL")</f>
        <v>PASS</v>
      </c>
      <c r="H49" s="19" t="str">
        <f>HYPERLINK("#'Walkthrough'!A1","Walkthrough")</f>
        <v>Walkthrough</v>
      </c>
    </row>
    <row r="50" spans="1:8" x14ac:dyDescent="0.3">
      <c r="A50" s="187">
        <v>45</v>
      </c>
      <c r="B50" s="6" t="s">
        <v>752</v>
      </c>
      <c r="C50" s="20" t="s">
        <v>794</v>
      </c>
      <c r="D50" s="263">
        <f>0</f>
        <v>0</v>
      </c>
      <c r="E50" s="263">
        <f>SUMPRODUCT((rl_status="taken")*(rl_ach&lt;&gt;"")*(rl_ach&lt;&gt;1)*1)</f>
        <v>0</v>
      </c>
      <c r="F50" s="264">
        <v>0</v>
      </c>
      <c r="G50" s="262" t="str">
        <f>IF(ABS($E50-$D50)&lt;=$F50,"PASS","WARN")</f>
        <v>PASS</v>
      </c>
      <c r="H50" s="19" t="str">
        <f>HYPERLINK("#'Rate Log'!A1","Rate Log")</f>
        <v>Rate Log</v>
      </c>
    </row>
    <row r="51" spans="1:8" x14ac:dyDescent="0.3">
      <c r="A51" s="187">
        <v>46</v>
      </c>
      <c r="B51" s="6" t="s">
        <v>739</v>
      </c>
      <c r="C51" s="20" t="s">
        <v>795</v>
      </c>
      <c r="D51" s="263">
        <f>0</f>
        <v>0</v>
      </c>
      <c r="E51" s="263">
        <f>MAX(0,lst_state_cnt-24)</f>
        <v>0</v>
      </c>
      <c r="F51" s="264">
        <v>0</v>
      </c>
      <c r="G51" s="262" t="str">
        <f>IF(ABS($E51-$D51)&lt;=$F51,"PASS","FAIL")</f>
        <v>PASS</v>
      </c>
      <c r="H51" s="19" t="str">
        <f>HYPERLINK("#'Rate Engine'!A1","Rate Engine")</f>
        <v>Rate Engine</v>
      </c>
    </row>
    <row r="52" spans="1:8" x14ac:dyDescent="0.3">
      <c r="A52" s="187">
        <v>47</v>
      </c>
      <c r="B52" s="6" t="s">
        <v>739</v>
      </c>
      <c r="C52" s="20" t="s">
        <v>796</v>
      </c>
      <c r="D52" s="263">
        <f>0</f>
        <v>0</v>
      </c>
      <c r="E52" s="263">
        <f>nd_MaxResid</f>
        <v>0</v>
      </c>
      <c r="F52" s="264">
        <v>1.0000000000000001E-9</v>
      </c>
      <c r="G52" s="262" t="str">
        <f>IF(ABS($E52-$D52)&lt;=$F52,"PASS","FAIL")</f>
        <v>PASS</v>
      </c>
      <c r="H52" s="19" t="str">
        <f>HYPERLINK("#'Net Delivery'!A1","Net Delivery")</f>
        <v>Net Delivery</v>
      </c>
    </row>
    <row r="53" spans="1:8" x14ac:dyDescent="0.3">
      <c r="A53" s="187">
        <v>48</v>
      </c>
      <c r="B53" s="6" t="s">
        <v>739</v>
      </c>
      <c r="C53" s="20" t="s">
        <v>797</v>
      </c>
      <c r="D53" s="263">
        <f>0</f>
        <v>0</v>
      </c>
      <c r="E53" s="263">
        <f>nd_YagoDiff</f>
        <v>0</v>
      </c>
      <c r="F53" s="264">
        <v>1.0000000000000001E-9</v>
      </c>
      <c r="G53" s="262" t="str">
        <f>IF(ABS($E53-$D53)&lt;=$F53,"PASS","FAIL")</f>
        <v>PASS</v>
      </c>
      <c r="H53" s="19" t="str">
        <f>HYPERLINK("#'Net Delivery'!A1","Net Delivery")</f>
        <v>Net Delivery</v>
      </c>
    </row>
    <row r="54" spans="1:8" x14ac:dyDescent="0.3">
      <c r="A54" s="187">
        <v>49</v>
      </c>
      <c r="B54" s="6" t="s">
        <v>739</v>
      </c>
      <c r="C54" s="20" t="s">
        <v>798</v>
      </c>
      <c r="D54" s="263">
        <f>0</f>
        <v>0</v>
      </c>
      <c r="E54" s="263">
        <f>nd_NetSelfChk</f>
        <v>2.2204460492503131E-16</v>
      </c>
      <c r="F54" s="264">
        <v>1.0000000000000001E-9</v>
      </c>
      <c r="G54" s="262" t="str">
        <f>IF(ABS($E54-$D54)&lt;=$F54,"PASS","FAIL")</f>
        <v>PASS</v>
      </c>
      <c r="H54" s="19" t="str">
        <f>HYPERLINK("#'Net Delivery'!A1","Net Delivery")</f>
        <v>Net Delivery</v>
      </c>
    </row>
    <row r="55" spans="1:8" x14ac:dyDescent="0.3">
      <c r="A55" s="187">
        <v>50</v>
      </c>
      <c r="B55" s="6" t="s">
        <v>752</v>
      </c>
      <c r="C55" s="20" t="s">
        <v>799</v>
      </c>
      <c r="D55" s="263">
        <f>0</f>
        <v>0</v>
      </c>
      <c r="E55" s="263">
        <f>IF(nd_BU="All",0,SUMPRODUCT((ndd_flags&lt;&gt;"")*(ndd_flags&lt;&gt;"—")*1))</f>
        <v>0</v>
      </c>
      <c r="F55" s="264">
        <v>0</v>
      </c>
      <c r="G55" s="262" t="str">
        <f>IF(ABS($E55-$D55)&lt;=$F55,"PASS","WARN")</f>
        <v>PASS</v>
      </c>
      <c r="H55" s="19" t="str">
        <f>HYPERLINK("#'Net Delivery'!A1","Net Delivery")</f>
        <v>Net Delivery</v>
      </c>
    </row>
    <row r="56" spans="1:8" x14ac:dyDescent="0.3">
      <c r="A56" s="187">
        <v>51</v>
      </c>
      <c r="B56" s="6" t="s">
        <v>739</v>
      </c>
      <c r="C56" s="20" t="s">
        <v>800</v>
      </c>
      <c r="D56" s="263">
        <f>0</f>
        <v>0</v>
      </c>
      <c r="E56" s="263">
        <f>IF(slv_key&lt;&gt;nr_SelKey,0,SUMPRODUCT(ABS(fd_tkw-slv_widx)))</f>
        <v>0</v>
      </c>
      <c r="F56" s="264">
        <v>1.0000000000000001E-9</v>
      </c>
      <c r="G56" s="262" t="str">
        <f>IF(ABS($E56-$D56)&lt;=$F56,"PASS","FAIL")</f>
        <v>PASS</v>
      </c>
      <c r="H56" s="19" t="str">
        <f>HYPERLINK("#'Flow Dashboard'!A1","Flow Dashboard")</f>
        <v>Flow Dashboard</v>
      </c>
    </row>
    <row r="57" spans="1:8" x14ac:dyDescent="0.3">
      <c r="A57" s="187">
        <v>52</v>
      </c>
      <c r="B57" s="6" t="s">
        <v>739</v>
      </c>
      <c r="C57" s="20" t="s">
        <v>801</v>
      </c>
      <c r="D57" s="263">
        <f>0</f>
        <v>0</v>
      </c>
      <c r="E57" s="263">
        <f>IF(br_selrow=0,0,ABS(INDEX(_calc!$J:$J,76+(br_selrow-1)*54+51)-1-fd_avgdel))</f>
        <v>0</v>
      </c>
      <c r="F57" s="264">
        <v>1.0000000000000001E-9</v>
      </c>
      <c r="G57" s="262" t="str">
        <f>IF(ABS($E57-$D57)&lt;=$F57,"PASS","FAIL")</f>
        <v>PASS</v>
      </c>
      <c r="H57" s="19" t="str">
        <f>HYPERLINK("#'Flow Dashboard'!A1","Flow Dashboard")</f>
        <v>Flow Dashboard</v>
      </c>
    </row>
    <row r="58" spans="1:8" x14ac:dyDescent="0.3">
      <c r="A58" s="187">
        <v>53</v>
      </c>
      <c r="B58" s="6" t="s">
        <v>752</v>
      </c>
      <c r="C58" s="20" t="s">
        <v>802</v>
      </c>
      <c r="D58" s="263">
        <f>0</f>
        <v>0</v>
      </c>
      <c r="E58" s="263">
        <f>IF(pf_BU="All",0,COUNTIF(pfd_gap,"&gt;0.01"))</f>
        <v>0</v>
      </c>
      <c r="F58" s="264">
        <v>0</v>
      </c>
      <c r="G58" s="262" t="str">
        <f>IF(ABS($E58-$D58)&lt;=$F58,"PASS","WARN")</f>
        <v>PASS</v>
      </c>
      <c r="H58" s="19" t="str">
        <f>HYPERLINK("#'Program Flow'!A1","Program Flow")</f>
        <v>Program Flow</v>
      </c>
    </row>
    <row r="59" spans="1:8" x14ac:dyDescent="0.3">
      <c r="A59" s="187">
        <v>54</v>
      </c>
      <c r="B59" s="6" t="s">
        <v>752</v>
      </c>
      <c r="C59" s="20" t="s">
        <v>803</v>
      </c>
      <c r="D59" s="263">
        <f>0</f>
        <v>0</v>
      </c>
      <c r="E59" s="263">
        <f>COUNTIF(pfd_bookgap,"&gt;0.01")</f>
        <v>1</v>
      </c>
      <c r="F59" s="264">
        <v>0</v>
      </c>
      <c r="G59" s="262" t="str">
        <f>IF(ABS($E59-$D59)&lt;=$F59,"PASS","WARN")</f>
        <v>WARN</v>
      </c>
      <c r="H59" s="19" t="str">
        <f>HYPERLINK("#'Program Flow'!A1","Program Flow")</f>
        <v>Program Flow</v>
      </c>
    </row>
    <row r="60" spans="1:8" x14ac:dyDescent="0.3">
      <c r="A60" s="187">
        <v>55</v>
      </c>
      <c r="B60" s="6" t="s">
        <v>739</v>
      </c>
      <c r="C60" s="20" t="s">
        <v>804</v>
      </c>
      <c r="D60" s="263">
        <f>0</f>
        <v>0</v>
      </c>
      <c r="E60" s="263">
        <f>SUM(ss_mathchk)</f>
        <v>0</v>
      </c>
      <c r="F60" s="264">
        <v>1.0000000000000001E-9</v>
      </c>
      <c r="G60" s="262" t="str">
        <f>IF(ABS($E60-$D60)&lt;=$F60,"PASS","FAIL")</f>
        <v>PASS</v>
      </c>
      <c r="H60" s="19" t="str">
        <f>HYPERLINK("#'Rate Engine'!A1","Rate Engine")</f>
        <v>Rate Engine</v>
      </c>
    </row>
    <row r="61" spans="1:8" x14ac:dyDescent="0.3">
      <c r="A61" s="187">
        <v>56</v>
      </c>
      <c r="B61" s="6" t="s">
        <v>739</v>
      </c>
      <c r="C61" s="20" t="s">
        <v>805</v>
      </c>
      <c r="D61" s="263">
        <f>0</f>
        <v>0</v>
      </c>
      <c r="E61" s="263">
        <f>SUM(calc_progident)</f>
        <v>0</v>
      </c>
      <c r="F61" s="264">
        <v>1.0000000000000001E-9</v>
      </c>
      <c r="G61" s="262" t="str">
        <f>IF(ABS($E61-$D61)&lt;=$F61,"PASS","FAIL")</f>
        <v>PASS</v>
      </c>
      <c r="H61" s="19" t="str">
        <f>HYPERLINK("#'Rate Engine'!A1","Rate Engine")</f>
        <v>Rate Engine</v>
      </c>
    </row>
    <row r="62" spans="1:8" x14ac:dyDescent="0.3">
      <c r="A62" s="187">
        <v>57</v>
      </c>
      <c r="B62" s="6" t="s">
        <v>752</v>
      </c>
      <c r="C62" s="20" t="s">
        <v>806</v>
      </c>
      <c r="D62" s="263">
        <f>0</f>
        <v>0</v>
      </c>
      <c r="E62" s="263">
        <f>SUMPRODUCT((ABS(calc_proggap)&gt;1)*1)</f>
        <v>0</v>
      </c>
      <c r="F62" s="264">
        <v>0</v>
      </c>
      <c r="G62" s="262" t="str">
        <f>IF(ABS($E62-$D62)&lt;=$F62,"PASS","WARN")</f>
        <v>PASS</v>
      </c>
      <c r="H62" s="19" t="str">
        <f>HYPERLINK("#'Rate Engine'!A1","Rate Engine")</f>
        <v>Rate Engine</v>
      </c>
    </row>
    <row r="64" spans="1:8" x14ac:dyDescent="0.3">
      <c r="A64" s="51" t="s">
        <v>807</v>
      </c>
    </row>
    <row r="65" spans="1:1" x14ac:dyDescent="0.3">
      <c r="A65" s="51" t="s">
        <v>808</v>
      </c>
    </row>
  </sheetData>
  <conditionalFormatting sqref="C3">
    <cfRule type="cellIs" dxfId="9" priority="9" operator="equal">
      <formula>"ALL CHECKS PASS"</formula>
    </cfRule>
    <cfRule type="cellIs" dxfId="8" priority="10" operator="notEqual">
      <formula>"ALL CHECKS PASS"</formula>
    </cfRule>
  </conditionalFormatting>
  <conditionalFormatting sqref="G6:G62">
    <cfRule type="cellIs" dxfId="7" priority="5" operator="equal">
      <formula>"PASS"</formula>
    </cfRule>
    <cfRule type="cellIs" dxfId="6" priority="6" operator="equal">
      <formula>"FAIL"</formula>
    </cfRule>
    <cfRule type="cellIs" dxfId="5" priority="7" operator="equal">
      <formula>"WARN"</formula>
    </cfRule>
    <cfRule type="cellIs" dxfId="4" priority="8" operator="equal">
      <formula>"N/A"</formula>
    </cfRule>
  </conditionalFormatting>
  <conditionalFormatting sqref="K4:K8">
    <cfRule type="cellIs" dxfId="3" priority="1" operator="equal">
      <formula>"OK"</formula>
    </cfRule>
    <cfRule type="cellIs" dxfId="2" priority="2" operator="equal">
      <formula>"FAIL"</formula>
    </cfRule>
    <cfRule type="cellIs" dxfId="1" priority="3" operator="equal">
      <formula>"WARN"</formula>
    </cfRule>
    <cfRule type="cellIs" dxfId="0" priority="4" operator="equal">
      <formula>"N/A"</formula>
    </cfRule>
  </conditionalFormatting>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D9D9D9"/>
    <pageSetUpPr fitToPage="1"/>
  </sheetPr>
  <dimension ref="B2:D343"/>
  <sheetViews>
    <sheetView showGridLines="0" workbookViewId="0"/>
  </sheetViews>
  <sheetFormatPr defaultRowHeight="14.4" x14ac:dyDescent="0.3"/>
  <cols>
    <col min="1" max="1" width="2" customWidth="1"/>
    <col min="2" max="3" width="30" customWidth="1"/>
    <col min="4" max="4" width="90" customWidth="1"/>
  </cols>
  <sheetData>
    <row r="2" spans="2:2" ht="21" x14ac:dyDescent="0.3">
      <c r="B2" s="1" t="s">
        <v>809</v>
      </c>
    </row>
    <row r="3" spans="2:2" x14ac:dyDescent="0.3">
      <c r="B3" s="2" t="s">
        <v>810</v>
      </c>
    </row>
    <row r="4" spans="2:2" ht="15.6" x14ac:dyDescent="0.3">
      <c r="B4" s="3" t="s">
        <v>811</v>
      </c>
    </row>
    <row r="5" spans="2:2" x14ac:dyDescent="0.3">
      <c r="B5" s="155" t="str">
        <f>HYPERLINK("#Methodology!B19","1. Purpose and framework")</f>
        <v>1. Purpose and framework</v>
      </c>
    </row>
    <row r="6" spans="2:2" x14ac:dyDescent="0.3">
      <c r="B6" s="155" t="str">
        <f>HYPERLINK("#Methodology!B23","2. Timeline alignment — why no additional loss trend")</f>
        <v>2. Timeline alignment — why no additional loss trend</v>
      </c>
    </row>
    <row r="7" spans="2:2" x14ac:dyDescent="0.3">
      <c r="B7" s="155" t="str">
        <f>HYPERLINK("#Methodology!B26","3. Conventions")</f>
        <v>3. Conventions</v>
      </c>
    </row>
    <row r="8" spans="2:2" x14ac:dyDescent="0.3">
      <c r="B8" s="155" t="str">
        <f>HYPERLINK("#Methodology!B33","4. Rate engine")</f>
        <v>4. Rate engine</v>
      </c>
    </row>
    <row r="9" spans="2:2" x14ac:dyDescent="0.3">
      <c r="B9" s="155" t="str">
        <f>HYPERLINK("#Methodology!B38","5. Schedule mod engine")</f>
        <v>5. Schedule mod engine</v>
      </c>
    </row>
    <row r="10" spans="2:2" x14ac:dyDescent="0.3">
      <c r="B10" s="155" t="str">
        <f>HYPERLINK("#Methodology!B43","6. The bridge")</f>
        <v>6. The bridge</v>
      </c>
    </row>
    <row r="11" spans="2:2" x14ac:dyDescent="0.3">
      <c r="B11" s="155" t="str">
        <f>HYPERLINK("#Methodology!B48","6b. Net rate selection (optional, per BU x state)")</f>
        <v>6b. Net rate selection (optional, per BU x state)</v>
      </c>
    </row>
    <row r="12" spans="2:2" x14ac:dyDescent="0.3">
      <c r="B12" s="155" t="str">
        <f>HYPERLINK("#Methodology!B52","6c. Net Delivery decomposition (D57)")</f>
        <v>6c. Net Delivery decomposition (D57)</v>
      </c>
    </row>
    <row r="13" spans="2:2" x14ac:dyDescent="0.3">
      <c r="B13" s="155" t="str">
        <f>HYPERLINK("#Methodology!B58","6d. Program Flow (descriptive, D59)")</f>
        <v>6d. Program Flow (descriptive, D59)</v>
      </c>
    </row>
    <row r="14" spans="2:2" x14ac:dyDescent="0.3">
      <c r="B14" s="155" t="str">
        <f>HYPERLINK("#Methodology!B64","7. Solver (E1)")</f>
        <v>7. Solver (E1)</v>
      </c>
    </row>
    <row r="15" spans="2:2" x14ac:dyDescent="0.3">
      <c r="B15" s="155" t="str">
        <f>HYPERLINK("#Methodology!B67","8. Attribution (E2)")</f>
        <v>8. Attribution (E2)</v>
      </c>
    </row>
    <row r="16" spans="2:2" x14ac:dyDescent="0.3">
      <c r="B16" s="155" t="str">
        <f>HYPERLINK("#Methodology!B70","9. Assumptions and limitations")</f>
        <v>9. Assumptions and limitations</v>
      </c>
    </row>
    <row r="17" spans="2:4" x14ac:dyDescent="0.3">
      <c r="B17" s="155" t="str">
        <f>HYPERLINK("#Methodology!B80","9b. Rate Engine column dictionary")</f>
        <v>9b. Rate Engine column dictionary</v>
      </c>
    </row>
    <row r="18" spans="2:4" x14ac:dyDescent="0.3">
      <c r="B18" s="155" t="str">
        <f>HYPERLINK("#Methodology!B101","10. Technical appendix — named ranges")</f>
        <v>10. Technical appendix — named ranges</v>
      </c>
    </row>
    <row r="19" spans="2:4" ht="15.6" x14ac:dyDescent="0.3">
      <c r="B19" s="3" t="s">
        <v>812</v>
      </c>
    </row>
    <row r="20" spans="2:4" ht="118.05" customHeight="1" x14ac:dyDescent="0.3">
      <c r="D20" s="5" t="s">
        <v>813</v>
      </c>
    </row>
    <row r="21" spans="2:4" ht="48" customHeight="1" x14ac:dyDescent="0.3">
      <c r="D21" s="5" t="s">
        <v>814</v>
      </c>
    </row>
    <row r="23" spans="2:4" ht="15.6" x14ac:dyDescent="0.3">
      <c r="B23" s="3" t="s">
        <v>815</v>
      </c>
    </row>
    <row r="24" spans="2:4" ht="76.05" customHeight="1" x14ac:dyDescent="0.3">
      <c r="D24" s="5" t="s">
        <v>816</v>
      </c>
    </row>
    <row r="26" spans="2:4" ht="15.6" x14ac:dyDescent="0.3">
      <c r="B26" s="3" t="s">
        <v>817</v>
      </c>
    </row>
    <row r="27" spans="2:4" ht="61.95" customHeight="1" x14ac:dyDescent="0.3">
      <c r="D27" s="5" t="s">
        <v>818</v>
      </c>
    </row>
    <row r="28" spans="2:4" ht="48" customHeight="1" x14ac:dyDescent="0.3">
      <c r="D28" s="5" t="s">
        <v>819</v>
      </c>
    </row>
    <row r="29" spans="2:4" ht="61.95" customHeight="1" x14ac:dyDescent="0.3">
      <c r="D29" s="5" t="s">
        <v>820</v>
      </c>
    </row>
    <row r="30" spans="2:4" ht="61.95" customHeight="1" x14ac:dyDescent="0.3">
      <c r="D30" s="5" t="s">
        <v>821</v>
      </c>
    </row>
    <row r="31" spans="2:4" ht="61.95" customHeight="1" x14ac:dyDescent="0.3">
      <c r="D31" s="5" t="s">
        <v>822</v>
      </c>
    </row>
    <row r="33" spans="2:4" ht="15.6" x14ac:dyDescent="0.3">
      <c r="B33" s="3" t="s">
        <v>823</v>
      </c>
    </row>
    <row r="34" spans="2:4" ht="48" customHeight="1" x14ac:dyDescent="0.3">
      <c r="D34" s="5" t="s">
        <v>824</v>
      </c>
    </row>
    <row r="35" spans="2:4" ht="48" customHeight="1" x14ac:dyDescent="0.3">
      <c r="D35" s="5" t="s">
        <v>825</v>
      </c>
    </row>
    <row r="36" spans="2:4" ht="48" customHeight="1" x14ac:dyDescent="0.3">
      <c r="D36" s="5" t="s">
        <v>826</v>
      </c>
    </row>
    <row r="38" spans="2:4" ht="15.6" x14ac:dyDescent="0.3">
      <c r="B38" s="3" t="s">
        <v>827</v>
      </c>
    </row>
    <row r="39" spans="2:4" ht="76.05" customHeight="1" x14ac:dyDescent="0.3">
      <c r="D39" s="5" t="s">
        <v>828</v>
      </c>
    </row>
    <row r="40" spans="2:4" ht="76.05" customHeight="1" x14ac:dyDescent="0.3">
      <c r="D40" s="5" t="s">
        <v>829</v>
      </c>
    </row>
    <row r="41" spans="2:4" ht="48" customHeight="1" x14ac:dyDescent="0.3">
      <c r="D41" s="5" t="s">
        <v>830</v>
      </c>
    </row>
    <row r="43" spans="2:4" ht="15.6" x14ac:dyDescent="0.3">
      <c r="B43" s="3" t="s">
        <v>831</v>
      </c>
    </row>
    <row r="44" spans="2:4" ht="61.95" customHeight="1" x14ac:dyDescent="0.3">
      <c r="D44" s="5" t="s">
        <v>832</v>
      </c>
    </row>
    <row r="45" spans="2:4" ht="48" customHeight="1" x14ac:dyDescent="0.3">
      <c r="D45" s="5" t="s">
        <v>833</v>
      </c>
    </row>
    <row r="46" spans="2:4" ht="160.05000000000001" customHeight="1" x14ac:dyDescent="0.3">
      <c r="D46" s="5" t="s">
        <v>834</v>
      </c>
    </row>
    <row r="48" spans="2:4" ht="15.6" x14ac:dyDescent="0.3">
      <c r="B48" s="3" t="s">
        <v>835</v>
      </c>
    </row>
    <row r="49" spans="2:4" ht="118.05" customHeight="1" x14ac:dyDescent="0.3">
      <c r="D49" s="5" t="s">
        <v>836</v>
      </c>
    </row>
    <row r="50" spans="2:4" ht="118.05" customHeight="1" x14ac:dyDescent="0.3">
      <c r="D50" s="5" t="s">
        <v>837</v>
      </c>
    </row>
    <row r="52" spans="2:4" ht="15.6" x14ac:dyDescent="0.3">
      <c r="B52" s="3" t="s">
        <v>838</v>
      </c>
    </row>
    <row r="53" spans="2:4" ht="103.95" customHeight="1" x14ac:dyDescent="0.3">
      <c r="D53" s="5" t="s">
        <v>839</v>
      </c>
    </row>
    <row r="54" spans="2:4" ht="90" customHeight="1" x14ac:dyDescent="0.3">
      <c r="D54" s="5" t="s">
        <v>840</v>
      </c>
    </row>
    <row r="55" spans="2:4" ht="90" customHeight="1" x14ac:dyDescent="0.3">
      <c r="D55" s="5" t="s">
        <v>841</v>
      </c>
    </row>
    <row r="56" spans="2:4" ht="174" customHeight="1" x14ac:dyDescent="0.3">
      <c r="D56" s="5" t="s">
        <v>842</v>
      </c>
    </row>
    <row r="58" spans="2:4" ht="15.6" x14ac:dyDescent="0.3">
      <c r="B58" s="3" t="s">
        <v>843</v>
      </c>
    </row>
    <row r="59" spans="2:4" ht="118.05" customHeight="1" x14ac:dyDescent="0.3">
      <c r="D59" s="5" t="s">
        <v>844</v>
      </c>
    </row>
    <row r="60" spans="2:4" ht="103.95" customHeight="1" x14ac:dyDescent="0.3">
      <c r="D60" s="5" t="s">
        <v>845</v>
      </c>
    </row>
    <row r="61" spans="2:4" ht="132" customHeight="1" x14ac:dyDescent="0.3">
      <c r="D61" s="5" t="s">
        <v>846</v>
      </c>
    </row>
    <row r="62" spans="2:4" ht="160.05000000000001" customHeight="1" x14ac:dyDescent="0.3">
      <c r="D62" s="5" t="s">
        <v>847</v>
      </c>
    </row>
    <row r="64" spans="2:4" ht="15.6" x14ac:dyDescent="0.3">
      <c r="B64" s="3" t="s">
        <v>848</v>
      </c>
    </row>
    <row r="65" spans="2:4" ht="118.05" customHeight="1" x14ac:dyDescent="0.3">
      <c r="D65" s="5" t="s">
        <v>849</v>
      </c>
    </row>
    <row r="67" spans="2:4" ht="15.6" x14ac:dyDescent="0.3">
      <c r="B67" s="3" t="s">
        <v>850</v>
      </c>
    </row>
    <row r="68" spans="2:4" ht="76.05" customHeight="1" x14ac:dyDescent="0.3">
      <c r="D68" s="5" t="s">
        <v>851</v>
      </c>
    </row>
    <row r="70" spans="2:4" ht="15.6" x14ac:dyDescent="0.3">
      <c r="B70" s="3" t="s">
        <v>852</v>
      </c>
    </row>
    <row r="71" spans="2:4" ht="34.049999999999997" customHeight="1" x14ac:dyDescent="0.3">
      <c r="D71" s="5" t="s">
        <v>853</v>
      </c>
    </row>
    <row r="72" spans="2:4" ht="19.95" customHeight="1" x14ac:dyDescent="0.3">
      <c r="D72" s="5" t="s">
        <v>854</v>
      </c>
    </row>
    <row r="73" spans="2:4" ht="19.95" customHeight="1" x14ac:dyDescent="0.3">
      <c r="D73" s="5" t="s">
        <v>855</v>
      </c>
    </row>
    <row r="74" spans="2:4" ht="34.049999999999997" customHeight="1" x14ac:dyDescent="0.3">
      <c r="D74" s="5" t="s">
        <v>856</v>
      </c>
    </row>
    <row r="75" spans="2:4" ht="34.049999999999997" customHeight="1" x14ac:dyDescent="0.3">
      <c r="D75" s="5" t="s">
        <v>857</v>
      </c>
    </row>
    <row r="76" spans="2:4" ht="34.049999999999997" customHeight="1" x14ac:dyDescent="0.3">
      <c r="D76" s="5" t="s">
        <v>858</v>
      </c>
    </row>
    <row r="77" spans="2:4" ht="19.95" customHeight="1" x14ac:dyDescent="0.3">
      <c r="D77" s="5" t="s">
        <v>859</v>
      </c>
    </row>
    <row r="78" spans="2:4" ht="34.049999999999997" customHeight="1" x14ac:dyDescent="0.3">
      <c r="D78" s="5" t="s">
        <v>860</v>
      </c>
    </row>
    <row r="80" spans="2:4" ht="15.6" x14ac:dyDescent="0.3">
      <c r="B80" s="3" t="s">
        <v>861</v>
      </c>
    </row>
    <row r="81" spans="2:4" ht="48" customHeight="1" x14ac:dyDescent="0.3">
      <c r="D81" s="5" t="s">
        <v>862</v>
      </c>
    </row>
    <row r="82" spans="2:4" ht="19.05" customHeight="1" x14ac:dyDescent="0.3">
      <c r="B82" s="267" t="s">
        <v>863</v>
      </c>
      <c r="C82" s="268" t="s">
        <v>390</v>
      </c>
      <c r="D82" s="7" t="s">
        <v>864</v>
      </c>
    </row>
    <row r="83" spans="2:4" ht="19.05" customHeight="1" x14ac:dyDescent="0.3">
      <c r="B83" s="267" t="s">
        <v>865</v>
      </c>
      <c r="C83" s="268" t="s">
        <v>866</v>
      </c>
      <c r="D83" s="7" t="s">
        <v>867</v>
      </c>
    </row>
    <row r="84" spans="2:4" ht="19.05" customHeight="1" x14ac:dyDescent="0.3">
      <c r="B84" s="267" t="s">
        <v>868</v>
      </c>
      <c r="C84" s="268" t="s">
        <v>687</v>
      </c>
      <c r="D84" s="7" t="s">
        <v>869</v>
      </c>
    </row>
    <row r="85" spans="2:4" ht="31.95" customHeight="1" x14ac:dyDescent="0.3">
      <c r="B85" s="267" t="s">
        <v>870</v>
      </c>
      <c r="C85" s="268" t="s">
        <v>688</v>
      </c>
      <c r="D85" s="7" t="s">
        <v>871</v>
      </c>
    </row>
    <row r="86" spans="2:4" ht="19.05" customHeight="1" x14ac:dyDescent="0.3">
      <c r="B86" s="267" t="s">
        <v>872</v>
      </c>
      <c r="C86" s="268" t="s">
        <v>689</v>
      </c>
      <c r="D86" s="7" t="s">
        <v>873</v>
      </c>
    </row>
    <row r="87" spans="2:4" ht="31.95" customHeight="1" x14ac:dyDescent="0.3">
      <c r="B87" s="267" t="s">
        <v>874</v>
      </c>
      <c r="C87" s="268" t="s">
        <v>452</v>
      </c>
      <c r="D87" s="7" t="s">
        <v>875</v>
      </c>
    </row>
    <row r="88" spans="2:4" ht="19.05" customHeight="1" x14ac:dyDescent="0.3">
      <c r="B88" s="267" t="s">
        <v>876</v>
      </c>
      <c r="C88" s="268" t="s">
        <v>690</v>
      </c>
      <c r="D88" s="7" t="s">
        <v>877</v>
      </c>
    </row>
    <row r="89" spans="2:4" ht="19.05" customHeight="1" x14ac:dyDescent="0.3">
      <c r="B89" s="267" t="s">
        <v>878</v>
      </c>
      <c r="C89" s="268" t="s">
        <v>691</v>
      </c>
      <c r="D89" s="7" t="s">
        <v>879</v>
      </c>
    </row>
    <row r="90" spans="2:4" ht="19.05" customHeight="1" x14ac:dyDescent="0.3">
      <c r="B90" s="267" t="s">
        <v>880</v>
      </c>
      <c r="C90" s="268" t="s">
        <v>692</v>
      </c>
      <c r="D90" s="7" t="s">
        <v>881</v>
      </c>
    </row>
    <row r="91" spans="2:4" ht="19.05" customHeight="1" x14ac:dyDescent="0.3">
      <c r="B91" s="267" t="s">
        <v>882</v>
      </c>
      <c r="C91" s="268" t="s">
        <v>693</v>
      </c>
      <c r="D91" s="7" t="s">
        <v>883</v>
      </c>
    </row>
    <row r="92" spans="2:4" ht="19.05" customHeight="1" x14ac:dyDescent="0.3">
      <c r="B92" s="267" t="s">
        <v>884</v>
      </c>
      <c r="C92" s="268" t="s">
        <v>694</v>
      </c>
      <c r="D92" s="7" t="s">
        <v>885</v>
      </c>
    </row>
    <row r="93" spans="2:4" ht="19.05" customHeight="1" x14ac:dyDescent="0.3">
      <c r="B93" s="267" t="s">
        <v>247</v>
      </c>
      <c r="C93" s="268" t="s">
        <v>695</v>
      </c>
      <c r="D93" s="7" t="s">
        <v>886</v>
      </c>
    </row>
    <row r="94" spans="2:4" ht="19.05" customHeight="1" x14ac:dyDescent="0.3">
      <c r="B94" s="267" t="s">
        <v>887</v>
      </c>
      <c r="C94" s="268" t="s">
        <v>696</v>
      </c>
      <c r="D94" s="7" t="s">
        <v>888</v>
      </c>
    </row>
    <row r="95" spans="2:4" ht="31.95" customHeight="1" x14ac:dyDescent="0.3">
      <c r="B95" s="267" t="s">
        <v>889</v>
      </c>
      <c r="C95" s="268" t="s">
        <v>890</v>
      </c>
      <c r="D95" s="7" t="s">
        <v>891</v>
      </c>
    </row>
    <row r="96" spans="2:4" ht="31.95" customHeight="1" x14ac:dyDescent="0.3">
      <c r="B96" s="267" t="s">
        <v>892</v>
      </c>
      <c r="C96" s="268" t="s">
        <v>700</v>
      </c>
      <c r="D96" s="7" t="s">
        <v>893</v>
      </c>
    </row>
    <row r="97" spans="2:4" ht="19.05" customHeight="1" x14ac:dyDescent="0.3">
      <c r="B97" s="267" t="s">
        <v>894</v>
      </c>
      <c r="C97" s="268" t="s">
        <v>701</v>
      </c>
      <c r="D97" s="7" t="s">
        <v>895</v>
      </c>
    </row>
    <row r="98" spans="2:4" ht="31.95" customHeight="1" x14ac:dyDescent="0.3">
      <c r="B98" s="267" t="s">
        <v>896</v>
      </c>
      <c r="C98" s="268" t="s">
        <v>702</v>
      </c>
      <c r="D98" s="7" t="s">
        <v>897</v>
      </c>
    </row>
    <row r="99" spans="2:4" ht="31.95" customHeight="1" x14ac:dyDescent="0.3">
      <c r="B99" s="267" t="s">
        <v>898</v>
      </c>
      <c r="C99" s="268" t="s">
        <v>899</v>
      </c>
      <c r="D99" s="7" t="s">
        <v>900</v>
      </c>
    </row>
    <row r="101" spans="2:4" ht="15.6" x14ac:dyDescent="0.3">
      <c r="B101" s="3" t="s">
        <v>901</v>
      </c>
    </row>
    <row r="102" spans="2:4" ht="31.95" customHeight="1" x14ac:dyDescent="0.3">
      <c r="D102" s="7" t="s">
        <v>902</v>
      </c>
    </row>
    <row r="103" spans="2:4" x14ac:dyDescent="0.3">
      <c r="B103" s="40" t="s">
        <v>903</v>
      </c>
      <c r="C103" s="40" t="s">
        <v>904</v>
      </c>
      <c r="D103" s="40" t="s">
        <v>905</v>
      </c>
    </row>
    <row r="104" spans="2:4" x14ac:dyDescent="0.3">
      <c r="B104" s="269" t="s">
        <v>906</v>
      </c>
      <c r="C104" s="6" t="s">
        <v>907</v>
      </c>
      <c r="D104" s="6" t="s">
        <v>908</v>
      </c>
    </row>
    <row r="105" spans="2:4" x14ac:dyDescent="0.3">
      <c r="B105" s="269" t="s">
        <v>909</v>
      </c>
      <c r="C105" s="6" t="s">
        <v>910</v>
      </c>
      <c r="D105" s="6" t="s">
        <v>911</v>
      </c>
    </row>
    <row r="106" spans="2:4" x14ac:dyDescent="0.3">
      <c r="B106" s="269" t="s">
        <v>912</v>
      </c>
      <c r="C106" s="6" t="s">
        <v>913</v>
      </c>
      <c r="D106" s="6" t="s">
        <v>914</v>
      </c>
    </row>
    <row r="107" spans="2:4" x14ac:dyDescent="0.3">
      <c r="B107" s="269" t="s">
        <v>915</v>
      </c>
      <c r="C107" s="6" t="s">
        <v>916</v>
      </c>
      <c r="D107" s="6" t="s">
        <v>917</v>
      </c>
    </row>
    <row r="108" spans="2:4" x14ac:dyDescent="0.3">
      <c r="B108" s="269" t="s">
        <v>918</v>
      </c>
      <c r="C108" s="6" t="s">
        <v>919</v>
      </c>
      <c r="D108" s="6" t="s">
        <v>920</v>
      </c>
    </row>
    <row r="109" spans="2:4" x14ac:dyDescent="0.3">
      <c r="B109" s="269" t="s">
        <v>921</v>
      </c>
      <c r="C109" s="6" t="s">
        <v>922</v>
      </c>
      <c r="D109" s="6" t="s">
        <v>923</v>
      </c>
    </row>
    <row r="110" spans="2:4" x14ac:dyDescent="0.3">
      <c r="B110" s="269" t="s">
        <v>924</v>
      </c>
      <c r="C110" s="6" t="s">
        <v>925</v>
      </c>
      <c r="D110" s="6" t="s">
        <v>926</v>
      </c>
    </row>
    <row r="111" spans="2:4" x14ac:dyDescent="0.3">
      <c r="B111" s="269" t="s">
        <v>927</v>
      </c>
      <c r="C111" s="6" t="s">
        <v>928</v>
      </c>
      <c r="D111" s="6" t="s">
        <v>929</v>
      </c>
    </row>
    <row r="112" spans="2:4" x14ac:dyDescent="0.3">
      <c r="B112" s="269" t="s">
        <v>930</v>
      </c>
      <c r="C112" s="6" t="s">
        <v>931</v>
      </c>
      <c r="D112" s="6" t="s">
        <v>932</v>
      </c>
    </row>
    <row r="113" spans="2:4" x14ac:dyDescent="0.3">
      <c r="B113" s="269" t="s">
        <v>933</v>
      </c>
      <c r="C113" s="6" t="s">
        <v>934</v>
      </c>
      <c r="D113" s="6" t="s">
        <v>935</v>
      </c>
    </row>
    <row r="114" spans="2:4" x14ac:dyDescent="0.3">
      <c r="B114" s="269" t="s">
        <v>936</v>
      </c>
      <c r="C114" s="6" t="s">
        <v>937</v>
      </c>
      <c r="D114" s="6" t="s">
        <v>938</v>
      </c>
    </row>
    <row r="115" spans="2:4" x14ac:dyDescent="0.3">
      <c r="B115" s="269" t="s">
        <v>939</v>
      </c>
      <c r="C115" s="6" t="s">
        <v>940</v>
      </c>
      <c r="D115" s="6" t="s">
        <v>941</v>
      </c>
    </row>
    <row r="116" spans="2:4" x14ac:dyDescent="0.3">
      <c r="B116" s="269" t="s">
        <v>942</v>
      </c>
      <c r="C116" s="6" t="s">
        <v>943</v>
      </c>
      <c r="D116" s="6" t="s">
        <v>944</v>
      </c>
    </row>
    <row r="117" spans="2:4" x14ac:dyDescent="0.3">
      <c r="B117" s="269" t="s">
        <v>945</v>
      </c>
      <c r="C117" s="6" t="s">
        <v>946</v>
      </c>
      <c r="D117" s="6" t="s">
        <v>947</v>
      </c>
    </row>
    <row r="118" spans="2:4" x14ac:dyDescent="0.3">
      <c r="B118" s="269" t="s">
        <v>948</v>
      </c>
      <c r="C118" s="6" t="s">
        <v>949</v>
      </c>
      <c r="D118" s="6" t="s">
        <v>950</v>
      </c>
    </row>
    <row r="119" spans="2:4" x14ac:dyDescent="0.3">
      <c r="B119" s="269" t="s">
        <v>951</v>
      </c>
      <c r="C119" s="6" t="s">
        <v>952</v>
      </c>
      <c r="D119" s="6" t="s">
        <v>953</v>
      </c>
    </row>
    <row r="120" spans="2:4" x14ac:dyDescent="0.3">
      <c r="B120" s="269" t="s">
        <v>954</v>
      </c>
      <c r="C120" s="6" t="s">
        <v>955</v>
      </c>
      <c r="D120" s="6" t="s">
        <v>956</v>
      </c>
    </row>
    <row r="121" spans="2:4" x14ac:dyDescent="0.3">
      <c r="B121" s="269" t="s">
        <v>957</v>
      </c>
      <c r="C121" s="6" t="s">
        <v>958</v>
      </c>
      <c r="D121" s="6" t="s">
        <v>959</v>
      </c>
    </row>
    <row r="122" spans="2:4" x14ac:dyDescent="0.3">
      <c r="B122" s="269" t="s">
        <v>960</v>
      </c>
      <c r="C122" s="6" t="s">
        <v>961</v>
      </c>
      <c r="D122" s="6" t="s">
        <v>962</v>
      </c>
    </row>
    <row r="123" spans="2:4" x14ac:dyDescent="0.3">
      <c r="B123" s="269" t="s">
        <v>963</v>
      </c>
      <c r="C123" s="6" t="s">
        <v>964</v>
      </c>
      <c r="D123" s="6" t="s">
        <v>965</v>
      </c>
    </row>
    <row r="124" spans="2:4" x14ac:dyDescent="0.3">
      <c r="B124" s="269" t="s">
        <v>966</v>
      </c>
      <c r="C124" s="6" t="s">
        <v>967</v>
      </c>
      <c r="D124" s="6" t="s">
        <v>968</v>
      </c>
    </row>
    <row r="125" spans="2:4" x14ac:dyDescent="0.3">
      <c r="B125" s="269" t="s">
        <v>969</v>
      </c>
      <c r="C125" s="6" t="s">
        <v>970</v>
      </c>
      <c r="D125" s="6" t="s">
        <v>971</v>
      </c>
    </row>
    <row r="126" spans="2:4" x14ac:dyDescent="0.3">
      <c r="B126" s="269" t="s">
        <v>972</v>
      </c>
      <c r="C126" s="6" t="s">
        <v>973</v>
      </c>
      <c r="D126" s="6" t="s">
        <v>974</v>
      </c>
    </row>
    <row r="127" spans="2:4" x14ac:dyDescent="0.3">
      <c r="B127" s="269" t="s">
        <v>975</v>
      </c>
      <c r="C127" s="6" t="s">
        <v>976</v>
      </c>
      <c r="D127" s="6" t="s">
        <v>977</v>
      </c>
    </row>
    <row r="128" spans="2:4" x14ac:dyDescent="0.3">
      <c r="B128" s="269" t="s">
        <v>978</v>
      </c>
      <c r="C128" s="6" t="s">
        <v>979</v>
      </c>
      <c r="D128" s="6" t="s">
        <v>980</v>
      </c>
    </row>
    <row r="129" spans="2:4" x14ac:dyDescent="0.3">
      <c r="B129" s="269" t="s">
        <v>981</v>
      </c>
      <c r="C129" s="6" t="s">
        <v>982</v>
      </c>
      <c r="D129" s="6" t="s">
        <v>983</v>
      </c>
    </row>
    <row r="130" spans="2:4" x14ac:dyDescent="0.3">
      <c r="B130" s="269" t="s">
        <v>984</v>
      </c>
      <c r="C130" s="6" t="s">
        <v>985</v>
      </c>
      <c r="D130" s="6" t="s">
        <v>986</v>
      </c>
    </row>
    <row r="131" spans="2:4" x14ac:dyDescent="0.3">
      <c r="B131" s="269" t="s">
        <v>987</v>
      </c>
      <c r="C131" s="6" t="s">
        <v>988</v>
      </c>
      <c r="D131" s="6" t="s">
        <v>989</v>
      </c>
    </row>
    <row r="132" spans="2:4" x14ac:dyDescent="0.3">
      <c r="B132" s="269" t="s">
        <v>990</v>
      </c>
      <c r="C132" s="6" t="s">
        <v>991</v>
      </c>
      <c r="D132" s="6" t="s">
        <v>992</v>
      </c>
    </row>
    <row r="133" spans="2:4" x14ac:dyDescent="0.3">
      <c r="B133" s="269" t="s">
        <v>993</v>
      </c>
      <c r="C133" s="6" t="s">
        <v>994</v>
      </c>
      <c r="D133" s="6" t="s">
        <v>995</v>
      </c>
    </row>
    <row r="134" spans="2:4" x14ac:dyDescent="0.3">
      <c r="B134" s="269" t="s">
        <v>996</v>
      </c>
      <c r="C134" s="6" t="s">
        <v>997</v>
      </c>
      <c r="D134" s="6" t="s">
        <v>998</v>
      </c>
    </row>
    <row r="135" spans="2:4" x14ac:dyDescent="0.3">
      <c r="B135" s="269" t="s">
        <v>999</v>
      </c>
      <c r="C135" s="6" t="s">
        <v>1000</v>
      </c>
      <c r="D135" s="6" t="s">
        <v>1001</v>
      </c>
    </row>
    <row r="136" spans="2:4" x14ac:dyDescent="0.3">
      <c r="B136" s="269" t="s">
        <v>1002</v>
      </c>
      <c r="C136" s="6" t="s">
        <v>1003</v>
      </c>
      <c r="D136" s="6" t="s">
        <v>1004</v>
      </c>
    </row>
    <row r="137" spans="2:4" x14ac:dyDescent="0.3">
      <c r="B137" s="269" t="s">
        <v>1005</v>
      </c>
      <c r="C137" s="6" t="s">
        <v>1006</v>
      </c>
      <c r="D137" s="6" t="s">
        <v>1007</v>
      </c>
    </row>
    <row r="138" spans="2:4" x14ac:dyDescent="0.3">
      <c r="B138" s="269" t="s">
        <v>1008</v>
      </c>
      <c r="C138" s="6" t="s">
        <v>1009</v>
      </c>
      <c r="D138" s="6" t="s">
        <v>1010</v>
      </c>
    </row>
    <row r="139" spans="2:4" x14ac:dyDescent="0.3">
      <c r="B139" s="269" t="s">
        <v>1011</v>
      </c>
      <c r="C139" s="6" t="s">
        <v>1012</v>
      </c>
      <c r="D139" s="6" t="s">
        <v>1013</v>
      </c>
    </row>
    <row r="140" spans="2:4" x14ac:dyDescent="0.3">
      <c r="B140" s="269" t="s">
        <v>1014</v>
      </c>
      <c r="C140" s="6" t="s">
        <v>1015</v>
      </c>
      <c r="D140" s="6" t="s">
        <v>1016</v>
      </c>
    </row>
    <row r="141" spans="2:4" x14ac:dyDescent="0.3">
      <c r="B141" s="269" t="s">
        <v>1017</v>
      </c>
      <c r="C141" s="6" t="s">
        <v>1018</v>
      </c>
      <c r="D141" s="6" t="s">
        <v>1019</v>
      </c>
    </row>
    <row r="142" spans="2:4" x14ac:dyDescent="0.3">
      <c r="B142" s="269" t="s">
        <v>1020</v>
      </c>
      <c r="C142" s="6" t="s">
        <v>1021</v>
      </c>
      <c r="D142" s="6" t="s">
        <v>1022</v>
      </c>
    </row>
    <row r="143" spans="2:4" x14ac:dyDescent="0.3">
      <c r="B143" s="269" t="s">
        <v>1023</v>
      </c>
      <c r="C143" s="6" t="s">
        <v>1024</v>
      </c>
      <c r="D143" s="6" t="s">
        <v>1025</v>
      </c>
    </row>
    <row r="144" spans="2:4" x14ac:dyDescent="0.3">
      <c r="B144" s="269" t="s">
        <v>1026</v>
      </c>
      <c r="C144" s="6" t="s">
        <v>1027</v>
      </c>
      <c r="D144" s="6" t="s">
        <v>1028</v>
      </c>
    </row>
    <row r="145" spans="2:4" x14ac:dyDescent="0.3">
      <c r="B145" s="269" t="s">
        <v>1029</v>
      </c>
      <c r="C145" s="6" t="s">
        <v>1030</v>
      </c>
      <c r="D145" s="6" t="s">
        <v>1031</v>
      </c>
    </row>
    <row r="146" spans="2:4" x14ac:dyDescent="0.3">
      <c r="B146" s="269" t="s">
        <v>1032</v>
      </c>
      <c r="C146" s="6" t="s">
        <v>1033</v>
      </c>
      <c r="D146" s="6" t="s">
        <v>1034</v>
      </c>
    </row>
    <row r="147" spans="2:4" x14ac:dyDescent="0.3">
      <c r="B147" s="269" t="s">
        <v>1035</v>
      </c>
      <c r="C147" s="6" t="s">
        <v>1036</v>
      </c>
      <c r="D147" s="6" t="s">
        <v>1037</v>
      </c>
    </row>
    <row r="148" spans="2:4" x14ac:dyDescent="0.3">
      <c r="B148" s="269" t="s">
        <v>1038</v>
      </c>
      <c r="C148" s="6" t="s">
        <v>1039</v>
      </c>
      <c r="D148" s="6" t="s">
        <v>1040</v>
      </c>
    </row>
    <row r="149" spans="2:4" x14ac:dyDescent="0.3">
      <c r="B149" s="269" t="s">
        <v>1041</v>
      </c>
      <c r="C149" s="6" t="s">
        <v>1042</v>
      </c>
      <c r="D149" s="6" t="s">
        <v>1043</v>
      </c>
    </row>
    <row r="150" spans="2:4" x14ac:dyDescent="0.3">
      <c r="B150" s="269" t="s">
        <v>1044</v>
      </c>
      <c r="C150" s="6" t="s">
        <v>1045</v>
      </c>
      <c r="D150" s="6" t="s">
        <v>1046</v>
      </c>
    </row>
    <row r="151" spans="2:4" x14ac:dyDescent="0.3">
      <c r="B151" s="269" t="s">
        <v>1047</v>
      </c>
      <c r="C151" s="6" t="s">
        <v>1048</v>
      </c>
      <c r="D151" s="6" t="s">
        <v>1049</v>
      </c>
    </row>
    <row r="152" spans="2:4" x14ac:dyDescent="0.3">
      <c r="B152" s="269" t="s">
        <v>1050</v>
      </c>
      <c r="C152" s="6" t="s">
        <v>1051</v>
      </c>
      <c r="D152" s="6" t="s">
        <v>1052</v>
      </c>
    </row>
    <row r="153" spans="2:4" x14ac:dyDescent="0.3">
      <c r="B153" s="269" t="s">
        <v>1053</v>
      </c>
      <c r="C153" s="6" t="s">
        <v>1054</v>
      </c>
      <c r="D153" s="6" t="s">
        <v>1055</v>
      </c>
    </row>
    <row r="154" spans="2:4" x14ac:dyDescent="0.3">
      <c r="B154" s="269" t="s">
        <v>1056</v>
      </c>
      <c r="C154" s="6" t="s">
        <v>1057</v>
      </c>
      <c r="D154" s="6" t="s">
        <v>1058</v>
      </c>
    </row>
    <row r="155" spans="2:4" x14ac:dyDescent="0.3">
      <c r="B155" s="269" t="s">
        <v>1059</v>
      </c>
      <c r="C155" s="6" t="s">
        <v>1060</v>
      </c>
      <c r="D155" s="6" t="s">
        <v>1061</v>
      </c>
    </row>
    <row r="156" spans="2:4" x14ac:dyDescent="0.3">
      <c r="B156" s="269" t="s">
        <v>1062</v>
      </c>
      <c r="C156" s="6" t="s">
        <v>1063</v>
      </c>
      <c r="D156" s="6" t="s">
        <v>1064</v>
      </c>
    </row>
    <row r="157" spans="2:4" x14ac:dyDescent="0.3">
      <c r="B157" s="269" t="s">
        <v>1065</v>
      </c>
      <c r="C157" s="6" t="s">
        <v>1066</v>
      </c>
      <c r="D157" s="6" t="s">
        <v>1067</v>
      </c>
    </row>
    <row r="158" spans="2:4" x14ac:dyDescent="0.3">
      <c r="B158" s="269" t="s">
        <v>1068</v>
      </c>
      <c r="C158" s="6" t="s">
        <v>1069</v>
      </c>
      <c r="D158" s="6" t="s">
        <v>1070</v>
      </c>
    </row>
    <row r="159" spans="2:4" x14ac:dyDescent="0.3">
      <c r="B159" s="269" t="s">
        <v>1071</v>
      </c>
      <c r="C159" s="6" t="s">
        <v>1072</v>
      </c>
      <c r="D159" s="6" t="s">
        <v>1073</v>
      </c>
    </row>
    <row r="160" spans="2:4" x14ac:dyDescent="0.3">
      <c r="B160" s="269" t="s">
        <v>1074</v>
      </c>
      <c r="C160" s="6" t="s">
        <v>1075</v>
      </c>
      <c r="D160" s="6" t="s">
        <v>1076</v>
      </c>
    </row>
    <row r="161" spans="2:4" x14ac:dyDescent="0.3">
      <c r="B161" s="269" t="s">
        <v>1077</v>
      </c>
      <c r="C161" s="6" t="s">
        <v>1078</v>
      </c>
      <c r="D161" s="6" t="s">
        <v>1079</v>
      </c>
    </row>
    <row r="162" spans="2:4" x14ac:dyDescent="0.3">
      <c r="B162" s="269" t="s">
        <v>1080</v>
      </c>
      <c r="C162" s="6" t="s">
        <v>1081</v>
      </c>
      <c r="D162" s="6" t="s">
        <v>1082</v>
      </c>
    </row>
    <row r="163" spans="2:4" x14ac:dyDescent="0.3">
      <c r="B163" s="269" t="s">
        <v>1083</v>
      </c>
      <c r="C163" s="6" t="s">
        <v>1084</v>
      </c>
      <c r="D163" s="6" t="s">
        <v>1085</v>
      </c>
    </row>
    <row r="164" spans="2:4" x14ac:dyDescent="0.3">
      <c r="B164" s="269" t="s">
        <v>1086</v>
      </c>
      <c r="C164" s="6" t="s">
        <v>1087</v>
      </c>
      <c r="D164" s="6" t="s">
        <v>1088</v>
      </c>
    </row>
    <row r="165" spans="2:4" x14ac:dyDescent="0.3">
      <c r="B165" s="269" t="s">
        <v>1089</v>
      </c>
      <c r="C165" s="6" t="s">
        <v>1090</v>
      </c>
      <c r="D165" s="6" t="s">
        <v>1091</v>
      </c>
    </row>
    <row r="166" spans="2:4" x14ac:dyDescent="0.3">
      <c r="B166" s="269" t="s">
        <v>1092</v>
      </c>
      <c r="C166" s="6" t="s">
        <v>1093</v>
      </c>
      <c r="D166" s="6" t="s">
        <v>1094</v>
      </c>
    </row>
    <row r="167" spans="2:4" x14ac:dyDescent="0.3">
      <c r="B167" s="269" t="s">
        <v>1095</v>
      </c>
      <c r="C167" s="6" t="s">
        <v>1096</v>
      </c>
      <c r="D167" s="6" t="s">
        <v>1097</v>
      </c>
    </row>
    <row r="168" spans="2:4" x14ac:dyDescent="0.3">
      <c r="B168" s="269" t="s">
        <v>1098</v>
      </c>
      <c r="C168" s="6" t="s">
        <v>1099</v>
      </c>
      <c r="D168" s="6" t="s">
        <v>1100</v>
      </c>
    </row>
    <row r="169" spans="2:4" x14ac:dyDescent="0.3">
      <c r="B169" s="269" t="s">
        <v>1101</v>
      </c>
      <c r="C169" s="6" t="s">
        <v>1102</v>
      </c>
      <c r="D169" s="6" t="s">
        <v>1103</v>
      </c>
    </row>
    <row r="170" spans="2:4" x14ac:dyDescent="0.3">
      <c r="B170" s="269" t="s">
        <v>1104</v>
      </c>
      <c r="C170" s="6" t="s">
        <v>1105</v>
      </c>
      <c r="D170" s="6" t="s">
        <v>1106</v>
      </c>
    </row>
    <row r="171" spans="2:4" x14ac:dyDescent="0.3">
      <c r="B171" s="269" t="s">
        <v>1107</v>
      </c>
      <c r="C171" s="6" t="s">
        <v>1108</v>
      </c>
      <c r="D171" s="6" t="s">
        <v>1109</v>
      </c>
    </row>
    <row r="172" spans="2:4" x14ac:dyDescent="0.3">
      <c r="B172" s="269" t="s">
        <v>1110</v>
      </c>
      <c r="C172" s="6" t="s">
        <v>1111</v>
      </c>
      <c r="D172" s="6" t="s">
        <v>1112</v>
      </c>
    </row>
    <row r="173" spans="2:4" x14ac:dyDescent="0.3">
      <c r="B173" s="269" t="s">
        <v>1113</v>
      </c>
      <c r="C173" s="6" t="s">
        <v>1114</v>
      </c>
      <c r="D173" s="6" t="s">
        <v>1115</v>
      </c>
    </row>
    <row r="174" spans="2:4" x14ac:dyDescent="0.3">
      <c r="B174" s="269" t="s">
        <v>1116</v>
      </c>
      <c r="C174" s="6" t="s">
        <v>1117</v>
      </c>
      <c r="D174" s="6" t="s">
        <v>1118</v>
      </c>
    </row>
    <row r="175" spans="2:4" x14ac:dyDescent="0.3">
      <c r="B175" s="269" t="s">
        <v>1119</v>
      </c>
      <c r="C175" s="6" t="s">
        <v>1120</v>
      </c>
      <c r="D175" s="6" t="s">
        <v>1121</v>
      </c>
    </row>
    <row r="176" spans="2:4" x14ac:dyDescent="0.3">
      <c r="B176" s="269" t="s">
        <v>1122</v>
      </c>
      <c r="C176" s="6" t="s">
        <v>1123</v>
      </c>
      <c r="D176" s="6" t="s">
        <v>1124</v>
      </c>
    </row>
    <row r="177" spans="2:4" x14ac:dyDescent="0.3">
      <c r="B177" s="269" t="s">
        <v>1125</v>
      </c>
      <c r="C177" s="6" t="s">
        <v>1126</v>
      </c>
      <c r="D177" s="6" t="s">
        <v>1127</v>
      </c>
    </row>
    <row r="178" spans="2:4" x14ac:dyDescent="0.3">
      <c r="B178" s="269" t="s">
        <v>1128</v>
      </c>
      <c r="C178" s="6" t="s">
        <v>1129</v>
      </c>
      <c r="D178" s="6" t="s">
        <v>1130</v>
      </c>
    </row>
    <row r="179" spans="2:4" x14ac:dyDescent="0.3">
      <c r="B179" s="269" t="s">
        <v>1131</v>
      </c>
      <c r="C179" s="6" t="s">
        <v>1132</v>
      </c>
      <c r="D179" s="6" t="s">
        <v>1133</v>
      </c>
    </row>
    <row r="180" spans="2:4" x14ac:dyDescent="0.3">
      <c r="B180" s="269" t="s">
        <v>1134</v>
      </c>
      <c r="C180" s="6" t="s">
        <v>1135</v>
      </c>
      <c r="D180" s="6" t="s">
        <v>1136</v>
      </c>
    </row>
    <row r="181" spans="2:4" x14ac:dyDescent="0.3">
      <c r="B181" s="269" t="s">
        <v>1137</v>
      </c>
      <c r="C181" s="6" t="s">
        <v>1138</v>
      </c>
      <c r="D181" s="6" t="s">
        <v>1139</v>
      </c>
    </row>
    <row r="182" spans="2:4" x14ac:dyDescent="0.3">
      <c r="B182" s="269" t="s">
        <v>1140</v>
      </c>
      <c r="C182" s="6" t="s">
        <v>1141</v>
      </c>
      <c r="D182" s="6" t="s">
        <v>164</v>
      </c>
    </row>
    <row r="183" spans="2:4" x14ac:dyDescent="0.3">
      <c r="B183" s="269" t="s">
        <v>1142</v>
      </c>
      <c r="C183" s="6" t="s">
        <v>1143</v>
      </c>
      <c r="D183" s="6" t="s">
        <v>1144</v>
      </c>
    </row>
    <row r="184" spans="2:4" x14ac:dyDescent="0.3">
      <c r="B184" s="269" t="s">
        <v>1145</v>
      </c>
      <c r="C184" s="6" t="s">
        <v>1146</v>
      </c>
      <c r="D184" s="6" t="s">
        <v>1147</v>
      </c>
    </row>
    <row r="185" spans="2:4" x14ac:dyDescent="0.3">
      <c r="B185" s="269" t="s">
        <v>1148</v>
      </c>
      <c r="C185" s="6" t="s">
        <v>1149</v>
      </c>
      <c r="D185" s="6" t="s">
        <v>1150</v>
      </c>
    </row>
    <row r="186" spans="2:4" x14ac:dyDescent="0.3">
      <c r="B186" s="269" t="s">
        <v>1151</v>
      </c>
      <c r="C186" s="6" t="s">
        <v>1152</v>
      </c>
      <c r="D186" s="6" t="s">
        <v>1153</v>
      </c>
    </row>
    <row r="187" spans="2:4" x14ac:dyDescent="0.3">
      <c r="B187" s="269" t="s">
        <v>1154</v>
      </c>
      <c r="C187" s="6" t="s">
        <v>1155</v>
      </c>
      <c r="D187" s="6" t="s">
        <v>1156</v>
      </c>
    </row>
    <row r="188" spans="2:4" x14ac:dyDescent="0.3">
      <c r="B188" s="269" t="s">
        <v>1157</v>
      </c>
      <c r="C188" s="6" t="s">
        <v>1158</v>
      </c>
      <c r="D188" s="6" t="s">
        <v>1159</v>
      </c>
    </row>
    <row r="189" spans="2:4" x14ac:dyDescent="0.3">
      <c r="B189" s="269" t="s">
        <v>1160</v>
      </c>
      <c r="C189" s="6" t="s">
        <v>1161</v>
      </c>
      <c r="D189" s="6" t="s">
        <v>1162</v>
      </c>
    </row>
    <row r="190" spans="2:4" x14ac:dyDescent="0.3">
      <c r="B190" s="269" t="s">
        <v>1163</v>
      </c>
      <c r="C190" s="6" t="s">
        <v>1164</v>
      </c>
      <c r="D190" s="6" t="s">
        <v>1165</v>
      </c>
    </row>
    <row r="191" spans="2:4" x14ac:dyDescent="0.3">
      <c r="B191" s="269" t="s">
        <v>1166</v>
      </c>
      <c r="C191" s="6" t="s">
        <v>1167</v>
      </c>
      <c r="D191" s="6" t="s">
        <v>1168</v>
      </c>
    </row>
    <row r="192" spans="2:4" x14ac:dyDescent="0.3">
      <c r="B192" s="269" t="s">
        <v>1169</v>
      </c>
      <c r="C192" s="6" t="s">
        <v>1170</v>
      </c>
      <c r="D192" s="6" t="s">
        <v>1171</v>
      </c>
    </row>
    <row r="193" spans="2:4" x14ac:dyDescent="0.3">
      <c r="B193" s="269" t="s">
        <v>1172</v>
      </c>
      <c r="C193" s="6" t="s">
        <v>1173</v>
      </c>
      <c r="D193" s="6" t="s">
        <v>1174</v>
      </c>
    </row>
    <row r="194" spans="2:4" x14ac:dyDescent="0.3">
      <c r="B194" s="269" t="s">
        <v>1175</v>
      </c>
      <c r="C194" s="6" t="s">
        <v>1176</v>
      </c>
      <c r="D194" s="6" t="s">
        <v>1177</v>
      </c>
    </row>
    <row r="195" spans="2:4" x14ac:dyDescent="0.3">
      <c r="B195" s="269" t="s">
        <v>1178</v>
      </c>
      <c r="C195" s="6" t="s">
        <v>1179</v>
      </c>
      <c r="D195" s="6" t="s">
        <v>1180</v>
      </c>
    </row>
    <row r="196" spans="2:4" x14ac:dyDescent="0.3">
      <c r="B196" s="269" t="s">
        <v>1181</v>
      </c>
      <c r="C196" s="6" t="s">
        <v>1182</v>
      </c>
      <c r="D196" s="6" t="s">
        <v>1183</v>
      </c>
    </row>
    <row r="197" spans="2:4" x14ac:dyDescent="0.3">
      <c r="B197" s="269" t="s">
        <v>1184</v>
      </c>
      <c r="C197" s="6" t="s">
        <v>1185</v>
      </c>
      <c r="D197" s="6" t="s">
        <v>1186</v>
      </c>
    </row>
    <row r="198" spans="2:4" x14ac:dyDescent="0.3">
      <c r="B198" s="269" t="s">
        <v>1187</v>
      </c>
      <c r="C198" s="6" t="s">
        <v>1188</v>
      </c>
      <c r="D198" s="6" t="s">
        <v>1189</v>
      </c>
    </row>
    <row r="199" spans="2:4" x14ac:dyDescent="0.3">
      <c r="B199" s="269" t="s">
        <v>1190</v>
      </c>
      <c r="C199" s="6" t="s">
        <v>1191</v>
      </c>
      <c r="D199" s="6" t="s">
        <v>1192</v>
      </c>
    </row>
    <row r="200" spans="2:4" x14ac:dyDescent="0.3">
      <c r="B200" s="269" t="s">
        <v>1193</v>
      </c>
      <c r="C200" s="6" t="s">
        <v>1194</v>
      </c>
      <c r="D200" s="6" t="s">
        <v>1195</v>
      </c>
    </row>
    <row r="201" spans="2:4" x14ac:dyDescent="0.3">
      <c r="B201" s="269" t="s">
        <v>1196</v>
      </c>
      <c r="C201" s="6" t="s">
        <v>1197</v>
      </c>
      <c r="D201" s="6" t="s">
        <v>1198</v>
      </c>
    </row>
    <row r="202" spans="2:4" x14ac:dyDescent="0.3">
      <c r="B202" s="269" t="s">
        <v>1199</v>
      </c>
      <c r="C202" s="6" t="s">
        <v>1200</v>
      </c>
      <c r="D202" s="6" t="s">
        <v>1201</v>
      </c>
    </row>
    <row r="203" spans="2:4" x14ac:dyDescent="0.3">
      <c r="B203" s="269" t="s">
        <v>1202</v>
      </c>
      <c r="C203" s="6" t="s">
        <v>1203</v>
      </c>
      <c r="D203" s="6" t="s">
        <v>1204</v>
      </c>
    </row>
    <row r="204" spans="2:4" x14ac:dyDescent="0.3">
      <c r="B204" s="269" t="s">
        <v>1205</v>
      </c>
      <c r="C204" s="6" t="s">
        <v>1206</v>
      </c>
      <c r="D204" s="6" t="s">
        <v>1207</v>
      </c>
    </row>
    <row r="205" spans="2:4" x14ac:dyDescent="0.3">
      <c r="B205" s="269" t="s">
        <v>1208</v>
      </c>
      <c r="C205" s="6" t="s">
        <v>1209</v>
      </c>
      <c r="D205" s="6" t="s">
        <v>1210</v>
      </c>
    </row>
    <row r="206" spans="2:4" x14ac:dyDescent="0.3">
      <c r="B206" s="269" t="s">
        <v>1211</v>
      </c>
      <c r="C206" s="6" t="s">
        <v>1212</v>
      </c>
      <c r="D206" s="6" t="s">
        <v>1213</v>
      </c>
    </row>
    <row r="207" spans="2:4" x14ac:dyDescent="0.3">
      <c r="B207" s="269" t="s">
        <v>1214</v>
      </c>
      <c r="C207" s="6" t="s">
        <v>1215</v>
      </c>
      <c r="D207" s="6" t="s">
        <v>1216</v>
      </c>
    </row>
    <row r="208" spans="2:4" x14ac:dyDescent="0.3">
      <c r="B208" s="269" t="s">
        <v>1217</v>
      </c>
      <c r="C208" s="6" t="s">
        <v>1218</v>
      </c>
      <c r="D208" s="6" t="s">
        <v>1219</v>
      </c>
    </row>
    <row r="209" spans="2:4" x14ac:dyDescent="0.3">
      <c r="B209" s="269" t="s">
        <v>1220</v>
      </c>
      <c r="C209" s="6" t="s">
        <v>1221</v>
      </c>
      <c r="D209" s="6" t="s">
        <v>1222</v>
      </c>
    </row>
    <row r="210" spans="2:4" x14ac:dyDescent="0.3">
      <c r="B210" s="269" t="s">
        <v>1223</v>
      </c>
      <c r="C210" s="6" t="s">
        <v>1224</v>
      </c>
      <c r="D210" s="6" t="s">
        <v>1225</v>
      </c>
    </row>
    <row r="211" spans="2:4" x14ac:dyDescent="0.3">
      <c r="B211" s="269" t="s">
        <v>1226</v>
      </c>
      <c r="C211" s="6" t="s">
        <v>1227</v>
      </c>
      <c r="D211" s="6" t="s">
        <v>1228</v>
      </c>
    </row>
    <row r="212" spans="2:4" x14ac:dyDescent="0.3">
      <c r="B212" s="269" t="s">
        <v>1229</v>
      </c>
      <c r="C212" s="6" t="s">
        <v>1230</v>
      </c>
      <c r="D212" s="6" t="s">
        <v>1231</v>
      </c>
    </row>
    <row r="213" spans="2:4" x14ac:dyDescent="0.3">
      <c r="B213" s="269" t="s">
        <v>1232</v>
      </c>
      <c r="C213" s="6" t="s">
        <v>1233</v>
      </c>
      <c r="D213" s="6" t="s">
        <v>1234</v>
      </c>
    </row>
    <row r="214" spans="2:4" x14ac:dyDescent="0.3">
      <c r="B214" s="269" t="s">
        <v>1235</v>
      </c>
      <c r="C214" s="6" t="s">
        <v>1236</v>
      </c>
      <c r="D214" s="6" t="s">
        <v>1237</v>
      </c>
    </row>
    <row r="215" spans="2:4" x14ac:dyDescent="0.3">
      <c r="B215" s="269" t="s">
        <v>1238</v>
      </c>
      <c r="C215" s="6" t="s">
        <v>1239</v>
      </c>
      <c r="D215" s="6" t="s">
        <v>1240</v>
      </c>
    </row>
    <row r="216" spans="2:4" x14ac:dyDescent="0.3">
      <c r="B216" s="269" t="s">
        <v>1241</v>
      </c>
      <c r="C216" s="6" t="s">
        <v>1242</v>
      </c>
      <c r="D216" s="6" t="s">
        <v>1243</v>
      </c>
    </row>
    <row r="217" spans="2:4" x14ac:dyDescent="0.3">
      <c r="B217" s="269" t="s">
        <v>1244</v>
      </c>
      <c r="C217" s="6" t="s">
        <v>1245</v>
      </c>
      <c r="D217" s="6" t="s">
        <v>1246</v>
      </c>
    </row>
    <row r="218" spans="2:4" x14ac:dyDescent="0.3">
      <c r="B218" s="269" t="s">
        <v>1247</v>
      </c>
      <c r="C218" s="6" t="s">
        <v>1248</v>
      </c>
      <c r="D218" s="6" t="s">
        <v>1249</v>
      </c>
    </row>
    <row r="219" spans="2:4" x14ac:dyDescent="0.3">
      <c r="B219" s="269" t="s">
        <v>1250</v>
      </c>
      <c r="C219" s="6" t="s">
        <v>1251</v>
      </c>
      <c r="D219" s="6" t="s">
        <v>1252</v>
      </c>
    </row>
    <row r="220" spans="2:4" x14ac:dyDescent="0.3">
      <c r="B220" s="269" t="s">
        <v>1253</v>
      </c>
      <c r="C220" s="6" t="s">
        <v>1254</v>
      </c>
      <c r="D220" s="6" t="s">
        <v>1255</v>
      </c>
    </row>
    <row r="221" spans="2:4" x14ac:dyDescent="0.3">
      <c r="B221" s="269" t="s">
        <v>1256</v>
      </c>
      <c r="C221" s="6" t="s">
        <v>1257</v>
      </c>
      <c r="D221" s="6" t="s">
        <v>1258</v>
      </c>
    </row>
    <row r="222" spans="2:4" x14ac:dyDescent="0.3">
      <c r="B222" s="269" t="s">
        <v>1259</v>
      </c>
      <c r="C222" s="6" t="s">
        <v>1260</v>
      </c>
      <c r="D222" s="6" t="s">
        <v>1261</v>
      </c>
    </row>
    <row r="223" spans="2:4" x14ac:dyDescent="0.3">
      <c r="B223" s="269" t="s">
        <v>1262</v>
      </c>
      <c r="C223" s="6" t="s">
        <v>1263</v>
      </c>
      <c r="D223" s="6" t="s">
        <v>1264</v>
      </c>
    </row>
    <row r="224" spans="2:4" x14ac:dyDescent="0.3">
      <c r="B224" s="269" t="s">
        <v>1265</v>
      </c>
      <c r="C224" s="6" t="s">
        <v>1266</v>
      </c>
      <c r="D224" s="6" t="s">
        <v>1267</v>
      </c>
    </row>
    <row r="225" spans="2:4" x14ac:dyDescent="0.3">
      <c r="B225" s="269" t="s">
        <v>1268</v>
      </c>
      <c r="C225" s="6" t="s">
        <v>1269</v>
      </c>
      <c r="D225" s="6" t="s">
        <v>1270</v>
      </c>
    </row>
    <row r="226" spans="2:4" x14ac:dyDescent="0.3">
      <c r="B226" s="269" t="s">
        <v>1271</v>
      </c>
      <c r="C226" s="6" t="s">
        <v>1272</v>
      </c>
      <c r="D226" s="6" t="s">
        <v>1273</v>
      </c>
    </row>
    <row r="227" spans="2:4" x14ac:dyDescent="0.3">
      <c r="B227" s="269" t="s">
        <v>1274</v>
      </c>
      <c r="C227" s="6" t="s">
        <v>1275</v>
      </c>
      <c r="D227" s="6" t="s">
        <v>1276</v>
      </c>
    </row>
    <row r="228" spans="2:4" x14ac:dyDescent="0.3">
      <c r="B228" s="269" t="s">
        <v>1277</v>
      </c>
      <c r="C228" s="6" t="s">
        <v>1278</v>
      </c>
      <c r="D228" s="6" t="s">
        <v>1279</v>
      </c>
    </row>
    <row r="229" spans="2:4" x14ac:dyDescent="0.3">
      <c r="B229" s="269" t="s">
        <v>1280</v>
      </c>
      <c r="C229" s="6" t="s">
        <v>1281</v>
      </c>
      <c r="D229" s="6" t="s">
        <v>1282</v>
      </c>
    </row>
    <row r="230" spans="2:4" x14ac:dyDescent="0.3">
      <c r="B230" s="269" t="s">
        <v>1283</v>
      </c>
      <c r="C230" s="6" t="s">
        <v>1284</v>
      </c>
      <c r="D230" s="6" t="s">
        <v>1285</v>
      </c>
    </row>
    <row r="231" spans="2:4" x14ac:dyDescent="0.3">
      <c r="B231" s="269" t="s">
        <v>1286</v>
      </c>
      <c r="C231" s="6" t="s">
        <v>1287</v>
      </c>
      <c r="D231" s="6" t="s">
        <v>1288</v>
      </c>
    </row>
    <row r="232" spans="2:4" x14ac:dyDescent="0.3">
      <c r="B232" s="269" t="s">
        <v>1289</v>
      </c>
      <c r="C232" s="6" t="s">
        <v>1290</v>
      </c>
      <c r="D232" s="6" t="s">
        <v>1291</v>
      </c>
    </row>
    <row r="233" spans="2:4" x14ac:dyDescent="0.3">
      <c r="B233" s="269" t="s">
        <v>1292</v>
      </c>
      <c r="C233" s="6" t="s">
        <v>1293</v>
      </c>
      <c r="D233" s="6" t="s">
        <v>1294</v>
      </c>
    </row>
    <row r="234" spans="2:4" x14ac:dyDescent="0.3">
      <c r="B234" s="269" t="s">
        <v>1295</v>
      </c>
      <c r="C234" s="6" t="s">
        <v>1296</v>
      </c>
      <c r="D234" s="6" t="s">
        <v>1297</v>
      </c>
    </row>
    <row r="235" spans="2:4" x14ac:dyDescent="0.3">
      <c r="B235" s="269" t="s">
        <v>1298</v>
      </c>
      <c r="C235" s="6" t="s">
        <v>1299</v>
      </c>
      <c r="D235" s="6" t="s">
        <v>1300</v>
      </c>
    </row>
    <row r="236" spans="2:4" x14ac:dyDescent="0.3">
      <c r="B236" s="269" t="s">
        <v>1301</v>
      </c>
      <c r="C236" s="6" t="s">
        <v>1302</v>
      </c>
      <c r="D236" s="6" t="s">
        <v>1303</v>
      </c>
    </row>
    <row r="237" spans="2:4" x14ac:dyDescent="0.3">
      <c r="B237" s="269" t="s">
        <v>1304</v>
      </c>
      <c r="C237" s="6" t="s">
        <v>1305</v>
      </c>
      <c r="D237" s="6" t="s">
        <v>1306</v>
      </c>
    </row>
    <row r="238" spans="2:4" x14ac:dyDescent="0.3">
      <c r="B238" s="269" t="s">
        <v>1307</v>
      </c>
      <c r="C238" s="6" t="s">
        <v>1308</v>
      </c>
      <c r="D238" s="6" t="s">
        <v>1309</v>
      </c>
    </row>
    <row r="239" spans="2:4" x14ac:dyDescent="0.3">
      <c r="B239" s="269" t="s">
        <v>1310</v>
      </c>
      <c r="C239" s="6" t="s">
        <v>1311</v>
      </c>
      <c r="D239" s="6" t="s">
        <v>1312</v>
      </c>
    </row>
    <row r="240" spans="2:4" x14ac:dyDescent="0.3">
      <c r="B240" s="269" t="s">
        <v>1313</v>
      </c>
      <c r="C240" s="6" t="s">
        <v>1314</v>
      </c>
      <c r="D240" s="6" t="s">
        <v>1315</v>
      </c>
    </row>
    <row r="241" spans="2:4" x14ac:dyDescent="0.3">
      <c r="B241" s="269" t="s">
        <v>1316</v>
      </c>
      <c r="C241" s="6" t="s">
        <v>1317</v>
      </c>
      <c r="D241" s="6" t="s">
        <v>1318</v>
      </c>
    </row>
    <row r="242" spans="2:4" x14ac:dyDescent="0.3">
      <c r="B242" s="269" t="s">
        <v>1319</v>
      </c>
      <c r="C242" s="6" t="s">
        <v>1320</v>
      </c>
      <c r="D242" s="6" t="s">
        <v>1321</v>
      </c>
    </row>
    <row r="243" spans="2:4" x14ac:dyDescent="0.3">
      <c r="B243" s="269" t="s">
        <v>1322</v>
      </c>
      <c r="C243" s="6" t="s">
        <v>1323</v>
      </c>
      <c r="D243" s="6" t="s">
        <v>1324</v>
      </c>
    </row>
    <row r="244" spans="2:4" x14ac:dyDescent="0.3">
      <c r="B244" s="269" t="s">
        <v>1325</v>
      </c>
      <c r="C244" s="6" t="s">
        <v>1326</v>
      </c>
      <c r="D244" s="6" t="s">
        <v>1327</v>
      </c>
    </row>
    <row r="245" spans="2:4" x14ac:dyDescent="0.3">
      <c r="B245" s="269" t="s">
        <v>1328</v>
      </c>
      <c r="C245" s="6" t="s">
        <v>1329</v>
      </c>
      <c r="D245" s="6" t="s">
        <v>1330</v>
      </c>
    </row>
    <row r="246" spans="2:4" x14ac:dyDescent="0.3">
      <c r="B246" s="269" t="s">
        <v>1331</v>
      </c>
      <c r="C246" s="6" t="s">
        <v>1332</v>
      </c>
      <c r="D246" s="6" t="s">
        <v>1333</v>
      </c>
    </row>
    <row r="247" spans="2:4" x14ac:dyDescent="0.3">
      <c r="B247" s="269" t="s">
        <v>1334</v>
      </c>
      <c r="C247" s="6" t="s">
        <v>1335</v>
      </c>
      <c r="D247" s="6" t="s">
        <v>1336</v>
      </c>
    </row>
    <row r="248" spans="2:4" x14ac:dyDescent="0.3">
      <c r="B248" s="269" t="s">
        <v>1337</v>
      </c>
      <c r="C248" s="6" t="s">
        <v>1338</v>
      </c>
      <c r="D248" s="6" t="s">
        <v>1339</v>
      </c>
    </row>
    <row r="249" spans="2:4" x14ac:dyDescent="0.3">
      <c r="B249" s="269" t="s">
        <v>1340</v>
      </c>
      <c r="C249" s="6" t="s">
        <v>1341</v>
      </c>
      <c r="D249" s="6" t="s">
        <v>1342</v>
      </c>
    </row>
    <row r="250" spans="2:4" x14ac:dyDescent="0.3">
      <c r="B250" s="269" t="s">
        <v>1343</v>
      </c>
      <c r="C250" s="6" t="s">
        <v>1344</v>
      </c>
      <c r="D250" s="6" t="s">
        <v>1345</v>
      </c>
    </row>
    <row r="251" spans="2:4" x14ac:dyDescent="0.3">
      <c r="B251" s="269" t="s">
        <v>1346</v>
      </c>
      <c r="C251" s="6" t="s">
        <v>1347</v>
      </c>
      <c r="D251" s="6" t="s">
        <v>1348</v>
      </c>
    </row>
    <row r="252" spans="2:4" x14ac:dyDescent="0.3">
      <c r="B252" s="269" t="s">
        <v>1349</v>
      </c>
      <c r="C252" s="6" t="s">
        <v>1350</v>
      </c>
      <c r="D252" s="6" t="s">
        <v>1351</v>
      </c>
    </row>
    <row r="253" spans="2:4" x14ac:dyDescent="0.3">
      <c r="B253" s="269" t="s">
        <v>1352</v>
      </c>
      <c r="C253" s="6" t="s">
        <v>1353</v>
      </c>
      <c r="D253" s="6" t="s">
        <v>1354</v>
      </c>
    </row>
    <row r="254" spans="2:4" x14ac:dyDescent="0.3">
      <c r="B254" s="269" t="s">
        <v>1355</v>
      </c>
      <c r="C254" s="6" t="s">
        <v>1356</v>
      </c>
      <c r="D254" s="6" t="s">
        <v>1357</v>
      </c>
    </row>
    <row r="255" spans="2:4" x14ac:dyDescent="0.3">
      <c r="B255" s="269" t="s">
        <v>1358</v>
      </c>
      <c r="C255" s="6" t="s">
        <v>1359</v>
      </c>
      <c r="D255" s="6" t="s">
        <v>1360</v>
      </c>
    </row>
    <row r="256" spans="2:4" x14ac:dyDescent="0.3">
      <c r="B256" s="269" t="s">
        <v>1361</v>
      </c>
      <c r="C256" s="6" t="s">
        <v>1362</v>
      </c>
      <c r="D256" s="6" t="s">
        <v>1363</v>
      </c>
    </row>
    <row r="257" spans="2:4" x14ac:dyDescent="0.3">
      <c r="B257" s="269" t="s">
        <v>1364</v>
      </c>
      <c r="C257" s="6" t="s">
        <v>1365</v>
      </c>
      <c r="D257" s="6" t="s">
        <v>1366</v>
      </c>
    </row>
    <row r="258" spans="2:4" x14ac:dyDescent="0.3">
      <c r="B258" s="269" t="s">
        <v>1367</v>
      </c>
      <c r="C258" s="6" t="s">
        <v>1368</v>
      </c>
      <c r="D258" s="6" t="s">
        <v>1369</v>
      </c>
    </row>
    <row r="259" spans="2:4" x14ac:dyDescent="0.3">
      <c r="B259" s="269" t="s">
        <v>1370</v>
      </c>
      <c r="C259" s="6" t="s">
        <v>1371</v>
      </c>
      <c r="D259" s="6" t="s">
        <v>1372</v>
      </c>
    </row>
    <row r="260" spans="2:4" x14ac:dyDescent="0.3">
      <c r="B260" s="269" t="s">
        <v>1373</v>
      </c>
      <c r="C260" s="6" t="s">
        <v>1374</v>
      </c>
      <c r="D260" s="6" t="s">
        <v>1375</v>
      </c>
    </row>
    <row r="261" spans="2:4" x14ac:dyDescent="0.3">
      <c r="B261" s="269" t="s">
        <v>1376</v>
      </c>
      <c r="C261" s="6" t="s">
        <v>1377</v>
      </c>
      <c r="D261" s="6" t="s">
        <v>1378</v>
      </c>
    </row>
    <row r="262" spans="2:4" x14ac:dyDescent="0.3">
      <c r="B262" s="269" t="s">
        <v>1379</v>
      </c>
      <c r="C262" s="6" t="s">
        <v>1380</v>
      </c>
      <c r="D262" s="6" t="s">
        <v>1381</v>
      </c>
    </row>
    <row r="263" spans="2:4" x14ac:dyDescent="0.3">
      <c r="B263" s="269" t="s">
        <v>1382</v>
      </c>
      <c r="C263" s="6" t="s">
        <v>1383</v>
      </c>
      <c r="D263" s="6" t="s">
        <v>1384</v>
      </c>
    </row>
    <row r="264" spans="2:4" x14ac:dyDescent="0.3">
      <c r="B264" s="269" t="s">
        <v>1385</v>
      </c>
      <c r="C264" s="6" t="s">
        <v>1386</v>
      </c>
      <c r="D264" s="6" t="s">
        <v>1387</v>
      </c>
    </row>
    <row r="265" spans="2:4" x14ac:dyDescent="0.3">
      <c r="B265" s="269" t="s">
        <v>1388</v>
      </c>
      <c r="C265" s="6" t="s">
        <v>1389</v>
      </c>
      <c r="D265" s="6" t="s">
        <v>1390</v>
      </c>
    </row>
    <row r="266" spans="2:4" x14ac:dyDescent="0.3">
      <c r="B266" s="269" t="s">
        <v>1391</v>
      </c>
      <c r="C266" s="6" t="s">
        <v>1392</v>
      </c>
      <c r="D266" s="6" t="s">
        <v>1393</v>
      </c>
    </row>
    <row r="267" spans="2:4" x14ac:dyDescent="0.3">
      <c r="B267" s="269" t="s">
        <v>1394</v>
      </c>
      <c r="C267" s="6" t="s">
        <v>1395</v>
      </c>
      <c r="D267" s="6" t="s">
        <v>1396</v>
      </c>
    </row>
    <row r="268" spans="2:4" x14ac:dyDescent="0.3">
      <c r="B268" s="269" t="s">
        <v>1397</v>
      </c>
      <c r="C268" s="6" t="s">
        <v>1398</v>
      </c>
      <c r="D268" s="6" t="s">
        <v>1399</v>
      </c>
    </row>
    <row r="269" spans="2:4" x14ac:dyDescent="0.3">
      <c r="B269" s="269" t="s">
        <v>1400</v>
      </c>
      <c r="C269" s="6" t="s">
        <v>1401</v>
      </c>
      <c r="D269" s="6" t="s">
        <v>1402</v>
      </c>
    </row>
    <row r="270" spans="2:4" x14ac:dyDescent="0.3">
      <c r="B270" s="269" t="s">
        <v>1403</v>
      </c>
      <c r="C270" s="6" t="s">
        <v>1404</v>
      </c>
      <c r="D270" s="6" t="s">
        <v>1405</v>
      </c>
    </row>
    <row r="271" spans="2:4" x14ac:dyDescent="0.3">
      <c r="B271" s="269" t="s">
        <v>1406</v>
      </c>
      <c r="C271" s="6" t="s">
        <v>1407</v>
      </c>
      <c r="D271" s="6" t="s">
        <v>1408</v>
      </c>
    </row>
    <row r="272" spans="2:4" x14ac:dyDescent="0.3">
      <c r="B272" s="269" t="s">
        <v>1409</v>
      </c>
      <c r="C272" s="6" t="s">
        <v>1410</v>
      </c>
      <c r="D272" s="6" t="s">
        <v>1411</v>
      </c>
    </row>
    <row r="273" spans="2:4" x14ac:dyDescent="0.3">
      <c r="B273" s="269" t="s">
        <v>1412</v>
      </c>
      <c r="C273" s="6" t="s">
        <v>1413</v>
      </c>
      <c r="D273" s="6" t="s">
        <v>1414</v>
      </c>
    </row>
    <row r="274" spans="2:4" x14ac:dyDescent="0.3">
      <c r="B274" s="269" t="s">
        <v>1415</v>
      </c>
      <c r="C274" s="6" t="s">
        <v>1416</v>
      </c>
      <c r="D274" s="6" t="s">
        <v>1417</v>
      </c>
    </row>
    <row r="275" spans="2:4" x14ac:dyDescent="0.3">
      <c r="B275" s="269" t="s">
        <v>1418</v>
      </c>
      <c r="C275" s="6" t="s">
        <v>1419</v>
      </c>
      <c r="D275" s="6" t="s">
        <v>1420</v>
      </c>
    </row>
    <row r="276" spans="2:4" x14ac:dyDescent="0.3">
      <c r="B276" s="269" t="s">
        <v>1421</v>
      </c>
      <c r="C276" s="6" t="s">
        <v>1422</v>
      </c>
      <c r="D276" s="6" t="s">
        <v>1423</v>
      </c>
    </row>
    <row r="277" spans="2:4" x14ac:dyDescent="0.3">
      <c r="B277" s="269" t="s">
        <v>1424</v>
      </c>
      <c r="C277" s="6" t="s">
        <v>1425</v>
      </c>
      <c r="D277" s="6" t="s">
        <v>1426</v>
      </c>
    </row>
    <row r="278" spans="2:4" x14ac:dyDescent="0.3">
      <c r="B278" s="269" t="s">
        <v>1427</v>
      </c>
      <c r="C278" s="6" t="s">
        <v>1428</v>
      </c>
      <c r="D278" s="6" t="s">
        <v>1429</v>
      </c>
    </row>
    <row r="279" spans="2:4" x14ac:dyDescent="0.3">
      <c r="B279" s="269" t="s">
        <v>1430</v>
      </c>
      <c r="C279" s="6" t="s">
        <v>1431</v>
      </c>
      <c r="D279" s="6" t="s">
        <v>1432</v>
      </c>
    </row>
    <row r="280" spans="2:4" x14ac:dyDescent="0.3">
      <c r="B280" s="269" t="s">
        <v>1433</v>
      </c>
      <c r="C280" s="6" t="s">
        <v>1434</v>
      </c>
      <c r="D280" s="6" t="s">
        <v>1435</v>
      </c>
    </row>
    <row r="281" spans="2:4" x14ac:dyDescent="0.3">
      <c r="B281" s="269" t="s">
        <v>1436</v>
      </c>
      <c r="C281" s="6" t="s">
        <v>1437</v>
      </c>
      <c r="D281" s="6" t="s">
        <v>1438</v>
      </c>
    </row>
    <row r="282" spans="2:4" x14ac:dyDescent="0.3">
      <c r="B282" s="269" t="s">
        <v>1439</v>
      </c>
      <c r="C282" s="6" t="s">
        <v>1440</v>
      </c>
      <c r="D282" s="6" t="s">
        <v>1441</v>
      </c>
    </row>
    <row r="283" spans="2:4" x14ac:dyDescent="0.3">
      <c r="B283" s="269" t="s">
        <v>1442</v>
      </c>
      <c r="C283" s="6" t="s">
        <v>1443</v>
      </c>
      <c r="D283" s="6" t="s">
        <v>1444</v>
      </c>
    </row>
    <row r="284" spans="2:4" x14ac:dyDescent="0.3">
      <c r="B284" s="269" t="s">
        <v>1445</v>
      </c>
      <c r="C284" s="6" t="s">
        <v>1446</v>
      </c>
      <c r="D284" s="6" t="s">
        <v>1447</v>
      </c>
    </row>
    <row r="285" spans="2:4" x14ac:dyDescent="0.3">
      <c r="B285" s="269" t="s">
        <v>1448</v>
      </c>
      <c r="C285" s="6" t="s">
        <v>1449</v>
      </c>
      <c r="D285" s="6" t="s">
        <v>1450</v>
      </c>
    </row>
    <row r="286" spans="2:4" x14ac:dyDescent="0.3">
      <c r="B286" s="269" t="s">
        <v>1451</v>
      </c>
      <c r="C286" s="6" t="s">
        <v>1452</v>
      </c>
      <c r="D286" s="6" t="s">
        <v>1453</v>
      </c>
    </row>
    <row r="287" spans="2:4" x14ac:dyDescent="0.3">
      <c r="B287" s="269" t="s">
        <v>1454</v>
      </c>
      <c r="C287" s="6" t="s">
        <v>1455</v>
      </c>
      <c r="D287" s="6" t="s">
        <v>1456</v>
      </c>
    </row>
    <row r="288" spans="2:4" x14ac:dyDescent="0.3">
      <c r="B288" s="269" t="s">
        <v>1457</v>
      </c>
      <c r="C288" s="6" t="s">
        <v>1458</v>
      </c>
      <c r="D288" s="6" t="s">
        <v>1459</v>
      </c>
    </row>
    <row r="289" spans="2:4" x14ac:dyDescent="0.3">
      <c r="B289" s="269" t="s">
        <v>1460</v>
      </c>
      <c r="C289" s="6" t="s">
        <v>1461</v>
      </c>
      <c r="D289" s="6" t="s">
        <v>1462</v>
      </c>
    </row>
    <row r="290" spans="2:4" x14ac:dyDescent="0.3">
      <c r="B290" s="269" t="s">
        <v>1463</v>
      </c>
      <c r="C290" s="6" t="s">
        <v>1464</v>
      </c>
      <c r="D290" s="6" t="s">
        <v>1465</v>
      </c>
    </row>
    <row r="291" spans="2:4" x14ac:dyDescent="0.3">
      <c r="B291" s="269" t="s">
        <v>1466</v>
      </c>
      <c r="C291" s="6" t="s">
        <v>1467</v>
      </c>
      <c r="D291" s="6" t="s">
        <v>1468</v>
      </c>
    </row>
    <row r="292" spans="2:4" x14ac:dyDescent="0.3">
      <c r="B292" s="269" t="s">
        <v>1469</v>
      </c>
      <c r="C292" s="6" t="s">
        <v>1470</v>
      </c>
      <c r="D292" s="6" t="s">
        <v>1471</v>
      </c>
    </row>
    <row r="293" spans="2:4" x14ac:dyDescent="0.3">
      <c r="B293" s="269" t="s">
        <v>1472</v>
      </c>
      <c r="C293" s="6" t="s">
        <v>1473</v>
      </c>
      <c r="D293" s="6" t="s">
        <v>1474</v>
      </c>
    </row>
    <row r="294" spans="2:4" x14ac:dyDescent="0.3">
      <c r="B294" s="269" t="s">
        <v>1475</v>
      </c>
      <c r="C294" s="6" t="s">
        <v>1476</v>
      </c>
      <c r="D294" s="6" t="s">
        <v>1477</v>
      </c>
    </row>
    <row r="295" spans="2:4" x14ac:dyDescent="0.3">
      <c r="B295" s="269" t="s">
        <v>1478</v>
      </c>
      <c r="C295" s="6" t="s">
        <v>1479</v>
      </c>
      <c r="D295" s="6" t="s">
        <v>1480</v>
      </c>
    </row>
    <row r="296" spans="2:4" x14ac:dyDescent="0.3">
      <c r="B296" s="269" t="s">
        <v>1481</v>
      </c>
      <c r="C296" s="6" t="s">
        <v>1482</v>
      </c>
      <c r="D296" s="6" t="s">
        <v>1483</v>
      </c>
    </row>
    <row r="297" spans="2:4" x14ac:dyDescent="0.3">
      <c r="B297" s="269" t="s">
        <v>1484</v>
      </c>
      <c r="C297" s="6" t="s">
        <v>1485</v>
      </c>
      <c r="D297" s="6" t="s">
        <v>1486</v>
      </c>
    </row>
    <row r="298" spans="2:4" x14ac:dyDescent="0.3">
      <c r="B298" s="269" t="s">
        <v>1487</v>
      </c>
      <c r="C298" s="6" t="s">
        <v>1488</v>
      </c>
      <c r="D298" s="6" t="s">
        <v>1489</v>
      </c>
    </row>
    <row r="299" spans="2:4" x14ac:dyDescent="0.3">
      <c r="B299" s="269" t="s">
        <v>1490</v>
      </c>
      <c r="C299" s="6" t="s">
        <v>1491</v>
      </c>
      <c r="D299" s="6" t="s">
        <v>1492</v>
      </c>
    </row>
    <row r="300" spans="2:4" x14ac:dyDescent="0.3">
      <c r="B300" s="269" t="s">
        <v>1493</v>
      </c>
      <c r="C300" s="6" t="s">
        <v>1494</v>
      </c>
      <c r="D300" s="6" t="s">
        <v>1495</v>
      </c>
    </row>
    <row r="301" spans="2:4" x14ac:dyDescent="0.3">
      <c r="B301" s="269" t="s">
        <v>1496</v>
      </c>
      <c r="C301" s="6" t="s">
        <v>1497</v>
      </c>
      <c r="D301" s="6" t="s">
        <v>1498</v>
      </c>
    </row>
    <row r="302" spans="2:4" x14ac:dyDescent="0.3">
      <c r="B302" s="269" t="s">
        <v>1499</v>
      </c>
      <c r="C302" s="6" t="s">
        <v>1500</v>
      </c>
      <c r="D302" s="6" t="s">
        <v>1501</v>
      </c>
    </row>
    <row r="303" spans="2:4" x14ac:dyDescent="0.3">
      <c r="B303" s="269" t="s">
        <v>1502</v>
      </c>
      <c r="C303" s="6" t="s">
        <v>1503</v>
      </c>
      <c r="D303" s="6" t="s">
        <v>1504</v>
      </c>
    </row>
    <row r="304" spans="2:4" x14ac:dyDescent="0.3">
      <c r="B304" s="269" t="s">
        <v>1505</v>
      </c>
      <c r="C304" s="6" t="s">
        <v>1506</v>
      </c>
      <c r="D304" s="6" t="s">
        <v>1507</v>
      </c>
    </row>
    <row r="305" spans="2:4" x14ac:dyDescent="0.3">
      <c r="B305" s="269" t="s">
        <v>1508</v>
      </c>
      <c r="C305" s="6" t="s">
        <v>1509</v>
      </c>
      <c r="D305" s="6" t="s">
        <v>1510</v>
      </c>
    </row>
    <row r="306" spans="2:4" x14ac:dyDescent="0.3">
      <c r="B306" s="269" t="s">
        <v>1511</v>
      </c>
      <c r="C306" s="6" t="s">
        <v>1512</v>
      </c>
      <c r="D306" s="6" t="s">
        <v>1513</v>
      </c>
    </row>
    <row r="307" spans="2:4" x14ac:dyDescent="0.3">
      <c r="B307" s="269" t="s">
        <v>1514</v>
      </c>
      <c r="C307" s="6" t="s">
        <v>1515</v>
      </c>
      <c r="D307" s="6" t="s">
        <v>1516</v>
      </c>
    </row>
    <row r="308" spans="2:4" x14ac:dyDescent="0.3">
      <c r="B308" s="269" t="s">
        <v>1517</v>
      </c>
      <c r="C308" s="6" t="s">
        <v>1518</v>
      </c>
      <c r="D308" s="6" t="s">
        <v>1519</v>
      </c>
    </row>
    <row r="309" spans="2:4" x14ac:dyDescent="0.3">
      <c r="B309" s="269" t="s">
        <v>1520</v>
      </c>
      <c r="C309" s="6" t="s">
        <v>1521</v>
      </c>
      <c r="D309" s="6" t="s">
        <v>1522</v>
      </c>
    </row>
    <row r="310" spans="2:4" x14ac:dyDescent="0.3">
      <c r="B310" s="269" t="s">
        <v>1523</v>
      </c>
      <c r="C310" s="6" t="s">
        <v>1524</v>
      </c>
      <c r="D310" s="6" t="s">
        <v>1525</v>
      </c>
    </row>
    <row r="311" spans="2:4" x14ac:dyDescent="0.3">
      <c r="B311" s="269" t="s">
        <v>1526</v>
      </c>
      <c r="C311" s="6" t="s">
        <v>1527</v>
      </c>
      <c r="D311" s="6" t="s">
        <v>1528</v>
      </c>
    </row>
    <row r="312" spans="2:4" x14ac:dyDescent="0.3">
      <c r="B312" s="269" t="s">
        <v>1529</v>
      </c>
      <c r="C312" s="6" t="s">
        <v>1530</v>
      </c>
      <c r="D312" s="6" t="s">
        <v>1531</v>
      </c>
    </row>
    <row r="313" spans="2:4" x14ac:dyDescent="0.3">
      <c r="B313" s="269" t="s">
        <v>1532</v>
      </c>
      <c r="C313" s="6" t="s">
        <v>1533</v>
      </c>
      <c r="D313" s="6" t="s">
        <v>1534</v>
      </c>
    </row>
    <row r="314" spans="2:4" x14ac:dyDescent="0.3">
      <c r="B314" s="269" t="s">
        <v>1535</v>
      </c>
      <c r="C314" s="6" t="s">
        <v>1536</v>
      </c>
      <c r="D314" s="6" t="s">
        <v>1537</v>
      </c>
    </row>
    <row r="315" spans="2:4" x14ac:dyDescent="0.3">
      <c r="B315" s="269" t="s">
        <v>1538</v>
      </c>
      <c r="C315" s="6" t="s">
        <v>1539</v>
      </c>
      <c r="D315" s="6" t="s">
        <v>1540</v>
      </c>
    </row>
    <row r="316" spans="2:4" x14ac:dyDescent="0.3">
      <c r="B316" s="269" t="s">
        <v>1541</v>
      </c>
      <c r="C316" s="6" t="s">
        <v>1542</v>
      </c>
      <c r="D316" s="6" t="s">
        <v>1543</v>
      </c>
    </row>
    <row r="317" spans="2:4" x14ac:dyDescent="0.3">
      <c r="B317" s="269" t="s">
        <v>1544</v>
      </c>
      <c r="C317" s="6" t="s">
        <v>1545</v>
      </c>
      <c r="D317" s="6" t="s">
        <v>1546</v>
      </c>
    </row>
    <row r="318" spans="2:4" x14ac:dyDescent="0.3">
      <c r="B318" s="269" t="s">
        <v>1547</v>
      </c>
      <c r="C318" s="6" t="s">
        <v>1548</v>
      </c>
      <c r="D318" s="6" t="s">
        <v>1549</v>
      </c>
    </row>
    <row r="319" spans="2:4" x14ac:dyDescent="0.3">
      <c r="B319" s="269" t="s">
        <v>1550</v>
      </c>
      <c r="C319" s="6" t="s">
        <v>1551</v>
      </c>
      <c r="D319" s="6" t="s">
        <v>1552</v>
      </c>
    </row>
    <row r="320" spans="2:4" x14ac:dyDescent="0.3">
      <c r="B320" s="269" t="s">
        <v>1553</v>
      </c>
      <c r="C320" s="6" t="s">
        <v>1554</v>
      </c>
      <c r="D320" s="6" t="s">
        <v>1555</v>
      </c>
    </row>
    <row r="321" spans="2:4" x14ac:dyDescent="0.3">
      <c r="B321" s="269" t="s">
        <v>1556</v>
      </c>
      <c r="C321" s="6" t="s">
        <v>1557</v>
      </c>
      <c r="D321" s="6" t="s">
        <v>1558</v>
      </c>
    </row>
    <row r="322" spans="2:4" x14ac:dyDescent="0.3">
      <c r="B322" s="269" t="s">
        <v>1559</v>
      </c>
      <c r="C322" s="6" t="s">
        <v>1560</v>
      </c>
      <c r="D322" s="6" t="s">
        <v>1561</v>
      </c>
    </row>
    <row r="323" spans="2:4" x14ac:dyDescent="0.3">
      <c r="B323" s="269" t="s">
        <v>1562</v>
      </c>
      <c r="C323" s="6" t="s">
        <v>1563</v>
      </c>
      <c r="D323" s="6" t="s">
        <v>1564</v>
      </c>
    </row>
    <row r="324" spans="2:4" x14ac:dyDescent="0.3">
      <c r="B324" s="269" t="s">
        <v>1565</v>
      </c>
      <c r="C324" s="6" t="s">
        <v>1566</v>
      </c>
      <c r="D324" s="6" t="s">
        <v>1567</v>
      </c>
    </row>
    <row r="325" spans="2:4" x14ac:dyDescent="0.3">
      <c r="B325" s="269" t="s">
        <v>1568</v>
      </c>
      <c r="C325" s="6" t="s">
        <v>1569</v>
      </c>
      <c r="D325" s="6" t="s">
        <v>1570</v>
      </c>
    </row>
    <row r="326" spans="2:4" x14ac:dyDescent="0.3">
      <c r="B326" s="269" t="s">
        <v>1571</v>
      </c>
      <c r="C326" s="6" t="s">
        <v>1572</v>
      </c>
      <c r="D326" s="6" t="s">
        <v>1573</v>
      </c>
    </row>
    <row r="327" spans="2:4" x14ac:dyDescent="0.3">
      <c r="B327" s="269" t="s">
        <v>1574</v>
      </c>
      <c r="C327" s="6" t="s">
        <v>1575</v>
      </c>
      <c r="D327" s="6" t="s">
        <v>1576</v>
      </c>
    </row>
    <row r="328" spans="2:4" x14ac:dyDescent="0.3">
      <c r="B328" s="269" t="s">
        <v>1577</v>
      </c>
      <c r="C328" s="6" t="s">
        <v>1578</v>
      </c>
      <c r="D328" s="6" t="s">
        <v>1579</v>
      </c>
    </row>
    <row r="329" spans="2:4" x14ac:dyDescent="0.3">
      <c r="B329" s="269" t="s">
        <v>1580</v>
      </c>
      <c r="C329" s="6" t="s">
        <v>1581</v>
      </c>
      <c r="D329" s="6" t="s">
        <v>1582</v>
      </c>
    </row>
    <row r="330" spans="2:4" x14ac:dyDescent="0.3">
      <c r="B330" s="269" t="s">
        <v>1583</v>
      </c>
      <c r="C330" s="6" t="s">
        <v>1584</v>
      </c>
      <c r="D330" s="6" t="s">
        <v>1585</v>
      </c>
    </row>
    <row r="331" spans="2:4" x14ac:dyDescent="0.3">
      <c r="B331" s="269" t="s">
        <v>1586</v>
      </c>
      <c r="C331" s="6" t="s">
        <v>1587</v>
      </c>
      <c r="D331" s="6" t="s">
        <v>1588</v>
      </c>
    </row>
    <row r="332" spans="2:4" x14ac:dyDescent="0.3">
      <c r="B332" s="269" t="s">
        <v>1589</v>
      </c>
      <c r="C332" s="6" t="s">
        <v>1590</v>
      </c>
      <c r="D332" s="6" t="s">
        <v>1591</v>
      </c>
    </row>
    <row r="333" spans="2:4" x14ac:dyDescent="0.3">
      <c r="B333" s="269" t="s">
        <v>1592</v>
      </c>
      <c r="C333" s="6" t="s">
        <v>1593</v>
      </c>
      <c r="D333" s="6" t="s">
        <v>1594</v>
      </c>
    </row>
    <row r="334" spans="2:4" x14ac:dyDescent="0.3">
      <c r="B334" s="269" t="s">
        <v>1595</v>
      </c>
      <c r="C334" s="6" t="s">
        <v>1596</v>
      </c>
      <c r="D334" s="6" t="s">
        <v>1597</v>
      </c>
    </row>
    <row r="335" spans="2:4" x14ac:dyDescent="0.3">
      <c r="B335" s="269" t="s">
        <v>1598</v>
      </c>
      <c r="C335" s="6" t="s">
        <v>1599</v>
      </c>
      <c r="D335" s="6" t="s">
        <v>1600</v>
      </c>
    </row>
    <row r="336" spans="2:4" x14ac:dyDescent="0.3">
      <c r="B336" s="269" t="s">
        <v>1601</v>
      </c>
      <c r="C336" s="6" t="s">
        <v>1602</v>
      </c>
      <c r="D336" s="6" t="s">
        <v>1603</v>
      </c>
    </row>
    <row r="337" spans="2:4" x14ac:dyDescent="0.3">
      <c r="B337" s="269" t="s">
        <v>1604</v>
      </c>
      <c r="C337" s="6" t="s">
        <v>1605</v>
      </c>
      <c r="D337" s="6" t="s">
        <v>1606</v>
      </c>
    </row>
    <row r="338" spans="2:4" x14ac:dyDescent="0.3">
      <c r="B338" s="269" t="s">
        <v>1607</v>
      </c>
      <c r="C338" s="6" t="s">
        <v>1608</v>
      </c>
      <c r="D338" s="6" t="s">
        <v>1609</v>
      </c>
    </row>
    <row r="339" spans="2:4" x14ac:dyDescent="0.3">
      <c r="B339" s="269" t="s">
        <v>1610</v>
      </c>
      <c r="C339" s="6" t="s">
        <v>1611</v>
      </c>
      <c r="D339" s="6" t="s">
        <v>1612</v>
      </c>
    </row>
    <row r="340" spans="2:4" x14ac:dyDescent="0.3">
      <c r="B340" s="269" t="s">
        <v>1613</v>
      </c>
      <c r="C340" s="6" t="s">
        <v>1614</v>
      </c>
      <c r="D340" s="6" t="s">
        <v>1615</v>
      </c>
    </row>
    <row r="341" spans="2:4" x14ac:dyDescent="0.3">
      <c r="B341" s="269" t="s">
        <v>1616</v>
      </c>
      <c r="C341" s="6" t="s">
        <v>1617</v>
      </c>
      <c r="D341" s="6" t="s">
        <v>1618</v>
      </c>
    </row>
    <row r="342" spans="2:4" x14ac:dyDescent="0.3">
      <c r="B342" s="269" t="s">
        <v>1619</v>
      </c>
      <c r="C342" s="6" t="s">
        <v>1620</v>
      </c>
      <c r="D342" s="6" t="s">
        <v>1621</v>
      </c>
    </row>
    <row r="343" spans="2:4" x14ac:dyDescent="0.3">
      <c r="B343" s="269" t="s">
        <v>1622</v>
      </c>
      <c r="C343" s="6" t="s">
        <v>1623</v>
      </c>
      <c r="D343" s="6" t="s">
        <v>1624</v>
      </c>
    </row>
  </sheetData>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72"/>
  <sheetViews>
    <sheetView workbookViewId="0"/>
  </sheetViews>
  <sheetFormatPr defaultRowHeight="14.4" x14ac:dyDescent="0.3"/>
  <cols>
    <col min="1" max="9" width="18" customWidth="1"/>
    <col min="13" max="16" width="9" customWidth="1"/>
  </cols>
  <sheetData>
    <row r="1" spans="1:16" x14ac:dyDescent="0.3">
      <c r="A1" s="18" t="s">
        <v>1625</v>
      </c>
      <c r="M1" s="18" t="s">
        <v>1626</v>
      </c>
      <c r="N1" s="22">
        <f>SUM($M$3:$M$71)</f>
        <v>3</v>
      </c>
      <c r="P1" s="22">
        <f>SUM($O$3:$O$71)</f>
        <v>21</v>
      </c>
    </row>
    <row r="2" spans="1:16" x14ac:dyDescent="0.3">
      <c r="A2" s="18" t="s">
        <v>1627</v>
      </c>
      <c r="B2" s="18" t="s">
        <v>1628</v>
      </c>
      <c r="C2" s="18" t="s">
        <v>1165</v>
      </c>
      <c r="D2" s="18" t="s">
        <v>1168</v>
      </c>
      <c r="E2" s="18" t="s">
        <v>164</v>
      </c>
      <c r="F2" s="18" t="s">
        <v>1153</v>
      </c>
      <c r="G2" s="18" t="s">
        <v>1156</v>
      </c>
      <c r="H2" s="18" t="s">
        <v>1144</v>
      </c>
      <c r="I2" s="18" t="s">
        <v>1629</v>
      </c>
      <c r="M2" s="18" t="s">
        <v>1630</v>
      </c>
      <c r="N2" s="18" t="s">
        <v>1631</v>
      </c>
      <c r="O2" s="18" t="s">
        <v>1632</v>
      </c>
      <c r="P2" s="18" t="s">
        <v>1633</v>
      </c>
    </row>
    <row r="3" spans="1:16" x14ac:dyDescent="0.3">
      <c r="A3" s="20" t="str">
        <f>IF(1&gt;$N$1,"",INDEX(lr_bu,MATCH(1,$N$3:$N$71,0)))</f>
        <v>ABD</v>
      </c>
      <c r="B3" s="20" t="str">
        <f>IF(1&gt;$P$1,"",INDEX(lr_state,MATCH(1,$P$3:$P$71,0)))</f>
        <v>AZ</v>
      </c>
      <c r="C3" s="20" t="s">
        <v>243</v>
      </c>
      <c r="D3" s="20" t="s">
        <v>244</v>
      </c>
      <c r="E3" s="20" t="s">
        <v>182</v>
      </c>
      <c r="F3" s="20" t="s">
        <v>116</v>
      </c>
      <c r="G3" s="20" t="s">
        <v>108</v>
      </c>
      <c r="H3" s="20" t="s">
        <v>119</v>
      </c>
      <c r="I3" s="20" t="s">
        <v>284</v>
      </c>
      <c r="M3" s="20">
        <f>IF(Inputs!$A$12="",0,1)</f>
        <v>1</v>
      </c>
      <c r="N3" s="20">
        <f>IF($M3=0,0,SUM($M$3:$M3))</f>
        <v>1</v>
      </c>
      <c r="O3" s="20">
        <f>IF(Inputs!$B$12="",0,1)</f>
        <v>1</v>
      </c>
      <c r="P3" s="20">
        <f>IF($O3=0,0,SUM($O$3:$O3))</f>
        <v>1</v>
      </c>
    </row>
    <row r="4" spans="1:16" x14ac:dyDescent="0.3">
      <c r="A4" s="20" t="str">
        <f>IF(2&gt;$N$1,"",INDEX(lr_bu,MATCH(2,$N$3:$N$71,0)))</f>
        <v>MM</v>
      </c>
      <c r="B4" s="20" t="str">
        <f>IF(2&gt;$P$1,"",INDEX(lr_state,MATCH(2,$P$3:$P$71,0)))</f>
        <v>CO</v>
      </c>
      <c r="C4" s="20" t="s">
        <v>246</v>
      </c>
      <c r="D4" s="20" t="s">
        <v>247</v>
      </c>
      <c r="E4" s="20" t="s">
        <v>204</v>
      </c>
      <c r="F4" s="20" t="s">
        <v>113</v>
      </c>
      <c r="G4" s="20" t="s">
        <v>565</v>
      </c>
      <c r="H4" s="20" t="s">
        <v>1634</v>
      </c>
      <c r="I4" s="20" t="str">
        <f t="shared" ref="I4:I35" si="0">IF($A3="","",$A3)</f>
        <v>ABD</v>
      </c>
      <c r="M4" s="20">
        <f>IF(Inputs!$A$13="",0,IF(COUNTIF(Inputs!$A$12:$A$12,Inputs!$A$13)=0,1,0))</f>
        <v>0</v>
      </c>
      <c r="N4" s="20">
        <f>IF($M4=0,0,SUM($M$3:$M4))</f>
        <v>0</v>
      </c>
      <c r="O4" s="20">
        <f>IF(Inputs!$B$13="",0,IF(COUNTIF(Inputs!$B$12:$B$12,Inputs!$B$13)=0,1,0))</f>
        <v>1</v>
      </c>
      <c r="P4" s="20">
        <f>IF($O4=0,0,SUM($O$3:$O4))</f>
        <v>2</v>
      </c>
    </row>
    <row r="5" spans="1:16" x14ac:dyDescent="0.3">
      <c r="A5" s="20" t="str">
        <f>IF(3&gt;$N$1,"",INDEX(lr_bu,MATCH(3,$N$3:$N$71,0)))</f>
        <v>SBA</v>
      </c>
      <c r="B5" s="20" t="str">
        <f>IF(3&gt;$P$1,"",INDEX(lr_state,MATCH(3,$P$3:$P$71,0)))</f>
        <v>DE</v>
      </c>
      <c r="G5" s="20" t="s">
        <v>566</v>
      </c>
      <c r="I5" s="20" t="str">
        <f t="shared" si="0"/>
        <v>MM</v>
      </c>
      <c r="M5" s="20">
        <f>IF(Inputs!$A$14="",0,IF(COUNTIF(Inputs!$A$12:$A$13,Inputs!$A$14)=0,1,0))</f>
        <v>0</v>
      </c>
      <c r="N5" s="20">
        <f>IF($M5=0,0,SUM($M$3:$M5))</f>
        <v>0</v>
      </c>
      <c r="O5" s="20">
        <f>IF(Inputs!$B$14="",0,IF(COUNTIF(Inputs!$B$12:$B$13,Inputs!$B$14)=0,1,0))</f>
        <v>1</v>
      </c>
      <c r="P5" s="20">
        <f>IF($O5=0,0,SUM($O$3:$O5))</f>
        <v>3</v>
      </c>
    </row>
    <row r="6" spans="1:16" x14ac:dyDescent="0.3">
      <c r="A6" s="20" t="str">
        <f>IF(4&gt;$N$1,"",INDEX(lr_bu,MATCH(4,$N$3:$N$71,0)))</f>
        <v/>
      </c>
      <c r="B6" s="20" t="str">
        <f>IF(4&gt;$P$1,"",INDEX(lr_state,MATCH(4,$P$3:$P$71,0)))</f>
        <v>FL</v>
      </c>
      <c r="G6" s="20" t="s">
        <v>567</v>
      </c>
      <c r="I6" s="20" t="str">
        <f t="shared" si="0"/>
        <v>SBA</v>
      </c>
      <c r="M6" s="20">
        <f>IF(Inputs!$A$15="",0,IF(COUNTIF(Inputs!$A$12:$A$14,Inputs!$A$15)=0,1,0))</f>
        <v>0</v>
      </c>
      <c r="N6" s="20">
        <f>IF($M6=0,0,SUM($M$3:$M6))</f>
        <v>0</v>
      </c>
      <c r="O6" s="20">
        <f>IF(Inputs!$B$15="",0,IF(COUNTIF(Inputs!$B$12:$B$14,Inputs!$B$15)=0,1,0))</f>
        <v>1</v>
      </c>
      <c r="P6" s="20">
        <f>IF($O6=0,0,SUM($O$3:$O6))</f>
        <v>4</v>
      </c>
    </row>
    <row r="7" spans="1:16" x14ac:dyDescent="0.3">
      <c r="A7" s="20" t="str">
        <f>IF(5&gt;$N$1,"",INDEX(lr_bu,MATCH(5,$N$3:$N$71,0)))</f>
        <v/>
      </c>
      <c r="B7" s="20" t="str">
        <f>IF(5&gt;$P$1,"",INDEX(lr_state,MATCH(5,$P$3:$P$71,0)))</f>
        <v>GA</v>
      </c>
      <c r="G7" s="20" t="s">
        <v>568</v>
      </c>
      <c r="I7" s="20" t="str">
        <f t="shared" si="0"/>
        <v/>
      </c>
      <c r="M7" s="20">
        <f>IF(Inputs!$A$16="",0,IF(COUNTIF(Inputs!$A$12:$A$15,Inputs!$A$16)=0,1,0))</f>
        <v>0</v>
      </c>
      <c r="N7" s="20">
        <f>IF($M7=0,0,SUM($M$3:$M7))</f>
        <v>0</v>
      </c>
      <c r="O7" s="20">
        <f>IF(Inputs!$B$16="",0,IF(COUNTIF(Inputs!$B$12:$B$15,Inputs!$B$16)=0,1,0))</f>
        <v>1</v>
      </c>
      <c r="P7" s="20">
        <f>IF($O7=0,0,SUM($O$3:$O7))</f>
        <v>5</v>
      </c>
    </row>
    <row r="8" spans="1:16" x14ac:dyDescent="0.3">
      <c r="A8" s="20" t="str">
        <f>IF(6&gt;$N$1,"",INDEX(lr_bu,MATCH(6,$N$3:$N$71,0)))</f>
        <v/>
      </c>
      <c r="B8" s="20" t="str">
        <f>IF(6&gt;$P$1,"",INDEX(lr_state,MATCH(6,$P$3:$P$71,0)))</f>
        <v>IA</v>
      </c>
      <c r="I8" s="20" t="str">
        <f t="shared" si="0"/>
        <v/>
      </c>
      <c r="M8" s="20">
        <f>IF(Inputs!$A$17="",0,IF(COUNTIF(Inputs!$A$12:$A$16,Inputs!$A$17)=0,1,0))</f>
        <v>0</v>
      </c>
      <c r="N8" s="20">
        <f>IF($M8=0,0,SUM($M$3:$M8))</f>
        <v>0</v>
      </c>
      <c r="O8" s="20">
        <f>IF(Inputs!$B$17="",0,IF(COUNTIF(Inputs!$B$12:$B$16,Inputs!$B$17)=0,1,0))</f>
        <v>1</v>
      </c>
      <c r="P8" s="20">
        <f>IF($O8=0,0,SUM($O$3:$O8))</f>
        <v>6</v>
      </c>
    </row>
    <row r="9" spans="1:16" x14ac:dyDescent="0.3">
      <c r="A9" s="20" t="str">
        <f>IF(7&gt;$N$1,"",INDEX(lr_bu,MATCH(7,$N$3:$N$71,0)))</f>
        <v/>
      </c>
      <c r="B9" s="20" t="str">
        <f>IF(7&gt;$P$1,"",INDEX(lr_state,MATCH(7,$P$3:$P$71,0)))</f>
        <v>IL</v>
      </c>
      <c r="I9" s="20" t="str">
        <f t="shared" si="0"/>
        <v/>
      </c>
      <c r="M9" s="20">
        <f>IF(Inputs!$A$18="",0,IF(COUNTIF(Inputs!$A$12:$A$17,Inputs!$A$18)=0,1,0))</f>
        <v>0</v>
      </c>
      <c r="N9" s="20">
        <f>IF($M9=0,0,SUM($M$3:$M9))</f>
        <v>0</v>
      </c>
      <c r="O9" s="20">
        <f>IF(Inputs!$B$18="",0,IF(COUNTIF(Inputs!$B$12:$B$17,Inputs!$B$18)=0,1,0))</f>
        <v>1</v>
      </c>
      <c r="P9" s="20">
        <f>IF($O9=0,0,SUM($O$3:$O9))</f>
        <v>7</v>
      </c>
    </row>
    <row r="10" spans="1:16" x14ac:dyDescent="0.3">
      <c r="A10" s="20" t="str">
        <f>IF(8&gt;$N$1,"",INDEX(lr_bu,MATCH(8,$N$3:$N$71,0)))</f>
        <v/>
      </c>
      <c r="B10" s="20" t="str">
        <f>IF(8&gt;$P$1,"",INDEX(lr_state,MATCH(8,$P$3:$P$71,0)))</f>
        <v>IN</v>
      </c>
      <c r="I10" s="20" t="str">
        <f t="shared" si="0"/>
        <v/>
      </c>
      <c r="M10" s="20">
        <f>IF(Inputs!$A$19="",0,IF(COUNTIF(Inputs!$A$12:$A$18,Inputs!$A$19)=0,1,0))</f>
        <v>0</v>
      </c>
      <c r="N10" s="20">
        <f>IF($M10=0,0,SUM($M$3:$M10))</f>
        <v>0</v>
      </c>
      <c r="O10" s="20">
        <f>IF(Inputs!$B$19="",0,IF(COUNTIF(Inputs!$B$12:$B$18,Inputs!$B$19)=0,1,0))</f>
        <v>1</v>
      </c>
      <c r="P10" s="20">
        <f>IF($O10=0,0,SUM($O$3:$O10))</f>
        <v>8</v>
      </c>
    </row>
    <row r="11" spans="1:16" x14ac:dyDescent="0.3">
      <c r="A11" s="20" t="str">
        <f>IF(9&gt;$N$1,"",INDEX(lr_bu,MATCH(9,$N$3:$N$71,0)))</f>
        <v/>
      </c>
      <c r="B11" s="20" t="str">
        <f>IF(9&gt;$P$1,"",INDEX(lr_state,MATCH(9,$P$3:$P$71,0)))</f>
        <v>KY</v>
      </c>
      <c r="I11" s="20" t="str">
        <f t="shared" si="0"/>
        <v/>
      </c>
      <c r="M11" s="20">
        <f>IF(Inputs!$A$20="",0,IF(COUNTIF(Inputs!$A$12:$A$19,Inputs!$A$20)=0,1,0))</f>
        <v>0</v>
      </c>
      <c r="N11" s="20">
        <f>IF($M11=0,0,SUM($M$3:$M11))</f>
        <v>0</v>
      </c>
      <c r="O11" s="20">
        <f>IF(Inputs!$B$20="",0,IF(COUNTIF(Inputs!$B$12:$B$19,Inputs!$B$20)=0,1,0))</f>
        <v>1</v>
      </c>
      <c r="P11" s="20">
        <f>IF($O11=0,0,SUM($O$3:$O11))</f>
        <v>9</v>
      </c>
    </row>
    <row r="12" spans="1:16" x14ac:dyDescent="0.3">
      <c r="A12" s="20" t="str">
        <f>IF(10&gt;$N$1,"",INDEX(lr_bu,MATCH(10,$N$3:$N$71,0)))</f>
        <v/>
      </c>
      <c r="B12" s="20" t="str">
        <f>IF(10&gt;$P$1,"",INDEX(lr_state,MATCH(10,$P$3:$P$71,0)))</f>
        <v>MD</v>
      </c>
      <c r="I12" s="20" t="str">
        <f t="shared" si="0"/>
        <v/>
      </c>
      <c r="M12" s="20">
        <f>IF(Inputs!$A$21="",0,IF(COUNTIF(Inputs!$A$12:$A$20,Inputs!$A$21)=0,1,0))</f>
        <v>0</v>
      </c>
      <c r="N12" s="20">
        <f>IF($M12=0,0,SUM($M$3:$M12))</f>
        <v>0</v>
      </c>
      <c r="O12" s="20">
        <f>IF(Inputs!$B$21="",0,IF(COUNTIF(Inputs!$B$12:$B$20,Inputs!$B$21)=0,1,0))</f>
        <v>1</v>
      </c>
      <c r="P12" s="20">
        <f>IF($O12=0,0,SUM($O$3:$O12))</f>
        <v>10</v>
      </c>
    </row>
    <row r="13" spans="1:16" x14ac:dyDescent="0.3">
      <c r="A13" s="20" t="str">
        <f>IF(11&gt;$N$1,"",INDEX(lr_bu,MATCH(11,$N$3:$N$71,0)))</f>
        <v/>
      </c>
      <c r="B13" s="20" t="str">
        <f>IF(11&gt;$P$1,"",INDEX(lr_state,MATCH(11,$P$3:$P$71,0)))</f>
        <v>MI</v>
      </c>
      <c r="I13" s="20" t="str">
        <f t="shared" si="0"/>
        <v/>
      </c>
      <c r="M13" s="20">
        <f>IF(Inputs!$A$22="",0,IF(COUNTIF(Inputs!$A$12:$A$21,Inputs!$A$22)=0,1,0))</f>
        <v>0</v>
      </c>
      <c r="N13" s="20">
        <f>IF($M13=0,0,SUM($M$3:$M13))</f>
        <v>0</v>
      </c>
      <c r="O13" s="20">
        <f>IF(Inputs!$B$22="",0,IF(COUNTIF(Inputs!$B$12:$B$21,Inputs!$B$22)=0,1,0))</f>
        <v>1</v>
      </c>
      <c r="P13" s="20">
        <f>IF($O13=0,0,SUM($O$3:$O13))</f>
        <v>11</v>
      </c>
    </row>
    <row r="14" spans="1:16" x14ac:dyDescent="0.3">
      <c r="A14" s="20" t="str">
        <f>IF(12&gt;$N$1,"",INDEX(lr_bu,MATCH(12,$N$3:$N$71,0)))</f>
        <v/>
      </c>
      <c r="B14" s="20" t="str">
        <f>IF(12&gt;$P$1,"",INDEX(lr_state,MATCH(12,$P$3:$P$71,0)))</f>
        <v>MN</v>
      </c>
      <c r="I14" s="20" t="str">
        <f t="shared" si="0"/>
        <v/>
      </c>
      <c r="M14" s="20">
        <f>IF(Inputs!$A$23="",0,IF(COUNTIF(Inputs!$A$12:$A$22,Inputs!$A$23)=0,1,0))</f>
        <v>0</v>
      </c>
      <c r="N14" s="20">
        <f>IF($M14=0,0,SUM($M$3:$M14))</f>
        <v>0</v>
      </c>
      <c r="O14" s="20">
        <f>IF(Inputs!$B$23="",0,IF(COUNTIF(Inputs!$B$12:$B$22,Inputs!$B$23)=0,1,0))</f>
        <v>1</v>
      </c>
      <c r="P14" s="20">
        <f>IF($O14=0,0,SUM($O$3:$O14))</f>
        <v>12</v>
      </c>
    </row>
    <row r="15" spans="1:16" x14ac:dyDescent="0.3">
      <c r="A15" s="20" t="str">
        <f>IF(13&gt;$N$1,"",INDEX(lr_bu,MATCH(13,$N$3:$N$71,0)))</f>
        <v/>
      </c>
      <c r="B15" s="20" t="str">
        <f>IF(13&gt;$P$1,"",INDEX(lr_state,MATCH(13,$P$3:$P$71,0)))</f>
        <v>NM</v>
      </c>
      <c r="I15" s="20" t="str">
        <f t="shared" si="0"/>
        <v/>
      </c>
      <c r="M15" s="20">
        <f>IF(Inputs!$A$24="",0,IF(COUNTIF(Inputs!$A$12:$A$23,Inputs!$A$24)=0,1,0))</f>
        <v>0</v>
      </c>
      <c r="N15" s="20">
        <f>IF($M15=0,0,SUM($M$3:$M15))</f>
        <v>0</v>
      </c>
      <c r="O15" s="20">
        <f>IF(Inputs!$B$24="",0,IF(COUNTIF(Inputs!$B$12:$B$23,Inputs!$B$24)=0,1,0))</f>
        <v>1</v>
      </c>
      <c r="P15" s="20">
        <f>IF($O15=0,0,SUM($O$3:$O15))</f>
        <v>13</v>
      </c>
    </row>
    <row r="16" spans="1:16" x14ac:dyDescent="0.3">
      <c r="A16" s="20" t="str">
        <f>IF(14&gt;$N$1,"",INDEX(lr_bu,MATCH(14,$N$3:$N$71,0)))</f>
        <v/>
      </c>
      <c r="B16" s="20" t="str">
        <f>IF(14&gt;$P$1,"",INDEX(lr_state,MATCH(14,$P$3:$P$71,0)))</f>
        <v>NC</v>
      </c>
      <c r="I16" s="20" t="str">
        <f t="shared" si="0"/>
        <v/>
      </c>
      <c r="M16" s="20">
        <f>IF(Inputs!$A$25="",0,IF(COUNTIF(Inputs!$A$12:$A$24,Inputs!$A$25)=0,1,0))</f>
        <v>0</v>
      </c>
      <c r="N16" s="20">
        <f>IF($M16=0,0,SUM($M$3:$M16))</f>
        <v>0</v>
      </c>
      <c r="O16" s="20">
        <f>IF(Inputs!$B$25="",0,IF(COUNTIF(Inputs!$B$12:$B$24,Inputs!$B$25)=0,1,0))</f>
        <v>1</v>
      </c>
      <c r="P16" s="20">
        <f>IF($O16=0,0,SUM($O$3:$O16))</f>
        <v>14</v>
      </c>
    </row>
    <row r="17" spans="1:16" x14ac:dyDescent="0.3">
      <c r="A17" s="20" t="str">
        <f>IF(15&gt;$N$1,"",INDEX(lr_bu,MATCH(15,$N$3:$N$71,0)))</f>
        <v/>
      </c>
      <c r="B17" s="20" t="str">
        <f>IF(15&gt;$P$1,"",INDEX(lr_state,MATCH(15,$P$3:$P$71,0)))</f>
        <v>OH</v>
      </c>
      <c r="I17" s="20" t="str">
        <f t="shared" si="0"/>
        <v/>
      </c>
      <c r="M17" s="20">
        <f>IF(Inputs!$A$26="",0,IF(COUNTIF(Inputs!$A$12:$A$25,Inputs!$A$26)=0,1,0))</f>
        <v>0</v>
      </c>
      <c r="N17" s="20">
        <f>IF($M17=0,0,SUM($M$3:$M17))</f>
        <v>0</v>
      </c>
      <c r="O17" s="20">
        <f>IF(Inputs!$B$26="",0,IF(COUNTIF(Inputs!$B$12:$B$25,Inputs!$B$26)=0,1,0))</f>
        <v>1</v>
      </c>
      <c r="P17" s="20">
        <f>IF($O17=0,0,SUM($O$3:$O17))</f>
        <v>15</v>
      </c>
    </row>
    <row r="18" spans="1:16" x14ac:dyDescent="0.3">
      <c r="A18" s="20" t="str">
        <f>IF(16&gt;$N$1,"",INDEX(lr_bu,MATCH(16,$N$3:$N$71,0)))</f>
        <v/>
      </c>
      <c r="B18" s="20" t="str">
        <f>IF(16&gt;$P$1,"",INDEX(lr_state,MATCH(16,$P$3:$P$71,0)))</f>
        <v>PA</v>
      </c>
      <c r="I18" s="20" t="str">
        <f t="shared" si="0"/>
        <v/>
      </c>
      <c r="M18" s="20">
        <f>IF(Inputs!$A$27="",0,IF(COUNTIF(Inputs!$A$12:$A$26,Inputs!$A$27)=0,1,0))</f>
        <v>0</v>
      </c>
      <c r="N18" s="20">
        <f>IF($M18=0,0,SUM($M$3:$M18))</f>
        <v>0</v>
      </c>
      <c r="O18" s="20">
        <f>IF(Inputs!$B$27="",0,IF(COUNTIF(Inputs!$B$12:$B$26,Inputs!$B$27)=0,1,0))</f>
        <v>1</v>
      </c>
      <c r="P18" s="20">
        <f>IF($O18=0,0,SUM($O$3:$O18))</f>
        <v>16</v>
      </c>
    </row>
    <row r="19" spans="1:16" x14ac:dyDescent="0.3">
      <c r="A19" s="20" t="str">
        <f>IF(17&gt;$N$1,"",INDEX(lr_bu,MATCH(17,$N$3:$N$71,0)))</f>
        <v/>
      </c>
      <c r="B19" s="20" t="str">
        <f>IF(17&gt;$P$1,"",INDEX(lr_state,MATCH(17,$P$3:$P$71,0)))</f>
        <v>SC</v>
      </c>
      <c r="I19" s="20" t="str">
        <f t="shared" si="0"/>
        <v/>
      </c>
      <c r="M19" s="20">
        <f>IF(Inputs!$A$28="",0,IF(COUNTIF(Inputs!$A$12:$A$27,Inputs!$A$28)=0,1,0))</f>
        <v>0</v>
      </c>
      <c r="N19" s="20">
        <f>IF($M19=0,0,SUM($M$3:$M19))</f>
        <v>0</v>
      </c>
      <c r="O19" s="20">
        <f>IF(Inputs!$B$28="",0,IF(COUNTIF(Inputs!$B$12:$B$27,Inputs!$B$28)=0,1,0))</f>
        <v>1</v>
      </c>
      <c r="P19" s="20">
        <f>IF($O19=0,0,SUM($O$3:$O19))</f>
        <v>17</v>
      </c>
    </row>
    <row r="20" spans="1:16" x14ac:dyDescent="0.3">
      <c r="A20" s="20" t="str">
        <f>IF(18&gt;$N$1,"",INDEX(lr_bu,MATCH(18,$N$3:$N$71,0)))</f>
        <v/>
      </c>
      <c r="B20" s="20" t="str">
        <f>IF(18&gt;$P$1,"",INDEX(lr_state,MATCH(18,$P$3:$P$71,0)))</f>
        <v>TN</v>
      </c>
      <c r="I20" s="20" t="str">
        <f t="shared" si="0"/>
        <v/>
      </c>
      <c r="M20" s="20">
        <f>IF(Inputs!$A$29="",0,IF(COUNTIF(Inputs!$A$12:$A$28,Inputs!$A$29)=0,1,0))</f>
        <v>0</v>
      </c>
      <c r="N20" s="20">
        <f>IF($M20=0,0,SUM($M$3:$M20))</f>
        <v>0</v>
      </c>
      <c r="O20" s="20">
        <f>IF(Inputs!$B$29="",0,IF(COUNTIF(Inputs!$B$12:$B$28,Inputs!$B$29)=0,1,0))</f>
        <v>1</v>
      </c>
      <c r="P20" s="20">
        <f>IF($O20=0,0,SUM($O$3:$O20))</f>
        <v>18</v>
      </c>
    </row>
    <row r="21" spans="1:16" x14ac:dyDescent="0.3">
      <c r="A21" s="20" t="str">
        <f>IF(19&gt;$N$1,"",INDEX(lr_bu,MATCH(19,$N$3:$N$71,0)))</f>
        <v/>
      </c>
      <c r="B21" s="20" t="str">
        <f>IF(19&gt;$P$1,"",INDEX(lr_state,MATCH(19,$P$3:$P$71,0)))</f>
        <v>VA</v>
      </c>
      <c r="I21" s="20" t="str">
        <f t="shared" si="0"/>
        <v/>
      </c>
      <c r="M21" s="20">
        <f>IF(Inputs!$A$30="",0,IF(COUNTIF(Inputs!$A$12:$A$29,Inputs!$A$30)=0,1,0))</f>
        <v>0</v>
      </c>
      <c r="N21" s="20">
        <f>IF($M21=0,0,SUM($M$3:$M21))</f>
        <v>0</v>
      </c>
      <c r="O21" s="20">
        <f>IF(Inputs!$B$30="",0,IF(COUNTIF(Inputs!$B$12:$B$29,Inputs!$B$30)=0,1,0))</f>
        <v>1</v>
      </c>
      <c r="P21" s="20">
        <f>IF($O21=0,0,SUM($O$3:$O21))</f>
        <v>19</v>
      </c>
    </row>
    <row r="22" spans="1:16" x14ac:dyDescent="0.3">
      <c r="A22" s="20" t="str">
        <f>IF(20&gt;$N$1,"",INDEX(lr_bu,MATCH(20,$N$3:$N$71,0)))</f>
        <v/>
      </c>
      <c r="B22" s="20" t="str">
        <f>IF(20&gt;$P$1,"",INDEX(lr_state,MATCH(20,$P$3:$P$71,0)))</f>
        <v>WV</v>
      </c>
      <c r="I22" s="20" t="str">
        <f t="shared" si="0"/>
        <v/>
      </c>
      <c r="M22" s="20">
        <f>IF(Inputs!$A$31="",0,IF(COUNTIF(Inputs!$A$12:$A$30,Inputs!$A$31)=0,1,0))</f>
        <v>0</v>
      </c>
      <c r="N22" s="20">
        <f>IF($M22=0,0,SUM($M$3:$M22))</f>
        <v>0</v>
      </c>
      <c r="O22" s="20">
        <f>IF(Inputs!$B$31="",0,IF(COUNTIF(Inputs!$B$12:$B$30,Inputs!$B$31)=0,1,0))</f>
        <v>1</v>
      </c>
      <c r="P22" s="20">
        <f>IF($O22=0,0,SUM($O$3:$O22))</f>
        <v>20</v>
      </c>
    </row>
    <row r="23" spans="1:16" x14ac:dyDescent="0.3">
      <c r="A23" s="20" t="str">
        <f>IF(21&gt;$N$1,"",INDEX(lr_bu,MATCH(21,$N$3:$N$71,0)))</f>
        <v/>
      </c>
      <c r="B23" s="20" t="str">
        <f>IF(21&gt;$P$1,"",INDEX(lr_state,MATCH(21,$P$3:$P$71,0)))</f>
        <v>WI</v>
      </c>
      <c r="I23" s="20" t="str">
        <f t="shared" si="0"/>
        <v/>
      </c>
      <c r="M23" s="20">
        <f>IF(Inputs!$A$32="",0,IF(COUNTIF(Inputs!$A$12:$A$31,Inputs!$A$32)=0,1,0))</f>
        <v>0</v>
      </c>
      <c r="N23" s="20">
        <f>IF($M23=0,0,SUM($M$3:$M23))</f>
        <v>0</v>
      </c>
      <c r="O23" s="20">
        <f>IF(Inputs!$B$32="",0,IF(COUNTIF(Inputs!$B$12:$B$31,Inputs!$B$32)=0,1,0))</f>
        <v>1</v>
      </c>
      <c r="P23" s="20">
        <f>IF($O23=0,0,SUM($O$3:$O23))</f>
        <v>21</v>
      </c>
    </row>
    <row r="24" spans="1:16" x14ac:dyDescent="0.3">
      <c r="A24" s="20" t="str">
        <f>IF(22&gt;$N$1,"",INDEX(lr_bu,MATCH(22,$N$3:$N$71,0)))</f>
        <v/>
      </c>
      <c r="B24" s="20" t="str">
        <f>IF(22&gt;$P$1,"",INDEX(lr_state,MATCH(22,$P$3:$P$71,0)))</f>
        <v/>
      </c>
      <c r="I24" s="20" t="str">
        <f t="shared" si="0"/>
        <v/>
      </c>
      <c r="M24" s="20">
        <f>IF(Inputs!$A$33="",0,IF(COUNTIF(Inputs!$A$12:$A$32,Inputs!$A$33)=0,1,0))</f>
        <v>1</v>
      </c>
      <c r="N24" s="20">
        <f>IF($M24=0,0,SUM($M$3:$M24))</f>
        <v>2</v>
      </c>
      <c r="O24" s="20">
        <f>IF(Inputs!$B$33="",0,IF(COUNTIF(Inputs!$B$12:$B$32,Inputs!$B$33)=0,1,0))</f>
        <v>0</v>
      </c>
      <c r="P24" s="20">
        <f>IF($O24=0,0,SUM($O$3:$O24))</f>
        <v>0</v>
      </c>
    </row>
    <row r="25" spans="1:16" x14ac:dyDescent="0.3">
      <c r="A25" s="20" t="str">
        <f>IF(23&gt;$N$1,"",INDEX(lr_bu,MATCH(23,$N$3:$N$71,0)))</f>
        <v/>
      </c>
      <c r="B25" s="20" t="str">
        <f>IF(23&gt;$P$1,"",INDEX(lr_state,MATCH(23,$P$3:$P$71,0)))</f>
        <v/>
      </c>
      <c r="I25" s="20" t="str">
        <f t="shared" si="0"/>
        <v/>
      </c>
      <c r="M25" s="20">
        <f>IF(Inputs!$A$34="",0,IF(COUNTIF(Inputs!$A$12:$A$33,Inputs!$A$34)=0,1,0))</f>
        <v>0</v>
      </c>
      <c r="N25" s="20">
        <f>IF($M25=0,0,SUM($M$3:$M25))</f>
        <v>0</v>
      </c>
      <c r="O25" s="20">
        <f>IF(Inputs!$B$34="",0,IF(COUNTIF(Inputs!$B$12:$B$33,Inputs!$B$34)=0,1,0))</f>
        <v>0</v>
      </c>
      <c r="P25" s="20">
        <f>IF($O25=0,0,SUM($O$3:$O25))</f>
        <v>0</v>
      </c>
    </row>
    <row r="26" spans="1:16" x14ac:dyDescent="0.3">
      <c r="A26" s="20" t="str">
        <f>IF(24&gt;$N$1,"",INDEX(lr_bu,MATCH(24,$N$3:$N$71,0)))</f>
        <v/>
      </c>
      <c r="B26" s="20" t="str">
        <f>IF(24&gt;$P$1,"",INDEX(lr_state,MATCH(24,$P$3:$P$71,0)))</f>
        <v/>
      </c>
      <c r="I26" s="20" t="str">
        <f t="shared" si="0"/>
        <v/>
      </c>
      <c r="M26" s="20">
        <f>IF(Inputs!$A$35="",0,IF(COUNTIF(Inputs!$A$12:$A$34,Inputs!$A$35)=0,1,0))</f>
        <v>0</v>
      </c>
      <c r="N26" s="20">
        <f>IF($M26=0,0,SUM($M$3:$M26))</f>
        <v>0</v>
      </c>
      <c r="O26" s="20">
        <f>IF(Inputs!$B$35="",0,IF(COUNTIF(Inputs!$B$12:$B$34,Inputs!$B$35)=0,1,0))</f>
        <v>0</v>
      </c>
      <c r="P26" s="20">
        <f>IF($O26=0,0,SUM($O$3:$O26))</f>
        <v>0</v>
      </c>
    </row>
    <row r="27" spans="1:16" x14ac:dyDescent="0.3">
      <c r="A27" s="20" t="str">
        <f>IF(25&gt;$N$1,"",INDEX(lr_bu,MATCH(25,$N$3:$N$71,0)))</f>
        <v/>
      </c>
      <c r="B27" s="20" t="str">
        <f>IF(25&gt;$P$1,"",INDEX(lr_state,MATCH(25,$P$3:$P$71,0)))</f>
        <v/>
      </c>
      <c r="I27" s="20" t="str">
        <f t="shared" si="0"/>
        <v/>
      </c>
      <c r="M27" s="20">
        <f>IF(Inputs!$A$36="",0,IF(COUNTIF(Inputs!$A$12:$A$35,Inputs!$A$36)=0,1,0))</f>
        <v>0</v>
      </c>
      <c r="N27" s="20">
        <f>IF($M27=0,0,SUM($M$3:$M27))</f>
        <v>0</v>
      </c>
      <c r="O27" s="20">
        <f>IF(Inputs!$B$36="",0,IF(COUNTIF(Inputs!$B$12:$B$35,Inputs!$B$36)=0,1,0))</f>
        <v>0</v>
      </c>
      <c r="P27" s="20">
        <f>IF($O27=0,0,SUM($O$3:$O27))</f>
        <v>0</v>
      </c>
    </row>
    <row r="28" spans="1:16" x14ac:dyDescent="0.3">
      <c r="A28" s="20" t="str">
        <f>IF(26&gt;$N$1,"",INDEX(lr_bu,MATCH(26,$N$3:$N$71,0)))</f>
        <v/>
      </c>
      <c r="B28" s="20" t="str">
        <f>IF(26&gt;$P$1,"",INDEX(lr_state,MATCH(26,$P$3:$P$71,0)))</f>
        <v/>
      </c>
      <c r="I28" s="20" t="str">
        <f t="shared" si="0"/>
        <v/>
      </c>
      <c r="M28" s="20">
        <f>IF(Inputs!$A$37="",0,IF(COUNTIF(Inputs!$A$12:$A$36,Inputs!$A$37)=0,1,0))</f>
        <v>0</v>
      </c>
      <c r="N28" s="20">
        <f>IF($M28=0,0,SUM($M$3:$M28))</f>
        <v>0</v>
      </c>
      <c r="O28" s="20">
        <f>IF(Inputs!$B$37="",0,IF(COUNTIF(Inputs!$B$12:$B$36,Inputs!$B$37)=0,1,0))</f>
        <v>0</v>
      </c>
      <c r="P28" s="20">
        <f>IF($O28=0,0,SUM($O$3:$O28))</f>
        <v>0</v>
      </c>
    </row>
    <row r="29" spans="1:16" x14ac:dyDescent="0.3">
      <c r="A29" s="20" t="str">
        <f>IF(27&gt;$N$1,"",INDEX(lr_bu,MATCH(27,$N$3:$N$71,0)))</f>
        <v/>
      </c>
      <c r="B29" s="20" t="str">
        <f>IF(27&gt;$P$1,"",INDEX(lr_state,MATCH(27,$P$3:$P$71,0)))</f>
        <v/>
      </c>
      <c r="I29" s="20" t="str">
        <f t="shared" si="0"/>
        <v/>
      </c>
      <c r="M29" s="20">
        <f>IF(Inputs!$A$38="",0,IF(COUNTIF(Inputs!$A$12:$A$37,Inputs!$A$38)=0,1,0))</f>
        <v>0</v>
      </c>
      <c r="N29" s="20">
        <f>IF($M29=0,0,SUM($M$3:$M29))</f>
        <v>0</v>
      </c>
      <c r="O29" s="20">
        <f>IF(Inputs!$B$38="",0,IF(COUNTIF(Inputs!$B$12:$B$37,Inputs!$B$38)=0,1,0))</f>
        <v>0</v>
      </c>
      <c r="P29" s="20">
        <f>IF($O29=0,0,SUM($O$3:$O29))</f>
        <v>0</v>
      </c>
    </row>
    <row r="30" spans="1:16" x14ac:dyDescent="0.3">
      <c r="A30" s="20" t="str">
        <f>IF(28&gt;$N$1,"",INDEX(lr_bu,MATCH(28,$N$3:$N$71,0)))</f>
        <v/>
      </c>
      <c r="B30" s="20" t="str">
        <f>IF(28&gt;$P$1,"",INDEX(lr_state,MATCH(28,$P$3:$P$71,0)))</f>
        <v/>
      </c>
      <c r="I30" s="20" t="str">
        <f t="shared" si="0"/>
        <v/>
      </c>
      <c r="M30" s="20">
        <f>IF(Inputs!$A$39="",0,IF(COUNTIF(Inputs!$A$12:$A$38,Inputs!$A$39)=0,1,0))</f>
        <v>0</v>
      </c>
      <c r="N30" s="20">
        <f>IF($M30=0,0,SUM($M$3:$M30))</f>
        <v>0</v>
      </c>
      <c r="O30" s="20">
        <f>IF(Inputs!$B$39="",0,IF(COUNTIF(Inputs!$B$12:$B$38,Inputs!$B$39)=0,1,0))</f>
        <v>0</v>
      </c>
      <c r="P30" s="20">
        <f>IF($O30=0,0,SUM($O$3:$O30))</f>
        <v>0</v>
      </c>
    </row>
    <row r="31" spans="1:16" x14ac:dyDescent="0.3">
      <c r="A31" s="20" t="str">
        <f>IF(29&gt;$N$1,"",INDEX(lr_bu,MATCH(29,$N$3:$N$71,0)))</f>
        <v/>
      </c>
      <c r="B31" s="20" t="str">
        <f>IF(29&gt;$P$1,"",INDEX(lr_state,MATCH(29,$P$3:$P$71,0)))</f>
        <v/>
      </c>
      <c r="I31" s="20" t="str">
        <f t="shared" si="0"/>
        <v/>
      </c>
      <c r="M31" s="20">
        <f>IF(Inputs!$A$40="",0,IF(COUNTIF(Inputs!$A$12:$A$39,Inputs!$A$40)=0,1,0))</f>
        <v>0</v>
      </c>
      <c r="N31" s="20">
        <f>IF($M31=0,0,SUM($M$3:$M31))</f>
        <v>0</v>
      </c>
      <c r="O31" s="20">
        <f>IF(Inputs!$B$40="",0,IF(COUNTIF(Inputs!$B$12:$B$39,Inputs!$B$40)=0,1,0))</f>
        <v>0</v>
      </c>
      <c r="P31" s="20">
        <f>IF($O31=0,0,SUM($O$3:$O31))</f>
        <v>0</v>
      </c>
    </row>
    <row r="32" spans="1:16" x14ac:dyDescent="0.3">
      <c r="A32" s="20" t="str">
        <f>IF(30&gt;$N$1,"",INDEX(lr_bu,MATCH(30,$N$3:$N$71,0)))</f>
        <v/>
      </c>
      <c r="B32" s="20" t="str">
        <f>IF(30&gt;$P$1,"",INDEX(lr_state,MATCH(30,$P$3:$P$71,0)))</f>
        <v/>
      </c>
      <c r="I32" s="20" t="str">
        <f t="shared" si="0"/>
        <v/>
      </c>
      <c r="M32" s="20">
        <f>IF(Inputs!$A$41="",0,IF(COUNTIF(Inputs!$A$12:$A$40,Inputs!$A$41)=0,1,0))</f>
        <v>0</v>
      </c>
      <c r="N32" s="20">
        <f>IF($M32=0,0,SUM($M$3:$M32))</f>
        <v>0</v>
      </c>
      <c r="O32" s="20">
        <f>IF(Inputs!$B$41="",0,IF(COUNTIF(Inputs!$B$12:$B$40,Inputs!$B$41)=0,1,0))</f>
        <v>0</v>
      </c>
      <c r="P32" s="20">
        <f>IF($O32=0,0,SUM($O$3:$O32))</f>
        <v>0</v>
      </c>
    </row>
    <row r="33" spans="1:16" x14ac:dyDescent="0.3">
      <c r="A33" s="20" t="str">
        <f>IF(31&gt;$N$1,"",INDEX(lr_bu,MATCH(31,$N$3:$N$71,0)))</f>
        <v/>
      </c>
      <c r="B33" s="20" t="str">
        <f>IF(31&gt;$P$1,"",INDEX(lr_state,MATCH(31,$P$3:$P$71,0)))</f>
        <v/>
      </c>
      <c r="I33" s="20" t="str">
        <f t="shared" si="0"/>
        <v/>
      </c>
      <c r="M33" s="20">
        <f>IF(Inputs!$A$42="",0,IF(COUNTIF(Inputs!$A$12:$A$41,Inputs!$A$42)=0,1,0))</f>
        <v>0</v>
      </c>
      <c r="N33" s="20">
        <f>IF($M33=0,0,SUM($M$3:$M33))</f>
        <v>0</v>
      </c>
      <c r="O33" s="20">
        <f>IF(Inputs!$B$42="",0,IF(COUNTIF(Inputs!$B$12:$B$41,Inputs!$B$42)=0,1,0))</f>
        <v>0</v>
      </c>
      <c r="P33" s="20">
        <f>IF($O33=0,0,SUM($O$3:$O33))</f>
        <v>0</v>
      </c>
    </row>
    <row r="34" spans="1:16" x14ac:dyDescent="0.3">
      <c r="A34" s="20" t="str">
        <f>IF(32&gt;$N$1,"",INDEX(lr_bu,MATCH(32,$N$3:$N$71,0)))</f>
        <v/>
      </c>
      <c r="B34" s="20" t="str">
        <f>IF(32&gt;$P$1,"",INDEX(lr_state,MATCH(32,$P$3:$P$71,0)))</f>
        <v/>
      </c>
      <c r="I34" s="20" t="str">
        <f t="shared" si="0"/>
        <v/>
      </c>
      <c r="M34" s="20">
        <f>IF(Inputs!$A$43="",0,IF(COUNTIF(Inputs!$A$12:$A$42,Inputs!$A$43)=0,1,0))</f>
        <v>0</v>
      </c>
      <c r="N34" s="20">
        <f>IF($M34=0,0,SUM($M$3:$M34))</f>
        <v>0</v>
      </c>
      <c r="O34" s="20">
        <f>IF(Inputs!$B$43="",0,IF(COUNTIF(Inputs!$B$12:$B$42,Inputs!$B$43)=0,1,0))</f>
        <v>0</v>
      </c>
      <c r="P34" s="20">
        <f>IF($O34=0,0,SUM($O$3:$O34))</f>
        <v>0</v>
      </c>
    </row>
    <row r="35" spans="1:16" x14ac:dyDescent="0.3">
      <c r="A35" s="20" t="str">
        <f>IF(33&gt;$N$1,"",INDEX(lr_bu,MATCH(33,$N$3:$N$71,0)))</f>
        <v/>
      </c>
      <c r="B35" s="20" t="str">
        <f>IF(33&gt;$P$1,"",INDEX(lr_state,MATCH(33,$P$3:$P$71,0)))</f>
        <v/>
      </c>
      <c r="I35" s="20" t="str">
        <f t="shared" si="0"/>
        <v/>
      </c>
      <c r="M35" s="20">
        <f>IF(Inputs!$A$44="",0,IF(COUNTIF(Inputs!$A$12:$A$43,Inputs!$A$44)=0,1,0))</f>
        <v>0</v>
      </c>
      <c r="N35" s="20">
        <f>IF($M35=0,0,SUM($M$3:$M35))</f>
        <v>0</v>
      </c>
      <c r="O35" s="20">
        <f>IF(Inputs!$B$44="",0,IF(COUNTIF(Inputs!$B$12:$B$43,Inputs!$B$44)=0,1,0))</f>
        <v>0</v>
      </c>
      <c r="P35" s="20">
        <f>IF($O35=0,0,SUM($O$3:$O35))</f>
        <v>0</v>
      </c>
    </row>
    <row r="36" spans="1:16" x14ac:dyDescent="0.3">
      <c r="A36" s="20" t="str">
        <f>IF(34&gt;$N$1,"",INDEX(lr_bu,MATCH(34,$N$3:$N$71,0)))</f>
        <v/>
      </c>
      <c r="B36" s="20" t="str">
        <f>IF(34&gt;$P$1,"",INDEX(lr_state,MATCH(34,$P$3:$P$71,0)))</f>
        <v/>
      </c>
      <c r="I36" s="20" t="str">
        <f t="shared" ref="I36:I72" si="1">IF($A35="","",$A35)</f>
        <v/>
      </c>
      <c r="M36" s="20">
        <f>IF(Inputs!$A$45="",0,IF(COUNTIF(Inputs!$A$12:$A$44,Inputs!$A$45)=0,1,0))</f>
        <v>0</v>
      </c>
      <c r="N36" s="20">
        <f>IF($M36=0,0,SUM($M$3:$M36))</f>
        <v>0</v>
      </c>
      <c r="O36" s="20">
        <f>IF(Inputs!$B$45="",0,IF(COUNTIF(Inputs!$B$12:$B$44,Inputs!$B$45)=0,1,0))</f>
        <v>0</v>
      </c>
      <c r="P36" s="20">
        <f>IF($O36=0,0,SUM($O$3:$O36))</f>
        <v>0</v>
      </c>
    </row>
    <row r="37" spans="1:16" x14ac:dyDescent="0.3">
      <c r="A37" s="20" t="str">
        <f>IF(35&gt;$N$1,"",INDEX(lr_bu,MATCH(35,$N$3:$N$71,0)))</f>
        <v/>
      </c>
      <c r="B37" s="20" t="str">
        <f>IF(35&gt;$P$1,"",INDEX(lr_state,MATCH(35,$P$3:$P$71,0)))</f>
        <v/>
      </c>
      <c r="I37" s="20" t="str">
        <f t="shared" si="1"/>
        <v/>
      </c>
      <c r="M37" s="20">
        <f>IF(Inputs!$A$46="",0,IF(COUNTIF(Inputs!$A$12:$A$45,Inputs!$A$46)=0,1,0))</f>
        <v>0</v>
      </c>
      <c r="N37" s="20">
        <f>IF($M37=0,0,SUM($M$3:$M37))</f>
        <v>0</v>
      </c>
      <c r="O37" s="20">
        <f>IF(Inputs!$B$46="",0,IF(COUNTIF(Inputs!$B$12:$B$45,Inputs!$B$46)=0,1,0))</f>
        <v>0</v>
      </c>
      <c r="P37" s="20">
        <f>IF($O37=0,0,SUM($O$3:$O37))</f>
        <v>0</v>
      </c>
    </row>
    <row r="38" spans="1:16" x14ac:dyDescent="0.3">
      <c r="A38" s="20" t="str">
        <f>IF(36&gt;$N$1,"",INDEX(lr_bu,MATCH(36,$N$3:$N$71,0)))</f>
        <v/>
      </c>
      <c r="B38" s="20" t="str">
        <f>IF(36&gt;$P$1,"",INDEX(lr_state,MATCH(36,$P$3:$P$71,0)))</f>
        <v/>
      </c>
      <c r="I38" s="20" t="str">
        <f t="shared" si="1"/>
        <v/>
      </c>
      <c r="M38" s="20">
        <f>IF(Inputs!$A$47="",0,IF(COUNTIF(Inputs!$A$12:$A$46,Inputs!$A$47)=0,1,0))</f>
        <v>0</v>
      </c>
      <c r="N38" s="20">
        <f>IF($M38=0,0,SUM($M$3:$M38))</f>
        <v>0</v>
      </c>
      <c r="O38" s="20">
        <f>IF(Inputs!$B$47="",0,IF(COUNTIF(Inputs!$B$12:$B$46,Inputs!$B$47)=0,1,0))</f>
        <v>0</v>
      </c>
      <c r="P38" s="20">
        <f>IF($O38=0,0,SUM($O$3:$O38))</f>
        <v>0</v>
      </c>
    </row>
    <row r="39" spans="1:16" x14ac:dyDescent="0.3">
      <c r="A39" s="20" t="str">
        <f>IF(37&gt;$N$1,"",INDEX(lr_bu,MATCH(37,$N$3:$N$71,0)))</f>
        <v/>
      </c>
      <c r="B39" s="20" t="str">
        <f>IF(37&gt;$P$1,"",INDEX(lr_state,MATCH(37,$P$3:$P$71,0)))</f>
        <v/>
      </c>
      <c r="I39" s="20" t="str">
        <f t="shared" si="1"/>
        <v/>
      </c>
      <c r="M39" s="20">
        <f>IF(Inputs!$A$48="",0,IF(COUNTIF(Inputs!$A$12:$A$47,Inputs!$A$48)=0,1,0))</f>
        <v>0</v>
      </c>
      <c r="N39" s="20">
        <f>IF($M39=0,0,SUM($M$3:$M39))</f>
        <v>0</v>
      </c>
      <c r="O39" s="20">
        <f>IF(Inputs!$B$48="",0,IF(COUNTIF(Inputs!$B$12:$B$47,Inputs!$B$48)=0,1,0))</f>
        <v>0</v>
      </c>
      <c r="P39" s="20">
        <f>IF($O39=0,0,SUM($O$3:$O39))</f>
        <v>0</v>
      </c>
    </row>
    <row r="40" spans="1:16" x14ac:dyDescent="0.3">
      <c r="A40" s="20" t="str">
        <f>IF(38&gt;$N$1,"",INDEX(lr_bu,MATCH(38,$N$3:$N$71,0)))</f>
        <v/>
      </c>
      <c r="B40" s="20" t="str">
        <f>IF(38&gt;$P$1,"",INDEX(lr_state,MATCH(38,$P$3:$P$71,0)))</f>
        <v/>
      </c>
      <c r="I40" s="20" t="str">
        <f t="shared" si="1"/>
        <v/>
      </c>
      <c r="M40" s="20">
        <f>IF(Inputs!$A$49="",0,IF(COUNTIF(Inputs!$A$12:$A$48,Inputs!$A$49)=0,1,0))</f>
        <v>0</v>
      </c>
      <c r="N40" s="20">
        <f>IF($M40=0,0,SUM($M$3:$M40))</f>
        <v>0</v>
      </c>
      <c r="O40" s="20">
        <f>IF(Inputs!$B$49="",0,IF(COUNTIF(Inputs!$B$12:$B$48,Inputs!$B$49)=0,1,0))</f>
        <v>0</v>
      </c>
      <c r="P40" s="20">
        <f>IF($O40=0,0,SUM($O$3:$O40))</f>
        <v>0</v>
      </c>
    </row>
    <row r="41" spans="1:16" x14ac:dyDescent="0.3">
      <c r="A41" s="20" t="str">
        <f>IF(39&gt;$N$1,"",INDEX(lr_bu,MATCH(39,$N$3:$N$71,0)))</f>
        <v/>
      </c>
      <c r="B41" s="20" t="str">
        <f>IF(39&gt;$P$1,"",INDEX(lr_state,MATCH(39,$P$3:$P$71,0)))</f>
        <v/>
      </c>
      <c r="I41" s="20" t="str">
        <f t="shared" si="1"/>
        <v/>
      </c>
      <c r="M41" s="20">
        <f>IF(Inputs!$A$50="",0,IF(COUNTIF(Inputs!$A$12:$A$49,Inputs!$A$50)=0,1,0))</f>
        <v>0</v>
      </c>
      <c r="N41" s="20">
        <f>IF($M41=0,0,SUM($M$3:$M41))</f>
        <v>0</v>
      </c>
      <c r="O41" s="20">
        <f>IF(Inputs!$B$50="",0,IF(COUNTIF(Inputs!$B$12:$B$49,Inputs!$B$50)=0,1,0))</f>
        <v>0</v>
      </c>
      <c r="P41" s="20">
        <f>IF($O41=0,0,SUM($O$3:$O41))</f>
        <v>0</v>
      </c>
    </row>
    <row r="42" spans="1:16" x14ac:dyDescent="0.3">
      <c r="A42" s="20" t="str">
        <f>IF(40&gt;$N$1,"",INDEX(lr_bu,MATCH(40,$N$3:$N$71,0)))</f>
        <v/>
      </c>
      <c r="B42" s="20" t="str">
        <f>IF(40&gt;$P$1,"",INDEX(lr_state,MATCH(40,$P$3:$P$71,0)))</f>
        <v/>
      </c>
      <c r="I42" s="20" t="str">
        <f t="shared" si="1"/>
        <v/>
      </c>
      <c r="M42" s="20">
        <f>IF(Inputs!$A$51="",0,IF(COUNTIF(Inputs!$A$12:$A$50,Inputs!$A$51)=0,1,0))</f>
        <v>0</v>
      </c>
      <c r="N42" s="20">
        <f>IF($M42=0,0,SUM($M$3:$M42))</f>
        <v>0</v>
      </c>
      <c r="O42" s="20">
        <f>IF(Inputs!$B$51="",0,IF(COUNTIF(Inputs!$B$12:$B$50,Inputs!$B$51)=0,1,0))</f>
        <v>0</v>
      </c>
      <c r="P42" s="20">
        <f>IF($O42=0,0,SUM($O$3:$O42))</f>
        <v>0</v>
      </c>
    </row>
    <row r="43" spans="1:16" x14ac:dyDescent="0.3">
      <c r="A43" s="20" t="str">
        <f>IF(41&gt;$N$1,"",INDEX(lr_bu,MATCH(41,$N$3:$N$71,0)))</f>
        <v/>
      </c>
      <c r="B43" s="20" t="str">
        <f>IF(41&gt;$P$1,"",INDEX(lr_state,MATCH(41,$P$3:$P$71,0)))</f>
        <v/>
      </c>
      <c r="I43" s="20" t="str">
        <f t="shared" si="1"/>
        <v/>
      </c>
      <c r="M43" s="20">
        <f>IF(Inputs!$A$52="",0,IF(COUNTIF(Inputs!$A$12:$A$51,Inputs!$A$52)=0,1,0))</f>
        <v>0</v>
      </c>
      <c r="N43" s="20">
        <f>IF($M43=0,0,SUM($M$3:$M43))</f>
        <v>0</v>
      </c>
      <c r="O43" s="20">
        <f>IF(Inputs!$B$52="",0,IF(COUNTIF(Inputs!$B$12:$B$51,Inputs!$B$52)=0,1,0))</f>
        <v>0</v>
      </c>
      <c r="P43" s="20">
        <f>IF($O43=0,0,SUM($O$3:$O43))</f>
        <v>0</v>
      </c>
    </row>
    <row r="44" spans="1:16" x14ac:dyDescent="0.3">
      <c r="A44" s="20" t="str">
        <f>IF(42&gt;$N$1,"",INDEX(lr_bu,MATCH(42,$N$3:$N$71,0)))</f>
        <v/>
      </c>
      <c r="B44" s="20" t="str">
        <f>IF(42&gt;$P$1,"",INDEX(lr_state,MATCH(42,$P$3:$P$71,0)))</f>
        <v/>
      </c>
      <c r="I44" s="20" t="str">
        <f t="shared" si="1"/>
        <v/>
      </c>
      <c r="M44" s="20">
        <f>IF(Inputs!$A$53="",0,IF(COUNTIF(Inputs!$A$12:$A$52,Inputs!$A$53)=0,1,0))</f>
        <v>0</v>
      </c>
      <c r="N44" s="20">
        <f>IF($M44=0,0,SUM($M$3:$M44))</f>
        <v>0</v>
      </c>
      <c r="O44" s="20">
        <f>IF(Inputs!$B$53="",0,IF(COUNTIF(Inputs!$B$12:$B$52,Inputs!$B$53)=0,1,0))</f>
        <v>0</v>
      </c>
      <c r="P44" s="20">
        <f>IF($O44=0,0,SUM($O$3:$O44))</f>
        <v>0</v>
      </c>
    </row>
    <row r="45" spans="1:16" x14ac:dyDescent="0.3">
      <c r="A45" s="20" t="str">
        <f>IF(43&gt;$N$1,"",INDEX(lr_bu,MATCH(43,$N$3:$N$71,0)))</f>
        <v/>
      </c>
      <c r="B45" s="20" t="str">
        <f>IF(43&gt;$P$1,"",INDEX(lr_state,MATCH(43,$P$3:$P$71,0)))</f>
        <v/>
      </c>
      <c r="I45" s="20" t="str">
        <f t="shared" si="1"/>
        <v/>
      </c>
      <c r="M45" s="20">
        <f>IF(Inputs!$A$54="",0,IF(COUNTIF(Inputs!$A$12:$A$53,Inputs!$A$54)=0,1,0))</f>
        <v>1</v>
      </c>
      <c r="N45" s="20">
        <f>IF($M45=0,0,SUM($M$3:$M45))</f>
        <v>3</v>
      </c>
      <c r="O45" s="20">
        <f>IF(Inputs!$B$54="",0,IF(COUNTIF(Inputs!$B$12:$B$53,Inputs!$B$54)=0,1,0))</f>
        <v>0</v>
      </c>
      <c r="P45" s="20">
        <f>IF($O45=0,0,SUM($O$3:$O45))</f>
        <v>0</v>
      </c>
    </row>
    <row r="46" spans="1:16" x14ac:dyDescent="0.3">
      <c r="A46" s="20" t="str">
        <f>IF(44&gt;$N$1,"",INDEX(lr_bu,MATCH(44,$N$3:$N$71,0)))</f>
        <v/>
      </c>
      <c r="B46" s="20" t="str">
        <f>IF(44&gt;$P$1,"",INDEX(lr_state,MATCH(44,$P$3:$P$71,0)))</f>
        <v/>
      </c>
      <c r="I46" s="20" t="str">
        <f t="shared" si="1"/>
        <v/>
      </c>
      <c r="M46" s="20">
        <f>IF(Inputs!$A$55="",0,IF(COUNTIF(Inputs!$A$12:$A$54,Inputs!$A$55)=0,1,0))</f>
        <v>0</v>
      </c>
      <c r="N46" s="20">
        <f>IF($M46=0,0,SUM($M$3:$M46))</f>
        <v>0</v>
      </c>
      <c r="O46" s="20">
        <f>IF(Inputs!$B$55="",0,IF(COUNTIF(Inputs!$B$12:$B$54,Inputs!$B$55)=0,1,0))</f>
        <v>0</v>
      </c>
      <c r="P46" s="20">
        <f>IF($O46=0,0,SUM($O$3:$O46))</f>
        <v>0</v>
      </c>
    </row>
    <row r="47" spans="1:16" x14ac:dyDescent="0.3">
      <c r="A47" s="20" t="str">
        <f>IF(45&gt;$N$1,"",INDEX(lr_bu,MATCH(45,$N$3:$N$71,0)))</f>
        <v/>
      </c>
      <c r="B47" s="20" t="str">
        <f>IF(45&gt;$P$1,"",INDEX(lr_state,MATCH(45,$P$3:$P$71,0)))</f>
        <v/>
      </c>
      <c r="I47" s="20" t="str">
        <f t="shared" si="1"/>
        <v/>
      </c>
      <c r="M47" s="20">
        <f>IF(Inputs!$A$56="",0,IF(COUNTIF(Inputs!$A$12:$A$55,Inputs!$A$56)=0,1,0))</f>
        <v>0</v>
      </c>
      <c r="N47" s="20">
        <f>IF($M47=0,0,SUM($M$3:$M47))</f>
        <v>0</v>
      </c>
      <c r="O47" s="20">
        <f>IF(Inputs!$B$56="",0,IF(COUNTIF(Inputs!$B$12:$B$55,Inputs!$B$56)=0,1,0))</f>
        <v>0</v>
      </c>
      <c r="P47" s="20">
        <f>IF($O47=0,0,SUM($O$3:$O47))</f>
        <v>0</v>
      </c>
    </row>
    <row r="48" spans="1:16" x14ac:dyDescent="0.3">
      <c r="A48" s="20" t="str">
        <f>IF(46&gt;$N$1,"",INDEX(lr_bu,MATCH(46,$N$3:$N$71,0)))</f>
        <v/>
      </c>
      <c r="B48" s="20" t="str">
        <f>IF(46&gt;$P$1,"",INDEX(lr_state,MATCH(46,$P$3:$P$71,0)))</f>
        <v/>
      </c>
      <c r="I48" s="20" t="str">
        <f t="shared" si="1"/>
        <v/>
      </c>
      <c r="M48" s="20">
        <f>IF(Inputs!$A$57="",0,IF(COUNTIF(Inputs!$A$12:$A$56,Inputs!$A$57)=0,1,0))</f>
        <v>0</v>
      </c>
      <c r="N48" s="20">
        <f>IF($M48=0,0,SUM($M$3:$M48))</f>
        <v>0</v>
      </c>
      <c r="O48" s="20">
        <f>IF(Inputs!$B$57="",0,IF(COUNTIF(Inputs!$B$12:$B$56,Inputs!$B$57)=0,1,0))</f>
        <v>0</v>
      </c>
      <c r="P48" s="20">
        <f>IF($O48=0,0,SUM($O$3:$O48))</f>
        <v>0</v>
      </c>
    </row>
    <row r="49" spans="1:16" x14ac:dyDescent="0.3">
      <c r="A49" s="20" t="str">
        <f>IF(47&gt;$N$1,"",INDEX(lr_bu,MATCH(47,$N$3:$N$71,0)))</f>
        <v/>
      </c>
      <c r="B49" s="20" t="str">
        <f>IF(47&gt;$P$1,"",INDEX(lr_state,MATCH(47,$P$3:$P$71,0)))</f>
        <v/>
      </c>
      <c r="I49" s="20" t="str">
        <f t="shared" si="1"/>
        <v/>
      </c>
      <c r="M49" s="20">
        <f>IF(Inputs!$A$58="",0,IF(COUNTIF(Inputs!$A$12:$A$57,Inputs!$A$58)=0,1,0))</f>
        <v>0</v>
      </c>
      <c r="N49" s="20">
        <f>IF($M49=0,0,SUM($M$3:$M49))</f>
        <v>0</v>
      </c>
      <c r="O49" s="20">
        <f>IF(Inputs!$B$58="",0,IF(COUNTIF(Inputs!$B$12:$B$57,Inputs!$B$58)=0,1,0))</f>
        <v>0</v>
      </c>
      <c r="P49" s="20">
        <f>IF($O49=0,0,SUM($O$3:$O49))</f>
        <v>0</v>
      </c>
    </row>
    <row r="50" spans="1:16" x14ac:dyDescent="0.3">
      <c r="A50" s="20" t="str">
        <f>IF(48&gt;$N$1,"",INDEX(lr_bu,MATCH(48,$N$3:$N$71,0)))</f>
        <v/>
      </c>
      <c r="B50" s="20" t="str">
        <f>IF(48&gt;$P$1,"",INDEX(lr_state,MATCH(48,$P$3:$P$71,0)))</f>
        <v/>
      </c>
      <c r="I50" s="20" t="str">
        <f t="shared" si="1"/>
        <v/>
      </c>
      <c r="M50" s="20">
        <f>IF(Inputs!$A$59="",0,IF(COUNTIF(Inputs!$A$12:$A$58,Inputs!$A$59)=0,1,0))</f>
        <v>0</v>
      </c>
      <c r="N50" s="20">
        <f>IF($M50=0,0,SUM($M$3:$M50))</f>
        <v>0</v>
      </c>
      <c r="O50" s="20">
        <f>IF(Inputs!$B$59="",0,IF(COUNTIF(Inputs!$B$12:$B$58,Inputs!$B$59)=0,1,0))</f>
        <v>0</v>
      </c>
      <c r="P50" s="20">
        <f>IF($O50=0,0,SUM($O$3:$O50))</f>
        <v>0</v>
      </c>
    </row>
    <row r="51" spans="1:16" x14ac:dyDescent="0.3">
      <c r="A51" s="20" t="str">
        <f>IF(49&gt;$N$1,"",INDEX(lr_bu,MATCH(49,$N$3:$N$71,0)))</f>
        <v/>
      </c>
      <c r="B51" s="20" t="str">
        <f>IF(49&gt;$P$1,"",INDEX(lr_state,MATCH(49,$P$3:$P$71,0)))</f>
        <v/>
      </c>
      <c r="I51" s="20" t="str">
        <f t="shared" si="1"/>
        <v/>
      </c>
      <c r="M51" s="20">
        <f>IF(Inputs!$A$60="",0,IF(COUNTIF(Inputs!$A$12:$A$59,Inputs!$A$60)=0,1,0))</f>
        <v>0</v>
      </c>
      <c r="N51" s="20">
        <f>IF($M51=0,0,SUM($M$3:$M51))</f>
        <v>0</v>
      </c>
      <c r="O51" s="20">
        <f>IF(Inputs!$B$60="",0,IF(COUNTIF(Inputs!$B$12:$B$59,Inputs!$B$60)=0,1,0))</f>
        <v>0</v>
      </c>
      <c r="P51" s="20">
        <f>IF($O51=0,0,SUM($O$3:$O51))</f>
        <v>0</v>
      </c>
    </row>
    <row r="52" spans="1:16" x14ac:dyDescent="0.3">
      <c r="A52" s="20" t="str">
        <f>IF(50&gt;$N$1,"",INDEX(lr_bu,MATCH(50,$N$3:$N$71,0)))</f>
        <v/>
      </c>
      <c r="B52" s="20" t="str">
        <f>IF(50&gt;$P$1,"",INDEX(lr_state,MATCH(50,$P$3:$P$71,0)))</f>
        <v/>
      </c>
      <c r="I52" s="20" t="str">
        <f t="shared" si="1"/>
        <v/>
      </c>
      <c r="M52" s="20">
        <f>IF(Inputs!$A$61="",0,IF(COUNTIF(Inputs!$A$12:$A$60,Inputs!$A$61)=0,1,0))</f>
        <v>0</v>
      </c>
      <c r="N52" s="20">
        <f>IF($M52=0,0,SUM($M$3:$M52))</f>
        <v>0</v>
      </c>
      <c r="O52" s="20">
        <f>IF(Inputs!$B$61="",0,IF(COUNTIF(Inputs!$B$12:$B$60,Inputs!$B$61)=0,1,0))</f>
        <v>0</v>
      </c>
      <c r="P52" s="20">
        <f>IF($O52=0,0,SUM($O$3:$O52))</f>
        <v>0</v>
      </c>
    </row>
    <row r="53" spans="1:16" x14ac:dyDescent="0.3">
      <c r="A53" s="20" t="str">
        <f>IF(51&gt;$N$1,"",INDEX(lr_bu,MATCH(51,$N$3:$N$71,0)))</f>
        <v/>
      </c>
      <c r="B53" s="20" t="str">
        <f>IF(51&gt;$P$1,"",INDEX(lr_state,MATCH(51,$P$3:$P$71,0)))</f>
        <v/>
      </c>
      <c r="I53" s="20" t="str">
        <f t="shared" si="1"/>
        <v/>
      </c>
      <c r="M53" s="20">
        <f>IF(Inputs!$A$62="",0,IF(COUNTIF(Inputs!$A$12:$A$61,Inputs!$A$62)=0,1,0))</f>
        <v>0</v>
      </c>
      <c r="N53" s="20">
        <f>IF($M53=0,0,SUM($M$3:$M53))</f>
        <v>0</v>
      </c>
      <c r="O53" s="20">
        <f>IF(Inputs!$B$62="",0,IF(COUNTIF(Inputs!$B$12:$B$61,Inputs!$B$62)=0,1,0))</f>
        <v>0</v>
      </c>
      <c r="P53" s="20">
        <f>IF($O53=0,0,SUM($O$3:$O53))</f>
        <v>0</v>
      </c>
    </row>
    <row r="54" spans="1:16" x14ac:dyDescent="0.3">
      <c r="A54" s="20" t="str">
        <f>IF(52&gt;$N$1,"",INDEX(lr_bu,MATCH(52,$N$3:$N$71,0)))</f>
        <v/>
      </c>
      <c r="B54" s="20" t="str">
        <f>IF(52&gt;$P$1,"",INDEX(lr_state,MATCH(52,$P$3:$P$71,0)))</f>
        <v/>
      </c>
      <c r="I54" s="20" t="str">
        <f t="shared" si="1"/>
        <v/>
      </c>
      <c r="M54" s="20">
        <f>IF(Inputs!$A$63="",0,IF(COUNTIF(Inputs!$A$12:$A$62,Inputs!$A$63)=0,1,0))</f>
        <v>0</v>
      </c>
      <c r="N54" s="20">
        <f>IF($M54=0,0,SUM($M$3:$M54))</f>
        <v>0</v>
      </c>
      <c r="O54" s="20">
        <f>IF(Inputs!$B$63="",0,IF(COUNTIF(Inputs!$B$12:$B$62,Inputs!$B$63)=0,1,0))</f>
        <v>0</v>
      </c>
      <c r="P54" s="20">
        <f>IF($O54=0,0,SUM($O$3:$O54))</f>
        <v>0</v>
      </c>
    </row>
    <row r="55" spans="1:16" x14ac:dyDescent="0.3">
      <c r="A55" s="20" t="str">
        <f>IF(53&gt;$N$1,"",INDEX(lr_bu,MATCH(53,$N$3:$N$71,0)))</f>
        <v/>
      </c>
      <c r="B55" s="20" t="str">
        <f>IF(53&gt;$P$1,"",INDEX(lr_state,MATCH(53,$P$3:$P$71,0)))</f>
        <v/>
      </c>
      <c r="I55" s="20" t="str">
        <f t="shared" si="1"/>
        <v/>
      </c>
      <c r="M55" s="20">
        <f>IF(Inputs!$A$64="",0,IF(COUNTIF(Inputs!$A$12:$A$63,Inputs!$A$64)=0,1,0))</f>
        <v>0</v>
      </c>
      <c r="N55" s="20">
        <f>IF($M55=0,0,SUM($M$3:$M55))</f>
        <v>0</v>
      </c>
      <c r="O55" s="20">
        <f>IF(Inputs!$B$64="",0,IF(COUNTIF(Inputs!$B$12:$B$63,Inputs!$B$64)=0,1,0))</f>
        <v>0</v>
      </c>
      <c r="P55" s="20">
        <f>IF($O55=0,0,SUM($O$3:$O55))</f>
        <v>0</v>
      </c>
    </row>
    <row r="56" spans="1:16" x14ac:dyDescent="0.3">
      <c r="A56" s="20" t="str">
        <f>IF(54&gt;$N$1,"",INDEX(lr_bu,MATCH(54,$N$3:$N$71,0)))</f>
        <v/>
      </c>
      <c r="B56" s="20" t="str">
        <f>IF(54&gt;$P$1,"",INDEX(lr_state,MATCH(54,$P$3:$P$71,0)))</f>
        <v/>
      </c>
      <c r="I56" s="20" t="str">
        <f t="shared" si="1"/>
        <v/>
      </c>
      <c r="M56" s="20">
        <f>IF(Inputs!$A$65="",0,IF(COUNTIF(Inputs!$A$12:$A$64,Inputs!$A$65)=0,1,0))</f>
        <v>0</v>
      </c>
      <c r="N56" s="20">
        <f>IF($M56=0,0,SUM($M$3:$M56))</f>
        <v>0</v>
      </c>
      <c r="O56" s="20">
        <f>IF(Inputs!$B$65="",0,IF(COUNTIF(Inputs!$B$12:$B$64,Inputs!$B$65)=0,1,0))</f>
        <v>0</v>
      </c>
      <c r="P56" s="20">
        <f>IF($O56=0,0,SUM($O$3:$O56))</f>
        <v>0</v>
      </c>
    </row>
    <row r="57" spans="1:16" x14ac:dyDescent="0.3">
      <c r="A57" s="20" t="str">
        <f>IF(55&gt;$N$1,"",INDEX(lr_bu,MATCH(55,$N$3:$N$71,0)))</f>
        <v/>
      </c>
      <c r="B57" s="20" t="str">
        <f>IF(55&gt;$P$1,"",INDEX(lr_state,MATCH(55,$P$3:$P$71,0)))</f>
        <v/>
      </c>
      <c r="I57" s="20" t="str">
        <f t="shared" si="1"/>
        <v/>
      </c>
      <c r="M57" s="20">
        <f>IF(Inputs!$A$66="",0,IF(COUNTIF(Inputs!$A$12:$A$65,Inputs!$A$66)=0,1,0))</f>
        <v>0</v>
      </c>
      <c r="N57" s="20">
        <f>IF($M57=0,0,SUM($M$3:$M57))</f>
        <v>0</v>
      </c>
      <c r="O57" s="20">
        <f>IF(Inputs!$B$66="",0,IF(COUNTIF(Inputs!$B$12:$B$65,Inputs!$B$66)=0,1,0))</f>
        <v>0</v>
      </c>
      <c r="P57" s="20">
        <f>IF($O57=0,0,SUM($O$3:$O57))</f>
        <v>0</v>
      </c>
    </row>
    <row r="58" spans="1:16" x14ac:dyDescent="0.3">
      <c r="A58" s="20" t="str">
        <f>IF(56&gt;$N$1,"",INDEX(lr_bu,MATCH(56,$N$3:$N$71,0)))</f>
        <v/>
      </c>
      <c r="B58" s="20" t="str">
        <f>IF(56&gt;$P$1,"",INDEX(lr_state,MATCH(56,$P$3:$P$71,0)))</f>
        <v/>
      </c>
      <c r="I58" s="20" t="str">
        <f t="shared" si="1"/>
        <v/>
      </c>
      <c r="M58" s="20">
        <f>IF(Inputs!$A$67="",0,IF(COUNTIF(Inputs!$A$12:$A$66,Inputs!$A$67)=0,1,0))</f>
        <v>0</v>
      </c>
      <c r="N58" s="20">
        <f>IF($M58=0,0,SUM($M$3:$M58))</f>
        <v>0</v>
      </c>
      <c r="O58" s="20">
        <f>IF(Inputs!$B$67="",0,IF(COUNTIF(Inputs!$B$12:$B$66,Inputs!$B$67)=0,1,0))</f>
        <v>0</v>
      </c>
      <c r="P58" s="20">
        <f>IF($O58=0,0,SUM($O$3:$O58))</f>
        <v>0</v>
      </c>
    </row>
    <row r="59" spans="1:16" x14ac:dyDescent="0.3">
      <c r="A59" s="20" t="str">
        <f>IF(57&gt;$N$1,"",INDEX(lr_bu,MATCH(57,$N$3:$N$71,0)))</f>
        <v/>
      </c>
      <c r="B59" s="20" t="str">
        <f>IF(57&gt;$P$1,"",INDEX(lr_state,MATCH(57,$P$3:$P$71,0)))</f>
        <v/>
      </c>
      <c r="I59" s="20" t="str">
        <f t="shared" si="1"/>
        <v/>
      </c>
      <c r="M59" s="20">
        <f>IF(Inputs!$A$68="",0,IF(COUNTIF(Inputs!$A$12:$A$67,Inputs!$A$68)=0,1,0))</f>
        <v>0</v>
      </c>
      <c r="N59" s="20">
        <f>IF($M59=0,0,SUM($M$3:$M59))</f>
        <v>0</v>
      </c>
      <c r="O59" s="20">
        <f>IF(Inputs!$B$68="",0,IF(COUNTIF(Inputs!$B$12:$B$67,Inputs!$B$68)=0,1,0))</f>
        <v>0</v>
      </c>
      <c r="P59" s="20">
        <f>IF($O59=0,0,SUM($O$3:$O59))</f>
        <v>0</v>
      </c>
    </row>
    <row r="60" spans="1:16" x14ac:dyDescent="0.3">
      <c r="A60" s="20" t="str">
        <f>IF(58&gt;$N$1,"",INDEX(lr_bu,MATCH(58,$N$3:$N$71,0)))</f>
        <v/>
      </c>
      <c r="B60" s="20" t="str">
        <f>IF(58&gt;$P$1,"",INDEX(lr_state,MATCH(58,$P$3:$P$71,0)))</f>
        <v/>
      </c>
      <c r="I60" s="20" t="str">
        <f t="shared" si="1"/>
        <v/>
      </c>
      <c r="M60" s="20">
        <f>IF(Inputs!$A$69="",0,IF(COUNTIF(Inputs!$A$12:$A$68,Inputs!$A$69)=0,1,0))</f>
        <v>0</v>
      </c>
      <c r="N60" s="20">
        <f>IF($M60=0,0,SUM($M$3:$M60))</f>
        <v>0</v>
      </c>
      <c r="O60" s="20">
        <f>IF(Inputs!$B$69="",0,IF(COUNTIF(Inputs!$B$12:$B$68,Inputs!$B$69)=0,1,0))</f>
        <v>0</v>
      </c>
      <c r="P60" s="20">
        <f>IF($O60=0,0,SUM($O$3:$O60))</f>
        <v>0</v>
      </c>
    </row>
    <row r="61" spans="1:16" x14ac:dyDescent="0.3">
      <c r="A61" s="20" t="str">
        <f>IF(59&gt;$N$1,"",INDEX(lr_bu,MATCH(59,$N$3:$N$71,0)))</f>
        <v/>
      </c>
      <c r="B61" s="20" t="str">
        <f>IF(59&gt;$P$1,"",INDEX(lr_state,MATCH(59,$P$3:$P$71,0)))</f>
        <v/>
      </c>
      <c r="I61" s="20" t="str">
        <f t="shared" si="1"/>
        <v/>
      </c>
      <c r="M61" s="20">
        <f>IF(Inputs!$A$70="",0,IF(COUNTIF(Inputs!$A$12:$A$69,Inputs!$A$70)=0,1,0))</f>
        <v>0</v>
      </c>
      <c r="N61" s="20">
        <f>IF($M61=0,0,SUM($M$3:$M61))</f>
        <v>0</v>
      </c>
      <c r="O61" s="20">
        <f>IF(Inputs!$B$70="",0,IF(COUNTIF(Inputs!$B$12:$B$69,Inputs!$B$70)=0,1,0))</f>
        <v>0</v>
      </c>
      <c r="P61" s="20">
        <f>IF($O61=0,0,SUM($O$3:$O61))</f>
        <v>0</v>
      </c>
    </row>
    <row r="62" spans="1:16" x14ac:dyDescent="0.3">
      <c r="A62" s="20" t="str">
        <f>IF(60&gt;$N$1,"",INDEX(lr_bu,MATCH(60,$N$3:$N$71,0)))</f>
        <v/>
      </c>
      <c r="B62" s="20" t="str">
        <f>IF(60&gt;$P$1,"",INDEX(lr_state,MATCH(60,$P$3:$P$71,0)))</f>
        <v/>
      </c>
      <c r="I62" s="20" t="str">
        <f t="shared" si="1"/>
        <v/>
      </c>
      <c r="M62" s="20">
        <f>IF(Inputs!$A$71="",0,IF(COUNTIF(Inputs!$A$12:$A$70,Inputs!$A$71)=0,1,0))</f>
        <v>0</v>
      </c>
      <c r="N62" s="20">
        <f>IF($M62=0,0,SUM($M$3:$M62))</f>
        <v>0</v>
      </c>
      <c r="O62" s="20">
        <f>IF(Inputs!$B$71="",0,IF(COUNTIF(Inputs!$B$12:$B$70,Inputs!$B$71)=0,1,0))</f>
        <v>0</v>
      </c>
      <c r="P62" s="20">
        <f>IF($O62=0,0,SUM($O$3:$O62))</f>
        <v>0</v>
      </c>
    </row>
    <row r="63" spans="1:16" x14ac:dyDescent="0.3">
      <c r="A63" s="20" t="str">
        <f>IF(61&gt;$N$1,"",INDEX(lr_bu,MATCH(61,$N$3:$N$71,0)))</f>
        <v/>
      </c>
      <c r="B63" s="20" t="str">
        <f>IF(61&gt;$P$1,"",INDEX(lr_state,MATCH(61,$P$3:$P$71,0)))</f>
        <v/>
      </c>
      <c r="I63" s="20" t="str">
        <f t="shared" si="1"/>
        <v/>
      </c>
      <c r="M63" s="20">
        <f>IF(Inputs!$A$72="",0,IF(COUNTIF(Inputs!$A$12:$A$71,Inputs!$A$72)=0,1,0))</f>
        <v>0</v>
      </c>
      <c r="N63" s="20">
        <f>IF($M63=0,0,SUM($M$3:$M63))</f>
        <v>0</v>
      </c>
      <c r="O63" s="20">
        <f>IF(Inputs!$B$72="",0,IF(COUNTIF(Inputs!$B$12:$B$71,Inputs!$B$72)=0,1,0))</f>
        <v>0</v>
      </c>
      <c r="P63" s="20">
        <f>IF($O63=0,0,SUM($O$3:$O63))</f>
        <v>0</v>
      </c>
    </row>
    <row r="64" spans="1:16" x14ac:dyDescent="0.3">
      <c r="A64" s="20" t="str">
        <f>IF(62&gt;$N$1,"",INDEX(lr_bu,MATCH(62,$N$3:$N$71,0)))</f>
        <v/>
      </c>
      <c r="B64" s="20" t="str">
        <f>IF(62&gt;$P$1,"",INDEX(lr_state,MATCH(62,$P$3:$P$71,0)))</f>
        <v/>
      </c>
      <c r="I64" s="20" t="str">
        <f t="shared" si="1"/>
        <v/>
      </c>
      <c r="M64" s="20">
        <f>IF(Inputs!$A$73="",0,IF(COUNTIF(Inputs!$A$12:$A$72,Inputs!$A$73)=0,1,0))</f>
        <v>0</v>
      </c>
      <c r="N64" s="20">
        <f>IF($M64=0,0,SUM($M$3:$M64))</f>
        <v>0</v>
      </c>
      <c r="O64" s="20">
        <f>IF(Inputs!$B$73="",0,IF(COUNTIF(Inputs!$B$12:$B$72,Inputs!$B$73)=0,1,0))</f>
        <v>0</v>
      </c>
      <c r="P64" s="20">
        <f>IF($O64=0,0,SUM($O$3:$O64))</f>
        <v>0</v>
      </c>
    </row>
    <row r="65" spans="1:16" x14ac:dyDescent="0.3">
      <c r="A65" s="20" t="str">
        <f>IF(63&gt;$N$1,"",INDEX(lr_bu,MATCH(63,$N$3:$N$71,0)))</f>
        <v/>
      </c>
      <c r="B65" s="20" t="str">
        <f>IF(63&gt;$P$1,"",INDEX(lr_state,MATCH(63,$P$3:$P$71,0)))</f>
        <v/>
      </c>
      <c r="I65" s="20" t="str">
        <f t="shared" si="1"/>
        <v/>
      </c>
      <c r="M65" s="20">
        <f>IF(Inputs!$A$74="",0,IF(COUNTIF(Inputs!$A$12:$A$73,Inputs!$A$74)=0,1,0))</f>
        <v>0</v>
      </c>
      <c r="N65" s="20">
        <f>IF($M65=0,0,SUM($M$3:$M65))</f>
        <v>0</v>
      </c>
      <c r="O65" s="20">
        <f>IF(Inputs!$B$74="",0,IF(COUNTIF(Inputs!$B$12:$B$73,Inputs!$B$74)=0,1,0))</f>
        <v>0</v>
      </c>
      <c r="P65" s="20">
        <f>IF($O65=0,0,SUM($O$3:$O65))</f>
        <v>0</v>
      </c>
    </row>
    <row r="66" spans="1:16" x14ac:dyDescent="0.3">
      <c r="A66" s="20" t="str">
        <f>IF(64&gt;$N$1,"",INDEX(lr_bu,MATCH(64,$N$3:$N$71,0)))</f>
        <v/>
      </c>
      <c r="B66" s="20" t="str">
        <f>IF(64&gt;$P$1,"",INDEX(lr_state,MATCH(64,$P$3:$P$71,0)))</f>
        <v/>
      </c>
      <c r="I66" s="20" t="str">
        <f t="shared" si="1"/>
        <v/>
      </c>
      <c r="M66" s="20">
        <f>IF(Inputs!$A$75="",0,IF(COUNTIF(Inputs!$A$12:$A$74,Inputs!$A$75)=0,1,0))</f>
        <v>0</v>
      </c>
      <c r="N66" s="20">
        <f>IF($M66=0,0,SUM($M$3:$M66))</f>
        <v>0</v>
      </c>
      <c r="O66" s="20">
        <f>IF(Inputs!$B$75="",0,IF(COUNTIF(Inputs!$B$12:$B$74,Inputs!$B$75)=0,1,0))</f>
        <v>0</v>
      </c>
      <c r="P66" s="20">
        <f>IF($O66=0,0,SUM($O$3:$O66))</f>
        <v>0</v>
      </c>
    </row>
    <row r="67" spans="1:16" x14ac:dyDescent="0.3">
      <c r="A67" s="20" t="str">
        <f>IF(65&gt;$N$1,"",INDEX(lr_bu,MATCH(65,$N$3:$N$71,0)))</f>
        <v/>
      </c>
      <c r="B67" s="20" t="str">
        <f>IF(65&gt;$P$1,"",INDEX(lr_state,MATCH(65,$P$3:$P$71,0)))</f>
        <v/>
      </c>
      <c r="I67" s="20" t="str">
        <f t="shared" si="1"/>
        <v/>
      </c>
      <c r="M67" s="20">
        <f>IF(Inputs!$A$76="",0,IF(COUNTIF(Inputs!$A$12:$A$75,Inputs!$A$76)=0,1,0))</f>
        <v>0</v>
      </c>
      <c r="N67" s="20">
        <f>IF($M67=0,0,SUM($M$3:$M67))</f>
        <v>0</v>
      </c>
      <c r="O67" s="20">
        <f>IF(Inputs!$B$76="",0,IF(COUNTIF(Inputs!$B$12:$B$75,Inputs!$B$76)=0,1,0))</f>
        <v>0</v>
      </c>
      <c r="P67" s="20">
        <f>IF($O67=0,0,SUM($O$3:$O67))</f>
        <v>0</v>
      </c>
    </row>
    <row r="68" spans="1:16" x14ac:dyDescent="0.3">
      <c r="A68" s="20" t="str">
        <f>IF(66&gt;$N$1,"",INDEX(lr_bu,MATCH(66,$N$3:$N$71,0)))</f>
        <v/>
      </c>
      <c r="B68" s="20" t="str">
        <f>IF(66&gt;$P$1,"",INDEX(lr_state,MATCH(66,$P$3:$P$71,0)))</f>
        <v/>
      </c>
      <c r="I68" s="20" t="str">
        <f t="shared" si="1"/>
        <v/>
      </c>
      <c r="M68" s="20">
        <f>IF(Inputs!$A$77="",0,IF(COUNTIF(Inputs!$A$12:$A$76,Inputs!$A$77)=0,1,0))</f>
        <v>0</v>
      </c>
      <c r="N68" s="20">
        <f>IF($M68=0,0,SUM($M$3:$M68))</f>
        <v>0</v>
      </c>
      <c r="O68" s="20">
        <f>IF(Inputs!$B$77="",0,IF(COUNTIF(Inputs!$B$12:$B$76,Inputs!$B$77)=0,1,0))</f>
        <v>0</v>
      </c>
      <c r="P68" s="20">
        <f>IF($O68=0,0,SUM($O$3:$O68))</f>
        <v>0</v>
      </c>
    </row>
    <row r="69" spans="1:16" x14ac:dyDescent="0.3">
      <c r="A69" s="20" t="str">
        <f>IF(67&gt;$N$1,"",INDEX(lr_bu,MATCH(67,$N$3:$N$71,0)))</f>
        <v/>
      </c>
      <c r="B69" s="20" t="str">
        <f>IF(67&gt;$P$1,"",INDEX(lr_state,MATCH(67,$P$3:$P$71,0)))</f>
        <v/>
      </c>
      <c r="I69" s="20" t="str">
        <f t="shared" si="1"/>
        <v/>
      </c>
      <c r="M69" s="20">
        <f>IF(Inputs!$A$78="",0,IF(COUNTIF(Inputs!$A$12:$A$77,Inputs!$A$78)=0,1,0))</f>
        <v>0</v>
      </c>
      <c r="N69" s="20">
        <f>IF($M69=0,0,SUM($M$3:$M69))</f>
        <v>0</v>
      </c>
      <c r="O69" s="20">
        <f>IF(Inputs!$B$78="",0,IF(COUNTIF(Inputs!$B$12:$B$77,Inputs!$B$78)=0,1,0))</f>
        <v>0</v>
      </c>
      <c r="P69" s="20">
        <f>IF($O69=0,0,SUM($O$3:$O69))</f>
        <v>0</v>
      </c>
    </row>
    <row r="70" spans="1:16" x14ac:dyDescent="0.3">
      <c r="A70" s="20" t="str">
        <f>IF(68&gt;$N$1,"",INDEX(lr_bu,MATCH(68,$N$3:$N$71,0)))</f>
        <v/>
      </c>
      <c r="B70" s="20" t="str">
        <f>IF(68&gt;$P$1,"",INDEX(lr_state,MATCH(68,$P$3:$P$71,0)))</f>
        <v/>
      </c>
      <c r="I70" s="20" t="str">
        <f t="shared" si="1"/>
        <v/>
      </c>
      <c r="M70" s="20">
        <f>IF(Inputs!$A$79="",0,IF(COUNTIF(Inputs!$A$12:$A$78,Inputs!$A$79)=0,1,0))</f>
        <v>0</v>
      </c>
      <c r="N70" s="20">
        <f>IF($M70=0,0,SUM($M$3:$M70))</f>
        <v>0</v>
      </c>
      <c r="O70" s="20">
        <f>IF(Inputs!$B$79="",0,IF(COUNTIF(Inputs!$B$12:$B$78,Inputs!$B$79)=0,1,0))</f>
        <v>0</v>
      </c>
      <c r="P70" s="20">
        <f>IF($O70=0,0,SUM($O$3:$O70))</f>
        <v>0</v>
      </c>
    </row>
    <row r="71" spans="1:16" x14ac:dyDescent="0.3">
      <c r="A71" s="20" t="str">
        <f>IF(69&gt;$N$1,"",INDEX(lr_bu,MATCH(69,$N$3:$N$71,0)))</f>
        <v/>
      </c>
      <c r="B71" s="20" t="str">
        <f>IF(69&gt;$P$1,"",INDEX(lr_state,MATCH(69,$P$3:$P$71,0)))</f>
        <v/>
      </c>
      <c r="I71" s="20" t="str">
        <f t="shared" si="1"/>
        <v/>
      </c>
      <c r="M71" s="20">
        <f>IF(Inputs!$A$80="",0,IF(COUNTIF(Inputs!$A$12:$A$79,Inputs!$A$80)=0,1,0))</f>
        <v>0</v>
      </c>
      <c r="N71" s="20">
        <f>IF($M71=0,0,SUM($M$3:$M71))</f>
        <v>0</v>
      </c>
      <c r="O71" s="20">
        <f>IF(Inputs!$B$80="",0,IF(COUNTIF(Inputs!$B$12:$B$79,Inputs!$B$80)=0,1,0))</f>
        <v>0</v>
      </c>
      <c r="P71" s="20">
        <f>IF($O71=0,0,SUM($O$3:$O71))</f>
        <v>0</v>
      </c>
    </row>
    <row r="72" spans="1:16" x14ac:dyDescent="0.3">
      <c r="I72" s="22" t="str">
        <f t="shared" si="1"/>
        <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H4776"/>
  <sheetViews>
    <sheetView workbookViewId="0"/>
  </sheetViews>
  <sheetFormatPr defaultRowHeight="14.4" x14ac:dyDescent="0.3"/>
  <sheetData>
    <row r="1" spans="1:112" x14ac:dyDescent="0.3">
      <c r="A1" s="270" t="s">
        <v>1635</v>
      </c>
    </row>
    <row r="3" spans="1:112" x14ac:dyDescent="0.3">
      <c r="A3" s="270" t="s">
        <v>328</v>
      </c>
      <c r="B3" s="270" t="s">
        <v>894</v>
      </c>
      <c r="C3" s="270" t="s">
        <v>1636</v>
      </c>
      <c r="D3" s="270" t="s">
        <v>1637</v>
      </c>
      <c r="E3" s="270" t="s">
        <v>637</v>
      </c>
      <c r="F3" s="270" t="s">
        <v>1638</v>
      </c>
      <c r="G3" s="270" t="s">
        <v>1639</v>
      </c>
      <c r="H3" s="270" t="s">
        <v>1640</v>
      </c>
      <c r="I3" s="270" t="s">
        <v>1641</v>
      </c>
      <c r="J3" s="270" t="s">
        <v>1642</v>
      </c>
      <c r="K3" s="270" t="s">
        <v>1643</v>
      </c>
      <c r="L3" s="270" t="s">
        <v>1644</v>
      </c>
      <c r="M3" s="270" t="s">
        <v>1645</v>
      </c>
      <c r="N3" s="270" t="s">
        <v>1646</v>
      </c>
      <c r="O3" s="270" t="s">
        <v>1647</v>
      </c>
      <c r="P3" s="270" t="s">
        <v>1648</v>
      </c>
      <c r="Q3" s="270" t="s">
        <v>78</v>
      </c>
      <c r="R3" s="270" t="s">
        <v>1649</v>
      </c>
      <c r="S3" s="270" t="s">
        <v>1650</v>
      </c>
    </row>
    <row r="4" spans="1:112" x14ac:dyDescent="0.3">
      <c r="A4" s="6" t="str">
        <f>$A$76</f>
        <v>ABD|AZ</v>
      </c>
      <c r="B4" s="75">
        <f>$C$76</f>
        <v>6</v>
      </c>
      <c r="C4" s="73">
        <f>$B$127</f>
        <v>1.1024</v>
      </c>
      <c r="D4" s="73">
        <f>$C$127</f>
        <v>1.0555999999999999</v>
      </c>
      <c r="E4" s="73">
        <f>$D$127</f>
        <v>1.1299600000000001</v>
      </c>
      <c r="F4" s="73">
        <f>$E$127</f>
        <v>1.1575200000000001</v>
      </c>
      <c r="G4" s="224">
        <f>$F$127</f>
        <v>0.87197757111597374</v>
      </c>
      <c r="H4" s="224">
        <f>$G$127</f>
        <v>0.88898067104303424</v>
      </c>
      <c r="I4" s="73">
        <f t="shared" ref="I4:I35" si="0">$C4/$E4</f>
        <v>0.97560975609756095</v>
      </c>
      <c r="J4" s="73">
        <f t="shared" ref="J4:J35" si="1">$C4/$F4</f>
        <v>0.95238095238095233</v>
      </c>
      <c r="K4" s="73">
        <f>IF($L$76,1,IF(AND(nr_ModAdjMaster="ON",INDEX(lr_modadj,1)="ON"),$F$76/$G4,1))</f>
        <v>0.97479571511472884</v>
      </c>
      <c r="L4" s="73">
        <f>IF($L$76,1,IF(AND(nr_ModAdjMaster="ON",INDEX(lr_modadj,1)="ON"),$F$76/$H4,1))</f>
        <v>0.95615127267356836</v>
      </c>
      <c r="M4" s="72">
        <f>IF(INDEX(lr_basis,1)="proposed",N(INDEX(lr_lrproj,1))*(1+N(INDEX(lr_s,1))),N(INDEX(lr_lrproj,1)))</f>
        <v>0.65</v>
      </c>
      <c r="N4" s="72">
        <f t="shared" ref="N4:N35" si="2">$M4*$I4*$K4*$R4</f>
        <v>0.61816313641421827</v>
      </c>
      <c r="O4" s="72">
        <f t="shared" ref="O4:O35" si="3">$M4*(1+$S4)*$J4*$L4*$R4</f>
        <v>0.59190316879792326</v>
      </c>
      <c r="P4" s="72">
        <f t="shared" ref="P4:P35" si="4">$E4/$C4-1</f>
        <v>2.5000000000000133E-2</v>
      </c>
      <c r="Q4" s="72">
        <f t="shared" ref="Q4:Q35" si="5">$F4/$E4-1</f>
        <v>2.4390243902439046E-2</v>
      </c>
      <c r="R4" s="73">
        <f>IF(N(INDEX(lr_aother,1))=0,1,INDEX(lr_aother,1))</f>
        <v>1</v>
      </c>
      <c r="S4" s="72">
        <f>IF(ISBLANK(INDEX(lr_trend,1)),N(nr_TrendDefault),N(INDEX(lr_trend,1)))</f>
        <v>0</v>
      </c>
      <c r="T4" s="6" t="str">
        <f>INDEX(lr_state,1)</f>
        <v>AZ</v>
      </c>
      <c r="U4" s="6" t="str">
        <f>INDEX(lr_bu,1)</f>
        <v>ABD</v>
      </c>
      <c r="V4" s="271">
        <f>N(INDEX(lr_ep,1))</f>
        <v>6400</v>
      </c>
      <c r="W4" s="73">
        <f>N(INDEX(lr_mind,1))*$V4</f>
        <v>5440</v>
      </c>
      <c r="X4" s="73">
        <f>N(INDEX(lr_m0,1))*$V4</f>
        <v>5504</v>
      </c>
      <c r="Y4" s="73">
        <f>N(INDEX(lr_m1,1))*$V4</f>
        <v>5696</v>
      </c>
      <c r="Z4" s="73">
        <f t="shared" ref="Z4:Z35" si="6">$C4*$V4</f>
        <v>7055.3600000000006</v>
      </c>
      <c r="AA4" s="73">
        <f t="shared" ref="AA4:AA35" si="7">$E4*$V4</f>
        <v>7231.7440000000006</v>
      </c>
      <c r="AB4" s="73">
        <f t="shared" ref="AB4:AB35" si="8">$I4*$V4</f>
        <v>6243.9024390243903</v>
      </c>
      <c r="AC4" s="73">
        <f t="shared" ref="AC4:AC35" si="9">$G4*$V4</f>
        <v>5580.6564551422316</v>
      </c>
      <c r="AD4" s="73">
        <f t="shared" ref="AD4:AD35" si="10">$K4*$V4</f>
        <v>6238.6925767342645</v>
      </c>
      <c r="AE4" s="73">
        <f t="shared" ref="AE4:AE35" si="11">$M4*$V4</f>
        <v>4160</v>
      </c>
      <c r="AF4" s="73">
        <f t="shared" ref="AF4:AF35" si="12">$N4*$V4</f>
        <v>3956.244073050997</v>
      </c>
      <c r="AG4" s="73">
        <f t="shared" ref="AG4:AG35" si="13">$S4*$V4</f>
        <v>0</v>
      </c>
      <c r="AH4" s="73">
        <f t="shared" ref="AH4:AH35" si="14">$J4*$V4</f>
        <v>6095.2380952380945</v>
      </c>
      <c r="AI4" s="73">
        <f t="shared" ref="AI4:AI35" si="15">$L4*$V4</f>
        <v>6119.3681451108378</v>
      </c>
      <c r="AJ4" s="73">
        <f t="shared" ref="AJ4:AJ35" si="16">$O4*$V4</f>
        <v>3788.1802803067089</v>
      </c>
      <c r="AK4" s="75">
        <f>IF($L$76,1,0)</f>
        <v>0</v>
      </c>
      <c r="AL4" s="72">
        <f>IF($L$76,$M$76,0)</f>
        <v>0</v>
      </c>
      <c r="AM4" s="73">
        <f>$N$103/$N$91*IF($O$76=1,$O$103/$O$91,1)-1</f>
        <v>9.0124969179460113E-2</v>
      </c>
      <c r="AN4" s="73">
        <f>$N$104/$N$92*IF($O$76=1,$O$104/$O$92,1)-1</f>
        <v>9.0055932466725386E-2</v>
      </c>
      <c r="AO4" s="73">
        <f>$N$105/$N$93*IF($O$76=1,$O$105/$O$93,1)-1</f>
        <v>8.998721145027333E-2</v>
      </c>
      <c r="AP4" s="73">
        <f>$N$106/$N$94*IF($O$76=1,$O$106/$O$94,1)-1</f>
        <v>0.14441231506778696</v>
      </c>
      <c r="AQ4" s="73">
        <f>$N$107/$N$95*IF($O$76=1,$O$107/$O$95,1)-1</f>
        <v>0.14433840753931015</v>
      </c>
      <c r="AR4" s="73">
        <f>$N$108/$N$96*IF($O$76=1,$O$108/$O$96,1)-1</f>
        <v>0.14426484697673225</v>
      </c>
      <c r="AS4" s="73">
        <f>$N$109/$N$97*IF($O$76=1,$O$109/$O$97,1)-1</f>
        <v>7.9426066926866712E-2</v>
      </c>
      <c r="AT4" s="73">
        <f>$N$110/$N$98*IF($O$76=1,$O$110/$O$98,1)-1</f>
        <v>7.9356193588745461E-2</v>
      </c>
      <c r="AU4" s="73">
        <f>$N$111/$N$99*IF($O$76=1,$O$111/$O$99,1)-1</f>
        <v>7.9287770333953178E-2</v>
      </c>
      <c r="AV4" s="73">
        <f>$N$112/$N$100*IF($O$76=1,$O$112/$O$100,1)-1</f>
        <v>7.9219665298550179E-2</v>
      </c>
      <c r="AW4" s="73">
        <f>$N$113/$N$101*IF($O$76=1,$O$113/$O$101,1)-1</f>
        <v>7.9151876267748777E-2</v>
      </c>
      <c r="AX4" s="73">
        <f>$N$114/$N$102*IF($O$76=1,$O$114/$O$102,1)-1</f>
        <v>7.9084401047266217E-2</v>
      </c>
      <c r="AY4" s="73">
        <f>$N$103/$N$91-1</f>
        <v>6.0000000000000053E-2</v>
      </c>
      <c r="AZ4" s="73">
        <f>$N$104/$N$92-1</f>
        <v>6.0000000000000053E-2</v>
      </c>
      <c r="BA4" s="73">
        <f>$N$105/$N$93-1</f>
        <v>6.0000000000000053E-2</v>
      </c>
      <c r="BB4" s="73">
        <f>$N$106/$N$94-1</f>
        <v>0.11299999999999999</v>
      </c>
      <c r="BC4" s="73">
        <f>$N$107/$N$95-1</f>
        <v>0.11299999999999999</v>
      </c>
      <c r="BD4" s="73">
        <f>$N$108/$N$96-1</f>
        <v>0.11299999999999999</v>
      </c>
      <c r="BE4" s="73">
        <f>$N$109/$N$97-1</f>
        <v>5.0000000000000044E-2</v>
      </c>
      <c r="BF4" s="73">
        <f>$N$110/$N$98-1</f>
        <v>5.0000000000000044E-2</v>
      </c>
      <c r="BG4" s="73">
        <f>$N$111/$N$99-1</f>
        <v>5.0000000000000044E-2</v>
      </c>
      <c r="BH4" s="73">
        <f>$N$112/$N$100-1</f>
        <v>5.0000000000000044E-2</v>
      </c>
      <c r="BI4" s="73">
        <f>$N$113/$N$101-1</f>
        <v>5.0000000000000044E-2</v>
      </c>
      <c r="BJ4" s="73">
        <f>$N$114/$N$102-1</f>
        <v>5.0000000000000044E-2</v>
      </c>
      <c r="BK4" s="73">
        <f>$O$103/$O$91-1</f>
        <v>2.8419782244773595E-2</v>
      </c>
      <c r="BL4" s="73">
        <f>$O$104/$O$92-1</f>
        <v>2.8354653270495689E-2</v>
      </c>
      <c r="BM4" s="73">
        <f>$O$105/$O$93-1</f>
        <v>2.8289822122899322E-2</v>
      </c>
      <c r="BN4" s="73">
        <f>$O$106/$O$94-1</f>
        <v>2.8223104283725986E-2</v>
      </c>
      <c r="BO4" s="73">
        <f>$O$107/$O$95-1</f>
        <v>2.8156700394708079E-2</v>
      </c>
      <c r="BP4" s="73">
        <f>$O$108/$O$96-1</f>
        <v>2.8090608245042503E-2</v>
      </c>
      <c r="BQ4" s="73">
        <f>$O$109/$O$97-1</f>
        <v>2.8024825644634932E-2</v>
      </c>
      <c r="BR4" s="73">
        <f>$O$110/$O$98-1</f>
        <v>2.7958279608328862E-2</v>
      </c>
      <c r="BS4" s="73">
        <f>$O$111/$O$99-1</f>
        <v>2.7893114603764868E-2</v>
      </c>
      <c r="BT4" s="73">
        <f>$O$112/$O$100-1</f>
        <v>2.7828252665285769E-2</v>
      </c>
      <c r="BU4" s="73">
        <f>$O$113/$O$101-1</f>
        <v>2.776369168357018E-2</v>
      </c>
      <c r="BV4" s="73">
        <f>$O$114/$O$102-1</f>
        <v>2.7699429568824874E-2</v>
      </c>
      <c r="BW4" s="73">
        <f>$V4*$H$103</f>
        <v>6400</v>
      </c>
      <c r="BX4" s="73">
        <f>$V4*$H$104</f>
        <v>6400</v>
      </c>
      <c r="BY4" s="73">
        <f>$V4*$H$105</f>
        <v>6400</v>
      </c>
      <c r="BZ4" s="73">
        <f>$V4*$H$106</f>
        <v>6400</v>
      </c>
      <c r="CA4" s="73">
        <f>$V4*$H$107</f>
        <v>6400</v>
      </c>
      <c r="CB4" s="73">
        <f>$V4*$H$108</f>
        <v>6400</v>
      </c>
      <c r="CC4" s="73">
        <f>$V4*$H$109</f>
        <v>6400</v>
      </c>
      <c r="CD4" s="73">
        <f>$V4*$H$110</f>
        <v>6400</v>
      </c>
      <c r="CE4" s="73">
        <f>$V4*$H$111</f>
        <v>6400</v>
      </c>
      <c r="CF4" s="73">
        <f>$V4*$H$112</f>
        <v>6400</v>
      </c>
      <c r="CG4" s="73">
        <f>$V4*$H$113</f>
        <v>6400</v>
      </c>
      <c r="CH4" s="73">
        <f>$V4*$H$114</f>
        <v>6400</v>
      </c>
      <c r="CI4" s="75">
        <f>$O$76</f>
        <v>1</v>
      </c>
      <c r="CJ4" s="73">
        <f>$H$127</f>
        <v>1.0682500000000001</v>
      </c>
      <c r="CK4" s="73">
        <f>$I$127</f>
        <v>1.0280585220280047</v>
      </c>
      <c r="CL4" s="73">
        <f>$J$127</f>
        <v>1.0982258046786184</v>
      </c>
      <c r="CM4" s="73">
        <f t="shared" ref="CM4:CM35" si="17">IF($AK4=1,ABS($CL4-1-$AL4),0)</f>
        <v>0</v>
      </c>
      <c r="CN4" s="73">
        <f t="shared" ref="CN4:CN35" si="18">$R4*$V4</f>
        <v>6400</v>
      </c>
      <c r="CO4" s="72">
        <f>$M4*($C4/$K$127)*IF($O$76=1,$F$76/$G4,1)*$R4</f>
        <v>0.61816313641421827</v>
      </c>
      <c r="CP4" s="72">
        <f>$M4*(1+$S4)*($C4/$L$127)*IF($O$76=1,$F$76/$H4,1)*$R4</f>
        <v>0.59190316879792326</v>
      </c>
      <c r="CQ4" s="73">
        <f t="shared" ref="CQ4:CQ35" si="19">$CO4*$V4</f>
        <v>3956.244073050997</v>
      </c>
      <c r="CR4" s="73">
        <f t="shared" ref="CR4:CR35" si="20">$CP4*$V4</f>
        <v>3788.1802803067089</v>
      </c>
      <c r="CS4" s="73">
        <f t="shared" ref="CS4:CS35" si="21">IF($AK4=1,0,ABS($CO4-$N4)+ABS($CP4-$O4))</f>
        <v>0</v>
      </c>
      <c r="CT4" s="272">
        <f t="shared" ref="CT4:CT35" si="22">IF($AK4=0,0,($CO4-$N4)*100)</f>
        <v>0</v>
      </c>
      <c r="CU4" s="75">
        <f t="shared" ref="CU4:CU35" si="23">COUNTIFS(rl_key,$A4,rl_status,"taken",rl_eff,"&lt;&gt;")</f>
        <v>2</v>
      </c>
      <c r="CV4" s="75">
        <f t="shared" ref="CV4:CV35" si="24">COUNTIFS(rl_key,$A4,rl_status,"planned",rl_eff,"&lt;&gt;")</f>
        <v>1</v>
      </c>
      <c r="CW4" s="273">
        <f t="shared" ref="CW4:CW35" si="25">IF(COUNTIFS(rl_key,$A4,rl_seq,1)=0,"",SUMIFS(rl_eff,rl_key,$A4,rl_seq,1))</f>
        <v>45839</v>
      </c>
      <c r="CX4" s="274">
        <f t="shared" ref="CX4:CX35" si="26">IF(COUNTIFS(rl_key,$A4,rl_seq,1)=0,"",SUMIFS(rl_reff,rl_key,$A4,rl_seq,1))</f>
        <v>0.04</v>
      </c>
      <c r="CY4" s="6" t="str">
        <f t="shared" ref="CY4:CY35" si="27">IF(COUNTIFS(rl_key,$A4,rl_seq,1)=0,"",IF(COUNTIFS(rl_key,$A4,rl_seq,1,rl_status,"planned")&gt;0,"P","T")&amp;IF(COUNTIFS(rl_key,$A4,rl_seq,1,rl_cons,"Y")&gt;0,"","*"))</f>
        <v>T</v>
      </c>
      <c r="CZ4" s="273">
        <f t="shared" ref="CZ4:CZ35" si="28">IF(COUNTIFS(rl_key,$A4,rl_seq,2)=0,"",SUMIFS(rl_eff,rl_key,$A4,rl_seq,2))</f>
        <v>46204</v>
      </c>
      <c r="DA4" s="274">
        <f t="shared" ref="DA4:DA35" si="29">IF(COUNTIFS(rl_key,$A4,rl_seq,2)=0,"",SUMIFS(rl_reff,rl_key,$A4,rl_seq,2))</f>
        <v>0.06</v>
      </c>
      <c r="DB4" s="6" t="str">
        <f t="shared" ref="DB4:DB35" si="30">IF(COUNTIFS(rl_key,$A4,rl_seq,2)=0,"",IF(COUNTIFS(rl_key,$A4,rl_seq,2,rl_status,"planned")&gt;0,"P","T")&amp;IF(COUNTIFS(rl_key,$A4,rl_seq,2,rl_cons,"Y")&gt;0,"","*"))</f>
        <v>T</v>
      </c>
      <c r="DC4" s="273">
        <f t="shared" ref="DC4:DC35" si="31">IF(COUNTIFS(rl_key,$A4,rl_seq,3)=0,"",SUMIFS(rl_eff,rl_key,$A4,rl_seq,3))</f>
        <v>46478</v>
      </c>
      <c r="DD4" s="274">
        <f t="shared" ref="DD4:DD35" si="32">IF(COUNTIFS(rl_key,$A4,rl_seq,3)=0,"",SUMIFS(rl_reff,rl_key,$A4,rl_seq,3))</f>
        <v>0.05</v>
      </c>
      <c r="DE4" s="6" t="str">
        <f t="shared" ref="DE4:DE35" si="33">IF(COUNTIFS(rl_key,$A4,rl_seq,3)=0,"",IF(COUNTIFS(rl_key,$A4,rl_seq,3,rl_status,"planned")&gt;0,"P","T")&amp;IF(COUNTIFS(rl_key,$A4,rl_seq,3,rl_cons,"Y")&gt;0,"","*"))</f>
        <v>P*</v>
      </c>
      <c r="DF4" s="273" t="str">
        <f t="shared" ref="DF4:DF35" si="34">IF(COUNTIFS(rl_key,$A4,rl_seq,4)=0,"",SUMIFS(rl_eff,rl_key,$A4,rl_seq,4))</f>
        <v/>
      </c>
      <c r="DG4" s="274" t="str">
        <f t="shared" ref="DG4:DG35" si="35">IF(COUNTIFS(rl_key,$A4,rl_seq,4)=0,"",SUMIFS(rl_reff,rl_key,$A4,rl_seq,4))</f>
        <v/>
      </c>
      <c r="DH4" s="6" t="str">
        <f t="shared" ref="DH4:DH35" si="36">IF(COUNTIFS(rl_key,$A4,rl_seq,4)=0,"",IF(COUNTIFS(rl_key,$A4,rl_seq,4,rl_status,"planned")&gt;0,"P","T")&amp;IF(COUNTIFS(rl_key,$A4,rl_seq,4,rl_cons,"Y")&gt;0,"","*"))</f>
        <v/>
      </c>
    </row>
    <row r="5" spans="1:112" x14ac:dyDescent="0.3">
      <c r="A5" s="6" t="str">
        <f>$A$130</f>
        <v>ABD|CO</v>
      </c>
      <c r="B5" s="75">
        <f>$C$130</f>
        <v>6</v>
      </c>
      <c r="C5" s="73">
        <f>$B$181</f>
        <v>1.03</v>
      </c>
      <c r="D5" s="73">
        <f>$C$181</f>
        <v>1.0199999999999998</v>
      </c>
      <c r="E5" s="73">
        <f>$D$181</f>
        <v>1.057466666666667</v>
      </c>
      <c r="F5" s="73">
        <f>$E$181</f>
        <v>1.0712000000000004</v>
      </c>
      <c r="G5" s="224">
        <f>$F$181</f>
        <v>0.91199626185266247</v>
      </c>
      <c r="H5" s="224">
        <f>$G$181</f>
        <v>0.91483011184050556</v>
      </c>
      <c r="I5" s="73">
        <f t="shared" si="0"/>
        <v>0.9740259740259738</v>
      </c>
      <c r="J5" s="73">
        <f t="shared" si="1"/>
        <v>0.96153846153846123</v>
      </c>
      <c r="K5" s="73">
        <f>IF($L$130,1,IF(AND(nr_ModAdjMaster="ON",INDEX(lr_modadj,2)="ON"),$F$130/$G5,1))</f>
        <v>1.0087760646420616</v>
      </c>
      <c r="L5" s="73">
        <f>IF($L$130,1,IF(AND(nr_ModAdjMaster="ON",INDEX(lr_modadj,2)="ON"),$F$130/$H5,1))</f>
        <v>1.0056512002530102</v>
      </c>
      <c r="M5" s="72">
        <f>IF(INDEX(lr_basis,2)="proposed",N(INDEX(lr_lrproj,2))*(1+N(INDEX(lr_s,2))),N(INDEX(lr_lrproj,2)))</f>
        <v>0.58799999999999997</v>
      </c>
      <c r="N5" s="72">
        <f t="shared" si="2"/>
        <v>0.57775356429499869</v>
      </c>
      <c r="O5" s="72">
        <f t="shared" si="3"/>
        <v>0.56857971706612476</v>
      </c>
      <c r="P5" s="72">
        <f t="shared" si="4"/>
        <v>2.666666666666706E-2</v>
      </c>
      <c r="Q5" s="72">
        <f t="shared" si="5"/>
        <v>1.2987012987013102E-2</v>
      </c>
      <c r="R5" s="73">
        <f>IF(N(INDEX(lr_aother,2))=0,1,INDEX(lr_aother,2))</f>
        <v>1</v>
      </c>
      <c r="S5" s="72">
        <f>IF(ISBLANK(INDEX(lr_trend,2)),N(nr_TrendDefault),N(INDEX(lr_trend,2)))</f>
        <v>0</v>
      </c>
      <c r="T5" s="6" t="str">
        <f>INDEX(lr_state,2)</f>
        <v>CO</v>
      </c>
      <c r="U5" s="6" t="str">
        <f>INDEX(lr_bu,2)</f>
        <v>ABD</v>
      </c>
      <c r="V5" s="271">
        <f>N(INDEX(lr_ep,2))</f>
        <v>16800</v>
      </c>
      <c r="W5" s="73">
        <f>N(INDEX(lr_mind,2))*$V5</f>
        <v>15456</v>
      </c>
      <c r="X5" s="73">
        <f>N(INDEX(lr_m0,2))*$V5</f>
        <v>15288</v>
      </c>
      <c r="Y5" s="73">
        <f>N(INDEX(lr_m1,2))*$V5</f>
        <v>15372</v>
      </c>
      <c r="Z5" s="73">
        <f t="shared" si="6"/>
        <v>17304</v>
      </c>
      <c r="AA5" s="73">
        <f t="shared" si="7"/>
        <v>17765.440000000006</v>
      </c>
      <c r="AB5" s="73">
        <f t="shared" si="8"/>
        <v>16363.63636363636</v>
      </c>
      <c r="AC5" s="73">
        <f t="shared" si="9"/>
        <v>15321.53719912473</v>
      </c>
      <c r="AD5" s="73">
        <f t="shared" si="10"/>
        <v>16947.437885986634</v>
      </c>
      <c r="AE5" s="73">
        <f t="shared" si="11"/>
        <v>9878.4</v>
      </c>
      <c r="AF5" s="73">
        <f t="shared" si="12"/>
        <v>9706.259880155978</v>
      </c>
      <c r="AG5" s="73">
        <f t="shared" si="13"/>
        <v>0</v>
      </c>
      <c r="AH5" s="73">
        <f t="shared" si="14"/>
        <v>16153.846153846149</v>
      </c>
      <c r="AI5" s="73">
        <f t="shared" si="15"/>
        <v>16894.940164250573</v>
      </c>
      <c r="AJ5" s="73">
        <f t="shared" si="16"/>
        <v>9552.1392467108963</v>
      </c>
      <c r="AK5" s="75">
        <f>IF($L$130,1,0)</f>
        <v>0</v>
      </c>
      <c r="AL5" s="72">
        <f>IF($L$130,$M$130,0)</f>
        <v>0</v>
      </c>
      <c r="AM5" s="73">
        <f>$N$157/$N$145*IF($O$130=1,$O$157/$O$145,1)-1</f>
        <v>3.4534079465486478E-2</v>
      </c>
      <c r="AN5" s="73">
        <f>$N$158/$N$146*IF($O$130=1,$O$158/$O$146,1)-1</f>
        <v>4.4576471439249588E-2</v>
      </c>
      <c r="AO5" s="73">
        <f>$N$159/$N$147*IF($O$130=1,$O$159/$O$147,1)-1</f>
        <v>4.4574844381775502E-2</v>
      </c>
      <c r="AP5" s="73">
        <f>$N$160/$N$148*IF($O$130=1,$O$160/$O$148,1)-1</f>
        <v>4.4573163385779546E-2</v>
      </c>
      <c r="AQ5" s="73">
        <f>$N$161/$N$149*IF($O$130=1,$O$161/$O$149,1)-1</f>
        <v>4.4571483624671115E-2</v>
      </c>
      <c r="AR5" s="73">
        <f>$N$162/$N$150*IF($O$130=1,$O$162/$O$150,1)-1</f>
        <v>4.4569805097090409E-2</v>
      </c>
      <c r="AS5" s="73">
        <f>$N$163/$N$151*IF($O$130=1,$O$163/$O$151,1)-1</f>
        <v>4.4568127801678736E-2</v>
      </c>
      <c r="AT5" s="73">
        <f>$N$164/$N$152*IF($O$130=1,$O$164/$O$152,1)-1</f>
        <v>4.4566424270857663E-2</v>
      </c>
      <c r="AU5" s="73">
        <f>$N$165/$N$153*IF($O$130=1,$O$165/$O$153,1)-1</f>
        <v>4.4564749455861641E-2</v>
      </c>
      <c r="AV5" s="73">
        <f>$N$166/$N$154*IF($O$130=1,$O$166/$O$154,1)-1</f>
        <v>4.456307586894992E-2</v>
      </c>
      <c r="AW5" s="73">
        <f>$N$167/$N$155*IF($O$130=1,$O$167/$O$155,1)-1</f>
        <v>4.4561403508771802E-2</v>
      </c>
      <c r="AX5" s="73">
        <f>$N$168/$N$156*IF($O$130=1,$O$168/$O$156,1)-1</f>
        <v>4.4559732373979699E-2</v>
      </c>
      <c r="AY5" s="73">
        <f>$N$157/$N$145-1</f>
        <v>3.0000000000000027E-2</v>
      </c>
      <c r="AZ5" s="73">
        <f>$N$158/$N$146-1</f>
        <v>4.0000000000000036E-2</v>
      </c>
      <c r="BA5" s="73">
        <f>$N$159/$N$147-1</f>
        <v>4.0000000000000036E-2</v>
      </c>
      <c r="BB5" s="73">
        <f>$N$160/$N$148-1</f>
        <v>4.0000000000000036E-2</v>
      </c>
      <c r="BC5" s="73">
        <f>$N$161/$N$149-1</f>
        <v>4.0000000000000036E-2</v>
      </c>
      <c r="BD5" s="73">
        <f>$N$162/$N$150-1</f>
        <v>4.0000000000000036E-2</v>
      </c>
      <c r="BE5" s="73">
        <f>$N$163/$N$151-1</f>
        <v>4.0000000000000036E-2</v>
      </c>
      <c r="BF5" s="73">
        <f>$N$164/$N$152-1</f>
        <v>4.0000000000000036E-2</v>
      </c>
      <c r="BG5" s="73">
        <f>$N$165/$N$153-1</f>
        <v>4.0000000000000036E-2</v>
      </c>
      <c r="BH5" s="73">
        <f>$N$166/$N$154-1</f>
        <v>4.0000000000000036E-2</v>
      </c>
      <c r="BI5" s="73">
        <f>$N$167/$N$155-1</f>
        <v>4.0000000000000036E-2</v>
      </c>
      <c r="BJ5" s="73">
        <f>$N$168/$N$156-1</f>
        <v>4.0000000000000036E-2</v>
      </c>
      <c r="BK5" s="73">
        <f>$O$157/$O$145-1</f>
        <v>4.4020188985305353E-3</v>
      </c>
      <c r="BL5" s="73">
        <f>$O$158/$O$146-1</f>
        <v>4.4004533069708085E-3</v>
      </c>
      <c r="BM5" s="73">
        <f>$O$159/$O$147-1</f>
        <v>4.3988888286301542E-3</v>
      </c>
      <c r="BN5" s="73">
        <f>$O$160/$O$148-1</f>
        <v>4.3972724863263757E-3</v>
      </c>
      <c r="BO5" s="73">
        <f>$O$161/$O$149-1</f>
        <v>4.3956573314145597E-3</v>
      </c>
      <c r="BP5" s="73">
        <f>$O$162/$O$150-1</f>
        <v>4.3940433625868636E-3</v>
      </c>
      <c r="BQ5" s="73">
        <f>$O$163/$O$151-1</f>
        <v>4.3924305785372209E-3</v>
      </c>
      <c r="BR5" s="73">
        <f>$O$164/$O$152-1</f>
        <v>4.3907925681323512E-3</v>
      </c>
      <c r="BS5" s="73">
        <f>$O$165/$O$153-1</f>
        <v>4.3891821690977828E-3</v>
      </c>
      <c r="BT5" s="73">
        <f>$O$166/$O$154-1</f>
        <v>4.3875729509132988E-3</v>
      </c>
      <c r="BU5" s="73">
        <f>$O$167/$O$155-1</f>
        <v>4.3859649122806044E-3</v>
      </c>
      <c r="BV5" s="73">
        <f>$O$168/$O$156-1</f>
        <v>4.3843580519036252E-3</v>
      </c>
      <c r="BW5" s="73">
        <f>$V5*$H$157</f>
        <v>16800</v>
      </c>
      <c r="BX5" s="73">
        <f>$V5*$H$158</f>
        <v>16800</v>
      </c>
      <c r="BY5" s="73">
        <f>$V5*$H$159</f>
        <v>16800</v>
      </c>
      <c r="BZ5" s="73">
        <f>$V5*$H$160</f>
        <v>16800</v>
      </c>
      <c r="CA5" s="73">
        <f>$V5*$H$161</f>
        <v>16800</v>
      </c>
      <c r="CB5" s="73">
        <f>$V5*$H$162</f>
        <v>16800</v>
      </c>
      <c r="CC5" s="73">
        <f>$V5*$H$163</f>
        <v>16800</v>
      </c>
      <c r="CD5" s="73">
        <f>$V5*$H$164</f>
        <v>16800</v>
      </c>
      <c r="CE5" s="73">
        <f>$V5*$H$165</f>
        <v>16800</v>
      </c>
      <c r="CF5" s="73">
        <f>$V5*$H$166</f>
        <v>16800</v>
      </c>
      <c r="CG5" s="73">
        <f>$V5*$H$167</f>
        <v>16800</v>
      </c>
      <c r="CH5" s="73">
        <f>$V5*$H$168</f>
        <v>16800</v>
      </c>
      <c r="CI5" s="75">
        <f>$O$130</f>
        <v>1</v>
      </c>
      <c r="CJ5" s="73">
        <f>$H$181</f>
        <v>1.0391666666666666</v>
      </c>
      <c r="CK5" s="73">
        <f>$I$181</f>
        <v>1.0043932196204437</v>
      </c>
      <c r="CL5" s="73">
        <f>$J$181</f>
        <v>1.0437319467228461</v>
      </c>
      <c r="CM5" s="73">
        <f t="shared" si="17"/>
        <v>0</v>
      </c>
      <c r="CN5" s="73">
        <f t="shared" si="18"/>
        <v>16800</v>
      </c>
      <c r="CO5" s="72">
        <f>$M5*($C5/$K$181)*IF($O$130=1,$F$130/$G5,1)*$R5</f>
        <v>0.57775356429499869</v>
      </c>
      <c r="CP5" s="72">
        <f>$M5*(1+$S5)*($C5/$L$181)*IF($O$130=1,$F$130/$H5,1)*$R5</f>
        <v>0.56857971706612476</v>
      </c>
      <c r="CQ5" s="73">
        <f t="shared" si="19"/>
        <v>9706.259880155978</v>
      </c>
      <c r="CR5" s="73">
        <f t="shared" si="20"/>
        <v>9552.1392467108963</v>
      </c>
      <c r="CS5" s="73">
        <f t="shared" si="21"/>
        <v>0</v>
      </c>
      <c r="CT5" s="272">
        <f t="shared" si="22"/>
        <v>0</v>
      </c>
      <c r="CU5" s="75">
        <f t="shared" si="23"/>
        <v>1</v>
      </c>
      <c r="CV5" s="75">
        <f t="shared" si="24"/>
        <v>1</v>
      </c>
      <c r="CW5" s="273">
        <f t="shared" si="25"/>
        <v>46054</v>
      </c>
      <c r="CX5" s="274">
        <f t="shared" si="26"/>
        <v>0.03</v>
      </c>
      <c r="CY5" s="6" t="str">
        <f t="shared" si="27"/>
        <v>T</v>
      </c>
      <c r="CZ5" s="273">
        <f t="shared" si="28"/>
        <v>46419</v>
      </c>
      <c r="DA5" s="274">
        <f t="shared" si="29"/>
        <v>0.04</v>
      </c>
      <c r="DB5" s="6" t="str">
        <f t="shared" si="30"/>
        <v>P*</v>
      </c>
      <c r="DC5" s="273" t="str">
        <f t="shared" si="31"/>
        <v/>
      </c>
      <c r="DD5" s="274" t="str">
        <f t="shared" si="32"/>
        <v/>
      </c>
      <c r="DE5" s="6" t="str">
        <f t="shared" si="33"/>
        <v/>
      </c>
      <c r="DF5" s="273" t="str">
        <f t="shared" si="34"/>
        <v/>
      </c>
      <c r="DG5" s="274" t="str">
        <f t="shared" si="35"/>
        <v/>
      </c>
      <c r="DH5" s="6" t="str">
        <f t="shared" si="36"/>
        <v/>
      </c>
    </row>
    <row r="6" spans="1:112" x14ac:dyDescent="0.3">
      <c r="A6" s="6" t="str">
        <f>$A$184</f>
        <v>ABD|DE</v>
      </c>
      <c r="B6" s="75">
        <f>$C$184</f>
        <v>6</v>
      </c>
      <c r="C6" s="73">
        <f>$B$235</f>
        <v>1</v>
      </c>
      <c r="D6" s="73">
        <f>$C$235</f>
        <v>1</v>
      </c>
      <c r="E6" s="73">
        <f>$D$235</f>
        <v>1</v>
      </c>
      <c r="F6" s="73">
        <f>$E$235</f>
        <v>1</v>
      </c>
      <c r="G6" s="224">
        <f>$F$235</f>
        <v>0.91798504741064912</v>
      </c>
      <c r="H6" s="224">
        <f>$G$235</f>
        <v>0.92932044736202268</v>
      </c>
      <c r="I6" s="73">
        <f t="shared" si="0"/>
        <v>1</v>
      </c>
      <c r="J6" s="73">
        <f t="shared" si="1"/>
        <v>1</v>
      </c>
      <c r="K6" s="73">
        <f>IF($L$184,1,IF(AND(nr_ModAdjMaster="ON",INDEX(lr_modadj,3)="ON"),$F$184/$G6,1))</f>
        <v>1.0021949732133812</v>
      </c>
      <c r="L6" s="73">
        <f>IF($L$184,1,IF(AND(nr_ModAdjMaster="ON",INDEX(lr_modadj,3)="ON"),$F$184/$H6,1))</f>
        <v>0.98997068515119868</v>
      </c>
      <c r="M6" s="72">
        <f>IF(INDEX(lr_basis,3)="proposed",N(INDEX(lr_lrproj,3))*(1+N(INDEX(lr_s,3))),N(INDEX(lr_lrproj,3)))</f>
        <v>0.57199999999999995</v>
      </c>
      <c r="N6" s="72">
        <f t="shared" si="2"/>
        <v>0.57325552467805407</v>
      </c>
      <c r="O6" s="72">
        <f t="shared" si="3"/>
        <v>0.56626323190648564</v>
      </c>
      <c r="P6" s="72">
        <f t="shared" si="4"/>
        <v>0</v>
      </c>
      <c r="Q6" s="72">
        <f t="shared" si="5"/>
        <v>0</v>
      </c>
      <c r="R6" s="73">
        <f>IF(N(INDEX(lr_aother,3))=0,1,INDEX(lr_aother,3))</f>
        <v>1</v>
      </c>
      <c r="S6" s="72">
        <f>IF(ISBLANK(INDEX(lr_trend,3)),N(nr_TrendDefault),N(INDEX(lr_trend,3)))</f>
        <v>0</v>
      </c>
      <c r="T6" s="6" t="str">
        <f>INDEX(lr_state,3)</f>
        <v>DE</v>
      </c>
      <c r="U6" s="6" t="str">
        <f>INDEX(lr_bu,3)</f>
        <v>ABD</v>
      </c>
      <c r="V6" s="271">
        <f>N(INDEX(lr_ep,3))</f>
        <v>13600</v>
      </c>
      <c r="W6" s="73">
        <f>N(INDEX(lr_mind,3))*$V6</f>
        <v>12512</v>
      </c>
      <c r="X6" s="73">
        <f>N(INDEX(lr_m0,3))*$V6</f>
        <v>12376</v>
      </c>
      <c r="Y6" s="73">
        <f>N(INDEX(lr_m1,3))*$V6</f>
        <v>12648</v>
      </c>
      <c r="Z6" s="73">
        <f t="shared" si="6"/>
        <v>13600</v>
      </c>
      <c r="AA6" s="73">
        <f t="shared" si="7"/>
        <v>13600</v>
      </c>
      <c r="AB6" s="73">
        <f t="shared" si="8"/>
        <v>13600</v>
      </c>
      <c r="AC6" s="73">
        <f t="shared" si="9"/>
        <v>12484.596644784828</v>
      </c>
      <c r="AD6" s="73">
        <f t="shared" si="10"/>
        <v>13629.851635701985</v>
      </c>
      <c r="AE6" s="73">
        <f t="shared" si="11"/>
        <v>7779.1999999999989</v>
      </c>
      <c r="AF6" s="73">
        <f t="shared" si="12"/>
        <v>7796.2751356215358</v>
      </c>
      <c r="AG6" s="73">
        <f t="shared" si="13"/>
        <v>0</v>
      </c>
      <c r="AH6" s="73">
        <f t="shared" si="14"/>
        <v>13600</v>
      </c>
      <c r="AI6" s="73">
        <f t="shared" si="15"/>
        <v>13463.601318056302</v>
      </c>
      <c r="AJ6" s="73">
        <f t="shared" si="16"/>
        <v>7701.1799539282047</v>
      </c>
      <c r="AK6" s="75">
        <f>IF($L$184,1,0)</f>
        <v>0</v>
      </c>
      <c r="AL6" s="72">
        <f>IF($L$184,$M$184,0)</f>
        <v>0</v>
      </c>
      <c r="AM6" s="73">
        <f>$N$211/$N$199*IF($O$184=1,$O$211/$O$199,1)-1</f>
        <v>1.7773665757693902E-2</v>
      </c>
      <c r="AN6" s="73">
        <f>$N$212/$N$200*IF($O$184=1,$O$212/$O$200,1)-1</f>
        <v>1.7748170479686909E-2</v>
      </c>
      <c r="AO6" s="73">
        <f>$N$213/$N$201*IF($O$184=1,$O$213/$O$201,1)-1</f>
        <v>1.7722748239864083E-2</v>
      </c>
      <c r="AP6" s="73">
        <f>$N$214/$N$202*IF($O$184=1,$O$214/$O$202,1)-1</f>
        <v>1.7696540689922768E-2</v>
      </c>
      <c r="AQ6" s="73">
        <f>$N$215/$N$203*IF($O$184=1,$O$215/$O$203,1)-1</f>
        <v>1.7670410534469383E-2</v>
      </c>
      <c r="AR6" s="73">
        <f>$N$216/$N$204*IF($O$184=1,$O$216/$O$204,1)-1</f>
        <v>1.7644357431174873E-2</v>
      </c>
      <c r="AS6" s="73">
        <f>$N$217/$N$205*IF($O$184=1,$O$217/$O$205,1)-1</f>
        <v>1.7618381039725906E-2</v>
      </c>
      <c r="AT6" s="73">
        <f>$N$218/$N$206*IF($O$184=1,$O$218/$O$206,1)-1</f>
        <v>1.7592057065741296E-2</v>
      </c>
      <c r="AU6" s="73">
        <f>$N$219/$N$207*IF($O$184=1,$O$219/$O$207,1)-1</f>
        <v>1.7566234328753261E-2</v>
      </c>
      <c r="AV6" s="73">
        <f>$N$220/$N$208*IF($O$184=1,$O$220/$O$208,1)-1</f>
        <v>1.7540487289153583E-2</v>
      </c>
      <c r="AW6" s="73">
        <f>$N$221/$N$209*IF($O$184=1,$O$221/$O$209,1)-1</f>
        <v>1.7514815614577905E-2</v>
      </c>
      <c r="AX6" s="73">
        <f>$N$222/$N$210*IF($O$184=1,$O$222/$O$210,1)-1</f>
        <v>1.7489218974604537E-2</v>
      </c>
      <c r="AY6" s="73">
        <f>$N$211/$N$199-1</f>
        <v>0</v>
      </c>
      <c r="AZ6" s="73">
        <f>$N$212/$N$200-1</f>
        <v>0</v>
      </c>
      <c r="BA6" s="73">
        <f>$N$213/$N$201-1</f>
        <v>0</v>
      </c>
      <c r="BB6" s="73">
        <f>$N$214/$N$202-1</f>
        <v>0</v>
      </c>
      <c r="BC6" s="73">
        <f>$N$215/$N$203-1</f>
        <v>0</v>
      </c>
      <c r="BD6" s="73">
        <f>$N$216/$N$204-1</f>
        <v>0</v>
      </c>
      <c r="BE6" s="73">
        <f>$N$217/$N$205-1</f>
        <v>0</v>
      </c>
      <c r="BF6" s="73">
        <f>$N$218/$N$206-1</f>
        <v>0</v>
      </c>
      <c r="BG6" s="73">
        <f>$N$219/$N$207-1</f>
        <v>0</v>
      </c>
      <c r="BH6" s="73">
        <f>$N$220/$N$208-1</f>
        <v>0</v>
      </c>
      <c r="BI6" s="73">
        <f>$N$221/$N$209-1</f>
        <v>0</v>
      </c>
      <c r="BJ6" s="73">
        <f>$N$222/$N$210-1</f>
        <v>0</v>
      </c>
      <c r="BK6" s="73">
        <f>$O$211/$O$199-1</f>
        <v>1.7773665757693902E-2</v>
      </c>
      <c r="BL6" s="73">
        <f>$O$212/$O$200-1</f>
        <v>1.7748170479686909E-2</v>
      </c>
      <c r="BM6" s="73">
        <f>$O$213/$O$201-1</f>
        <v>1.7722748239864083E-2</v>
      </c>
      <c r="BN6" s="73">
        <f>$O$214/$O$202-1</f>
        <v>1.7696540689922768E-2</v>
      </c>
      <c r="BO6" s="73">
        <f>$O$215/$O$203-1</f>
        <v>1.7670410534469383E-2</v>
      </c>
      <c r="BP6" s="73">
        <f>$O$216/$O$204-1</f>
        <v>1.7644357431174873E-2</v>
      </c>
      <c r="BQ6" s="73">
        <f>$O$217/$O$205-1</f>
        <v>1.7618381039725906E-2</v>
      </c>
      <c r="BR6" s="73">
        <f>$O$218/$O$206-1</f>
        <v>1.7592057065741296E-2</v>
      </c>
      <c r="BS6" s="73">
        <f>$O$219/$O$207-1</f>
        <v>1.7566234328753261E-2</v>
      </c>
      <c r="BT6" s="73">
        <f>$O$220/$O$208-1</f>
        <v>1.7540487289153583E-2</v>
      </c>
      <c r="BU6" s="73">
        <f>$O$221/$O$209-1</f>
        <v>1.7514815614577905E-2</v>
      </c>
      <c r="BV6" s="73">
        <f>$O$222/$O$210-1</f>
        <v>1.7489218974604537E-2</v>
      </c>
      <c r="BW6" s="73">
        <f>$V6*$H$211</f>
        <v>13600</v>
      </c>
      <c r="BX6" s="73">
        <f>$V6*$H$212</f>
        <v>13600</v>
      </c>
      <c r="BY6" s="73">
        <f>$V6*$H$213</f>
        <v>13600</v>
      </c>
      <c r="BZ6" s="73">
        <f>$V6*$H$214</f>
        <v>13600</v>
      </c>
      <c r="CA6" s="73">
        <f>$V6*$H$215</f>
        <v>13600</v>
      </c>
      <c r="CB6" s="73">
        <f>$V6*$H$216</f>
        <v>13600</v>
      </c>
      <c r="CC6" s="73">
        <f>$V6*$H$217</f>
        <v>13600</v>
      </c>
      <c r="CD6" s="73">
        <f>$V6*$H$218</f>
        <v>13600</v>
      </c>
      <c r="CE6" s="73">
        <f>$V6*$H$219</f>
        <v>13600</v>
      </c>
      <c r="CF6" s="73">
        <f>$V6*$H$220</f>
        <v>13600</v>
      </c>
      <c r="CG6" s="73">
        <f>$V6*$H$221</f>
        <v>13600</v>
      </c>
      <c r="CH6" s="73">
        <f>$V6*$H$222</f>
        <v>13600</v>
      </c>
      <c r="CI6" s="75">
        <f>$O$184</f>
        <v>1</v>
      </c>
      <c r="CJ6" s="73">
        <f>$H$235</f>
        <v>1</v>
      </c>
      <c r="CK6" s="73">
        <f>$I$235</f>
        <v>1.0176314239537807</v>
      </c>
      <c r="CL6" s="73">
        <f>$J$235</f>
        <v>1.0176314239537807</v>
      </c>
      <c r="CM6" s="73">
        <f t="shared" si="17"/>
        <v>0</v>
      </c>
      <c r="CN6" s="73">
        <f t="shared" si="18"/>
        <v>13600</v>
      </c>
      <c r="CO6" s="72">
        <f>$M6*($C6/$K$235)*IF($O$184=1,$F$184/$G6,1)*$R6</f>
        <v>0.57325552467805407</v>
      </c>
      <c r="CP6" s="72">
        <f>$M6*(1+$S6)*($C6/$L$235)*IF($O$184=1,$F$184/$H6,1)*$R6</f>
        <v>0.56626323190648564</v>
      </c>
      <c r="CQ6" s="73">
        <f t="shared" si="19"/>
        <v>7796.2751356215358</v>
      </c>
      <c r="CR6" s="73">
        <f t="shared" si="20"/>
        <v>7701.1799539282047</v>
      </c>
      <c r="CS6" s="73">
        <f t="shared" si="21"/>
        <v>0</v>
      </c>
      <c r="CT6" s="272">
        <f t="shared" si="22"/>
        <v>0</v>
      </c>
      <c r="CU6" s="75">
        <f t="shared" si="23"/>
        <v>0</v>
      </c>
      <c r="CV6" s="75">
        <f t="shared" si="24"/>
        <v>0</v>
      </c>
      <c r="CW6" s="273" t="str">
        <f t="shared" si="25"/>
        <v/>
      </c>
      <c r="CX6" s="274" t="str">
        <f t="shared" si="26"/>
        <v/>
      </c>
      <c r="CY6" s="6" t="str">
        <f t="shared" si="27"/>
        <v/>
      </c>
      <c r="CZ6" s="273" t="str">
        <f t="shared" si="28"/>
        <v/>
      </c>
      <c r="DA6" s="274" t="str">
        <f t="shared" si="29"/>
        <v/>
      </c>
      <c r="DB6" s="6" t="str">
        <f t="shared" si="30"/>
        <v/>
      </c>
      <c r="DC6" s="273" t="str">
        <f t="shared" si="31"/>
        <v/>
      </c>
      <c r="DD6" s="274" t="str">
        <f t="shared" si="32"/>
        <v/>
      </c>
      <c r="DE6" s="6" t="str">
        <f t="shared" si="33"/>
        <v/>
      </c>
      <c r="DF6" s="273" t="str">
        <f t="shared" si="34"/>
        <v/>
      </c>
      <c r="DG6" s="274" t="str">
        <f t="shared" si="35"/>
        <v/>
      </c>
      <c r="DH6" s="6" t="str">
        <f t="shared" si="36"/>
        <v/>
      </c>
    </row>
    <row r="7" spans="1:112" x14ac:dyDescent="0.3">
      <c r="A7" s="6" t="str">
        <f>$A$238</f>
        <v>ABD|FL</v>
      </c>
      <c r="B7" s="75">
        <f>$C$238</f>
        <v>6</v>
      </c>
      <c r="C7" s="73">
        <f>$B$289</f>
        <v>1.05</v>
      </c>
      <c r="D7" s="73">
        <f>$C$289</f>
        <v>1.0250000000000001</v>
      </c>
      <c r="E7" s="73">
        <f>$D$289</f>
        <v>1.05</v>
      </c>
      <c r="F7" s="73">
        <f>$E$289</f>
        <v>1.05</v>
      </c>
      <c r="G7" s="224">
        <f>$F$289</f>
        <v>0.91999999999999993</v>
      </c>
      <c r="H7" s="224">
        <f>$G$289</f>
        <v>0.91999999999999993</v>
      </c>
      <c r="I7" s="73">
        <f t="shared" si="0"/>
        <v>1</v>
      </c>
      <c r="J7" s="73">
        <f t="shared" si="1"/>
        <v>1</v>
      </c>
      <c r="K7" s="73">
        <f>IF($L$238,1,IF(AND(nr_ModAdjMaster="ON",INDEX(lr_modadj,4)="ON"),$F$238/$G7,1))</f>
        <v>1</v>
      </c>
      <c r="L7" s="73">
        <f>IF($L$238,1,IF(AND(nr_ModAdjMaster="ON",INDEX(lr_modadj,4)="ON"),$F$238/$H7,1))</f>
        <v>1</v>
      </c>
      <c r="M7" s="72">
        <f>IF(INDEX(lr_basis,4)="proposed",N(INDEX(lr_lrproj,4))*(1+N(INDEX(lr_s,4))),N(INDEX(lr_lrproj,4)))</f>
        <v>0.6</v>
      </c>
      <c r="N7" s="72">
        <f t="shared" si="2"/>
        <v>0.6</v>
      </c>
      <c r="O7" s="72">
        <f t="shared" si="3"/>
        <v>0.6</v>
      </c>
      <c r="P7" s="72">
        <f t="shared" si="4"/>
        <v>0</v>
      </c>
      <c r="Q7" s="72">
        <f t="shared" si="5"/>
        <v>0</v>
      </c>
      <c r="R7" s="73">
        <f>IF(N(INDEX(lr_aother,4))=0,1,INDEX(lr_aother,4))</f>
        <v>1</v>
      </c>
      <c r="S7" s="72">
        <f>IF(ISBLANK(INDEX(lr_trend,4)),N(nr_TrendDefault),N(INDEX(lr_trend,4)))</f>
        <v>0</v>
      </c>
      <c r="T7" s="6" t="str">
        <f>INDEX(lr_state,4)</f>
        <v>FL</v>
      </c>
      <c r="U7" s="6" t="str">
        <f>INDEX(lr_bu,4)</f>
        <v>ABD</v>
      </c>
      <c r="V7" s="271">
        <f>N(INDEX(lr_ep,4))</f>
        <v>10400</v>
      </c>
      <c r="W7" s="73">
        <f>N(INDEX(lr_mind,4))*$V7</f>
        <v>9568</v>
      </c>
      <c r="X7" s="73">
        <f>N(INDEX(lr_m0,4))*$V7</f>
        <v>9568</v>
      </c>
      <c r="Y7" s="73">
        <f>N(INDEX(lr_m1,4))*$V7</f>
        <v>9568</v>
      </c>
      <c r="Z7" s="73">
        <f t="shared" si="6"/>
        <v>10920</v>
      </c>
      <c r="AA7" s="73">
        <f t="shared" si="7"/>
        <v>10920</v>
      </c>
      <c r="AB7" s="73">
        <f t="shared" si="8"/>
        <v>10400</v>
      </c>
      <c r="AC7" s="73">
        <f t="shared" si="9"/>
        <v>9568</v>
      </c>
      <c r="AD7" s="73">
        <f t="shared" si="10"/>
        <v>10400</v>
      </c>
      <c r="AE7" s="73">
        <f t="shared" si="11"/>
        <v>6240</v>
      </c>
      <c r="AF7" s="73">
        <f t="shared" si="12"/>
        <v>6240</v>
      </c>
      <c r="AG7" s="73">
        <f t="shared" si="13"/>
        <v>0</v>
      </c>
      <c r="AH7" s="73">
        <f t="shared" si="14"/>
        <v>10400</v>
      </c>
      <c r="AI7" s="73">
        <f t="shared" si="15"/>
        <v>10400</v>
      </c>
      <c r="AJ7" s="73">
        <f t="shared" si="16"/>
        <v>6240</v>
      </c>
      <c r="AK7" s="75">
        <f>IF($L$238,1,0)</f>
        <v>0</v>
      </c>
      <c r="AL7" s="72">
        <f>IF($L$238,$M$238,0)</f>
        <v>0</v>
      </c>
      <c r="AM7" s="73">
        <f>$N$265/$N$253*IF($O$238=1,$O$265/$O$253,1)-1</f>
        <v>5.0000000000000044E-2</v>
      </c>
      <c r="AN7" s="73">
        <f>$N$266/$N$254*IF($O$238=1,$O$266/$O$254,1)-1</f>
        <v>5.0000000000000044E-2</v>
      </c>
      <c r="AO7" s="73">
        <f>$N$267/$N$255*IF($O$238=1,$O$267/$O$255,1)-1</f>
        <v>5.0000000000000044E-2</v>
      </c>
      <c r="AP7" s="73">
        <f>$N$268/$N$256*IF($O$238=1,$O$268/$O$256,1)-1</f>
        <v>0</v>
      </c>
      <c r="AQ7" s="73">
        <f>$N$269/$N$257*IF($O$238=1,$O$269/$O$257,1)-1</f>
        <v>0</v>
      </c>
      <c r="AR7" s="73">
        <f>$N$270/$N$258*IF($O$238=1,$O$270/$O$258,1)-1</f>
        <v>0</v>
      </c>
      <c r="AS7" s="73">
        <f>$N$271/$N$259*IF($O$238=1,$O$271/$O$259,1)-1</f>
        <v>0</v>
      </c>
      <c r="AT7" s="73">
        <f>$N$272/$N$260*IF($O$238=1,$O$272/$O$260,1)-1</f>
        <v>0</v>
      </c>
      <c r="AU7" s="73">
        <f>$N$273/$N$261*IF($O$238=1,$O$273/$O$261,1)-1</f>
        <v>0</v>
      </c>
      <c r="AV7" s="73">
        <f>$N$274/$N$262*IF($O$238=1,$O$274/$O$262,1)-1</f>
        <v>0</v>
      </c>
      <c r="AW7" s="73">
        <f>$N$275/$N$263*IF($O$238=1,$O$275/$O$263,1)-1</f>
        <v>0</v>
      </c>
      <c r="AX7" s="73">
        <f>$N$276/$N$264*IF($O$238=1,$O$276/$O$264,1)-1</f>
        <v>0</v>
      </c>
      <c r="AY7" s="73">
        <f>$N$265/$N$253-1</f>
        <v>5.0000000000000044E-2</v>
      </c>
      <c r="AZ7" s="73">
        <f>$N$266/$N$254-1</f>
        <v>5.0000000000000044E-2</v>
      </c>
      <c r="BA7" s="73">
        <f>$N$267/$N$255-1</f>
        <v>5.0000000000000044E-2</v>
      </c>
      <c r="BB7" s="73">
        <f>$N$268/$N$256-1</f>
        <v>0</v>
      </c>
      <c r="BC7" s="73">
        <f>$N$269/$N$257-1</f>
        <v>0</v>
      </c>
      <c r="BD7" s="73">
        <f>$N$270/$N$258-1</f>
        <v>0</v>
      </c>
      <c r="BE7" s="73">
        <f>$N$271/$N$259-1</f>
        <v>0</v>
      </c>
      <c r="BF7" s="73">
        <f>$N$272/$N$260-1</f>
        <v>0</v>
      </c>
      <c r="BG7" s="73">
        <f>$N$273/$N$261-1</f>
        <v>0</v>
      </c>
      <c r="BH7" s="73">
        <f>$N$274/$N$262-1</f>
        <v>0</v>
      </c>
      <c r="BI7" s="73">
        <f>$N$275/$N$263-1</f>
        <v>0</v>
      </c>
      <c r="BJ7" s="73">
        <f>$N$276/$N$264-1</f>
        <v>0</v>
      </c>
      <c r="BK7" s="73">
        <f>$O$265/$O$253-1</f>
        <v>0</v>
      </c>
      <c r="BL7" s="73">
        <f>$O$266/$O$254-1</f>
        <v>0</v>
      </c>
      <c r="BM7" s="73">
        <f>$O$267/$O$255-1</f>
        <v>0</v>
      </c>
      <c r="BN7" s="73">
        <f>$O$268/$O$256-1</f>
        <v>0</v>
      </c>
      <c r="BO7" s="73">
        <f>$O$269/$O$257-1</f>
        <v>0</v>
      </c>
      <c r="BP7" s="73">
        <f>$O$270/$O$258-1</f>
        <v>0</v>
      </c>
      <c r="BQ7" s="73">
        <f>$O$271/$O$259-1</f>
        <v>0</v>
      </c>
      <c r="BR7" s="73">
        <f>$O$272/$O$260-1</f>
        <v>0</v>
      </c>
      <c r="BS7" s="73">
        <f>$O$273/$O$261-1</f>
        <v>0</v>
      </c>
      <c r="BT7" s="73">
        <f>$O$274/$O$262-1</f>
        <v>0</v>
      </c>
      <c r="BU7" s="73">
        <f>$O$275/$O$263-1</f>
        <v>0</v>
      </c>
      <c r="BV7" s="73">
        <f>$O$276/$O$264-1</f>
        <v>0</v>
      </c>
      <c r="BW7" s="73">
        <f>$V7*$H$265</f>
        <v>10400</v>
      </c>
      <c r="BX7" s="73">
        <f>$V7*$H$266</f>
        <v>10400</v>
      </c>
      <c r="BY7" s="73">
        <f>$V7*$H$267</f>
        <v>10400</v>
      </c>
      <c r="BZ7" s="73">
        <f>$V7*$H$268</f>
        <v>10400</v>
      </c>
      <c r="CA7" s="73">
        <f>$V7*$H$269</f>
        <v>10400</v>
      </c>
      <c r="CB7" s="73">
        <f>$V7*$H$270</f>
        <v>10400</v>
      </c>
      <c r="CC7" s="73">
        <f>$V7*$H$271</f>
        <v>10400</v>
      </c>
      <c r="CD7" s="73">
        <f>$V7*$H$272</f>
        <v>10400</v>
      </c>
      <c r="CE7" s="73">
        <f>$V7*$H$273</f>
        <v>10400</v>
      </c>
      <c r="CF7" s="73">
        <f>$V7*$H$274</f>
        <v>10400</v>
      </c>
      <c r="CG7" s="73">
        <f>$V7*$H$275</f>
        <v>10400</v>
      </c>
      <c r="CH7" s="73">
        <f>$V7*$H$276</f>
        <v>10400</v>
      </c>
      <c r="CI7" s="75">
        <f>$O$238</f>
        <v>0</v>
      </c>
      <c r="CJ7" s="73">
        <f>$H$289</f>
        <v>1.0125</v>
      </c>
      <c r="CK7" s="73">
        <f>$I$289</f>
        <v>1</v>
      </c>
      <c r="CL7" s="73">
        <f>$J$289</f>
        <v>1.0125</v>
      </c>
      <c r="CM7" s="73">
        <f t="shared" si="17"/>
        <v>0</v>
      </c>
      <c r="CN7" s="73">
        <f t="shared" si="18"/>
        <v>10400</v>
      </c>
      <c r="CO7" s="72">
        <f>$M7*($C7/$K$289)*IF($O$238=1,$F$238/$G7,1)*$R7</f>
        <v>0.6</v>
      </c>
      <c r="CP7" s="72">
        <f>$M7*(1+$S7)*($C7/$L$289)*IF($O$238=1,$F$238/$H7,1)*$R7</f>
        <v>0.6</v>
      </c>
      <c r="CQ7" s="73">
        <f t="shared" si="19"/>
        <v>6240</v>
      </c>
      <c r="CR7" s="73">
        <f t="shared" si="20"/>
        <v>6240</v>
      </c>
      <c r="CS7" s="73">
        <f t="shared" si="21"/>
        <v>0</v>
      </c>
      <c r="CT7" s="272">
        <f t="shared" si="22"/>
        <v>0</v>
      </c>
      <c r="CU7" s="75">
        <f t="shared" si="23"/>
        <v>1</v>
      </c>
      <c r="CV7" s="75">
        <f t="shared" si="24"/>
        <v>0</v>
      </c>
      <c r="CW7" s="273">
        <f t="shared" si="25"/>
        <v>46113</v>
      </c>
      <c r="CX7" s="274">
        <f t="shared" si="26"/>
        <v>0.05</v>
      </c>
      <c r="CY7" s="6" t="str">
        <f t="shared" si="27"/>
        <v>T</v>
      </c>
      <c r="CZ7" s="273" t="str">
        <f t="shared" si="28"/>
        <v/>
      </c>
      <c r="DA7" s="274" t="str">
        <f t="shared" si="29"/>
        <v/>
      </c>
      <c r="DB7" s="6" t="str">
        <f t="shared" si="30"/>
        <v/>
      </c>
      <c r="DC7" s="273" t="str">
        <f t="shared" si="31"/>
        <v/>
      </c>
      <c r="DD7" s="274" t="str">
        <f t="shared" si="32"/>
        <v/>
      </c>
      <c r="DE7" s="6" t="str">
        <f t="shared" si="33"/>
        <v/>
      </c>
      <c r="DF7" s="273" t="str">
        <f t="shared" si="34"/>
        <v/>
      </c>
      <c r="DG7" s="274" t="str">
        <f t="shared" si="35"/>
        <v/>
      </c>
      <c r="DH7" s="6" t="str">
        <f t="shared" si="36"/>
        <v/>
      </c>
    </row>
    <row r="8" spans="1:112" x14ac:dyDescent="0.3">
      <c r="A8" s="6" t="str">
        <f>$A$292</f>
        <v>ABD|GA</v>
      </c>
      <c r="B8" s="75">
        <f>$C$292</f>
        <v>6</v>
      </c>
      <c r="C8" s="73">
        <f>$B$343</f>
        <v>1.06</v>
      </c>
      <c r="D8" s="73">
        <f>$C$343</f>
        <v>1.0250000000000001</v>
      </c>
      <c r="E8" s="73">
        <f>$D$343</f>
        <v>1.0600000000000003</v>
      </c>
      <c r="F8" s="73">
        <f>$E$343</f>
        <v>1.0600000000000003</v>
      </c>
      <c r="G8" s="224">
        <f>$F$343</f>
        <v>0.91598878555798668</v>
      </c>
      <c r="H8" s="224">
        <f>$G$343</f>
        <v>0.92449033552151683</v>
      </c>
      <c r="I8" s="73">
        <f t="shared" si="0"/>
        <v>0.99999999999999978</v>
      </c>
      <c r="J8" s="73">
        <f t="shared" si="1"/>
        <v>0.99999999999999978</v>
      </c>
      <c r="K8" s="73">
        <f>IF($L$292,1,IF(AND(nr_ModAdjMaster="ON",INDEX(lr_modadj,5)="ON"),$F$292/$G8,1))</f>
        <v>1.0043791086804299</v>
      </c>
      <c r="L8" s="73">
        <f>IF($L$292,1,IF(AND(nr_ModAdjMaster="ON",INDEX(lr_modadj,5)="ON"),$F$292/$H8,1))</f>
        <v>0.99514290701699581</v>
      </c>
      <c r="M8" s="72">
        <f>IF(INDEX(lr_basis,5)="proposed",N(INDEX(lr_lrproj,5))*(1+N(INDEX(lr_s,5))),N(INDEX(lr_lrproj,5)))</f>
        <v>0.58399999999999996</v>
      </c>
      <c r="N8" s="72">
        <f t="shared" si="2"/>
        <v>0.58655739946937091</v>
      </c>
      <c r="O8" s="72">
        <f t="shared" si="3"/>
        <v>0.58116345769792543</v>
      </c>
      <c r="P8" s="72">
        <f t="shared" si="4"/>
        <v>0</v>
      </c>
      <c r="Q8" s="72">
        <f t="shared" si="5"/>
        <v>0</v>
      </c>
      <c r="R8" s="73">
        <f>IF(N(INDEX(lr_aother,5))=0,1,INDEX(lr_aother,5))</f>
        <v>1</v>
      </c>
      <c r="S8" s="72">
        <f>IF(ISBLANK(INDEX(lr_trend,5)),N(nr_TrendDefault),N(INDEX(lr_trend,5)))</f>
        <v>0</v>
      </c>
      <c r="T8" s="6" t="str">
        <f>INDEX(lr_state,5)</f>
        <v>GA</v>
      </c>
      <c r="U8" s="6" t="str">
        <f>INDEX(lr_bu,5)</f>
        <v>ABD</v>
      </c>
      <c r="V8" s="271">
        <f>N(INDEX(lr_ep,5))</f>
        <v>7200</v>
      </c>
      <c r="W8" s="73">
        <f>N(INDEX(lr_mind,5))*$V8</f>
        <v>6624</v>
      </c>
      <c r="X8" s="73">
        <f>N(INDEX(lr_m0,5))*$V8</f>
        <v>6552</v>
      </c>
      <c r="Y8" s="73">
        <f>N(INDEX(lr_m1,5))*$V8</f>
        <v>6660</v>
      </c>
      <c r="Z8" s="73">
        <f t="shared" si="6"/>
        <v>7632</v>
      </c>
      <c r="AA8" s="73">
        <f t="shared" si="7"/>
        <v>7632.0000000000018</v>
      </c>
      <c r="AB8" s="73">
        <f t="shared" si="8"/>
        <v>7199.9999999999982</v>
      </c>
      <c r="AC8" s="73">
        <f t="shared" si="9"/>
        <v>6595.1192560175041</v>
      </c>
      <c r="AD8" s="73">
        <f t="shared" si="10"/>
        <v>7231.5295824990953</v>
      </c>
      <c r="AE8" s="73">
        <f t="shared" si="11"/>
        <v>4204.8</v>
      </c>
      <c r="AF8" s="73">
        <f t="shared" si="12"/>
        <v>4223.213276179471</v>
      </c>
      <c r="AG8" s="73">
        <f t="shared" si="13"/>
        <v>0</v>
      </c>
      <c r="AH8" s="73">
        <f t="shared" si="14"/>
        <v>7199.9999999999982</v>
      </c>
      <c r="AI8" s="73">
        <f t="shared" si="15"/>
        <v>7165.0289305223696</v>
      </c>
      <c r="AJ8" s="73">
        <f t="shared" si="16"/>
        <v>4184.3768954250627</v>
      </c>
      <c r="AK8" s="75">
        <f>IF($L$292,1,0)</f>
        <v>0</v>
      </c>
      <c r="AL8" s="72">
        <f>IF($L$292,$M$292,0)</f>
        <v>0</v>
      </c>
      <c r="AM8" s="73">
        <f>$N$319/$N$307*IF($O$292=1,$O$319/$O$307,1)-1</f>
        <v>7.4085908630304065E-2</v>
      </c>
      <c r="AN8" s="73">
        <f>$N$320/$N$308*IF($O$292=1,$O$320/$O$308,1)-1</f>
        <v>7.4070796460177224E-2</v>
      </c>
      <c r="AO8" s="73">
        <f>$N$321/$N$309*IF($O$292=1,$O$321/$O$309,1)-1</f>
        <v>7.4055716681702854E-2</v>
      </c>
      <c r="AP8" s="73">
        <f>$N$322/$N$310*IF($O$292=1,$O$322/$O$310,1)-1</f>
        <v>7.4040159670981209E-2</v>
      </c>
      <c r="AQ8" s="73">
        <f>$N$323/$N$311*IF($O$292=1,$O$323/$O$311,1)-1</f>
        <v>1.3230789678775778E-2</v>
      </c>
      <c r="AR8" s="73">
        <f>$N$324/$N$312*IF($O$292=1,$O$324/$O$312,1)-1</f>
        <v>1.3216178050281746E-2</v>
      </c>
      <c r="AS8" s="73">
        <f>$N$325/$N$313*IF($O$292=1,$O$325/$O$313,1)-1</f>
        <v>1.320159865934456E-2</v>
      </c>
      <c r="AT8" s="73">
        <f>$N$326/$N$314*IF($O$292=1,$O$326/$O$314,1)-1</f>
        <v>1.3186813186813362E-2</v>
      </c>
      <c r="AU8" s="73">
        <f>$N$327/$N$315*IF($O$292=1,$O$327/$O$315,1)-1</f>
        <v>1.3172298475862876E-2</v>
      </c>
      <c r="AV8" s="73">
        <f>$N$328/$N$316*IF($O$292=1,$O$328/$O$316,1)-1</f>
        <v>1.3157815682433904E-2</v>
      </c>
      <c r="AW8" s="73">
        <f>$N$329/$N$317*IF($O$292=1,$O$329/$O$317,1)-1</f>
        <v>1.3143364701363458E-2</v>
      </c>
      <c r="AX8" s="73">
        <f>$N$330/$N$318*IF($O$292=1,$O$330/$O$318,1)-1</f>
        <v>1.3128945427949512E-2</v>
      </c>
      <c r="AY8" s="73">
        <f>$N$319/$N$307-1</f>
        <v>6.0000000000000053E-2</v>
      </c>
      <c r="AZ8" s="73">
        <f>$N$320/$N$308-1</f>
        <v>6.0000000000000053E-2</v>
      </c>
      <c r="BA8" s="73">
        <f>$N$321/$N$309-1</f>
        <v>6.0000000000000053E-2</v>
      </c>
      <c r="BB8" s="73">
        <f>$N$322/$N$310-1</f>
        <v>6.0000000000000053E-2</v>
      </c>
      <c r="BC8" s="73">
        <f>$N$323/$N$311-1</f>
        <v>0</v>
      </c>
      <c r="BD8" s="73">
        <f>$N$324/$N$312-1</f>
        <v>0</v>
      </c>
      <c r="BE8" s="73">
        <f>$N$325/$N$313-1</f>
        <v>0</v>
      </c>
      <c r="BF8" s="73">
        <f>$N$326/$N$314-1</f>
        <v>0</v>
      </c>
      <c r="BG8" s="73">
        <f>$N$327/$N$315-1</f>
        <v>0</v>
      </c>
      <c r="BH8" s="73">
        <f>$N$328/$N$316-1</f>
        <v>0</v>
      </c>
      <c r="BI8" s="73">
        <f>$N$329/$N$317-1</f>
        <v>0</v>
      </c>
      <c r="BJ8" s="73">
        <f>$N$330/$N$318-1</f>
        <v>0</v>
      </c>
      <c r="BK8" s="73">
        <f>$O$319/$O$307-1</f>
        <v>1.3288593047456665E-2</v>
      </c>
      <c r="BL8" s="73">
        <f>$O$320/$O$308-1</f>
        <v>1.3274336283185972E-2</v>
      </c>
      <c r="BM8" s="73">
        <f>$O$321/$O$309-1</f>
        <v>1.3260110077078169E-2</v>
      </c>
      <c r="BN8" s="73">
        <f>$O$322/$O$310-1</f>
        <v>1.3245433651869032E-2</v>
      </c>
      <c r="BO8" s="73">
        <f>$O$323/$O$311-1</f>
        <v>1.3230789678775778E-2</v>
      </c>
      <c r="BP8" s="73">
        <f>$O$324/$O$312-1</f>
        <v>1.3216178050281746E-2</v>
      </c>
      <c r="BQ8" s="73">
        <f>$O$325/$O$313-1</f>
        <v>1.320159865934456E-2</v>
      </c>
      <c r="BR8" s="73">
        <f>$O$326/$O$314-1</f>
        <v>1.3186813186813362E-2</v>
      </c>
      <c r="BS8" s="73">
        <f>$O$327/$O$315-1</f>
        <v>1.3172298475862876E-2</v>
      </c>
      <c r="BT8" s="73">
        <f>$O$328/$O$316-1</f>
        <v>1.3157815682433904E-2</v>
      </c>
      <c r="BU8" s="73">
        <f>$O$329/$O$317-1</f>
        <v>1.3143364701363458E-2</v>
      </c>
      <c r="BV8" s="73">
        <f>$O$330/$O$318-1</f>
        <v>1.3128945427949512E-2</v>
      </c>
      <c r="BW8" s="73">
        <f>$V8*$H$319</f>
        <v>7200</v>
      </c>
      <c r="BX8" s="73">
        <f>$V8*$H$320</f>
        <v>7200</v>
      </c>
      <c r="BY8" s="73">
        <f>$V8*$H$321</f>
        <v>7200</v>
      </c>
      <c r="BZ8" s="73">
        <f>$V8*$H$322</f>
        <v>7200</v>
      </c>
      <c r="CA8" s="73">
        <f>$V8*$H$323</f>
        <v>7200</v>
      </c>
      <c r="CB8" s="73">
        <f>$V8*$H$324</f>
        <v>7200</v>
      </c>
      <c r="CC8" s="73">
        <f>$V8*$H$325</f>
        <v>7200</v>
      </c>
      <c r="CD8" s="73">
        <f>$V8*$H$326</f>
        <v>7200</v>
      </c>
      <c r="CE8" s="73">
        <f>$V8*$H$327</f>
        <v>7200</v>
      </c>
      <c r="CF8" s="73">
        <f>$V8*$H$328</f>
        <v>7200</v>
      </c>
      <c r="CG8" s="73">
        <f>$V8*$H$329</f>
        <v>7200</v>
      </c>
      <c r="CH8" s="73">
        <f>$V8*$H$330</f>
        <v>7200</v>
      </c>
      <c r="CI8" s="75">
        <f>$O$292</f>
        <v>1</v>
      </c>
      <c r="CJ8" s="73">
        <f>$H$343</f>
        <v>1.02</v>
      </c>
      <c r="CK8" s="73">
        <f>$I$343</f>
        <v>1.0132088564102013</v>
      </c>
      <c r="CL8" s="73">
        <f>$J$343</f>
        <v>1.0334741987754994</v>
      </c>
      <c r="CM8" s="73">
        <f t="shared" si="17"/>
        <v>0</v>
      </c>
      <c r="CN8" s="73">
        <f t="shared" si="18"/>
        <v>7200</v>
      </c>
      <c r="CO8" s="72">
        <f>$M8*($C8/$K$343)*IF($O$292=1,$F$292/$G8,1)*$R8</f>
        <v>0.58655739946937091</v>
      </c>
      <c r="CP8" s="72">
        <f>$M8*(1+$S8)*($C8/$L$343)*IF($O$292=1,$F$292/$H8,1)*$R8</f>
        <v>0.58116345769792543</v>
      </c>
      <c r="CQ8" s="73">
        <f t="shared" si="19"/>
        <v>4223.213276179471</v>
      </c>
      <c r="CR8" s="73">
        <f t="shared" si="20"/>
        <v>4184.3768954250627</v>
      </c>
      <c r="CS8" s="73">
        <f t="shared" si="21"/>
        <v>0</v>
      </c>
      <c r="CT8" s="272">
        <f t="shared" si="22"/>
        <v>0</v>
      </c>
      <c r="CU8" s="75">
        <f t="shared" si="23"/>
        <v>1</v>
      </c>
      <c r="CV8" s="75">
        <f t="shared" si="24"/>
        <v>0</v>
      </c>
      <c r="CW8" s="273">
        <f t="shared" si="25"/>
        <v>46143</v>
      </c>
      <c r="CX8" s="274">
        <f t="shared" si="26"/>
        <v>0.06</v>
      </c>
      <c r="CY8" s="6" t="str">
        <f t="shared" si="27"/>
        <v>T</v>
      </c>
      <c r="CZ8" s="273" t="str">
        <f t="shared" si="28"/>
        <v/>
      </c>
      <c r="DA8" s="274" t="str">
        <f t="shared" si="29"/>
        <v/>
      </c>
      <c r="DB8" s="6" t="str">
        <f t="shared" si="30"/>
        <v/>
      </c>
      <c r="DC8" s="273" t="str">
        <f t="shared" si="31"/>
        <v/>
      </c>
      <c r="DD8" s="274" t="str">
        <f t="shared" si="32"/>
        <v/>
      </c>
      <c r="DE8" s="6" t="str">
        <f t="shared" si="33"/>
        <v/>
      </c>
      <c r="DF8" s="273" t="str">
        <f t="shared" si="34"/>
        <v/>
      </c>
      <c r="DG8" s="274" t="str">
        <f t="shared" si="35"/>
        <v/>
      </c>
      <c r="DH8" s="6" t="str">
        <f t="shared" si="36"/>
        <v/>
      </c>
    </row>
    <row r="9" spans="1:112" x14ac:dyDescent="0.3">
      <c r="A9" s="6" t="str">
        <f>$A$346</f>
        <v>ABD|IA</v>
      </c>
      <c r="B9" s="75">
        <f>$C$346</f>
        <v>6</v>
      </c>
      <c r="C9" s="73">
        <f>$B$397</f>
        <v>1.0449999999999999</v>
      </c>
      <c r="D9" s="73">
        <f>$C$397</f>
        <v>1.0149999999999999</v>
      </c>
      <c r="E9" s="73">
        <f>$D$397</f>
        <v>1.0589333333333328</v>
      </c>
      <c r="F9" s="73">
        <f>$E$397</f>
        <v>1.0867999999999995</v>
      </c>
      <c r="G9" s="224">
        <f>$F$397</f>
        <v>0.90792706178871529</v>
      </c>
      <c r="H9" s="224">
        <f>$G$397</f>
        <v>0.90662632410363519</v>
      </c>
      <c r="I9" s="73">
        <f t="shared" si="0"/>
        <v>0.9868421052631583</v>
      </c>
      <c r="J9" s="73">
        <f t="shared" si="1"/>
        <v>0.9615384615384619</v>
      </c>
      <c r="K9" s="73">
        <f>IF($L$346,1,IF(AND(nr_ModAdjMaster="ON",INDEX(lr_modadj,6)="ON"),$F$346/$G9,1))</f>
        <v>1.013297255604982</v>
      </c>
      <c r="L9" s="73">
        <f>IF($L$346,1,IF(AND(nr_ModAdjMaster="ON",INDEX(lr_modadj,6)="ON"),$F$346/$H9,1))</f>
        <v>1.0147510341811299</v>
      </c>
      <c r="M9" s="72">
        <f>IF(INDEX(lr_basis,6)="proposed",N(INDEX(lr_lrproj,6))*(1+N(INDEX(lr_s,6))),N(INDEX(lr_lrproj,6)))</f>
        <v>0.56799999999999995</v>
      </c>
      <c r="N9" s="72">
        <f t="shared" si="2"/>
        <v>0.56797977748384532</v>
      </c>
      <c r="O9" s="72">
        <f t="shared" si="3"/>
        <v>0.55421018020661728</v>
      </c>
      <c r="P9" s="72">
        <f t="shared" si="4"/>
        <v>1.3333333333332975E-2</v>
      </c>
      <c r="Q9" s="72">
        <f t="shared" si="5"/>
        <v>2.6315789473684292E-2</v>
      </c>
      <c r="R9" s="73">
        <f>IF(N(INDEX(lr_aother,6))=0,1,INDEX(lr_aother,6))</f>
        <v>1</v>
      </c>
      <c r="S9" s="72">
        <f>IF(ISBLANK(INDEX(lr_trend,6)),N(nr_TrendDefault),N(INDEX(lr_trend,6)))</f>
        <v>0</v>
      </c>
      <c r="T9" s="6" t="str">
        <f>INDEX(lr_state,6)</f>
        <v>IA</v>
      </c>
      <c r="U9" s="6" t="str">
        <f>INDEX(lr_bu,6)</f>
        <v>ABD</v>
      </c>
      <c r="V9" s="271">
        <f>N(INDEX(lr_ep,6))</f>
        <v>17600</v>
      </c>
      <c r="W9" s="73">
        <f>N(INDEX(lr_mind,6))*$V9</f>
        <v>16192</v>
      </c>
      <c r="X9" s="73">
        <f>N(INDEX(lr_m0,6))*$V9</f>
        <v>16016</v>
      </c>
      <c r="Y9" s="73">
        <f>N(INDEX(lr_m1,6))*$V9</f>
        <v>15928</v>
      </c>
      <c r="Z9" s="73">
        <f t="shared" si="6"/>
        <v>18392</v>
      </c>
      <c r="AA9" s="73">
        <f t="shared" si="7"/>
        <v>18637.226666666658</v>
      </c>
      <c r="AB9" s="73">
        <f t="shared" si="8"/>
        <v>17368.421052631587</v>
      </c>
      <c r="AC9" s="73">
        <f t="shared" si="9"/>
        <v>15979.516287481389</v>
      </c>
      <c r="AD9" s="73">
        <f t="shared" si="10"/>
        <v>17834.031698647683</v>
      </c>
      <c r="AE9" s="73">
        <f t="shared" si="11"/>
        <v>9996.7999999999993</v>
      </c>
      <c r="AF9" s="73">
        <f t="shared" si="12"/>
        <v>9996.4440837156781</v>
      </c>
      <c r="AG9" s="73">
        <f t="shared" si="13"/>
        <v>0</v>
      </c>
      <c r="AH9" s="73">
        <f t="shared" si="14"/>
        <v>16923.076923076929</v>
      </c>
      <c r="AI9" s="73">
        <f t="shared" si="15"/>
        <v>17859.618201587888</v>
      </c>
      <c r="AJ9" s="73">
        <f t="shared" si="16"/>
        <v>9754.0991716364642</v>
      </c>
      <c r="AK9" s="75">
        <f>IF($L$346,1,0)</f>
        <v>0</v>
      </c>
      <c r="AL9" s="72">
        <f>IF($L$346,$M$346,0)</f>
        <v>0</v>
      </c>
      <c r="AM9" s="73">
        <f>$N$373/$N$361*IF($O$346=1,$O$373/$O$361,1)-1</f>
        <v>5.1803496761876344E-2</v>
      </c>
      <c r="AN9" s="73">
        <f>$N$374/$N$362*IF($O$346=1,$O$374/$O$362,1)-1</f>
        <v>5.0489677187996129E-2</v>
      </c>
      <c r="AO9" s="73">
        <f>$N$375/$N$363*IF($O$346=1,$O$375/$O$363,1)-1</f>
        <v>4.917820539037554E-2</v>
      </c>
      <c r="AP9" s="73">
        <f>$N$376/$N$364*IF($O$346=1,$O$376/$O$364,1)-1</f>
        <v>4.7824738739911554E-2</v>
      </c>
      <c r="AQ9" s="73">
        <f>$N$377/$N$365*IF($O$346=1,$O$377/$O$365,1)-1</f>
        <v>4.6473768090223633E-2</v>
      </c>
      <c r="AR9" s="73">
        <f>$N$378/$N$366*IF($O$346=1,$O$378/$O$366,1)-1</f>
        <v>4.0124687086014577E-2</v>
      </c>
      <c r="AS9" s="73">
        <f>$N$379/$N$367*IF($O$346=1,$O$379/$O$367,1)-1</f>
        <v>3.8785127956934673E-2</v>
      </c>
      <c r="AT9" s="73">
        <f>$N$380/$N$368*IF($O$346=1,$O$380/$O$368,1)-1</f>
        <v>3.7426133252375315E-2</v>
      </c>
      <c r="AU9" s="73">
        <f>$N$381/$N$369*IF($O$346=1,$O$381/$O$369,1)-1</f>
        <v>3.6091534628667876E-2</v>
      </c>
      <c r="AV9" s="73">
        <f>$N$382/$N$370*IF($O$346=1,$O$382/$O$370,1)-1</f>
        <v>3.5435223098059687E-2</v>
      </c>
      <c r="AW9" s="73">
        <f>$N$383/$N$371*IF($O$346=1,$O$383/$O$371,1)-1</f>
        <v>3.543354826292E-2</v>
      </c>
      <c r="AX9" s="73">
        <f>$N$384/$N$372*IF($O$346=1,$O$384/$O$372,1)-1</f>
        <v>3.5431872198321335E-2</v>
      </c>
      <c r="AY9" s="73">
        <f>$N$373/$N$361-1</f>
        <v>4.4999999999999929E-2</v>
      </c>
      <c r="AZ9" s="73">
        <f>$N$374/$N$362-1</f>
        <v>4.4999999999999929E-2</v>
      </c>
      <c r="BA9" s="73">
        <f>$N$375/$N$363-1</f>
        <v>4.4999999999999929E-2</v>
      </c>
      <c r="BB9" s="73">
        <f>$N$376/$N$364-1</f>
        <v>4.4999999999999929E-2</v>
      </c>
      <c r="BC9" s="73">
        <f>$N$377/$N$365-1</f>
        <v>4.4999999999999929E-2</v>
      </c>
      <c r="BD9" s="73">
        <f>$N$378/$N$366-1</f>
        <v>4.0000000000000036E-2</v>
      </c>
      <c r="BE9" s="73">
        <f>$N$379/$N$367-1</f>
        <v>4.0000000000000036E-2</v>
      </c>
      <c r="BF9" s="73">
        <f>$N$380/$N$368-1</f>
        <v>4.0000000000000036E-2</v>
      </c>
      <c r="BG9" s="73">
        <f>$N$381/$N$369-1</f>
        <v>4.0000000000000036E-2</v>
      </c>
      <c r="BH9" s="73">
        <f>$N$382/$N$370-1</f>
        <v>4.0000000000000036E-2</v>
      </c>
      <c r="BI9" s="73">
        <f>$N$383/$N$371-1</f>
        <v>4.0000000000000036E-2</v>
      </c>
      <c r="BJ9" s="73">
        <f>$N$384/$N$372-1</f>
        <v>4.0000000000000036E-2</v>
      </c>
      <c r="BK9" s="73">
        <f>$O$373/$O$361-1</f>
        <v>6.5105232171065452E-3</v>
      </c>
      <c r="BL9" s="73">
        <f>$O$374/$O$362-1</f>
        <v>5.2532796057380704E-3</v>
      </c>
      <c r="BM9" s="73">
        <f>$O$375/$O$363-1</f>
        <v>3.9982826702158469E-3</v>
      </c>
      <c r="BN9" s="73">
        <f>$O$376/$O$364-1</f>
        <v>2.7030992726426728E-3</v>
      </c>
      <c r="BO9" s="73">
        <f>$O$377/$O$365-1</f>
        <v>1.4103043925586256E-3</v>
      </c>
      <c r="BP9" s="73">
        <f>$O$378/$O$366-1</f>
        <v>1.1989142886004167E-4</v>
      </c>
      <c r="BQ9" s="73">
        <f>$O$379/$O$367-1</f>
        <v>-1.1681461952551819E-3</v>
      </c>
      <c r="BR9" s="73">
        <f>$O$380/$O$368-1</f>
        <v>-2.4748718727161112E-3</v>
      </c>
      <c r="BS9" s="73">
        <f>$O$381/$O$369-1</f>
        <v>-3.7581397801271788E-3</v>
      </c>
      <c r="BT9" s="73">
        <f>$O$382/$O$370-1</f>
        <v>-4.3892085595579333E-3</v>
      </c>
      <c r="BU9" s="73">
        <f>$O$383/$O$371-1</f>
        <v>-4.3908189779616746E-3</v>
      </c>
      <c r="BV9" s="73">
        <f>$O$384/$O$372-1</f>
        <v>-4.3924305785372209E-3</v>
      </c>
      <c r="BW9" s="73">
        <f>$V9*$H$373</f>
        <v>17600</v>
      </c>
      <c r="BX9" s="73">
        <f>$V9*$H$374</f>
        <v>17600</v>
      </c>
      <c r="BY9" s="73">
        <f>$V9*$H$375</f>
        <v>17600</v>
      </c>
      <c r="BZ9" s="73">
        <f>$V9*$H$376</f>
        <v>17600</v>
      </c>
      <c r="CA9" s="73">
        <f>$V9*$H$377</f>
        <v>17600</v>
      </c>
      <c r="CB9" s="73">
        <f>$V9*$H$378</f>
        <v>17600</v>
      </c>
      <c r="CC9" s="73">
        <f>$V9*$H$379</f>
        <v>17600</v>
      </c>
      <c r="CD9" s="73">
        <f>$V9*$H$380</f>
        <v>17600</v>
      </c>
      <c r="CE9" s="73">
        <f>$V9*$H$381</f>
        <v>17600</v>
      </c>
      <c r="CF9" s="73">
        <f>$V9*$H$382</f>
        <v>17600</v>
      </c>
      <c r="CG9" s="73">
        <f>$V9*$H$383</f>
        <v>17600</v>
      </c>
      <c r="CH9" s="73">
        <f>$V9*$H$384</f>
        <v>17600</v>
      </c>
      <c r="CI9" s="75">
        <f>$O$346</f>
        <v>1</v>
      </c>
      <c r="CJ9" s="73">
        <f>$H$397</f>
        <v>1.042083333333333</v>
      </c>
      <c r="CK9" s="73">
        <f>$I$397</f>
        <v>0.99995181371858044</v>
      </c>
      <c r="CL9" s="73">
        <f>$J$397</f>
        <v>1.042041501054473</v>
      </c>
      <c r="CM9" s="73">
        <f t="shared" si="17"/>
        <v>0</v>
      </c>
      <c r="CN9" s="73">
        <f t="shared" si="18"/>
        <v>17600</v>
      </c>
      <c r="CO9" s="72">
        <f>$M9*($C9/$K$397)*IF($O$346=1,$F$346/$G9,1)*$R9</f>
        <v>0.56797977748384532</v>
      </c>
      <c r="CP9" s="72">
        <f>$M9*(1+$S9)*($C9/$L$397)*IF($O$346=1,$F$346/$H9,1)*$R9</f>
        <v>0.55421018020661728</v>
      </c>
      <c r="CQ9" s="73">
        <f t="shared" si="19"/>
        <v>9996.4440837156781</v>
      </c>
      <c r="CR9" s="73">
        <f t="shared" si="20"/>
        <v>9754.0991716364642</v>
      </c>
      <c r="CS9" s="73">
        <f t="shared" si="21"/>
        <v>0</v>
      </c>
      <c r="CT9" s="272">
        <f t="shared" si="22"/>
        <v>0</v>
      </c>
      <c r="CU9" s="75">
        <f t="shared" si="23"/>
        <v>1</v>
      </c>
      <c r="CV9" s="75">
        <f t="shared" si="24"/>
        <v>1</v>
      </c>
      <c r="CW9" s="273">
        <f t="shared" si="25"/>
        <v>46174</v>
      </c>
      <c r="CX9" s="274">
        <f t="shared" si="26"/>
        <v>4.4999999999999998E-2</v>
      </c>
      <c r="CY9" s="6" t="str">
        <f t="shared" si="27"/>
        <v>T</v>
      </c>
      <c r="CZ9" s="273">
        <f t="shared" si="28"/>
        <v>46539</v>
      </c>
      <c r="DA9" s="274">
        <f t="shared" si="29"/>
        <v>0.04</v>
      </c>
      <c r="DB9" s="6" t="str">
        <f t="shared" si="30"/>
        <v>P*</v>
      </c>
      <c r="DC9" s="273" t="str">
        <f t="shared" si="31"/>
        <v/>
      </c>
      <c r="DD9" s="274" t="str">
        <f t="shared" si="32"/>
        <v/>
      </c>
      <c r="DE9" s="6" t="str">
        <f t="shared" si="33"/>
        <v/>
      </c>
      <c r="DF9" s="273" t="str">
        <f t="shared" si="34"/>
        <v/>
      </c>
      <c r="DG9" s="274" t="str">
        <f t="shared" si="35"/>
        <v/>
      </c>
      <c r="DH9" s="6" t="str">
        <f t="shared" si="36"/>
        <v/>
      </c>
    </row>
    <row r="10" spans="1:112" x14ac:dyDescent="0.3">
      <c r="A10" s="6" t="str">
        <f>$A$400</f>
        <v>ABD|IL</v>
      </c>
      <c r="B10" s="75">
        <f>$C$400</f>
        <v>6</v>
      </c>
      <c r="C10" s="73">
        <f>$B$451</f>
        <v>1.03</v>
      </c>
      <c r="D10" s="73">
        <f>$C$451</f>
        <v>1.0075000000000001</v>
      </c>
      <c r="E10" s="73">
        <f>$D$451</f>
        <v>1.03</v>
      </c>
      <c r="F10" s="73">
        <f>$E$451</f>
        <v>1.03</v>
      </c>
      <c r="G10" s="224">
        <f>$F$451</f>
        <v>0.91399252370532447</v>
      </c>
      <c r="H10" s="224">
        <f>$G$451</f>
        <v>0.91966022368101141</v>
      </c>
      <c r="I10" s="73">
        <f t="shared" si="0"/>
        <v>1</v>
      </c>
      <c r="J10" s="73">
        <f t="shared" si="1"/>
        <v>1</v>
      </c>
      <c r="K10" s="73">
        <f>IF($L$400,1,IF(AND(nr_ModAdjMaster="ON",INDEX(lr_modadj,7)="ON"),$F$400/$G10,1))</f>
        <v>1.0065727849395543</v>
      </c>
      <c r="L10" s="73">
        <f>IF($L$400,1,IF(AND(nr_ModAdjMaster="ON",INDEX(lr_modadj,7)="ON"),$F$400/$H10,1))</f>
        <v>1.000369458535054</v>
      </c>
      <c r="M10" s="72">
        <f>IF(INDEX(lr_basis,7)="proposed",N(INDEX(lr_lrproj,7))*(1+N(INDEX(lr_s,7))),N(INDEX(lr_lrproj,7)))</f>
        <v>0.59599999999999997</v>
      </c>
      <c r="N10" s="72">
        <f t="shared" si="2"/>
        <v>0.59991737982397431</v>
      </c>
      <c r="O10" s="72">
        <f t="shared" si="3"/>
        <v>0.59622019728689213</v>
      </c>
      <c r="P10" s="72">
        <f t="shared" si="4"/>
        <v>0</v>
      </c>
      <c r="Q10" s="72">
        <f t="shared" si="5"/>
        <v>0</v>
      </c>
      <c r="R10" s="73">
        <f>IF(N(INDEX(lr_aother,7))=0,1,INDEX(lr_aother,7))</f>
        <v>1</v>
      </c>
      <c r="S10" s="72">
        <f>IF(ISBLANK(INDEX(lr_trend,7)),N(nr_TrendDefault),N(INDEX(lr_trend,7)))</f>
        <v>0</v>
      </c>
      <c r="T10" s="6" t="str">
        <f>INDEX(lr_state,7)</f>
        <v>IL</v>
      </c>
      <c r="U10" s="6" t="str">
        <f>INDEX(lr_bu,7)</f>
        <v>ABD</v>
      </c>
      <c r="V10" s="271">
        <f>N(INDEX(lr_ep,7))</f>
        <v>14400</v>
      </c>
      <c r="W10" s="73">
        <f>N(INDEX(lr_mind,7))*$V10</f>
        <v>13248</v>
      </c>
      <c r="X10" s="73">
        <f>N(INDEX(lr_m0,7))*$V10</f>
        <v>13104</v>
      </c>
      <c r="Y10" s="73">
        <f>N(INDEX(lr_m1,7))*$V10</f>
        <v>13248</v>
      </c>
      <c r="Z10" s="73">
        <f t="shared" si="6"/>
        <v>14832</v>
      </c>
      <c r="AA10" s="73">
        <f t="shared" si="7"/>
        <v>14832</v>
      </c>
      <c r="AB10" s="73">
        <f t="shared" si="8"/>
        <v>14400</v>
      </c>
      <c r="AC10" s="73">
        <f t="shared" si="9"/>
        <v>13161.492341356672</v>
      </c>
      <c r="AD10" s="73">
        <f t="shared" si="10"/>
        <v>14494.648103129581</v>
      </c>
      <c r="AE10" s="73">
        <f t="shared" si="11"/>
        <v>8582.4</v>
      </c>
      <c r="AF10" s="73">
        <f t="shared" si="12"/>
        <v>8638.8102694652298</v>
      </c>
      <c r="AG10" s="73">
        <f t="shared" si="13"/>
        <v>0</v>
      </c>
      <c r="AH10" s="73">
        <f t="shared" si="14"/>
        <v>14400</v>
      </c>
      <c r="AI10" s="73">
        <f t="shared" si="15"/>
        <v>14405.320202904777</v>
      </c>
      <c r="AJ10" s="73">
        <f t="shared" si="16"/>
        <v>8585.5708409312465</v>
      </c>
      <c r="AK10" s="75">
        <f>IF($L$400,1,0)</f>
        <v>0</v>
      </c>
      <c r="AL10" s="72">
        <f>IF($L$400,$M$400,0)</f>
        <v>0</v>
      </c>
      <c r="AM10" s="73">
        <f>$N$427/$N$415*IF($O$400=1,$O$427/$O$415,1)-1</f>
        <v>3.9096408134625449E-2</v>
      </c>
      <c r="AN10" s="73">
        <f>$N$428/$N$416*IF($O$400=1,$O$428/$O$416,1)-1</f>
        <v>3.9089919969051534E-2</v>
      </c>
      <c r="AO10" s="73">
        <f>$N$429/$N$417*IF($O$400=1,$O$429/$O$417,1)-1</f>
        <v>3.9083441052466306E-2</v>
      </c>
      <c r="AP10" s="73">
        <f>$N$430/$N$418*IF($O$400=1,$O$430/$O$418,1)-1</f>
        <v>3.9076752215166932E-2</v>
      </c>
      <c r="AQ10" s="73">
        <f>$N$431/$N$419*IF($O$400=1,$O$431/$O$419,1)-1</f>
        <v>3.9070073221631141E-2</v>
      </c>
      <c r="AR10" s="73">
        <f>$N$432/$N$420*IF($O$400=1,$O$432/$O$420,1)-1</f>
        <v>3.9063404050144745E-2</v>
      </c>
      <c r="AS10" s="73">
        <f>$N$433/$N$421*IF($O$400=1,$O$433/$O$421,1)-1</f>
        <v>8.792955999084473E-3</v>
      </c>
      <c r="AT10" s="73">
        <f>$N$434/$N$422*IF($O$400=1,$O$434/$O$422,1)-1</f>
        <v>8.7863943285630963E-3</v>
      </c>
      <c r="AU10" s="73">
        <f>$N$435/$N$423*IF($O$400=1,$O$435/$O$423,1)-1</f>
        <v>8.7799480419512577E-3</v>
      </c>
      <c r="AV10" s="73">
        <f>$N$436/$N$424*IF($O$400=1,$O$436/$O$424,1)-1</f>
        <v>8.7735112072593324E-3</v>
      </c>
      <c r="AW10" s="73">
        <f>$N$437/$N$425*IF($O$400=1,$O$437/$O$425,1)-1</f>
        <v>8.7670838037132715E-3</v>
      </c>
      <c r="AX10" s="73">
        <f>$N$438/$N$426*IF($O$400=1,$O$438/$O$426,1)-1</f>
        <v>8.7606658106016422E-3</v>
      </c>
      <c r="AY10" s="73">
        <f>$N$427/$N$415-1</f>
        <v>3.0000000000000027E-2</v>
      </c>
      <c r="AZ10" s="73">
        <f>$N$428/$N$416-1</f>
        <v>3.0000000000000027E-2</v>
      </c>
      <c r="BA10" s="73">
        <f>$N$429/$N$417-1</f>
        <v>3.0000000000000027E-2</v>
      </c>
      <c r="BB10" s="73">
        <f>$N$430/$N$418-1</f>
        <v>3.0000000000000027E-2</v>
      </c>
      <c r="BC10" s="73">
        <f>$N$431/$N$419-1</f>
        <v>3.0000000000000027E-2</v>
      </c>
      <c r="BD10" s="73">
        <f>$N$432/$N$420-1</f>
        <v>3.0000000000000027E-2</v>
      </c>
      <c r="BE10" s="73">
        <f>$N$433/$N$421-1</f>
        <v>0</v>
      </c>
      <c r="BF10" s="73">
        <f>$N$434/$N$422-1</f>
        <v>0</v>
      </c>
      <c r="BG10" s="73">
        <f>$N$435/$N$423-1</f>
        <v>0</v>
      </c>
      <c r="BH10" s="73">
        <f>$N$436/$N$424-1</f>
        <v>0</v>
      </c>
      <c r="BI10" s="73">
        <f>$N$437/$N$425-1</f>
        <v>0</v>
      </c>
      <c r="BJ10" s="73">
        <f>$N$438/$N$426-1</f>
        <v>0</v>
      </c>
      <c r="BK10" s="73">
        <f>$O$427/$O$415-1</f>
        <v>8.8314642083742179E-3</v>
      </c>
      <c r="BL10" s="73">
        <f>$O$428/$O$416-1</f>
        <v>8.8251650184965058E-3</v>
      </c>
      <c r="BM10" s="73">
        <f>$O$429/$O$417-1</f>
        <v>8.8188748082196344E-3</v>
      </c>
      <c r="BN10" s="73">
        <f>$O$430/$O$418-1</f>
        <v>8.8123807914242125E-3</v>
      </c>
      <c r="BO10" s="73">
        <f>$O$431/$O$419-1</f>
        <v>8.8058963316806071E-3</v>
      </c>
      <c r="BP10" s="73">
        <f>$O$432/$O$420-1</f>
        <v>8.7994214079074595E-3</v>
      </c>
      <c r="BQ10" s="73">
        <f>$O$433/$O$421-1</f>
        <v>8.792955999084473E-3</v>
      </c>
      <c r="BR10" s="73">
        <f>$O$434/$O$422-1</f>
        <v>8.7863943285630963E-3</v>
      </c>
      <c r="BS10" s="73">
        <f>$O$435/$O$423-1</f>
        <v>8.7799480419512577E-3</v>
      </c>
      <c r="BT10" s="73">
        <f>$O$436/$O$424-1</f>
        <v>8.7735112072593324E-3</v>
      </c>
      <c r="BU10" s="73">
        <f>$O$437/$O$425-1</f>
        <v>8.7670838037132715E-3</v>
      </c>
      <c r="BV10" s="73">
        <f>$O$438/$O$426-1</f>
        <v>8.7606658106016422E-3</v>
      </c>
      <c r="BW10" s="73">
        <f>$V10*$H$427</f>
        <v>14400</v>
      </c>
      <c r="BX10" s="73">
        <f>$V10*$H$428</f>
        <v>14400</v>
      </c>
      <c r="BY10" s="73">
        <f>$V10*$H$429</f>
        <v>14400</v>
      </c>
      <c r="BZ10" s="73">
        <f>$V10*$H$430</f>
        <v>14400</v>
      </c>
      <c r="CA10" s="73">
        <f>$V10*$H$431</f>
        <v>14400</v>
      </c>
      <c r="CB10" s="73">
        <f>$V10*$H$432</f>
        <v>14400</v>
      </c>
      <c r="CC10" s="73">
        <f>$V10*$H$433</f>
        <v>14400</v>
      </c>
      <c r="CD10" s="73">
        <f>$V10*$H$434</f>
        <v>14400</v>
      </c>
      <c r="CE10" s="73">
        <f>$V10*$H$435</f>
        <v>14400</v>
      </c>
      <c r="CF10" s="73">
        <f>$V10*$H$436</f>
        <v>14400</v>
      </c>
      <c r="CG10" s="73">
        <f>$V10*$H$437</f>
        <v>14400</v>
      </c>
      <c r="CH10" s="73">
        <f>$V10*$H$438</f>
        <v>14400</v>
      </c>
      <c r="CI10" s="75">
        <f>$O$400</f>
        <v>1</v>
      </c>
      <c r="CJ10" s="73">
        <f>$H$451</f>
        <v>1.0149999999999999</v>
      </c>
      <c r="CK10" s="73">
        <f>$I$451</f>
        <v>1.0087961468131064</v>
      </c>
      <c r="CL10" s="73">
        <f>$J$451</f>
        <v>1.0239283798195216</v>
      </c>
      <c r="CM10" s="73">
        <f t="shared" si="17"/>
        <v>0</v>
      </c>
      <c r="CN10" s="73">
        <f t="shared" si="18"/>
        <v>14400</v>
      </c>
      <c r="CO10" s="72">
        <f>$M10*($C10/$K$451)*IF($O$400=1,$F$400/$G10,1)*$R10</f>
        <v>0.59991737982397431</v>
      </c>
      <c r="CP10" s="72">
        <f>$M10*(1+$S10)*($C10/$L$451)*IF($O$400=1,$F$400/$H10,1)*$R10</f>
        <v>0.59622019728689213</v>
      </c>
      <c r="CQ10" s="73">
        <f t="shared" si="19"/>
        <v>8638.8102694652298</v>
      </c>
      <c r="CR10" s="73">
        <f t="shared" si="20"/>
        <v>8585.5708409312465</v>
      </c>
      <c r="CS10" s="73">
        <f t="shared" si="21"/>
        <v>0</v>
      </c>
      <c r="CT10" s="272">
        <f t="shared" si="22"/>
        <v>0</v>
      </c>
      <c r="CU10" s="75">
        <f t="shared" si="23"/>
        <v>1</v>
      </c>
      <c r="CV10" s="75">
        <f t="shared" si="24"/>
        <v>0</v>
      </c>
      <c r="CW10" s="273">
        <f t="shared" si="25"/>
        <v>46204</v>
      </c>
      <c r="CX10" s="274">
        <f t="shared" si="26"/>
        <v>0.03</v>
      </c>
      <c r="CY10" s="6" t="str">
        <f t="shared" si="27"/>
        <v>T</v>
      </c>
      <c r="CZ10" s="273" t="str">
        <f t="shared" si="28"/>
        <v/>
      </c>
      <c r="DA10" s="274" t="str">
        <f t="shared" si="29"/>
        <v/>
      </c>
      <c r="DB10" s="6" t="str">
        <f t="shared" si="30"/>
        <v/>
      </c>
      <c r="DC10" s="273" t="str">
        <f t="shared" si="31"/>
        <v/>
      </c>
      <c r="DD10" s="274" t="str">
        <f t="shared" si="32"/>
        <v/>
      </c>
      <c r="DE10" s="6" t="str">
        <f t="shared" si="33"/>
        <v/>
      </c>
      <c r="DF10" s="273" t="str">
        <f t="shared" si="34"/>
        <v/>
      </c>
      <c r="DG10" s="274" t="str">
        <f t="shared" si="35"/>
        <v/>
      </c>
      <c r="DH10" s="6" t="str">
        <f t="shared" si="36"/>
        <v/>
      </c>
    </row>
    <row r="11" spans="1:112" x14ac:dyDescent="0.3">
      <c r="A11" s="6" t="str">
        <f>$A$454</f>
        <v>ABD|IN</v>
      </c>
      <c r="B11" s="75">
        <f>$C$454</f>
        <v>6</v>
      </c>
      <c r="C11" s="73">
        <f>$B$505</f>
        <v>1.04</v>
      </c>
      <c r="D11" s="73">
        <f>$C$505</f>
        <v>1.0069444444444444</v>
      </c>
      <c r="E11" s="73">
        <f>$D$505</f>
        <v>1.039722222222222</v>
      </c>
      <c r="F11" s="73">
        <f>$E$505</f>
        <v>1.0399999999999998</v>
      </c>
      <c r="G11" s="224">
        <f>$F$505</f>
        <v>0.90600747629467537</v>
      </c>
      <c r="H11" s="224">
        <f>$G$505</f>
        <v>0.90033977631898854</v>
      </c>
      <c r="I11" s="73">
        <f t="shared" si="0"/>
        <v>1.0002671653753676</v>
      </c>
      <c r="J11" s="73">
        <f t="shared" si="1"/>
        <v>1.0000000000000002</v>
      </c>
      <c r="K11" s="73">
        <f>IF($L$454,1,IF(AND(nr_ModAdjMaster="ON",INDEX(lr_modadj,8)="ON"),$F$454/$G11,1))</f>
        <v>1.0154441592055623</v>
      </c>
      <c r="L11" s="73">
        <f>IF($L$454,1,IF(AND(nr_ModAdjMaster="ON",INDEX(lr_modadj,8)="ON"),$F$454/$H11,1))</f>
        <v>1.0218364490808034</v>
      </c>
      <c r="M11" s="72">
        <f>IF(INDEX(lr_basis,8)="proposed",N(INDEX(lr_lrproj,8))*(1+N(INDEX(lr_s,8))),N(INDEX(lr_lrproj,8)))</f>
        <v>0.57999999999999996</v>
      </c>
      <c r="N11" s="72">
        <f t="shared" si="2"/>
        <v>0.58911496142080233</v>
      </c>
      <c r="O11" s="72">
        <f t="shared" si="3"/>
        <v>0.59266514046686603</v>
      </c>
      <c r="P11" s="72">
        <f t="shared" si="4"/>
        <v>-2.6709401709423819E-4</v>
      </c>
      <c r="Q11" s="72">
        <f t="shared" si="5"/>
        <v>2.6716537536741747E-4</v>
      </c>
      <c r="R11" s="73">
        <f>IF(N(INDEX(lr_aother,8))=0,1,INDEX(lr_aother,8))</f>
        <v>1</v>
      </c>
      <c r="S11" s="72">
        <f>IF(ISBLANK(INDEX(lr_trend,8)),N(nr_TrendDefault),N(INDEX(lr_trend,8)))</f>
        <v>0</v>
      </c>
      <c r="T11" s="6" t="str">
        <f>INDEX(lr_state,8)</f>
        <v>IN</v>
      </c>
      <c r="U11" s="6" t="str">
        <f>INDEX(lr_bu,8)</f>
        <v>ABD</v>
      </c>
      <c r="V11" s="271">
        <f>N(INDEX(lr_ep,8))</f>
        <v>11200</v>
      </c>
      <c r="W11" s="73">
        <f>N(INDEX(lr_mind,8))*$V11</f>
        <v>10304</v>
      </c>
      <c r="X11" s="73">
        <f>N(INDEX(lr_m0,8))*$V11</f>
        <v>10192</v>
      </c>
      <c r="Y11" s="73">
        <f>N(INDEX(lr_m1,8))*$V11</f>
        <v>10080</v>
      </c>
      <c r="Z11" s="73">
        <f t="shared" si="6"/>
        <v>11648</v>
      </c>
      <c r="AA11" s="73">
        <f t="shared" si="7"/>
        <v>11644.888888888887</v>
      </c>
      <c r="AB11" s="73">
        <f t="shared" si="8"/>
        <v>11202.992252204118</v>
      </c>
      <c r="AC11" s="73">
        <f t="shared" si="9"/>
        <v>10147.283734500365</v>
      </c>
      <c r="AD11" s="73">
        <f t="shared" si="10"/>
        <v>11372.974583102297</v>
      </c>
      <c r="AE11" s="73">
        <f t="shared" si="11"/>
        <v>6496</v>
      </c>
      <c r="AF11" s="73">
        <f t="shared" si="12"/>
        <v>6598.0875679129858</v>
      </c>
      <c r="AG11" s="73">
        <f t="shared" si="13"/>
        <v>0</v>
      </c>
      <c r="AH11" s="73">
        <f t="shared" si="14"/>
        <v>11200.000000000002</v>
      </c>
      <c r="AI11" s="73">
        <f t="shared" si="15"/>
        <v>11444.568229704999</v>
      </c>
      <c r="AJ11" s="73">
        <f t="shared" si="16"/>
        <v>6637.8495732288993</v>
      </c>
      <c r="AK11" s="75">
        <f>IF($L$454,1,0)</f>
        <v>0</v>
      </c>
      <c r="AL11" s="72">
        <f>IF($L$454,$M$454,0)</f>
        <v>0</v>
      </c>
      <c r="AM11" s="73">
        <f>$N$481/$N$469*IF($O$454=1,$O$481/$O$469,1)-1</f>
        <v>3.0928317939036276E-2</v>
      </c>
      <c r="AN11" s="73">
        <f>$N$482/$N$470*IF($O$454=1,$O$482/$O$470,1)-1</f>
        <v>3.0921917972019708E-2</v>
      </c>
      <c r="AO11" s="73">
        <f>$N$483/$N$471*IF($O$454=1,$O$483/$O$471,1)-1</f>
        <v>3.0915508968422101E-2</v>
      </c>
      <c r="AP11" s="73">
        <f>$N$484/$N$472*IF($O$454=1,$O$484/$O$472,1)-1</f>
        <v>3.0908873188839614E-2</v>
      </c>
      <c r="AQ11" s="73">
        <f>$N$485/$N$473*IF($O$454=1,$O$485/$O$473,1)-1</f>
        <v>3.0902227707941377E-2</v>
      </c>
      <c r="AR11" s="73">
        <f>$N$486/$N$474*IF($O$454=1,$O$486/$O$474,1)-1</f>
        <v>3.0895572504437085E-2</v>
      </c>
      <c r="AS11" s="73">
        <f>$N$487/$N$475*IF($O$454=1,$O$487/$O$475,1)-1</f>
        <v>3.0888907556974488E-2</v>
      </c>
      <c r="AT11" s="73">
        <f>$N$488/$N$476*IF($O$454=1,$O$488/$O$476,1)-1</f>
        <v>-8.7671890950580256E-3</v>
      </c>
      <c r="AU11" s="73">
        <f>$N$489/$N$477*IF($O$454=1,$O$489/$O$477,1)-1</f>
        <v>-8.7736166530455462E-3</v>
      </c>
      <c r="AV11" s="73">
        <f>$N$490/$N$478*IF($O$454=1,$O$490/$O$478,1)-1</f>
        <v>-8.7800536425195475E-3</v>
      </c>
      <c r="AW11" s="73">
        <f>$N$491/$N$479*IF($O$454=1,$O$491/$O$479,1)-1</f>
        <v>-8.7865000842540786E-3</v>
      </c>
      <c r="AX11" s="73">
        <f>$N$492/$N$480*IF($O$454=1,$O$492/$O$480,1)-1</f>
        <v>-8.7929559990846951E-3</v>
      </c>
      <c r="AY11" s="73">
        <f>$N$481/$N$469-1</f>
        <v>4.0000000000000036E-2</v>
      </c>
      <c r="AZ11" s="73">
        <f>$N$482/$N$470-1</f>
        <v>4.0000000000000036E-2</v>
      </c>
      <c r="BA11" s="73">
        <f>$N$483/$N$471-1</f>
        <v>4.0000000000000036E-2</v>
      </c>
      <c r="BB11" s="73">
        <f>$N$484/$N$472-1</f>
        <v>4.0000000000000036E-2</v>
      </c>
      <c r="BC11" s="73">
        <f>$N$485/$N$473-1</f>
        <v>4.0000000000000036E-2</v>
      </c>
      <c r="BD11" s="73">
        <f>$N$486/$N$474-1</f>
        <v>4.0000000000000036E-2</v>
      </c>
      <c r="BE11" s="73">
        <f>$N$487/$N$475-1</f>
        <v>4.0000000000000036E-2</v>
      </c>
      <c r="BF11" s="73">
        <f>$N$488/$N$476-1</f>
        <v>0</v>
      </c>
      <c r="BG11" s="73">
        <f>$N$489/$N$477-1</f>
        <v>0</v>
      </c>
      <c r="BH11" s="73">
        <f>$N$490/$N$478-1</f>
        <v>0</v>
      </c>
      <c r="BI11" s="73">
        <f>$N$491/$N$479-1</f>
        <v>0</v>
      </c>
      <c r="BJ11" s="73">
        <f>$N$492/$N$480-1</f>
        <v>0</v>
      </c>
      <c r="BK11" s="73">
        <f>$O$481/$O$469-1</f>
        <v>-8.7227712124651191E-3</v>
      </c>
      <c r="BL11" s="73">
        <f>$O$482/$O$470-1</f>
        <v>-8.7289250269041441E-3</v>
      </c>
      <c r="BM11" s="73">
        <f>$O$483/$O$471-1</f>
        <v>-8.7350875303633391E-3</v>
      </c>
      <c r="BN11" s="73">
        <f>$O$484/$O$472-1</f>
        <v>-8.7414680876541917E-3</v>
      </c>
      <c r="BO11" s="73">
        <f>$O$485/$O$473-1</f>
        <v>-8.7478579731332662E-3</v>
      </c>
      <c r="BP11" s="73">
        <f>$O$486/$O$474-1</f>
        <v>-8.7542572072719649E-3</v>
      </c>
      <c r="BQ11" s="73">
        <f>$O$487/$O$475-1</f>
        <v>-8.7606658106015312E-3</v>
      </c>
      <c r="BR11" s="73">
        <f>$O$488/$O$476-1</f>
        <v>-8.7671890950580256E-3</v>
      </c>
      <c r="BS11" s="73">
        <f>$O$489/$O$477-1</f>
        <v>-8.7736166530455462E-3</v>
      </c>
      <c r="BT11" s="73">
        <f>$O$490/$O$478-1</f>
        <v>-8.7800536425195475E-3</v>
      </c>
      <c r="BU11" s="73">
        <f>$O$491/$O$479-1</f>
        <v>-8.7865000842540786E-3</v>
      </c>
      <c r="BV11" s="73">
        <f>$O$492/$O$480-1</f>
        <v>-8.7929559990846951E-3</v>
      </c>
      <c r="BW11" s="73">
        <f>$V11*$H$481</f>
        <v>11200</v>
      </c>
      <c r="BX11" s="73">
        <f>$V11*$H$482</f>
        <v>11200</v>
      </c>
      <c r="BY11" s="73">
        <f>$V11*$H$483</f>
        <v>11200</v>
      </c>
      <c r="BZ11" s="73">
        <f>$V11*$H$484</f>
        <v>11200</v>
      </c>
      <c r="CA11" s="73">
        <f>$V11*$H$485</f>
        <v>11200</v>
      </c>
      <c r="CB11" s="73">
        <f>$V11*$H$486</f>
        <v>11200</v>
      </c>
      <c r="CC11" s="73">
        <f>$V11*$H$487</f>
        <v>11200</v>
      </c>
      <c r="CD11" s="73">
        <f>$V11*$H$488</f>
        <v>11200</v>
      </c>
      <c r="CE11" s="73">
        <f>$V11*$H$489</f>
        <v>11200</v>
      </c>
      <c r="CF11" s="73">
        <f>$V11*$H$490</f>
        <v>11200</v>
      </c>
      <c r="CG11" s="73">
        <f>$V11*$H$491</f>
        <v>11200</v>
      </c>
      <c r="CH11" s="73">
        <f>$V11*$H$492</f>
        <v>11200</v>
      </c>
      <c r="CI11" s="75">
        <f>$O$454</f>
        <v>1</v>
      </c>
      <c r="CJ11" s="73">
        <f>$H$505</f>
        <v>1.0233333333333334</v>
      </c>
      <c r="CK11" s="73">
        <f>$I$505</f>
        <v>0.99124238763980388</v>
      </c>
      <c r="CL11" s="73">
        <f>$J$505</f>
        <v>1.0143717508636425</v>
      </c>
      <c r="CM11" s="73">
        <f t="shared" si="17"/>
        <v>0</v>
      </c>
      <c r="CN11" s="73">
        <f t="shared" si="18"/>
        <v>11200</v>
      </c>
      <c r="CO11" s="72">
        <f>$M11*($C11/$K$505)*IF($O$454=1,$F$454/$G11,1)*$R11</f>
        <v>0.58911496142080233</v>
      </c>
      <c r="CP11" s="72">
        <f>$M11*(1+$S11)*($C11/$L$505)*IF($O$454=1,$F$454/$H11,1)*$R11</f>
        <v>0.59266514046686603</v>
      </c>
      <c r="CQ11" s="73">
        <f t="shared" si="19"/>
        <v>6598.0875679129858</v>
      </c>
      <c r="CR11" s="73">
        <f t="shared" si="20"/>
        <v>6637.8495732288993</v>
      </c>
      <c r="CS11" s="73">
        <f t="shared" si="21"/>
        <v>0</v>
      </c>
      <c r="CT11" s="272">
        <f t="shared" si="22"/>
        <v>0</v>
      </c>
      <c r="CU11" s="75">
        <f t="shared" si="23"/>
        <v>1</v>
      </c>
      <c r="CV11" s="75">
        <f t="shared" si="24"/>
        <v>0</v>
      </c>
      <c r="CW11" s="273">
        <f t="shared" si="25"/>
        <v>46235</v>
      </c>
      <c r="CX11" s="274">
        <f t="shared" si="26"/>
        <v>0.04</v>
      </c>
      <c r="CY11" s="6" t="str">
        <f t="shared" si="27"/>
        <v>T</v>
      </c>
      <c r="CZ11" s="273" t="str">
        <f t="shared" si="28"/>
        <v/>
      </c>
      <c r="DA11" s="274" t="str">
        <f t="shared" si="29"/>
        <v/>
      </c>
      <c r="DB11" s="6" t="str">
        <f t="shared" si="30"/>
        <v/>
      </c>
      <c r="DC11" s="273" t="str">
        <f t="shared" si="31"/>
        <v/>
      </c>
      <c r="DD11" s="274" t="str">
        <f t="shared" si="32"/>
        <v/>
      </c>
      <c r="DE11" s="6" t="str">
        <f t="shared" si="33"/>
        <v/>
      </c>
      <c r="DF11" s="273" t="str">
        <f t="shared" si="34"/>
        <v/>
      </c>
      <c r="DG11" s="274" t="str">
        <f t="shared" si="35"/>
        <v/>
      </c>
      <c r="DH11" s="6" t="str">
        <f t="shared" si="36"/>
        <v/>
      </c>
    </row>
    <row r="12" spans="1:112" x14ac:dyDescent="0.3">
      <c r="A12" s="6" t="str">
        <f>$A$508</f>
        <v>ABD|KY</v>
      </c>
      <c r="B12" s="75">
        <f>$C$508</f>
        <v>6</v>
      </c>
      <c r="C12" s="73">
        <f>$B$559</f>
        <v>1</v>
      </c>
      <c r="D12" s="73">
        <f>$C$559</f>
        <v>1</v>
      </c>
      <c r="E12" s="73">
        <f>$D$559</f>
        <v>1</v>
      </c>
      <c r="F12" s="73">
        <f>$E$559</f>
        <v>1</v>
      </c>
      <c r="G12" s="224">
        <f>$F$559</f>
        <v>0.91199626185266247</v>
      </c>
      <c r="H12" s="224">
        <f>$G$559</f>
        <v>0.91483011184050556</v>
      </c>
      <c r="I12" s="73">
        <f t="shared" si="0"/>
        <v>1</v>
      </c>
      <c r="J12" s="73">
        <f t="shared" si="1"/>
        <v>1</v>
      </c>
      <c r="K12" s="73">
        <f>IF($L$508,1,IF(AND(nr_ModAdjMaster="ON",INDEX(lr_modadj,9)="ON"),$F$508/$G12,1))</f>
        <v>1.0087760646420616</v>
      </c>
      <c r="L12" s="73">
        <f>IF($L$508,1,IF(AND(nr_ModAdjMaster="ON",INDEX(lr_modadj,9)="ON"),$F$508/$H12,1))</f>
        <v>1.0056512002530102</v>
      </c>
      <c r="M12" s="72">
        <f>IF(INDEX(lr_basis,9)="proposed",N(INDEX(lr_lrproj,9))*(1+N(INDEX(lr_s,9))),N(INDEX(lr_lrproj,9)))</f>
        <v>0.56399999999999995</v>
      </c>
      <c r="N12" s="72">
        <f t="shared" si="2"/>
        <v>0.56894970045812265</v>
      </c>
      <c r="O12" s="72">
        <f t="shared" si="3"/>
        <v>0.56718727694269777</v>
      </c>
      <c r="P12" s="72">
        <f t="shared" si="4"/>
        <v>0</v>
      </c>
      <c r="Q12" s="72">
        <f t="shared" si="5"/>
        <v>0</v>
      </c>
      <c r="R12" s="73">
        <f>IF(N(INDEX(lr_aother,9))=0,1,INDEX(lr_aother,9))</f>
        <v>1</v>
      </c>
      <c r="S12" s="72">
        <f>IF(ISBLANK(INDEX(lr_trend,9)),N(nr_TrendDefault),N(INDEX(lr_trend,9)))</f>
        <v>0</v>
      </c>
      <c r="T12" s="6" t="str">
        <f>INDEX(lr_state,9)</f>
        <v>KY</v>
      </c>
      <c r="U12" s="6" t="str">
        <f>INDEX(lr_bu,9)</f>
        <v>ABD</v>
      </c>
      <c r="V12" s="271">
        <f>N(INDEX(lr_ep,9))</f>
        <v>8000</v>
      </c>
      <c r="W12" s="73">
        <f>N(INDEX(lr_mind,9))*$V12</f>
        <v>7360</v>
      </c>
      <c r="X12" s="73">
        <f>N(INDEX(lr_m0,9))*$V12</f>
        <v>7280</v>
      </c>
      <c r="Y12" s="73">
        <f>N(INDEX(lr_m1,9))*$V12</f>
        <v>7320</v>
      </c>
      <c r="Z12" s="73">
        <f t="shared" si="6"/>
        <v>8000</v>
      </c>
      <c r="AA12" s="73">
        <f t="shared" si="7"/>
        <v>8000</v>
      </c>
      <c r="AB12" s="73">
        <f t="shared" si="8"/>
        <v>8000</v>
      </c>
      <c r="AC12" s="73">
        <f t="shared" si="9"/>
        <v>7295.9700948212994</v>
      </c>
      <c r="AD12" s="73">
        <f t="shared" si="10"/>
        <v>8070.2085171364924</v>
      </c>
      <c r="AE12" s="73">
        <f t="shared" si="11"/>
        <v>4512</v>
      </c>
      <c r="AF12" s="73">
        <f t="shared" si="12"/>
        <v>4551.5976036649809</v>
      </c>
      <c r="AG12" s="73">
        <f t="shared" si="13"/>
        <v>0</v>
      </c>
      <c r="AH12" s="73">
        <f t="shared" si="14"/>
        <v>8000</v>
      </c>
      <c r="AI12" s="73">
        <f t="shared" si="15"/>
        <v>8045.2096020240824</v>
      </c>
      <c r="AJ12" s="73">
        <f t="shared" si="16"/>
        <v>4537.4982155415819</v>
      </c>
      <c r="AK12" s="75">
        <f>IF($L$508,1,0)</f>
        <v>0</v>
      </c>
      <c r="AL12" s="72">
        <f>IF($L$508,$M$508,0)</f>
        <v>0</v>
      </c>
      <c r="AM12" s="73">
        <f>$N$535/$N$523*IF($O$508=1,$O$535/$O$523,1)-1</f>
        <v>4.4020188985305353E-3</v>
      </c>
      <c r="AN12" s="73">
        <f>$N$536/$N$524*IF($O$508=1,$O$536/$O$524,1)-1</f>
        <v>4.4004533069708085E-3</v>
      </c>
      <c r="AO12" s="73">
        <f>$N$537/$N$525*IF($O$508=1,$O$537/$O$525,1)-1</f>
        <v>4.3988888286301542E-3</v>
      </c>
      <c r="AP12" s="73">
        <f>$N$538/$N$526*IF($O$508=1,$O$538/$O$526,1)-1</f>
        <v>4.3972724863263757E-3</v>
      </c>
      <c r="AQ12" s="73">
        <f>$N$539/$N$527*IF($O$508=1,$O$539/$O$527,1)-1</f>
        <v>4.3956573314145597E-3</v>
      </c>
      <c r="AR12" s="73">
        <f>$N$540/$N$528*IF($O$508=1,$O$540/$O$528,1)-1</f>
        <v>4.3940433625868636E-3</v>
      </c>
      <c r="AS12" s="73">
        <f>$N$541/$N$529*IF($O$508=1,$O$541/$O$529,1)-1</f>
        <v>4.3924305785372209E-3</v>
      </c>
      <c r="AT12" s="73">
        <f>$N$542/$N$530*IF($O$508=1,$O$542/$O$530,1)-1</f>
        <v>4.3907925681323512E-3</v>
      </c>
      <c r="AU12" s="73">
        <f>$N$543/$N$531*IF($O$508=1,$O$543/$O$531,1)-1</f>
        <v>4.3891821690977828E-3</v>
      </c>
      <c r="AV12" s="73">
        <f>$N$544/$N$532*IF($O$508=1,$O$544/$O$532,1)-1</f>
        <v>4.3875729509132988E-3</v>
      </c>
      <c r="AW12" s="73">
        <f>$N$545/$N$533*IF($O$508=1,$O$545/$O$533,1)-1</f>
        <v>4.3859649122806044E-3</v>
      </c>
      <c r="AX12" s="73">
        <f>$N$546/$N$534*IF($O$508=1,$O$546/$O$534,1)-1</f>
        <v>4.3843580519036252E-3</v>
      </c>
      <c r="AY12" s="73">
        <f>$N$535/$N$523-1</f>
        <v>0</v>
      </c>
      <c r="AZ12" s="73">
        <f>$N$536/$N$524-1</f>
        <v>0</v>
      </c>
      <c r="BA12" s="73">
        <f>$N$537/$N$525-1</f>
        <v>0</v>
      </c>
      <c r="BB12" s="73">
        <f>$N$538/$N$526-1</f>
        <v>0</v>
      </c>
      <c r="BC12" s="73">
        <f>$N$539/$N$527-1</f>
        <v>0</v>
      </c>
      <c r="BD12" s="73">
        <f>$N$540/$N$528-1</f>
        <v>0</v>
      </c>
      <c r="BE12" s="73">
        <f>$N$541/$N$529-1</f>
        <v>0</v>
      </c>
      <c r="BF12" s="73">
        <f>$N$542/$N$530-1</f>
        <v>0</v>
      </c>
      <c r="BG12" s="73">
        <f>$N$543/$N$531-1</f>
        <v>0</v>
      </c>
      <c r="BH12" s="73">
        <f>$N$544/$N$532-1</f>
        <v>0</v>
      </c>
      <c r="BI12" s="73">
        <f>$N$545/$N$533-1</f>
        <v>0</v>
      </c>
      <c r="BJ12" s="73">
        <f>$N$546/$N$534-1</f>
        <v>0</v>
      </c>
      <c r="BK12" s="73">
        <f>$O$535/$O$523-1</f>
        <v>4.4020188985305353E-3</v>
      </c>
      <c r="BL12" s="73">
        <f>$O$536/$O$524-1</f>
        <v>4.4004533069708085E-3</v>
      </c>
      <c r="BM12" s="73">
        <f>$O$537/$O$525-1</f>
        <v>4.3988888286301542E-3</v>
      </c>
      <c r="BN12" s="73">
        <f>$O$538/$O$526-1</f>
        <v>4.3972724863263757E-3</v>
      </c>
      <c r="BO12" s="73">
        <f>$O$539/$O$527-1</f>
        <v>4.3956573314145597E-3</v>
      </c>
      <c r="BP12" s="73">
        <f>$O$540/$O$528-1</f>
        <v>4.3940433625868636E-3</v>
      </c>
      <c r="BQ12" s="73">
        <f>$O$541/$O$529-1</f>
        <v>4.3924305785372209E-3</v>
      </c>
      <c r="BR12" s="73">
        <f>$O$542/$O$530-1</f>
        <v>4.3907925681323512E-3</v>
      </c>
      <c r="BS12" s="73">
        <f>$O$543/$O$531-1</f>
        <v>4.3891821690977828E-3</v>
      </c>
      <c r="BT12" s="73">
        <f>$O$544/$O$532-1</f>
        <v>4.3875729509132988E-3</v>
      </c>
      <c r="BU12" s="73">
        <f>$O$545/$O$533-1</f>
        <v>4.3859649122806044E-3</v>
      </c>
      <c r="BV12" s="73">
        <f>$O$546/$O$534-1</f>
        <v>4.3843580519036252E-3</v>
      </c>
      <c r="BW12" s="73">
        <f>$V12*$H$535</f>
        <v>8000</v>
      </c>
      <c r="BX12" s="73">
        <f>$V12*$H$536</f>
        <v>8000</v>
      </c>
      <c r="BY12" s="73">
        <f>$V12*$H$537</f>
        <v>8000</v>
      </c>
      <c r="BZ12" s="73">
        <f>$V12*$H$538</f>
        <v>8000</v>
      </c>
      <c r="CA12" s="73">
        <f>$V12*$H$539</f>
        <v>8000</v>
      </c>
      <c r="CB12" s="73">
        <f>$V12*$H$540</f>
        <v>8000</v>
      </c>
      <c r="CC12" s="73">
        <f>$V12*$H$541</f>
        <v>8000</v>
      </c>
      <c r="CD12" s="73">
        <f>$V12*$H$542</f>
        <v>8000</v>
      </c>
      <c r="CE12" s="73">
        <f>$V12*$H$543</f>
        <v>8000</v>
      </c>
      <c r="CF12" s="73">
        <f>$V12*$H$544</f>
        <v>8000</v>
      </c>
      <c r="CG12" s="73">
        <f>$V12*$H$545</f>
        <v>8000</v>
      </c>
      <c r="CH12" s="73">
        <f>$V12*$H$546</f>
        <v>8000</v>
      </c>
      <c r="CI12" s="75">
        <f>$O$508</f>
        <v>1</v>
      </c>
      <c r="CJ12" s="73">
        <f>$H$559</f>
        <v>1</v>
      </c>
      <c r="CK12" s="73">
        <f>$I$559</f>
        <v>1.0043932196204437</v>
      </c>
      <c r="CL12" s="73">
        <f>$J$559</f>
        <v>1.0043932196204437</v>
      </c>
      <c r="CM12" s="73">
        <f t="shared" si="17"/>
        <v>0</v>
      </c>
      <c r="CN12" s="73">
        <f t="shared" si="18"/>
        <v>8000</v>
      </c>
      <c r="CO12" s="72">
        <f>$M12*($C12/$K$559)*IF($O$508=1,$F$508/$G12,1)*$R12</f>
        <v>0.56894970045812265</v>
      </c>
      <c r="CP12" s="72">
        <f>$M12*(1+$S12)*($C12/$L$559)*IF($O$508=1,$F$508/$H12,1)*$R12</f>
        <v>0.56718727694269777</v>
      </c>
      <c r="CQ12" s="73">
        <f t="shared" si="19"/>
        <v>4551.5976036649809</v>
      </c>
      <c r="CR12" s="73">
        <f t="shared" si="20"/>
        <v>4537.4982155415819</v>
      </c>
      <c r="CS12" s="73">
        <f t="shared" si="21"/>
        <v>0</v>
      </c>
      <c r="CT12" s="272">
        <f t="shared" si="22"/>
        <v>0</v>
      </c>
      <c r="CU12" s="75">
        <f t="shared" si="23"/>
        <v>0</v>
      </c>
      <c r="CV12" s="75">
        <f t="shared" si="24"/>
        <v>0</v>
      </c>
      <c r="CW12" s="273" t="str">
        <f t="shared" si="25"/>
        <v/>
      </c>
      <c r="CX12" s="274" t="str">
        <f t="shared" si="26"/>
        <v/>
      </c>
      <c r="CY12" s="6" t="str">
        <f t="shared" si="27"/>
        <v/>
      </c>
      <c r="CZ12" s="273" t="str">
        <f t="shared" si="28"/>
        <v/>
      </c>
      <c r="DA12" s="274" t="str">
        <f t="shared" si="29"/>
        <v/>
      </c>
      <c r="DB12" s="6" t="str">
        <f t="shared" si="30"/>
        <v/>
      </c>
      <c r="DC12" s="273" t="str">
        <f t="shared" si="31"/>
        <v/>
      </c>
      <c r="DD12" s="274" t="str">
        <f t="shared" si="32"/>
        <v/>
      </c>
      <c r="DE12" s="6" t="str">
        <f t="shared" si="33"/>
        <v/>
      </c>
      <c r="DF12" s="273" t="str">
        <f t="shared" si="34"/>
        <v/>
      </c>
      <c r="DG12" s="274" t="str">
        <f t="shared" si="35"/>
        <v/>
      </c>
      <c r="DH12" s="6" t="str">
        <f t="shared" si="36"/>
        <v/>
      </c>
    </row>
    <row r="13" spans="1:112" x14ac:dyDescent="0.3">
      <c r="A13" s="6" t="str">
        <f>$A$562</f>
        <v>ABD|MD</v>
      </c>
      <c r="B13" s="75">
        <f>$C$562</f>
        <v>6</v>
      </c>
      <c r="C13" s="73">
        <f>$B$613</f>
        <v>1.06</v>
      </c>
      <c r="D13" s="73">
        <f>$C$613</f>
        <v>1.0037499999999999</v>
      </c>
      <c r="E13" s="73">
        <f>$D$613</f>
        <v>1.0589000000000002</v>
      </c>
      <c r="F13" s="73">
        <f>$E$613</f>
        <v>1.09975</v>
      </c>
      <c r="G13" s="224">
        <f>$F$613</f>
        <v>0.91798504741064912</v>
      </c>
      <c r="H13" s="224">
        <f>$G$613</f>
        <v>0.92932044736202268</v>
      </c>
      <c r="I13" s="73">
        <f t="shared" si="0"/>
        <v>1.0010388138634432</v>
      </c>
      <c r="J13" s="73">
        <f t="shared" si="1"/>
        <v>0.96385542168674698</v>
      </c>
      <c r="K13" s="73">
        <f>IF($L$562,1,IF(AND(nr_ModAdjMaster="ON",INDEX(lr_modadj,10)="ON"),$F$562/$G13,1))</f>
        <v>1.0021949732133812</v>
      </c>
      <c r="L13" s="73">
        <f>IF($L$562,1,IF(AND(nr_ModAdjMaster="ON",INDEX(lr_modadj,10)="ON"),$F$562/$H13,1))</f>
        <v>0.98997068515119868</v>
      </c>
      <c r="M13" s="72">
        <f>IF(INDEX(lr_basis,10)="proposed",N(INDEX(lr_lrproj,10))*(1+N(INDEX(lr_s,10))),N(INDEX(lr_lrproj,10)))</f>
        <v>0.59199999999999997</v>
      </c>
      <c r="N13" s="72">
        <f t="shared" si="2"/>
        <v>0.59391575180929357</v>
      </c>
      <c r="O13" s="72">
        <f t="shared" si="3"/>
        <v>0.56487965841880439</v>
      </c>
      <c r="P13" s="72">
        <f t="shared" si="4"/>
        <v>-1.0377358490565314E-3</v>
      </c>
      <c r="Q13" s="72">
        <f t="shared" si="5"/>
        <v>3.8577769383322247E-2</v>
      </c>
      <c r="R13" s="73">
        <f>IF(N(INDEX(lr_aother,10))=0,1,INDEX(lr_aother,10))</f>
        <v>1</v>
      </c>
      <c r="S13" s="72">
        <f>IF(ISBLANK(INDEX(lr_trend,10)),N(nr_TrendDefault),N(INDEX(lr_trend,10)))</f>
        <v>0</v>
      </c>
      <c r="T13" s="6" t="str">
        <f>INDEX(lr_state,10)</f>
        <v>MD</v>
      </c>
      <c r="U13" s="6" t="str">
        <f>INDEX(lr_bu,10)</f>
        <v>ABD</v>
      </c>
      <c r="V13" s="271">
        <f>N(INDEX(lr_ep,10))</f>
        <v>18400</v>
      </c>
      <c r="W13" s="73">
        <f>N(INDEX(lr_mind,10))*$V13</f>
        <v>16928</v>
      </c>
      <c r="X13" s="73">
        <f>N(INDEX(lr_m0,10))*$V13</f>
        <v>16744</v>
      </c>
      <c r="Y13" s="73">
        <f>N(INDEX(lr_m1,10))*$V13</f>
        <v>17112</v>
      </c>
      <c r="Z13" s="73">
        <f t="shared" si="6"/>
        <v>19504</v>
      </c>
      <c r="AA13" s="73">
        <f t="shared" si="7"/>
        <v>19483.760000000002</v>
      </c>
      <c r="AB13" s="73">
        <f t="shared" si="8"/>
        <v>18419.114175087354</v>
      </c>
      <c r="AC13" s="73">
        <f t="shared" si="9"/>
        <v>16890.924872355943</v>
      </c>
      <c r="AD13" s="73">
        <f t="shared" si="10"/>
        <v>18440.387507126215</v>
      </c>
      <c r="AE13" s="73">
        <f t="shared" si="11"/>
        <v>10892.8</v>
      </c>
      <c r="AF13" s="73">
        <f t="shared" si="12"/>
        <v>10928.049833291001</v>
      </c>
      <c r="AG13" s="73">
        <f t="shared" si="13"/>
        <v>0</v>
      </c>
      <c r="AH13" s="73">
        <f t="shared" si="14"/>
        <v>17734.939759036144</v>
      </c>
      <c r="AI13" s="73">
        <f t="shared" si="15"/>
        <v>18215.460606782057</v>
      </c>
      <c r="AJ13" s="73">
        <f t="shared" si="16"/>
        <v>10393.785714906</v>
      </c>
      <c r="AK13" s="75">
        <f>IF($L$562,1,0)</f>
        <v>0</v>
      </c>
      <c r="AL13" s="72">
        <f>IF($L$562,$M$562,0)</f>
        <v>0</v>
      </c>
      <c r="AM13" s="73">
        <f>$N$589/$N$577*IF($O$562=1,$O$589/$O$577,1)-1</f>
        <v>7.8840085703155482E-2</v>
      </c>
      <c r="AN13" s="73">
        <f>$N$590/$N$578*IF($O$562=1,$O$590/$O$578,1)-1</f>
        <v>7.8813060708468274E-2</v>
      </c>
      <c r="AO13" s="73">
        <f>$N$591/$N$579*IF($O$562=1,$O$591/$O$579,1)-1</f>
        <v>7.8786113134255986E-2</v>
      </c>
      <c r="AP13" s="73">
        <f>$N$592/$N$580*IF($O$562=1,$O$592/$O$580,1)-1</f>
        <v>7.8758333131318192E-2</v>
      </c>
      <c r="AQ13" s="73">
        <f>$N$593/$N$581*IF($O$562=1,$O$593/$O$581,1)-1</f>
        <v>7.8730635166537555E-2</v>
      </c>
      <c r="AR13" s="73">
        <f>$N$594/$N$582*IF($O$562=1,$O$594/$O$582,1)-1</f>
        <v>7.870301887704545E-2</v>
      </c>
      <c r="AS13" s="73">
        <f>$N$595/$N$583*IF($O$562=1,$O$595/$O$583,1)-1</f>
        <v>7.8675483902109544E-2</v>
      </c>
      <c r="AT13" s="73">
        <f>$N$596/$N$584*IF($O$562=1,$O$596/$O$584,1)-1</f>
        <v>7.8647580489685787E-2</v>
      </c>
      <c r="AU13" s="73">
        <f>$N$597/$N$585*IF($O$562=1,$O$597/$O$585,1)-1</f>
        <v>7.8620208388478607E-2</v>
      </c>
      <c r="AV13" s="73">
        <f>$N$598/$N$586*IF($O$562=1,$O$598/$O$586,1)-1</f>
        <v>5.8242106780719727E-2</v>
      </c>
      <c r="AW13" s="73">
        <f>$N$599/$N$587*IF($O$562=1,$O$599/$O$587,1)-1</f>
        <v>5.8215408239161048E-2</v>
      </c>
      <c r="AX13" s="73">
        <f>$N$600/$N$588*IF($O$562=1,$O$600/$O$588,1)-1</f>
        <v>5.8188787733588709E-2</v>
      </c>
      <c r="AY13" s="73">
        <f>$N$589/$N$577-1</f>
        <v>6.0000000000000053E-2</v>
      </c>
      <c r="AZ13" s="73">
        <f>$N$590/$N$578-1</f>
        <v>6.0000000000000053E-2</v>
      </c>
      <c r="BA13" s="73">
        <f>$N$591/$N$579-1</f>
        <v>6.0000000000000053E-2</v>
      </c>
      <c r="BB13" s="73">
        <f>$N$592/$N$580-1</f>
        <v>6.0000000000000053E-2</v>
      </c>
      <c r="BC13" s="73">
        <f>$N$593/$N$581-1</f>
        <v>6.0000000000000053E-2</v>
      </c>
      <c r="BD13" s="73">
        <f>$N$594/$N$582-1</f>
        <v>6.0000000000000053E-2</v>
      </c>
      <c r="BE13" s="73">
        <f>$N$595/$N$583-1</f>
        <v>6.0000000000000053E-2</v>
      </c>
      <c r="BF13" s="73">
        <f>$N$596/$N$584-1</f>
        <v>6.0000000000000053E-2</v>
      </c>
      <c r="BG13" s="73">
        <f>$N$597/$N$585-1</f>
        <v>6.0000000000000053E-2</v>
      </c>
      <c r="BH13" s="73">
        <f>$N$598/$N$586-1</f>
        <v>4.0000000000000036E-2</v>
      </c>
      <c r="BI13" s="73">
        <f>$N$599/$N$587-1</f>
        <v>4.0000000000000036E-2</v>
      </c>
      <c r="BJ13" s="73">
        <f>$N$600/$N$588-1</f>
        <v>4.0000000000000036E-2</v>
      </c>
      <c r="BK13" s="73">
        <f>$O$589/$O$577-1</f>
        <v>1.7773665757693902E-2</v>
      </c>
      <c r="BL13" s="73">
        <f>$O$590/$O$578-1</f>
        <v>1.7748170479686909E-2</v>
      </c>
      <c r="BM13" s="73">
        <f>$O$591/$O$579-1</f>
        <v>1.7722748239864083E-2</v>
      </c>
      <c r="BN13" s="73">
        <f>$O$592/$O$580-1</f>
        <v>1.7696540689922768E-2</v>
      </c>
      <c r="BO13" s="73">
        <f>$O$593/$O$581-1</f>
        <v>1.7670410534469383E-2</v>
      </c>
      <c r="BP13" s="73">
        <f>$O$594/$O$582-1</f>
        <v>1.7644357431174873E-2</v>
      </c>
      <c r="BQ13" s="73">
        <f>$O$595/$O$583-1</f>
        <v>1.7618381039725906E-2</v>
      </c>
      <c r="BR13" s="73">
        <f>$O$596/$O$584-1</f>
        <v>1.7592057065741296E-2</v>
      </c>
      <c r="BS13" s="73">
        <f>$O$597/$O$585-1</f>
        <v>1.7566234328753261E-2</v>
      </c>
      <c r="BT13" s="73">
        <f>$O$598/$O$586-1</f>
        <v>1.7540487289153583E-2</v>
      </c>
      <c r="BU13" s="73">
        <f>$O$599/$O$587-1</f>
        <v>1.7514815614577905E-2</v>
      </c>
      <c r="BV13" s="73">
        <f>$O$600/$O$588-1</f>
        <v>1.7489218974604537E-2</v>
      </c>
      <c r="BW13" s="73">
        <f>$V13*$H$589</f>
        <v>18400</v>
      </c>
      <c r="BX13" s="73">
        <f>$V13*$H$590</f>
        <v>18400</v>
      </c>
      <c r="BY13" s="73">
        <f>$V13*$H$591</f>
        <v>18400</v>
      </c>
      <c r="BZ13" s="73">
        <f>$V13*$H$592</f>
        <v>18400</v>
      </c>
      <c r="CA13" s="73">
        <f>$V13*$H$593</f>
        <v>18400</v>
      </c>
      <c r="CB13" s="73">
        <f>$V13*$H$594</f>
        <v>18400</v>
      </c>
      <c r="CC13" s="73">
        <f>$V13*$H$595</f>
        <v>18400</v>
      </c>
      <c r="CD13" s="73">
        <f>$V13*$H$596</f>
        <v>18400</v>
      </c>
      <c r="CE13" s="73">
        <f>$V13*$H$597</f>
        <v>18400</v>
      </c>
      <c r="CF13" s="73">
        <f>$V13*$H$598</f>
        <v>18400</v>
      </c>
      <c r="CG13" s="73">
        <f>$V13*$H$599</f>
        <v>18400</v>
      </c>
      <c r="CH13" s="73">
        <f>$V13*$H$600</f>
        <v>18400</v>
      </c>
      <c r="CI13" s="75">
        <f>$O$562</f>
        <v>1</v>
      </c>
      <c r="CJ13" s="73">
        <f>$H$613</f>
        <v>1.0549999999999999</v>
      </c>
      <c r="CK13" s="73">
        <f>$I$613</f>
        <v>1.0176314239537807</v>
      </c>
      <c r="CL13" s="73">
        <f>$J$613</f>
        <v>1.073601735187877</v>
      </c>
      <c r="CM13" s="73">
        <f t="shared" si="17"/>
        <v>0</v>
      </c>
      <c r="CN13" s="73">
        <f t="shared" si="18"/>
        <v>18400</v>
      </c>
      <c r="CO13" s="72">
        <f>$M13*($C13/$K$613)*IF($O$562=1,$F$562/$G13,1)*$R13</f>
        <v>0.59391575180929357</v>
      </c>
      <c r="CP13" s="72">
        <f>$M13*(1+$S13)*($C13/$L$613)*IF($O$562=1,$F$562/$H13,1)*$R13</f>
        <v>0.56487965841880439</v>
      </c>
      <c r="CQ13" s="73">
        <f t="shared" si="19"/>
        <v>10928.049833291001</v>
      </c>
      <c r="CR13" s="73">
        <f t="shared" si="20"/>
        <v>10393.785714906</v>
      </c>
      <c r="CS13" s="73">
        <f t="shared" si="21"/>
        <v>0</v>
      </c>
      <c r="CT13" s="272">
        <f t="shared" si="22"/>
        <v>0</v>
      </c>
      <c r="CU13" s="75">
        <f t="shared" si="23"/>
        <v>1</v>
      </c>
      <c r="CV13" s="75">
        <f t="shared" si="24"/>
        <v>1</v>
      </c>
      <c r="CW13" s="273">
        <f t="shared" si="25"/>
        <v>46296</v>
      </c>
      <c r="CX13" s="274">
        <f t="shared" si="26"/>
        <v>0.06</v>
      </c>
      <c r="CY13" s="6" t="str">
        <f t="shared" si="27"/>
        <v>T</v>
      </c>
      <c r="CZ13" s="273">
        <f t="shared" si="28"/>
        <v>46661</v>
      </c>
      <c r="DA13" s="274">
        <f t="shared" si="29"/>
        <v>0.04</v>
      </c>
      <c r="DB13" s="6" t="str">
        <f t="shared" si="30"/>
        <v>P*</v>
      </c>
      <c r="DC13" s="273" t="str">
        <f t="shared" si="31"/>
        <v/>
      </c>
      <c r="DD13" s="274" t="str">
        <f t="shared" si="32"/>
        <v/>
      </c>
      <c r="DE13" s="6" t="str">
        <f t="shared" si="33"/>
        <v/>
      </c>
      <c r="DF13" s="273" t="str">
        <f t="shared" si="34"/>
        <v/>
      </c>
      <c r="DG13" s="274" t="str">
        <f t="shared" si="35"/>
        <v/>
      </c>
      <c r="DH13" s="6" t="str">
        <f t="shared" si="36"/>
        <v/>
      </c>
    </row>
    <row r="14" spans="1:112" x14ac:dyDescent="0.3">
      <c r="A14" s="6" t="str">
        <f>$A$616</f>
        <v>ABD|MI</v>
      </c>
      <c r="B14" s="75">
        <f>$C$616</f>
        <v>6</v>
      </c>
      <c r="C14" s="73">
        <f>$B$667</f>
        <v>1.02</v>
      </c>
      <c r="D14" s="73">
        <f>$C$667</f>
        <v>1.0005555555555556</v>
      </c>
      <c r="E14" s="73">
        <f>$D$667</f>
        <v>1.0177777777777779</v>
      </c>
      <c r="F14" s="73">
        <f>$E$667</f>
        <v>1.0200000000000002</v>
      </c>
      <c r="G14" s="224">
        <f>$F$667</f>
        <v>0.90999999999999981</v>
      </c>
      <c r="H14" s="224">
        <f>$G$667</f>
        <v>0.90999999999999981</v>
      </c>
      <c r="I14" s="73">
        <f t="shared" si="0"/>
        <v>1.0021834061135371</v>
      </c>
      <c r="J14" s="73">
        <f t="shared" si="1"/>
        <v>0.99999999999999978</v>
      </c>
      <c r="K14" s="73">
        <f>IF($L$616,1,IF(AND(nr_ModAdjMaster="ON",INDEX(lr_modadj,11)="ON"),$F$616/$G14,1))</f>
        <v>1.0109890109890112</v>
      </c>
      <c r="L14" s="73">
        <f>IF($L$616,1,IF(AND(nr_ModAdjMaster="ON",INDEX(lr_modadj,11)="ON"),$F$616/$H14,1))</f>
        <v>1.0109890109890112</v>
      </c>
      <c r="M14" s="72">
        <f>IF(INDEX(lr_basis,11)="proposed",N(INDEX(lr_lrproj,11))*(1+N(INDEX(lr_s,11))),N(INDEX(lr_lrproj,11)))</f>
        <v>0.57599999999999996</v>
      </c>
      <c r="N14" s="72">
        <f t="shared" si="2"/>
        <v>0.58360113249196222</v>
      </c>
      <c r="O14" s="72">
        <f t="shared" si="3"/>
        <v>0.58232967032967031</v>
      </c>
      <c r="P14" s="72">
        <f t="shared" si="4"/>
        <v>-2.1786492374726851E-3</v>
      </c>
      <c r="Q14" s="72">
        <f t="shared" si="5"/>
        <v>2.1834061135372895E-3</v>
      </c>
      <c r="R14" s="73">
        <f>IF(N(INDEX(lr_aother,11))=0,1,INDEX(lr_aother,11))</f>
        <v>1</v>
      </c>
      <c r="S14" s="72">
        <f>IF(ISBLANK(INDEX(lr_trend,11)),N(nr_TrendDefault),N(INDEX(lr_trend,11)))</f>
        <v>0</v>
      </c>
      <c r="T14" s="6" t="str">
        <f>INDEX(lr_state,11)</f>
        <v>MI</v>
      </c>
      <c r="U14" s="6" t="str">
        <f>INDEX(lr_bu,11)</f>
        <v>ABD</v>
      </c>
      <c r="V14" s="271">
        <f>N(INDEX(lr_ep,11))</f>
        <v>15200</v>
      </c>
      <c r="W14" s="73">
        <f>N(INDEX(lr_mind,11))*$V14</f>
        <v>13984</v>
      </c>
      <c r="X14" s="73">
        <f>N(INDEX(lr_m0,11))*$V14</f>
        <v>13832</v>
      </c>
      <c r="Y14" s="73">
        <f>N(INDEX(lr_m1,11))*$V14</f>
        <v>13832</v>
      </c>
      <c r="Z14" s="73">
        <f t="shared" si="6"/>
        <v>15504</v>
      </c>
      <c r="AA14" s="73">
        <f t="shared" si="7"/>
        <v>15470.222222222224</v>
      </c>
      <c r="AB14" s="73">
        <f t="shared" si="8"/>
        <v>15233.187772925763</v>
      </c>
      <c r="AC14" s="73">
        <f t="shared" si="9"/>
        <v>13831.999999999996</v>
      </c>
      <c r="AD14" s="73">
        <f t="shared" si="10"/>
        <v>15367.03296703297</v>
      </c>
      <c r="AE14" s="73">
        <f t="shared" si="11"/>
        <v>8755.1999999999989</v>
      </c>
      <c r="AF14" s="73">
        <f t="shared" si="12"/>
        <v>8870.7372138778264</v>
      </c>
      <c r="AG14" s="73">
        <f t="shared" si="13"/>
        <v>0</v>
      </c>
      <c r="AH14" s="73">
        <f t="shared" si="14"/>
        <v>15199.999999999996</v>
      </c>
      <c r="AI14" s="73">
        <f t="shared" si="15"/>
        <v>15367.03296703297</v>
      </c>
      <c r="AJ14" s="73">
        <f t="shared" si="16"/>
        <v>8851.4109890109885</v>
      </c>
      <c r="AK14" s="75">
        <f>IF($L$616,1,0)</f>
        <v>0</v>
      </c>
      <c r="AL14" s="72">
        <f>IF($L$616,$M$616,0)</f>
        <v>0</v>
      </c>
      <c r="AM14" s="73">
        <f>$N$643/$N$631*IF($O$616=1,$O$643/$O$631,1)-1</f>
        <v>2.0000000000000018E-2</v>
      </c>
      <c r="AN14" s="73">
        <f>$N$644/$N$632*IF($O$616=1,$O$644/$O$632,1)-1</f>
        <v>2.0000000000000018E-2</v>
      </c>
      <c r="AO14" s="73">
        <f>$N$645/$N$633*IF($O$616=1,$O$645/$O$633,1)-1</f>
        <v>2.0000000000000018E-2</v>
      </c>
      <c r="AP14" s="73">
        <f>$N$646/$N$634*IF($O$616=1,$O$646/$O$634,1)-1</f>
        <v>2.0000000000000018E-2</v>
      </c>
      <c r="AQ14" s="73">
        <f>$N$647/$N$635*IF($O$616=1,$O$647/$O$635,1)-1</f>
        <v>2.0000000000000018E-2</v>
      </c>
      <c r="AR14" s="73">
        <f>$N$648/$N$636*IF($O$616=1,$O$648/$O$636,1)-1</f>
        <v>2.0000000000000018E-2</v>
      </c>
      <c r="AS14" s="73">
        <f>$N$649/$N$637*IF($O$616=1,$O$649/$O$637,1)-1</f>
        <v>2.0000000000000018E-2</v>
      </c>
      <c r="AT14" s="73">
        <f>$N$650/$N$638*IF($O$616=1,$O$650/$O$638,1)-1</f>
        <v>2.0000000000000018E-2</v>
      </c>
      <c r="AU14" s="73">
        <f>$N$651/$N$639*IF($O$616=1,$O$651/$O$639,1)-1</f>
        <v>2.0000000000000018E-2</v>
      </c>
      <c r="AV14" s="73">
        <f>$N$652/$N$640*IF($O$616=1,$O$652/$O$640,1)-1</f>
        <v>2.0000000000000018E-2</v>
      </c>
      <c r="AW14" s="73">
        <f>$N$653/$N$641*IF($O$616=1,$O$653/$O$641,1)-1</f>
        <v>0</v>
      </c>
      <c r="AX14" s="73">
        <f>$N$654/$N$642*IF($O$616=1,$O$654/$O$642,1)-1</f>
        <v>0</v>
      </c>
      <c r="AY14" s="73">
        <f>$N$643/$N$631-1</f>
        <v>2.0000000000000018E-2</v>
      </c>
      <c r="AZ14" s="73">
        <f>$N$644/$N$632-1</f>
        <v>2.0000000000000018E-2</v>
      </c>
      <c r="BA14" s="73">
        <f>$N$645/$N$633-1</f>
        <v>2.0000000000000018E-2</v>
      </c>
      <c r="BB14" s="73">
        <f>$N$646/$N$634-1</f>
        <v>2.0000000000000018E-2</v>
      </c>
      <c r="BC14" s="73">
        <f>$N$647/$N$635-1</f>
        <v>2.0000000000000018E-2</v>
      </c>
      <c r="BD14" s="73">
        <f>$N$648/$N$636-1</f>
        <v>2.0000000000000018E-2</v>
      </c>
      <c r="BE14" s="73">
        <f>$N$649/$N$637-1</f>
        <v>2.0000000000000018E-2</v>
      </c>
      <c r="BF14" s="73">
        <f>$N$650/$N$638-1</f>
        <v>2.0000000000000018E-2</v>
      </c>
      <c r="BG14" s="73">
        <f>$N$651/$N$639-1</f>
        <v>2.0000000000000018E-2</v>
      </c>
      <c r="BH14" s="73">
        <f>$N$652/$N$640-1</f>
        <v>2.0000000000000018E-2</v>
      </c>
      <c r="BI14" s="73">
        <f>$N$653/$N$641-1</f>
        <v>0</v>
      </c>
      <c r="BJ14" s="73">
        <f>$N$654/$N$642-1</f>
        <v>0</v>
      </c>
      <c r="BK14" s="73">
        <f>$O$643/$O$631-1</f>
        <v>0</v>
      </c>
      <c r="BL14" s="73">
        <f>$O$644/$O$632-1</f>
        <v>0</v>
      </c>
      <c r="BM14" s="73">
        <f>$O$645/$O$633-1</f>
        <v>0</v>
      </c>
      <c r="BN14" s="73">
        <f>$O$646/$O$634-1</f>
        <v>0</v>
      </c>
      <c r="BO14" s="73">
        <f>$O$647/$O$635-1</f>
        <v>0</v>
      </c>
      <c r="BP14" s="73">
        <f>$O$648/$O$636-1</f>
        <v>0</v>
      </c>
      <c r="BQ14" s="73">
        <f>$O$649/$O$637-1</f>
        <v>0</v>
      </c>
      <c r="BR14" s="73">
        <f>$O$650/$O$638-1</f>
        <v>0</v>
      </c>
      <c r="BS14" s="73">
        <f>$O$651/$O$639-1</f>
        <v>0</v>
      </c>
      <c r="BT14" s="73">
        <f>$O$652/$O$640-1</f>
        <v>0</v>
      </c>
      <c r="BU14" s="73">
        <f>$O$653/$O$641-1</f>
        <v>0</v>
      </c>
      <c r="BV14" s="73">
        <f>$O$654/$O$642-1</f>
        <v>0</v>
      </c>
      <c r="BW14" s="73">
        <f>$V14*$H$643</f>
        <v>15200</v>
      </c>
      <c r="BX14" s="73">
        <f>$V14*$H$644</f>
        <v>15200</v>
      </c>
      <c r="BY14" s="73">
        <f>$V14*$H$645</f>
        <v>15200</v>
      </c>
      <c r="BZ14" s="73">
        <f>$V14*$H$646</f>
        <v>15200</v>
      </c>
      <c r="CA14" s="73">
        <f>$V14*$H$647</f>
        <v>15200</v>
      </c>
      <c r="CB14" s="73">
        <f>$V14*$H$648</f>
        <v>15200</v>
      </c>
      <c r="CC14" s="73">
        <f>$V14*$H$649</f>
        <v>15200</v>
      </c>
      <c r="CD14" s="73">
        <f>$V14*$H$650</f>
        <v>15200</v>
      </c>
      <c r="CE14" s="73">
        <f>$V14*$H$651</f>
        <v>15200</v>
      </c>
      <c r="CF14" s="73">
        <f>$V14*$H$652</f>
        <v>15200</v>
      </c>
      <c r="CG14" s="73">
        <f>$V14*$H$653</f>
        <v>15200</v>
      </c>
      <c r="CH14" s="73">
        <f>$V14*$H$654</f>
        <v>15200</v>
      </c>
      <c r="CI14" s="75">
        <f>$O$616</f>
        <v>1</v>
      </c>
      <c r="CJ14" s="73">
        <f>$H$667</f>
        <v>1.0166666666666664</v>
      </c>
      <c r="CK14" s="73">
        <f>$I$667</f>
        <v>1</v>
      </c>
      <c r="CL14" s="73">
        <f>$J$667</f>
        <v>1.0166666666666664</v>
      </c>
      <c r="CM14" s="73">
        <f t="shared" si="17"/>
        <v>0</v>
      </c>
      <c r="CN14" s="73">
        <f t="shared" si="18"/>
        <v>15200</v>
      </c>
      <c r="CO14" s="72">
        <f>$M14*($C14/$K$667)*IF($O$616=1,$F$616/$G14,1)*$R14</f>
        <v>0.58360113249196222</v>
      </c>
      <c r="CP14" s="72">
        <f>$M14*(1+$S14)*($C14/$L$667)*IF($O$616=1,$F$616/$H14,1)*$R14</f>
        <v>0.58232967032967031</v>
      </c>
      <c r="CQ14" s="73">
        <f t="shared" si="19"/>
        <v>8870.7372138778264</v>
      </c>
      <c r="CR14" s="73">
        <f t="shared" si="20"/>
        <v>8851.4109890109885</v>
      </c>
      <c r="CS14" s="73">
        <f t="shared" si="21"/>
        <v>0</v>
      </c>
      <c r="CT14" s="272">
        <f t="shared" si="22"/>
        <v>0</v>
      </c>
      <c r="CU14" s="75">
        <f t="shared" si="23"/>
        <v>1</v>
      </c>
      <c r="CV14" s="75">
        <f t="shared" si="24"/>
        <v>0</v>
      </c>
      <c r="CW14" s="273">
        <f t="shared" si="25"/>
        <v>46327</v>
      </c>
      <c r="CX14" s="274">
        <f t="shared" si="26"/>
        <v>0.02</v>
      </c>
      <c r="CY14" s="6" t="str">
        <f t="shared" si="27"/>
        <v>T</v>
      </c>
      <c r="CZ14" s="273" t="str">
        <f t="shared" si="28"/>
        <v/>
      </c>
      <c r="DA14" s="274" t="str">
        <f t="shared" si="29"/>
        <v/>
      </c>
      <c r="DB14" s="6" t="str">
        <f t="shared" si="30"/>
        <v/>
      </c>
      <c r="DC14" s="273" t="str">
        <f t="shared" si="31"/>
        <v/>
      </c>
      <c r="DD14" s="274" t="str">
        <f t="shared" si="32"/>
        <v/>
      </c>
      <c r="DE14" s="6" t="str">
        <f t="shared" si="33"/>
        <v/>
      </c>
      <c r="DF14" s="273" t="str">
        <f t="shared" si="34"/>
        <v/>
      </c>
      <c r="DG14" s="274" t="str">
        <f t="shared" si="35"/>
        <v/>
      </c>
      <c r="DH14" s="6" t="str">
        <f t="shared" si="36"/>
        <v/>
      </c>
    </row>
    <row r="15" spans="1:112" x14ac:dyDescent="0.3">
      <c r="A15" s="6" t="str">
        <f>$A$670</f>
        <v>ABD|MN</v>
      </c>
      <c r="B15" s="75">
        <f>$C$670</f>
        <v>6</v>
      </c>
      <c r="C15" s="73">
        <f>$B$721</f>
        <v>1</v>
      </c>
      <c r="D15" s="73">
        <f>$C$721</f>
        <v>1</v>
      </c>
      <c r="E15" s="73">
        <f>$D$721</f>
        <v>1</v>
      </c>
      <c r="F15" s="73">
        <f>$E$721</f>
        <v>1</v>
      </c>
      <c r="G15" s="224">
        <f>$F$721</f>
        <v>0.91598878555798668</v>
      </c>
      <c r="H15" s="224">
        <f>$G$721</f>
        <v>0.92449033552151683</v>
      </c>
      <c r="I15" s="73">
        <f t="shared" si="0"/>
        <v>1</v>
      </c>
      <c r="J15" s="73">
        <f t="shared" si="1"/>
        <v>1</v>
      </c>
      <c r="K15" s="73">
        <f>IF($L$670,1,IF(AND(nr_ModAdjMaster="ON",INDEX(lr_modadj,12)="ON"),$F$670/$G15,1))</f>
        <v>1.0043791086804299</v>
      </c>
      <c r="L15" s="73">
        <f>IF($L$670,1,IF(AND(nr_ModAdjMaster="ON",INDEX(lr_modadj,12)="ON"),$F$670/$H15,1))</f>
        <v>0.99514290701699581</v>
      </c>
      <c r="M15" s="72">
        <f>IF(INDEX(lr_basis,12)="proposed",N(INDEX(lr_lrproj,12))*(1+N(INDEX(lr_s,12))),N(INDEX(lr_lrproj,12)))</f>
        <v>0.56000000000000005</v>
      </c>
      <c r="N15" s="72">
        <f t="shared" si="2"/>
        <v>0.56245230086104081</v>
      </c>
      <c r="O15" s="72">
        <f t="shared" si="3"/>
        <v>0.5572800279295177</v>
      </c>
      <c r="P15" s="72">
        <f t="shared" si="4"/>
        <v>0</v>
      </c>
      <c r="Q15" s="72">
        <f t="shared" si="5"/>
        <v>0</v>
      </c>
      <c r="R15" s="73">
        <f>IF(N(INDEX(lr_aother,12))=0,1,INDEX(lr_aother,12))</f>
        <v>1</v>
      </c>
      <c r="S15" s="72">
        <f>IF(ISBLANK(INDEX(lr_trend,12)),N(nr_TrendDefault),N(INDEX(lr_trend,12)))</f>
        <v>0</v>
      </c>
      <c r="T15" s="6" t="str">
        <f>INDEX(lr_state,12)</f>
        <v>MN</v>
      </c>
      <c r="U15" s="6" t="str">
        <f>INDEX(lr_bu,12)</f>
        <v>ABD</v>
      </c>
      <c r="V15" s="271">
        <f>N(INDEX(lr_ep,12))</f>
        <v>12000</v>
      </c>
      <c r="W15" s="73">
        <f>N(INDEX(lr_mind,12))*$V15</f>
        <v>11040</v>
      </c>
      <c r="X15" s="73">
        <f>N(INDEX(lr_m0,12))*$V15</f>
        <v>10920</v>
      </c>
      <c r="Y15" s="73">
        <f>N(INDEX(lr_m1,12))*$V15</f>
        <v>11100</v>
      </c>
      <c r="Z15" s="73">
        <f t="shared" si="6"/>
        <v>12000</v>
      </c>
      <c r="AA15" s="73">
        <f t="shared" si="7"/>
        <v>12000</v>
      </c>
      <c r="AB15" s="73">
        <f t="shared" si="8"/>
        <v>12000</v>
      </c>
      <c r="AC15" s="73">
        <f t="shared" si="9"/>
        <v>10991.86542669584</v>
      </c>
      <c r="AD15" s="73">
        <f t="shared" si="10"/>
        <v>12052.549304165159</v>
      </c>
      <c r="AE15" s="73">
        <f t="shared" si="11"/>
        <v>6720.0000000000009</v>
      </c>
      <c r="AF15" s="73">
        <f t="shared" si="12"/>
        <v>6749.4276103324901</v>
      </c>
      <c r="AG15" s="73">
        <f t="shared" si="13"/>
        <v>0</v>
      </c>
      <c r="AH15" s="73">
        <f t="shared" si="14"/>
        <v>12000</v>
      </c>
      <c r="AI15" s="73">
        <f t="shared" si="15"/>
        <v>11941.71488420395</v>
      </c>
      <c r="AJ15" s="73">
        <f t="shared" si="16"/>
        <v>6687.3603351542124</v>
      </c>
      <c r="AK15" s="75">
        <f>IF($L$670,1,0)</f>
        <v>0</v>
      </c>
      <c r="AL15" s="72">
        <f>IF($L$670,$M$670,0)</f>
        <v>0</v>
      </c>
      <c r="AM15" s="73">
        <f>$N$697/$N$685*IF($O$670=1,$O$697/$O$685,1)-1</f>
        <v>1.3288593047456665E-2</v>
      </c>
      <c r="AN15" s="73">
        <f>$N$698/$N$686*IF($O$670=1,$O$698/$O$686,1)-1</f>
        <v>1.3274336283185972E-2</v>
      </c>
      <c r="AO15" s="73">
        <f>$N$699/$N$687*IF($O$670=1,$O$699/$O$687,1)-1</f>
        <v>1.3260110077078169E-2</v>
      </c>
      <c r="AP15" s="73">
        <f>$N$700/$N$688*IF($O$670=1,$O$700/$O$688,1)-1</f>
        <v>1.3245433651869032E-2</v>
      </c>
      <c r="AQ15" s="73">
        <f>$N$701/$N$689*IF($O$670=1,$O$701/$O$689,1)-1</f>
        <v>1.3230789678775778E-2</v>
      </c>
      <c r="AR15" s="73">
        <f>$N$702/$N$690*IF($O$670=1,$O$702/$O$690,1)-1</f>
        <v>1.3216178050281746E-2</v>
      </c>
      <c r="AS15" s="73">
        <f>$N$703/$N$691*IF($O$670=1,$O$703/$O$691,1)-1</f>
        <v>1.320159865934456E-2</v>
      </c>
      <c r="AT15" s="73">
        <f>$N$704/$N$692*IF($O$670=1,$O$704/$O$692,1)-1</f>
        <v>1.3186813186813362E-2</v>
      </c>
      <c r="AU15" s="73">
        <f>$N$705/$N$693*IF($O$670=1,$O$705/$O$693,1)-1</f>
        <v>1.3172298475862876E-2</v>
      </c>
      <c r="AV15" s="73">
        <f>$N$706/$N$694*IF($O$670=1,$O$706/$O$694,1)-1</f>
        <v>1.3157815682433904E-2</v>
      </c>
      <c r="AW15" s="73">
        <f>$N$707/$N$695*IF($O$670=1,$O$707/$O$695,1)-1</f>
        <v>1.3143364701363458E-2</v>
      </c>
      <c r="AX15" s="73">
        <f>$N$708/$N$696*IF($O$670=1,$O$708/$O$696,1)-1</f>
        <v>1.3128945427949512E-2</v>
      </c>
      <c r="AY15" s="73">
        <f>$N$697/$N$685-1</f>
        <v>0</v>
      </c>
      <c r="AZ15" s="73">
        <f>$N$698/$N$686-1</f>
        <v>0</v>
      </c>
      <c r="BA15" s="73">
        <f>$N$699/$N$687-1</f>
        <v>0</v>
      </c>
      <c r="BB15" s="73">
        <f>$N$700/$N$688-1</f>
        <v>0</v>
      </c>
      <c r="BC15" s="73">
        <f>$N$701/$N$689-1</f>
        <v>0</v>
      </c>
      <c r="BD15" s="73">
        <f>$N$702/$N$690-1</f>
        <v>0</v>
      </c>
      <c r="BE15" s="73">
        <f>$N$703/$N$691-1</f>
        <v>0</v>
      </c>
      <c r="BF15" s="73">
        <f>$N$704/$N$692-1</f>
        <v>0</v>
      </c>
      <c r="BG15" s="73">
        <f>$N$705/$N$693-1</f>
        <v>0</v>
      </c>
      <c r="BH15" s="73">
        <f>$N$706/$N$694-1</f>
        <v>0</v>
      </c>
      <c r="BI15" s="73">
        <f>$N$707/$N$695-1</f>
        <v>0</v>
      </c>
      <c r="BJ15" s="73">
        <f>$N$708/$N$696-1</f>
        <v>0</v>
      </c>
      <c r="BK15" s="73">
        <f>$O$697/$O$685-1</f>
        <v>1.3288593047456665E-2</v>
      </c>
      <c r="BL15" s="73">
        <f>$O$698/$O$686-1</f>
        <v>1.3274336283185972E-2</v>
      </c>
      <c r="BM15" s="73">
        <f>$O$699/$O$687-1</f>
        <v>1.3260110077078169E-2</v>
      </c>
      <c r="BN15" s="73">
        <f>$O$700/$O$688-1</f>
        <v>1.3245433651869032E-2</v>
      </c>
      <c r="BO15" s="73">
        <f>$O$701/$O$689-1</f>
        <v>1.3230789678775778E-2</v>
      </c>
      <c r="BP15" s="73">
        <f>$O$702/$O$690-1</f>
        <v>1.3216178050281746E-2</v>
      </c>
      <c r="BQ15" s="73">
        <f>$O$703/$O$691-1</f>
        <v>1.320159865934456E-2</v>
      </c>
      <c r="BR15" s="73">
        <f>$O$704/$O$692-1</f>
        <v>1.3186813186813362E-2</v>
      </c>
      <c r="BS15" s="73">
        <f>$O$705/$O$693-1</f>
        <v>1.3172298475862876E-2</v>
      </c>
      <c r="BT15" s="73">
        <f>$O$706/$O$694-1</f>
        <v>1.3157815682433904E-2</v>
      </c>
      <c r="BU15" s="73">
        <f>$O$707/$O$695-1</f>
        <v>1.3143364701363458E-2</v>
      </c>
      <c r="BV15" s="73">
        <f>$O$708/$O$696-1</f>
        <v>1.3128945427949512E-2</v>
      </c>
      <c r="BW15" s="73">
        <f>$V15*$H$697</f>
        <v>12000</v>
      </c>
      <c r="BX15" s="73">
        <f>$V15*$H$698</f>
        <v>12000</v>
      </c>
      <c r="BY15" s="73">
        <f>$V15*$H$699</f>
        <v>12000</v>
      </c>
      <c r="BZ15" s="73">
        <f>$V15*$H$700</f>
        <v>12000</v>
      </c>
      <c r="CA15" s="73">
        <f>$V15*$H$701</f>
        <v>12000</v>
      </c>
      <c r="CB15" s="73">
        <f>$V15*$H$702</f>
        <v>12000</v>
      </c>
      <c r="CC15" s="73">
        <f>$V15*$H$703</f>
        <v>12000</v>
      </c>
      <c r="CD15" s="73">
        <f>$V15*$H$704</f>
        <v>12000</v>
      </c>
      <c r="CE15" s="73">
        <f>$V15*$H$705</f>
        <v>12000</v>
      </c>
      <c r="CF15" s="73">
        <f>$V15*$H$706</f>
        <v>12000</v>
      </c>
      <c r="CG15" s="73">
        <f>$V15*$H$707</f>
        <v>12000</v>
      </c>
      <c r="CH15" s="73">
        <f>$V15*$H$708</f>
        <v>12000</v>
      </c>
      <c r="CI15" s="75">
        <f>$O$670</f>
        <v>1</v>
      </c>
      <c r="CJ15" s="73">
        <f>$H$721</f>
        <v>1</v>
      </c>
      <c r="CK15" s="73">
        <f>$I$721</f>
        <v>1.0132088564102013</v>
      </c>
      <c r="CL15" s="73">
        <f>$J$721</f>
        <v>1.0132088564102013</v>
      </c>
      <c r="CM15" s="73">
        <f t="shared" si="17"/>
        <v>0</v>
      </c>
      <c r="CN15" s="73">
        <f t="shared" si="18"/>
        <v>12000</v>
      </c>
      <c r="CO15" s="72">
        <f>$M15*($C15/$K$721)*IF($O$670=1,$F$670/$G15,1)*$R15</f>
        <v>0.56245230086104081</v>
      </c>
      <c r="CP15" s="72">
        <f>$M15*(1+$S15)*($C15/$L$721)*IF($O$670=1,$F$670/$H15,1)*$R15</f>
        <v>0.5572800279295177</v>
      </c>
      <c r="CQ15" s="73">
        <f t="shared" si="19"/>
        <v>6749.4276103324901</v>
      </c>
      <c r="CR15" s="73">
        <f t="shared" si="20"/>
        <v>6687.3603351542124</v>
      </c>
      <c r="CS15" s="73">
        <f t="shared" si="21"/>
        <v>0</v>
      </c>
      <c r="CT15" s="272">
        <f t="shared" si="22"/>
        <v>0</v>
      </c>
      <c r="CU15" s="75">
        <f t="shared" si="23"/>
        <v>0</v>
      </c>
      <c r="CV15" s="75">
        <f t="shared" si="24"/>
        <v>0</v>
      </c>
      <c r="CW15" s="273" t="str">
        <f t="shared" si="25"/>
        <v/>
      </c>
      <c r="CX15" s="274" t="str">
        <f t="shared" si="26"/>
        <v/>
      </c>
      <c r="CY15" s="6" t="str">
        <f t="shared" si="27"/>
        <v/>
      </c>
      <c r="CZ15" s="273" t="str">
        <f t="shared" si="28"/>
        <v/>
      </c>
      <c r="DA15" s="274" t="str">
        <f t="shared" si="29"/>
        <v/>
      </c>
      <c r="DB15" s="6" t="str">
        <f t="shared" si="30"/>
        <v/>
      </c>
      <c r="DC15" s="273" t="str">
        <f t="shared" si="31"/>
        <v/>
      </c>
      <c r="DD15" s="274" t="str">
        <f t="shared" si="32"/>
        <v/>
      </c>
      <c r="DE15" s="6" t="str">
        <f t="shared" si="33"/>
        <v/>
      </c>
      <c r="DF15" s="273" t="str">
        <f t="shared" si="34"/>
        <v/>
      </c>
      <c r="DG15" s="274" t="str">
        <f t="shared" si="35"/>
        <v/>
      </c>
      <c r="DH15" s="6" t="str">
        <f t="shared" si="36"/>
        <v/>
      </c>
    </row>
    <row r="16" spans="1:112" x14ac:dyDescent="0.3">
      <c r="A16" s="6" t="str">
        <f>$A$724</f>
        <v>ABD|NM</v>
      </c>
      <c r="B16" s="75">
        <f>$C$724</f>
        <v>6</v>
      </c>
      <c r="C16" s="73">
        <f>$B$775</f>
        <v>1.04</v>
      </c>
      <c r="D16" s="73">
        <f>$C$775</f>
        <v>1.0299999999999998</v>
      </c>
      <c r="E16" s="73">
        <f>$D$775</f>
        <v>1.0399999999999998</v>
      </c>
      <c r="F16" s="73">
        <f>$E$775</f>
        <v>1.0399999999999998</v>
      </c>
      <c r="G16" s="224">
        <f>$F$775</f>
        <v>0.9080037381473377</v>
      </c>
      <c r="H16" s="224">
        <f>$G$775</f>
        <v>0.90516988815949428</v>
      </c>
      <c r="I16" s="73">
        <f t="shared" si="0"/>
        <v>1.0000000000000002</v>
      </c>
      <c r="J16" s="73">
        <f t="shared" si="1"/>
        <v>1.0000000000000002</v>
      </c>
      <c r="K16" s="73">
        <f>IF($L$724,1,IF(AND(nr_ModAdjMaster="ON",INDEX(lr_modadj,13)="ON"),$F$724/$G16,1))</f>
        <v>1.0132116877372543</v>
      </c>
      <c r="L16" s="73">
        <f>IF($L$724,1,IF(AND(nr_ModAdjMaster="ON",INDEX(lr_modadj,13)="ON"),$F$724/$H16,1))</f>
        <v>1.0163837883191853</v>
      </c>
      <c r="M16" s="72">
        <f>IF(INDEX(lr_basis,13)="proposed",N(INDEX(lr_lrproj,13))*(1+N(INDEX(lr_s,13))),N(INDEX(lr_lrproj,13)))</f>
        <v>0.58799999999999997</v>
      </c>
      <c r="N16" s="72">
        <f t="shared" si="2"/>
        <v>0.59576847238950559</v>
      </c>
      <c r="O16" s="72">
        <f t="shared" si="3"/>
        <v>0.59763366753168101</v>
      </c>
      <c r="P16" s="72">
        <f t="shared" si="4"/>
        <v>0</v>
      </c>
      <c r="Q16" s="72">
        <f t="shared" si="5"/>
        <v>0</v>
      </c>
      <c r="R16" s="73">
        <f>IF(N(INDEX(lr_aother,13))=0,1,INDEX(lr_aother,13))</f>
        <v>1</v>
      </c>
      <c r="S16" s="72">
        <f>IF(ISBLANK(INDEX(lr_trend,13)),N(nr_TrendDefault),N(INDEX(lr_trend,13)))</f>
        <v>0</v>
      </c>
      <c r="T16" s="6" t="str">
        <f>INDEX(lr_state,13)</f>
        <v>NM</v>
      </c>
      <c r="U16" s="6" t="str">
        <f>INDEX(lr_bu,13)</f>
        <v>ABD</v>
      </c>
      <c r="V16" s="271">
        <f>N(INDEX(lr_ep,13))</f>
        <v>8800</v>
      </c>
      <c r="W16" s="73">
        <f>N(INDEX(lr_mind,13))*$V16</f>
        <v>8096</v>
      </c>
      <c r="X16" s="73">
        <f>N(INDEX(lr_m0,13))*$V16</f>
        <v>8008</v>
      </c>
      <c r="Y16" s="73">
        <f>N(INDEX(lr_m1,13))*$V16</f>
        <v>7964</v>
      </c>
      <c r="Z16" s="73">
        <f t="shared" si="6"/>
        <v>9152</v>
      </c>
      <c r="AA16" s="73">
        <f t="shared" si="7"/>
        <v>9151.9999999999982</v>
      </c>
      <c r="AB16" s="73">
        <f t="shared" si="8"/>
        <v>8800.0000000000018</v>
      </c>
      <c r="AC16" s="73">
        <f t="shared" si="9"/>
        <v>7990.4328956965719</v>
      </c>
      <c r="AD16" s="73">
        <f t="shared" si="10"/>
        <v>8916.2628520878388</v>
      </c>
      <c r="AE16" s="73">
        <f t="shared" si="11"/>
        <v>5174.3999999999996</v>
      </c>
      <c r="AF16" s="73">
        <f t="shared" si="12"/>
        <v>5242.7625570276496</v>
      </c>
      <c r="AG16" s="73">
        <f t="shared" si="13"/>
        <v>0</v>
      </c>
      <c r="AH16" s="73">
        <f t="shared" si="14"/>
        <v>8800.0000000000018</v>
      </c>
      <c r="AI16" s="73">
        <f t="shared" si="15"/>
        <v>8944.1773372088301</v>
      </c>
      <c r="AJ16" s="73">
        <f t="shared" si="16"/>
        <v>5259.1762742787932</v>
      </c>
      <c r="AK16" s="75">
        <f>IF($L$724,1,0)</f>
        <v>0</v>
      </c>
      <c r="AL16" s="72">
        <f>IF($L$724,$M$724,0)</f>
        <v>0</v>
      </c>
      <c r="AM16" s="73">
        <f>$N$751/$N$739*IF($O$724=1,$O$751/$O$739,1)-1</f>
        <v>-4.3748464309043555E-3</v>
      </c>
      <c r="AN16" s="73">
        <f>$N$752/$N$740*IF($O$724=1,$O$752/$O$740,1)-1</f>
        <v>-4.3763938514663758E-3</v>
      </c>
      <c r="AO16" s="73">
        <f>$N$753/$N$741*IF($O$724=1,$O$753/$O$741,1)-1</f>
        <v>-4.3779423670874396E-3</v>
      </c>
      <c r="AP16" s="73">
        <f>$N$754/$N$742*IF($O$724=1,$O$754/$O$742,1)-1</f>
        <v>-4.3795445273691058E-3</v>
      </c>
      <c r="AQ16" s="73">
        <f>$N$755/$N$743*IF($O$724=1,$O$755/$O$743,1)-1</f>
        <v>-4.3811478607395093E-3</v>
      </c>
      <c r="AR16" s="73">
        <f>$N$756/$N$744*IF($O$724=1,$O$756/$O$744,1)-1</f>
        <v>-4.382752368487397E-3</v>
      </c>
      <c r="AS16" s="73">
        <f>$N$757/$N$745*IF($O$724=1,$O$757/$O$745,1)-1</f>
        <v>-4.3843580519036252E-3</v>
      </c>
      <c r="AT16" s="73">
        <f>$N$758/$N$746*IF($O$724=1,$O$758/$O$746,1)-1</f>
        <v>-4.3859912640666909E-3</v>
      </c>
      <c r="AU16" s="73">
        <f>$N$759/$N$747*IF($O$724=1,$O$759/$O$747,1)-1</f>
        <v>-4.3875993220258147E-3</v>
      </c>
      <c r="AV16" s="73">
        <f>$N$760/$N$748*IF($O$724=1,$O$760/$O$748,1)-1</f>
        <v>-4.3892085595579333E-3</v>
      </c>
      <c r="AW16" s="73">
        <f>$N$761/$N$749*IF($O$724=1,$O$761/$O$749,1)-1</f>
        <v>-4.3908189779616746E-3</v>
      </c>
      <c r="AX16" s="73">
        <f>$N$762/$N$750*IF($O$724=1,$O$762/$O$750,1)-1</f>
        <v>-4.3924305785372209E-3</v>
      </c>
      <c r="AY16" s="73">
        <f>$N$751/$N$739-1</f>
        <v>0</v>
      </c>
      <c r="AZ16" s="73">
        <f>$N$752/$N$740-1</f>
        <v>0</v>
      </c>
      <c r="BA16" s="73">
        <f>$N$753/$N$741-1</f>
        <v>0</v>
      </c>
      <c r="BB16" s="73">
        <f>$N$754/$N$742-1</f>
        <v>0</v>
      </c>
      <c r="BC16" s="73">
        <f>$N$755/$N$743-1</f>
        <v>0</v>
      </c>
      <c r="BD16" s="73">
        <f>$N$756/$N$744-1</f>
        <v>0</v>
      </c>
      <c r="BE16" s="73">
        <f>$N$757/$N$745-1</f>
        <v>0</v>
      </c>
      <c r="BF16" s="73">
        <f>$N$758/$N$746-1</f>
        <v>0</v>
      </c>
      <c r="BG16" s="73">
        <f>$N$759/$N$747-1</f>
        <v>0</v>
      </c>
      <c r="BH16" s="73">
        <f>$N$760/$N$748-1</f>
        <v>0</v>
      </c>
      <c r="BI16" s="73">
        <f>$N$761/$N$749-1</f>
        <v>0</v>
      </c>
      <c r="BJ16" s="73">
        <f>$N$762/$N$750-1</f>
        <v>0</v>
      </c>
      <c r="BK16" s="73">
        <f>$O$751/$O$739-1</f>
        <v>-4.3748464309043555E-3</v>
      </c>
      <c r="BL16" s="73">
        <f>$O$752/$O$740-1</f>
        <v>-4.3763938514663758E-3</v>
      </c>
      <c r="BM16" s="73">
        <f>$O$753/$O$741-1</f>
        <v>-4.3779423670874396E-3</v>
      </c>
      <c r="BN16" s="73">
        <f>$O$754/$O$742-1</f>
        <v>-4.3795445273691058E-3</v>
      </c>
      <c r="BO16" s="73">
        <f>$O$755/$O$743-1</f>
        <v>-4.3811478607395093E-3</v>
      </c>
      <c r="BP16" s="73">
        <f>$O$756/$O$744-1</f>
        <v>-4.382752368487397E-3</v>
      </c>
      <c r="BQ16" s="73">
        <f>$O$757/$O$745-1</f>
        <v>-4.3843580519036252E-3</v>
      </c>
      <c r="BR16" s="73">
        <f>$O$758/$O$746-1</f>
        <v>-4.3859912640666909E-3</v>
      </c>
      <c r="BS16" s="73">
        <f>$O$759/$O$747-1</f>
        <v>-4.3875993220258147E-3</v>
      </c>
      <c r="BT16" s="73">
        <f>$O$760/$O$748-1</f>
        <v>-4.3892085595579333E-3</v>
      </c>
      <c r="BU16" s="73">
        <f>$O$761/$O$749-1</f>
        <v>-4.3908189779616746E-3</v>
      </c>
      <c r="BV16" s="73">
        <f>$O$762/$O$750-1</f>
        <v>-4.3924305785372209E-3</v>
      </c>
      <c r="BW16" s="73">
        <f>$V16*$H$751</f>
        <v>8800</v>
      </c>
      <c r="BX16" s="73">
        <f>$V16*$H$752</f>
        <v>8800</v>
      </c>
      <c r="BY16" s="73">
        <f>$V16*$H$753</f>
        <v>8800</v>
      </c>
      <c r="BZ16" s="73">
        <f>$V16*$H$754</f>
        <v>8800</v>
      </c>
      <c r="CA16" s="73">
        <f>$V16*$H$755</f>
        <v>8800</v>
      </c>
      <c r="CB16" s="73">
        <f>$V16*$H$756</f>
        <v>8800</v>
      </c>
      <c r="CC16" s="73">
        <f>$V16*$H$757</f>
        <v>8800</v>
      </c>
      <c r="CD16" s="73">
        <f>$V16*$H$758</f>
        <v>8800</v>
      </c>
      <c r="CE16" s="73">
        <f>$V16*$H$759</f>
        <v>8800</v>
      </c>
      <c r="CF16" s="73">
        <f>$V16*$H$760</f>
        <v>8800</v>
      </c>
      <c r="CG16" s="73">
        <f>$V16*$H$761</f>
        <v>8800</v>
      </c>
      <c r="CH16" s="73">
        <f>$V16*$H$762</f>
        <v>8800</v>
      </c>
      <c r="CI16" s="75">
        <f>$O$724</f>
        <v>1</v>
      </c>
      <c r="CJ16" s="73">
        <f>$H$775</f>
        <v>1</v>
      </c>
      <c r="CK16" s="73">
        <f>$I$775</f>
        <v>0.99561641381999111</v>
      </c>
      <c r="CL16" s="73">
        <f>$J$775</f>
        <v>0.99561641381999111</v>
      </c>
      <c r="CM16" s="73">
        <f t="shared" si="17"/>
        <v>0</v>
      </c>
      <c r="CN16" s="73">
        <f t="shared" si="18"/>
        <v>8800</v>
      </c>
      <c r="CO16" s="72">
        <f>$M16*($C16/$K$775)*IF($O$724=1,$F$724/$G16,1)*$R16</f>
        <v>0.59576847238950559</v>
      </c>
      <c r="CP16" s="72">
        <f>$M16*(1+$S16)*($C16/$L$775)*IF($O$724=1,$F$724/$H16,1)*$R16</f>
        <v>0.59763366753168101</v>
      </c>
      <c r="CQ16" s="73">
        <f t="shared" si="19"/>
        <v>5242.7625570276496</v>
      </c>
      <c r="CR16" s="73">
        <f t="shared" si="20"/>
        <v>5259.1762742787932</v>
      </c>
      <c r="CS16" s="73">
        <f t="shared" si="21"/>
        <v>0</v>
      </c>
      <c r="CT16" s="272">
        <f t="shared" si="22"/>
        <v>0</v>
      </c>
      <c r="CU16" s="75">
        <f t="shared" si="23"/>
        <v>1</v>
      </c>
      <c r="CV16" s="75">
        <f t="shared" si="24"/>
        <v>0</v>
      </c>
      <c r="CW16" s="273">
        <f t="shared" si="25"/>
        <v>46023</v>
      </c>
      <c r="CX16" s="274">
        <f t="shared" si="26"/>
        <v>0.04</v>
      </c>
      <c r="CY16" s="6" t="str">
        <f t="shared" si="27"/>
        <v>T</v>
      </c>
      <c r="CZ16" s="273" t="str">
        <f t="shared" si="28"/>
        <v/>
      </c>
      <c r="DA16" s="274" t="str">
        <f t="shared" si="29"/>
        <v/>
      </c>
      <c r="DB16" s="6" t="str">
        <f t="shared" si="30"/>
        <v/>
      </c>
      <c r="DC16" s="273" t="str">
        <f t="shared" si="31"/>
        <v/>
      </c>
      <c r="DD16" s="274" t="str">
        <f t="shared" si="32"/>
        <v/>
      </c>
      <c r="DE16" s="6" t="str">
        <f t="shared" si="33"/>
        <v/>
      </c>
      <c r="DF16" s="273" t="str">
        <f t="shared" si="34"/>
        <v/>
      </c>
      <c r="DG16" s="274" t="str">
        <f t="shared" si="35"/>
        <v/>
      </c>
      <c r="DH16" s="6" t="str">
        <f t="shared" si="36"/>
        <v/>
      </c>
    </row>
    <row r="17" spans="1:112" x14ac:dyDescent="0.3">
      <c r="A17" s="6" t="str">
        <f>$A$778</f>
        <v>ABD|NC</v>
      </c>
      <c r="B17" s="75">
        <f>$C$778</f>
        <v>6</v>
      </c>
      <c r="C17" s="73">
        <f>$B$829</f>
        <v>1.05</v>
      </c>
      <c r="D17" s="73">
        <f>$C$829</f>
        <v>1.0333333333333334</v>
      </c>
      <c r="E17" s="73">
        <f>$D$829</f>
        <v>1.071</v>
      </c>
      <c r="F17" s="73">
        <f>$E$829</f>
        <v>1.0920000000000003</v>
      </c>
      <c r="G17" s="224">
        <f>$F$829</f>
        <v>0.91399252370532447</v>
      </c>
      <c r="H17" s="224">
        <f>$G$829</f>
        <v>0.91966022368101141</v>
      </c>
      <c r="I17" s="73">
        <f t="shared" si="0"/>
        <v>0.98039215686274517</v>
      </c>
      <c r="J17" s="73">
        <f t="shared" si="1"/>
        <v>0.96153846153846134</v>
      </c>
      <c r="K17" s="73">
        <f>IF($L$778,1,IF(AND(nr_ModAdjMaster="ON",INDEX(lr_modadj,14)="ON"),$F$778/$G17,1))</f>
        <v>1.0065727849395543</v>
      </c>
      <c r="L17" s="73">
        <f>IF($L$778,1,IF(AND(nr_ModAdjMaster="ON",INDEX(lr_modadj,14)="ON"),$F$778/$H17,1))</f>
        <v>1.000369458535054</v>
      </c>
      <c r="M17" s="72">
        <f>IF(INDEX(lr_basis,14)="proposed",N(INDEX(lr_lrproj,14))*(1+N(INDEX(lr_s,14))),N(INDEX(lr_lrproj,14)))</f>
        <v>0.57199999999999995</v>
      </c>
      <c r="N17" s="72">
        <f t="shared" si="2"/>
        <v>0.56447022841708339</v>
      </c>
      <c r="O17" s="72">
        <f t="shared" si="3"/>
        <v>0.55020320219427954</v>
      </c>
      <c r="P17" s="72">
        <f t="shared" si="4"/>
        <v>2.0000000000000018E-2</v>
      </c>
      <c r="Q17" s="72">
        <f t="shared" si="5"/>
        <v>1.9607843137255276E-2</v>
      </c>
      <c r="R17" s="73">
        <f>IF(N(INDEX(lr_aother,14))=0,1,INDEX(lr_aother,14))</f>
        <v>1</v>
      </c>
      <c r="S17" s="72">
        <f>IF(ISBLANK(INDEX(lr_trend,14)),N(nr_TrendDefault),N(INDEX(lr_trend,14)))</f>
        <v>0</v>
      </c>
      <c r="T17" s="6" t="str">
        <f>INDEX(lr_state,14)</f>
        <v>NC</v>
      </c>
      <c r="U17" s="6" t="str">
        <f>INDEX(lr_bu,14)</f>
        <v>ABD</v>
      </c>
      <c r="V17" s="271">
        <f>N(INDEX(lr_ep,14))</f>
        <v>19200</v>
      </c>
      <c r="W17" s="73">
        <f>N(INDEX(lr_mind,14))*$V17</f>
        <v>17664</v>
      </c>
      <c r="X17" s="73">
        <f>N(INDEX(lr_m0,14))*$V17</f>
        <v>17472</v>
      </c>
      <c r="Y17" s="73">
        <f>N(INDEX(lr_m1,14))*$V17</f>
        <v>17664</v>
      </c>
      <c r="Z17" s="73">
        <f t="shared" si="6"/>
        <v>20160</v>
      </c>
      <c r="AA17" s="73">
        <f t="shared" si="7"/>
        <v>20563.2</v>
      </c>
      <c r="AB17" s="73">
        <f t="shared" si="8"/>
        <v>18823.529411764706</v>
      </c>
      <c r="AC17" s="73">
        <f t="shared" si="9"/>
        <v>17548.656455142231</v>
      </c>
      <c r="AD17" s="73">
        <f t="shared" si="10"/>
        <v>19326.197470839441</v>
      </c>
      <c r="AE17" s="73">
        <f t="shared" si="11"/>
        <v>10982.4</v>
      </c>
      <c r="AF17" s="73">
        <f t="shared" si="12"/>
        <v>10837.828385608002</v>
      </c>
      <c r="AG17" s="73">
        <f t="shared" si="13"/>
        <v>0</v>
      </c>
      <c r="AH17" s="73">
        <f t="shared" si="14"/>
        <v>18461.538461538457</v>
      </c>
      <c r="AI17" s="73">
        <f t="shared" si="15"/>
        <v>19207.093603873036</v>
      </c>
      <c r="AJ17" s="73">
        <f t="shared" si="16"/>
        <v>10563.901482130168</v>
      </c>
      <c r="AK17" s="75">
        <f>IF($L$778,1,0)</f>
        <v>0</v>
      </c>
      <c r="AL17" s="72">
        <f>IF($L$778,$M$778,0)</f>
        <v>0</v>
      </c>
      <c r="AM17" s="73">
        <f>$N$805/$N$793*IF($O$778=1,$O$805/$O$793,1)-1</f>
        <v>5.9273037418793084E-2</v>
      </c>
      <c r="AN17" s="73">
        <f>$N$806/$N$794*IF($O$778=1,$O$806/$O$794,1)-1</f>
        <v>8.8251650184965058E-3</v>
      </c>
      <c r="AO17" s="73">
        <f>$N$807/$N$795*IF($O$778=1,$O$807/$O$795,1)-1</f>
        <v>8.8188748082196344E-3</v>
      </c>
      <c r="AP17" s="73">
        <f>$N$808/$N$796*IF($O$778=1,$O$808/$O$796,1)-1</f>
        <v>4.9164876023081172E-2</v>
      </c>
      <c r="AQ17" s="73">
        <f>$N$809/$N$797*IF($O$778=1,$O$809/$O$797,1)-1</f>
        <v>4.9158132184947911E-2</v>
      </c>
      <c r="AR17" s="73">
        <f>$N$810/$N$798*IF($O$778=1,$O$810/$O$798,1)-1</f>
        <v>4.9151398264223767E-2</v>
      </c>
      <c r="AS17" s="73">
        <f>$N$811/$N$799*IF($O$778=1,$O$811/$O$799,1)-1</f>
        <v>4.9144674239047781E-2</v>
      </c>
      <c r="AT17" s="73">
        <f>$N$812/$N$800*IF($O$778=1,$O$812/$O$800,1)-1</f>
        <v>4.9137850101705682E-2</v>
      </c>
      <c r="AU17" s="73">
        <f>$N$813/$N$801*IF($O$778=1,$O$813/$O$801,1)-1</f>
        <v>4.9131145963629441E-2</v>
      </c>
      <c r="AV17" s="73">
        <f>$N$814/$N$802*IF($O$778=1,$O$814/$O$802,1)-1</f>
        <v>4.9124451655549795E-2</v>
      </c>
      <c r="AW17" s="73">
        <f>$N$815/$N$803*IF($O$778=1,$O$815/$O$803,1)-1</f>
        <v>4.9117767155861802E-2</v>
      </c>
      <c r="AX17" s="73">
        <f>$N$816/$N$804*IF($O$778=1,$O$816/$O$804,1)-1</f>
        <v>4.9111092443025806E-2</v>
      </c>
      <c r="AY17" s="73">
        <f>$N$805/$N$793-1</f>
        <v>5.0000000000000044E-2</v>
      </c>
      <c r="AZ17" s="73">
        <f>$N$806/$N$794-1</f>
        <v>0</v>
      </c>
      <c r="BA17" s="73">
        <f>$N$807/$N$795-1</f>
        <v>0</v>
      </c>
      <c r="BB17" s="73">
        <f>$N$808/$N$796-1</f>
        <v>4.0000000000000036E-2</v>
      </c>
      <c r="BC17" s="73">
        <f>$N$809/$N$797-1</f>
        <v>4.0000000000000036E-2</v>
      </c>
      <c r="BD17" s="73">
        <f>$N$810/$N$798-1</f>
        <v>4.0000000000000036E-2</v>
      </c>
      <c r="BE17" s="73">
        <f>$N$811/$N$799-1</f>
        <v>4.0000000000000036E-2</v>
      </c>
      <c r="BF17" s="73">
        <f>$N$812/$N$800-1</f>
        <v>4.0000000000000036E-2</v>
      </c>
      <c r="BG17" s="73">
        <f>$N$813/$N$801-1</f>
        <v>4.0000000000000036E-2</v>
      </c>
      <c r="BH17" s="73">
        <f>$N$814/$N$802-1</f>
        <v>4.0000000000000036E-2</v>
      </c>
      <c r="BI17" s="73">
        <f>$N$815/$N$803-1</f>
        <v>4.0000000000000036E-2</v>
      </c>
      <c r="BJ17" s="73">
        <f>$N$816/$N$804-1</f>
        <v>4.0000000000000036E-2</v>
      </c>
      <c r="BK17" s="73">
        <f>$O$805/$O$793-1</f>
        <v>8.8314642083742179E-3</v>
      </c>
      <c r="BL17" s="73">
        <f>$O$806/$O$794-1</f>
        <v>8.8251650184965058E-3</v>
      </c>
      <c r="BM17" s="73">
        <f>$O$807/$O$795-1</f>
        <v>8.8188748082196344E-3</v>
      </c>
      <c r="BN17" s="73">
        <f>$O$808/$O$796-1</f>
        <v>8.8123807914242125E-3</v>
      </c>
      <c r="BO17" s="73">
        <f>$O$809/$O$797-1</f>
        <v>8.8058963316806071E-3</v>
      </c>
      <c r="BP17" s="73">
        <f>$O$810/$O$798-1</f>
        <v>8.7994214079074595E-3</v>
      </c>
      <c r="BQ17" s="73">
        <f>$O$811/$O$799-1</f>
        <v>8.792955999084473E-3</v>
      </c>
      <c r="BR17" s="73">
        <f>$O$812/$O$800-1</f>
        <v>8.7863943285630963E-3</v>
      </c>
      <c r="BS17" s="73">
        <f>$O$813/$O$801-1</f>
        <v>8.7799480419512577E-3</v>
      </c>
      <c r="BT17" s="73">
        <f>$O$814/$O$802-1</f>
        <v>8.7735112072593324E-3</v>
      </c>
      <c r="BU17" s="73">
        <f>$O$815/$O$803-1</f>
        <v>8.7670838037132715E-3</v>
      </c>
      <c r="BV17" s="73">
        <f>$O$816/$O$804-1</f>
        <v>8.7606658106016422E-3</v>
      </c>
      <c r="BW17" s="73">
        <f>$V17*$H$805</f>
        <v>19200</v>
      </c>
      <c r="BX17" s="73">
        <f>$V17*$H$806</f>
        <v>19200</v>
      </c>
      <c r="BY17" s="73">
        <f>$V17*$H$807</f>
        <v>19200</v>
      </c>
      <c r="BZ17" s="73">
        <f>$V17*$H$808</f>
        <v>19200</v>
      </c>
      <c r="CA17" s="73">
        <f>$V17*$H$809</f>
        <v>19200</v>
      </c>
      <c r="CB17" s="73">
        <f>$V17*$H$810</f>
        <v>19200</v>
      </c>
      <c r="CC17" s="73">
        <f>$V17*$H$811</f>
        <v>19200</v>
      </c>
      <c r="CD17" s="73">
        <f>$V17*$H$812</f>
        <v>19200</v>
      </c>
      <c r="CE17" s="73">
        <f>$V17*$H$813</f>
        <v>19200</v>
      </c>
      <c r="CF17" s="73">
        <f>$V17*$H$814</f>
        <v>19200</v>
      </c>
      <c r="CG17" s="73">
        <f>$V17*$H$815</f>
        <v>19200</v>
      </c>
      <c r="CH17" s="73">
        <f>$V17*$H$816</f>
        <v>19200</v>
      </c>
      <c r="CI17" s="75">
        <f>$O$778</f>
        <v>1</v>
      </c>
      <c r="CJ17" s="73">
        <f>$H$829</f>
        <v>1.0341666666666665</v>
      </c>
      <c r="CK17" s="73">
        <f>$I$829</f>
        <v>1.0087961468131064</v>
      </c>
      <c r="CL17" s="73">
        <f>$J$829</f>
        <v>1.0432632054397151</v>
      </c>
      <c r="CM17" s="73">
        <f t="shared" si="17"/>
        <v>0</v>
      </c>
      <c r="CN17" s="73">
        <f t="shared" si="18"/>
        <v>19200</v>
      </c>
      <c r="CO17" s="72">
        <f>$M17*($C17/$K$829)*IF($O$778=1,$F$778/$G17,1)*$R17</f>
        <v>0.56447022841708339</v>
      </c>
      <c r="CP17" s="72">
        <f>$M17*(1+$S17)*($C17/$L$829)*IF($O$778=1,$F$778/$H17,1)*$R17</f>
        <v>0.55020320219427954</v>
      </c>
      <c r="CQ17" s="73">
        <f t="shared" si="19"/>
        <v>10837.828385608002</v>
      </c>
      <c r="CR17" s="73">
        <f t="shared" si="20"/>
        <v>10563.901482130168</v>
      </c>
      <c r="CS17" s="73">
        <f t="shared" si="21"/>
        <v>0</v>
      </c>
      <c r="CT17" s="272">
        <f t="shared" si="22"/>
        <v>0</v>
      </c>
      <c r="CU17" s="75">
        <f t="shared" si="23"/>
        <v>1</v>
      </c>
      <c r="CV17" s="75">
        <f t="shared" si="24"/>
        <v>1</v>
      </c>
      <c r="CW17" s="273">
        <f t="shared" si="25"/>
        <v>46054</v>
      </c>
      <c r="CX17" s="274">
        <f t="shared" si="26"/>
        <v>0.05</v>
      </c>
      <c r="CY17" s="6" t="str">
        <f t="shared" si="27"/>
        <v>T</v>
      </c>
      <c r="CZ17" s="273">
        <f t="shared" si="28"/>
        <v>46478</v>
      </c>
      <c r="DA17" s="274">
        <f t="shared" si="29"/>
        <v>0.04</v>
      </c>
      <c r="DB17" s="6" t="str">
        <f t="shared" si="30"/>
        <v>P*</v>
      </c>
      <c r="DC17" s="273" t="str">
        <f t="shared" si="31"/>
        <v/>
      </c>
      <c r="DD17" s="274" t="str">
        <f t="shared" si="32"/>
        <v/>
      </c>
      <c r="DE17" s="6" t="str">
        <f t="shared" si="33"/>
        <v/>
      </c>
      <c r="DF17" s="273" t="str">
        <f t="shared" si="34"/>
        <v/>
      </c>
      <c r="DG17" s="274" t="str">
        <f t="shared" si="35"/>
        <v/>
      </c>
      <c r="DH17" s="6" t="str">
        <f t="shared" si="36"/>
        <v/>
      </c>
    </row>
    <row r="18" spans="1:112" x14ac:dyDescent="0.3">
      <c r="A18" s="6" t="str">
        <f>$A$832</f>
        <v>ABD|OH</v>
      </c>
      <c r="B18" s="75">
        <f>$C$832</f>
        <v>6</v>
      </c>
      <c r="C18" s="73">
        <f>$B$883</f>
        <v>1</v>
      </c>
      <c r="D18" s="73">
        <f>$C$883</f>
        <v>1</v>
      </c>
      <c r="E18" s="73">
        <f>$D$883</f>
        <v>1</v>
      </c>
      <c r="F18" s="73">
        <f>$E$883</f>
        <v>1</v>
      </c>
      <c r="G18" s="224">
        <f>$F$883</f>
        <v>0.90600747629467537</v>
      </c>
      <c r="H18" s="224">
        <f>$G$883</f>
        <v>0.90033977631898854</v>
      </c>
      <c r="I18" s="73">
        <f t="shared" si="0"/>
        <v>1</v>
      </c>
      <c r="J18" s="73">
        <f t="shared" si="1"/>
        <v>1</v>
      </c>
      <c r="K18" s="73">
        <f>IF($L$832,1,IF(AND(nr_ModAdjMaster="ON",INDEX(lr_modadj,15)="ON"),$F$832/$G18,1))</f>
        <v>1.0154441592055623</v>
      </c>
      <c r="L18" s="73">
        <f>IF($L$832,1,IF(AND(nr_ModAdjMaster="ON",INDEX(lr_modadj,15)="ON"),$F$832/$H18,1))</f>
        <v>1.0218364490808034</v>
      </c>
      <c r="M18" s="72">
        <f>IF(INDEX(lr_basis,15)="proposed",N(INDEX(lr_lrproj,15))*(1+N(INDEX(lr_s,15))),N(INDEX(lr_lrproj,15)))</f>
        <v>0.6</v>
      </c>
      <c r="N18" s="72">
        <f t="shared" si="2"/>
        <v>0.60926649552333734</v>
      </c>
      <c r="O18" s="72">
        <f t="shared" si="3"/>
        <v>0.613101869448482</v>
      </c>
      <c r="P18" s="72">
        <f t="shared" si="4"/>
        <v>0</v>
      </c>
      <c r="Q18" s="72">
        <f t="shared" si="5"/>
        <v>0</v>
      </c>
      <c r="R18" s="73">
        <f>IF(N(INDEX(lr_aother,15))=0,1,INDEX(lr_aother,15))</f>
        <v>1</v>
      </c>
      <c r="S18" s="72">
        <f>IF(ISBLANK(INDEX(lr_trend,15)),N(nr_TrendDefault),N(INDEX(lr_trend,15)))</f>
        <v>0</v>
      </c>
      <c r="T18" s="6" t="str">
        <f>INDEX(lr_state,15)</f>
        <v>OH</v>
      </c>
      <c r="U18" s="6" t="str">
        <f>INDEX(lr_bu,15)</f>
        <v>ABD</v>
      </c>
      <c r="V18" s="271">
        <f>N(INDEX(lr_ep,15))</f>
        <v>16000</v>
      </c>
      <c r="W18" s="73">
        <f>N(INDEX(lr_mind,15))*$V18</f>
        <v>14720</v>
      </c>
      <c r="X18" s="73">
        <f>N(INDEX(lr_m0,15))*$V18</f>
        <v>14560</v>
      </c>
      <c r="Y18" s="73">
        <f>N(INDEX(lr_m1,15))*$V18</f>
        <v>14400</v>
      </c>
      <c r="Z18" s="73">
        <f t="shared" si="6"/>
        <v>16000</v>
      </c>
      <c r="AA18" s="73">
        <f t="shared" si="7"/>
        <v>16000</v>
      </c>
      <c r="AB18" s="73">
        <f t="shared" si="8"/>
        <v>16000</v>
      </c>
      <c r="AC18" s="73">
        <f t="shared" si="9"/>
        <v>14496.119620714806</v>
      </c>
      <c r="AD18" s="73">
        <f t="shared" si="10"/>
        <v>16247.106547288997</v>
      </c>
      <c r="AE18" s="73">
        <f t="shared" si="11"/>
        <v>9600</v>
      </c>
      <c r="AF18" s="73">
        <f t="shared" si="12"/>
        <v>9748.263928373397</v>
      </c>
      <c r="AG18" s="73">
        <f t="shared" si="13"/>
        <v>0</v>
      </c>
      <c r="AH18" s="73">
        <f t="shared" si="14"/>
        <v>16000</v>
      </c>
      <c r="AI18" s="73">
        <f t="shared" si="15"/>
        <v>16349.383185292854</v>
      </c>
      <c r="AJ18" s="73">
        <f t="shared" si="16"/>
        <v>9809.6299111757126</v>
      </c>
      <c r="AK18" s="75">
        <f>IF($L$832,1,0)</f>
        <v>0</v>
      </c>
      <c r="AL18" s="72">
        <f>IF($L$832,$M$832,0)</f>
        <v>0</v>
      </c>
      <c r="AM18" s="73">
        <f>$N$859/$N$847*IF($O$832=1,$O$859/$O$847,1)-1</f>
        <v>-8.7227712124651191E-3</v>
      </c>
      <c r="AN18" s="73">
        <f>$N$860/$N$848*IF($O$832=1,$O$860/$O$848,1)-1</f>
        <v>-8.7289250269041441E-3</v>
      </c>
      <c r="AO18" s="73">
        <f>$N$861/$N$849*IF($O$832=1,$O$861/$O$849,1)-1</f>
        <v>-8.7350875303633391E-3</v>
      </c>
      <c r="AP18" s="73">
        <f>$N$862/$N$850*IF($O$832=1,$O$862/$O$850,1)-1</f>
        <v>-8.7414680876541917E-3</v>
      </c>
      <c r="AQ18" s="73">
        <f>$N$863/$N$851*IF($O$832=1,$O$863/$O$851,1)-1</f>
        <v>-8.7478579731332662E-3</v>
      </c>
      <c r="AR18" s="73">
        <f>$N$864/$N$852*IF($O$832=1,$O$864/$O$852,1)-1</f>
        <v>-8.7542572072719649E-3</v>
      </c>
      <c r="AS18" s="73">
        <f>$N$865/$N$853*IF($O$832=1,$O$865/$O$853,1)-1</f>
        <v>-8.7606658106015312E-3</v>
      </c>
      <c r="AT18" s="73">
        <f>$N$866/$N$854*IF($O$832=1,$O$866/$O$854,1)-1</f>
        <v>-8.7671890950580256E-3</v>
      </c>
      <c r="AU18" s="73">
        <f>$N$867/$N$855*IF($O$832=1,$O$867/$O$855,1)-1</f>
        <v>-8.7736166530455462E-3</v>
      </c>
      <c r="AV18" s="73">
        <f>$N$868/$N$856*IF($O$832=1,$O$868/$O$856,1)-1</f>
        <v>-8.7800536425195475E-3</v>
      </c>
      <c r="AW18" s="73">
        <f>$N$869/$N$857*IF($O$832=1,$O$869/$O$857,1)-1</f>
        <v>-8.7865000842540786E-3</v>
      </c>
      <c r="AX18" s="73">
        <f>$N$870/$N$858*IF($O$832=1,$O$870/$O$858,1)-1</f>
        <v>-8.7929559990846951E-3</v>
      </c>
      <c r="AY18" s="73">
        <f>$N$859/$N$847-1</f>
        <v>0</v>
      </c>
      <c r="AZ18" s="73">
        <f>$N$860/$N$848-1</f>
        <v>0</v>
      </c>
      <c r="BA18" s="73">
        <f>$N$861/$N$849-1</f>
        <v>0</v>
      </c>
      <c r="BB18" s="73">
        <f>$N$862/$N$850-1</f>
        <v>0</v>
      </c>
      <c r="BC18" s="73">
        <f>$N$863/$N$851-1</f>
        <v>0</v>
      </c>
      <c r="BD18" s="73">
        <f>$N$864/$N$852-1</f>
        <v>0</v>
      </c>
      <c r="BE18" s="73">
        <f>$N$865/$N$853-1</f>
        <v>0</v>
      </c>
      <c r="BF18" s="73">
        <f>$N$866/$N$854-1</f>
        <v>0</v>
      </c>
      <c r="BG18" s="73">
        <f>$N$867/$N$855-1</f>
        <v>0</v>
      </c>
      <c r="BH18" s="73">
        <f>$N$868/$N$856-1</f>
        <v>0</v>
      </c>
      <c r="BI18" s="73">
        <f>$N$869/$N$857-1</f>
        <v>0</v>
      </c>
      <c r="BJ18" s="73">
        <f>$N$870/$N$858-1</f>
        <v>0</v>
      </c>
      <c r="BK18" s="73">
        <f>$O$859/$O$847-1</f>
        <v>-8.7227712124651191E-3</v>
      </c>
      <c r="BL18" s="73">
        <f>$O$860/$O$848-1</f>
        <v>-8.7289250269041441E-3</v>
      </c>
      <c r="BM18" s="73">
        <f>$O$861/$O$849-1</f>
        <v>-8.7350875303633391E-3</v>
      </c>
      <c r="BN18" s="73">
        <f>$O$862/$O$850-1</f>
        <v>-8.7414680876541917E-3</v>
      </c>
      <c r="BO18" s="73">
        <f>$O$863/$O$851-1</f>
        <v>-8.7478579731332662E-3</v>
      </c>
      <c r="BP18" s="73">
        <f>$O$864/$O$852-1</f>
        <v>-8.7542572072719649E-3</v>
      </c>
      <c r="BQ18" s="73">
        <f>$O$865/$O$853-1</f>
        <v>-8.7606658106015312E-3</v>
      </c>
      <c r="BR18" s="73">
        <f>$O$866/$O$854-1</f>
        <v>-8.7671890950580256E-3</v>
      </c>
      <c r="BS18" s="73">
        <f>$O$867/$O$855-1</f>
        <v>-8.7736166530455462E-3</v>
      </c>
      <c r="BT18" s="73">
        <f>$O$868/$O$856-1</f>
        <v>-8.7800536425195475E-3</v>
      </c>
      <c r="BU18" s="73">
        <f>$O$869/$O$857-1</f>
        <v>-8.7865000842540786E-3</v>
      </c>
      <c r="BV18" s="73">
        <f>$O$870/$O$858-1</f>
        <v>-8.7929559990846951E-3</v>
      </c>
      <c r="BW18" s="73">
        <f>$V18*$H$859</f>
        <v>16000</v>
      </c>
      <c r="BX18" s="73">
        <f>$V18*$H$860</f>
        <v>16000</v>
      </c>
      <c r="BY18" s="73">
        <f>$V18*$H$861</f>
        <v>16000</v>
      </c>
      <c r="BZ18" s="73">
        <f>$V18*$H$862</f>
        <v>16000</v>
      </c>
      <c r="CA18" s="73">
        <f>$V18*$H$863</f>
        <v>16000</v>
      </c>
      <c r="CB18" s="73">
        <f>$V18*$H$864</f>
        <v>16000</v>
      </c>
      <c r="CC18" s="73">
        <f>$V18*$H$865</f>
        <v>16000</v>
      </c>
      <c r="CD18" s="73">
        <f>$V18*$H$866</f>
        <v>16000</v>
      </c>
      <c r="CE18" s="73">
        <f>$V18*$H$867</f>
        <v>16000</v>
      </c>
      <c r="CF18" s="73">
        <f>$V18*$H$868</f>
        <v>16000</v>
      </c>
      <c r="CG18" s="73">
        <f>$V18*$H$869</f>
        <v>16000</v>
      </c>
      <c r="CH18" s="73">
        <f>$V18*$H$870</f>
        <v>16000</v>
      </c>
      <c r="CI18" s="75">
        <f>$O$832</f>
        <v>1</v>
      </c>
      <c r="CJ18" s="73">
        <f>$H$883</f>
        <v>1</v>
      </c>
      <c r="CK18" s="73">
        <f>$I$883</f>
        <v>0.99124238763980388</v>
      </c>
      <c r="CL18" s="73">
        <f>$J$883</f>
        <v>0.99124238763980388</v>
      </c>
      <c r="CM18" s="73">
        <f t="shared" si="17"/>
        <v>0</v>
      </c>
      <c r="CN18" s="73">
        <f t="shared" si="18"/>
        <v>16000</v>
      </c>
      <c r="CO18" s="72">
        <f>$M18*($C18/$K$883)*IF($O$832=1,$F$832/$G18,1)*$R18</f>
        <v>0.60926649552333734</v>
      </c>
      <c r="CP18" s="72">
        <f>$M18*(1+$S18)*($C18/$L$883)*IF($O$832=1,$F$832/$H18,1)*$R18</f>
        <v>0.613101869448482</v>
      </c>
      <c r="CQ18" s="73">
        <f t="shared" si="19"/>
        <v>9748.263928373397</v>
      </c>
      <c r="CR18" s="73">
        <f t="shared" si="20"/>
        <v>9809.6299111757126</v>
      </c>
      <c r="CS18" s="73">
        <f t="shared" si="21"/>
        <v>0</v>
      </c>
      <c r="CT18" s="272">
        <f t="shared" si="22"/>
        <v>0</v>
      </c>
      <c r="CU18" s="75">
        <f t="shared" si="23"/>
        <v>0</v>
      </c>
      <c r="CV18" s="75">
        <f t="shared" si="24"/>
        <v>0</v>
      </c>
      <c r="CW18" s="273" t="str">
        <f t="shared" si="25"/>
        <v/>
      </c>
      <c r="CX18" s="274" t="str">
        <f t="shared" si="26"/>
        <v/>
      </c>
      <c r="CY18" s="6" t="str">
        <f t="shared" si="27"/>
        <v/>
      </c>
      <c r="CZ18" s="273" t="str">
        <f t="shared" si="28"/>
        <v/>
      </c>
      <c r="DA18" s="274" t="str">
        <f t="shared" si="29"/>
        <v/>
      </c>
      <c r="DB18" s="6" t="str">
        <f t="shared" si="30"/>
        <v/>
      </c>
      <c r="DC18" s="273" t="str">
        <f t="shared" si="31"/>
        <v/>
      </c>
      <c r="DD18" s="274" t="str">
        <f t="shared" si="32"/>
        <v/>
      </c>
      <c r="DE18" s="6" t="str">
        <f t="shared" si="33"/>
        <v/>
      </c>
      <c r="DF18" s="273" t="str">
        <f t="shared" si="34"/>
        <v/>
      </c>
      <c r="DG18" s="274" t="str">
        <f t="shared" si="35"/>
        <v/>
      </c>
      <c r="DH18" s="6" t="str">
        <f t="shared" si="36"/>
        <v/>
      </c>
    </row>
    <row r="19" spans="1:112" x14ac:dyDescent="0.3">
      <c r="A19" s="6" t="str">
        <f>$A$886</f>
        <v>ABD|PA</v>
      </c>
      <c r="B19" s="75">
        <f>$C$886</f>
        <v>6</v>
      </c>
      <c r="C19" s="73">
        <f>$B$937</f>
        <v>1.02</v>
      </c>
      <c r="D19" s="73">
        <f>$C$937</f>
        <v>1.0100000000000002</v>
      </c>
      <c r="E19" s="73">
        <f>$D$937</f>
        <v>1.0200000000000002</v>
      </c>
      <c r="F19" s="73">
        <f>$E$937</f>
        <v>1.0200000000000002</v>
      </c>
      <c r="G19" s="224">
        <f>$F$937</f>
        <v>0.91199626185266247</v>
      </c>
      <c r="H19" s="224">
        <f>$G$937</f>
        <v>0.91483011184050556</v>
      </c>
      <c r="I19" s="73">
        <f t="shared" si="0"/>
        <v>0.99999999999999978</v>
      </c>
      <c r="J19" s="73">
        <f t="shared" si="1"/>
        <v>0.99999999999999978</v>
      </c>
      <c r="K19" s="73">
        <f>IF($L$886,1,IF(AND(nr_ModAdjMaster="ON",INDEX(lr_modadj,16)="ON"),$F$886/$G19,1))</f>
        <v>1.0087760646420616</v>
      </c>
      <c r="L19" s="73">
        <f>IF($L$886,1,IF(AND(nr_ModAdjMaster="ON",INDEX(lr_modadj,16)="ON"),$F$886/$H19,1))</f>
        <v>1.0056512002530102</v>
      </c>
      <c r="M19" s="72">
        <f>IF(INDEX(lr_basis,16)="proposed",N(INDEX(lr_lrproj,16))*(1+N(INDEX(lr_s,16))),N(INDEX(lr_lrproj,16)))</f>
        <v>0.58399999999999996</v>
      </c>
      <c r="N19" s="72">
        <f t="shared" si="2"/>
        <v>0.58912522175096382</v>
      </c>
      <c r="O19" s="72">
        <f t="shared" si="3"/>
        <v>0.58730030094775787</v>
      </c>
      <c r="P19" s="72">
        <f t="shared" si="4"/>
        <v>0</v>
      </c>
      <c r="Q19" s="72">
        <f t="shared" si="5"/>
        <v>0</v>
      </c>
      <c r="R19" s="73">
        <f>IF(N(INDEX(lr_aother,16))=0,1,INDEX(lr_aother,16))</f>
        <v>1</v>
      </c>
      <c r="S19" s="72">
        <f>IF(ISBLANK(INDEX(lr_trend,16)),N(nr_TrendDefault),N(INDEX(lr_trend,16)))</f>
        <v>0</v>
      </c>
      <c r="T19" s="6" t="str">
        <f>INDEX(lr_state,16)</f>
        <v>PA</v>
      </c>
      <c r="U19" s="6" t="str">
        <f>INDEX(lr_bu,16)</f>
        <v>ABD</v>
      </c>
      <c r="V19" s="271">
        <f>N(INDEX(lr_ep,16))</f>
        <v>12800</v>
      </c>
      <c r="W19" s="73">
        <f>N(INDEX(lr_mind,16))*$V19</f>
        <v>11776</v>
      </c>
      <c r="X19" s="73">
        <f>N(INDEX(lr_m0,16))*$V19</f>
        <v>11648</v>
      </c>
      <c r="Y19" s="73">
        <f>N(INDEX(lr_m1,16))*$V19</f>
        <v>11712</v>
      </c>
      <c r="Z19" s="73">
        <f t="shared" si="6"/>
        <v>13056</v>
      </c>
      <c r="AA19" s="73">
        <f t="shared" si="7"/>
        <v>13056.000000000004</v>
      </c>
      <c r="AB19" s="73">
        <f t="shared" si="8"/>
        <v>12799.999999999996</v>
      </c>
      <c r="AC19" s="73">
        <f t="shared" si="9"/>
        <v>11673.552151714081</v>
      </c>
      <c r="AD19" s="73">
        <f t="shared" si="10"/>
        <v>12912.333627418389</v>
      </c>
      <c r="AE19" s="73">
        <f t="shared" si="11"/>
        <v>7475.2</v>
      </c>
      <c r="AF19" s="73">
        <f t="shared" si="12"/>
        <v>7540.8028384123372</v>
      </c>
      <c r="AG19" s="73">
        <f t="shared" si="13"/>
        <v>0</v>
      </c>
      <c r="AH19" s="73">
        <f t="shared" si="14"/>
        <v>12799.999999999996</v>
      </c>
      <c r="AI19" s="73">
        <f t="shared" si="15"/>
        <v>12872.335363238531</v>
      </c>
      <c r="AJ19" s="73">
        <f t="shared" si="16"/>
        <v>7517.4438521313004</v>
      </c>
      <c r="AK19" s="75">
        <f>IF($L$886,1,0)</f>
        <v>0</v>
      </c>
      <c r="AL19" s="72">
        <f>IF($L$886,$M$886,0)</f>
        <v>0</v>
      </c>
      <c r="AM19" s="73">
        <f>$N$913/$N$901*IF($O$886=1,$O$913/$O$901,1)-1</f>
        <v>2.4490059276501164E-2</v>
      </c>
      <c r="AN19" s="73">
        <f>$N$914/$N$902*IF($O$886=1,$O$914/$O$902,1)-1</f>
        <v>2.4488462373110309E-2</v>
      </c>
      <c r="AO19" s="73">
        <f>$N$915/$N$903*IF($O$886=1,$O$915/$O$903,1)-1</f>
        <v>2.4486866605202717E-2</v>
      </c>
      <c r="AP19" s="73">
        <f>$N$916/$N$904*IF($O$886=1,$O$916/$O$904,1)-1</f>
        <v>4.3972724863263757E-3</v>
      </c>
      <c r="AQ19" s="73">
        <f>$N$917/$N$905*IF($O$886=1,$O$917/$O$905,1)-1</f>
        <v>4.3956573314145597E-3</v>
      </c>
      <c r="AR19" s="73">
        <f>$N$918/$N$906*IF($O$886=1,$O$918/$O$906,1)-1</f>
        <v>4.3940433625868636E-3</v>
      </c>
      <c r="AS19" s="73">
        <f>$N$919/$N$907*IF($O$886=1,$O$919/$O$907,1)-1</f>
        <v>4.3924305785372209E-3</v>
      </c>
      <c r="AT19" s="73">
        <f>$N$920/$N$908*IF($O$886=1,$O$920/$O$908,1)-1</f>
        <v>4.3907925681323512E-3</v>
      </c>
      <c r="AU19" s="73">
        <f>$N$921/$N$909*IF($O$886=1,$O$921/$O$909,1)-1</f>
        <v>4.3891821690977828E-3</v>
      </c>
      <c r="AV19" s="73">
        <f>$N$922/$N$910*IF($O$886=1,$O$922/$O$910,1)-1</f>
        <v>4.3875729509132988E-3</v>
      </c>
      <c r="AW19" s="73">
        <f>$N$923/$N$911*IF($O$886=1,$O$923/$O$911,1)-1</f>
        <v>4.3859649122806044E-3</v>
      </c>
      <c r="AX19" s="73">
        <f>$N$924/$N$912*IF($O$886=1,$O$924/$O$912,1)-1</f>
        <v>4.3843580519036252E-3</v>
      </c>
      <c r="AY19" s="73">
        <f>$N$913/$N$901-1</f>
        <v>2.0000000000000018E-2</v>
      </c>
      <c r="AZ19" s="73">
        <f>$N$914/$N$902-1</f>
        <v>2.0000000000000018E-2</v>
      </c>
      <c r="BA19" s="73">
        <f>$N$915/$N$903-1</f>
        <v>2.0000000000000018E-2</v>
      </c>
      <c r="BB19" s="73">
        <f>$N$916/$N$904-1</f>
        <v>0</v>
      </c>
      <c r="BC19" s="73">
        <f>$N$917/$N$905-1</f>
        <v>0</v>
      </c>
      <c r="BD19" s="73">
        <f>$N$918/$N$906-1</f>
        <v>0</v>
      </c>
      <c r="BE19" s="73">
        <f>$N$919/$N$907-1</f>
        <v>0</v>
      </c>
      <c r="BF19" s="73">
        <f>$N$920/$N$908-1</f>
        <v>0</v>
      </c>
      <c r="BG19" s="73">
        <f>$N$921/$N$909-1</f>
        <v>0</v>
      </c>
      <c r="BH19" s="73">
        <f>$N$922/$N$910-1</f>
        <v>0</v>
      </c>
      <c r="BI19" s="73">
        <f>$N$923/$N$911-1</f>
        <v>0</v>
      </c>
      <c r="BJ19" s="73">
        <f>$N$924/$N$912-1</f>
        <v>0</v>
      </c>
      <c r="BK19" s="73">
        <f>$O$913/$O$901-1</f>
        <v>4.4020188985305353E-3</v>
      </c>
      <c r="BL19" s="73">
        <f>$O$914/$O$902-1</f>
        <v>4.4004533069708085E-3</v>
      </c>
      <c r="BM19" s="73">
        <f>$O$915/$O$903-1</f>
        <v>4.3988888286301542E-3</v>
      </c>
      <c r="BN19" s="73">
        <f>$O$916/$O$904-1</f>
        <v>4.3972724863263757E-3</v>
      </c>
      <c r="BO19" s="73">
        <f>$O$917/$O$905-1</f>
        <v>4.3956573314145597E-3</v>
      </c>
      <c r="BP19" s="73">
        <f>$O$918/$O$906-1</f>
        <v>4.3940433625868636E-3</v>
      </c>
      <c r="BQ19" s="73">
        <f>$O$919/$O$907-1</f>
        <v>4.3924305785372209E-3</v>
      </c>
      <c r="BR19" s="73">
        <f>$O$920/$O$908-1</f>
        <v>4.3907925681323512E-3</v>
      </c>
      <c r="BS19" s="73">
        <f>$O$921/$O$909-1</f>
        <v>4.3891821690977828E-3</v>
      </c>
      <c r="BT19" s="73">
        <f>$O$922/$O$910-1</f>
        <v>4.3875729509132988E-3</v>
      </c>
      <c r="BU19" s="73">
        <f>$O$923/$O$911-1</f>
        <v>4.3859649122806044E-3</v>
      </c>
      <c r="BV19" s="73">
        <f>$O$924/$O$912-1</f>
        <v>4.3843580519036252E-3</v>
      </c>
      <c r="BW19" s="73">
        <f>$V19*$H$913</f>
        <v>12800</v>
      </c>
      <c r="BX19" s="73">
        <f>$V19*$H$914</f>
        <v>12800</v>
      </c>
      <c r="BY19" s="73">
        <f>$V19*$H$915</f>
        <v>12800</v>
      </c>
      <c r="BZ19" s="73">
        <f>$V19*$H$916</f>
        <v>12800</v>
      </c>
      <c r="CA19" s="73">
        <f>$V19*$H$917</f>
        <v>12800</v>
      </c>
      <c r="CB19" s="73">
        <f>$V19*$H$918</f>
        <v>12800</v>
      </c>
      <c r="CC19" s="73">
        <f>$V19*$H$919</f>
        <v>12800</v>
      </c>
      <c r="CD19" s="73">
        <f>$V19*$H$920</f>
        <v>12800</v>
      </c>
      <c r="CE19" s="73">
        <f>$V19*$H$921</f>
        <v>12800</v>
      </c>
      <c r="CF19" s="73">
        <f>$V19*$H$922</f>
        <v>12800</v>
      </c>
      <c r="CG19" s="73">
        <f>$V19*$H$923</f>
        <v>12800</v>
      </c>
      <c r="CH19" s="73">
        <f>$V19*$H$924</f>
        <v>12800</v>
      </c>
      <c r="CI19" s="75">
        <f>$O$886</f>
        <v>1</v>
      </c>
      <c r="CJ19" s="73">
        <f>$H$937</f>
        <v>1.0050000000000001</v>
      </c>
      <c r="CK19" s="73">
        <f>$I$937</f>
        <v>1.0043932196204437</v>
      </c>
      <c r="CL19" s="73">
        <f>$J$937</f>
        <v>1.0094152218888339</v>
      </c>
      <c r="CM19" s="73">
        <f t="shared" si="17"/>
        <v>0</v>
      </c>
      <c r="CN19" s="73">
        <f t="shared" si="18"/>
        <v>12800</v>
      </c>
      <c r="CO19" s="72">
        <f>$M19*($C19/$K$937)*IF($O$886=1,$F$886/$G19,1)*$R19</f>
        <v>0.58912522175096382</v>
      </c>
      <c r="CP19" s="72">
        <f>$M19*(1+$S19)*($C19/$L$937)*IF($O$886=1,$F$886/$H19,1)*$R19</f>
        <v>0.58730030094775787</v>
      </c>
      <c r="CQ19" s="73">
        <f t="shared" si="19"/>
        <v>7540.8028384123372</v>
      </c>
      <c r="CR19" s="73">
        <f t="shared" si="20"/>
        <v>7517.4438521313004</v>
      </c>
      <c r="CS19" s="73">
        <f t="shared" si="21"/>
        <v>0</v>
      </c>
      <c r="CT19" s="272">
        <f t="shared" si="22"/>
        <v>0</v>
      </c>
      <c r="CU19" s="75">
        <f t="shared" si="23"/>
        <v>1</v>
      </c>
      <c r="CV19" s="75">
        <f t="shared" si="24"/>
        <v>0</v>
      </c>
      <c r="CW19" s="273">
        <f t="shared" si="25"/>
        <v>46113</v>
      </c>
      <c r="CX19" s="274">
        <f t="shared" si="26"/>
        <v>0.02</v>
      </c>
      <c r="CY19" s="6" t="str">
        <f t="shared" si="27"/>
        <v>T</v>
      </c>
      <c r="CZ19" s="273" t="str">
        <f t="shared" si="28"/>
        <v/>
      </c>
      <c r="DA19" s="274" t="str">
        <f t="shared" si="29"/>
        <v/>
      </c>
      <c r="DB19" s="6" t="str">
        <f t="shared" si="30"/>
        <v/>
      </c>
      <c r="DC19" s="273" t="str">
        <f t="shared" si="31"/>
        <v/>
      </c>
      <c r="DD19" s="274" t="str">
        <f t="shared" si="32"/>
        <v/>
      </c>
      <c r="DE19" s="6" t="str">
        <f t="shared" si="33"/>
        <v/>
      </c>
      <c r="DF19" s="273" t="str">
        <f t="shared" si="34"/>
        <v/>
      </c>
      <c r="DG19" s="274" t="str">
        <f t="shared" si="35"/>
        <v/>
      </c>
      <c r="DH19" s="6" t="str">
        <f t="shared" si="36"/>
        <v/>
      </c>
    </row>
    <row r="20" spans="1:112" x14ac:dyDescent="0.3">
      <c r="A20" s="6" t="str">
        <f>$A$940</f>
        <v>ABD|SC</v>
      </c>
      <c r="B20" s="75">
        <f>$C$940</f>
        <v>6</v>
      </c>
      <c r="C20" s="73">
        <f>$B$991</f>
        <v>1.03</v>
      </c>
      <c r="D20" s="73">
        <f>$C$991</f>
        <v>1.0125</v>
      </c>
      <c r="E20" s="73">
        <f>$D$991</f>
        <v>1.03</v>
      </c>
      <c r="F20" s="73">
        <f>$E$991</f>
        <v>1.03</v>
      </c>
      <c r="G20" s="224">
        <f>$F$991</f>
        <v>0.91798504741064912</v>
      </c>
      <c r="H20" s="224">
        <f>$G$991</f>
        <v>0.92932044736202268</v>
      </c>
      <c r="I20" s="73">
        <f t="shared" si="0"/>
        <v>1</v>
      </c>
      <c r="J20" s="73">
        <f t="shared" si="1"/>
        <v>1</v>
      </c>
      <c r="K20" s="73">
        <f>IF($L$940,1,IF(AND(nr_ModAdjMaster="ON",INDEX(lr_modadj,17)="ON"),$F$940/$G20,1))</f>
        <v>1.0021949732133812</v>
      </c>
      <c r="L20" s="73">
        <f>IF($L$940,1,IF(AND(nr_ModAdjMaster="ON",INDEX(lr_modadj,17)="ON"),$F$940/$H20,1))</f>
        <v>0.98997068515119868</v>
      </c>
      <c r="M20" s="72">
        <f>IF(INDEX(lr_basis,17)="proposed",N(INDEX(lr_lrproj,17))*(1+N(INDEX(lr_s,17))),N(INDEX(lr_lrproj,17)))</f>
        <v>0.56799999999999995</v>
      </c>
      <c r="N20" s="72">
        <f t="shared" si="2"/>
        <v>0.56924674478520054</v>
      </c>
      <c r="O20" s="72">
        <f t="shared" si="3"/>
        <v>0.56230334916588076</v>
      </c>
      <c r="P20" s="72">
        <f t="shared" si="4"/>
        <v>0</v>
      </c>
      <c r="Q20" s="72">
        <f t="shared" si="5"/>
        <v>0</v>
      </c>
      <c r="R20" s="73">
        <f>IF(N(INDEX(lr_aother,17))=0,1,INDEX(lr_aother,17))</f>
        <v>1</v>
      </c>
      <c r="S20" s="72">
        <f>IF(ISBLANK(INDEX(lr_trend,17)),N(nr_TrendDefault),N(INDEX(lr_trend,17)))</f>
        <v>0</v>
      </c>
      <c r="T20" s="6" t="str">
        <f>INDEX(lr_state,17)</f>
        <v>SC</v>
      </c>
      <c r="U20" s="6" t="str">
        <f>INDEX(lr_bu,17)</f>
        <v>ABD</v>
      </c>
      <c r="V20" s="271">
        <f>N(INDEX(lr_ep,17))</f>
        <v>9600</v>
      </c>
      <c r="W20" s="73">
        <f>N(INDEX(lr_mind,17))*$V20</f>
        <v>8832</v>
      </c>
      <c r="X20" s="73">
        <f>N(INDEX(lr_m0,17))*$V20</f>
        <v>8736</v>
      </c>
      <c r="Y20" s="73">
        <f>N(INDEX(lr_m1,17))*$V20</f>
        <v>8928</v>
      </c>
      <c r="Z20" s="73">
        <f t="shared" si="6"/>
        <v>9888</v>
      </c>
      <c r="AA20" s="73">
        <f t="shared" si="7"/>
        <v>9888</v>
      </c>
      <c r="AB20" s="73">
        <f t="shared" si="8"/>
        <v>9600</v>
      </c>
      <c r="AC20" s="73">
        <f t="shared" si="9"/>
        <v>8812.6564551422307</v>
      </c>
      <c r="AD20" s="73">
        <f t="shared" si="10"/>
        <v>9621.0717428484604</v>
      </c>
      <c r="AE20" s="73">
        <f t="shared" si="11"/>
        <v>5452.7999999999993</v>
      </c>
      <c r="AF20" s="73">
        <f t="shared" si="12"/>
        <v>5464.7687499379253</v>
      </c>
      <c r="AG20" s="73">
        <f t="shared" si="13"/>
        <v>0</v>
      </c>
      <c r="AH20" s="73">
        <f t="shared" si="14"/>
        <v>9600</v>
      </c>
      <c r="AI20" s="73">
        <f t="shared" si="15"/>
        <v>9503.7185774515074</v>
      </c>
      <c r="AJ20" s="73">
        <f t="shared" si="16"/>
        <v>5398.1121519924554</v>
      </c>
      <c r="AK20" s="75">
        <f>IF($L$940,1,0)</f>
        <v>0</v>
      </c>
      <c r="AL20" s="72">
        <f>IF($L$940,$M$940,0)</f>
        <v>0</v>
      </c>
      <c r="AM20" s="73">
        <f>$N$967/$N$955*IF($O$940=1,$O$967/$O$955,1)-1</f>
        <v>4.8306875730424803E-2</v>
      </c>
      <c r="AN20" s="73">
        <f>$N$968/$N$956*IF($O$940=1,$O$968/$O$956,1)-1</f>
        <v>4.8280615594077592E-2</v>
      </c>
      <c r="AO20" s="73">
        <f>$N$969/$N$957*IF($O$940=1,$O$969/$O$957,1)-1</f>
        <v>4.8254430687060035E-2</v>
      </c>
      <c r="AP20" s="73">
        <f>$N$970/$N$958*IF($O$940=1,$O$970/$O$958,1)-1</f>
        <v>4.8227436910620369E-2</v>
      </c>
      <c r="AQ20" s="73">
        <f>$N$971/$N$959*IF($O$940=1,$O$971/$O$959,1)-1</f>
        <v>1.7670410534469383E-2</v>
      </c>
      <c r="AR20" s="73">
        <f>$N$972/$N$960*IF($O$940=1,$O$972/$O$960,1)-1</f>
        <v>1.7644357431174873E-2</v>
      </c>
      <c r="AS20" s="73">
        <f>$N$973/$N$961*IF($O$940=1,$O$973/$O$961,1)-1</f>
        <v>1.7618381039725906E-2</v>
      </c>
      <c r="AT20" s="73">
        <f>$N$974/$N$962*IF($O$940=1,$O$974/$O$962,1)-1</f>
        <v>1.7592057065741296E-2</v>
      </c>
      <c r="AU20" s="73">
        <f>$N$975/$N$963*IF($O$940=1,$O$975/$O$963,1)-1</f>
        <v>1.7566234328753261E-2</v>
      </c>
      <c r="AV20" s="73">
        <f>$N$976/$N$964*IF($O$940=1,$O$976/$O$964,1)-1</f>
        <v>1.7540487289153583E-2</v>
      </c>
      <c r="AW20" s="73">
        <f>$N$977/$N$965*IF($O$940=1,$O$977/$O$965,1)-1</f>
        <v>1.7514815614577905E-2</v>
      </c>
      <c r="AX20" s="73">
        <f>$N$978/$N$966*IF($O$940=1,$O$978/$O$966,1)-1</f>
        <v>1.7489218974604537E-2</v>
      </c>
      <c r="AY20" s="73">
        <f>$N$967/$N$955-1</f>
        <v>3.0000000000000027E-2</v>
      </c>
      <c r="AZ20" s="73">
        <f>$N$968/$N$956-1</f>
        <v>3.0000000000000027E-2</v>
      </c>
      <c r="BA20" s="73">
        <f>$N$969/$N$957-1</f>
        <v>3.0000000000000027E-2</v>
      </c>
      <c r="BB20" s="73">
        <f>$N$970/$N$958-1</f>
        <v>3.0000000000000027E-2</v>
      </c>
      <c r="BC20" s="73">
        <f>$N$971/$N$959-1</f>
        <v>0</v>
      </c>
      <c r="BD20" s="73">
        <f>$N$972/$N$960-1</f>
        <v>0</v>
      </c>
      <c r="BE20" s="73">
        <f>$N$973/$N$961-1</f>
        <v>0</v>
      </c>
      <c r="BF20" s="73">
        <f>$N$974/$N$962-1</f>
        <v>0</v>
      </c>
      <c r="BG20" s="73">
        <f>$N$975/$N$963-1</f>
        <v>0</v>
      </c>
      <c r="BH20" s="73">
        <f>$N$976/$N$964-1</f>
        <v>0</v>
      </c>
      <c r="BI20" s="73">
        <f>$N$977/$N$965-1</f>
        <v>0</v>
      </c>
      <c r="BJ20" s="73">
        <f>$N$978/$N$966-1</f>
        <v>0</v>
      </c>
      <c r="BK20" s="73">
        <f>$O$967/$O$955-1</f>
        <v>1.7773665757693902E-2</v>
      </c>
      <c r="BL20" s="73">
        <f>$O$968/$O$956-1</f>
        <v>1.7748170479686909E-2</v>
      </c>
      <c r="BM20" s="73">
        <f>$O$969/$O$957-1</f>
        <v>1.7722748239864083E-2</v>
      </c>
      <c r="BN20" s="73">
        <f>$O$970/$O$958-1</f>
        <v>1.7696540689922768E-2</v>
      </c>
      <c r="BO20" s="73">
        <f>$O$971/$O$959-1</f>
        <v>1.7670410534469383E-2</v>
      </c>
      <c r="BP20" s="73">
        <f>$O$972/$O$960-1</f>
        <v>1.7644357431174873E-2</v>
      </c>
      <c r="BQ20" s="73">
        <f>$O$973/$O$961-1</f>
        <v>1.7618381039725906E-2</v>
      </c>
      <c r="BR20" s="73">
        <f>$O$974/$O$962-1</f>
        <v>1.7592057065741296E-2</v>
      </c>
      <c r="BS20" s="73">
        <f>$O$975/$O$963-1</f>
        <v>1.7566234328753261E-2</v>
      </c>
      <c r="BT20" s="73">
        <f>$O$976/$O$964-1</f>
        <v>1.7540487289153583E-2</v>
      </c>
      <c r="BU20" s="73">
        <f>$O$977/$O$965-1</f>
        <v>1.7514815614577905E-2</v>
      </c>
      <c r="BV20" s="73">
        <f>$O$978/$O$966-1</f>
        <v>1.7489218974604537E-2</v>
      </c>
      <c r="BW20" s="73">
        <f>$V20*$H$967</f>
        <v>9600</v>
      </c>
      <c r="BX20" s="73">
        <f>$V20*$H$968</f>
        <v>9600</v>
      </c>
      <c r="BY20" s="73">
        <f>$V20*$H$969</f>
        <v>9600</v>
      </c>
      <c r="BZ20" s="73">
        <f>$V20*$H$970</f>
        <v>9600</v>
      </c>
      <c r="CA20" s="73">
        <f>$V20*$H$971</f>
        <v>9600</v>
      </c>
      <c r="CB20" s="73">
        <f>$V20*$H$972</f>
        <v>9600</v>
      </c>
      <c r="CC20" s="73">
        <f>$V20*$H$973</f>
        <v>9600</v>
      </c>
      <c r="CD20" s="73">
        <f>$V20*$H$974</f>
        <v>9600</v>
      </c>
      <c r="CE20" s="73">
        <f>$V20*$H$975</f>
        <v>9600</v>
      </c>
      <c r="CF20" s="73">
        <f>$V20*$H$976</f>
        <v>9600</v>
      </c>
      <c r="CG20" s="73">
        <f>$V20*$H$977</f>
        <v>9600</v>
      </c>
      <c r="CH20" s="73">
        <f>$V20*$H$978</f>
        <v>9600</v>
      </c>
      <c r="CI20" s="75">
        <f>$O$940</f>
        <v>1</v>
      </c>
      <c r="CJ20" s="73">
        <f>$H$991</f>
        <v>1.01</v>
      </c>
      <c r="CK20" s="73">
        <f>$I$991</f>
        <v>1.0176314239537807</v>
      </c>
      <c r="CL20" s="73">
        <f>$J$991</f>
        <v>1.0278087767666988</v>
      </c>
      <c r="CM20" s="73">
        <f t="shared" si="17"/>
        <v>0</v>
      </c>
      <c r="CN20" s="73">
        <f t="shared" si="18"/>
        <v>9600</v>
      </c>
      <c r="CO20" s="72">
        <f>$M20*($C20/$K$991)*IF($O$940=1,$F$940/$G20,1)*$R20</f>
        <v>0.56924674478520054</v>
      </c>
      <c r="CP20" s="72">
        <f>$M20*(1+$S20)*($C20/$L$991)*IF($O$940=1,$F$940/$H20,1)*$R20</f>
        <v>0.56230334916588076</v>
      </c>
      <c r="CQ20" s="73">
        <f t="shared" si="19"/>
        <v>5464.7687499379253</v>
      </c>
      <c r="CR20" s="73">
        <f t="shared" si="20"/>
        <v>5398.1121519924554</v>
      </c>
      <c r="CS20" s="73">
        <f t="shared" si="21"/>
        <v>0</v>
      </c>
      <c r="CT20" s="272">
        <f t="shared" si="22"/>
        <v>0</v>
      </c>
      <c r="CU20" s="75">
        <f t="shared" si="23"/>
        <v>1</v>
      </c>
      <c r="CV20" s="75">
        <f t="shared" si="24"/>
        <v>0</v>
      </c>
      <c r="CW20" s="273">
        <f t="shared" si="25"/>
        <v>46143</v>
      </c>
      <c r="CX20" s="274">
        <f t="shared" si="26"/>
        <v>0.03</v>
      </c>
      <c r="CY20" s="6" t="str">
        <f t="shared" si="27"/>
        <v>T</v>
      </c>
      <c r="CZ20" s="273" t="str">
        <f t="shared" si="28"/>
        <v/>
      </c>
      <c r="DA20" s="274" t="str">
        <f t="shared" si="29"/>
        <v/>
      </c>
      <c r="DB20" s="6" t="str">
        <f t="shared" si="30"/>
        <v/>
      </c>
      <c r="DC20" s="273" t="str">
        <f t="shared" si="31"/>
        <v/>
      </c>
      <c r="DD20" s="274" t="str">
        <f t="shared" si="32"/>
        <v/>
      </c>
      <c r="DE20" s="6" t="str">
        <f t="shared" si="33"/>
        <v/>
      </c>
      <c r="DF20" s="273" t="str">
        <f t="shared" si="34"/>
        <v/>
      </c>
      <c r="DG20" s="274" t="str">
        <f t="shared" si="35"/>
        <v/>
      </c>
      <c r="DH20" s="6" t="str">
        <f t="shared" si="36"/>
        <v/>
      </c>
    </row>
    <row r="21" spans="1:112" x14ac:dyDescent="0.3">
      <c r="A21" s="6" t="str">
        <f>$A$994</f>
        <v>ABD|TN</v>
      </c>
      <c r="B21" s="75">
        <f>$C$994</f>
        <v>6</v>
      </c>
      <c r="C21" s="73">
        <f>$B$1045</f>
        <v>1</v>
      </c>
      <c r="D21" s="73">
        <f>$C$1045</f>
        <v>1</v>
      </c>
      <c r="E21" s="73">
        <f>$D$1045</f>
        <v>1.0069444444444444</v>
      </c>
      <c r="F21" s="73">
        <f>$E$1045</f>
        <v>1.039722222222222</v>
      </c>
      <c r="G21" s="224">
        <f>$F$1045</f>
        <v>0.90999999999999981</v>
      </c>
      <c r="H21" s="224">
        <f>$G$1045</f>
        <v>0.90999999999999981</v>
      </c>
      <c r="I21" s="73">
        <f t="shared" si="0"/>
        <v>0.99310344827586206</v>
      </c>
      <c r="J21" s="73">
        <f t="shared" si="1"/>
        <v>0.96179535132246885</v>
      </c>
      <c r="K21" s="73">
        <f>IF($L$994,1,IF(AND(nr_ModAdjMaster="ON",INDEX(lr_modadj,18)="ON"),$F$994/$G21,1))</f>
        <v>1.0109890109890112</v>
      </c>
      <c r="L21" s="73">
        <f>IF($L$994,1,IF(AND(nr_ModAdjMaster="ON",INDEX(lr_modadj,18)="ON"),$F$994/$H21,1))</f>
        <v>1.0109890109890112</v>
      </c>
      <c r="M21" s="72">
        <f>IF(INDEX(lr_basis,18)="proposed",N(INDEX(lr_lrproj,18))*(1+N(INDEX(lr_s,18))),N(INDEX(lr_lrproj,18)))</f>
        <v>0.59599999999999997</v>
      </c>
      <c r="N21" s="72">
        <f t="shared" si="2"/>
        <v>0.59839393709738542</v>
      </c>
      <c r="O21" s="72">
        <f t="shared" si="3"/>
        <v>0.57952926048036946</v>
      </c>
      <c r="P21" s="72">
        <f t="shared" si="4"/>
        <v>6.9444444444444198E-3</v>
      </c>
      <c r="Q21" s="72">
        <f t="shared" si="5"/>
        <v>3.2551724137930726E-2</v>
      </c>
      <c r="R21" s="73">
        <f>IF(N(INDEX(lr_aother,18))=0,1,INDEX(lr_aother,18))</f>
        <v>1</v>
      </c>
      <c r="S21" s="72">
        <f>IF(ISBLANK(INDEX(lr_trend,18)),N(nr_TrendDefault),N(INDEX(lr_trend,18)))</f>
        <v>0</v>
      </c>
      <c r="T21" s="6" t="str">
        <f>INDEX(lr_state,18)</f>
        <v>TN</v>
      </c>
      <c r="U21" s="6" t="str">
        <f>INDEX(lr_bu,18)</f>
        <v>ABD</v>
      </c>
      <c r="V21" s="271">
        <f>N(INDEX(lr_ep,18))</f>
        <v>6400</v>
      </c>
      <c r="W21" s="73">
        <f>N(INDEX(lr_mind,18))*$V21</f>
        <v>5888</v>
      </c>
      <c r="X21" s="73">
        <f>N(INDEX(lr_m0,18))*$V21</f>
        <v>5824</v>
      </c>
      <c r="Y21" s="73">
        <f>N(INDEX(lr_m1,18))*$V21</f>
        <v>5824</v>
      </c>
      <c r="Z21" s="73">
        <f t="shared" si="6"/>
        <v>6400</v>
      </c>
      <c r="AA21" s="73">
        <f t="shared" si="7"/>
        <v>6444.4444444444443</v>
      </c>
      <c r="AB21" s="73">
        <f t="shared" si="8"/>
        <v>6355.8620689655172</v>
      </c>
      <c r="AC21" s="73">
        <f t="shared" si="9"/>
        <v>5823.9999999999991</v>
      </c>
      <c r="AD21" s="73">
        <f t="shared" si="10"/>
        <v>6470.3296703296719</v>
      </c>
      <c r="AE21" s="73">
        <f t="shared" si="11"/>
        <v>3814.3999999999996</v>
      </c>
      <c r="AF21" s="73">
        <f t="shared" si="12"/>
        <v>3829.7211974232669</v>
      </c>
      <c r="AG21" s="73">
        <f t="shared" si="13"/>
        <v>0</v>
      </c>
      <c r="AH21" s="73">
        <f t="shared" si="14"/>
        <v>6155.4902484638005</v>
      </c>
      <c r="AI21" s="73">
        <f t="shared" si="15"/>
        <v>6470.3296703296719</v>
      </c>
      <c r="AJ21" s="73">
        <f t="shared" si="16"/>
        <v>3708.9872670743644</v>
      </c>
      <c r="AK21" s="75">
        <f>IF($L$994,1,0)</f>
        <v>0</v>
      </c>
      <c r="AL21" s="72">
        <f>IF($L$994,$M$994,0)</f>
        <v>0</v>
      </c>
      <c r="AM21" s="73">
        <f>$N$1021/$N$1009*IF($O$994=1,$O$1021/$O$1009,1)-1</f>
        <v>0</v>
      </c>
      <c r="AN21" s="73">
        <f>$N$1022/$N$1010*IF($O$994=1,$O$1022/$O$1010,1)-1</f>
        <v>0</v>
      </c>
      <c r="AO21" s="73">
        <f>$N$1023/$N$1011*IF($O$994=1,$O$1023/$O$1011,1)-1</f>
        <v>0</v>
      </c>
      <c r="AP21" s="73">
        <f>$N$1024/$N$1012*IF($O$994=1,$O$1024/$O$1012,1)-1</f>
        <v>0</v>
      </c>
      <c r="AQ21" s="73">
        <f>$N$1025/$N$1013*IF($O$994=1,$O$1025/$O$1013,1)-1</f>
        <v>0</v>
      </c>
      <c r="AR21" s="73">
        <f>$N$1026/$N$1014*IF($O$994=1,$O$1026/$O$1014,1)-1</f>
        <v>0</v>
      </c>
      <c r="AS21" s="73">
        <f>$N$1027/$N$1015*IF($O$994=1,$O$1027/$O$1015,1)-1</f>
        <v>0</v>
      </c>
      <c r="AT21" s="73">
        <f>$N$1028/$N$1016*IF($O$994=1,$O$1028/$O$1016,1)-1</f>
        <v>4.0000000000000036E-2</v>
      </c>
      <c r="AU21" s="73">
        <f>$N$1029/$N$1017*IF($O$994=1,$O$1029/$O$1017,1)-1</f>
        <v>4.0000000000000036E-2</v>
      </c>
      <c r="AV21" s="73">
        <f>$N$1030/$N$1018*IF($O$994=1,$O$1030/$O$1018,1)-1</f>
        <v>4.0000000000000036E-2</v>
      </c>
      <c r="AW21" s="73">
        <f>$N$1031/$N$1019*IF($O$994=1,$O$1031/$O$1019,1)-1</f>
        <v>4.0000000000000036E-2</v>
      </c>
      <c r="AX21" s="73">
        <f>$N$1032/$N$1020*IF($O$994=1,$O$1032/$O$1020,1)-1</f>
        <v>4.0000000000000036E-2</v>
      </c>
      <c r="AY21" s="73">
        <f>$N$1021/$N$1009-1</f>
        <v>0</v>
      </c>
      <c r="AZ21" s="73">
        <f>$N$1022/$N$1010-1</f>
        <v>0</v>
      </c>
      <c r="BA21" s="73">
        <f>$N$1023/$N$1011-1</f>
        <v>0</v>
      </c>
      <c r="BB21" s="73">
        <f>$N$1024/$N$1012-1</f>
        <v>0</v>
      </c>
      <c r="BC21" s="73">
        <f>$N$1025/$N$1013-1</f>
        <v>0</v>
      </c>
      <c r="BD21" s="73">
        <f>$N$1026/$N$1014-1</f>
        <v>0</v>
      </c>
      <c r="BE21" s="73">
        <f>$N$1027/$N$1015-1</f>
        <v>0</v>
      </c>
      <c r="BF21" s="73">
        <f>$N$1028/$N$1016-1</f>
        <v>4.0000000000000036E-2</v>
      </c>
      <c r="BG21" s="73">
        <f>$N$1029/$N$1017-1</f>
        <v>4.0000000000000036E-2</v>
      </c>
      <c r="BH21" s="73">
        <f>$N$1030/$N$1018-1</f>
        <v>4.0000000000000036E-2</v>
      </c>
      <c r="BI21" s="73">
        <f>$N$1031/$N$1019-1</f>
        <v>4.0000000000000036E-2</v>
      </c>
      <c r="BJ21" s="73">
        <f>$N$1032/$N$1020-1</f>
        <v>4.0000000000000036E-2</v>
      </c>
      <c r="BK21" s="73">
        <f>$O$1021/$O$1009-1</f>
        <v>0</v>
      </c>
      <c r="BL21" s="73">
        <f>$O$1022/$O$1010-1</f>
        <v>0</v>
      </c>
      <c r="BM21" s="73">
        <f>$O$1023/$O$1011-1</f>
        <v>0</v>
      </c>
      <c r="BN21" s="73">
        <f>$O$1024/$O$1012-1</f>
        <v>0</v>
      </c>
      <c r="BO21" s="73">
        <f>$O$1025/$O$1013-1</f>
        <v>0</v>
      </c>
      <c r="BP21" s="73">
        <f>$O$1026/$O$1014-1</f>
        <v>0</v>
      </c>
      <c r="BQ21" s="73">
        <f>$O$1027/$O$1015-1</f>
        <v>0</v>
      </c>
      <c r="BR21" s="73">
        <f>$O$1028/$O$1016-1</f>
        <v>0</v>
      </c>
      <c r="BS21" s="73">
        <f>$O$1029/$O$1017-1</f>
        <v>0</v>
      </c>
      <c r="BT21" s="73">
        <f>$O$1030/$O$1018-1</f>
        <v>0</v>
      </c>
      <c r="BU21" s="73">
        <f>$O$1031/$O$1019-1</f>
        <v>0</v>
      </c>
      <c r="BV21" s="73">
        <f>$O$1032/$O$1020-1</f>
        <v>0</v>
      </c>
      <c r="BW21" s="73">
        <f>$V21*$H$1021</f>
        <v>6400</v>
      </c>
      <c r="BX21" s="73">
        <f>$V21*$H$1022</f>
        <v>6400</v>
      </c>
      <c r="BY21" s="73">
        <f>$V21*$H$1023</f>
        <v>6400</v>
      </c>
      <c r="BZ21" s="73">
        <f>$V21*$H$1024</f>
        <v>6400</v>
      </c>
      <c r="CA21" s="73">
        <f>$V21*$H$1025</f>
        <v>6400</v>
      </c>
      <c r="CB21" s="73">
        <f>$V21*$H$1026</f>
        <v>6400</v>
      </c>
      <c r="CC21" s="73">
        <f>$V21*$H$1027</f>
        <v>6400</v>
      </c>
      <c r="CD21" s="73">
        <f>$V21*$H$1028</f>
        <v>6400</v>
      </c>
      <c r="CE21" s="73">
        <f>$V21*$H$1029</f>
        <v>6400</v>
      </c>
      <c r="CF21" s="73">
        <f>$V21*$H$1030</f>
        <v>6400</v>
      </c>
      <c r="CG21" s="73">
        <f>$V21*$H$1031</f>
        <v>6400</v>
      </c>
      <c r="CH21" s="73">
        <f>$V21*$H$1032</f>
        <v>6400</v>
      </c>
      <c r="CI21" s="75">
        <f>$O$994</f>
        <v>1</v>
      </c>
      <c r="CJ21" s="73">
        <f>$H$1045</f>
        <v>1.0166666666666664</v>
      </c>
      <c r="CK21" s="73">
        <f>$I$1045</f>
        <v>1</v>
      </c>
      <c r="CL21" s="73">
        <f>$J$1045</f>
        <v>1.0166666666666664</v>
      </c>
      <c r="CM21" s="73">
        <f t="shared" si="17"/>
        <v>0</v>
      </c>
      <c r="CN21" s="73">
        <f t="shared" si="18"/>
        <v>6400</v>
      </c>
      <c r="CO21" s="72">
        <f>$M21*($C21/$K$1045)*IF($O$994=1,$F$994/$G21,1)*$R21</f>
        <v>0.59839393709738542</v>
      </c>
      <c r="CP21" s="72">
        <f>$M21*(1+$S21)*($C21/$L$1045)*IF($O$994=1,$F$994/$H21,1)*$R21</f>
        <v>0.57952926048036946</v>
      </c>
      <c r="CQ21" s="73">
        <f t="shared" si="19"/>
        <v>3829.7211974232669</v>
      </c>
      <c r="CR21" s="73">
        <f t="shared" si="20"/>
        <v>3708.9872670743644</v>
      </c>
      <c r="CS21" s="73">
        <f t="shared" si="21"/>
        <v>0</v>
      </c>
      <c r="CT21" s="272">
        <f t="shared" si="22"/>
        <v>0</v>
      </c>
      <c r="CU21" s="75">
        <f t="shared" si="23"/>
        <v>0</v>
      </c>
      <c r="CV21" s="75">
        <f t="shared" si="24"/>
        <v>1</v>
      </c>
      <c r="CW21" s="273">
        <f t="shared" si="25"/>
        <v>46600</v>
      </c>
      <c r="CX21" s="274">
        <f t="shared" si="26"/>
        <v>0.04</v>
      </c>
      <c r="CY21" s="6" t="str">
        <f t="shared" si="27"/>
        <v>P*</v>
      </c>
      <c r="CZ21" s="273" t="str">
        <f t="shared" si="28"/>
        <v/>
      </c>
      <c r="DA21" s="274" t="str">
        <f t="shared" si="29"/>
        <v/>
      </c>
      <c r="DB21" s="6" t="str">
        <f t="shared" si="30"/>
        <v/>
      </c>
      <c r="DC21" s="273" t="str">
        <f t="shared" si="31"/>
        <v/>
      </c>
      <c r="DD21" s="274" t="str">
        <f t="shared" si="32"/>
        <v/>
      </c>
      <c r="DE21" s="6" t="str">
        <f t="shared" si="33"/>
        <v/>
      </c>
      <c r="DF21" s="273" t="str">
        <f t="shared" si="34"/>
        <v/>
      </c>
      <c r="DG21" s="274" t="str">
        <f t="shared" si="35"/>
        <v/>
      </c>
      <c r="DH21" s="6" t="str">
        <f t="shared" si="36"/>
        <v/>
      </c>
    </row>
    <row r="22" spans="1:112" x14ac:dyDescent="0.3">
      <c r="A22" s="6" t="str">
        <f>$A$1048</f>
        <v>ABD|VA</v>
      </c>
      <c r="B22" s="75">
        <f>$C$1048</f>
        <v>6</v>
      </c>
      <c r="C22" s="73">
        <f>$B$1099</f>
        <v>1.05</v>
      </c>
      <c r="D22" s="73">
        <f>$C$1099</f>
        <v>1.0125</v>
      </c>
      <c r="E22" s="73">
        <f>$D$1099</f>
        <v>1.05</v>
      </c>
      <c r="F22" s="73">
        <f>$E$1099</f>
        <v>1.05</v>
      </c>
      <c r="G22" s="224">
        <f>$F$1099</f>
        <v>0.91598878555798668</v>
      </c>
      <c r="H22" s="224">
        <f>$G$1099</f>
        <v>0.92449033552151683</v>
      </c>
      <c r="I22" s="73">
        <f t="shared" si="0"/>
        <v>1</v>
      </c>
      <c r="J22" s="73">
        <f t="shared" si="1"/>
        <v>1</v>
      </c>
      <c r="K22" s="73">
        <f>IF($L$1048,1,IF(AND(nr_ModAdjMaster="ON",INDEX(lr_modadj,19)="ON"),$F$1048/$G22,1))</f>
        <v>1.0043791086804299</v>
      </c>
      <c r="L22" s="73">
        <f>IF($L$1048,1,IF(AND(nr_ModAdjMaster="ON",INDEX(lr_modadj,19)="ON"),$F$1048/$H22,1))</f>
        <v>0.99514290701699581</v>
      </c>
      <c r="M22" s="72">
        <f>IF(INDEX(lr_basis,19)="proposed",N(INDEX(lr_lrproj,19))*(1+N(INDEX(lr_s,19))),N(INDEX(lr_lrproj,19)))</f>
        <v>0.57999999999999996</v>
      </c>
      <c r="N22" s="72">
        <f t="shared" si="2"/>
        <v>0.58253988303464932</v>
      </c>
      <c r="O22" s="72">
        <f t="shared" si="3"/>
        <v>0.57718288606985757</v>
      </c>
      <c r="P22" s="72">
        <f t="shared" si="4"/>
        <v>0</v>
      </c>
      <c r="Q22" s="72">
        <f t="shared" si="5"/>
        <v>0</v>
      </c>
      <c r="R22" s="73">
        <f>IF(N(INDEX(lr_aother,19))=0,1,INDEX(lr_aother,19))</f>
        <v>1</v>
      </c>
      <c r="S22" s="72">
        <f>IF(ISBLANK(INDEX(lr_trend,19)),N(nr_TrendDefault),N(INDEX(lr_trend,19)))</f>
        <v>0</v>
      </c>
      <c r="T22" s="6" t="str">
        <f>INDEX(lr_state,19)</f>
        <v>VA</v>
      </c>
      <c r="U22" s="6" t="str">
        <f>INDEX(lr_bu,19)</f>
        <v>ABD</v>
      </c>
      <c r="V22" s="271">
        <f>N(INDEX(lr_ep,19))</f>
        <v>16800</v>
      </c>
      <c r="W22" s="73">
        <f>N(INDEX(lr_mind,19))*$V22</f>
        <v>15456</v>
      </c>
      <c r="X22" s="73">
        <f>N(INDEX(lr_m0,19))*$V22</f>
        <v>15288</v>
      </c>
      <c r="Y22" s="73">
        <f>N(INDEX(lr_m1,19))*$V22</f>
        <v>15540</v>
      </c>
      <c r="Z22" s="73">
        <f t="shared" si="6"/>
        <v>17640</v>
      </c>
      <c r="AA22" s="73">
        <f t="shared" si="7"/>
        <v>17640</v>
      </c>
      <c r="AB22" s="73">
        <f t="shared" si="8"/>
        <v>16800</v>
      </c>
      <c r="AC22" s="73">
        <f t="shared" si="9"/>
        <v>15388.611597374176</v>
      </c>
      <c r="AD22" s="73">
        <f t="shared" si="10"/>
        <v>16873.569025831221</v>
      </c>
      <c r="AE22" s="73">
        <f t="shared" si="11"/>
        <v>9744</v>
      </c>
      <c r="AF22" s="73">
        <f t="shared" si="12"/>
        <v>9786.6700349821094</v>
      </c>
      <c r="AG22" s="73">
        <f t="shared" si="13"/>
        <v>0</v>
      </c>
      <c r="AH22" s="73">
        <f t="shared" si="14"/>
        <v>16800</v>
      </c>
      <c r="AI22" s="73">
        <f t="shared" si="15"/>
        <v>16718.400837885529</v>
      </c>
      <c r="AJ22" s="73">
        <f t="shared" si="16"/>
        <v>9696.6724859736078</v>
      </c>
      <c r="AK22" s="75">
        <f>IF($L$1048,1,0)</f>
        <v>0</v>
      </c>
      <c r="AL22" s="72">
        <f>IF($L$1048,$M$1048,0)</f>
        <v>0</v>
      </c>
      <c r="AM22" s="73">
        <f>$N$1075/$N$1063*IF($O$1048=1,$O$1075/$O$1063,1)-1</f>
        <v>6.3953022699829498E-2</v>
      </c>
      <c r="AN22" s="73">
        <f>$N$1076/$N$1064*IF($O$1048=1,$O$1076/$O$1064,1)-1</f>
        <v>6.3938053097345238E-2</v>
      </c>
      <c r="AO22" s="73">
        <f>$N$1077/$N$1065*IF($O$1048=1,$O$1077/$O$1065,1)-1</f>
        <v>6.3923115580932111E-2</v>
      </c>
      <c r="AP22" s="73">
        <f>$N$1078/$N$1066*IF($O$1048=1,$O$1078/$O$1066,1)-1</f>
        <v>6.390770533446255E-2</v>
      </c>
      <c r="AQ22" s="73">
        <f>$N$1079/$N$1067*IF($O$1048=1,$O$1079/$O$1067,1)-1</f>
        <v>6.3892329162714701E-2</v>
      </c>
      <c r="AR22" s="73">
        <f>$N$1080/$N$1068*IF($O$1048=1,$O$1080/$O$1068,1)-1</f>
        <v>6.3876986952795978E-2</v>
      </c>
      <c r="AS22" s="73">
        <f>$N$1081/$N$1069*IF($O$1048=1,$O$1081/$O$1069,1)-1</f>
        <v>1.320159865934456E-2</v>
      </c>
      <c r="AT22" s="73">
        <f>$N$1082/$N$1070*IF($O$1048=1,$O$1082/$O$1070,1)-1</f>
        <v>1.3186813186813362E-2</v>
      </c>
      <c r="AU22" s="73">
        <f>$N$1083/$N$1071*IF($O$1048=1,$O$1083/$O$1071,1)-1</f>
        <v>1.3172298475862876E-2</v>
      </c>
      <c r="AV22" s="73">
        <f>$N$1084/$N$1072*IF($O$1048=1,$O$1084/$O$1072,1)-1</f>
        <v>1.3157815682433904E-2</v>
      </c>
      <c r="AW22" s="73">
        <f>$N$1085/$N$1073*IF($O$1048=1,$O$1085/$O$1073,1)-1</f>
        <v>1.3143364701363458E-2</v>
      </c>
      <c r="AX22" s="73">
        <f>$N$1086/$N$1074*IF($O$1048=1,$O$1086/$O$1074,1)-1</f>
        <v>1.3128945427949512E-2</v>
      </c>
      <c r="AY22" s="73">
        <f>$N$1075/$N$1063-1</f>
        <v>5.0000000000000044E-2</v>
      </c>
      <c r="AZ22" s="73">
        <f>$N$1076/$N$1064-1</f>
        <v>5.0000000000000044E-2</v>
      </c>
      <c r="BA22" s="73">
        <f>$N$1077/$N$1065-1</f>
        <v>5.0000000000000044E-2</v>
      </c>
      <c r="BB22" s="73">
        <f>$N$1078/$N$1066-1</f>
        <v>5.0000000000000044E-2</v>
      </c>
      <c r="BC22" s="73">
        <f>$N$1079/$N$1067-1</f>
        <v>5.0000000000000044E-2</v>
      </c>
      <c r="BD22" s="73">
        <f>$N$1080/$N$1068-1</f>
        <v>5.0000000000000044E-2</v>
      </c>
      <c r="BE22" s="73">
        <f>$N$1081/$N$1069-1</f>
        <v>0</v>
      </c>
      <c r="BF22" s="73">
        <f>$N$1082/$N$1070-1</f>
        <v>0</v>
      </c>
      <c r="BG22" s="73">
        <f>$N$1083/$N$1071-1</f>
        <v>0</v>
      </c>
      <c r="BH22" s="73">
        <f>$N$1084/$N$1072-1</f>
        <v>0</v>
      </c>
      <c r="BI22" s="73">
        <f>$N$1085/$N$1073-1</f>
        <v>0</v>
      </c>
      <c r="BJ22" s="73">
        <f>$N$1086/$N$1074-1</f>
        <v>0</v>
      </c>
      <c r="BK22" s="73">
        <f>$O$1075/$O$1063-1</f>
        <v>1.3288593047456665E-2</v>
      </c>
      <c r="BL22" s="73">
        <f>$O$1076/$O$1064-1</f>
        <v>1.3274336283185972E-2</v>
      </c>
      <c r="BM22" s="73">
        <f>$O$1077/$O$1065-1</f>
        <v>1.3260110077078169E-2</v>
      </c>
      <c r="BN22" s="73">
        <f>$O$1078/$O$1066-1</f>
        <v>1.3245433651869032E-2</v>
      </c>
      <c r="BO22" s="73">
        <f>$O$1079/$O$1067-1</f>
        <v>1.3230789678775778E-2</v>
      </c>
      <c r="BP22" s="73">
        <f>$O$1080/$O$1068-1</f>
        <v>1.3216178050281746E-2</v>
      </c>
      <c r="BQ22" s="73">
        <f>$O$1081/$O$1069-1</f>
        <v>1.320159865934456E-2</v>
      </c>
      <c r="BR22" s="73">
        <f>$O$1082/$O$1070-1</f>
        <v>1.3186813186813362E-2</v>
      </c>
      <c r="BS22" s="73">
        <f>$O$1083/$O$1071-1</f>
        <v>1.3172298475862876E-2</v>
      </c>
      <c r="BT22" s="73">
        <f>$O$1084/$O$1072-1</f>
        <v>1.3157815682433904E-2</v>
      </c>
      <c r="BU22" s="73">
        <f>$O$1085/$O$1073-1</f>
        <v>1.3143364701363458E-2</v>
      </c>
      <c r="BV22" s="73">
        <f>$O$1086/$O$1074-1</f>
        <v>1.3128945427949512E-2</v>
      </c>
      <c r="BW22" s="73">
        <f>$V22*$H$1075</f>
        <v>16800</v>
      </c>
      <c r="BX22" s="73">
        <f>$V22*$H$1076</f>
        <v>16800</v>
      </c>
      <c r="BY22" s="73">
        <f>$V22*$H$1077</f>
        <v>16800</v>
      </c>
      <c r="BZ22" s="73">
        <f>$V22*$H$1078</f>
        <v>16800</v>
      </c>
      <c r="CA22" s="73">
        <f>$V22*$H$1079</f>
        <v>16800</v>
      </c>
      <c r="CB22" s="73">
        <f>$V22*$H$1080</f>
        <v>16800</v>
      </c>
      <c r="CC22" s="73">
        <f>$V22*$H$1081</f>
        <v>16800</v>
      </c>
      <c r="CD22" s="73">
        <f>$V22*$H$1082</f>
        <v>16800</v>
      </c>
      <c r="CE22" s="73">
        <f>$V22*$H$1083</f>
        <v>16800</v>
      </c>
      <c r="CF22" s="73">
        <f>$V22*$H$1084</f>
        <v>16800</v>
      </c>
      <c r="CG22" s="73">
        <f>$V22*$H$1085</f>
        <v>16800</v>
      </c>
      <c r="CH22" s="73">
        <f>$V22*$H$1086</f>
        <v>16800</v>
      </c>
      <c r="CI22" s="75">
        <f>$O$1048</f>
        <v>1</v>
      </c>
      <c r="CJ22" s="73">
        <f>$H$1099</f>
        <v>1.0250000000000001</v>
      </c>
      <c r="CK22" s="73">
        <f>$I$1099</f>
        <v>1.0132088564102013</v>
      </c>
      <c r="CL22" s="73">
        <f>$J$1099</f>
        <v>1.0385401707468207</v>
      </c>
      <c r="CM22" s="73">
        <f t="shared" si="17"/>
        <v>0</v>
      </c>
      <c r="CN22" s="73">
        <f t="shared" si="18"/>
        <v>16800</v>
      </c>
      <c r="CO22" s="72">
        <f>$M22*($C22/$K$1099)*IF($O$1048=1,$F$1048/$G22,1)*$R22</f>
        <v>0.58253988303464932</v>
      </c>
      <c r="CP22" s="72">
        <f>$M22*(1+$S22)*($C22/$L$1099)*IF($O$1048=1,$F$1048/$H22,1)*$R22</f>
        <v>0.57718288606985757</v>
      </c>
      <c r="CQ22" s="73">
        <f t="shared" si="19"/>
        <v>9786.6700349821094</v>
      </c>
      <c r="CR22" s="73">
        <f t="shared" si="20"/>
        <v>9696.6724859736078</v>
      </c>
      <c r="CS22" s="73">
        <f t="shared" si="21"/>
        <v>0</v>
      </c>
      <c r="CT22" s="272">
        <f t="shared" si="22"/>
        <v>0</v>
      </c>
      <c r="CU22" s="75">
        <f t="shared" si="23"/>
        <v>1</v>
      </c>
      <c r="CV22" s="75">
        <f t="shared" si="24"/>
        <v>0</v>
      </c>
      <c r="CW22" s="273">
        <f t="shared" si="25"/>
        <v>46204</v>
      </c>
      <c r="CX22" s="274">
        <f t="shared" si="26"/>
        <v>0.05</v>
      </c>
      <c r="CY22" s="6" t="str">
        <f t="shared" si="27"/>
        <v>T</v>
      </c>
      <c r="CZ22" s="273" t="str">
        <f t="shared" si="28"/>
        <v/>
      </c>
      <c r="DA22" s="274" t="str">
        <f t="shared" si="29"/>
        <v/>
      </c>
      <c r="DB22" s="6" t="str">
        <f t="shared" si="30"/>
        <v/>
      </c>
      <c r="DC22" s="273" t="str">
        <f t="shared" si="31"/>
        <v/>
      </c>
      <c r="DD22" s="274" t="str">
        <f t="shared" si="32"/>
        <v/>
      </c>
      <c r="DE22" s="6" t="str">
        <f t="shared" si="33"/>
        <v/>
      </c>
      <c r="DF22" s="273" t="str">
        <f t="shared" si="34"/>
        <v/>
      </c>
      <c r="DG22" s="274" t="str">
        <f t="shared" si="35"/>
        <v/>
      </c>
      <c r="DH22" s="6" t="str">
        <f t="shared" si="36"/>
        <v/>
      </c>
    </row>
    <row r="23" spans="1:112" x14ac:dyDescent="0.3">
      <c r="A23" s="6" t="str">
        <f>$A$1102</f>
        <v>ABD|WV</v>
      </c>
      <c r="B23" s="75">
        <f>$C$1102</f>
        <v>6</v>
      </c>
      <c r="C23" s="73">
        <f>$B$1153</f>
        <v>1.06</v>
      </c>
      <c r="D23" s="73">
        <f>$C$1153</f>
        <v>1.0104166666666667</v>
      </c>
      <c r="E23" s="73">
        <f>$D$1153</f>
        <v>1.0595833333333335</v>
      </c>
      <c r="F23" s="73">
        <f>$E$1153</f>
        <v>1.0600000000000003</v>
      </c>
      <c r="G23" s="224">
        <f>$F$1153</f>
        <v>0.9080037381473377</v>
      </c>
      <c r="H23" s="224">
        <f>$G$1153</f>
        <v>0.90516988815949428</v>
      </c>
      <c r="I23" s="73">
        <f t="shared" si="0"/>
        <v>1.0003932363350372</v>
      </c>
      <c r="J23" s="73">
        <f t="shared" si="1"/>
        <v>0.99999999999999978</v>
      </c>
      <c r="K23" s="73">
        <f>IF($L$1102,1,IF(AND(nr_ModAdjMaster="ON",INDEX(lr_modadj,20)="ON"),$F$1102/$G23,1))</f>
        <v>1.0132116877372543</v>
      </c>
      <c r="L23" s="73">
        <f>IF($L$1102,1,IF(AND(nr_ModAdjMaster="ON",INDEX(lr_modadj,20)="ON"),$F$1102/$H23,1))</f>
        <v>1.0163837883191853</v>
      </c>
      <c r="M23" s="72">
        <f>IF(INDEX(lr_basis,20)="proposed",N(INDEX(lr_lrproj,20))*(1+N(INDEX(lr_s,20))),N(INDEX(lr_lrproj,20)))</f>
        <v>0.56399999999999995</v>
      </c>
      <c r="N23" s="72">
        <f t="shared" si="2"/>
        <v>0.57167610733480778</v>
      </c>
      <c r="O23" s="72">
        <f t="shared" si="3"/>
        <v>0.57324045661202039</v>
      </c>
      <c r="P23" s="72">
        <f t="shared" si="4"/>
        <v>-3.9308176100616432E-4</v>
      </c>
      <c r="Q23" s="72">
        <f t="shared" si="5"/>
        <v>3.9323633503740574E-4</v>
      </c>
      <c r="R23" s="73">
        <f>IF(N(INDEX(lr_aother,20))=0,1,INDEX(lr_aother,20))</f>
        <v>1</v>
      </c>
      <c r="S23" s="72">
        <f>IF(ISBLANK(INDEX(lr_trend,20)),N(nr_TrendDefault),N(INDEX(lr_trend,20)))</f>
        <v>0</v>
      </c>
      <c r="T23" s="6" t="str">
        <f>INDEX(lr_state,20)</f>
        <v>WV</v>
      </c>
      <c r="U23" s="6" t="str">
        <f>INDEX(lr_bu,20)</f>
        <v>ABD</v>
      </c>
      <c r="V23" s="271">
        <f>N(INDEX(lr_ep,20))</f>
        <v>13600</v>
      </c>
      <c r="W23" s="73">
        <f>N(INDEX(lr_mind,20))*$V23</f>
        <v>12512</v>
      </c>
      <c r="X23" s="73">
        <f>N(INDEX(lr_m0,20))*$V23</f>
        <v>12376</v>
      </c>
      <c r="Y23" s="73">
        <f>N(INDEX(lr_m1,20))*$V23</f>
        <v>12308</v>
      </c>
      <c r="Z23" s="73">
        <f t="shared" si="6"/>
        <v>14416</v>
      </c>
      <c r="AA23" s="73">
        <f t="shared" si="7"/>
        <v>14410.333333333336</v>
      </c>
      <c r="AB23" s="73">
        <f t="shared" si="8"/>
        <v>13605.348014156505</v>
      </c>
      <c r="AC23" s="73">
        <f t="shared" si="9"/>
        <v>12348.850838803794</v>
      </c>
      <c r="AD23" s="73">
        <f t="shared" si="10"/>
        <v>13779.678953226659</v>
      </c>
      <c r="AE23" s="73">
        <f t="shared" si="11"/>
        <v>7670.4</v>
      </c>
      <c r="AF23" s="73">
        <f t="shared" si="12"/>
        <v>7774.7950597533854</v>
      </c>
      <c r="AG23" s="73">
        <f t="shared" si="13"/>
        <v>0</v>
      </c>
      <c r="AH23" s="73">
        <f t="shared" si="14"/>
        <v>13599.999999999996</v>
      </c>
      <c r="AI23" s="73">
        <f t="shared" si="15"/>
        <v>13822.81952114092</v>
      </c>
      <c r="AJ23" s="73">
        <f t="shared" si="16"/>
        <v>7796.0702099234777</v>
      </c>
      <c r="AK23" s="75">
        <f>IF($L$1102,1,0)</f>
        <v>0</v>
      </c>
      <c r="AL23" s="72">
        <f>IF($L$1102,$M$1102,0)</f>
        <v>0</v>
      </c>
      <c r="AM23" s="73">
        <f>$N$1129/$N$1117*IF($O$1102=1,$O$1129/$O$1117,1)-1</f>
        <v>5.5362662783241534E-2</v>
      </c>
      <c r="AN23" s="73">
        <f>$N$1130/$N$1118*IF($O$1102=1,$O$1130/$O$1118,1)-1</f>
        <v>5.5361022517445679E-2</v>
      </c>
      <c r="AO23" s="73">
        <f>$N$1131/$N$1119*IF($O$1102=1,$O$1131/$O$1119,1)-1</f>
        <v>5.535938109088745E-2</v>
      </c>
      <c r="AP23" s="73">
        <f>$N$1132/$N$1120*IF($O$1102=1,$O$1132/$O$1120,1)-1</f>
        <v>5.5357682800988739E-2</v>
      </c>
      <c r="AQ23" s="73">
        <f>$N$1133/$N$1121*IF($O$1102=1,$O$1133/$O$1121,1)-1</f>
        <v>5.535598326761626E-2</v>
      </c>
      <c r="AR23" s="73">
        <f>$N$1134/$N$1122*IF($O$1102=1,$O$1134/$O$1122,1)-1</f>
        <v>5.5354282489403328E-2</v>
      </c>
      <c r="AS23" s="73">
        <f>$N$1135/$N$1123*IF($O$1102=1,$O$1135/$O$1123,1)-1</f>
        <v>5.5352580464982148E-2</v>
      </c>
      <c r="AT23" s="73">
        <f>$N$1136/$N$1124*IF($O$1102=1,$O$1136/$O$1124,1)-1</f>
        <v>-4.3859912640666909E-3</v>
      </c>
      <c r="AU23" s="73">
        <f>$N$1137/$N$1125*IF($O$1102=1,$O$1137/$O$1125,1)-1</f>
        <v>-4.3875993220258147E-3</v>
      </c>
      <c r="AV23" s="73">
        <f>$N$1138/$N$1126*IF($O$1102=1,$O$1138/$O$1126,1)-1</f>
        <v>-4.3892085595579333E-3</v>
      </c>
      <c r="AW23" s="73">
        <f>$N$1139/$N$1127*IF($O$1102=1,$O$1139/$O$1127,1)-1</f>
        <v>-4.3908189779616746E-3</v>
      </c>
      <c r="AX23" s="73">
        <f>$N$1140/$N$1128*IF($O$1102=1,$O$1140/$O$1128,1)-1</f>
        <v>-4.3924305785372209E-3</v>
      </c>
      <c r="AY23" s="73">
        <f>$N$1129/$N$1117-1</f>
        <v>6.0000000000000053E-2</v>
      </c>
      <c r="AZ23" s="73">
        <f>$N$1130/$N$1118-1</f>
        <v>6.0000000000000053E-2</v>
      </c>
      <c r="BA23" s="73">
        <f>$N$1131/$N$1119-1</f>
        <v>6.0000000000000053E-2</v>
      </c>
      <c r="BB23" s="73">
        <f>$N$1132/$N$1120-1</f>
        <v>6.0000000000000053E-2</v>
      </c>
      <c r="BC23" s="73">
        <f>$N$1133/$N$1121-1</f>
        <v>6.0000000000000053E-2</v>
      </c>
      <c r="BD23" s="73">
        <f>$N$1134/$N$1122-1</f>
        <v>6.0000000000000053E-2</v>
      </c>
      <c r="BE23" s="73">
        <f>$N$1135/$N$1123-1</f>
        <v>6.0000000000000053E-2</v>
      </c>
      <c r="BF23" s="73">
        <f>$N$1136/$N$1124-1</f>
        <v>0</v>
      </c>
      <c r="BG23" s="73">
        <f>$N$1137/$N$1125-1</f>
        <v>0</v>
      </c>
      <c r="BH23" s="73">
        <f>$N$1138/$N$1126-1</f>
        <v>0</v>
      </c>
      <c r="BI23" s="73">
        <f>$N$1139/$N$1127-1</f>
        <v>0</v>
      </c>
      <c r="BJ23" s="73">
        <f>$N$1140/$N$1128-1</f>
        <v>0</v>
      </c>
      <c r="BK23" s="73">
        <f>$O$1129/$O$1117-1</f>
        <v>-4.3748464309043555E-3</v>
      </c>
      <c r="BL23" s="73">
        <f>$O$1130/$O$1118-1</f>
        <v>-4.3763938514663758E-3</v>
      </c>
      <c r="BM23" s="73">
        <f>$O$1131/$O$1119-1</f>
        <v>-4.3779423670874396E-3</v>
      </c>
      <c r="BN23" s="73">
        <f>$O$1132/$O$1120-1</f>
        <v>-4.3795445273691058E-3</v>
      </c>
      <c r="BO23" s="73">
        <f>$O$1133/$O$1121-1</f>
        <v>-4.3811478607395093E-3</v>
      </c>
      <c r="BP23" s="73">
        <f>$O$1134/$O$1122-1</f>
        <v>-4.382752368487397E-3</v>
      </c>
      <c r="BQ23" s="73">
        <f>$O$1135/$O$1123-1</f>
        <v>-4.3843580519036252E-3</v>
      </c>
      <c r="BR23" s="73">
        <f>$O$1136/$O$1124-1</f>
        <v>-4.3859912640666909E-3</v>
      </c>
      <c r="BS23" s="73">
        <f>$O$1137/$O$1125-1</f>
        <v>-4.3875993220258147E-3</v>
      </c>
      <c r="BT23" s="73">
        <f>$O$1138/$O$1126-1</f>
        <v>-4.3892085595579333E-3</v>
      </c>
      <c r="BU23" s="73">
        <f>$O$1139/$O$1127-1</f>
        <v>-4.3908189779616746E-3</v>
      </c>
      <c r="BV23" s="73">
        <f>$O$1140/$O$1128-1</f>
        <v>-4.3924305785372209E-3</v>
      </c>
      <c r="BW23" s="73">
        <f>$V23*$H$1129</f>
        <v>13600</v>
      </c>
      <c r="BX23" s="73">
        <f>$V23*$H$1130</f>
        <v>13600</v>
      </c>
      <c r="BY23" s="73">
        <f>$V23*$H$1131</f>
        <v>13600</v>
      </c>
      <c r="BZ23" s="73">
        <f>$V23*$H$1132</f>
        <v>13600</v>
      </c>
      <c r="CA23" s="73">
        <f>$V23*$H$1133</f>
        <v>13600</v>
      </c>
      <c r="CB23" s="73">
        <f>$V23*$H$1134</f>
        <v>13600</v>
      </c>
      <c r="CC23" s="73">
        <f>$V23*$H$1135</f>
        <v>13600</v>
      </c>
      <c r="CD23" s="73">
        <f>$V23*$H$1136</f>
        <v>13600</v>
      </c>
      <c r="CE23" s="73">
        <f>$V23*$H$1137</f>
        <v>13600</v>
      </c>
      <c r="CF23" s="73">
        <f>$V23*$H$1138</f>
        <v>13600</v>
      </c>
      <c r="CG23" s="73">
        <f>$V23*$H$1139</f>
        <v>13600</v>
      </c>
      <c r="CH23" s="73">
        <f>$V23*$H$1140</f>
        <v>13600</v>
      </c>
      <c r="CI23" s="75">
        <f>$O$1102</f>
        <v>1</v>
      </c>
      <c r="CJ23" s="73">
        <f>$H$1153</f>
        <v>1.0350000000000001</v>
      </c>
      <c r="CK23" s="73">
        <f>$I$1153</f>
        <v>0.99561641381999111</v>
      </c>
      <c r="CL23" s="73">
        <f>$J$1153</f>
        <v>1.0304631288927011</v>
      </c>
      <c r="CM23" s="73">
        <f t="shared" si="17"/>
        <v>0</v>
      </c>
      <c r="CN23" s="73">
        <f t="shared" si="18"/>
        <v>13600</v>
      </c>
      <c r="CO23" s="72">
        <f>$M23*($C23/$K$1153)*IF($O$1102=1,$F$1102/$G23,1)*$R23</f>
        <v>0.57167610733480778</v>
      </c>
      <c r="CP23" s="72">
        <f>$M23*(1+$S23)*($C23/$L$1153)*IF($O$1102=1,$F$1102/$H23,1)*$R23</f>
        <v>0.57324045661202039</v>
      </c>
      <c r="CQ23" s="73">
        <f t="shared" si="19"/>
        <v>7774.7950597533854</v>
      </c>
      <c r="CR23" s="73">
        <f t="shared" si="20"/>
        <v>7796.0702099234777</v>
      </c>
      <c r="CS23" s="73">
        <f t="shared" si="21"/>
        <v>0</v>
      </c>
      <c r="CT23" s="272">
        <f t="shared" si="22"/>
        <v>0</v>
      </c>
      <c r="CU23" s="75">
        <f t="shared" si="23"/>
        <v>1</v>
      </c>
      <c r="CV23" s="75">
        <f t="shared" si="24"/>
        <v>0</v>
      </c>
      <c r="CW23" s="273">
        <f t="shared" si="25"/>
        <v>46235</v>
      </c>
      <c r="CX23" s="274">
        <f t="shared" si="26"/>
        <v>0.06</v>
      </c>
      <c r="CY23" s="6" t="str">
        <f t="shared" si="27"/>
        <v>T</v>
      </c>
      <c r="CZ23" s="273" t="str">
        <f t="shared" si="28"/>
        <v/>
      </c>
      <c r="DA23" s="274" t="str">
        <f t="shared" si="29"/>
        <v/>
      </c>
      <c r="DB23" s="6" t="str">
        <f t="shared" si="30"/>
        <v/>
      </c>
      <c r="DC23" s="273" t="str">
        <f t="shared" si="31"/>
        <v/>
      </c>
      <c r="DD23" s="274" t="str">
        <f t="shared" si="32"/>
        <v/>
      </c>
      <c r="DE23" s="6" t="str">
        <f t="shared" si="33"/>
        <v/>
      </c>
      <c r="DF23" s="273" t="str">
        <f t="shared" si="34"/>
        <v/>
      </c>
      <c r="DG23" s="274" t="str">
        <f t="shared" si="35"/>
        <v/>
      </c>
      <c r="DH23" s="6" t="str">
        <f t="shared" si="36"/>
        <v/>
      </c>
    </row>
    <row r="24" spans="1:112" x14ac:dyDescent="0.3">
      <c r="A24" s="6" t="str">
        <f>$A$1156</f>
        <v>ABD|WI</v>
      </c>
      <c r="B24" s="75">
        <f>$C$1156</f>
        <v>6</v>
      </c>
      <c r="C24" s="73">
        <f>$B$1207</f>
        <v>1</v>
      </c>
      <c r="D24" s="73">
        <f>$C$1207</f>
        <v>1</v>
      </c>
      <c r="E24" s="73">
        <f>$D$1207</f>
        <v>1</v>
      </c>
      <c r="F24" s="73">
        <f>$E$1207</f>
        <v>1</v>
      </c>
      <c r="G24" s="224">
        <f>$F$1207</f>
        <v>0.91399252370532447</v>
      </c>
      <c r="H24" s="224">
        <f>$G$1207</f>
        <v>0.91966022368101141</v>
      </c>
      <c r="I24" s="73">
        <f t="shared" si="0"/>
        <v>1</v>
      </c>
      <c r="J24" s="73">
        <f t="shared" si="1"/>
        <v>1</v>
      </c>
      <c r="K24" s="73">
        <f>IF($L$1156,1,IF(AND(nr_ModAdjMaster="ON",INDEX(lr_modadj,21)="ON"),$F$1156/$G24,1))</f>
        <v>1.0065727849395543</v>
      </c>
      <c r="L24" s="73">
        <f>IF($L$1156,1,IF(AND(nr_ModAdjMaster="ON",INDEX(lr_modadj,21)="ON"),$F$1156/$H24,1))</f>
        <v>1.000369458535054</v>
      </c>
      <c r="M24" s="72">
        <f>IF(INDEX(lr_basis,21)="proposed",N(INDEX(lr_lrproj,21))*(1+N(INDEX(lr_s,21))),N(INDEX(lr_lrproj,21)))</f>
        <v>0.59199999999999997</v>
      </c>
      <c r="N24" s="72">
        <f t="shared" si="2"/>
        <v>0.59589108868421614</v>
      </c>
      <c r="O24" s="72">
        <f t="shared" si="3"/>
        <v>0.59221871945275195</v>
      </c>
      <c r="P24" s="72">
        <f t="shared" si="4"/>
        <v>0</v>
      </c>
      <c r="Q24" s="72">
        <f t="shared" si="5"/>
        <v>0</v>
      </c>
      <c r="R24" s="73">
        <f>IF(N(INDEX(lr_aother,21))=0,1,INDEX(lr_aother,21))</f>
        <v>1</v>
      </c>
      <c r="S24" s="72">
        <f>IF(ISBLANK(INDEX(lr_trend,21)),N(nr_TrendDefault),N(INDEX(lr_trend,21)))</f>
        <v>0</v>
      </c>
      <c r="T24" s="6" t="str">
        <f>INDEX(lr_state,21)</f>
        <v>WI</v>
      </c>
      <c r="U24" s="6" t="str">
        <f>INDEX(lr_bu,21)</f>
        <v>ABD</v>
      </c>
      <c r="V24" s="271">
        <f>N(INDEX(lr_ep,21))</f>
        <v>10400</v>
      </c>
      <c r="W24" s="73">
        <f>N(INDEX(lr_mind,21))*$V24</f>
        <v>9568</v>
      </c>
      <c r="X24" s="73">
        <f>N(INDEX(lr_m0,21))*$V24</f>
        <v>9464</v>
      </c>
      <c r="Y24" s="73">
        <f>N(INDEX(lr_m1,21))*$V24</f>
        <v>9568</v>
      </c>
      <c r="Z24" s="73">
        <f t="shared" si="6"/>
        <v>10400</v>
      </c>
      <c r="AA24" s="73">
        <f t="shared" si="7"/>
        <v>10400</v>
      </c>
      <c r="AB24" s="73">
        <f t="shared" si="8"/>
        <v>10400</v>
      </c>
      <c r="AC24" s="73">
        <f t="shared" si="9"/>
        <v>9505.5222465353745</v>
      </c>
      <c r="AD24" s="73">
        <f t="shared" si="10"/>
        <v>10468.356963371365</v>
      </c>
      <c r="AE24" s="73">
        <f t="shared" si="11"/>
        <v>6156.7999999999993</v>
      </c>
      <c r="AF24" s="73">
        <f t="shared" si="12"/>
        <v>6197.2673223158481</v>
      </c>
      <c r="AG24" s="73">
        <f t="shared" si="13"/>
        <v>0</v>
      </c>
      <c r="AH24" s="73">
        <f t="shared" si="14"/>
        <v>10400</v>
      </c>
      <c r="AI24" s="73">
        <f t="shared" si="15"/>
        <v>10403.842368764561</v>
      </c>
      <c r="AJ24" s="73">
        <f t="shared" si="16"/>
        <v>6159.0746823086201</v>
      </c>
      <c r="AK24" s="75">
        <f>IF($L$1156,1,0)</f>
        <v>0</v>
      </c>
      <c r="AL24" s="72">
        <f>IF($L$1156,$M$1156,0)</f>
        <v>0</v>
      </c>
      <c r="AM24" s="73">
        <f>$N$1183/$N$1171*IF($O$1156=1,$O$1183/$O$1171,1)-1</f>
        <v>8.8314642083742179E-3</v>
      </c>
      <c r="AN24" s="73">
        <f>$N$1184/$N$1172*IF($O$1156=1,$O$1184/$O$1172,1)-1</f>
        <v>8.8251650184965058E-3</v>
      </c>
      <c r="AO24" s="73">
        <f>$N$1185/$N$1173*IF($O$1156=1,$O$1185/$O$1173,1)-1</f>
        <v>8.8188748082196344E-3</v>
      </c>
      <c r="AP24" s="73">
        <f>$N$1186/$N$1174*IF($O$1156=1,$O$1186/$O$1174,1)-1</f>
        <v>8.8123807914242125E-3</v>
      </c>
      <c r="AQ24" s="73">
        <f>$N$1187/$N$1175*IF($O$1156=1,$O$1187/$O$1175,1)-1</f>
        <v>8.8058963316806071E-3</v>
      </c>
      <c r="AR24" s="73">
        <f>$N$1188/$N$1176*IF($O$1156=1,$O$1188/$O$1176,1)-1</f>
        <v>8.7994214079074595E-3</v>
      </c>
      <c r="AS24" s="73">
        <f>$N$1189/$N$1177*IF($O$1156=1,$O$1189/$O$1177,1)-1</f>
        <v>8.792955999084473E-3</v>
      </c>
      <c r="AT24" s="73">
        <f>$N$1190/$N$1178*IF($O$1156=1,$O$1190/$O$1178,1)-1</f>
        <v>8.7863943285630963E-3</v>
      </c>
      <c r="AU24" s="73">
        <f>$N$1191/$N$1179*IF($O$1156=1,$O$1191/$O$1179,1)-1</f>
        <v>8.7799480419512577E-3</v>
      </c>
      <c r="AV24" s="73">
        <f>$N$1192/$N$1180*IF($O$1156=1,$O$1192/$O$1180,1)-1</f>
        <v>8.7735112072593324E-3</v>
      </c>
      <c r="AW24" s="73">
        <f>$N$1193/$N$1181*IF($O$1156=1,$O$1193/$O$1181,1)-1</f>
        <v>8.7670838037132715E-3</v>
      </c>
      <c r="AX24" s="73">
        <f>$N$1194/$N$1182*IF($O$1156=1,$O$1194/$O$1182,1)-1</f>
        <v>8.7606658106016422E-3</v>
      </c>
      <c r="AY24" s="73">
        <f>$N$1183/$N$1171-1</f>
        <v>0</v>
      </c>
      <c r="AZ24" s="73">
        <f>$N$1184/$N$1172-1</f>
        <v>0</v>
      </c>
      <c r="BA24" s="73">
        <f>$N$1185/$N$1173-1</f>
        <v>0</v>
      </c>
      <c r="BB24" s="73">
        <f>$N$1186/$N$1174-1</f>
        <v>0</v>
      </c>
      <c r="BC24" s="73">
        <f>$N$1187/$N$1175-1</f>
        <v>0</v>
      </c>
      <c r="BD24" s="73">
        <f>$N$1188/$N$1176-1</f>
        <v>0</v>
      </c>
      <c r="BE24" s="73">
        <f>$N$1189/$N$1177-1</f>
        <v>0</v>
      </c>
      <c r="BF24" s="73">
        <f>$N$1190/$N$1178-1</f>
        <v>0</v>
      </c>
      <c r="BG24" s="73">
        <f>$N$1191/$N$1179-1</f>
        <v>0</v>
      </c>
      <c r="BH24" s="73">
        <f>$N$1192/$N$1180-1</f>
        <v>0</v>
      </c>
      <c r="BI24" s="73">
        <f>$N$1193/$N$1181-1</f>
        <v>0</v>
      </c>
      <c r="BJ24" s="73">
        <f>$N$1194/$N$1182-1</f>
        <v>0</v>
      </c>
      <c r="BK24" s="73">
        <f>$O$1183/$O$1171-1</f>
        <v>8.8314642083742179E-3</v>
      </c>
      <c r="BL24" s="73">
        <f>$O$1184/$O$1172-1</f>
        <v>8.8251650184965058E-3</v>
      </c>
      <c r="BM24" s="73">
        <f>$O$1185/$O$1173-1</f>
        <v>8.8188748082196344E-3</v>
      </c>
      <c r="BN24" s="73">
        <f>$O$1186/$O$1174-1</f>
        <v>8.8123807914242125E-3</v>
      </c>
      <c r="BO24" s="73">
        <f>$O$1187/$O$1175-1</f>
        <v>8.8058963316806071E-3</v>
      </c>
      <c r="BP24" s="73">
        <f>$O$1188/$O$1176-1</f>
        <v>8.7994214079074595E-3</v>
      </c>
      <c r="BQ24" s="73">
        <f>$O$1189/$O$1177-1</f>
        <v>8.792955999084473E-3</v>
      </c>
      <c r="BR24" s="73">
        <f>$O$1190/$O$1178-1</f>
        <v>8.7863943285630963E-3</v>
      </c>
      <c r="BS24" s="73">
        <f>$O$1191/$O$1179-1</f>
        <v>8.7799480419512577E-3</v>
      </c>
      <c r="BT24" s="73">
        <f>$O$1192/$O$1180-1</f>
        <v>8.7735112072593324E-3</v>
      </c>
      <c r="BU24" s="73">
        <f>$O$1193/$O$1181-1</f>
        <v>8.7670838037132715E-3</v>
      </c>
      <c r="BV24" s="73">
        <f>$O$1194/$O$1182-1</f>
        <v>8.7606658106016422E-3</v>
      </c>
      <c r="BW24" s="73">
        <f>$V24*$H$1183</f>
        <v>10400</v>
      </c>
      <c r="BX24" s="73">
        <f>$V24*$H$1184</f>
        <v>10400</v>
      </c>
      <c r="BY24" s="73">
        <f>$V24*$H$1185</f>
        <v>10400</v>
      </c>
      <c r="BZ24" s="73">
        <f>$V24*$H$1186</f>
        <v>10400</v>
      </c>
      <c r="CA24" s="73">
        <f>$V24*$H$1187</f>
        <v>10400</v>
      </c>
      <c r="CB24" s="73">
        <f>$V24*$H$1188</f>
        <v>10400</v>
      </c>
      <c r="CC24" s="73">
        <f>$V24*$H$1189</f>
        <v>10400</v>
      </c>
      <c r="CD24" s="73">
        <f>$V24*$H$1190</f>
        <v>10400</v>
      </c>
      <c r="CE24" s="73">
        <f>$V24*$H$1191</f>
        <v>10400</v>
      </c>
      <c r="CF24" s="73">
        <f>$V24*$H$1192</f>
        <v>10400</v>
      </c>
      <c r="CG24" s="73">
        <f>$V24*$H$1193</f>
        <v>10400</v>
      </c>
      <c r="CH24" s="73">
        <f>$V24*$H$1194</f>
        <v>10400</v>
      </c>
      <c r="CI24" s="75">
        <f>$O$1156</f>
        <v>1</v>
      </c>
      <c r="CJ24" s="73">
        <f>$H$1207</f>
        <v>1</v>
      </c>
      <c r="CK24" s="73">
        <f>$I$1207</f>
        <v>1.0087961468131064</v>
      </c>
      <c r="CL24" s="73">
        <f>$J$1207</f>
        <v>1.0087961468131064</v>
      </c>
      <c r="CM24" s="73">
        <f t="shared" si="17"/>
        <v>0</v>
      </c>
      <c r="CN24" s="73">
        <f t="shared" si="18"/>
        <v>10400</v>
      </c>
      <c r="CO24" s="72">
        <f>$M24*($C24/$K$1207)*IF($O$1156=1,$F$1156/$G24,1)*$R24</f>
        <v>0.59589108868421614</v>
      </c>
      <c r="CP24" s="72">
        <f>$M24*(1+$S24)*($C24/$L$1207)*IF($O$1156=1,$F$1156/$H24,1)*$R24</f>
        <v>0.59221871945275195</v>
      </c>
      <c r="CQ24" s="73">
        <f t="shared" si="19"/>
        <v>6197.2673223158481</v>
      </c>
      <c r="CR24" s="73">
        <f t="shared" si="20"/>
        <v>6159.0746823086201</v>
      </c>
      <c r="CS24" s="73">
        <f t="shared" si="21"/>
        <v>0</v>
      </c>
      <c r="CT24" s="272">
        <f t="shared" si="22"/>
        <v>0</v>
      </c>
      <c r="CU24" s="75">
        <f t="shared" si="23"/>
        <v>0</v>
      </c>
      <c r="CV24" s="75">
        <f t="shared" si="24"/>
        <v>0</v>
      </c>
      <c r="CW24" s="273" t="str">
        <f t="shared" si="25"/>
        <v/>
      </c>
      <c r="CX24" s="274" t="str">
        <f t="shared" si="26"/>
        <v/>
      </c>
      <c r="CY24" s="6" t="str">
        <f t="shared" si="27"/>
        <v/>
      </c>
      <c r="CZ24" s="273" t="str">
        <f t="shared" si="28"/>
        <v/>
      </c>
      <c r="DA24" s="274" t="str">
        <f t="shared" si="29"/>
        <v/>
      </c>
      <c r="DB24" s="6" t="str">
        <f t="shared" si="30"/>
        <v/>
      </c>
      <c r="DC24" s="273" t="str">
        <f t="shared" si="31"/>
        <v/>
      </c>
      <c r="DD24" s="274" t="str">
        <f t="shared" si="32"/>
        <v/>
      </c>
      <c r="DE24" s="6" t="str">
        <f t="shared" si="33"/>
        <v/>
      </c>
      <c r="DF24" s="273" t="str">
        <f t="shared" si="34"/>
        <v/>
      </c>
      <c r="DG24" s="274" t="str">
        <f t="shared" si="35"/>
        <v/>
      </c>
      <c r="DH24" s="6" t="str">
        <f t="shared" si="36"/>
        <v/>
      </c>
    </row>
    <row r="25" spans="1:112" x14ac:dyDescent="0.3">
      <c r="A25" s="6" t="str">
        <f>$A$1210</f>
        <v>MM|AZ</v>
      </c>
      <c r="B25" s="75">
        <f>$C$1210</f>
        <v>6</v>
      </c>
      <c r="C25" s="73">
        <f>$B$1261</f>
        <v>1.03</v>
      </c>
      <c r="D25" s="73">
        <f>$C$1261</f>
        <v>1.0018750000000001</v>
      </c>
      <c r="E25" s="73">
        <f>$D$1261</f>
        <v>1.0555916666666669</v>
      </c>
      <c r="F25" s="73">
        <f>$E$1261</f>
        <v>1.0712000000000004</v>
      </c>
      <c r="G25" s="224">
        <f>$F$1261</f>
        <v>0.90600747629467537</v>
      </c>
      <c r="H25" s="224">
        <f>$G$1261</f>
        <v>0.90033977631898854</v>
      </c>
      <c r="I25" s="73">
        <f t="shared" si="0"/>
        <v>0.97575609255472817</v>
      </c>
      <c r="J25" s="73">
        <f t="shared" si="1"/>
        <v>0.96153846153846123</v>
      </c>
      <c r="K25" s="73">
        <f>IF($L$1210,1,IF(AND(nr_ModAdjMaster="ON",INDEX(lr_modadj,22)="ON"),$F$1210/$G25,1))</f>
        <v>1.0154441592055623</v>
      </c>
      <c r="L25" s="73">
        <f>IF($L$1210,1,IF(AND(nr_ModAdjMaster="ON",INDEX(lr_modadj,22)="ON"),$F$1210/$H25,1))</f>
        <v>1.0218364490808034</v>
      </c>
      <c r="M25" s="72">
        <f>IF(INDEX(lr_basis,22)="proposed",N(INDEX(lr_lrproj,22))*(1+N(INDEX(lr_s,22))),N(INDEX(lr_lrproj,22)))</f>
        <v>0.57599999999999996</v>
      </c>
      <c r="N25" s="72">
        <f t="shared" si="2"/>
        <v>0.57071567519650979</v>
      </c>
      <c r="O25" s="72">
        <f t="shared" si="3"/>
        <v>0.56594018718321404</v>
      </c>
      <c r="P25" s="72">
        <f t="shared" si="4"/>
        <v>2.4846278317152359E-2</v>
      </c>
      <c r="Q25" s="72">
        <f t="shared" si="5"/>
        <v>1.4786336256917609E-2</v>
      </c>
      <c r="R25" s="73">
        <f>IF(N(INDEX(lr_aother,22))=0,1,INDEX(lr_aother,22))</f>
        <v>1</v>
      </c>
      <c r="S25" s="72">
        <f>IF(ISBLANK(INDEX(lr_trend,22)),N(nr_TrendDefault),N(INDEX(lr_trend,22)))</f>
        <v>0</v>
      </c>
      <c r="T25" s="6" t="str">
        <f>INDEX(lr_state,22)</f>
        <v>AZ</v>
      </c>
      <c r="U25" s="6" t="str">
        <f>INDEX(lr_bu,22)</f>
        <v>MM</v>
      </c>
      <c r="V25" s="271">
        <f>N(INDEX(lr_ep,22))</f>
        <v>7200</v>
      </c>
      <c r="W25" s="73">
        <f>N(INDEX(lr_mind,22))*$V25</f>
        <v>6624</v>
      </c>
      <c r="X25" s="73">
        <f>N(INDEX(lr_m0,22))*$V25</f>
        <v>6552</v>
      </c>
      <c r="Y25" s="73">
        <f>N(INDEX(lr_m1,22))*$V25</f>
        <v>6480</v>
      </c>
      <c r="Z25" s="73">
        <f t="shared" si="6"/>
        <v>7416</v>
      </c>
      <c r="AA25" s="73">
        <f t="shared" si="7"/>
        <v>7600.260000000002</v>
      </c>
      <c r="AB25" s="73">
        <f t="shared" si="8"/>
        <v>7025.4438663940427</v>
      </c>
      <c r="AC25" s="73">
        <f t="shared" si="9"/>
        <v>6523.253829321663</v>
      </c>
      <c r="AD25" s="73">
        <f t="shared" si="10"/>
        <v>7311.1979462800482</v>
      </c>
      <c r="AE25" s="73">
        <f t="shared" si="11"/>
        <v>4147.2</v>
      </c>
      <c r="AF25" s="73">
        <f t="shared" si="12"/>
        <v>4109.1528614148701</v>
      </c>
      <c r="AG25" s="73">
        <f t="shared" si="13"/>
        <v>0</v>
      </c>
      <c r="AH25" s="73">
        <f t="shared" si="14"/>
        <v>6923.076923076921</v>
      </c>
      <c r="AI25" s="73">
        <f t="shared" si="15"/>
        <v>7357.2224333817849</v>
      </c>
      <c r="AJ25" s="73">
        <f t="shared" si="16"/>
        <v>4074.769347719141</v>
      </c>
      <c r="AK25" s="75">
        <f>IF($L$1210,1,0)</f>
        <v>0</v>
      </c>
      <c r="AL25" s="72">
        <f>IF($L$1210,$M$1210,0)</f>
        <v>0</v>
      </c>
      <c r="AM25" s="73">
        <f>$N$1237/$N$1225*IF($O$1210=1,$O$1237/$O$1225,1)-1</f>
        <v>2.1015545651160927E-2</v>
      </c>
      <c r="AN25" s="73">
        <f>$N$1238/$N$1226*IF($O$1210=1,$O$1238/$O$1226,1)-1</f>
        <v>6.1849575511180532E-2</v>
      </c>
      <c r="AO25" s="73">
        <f>$N$1239/$N$1227*IF($O$1210=1,$O$1239/$O$1227,1)-1</f>
        <v>6.1842974237474868E-2</v>
      </c>
      <c r="AP25" s="73">
        <f>$N$1240/$N$1228*IF($O$1210=1,$O$1240/$O$1228,1)-1</f>
        <v>6.1836139384505051E-2</v>
      </c>
      <c r="AQ25" s="73">
        <f>$N$1241/$N$1229*IF($O$1210=1,$O$1241/$O$1229,1)-1</f>
        <v>6.1829294539179847E-2</v>
      </c>
      <c r="AR25" s="73">
        <f>$N$1242/$N$1230*IF($O$1210=1,$O$1242/$O$1230,1)-1</f>
        <v>6.1822439679570351E-2</v>
      </c>
      <c r="AS25" s="73">
        <f>$N$1243/$N$1231*IF($O$1210=1,$O$1243/$O$1231,1)-1</f>
        <v>6.1815574783683713E-2</v>
      </c>
      <c r="AT25" s="73">
        <f>$N$1244/$N$1232*IF($O$1210=1,$O$1244/$O$1232,1)-1</f>
        <v>6.1808587041374041E-2</v>
      </c>
      <c r="AU25" s="73">
        <f>$N$1245/$N$1233*IF($O$1210=1,$O$1245/$O$1233,1)-1</f>
        <v>6.1801701841257772E-2</v>
      </c>
      <c r="AV25" s="73">
        <f>$N$1246/$N$1234*IF($O$1210=1,$O$1246/$O$1234,1)-1</f>
        <v>3.0868744211779653E-2</v>
      </c>
      <c r="AW25" s="73">
        <f>$N$1247/$N$1235*IF($O$1210=1,$O$1247/$O$1235,1)-1</f>
        <v>3.0862039912375794E-2</v>
      </c>
      <c r="AX25" s="73">
        <f>$N$1248/$N$1236*IF($O$1210=1,$O$1248/$O$1236,1)-1</f>
        <v>3.0855325760951846E-2</v>
      </c>
      <c r="AY25" s="73">
        <f>$N$1237/$N$1225-1</f>
        <v>3.0000000000000027E-2</v>
      </c>
      <c r="AZ25" s="73">
        <f>$N$1238/$N$1226-1</f>
        <v>7.1200000000000152E-2</v>
      </c>
      <c r="BA25" s="73">
        <f>$N$1239/$N$1227-1</f>
        <v>7.1200000000000152E-2</v>
      </c>
      <c r="BB25" s="73">
        <f>$N$1240/$N$1228-1</f>
        <v>7.1200000000000152E-2</v>
      </c>
      <c r="BC25" s="73">
        <f>$N$1241/$N$1229-1</f>
        <v>7.1200000000000152E-2</v>
      </c>
      <c r="BD25" s="73">
        <f>$N$1242/$N$1230-1</f>
        <v>7.1200000000000152E-2</v>
      </c>
      <c r="BE25" s="73">
        <f>$N$1243/$N$1231-1</f>
        <v>7.1200000000000152E-2</v>
      </c>
      <c r="BF25" s="73">
        <f>$N$1244/$N$1232-1</f>
        <v>7.1200000000000152E-2</v>
      </c>
      <c r="BG25" s="73">
        <f>$N$1245/$N$1233-1</f>
        <v>7.1200000000000152E-2</v>
      </c>
      <c r="BH25" s="73">
        <f>$N$1246/$N$1234-1</f>
        <v>4.0000000000000036E-2</v>
      </c>
      <c r="BI25" s="73">
        <f>$N$1247/$N$1235-1</f>
        <v>4.0000000000000036E-2</v>
      </c>
      <c r="BJ25" s="73">
        <f>$N$1248/$N$1236-1</f>
        <v>4.0000000000000036E-2</v>
      </c>
      <c r="BK25" s="73">
        <f>$O$1237/$O$1225-1</f>
        <v>-8.7227712124651191E-3</v>
      </c>
      <c r="BL25" s="73">
        <f>$O$1238/$O$1226-1</f>
        <v>-8.7289250269041441E-3</v>
      </c>
      <c r="BM25" s="73">
        <f>$O$1239/$O$1227-1</f>
        <v>-8.7350875303633391E-3</v>
      </c>
      <c r="BN25" s="73">
        <f>$O$1240/$O$1228-1</f>
        <v>-8.7414680876541917E-3</v>
      </c>
      <c r="BO25" s="73">
        <f>$O$1241/$O$1229-1</f>
        <v>-8.7478579731332662E-3</v>
      </c>
      <c r="BP25" s="73">
        <f>$O$1242/$O$1230-1</f>
        <v>-8.7542572072719649E-3</v>
      </c>
      <c r="BQ25" s="73">
        <f>$O$1243/$O$1231-1</f>
        <v>-8.7606658106015312E-3</v>
      </c>
      <c r="BR25" s="73">
        <f>$O$1244/$O$1232-1</f>
        <v>-8.7671890950580256E-3</v>
      </c>
      <c r="BS25" s="73">
        <f>$O$1245/$O$1233-1</f>
        <v>-8.7736166530455462E-3</v>
      </c>
      <c r="BT25" s="73">
        <f>$O$1246/$O$1234-1</f>
        <v>-8.7800536425195475E-3</v>
      </c>
      <c r="BU25" s="73">
        <f>$O$1247/$O$1235-1</f>
        <v>-8.7865000842540786E-3</v>
      </c>
      <c r="BV25" s="73">
        <f>$O$1248/$O$1236-1</f>
        <v>-8.7929559990846951E-3</v>
      </c>
      <c r="BW25" s="73">
        <f>$V25*$H$1237</f>
        <v>7200</v>
      </c>
      <c r="BX25" s="73">
        <f>$V25*$H$1238</f>
        <v>7200</v>
      </c>
      <c r="BY25" s="73">
        <f>$V25*$H$1239</f>
        <v>7200</v>
      </c>
      <c r="BZ25" s="73">
        <f>$V25*$H$1240</f>
        <v>7200</v>
      </c>
      <c r="CA25" s="73">
        <f>$V25*$H$1241</f>
        <v>7200</v>
      </c>
      <c r="CB25" s="73">
        <f>$V25*$H$1242</f>
        <v>7200</v>
      </c>
      <c r="CC25" s="73">
        <f>$V25*$H$1243</f>
        <v>7200</v>
      </c>
      <c r="CD25" s="73">
        <f>$V25*$H$1244</f>
        <v>7200</v>
      </c>
      <c r="CE25" s="73">
        <f>$V25*$H$1245</f>
        <v>7200</v>
      </c>
      <c r="CF25" s="73">
        <f>$V25*$H$1246</f>
        <v>7200</v>
      </c>
      <c r="CG25" s="73">
        <f>$V25*$H$1247</f>
        <v>7200</v>
      </c>
      <c r="CH25" s="73">
        <f>$V25*$H$1248</f>
        <v>7200</v>
      </c>
      <c r="CI25" s="75">
        <f>$O$1210</f>
        <v>1</v>
      </c>
      <c r="CJ25" s="73">
        <f>$H$1261</f>
        <v>1.0599666666666667</v>
      </c>
      <c r="CK25" s="73">
        <f>$I$1261</f>
        <v>0.99124238763980388</v>
      </c>
      <c r="CL25" s="73">
        <f>$J$1261</f>
        <v>1.0506839952128748</v>
      </c>
      <c r="CM25" s="73">
        <f t="shared" si="17"/>
        <v>0</v>
      </c>
      <c r="CN25" s="73">
        <f t="shared" si="18"/>
        <v>7200</v>
      </c>
      <c r="CO25" s="72">
        <f>$M25*($C25/$K$1261)*IF($O$1210=1,$F$1210/$G25,1)*$R25</f>
        <v>0.57071567519650979</v>
      </c>
      <c r="CP25" s="72">
        <f>$M25*(1+$S25)*($C25/$L$1261)*IF($O$1210=1,$F$1210/$H25,1)*$R25</f>
        <v>0.56594018718321404</v>
      </c>
      <c r="CQ25" s="73">
        <f t="shared" si="19"/>
        <v>4109.1528614148701</v>
      </c>
      <c r="CR25" s="73">
        <f t="shared" si="20"/>
        <v>4074.769347719141</v>
      </c>
      <c r="CS25" s="73">
        <f t="shared" si="21"/>
        <v>0</v>
      </c>
      <c r="CT25" s="272">
        <f t="shared" si="22"/>
        <v>0</v>
      </c>
      <c r="CU25" s="75">
        <f t="shared" si="23"/>
        <v>1</v>
      </c>
      <c r="CV25" s="75">
        <f t="shared" si="24"/>
        <v>1</v>
      </c>
      <c r="CW25" s="273">
        <f t="shared" si="25"/>
        <v>46296</v>
      </c>
      <c r="CX25" s="274">
        <f t="shared" si="26"/>
        <v>0.03</v>
      </c>
      <c r="CY25" s="6" t="str">
        <f t="shared" si="27"/>
        <v>T</v>
      </c>
      <c r="CZ25" s="273">
        <f t="shared" si="28"/>
        <v>46419</v>
      </c>
      <c r="DA25" s="274">
        <f t="shared" si="29"/>
        <v>0.04</v>
      </c>
      <c r="DB25" s="6" t="str">
        <f t="shared" si="30"/>
        <v>P*</v>
      </c>
      <c r="DC25" s="273" t="str">
        <f t="shared" si="31"/>
        <v/>
      </c>
      <c r="DD25" s="274" t="str">
        <f t="shared" si="32"/>
        <v/>
      </c>
      <c r="DE25" s="6" t="str">
        <f t="shared" si="33"/>
        <v/>
      </c>
      <c r="DF25" s="273" t="str">
        <f t="shared" si="34"/>
        <v/>
      </c>
      <c r="DG25" s="274" t="str">
        <f t="shared" si="35"/>
        <v/>
      </c>
      <c r="DH25" s="6" t="str">
        <f t="shared" si="36"/>
        <v/>
      </c>
    </row>
    <row r="26" spans="1:112" x14ac:dyDescent="0.3">
      <c r="A26" s="6" t="str">
        <f>$A$1264</f>
        <v>MM|CO</v>
      </c>
      <c r="B26" s="75">
        <f>$C$1264</f>
        <v>6</v>
      </c>
      <c r="C26" s="73">
        <f>$B$1315</f>
        <v>1.04</v>
      </c>
      <c r="D26" s="73">
        <f>$C$1315</f>
        <v>1.0011111111111111</v>
      </c>
      <c r="E26" s="73">
        <f>$D$1315</f>
        <v>1.0355555555555553</v>
      </c>
      <c r="F26" s="73">
        <f>$E$1315</f>
        <v>1.0399999999999998</v>
      </c>
      <c r="G26" s="224">
        <f>$F$1315</f>
        <v>0.91199626185266247</v>
      </c>
      <c r="H26" s="224">
        <f>$G$1315</f>
        <v>0.91483011184050556</v>
      </c>
      <c r="I26" s="73">
        <f t="shared" si="0"/>
        <v>1.0042918454935625</v>
      </c>
      <c r="J26" s="73">
        <f t="shared" si="1"/>
        <v>1.0000000000000002</v>
      </c>
      <c r="K26" s="73">
        <f>IF($L$1264,1,IF(AND(nr_ModAdjMaster="ON",INDEX(lr_modadj,23)="ON"),$F$1264/$G26,1))</f>
        <v>1.0087760646420616</v>
      </c>
      <c r="L26" s="73">
        <f>IF($L$1264,1,IF(AND(nr_ModAdjMaster="ON",INDEX(lr_modadj,23)="ON"),$F$1264/$H26,1))</f>
        <v>1.0056512002530102</v>
      </c>
      <c r="M26" s="72">
        <f>IF(INDEX(lr_basis,23)="proposed",N(INDEX(lr_lrproj,23))*(1+N(INDEX(lr_s,23))),N(INDEX(lr_lrproj,23)))</f>
        <v>0.60480000000000012</v>
      </c>
      <c r="N26" s="72">
        <f t="shared" si="2"/>
        <v>0.61272625215258147</v>
      </c>
      <c r="O26" s="72">
        <f t="shared" si="3"/>
        <v>0.61430002437215103</v>
      </c>
      <c r="P26" s="72">
        <f t="shared" si="4"/>
        <v>-4.2735042735044804E-3</v>
      </c>
      <c r="Q26" s="72">
        <f t="shared" si="5"/>
        <v>4.2918454935623185E-3</v>
      </c>
      <c r="R26" s="73">
        <f>IF(N(INDEX(lr_aother,23))=0,1,INDEX(lr_aother,23))</f>
        <v>1</v>
      </c>
      <c r="S26" s="72">
        <f>IF(ISBLANK(INDEX(lr_trend,23)),N(nr_TrendDefault),N(INDEX(lr_trend,23)))</f>
        <v>0.01</v>
      </c>
      <c r="T26" s="6" t="str">
        <f>INDEX(lr_state,23)</f>
        <v>CO</v>
      </c>
      <c r="U26" s="6" t="str">
        <f>INDEX(lr_bu,23)</f>
        <v>MM</v>
      </c>
      <c r="V26" s="271">
        <f>N(INDEX(lr_ep,23))</f>
        <v>17600</v>
      </c>
      <c r="W26" s="73">
        <f>N(INDEX(lr_mind,23))*$V26</f>
        <v>16192</v>
      </c>
      <c r="X26" s="73">
        <f>N(INDEX(lr_m0,23))*$V26</f>
        <v>16016</v>
      </c>
      <c r="Y26" s="73">
        <f>N(INDEX(lr_m1,23))*$V26</f>
        <v>16104</v>
      </c>
      <c r="Z26" s="73">
        <f t="shared" si="6"/>
        <v>18304</v>
      </c>
      <c r="AA26" s="73">
        <f t="shared" si="7"/>
        <v>18225.777777777774</v>
      </c>
      <c r="AB26" s="73">
        <f t="shared" si="8"/>
        <v>17675.5364806867</v>
      </c>
      <c r="AC26" s="73">
        <f t="shared" si="9"/>
        <v>16051.13420860686</v>
      </c>
      <c r="AD26" s="73">
        <f t="shared" si="10"/>
        <v>17754.458737700283</v>
      </c>
      <c r="AE26" s="73">
        <f t="shared" si="11"/>
        <v>10644.480000000001</v>
      </c>
      <c r="AF26" s="73">
        <f t="shared" si="12"/>
        <v>10783.982037885435</v>
      </c>
      <c r="AG26" s="73">
        <f t="shared" si="13"/>
        <v>176</v>
      </c>
      <c r="AH26" s="73">
        <f t="shared" si="14"/>
        <v>17600.000000000004</v>
      </c>
      <c r="AI26" s="73">
        <f t="shared" si="15"/>
        <v>17699.461124452981</v>
      </c>
      <c r="AJ26" s="73">
        <f t="shared" si="16"/>
        <v>10811.680428949858</v>
      </c>
      <c r="AK26" s="75">
        <f>IF($L$1264,1,0)</f>
        <v>0</v>
      </c>
      <c r="AL26" s="72">
        <f>IF($L$1264,$M$1264,0)</f>
        <v>0</v>
      </c>
      <c r="AM26" s="73">
        <f>$N$1291/$N$1279*IF($O$1264=1,$O$1291/$O$1279,1)-1</f>
        <v>4.4578099654471792E-2</v>
      </c>
      <c r="AN26" s="73">
        <f>$N$1292/$N$1280*IF($O$1264=1,$O$1292/$O$1280,1)-1</f>
        <v>4.4576471439249588E-2</v>
      </c>
      <c r="AO26" s="73">
        <f>$N$1293/$N$1281*IF($O$1264=1,$O$1293/$O$1281,1)-1</f>
        <v>4.4574844381775502E-2</v>
      </c>
      <c r="AP26" s="73">
        <f>$N$1294/$N$1282*IF($O$1264=1,$O$1294/$O$1282,1)-1</f>
        <v>4.4573163385779546E-2</v>
      </c>
      <c r="AQ26" s="73">
        <f>$N$1295/$N$1283*IF($O$1264=1,$O$1295/$O$1283,1)-1</f>
        <v>4.4571483624671115E-2</v>
      </c>
      <c r="AR26" s="73">
        <f>$N$1296/$N$1284*IF($O$1264=1,$O$1296/$O$1284,1)-1</f>
        <v>4.4569805097090409E-2</v>
      </c>
      <c r="AS26" s="73">
        <f>$N$1297/$N$1285*IF($O$1264=1,$O$1297/$O$1285,1)-1</f>
        <v>4.4568127801678736E-2</v>
      </c>
      <c r="AT26" s="73">
        <f>$N$1298/$N$1286*IF($O$1264=1,$O$1298/$O$1286,1)-1</f>
        <v>4.4566424270857663E-2</v>
      </c>
      <c r="AU26" s="73">
        <f>$N$1299/$N$1287*IF($O$1264=1,$O$1299/$O$1287,1)-1</f>
        <v>4.4564749455861641E-2</v>
      </c>
      <c r="AV26" s="73">
        <f>$N$1300/$N$1288*IF($O$1264=1,$O$1300/$O$1288,1)-1</f>
        <v>4.456307586894992E-2</v>
      </c>
      <c r="AW26" s="73">
        <f>$N$1301/$N$1289*IF($O$1264=1,$O$1301/$O$1289,1)-1</f>
        <v>4.3859649122806044E-3</v>
      </c>
      <c r="AX26" s="73">
        <f>$N$1302/$N$1290*IF($O$1264=1,$O$1302/$O$1290,1)-1</f>
        <v>4.3843580519036252E-3</v>
      </c>
      <c r="AY26" s="73">
        <f>$N$1291/$N$1279-1</f>
        <v>4.0000000000000036E-2</v>
      </c>
      <c r="AZ26" s="73">
        <f>$N$1292/$N$1280-1</f>
        <v>4.0000000000000036E-2</v>
      </c>
      <c r="BA26" s="73">
        <f>$N$1293/$N$1281-1</f>
        <v>4.0000000000000036E-2</v>
      </c>
      <c r="BB26" s="73">
        <f>$N$1294/$N$1282-1</f>
        <v>4.0000000000000036E-2</v>
      </c>
      <c r="BC26" s="73">
        <f>$N$1295/$N$1283-1</f>
        <v>4.0000000000000036E-2</v>
      </c>
      <c r="BD26" s="73">
        <f>$N$1296/$N$1284-1</f>
        <v>4.0000000000000036E-2</v>
      </c>
      <c r="BE26" s="73">
        <f>$N$1297/$N$1285-1</f>
        <v>4.0000000000000036E-2</v>
      </c>
      <c r="BF26" s="73">
        <f>$N$1298/$N$1286-1</f>
        <v>4.0000000000000036E-2</v>
      </c>
      <c r="BG26" s="73">
        <f>$N$1299/$N$1287-1</f>
        <v>4.0000000000000036E-2</v>
      </c>
      <c r="BH26" s="73">
        <f>$N$1300/$N$1288-1</f>
        <v>4.0000000000000036E-2</v>
      </c>
      <c r="BI26" s="73">
        <f>$N$1301/$N$1289-1</f>
        <v>0</v>
      </c>
      <c r="BJ26" s="73">
        <f>$N$1302/$N$1290-1</f>
        <v>0</v>
      </c>
      <c r="BK26" s="73">
        <f>$O$1291/$O$1279-1</f>
        <v>4.4020188985305353E-3</v>
      </c>
      <c r="BL26" s="73">
        <f>$O$1292/$O$1280-1</f>
        <v>4.4004533069708085E-3</v>
      </c>
      <c r="BM26" s="73">
        <f>$O$1293/$O$1281-1</f>
        <v>4.3988888286301542E-3</v>
      </c>
      <c r="BN26" s="73">
        <f>$O$1294/$O$1282-1</f>
        <v>4.3972724863263757E-3</v>
      </c>
      <c r="BO26" s="73">
        <f>$O$1295/$O$1283-1</f>
        <v>4.3956573314145597E-3</v>
      </c>
      <c r="BP26" s="73">
        <f>$O$1296/$O$1284-1</f>
        <v>4.3940433625868636E-3</v>
      </c>
      <c r="BQ26" s="73">
        <f>$O$1297/$O$1285-1</f>
        <v>4.3924305785372209E-3</v>
      </c>
      <c r="BR26" s="73">
        <f>$O$1298/$O$1286-1</f>
        <v>4.3907925681323512E-3</v>
      </c>
      <c r="BS26" s="73">
        <f>$O$1299/$O$1287-1</f>
        <v>4.3891821690977828E-3</v>
      </c>
      <c r="BT26" s="73">
        <f>$O$1300/$O$1288-1</f>
        <v>4.3875729509132988E-3</v>
      </c>
      <c r="BU26" s="73">
        <f>$O$1301/$O$1289-1</f>
        <v>4.3859649122806044E-3</v>
      </c>
      <c r="BV26" s="73">
        <f>$O$1302/$O$1290-1</f>
        <v>4.3843580519036252E-3</v>
      </c>
      <c r="BW26" s="73">
        <f>$V26*$H$1291</f>
        <v>17600</v>
      </c>
      <c r="BX26" s="73">
        <f>$V26*$H$1292</f>
        <v>17600</v>
      </c>
      <c r="BY26" s="73">
        <f>$V26*$H$1293</f>
        <v>17600</v>
      </c>
      <c r="BZ26" s="73">
        <f>$V26*$H$1294</f>
        <v>17600</v>
      </c>
      <c r="CA26" s="73">
        <f>$V26*$H$1295</f>
        <v>17600</v>
      </c>
      <c r="CB26" s="73">
        <f>$V26*$H$1296</f>
        <v>17600</v>
      </c>
      <c r="CC26" s="73">
        <f>$V26*$H$1297</f>
        <v>17600</v>
      </c>
      <c r="CD26" s="73">
        <f>$V26*$H$1298</f>
        <v>17600</v>
      </c>
      <c r="CE26" s="73">
        <f>$V26*$H$1299</f>
        <v>17600</v>
      </c>
      <c r="CF26" s="73">
        <f>$V26*$H$1300</f>
        <v>17600</v>
      </c>
      <c r="CG26" s="73">
        <f>$V26*$H$1301</f>
        <v>17600</v>
      </c>
      <c r="CH26" s="73">
        <f>$V26*$H$1302</f>
        <v>17600</v>
      </c>
      <c r="CI26" s="75">
        <f>$O$1264</f>
        <v>1</v>
      </c>
      <c r="CJ26" s="73">
        <f>$H$1315</f>
        <v>1.0333333333333332</v>
      </c>
      <c r="CK26" s="73">
        <f>$I$1315</f>
        <v>1.0043932196204437</v>
      </c>
      <c r="CL26" s="73">
        <f>$J$1315</f>
        <v>1.0378730473287143</v>
      </c>
      <c r="CM26" s="73">
        <f t="shared" si="17"/>
        <v>0</v>
      </c>
      <c r="CN26" s="73">
        <f t="shared" si="18"/>
        <v>17600</v>
      </c>
      <c r="CO26" s="72">
        <f>$M26*($C26/$K$1315)*IF($O$1264=1,$F$1264/$G26,1)*$R26</f>
        <v>0.61272625215258147</v>
      </c>
      <c r="CP26" s="72">
        <f>$M26*(1+$S26)*($C26/$L$1315)*IF($O$1264=1,$F$1264/$H26,1)*$R26</f>
        <v>0.61430002437215103</v>
      </c>
      <c r="CQ26" s="73">
        <f t="shared" si="19"/>
        <v>10783.982037885435</v>
      </c>
      <c r="CR26" s="73">
        <f t="shared" si="20"/>
        <v>10811.680428949858</v>
      </c>
      <c r="CS26" s="73">
        <f t="shared" si="21"/>
        <v>0</v>
      </c>
      <c r="CT26" s="272">
        <f t="shared" si="22"/>
        <v>0</v>
      </c>
      <c r="CU26" s="75">
        <f t="shared" si="23"/>
        <v>1</v>
      </c>
      <c r="CV26" s="75">
        <f t="shared" si="24"/>
        <v>0</v>
      </c>
      <c r="CW26" s="273">
        <f t="shared" si="25"/>
        <v>46327</v>
      </c>
      <c r="CX26" s="274">
        <f t="shared" si="26"/>
        <v>0.04</v>
      </c>
      <c r="CY26" s="6" t="str">
        <f t="shared" si="27"/>
        <v>T</v>
      </c>
      <c r="CZ26" s="273" t="str">
        <f t="shared" si="28"/>
        <v/>
      </c>
      <c r="DA26" s="274" t="str">
        <f t="shared" si="29"/>
        <v/>
      </c>
      <c r="DB26" s="6" t="str">
        <f t="shared" si="30"/>
        <v/>
      </c>
      <c r="DC26" s="273" t="str">
        <f t="shared" si="31"/>
        <v/>
      </c>
      <c r="DD26" s="274" t="str">
        <f t="shared" si="32"/>
        <v/>
      </c>
      <c r="DE26" s="6" t="str">
        <f t="shared" si="33"/>
        <v/>
      </c>
      <c r="DF26" s="273" t="str">
        <f t="shared" si="34"/>
        <v/>
      </c>
      <c r="DG26" s="274" t="str">
        <f t="shared" si="35"/>
        <v/>
      </c>
      <c r="DH26" s="6" t="str">
        <f t="shared" si="36"/>
        <v/>
      </c>
    </row>
    <row r="27" spans="1:112" x14ac:dyDescent="0.3">
      <c r="A27" s="6" t="str">
        <f>$A$1318</f>
        <v>MM|DE</v>
      </c>
      <c r="B27" s="75">
        <f>$C$1318</f>
        <v>6</v>
      </c>
      <c r="C27" s="73">
        <f>$B$1369</f>
        <v>1.05</v>
      </c>
      <c r="D27" s="73">
        <f>$C$1369</f>
        <v>1.0250000000000001</v>
      </c>
      <c r="E27" s="73">
        <f>$D$1369</f>
        <v>1.0619395161290324</v>
      </c>
      <c r="F27" s="73">
        <f>$E$1369</f>
        <v>1.0815000000000001</v>
      </c>
      <c r="G27" s="224">
        <f>$F$1369</f>
        <v>0.91798504741064912</v>
      </c>
      <c r="H27" s="224">
        <f>$G$1369</f>
        <v>0.92932044736202268</v>
      </c>
      <c r="I27" s="73">
        <f t="shared" si="0"/>
        <v>0.98875687744199026</v>
      </c>
      <c r="J27" s="73">
        <f t="shared" si="1"/>
        <v>0.97087378640776689</v>
      </c>
      <c r="K27" s="73">
        <f>IF($L$1318,1,IF(AND(nr_ModAdjMaster="ON",INDEX(lr_modadj,24)="ON"),$F$1318/$G27,1))</f>
        <v>1.0021949732133812</v>
      </c>
      <c r="L27" s="73">
        <f>IF($L$1318,1,IF(AND(nr_ModAdjMaster="ON",INDEX(lr_modadj,24)="ON"),$F$1318/$H27,1))</f>
        <v>0.98997068515119868</v>
      </c>
      <c r="M27" s="72">
        <f>IF(INDEX(lr_basis,24)="proposed",N(INDEX(lr_lrproj,24))*(1+N(INDEX(lr_s,24))),N(INDEX(lr_lrproj,24)))</f>
        <v>0.58799999999999997</v>
      </c>
      <c r="N27" s="72">
        <f t="shared" si="2"/>
        <v>0.59431848086016048</v>
      </c>
      <c r="O27" s="72">
        <f t="shared" si="3"/>
        <v>0.57645127973425514</v>
      </c>
      <c r="P27" s="72">
        <f t="shared" si="4"/>
        <v>1.1370967741935578E-2</v>
      </c>
      <c r="Q27" s="72">
        <f t="shared" si="5"/>
        <v>1.8419583765250103E-2</v>
      </c>
      <c r="R27" s="73">
        <f>IF(N(INDEX(lr_aother,24))=0,1,INDEX(lr_aother,24))</f>
        <v>1.02</v>
      </c>
      <c r="S27" s="72">
        <f>IF(ISBLANK(INDEX(lr_trend,24)),N(nr_TrendDefault),N(INDEX(lr_trend,24)))</f>
        <v>0</v>
      </c>
      <c r="T27" s="6" t="str">
        <f>INDEX(lr_state,24)</f>
        <v>DE</v>
      </c>
      <c r="U27" s="6" t="str">
        <f>INDEX(lr_bu,24)</f>
        <v>MM</v>
      </c>
      <c r="V27" s="271">
        <f>N(INDEX(lr_ep,24))</f>
        <v>14400</v>
      </c>
      <c r="W27" s="73">
        <f>N(INDEX(lr_mind,24))*$V27</f>
        <v>13248</v>
      </c>
      <c r="X27" s="73">
        <f>N(INDEX(lr_m0,24))*$V27</f>
        <v>13104</v>
      </c>
      <c r="Y27" s="73">
        <f>N(INDEX(lr_m1,24))*$V27</f>
        <v>13392</v>
      </c>
      <c r="Z27" s="73">
        <f t="shared" si="6"/>
        <v>15120</v>
      </c>
      <c r="AA27" s="73">
        <f t="shared" si="7"/>
        <v>15291.929032258065</v>
      </c>
      <c r="AB27" s="73">
        <f t="shared" si="8"/>
        <v>14238.09903516466</v>
      </c>
      <c r="AC27" s="73">
        <f t="shared" si="9"/>
        <v>13218.984682713348</v>
      </c>
      <c r="AD27" s="73">
        <f t="shared" si="10"/>
        <v>14431.607614272691</v>
      </c>
      <c r="AE27" s="73">
        <f t="shared" si="11"/>
        <v>8467.1999999999989</v>
      </c>
      <c r="AF27" s="73">
        <f t="shared" si="12"/>
        <v>8558.1861243863113</v>
      </c>
      <c r="AG27" s="73">
        <f t="shared" si="13"/>
        <v>0</v>
      </c>
      <c r="AH27" s="73">
        <f t="shared" si="14"/>
        <v>13980.582524271844</v>
      </c>
      <c r="AI27" s="73">
        <f t="shared" si="15"/>
        <v>14255.57786617726</v>
      </c>
      <c r="AJ27" s="73">
        <f t="shared" si="16"/>
        <v>8300.8984281732737</v>
      </c>
      <c r="AK27" s="75">
        <f>IF($L$1318,1,0)</f>
        <v>0</v>
      </c>
      <c r="AL27" s="72">
        <f>IF($L$1318,$M$1318,0)</f>
        <v>0</v>
      </c>
      <c r="AM27" s="73">
        <f>$N$1345/$N$1333*IF($O$1318=1,$O$1345/$O$1333,1)-1</f>
        <v>6.8662349045578663E-2</v>
      </c>
      <c r="AN27" s="73">
        <f>$N$1346/$N$1334*IF($O$1318=1,$O$1346/$O$1334,1)-1</f>
        <v>6.8635579003671232E-2</v>
      </c>
      <c r="AO27" s="73">
        <f>$N$1347/$N$1335*IF($O$1318=1,$O$1347/$O$1335,1)-1</f>
        <v>6.860888565185741E-2</v>
      </c>
      <c r="AP27" s="73">
        <f>$N$1348/$N$1336*IF($O$1318=1,$O$1348/$O$1336,1)-1</f>
        <v>1.7696540689922768E-2</v>
      </c>
      <c r="AQ27" s="73">
        <f>$N$1349/$N$1337*IF($O$1318=1,$O$1349/$O$1337,1)-1</f>
        <v>3.4412730191649255E-2</v>
      </c>
      <c r="AR27" s="73">
        <f>$N$1350/$N$1338*IF($O$1318=1,$O$1350/$O$1338,1)-1</f>
        <v>4.8173688154110161E-2</v>
      </c>
      <c r="AS27" s="73">
        <f>$N$1351/$N$1339*IF($O$1318=1,$O$1351/$O$1339,1)-1</f>
        <v>4.8146932470917614E-2</v>
      </c>
      <c r="AT27" s="73">
        <f>$N$1352/$N$1340*IF($O$1318=1,$O$1352/$O$1340,1)-1</f>
        <v>4.8119818777713652E-2</v>
      </c>
      <c r="AU27" s="73">
        <f>$N$1353/$N$1341*IF($O$1318=1,$O$1353/$O$1341,1)-1</f>
        <v>4.8093221358615823E-2</v>
      </c>
      <c r="AV27" s="73">
        <f>$N$1354/$N$1342*IF($O$1318=1,$O$1354/$O$1342,1)-1</f>
        <v>4.8066701907828246E-2</v>
      </c>
      <c r="AW27" s="73">
        <f>$N$1355/$N$1343*IF($O$1318=1,$O$1355/$O$1343,1)-1</f>
        <v>4.8040260083015207E-2</v>
      </c>
      <c r="AX27" s="73">
        <f>$N$1356/$N$1344*IF($O$1318=1,$O$1356/$O$1344,1)-1</f>
        <v>4.8013895543842722E-2</v>
      </c>
      <c r="AY27" s="73">
        <f>$N$1345/$N$1333-1</f>
        <v>5.0000000000000044E-2</v>
      </c>
      <c r="AZ27" s="73">
        <f>$N$1346/$N$1334-1</f>
        <v>5.0000000000000044E-2</v>
      </c>
      <c r="BA27" s="73">
        <f>$N$1347/$N$1335-1</f>
        <v>5.0000000000000044E-2</v>
      </c>
      <c r="BB27" s="73">
        <f>$N$1348/$N$1336-1</f>
        <v>0</v>
      </c>
      <c r="BC27" s="73">
        <f>$N$1349/$N$1337-1</f>
        <v>1.6451612903225721E-2</v>
      </c>
      <c r="BD27" s="73">
        <f>$N$1350/$N$1338-1</f>
        <v>3.0000000000000027E-2</v>
      </c>
      <c r="BE27" s="73">
        <f>$N$1351/$N$1339-1</f>
        <v>3.0000000000000027E-2</v>
      </c>
      <c r="BF27" s="73">
        <f>$N$1352/$N$1340-1</f>
        <v>3.0000000000000027E-2</v>
      </c>
      <c r="BG27" s="73">
        <f>$N$1353/$N$1341-1</f>
        <v>3.0000000000000027E-2</v>
      </c>
      <c r="BH27" s="73">
        <f>$N$1354/$N$1342-1</f>
        <v>3.0000000000000027E-2</v>
      </c>
      <c r="BI27" s="73">
        <f>$N$1355/$N$1343-1</f>
        <v>3.0000000000000027E-2</v>
      </c>
      <c r="BJ27" s="73">
        <f>$N$1356/$N$1344-1</f>
        <v>3.0000000000000027E-2</v>
      </c>
      <c r="BK27" s="73">
        <f>$O$1345/$O$1333-1</f>
        <v>1.7773665757693902E-2</v>
      </c>
      <c r="BL27" s="73">
        <f>$O$1346/$O$1334-1</f>
        <v>1.7748170479686909E-2</v>
      </c>
      <c r="BM27" s="73">
        <f>$O$1347/$O$1335-1</f>
        <v>1.7722748239864083E-2</v>
      </c>
      <c r="BN27" s="73">
        <f>$O$1348/$O$1336-1</f>
        <v>1.7696540689922768E-2</v>
      </c>
      <c r="BO27" s="73">
        <f>$O$1349/$O$1337-1</f>
        <v>1.7670410534469383E-2</v>
      </c>
      <c r="BP27" s="73">
        <f>$O$1350/$O$1338-1</f>
        <v>1.7644357431174873E-2</v>
      </c>
      <c r="BQ27" s="73">
        <f>$O$1351/$O$1339-1</f>
        <v>1.7618381039725906E-2</v>
      </c>
      <c r="BR27" s="73">
        <f>$O$1352/$O$1340-1</f>
        <v>1.7592057065741296E-2</v>
      </c>
      <c r="BS27" s="73">
        <f>$O$1353/$O$1341-1</f>
        <v>1.7566234328753261E-2</v>
      </c>
      <c r="BT27" s="73">
        <f>$O$1354/$O$1342-1</f>
        <v>1.7540487289153583E-2</v>
      </c>
      <c r="BU27" s="73">
        <f>$O$1355/$O$1343-1</f>
        <v>1.7514815614577905E-2</v>
      </c>
      <c r="BV27" s="73">
        <f>$O$1356/$O$1344-1</f>
        <v>1.7489218974604537E-2</v>
      </c>
      <c r="BW27" s="73">
        <f>$V27*$H$1345</f>
        <v>14400</v>
      </c>
      <c r="BX27" s="73">
        <f>$V27*$H$1346</f>
        <v>14400</v>
      </c>
      <c r="BY27" s="73">
        <f>$V27*$H$1347</f>
        <v>14400</v>
      </c>
      <c r="BZ27" s="73">
        <f>$V27*$H$1348</f>
        <v>14400</v>
      </c>
      <c r="CA27" s="73">
        <f>$V27*$H$1349</f>
        <v>14400</v>
      </c>
      <c r="CB27" s="73">
        <f>$V27*$H$1350</f>
        <v>14400</v>
      </c>
      <c r="CC27" s="73">
        <f>$V27*$H$1351</f>
        <v>14400</v>
      </c>
      <c r="CD27" s="73">
        <f>$V27*$H$1352</f>
        <v>14400</v>
      </c>
      <c r="CE27" s="73">
        <f>$V27*$H$1353</f>
        <v>14400</v>
      </c>
      <c r="CF27" s="73">
        <f>$V27*$H$1354</f>
        <v>14400</v>
      </c>
      <c r="CG27" s="73">
        <f>$V27*$H$1355</f>
        <v>14400</v>
      </c>
      <c r="CH27" s="73">
        <f>$V27*$H$1356</f>
        <v>14400</v>
      </c>
      <c r="CI27" s="75">
        <f>$O$1318</f>
        <v>1</v>
      </c>
      <c r="CJ27" s="73">
        <f>$H$1369</f>
        <v>1.0313709677419354</v>
      </c>
      <c r="CK27" s="73">
        <f>$I$1369</f>
        <v>1.0176314239537807</v>
      </c>
      <c r="CL27" s="73">
        <f>$J$1369</f>
        <v>1.049555883573227</v>
      </c>
      <c r="CM27" s="73">
        <f t="shared" si="17"/>
        <v>0</v>
      </c>
      <c r="CN27" s="73">
        <f t="shared" si="18"/>
        <v>14688</v>
      </c>
      <c r="CO27" s="72">
        <f>$M27*($C27/$K$1369)*IF($O$1318=1,$F$1318/$G27,1)*$R27</f>
        <v>0.59431848086016048</v>
      </c>
      <c r="CP27" s="72">
        <f>$M27*(1+$S27)*($C27/$L$1369)*IF($O$1318=1,$F$1318/$H27,1)*$R27</f>
        <v>0.57645127973425514</v>
      </c>
      <c r="CQ27" s="73">
        <f t="shared" si="19"/>
        <v>8558.1861243863113</v>
      </c>
      <c r="CR27" s="73">
        <f t="shared" si="20"/>
        <v>8300.8984281732737</v>
      </c>
      <c r="CS27" s="73">
        <f t="shared" si="21"/>
        <v>0</v>
      </c>
      <c r="CT27" s="272">
        <f t="shared" si="22"/>
        <v>0</v>
      </c>
      <c r="CU27" s="75">
        <f t="shared" si="23"/>
        <v>1</v>
      </c>
      <c r="CV27" s="75">
        <f t="shared" si="24"/>
        <v>1</v>
      </c>
      <c r="CW27" s="273">
        <f t="shared" si="25"/>
        <v>46113</v>
      </c>
      <c r="CX27" s="274">
        <f t="shared" si="26"/>
        <v>0.05</v>
      </c>
      <c r="CY27" s="6" t="str">
        <f t="shared" si="27"/>
        <v>T</v>
      </c>
      <c r="CZ27" s="273">
        <f t="shared" si="28"/>
        <v>46522</v>
      </c>
      <c r="DA27" s="274">
        <f t="shared" si="29"/>
        <v>0.03</v>
      </c>
      <c r="DB27" s="6" t="str">
        <f t="shared" si="30"/>
        <v>P*</v>
      </c>
      <c r="DC27" s="273" t="str">
        <f t="shared" si="31"/>
        <v/>
      </c>
      <c r="DD27" s="274" t="str">
        <f t="shared" si="32"/>
        <v/>
      </c>
      <c r="DE27" s="6" t="str">
        <f t="shared" si="33"/>
        <v/>
      </c>
      <c r="DF27" s="273" t="str">
        <f t="shared" si="34"/>
        <v/>
      </c>
      <c r="DG27" s="274" t="str">
        <f t="shared" si="35"/>
        <v/>
      </c>
      <c r="DH27" s="6" t="str">
        <f t="shared" si="36"/>
        <v/>
      </c>
    </row>
    <row r="28" spans="1:112" x14ac:dyDescent="0.3">
      <c r="A28" s="6" t="str">
        <f>$A$1372</f>
        <v>MM|FL</v>
      </c>
      <c r="B28" s="75">
        <f>$C$1372</f>
        <v>6</v>
      </c>
      <c r="C28" s="73">
        <f>$B$1423</f>
        <v>1.08</v>
      </c>
      <c r="D28" s="73">
        <f>$C$1423</f>
        <v>1.0049999999999999</v>
      </c>
      <c r="E28" s="73">
        <f>$D$1423</f>
        <v>1.10524</v>
      </c>
      <c r="F28" s="73">
        <f>$E$1423</f>
        <v>1.1318400000000002</v>
      </c>
      <c r="G28" s="224">
        <f>$F$1423</f>
        <v>0.90999999999999981</v>
      </c>
      <c r="H28" s="224">
        <f>$G$1423</f>
        <v>0.90999999999999981</v>
      </c>
      <c r="I28" s="73">
        <f t="shared" si="0"/>
        <v>0.97716333104122188</v>
      </c>
      <c r="J28" s="73">
        <f t="shared" si="1"/>
        <v>0.95419847328244267</v>
      </c>
      <c r="K28" s="73">
        <f>IF($L$1372,1,IF(AND(nr_ModAdjMaster="ON",INDEX(lr_modadj,25)="ON"),$F$1372/$G28,1))</f>
        <v>1.0109890109890112</v>
      </c>
      <c r="L28" s="73">
        <f>IF($L$1372,1,IF(AND(nr_ModAdjMaster="ON",INDEX(lr_modadj,25)="ON"),$F$1372/$H28,1))</f>
        <v>1.0109890109890112</v>
      </c>
      <c r="M28" s="72">
        <f>IF(INDEX(lr_basis,25)="proposed",N(INDEX(lr_lrproj,25))*(1+N(INDEX(lr_s,25))),N(INDEX(lr_lrproj,25)))</f>
        <v>0.57199999999999995</v>
      </c>
      <c r="N28" s="72">
        <f t="shared" si="2"/>
        <v>0.56507959486498094</v>
      </c>
      <c r="O28" s="72">
        <f t="shared" si="3"/>
        <v>0.55179934569247557</v>
      </c>
      <c r="P28" s="72">
        <f t="shared" si="4"/>
        <v>2.3370370370370264E-2</v>
      </c>
      <c r="Q28" s="72">
        <f t="shared" si="5"/>
        <v>2.4067170931200588E-2</v>
      </c>
      <c r="R28" s="73">
        <f>IF(N(INDEX(lr_aother,25))=0,1,INDEX(lr_aother,25))</f>
        <v>1</v>
      </c>
      <c r="S28" s="72">
        <f>IF(ISBLANK(INDEX(lr_trend,25)),N(nr_TrendDefault),N(INDEX(lr_trend,25)))</f>
        <v>0</v>
      </c>
      <c r="T28" s="6" t="str">
        <f>INDEX(lr_state,25)</f>
        <v>FL</v>
      </c>
      <c r="U28" s="6" t="str">
        <f>INDEX(lr_bu,25)</f>
        <v>MM</v>
      </c>
      <c r="V28" s="271">
        <f>N(INDEX(lr_ep,25))</f>
        <v>11200</v>
      </c>
      <c r="W28" s="73">
        <f>N(INDEX(lr_mind,25))*$V28</f>
        <v>10304</v>
      </c>
      <c r="X28" s="73">
        <f>N(INDEX(lr_m0,25))*$V28</f>
        <v>10192</v>
      </c>
      <c r="Y28" s="73">
        <f>N(INDEX(lr_m1,25))*$V28</f>
        <v>10192</v>
      </c>
      <c r="Z28" s="73">
        <f t="shared" si="6"/>
        <v>12096</v>
      </c>
      <c r="AA28" s="73">
        <f t="shared" si="7"/>
        <v>12378.688</v>
      </c>
      <c r="AB28" s="73">
        <f t="shared" si="8"/>
        <v>10944.229307661684</v>
      </c>
      <c r="AC28" s="73">
        <f t="shared" si="9"/>
        <v>10191.999999999998</v>
      </c>
      <c r="AD28" s="73">
        <f t="shared" si="10"/>
        <v>11323.076923076926</v>
      </c>
      <c r="AE28" s="73">
        <f t="shared" si="11"/>
        <v>6406.4</v>
      </c>
      <c r="AF28" s="73">
        <f t="shared" si="12"/>
        <v>6328.8914624877862</v>
      </c>
      <c r="AG28" s="73">
        <f t="shared" si="13"/>
        <v>0</v>
      </c>
      <c r="AH28" s="73">
        <f t="shared" si="14"/>
        <v>10687.022900763357</v>
      </c>
      <c r="AI28" s="73">
        <f t="shared" si="15"/>
        <v>11323.076923076926</v>
      </c>
      <c r="AJ28" s="73">
        <f t="shared" si="16"/>
        <v>6180.1526717557263</v>
      </c>
      <c r="AK28" s="75">
        <f>IF($L$1372,1,0)</f>
        <v>0</v>
      </c>
      <c r="AL28" s="72">
        <f>IF($L$1372,$M$1372,0)</f>
        <v>0</v>
      </c>
      <c r="AM28" s="73">
        <f>$N$1399/$N$1387*IF($O$1372=1,$O$1399/$O$1387,1)-1</f>
        <v>8.0000000000000071E-2</v>
      </c>
      <c r="AN28" s="73">
        <f>$N$1400/$N$1388*IF($O$1372=1,$O$1400/$O$1388,1)-1</f>
        <v>8.0000000000000071E-2</v>
      </c>
      <c r="AO28" s="73">
        <f>$N$1401/$N$1389*IF($O$1372=1,$O$1401/$O$1389,1)-1</f>
        <v>0.13184000000000018</v>
      </c>
      <c r="AP28" s="73">
        <f>$N$1402/$N$1390*IF($O$1372=1,$O$1402/$O$1390,1)-1</f>
        <v>0.13184000000000018</v>
      </c>
      <c r="AQ28" s="73">
        <f>$N$1403/$N$1391*IF($O$1372=1,$O$1403/$O$1391,1)-1</f>
        <v>0.13184000000000018</v>
      </c>
      <c r="AR28" s="73">
        <f>$N$1404/$N$1392*IF($O$1372=1,$O$1404/$O$1392,1)-1</f>
        <v>0.13184000000000018</v>
      </c>
      <c r="AS28" s="73">
        <f>$N$1405/$N$1393*IF($O$1372=1,$O$1405/$O$1393,1)-1</f>
        <v>0.13184000000000018</v>
      </c>
      <c r="AT28" s="73">
        <f>$N$1406/$N$1394*IF($O$1372=1,$O$1406/$O$1394,1)-1</f>
        <v>0.13184000000000018</v>
      </c>
      <c r="AU28" s="73">
        <f>$N$1407/$N$1395*IF($O$1372=1,$O$1407/$O$1395,1)-1</f>
        <v>0.13184000000000018</v>
      </c>
      <c r="AV28" s="73">
        <f>$N$1408/$N$1396*IF($O$1372=1,$O$1408/$O$1396,1)-1</f>
        <v>4.8000000000000043E-2</v>
      </c>
      <c r="AW28" s="73">
        <f>$N$1409/$N$1397*IF($O$1372=1,$O$1409/$O$1397,1)-1</f>
        <v>4.8000000000000043E-2</v>
      </c>
      <c r="AX28" s="73">
        <f>$N$1410/$N$1398*IF($O$1372=1,$O$1410/$O$1398,1)-1</f>
        <v>4.8000000000000043E-2</v>
      </c>
      <c r="AY28" s="73">
        <f>$N$1399/$N$1387-1</f>
        <v>8.0000000000000071E-2</v>
      </c>
      <c r="AZ28" s="73">
        <f>$N$1400/$N$1388-1</f>
        <v>8.0000000000000071E-2</v>
      </c>
      <c r="BA28" s="73">
        <f>$N$1401/$N$1389-1</f>
        <v>0.13184000000000018</v>
      </c>
      <c r="BB28" s="73">
        <f>$N$1402/$N$1390-1</f>
        <v>0.13184000000000018</v>
      </c>
      <c r="BC28" s="73">
        <f>$N$1403/$N$1391-1</f>
        <v>0.13184000000000018</v>
      </c>
      <c r="BD28" s="73">
        <f>$N$1404/$N$1392-1</f>
        <v>0.13184000000000018</v>
      </c>
      <c r="BE28" s="73">
        <f>$N$1405/$N$1393-1</f>
        <v>0.13184000000000018</v>
      </c>
      <c r="BF28" s="73">
        <f>$N$1406/$N$1394-1</f>
        <v>0.13184000000000018</v>
      </c>
      <c r="BG28" s="73">
        <f>$N$1407/$N$1395-1</f>
        <v>0.13184000000000018</v>
      </c>
      <c r="BH28" s="73">
        <f>$N$1408/$N$1396-1</f>
        <v>4.8000000000000043E-2</v>
      </c>
      <c r="BI28" s="73">
        <f>$N$1409/$N$1397-1</f>
        <v>4.8000000000000043E-2</v>
      </c>
      <c r="BJ28" s="73">
        <f>$N$1410/$N$1398-1</f>
        <v>4.8000000000000043E-2</v>
      </c>
      <c r="BK28" s="73">
        <f>$O$1399/$O$1387-1</f>
        <v>0</v>
      </c>
      <c r="BL28" s="73">
        <f>$O$1400/$O$1388-1</f>
        <v>0</v>
      </c>
      <c r="BM28" s="73">
        <f>$O$1401/$O$1389-1</f>
        <v>0</v>
      </c>
      <c r="BN28" s="73">
        <f>$O$1402/$O$1390-1</f>
        <v>0</v>
      </c>
      <c r="BO28" s="73">
        <f>$O$1403/$O$1391-1</f>
        <v>0</v>
      </c>
      <c r="BP28" s="73">
        <f>$O$1404/$O$1392-1</f>
        <v>0</v>
      </c>
      <c r="BQ28" s="73">
        <f>$O$1405/$O$1393-1</f>
        <v>0</v>
      </c>
      <c r="BR28" s="73">
        <f>$O$1406/$O$1394-1</f>
        <v>0</v>
      </c>
      <c r="BS28" s="73">
        <f>$O$1407/$O$1395-1</f>
        <v>0</v>
      </c>
      <c r="BT28" s="73">
        <f>$O$1408/$O$1396-1</f>
        <v>0</v>
      </c>
      <c r="BU28" s="73">
        <f>$O$1409/$O$1397-1</f>
        <v>0</v>
      </c>
      <c r="BV28" s="73">
        <f>$O$1410/$O$1398-1</f>
        <v>0</v>
      </c>
      <c r="BW28" s="73">
        <f>$V28*$H$1399</f>
        <v>11200</v>
      </c>
      <c r="BX28" s="73">
        <f>$V28*$H$1400</f>
        <v>11200</v>
      </c>
      <c r="BY28" s="73">
        <f>$V28*$H$1401</f>
        <v>11200</v>
      </c>
      <c r="BZ28" s="73">
        <f>$V28*$H$1402</f>
        <v>11200</v>
      </c>
      <c r="CA28" s="73">
        <f>$V28*$H$1403</f>
        <v>11200</v>
      </c>
      <c r="CB28" s="73">
        <f>$V28*$H$1404</f>
        <v>11200</v>
      </c>
      <c r="CC28" s="73">
        <f>$V28*$H$1405</f>
        <v>11200</v>
      </c>
      <c r="CD28" s="73">
        <f>$V28*$H$1406</f>
        <v>11200</v>
      </c>
      <c r="CE28" s="73">
        <f>$V28*$H$1407</f>
        <v>11200</v>
      </c>
      <c r="CF28" s="73">
        <f>$V28*$H$1408</f>
        <v>11200</v>
      </c>
      <c r="CG28" s="73">
        <f>$V28*$H$1409</f>
        <v>11200</v>
      </c>
      <c r="CH28" s="73">
        <f>$V28*$H$1410</f>
        <v>11200</v>
      </c>
      <c r="CI28" s="75">
        <f>$O$1372</f>
        <v>1</v>
      </c>
      <c r="CJ28" s="73">
        <f>$H$1423</f>
        <v>1.1022400000000003</v>
      </c>
      <c r="CK28" s="73">
        <f>$I$1423</f>
        <v>1</v>
      </c>
      <c r="CL28" s="73">
        <f>$J$1423</f>
        <v>1.1022400000000003</v>
      </c>
      <c r="CM28" s="73">
        <f t="shared" si="17"/>
        <v>0</v>
      </c>
      <c r="CN28" s="73">
        <f t="shared" si="18"/>
        <v>11200</v>
      </c>
      <c r="CO28" s="72">
        <f>$M28*($C28/$K$1423)*IF($O$1372=1,$F$1372/$G28,1)*$R28</f>
        <v>0.56507959486498094</v>
      </c>
      <c r="CP28" s="72">
        <f>$M28*(1+$S28)*($C28/$L$1423)*IF($O$1372=1,$F$1372/$H28,1)*$R28</f>
        <v>0.55179934569247557</v>
      </c>
      <c r="CQ28" s="73">
        <f t="shared" si="19"/>
        <v>6328.8914624877862</v>
      </c>
      <c r="CR28" s="73">
        <f t="shared" si="20"/>
        <v>6180.1526717557263</v>
      </c>
      <c r="CS28" s="73">
        <f t="shared" si="21"/>
        <v>0</v>
      </c>
      <c r="CT28" s="272">
        <f t="shared" si="22"/>
        <v>0</v>
      </c>
      <c r="CU28" s="75">
        <f t="shared" si="23"/>
        <v>1</v>
      </c>
      <c r="CV28" s="75">
        <f t="shared" si="24"/>
        <v>1</v>
      </c>
      <c r="CW28" s="273">
        <f t="shared" si="25"/>
        <v>46296</v>
      </c>
      <c r="CX28" s="274">
        <f t="shared" si="26"/>
        <v>0.08</v>
      </c>
      <c r="CY28" s="6" t="str">
        <f t="shared" si="27"/>
        <v>T</v>
      </c>
      <c r="CZ28" s="273">
        <f t="shared" si="28"/>
        <v>46447</v>
      </c>
      <c r="DA28" s="274">
        <f t="shared" si="29"/>
        <v>4.8000000000000001E-2</v>
      </c>
      <c r="DB28" s="6" t="str">
        <f t="shared" si="30"/>
        <v>P*</v>
      </c>
      <c r="DC28" s="273" t="str">
        <f t="shared" si="31"/>
        <v/>
      </c>
      <c r="DD28" s="274" t="str">
        <f t="shared" si="32"/>
        <v/>
      </c>
      <c r="DE28" s="6" t="str">
        <f t="shared" si="33"/>
        <v/>
      </c>
      <c r="DF28" s="273" t="str">
        <f t="shared" si="34"/>
        <v/>
      </c>
      <c r="DG28" s="274" t="str">
        <f t="shared" si="35"/>
        <v/>
      </c>
      <c r="DH28" s="6" t="str">
        <f t="shared" si="36"/>
        <v/>
      </c>
    </row>
    <row r="29" spans="1:112" x14ac:dyDescent="0.3">
      <c r="A29" s="6" t="str">
        <f>$A$1426</f>
        <v>MM|GA</v>
      </c>
      <c r="B29" s="75">
        <f>$C$1426</f>
        <v>6</v>
      </c>
      <c r="C29" s="73">
        <f>$B$1477</f>
        <v>1.02</v>
      </c>
      <c r="D29" s="73">
        <f>$C$1477</f>
        <v>1.0133333333333334</v>
      </c>
      <c r="E29" s="73">
        <f>$D$1477</f>
        <v>1.0336000000000001</v>
      </c>
      <c r="F29" s="73">
        <f>$E$1477</f>
        <v>1.0608000000000002</v>
      </c>
      <c r="G29" s="224">
        <f>$F$1477</f>
        <v>0.91598878555798668</v>
      </c>
      <c r="H29" s="224">
        <f>$G$1477</f>
        <v>0.92449033552151683</v>
      </c>
      <c r="I29" s="73">
        <f t="shared" si="0"/>
        <v>0.98684210526315785</v>
      </c>
      <c r="J29" s="73">
        <f t="shared" si="1"/>
        <v>0.96153846153846134</v>
      </c>
      <c r="K29" s="73">
        <f>IF($L$1426,1,IF(AND(nr_ModAdjMaster="ON",INDEX(lr_modadj,26)="ON"),$F$1426/$G29,1))</f>
        <v>1.0043791086804299</v>
      </c>
      <c r="L29" s="73">
        <f>IF($L$1426,1,IF(AND(nr_ModAdjMaster="ON",INDEX(lr_modadj,26)="ON"),$F$1426/$H29,1))</f>
        <v>0.99514290701699581</v>
      </c>
      <c r="M29" s="72">
        <f>IF(INDEX(lr_basis,26)="proposed",N(INDEX(lr_lrproj,26))*(1+N(INDEX(lr_s,26))),N(INDEX(lr_lrproj,26)))</f>
        <v>0.6</v>
      </c>
      <c r="N29" s="72">
        <f t="shared" si="2"/>
        <v>0.5946981564555176</v>
      </c>
      <c r="O29" s="72">
        <f t="shared" si="3"/>
        <v>0.5741209078944205</v>
      </c>
      <c r="P29" s="72">
        <f t="shared" si="4"/>
        <v>1.3333333333333419E-2</v>
      </c>
      <c r="Q29" s="72">
        <f t="shared" si="5"/>
        <v>2.6315789473684292E-2</v>
      </c>
      <c r="R29" s="73">
        <f>IF(N(INDEX(lr_aother,26))=0,1,INDEX(lr_aother,26))</f>
        <v>1</v>
      </c>
      <c r="S29" s="72">
        <f>IF(ISBLANK(INDEX(lr_trend,26)),N(nr_TrendDefault),N(INDEX(lr_trend,26)))</f>
        <v>0</v>
      </c>
      <c r="T29" s="6" t="str">
        <f>INDEX(lr_state,26)</f>
        <v>GA</v>
      </c>
      <c r="U29" s="6" t="str">
        <f>INDEX(lr_bu,26)</f>
        <v>MM</v>
      </c>
      <c r="V29" s="271">
        <f>N(INDEX(lr_ep,26))</f>
        <v>8000</v>
      </c>
      <c r="W29" s="73">
        <f>N(INDEX(lr_mind,26))*$V29</f>
        <v>7360</v>
      </c>
      <c r="X29" s="73">
        <f>N(INDEX(lr_m0,26))*$V29</f>
        <v>7280</v>
      </c>
      <c r="Y29" s="73">
        <f>N(INDEX(lr_m1,26))*$V29</f>
        <v>7400</v>
      </c>
      <c r="Z29" s="73">
        <f t="shared" si="6"/>
        <v>8160</v>
      </c>
      <c r="AA29" s="73">
        <f t="shared" si="7"/>
        <v>8268.8000000000011</v>
      </c>
      <c r="AB29" s="73">
        <f t="shared" si="8"/>
        <v>7894.7368421052624</v>
      </c>
      <c r="AC29" s="73">
        <f t="shared" si="9"/>
        <v>7327.9102844638937</v>
      </c>
      <c r="AD29" s="73">
        <f t="shared" si="10"/>
        <v>8035.0328694434393</v>
      </c>
      <c r="AE29" s="73">
        <f t="shared" si="11"/>
        <v>4800</v>
      </c>
      <c r="AF29" s="73">
        <f t="shared" si="12"/>
        <v>4757.585251644141</v>
      </c>
      <c r="AG29" s="73">
        <f t="shared" si="13"/>
        <v>0</v>
      </c>
      <c r="AH29" s="73">
        <f t="shared" si="14"/>
        <v>7692.3076923076906</v>
      </c>
      <c r="AI29" s="73">
        <f t="shared" si="15"/>
        <v>7961.1432561359661</v>
      </c>
      <c r="AJ29" s="73">
        <f t="shared" si="16"/>
        <v>4592.967263155364</v>
      </c>
      <c r="AK29" s="75">
        <f>IF($L$1426,1,0)</f>
        <v>0</v>
      </c>
      <c r="AL29" s="72">
        <f>IF($L$1426,$M$1426,0)</f>
        <v>0</v>
      </c>
      <c r="AM29" s="73">
        <f>$N$1453/$N$1441*IF($O$1426=1,$O$1453/$O$1441,1)-1</f>
        <v>3.3554364908405798E-2</v>
      </c>
      <c r="AN29" s="73">
        <f>$N$1454/$N$1442*IF($O$1426=1,$O$1454/$O$1442,1)-1</f>
        <v>1.3274336283185972E-2</v>
      </c>
      <c r="AO29" s="73">
        <f>$N$1455/$N$1443*IF($O$1426=1,$O$1455/$O$1443,1)-1</f>
        <v>1.3260110077078169E-2</v>
      </c>
      <c r="AP29" s="73">
        <f>$N$1456/$N$1444*IF($O$1426=1,$O$1456/$O$1444,1)-1</f>
        <v>1.3245433651869032E-2</v>
      </c>
      <c r="AQ29" s="73">
        <f>$N$1457/$N$1445*IF($O$1426=1,$O$1457/$O$1445,1)-1</f>
        <v>1.3230789678775778E-2</v>
      </c>
      <c r="AR29" s="73">
        <f>$N$1458/$N$1446*IF($O$1426=1,$O$1458/$O$1446,1)-1</f>
        <v>5.3744825172292954E-2</v>
      </c>
      <c r="AS29" s="73">
        <f>$N$1459/$N$1447*IF($O$1426=1,$O$1459/$O$1447,1)-1</f>
        <v>5.3729662605718431E-2</v>
      </c>
      <c r="AT29" s="73">
        <f>$N$1460/$N$1448*IF($O$1426=1,$O$1460/$O$1448,1)-1</f>
        <v>5.3714285714285825E-2</v>
      </c>
      <c r="AU29" s="73">
        <f>$N$1461/$N$1449*IF($O$1426=1,$O$1461/$O$1449,1)-1</f>
        <v>5.3699190414897346E-2</v>
      </c>
      <c r="AV29" s="73">
        <f>$N$1462/$N$1450*IF($O$1426=1,$O$1462/$O$1450,1)-1</f>
        <v>5.3684128309731349E-2</v>
      </c>
      <c r="AW29" s="73">
        <f>$N$1463/$N$1451*IF($O$1426=1,$O$1463/$O$1451,1)-1</f>
        <v>5.3669099289417987E-2</v>
      </c>
      <c r="AX29" s="73">
        <f>$N$1464/$N$1452*IF($O$1426=1,$O$1464/$O$1452,1)-1</f>
        <v>5.3654103245067475E-2</v>
      </c>
      <c r="AY29" s="73">
        <f>$N$1453/$N$1441-1</f>
        <v>2.0000000000000018E-2</v>
      </c>
      <c r="AZ29" s="73">
        <f>$N$1454/$N$1442-1</f>
        <v>0</v>
      </c>
      <c r="BA29" s="73">
        <f>$N$1455/$N$1443-1</f>
        <v>0</v>
      </c>
      <c r="BB29" s="73">
        <f>$N$1456/$N$1444-1</f>
        <v>0</v>
      </c>
      <c r="BC29" s="73">
        <f>$N$1457/$N$1445-1</f>
        <v>0</v>
      </c>
      <c r="BD29" s="73">
        <f>$N$1458/$N$1446-1</f>
        <v>4.0000000000000036E-2</v>
      </c>
      <c r="BE29" s="73">
        <f>$N$1459/$N$1447-1</f>
        <v>4.0000000000000036E-2</v>
      </c>
      <c r="BF29" s="73">
        <f>$N$1460/$N$1448-1</f>
        <v>4.0000000000000036E-2</v>
      </c>
      <c r="BG29" s="73">
        <f>$N$1461/$N$1449-1</f>
        <v>4.0000000000000036E-2</v>
      </c>
      <c r="BH29" s="73">
        <f>$N$1462/$N$1450-1</f>
        <v>4.0000000000000036E-2</v>
      </c>
      <c r="BI29" s="73">
        <f>$N$1463/$N$1451-1</f>
        <v>4.0000000000000036E-2</v>
      </c>
      <c r="BJ29" s="73">
        <f>$N$1464/$N$1452-1</f>
        <v>4.0000000000000036E-2</v>
      </c>
      <c r="BK29" s="73">
        <f>$O$1453/$O$1441-1</f>
        <v>1.3288593047456665E-2</v>
      </c>
      <c r="BL29" s="73">
        <f>$O$1454/$O$1442-1</f>
        <v>1.3274336283185972E-2</v>
      </c>
      <c r="BM29" s="73">
        <f>$O$1455/$O$1443-1</f>
        <v>1.3260110077078169E-2</v>
      </c>
      <c r="BN29" s="73">
        <f>$O$1456/$O$1444-1</f>
        <v>1.3245433651869032E-2</v>
      </c>
      <c r="BO29" s="73">
        <f>$O$1457/$O$1445-1</f>
        <v>1.3230789678775778E-2</v>
      </c>
      <c r="BP29" s="73">
        <f>$O$1458/$O$1446-1</f>
        <v>1.3216178050281746E-2</v>
      </c>
      <c r="BQ29" s="73">
        <f>$O$1459/$O$1447-1</f>
        <v>1.320159865934456E-2</v>
      </c>
      <c r="BR29" s="73">
        <f>$O$1460/$O$1448-1</f>
        <v>1.3186813186813362E-2</v>
      </c>
      <c r="BS29" s="73">
        <f>$O$1461/$O$1449-1</f>
        <v>1.3172298475862876E-2</v>
      </c>
      <c r="BT29" s="73">
        <f>$O$1462/$O$1450-1</f>
        <v>1.3157815682433904E-2</v>
      </c>
      <c r="BU29" s="73">
        <f>$O$1463/$O$1451-1</f>
        <v>1.3143364701363458E-2</v>
      </c>
      <c r="BV29" s="73">
        <f>$O$1464/$O$1452-1</f>
        <v>1.3128945427949512E-2</v>
      </c>
      <c r="BW29" s="73">
        <f>$V29*$H$1453</f>
        <v>8000</v>
      </c>
      <c r="BX29" s="73">
        <f>$V29*$H$1454</f>
        <v>8000</v>
      </c>
      <c r="BY29" s="73">
        <f>$V29*$H$1455</f>
        <v>8000</v>
      </c>
      <c r="BZ29" s="73">
        <f>$V29*$H$1456</f>
        <v>8000</v>
      </c>
      <c r="CA29" s="73">
        <f>$V29*$H$1457</f>
        <v>8000</v>
      </c>
      <c r="CB29" s="73">
        <f>$V29*$H$1458</f>
        <v>8000</v>
      </c>
      <c r="CC29" s="73">
        <f>$V29*$H$1459</f>
        <v>8000</v>
      </c>
      <c r="CD29" s="73">
        <f>$V29*$H$1460</f>
        <v>8000</v>
      </c>
      <c r="CE29" s="73">
        <f>$V29*$H$1461</f>
        <v>8000</v>
      </c>
      <c r="CF29" s="73">
        <f>$V29*$H$1462</f>
        <v>8000</v>
      </c>
      <c r="CG29" s="73">
        <f>$V29*$H$1463</f>
        <v>8000</v>
      </c>
      <c r="CH29" s="73">
        <f>$V29*$H$1464</f>
        <v>8000</v>
      </c>
      <c r="CI29" s="75">
        <f>$O$1426</f>
        <v>1</v>
      </c>
      <c r="CJ29" s="73">
        <f>$H$1477</f>
        <v>1.0249999999999997</v>
      </c>
      <c r="CK29" s="73">
        <f>$I$1477</f>
        <v>1.0132088564102013</v>
      </c>
      <c r="CL29" s="73">
        <f>$J$1477</f>
        <v>1.0385383607792271</v>
      </c>
      <c r="CM29" s="73">
        <f t="shared" si="17"/>
        <v>0</v>
      </c>
      <c r="CN29" s="73">
        <f t="shared" si="18"/>
        <v>8000</v>
      </c>
      <c r="CO29" s="72">
        <f>$M29*($C29/$K$1477)*IF($O$1426=1,$F$1426/$G29,1)*$R29</f>
        <v>0.5946981564555176</v>
      </c>
      <c r="CP29" s="72">
        <f>$M29*(1+$S29)*($C29/$L$1477)*IF($O$1426=1,$F$1426/$H29,1)*$R29</f>
        <v>0.5741209078944205</v>
      </c>
      <c r="CQ29" s="73">
        <f t="shared" si="19"/>
        <v>4757.585251644141</v>
      </c>
      <c r="CR29" s="73">
        <f t="shared" si="20"/>
        <v>4592.967263155364</v>
      </c>
      <c r="CS29" s="73">
        <f t="shared" si="21"/>
        <v>0</v>
      </c>
      <c r="CT29" s="272">
        <f t="shared" si="22"/>
        <v>0</v>
      </c>
      <c r="CU29" s="75">
        <f t="shared" si="23"/>
        <v>1</v>
      </c>
      <c r="CV29" s="75">
        <f t="shared" si="24"/>
        <v>1</v>
      </c>
      <c r="CW29" s="273">
        <f t="shared" si="25"/>
        <v>46054</v>
      </c>
      <c r="CX29" s="274">
        <f t="shared" si="26"/>
        <v>0.02</v>
      </c>
      <c r="CY29" s="6" t="str">
        <f t="shared" si="27"/>
        <v>T</v>
      </c>
      <c r="CZ29" s="273">
        <f t="shared" si="28"/>
        <v>46539</v>
      </c>
      <c r="DA29" s="274">
        <f t="shared" si="29"/>
        <v>0.04</v>
      </c>
      <c r="DB29" s="6" t="str">
        <f t="shared" si="30"/>
        <v>P*</v>
      </c>
      <c r="DC29" s="273" t="str">
        <f t="shared" si="31"/>
        <v/>
      </c>
      <c r="DD29" s="274" t="str">
        <f t="shared" si="32"/>
        <v/>
      </c>
      <c r="DE29" s="6" t="str">
        <f t="shared" si="33"/>
        <v/>
      </c>
      <c r="DF29" s="273" t="str">
        <f t="shared" si="34"/>
        <v/>
      </c>
      <c r="DG29" s="274" t="str">
        <f t="shared" si="35"/>
        <v/>
      </c>
      <c r="DH29" s="6" t="str">
        <f t="shared" si="36"/>
        <v/>
      </c>
    </row>
    <row r="30" spans="1:112" x14ac:dyDescent="0.3">
      <c r="A30" s="6" t="str">
        <f>$A$1480</f>
        <v>MM|IA</v>
      </c>
      <c r="B30" s="75">
        <f>$C$1480</f>
        <v>6</v>
      </c>
      <c r="C30" s="73">
        <f>$B$1531</f>
        <v>1</v>
      </c>
      <c r="D30" s="73">
        <f>$C$1531</f>
        <v>1</v>
      </c>
      <c r="E30" s="73">
        <f>$D$1531</f>
        <v>1</v>
      </c>
      <c r="F30" s="73">
        <f>$E$1531</f>
        <v>1</v>
      </c>
      <c r="G30" s="224">
        <f>$F$1531</f>
        <v>0.9080037381473377</v>
      </c>
      <c r="H30" s="224">
        <f>$G$1531</f>
        <v>0.90516988815949428</v>
      </c>
      <c r="I30" s="73">
        <f t="shared" si="0"/>
        <v>1</v>
      </c>
      <c r="J30" s="73">
        <f t="shared" si="1"/>
        <v>1</v>
      </c>
      <c r="K30" s="73">
        <f>IF($L$1480,1,IF(AND(nr_ModAdjMaster="ON",INDEX(lr_modadj,27)="ON"),$F$1480/$G30,1))</f>
        <v>1.0132116877372543</v>
      </c>
      <c r="L30" s="73">
        <f>IF($L$1480,1,IF(AND(nr_ModAdjMaster="ON",INDEX(lr_modadj,27)="ON"),$F$1480/$H30,1))</f>
        <v>1.0163837883191853</v>
      </c>
      <c r="M30" s="72">
        <f>IF(INDEX(lr_basis,27)="proposed",N(INDEX(lr_lrproj,27))*(1+N(INDEX(lr_s,27))),N(INDEX(lr_lrproj,27)))</f>
        <v>0.58399999999999996</v>
      </c>
      <c r="N30" s="72">
        <f t="shared" si="2"/>
        <v>0.59171562563855651</v>
      </c>
      <c r="O30" s="72">
        <f t="shared" si="3"/>
        <v>0.59356813237840422</v>
      </c>
      <c r="P30" s="72">
        <f t="shared" si="4"/>
        <v>0</v>
      </c>
      <c r="Q30" s="72">
        <f t="shared" si="5"/>
        <v>0</v>
      </c>
      <c r="R30" s="73">
        <f>IF(N(INDEX(lr_aother,27))=0,1,INDEX(lr_aother,27))</f>
        <v>1</v>
      </c>
      <c r="S30" s="72">
        <f>IF(ISBLANK(INDEX(lr_trend,27)),N(nr_TrendDefault),N(INDEX(lr_trend,27)))</f>
        <v>0</v>
      </c>
      <c r="T30" s="6" t="str">
        <f>INDEX(lr_state,27)</f>
        <v>IA</v>
      </c>
      <c r="U30" s="6" t="str">
        <f>INDEX(lr_bu,27)</f>
        <v>MM</v>
      </c>
      <c r="V30" s="271">
        <f>N(INDEX(lr_ep,27))</f>
        <v>18400</v>
      </c>
      <c r="W30" s="73">
        <f>N(INDEX(lr_mind,27))*$V30</f>
        <v>16928</v>
      </c>
      <c r="X30" s="73">
        <f>N(INDEX(lr_m0,27))*$V30</f>
        <v>16744</v>
      </c>
      <c r="Y30" s="73">
        <f>N(INDEX(lr_m1,27))*$V30</f>
        <v>16652</v>
      </c>
      <c r="Z30" s="73">
        <f t="shared" si="6"/>
        <v>18400</v>
      </c>
      <c r="AA30" s="73">
        <f t="shared" si="7"/>
        <v>18400</v>
      </c>
      <c r="AB30" s="73">
        <f t="shared" si="8"/>
        <v>18400</v>
      </c>
      <c r="AC30" s="73">
        <f t="shared" si="9"/>
        <v>16707.268781911014</v>
      </c>
      <c r="AD30" s="73">
        <f t="shared" si="10"/>
        <v>18643.09505436548</v>
      </c>
      <c r="AE30" s="73">
        <f t="shared" si="11"/>
        <v>10745.599999999999</v>
      </c>
      <c r="AF30" s="73">
        <f t="shared" si="12"/>
        <v>10887.567511749439</v>
      </c>
      <c r="AG30" s="73">
        <f t="shared" si="13"/>
        <v>0</v>
      </c>
      <c r="AH30" s="73">
        <f t="shared" si="14"/>
        <v>18400</v>
      </c>
      <c r="AI30" s="73">
        <f t="shared" si="15"/>
        <v>18701.461705073008</v>
      </c>
      <c r="AJ30" s="73">
        <f t="shared" si="16"/>
        <v>10921.653635762637</v>
      </c>
      <c r="AK30" s="75">
        <f>IF($L$1480,1,0)</f>
        <v>0</v>
      </c>
      <c r="AL30" s="72">
        <f>IF($L$1480,$M$1480,0)</f>
        <v>0</v>
      </c>
      <c r="AM30" s="73">
        <f>$N$1507/$N$1495*IF($O$1480=1,$O$1507/$O$1495,1)-1</f>
        <v>-4.3748464309043555E-3</v>
      </c>
      <c r="AN30" s="73">
        <f>$N$1508/$N$1496*IF($O$1480=1,$O$1508/$O$1496,1)-1</f>
        <v>-4.3763938514663758E-3</v>
      </c>
      <c r="AO30" s="73">
        <f>$N$1509/$N$1497*IF($O$1480=1,$O$1509/$O$1497,1)-1</f>
        <v>-4.3779423670874396E-3</v>
      </c>
      <c r="AP30" s="73">
        <f>$N$1510/$N$1498*IF($O$1480=1,$O$1510/$O$1498,1)-1</f>
        <v>-4.3795445273691058E-3</v>
      </c>
      <c r="AQ30" s="73">
        <f>$N$1511/$N$1499*IF($O$1480=1,$O$1511/$O$1499,1)-1</f>
        <v>-4.3811478607395093E-3</v>
      </c>
      <c r="AR30" s="73">
        <f>$N$1512/$N$1500*IF($O$1480=1,$O$1512/$O$1500,1)-1</f>
        <v>-4.382752368487397E-3</v>
      </c>
      <c r="AS30" s="73">
        <f>$N$1513/$N$1501*IF($O$1480=1,$O$1513/$O$1501,1)-1</f>
        <v>-4.3843580519036252E-3</v>
      </c>
      <c r="AT30" s="73">
        <f>$N$1514/$N$1502*IF($O$1480=1,$O$1514/$O$1502,1)-1</f>
        <v>-4.3859912640666909E-3</v>
      </c>
      <c r="AU30" s="73">
        <f>$N$1515/$N$1503*IF($O$1480=1,$O$1515/$O$1503,1)-1</f>
        <v>-4.3875993220258147E-3</v>
      </c>
      <c r="AV30" s="73">
        <f>$N$1516/$N$1504*IF($O$1480=1,$O$1516/$O$1504,1)-1</f>
        <v>-4.3892085595579333E-3</v>
      </c>
      <c r="AW30" s="73">
        <f>$N$1517/$N$1505*IF($O$1480=1,$O$1517/$O$1505,1)-1</f>
        <v>-4.3908189779616746E-3</v>
      </c>
      <c r="AX30" s="73">
        <f>$N$1518/$N$1506*IF($O$1480=1,$O$1518/$O$1506,1)-1</f>
        <v>-4.3924305785372209E-3</v>
      </c>
      <c r="AY30" s="73">
        <f>$N$1507/$N$1495-1</f>
        <v>0</v>
      </c>
      <c r="AZ30" s="73">
        <f>$N$1508/$N$1496-1</f>
        <v>0</v>
      </c>
      <c r="BA30" s="73">
        <f>$N$1509/$N$1497-1</f>
        <v>0</v>
      </c>
      <c r="BB30" s="73">
        <f>$N$1510/$N$1498-1</f>
        <v>0</v>
      </c>
      <c r="BC30" s="73">
        <f>$N$1511/$N$1499-1</f>
        <v>0</v>
      </c>
      <c r="BD30" s="73">
        <f>$N$1512/$N$1500-1</f>
        <v>0</v>
      </c>
      <c r="BE30" s="73">
        <f>$N$1513/$N$1501-1</f>
        <v>0</v>
      </c>
      <c r="BF30" s="73">
        <f>$N$1514/$N$1502-1</f>
        <v>0</v>
      </c>
      <c r="BG30" s="73">
        <f>$N$1515/$N$1503-1</f>
        <v>0</v>
      </c>
      <c r="BH30" s="73">
        <f>$N$1516/$N$1504-1</f>
        <v>0</v>
      </c>
      <c r="BI30" s="73">
        <f>$N$1517/$N$1505-1</f>
        <v>0</v>
      </c>
      <c r="BJ30" s="73">
        <f>$N$1518/$N$1506-1</f>
        <v>0</v>
      </c>
      <c r="BK30" s="73">
        <f>$O$1507/$O$1495-1</f>
        <v>-4.3748464309043555E-3</v>
      </c>
      <c r="BL30" s="73">
        <f>$O$1508/$O$1496-1</f>
        <v>-4.3763938514663758E-3</v>
      </c>
      <c r="BM30" s="73">
        <f>$O$1509/$O$1497-1</f>
        <v>-4.3779423670874396E-3</v>
      </c>
      <c r="BN30" s="73">
        <f>$O$1510/$O$1498-1</f>
        <v>-4.3795445273691058E-3</v>
      </c>
      <c r="BO30" s="73">
        <f>$O$1511/$O$1499-1</f>
        <v>-4.3811478607395093E-3</v>
      </c>
      <c r="BP30" s="73">
        <f>$O$1512/$O$1500-1</f>
        <v>-4.382752368487397E-3</v>
      </c>
      <c r="BQ30" s="73">
        <f>$O$1513/$O$1501-1</f>
        <v>-4.3843580519036252E-3</v>
      </c>
      <c r="BR30" s="73">
        <f>$O$1514/$O$1502-1</f>
        <v>-4.3859912640666909E-3</v>
      </c>
      <c r="BS30" s="73">
        <f>$O$1515/$O$1503-1</f>
        <v>-4.3875993220258147E-3</v>
      </c>
      <c r="BT30" s="73">
        <f>$O$1516/$O$1504-1</f>
        <v>-4.3892085595579333E-3</v>
      </c>
      <c r="BU30" s="73">
        <f>$O$1517/$O$1505-1</f>
        <v>-4.3908189779616746E-3</v>
      </c>
      <c r="BV30" s="73">
        <f>$O$1518/$O$1506-1</f>
        <v>-4.3924305785372209E-3</v>
      </c>
      <c r="BW30" s="73">
        <f>$V30*$H$1507</f>
        <v>18400</v>
      </c>
      <c r="BX30" s="73">
        <f>$V30*$H$1508</f>
        <v>18400</v>
      </c>
      <c r="BY30" s="73">
        <f>$V30*$H$1509</f>
        <v>18400</v>
      </c>
      <c r="BZ30" s="73">
        <f>$V30*$H$1510</f>
        <v>18400</v>
      </c>
      <c r="CA30" s="73">
        <f>$V30*$H$1511</f>
        <v>18400</v>
      </c>
      <c r="CB30" s="73">
        <f>$V30*$H$1512</f>
        <v>18400</v>
      </c>
      <c r="CC30" s="73">
        <f>$V30*$H$1513</f>
        <v>18400</v>
      </c>
      <c r="CD30" s="73">
        <f>$V30*$H$1514</f>
        <v>18400</v>
      </c>
      <c r="CE30" s="73">
        <f>$V30*$H$1515</f>
        <v>18400</v>
      </c>
      <c r="CF30" s="73">
        <f>$V30*$H$1516</f>
        <v>18400</v>
      </c>
      <c r="CG30" s="73">
        <f>$V30*$H$1517</f>
        <v>18400</v>
      </c>
      <c r="CH30" s="73">
        <f>$V30*$H$1518</f>
        <v>18400</v>
      </c>
      <c r="CI30" s="75">
        <f>$O$1480</f>
        <v>1</v>
      </c>
      <c r="CJ30" s="73">
        <f>$H$1531</f>
        <v>1</v>
      </c>
      <c r="CK30" s="73">
        <f>$I$1531</f>
        <v>0.99561641381999111</v>
      </c>
      <c r="CL30" s="73">
        <f>$J$1531</f>
        <v>0.99561641381999111</v>
      </c>
      <c r="CM30" s="73">
        <f t="shared" si="17"/>
        <v>0</v>
      </c>
      <c r="CN30" s="73">
        <f t="shared" si="18"/>
        <v>18400</v>
      </c>
      <c r="CO30" s="72">
        <f>$M30*($C30/$K$1531)*IF($O$1480=1,$F$1480/$G30,1)*$R30</f>
        <v>0.59171562563855651</v>
      </c>
      <c r="CP30" s="72">
        <f>$M30*(1+$S30)*($C30/$L$1531)*IF($O$1480=1,$F$1480/$H30,1)*$R30</f>
        <v>0.59356813237840422</v>
      </c>
      <c r="CQ30" s="73">
        <f t="shared" si="19"/>
        <v>10887.567511749439</v>
      </c>
      <c r="CR30" s="73">
        <f t="shared" si="20"/>
        <v>10921.653635762637</v>
      </c>
      <c r="CS30" s="73">
        <f t="shared" si="21"/>
        <v>0</v>
      </c>
      <c r="CT30" s="272">
        <f t="shared" si="22"/>
        <v>0</v>
      </c>
      <c r="CU30" s="75">
        <f t="shared" si="23"/>
        <v>0</v>
      </c>
      <c r="CV30" s="75">
        <f t="shared" si="24"/>
        <v>0</v>
      </c>
      <c r="CW30" s="273" t="str">
        <f t="shared" si="25"/>
        <v/>
      </c>
      <c r="CX30" s="274" t="str">
        <f t="shared" si="26"/>
        <v/>
      </c>
      <c r="CY30" s="6" t="str">
        <f t="shared" si="27"/>
        <v/>
      </c>
      <c r="CZ30" s="273" t="str">
        <f t="shared" si="28"/>
        <v/>
      </c>
      <c r="DA30" s="274" t="str">
        <f t="shared" si="29"/>
        <v/>
      </c>
      <c r="DB30" s="6" t="str">
        <f t="shared" si="30"/>
        <v/>
      </c>
      <c r="DC30" s="273" t="str">
        <f t="shared" si="31"/>
        <v/>
      </c>
      <c r="DD30" s="274" t="str">
        <f t="shared" si="32"/>
        <v/>
      </c>
      <c r="DE30" s="6" t="str">
        <f t="shared" si="33"/>
        <v/>
      </c>
      <c r="DF30" s="273" t="str">
        <f t="shared" si="34"/>
        <v/>
      </c>
      <c r="DG30" s="274" t="str">
        <f t="shared" si="35"/>
        <v/>
      </c>
      <c r="DH30" s="6" t="str">
        <f t="shared" si="36"/>
        <v/>
      </c>
    </row>
    <row r="31" spans="1:112" x14ac:dyDescent="0.3">
      <c r="A31" s="6" t="str">
        <f>$A$1534</f>
        <v>MM|IL</v>
      </c>
      <c r="B31" s="75">
        <f>$C$1534</f>
        <v>6</v>
      </c>
      <c r="C31" s="73">
        <f>$B$1585</f>
        <v>1.04</v>
      </c>
      <c r="D31" s="73">
        <f>$C$1585</f>
        <v>1.02</v>
      </c>
      <c r="E31" s="73">
        <f>$D$1585</f>
        <v>1.0399999999999998</v>
      </c>
      <c r="F31" s="73">
        <f>$E$1585</f>
        <v>1.0399999999999998</v>
      </c>
      <c r="G31" s="224">
        <f>$F$1585</f>
        <v>0.91399252370532447</v>
      </c>
      <c r="H31" s="224">
        <f>$G$1585</f>
        <v>0.91966022368101141</v>
      </c>
      <c r="I31" s="73">
        <f t="shared" si="0"/>
        <v>1.0000000000000002</v>
      </c>
      <c r="J31" s="73">
        <f t="shared" si="1"/>
        <v>1.0000000000000002</v>
      </c>
      <c r="K31" s="73">
        <f>IF($L$1534,1,IF(AND(nr_ModAdjMaster="ON",INDEX(lr_modadj,28)="ON"),$F$1534/$G31,1))</f>
        <v>1.0065727849395543</v>
      </c>
      <c r="L31" s="73">
        <f>IF($L$1534,1,IF(AND(nr_ModAdjMaster="ON",INDEX(lr_modadj,28)="ON"),$F$1534/$H31,1))</f>
        <v>1.000369458535054</v>
      </c>
      <c r="M31" s="72">
        <f>IF(INDEX(lr_basis,28)="proposed",N(INDEX(lr_lrproj,28))*(1+N(INDEX(lr_s,28))),N(INDEX(lr_lrproj,28)))</f>
        <v>0.56799999999999995</v>
      </c>
      <c r="N31" s="72">
        <f t="shared" si="2"/>
        <v>0.57173334184566693</v>
      </c>
      <c r="O31" s="72">
        <f t="shared" si="3"/>
        <v>0.56820985244791078</v>
      </c>
      <c r="P31" s="72">
        <f t="shared" si="4"/>
        <v>0</v>
      </c>
      <c r="Q31" s="72">
        <f t="shared" si="5"/>
        <v>0</v>
      </c>
      <c r="R31" s="73">
        <f>IF(N(INDEX(lr_aother,28))=0,1,INDEX(lr_aother,28))</f>
        <v>1</v>
      </c>
      <c r="S31" s="72">
        <f>IF(ISBLANK(INDEX(lr_trend,28)),N(nr_TrendDefault),N(INDEX(lr_trend,28)))</f>
        <v>0</v>
      </c>
      <c r="T31" s="6" t="str">
        <f>INDEX(lr_state,28)</f>
        <v>IL</v>
      </c>
      <c r="U31" s="6" t="str">
        <f>INDEX(lr_bu,28)</f>
        <v>MM</v>
      </c>
      <c r="V31" s="271">
        <f>N(INDEX(lr_ep,28))</f>
        <v>15200</v>
      </c>
      <c r="W31" s="73">
        <f>N(INDEX(lr_mind,28))*$V31</f>
        <v>13984</v>
      </c>
      <c r="X31" s="73">
        <f>N(INDEX(lr_m0,28))*$V31</f>
        <v>13832</v>
      </c>
      <c r="Y31" s="73">
        <f>N(INDEX(lr_m1,28))*$V31</f>
        <v>13984</v>
      </c>
      <c r="Z31" s="73">
        <f t="shared" si="6"/>
        <v>15808</v>
      </c>
      <c r="AA31" s="73">
        <f t="shared" si="7"/>
        <v>15807.999999999996</v>
      </c>
      <c r="AB31" s="73">
        <f t="shared" si="8"/>
        <v>15200.000000000004</v>
      </c>
      <c r="AC31" s="73">
        <f t="shared" si="9"/>
        <v>13892.686360320931</v>
      </c>
      <c r="AD31" s="73">
        <f t="shared" si="10"/>
        <v>15299.906331081225</v>
      </c>
      <c r="AE31" s="73">
        <f t="shared" si="11"/>
        <v>8633.5999999999985</v>
      </c>
      <c r="AF31" s="73">
        <f t="shared" si="12"/>
        <v>8690.3467960541366</v>
      </c>
      <c r="AG31" s="73">
        <f t="shared" si="13"/>
        <v>0</v>
      </c>
      <c r="AH31" s="73">
        <f t="shared" si="14"/>
        <v>15200.000000000004</v>
      </c>
      <c r="AI31" s="73">
        <f t="shared" si="15"/>
        <v>15205.61576973282</v>
      </c>
      <c r="AJ31" s="73">
        <f t="shared" si="16"/>
        <v>8636.7897572082438</v>
      </c>
      <c r="AK31" s="75">
        <f>IF($L$1534,1,0)</f>
        <v>0</v>
      </c>
      <c r="AL31" s="72">
        <f>IF($L$1534,$M$1534,0)</f>
        <v>0</v>
      </c>
      <c r="AM31" s="73">
        <f>$N$1561/$N$1549*IF($O$1534=1,$O$1561/$O$1549,1)-1</f>
        <v>4.9184722776709267E-2</v>
      </c>
      <c r="AN31" s="73">
        <f>$N$1562/$N$1550*IF($O$1534=1,$O$1562/$O$1550,1)-1</f>
        <v>4.9178171619236322E-2</v>
      </c>
      <c r="AO31" s="73">
        <f>$N$1563/$N$1551*IF($O$1534=1,$O$1563/$O$1551,1)-1</f>
        <v>4.9171629800548455E-2</v>
      </c>
      <c r="AP31" s="73">
        <f>$N$1564/$N$1552*IF($O$1534=1,$O$1564/$O$1552,1)-1</f>
        <v>8.8123807914242125E-3</v>
      </c>
      <c r="AQ31" s="73">
        <f>$N$1565/$N$1553*IF($O$1534=1,$O$1565/$O$1553,1)-1</f>
        <v>8.8058963316806071E-3</v>
      </c>
      <c r="AR31" s="73">
        <f>$N$1566/$N$1554*IF($O$1534=1,$O$1566/$O$1554,1)-1</f>
        <v>8.7994214079074595E-3</v>
      </c>
      <c r="AS31" s="73">
        <f>$N$1567/$N$1555*IF($O$1534=1,$O$1567/$O$1555,1)-1</f>
        <v>8.792955999084473E-3</v>
      </c>
      <c r="AT31" s="73">
        <f>$N$1568/$N$1556*IF($O$1534=1,$O$1568/$O$1556,1)-1</f>
        <v>8.7863943285630963E-3</v>
      </c>
      <c r="AU31" s="73">
        <f>$N$1569/$N$1557*IF($O$1534=1,$O$1569/$O$1557,1)-1</f>
        <v>8.7799480419512577E-3</v>
      </c>
      <c r="AV31" s="73">
        <f>$N$1570/$N$1558*IF($O$1534=1,$O$1570/$O$1558,1)-1</f>
        <v>8.7735112072593324E-3</v>
      </c>
      <c r="AW31" s="73">
        <f>$N$1571/$N$1559*IF($O$1534=1,$O$1571/$O$1559,1)-1</f>
        <v>8.7670838037132715E-3</v>
      </c>
      <c r="AX31" s="73">
        <f>$N$1572/$N$1560*IF($O$1534=1,$O$1572/$O$1560,1)-1</f>
        <v>8.7606658106016422E-3</v>
      </c>
      <c r="AY31" s="73">
        <f>$N$1561/$N$1549-1</f>
        <v>4.0000000000000036E-2</v>
      </c>
      <c r="AZ31" s="73">
        <f>$N$1562/$N$1550-1</f>
        <v>4.0000000000000036E-2</v>
      </c>
      <c r="BA31" s="73">
        <f>$N$1563/$N$1551-1</f>
        <v>4.0000000000000036E-2</v>
      </c>
      <c r="BB31" s="73">
        <f>$N$1564/$N$1552-1</f>
        <v>0</v>
      </c>
      <c r="BC31" s="73">
        <f>$N$1565/$N$1553-1</f>
        <v>0</v>
      </c>
      <c r="BD31" s="73">
        <f>$N$1566/$N$1554-1</f>
        <v>0</v>
      </c>
      <c r="BE31" s="73">
        <f>$N$1567/$N$1555-1</f>
        <v>0</v>
      </c>
      <c r="BF31" s="73">
        <f>$N$1568/$N$1556-1</f>
        <v>0</v>
      </c>
      <c r="BG31" s="73">
        <f>$N$1569/$N$1557-1</f>
        <v>0</v>
      </c>
      <c r="BH31" s="73">
        <f>$N$1570/$N$1558-1</f>
        <v>0</v>
      </c>
      <c r="BI31" s="73">
        <f>$N$1571/$N$1559-1</f>
        <v>0</v>
      </c>
      <c r="BJ31" s="73">
        <f>$N$1572/$N$1560-1</f>
        <v>0</v>
      </c>
      <c r="BK31" s="73">
        <f>$O$1561/$O$1549-1</f>
        <v>8.8314642083742179E-3</v>
      </c>
      <c r="BL31" s="73">
        <f>$O$1562/$O$1550-1</f>
        <v>8.8251650184965058E-3</v>
      </c>
      <c r="BM31" s="73">
        <f>$O$1563/$O$1551-1</f>
        <v>8.8188748082196344E-3</v>
      </c>
      <c r="BN31" s="73">
        <f>$O$1564/$O$1552-1</f>
        <v>8.8123807914242125E-3</v>
      </c>
      <c r="BO31" s="73">
        <f>$O$1565/$O$1553-1</f>
        <v>8.8058963316806071E-3</v>
      </c>
      <c r="BP31" s="73">
        <f>$O$1566/$O$1554-1</f>
        <v>8.7994214079074595E-3</v>
      </c>
      <c r="BQ31" s="73">
        <f>$O$1567/$O$1555-1</f>
        <v>8.792955999084473E-3</v>
      </c>
      <c r="BR31" s="73">
        <f>$O$1568/$O$1556-1</f>
        <v>8.7863943285630963E-3</v>
      </c>
      <c r="BS31" s="73">
        <f>$O$1569/$O$1557-1</f>
        <v>8.7799480419512577E-3</v>
      </c>
      <c r="BT31" s="73">
        <f>$O$1570/$O$1558-1</f>
        <v>8.7735112072593324E-3</v>
      </c>
      <c r="BU31" s="73">
        <f>$O$1571/$O$1559-1</f>
        <v>8.7670838037132715E-3</v>
      </c>
      <c r="BV31" s="73">
        <f>$O$1572/$O$1560-1</f>
        <v>8.7606658106016422E-3</v>
      </c>
      <c r="BW31" s="73">
        <f>$V31*$H$1561</f>
        <v>15200</v>
      </c>
      <c r="BX31" s="73">
        <f>$V31*$H$1562</f>
        <v>15200</v>
      </c>
      <c r="BY31" s="73">
        <f>$V31*$H$1563</f>
        <v>15200</v>
      </c>
      <c r="BZ31" s="73">
        <f>$V31*$H$1564</f>
        <v>15200</v>
      </c>
      <c r="CA31" s="73">
        <f>$V31*$H$1565</f>
        <v>15200</v>
      </c>
      <c r="CB31" s="73">
        <f>$V31*$H$1566</f>
        <v>15200</v>
      </c>
      <c r="CC31" s="73">
        <f>$V31*$H$1567</f>
        <v>15200</v>
      </c>
      <c r="CD31" s="73">
        <f>$V31*$H$1568</f>
        <v>15200</v>
      </c>
      <c r="CE31" s="73">
        <f>$V31*$H$1569</f>
        <v>15200</v>
      </c>
      <c r="CF31" s="73">
        <f>$V31*$H$1570</f>
        <v>15200</v>
      </c>
      <c r="CG31" s="73">
        <f>$V31*$H$1571</f>
        <v>15200</v>
      </c>
      <c r="CH31" s="73">
        <f>$V31*$H$1572</f>
        <v>15200</v>
      </c>
      <c r="CI31" s="75">
        <f>$O$1534</f>
        <v>1</v>
      </c>
      <c r="CJ31" s="73">
        <f>$H$1585</f>
        <v>1.01</v>
      </c>
      <c r="CK31" s="73">
        <f>$I$1585</f>
        <v>1.0087961468131064</v>
      </c>
      <c r="CL31" s="73">
        <f>$J$1585</f>
        <v>1.0188843984932234</v>
      </c>
      <c r="CM31" s="73">
        <f t="shared" si="17"/>
        <v>0</v>
      </c>
      <c r="CN31" s="73">
        <f t="shared" si="18"/>
        <v>15200</v>
      </c>
      <c r="CO31" s="72">
        <f>$M31*($C31/$K$1585)*IF($O$1534=1,$F$1534/$G31,1)*$R31</f>
        <v>0.57173334184566693</v>
      </c>
      <c r="CP31" s="72">
        <f>$M31*(1+$S31)*($C31/$L$1585)*IF($O$1534=1,$F$1534/$H31,1)*$R31</f>
        <v>0.56820985244791078</v>
      </c>
      <c r="CQ31" s="73">
        <f t="shared" si="19"/>
        <v>8690.3467960541366</v>
      </c>
      <c r="CR31" s="73">
        <f t="shared" si="20"/>
        <v>8636.7897572082438</v>
      </c>
      <c r="CS31" s="73">
        <f t="shared" si="21"/>
        <v>0</v>
      </c>
      <c r="CT31" s="272">
        <f t="shared" si="22"/>
        <v>0</v>
      </c>
      <c r="CU31" s="75">
        <f t="shared" si="23"/>
        <v>1</v>
      </c>
      <c r="CV31" s="75">
        <f t="shared" si="24"/>
        <v>0</v>
      </c>
      <c r="CW31" s="273">
        <f t="shared" si="25"/>
        <v>46113</v>
      </c>
      <c r="CX31" s="274">
        <f t="shared" si="26"/>
        <v>0.04</v>
      </c>
      <c r="CY31" s="6" t="str">
        <f t="shared" si="27"/>
        <v>T</v>
      </c>
      <c r="CZ31" s="273" t="str">
        <f t="shared" si="28"/>
        <v/>
      </c>
      <c r="DA31" s="274" t="str">
        <f t="shared" si="29"/>
        <v/>
      </c>
      <c r="DB31" s="6" t="str">
        <f t="shared" si="30"/>
        <v/>
      </c>
      <c r="DC31" s="273" t="str">
        <f t="shared" si="31"/>
        <v/>
      </c>
      <c r="DD31" s="274" t="str">
        <f t="shared" si="32"/>
        <v/>
      </c>
      <c r="DE31" s="6" t="str">
        <f t="shared" si="33"/>
        <v/>
      </c>
      <c r="DF31" s="273" t="str">
        <f t="shared" si="34"/>
        <v/>
      </c>
      <c r="DG31" s="274" t="str">
        <f t="shared" si="35"/>
        <v/>
      </c>
      <c r="DH31" s="6" t="str">
        <f t="shared" si="36"/>
        <v/>
      </c>
    </row>
    <row r="32" spans="1:112" x14ac:dyDescent="0.3">
      <c r="A32" s="6" t="str">
        <f>$A$1588</f>
        <v>MM|IN</v>
      </c>
      <c r="B32" s="75">
        <f>$C$1588</f>
        <v>6</v>
      </c>
      <c r="C32" s="73">
        <f>$B$1639</f>
        <v>1.05</v>
      </c>
      <c r="D32" s="73">
        <f>$C$1639</f>
        <v>1.0208333333333335</v>
      </c>
      <c r="E32" s="73">
        <f>$D$1639</f>
        <v>1.05</v>
      </c>
      <c r="F32" s="73">
        <f>$E$1639</f>
        <v>1.05</v>
      </c>
      <c r="G32" s="224">
        <f>$F$1639</f>
        <v>0.90600747629467537</v>
      </c>
      <c r="H32" s="224">
        <f>$G$1639</f>
        <v>0.90033977631898854</v>
      </c>
      <c r="I32" s="73">
        <f t="shared" si="0"/>
        <v>1</v>
      </c>
      <c r="J32" s="73">
        <f t="shared" si="1"/>
        <v>1</v>
      </c>
      <c r="K32" s="73">
        <f>IF($L$1588,1,IF(AND(nr_ModAdjMaster="ON",INDEX(lr_modadj,29)="ON"),$F$1588/$G32,1))</f>
        <v>1.0154441592055623</v>
      </c>
      <c r="L32" s="73">
        <f>IF($L$1588,1,IF(AND(nr_ModAdjMaster="ON",INDEX(lr_modadj,29)="ON"),$F$1588/$H32,1))</f>
        <v>1.0218364490808034</v>
      </c>
      <c r="M32" s="72">
        <f>IF(INDEX(lr_basis,29)="proposed",N(INDEX(lr_lrproj,29))*(1+N(INDEX(lr_s,29))),N(INDEX(lr_lrproj,29)))</f>
        <v>0.59599999999999997</v>
      </c>
      <c r="N32" s="72">
        <f t="shared" si="2"/>
        <v>0.60520471888651506</v>
      </c>
      <c r="O32" s="72">
        <f t="shared" si="3"/>
        <v>0.6090145236521588</v>
      </c>
      <c r="P32" s="72">
        <f t="shared" si="4"/>
        <v>0</v>
      </c>
      <c r="Q32" s="72">
        <f t="shared" si="5"/>
        <v>0</v>
      </c>
      <c r="R32" s="73">
        <f>IF(N(INDEX(lr_aother,29))=0,1,INDEX(lr_aother,29))</f>
        <v>1</v>
      </c>
      <c r="S32" s="72">
        <f>IF(ISBLANK(INDEX(lr_trend,29)),N(nr_TrendDefault),N(INDEX(lr_trend,29)))</f>
        <v>0</v>
      </c>
      <c r="T32" s="6" t="str">
        <f>INDEX(lr_state,29)</f>
        <v>IN</v>
      </c>
      <c r="U32" s="6" t="str">
        <f>INDEX(lr_bu,29)</f>
        <v>MM</v>
      </c>
      <c r="V32" s="271">
        <f>N(INDEX(lr_ep,29))</f>
        <v>12000</v>
      </c>
      <c r="W32" s="73">
        <f>N(INDEX(lr_mind,29))*$V32</f>
        <v>11040</v>
      </c>
      <c r="X32" s="73">
        <f>N(INDEX(lr_m0,29))*$V32</f>
        <v>10920</v>
      </c>
      <c r="Y32" s="73">
        <f>N(INDEX(lr_m1,29))*$V32</f>
        <v>10800</v>
      </c>
      <c r="Z32" s="73">
        <f t="shared" si="6"/>
        <v>12600</v>
      </c>
      <c r="AA32" s="73">
        <f t="shared" si="7"/>
        <v>12600</v>
      </c>
      <c r="AB32" s="73">
        <f t="shared" si="8"/>
        <v>12000</v>
      </c>
      <c r="AC32" s="73">
        <f t="shared" si="9"/>
        <v>10872.089715536105</v>
      </c>
      <c r="AD32" s="73">
        <f t="shared" si="10"/>
        <v>12185.329910466748</v>
      </c>
      <c r="AE32" s="73">
        <f t="shared" si="11"/>
        <v>7152</v>
      </c>
      <c r="AF32" s="73">
        <f t="shared" si="12"/>
        <v>7262.4566266381808</v>
      </c>
      <c r="AG32" s="73">
        <f t="shared" si="13"/>
        <v>0</v>
      </c>
      <c r="AH32" s="73">
        <f t="shared" si="14"/>
        <v>12000</v>
      </c>
      <c r="AI32" s="73">
        <f t="shared" si="15"/>
        <v>12262.03738896964</v>
      </c>
      <c r="AJ32" s="73">
        <f t="shared" si="16"/>
        <v>7308.1742838259061</v>
      </c>
      <c r="AK32" s="75">
        <f>IF($L$1588,1,0)</f>
        <v>0</v>
      </c>
      <c r="AL32" s="72">
        <f>IF($L$1588,$M$1588,0)</f>
        <v>0</v>
      </c>
      <c r="AM32" s="73">
        <f>$N$1615/$N$1603*IF($O$1588=1,$O$1615/$O$1603,1)-1</f>
        <v>4.0841090226911625E-2</v>
      </c>
      <c r="AN32" s="73">
        <f>$N$1616/$N$1604*IF($O$1588=1,$O$1616/$O$1604,1)-1</f>
        <v>4.0834628721750699E-2</v>
      </c>
      <c r="AO32" s="73">
        <f>$N$1617/$N$1605*IF($O$1588=1,$O$1617/$O$1605,1)-1</f>
        <v>4.0828158093118461E-2</v>
      </c>
      <c r="AP32" s="73">
        <f>$N$1618/$N$1606*IF($O$1588=1,$O$1618/$O$1606,1)-1</f>
        <v>4.0821458507963149E-2</v>
      </c>
      <c r="AQ32" s="73">
        <f>$N$1619/$N$1607*IF($O$1588=1,$O$1619/$O$1607,1)-1</f>
        <v>-8.7478579731332662E-3</v>
      </c>
      <c r="AR32" s="73">
        <f>$N$1620/$N$1608*IF($O$1588=1,$O$1620/$O$1608,1)-1</f>
        <v>-8.7542572072719649E-3</v>
      </c>
      <c r="AS32" s="73">
        <f>$N$1621/$N$1609*IF($O$1588=1,$O$1621/$O$1609,1)-1</f>
        <v>-8.7606658106015312E-3</v>
      </c>
      <c r="AT32" s="73">
        <f>$N$1622/$N$1610*IF($O$1588=1,$O$1622/$O$1610,1)-1</f>
        <v>-8.7671890950580256E-3</v>
      </c>
      <c r="AU32" s="73">
        <f>$N$1623/$N$1611*IF($O$1588=1,$O$1623/$O$1611,1)-1</f>
        <v>-8.7736166530455462E-3</v>
      </c>
      <c r="AV32" s="73">
        <f>$N$1624/$N$1612*IF($O$1588=1,$O$1624/$O$1612,1)-1</f>
        <v>-8.7800536425195475E-3</v>
      </c>
      <c r="AW32" s="73">
        <f>$N$1625/$N$1613*IF($O$1588=1,$O$1625/$O$1613,1)-1</f>
        <v>-8.7865000842540786E-3</v>
      </c>
      <c r="AX32" s="73">
        <f>$N$1626/$N$1614*IF($O$1588=1,$O$1626/$O$1614,1)-1</f>
        <v>-8.7929559990846951E-3</v>
      </c>
      <c r="AY32" s="73">
        <f>$N$1615/$N$1603-1</f>
        <v>5.0000000000000044E-2</v>
      </c>
      <c r="AZ32" s="73">
        <f>$N$1616/$N$1604-1</f>
        <v>5.0000000000000044E-2</v>
      </c>
      <c r="BA32" s="73">
        <f>$N$1617/$N$1605-1</f>
        <v>5.0000000000000044E-2</v>
      </c>
      <c r="BB32" s="73">
        <f>$N$1618/$N$1606-1</f>
        <v>5.0000000000000044E-2</v>
      </c>
      <c r="BC32" s="73">
        <f>$N$1619/$N$1607-1</f>
        <v>0</v>
      </c>
      <c r="BD32" s="73">
        <f>$N$1620/$N$1608-1</f>
        <v>0</v>
      </c>
      <c r="BE32" s="73">
        <f>$N$1621/$N$1609-1</f>
        <v>0</v>
      </c>
      <c r="BF32" s="73">
        <f>$N$1622/$N$1610-1</f>
        <v>0</v>
      </c>
      <c r="BG32" s="73">
        <f>$N$1623/$N$1611-1</f>
        <v>0</v>
      </c>
      <c r="BH32" s="73">
        <f>$N$1624/$N$1612-1</f>
        <v>0</v>
      </c>
      <c r="BI32" s="73">
        <f>$N$1625/$N$1613-1</f>
        <v>0</v>
      </c>
      <c r="BJ32" s="73">
        <f>$N$1626/$N$1614-1</f>
        <v>0</v>
      </c>
      <c r="BK32" s="73">
        <f>$O$1615/$O$1603-1</f>
        <v>-8.7227712124651191E-3</v>
      </c>
      <c r="BL32" s="73">
        <f>$O$1616/$O$1604-1</f>
        <v>-8.7289250269041441E-3</v>
      </c>
      <c r="BM32" s="73">
        <f>$O$1617/$O$1605-1</f>
        <v>-8.7350875303633391E-3</v>
      </c>
      <c r="BN32" s="73">
        <f>$O$1618/$O$1606-1</f>
        <v>-8.7414680876541917E-3</v>
      </c>
      <c r="BO32" s="73">
        <f>$O$1619/$O$1607-1</f>
        <v>-8.7478579731332662E-3</v>
      </c>
      <c r="BP32" s="73">
        <f>$O$1620/$O$1608-1</f>
        <v>-8.7542572072719649E-3</v>
      </c>
      <c r="BQ32" s="73">
        <f>$O$1621/$O$1609-1</f>
        <v>-8.7606658106015312E-3</v>
      </c>
      <c r="BR32" s="73">
        <f>$O$1622/$O$1610-1</f>
        <v>-8.7671890950580256E-3</v>
      </c>
      <c r="BS32" s="73">
        <f>$O$1623/$O$1611-1</f>
        <v>-8.7736166530455462E-3</v>
      </c>
      <c r="BT32" s="73">
        <f>$O$1624/$O$1612-1</f>
        <v>-8.7800536425195475E-3</v>
      </c>
      <c r="BU32" s="73">
        <f>$O$1625/$O$1613-1</f>
        <v>-8.7865000842540786E-3</v>
      </c>
      <c r="BV32" s="73">
        <f>$O$1626/$O$1614-1</f>
        <v>-8.7929559990846951E-3</v>
      </c>
      <c r="BW32" s="73">
        <f>$V32*$H$1615</f>
        <v>12000</v>
      </c>
      <c r="BX32" s="73">
        <f>$V32*$H$1616</f>
        <v>12000</v>
      </c>
      <c r="BY32" s="73">
        <f>$V32*$H$1617</f>
        <v>12000</v>
      </c>
      <c r="BZ32" s="73">
        <f>$V32*$H$1618</f>
        <v>12000</v>
      </c>
      <c r="CA32" s="73">
        <f>$V32*$H$1619</f>
        <v>12000</v>
      </c>
      <c r="CB32" s="73">
        <f>$V32*$H$1620</f>
        <v>12000</v>
      </c>
      <c r="CC32" s="73">
        <f>$V32*$H$1621</f>
        <v>12000</v>
      </c>
      <c r="CD32" s="73">
        <f>$V32*$H$1622</f>
        <v>12000</v>
      </c>
      <c r="CE32" s="73">
        <f>$V32*$H$1623</f>
        <v>12000</v>
      </c>
      <c r="CF32" s="73">
        <f>$V32*$H$1624</f>
        <v>12000</v>
      </c>
      <c r="CG32" s="73">
        <f>$V32*$H$1625</f>
        <v>12000</v>
      </c>
      <c r="CH32" s="73">
        <f>$V32*$H$1626</f>
        <v>12000</v>
      </c>
      <c r="CI32" s="75">
        <f>$O$1588</f>
        <v>1</v>
      </c>
      <c r="CJ32" s="73">
        <f>$H$1639</f>
        <v>1.0166666666666666</v>
      </c>
      <c r="CK32" s="73">
        <f>$I$1639</f>
        <v>0.99124238763980388</v>
      </c>
      <c r="CL32" s="73">
        <f>$J$1639</f>
        <v>1.0077635199237314</v>
      </c>
      <c r="CM32" s="73">
        <f t="shared" si="17"/>
        <v>0</v>
      </c>
      <c r="CN32" s="73">
        <f t="shared" si="18"/>
        <v>12000</v>
      </c>
      <c r="CO32" s="72">
        <f>$M32*($C32/$K$1639)*IF($O$1588=1,$F$1588/$G32,1)*$R32</f>
        <v>0.60520471888651506</v>
      </c>
      <c r="CP32" s="72">
        <f>$M32*(1+$S32)*($C32/$L$1639)*IF($O$1588=1,$F$1588/$H32,1)*$R32</f>
        <v>0.6090145236521588</v>
      </c>
      <c r="CQ32" s="73">
        <f t="shared" si="19"/>
        <v>7262.4566266381808</v>
      </c>
      <c r="CR32" s="73">
        <f t="shared" si="20"/>
        <v>7308.1742838259061</v>
      </c>
      <c r="CS32" s="73">
        <f t="shared" si="21"/>
        <v>0</v>
      </c>
      <c r="CT32" s="272">
        <f t="shared" si="22"/>
        <v>0</v>
      </c>
      <c r="CU32" s="75">
        <f t="shared" si="23"/>
        <v>1</v>
      </c>
      <c r="CV32" s="75">
        <f t="shared" si="24"/>
        <v>0</v>
      </c>
      <c r="CW32" s="273">
        <f t="shared" si="25"/>
        <v>46143</v>
      </c>
      <c r="CX32" s="274">
        <f t="shared" si="26"/>
        <v>0.05</v>
      </c>
      <c r="CY32" s="6" t="str">
        <f t="shared" si="27"/>
        <v>T</v>
      </c>
      <c r="CZ32" s="273" t="str">
        <f t="shared" si="28"/>
        <v/>
      </c>
      <c r="DA32" s="274" t="str">
        <f t="shared" si="29"/>
        <v/>
      </c>
      <c r="DB32" s="6" t="str">
        <f t="shared" si="30"/>
        <v/>
      </c>
      <c r="DC32" s="273" t="str">
        <f t="shared" si="31"/>
        <v/>
      </c>
      <c r="DD32" s="274" t="str">
        <f t="shared" si="32"/>
        <v/>
      </c>
      <c r="DE32" s="6" t="str">
        <f t="shared" si="33"/>
        <v/>
      </c>
      <c r="DF32" s="273" t="str">
        <f t="shared" si="34"/>
        <v/>
      </c>
      <c r="DG32" s="274" t="str">
        <f t="shared" si="35"/>
        <v/>
      </c>
      <c r="DH32" s="6" t="str">
        <f t="shared" si="36"/>
        <v/>
      </c>
    </row>
    <row r="33" spans="1:112" x14ac:dyDescent="0.3">
      <c r="A33" s="6" t="str">
        <f>$A$1642</f>
        <v>MM|KY</v>
      </c>
      <c r="B33" s="75">
        <f>$C$1642</f>
        <v>6</v>
      </c>
      <c r="C33" s="73">
        <f>$B$1693</f>
        <v>1</v>
      </c>
      <c r="D33" s="73">
        <f>$C$1693</f>
        <v>1</v>
      </c>
      <c r="E33" s="73">
        <f>$D$1693</f>
        <v>1.0024999999999999</v>
      </c>
      <c r="F33" s="73">
        <f>$E$1693</f>
        <v>1.0374999999999999</v>
      </c>
      <c r="G33" s="224">
        <f>$F$1693</f>
        <v>0.91199626185266247</v>
      </c>
      <c r="H33" s="224">
        <f>$G$1693</f>
        <v>0.91483011184050556</v>
      </c>
      <c r="I33" s="73">
        <f t="shared" si="0"/>
        <v>0.99750623441396513</v>
      </c>
      <c r="J33" s="73">
        <f t="shared" si="1"/>
        <v>0.96385542168674709</v>
      </c>
      <c r="K33" s="73">
        <f>IF($L$1642,1,IF(AND(nr_ModAdjMaster="ON",INDEX(lr_modadj,30)="ON"),$F$1642/$G33,1))</f>
        <v>1.0087760646420616</v>
      </c>
      <c r="L33" s="73">
        <f>IF($L$1642,1,IF(AND(nr_ModAdjMaster="ON",INDEX(lr_modadj,30)="ON"),$F$1642/$H33,1))</f>
        <v>1.0056512002530102</v>
      </c>
      <c r="M33" s="72">
        <f>IF(INDEX(lr_basis,30)="proposed",N(INDEX(lr_lrproj,30))*(1+N(INDEX(lr_s,30))),N(INDEX(lr_lrproj,30)))</f>
        <v>0.57999999999999996</v>
      </c>
      <c r="N33" s="72">
        <f t="shared" si="2"/>
        <v>0.58363103989266396</v>
      </c>
      <c r="O33" s="72">
        <f t="shared" si="3"/>
        <v>0.56219536977999618</v>
      </c>
      <c r="P33" s="72">
        <f t="shared" si="4"/>
        <v>2.4999999999999467E-3</v>
      </c>
      <c r="Q33" s="72">
        <f t="shared" si="5"/>
        <v>3.4912718204488602E-2</v>
      </c>
      <c r="R33" s="73">
        <f>IF(N(INDEX(lr_aother,30))=0,1,INDEX(lr_aother,30))</f>
        <v>1</v>
      </c>
      <c r="S33" s="72">
        <f>IF(ISBLANK(INDEX(lr_trend,30)),N(nr_TrendDefault),N(INDEX(lr_trend,30)))</f>
        <v>0</v>
      </c>
      <c r="T33" s="6" t="str">
        <f>INDEX(lr_state,30)</f>
        <v>KY</v>
      </c>
      <c r="U33" s="6" t="str">
        <f>INDEX(lr_bu,30)</f>
        <v>MM</v>
      </c>
      <c r="V33" s="271">
        <f>N(INDEX(lr_ep,30))</f>
        <v>8800</v>
      </c>
      <c r="W33" s="73">
        <f>N(INDEX(lr_mind,30))*$V33</f>
        <v>8096</v>
      </c>
      <c r="X33" s="73">
        <f>N(INDEX(lr_m0,30))*$V33</f>
        <v>8008</v>
      </c>
      <c r="Y33" s="73">
        <f>N(INDEX(lr_m1,30))*$V33</f>
        <v>8052</v>
      </c>
      <c r="Z33" s="73">
        <f t="shared" si="6"/>
        <v>8800</v>
      </c>
      <c r="AA33" s="73">
        <f t="shared" si="7"/>
        <v>8822</v>
      </c>
      <c r="AB33" s="73">
        <f t="shared" si="8"/>
        <v>8778.0548628428933</v>
      </c>
      <c r="AC33" s="73">
        <f t="shared" si="9"/>
        <v>8025.5671043034299</v>
      </c>
      <c r="AD33" s="73">
        <f t="shared" si="10"/>
        <v>8877.2293688501413</v>
      </c>
      <c r="AE33" s="73">
        <f t="shared" si="11"/>
        <v>5104</v>
      </c>
      <c r="AF33" s="73">
        <f t="shared" si="12"/>
        <v>5135.9531510554425</v>
      </c>
      <c r="AG33" s="73">
        <f t="shared" si="13"/>
        <v>0</v>
      </c>
      <c r="AH33" s="73">
        <f t="shared" si="14"/>
        <v>8481.9277108433744</v>
      </c>
      <c r="AI33" s="73">
        <f t="shared" si="15"/>
        <v>8849.7305622264903</v>
      </c>
      <c r="AJ33" s="73">
        <f t="shared" si="16"/>
        <v>4947.3192540639666</v>
      </c>
      <c r="AK33" s="75">
        <f>IF($L$1642,1,0)</f>
        <v>0</v>
      </c>
      <c r="AL33" s="72">
        <f>IF($L$1642,$M$1642,0)</f>
        <v>0</v>
      </c>
      <c r="AM33" s="73">
        <f>$N$1669/$N$1657*IF($O$1642=1,$O$1669/$O$1657,1)-1</f>
        <v>4.4020188985305353E-3</v>
      </c>
      <c r="AN33" s="73">
        <f>$N$1670/$N$1658*IF($O$1642=1,$O$1670/$O$1658,1)-1</f>
        <v>4.4004533069708085E-3</v>
      </c>
      <c r="AO33" s="73">
        <f>$N$1671/$N$1659*IF($O$1642=1,$O$1671/$O$1659,1)-1</f>
        <v>4.3988888286301542E-3</v>
      </c>
      <c r="AP33" s="73">
        <f>$N$1672/$N$1660*IF($O$1642=1,$O$1672/$O$1660,1)-1</f>
        <v>4.3972724863263757E-3</v>
      </c>
      <c r="AQ33" s="73">
        <f>$N$1673/$N$1661*IF($O$1642=1,$O$1673/$O$1661,1)-1</f>
        <v>4.3956573314145597E-3</v>
      </c>
      <c r="AR33" s="73">
        <f>$N$1674/$N$1662*IF($O$1642=1,$O$1674/$O$1662,1)-1</f>
        <v>4.3940433625868636E-3</v>
      </c>
      <c r="AS33" s="73">
        <f>$N$1675/$N$1663*IF($O$1642=1,$O$1675/$O$1663,1)-1</f>
        <v>4.3924305785372209E-3</v>
      </c>
      <c r="AT33" s="73">
        <f>$N$1676/$N$1664*IF($O$1642=1,$O$1676/$O$1664,1)-1</f>
        <v>4.3907925681323512E-3</v>
      </c>
      <c r="AU33" s="73">
        <f>$N$1677/$N$1665*IF($O$1642=1,$O$1677/$O$1665,1)-1</f>
        <v>4.3891821690977828E-3</v>
      </c>
      <c r="AV33" s="73">
        <f>$N$1678/$N$1666*IF($O$1642=1,$O$1678/$O$1666,1)-1</f>
        <v>4.456307586894992E-2</v>
      </c>
      <c r="AW33" s="73">
        <f>$N$1679/$N$1667*IF($O$1642=1,$O$1679/$O$1667,1)-1</f>
        <v>4.4561403508771802E-2</v>
      </c>
      <c r="AX33" s="73">
        <f>$N$1680/$N$1668*IF($O$1642=1,$O$1680/$O$1668,1)-1</f>
        <v>4.4559732373979699E-2</v>
      </c>
      <c r="AY33" s="73">
        <f>$N$1669/$N$1657-1</f>
        <v>0</v>
      </c>
      <c r="AZ33" s="73">
        <f>$N$1670/$N$1658-1</f>
        <v>0</v>
      </c>
      <c r="BA33" s="73">
        <f>$N$1671/$N$1659-1</f>
        <v>0</v>
      </c>
      <c r="BB33" s="73">
        <f>$N$1672/$N$1660-1</f>
        <v>0</v>
      </c>
      <c r="BC33" s="73">
        <f>$N$1673/$N$1661-1</f>
        <v>0</v>
      </c>
      <c r="BD33" s="73">
        <f>$N$1674/$N$1662-1</f>
        <v>0</v>
      </c>
      <c r="BE33" s="73">
        <f>$N$1675/$N$1663-1</f>
        <v>0</v>
      </c>
      <c r="BF33" s="73">
        <f>$N$1676/$N$1664-1</f>
        <v>0</v>
      </c>
      <c r="BG33" s="73">
        <f>$N$1677/$N$1665-1</f>
        <v>0</v>
      </c>
      <c r="BH33" s="73">
        <f>$N$1678/$N$1666-1</f>
        <v>4.0000000000000036E-2</v>
      </c>
      <c r="BI33" s="73">
        <f>$N$1679/$N$1667-1</f>
        <v>4.0000000000000036E-2</v>
      </c>
      <c r="BJ33" s="73">
        <f>$N$1680/$N$1668-1</f>
        <v>4.0000000000000036E-2</v>
      </c>
      <c r="BK33" s="73">
        <f>$O$1669/$O$1657-1</f>
        <v>4.4020188985305353E-3</v>
      </c>
      <c r="BL33" s="73">
        <f>$O$1670/$O$1658-1</f>
        <v>4.4004533069708085E-3</v>
      </c>
      <c r="BM33" s="73">
        <f>$O$1671/$O$1659-1</f>
        <v>4.3988888286301542E-3</v>
      </c>
      <c r="BN33" s="73">
        <f>$O$1672/$O$1660-1</f>
        <v>4.3972724863263757E-3</v>
      </c>
      <c r="BO33" s="73">
        <f>$O$1673/$O$1661-1</f>
        <v>4.3956573314145597E-3</v>
      </c>
      <c r="BP33" s="73">
        <f>$O$1674/$O$1662-1</f>
        <v>4.3940433625868636E-3</v>
      </c>
      <c r="BQ33" s="73">
        <f>$O$1675/$O$1663-1</f>
        <v>4.3924305785372209E-3</v>
      </c>
      <c r="BR33" s="73">
        <f>$O$1676/$O$1664-1</f>
        <v>4.3907925681323512E-3</v>
      </c>
      <c r="BS33" s="73">
        <f>$O$1677/$O$1665-1</f>
        <v>4.3891821690977828E-3</v>
      </c>
      <c r="BT33" s="73">
        <f>$O$1678/$O$1666-1</f>
        <v>4.3875729509132988E-3</v>
      </c>
      <c r="BU33" s="73">
        <f>$O$1679/$O$1667-1</f>
        <v>4.3859649122806044E-3</v>
      </c>
      <c r="BV33" s="73">
        <f>$O$1680/$O$1668-1</f>
        <v>4.3843580519036252E-3</v>
      </c>
      <c r="BW33" s="73">
        <f>$V33*$H$1669</f>
        <v>8800</v>
      </c>
      <c r="BX33" s="73">
        <f>$V33*$H$1670</f>
        <v>8800</v>
      </c>
      <c r="BY33" s="73">
        <f>$V33*$H$1671</f>
        <v>8800</v>
      </c>
      <c r="BZ33" s="73">
        <f>$V33*$H$1672</f>
        <v>8800</v>
      </c>
      <c r="CA33" s="73">
        <f>$V33*$H$1673</f>
        <v>8800</v>
      </c>
      <c r="CB33" s="73">
        <f>$V33*$H$1674</f>
        <v>8800</v>
      </c>
      <c r="CC33" s="73">
        <f>$V33*$H$1675</f>
        <v>8800</v>
      </c>
      <c r="CD33" s="73">
        <f>$V33*$H$1676</f>
        <v>8800</v>
      </c>
      <c r="CE33" s="73">
        <f>$V33*$H$1677</f>
        <v>8800</v>
      </c>
      <c r="CF33" s="73">
        <f>$V33*$H$1678</f>
        <v>8800</v>
      </c>
      <c r="CG33" s="73">
        <f>$V33*$H$1679</f>
        <v>8800</v>
      </c>
      <c r="CH33" s="73">
        <f>$V33*$H$1680</f>
        <v>8800</v>
      </c>
      <c r="CI33" s="75">
        <f>$O$1642</f>
        <v>1</v>
      </c>
      <c r="CJ33" s="73">
        <f>$H$1693</f>
        <v>1.0099999999999998</v>
      </c>
      <c r="CK33" s="73">
        <f>$I$1693</f>
        <v>1.0043932196204437</v>
      </c>
      <c r="CL33" s="73">
        <f>$J$1693</f>
        <v>1.0144370792734942</v>
      </c>
      <c r="CM33" s="73">
        <f t="shared" si="17"/>
        <v>0</v>
      </c>
      <c r="CN33" s="73">
        <f t="shared" si="18"/>
        <v>8800</v>
      </c>
      <c r="CO33" s="72">
        <f>$M33*($C33/$K$1693)*IF($O$1642=1,$F$1642/$G33,1)*$R33</f>
        <v>0.58363103989266396</v>
      </c>
      <c r="CP33" s="72">
        <f>$M33*(1+$S33)*($C33/$L$1693)*IF($O$1642=1,$F$1642/$H33,1)*$R33</f>
        <v>0.56219536977999618</v>
      </c>
      <c r="CQ33" s="73">
        <f t="shared" si="19"/>
        <v>5135.9531510554425</v>
      </c>
      <c r="CR33" s="73">
        <f t="shared" si="20"/>
        <v>4947.3192540639666</v>
      </c>
      <c r="CS33" s="73">
        <f t="shared" si="21"/>
        <v>0</v>
      </c>
      <c r="CT33" s="272">
        <f t="shared" si="22"/>
        <v>0</v>
      </c>
      <c r="CU33" s="75">
        <f t="shared" si="23"/>
        <v>0</v>
      </c>
      <c r="CV33" s="75">
        <f t="shared" si="24"/>
        <v>1</v>
      </c>
      <c r="CW33" s="273">
        <f t="shared" si="25"/>
        <v>46661</v>
      </c>
      <c r="CX33" s="274">
        <f t="shared" si="26"/>
        <v>0.04</v>
      </c>
      <c r="CY33" s="6" t="str">
        <f t="shared" si="27"/>
        <v>P*</v>
      </c>
      <c r="CZ33" s="273" t="str">
        <f t="shared" si="28"/>
        <v/>
      </c>
      <c r="DA33" s="274" t="str">
        <f t="shared" si="29"/>
        <v/>
      </c>
      <c r="DB33" s="6" t="str">
        <f t="shared" si="30"/>
        <v/>
      </c>
      <c r="DC33" s="273" t="str">
        <f t="shared" si="31"/>
        <v/>
      </c>
      <c r="DD33" s="274" t="str">
        <f t="shared" si="32"/>
        <v/>
      </c>
      <c r="DE33" s="6" t="str">
        <f t="shared" si="33"/>
        <v/>
      </c>
      <c r="DF33" s="273" t="str">
        <f t="shared" si="34"/>
        <v/>
      </c>
      <c r="DG33" s="274" t="str">
        <f t="shared" si="35"/>
        <v/>
      </c>
      <c r="DH33" s="6" t="str">
        <f t="shared" si="36"/>
        <v/>
      </c>
    </row>
    <row r="34" spans="1:112" x14ac:dyDescent="0.3">
      <c r="A34" s="6" t="str">
        <f>$A$1696</f>
        <v>MM|MD</v>
      </c>
      <c r="B34" s="75">
        <f>$C$1696</f>
        <v>6</v>
      </c>
      <c r="C34" s="73">
        <f>$B$1747</f>
        <v>1.02</v>
      </c>
      <c r="D34" s="73">
        <f>$C$1747</f>
        <v>1.0050000000000003</v>
      </c>
      <c r="E34" s="73">
        <f>$D$1747</f>
        <v>1.0200000000000002</v>
      </c>
      <c r="F34" s="73">
        <f>$E$1747</f>
        <v>1.0200000000000002</v>
      </c>
      <c r="G34" s="224">
        <f>$F$1747</f>
        <v>0.91798504741064912</v>
      </c>
      <c r="H34" s="224">
        <f>$G$1747</f>
        <v>0.92932044736202268</v>
      </c>
      <c r="I34" s="73">
        <f t="shared" si="0"/>
        <v>0.99999999999999978</v>
      </c>
      <c r="J34" s="73">
        <f t="shared" si="1"/>
        <v>0.99999999999999978</v>
      </c>
      <c r="K34" s="73">
        <f>IF($L$1696,1,IF(AND(nr_ModAdjMaster="ON",INDEX(lr_modadj,31)="ON"),$F$1696/$G34,1))</f>
        <v>1.0021949732133812</v>
      </c>
      <c r="L34" s="73">
        <f>IF($L$1696,1,IF(AND(nr_ModAdjMaster="ON",INDEX(lr_modadj,31)="ON"),$F$1696/$H34,1))</f>
        <v>0.98997068515119868</v>
      </c>
      <c r="M34" s="72">
        <f>IF(INDEX(lr_basis,31)="proposed",N(INDEX(lr_lrproj,31))*(1+N(INDEX(lr_s,31))),N(INDEX(lr_lrproj,31)))</f>
        <v>0.56399999999999995</v>
      </c>
      <c r="N34" s="72">
        <f t="shared" si="2"/>
        <v>0.5652379648923469</v>
      </c>
      <c r="O34" s="72">
        <f t="shared" si="3"/>
        <v>0.55834346642527588</v>
      </c>
      <c r="P34" s="72">
        <f t="shared" si="4"/>
        <v>0</v>
      </c>
      <c r="Q34" s="72">
        <f t="shared" si="5"/>
        <v>0</v>
      </c>
      <c r="R34" s="73">
        <f>IF(N(INDEX(lr_aother,31))=0,1,INDEX(lr_aother,31))</f>
        <v>1</v>
      </c>
      <c r="S34" s="72">
        <f>IF(ISBLANK(INDEX(lr_trend,31)),N(nr_TrendDefault),N(INDEX(lr_trend,31)))</f>
        <v>0</v>
      </c>
      <c r="T34" s="6" t="str">
        <f>INDEX(lr_state,31)</f>
        <v>MD</v>
      </c>
      <c r="U34" s="6" t="str">
        <f>INDEX(lr_bu,31)</f>
        <v>MM</v>
      </c>
      <c r="V34" s="271">
        <f>N(INDEX(lr_ep,31))</f>
        <v>19200</v>
      </c>
      <c r="W34" s="73">
        <f>N(INDEX(lr_mind,31))*$V34</f>
        <v>17664</v>
      </c>
      <c r="X34" s="73">
        <f>N(INDEX(lr_m0,31))*$V34</f>
        <v>17472</v>
      </c>
      <c r="Y34" s="73">
        <f>N(INDEX(lr_m1,31))*$V34</f>
        <v>17856</v>
      </c>
      <c r="Z34" s="73">
        <f t="shared" si="6"/>
        <v>19584</v>
      </c>
      <c r="AA34" s="73">
        <f t="shared" si="7"/>
        <v>19584.000000000004</v>
      </c>
      <c r="AB34" s="73">
        <f t="shared" si="8"/>
        <v>19199.999999999996</v>
      </c>
      <c r="AC34" s="73">
        <f t="shared" si="9"/>
        <v>17625.312910284461</v>
      </c>
      <c r="AD34" s="73">
        <f t="shared" si="10"/>
        <v>19242.143485696921</v>
      </c>
      <c r="AE34" s="73">
        <f t="shared" si="11"/>
        <v>10828.8</v>
      </c>
      <c r="AF34" s="73">
        <f t="shared" si="12"/>
        <v>10852.568925933061</v>
      </c>
      <c r="AG34" s="73">
        <f t="shared" si="13"/>
        <v>0</v>
      </c>
      <c r="AH34" s="73">
        <f t="shared" si="14"/>
        <v>19199.999999999996</v>
      </c>
      <c r="AI34" s="73">
        <f t="shared" si="15"/>
        <v>19007.437154903015</v>
      </c>
      <c r="AJ34" s="73">
        <f t="shared" si="16"/>
        <v>10720.194555365297</v>
      </c>
      <c r="AK34" s="75">
        <f>IF($L$1696,1,0)</f>
        <v>0</v>
      </c>
      <c r="AL34" s="72">
        <f>IF($L$1696,$M$1696,0)</f>
        <v>0</v>
      </c>
      <c r="AM34" s="73">
        <f>$N$1723/$N$1711*IF($O$1696=1,$O$1723/$O$1711,1)-1</f>
        <v>3.8129139072847762E-2</v>
      </c>
      <c r="AN34" s="73">
        <f>$N$1724/$N$1712*IF($O$1696=1,$O$1724/$O$1712,1)-1</f>
        <v>3.8103133889280771E-2</v>
      </c>
      <c r="AO34" s="73">
        <f>$N$1725/$N$1713*IF($O$1696=1,$O$1725/$O$1713,1)-1</f>
        <v>3.8077203204661458E-2</v>
      </c>
      <c r="AP34" s="73">
        <f>$N$1726/$N$1714*IF($O$1696=1,$O$1726/$O$1714,1)-1</f>
        <v>3.8050471503721317E-2</v>
      </c>
      <c r="AQ34" s="73">
        <f>$N$1727/$N$1715*IF($O$1696=1,$O$1727/$O$1715,1)-1</f>
        <v>3.80238187451587E-2</v>
      </c>
      <c r="AR34" s="73">
        <f>$N$1728/$N$1716*IF($O$1696=1,$O$1728/$O$1716,1)-1</f>
        <v>3.7997244579798473E-2</v>
      </c>
      <c r="AS34" s="73">
        <f>$N$1729/$N$1717*IF($O$1696=1,$O$1729/$O$1717,1)-1</f>
        <v>1.7618381039725906E-2</v>
      </c>
      <c r="AT34" s="73">
        <f>$N$1730/$N$1718*IF($O$1696=1,$O$1730/$O$1718,1)-1</f>
        <v>1.7592057065741296E-2</v>
      </c>
      <c r="AU34" s="73">
        <f>$N$1731/$N$1719*IF($O$1696=1,$O$1731/$O$1719,1)-1</f>
        <v>1.7566234328753261E-2</v>
      </c>
      <c r="AV34" s="73">
        <f>$N$1732/$N$1720*IF($O$1696=1,$O$1732/$O$1720,1)-1</f>
        <v>1.7540487289153583E-2</v>
      </c>
      <c r="AW34" s="73">
        <f>$N$1733/$N$1721*IF($O$1696=1,$O$1733/$O$1721,1)-1</f>
        <v>1.7514815614577905E-2</v>
      </c>
      <c r="AX34" s="73">
        <f>$N$1734/$N$1722*IF($O$1696=1,$O$1734/$O$1722,1)-1</f>
        <v>1.7489218974604537E-2</v>
      </c>
      <c r="AY34" s="73">
        <f>$N$1723/$N$1711-1</f>
        <v>2.0000000000000018E-2</v>
      </c>
      <c r="AZ34" s="73">
        <f>$N$1724/$N$1712-1</f>
        <v>2.0000000000000018E-2</v>
      </c>
      <c r="BA34" s="73">
        <f>$N$1725/$N$1713-1</f>
        <v>2.0000000000000018E-2</v>
      </c>
      <c r="BB34" s="73">
        <f>$N$1726/$N$1714-1</f>
        <v>2.0000000000000018E-2</v>
      </c>
      <c r="BC34" s="73">
        <f>$N$1727/$N$1715-1</f>
        <v>2.0000000000000018E-2</v>
      </c>
      <c r="BD34" s="73">
        <f>$N$1728/$N$1716-1</f>
        <v>2.0000000000000018E-2</v>
      </c>
      <c r="BE34" s="73">
        <f>$N$1729/$N$1717-1</f>
        <v>0</v>
      </c>
      <c r="BF34" s="73">
        <f>$N$1730/$N$1718-1</f>
        <v>0</v>
      </c>
      <c r="BG34" s="73">
        <f>$N$1731/$N$1719-1</f>
        <v>0</v>
      </c>
      <c r="BH34" s="73">
        <f>$N$1732/$N$1720-1</f>
        <v>0</v>
      </c>
      <c r="BI34" s="73">
        <f>$N$1733/$N$1721-1</f>
        <v>0</v>
      </c>
      <c r="BJ34" s="73">
        <f>$N$1734/$N$1722-1</f>
        <v>0</v>
      </c>
      <c r="BK34" s="73">
        <f>$O$1723/$O$1711-1</f>
        <v>1.7773665757693902E-2</v>
      </c>
      <c r="BL34" s="73">
        <f>$O$1724/$O$1712-1</f>
        <v>1.7748170479686909E-2</v>
      </c>
      <c r="BM34" s="73">
        <f>$O$1725/$O$1713-1</f>
        <v>1.7722748239864083E-2</v>
      </c>
      <c r="BN34" s="73">
        <f>$O$1726/$O$1714-1</f>
        <v>1.7696540689922768E-2</v>
      </c>
      <c r="BO34" s="73">
        <f>$O$1727/$O$1715-1</f>
        <v>1.7670410534469383E-2</v>
      </c>
      <c r="BP34" s="73">
        <f>$O$1728/$O$1716-1</f>
        <v>1.7644357431174873E-2</v>
      </c>
      <c r="BQ34" s="73">
        <f>$O$1729/$O$1717-1</f>
        <v>1.7618381039725906E-2</v>
      </c>
      <c r="BR34" s="73">
        <f>$O$1730/$O$1718-1</f>
        <v>1.7592057065741296E-2</v>
      </c>
      <c r="BS34" s="73">
        <f>$O$1731/$O$1719-1</f>
        <v>1.7566234328753261E-2</v>
      </c>
      <c r="BT34" s="73">
        <f>$O$1732/$O$1720-1</f>
        <v>1.7540487289153583E-2</v>
      </c>
      <c r="BU34" s="73">
        <f>$O$1733/$O$1721-1</f>
        <v>1.7514815614577905E-2</v>
      </c>
      <c r="BV34" s="73">
        <f>$O$1734/$O$1722-1</f>
        <v>1.7489218974604537E-2</v>
      </c>
      <c r="BW34" s="73">
        <f>$V34*$H$1723</f>
        <v>19200</v>
      </c>
      <c r="BX34" s="73">
        <f>$V34*$H$1724</f>
        <v>19200</v>
      </c>
      <c r="BY34" s="73">
        <f>$V34*$H$1725</f>
        <v>19200</v>
      </c>
      <c r="BZ34" s="73">
        <f>$V34*$H$1726</f>
        <v>19200</v>
      </c>
      <c r="CA34" s="73">
        <f>$V34*$H$1727</f>
        <v>19200</v>
      </c>
      <c r="CB34" s="73">
        <f>$V34*$H$1728</f>
        <v>19200</v>
      </c>
      <c r="CC34" s="73">
        <f>$V34*$H$1729</f>
        <v>19200</v>
      </c>
      <c r="CD34" s="73">
        <f>$V34*$H$1730</f>
        <v>19200</v>
      </c>
      <c r="CE34" s="73">
        <f>$V34*$H$1731</f>
        <v>19200</v>
      </c>
      <c r="CF34" s="73">
        <f>$V34*$H$1732</f>
        <v>19200</v>
      </c>
      <c r="CG34" s="73">
        <f>$V34*$H$1733</f>
        <v>19200</v>
      </c>
      <c r="CH34" s="73">
        <f>$V34*$H$1734</f>
        <v>19200</v>
      </c>
      <c r="CI34" s="75">
        <f>$O$1696</f>
        <v>1</v>
      </c>
      <c r="CJ34" s="73">
        <f>$H$1747</f>
        <v>1.01</v>
      </c>
      <c r="CK34" s="73">
        <f>$I$1747</f>
        <v>1.0176314239537807</v>
      </c>
      <c r="CL34" s="73">
        <f>$J$1747</f>
        <v>1.0278085171090023</v>
      </c>
      <c r="CM34" s="73">
        <f t="shared" si="17"/>
        <v>0</v>
      </c>
      <c r="CN34" s="73">
        <f t="shared" si="18"/>
        <v>19200</v>
      </c>
      <c r="CO34" s="72">
        <f>$M34*($C34/$K$1747)*IF($O$1696=1,$F$1696/$G34,1)*$R34</f>
        <v>0.5652379648923469</v>
      </c>
      <c r="CP34" s="72">
        <f>$M34*(1+$S34)*($C34/$L$1747)*IF($O$1696=1,$F$1696/$H34,1)*$R34</f>
        <v>0.55834346642527588</v>
      </c>
      <c r="CQ34" s="73">
        <f t="shared" si="19"/>
        <v>10852.568925933061</v>
      </c>
      <c r="CR34" s="73">
        <f t="shared" si="20"/>
        <v>10720.194555365297</v>
      </c>
      <c r="CS34" s="73">
        <f t="shared" si="21"/>
        <v>0</v>
      </c>
      <c r="CT34" s="272">
        <f t="shared" si="22"/>
        <v>0</v>
      </c>
      <c r="CU34" s="75">
        <f t="shared" si="23"/>
        <v>1</v>
      </c>
      <c r="CV34" s="75">
        <f t="shared" si="24"/>
        <v>0</v>
      </c>
      <c r="CW34" s="273">
        <f t="shared" si="25"/>
        <v>46204</v>
      </c>
      <c r="CX34" s="274">
        <f t="shared" si="26"/>
        <v>0.02</v>
      </c>
      <c r="CY34" s="6" t="str">
        <f t="shared" si="27"/>
        <v>T</v>
      </c>
      <c r="CZ34" s="273" t="str">
        <f t="shared" si="28"/>
        <v/>
      </c>
      <c r="DA34" s="274" t="str">
        <f t="shared" si="29"/>
        <v/>
      </c>
      <c r="DB34" s="6" t="str">
        <f t="shared" si="30"/>
        <v/>
      </c>
      <c r="DC34" s="273" t="str">
        <f t="shared" si="31"/>
        <v/>
      </c>
      <c r="DD34" s="274" t="str">
        <f t="shared" si="32"/>
        <v/>
      </c>
      <c r="DE34" s="6" t="str">
        <f t="shared" si="33"/>
        <v/>
      </c>
      <c r="DF34" s="273" t="str">
        <f t="shared" si="34"/>
        <v/>
      </c>
      <c r="DG34" s="274" t="str">
        <f t="shared" si="35"/>
        <v/>
      </c>
      <c r="DH34" s="6" t="str">
        <f t="shared" si="36"/>
        <v/>
      </c>
    </row>
    <row r="35" spans="1:112" x14ac:dyDescent="0.3">
      <c r="A35" s="6" t="str">
        <f>$A$1750</f>
        <v>MM|MI</v>
      </c>
      <c r="B35" s="75">
        <f>$C$1750</f>
        <v>6</v>
      </c>
      <c r="C35" s="73">
        <f>$B$1801</f>
        <v>1.03</v>
      </c>
      <c r="D35" s="73">
        <f>$C$1801</f>
        <v>1.0052083333333333</v>
      </c>
      <c r="E35" s="73">
        <f>$D$1801</f>
        <v>1.0297916666666669</v>
      </c>
      <c r="F35" s="73">
        <f>$E$1801</f>
        <v>1.03</v>
      </c>
      <c r="G35" s="224">
        <f>$F$1801</f>
        <v>0.90999999999999981</v>
      </c>
      <c r="H35" s="224">
        <f>$G$1801</f>
        <v>0.90999999999999981</v>
      </c>
      <c r="I35" s="73">
        <f t="shared" si="0"/>
        <v>1.0002023062917256</v>
      </c>
      <c r="J35" s="73">
        <f t="shared" si="1"/>
        <v>1</v>
      </c>
      <c r="K35" s="73">
        <f>IF($L$1750,1,IF(AND(nr_ModAdjMaster="ON",INDEX(lr_modadj,32)="ON"),$F$1750/$G35,1))</f>
        <v>1.0109890109890112</v>
      </c>
      <c r="L35" s="73">
        <f>IF($L$1750,1,IF(AND(nr_ModAdjMaster="ON",INDEX(lr_modadj,32)="ON"),$F$1750/$H35,1))</f>
        <v>1.0109890109890112</v>
      </c>
      <c r="M35" s="72">
        <f>IF(INDEX(lr_basis,32)="proposed",N(INDEX(lr_lrproj,32))*(1+N(INDEX(lr_s,32))),N(INDEX(lr_lrproj,32)))</f>
        <v>0.59199999999999997</v>
      </c>
      <c r="N35" s="72">
        <f t="shared" si="2"/>
        <v>0.59862657593266544</v>
      </c>
      <c r="O35" s="72">
        <f t="shared" si="3"/>
        <v>0.59850549450549462</v>
      </c>
      <c r="P35" s="72">
        <f t="shared" si="4"/>
        <v>-2.022653721680534E-4</v>
      </c>
      <c r="Q35" s="72">
        <f t="shared" si="5"/>
        <v>2.0230629172557357E-4</v>
      </c>
      <c r="R35" s="73">
        <f>IF(N(INDEX(lr_aother,32))=0,1,INDEX(lr_aother,32))</f>
        <v>1</v>
      </c>
      <c r="S35" s="72">
        <f>IF(ISBLANK(INDEX(lr_trend,32)),N(nr_TrendDefault),N(INDEX(lr_trend,32)))</f>
        <v>0</v>
      </c>
      <c r="T35" s="6" t="str">
        <f>INDEX(lr_state,32)</f>
        <v>MI</v>
      </c>
      <c r="U35" s="6" t="str">
        <f>INDEX(lr_bu,32)</f>
        <v>MM</v>
      </c>
      <c r="V35" s="271">
        <f>N(INDEX(lr_ep,32))</f>
        <v>16000</v>
      </c>
      <c r="W35" s="73">
        <f>N(INDEX(lr_mind,32))*$V35</f>
        <v>14720</v>
      </c>
      <c r="X35" s="73">
        <f>N(INDEX(lr_m0,32))*$V35</f>
        <v>14560</v>
      </c>
      <c r="Y35" s="73">
        <f>N(INDEX(lr_m1,32))*$V35</f>
        <v>14560</v>
      </c>
      <c r="Z35" s="73">
        <f t="shared" si="6"/>
        <v>16480</v>
      </c>
      <c r="AA35" s="73">
        <f t="shared" si="7"/>
        <v>16476.666666666672</v>
      </c>
      <c r="AB35" s="73">
        <f t="shared" si="8"/>
        <v>16003.236900667609</v>
      </c>
      <c r="AC35" s="73">
        <f t="shared" si="9"/>
        <v>14559.999999999996</v>
      </c>
      <c r="AD35" s="73">
        <f t="shared" si="10"/>
        <v>16175.824175824178</v>
      </c>
      <c r="AE35" s="73">
        <f t="shared" si="11"/>
        <v>9472</v>
      </c>
      <c r="AF35" s="73">
        <f t="shared" si="12"/>
        <v>9578.0252149226471</v>
      </c>
      <c r="AG35" s="73">
        <f t="shared" si="13"/>
        <v>0</v>
      </c>
      <c r="AH35" s="73">
        <f t="shared" si="14"/>
        <v>16000</v>
      </c>
      <c r="AI35" s="73">
        <f t="shared" si="15"/>
        <v>16175.824175824178</v>
      </c>
      <c r="AJ35" s="73">
        <f t="shared" si="16"/>
        <v>9576.0879120879144</v>
      </c>
      <c r="AK35" s="75">
        <f>IF($L$1750,1,0)</f>
        <v>0</v>
      </c>
      <c r="AL35" s="72">
        <f>IF($L$1750,$M$1750,0)</f>
        <v>0</v>
      </c>
      <c r="AM35" s="73">
        <f>$N$1777/$N$1765*IF($O$1750=1,$O$1777/$O$1765,1)-1</f>
        <v>3.0000000000000027E-2</v>
      </c>
      <c r="AN35" s="73">
        <f>$N$1778/$N$1766*IF($O$1750=1,$O$1778/$O$1766,1)-1</f>
        <v>3.0000000000000027E-2</v>
      </c>
      <c r="AO35" s="73">
        <f>$N$1779/$N$1767*IF($O$1750=1,$O$1779/$O$1767,1)-1</f>
        <v>3.0000000000000027E-2</v>
      </c>
      <c r="AP35" s="73">
        <f>$N$1780/$N$1768*IF($O$1750=1,$O$1780/$O$1768,1)-1</f>
        <v>3.0000000000000027E-2</v>
      </c>
      <c r="AQ35" s="73">
        <f>$N$1781/$N$1769*IF($O$1750=1,$O$1781/$O$1769,1)-1</f>
        <v>3.0000000000000027E-2</v>
      </c>
      <c r="AR35" s="73">
        <f>$N$1782/$N$1770*IF($O$1750=1,$O$1782/$O$1770,1)-1</f>
        <v>3.0000000000000027E-2</v>
      </c>
      <c r="AS35" s="73">
        <f>$N$1783/$N$1771*IF($O$1750=1,$O$1783/$O$1771,1)-1</f>
        <v>3.0000000000000027E-2</v>
      </c>
      <c r="AT35" s="73">
        <f>$N$1784/$N$1772*IF($O$1750=1,$O$1784/$O$1772,1)-1</f>
        <v>0</v>
      </c>
      <c r="AU35" s="73">
        <f>$N$1785/$N$1773*IF($O$1750=1,$O$1785/$O$1773,1)-1</f>
        <v>0</v>
      </c>
      <c r="AV35" s="73">
        <f>$N$1786/$N$1774*IF($O$1750=1,$O$1786/$O$1774,1)-1</f>
        <v>0</v>
      </c>
      <c r="AW35" s="73">
        <f>$N$1787/$N$1775*IF($O$1750=1,$O$1787/$O$1775,1)-1</f>
        <v>0</v>
      </c>
      <c r="AX35" s="73">
        <f>$N$1788/$N$1776*IF($O$1750=1,$O$1788/$O$1776,1)-1</f>
        <v>0</v>
      </c>
      <c r="AY35" s="73">
        <f>$N$1777/$N$1765-1</f>
        <v>3.0000000000000027E-2</v>
      </c>
      <c r="AZ35" s="73">
        <f>$N$1778/$N$1766-1</f>
        <v>3.0000000000000027E-2</v>
      </c>
      <c r="BA35" s="73">
        <f>$N$1779/$N$1767-1</f>
        <v>3.0000000000000027E-2</v>
      </c>
      <c r="BB35" s="73">
        <f>$N$1780/$N$1768-1</f>
        <v>3.0000000000000027E-2</v>
      </c>
      <c r="BC35" s="73">
        <f>$N$1781/$N$1769-1</f>
        <v>3.0000000000000027E-2</v>
      </c>
      <c r="BD35" s="73">
        <f>$N$1782/$N$1770-1</f>
        <v>3.0000000000000027E-2</v>
      </c>
      <c r="BE35" s="73">
        <f>$N$1783/$N$1771-1</f>
        <v>3.0000000000000027E-2</v>
      </c>
      <c r="BF35" s="73">
        <f>$N$1784/$N$1772-1</f>
        <v>0</v>
      </c>
      <c r="BG35" s="73">
        <f>$N$1785/$N$1773-1</f>
        <v>0</v>
      </c>
      <c r="BH35" s="73">
        <f>$N$1786/$N$1774-1</f>
        <v>0</v>
      </c>
      <c r="BI35" s="73">
        <f>$N$1787/$N$1775-1</f>
        <v>0</v>
      </c>
      <c r="BJ35" s="73">
        <f>$N$1788/$N$1776-1</f>
        <v>0</v>
      </c>
      <c r="BK35" s="73">
        <f>$O$1777/$O$1765-1</f>
        <v>0</v>
      </c>
      <c r="BL35" s="73">
        <f>$O$1778/$O$1766-1</f>
        <v>0</v>
      </c>
      <c r="BM35" s="73">
        <f>$O$1779/$O$1767-1</f>
        <v>0</v>
      </c>
      <c r="BN35" s="73">
        <f>$O$1780/$O$1768-1</f>
        <v>0</v>
      </c>
      <c r="BO35" s="73">
        <f>$O$1781/$O$1769-1</f>
        <v>0</v>
      </c>
      <c r="BP35" s="73">
        <f>$O$1782/$O$1770-1</f>
        <v>0</v>
      </c>
      <c r="BQ35" s="73">
        <f>$O$1783/$O$1771-1</f>
        <v>0</v>
      </c>
      <c r="BR35" s="73">
        <f>$O$1784/$O$1772-1</f>
        <v>0</v>
      </c>
      <c r="BS35" s="73">
        <f>$O$1785/$O$1773-1</f>
        <v>0</v>
      </c>
      <c r="BT35" s="73">
        <f>$O$1786/$O$1774-1</f>
        <v>0</v>
      </c>
      <c r="BU35" s="73">
        <f>$O$1787/$O$1775-1</f>
        <v>0</v>
      </c>
      <c r="BV35" s="73">
        <f>$O$1788/$O$1776-1</f>
        <v>0</v>
      </c>
      <c r="BW35" s="73">
        <f>$V35*$H$1777</f>
        <v>16000</v>
      </c>
      <c r="BX35" s="73">
        <f>$V35*$H$1778</f>
        <v>16000</v>
      </c>
      <c r="BY35" s="73">
        <f>$V35*$H$1779</f>
        <v>16000</v>
      </c>
      <c r="BZ35" s="73">
        <f>$V35*$H$1780</f>
        <v>16000</v>
      </c>
      <c r="CA35" s="73">
        <f>$V35*$H$1781</f>
        <v>16000</v>
      </c>
      <c r="CB35" s="73">
        <f>$V35*$H$1782</f>
        <v>16000</v>
      </c>
      <c r="CC35" s="73">
        <f>$V35*$H$1783</f>
        <v>16000</v>
      </c>
      <c r="CD35" s="73">
        <f>$V35*$H$1784</f>
        <v>16000</v>
      </c>
      <c r="CE35" s="73">
        <f>$V35*$H$1785</f>
        <v>16000</v>
      </c>
      <c r="CF35" s="73">
        <f>$V35*$H$1786</f>
        <v>16000</v>
      </c>
      <c r="CG35" s="73">
        <f>$V35*$H$1787</f>
        <v>16000</v>
      </c>
      <c r="CH35" s="73">
        <f>$V35*$H$1788</f>
        <v>16000</v>
      </c>
      <c r="CI35" s="75">
        <f>$O$1750</f>
        <v>1</v>
      </c>
      <c r="CJ35" s="73">
        <f>$H$1801</f>
        <v>1.0175000000000001</v>
      </c>
      <c r="CK35" s="73">
        <f>$I$1801</f>
        <v>1</v>
      </c>
      <c r="CL35" s="73">
        <f>$J$1801</f>
        <v>1.0175000000000001</v>
      </c>
      <c r="CM35" s="73">
        <f t="shared" si="17"/>
        <v>0</v>
      </c>
      <c r="CN35" s="73">
        <f t="shared" si="18"/>
        <v>16000</v>
      </c>
      <c r="CO35" s="72">
        <f>$M35*($C35/$K$1801)*IF($O$1750=1,$F$1750/$G35,1)*$R35</f>
        <v>0.59862657593266544</v>
      </c>
      <c r="CP35" s="72">
        <f>$M35*(1+$S35)*($C35/$L$1801)*IF($O$1750=1,$F$1750/$H35,1)*$R35</f>
        <v>0.59850549450549462</v>
      </c>
      <c r="CQ35" s="73">
        <f t="shared" si="19"/>
        <v>9578.0252149226471</v>
      </c>
      <c r="CR35" s="73">
        <f t="shared" si="20"/>
        <v>9576.0879120879144</v>
      </c>
      <c r="CS35" s="73">
        <f t="shared" si="21"/>
        <v>0</v>
      </c>
      <c r="CT35" s="272">
        <f t="shared" si="22"/>
        <v>0</v>
      </c>
      <c r="CU35" s="75">
        <f t="shared" si="23"/>
        <v>1</v>
      </c>
      <c r="CV35" s="75">
        <f t="shared" si="24"/>
        <v>0</v>
      </c>
      <c r="CW35" s="273">
        <f t="shared" si="25"/>
        <v>46235</v>
      </c>
      <c r="CX35" s="274">
        <f t="shared" si="26"/>
        <v>0.03</v>
      </c>
      <c r="CY35" s="6" t="str">
        <f t="shared" si="27"/>
        <v>T</v>
      </c>
      <c r="CZ35" s="273" t="str">
        <f t="shared" si="28"/>
        <v/>
      </c>
      <c r="DA35" s="274" t="str">
        <f t="shared" si="29"/>
        <v/>
      </c>
      <c r="DB35" s="6" t="str">
        <f t="shared" si="30"/>
        <v/>
      </c>
      <c r="DC35" s="273" t="str">
        <f t="shared" si="31"/>
        <v/>
      </c>
      <c r="DD35" s="274" t="str">
        <f t="shared" si="32"/>
        <v/>
      </c>
      <c r="DE35" s="6" t="str">
        <f t="shared" si="33"/>
        <v/>
      </c>
      <c r="DF35" s="273" t="str">
        <f t="shared" si="34"/>
        <v/>
      </c>
      <c r="DG35" s="274" t="str">
        <f t="shared" si="35"/>
        <v/>
      </c>
      <c r="DH35" s="6" t="str">
        <f t="shared" si="36"/>
        <v/>
      </c>
    </row>
    <row r="36" spans="1:112" x14ac:dyDescent="0.3">
      <c r="A36" s="6" t="str">
        <f>$A$1804</f>
        <v>MM|MN</v>
      </c>
      <c r="B36" s="75">
        <f>$C$1804</f>
        <v>6</v>
      </c>
      <c r="C36" s="73">
        <f>$B$1855</f>
        <v>1</v>
      </c>
      <c r="D36" s="73">
        <f>$C$1855</f>
        <v>1</v>
      </c>
      <c r="E36" s="73">
        <f>$D$1855</f>
        <v>1</v>
      </c>
      <c r="F36" s="73">
        <f>$E$1855</f>
        <v>1</v>
      </c>
      <c r="G36" s="224">
        <f>$F$1855</f>
        <v>0.91598878555798668</v>
      </c>
      <c r="H36" s="224">
        <f>$G$1855</f>
        <v>0.92449033552151683</v>
      </c>
      <c r="I36" s="73">
        <f t="shared" ref="I36:I72" si="37">$C36/$E36</f>
        <v>1</v>
      </c>
      <c r="J36" s="73">
        <f t="shared" ref="J36:J72" si="38">$C36/$F36</f>
        <v>1</v>
      </c>
      <c r="K36" s="73">
        <f>IF($L$1804,1,IF(AND(nr_ModAdjMaster="ON",INDEX(lr_modadj,33)="ON"),$F$1804/$G36,1))</f>
        <v>1.0043791086804299</v>
      </c>
      <c r="L36" s="73">
        <f>IF($L$1804,1,IF(AND(nr_ModAdjMaster="ON",INDEX(lr_modadj,33)="ON"),$F$1804/$H36,1))</f>
        <v>0.99514290701699581</v>
      </c>
      <c r="M36" s="72">
        <f>IF(INDEX(lr_basis,33)="proposed",N(INDEX(lr_lrproj,33))*(1+N(INDEX(lr_s,33))),N(INDEX(lr_lrproj,33)))</f>
        <v>0.57599999999999996</v>
      </c>
      <c r="N36" s="72">
        <f t="shared" ref="N36:N72" si="39">$M36*$I36*$K36*$R36</f>
        <v>0.57852236659992762</v>
      </c>
      <c r="O36" s="72">
        <f t="shared" ref="O36:O72" si="40">$M36*(1+$S36)*$J36*$L36*$R36</f>
        <v>0.5732023144417896</v>
      </c>
      <c r="P36" s="72">
        <f t="shared" ref="P36:P72" si="41">$E36/$C36-1</f>
        <v>0</v>
      </c>
      <c r="Q36" s="72">
        <f t="shared" ref="Q36:Q72" si="42">$F36/$E36-1</f>
        <v>0</v>
      </c>
      <c r="R36" s="73">
        <f>IF(N(INDEX(lr_aother,33))=0,1,INDEX(lr_aother,33))</f>
        <v>1</v>
      </c>
      <c r="S36" s="72">
        <f>IF(ISBLANK(INDEX(lr_trend,33)),N(nr_TrendDefault),N(INDEX(lr_trend,33)))</f>
        <v>0</v>
      </c>
      <c r="T36" s="6" t="str">
        <f>INDEX(lr_state,33)</f>
        <v>MN</v>
      </c>
      <c r="U36" s="6" t="str">
        <f>INDEX(lr_bu,33)</f>
        <v>MM</v>
      </c>
      <c r="V36" s="271">
        <f>N(INDEX(lr_ep,33))</f>
        <v>12800</v>
      </c>
      <c r="W36" s="73">
        <f>N(INDEX(lr_mind,33))*$V36</f>
        <v>11776</v>
      </c>
      <c r="X36" s="73">
        <f>N(INDEX(lr_m0,33))*$V36</f>
        <v>11648</v>
      </c>
      <c r="Y36" s="73">
        <f>N(INDEX(lr_m1,33))*$V36</f>
        <v>11840</v>
      </c>
      <c r="Z36" s="73">
        <f t="shared" ref="Z36:Z72" si="43">$C36*$V36</f>
        <v>12800</v>
      </c>
      <c r="AA36" s="73">
        <f t="shared" ref="AA36:AA72" si="44">$E36*$V36</f>
        <v>12800</v>
      </c>
      <c r="AB36" s="73">
        <f t="shared" ref="AB36:AB72" si="45">$I36*$V36</f>
        <v>12800</v>
      </c>
      <c r="AC36" s="73">
        <f t="shared" ref="AC36:AC72" si="46">$G36*$V36</f>
        <v>11724.656455142229</v>
      </c>
      <c r="AD36" s="73">
        <f t="shared" ref="AD36:AD72" si="47">$K36*$V36</f>
        <v>12856.052591109503</v>
      </c>
      <c r="AE36" s="73">
        <f t="shared" ref="AE36:AE72" si="48">$M36*$V36</f>
        <v>7372.7999999999993</v>
      </c>
      <c r="AF36" s="73">
        <f t="shared" ref="AF36:AF72" si="49">$N36*$V36</f>
        <v>7405.0862924790736</v>
      </c>
      <c r="AG36" s="73">
        <f t="shared" ref="AG36:AG72" si="50">$S36*$V36</f>
        <v>0</v>
      </c>
      <c r="AH36" s="73">
        <f t="shared" ref="AH36:AH72" si="51">$J36*$V36</f>
        <v>12800</v>
      </c>
      <c r="AI36" s="73">
        <f t="shared" ref="AI36:AI72" si="52">$L36*$V36</f>
        <v>12737.829209817546</v>
      </c>
      <c r="AJ36" s="73">
        <f t="shared" ref="AJ36:AJ72" si="53">$O36*$V36</f>
        <v>7336.9896248549067</v>
      </c>
      <c r="AK36" s="75">
        <f>IF($L$1804,1,0)</f>
        <v>0</v>
      </c>
      <c r="AL36" s="72">
        <f>IF($L$1804,$M$1804,0)</f>
        <v>0</v>
      </c>
      <c r="AM36" s="73">
        <f>$N$1831/$N$1819*IF($O$1804=1,$O$1831/$O$1819,1)-1</f>
        <v>1.3288593047456665E-2</v>
      </c>
      <c r="AN36" s="73">
        <f>$N$1832/$N$1820*IF($O$1804=1,$O$1832/$O$1820,1)-1</f>
        <v>1.3274336283185972E-2</v>
      </c>
      <c r="AO36" s="73">
        <f>$N$1833/$N$1821*IF($O$1804=1,$O$1833/$O$1821,1)-1</f>
        <v>1.3260110077078169E-2</v>
      </c>
      <c r="AP36" s="73">
        <f>$N$1834/$N$1822*IF($O$1804=1,$O$1834/$O$1822,1)-1</f>
        <v>1.3245433651869032E-2</v>
      </c>
      <c r="AQ36" s="73">
        <f>$N$1835/$N$1823*IF($O$1804=1,$O$1835/$O$1823,1)-1</f>
        <v>1.3230789678775778E-2</v>
      </c>
      <c r="AR36" s="73">
        <f>$N$1836/$N$1824*IF($O$1804=1,$O$1836/$O$1824,1)-1</f>
        <v>1.3216178050281746E-2</v>
      </c>
      <c r="AS36" s="73">
        <f>$N$1837/$N$1825*IF($O$1804=1,$O$1837/$O$1825,1)-1</f>
        <v>1.320159865934456E-2</v>
      </c>
      <c r="AT36" s="73">
        <f>$N$1838/$N$1826*IF($O$1804=1,$O$1838/$O$1826,1)-1</f>
        <v>1.3186813186813362E-2</v>
      </c>
      <c r="AU36" s="73">
        <f>$N$1839/$N$1827*IF($O$1804=1,$O$1839/$O$1827,1)-1</f>
        <v>1.3172298475862876E-2</v>
      </c>
      <c r="AV36" s="73">
        <f>$N$1840/$N$1828*IF($O$1804=1,$O$1840/$O$1828,1)-1</f>
        <v>1.3157815682433904E-2</v>
      </c>
      <c r="AW36" s="73">
        <f>$N$1841/$N$1829*IF($O$1804=1,$O$1841/$O$1829,1)-1</f>
        <v>1.3143364701363458E-2</v>
      </c>
      <c r="AX36" s="73">
        <f>$N$1842/$N$1830*IF($O$1804=1,$O$1842/$O$1830,1)-1</f>
        <v>1.3128945427949512E-2</v>
      </c>
      <c r="AY36" s="73">
        <f>$N$1831/$N$1819-1</f>
        <v>0</v>
      </c>
      <c r="AZ36" s="73">
        <f>$N$1832/$N$1820-1</f>
        <v>0</v>
      </c>
      <c r="BA36" s="73">
        <f>$N$1833/$N$1821-1</f>
        <v>0</v>
      </c>
      <c r="BB36" s="73">
        <f>$N$1834/$N$1822-1</f>
        <v>0</v>
      </c>
      <c r="BC36" s="73">
        <f>$N$1835/$N$1823-1</f>
        <v>0</v>
      </c>
      <c r="BD36" s="73">
        <f>$N$1836/$N$1824-1</f>
        <v>0</v>
      </c>
      <c r="BE36" s="73">
        <f>$N$1837/$N$1825-1</f>
        <v>0</v>
      </c>
      <c r="BF36" s="73">
        <f>$N$1838/$N$1826-1</f>
        <v>0</v>
      </c>
      <c r="BG36" s="73">
        <f>$N$1839/$N$1827-1</f>
        <v>0</v>
      </c>
      <c r="BH36" s="73">
        <f>$N$1840/$N$1828-1</f>
        <v>0</v>
      </c>
      <c r="BI36" s="73">
        <f>$N$1841/$N$1829-1</f>
        <v>0</v>
      </c>
      <c r="BJ36" s="73">
        <f>$N$1842/$N$1830-1</f>
        <v>0</v>
      </c>
      <c r="BK36" s="73">
        <f>$O$1831/$O$1819-1</f>
        <v>1.3288593047456665E-2</v>
      </c>
      <c r="BL36" s="73">
        <f>$O$1832/$O$1820-1</f>
        <v>1.3274336283185972E-2</v>
      </c>
      <c r="BM36" s="73">
        <f>$O$1833/$O$1821-1</f>
        <v>1.3260110077078169E-2</v>
      </c>
      <c r="BN36" s="73">
        <f>$O$1834/$O$1822-1</f>
        <v>1.3245433651869032E-2</v>
      </c>
      <c r="BO36" s="73">
        <f>$O$1835/$O$1823-1</f>
        <v>1.3230789678775778E-2</v>
      </c>
      <c r="BP36" s="73">
        <f>$O$1836/$O$1824-1</f>
        <v>1.3216178050281746E-2</v>
      </c>
      <c r="BQ36" s="73">
        <f>$O$1837/$O$1825-1</f>
        <v>1.320159865934456E-2</v>
      </c>
      <c r="BR36" s="73">
        <f>$O$1838/$O$1826-1</f>
        <v>1.3186813186813362E-2</v>
      </c>
      <c r="BS36" s="73">
        <f>$O$1839/$O$1827-1</f>
        <v>1.3172298475862876E-2</v>
      </c>
      <c r="BT36" s="73">
        <f>$O$1840/$O$1828-1</f>
        <v>1.3157815682433904E-2</v>
      </c>
      <c r="BU36" s="73">
        <f>$O$1841/$O$1829-1</f>
        <v>1.3143364701363458E-2</v>
      </c>
      <c r="BV36" s="73">
        <f>$O$1842/$O$1830-1</f>
        <v>1.3128945427949512E-2</v>
      </c>
      <c r="BW36" s="73">
        <f>$V36*$H$1831</f>
        <v>12800</v>
      </c>
      <c r="BX36" s="73">
        <f>$V36*$H$1832</f>
        <v>12800</v>
      </c>
      <c r="BY36" s="73">
        <f>$V36*$H$1833</f>
        <v>12800</v>
      </c>
      <c r="BZ36" s="73">
        <f>$V36*$H$1834</f>
        <v>12800</v>
      </c>
      <c r="CA36" s="73">
        <f>$V36*$H$1835</f>
        <v>12800</v>
      </c>
      <c r="CB36" s="73">
        <f>$V36*$H$1836</f>
        <v>12800</v>
      </c>
      <c r="CC36" s="73">
        <f>$V36*$H$1837</f>
        <v>12800</v>
      </c>
      <c r="CD36" s="73">
        <f>$V36*$H$1838</f>
        <v>12800</v>
      </c>
      <c r="CE36" s="73">
        <f>$V36*$H$1839</f>
        <v>12800</v>
      </c>
      <c r="CF36" s="73">
        <f>$V36*$H$1840</f>
        <v>12800</v>
      </c>
      <c r="CG36" s="73">
        <f>$V36*$H$1841</f>
        <v>12800</v>
      </c>
      <c r="CH36" s="73">
        <f>$V36*$H$1842</f>
        <v>12800</v>
      </c>
      <c r="CI36" s="75">
        <f>$O$1804</f>
        <v>1</v>
      </c>
      <c r="CJ36" s="73">
        <f>$H$1855</f>
        <v>1</v>
      </c>
      <c r="CK36" s="73">
        <f>$I$1855</f>
        <v>1.0132088564102013</v>
      </c>
      <c r="CL36" s="73">
        <f>$J$1855</f>
        <v>1.0132088564102013</v>
      </c>
      <c r="CM36" s="73">
        <f t="shared" ref="CM36:CM72" si="54">IF($AK36=1,ABS($CL36-1-$AL36),0)</f>
        <v>0</v>
      </c>
      <c r="CN36" s="73">
        <f t="shared" ref="CN36:CN72" si="55">$R36*$V36</f>
        <v>12800</v>
      </c>
      <c r="CO36" s="72">
        <f>$M36*($C36/$K$1855)*IF($O$1804=1,$F$1804/$G36,1)*$R36</f>
        <v>0.57852236659992762</v>
      </c>
      <c r="CP36" s="72">
        <f>$M36*(1+$S36)*($C36/$L$1855)*IF($O$1804=1,$F$1804/$H36,1)*$R36</f>
        <v>0.5732023144417896</v>
      </c>
      <c r="CQ36" s="73">
        <f t="shared" ref="CQ36:CQ72" si="56">$CO36*$V36</f>
        <v>7405.0862924790736</v>
      </c>
      <c r="CR36" s="73">
        <f t="shared" ref="CR36:CR72" si="57">$CP36*$V36</f>
        <v>7336.9896248549067</v>
      </c>
      <c r="CS36" s="73">
        <f t="shared" ref="CS36:CS72" si="58">IF($AK36=1,0,ABS($CO36-$N36)+ABS($CP36-$O36))</f>
        <v>0</v>
      </c>
      <c r="CT36" s="272">
        <f t="shared" ref="CT36:CT72" si="59">IF($AK36=0,0,($CO36-$N36)*100)</f>
        <v>0</v>
      </c>
      <c r="CU36" s="75">
        <f t="shared" ref="CU36:CU72" si="60">COUNTIFS(rl_key,$A36,rl_status,"taken",rl_eff,"&lt;&gt;")</f>
        <v>0</v>
      </c>
      <c r="CV36" s="75">
        <f t="shared" ref="CV36:CV72" si="61">COUNTIFS(rl_key,$A36,rl_status,"planned",rl_eff,"&lt;&gt;")</f>
        <v>0</v>
      </c>
      <c r="CW36" s="273" t="str">
        <f t="shared" ref="CW36:CW72" si="62">IF(COUNTIFS(rl_key,$A36,rl_seq,1)=0,"",SUMIFS(rl_eff,rl_key,$A36,rl_seq,1))</f>
        <v/>
      </c>
      <c r="CX36" s="274" t="str">
        <f t="shared" ref="CX36:CX72" si="63">IF(COUNTIFS(rl_key,$A36,rl_seq,1)=0,"",SUMIFS(rl_reff,rl_key,$A36,rl_seq,1))</f>
        <v/>
      </c>
      <c r="CY36" s="6" t="str">
        <f t="shared" ref="CY36:CY72" si="64">IF(COUNTIFS(rl_key,$A36,rl_seq,1)=0,"",IF(COUNTIFS(rl_key,$A36,rl_seq,1,rl_status,"planned")&gt;0,"P","T")&amp;IF(COUNTIFS(rl_key,$A36,rl_seq,1,rl_cons,"Y")&gt;0,"","*"))</f>
        <v/>
      </c>
      <c r="CZ36" s="273" t="str">
        <f t="shared" ref="CZ36:CZ72" si="65">IF(COUNTIFS(rl_key,$A36,rl_seq,2)=0,"",SUMIFS(rl_eff,rl_key,$A36,rl_seq,2))</f>
        <v/>
      </c>
      <c r="DA36" s="274" t="str">
        <f t="shared" ref="DA36:DA72" si="66">IF(COUNTIFS(rl_key,$A36,rl_seq,2)=0,"",SUMIFS(rl_reff,rl_key,$A36,rl_seq,2))</f>
        <v/>
      </c>
      <c r="DB36" s="6" t="str">
        <f t="shared" ref="DB36:DB72" si="67">IF(COUNTIFS(rl_key,$A36,rl_seq,2)=0,"",IF(COUNTIFS(rl_key,$A36,rl_seq,2,rl_status,"planned")&gt;0,"P","T")&amp;IF(COUNTIFS(rl_key,$A36,rl_seq,2,rl_cons,"Y")&gt;0,"","*"))</f>
        <v/>
      </c>
      <c r="DC36" s="273" t="str">
        <f t="shared" ref="DC36:DC72" si="68">IF(COUNTIFS(rl_key,$A36,rl_seq,3)=0,"",SUMIFS(rl_eff,rl_key,$A36,rl_seq,3))</f>
        <v/>
      </c>
      <c r="DD36" s="274" t="str">
        <f t="shared" ref="DD36:DD72" si="69">IF(COUNTIFS(rl_key,$A36,rl_seq,3)=0,"",SUMIFS(rl_reff,rl_key,$A36,rl_seq,3))</f>
        <v/>
      </c>
      <c r="DE36" s="6" t="str">
        <f t="shared" ref="DE36:DE72" si="70">IF(COUNTIFS(rl_key,$A36,rl_seq,3)=0,"",IF(COUNTIFS(rl_key,$A36,rl_seq,3,rl_status,"planned")&gt;0,"P","T")&amp;IF(COUNTIFS(rl_key,$A36,rl_seq,3,rl_cons,"Y")&gt;0,"","*"))</f>
        <v/>
      </c>
      <c r="DF36" s="273" t="str">
        <f t="shared" ref="DF36:DF72" si="71">IF(COUNTIFS(rl_key,$A36,rl_seq,4)=0,"",SUMIFS(rl_eff,rl_key,$A36,rl_seq,4))</f>
        <v/>
      </c>
      <c r="DG36" s="274" t="str">
        <f t="shared" ref="DG36:DG72" si="72">IF(COUNTIFS(rl_key,$A36,rl_seq,4)=0,"",SUMIFS(rl_reff,rl_key,$A36,rl_seq,4))</f>
        <v/>
      </c>
      <c r="DH36" s="6" t="str">
        <f t="shared" ref="DH36:DH72" si="73">IF(COUNTIFS(rl_key,$A36,rl_seq,4)=0,"",IF(COUNTIFS(rl_key,$A36,rl_seq,4,rl_status,"planned")&gt;0,"P","T")&amp;IF(COUNTIFS(rl_key,$A36,rl_seq,4,rl_cons,"Y")&gt;0,"","*"))</f>
        <v/>
      </c>
    </row>
    <row r="37" spans="1:112" x14ac:dyDescent="0.3">
      <c r="A37" s="6" t="str">
        <f>$A$1858</f>
        <v>MM|NM</v>
      </c>
      <c r="B37" s="75">
        <f>$C$1858</f>
        <v>6</v>
      </c>
      <c r="C37" s="73">
        <f>$B$1909</f>
        <v>1.05</v>
      </c>
      <c r="D37" s="73">
        <f>$C$1909</f>
        <v>1.003125</v>
      </c>
      <c r="E37" s="73">
        <f>$D$1909</f>
        <v>1.0678750000000001</v>
      </c>
      <c r="F37" s="73">
        <f>$E$1909</f>
        <v>1.0920000000000003</v>
      </c>
      <c r="G37" s="224">
        <f>$F$1909</f>
        <v>0.9080037381473377</v>
      </c>
      <c r="H37" s="224">
        <f>$G$1909</f>
        <v>0.90516988815949428</v>
      </c>
      <c r="I37" s="73">
        <f t="shared" si="37"/>
        <v>0.98326114947910559</v>
      </c>
      <c r="J37" s="73">
        <f t="shared" si="38"/>
        <v>0.96153846153846134</v>
      </c>
      <c r="K37" s="73">
        <f>IF($L$1858,1,IF(AND(nr_ModAdjMaster="ON",INDEX(lr_modadj,34)="ON"),$F$1858/$G37,1))</f>
        <v>1.0132116877372543</v>
      </c>
      <c r="L37" s="73">
        <f>IF($L$1858,1,IF(AND(nr_ModAdjMaster="ON",INDEX(lr_modadj,34)="ON"),$F$1858/$H37,1))</f>
        <v>1.0163837883191853</v>
      </c>
      <c r="M37" s="72">
        <f>IF(INDEX(lr_basis,34)="proposed",N(INDEX(lr_lrproj,34))*(1+N(INDEX(lr_s,34))),N(INDEX(lr_lrproj,34)))</f>
        <v>0.56000000000000005</v>
      </c>
      <c r="N37" s="72">
        <f t="shared" si="39"/>
        <v>0.55790094570011051</v>
      </c>
      <c r="O37" s="72">
        <f t="shared" si="40"/>
        <v>0.54728357832571517</v>
      </c>
      <c r="P37" s="72">
        <f t="shared" si="41"/>
        <v>1.7023809523809552E-2</v>
      </c>
      <c r="Q37" s="72">
        <f t="shared" si="42"/>
        <v>2.2591595458270053E-2</v>
      </c>
      <c r="R37" s="73">
        <f>IF(N(INDEX(lr_aother,34))=0,1,INDEX(lr_aother,34))</f>
        <v>1</v>
      </c>
      <c r="S37" s="72">
        <f>IF(ISBLANK(INDEX(lr_trend,34)),N(nr_TrendDefault),N(INDEX(lr_trend,34)))</f>
        <v>0</v>
      </c>
      <c r="T37" s="6" t="str">
        <f>INDEX(lr_state,34)</f>
        <v>NM</v>
      </c>
      <c r="U37" s="6" t="str">
        <f>INDEX(lr_bu,34)</f>
        <v>MM</v>
      </c>
      <c r="V37" s="271">
        <f>N(INDEX(lr_ep,34))</f>
        <v>9600</v>
      </c>
      <c r="W37" s="73">
        <f>N(INDEX(lr_mind,34))*$V37</f>
        <v>8832</v>
      </c>
      <c r="X37" s="73">
        <f>N(INDEX(lr_m0,34))*$V37</f>
        <v>8736</v>
      </c>
      <c r="Y37" s="73">
        <f>N(INDEX(lr_m1,34))*$V37</f>
        <v>8688</v>
      </c>
      <c r="Z37" s="73">
        <f t="shared" si="43"/>
        <v>10080</v>
      </c>
      <c r="AA37" s="73">
        <f t="shared" si="44"/>
        <v>10251.6</v>
      </c>
      <c r="AB37" s="73">
        <f t="shared" si="45"/>
        <v>9439.3070349994141</v>
      </c>
      <c r="AC37" s="73">
        <f t="shared" si="46"/>
        <v>8716.8358862144414</v>
      </c>
      <c r="AD37" s="73">
        <f t="shared" si="47"/>
        <v>9726.832202277641</v>
      </c>
      <c r="AE37" s="73">
        <f t="shared" si="48"/>
        <v>5376.0000000000009</v>
      </c>
      <c r="AF37" s="73">
        <f t="shared" si="49"/>
        <v>5355.8490787210612</v>
      </c>
      <c r="AG37" s="73">
        <f t="shared" si="50"/>
        <v>0</v>
      </c>
      <c r="AH37" s="73">
        <f t="shared" si="51"/>
        <v>9230.7692307692287</v>
      </c>
      <c r="AI37" s="73">
        <f t="shared" si="52"/>
        <v>9757.2843678641784</v>
      </c>
      <c r="AJ37" s="73">
        <f t="shared" si="53"/>
        <v>5253.9223519268653</v>
      </c>
      <c r="AK37" s="75">
        <f>IF($L$1858,1,0)</f>
        <v>0</v>
      </c>
      <c r="AL37" s="72">
        <f>IF($L$1858,$M$1858,0)</f>
        <v>0</v>
      </c>
      <c r="AM37" s="73">
        <f>$N$1885/$N$1873*IF($O$1858=1,$O$1885/$O$1873,1)-1</f>
        <v>4.5406411247550515E-2</v>
      </c>
      <c r="AN37" s="73">
        <f>$N$1886/$N$1874*IF($O$1858=1,$O$1886/$O$1874,1)-1</f>
        <v>4.5404786455960355E-2</v>
      </c>
      <c r="AO37" s="73">
        <f>$N$1887/$N$1875*IF($O$1858=1,$O$1887/$O$1875,1)-1</f>
        <v>4.5403160514558172E-2</v>
      </c>
      <c r="AP37" s="73">
        <f>$N$1888/$N$1876*IF($O$1858=1,$O$1888/$O$1876,1)-1</f>
        <v>8.7217537376113041E-2</v>
      </c>
      <c r="AQ37" s="73">
        <f>$N$1889/$N$1877*IF($O$1858=1,$O$1889/$O$1877,1)-1</f>
        <v>8.7215786536072537E-2</v>
      </c>
      <c r="AR37" s="73">
        <f>$N$1890/$N$1878*IF($O$1858=1,$O$1890/$O$1878,1)-1</f>
        <v>8.7214034413611863E-2</v>
      </c>
      <c r="AS37" s="73">
        <f>$N$1891/$N$1879*IF($O$1858=1,$O$1891/$O$1879,1)-1</f>
        <v>8.7212281007321257E-2</v>
      </c>
      <c r="AT37" s="73">
        <f>$N$1892/$N$1880*IF($O$1858=1,$O$1892/$O$1880,1)-1</f>
        <v>8.7210497539639276E-2</v>
      </c>
      <c r="AU37" s="73">
        <f>$N$1893/$N$1881*IF($O$1858=1,$O$1893/$O$1881,1)-1</f>
        <v>8.7208741540347967E-2</v>
      </c>
      <c r="AV37" s="73">
        <f>$N$1894/$N$1882*IF($O$1858=1,$O$1894/$O$1882,1)-1</f>
        <v>3.5435223098059687E-2</v>
      </c>
      <c r="AW37" s="73">
        <f>$N$1895/$N$1883*IF($O$1858=1,$O$1895/$O$1883,1)-1</f>
        <v>3.543354826292E-2</v>
      </c>
      <c r="AX37" s="73">
        <f>$N$1896/$N$1884*IF($O$1858=1,$O$1896/$O$1884,1)-1</f>
        <v>3.5431872198321335E-2</v>
      </c>
      <c r="AY37" s="73">
        <f>$N$1885/$N$1873-1</f>
        <v>5.0000000000000044E-2</v>
      </c>
      <c r="AZ37" s="73">
        <f>$N$1886/$N$1874-1</f>
        <v>5.0000000000000044E-2</v>
      </c>
      <c r="BA37" s="73">
        <f>$N$1887/$N$1875-1</f>
        <v>5.0000000000000044E-2</v>
      </c>
      <c r="BB37" s="73">
        <f>$N$1888/$N$1876-1</f>
        <v>9.2000000000000082E-2</v>
      </c>
      <c r="BC37" s="73">
        <f>$N$1889/$N$1877-1</f>
        <v>9.2000000000000082E-2</v>
      </c>
      <c r="BD37" s="73">
        <f>$N$1890/$N$1878-1</f>
        <v>9.2000000000000082E-2</v>
      </c>
      <c r="BE37" s="73">
        <f>$N$1891/$N$1879-1</f>
        <v>9.2000000000000082E-2</v>
      </c>
      <c r="BF37" s="73">
        <f>$N$1892/$N$1880-1</f>
        <v>9.2000000000000082E-2</v>
      </c>
      <c r="BG37" s="73">
        <f>$N$1893/$N$1881-1</f>
        <v>9.2000000000000082E-2</v>
      </c>
      <c r="BH37" s="73">
        <f>$N$1894/$N$1882-1</f>
        <v>4.0000000000000036E-2</v>
      </c>
      <c r="BI37" s="73">
        <f>$N$1895/$N$1883-1</f>
        <v>4.0000000000000036E-2</v>
      </c>
      <c r="BJ37" s="73">
        <f>$N$1896/$N$1884-1</f>
        <v>4.0000000000000036E-2</v>
      </c>
      <c r="BK37" s="73">
        <f>$O$1885/$O$1873-1</f>
        <v>-4.3748464309043555E-3</v>
      </c>
      <c r="BL37" s="73">
        <f>$O$1886/$O$1874-1</f>
        <v>-4.3763938514663758E-3</v>
      </c>
      <c r="BM37" s="73">
        <f>$O$1887/$O$1875-1</f>
        <v>-4.3779423670874396E-3</v>
      </c>
      <c r="BN37" s="73">
        <f>$O$1888/$O$1876-1</f>
        <v>-4.3795445273691058E-3</v>
      </c>
      <c r="BO37" s="73">
        <f>$O$1889/$O$1877-1</f>
        <v>-4.3811478607395093E-3</v>
      </c>
      <c r="BP37" s="73">
        <f>$O$1890/$O$1878-1</f>
        <v>-4.382752368487397E-3</v>
      </c>
      <c r="BQ37" s="73">
        <f>$O$1891/$O$1879-1</f>
        <v>-4.3843580519036252E-3</v>
      </c>
      <c r="BR37" s="73">
        <f>$O$1892/$O$1880-1</f>
        <v>-4.3859912640666909E-3</v>
      </c>
      <c r="BS37" s="73">
        <f>$O$1893/$O$1881-1</f>
        <v>-4.3875993220258147E-3</v>
      </c>
      <c r="BT37" s="73">
        <f>$O$1894/$O$1882-1</f>
        <v>-4.3892085595579333E-3</v>
      </c>
      <c r="BU37" s="73">
        <f>$O$1895/$O$1883-1</f>
        <v>-4.3908189779616746E-3</v>
      </c>
      <c r="BV37" s="73">
        <f>$O$1896/$O$1884-1</f>
        <v>-4.3924305785372209E-3</v>
      </c>
      <c r="BW37" s="73">
        <f>$V37*$H$1885</f>
        <v>9600</v>
      </c>
      <c r="BX37" s="73">
        <f>$V37*$H$1886</f>
        <v>9600</v>
      </c>
      <c r="BY37" s="73">
        <f>$V37*$H$1887</f>
        <v>9600</v>
      </c>
      <c r="BZ37" s="73">
        <f>$V37*$H$1888</f>
        <v>9600</v>
      </c>
      <c r="CA37" s="73">
        <f>$V37*$H$1889</f>
        <v>9600</v>
      </c>
      <c r="CB37" s="73">
        <f>$V37*$H$1890</f>
        <v>9600</v>
      </c>
      <c r="CC37" s="73">
        <f>$V37*$H$1891</f>
        <v>9600</v>
      </c>
      <c r="CD37" s="73">
        <f>$V37*$H$1892</f>
        <v>9600</v>
      </c>
      <c r="CE37" s="73">
        <f>$V37*$H$1893</f>
        <v>9600</v>
      </c>
      <c r="CF37" s="73">
        <f>$V37*$H$1894</f>
        <v>9600</v>
      </c>
      <c r="CG37" s="73">
        <f>$V37*$H$1895</f>
        <v>9600</v>
      </c>
      <c r="CH37" s="73">
        <f>$V37*$H$1896</f>
        <v>9600</v>
      </c>
      <c r="CI37" s="75">
        <f>$O$1858</f>
        <v>1</v>
      </c>
      <c r="CJ37" s="73">
        <f>$H$1909</f>
        <v>1.0685000000000002</v>
      </c>
      <c r="CK37" s="73">
        <f>$I$1909</f>
        <v>0.99561641381999111</v>
      </c>
      <c r="CL37" s="73">
        <f>$J$1909</f>
        <v>1.0638161566825397</v>
      </c>
      <c r="CM37" s="73">
        <f t="shared" si="54"/>
        <v>0</v>
      </c>
      <c r="CN37" s="73">
        <f t="shared" si="55"/>
        <v>9600</v>
      </c>
      <c r="CO37" s="72">
        <f>$M37*($C37/$K$1909)*IF($O$1858=1,$F$1858/$G37,1)*$R37</f>
        <v>0.55790094570011051</v>
      </c>
      <c r="CP37" s="72">
        <f>$M37*(1+$S37)*($C37/$L$1909)*IF($O$1858=1,$F$1858/$H37,1)*$R37</f>
        <v>0.54728357832571517</v>
      </c>
      <c r="CQ37" s="73">
        <f t="shared" si="56"/>
        <v>5355.8490787210612</v>
      </c>
      <c r="CR37" s="73">
        <f t="shared" si="57"/>
        <v>5253.9223519268653</v>
      </c>
      <c r="CS37" s="73">
        <f t="shared" si="58"/>
        <v>0</v>
      </c>
      <c r="CT37" s="272">
        <f t="shared" si="59"/>
        <v>0</v>
      </c>
      <c r="CU37" s="75">
        <f t="shared" si="60"/>
        <v>1</v>
      </c>
      <c r="CV37" s="75">
        <f t="shared" si="61"/>
        <v>1</v>
      </c>
      <c r="CW37" s="273">
        <f t="shared" si="62"/>
        <v>46296</v>
      </c>
      <c r="CX37" s="274">
        <f t="shared" si="63"/>
        <v>0.05</v>
      </c>
      <c r="CY37" s="6" t="str">
        <f t="shared" si="64"/>
        <v>T</v>
      </c>
      <c r="CZ37" s="273">
        <f t="shared" si="65"/>
        <v>46478</v>
      </c>
      <c r="DA37" s="274">
        <f t="shared" si="66"/>
        <v>0.04</v>
      </c>
      <c r="DB37" s="6" t="str">
        <f t="shared" si="67"/>
        <v>P*</v>
      </c>
      <c r="DC37" s="273" t="str">
        <f t="shared" si="68"/>
        <v/>
      </c>
      <c r="DD37" s="274" t="str">
        <f t="shared" si="69"/>
        <v/>
      </c>
      <c r="DE37" s="6" t="str">
        <f t="shared" si="70"/>
        <v/>
      </c>
      <c r="DF37" s="273" t="str">
        <f t="shared" si="71"/>
        <v/>
      </c>
      <c r="DG37" s="274" t="str">
        <f t="shared" si="72"/>
        <v/>
      </c>
      <c r="DH37" s="6" t="str">
        <f t="shared" si="73"/>
        <v/>
      </c>
    </row>
    <row r="38" spans="1:112" x14ac:dyDescent="0.3">
      <c r="A38" s="6" t="str">
        <f>$A$1912</f>
        <v>MM|NC</v>
      </c>
      <c r="B38" s="75">
        <f>$C$1912</f>
        <v>6</v>
      </c>
      <c r="C38" s="73">
        <f>$B$1963</f>
        <v>1.06</v>
      </c>
      <c r="D38" s="73">
        <f>$C$1963</f>
        <v>1.0016666666666667</v>
      </c>
      <c r="E38" s="73">
        <f>$D$1963</f>
        <v>1.0533333333333335</v>
      </c>
      <c r="F38" s="73">
        <f>$E$1963</f>
        <v>1.0600000000000003</v>
      </c>
      <c r="G38" s="224">
        <f>$F$1963</f>
        <v>0.91399252370532447</v>
      </c>
      <c r="H38" s="224">
        <f>$G$1963</f>
        <v>0.91966022368101141</v>
      </c>
      <c r="I38" s="73">
        <f t="shared" si="37"/>
        <v>1.0063291139240507</v>
      </c>
      <c r="J38" s="73">
        <f t="shared" si="38"/>
        <v>0.99999999999999978</v>
      </c>
      <c r="K38" s="73">
        <f>IF($L$1912,1,IF(AND(nr_ModAdjMaster="ON",INDEX(lr_modadj,35)="ON"),$F$1912/$G38,1))</f>
        <v>1.0065727849395543</v>
      </c>
      <c r="L38" s="73">
        <f>IF($L$1912,1,IF(AND(nr_ModAdjMaster="ON",INDEX(lr_modadj,35)="ON"),$F$1912/$H38,1))</f>
        <v>1.000369458535054</v>
      </c>
      <c r="M38" s="72">
        <f>IF(INDEX(lr_basis,35)="proposed",N(INDEX(lr_lrproj,35))*(1+N(INDEX(lr_s,35))),N(INDEX(lr_lrproj,35)))</f>
        <v>0.58799999999999997</v>
      </c>
      <c r="N38" s="72">
        <f t="shared" si="39"/>
        <v>0.59561077727575185</v>
      </c>
      <c r="O38" s="72">
        <f t="shared" si="40"/>
        <v>0.58821724161861155</v>
      </c>
      <c r="P38" s="72">
        <f t="shared" si="41"/>
        <v>-6.2893081761005165E-3</v>
      </c>
      <c r="Q38" s="72">
        <f t="shared" si="42"/>
        <v>6.3291139240508887E-3</v>
      </c>
      <c r="R38" s="73">
        <f>IF(N(INDEX(lr_aother,35))=0,1,INDEX(lr_aother,35))</f>
        <v>1</v>
      </c>
      <c r="S38" s="72">
        <f>IF(ISBLANK(INDEX(lr_trend,35)),N(nr_TrendDefault),N(INDEX(lr_trend,35)))</f>
        <v>0</v>
      </c>
      <c r="T38" s="6" t="str">
        <f>INDEX(lr_state,35)</f>
        <v>NC</v>
      </c>
      <c r="U38" s="6" t="str">
        <f>INDEX(lr_bu,35)</f>
        <v>MM</v>
      </c>
      <c r="V38" s="271">
        <f>N(INDEX(lr_ep,35))</f>
        <v>6400</v>
      </c>
      <c r="W38" s="73">
        <f>N(INDEX(lr_mind,35))*$V38</f>
        <v>5888</v>
      </c>
      <c r="X38" s="73">
        <f>N(INDEX(lr_m0,35))*$V38</f>
        <v>5824</v>
      </c>
      <c r="Y38" s="73">
        <f>N(INDEX(lr_m1,35))*$V38</f>
        <v>5888</v>
      </c>
      <c r="Z38" s="73">
        <f t="shared" si="43"/>
        <v>6784</v>
      </c>
      <c r="AA38" s="73">
        <f t="shared" si="44"/>
        <v>6741.3333333333339</v>
      </c>
      <c r="AB38" s="73">
        <f t="shared" si="45"/>
        <v>6440.506329113924</v>
      </c>
      <c r="AC38" s="73">
        <f t="shared" si="46"/>
        <v>5849.5521517140769</v>
      </c>
      <c r="AD38" s="73">
        <f t="shared" si="47"/>
        <v>6442.0658236131476</v>
      </c>
      <c r="AE38" s="73">
        <f t="shared" si="48"/>
        <v>3763.2</v>
      </c>
      <c r="AF38" s="73">
        <f t="shared" si="49"/>
        <v>3811.9089745648116</v>
      </c>
      <c r="AG38" s="73">
        <f t="shared" si="50"/>
        <v>0</v>
      </c>
      <c r="AH38" s="73">
        <f t="shared" si="51"/>
        <v>6399.9999999999982</v>
      </c>
      <c r="AI38" s="73">
        <f t="shared" si="52"/>
        <v>6402.3645346243457</v>
      </c>
      <c r="AJ38" s="73">
        <f t="shared" si="53"/>
        <v>3764.5903463591139</v>
      </c>
      <c r="AK38" s="75">
        <f>IF($L$1912,1,0)</f>
        <v>0</v>
      </c>
      <c r="AL38" s="72">
        <f>IF($L$1912,$M$1912,0)</f>
        <v>0</v>
      </c>
      <c r="AM38" s="73">
        <f>$N$1939/$N$1927*IF($O$1912=1,$O$1939/$O$1927,1)-1</f>
        <v>6.936135206087668E-2</v>
      </c>
      <c r="AN38" s="73">
        <f>$N$1940/$N$1928*IF($O$1912=1,$O$1940/$O$1928,1)-1</f>
        <v>6.9354674919606341E-2</v>
      </c>
      <c r="AO38" s="73">
        <f>$N$1941/$N$1929*IF($O$1912=1,$O$1941/$O$1929,1)-1</f>
        <v>6.9348007296712977E-2</v>
      </c>
      <c r="AP38" s="73">
        <f>$N$1942/$N$1930*IF($O$1912=1,$O$1942/$O$1930,1)-1</f>
        <v>6.9341123638909652E-2</v>
      </c>
      <c r="AQ38" s="73">
        <f>$N$1943/$N$1931*IF($O$1912=1,$O$1943/$O$1931,1)-1</f>
        <v>6.9334250111581452E-2</v>
      </c>
      <c r="AR38" s="73">
        <f>$N$1944/$N$1932*IF($O$1912=1,$O$1944/$O$1932,1)-1</f>
        <v>6.9327386692382031E-2</v>
      </c>
      <c r="AS38" s="73">
        <f>$N$1945/$N$1933*IF($O$1912=1,$O$1945/$O$1933,1)-1</f>
        <v>6.9320533359029657E-2</v>
      </c>
      <c r="AT38" s="73">
        <f>$N$1946/$N$1934*IF($O$1912=1,$O$1946/$O$1934,1)-1</f>
        <v>6.9313577988276975E-2</v>
      </c>
      <c r="AU38" s="73">
        <f>$N$1947/$N$1935*IF($O$1912=1,$O$1947/$O$1935,1)-1</f>
        <v>6.9306744924468422E-2</v>
      </c>
      <c r="AV38" s="73">
        <f>$N$1948/$N$1936*IF($O$1912=1,$O$1948/$O$1936,1)-1</f>
        <v>6.9299921879695026E-2</v>
      </c>
      <c r="AW38" s="73">
        <f>$N$1949/$N$1937*IF($O$1912=1,$O$1949/$O$1937,1)-1</f>
        <v>8.7670838037132715E-3</v>
      </c>
      <c r="AX38" s="73">
        <f>$N$1950/$N$1938*IF($O$1912=1,$O$1950/$O$1938,1)-1</f>
        <v>8.7606658106016422E-3</v>
      </c>
      <c r="AY38" s="73">
        <f>$N$1939/$N$1927-1</f>
        <v>6.0000000000000053E-2</v>
      </c>
      <c r="AZ38" s="73">
        <f>$N$1940/$N$1928-1</f>
        <v>6.0000000000000053E-2</v>
      </c>
      <c r="BA38" s="73">
        <f>$N$1941/$N$1929-1</f>
        <v>6.0000000000000053E-2</v>
      </c>
      <c r="BB38" s="73">
        <f>$N$1942/$N$1930-1</f>
        <v>6.0000000000000053E-2</v>
      </c>
      <c r="BC38" s="73">
        <f>$N$1943/$N$1931-1</f>
        <v>6.0000000000000053E-2</v>
      </c>
      <c r="BD38" s="73">
        <f>$N$1944/$N$1932-1</f>
        <v>6.0000000000000053E-2</v>
      </c>
      <c r="BE38" s="73">
        <f>$N$1945/$N$1933-1</f>
        <v>6.0000000000000053E-2</v>
      </c>
      <c r="BF38" s="73">
        <f>$N$1946/$N$1934-1</f>
        <v>6.0000000000000053E-2</v>
      </c>
      <c r="BG38" s="73">
        <f>$N$1947/$N$1935-1</f>
        <v>6.0000000000000053E-2</v>
      </c>
      <c r="BH38" s="73">
        <f>$N$1948/$N$1936-1</f>
        <v>6.0000000000000053E-2</v>
      </c>
      <c r="BI38" s="73">
        <f>$N$1949/$N$1937-1</f>
        <v>0</v>
      </c>
      <c r="BJ38" s="73">
        <f>$N$1950/$N$1938-1</f>
        <v>0</v>
      </c>
      <c r="BK38" s="73">
        <f>$O$1939/$O$1927-1</f>
        <v>8.8314642083742179E-3</v>
      </c>
      <c r="BL38" s="73">
        <f>$O$1940/$O$1928-1</f>
        <v>8.8251650184965058E-3</v>
      </c>
      <c r="BM38" s="73">
        <f>$O$1941/$O$1929-1</f>
        <v>8.8188748082196344E-3</v>
      </c>
      <c r="BN38" s="73">
        <f>$O$1942/$O$1930-1</f>
        <v>8.8123807914242125E-3</v>
      </c>
      <c r="BO38" s="73">
        <f>$O$1943/$O$1931-1</f>
        <v>8.8058963316806071E-3</v>
      </c>
      <c r="BP38" s="73">
        <f>$O$1944/$O$1932-1</f>
        <v>8.7994214079074595E-3</v>
      </c>
      <c r="BQ38" s="73">
        <f>$O$1945/$O$1933-1</f>
        <v>8.792955999084473E-3</v>
      </c>
      <c r="BR38" s="73">
        <f>$O$1946/$O$1934-1</f>
        <v>8.7863943285630963E-3</v>
      </c>
      <c r="BS38" s="73">
        <f>$O$1947/$O$1935-1</f>
        <v>8.7799480419512577E-3</v>
      </c>
      <c r="BT38" s="73">
        <f>$O$1948/$O$1936-1</f>
        <v>8.7735112072593324E-3</v>
      </c>
      <c r="BU38" s="73">
        <f>$O$1949/$O$1937-1</f>
        <v>8.7670838037132715E-3</v>
      </c>
      <c r="BV38" s="73">
        <f>$O$1950/$O$1938-1</f>
        <v>8.7606658106016422E-3</v>
      </c>
      <c r="BW38" s="73">
        <f>$V38*$H$1939</f>
        <v>6400</v>
      </c>
      <c r="BX38" s="73">
        <f>$V38*$H$1940</f>
        <v>6400</v>
      </c>
      <c r="BY38" s="73">
        <f>$V38*$H$1941</f>
        <v>6400</v>
      </c>
      <c r="BZ38" s="73">
        <f>$V38*$H$1942</f>
        <v>6400</v>
      </c>
      <c r="CA38" s="73">
        <f>$V38*$H$1943</f>
        <v>6400</v>
      </c>
      <c r="CB38" s="73">
        <f>$V38*$H$1944</f>
        <v>6400</v>
      </c>
      <c r="CC38" s="73">
        <f>$V38*$H$1945</f>
        <v>6400</v>
      </c>
      <c r="CD38" s="73">
        <f>$V38*$H$1946</f>
        <v>6400</v>
      </c>
      <c r="CE38" s="73">
        <f>$V38*$H$1947</f>
        <v>6400</v>
      </c>
      <c r="CF38" s="73">
        <f>$V38*$H$1948</f>
        <v>6400</v>
      </c>
      <c r="CG38" s="73">
        <f>$V38*$H$1949</f>
        <v>6400</v>
      </c>
      <c r="CH38" s="73">
        <f>$V38*$H$1950</f>
        <v>6400</v>
      </c>
      <c r="CI38" s="75">
        <f>$O$1912</f>
        <v>1</v>
      </c>
      <c r="CJ38" s="73">
        <f>$H$1963</f>
        <v>1.0500000000000003</v>
      </c>
      <c r="CK38" s="73">
        <f>$I$1963</f>
        <v>1.0087961468131064</v>
      </c>
      <c r="CL38" s="73">
        <f>$J$1963</f>
        <v>1.0592362768738213</v>
      </c>
      <c r="CM38" s="73">
        <f t="shared" si="54"/>
        <v>0</v>
      </c>
      <c r="CN38" s="73">
        <f t="shared" si="55"/>
        <v>6400</v>
      </c>
      <c r="CO38" s="72">
        <f>$M38*($C38/$K$1963)*IF($O$1912=1,$F$1912/$G38,1)*$R38</f>
        <v>0.59561077727575185</v>
      </c>
      <c r="CP38" s="72">
        <f>$M38*(1+$S38)*($C38/$L$1963)*IF($O$1912=1,$F$1912/$H38,1)*$R38</f>
        <v>0.58821724161861155</v>
      </c>
      <c r="CQ38" s="73">
        <f t="shared" si="56"/>
        <v>3811.9089745648116</v>
      </c>
      <c r="CR38" s="73">
        <f t="shared" si="57"/>
        <v>3764.5903463591139</v>
      </c>
      <c r="CS38" s="73">
        <f t="shared" si="58"/>
        <v>0</v>
      </c>
      <c r="CT38" s="272">
        <f t="shared" si="59"/>
        <v>0</v>
      </c>
      <c r="CU38" s="75">
        <f t="shared" si="60"/>
        <v>1</v>
      </c>
      <c r="CV38" s="75">
        <f t="shared" si="61"/>
        <v>0</v>
      </c>
      <c r="CW38" s="273">
        <f t="shared" si="62"/>
        <v>46327</v>
      </c>
      <c r="CX38" s="274">
        <f t="shared" si="63"/>
        <v>0.06</v>
      </c>
      <c r="CY38" s="6" t="str">
        <f t="shared" si="64"/>
        <v>T</v>
      </c>
      <c r="CZ38" s="273" t="str">
        <f t="shared" si="65"/>
        <v/>
      </c>
      <c r="DA38" s="274" t="str">
        <f t="shared" si="66"/>
        <v/>
      </c>
      <c r="DB38" s="6" t="str">
        <f t="shared" si="67"/>
        <v/>
      </c>
      <c r="DC38" s="273" t="str">
        <f t="shared" si="68"/>
        <v/>
      </c>
      <c r="DD38" s="274" t="str">
        <f t="shared" si="69"/>
        <v/>
      </c>
      <c r="DE38" s="6" t="str">
        <f t="shared" si="70"/>
        <v/>
      </c>
      <c r="DF38" s="273" t="str">
        <f t="shared" si="71"/>
        <v/>
      </c>
      <c r="DG38" s="274" t="str">
        <f t="shared" si="72"/>
        <v/>
      </c>
      <c r="DH38" s="6" t="str">
        <f t="shared" si="73"/>
        <v/>
      </c>
    </row>
    <row r="39" spans="1:112" x14ac:dyDescent="0.3">
      <c r="A39" s="6" t="str">
        <f>$A$1966</f>
        <v>MM|OH</v>
      </c>
      <c r="B39" s="75">
        <f>$C$1966</f>
        <v>6</v>
      </c>
      <c r="C39" s="73">
        <f>$B$2017</f>
        <v>1</v>
      </c>
      <c r="D39" s="73">
        <f>$C$2017</f>
        <v>1</v>
      </c>
      <c r="E39" s="73">
        <f>$D$2017</f>
        <v>1</v>
      </c>
      <c r="F39" s="73">
        <f>$E$2017</f>
        <v>1</v>
      </c>
      <c r="G39" s="224">
        <f>$F$2017</f>
        <v>0.90600747629467537</v>
      </c>
      <c r="H39" s="224">
        <f>$G$2017</f>
        <v>0.90033977631898854</v>
      </c>
      <c r="I39" s="73">
        <f t="shared" si="37"/>
        <v>1</v>
      </c>
      <c r="J39" s="73">
        <f t="shared" si="38"/>
        <v>1</v>
      </c>
      <c r="K39" s="73">
        <f>IF($L$1966,1,IF(AND(nr_ModAdjMaster="ON",INDEX(lr_modadj,36)="ON"),$F$1966/$G39,1))</f>
        <v>1.0154441592055623</v>
      </c>
      <c r="L39" s="73">
        <f>IF($L$1966,1,IF(AND(nr_ModAdjMaster="ON",INDEX(lr_modadj,36)="ON"),$F$1966/$H39,1))</f>
        <v>1.0218364490808034</v>
      </c>
      <c r="M39" s="72">
        <f>IF(INDEX(lr_basis,36)="proposed",N(INDEX(lr_lrproj,36))*(1+N(INDEX(lr_s,36))),N(INDEX(lr_lrproj,36)))</f>
        <v>0.57199999999999995</v>
      </c>
      <c r="N39" s="72">
        <f t="shared" si="39"/>
        <v>0.58083405906558161</v>
      </c>
      <c r="O39" s="72">
        <f t="shared" si="40"/>
        <v>0.58449044887421953</v>
      </c>
      <c r="P39" s="72">
        <f t="shared" si="41"/>
        <v>0</v>
      </c>
      <c r="Q39" s="72">
        <f t="shared" si="42"/>
        <v>0</v>
      </c>
      <c r="R39" s="73">
        <f>IF(N(INDEX(lr_aother,36))=0,1,INDEX(lr_aother,36))</f>
        <v>1</v>
      </c>
      <c r="S39" s="72">
        <f>IF(ISBLANK(INDEX(lr_trend,36)),N(nr_TrendDefault),N(INDEX(lr_trend,36)))</f>
        <v>0</v>
      </c>
      <c r="T39" s="6" t="str">
        <f>INDEX(lr_state,36)</f>
        <v>OH</v>
      </c>
      <c r="U39" s="6" t="str">
        <f>INDEX(lr_bu,36)</f>
        <v>MM</v>
      </c>
      <c r="V39" s="271">
        <f>N(INDEX(lr_ep,36))</f>
        <v>16800</v>
      </c>
      <c r="W39" s="73">
        <f>N(INDEX(lr_mind,36))*$V39</f>
        <v>15456</v>
      </c>
      <c r="X39" s="73">
        <f>N(INDEX(lr_m0,36))*$V39</f>
        <v>15288</v>
      </c>
      <c r="Y39" s="73">
        <f>N(INDEX(lr_m1,36))*$V39</f>
        <v>15120</v>
      </c>
      <c r="Z39" s="73">
        <f t="shared" si="43"/>
        <v>16800</v>
      </c>
      <c r="AA39" s="73">
        <f t="shared" si="44"/>
        <v>16800</v>
      </c>
      <c r="AB39" s="73">
        <f t="shared" si="45"/>
        <v>16800</v>
      </c>
      <c r="AC39" s="73">
        <f t="shared" si="46"/>
        <v>15220.925601750547</v>
      </c>
      <c r="AD39" s="73">
        <f t="shared" si="47"/>
        <v>17059.461874653447</v>
      </c>
      <c r="AE39" s="73">
        <f t="shared" si="48"/>
        <v>9609.5999999999985</v>
      </c>
      <c r="AF39" s="73">
        <f t="shared" si="49"/>
        <v>9758.0121923017705</v>
      </c>
      <c r="AG39" s="73">
        <f t="shared" si="50"/>
        <v>0</v>
      </c>
      <c r="AH39" s="73">
        <f t="shared" si="51"/>
        <v>16800</v>
      </c>
      <c r="AI39" s="73">
        <f t="shared" si="52"/>
        <v>17166.852344557497</v>
      </c>
      <c r="AJ39" s="73">
        <f t="shared" si="53"/>
        <v>9819.4395410868874</v>
      </c>
      <c r="AK39" s="75">
        <f>IF($L$1966,1,0)</f>
        <v>0</v>
      </c>
      <c r="AL39" s="72">
        <f>IF($L$1966,$M$1966,0)</f>
        <v>0</v>
      </c>
      <c r="AM39" s="73">
        <f>$N$1993/$N$1981*IF($O$1966=1,$O$1993/$O$1981,1)-1</f>
        <v>-8.7227712124651191E-3</v>
      </c>
      <c r="AN39" s="73">
        <f>$N$1994/$N$1982*IF($O$1966=1,$O$1994/$O$1982,1)-1</f>
        <v>-8.7289250269041441E-3</v>
      </c>
      <c r="AO39" s="73">
        <f>$N$1995/$N$1983*IF($O$1966=1,$O$1995/$O$1983,1)-1</f>
        <v>-8.7350875303633391E-3</v>
      </c>
      <c r="AP39" s="73">
        <f>$N$1996/$N$1984*IF($O$1966=1,$O$1996/$O$1984,1)-1</f>
        <v>-8.7414680876541917E-3</v>
      </c>
      <c r="AQ39" s="73">
        <f>$N$1997/$N$1985*IF($O$1966=1,$O$1997/$O$1985,1)-1</f>
        <v>-8.7478579731332662E-3</v>
      </c>
      <c r="AR39" s="73">
        <f>$N$1998/$N$1986*IF($O$1966=1,$O$1998/$O$1986,1)-1</f>
        <v>-8.7542572072719649E-3</v>
      </c>
      <c r="AS39" s="73">
        <f>$N$1999/$N$1987*IF($O$1966=1,$O$1999/$O$1987,1)-1</f>
        <v>-8.7606658106015312E-3</v>
      </c>
      <c r="AT39" s="73">
        <f>$N$2000/$N$1988*IF($O$1966=1,$O$2000/$O$1988,1)-1</f>
        <v>-8.7671890950580256E-3</v>
      </c>
      <c r="AU39" s="73">
        <f>$N$2001/$N$1989*IF($O$1966=1,$O$2001/$O$1989,1)-1</f>
        <v>-8.7736166530455462E-3</v>
      </c>
      <c r="AV39" s="73">
        <f>$N$2002/$N$1990*IF($O$1966=1,$O$2002/$O$1990,1)-1</f>
        <v>-8.7800536425195475E-3</v>
      </c>
      <c r="AW39" s="73">
        <f>$N$2003/$N$1991*IF($O$1966=1,$O$2003/$O$1991,1)-1</f>
        <v>-8.7865000842540786E-3</v>
      </c>
      <c r="AX39" s="73">
        <f>$N$2004/$N$1992*IF($O$1966=1,$O$2004/$O$1992,1)-1</f>
        <v>-8.7929559990846951E-3</v>
      </c>
      <c r="AY39" s="73">
        <f>$N$1993/$N$1981-1</f>
        <v>0</v>
      </c>
      <c r="AZ39" s="73">
        <f>$N$1994/$N$1982-1</f>
        <v>0</v>
      </c>
      <c r="BA39" s="73">
        <f>$N$1995/$N$1983-1</f>
        <v>0</v>
      </c>
      <c r="BB39" s="73">
        <f>$N$1996/$N$1984-1</f>
        <v>0</v>
      </c>
      <c r="BC39" s="73">
        <f>$N$1997/$N$1985-1</f>
        <v>0</v>
      </c>
      <c r="BD39" s="73">
        <f>$N$1998/$N$1986-1</f>
        <v>0</v>
      </c>
      <c r="BE39" s="73">
        <f>$N$1999/$N$1987-1</f>
        <v>0</v>
      </c>
      <c r="BF39" s="73">
        <f>$N$2000/$N$1988-1</f>
        <v>0</v>
      </c>
      <c r="BG39" s="73">
        <f>$N$2001/$N$1989-1</f>
        <v>0</v>
      </c>
      <c r="BH39" s="73">
        <f>$N$2002/$N$1990-1</f>
        <v>0</v>
      </c>
      <c r="BI39" s="73">
        <f>$N$2003/$N$1991-1</f>
        <v>0</v>
      </c>
      <c r="BJ39" s="73">
        <f>$N$2004/$N$1992-1</f>
        <v>0</v>
      </c>
      <c r="BK39" s="73">
        <f>$O$1993/$O$1981-1</f>
        <v>-8.7227712124651191E-3</v>
      </c>
      <c r="BL39" s="73">
        <f>$O$1994/$O$1982-1</f>
        <v>-8.7289250269041441E-3</v>
      </c>
      <c r="BM39" s="73">
        <f>$O$1995/$O$1983-1</f>
        <v>-8.7350875303633391E-3</v>
      </c>
      <c r="BN39" s="73">
        <f>$O$1996/$O$1984-1</f>
        <v>-8.7414680876541917E-3</v>
      </c>
      <c r="BO39" s="73">
        <f>$O$1997/$O$1985-1</f>
        <v>-8.7478579731332662E-3</v>
      </c>
      <c r="BP39" s="73">
        <f>$O$1998/$O$1986-1</f>
        <v>-8.7542572072719649E-3</v>
      </c>
      <c r="BQ39" s="73">
        <f>$O$1999/$O$1987-1</f>
        <v>-8.7606658106015312E-3</v>
      </c>
      <c r="BR39" s="73">
        <f>$O$2000/$O$1988-1</f>
        <v>-8.7671890950580256E-3</v>
      </c>
      <c r="BS39" s="73">
        <f>$O$2001/$O$1989-1</f>
        <v>-8.7736166530455462E-3</v>
      </c>
      <c r="BT39" s="73">
        <f>$O$2002/$O$1990-1</f>
        <v>-8.7800536425195475E-3</v>
      </c>
      <c r="BU39" s="73">
        <f>$O$2003/$O$1991-1</f>
        <v>-8.7865000842540786E-3</v>
      </c>
      <c r="BV39" s="73">
        <f>$O$2004/$O$1992-1</f>
        <v>-8.7929559990846951E-3</v>
      </c>
      <c r="BW39" s="73">
        <f>$V39*$H$1993</f>
        <v>16800</v>
      </c>
      <c r="BX39" s="73">
        <f>$V39*$H$1994</f>
        <v>16800</v>
      </c>
      <c r="BY39" s="73">
        <f>$V39*$H$1995</f>
        <v>16800</v>
      </c>
      <c r="BZ39" s="73">
        <f>$V39*$H$1996</f>
        <v>16800</v>
      </c>
      <c r="CA39" s="73">
        <f>$V39*$H$1997</f>
        <v>16800</v>
      </c>
      <c r="CB39" s="73">
        <f>$V39*$H$1998</f>
        <v>16800</v>
      </c>
      <c r="CC39" s="73">
        <f>$V39*$H$1999</f>
        <v>16800</v>
      </c>
      <c r="CD39" s="73">
        <f>$V39*$H$2000</f>
        <v>16800</v>
      </c>
      <c r="CE39" s="73">
        <f>$V39*$H$2001</f>
        <v>16800</v>
      </c>
      <c r="CF39" s="73">
        <f>$V39*$H$2002</f>
        <v>16800</v>
      </c>
      <c r="CG39" s="73">
        <f>$V39*$H$2003</f>
        <v>16800</v>
      </c>
      <c r="CH39" s="73">
        <f>$V39*$H$2004</f>
        <v>16800</v>
      </c>
      <c r="CI39" s="75">
        <f>$O$1966</f>
        <v>1</v>
      </c>
      <c r="CJ39" s="73">
        <f>$H$2017</f>
        <v>1</v>
      </c>
      <c r="CK39" s="73">
        <f>$I$2017</f>
        <v>0.99124238763980388</v>
      </c>
      <c r="CL39" s="73">
        <f>$J$2017</f>
        <v>0.99124238763980388</v>
      </c>
      <c r="CM39" s="73">
        <f t="shared" si="54"/>
        <v>0</v>
      </c>
      <c r="CN39" s="73">
        <f t="shared" si="55"/>
        <v>16800</v>
      </c>
      <c r="CO39" s="72">
        <f>$M39*($C39/$K$2017)*IF($O$1966=1,$F$1966/$G39,1)*$R39</f>
        <v>0.58083405906558161</v>
      </c>
      <c r="CP39" s="72">
        <f>$M39*(1+$S39)*($C39/$L$2017)*IF($O$1966=1,$F$1966/$H39,1)*$R39</f>
        <v>0.58449044887421953</v>
      </c>
      <c r="CQ39" s="73">
        <f t="shared" si="56"/>
        <v>9758.0121923017705</v>
      </c>
      <c r="CR39" s="73">
        <f t="shared" si="57"/>
        <v>9819.4395410868874</v>
      </c>
      <c r="CS39" s="73">
        <f t="shared" si="58"/>
        <v>0</v>
      </c>
      <c r="CT39" s="272">
        <f t="shared" si="59"/>
        <v>0</v>
      </c>
      <c r="CU39" s="75">
        <f t="shared" si="60"/>
        <v>0</v>
      </c>
      <c r="CV39" s="75">
        <f t="shared" si="61"/>
        <v>0</v>
      </c>
      <c r="CW39" s="273" t="str">
        <f t="shared" si="62"/>
        <v/>
      </c>
      <c r="CX39" s="274" t="str">
        <f t="shared" si="63"/>
        <v/>
      </c>
      <c r="CY39" s="6" t="str">
        <f t="shared" si="64"/>
        <v/>
      </c>
      <c r="CZ39" s="273" t="str">
        <f t="shared" si="65"/>
        <v/>
      </c>
      <c r="DA39" s="274" t="str">
        <f t="shared" si="66"/>
        <v/>
      </c>
      <c r="DB39" s="6" t="str">
        <f t="shared" si="67"/>
        <v/>
      </c>
      <c r="DC39" s="273" t="str">
        <f t="shared" si="68"/>
        <v/>
      </c>
      <c r="DD39" s="274" t="str">
        <f t="shared" si="69"/>
        <v/>
      </c>
      <c r="DE39" s="6" t="str">
        <f t="shared" si="70"/>
        <v/>
      </c>
      <c r="DF39" s="273" t="str">
        <f t="shared" si="71"/>
        <v/>
      </c>
      <c r="DG39" s="274" t="str">
        <f t="shared" si="72"/>
        <v/>
      </c>
      <c r="DH39" s="6" t="str">
        <f t="shared" si="73"/>
        <v/>
      </c>
    </row>
    <row r="40" spans="1:112" x14ac:dyDescent="0.3">
      <c r="A40" s="6" t="str">
        <f>$A$2020</f>
        <v>MM|PA</v>
      </c>
      <c r="B40" s="75">
        <f>$C$2020</f>
        <v>6</v>
      </c>
      <c r="C40" s="73">
        <f>$B$2071</f>
        <v>1.03</v>
      </c>
      <c r="D40" s="73">
        <f>$C$2071</f>
        <v>1.0225</v>
      </c>
      <c r="E40" s="73">
        <f>$D$2071</f>
        <v>1.03</v>
      </c>
      <c r="F40" s="73">
        <f>$E$2071</f>
        <v>1.03</v>
      </c>
      <c r="G40" s="224">
        <f>$F$2071</f>
        <v>0.91199626185266247</v>
      </c>
      <c r="H40" s="224">
        <f>$G$2071</f>
        <v>0.91483011184050556</v>
      </c>
      <c r="I40" s="73">
        <f t="shared" si="37"/>
        <v>1</v>
      </c>
      <c r="J40" s="73">
        <f t="shared" si="38"/>
        <v>1</v>
      </c>
      <c r="K40" s="73">
        <f>IF($L$2020,1,IF(AND(nr_ModAdjMaster="ON",INDEX(lr_modadj,37)="ON"),$F$2020/$G40,1))</f>
        <v>1.0087760646420616</v>
      </c>
      <c r="L40" s="73">
        <f>IF($L$2020,1,IF(AND(nr_ModAdjMaster="ON",INDEX(lr_modadj,37)="ON"),$F$2020/$H40,1))</f>
        <v>1.0056512002530102</v>
      </c>
      <c r="M40" s="72">
        <f>IF(INDEX(lr_basis,37)="proposed",N(INDEX(lr_lrproj,37))*(1+N(INDEX(lr_s,37))),N(INDEX(lr_lrproj,37)))</f>
        <v>0.6</v>
      </c>
      <c r="N40" s="72">
        <f t="shared" si="39"/>
        <v>0.60526563878523698</v>
      </c>
      <c r="O40" s="72">
        <f t="shared" si="40"/>
        <v>0.60339072015180617</v>
      </c>
      <c r="P40" s="72">
        <f t="shared" si="41"/>
        <v>0</v>
      </c>
      <c r="Q40" s="72">
        <f t="shared" si="42"/>
        <v>0</v>
      </c>
      <c r="R40" s="73">
        <f>IF(N(INDEX(lr_aother,37))=0,1,INDEX(lr_aother,37))</f>
        <v>1</v>
      </c>
      <c r="S40" s="72">
        <f>IF(ISBLANK(INDEX(lr_trend,37)),N(nr_TrendDefault),N(INDEX(lr_trend,37)))</f>
        <v>0</v>
      </c>
      <c r="T40" s="6" t="str">
        <f>INDEX(lr_state,37)</f>
        <v>PA</v>
      </c>
      <c r="U40" s="6" t="str">
        <f>INDEX(lr_bu,37)</f>
        <v>MM</v>
      </c>
      <c r="V40" s="271">
        <f>N(INDEX(lr_ep,37))</f>
        <v>13600</v>
      </c>
      <c r="W40" s="73">
        <f>N(INDEX(lr_mind,37))*$V40</f>
        <v>12512</v>
      </c>
      <c r="X40" s="73">
        <f>N(INDEX(lr_m0,37))*$V40</f>
        <v>12376</v>
      </c>
      <c r="Y40" s="73">
        <f>N(INDEX(lr_m1,37))*$V40</f>
        <v>12444</v>
      </c>
      <c r="Z40" s="73">
        <f t="shared" si="43"/>
        <v>14008</v>
      </c>
      <c r="AA40" s="73">
        <f t="shared" si="44"/>
        <v>14008</v>
      </c>
      <c r="AB40" s="73">
        <f t="shared" si="45"/>
        <v>13600</v>
      </c>
      <c r="AC40" s="73">
        <f t="shared" si="46"/>
        <v>12403.14916119621</v>
      </c>
      <c r="AD40" s="73">
        <f t="shared" si="47"/>
        <v>13719.354479132038</v>
      </c>
      <c r="AE40" s="73">
        <f t="shared" si="48"/>
        <v>8160</v>
      </c>
      <c r="AF40" s="73">
        <f t="shared" si="49"/>
        <v>8231.6126874792226</v>
      </c>
      <c r="AG40" s="73">
        <f t="shared" si="50"/>
        <v>0</v>
      </c>
      <c r="AH40" s="73">
        <f t="shared" si="51"/>
        <v>13600</v>
      </c>
      <c r="AI40" s="73">
        <f t="shared" si="52"/>
        <v>13676.856323440939</v>
      </c>
      <c r="AJ40" s="73">
        <f t="shared" si="53"/>
        <v>8206.113794064564</v>
      </c>
      <c r="AK40" s="75">
        <f>IF($L$2020,1,0)</f>
        <v>0</v>
      </c>
      <c r="AL40" s="72">
        <f>IF($L$2020,$M$2020,0)</f>
        <v>0</v>
      </c>
      <c r="AM40" s="73">
        <f>$N$2047/$N$2035*IF($O$2020=1,$O$2047/$O$2035,1)-1</f>
        <v>4.4020188985305353E-3</v>
      </c>
      <c r="AN40" s="73">
        <f>$N$2048/$N$2036*IF($O$2020=1,$O$2048/$O$2036,1)-1</f>
        <v>4.4004533069708085E-3</v>
      </c>
      <c r="AO40" s="73">
        <f>$N$2049/$N$2037*IF($O$2020=1,$O$2049/$O$2037,1)-1</f>
        <v>4.3988888286301542E-3</v>
      </c>
      <c r="AP40" s="73">
        <f>$N$2050/$N$2038*IF($O$2020=1,$O$2050/$O$2038,1)-1</f>
        <v>4.3972724863263757E-3</v>
      </c>
      <c r="AQ40" s="73">
        <f>$N$2051/$N$2039*IF($O$2020=1,$O$2051/$O$2039,1)-1</f>
        <v>4.3956573314145597E-3</v>
      </c>
      <c r="AR40" s="73">
        <f>$N$2052/$N$2040*IF($O$2020=1,$O$2052/$O$2040,1)-1</f>
        <v>4.3940433625868636E-3</v>
      </c>
      <c r="AS40" s="73">
        <f>$N$2053/$N$2041*IF($O$2020=1,$O$2053/$O$2041,1)-1</f>
        <v>4.3924305785372209E-3</v>
      </c>
      <c r="AT40" s="73">
        <f>$N$2054/$N$2042*IF($O$2020=1,$O$2054/$O$2042,1)-1</f>
        <v>4.3907925681323512E-3</v>
      </c>
      <c r="AU40" s="73">
        <f>$N$2055/$N$2043*IF($O$2020=1,$O$2055/$O$2043,1)-1</f>
        <v>4.3891821690977828E-3</v>
      </c>
      <c r="AV40" s="73">
        <f>$N$2056/$N$2044*IF($O$2020=1,$O$2056/$O$2044,1)-1</f>
        <v>4.3875729509132988E-3</v>
      </c>
      <c r="AW40" s="73">
        <f>$N$2057/$N$2045*IF($O$2020=1,$O$2057/$O$2045,1)-1</f>
        <v>4.3859649122806044E-3</v>
      </c>
      <c r="AX40" s="73">
        <f>$N$2058/$N$2046*IF($O$2020=1,$O$2058/$O$2046,1)-1</f>
        <v>4.3843580519036252E-3</v>
      </c>
      <c r="AY40" s="73">
        <f>$N$2047/$N$2035-1</f>
        <v>0</v>
      </c>
      <c r="AZ40" s="73">
        <f>$N$2048/$N$2036-1</f>
        <v>0</v>
      </c>
      <c r="BA40" s="73">
        <f>$N$2049/$N$2037-1</f>
        <v>0</v>
      </c>
      <c r="BB40" s="73">
        <f>$N$2050/$N$2038-1</f>
        <v>0</v>
      </c>
      <c r="BC40" s="73">
        <f>$N$2051/$N$2039-1</f>
        <v>0</v>
      </c>
      <c r="BD40" s="73">
        <f>$N$2052/$N$2040-1</f>
        <v>0</v>
      </c>
      <c r="BE40" s="73">
        <f>$N$2053/$N$2041-1</f>
        <v>0</v>
      </c>
      <c r="BF40" s="73">
        <f>$N$2054/$N$2042-1</f>
        <v>0</v>
      </c>
      <c r="BG40" s="73">
        <f>$N$2055/$N$2043-1</f>
        <v>0</v>
      </c>
      <c r="BH40" s="73">
        <f>$N$2056/$N$2044-1</f>
        <v>0</v>
      </c>
      <c r="BI40" s="73">
        <f>$N$2057/$N$2045-1</f>
        <v>0</v>
      </c>
      <c r="BJ40" s="73">
        <f>$N$2058/$N$2046-1</f>
        <v>0</v>
      </c>
      <c r="BK40" s="73">
        <f>$O$2047/$O$2035-1</f>
        <v>4.4020188985305353E-3</v>
      </c>
      <c r="BL40" s="73">
        <f>$O$2048/$O$2036-1</f>
        <v>4.4004533069708085E-3</v>
      </c>
      <c r="BM40" s="73">
        <f>$O$2049/$O$2037-1</f>
        <v>4.3988888286301542E-3</v>
      </c>
      <c r="BN40" s="73">
        <f>$O$2050/$O$2038-1</f>
        <v>4.3972724863263757E-3</v>
      </c>
      <c r="BO40" s="73">
        <f>$O$2051/$O$2039-1</f>
        <v>4.3956573314145597E-3</v>
      </c>
      <c r="BP40" s="73">
        <f>$O$2052/$O$2040-1</f>
        <v>4.3940433625868636E-3</v>
      </c>
      <c r="BQ40" s="73">
        <f>$O$2053/$O$2041-1</f>
        <v>4.3924305785372209E-3</v>
      </c>
      <c r="BR40" s="73">
        <f>$O$2054/$O$2042-1</f>
        <v>4.3907925681323512E-3</v>
      </c>
      <c r="BS40" s="73">
        <f>$O$2055/$O$2043-1</f>
        <v>4.3891821690977828E-3</v>
      </c>
      <c r="BT40" s="73">
        <f>$O$2056/$O$2044-1</f>
        <v>4.3875729509132988E-3</v>
      </c>
      <c r="BU40" s="73">
        <f>$O$2057/$O$2045-1</f>
        <v>4.3859649122806044E-3</v>
      </c>
      <c r="BV40" s="73">
        <f>$O$2058/$O$2046-1</f>
        <v>4.3843580519036252E-3</v>
      </c>
      <c r="BW40" s="73">
        <f>$V40*$H$2047</f>
        <v>13600</v>
      </c>
      <c r="BX40" s="73">
        <f>$V40*$H$2048</f>
        <v>13600</v>
      </c>
      <c r="BY40" s="73">
        <f>$V40*$H$2049</f>
        <v>13600</v>
      </c>
      <c r="BZ40" s="73">
        <f>$V40*$H$2050</f>
        <v>13600</v>
      </c>
      <c r="CA40" s="73">
        <f>$V40*$H$2051</f>
        <v>13600</v>
      </c>
      <c r="CB40" s="73">
        <f>$V40*$H$2052</f>
        <v>13600</v>
      </c>
      <c r="CC40" s="73">
        <f>$V40*$H$2053</f>
        <v>13600</v>
      </c>
      <c r="CD40" s="73">
        <f>$V40*$H$2054</f>
        <v>13600</v>
      </c>
      <c r="CE40" s="73">
        <f>$V40*$H$2055</f>
        <v>13600</v>
      </c>
      <c r="CF40" s="73">
        <f>$V40*$H$2056</f>
        <v>13600</v>
      </c>
      <c r="CG40" s="73">
        <f>$V40*$H$2057</f>
        <v>13600</v>
      </c>
      <c r="CH40" s="73">
        <f>$V40*$H$2058</f>
        <v>13600</v>
      </c>
      <c r="CI40" s="75">
        <f>$O$2020</f>
        <v>1</v>
      </c>
      <c r="CJ40" s="73">
        <f>$H$2071</f>
        <v>1</v>
      </c>
      <c r="CK40" s="73">
        <f>$I$2071</f>
        <v>1.0043932196204437</v>
      </c>
      <c r="CL40" s="73">
        <f>$J$2071</f>
        <v>1.0043932196204437</v>
      </c>
      <c r="CM40" s="73">
        <f t="shared" si="54"/>
        <v>0</v>
      </c>
      <c r="CN40" s="73">
        <f t="shared" si="55"/>
        <v>13600</v>
      </c>
      <c r="CO40" s="72">
        <f>$M40*($C40/$K$2071)*IF($O$2020=1,$F$2020/$G40,1)*$R40</f>
        <v>0.60526563878523698</v>
      </c>
      <c r="CP40" s="72">
        <f>$M40*(1+$S40)*($C40/$L$2071)*IF($O$2020=1,$F$2020/$H40,1)*$R40</f>
        <v>0.60339072015180617</v>
      </c>
      <c r="CQ40" s="73">
        <f t="shared" si="56"/>
        <v>8231.6126874792226</v>
      </c>
      <c r="CR40" s="73">
        <f t="shared" si="57"/>
        <v>8206.113794064564</v>
      </c>
      <c r="CS40" s="73">
        <f t="shared" si="58"/>
        <v>0</v>
      </c>
      <c r="CT40" s="272">
        <f t="shared" si="59"/>
        <v>0</v>
      </c>
      <c r="CU40" s="75">
        <f t="shared" si="60"/>
        <v>1</v>
      </c>
      <c r="CV40" s="75">
        <f t="shared" si="61"/>
        <v>0</v>
      </c>
      <c r="CW40" s="273">
        <f t="shared" si="62"/>
        <v>46023</v>
      </c>
      <c r="CX40" s="274">
        <f t="shared" si="63"/>
        <v>0.03</v>
      </c>
      <c r="CY40" s="6" t="str">
        <f t="shared" si="64"/>
        <v>T</v>
      </c>
      <c r="CZ40" s="273" t="str">
        <f t="shared" si="65"/>
        <v/>
      </c>
      <c r="DA40" s="274" t="str">
        <f t="shared" si="66"/>
        <v/>
      </c>
      <c r="DB40" s="6" t="str">
        <f t="shared" si="67"/>
        <v/>
      </c>
      <c r="DC40" s="273" t="str">
        <f t="shared" si="68"/>
        <v/>
      </c>
      <c r="DD40" s="274" t="str">
        <f t="shared" si="69"/>
        <v/>
      </c>
      <c r="DE40" s="6" t="str">
        <f t="shared" si="70"/>
        <v/>
      </c>
      <c r="DF40" s="273" t="str">
        <f t="shared" si="71"/>
        <v/>
      </c>
      <c r="DG40" s="274" t="str">
        <f t="shared" si="72"/>
        <v/>
      </c>
      <c r="DH40" s="6" t="str">
        <f t="shared" si="73"/>
        <v/>
      </c>
    </row>
    <row r="41" spans="1:112" x14ac:dyDescent="0.3">
      <c r="A41" s="6" t="str">
        <f>$A$2074</f>
        <v>MM|SC</v>
      </c>
      <c r="B41" s="75">
        <f>$C$2074</f>
        <v>6</v>
      </c>
      <c r="C41" s="73">
        <f>$B$2125</f>
        <v>1.04</v>
      </c>
      <c r="D41" s="73">
        <f>$C$2125</f>
        <v>1.0266666666666666</v>
      </c>
      <c r="E41" s="73">
        <f>$D$2125</f>
        <v>1.0472222222222223</v>
      </c>
      <c r="F41" s="73">
        <f>$E$2125</f>
        <v>1.0813111111111111</v>
      </c>
      <c r="G41" s="224">
        <f>$F$2125</f>
        <v>0.91798504741064912</v>
      </c>
      <c r="H41" s="224">
        <f>$G$2125</f>
        <v>0.92932044736202268</v>
      </c>
      <c r="I41" s="73">
        <f t="shared" si="37"/>
        <v>0.99310344827586206</v>
      </c>
      <c r="J41" s="73">
        <f t="shared" si="38"/>
        <v>0.96179535132246863</v>
      </c>
      <c r="K41" s="73">
        <f>IF($L$2074,1,IF(AND(nr_ModAdjMaster="ON",INDEX(lr_modadj,38)="ON"),$F$2074/$G41,1))</f>
        <v>1.0021949732133812</v>
      </c>
      <c r="L41" s="73">
        <f>IF($L$2074,1,IF(AND(nr_ModAdjMaster="ON",INDEX(lr_modadj,38)="ON"),$F$2074/$H41,1))</f>
        <v>0.98997068515119868</v>
      </c>
      <c r="M41" s="72">
        <f>IF(INDEX(lr_basis,38)="proposed",N(INDEX(lr_lrproj,38))*(1+N(INDEX(lr_s,38))),N(INDEX(lr_lrproj,38)))</f>
        <v>0.58399999999999996</v>
      </c>
      <c r="N41" s="72">
        <f t="shared" si="39"/>
        <v>0.58124543770587933</v>
      </c>
      <c r="O41" s="72">
        <f t="shared" si="40"/>
        <v>0.55605513450758215</v>
      </c>
      <c r="P41" s="72">
        <f t="shared" si="41"/>
        <v>6.9444444444444198E-3</v>
      </c>
      <c r="Q41" s="72">
        <f t="shared" si="42"/>
        <v>3.2551724137930949E-2</v>
      </c>
      <c r="R41" s="73">
        <f>IF(N(INDEX(lr_aother,38))=0,1,INDEX(lr_aother,38))</f>
        <v>1</v>
      </c>
      <c r="S41" s="72">
        <f>IF(ISBLANK(INDEX(lr_trend,38)),N(nr_TrendDefault),N(INDEX(lr_trend,38)))</f>
        <v>0</v>
      </c>
      <c r="T41" s="6" t="str">
        <f>INDEX(lr_state,38)</f>
        <v>SC</v>
      </c>
      <c r="U41" s="6" t="str">
        <f>INDEX(lr_bu,38)</f>
        <v>MM</v>
      </c>
      <c r="V41" s="271">
        <f>N(INDEX(lr_ep,38))</f>
        <v>10400</v>
      </c>
      <c r="W41" s="73">
        <f>N(INDEX(lr_mind,38))*$V41</f>
        <v>9568</v>
      </c>
      <c r="X41" s="73">
        <f>N(INDEX(lr_m0,38))*$V41</f>
        <v>9464</v>
      </c>
      <c r="Y41" s="73">
        <f>N(INDEX(lr_m1,38))*$V41</f>
        <v>9672</v>
      </c>
      <c r="Z41" s="73">
        <f t="shared" si="43"/>
        <v>10816</v>
      </c>
      <c r="AA41" s="73">
        <f t="shared" si="44"/>
        <v>10891.111111111111</v>
      </c>
      <c r="AB41" s="73">
        <f t="shared" si="45"/>
        <v>10328.275862068966</v>
      </c>
      <c r="AC41" s="73">
        <f t="shared" si="46"/>
        <v>9547.0444930707508</v>
      </c>
      <c r="AD41" s="73">
        <f t="shared" si="47"/>
        <v>10422.827721419166</v>
      </c>
      <c r="AE41" s="73">
        <f t="shared" si="48"/>
        <v>6073.5999999999995</v>
      </c>
      <c r="AF41" s="73">
        <f t="shared" si="49"/>
        <v>6044.9525521411451</v>
      </c>
      <c r="AG41" s="73">
        <f t="shared" si="50"/>
        <v>0</v>
      </c>
      <c r="AH41" s="73">
        <f t="shared" si="51"/>
        <v>10002.671653753674</v>
      </c>
      <c r="AI41" s="73">
        <f t="shared" si="52"/>
        <v>10295.695125572467</v>
      </c>
      <c r="AJ41" s="73">
        <f t="shared" si="53"/>
        <v>5782.9733988788539</v>
      </c>
      <c r="AK41" s="75">
        <f>IF($L$2074,1,0)</f>
        <v>0</v>
      </c>
      <c r="AL41" s="72">
        <f>IF($L$2074,$M$2074,0)</f>
        <v>0</v>
      </c>
      <c r="AM41" s="73">
        <f>$N$2101/$N$2089*IF($O$2074=1,$O$2101/$O$2089,1)-1</f>
        <v>5.8484612388001622E-2</v>
      </c>
      <c r="AN41" s="73">
        <f>$N$2102/$N$2090*IF($O$2074=1,$O$2102/$O$2090,1)-1</f>
        <v>1.7748170479686909E-2</v>
      </c>
      <c r="AO41" s="73">
        <f>$N$2103/$N$2091*IF($O$2074=1,$O$2103/$O$2091,1)-1</f>
        <v>1.7722748239864083E-2</v>
      </c>
      <c r="AP41" s="73">
        <f>$N$2104/$N$2092*IF($O$2074=1,$O$2104/$O$2092,1)-1</f>
        <v>1.7696540689922768E-2</v>
      </c>
      <c r="AQ41" s="73">
        <f>$N$2105/$N$2093*IF($O$2074=1,$O$2105/$O$2093,1)-1</f>
        <v>1.7670410534469383E-2</v>
      </c>
      <c r="AR41" s="73">
        <f>$N$2106/$N$2094*IF($O$2074=1,$O$2106/$O$2094,1)-1</f>
        <v>1.7644357431174873E-2</v>
      </c>
      <c r="AS41" s="73">
        <f>$N$2107/$N$2095*IF($O$2074=1,$O$2107/$O$2095,1)-1</f>
        <v>1.7618381039725906E-2</v>
      </c>
      <c r="AT41" s="73">
        <f>$N$2108/$N$2096*IF($O$2074=1,$O$2108/$O$2096,1)-1</f>
        <v>5.8295739348370956E-2</v>
      </c>
      <c r="AU41" s="73">
        <f>$N$2109/$N$2097*IF($O$2074=1,$O$2109/$O$2097,1)-1</f>
        <v>5.8268883701903418E-2</v>
      </c>
      <c r="AV41" s="73">
        <f>$N$2110/$N$2098*IF($O$2074=1,$O$2110/$O$2098,1)-1</f>
        <v>5.8242106780719727E-2</v>
      </c>
      <c r="AW41" s="73">
        <f>$N$2111/$N$2099*IF($O$2074=1,$O$2111/$O$2099,1)-1</f>
        <v>5.8215408239161048E-2</v>
      </c>
      <c r="AX41" s="73">
        <f>$N$2112/$N$2100*IF($O$2074=1,$O$2112/$O$2100,1)-1</f>
        <v>5.8188787733588709E-2</v>
      </c>
      <c r="AY41" s="73">
        <f>$N$2101/$N$2089-1</f>
        <v>4.0000000000000036E-2</v>
      </c>
      <c r="AZ41" s="73">
        <f>$N$2102/$N$2090-1</f>
        <v>0</v>
      </c>
      <c r="BA41" s="73">
        <f>$N$2103/$N$2091-1</f>
        <v>0</v>
      </c>
      <c r="BB41" s="73">
        <f>$N$2104/$N$2092-1</f>
        <v>0</v>
      </c>
      <c r="BC41" s="73">
        <f>$N$2105/$N$2093-1</f>
        <v>0</v>
      </c>
      <c r="BD41" s="73">
        <f>$N$2106/$N$2094-1</f>
        <v>0</v>
      </c>
      <c r="BE41" s="73">
        <f>$N$2107/$N$2095-1</f>
        <v>0</v>
      </c>
      <c r="BF41" s="73">
        <f>$N$2108/$N$2096-1</f>
        <v>4.0000000000000036E-2</v>
      </c>
      <c r="BG41" s="73">
        <f>$N$2109/$N$2097-1</f>
        <v>4.0000000000000036E-2</v>
      </c>
      <c r="BH41" s="73">
        <f>$N$2110/$N$2098-1</f>
        <v>4.0000000000000036E-2</v>
      </c>
      <c r="BI41" s="73">
        <f>$N$2111/$N$2099-1</f>
        <v>4.0000000000000036E-2</v>
      </c>
      <c r="BJ41" s="73">
        <f>$N$2112/$N$2100-1</f>
        <v>4.0000000000000036E-2</v>
      </c>
      <c r="BK41" s="73">
        <f>$O$2101/$O$2089-1</f>
        <v>1.7773665757693902E-2</v>
      </c>
      <c r="BL41" s="73">
        <f>$O$2102/$O$2090-1</f>
        <v>1.7748170479686909E-2</v>
      </c>
      <c r="BM41" s="73">
        <f>$O$2103/$O$2091-1</f>
        <v>1.7722748239864083E-2</v>
      </c>
      <c r="BN41" s="73">
        <f>$O$2104/$O$2092-1</f>
        <v>1.7696540689922768E-2</v>
      </c>
      <c r="BO41" s="73">
        <f>$O$2105/$O$2093-1</f>
        <v>1.7670410534469383E-2</v>
      </c>
      <c r="BP41" s="73">
        <f>$O$2106/$O$2094-1</f>
        <v>1.7644357431174873E-2</v>
      </c>
      <c r="BQ41" s="73">
        <f>$O$2107/$O$2095-1</f>
        <v>1.7618381039725906E-2</v>
      </c>
      <c r="BR41" s="73">
        <f>$O$2108/$O$2096-1</f>
        <v>1.7592057065741296E-2</v>
      </c>
      <c r="BS41" s="73">
        <f>$O$2109/$O$2097-1</f>
        <v>1.7566234328753261E-2</v>
      </c>
      <c r="BT41" s="73">
        <f>$O$2110/$O$2098-1</f>
        <v>1.7540487289153583E-2</v>
      </c>
      <c r="BU41" s="73">
        <f>$O$2111/$O$2099-1</f>
        <v>1.7514815614577905E-2</v>
      </c>
      <c r="BV41" s="73">
        <f>$O$2112/$O$2100-1</f>
        <v>1.7489218974604537E-2</v>
      </c>
      <c r="BW41" s="73">
        <f>$V41*$H$2101</f>
        <v>10400</v>
      </c>
      <c r="BX41" s="73">
        <f>$V41*$H$2102</f>
        <v>10400</v>
      </c>
      <c r="BY41" s="73">
        <f>$V41*$H$2103</f>
        <v>10400</v>
      </c>
      <c r="BZ41" s="73">
        <f>$V41*$H$2104</f>
        <v>10400</v>
      </c>
      <c r="CA41" s="73">
        <f>$V41*$H$2105</f>
        <v>10400</v>
      </c>
      <c r="CB41" s="73">
        <f>$V41*$H$2106</f>
        <v>10400</v>
      </c>
      <c r="CC41" s="73">
        <f>$V41*$H$2107</f>
        <v>10400</v>
      </c>
      <c r="CD41" s="73">
        <f>$V41*$H$2108</f>
        <v>10400</v>
      </c>
      <c r="CE41" s="73">
        <f>$V41*$H$2109</f>
        <v>10400</v>
      </c>
      <c r="CF41" s="73">
        <f>$V41*$H$2110</f>
        <v>10400</v>
      </c>
      <c r="CG41" s="73">
        <f>$V41*$H$2111</f>
        <v>10400</v>
      </c>
      <c r="CH41" s="73">
        <f>$V41*$H$2112</f>
        <v>10400</v>
      </c>
      <c r="CI41" s="75">
        <f>$O$2074</f>
        <v>1</v>
      </c>
      <c r="CJ41" s="73">
        <f>$H$2125</f>
        <v>1.0199999999999998</v>
      </c>
      <c r="CK41" s="73">
        <f>$I$2125</f>
        <v>1.0176314239537807</v>
      </c>
      <c r="CL41" s="73">
        <f>$J$2125</f>
        <v>1.037983012217216</v>
      </c>
      <c r="CM41" s="73">
        <f t="shared" si="54"/>
        <v>0</v>
      </c>
      <c r="CN41" s="73">
        <f t="shared" si="55"/>
        <v>10400</v>
      </c>
      <c r="CO41" s="72">
        <f>$M41*($C41/$K$2125)*IF($O$2074=1,$F$2074/$G41,1)*$R41</f>
        <v>0.58124543770587933</v>
      </c>
      <c r="CP41" s="72">
        <f>$M41*(1+$S41)*($C41/$L$2125)*IF($O$2074=1,$F$2074/$H41,1)*$R41</f>
        <v>0.55605513450758215</v>
      </c>
      <c r="CQ41" s="73">
        <f t="shared" si="56"/>
        <v>6044.9525521411451</v>
      </c>
      <c r="CR41" s="73">
        <f t="shared" si="57"/>
        <v>5782.9733988788539</v>
      </c>
      <c r="CS41" s="73">
        <f t="shared" si="58"/>
        <v>0</v>
      </c>
      <c r="CT41" s="272">
        <f t="shared" si="59"/>
        <v>0</v>
      </c>
      <c r="CU41" s="75">
        <f t="shared" si="60"/>
        <v>1</v>
      </c>
      <c r="CV41" s="75">
        <f t="shared" si="61"/>
        <v>1</v>
      </c>
      <c r="CW41" s="273">
        <f t="shared" si="62"/>
        <v>46054</v>
      </c>
      <c r="CX41" s="274">
        <f t="shared" si="63"/>
        <v>0.04</v>
      </c>
      <c r="CY41" s="6" t="str">
        <f t="shared" si="64"/>
        <v>T</v>
      </c>
      <c r="CZ41" s="273">
        <f t="shared" si="65"/>
        <v>46600</v>
      </c>
      <c r="DA41" s="274">
        <f t="shared" si="66"/>
        <v>0.04</v>
      </c>
      <c r="DB41" s="6" t="str">
        <f t="shared" si="67"/>
        <v>P*</v>
      </c>
      <c r="DC41" s="273" t="str">
        <f t="shared" si="68"/>
        <v/>
      </c>
      <c r="DD41" s="274" t="str">
        <f t="shared" si="69"/>
        <v/>
      </c>
      <c r="DE41" s="6" t="str">
        <f t="shared" si="70"/>
        <v/>
      </c>
      <c r="DF41" s="273" t="str">
        <f t="shared" si="71"/>
        <v/>
      </c>
      <c r="DG41" s="274" t="str">
        <f t="shared" si="72"/>
        <v/>
      </c>
      <c r="DH41" s="6" t="str">
        <f t="shared" si="73"/>
        <v/>
      </c>
    </row>
    <row r="42" spans="1:112" x14ac:dyDescent="0.3">
      <c r="A42" s="6" t="str">
        <f>$A$2128</f>
        <v>MM|TN</v>
      </c>
      <c r="B42" s="75">
        <f>$C$2128</f>
        <v>6</v>
      </c>
      <c r="C42" s="73">
        <f>$B$2179</f>
        <v>1</v>
      </c>
      <c r="D42" s="73">
        <f>$C$2179</f>
        <v>1</v>
      </c>
      <c r="E42" s="73">
        <f>$D$2179</f>
        <v>1</v>
      </c>
      <c r="F42" s="73">
        <f>$E$2179</f>
        <v>1</v>
      </c>
      <c r="G42" s="224">
        <f>$F$2179</f>
        <v>0.90999999999999981</v>
      </c>
      <c r="H42" s="224">
        <f>$G$2179</f>
        <v>0.90999999999999981</v>
      </c>
      <c r="I42" s="73">
        <f t="shared" si="37"/>
        <v>1</v>
      </c>
      <c r="J42" s="73">
        <f t="shared" si="38"/>
        <v>1</v>
      </c>
      <c r="K42" s="73">
        <f>IF($L$2128,1,IF(AND(nr_ModAdjMaster="ON",INDEX(lr_modadj,39)="ON"),$F$2128/$G42,1))</f>
        <v>1.0109890109890112</v>
      </c>
      <c r="L42" s="73">
        <f>IF($L$2128,1,IF(AND(nr_ModAdjMaster="ON",INDEX(lr_modadj,39)="ON"),$F$2128/$H42,1))</f>
        <v>1.0109890109890112</v>
      </c>
      <c r="M42" s="72">
        <f>IF(INDEX(lr_basis,39)="proposed",N(INDEX(lr_lrproj,39))*(1+N(INDEX(lr_s,39))),N(INDEX(lr_lrproj,39)))</f>
        <v>0.56799999999999995</v>
      </c>
      <c r="N42" s="72">
        <f t="shared" si="39"/>
        <v>0.57424175824175827</v>
      </c>
      <c r="O42" s="72">
        <f t="shared" si="40"/>
        <v>0.57424175824175827</v>
      </c>
      <c r="P42" s="72">
        <f t="shared" si="41"/>
        <v>0</v>
      </c>
      <c r="Q42" s="72">
        <f t="shared" si="42"/>
        <v>0</v>
      </c>
      <c r="R42" s="73">
        <f>IF(N(INDEX(lr_aother,39))=0,1,INDEX(lr_aother,39))</f>
        <v>1</v>
      </c>
      <c r="S42" s="72">
        <f>IF(ISBLANK(INDEX(lr_trend,39)),N(nr_TrendDefault),N(INDEX(lr_trend,39)))</f>
        <v>0</v>
      </c>
      <c r="T42" s="6" t="str">
        <f>INDEX(lr_state,39)</f>
        <v>TN</v>
      </c>
      <c r="U42" s="6" t="str">
        <f>INDEX(lr_bu,39)</f>
        <v>MM</v>
      </c>
      <c r="V42" s="271">
        <f>N(INDEX(lr_ep,39))</f>
        <v>7200</v>
      </c>
      <c r="W42" s="73">
        <f>N(INDEX(lr_mind,39))*$V42</f>
        <v>6624</v>
      </c>
      <c r="X42" s="73">
        <f>N(INDEX(lr_m0,39))*$V42</f>
        <v>6552</v>
      </c>
      <c r="Y42" s="73">
        <f>N(INDEX(lr_m1,39))*$V42</f>
        <v>6552</v>
      </c>
      <c r="Z42" s="73">
        <f t="shared" si="43"/>
        <v>7200</v>
      </c>
      <c r="AA42" s="73">
        <f t="shared" si="44"/>
        <v>7200</v>
      </c>
      <c r="AB42" s="73">
        <f t="shared" si="45"/>
        <v>7200</v>
      </c>
      <c r="AC42" s="73">
        <f t="shared" si="46"/>
        <v>6551.9999999999982</v>
      </c>
      <c r="AD42" s="73">
        <f t="shared" si="47"/>
        <v>7279.1208791208801</v>
      </c>
      <c r="AE42" s="73">
        <f t="shared" si="48"/>
        <v>4089.5999999999995</v>
      </c>
      <c r="AF42" s="73">
        <f t="shared" si="49"/>
        <v>4134.5406593406597</v>
      </c>
      <c r="AG42" s="73">
        <f t="shared" si="50"/>
        <v>0</v>
      </c>
      <c r="AH42" s="73">
        <f t="shared" si="51"/>
        <v>7200</v>
      </c>
      <c r="AI42" s="73">
        <f t="shared" si="52"/>
        <v>7279.1208791208801</v>
      </c>
      <c r="AJ42" s="73">
        <f t="shared" si="53"/>
        <v>4134.5406593406597</v>
      </c>
      <c r="AK42" s="75">
        <f>IF($L$2128,1,0)</f>
        <v>0</v>
      </c>
      <c r="AL42" s="72">
        <f>IF($L$2128,$M$2128,0)</f>
        <v>0</v>
      </c>
      <c r="AM42" s="73">
        <f>$N$2155/$N$2143*IF($O$2128=1,$O$2155/$O$2143,1)-1</f>
        <v>0</v>
      </c>
      <c r="AN42" s="73">
        <f>$N$2156/$N$2144*IF($O$2128=1,$O$2156/$O$2144,1)-1</f>
        <v>0</v>
      </c>
      <c r="AO42" s="73">
        <f>$N$2157/$N$2145*IF($O$2128=1,$O$2157/$O$2145,1)-1</f>
        <v>0</v>
      </c>
      <c r="AP42" s="73">
        <f>$N$2158/$N$2146*IF($O$2128=1,$O$2158/$O$2146,1)-1</f>
        <v>0</v>
      </c>
      <c r="AQ42" s="73">
        <f>$N$2159/$N$2147*IF($O$2128=1,$O$2159/$O$2147,1)-1</f>
        <v>0</v>
      </c>
      <c r="AR42" s="73">
        <f>$N$2160/$N$2148*IF($O$2128=1,$O$2160/$O$2148,1)-1</f>
        <v>0</v>
      </c>
      <c r="AS42" s="73">
        <f>$N$2161/$N$2149*IF($O$2128=1,$O$2161/$O$2149,1)-1</f>
        <v>0</v>
      </c>
      <c r="AT42" s="73">
        <f>$N$2162/$N$2150*IF($O$2128=1,$O$2162/$O$2150,1)-1</f>
        <v>0</v>
      </c>
      <c r="AU42" s="73">
        <f>$N$2163/$N$2151*IF($O$2128=1,$O$2163/$O$2151,1)-1</f>
        <v>0</v>
      </c>
      <c r="AV42" s="73">
        <f>$N$2164/$N$2152*IF($O$2128=1,$O$2164/$O$2152,1)-1</f>
        <v>0</v>
      </c>
      <c r="AW42" s="73">
        <f>$N$2165/$N$2153*IF($O$2128=1,$O$2165/$O$2153,1)-1</f>
        <v>0</v>
      </c>
      <c r="AX42" s="73">
        <f>$N$2166/$N$2154*IF($O$2128=1,$O$2166/$O$2154,1)-1</f>
        <v>0</v>
      </c>
      <c r="AY42" s="73">
        <f>$N$2155/$N$2143-1</f>
        <v>0</v>
      </c>
      <c r="AZ42" s="73">
        <f>$N$2156/$N$2144-1</f>
        <v>0</v>
      </c>
      <c r="BA42" s="73">
        <f>$N$2157/$N$2145-1</f>
        <v>0</v>
      </c>
      <c r="BB42" s="73">
        <f>$N$2158/$N$2146-1</f>
        <v>0</v>
      </c>
      <c r="BC42" s="73">
        <f>$N$2159/$N$2147-1</f>
        <v>0</v>
      </c>
      <c r="BD42" s="73">
        <f>$N$2160/$N$2148-1</f>
        <v>0</v>
      </c>
      <c r="BE42" s="73">
        <f>$N$2161/$N$2149-1</f>
        <v>0</v>
      </c>
      <c r="BF42" s="73">
        <f>$N$2162/$N$2150-1</f>
        <v>0</v>
      </c>
      <c r="BG42" s="73">
        <f>$N$2163/$N$2151-1</f>
        <v>0</v>
      </c>
      <c r="BH42" s="73">
        <f>$N$2164/$N$2152-1</f>
        <v>0</v>
      </c>
      <c r="BI42" s="73">
        <f>$N$2165/$N$2153-1</f>
        <v>0</v>
      </c>
      <c r="BJ42" s="73">
        <f>$N$2166/$N$2154-1</f>
        <v>0</v>
      </c>
      <c r="BK42" s="73">
        <f>$O$2155/$O$2143-1</f>
        <v>0</v>
      </c>
      <c r="BL42" s="73">
        <f>$O$2156/$O$2144-1</f>
        <v>0</v>
      </c>
      <c r="BM42" s="73">
        <f>$O$2157/$O$2145-1</f>
        <v>0</v>
      </c>
      <c r="BN42" s="73">
        <f>$O$2158/$O$2146-1</f>
        <v>0</v>
      </c>
      <c r="BO42" s="73">
        <f>$O$2159/$O$2147-1</f>
        <v>0</v>
      </c>
      <c r="BP42" s="73">
        <f>$O$2160/$O$2148-1</f>
        <v>0</v>
      </c>
      <c r="BQ42" s="73">
        <f>$O$2161/$O$2149-1</f>
        <v>0</v>
      </c>
      <c r="BR42" s="73">
        <f>$O$2162/$O$2150-1</f>
        <v>0</v>
      </c>
      <c r="BS42" s="73">
        <f>$O$2163/$O$2151-1</f>
        <v>0</v>
      </c>
      <c r="BT42" s="73">
        <f>$O$2164/$O$2152-1</f>
        <v>0</v>
      </c>
      <c r="BU42" s="73">
        <f>$O$2165/$O$2153-1</f>
        <v>0</v>
      </c>
      <c r="BV42" s="73">
        <f>$O$2166/$O$2154-1</f>
        <v>0</v>
      </c>
      <c r="BW42" s="73">
        <f>$V42*$H$2155</f>
        <v>7200</v>
      </c>
      <c r="BX42" s="73">
        <f>$V42*$H$2156</f>
        <v>7200</v>
      </c>
      <c r="BY42" s="73">
        <f>$V42*$H$2157</f>
        <v>7200</v>
      </c>
      <c r="BZ42" s="73">
        <f>$V42*$H$2158</f>
        <v>7200</v>
      </c>
      <c r="CA42" s="73">
        <f>$V42*$H$2159</f>
        <v>7200</v>
      </c>
      <c r="CB42" s="73">
        <f>$V42*$H$2160</f>
        <v>7200</v>
      </c>
      <c r="CC42" s="73">
        <f>$V42*$H$2161</f>
        <v>7200</v>
      </c>
      <c r="CD42" s="73">
        <f>$V42*$H$2162</f>
        <v>7200</v>
      </c>
      <c r="CE42" s="73">
        <f>$V42*$H$2163</f>
        <v>7200</v>
      </c>
      <c r="CF42" s="73">
        <f>$V42*$H$2164</f>
        <v>7200</v>
      </c>
      <c r="CG42" s="73">
        <f>$V42*$H$2165</f>
        <v>7200</v>
      </c>
      <c r="CH42" s="73">
        <f>$V42*$H$2166</f>
        <v>7200</v>
      </c>
      <c r="CI42" s="75">
        <f>$O$2128</f>
        <v>1</v>
      </c>
      <c r="CJ42" s="73">
        <f>$H$2179</f>
        <v>1</v>
      </c>
      <c r="CK42" s="73">
        <f>$I$2179</f>
        <v>1</v>
      </c>
      <c r="CL42" s="73">
        <f>$J$2179</f>
        <v>1</v>
      </c>
      <c r="CM42" s="73">
        <f t="shared" si="54"/>
        <v>0</v>
      </c>
      <c r="CN42" s="73">
        <f t="shared" si="55"/>
        <v>7200</v>
      </c>
      <c r="CO42" s="72">
        <f>$M42*($C42/$K$2179)*IF($O$2128=1,$F$2128/$G42,1)*$R42</f>
        <v>0.57424175824175827</v>
      </c>
      <c r="CP42" s="72">
        <f>$M42*(1+$S42)*($C42/$L$2179)*IF($O$2128=1,$F$2128/$H42,1)*$R42</f>
        <v>0.57424175824175827</v>
      </c>
      <c r="CQ42" s="73">
        <f t="shared" si="56"/>
        <v>4134.5406593406597</v>
      </c>
      <c r="CR42" s="73">
        <f t="shared" si="57"/>
        <v>4134.5406593406597</v>
      </c>
      <c r="CS42" s="73">
        <f t="shared" si="58"/>
        <v>0</v>
      </c>
      <c r="CT42" s="272">
        <f t="shared" si="59"/>
        <v>0</v>
      </c>
      <c r="CU42" s="75">
        <f t="shared" si="60"/>
        <v>0</v>
      </c>
      <c r="CV42" s="75">
        <f t="shared" si="61"/>
        <v>0</v>
      </c>
      <c r="CW42" s="273" t="str">
        <f t="shared" si="62"/>
        <v/>
      </c>
      <c r="CX42" s="274" t="str">
        <f t="shared" si="63"/>
        <v/>
      </c>
      <c r="CY42" s="6" t="str">
        <f t="shared" si="64"/>
        <v/>
      </c>
      <c r="CZ42" s="273" t="str">
        <f t="shared" si="65"/>
        <v/>
      </c>
      <c r="DA42" s="274" t="str">
        <f t="shared" si="66"/>
        <v/>
      </c>
      <c r="DB42" s="6" t="str">
        <f t="shared" si="67"/>
        <v/>
      </c>
      <c r="DC42" s="273" t="str">
        <f t="shared" si="68"/>
        <v/>
      </c>
      <c r="DD42" s="274" t="str">
        <f t="shared" si="69"/>
        <v/>
      </c>
      <c r="DE42" s="6" t="str">
        <f t="shared" si="70"/>
        <v/>
      </c>
      <c r="DF42" s="273" t="str">
        <f t="shared" si="71"/>
        <v/>
      </c>
      <c r="DG42" s="274" t="str">
        <f t="shared" si="72"/>
        <v/>
      </c>
      <c r="DH42" s="6" t="str">
        <f t="shared" si="73"/>
        <v/>
      </c>
    </row>
    <row r="43" spans="1:112" x14ac:dyDescent="0.3">
      <c r="A43" s="6" t="str">
        <f>$A$2182</f>
        <v>MM|VA</v>
      </c>
      <c r="B43" s="75">
        <f>$C$2182</f>
        <v>6</v>
      </c>
      <c r="C43" s="73">
        <f>$B$2233</f>
        <v>1.06</v>
      </c>
      <c r="D43" s="73">
        <f>$C$2233</f>
        <v>1.03</v>
      </c>
      <c r="E43" s="73">
        <f>$D$2233</f>
        <v>1.0600000000000003</v>
      </c>
      <c r="F43" s="73">
        <f>$E$2233</f>
        <v>1.0600000000000003</v>
      </c>
      <c r="G43" s="224">
        <f>$F$2233</f>
        <v>0.91598878555798668</v>
      </c>
      <c r="H43" s="224">
        <f>$G$2233</f>
        <v>0.92449033552151683</v>
      </c>
      <c r="I43" s="73">
        <f t="shared" si="37"/>
        <v>0.99999999999999978</v>
      </c>
      <c r="J43" s="73">
        <f t="shared" si="38"/>
        <v>0.99999999999999978</v>
      </c>
      <c r="K43" s="73">
        <f>IF($L$2182,1,IF(AND(nr_ModAdjMaster="ON",INDEX(lr_modadj,40)="ON"),$F$2182/$G43,1))</f>
        <v>1.0043791086804299</v>
      </c>
      <c r="L43" s="73">
        <f>IF($L$2182,1,IF(AND(nr_ModAdjMaster="ON",INDEX(lr_modadj,40)="ON"),$F$2182/$H43,1))</f>
        <v>0.99514290701699581</v>
      </c>
      <c r="M43" s="72">
        <f>IF(INDEX(lr_basis,40)="proposed",N(INDEX(lr_lrproj,40))*(1+N(INDEX(lr_s,40))),N(INDEX(lr_lrproj,40)))</f>
        <v>0.59599999999999997</v>
      </c>
      <c r="N43" s="72">
        <f t="shared" si="39"/>
        <v>0.59860994877353613</v>
      </c>
      <c r="O43" s="72">
        <f t="shared" si="40"/>
        <v>0.59310517258212936</v>
      </c>
      <c r="P43" s="72">
        <f t="shared" si="41"/>
        <v>0</v>
      </c>
      <c r="Q43" s="72">
        <f t="shared" si="42"/>
        <v>0</v>
      </c>
      <c r="R43" s="73">
        <f>IF(N(INDEX(lr_aother,40))=0,1,INDEX(lr_aother,40))</f>
        <v>1</v>
      </c>
      <c r="S43" s="72">
        <f>IF(ISBLANK(INDEX(lr_trend,40)),N(nr_TrendDefault),N(INDEX(lr_trend,40)))</f>
        <v>0</v>
      </c>
      <c r="T43" s="6" t="str">
        <f>INDEX(lr_state,40)</f>
        <v>VA</v>
      </c>
      <c r="U43" s="6" t="str">
        <f>INDEX(lr_bu,40)</f>
        <v>MM</v>
      </c>
      <c r="V43" s="271">
        <f>N(INDEX(lr_ep,40))</f>
        <v>17600</v>
      </c>
      <c r="W43" s="73">
        <f>N(INDEX(lr_mind,40))*$V43</f>
        <v>16192</v>
      </c>
      <c r="X43" s="73">
        <f>N(INDEX(lr_m0,40))*$V43</f>
        <v>16016</v>
      </c>
      <c r="Y43" s="73">
        <f>N(INDEX(lr_m1,40))*$V43</f>
        <v>16280</v>
      </c>
      <c r="Z43" s="73">
        <f t="shared" si="43"/>
        <v>18656</v>
      </c>
      <c r="AA43" s="73">
        <f t="shared" si="44"/>
        <v>18656.000000000004</v>
      </c>
      <c r="AB43" s="73">
        <f t="shared" si="45"/>
        <v>17599.999999999996</v>
      </c>
      <c r="AC43" s="73">
        <f t="shared" si="46"/>
        <v>16121.402625820565</v>
      </c>
      <c r="AD43" s="73">
        <f t="shared" si="47"/>
        <v>17677.072312775566</v>
      </c>
      <c r="AE43" s="73">
        <f t="shared" si="48"/>
        <v>10489.6</v>
      </c>
      <c r="AF43" s="73">
        <f t="shared" si="49"/>
        <v>10535.535098414235</v>
      </c>
      <c r="AG43" s="73">
        <f t="shared" si="50"/>
        <v>0</v>
      </c>
      <c r="AH43" s="73">
        <f t="shared" si="51"/>
        <v>17599.999999999996</v>
      </c>
      <c r="AI43" s="73">
        <f t="shared" si="52"/>
        <v>17514.515163499127</v>
      </c>
      <c r="AJ43" s="73">
        <f t="shared" si="53"/>
        <v>10438.651037445477</v>
      </c>
      <c r="AK43" s="75">
        <f>IF($L$2182,1,0)</f>
        <v>0</v>
      </c>
      <c r="AL43" s="72">
        <f>IF($L$2182,$M$2182,0)</f>
        <v>0</v>
      </c>
      <c r="AM43" s="73">
        <f>$N$2209/$N$2197*IF($O$2182=1,$O$2209/$O$2197,1)-1</f>
        <v>7.4085908630304065E-2</v>
      </c>
      <c r="AN43" s="73">
        <f>$N$2210/$N$2198*IF($O$2182=1,$O$2210/$O$2198,1)-1</f>
        <v>7.4070796460177224E-2</v>
      </c>
      <c r="AO43" s="73">
        <f>$N$2211/$N$2199*IF($O$2182=1,$O$2211/$O$2199,1)-1</f>
        <v>7.4055716681702854E-2</v>
      </c>
      <c r="AP43" s="73">
        <f>$N$2212/$N$2200*IF($O$2182=1,$O$2212/$O$2200,1)-1</f>
        <v>1.3245433651869032E-2</v>
      </c>
      <c r="AQ43" s="73">
        <f>$N$2213/$N$2201*IF($O$2182=1,$O$2213/$O$2201,1)-1</f>
        <v>1.3230789678775778E-2</v>
      </c>
      <c r="AR43" s="73">
        <f>$N$2214/$N$2202*IF($O$2182=1,$O$2214/$O$2202,1)-1</f>
        <v>1.3216178050281746E-2</v>
      </c>
      <c r="AS43" s="73">
        <f>$N$2215/$N$2203*IF($O$2182=1,$O$2215/$O$2203,1)-1</f>
        <v>1.320159865934456E-2</v>
      </c>
      <c r="AT43" s="73">
        <f>$N$2216/$N$2204*IF($O$2182=1,$O$2216/$O$2204,1)-1</f>
        <v>1.3186813186813362E-2</v>
      </c>
      <c r="AU43" s="73">
        <f>$N$2217/$N$2205*IF($O$2182=1,$O$2217/$O$2205,1)-1</f>
        <v>1.3172298475862876E-2</v>
      </c>
      <c r="AV43" s="73">
        <f>$N$2218/$N$2206*IF($O$2182=1,$O$2218/$O$2206,1)-1</f>
        <v>1.3157815682433904E-2</v>
      </c>
      <c r="AW43" s="73">
        <f>$N$2219/$N$2207*IF($O$2182=1,$O$2219/$O$2207,1)-1</f>
        <v>1.3143364701363458E-2</v>
      </c>
      <c r="AX43" s="73">
        <f>$N$2220/$N$2208*IF($O$2182=1,$O$2220/$O$2208,1)-1</f>
        <v>1.3128945427949512E-2</v>
      </c>
      <c r="AY43" s="73">
        <f>$N$2209/$N$2197-1</f>
        <v>6.0000000000000053E-2</v>
      </c>
      <c r="AZ43" s="73">
        <f>$N$2210/$N$2198-1</f>
        <v>6.0000000000000053E-2</v>
      </c>
      <c r="BA43" s="73">
        <f>$N$2211/$N$2199-1</f>
        <v>6.0000000000000053E-2</v>
      </c>
      <c r="BB43" s="73">
        <f>$N$2212/$N$2200-1</f>
        <v>0</v>
      </c>
      <c r="BC43" s="73">
        <f>$N$2213/$N$2201-1</f>
        <v>0</v>
      </c>
      <c r="BD43" s="73">
        <f>$N$2214/$N$2202-1</f>
        <v>0</v>
      </c>
      <c r="BE43" s="73">
        <f>$N$2215/$N$2203-1</f>
        <v>0</v>
      </c>
      <c r="BF43" s="73">
        <f>$N$2216/$N$2204-1</f>
        <v>0</v>
      </c>
      <c r="BG43" s="73">
        <f>$N$2217/$N$2205-1</f>
        <v>0</v>
      </c>
      <c r="BH43" s="73">
        <f>$N$2218/$N$2206-1</f>
        <v>0</v>
      </c>
      <c r="BI43" s="73">
        <f>$N$2219/$N$2207-1</f>
        <v>0</v>
      </c>
      <c r="BJ43" s="73">
        <f>$N$2220/$N$2208-1</f>
        <v>0</v>
      </c>
      <c r="BK43" s="73">
        <f>$O$2209/$O$2197-1</f>
        <v>1.3288593047456665E-2</v>
      </c>
      <c r="BL43" s="73">
        <f>$O$2210/$O$2198-1</f>
        <v>1.3274336283185972E-2</v>
      </c>
      <c r="BM43" s="73">
        <f>$O$2211/$O$2199-1</f>
        <v>1.3260110077078169E-2</v>
      </c>
      <c r="BN43" s="73">
        <f>$O$2212/$O$2200-1</f>
        <v>1.3245433651869032E-2</v>
      </c>
      <c r="BO43" s="73">
        <f>$O$2213/$O$2201-1</f>
        <v>1.3230789678775778E-2</v>
      </c>
      <c r="BP43" s="73">
        <f>$O$2214/$O$2202-1</f>
        <v>1.3216178050281746E-2</v>
      </c>
      <c r="BQ43" s="73">
        <f>$O$2215/$O$2203-1</f>
        <v>1.320159865934456E-2</v>
      </c>
      <c r="BR43" s="73">
        <f>$O$2216/$O$2204-1</f>
        <v>1.3186813186813362E-2</v>
      </c>
      <c r="BS43" s="73">
        <f>$O$2217/$O$2205-1</f>
        <v>1.3172298475862876E-2</v>
      </c>
      <c r="BT43" s="73">
        <f>$O$2218/$O$2206-1</f>
        <v>1.3157815682433904E-2</v>
      </c>
      <c r="BU43" s="73">
        <f>$O$2219/$O$2207-1</f>
        <v>1.3143364701363458E-2</v>
      </c>
      <c r="BV43" s="73">
        <f>$O$2220/$O$2208-1</f>
        <v>1.3128945427949512E-2</v>
      </c>
      <c r="BW43" s="73">
        <f>$V43*$H$2209</f>
        <v>17600</v>
      </c>
      <c r="BX43" s="73">
        <f>$V43*$H$2210</f>
        <v>17600</v>
      </c>
      <c r="BY43" s="73">
        <f>$V43*$H$2211</f>
        <v>17600</v>
      </c>
      <c r="BZ43" s="73">
        <f>$V43*$H$2212</f>
        <v>17600</v>
      </c>
      <c r="CA43" s="73">
        <f>$V43*$H$2213</f>
        <v>17600</v>
      </c>
      <c r="CB43" s="73">
        <f>$V43*$H$2214</f>
        <v>17600</v>
      </c>
      <c r="CC43" s="73">
        <f>$V43*$H$2215</f>
        <v>17600</v>
      </c>
      <c r="CD43" s="73">
        <f>$V43*$H$2216</f>
        <v>17600</v>
      </c>
      <c r="CE43" s="73">
        <f>$V43*$H$2217</f>
        <v>17600</v>
      </c>
      <c r="CF43" s="73">
        <f>$V43*$H$2218</f>
        <v>17600</v>
      </c>
      <c r="CG43" s="73">
        <f>$V43*$H$2219</f>
        <v>17600</v>
      </c>
      <c r="CH43" s="73">
        <f>$V43*$H$2220</f>
        <v>17600</v>
      </c>
      <c r="CI43" s="75">
        <f>$O$2182</f>
        <v>1</v>
      </c>
      <c r="CJ43" s="73">
        <f>$H$2233</f>
        <v>1.0149999999999999</v>
      </c>
      <c r="CK43" s="73">
        <f>$I$2233</f>
        <v>1.0132088564102013</v>
      </c>
      <c r="CL43" s="73">
        <f>$J$2233</f>
        <v>1.0284079716072398</v>
      </c>
      <c r="CM43" s="73">
        <f t="shared" si="54"/>
        <v>0</v>
      </c>
      <c r="CN43" s="73">
        <f t="shared" si="55"/>
        <v>17600</v>
      </c>
      <c r="CO43" s="72">
        <f>$M43*($C43/$K$2233)*IF($O$2182=1,$F$2182/$G43,1)*$R43</f>
        <v>0.59860994877353613</v>
      </c>
      <c r="CP43" s="72">
        <f>$M43*(1+$S43)*($C43/$L$2233)*IF($O$2182=1,$F$2182/$H43,1)*$R43</f>
        <v>0.59310517258212936</v>
      </c>
      <c r="CQ43" s="73">
        <f t="shared" si="56"/>
        <v>10535.535098414235</v>
      </c>
      <c r="CR43" s="73">
        <f t="shared" si="57"/>
        <v>10438.651037445477</v>
      </c>
      <c r="CS43" s="73">
        <f t="shared" si="58"/>
        <v>0</v>
      </c>
      <c r="CT43" s="272">
        <f t="shared" si="59"/>
        <v>0</v>
      </c>
      <c r="CU43" s="75">
        <f t="shared" si="60"/>
        <v>1</v>
      </c>
      <c r="CV43" s="75">
        <f t="shared" si="61"/>
        <v>0</v>
      </c>
      <c r="CW43" s="273">
        <f t="shared" si="62"/>
        <v>46113</v>
      </c>
      <c r="CX43" s="274">
        <f t="shared" si="63"/>
        <v>0.06</v>
      </c>
      <c r="CY43" s="6" t="str">
        <f t="shared" si="64"/>
        <v>T</v>
      </c>
      <c r="CZ43" s="273" t="str">
        <f t="shared" si="65"/>
        <v/>
      </c>
      <c r="DA43" s="274" t="str">
        <f t="shared" si="66"/>
        <v/>
      </c>
      <c r="DB43" s="6" t="str">
        <f t="shared" si="67"/>
        <v/>
      </c>
      <c r="DC43" s="273" t="str">
        <f t="shared" si="68"/>
        <v/>
      </c>
      <c r="DD43" s="274" t="str">
        <f t="shared" si="69"/>
        <v/>
      </c>
      <c r="DE43" s="6" t="str">
        <f t="shared" si="70"/>
        <v/>
      </c>
      <c r="DF43" s="273" t="str">
        <f t="shared" si="71"/>
        <v/>
      </c>
      <c r="DG43" s="274" t="str">
        <f t="shared" si="72"/>
        <v/>
      </c>
      <c r="DH43" s="6" t="str">
        <f t="shared" si="73"/>
        <v/>
      </c>
    </row>
    <row r="44" spans="1:112" x14ac:dyDescent="0.3">
      <c r="A44" s="6" t="str">
        <f>$A$2236</f>
        <v>MM|WV</v>
      </c>
      <c r="B44" s="75">
        <f>$C$2236</f>
        <v>6</v>
      </c>
      <c r="C44" s="73">
        <f>$B$2287</f>
        <v>1.02</v>
      </c>
      <c r="D44" s="73">
        <f>$C$2287</f>
        <v>1.0083333333333335</v>
      </c>
      <c r="E44" s="73">
        <f>$D$2287</f>
        <v>1.0200000000000002</v>
      </c>
      <c r="F44" s="73">
        <f>$E$2287</f>
        <v>1.0200000000000002</v>
      </c>
      <c r="G44" s="224">
        <f>$F$2287</f>
        <v>0.9080037381473377</v>
      </c>
      <c r="H44" s="224">
        <f>$G$2287</f>
        <v>0.90516988815949428</v>
      </c>
      <c r="I44" s="73">
        <f t="shared" si="37"/>
        <v>0.99999999999999978</v>
      </c>
      <c r="J44" s="73">
        <f t="shared" si="38"/>
        <v>0.99999999999999978</v>
      </c>
      <c r="K44" s="73">
        <f>IF($L$2236,1,IF(AND(nr_ModAdjMaster="ON",INDEX(lr_modadj,41)="ON"),$F$2236/$G44,1))</f>
        <v>1.0132116877372543</v>
      </c>
      <c r="L44" s="73">
        <f>IF($L$2236,1,IF(AND(nr_ModAdjMaster="ON",INDEX(lr_modadj,41)="ON"),$F$2236/$H44,1))</f>
        <v>1.0163837883191853</v>
      </c>
      <c r="M44" s="72">
        <f>IF(INDEX(lr_basis,41)="proposed",N(INDEX(lr_lrproj,41))*(1+N(INDEX(lr_s,41))),N(INDEX(lr_lrproj,41)))</f>
        <v>0.57999999999999996</v>
      </c>
      <c r="N44" s="72">
        <f t="shared" si="39"/>
        <v>0.58766277888760732</v>
      </c>
      <c r="O44" s="72">
        <f t="shared" si="40"/>
        <v>0.58950259722512732</v>
      </c>
      <c r="P44" s="72">
        <f t="shared" si="41"/>
        <v>0</v>
      </c>
      <c r="Q44" s="72">
        <f t="shared" si="42"/>
        <v>0</v>
      </c>
      <c r="R44" s="73">
        <f>IF(N(INDEX(lr_aother,41))=0,1,INDEX(lr_aother,41))</f>
        <v>1</v>
      </c>
      <c r="S44" s="72">
        <f>IF(ISBLANK(INDEX(lr_trend,41)),N(nr_TrendDefault),N(INDEX(lr_trend,41)))</f>
        <v>0</v>
      </c>
      <c r="T44" s="6" t="str">
        <f>INDEX(lr_state,41)</f>
        <v>WV</v>
      </c>
      <c r="U44" s="6" t="str">
        <f>INDEX(lr_bu,41)</f>
        <v>MM</v>
      </c>
      <c r="V44" s="271">
        <f>N(INDEX(lr_ep,41))</f>
        <v>14400</v>
      </c>
      <c r="W44" s="73">
        <f>N(INDEX(lr_mind,41))*$V44</f>
        <v>13248</v>
      </c>
      <c r="X44" s="73">
        <f>N(INDEX(lr_m0,41))*$V44</f>
        <v>13104</v>
      </c>
      <c r="Y44" s="73">
        <f>N(INDEX(lr_m1,41))*$V44</f>
        <v>13032</v>
      </c>
      <c r="Z44" s="73">
        <f t="shared" si="43"/>
        <v>14688</v>
      </c>
      <c r="AA44" s="73">
        <f t="shared" si="44"/>
        <v>14688.000000000004</v>
      </c>
      <c r="AB44" s="73">
        <f t="shared" si="45"/>
        <v>14399.999999999996</v>
      </c>
      <c r="AC44" s="73">
        <f t="shared" si="46"/>
        <v>13075.253829321662</v>
      </c>
      <c r="AD44" s="73">
        <f t="shared" si="47"/>
        <v>14590.248303416463</v>
      </c>
      <c r="AE44" s="73">
        <f t="shared" si="48"/>
        <v>8352</v>
      </c>
      <c r="AF44" s="73">
        <f t="shared" si="49"/>
        <v>8462.3440159815455</v>
      </c>
      <c r="AG44" s="73">
        <f t="shared" si="50"/>
        <v>0</v>
      </c>
      <c r="AH44" s="73">
        <f t="shared" si="51"/>
        <v>14399.999999999996</v>
      </c>
      <c r="AI44" s="73">
        <f t="shared" si="52"/>
        <v>14635.926551796269</v>
      </c>
      <c r="AJ44" s="73">
        <f t="shared" si="53"/>
        <v>8488.8374000418335</v>
      </c>
      <c r="AK44" s="75">
        <f>IF($L$2236,1,0)</f>
        <v>0</v>
      </c>
      <c r="AL44" s="72">
        <f>IF($L$2236,$M$2236,0)</f>
        <v>0</v>
      </c>
      <c r="AM44" s="73">
        <f>$N$2263/$N$2251*IF($O$2236=1,$O$2263/$O$2251,1)-1</f>
        <v>1.5537656640477682E-2</v>
      </c>
      <c r="AN44" s="73">
        <f>$N$2264/$N$2252*IF($O$2236=1,$O$2264/$O$2252,1)-1</f>
        <v>1.5536078271504383E-2</v>
      </c>
      <c r="AO44" s="73">
        <f>$N$2265/$N$2253*IF($O$2236=1,$O$2265/$O$2253,1)-1</f>
        <v>1.5534498785570783E-2</v>
      </c>
      <c r="AP44" s="73">
        <f>$N$2266/$N$2254*IF($O$2236=1,$O$2266/$O$2254,1)-1</f>
        <v>1.5532864582083583E-2</v>
      </c>
      <c r="AQ44" s="73">
        <f>$N$2267/$N$2255*IF($O$2236=1,$O$2267/$O$2255,1)-1</f>
        <v>-4.3811478607395093E-3</v>
      </c>
      <c r="AR44" s="73">
        <f>$N$2268/$N$2256*IF($O$2236=1,$O$2268/$O$2256,1)-1</f>
        <v>-4.382752368487397E-3</v>
      </c>
      <c r="AS44" s="73">
        <f>$N$2269/$N$2257*IF($O$2236=1,$O$2269/$O$2257,1)-1</f>
        <v>-4.3843580519036252E-3</v>
      </c>
      <c r="AT44" s="73">
        <f>$N$2270/$N$2258*IF($O$2236=1,$O$2270/$O$2258,1)-1</f>
        <v>-4.3859912640666909E-3</v>
      </c>
      <c r="AU44" s="73">
        <f>$N$2271/$N$2259*IF($O$2236=1,$O$2271/$O$2259,1)-1</f>
        <v>-4.3875993220258147E-3</v>
      </c>
      <c r="AV44" s="73">
        <f>$N$2272/$N$2260*IF($O$2236=1,$O$2272/$O$2260,1)-1</f>
        <v>-4.3892085595579333E-3</v>
      </c>
      <c r="AW44" s="73">
        <f>$N$2273/$N$2261*IF($O$2236=1,$O$2273/$O$2261,1)-1</f>
        <v>-4.3908189779616746E-3</v>
      </c>
      <c r="AX44" s="73">
        <f>$N$2274/$N$2262*IF($O$2236=1,$O$2274/$O$2262,1)-1</f>
        <v>-4.3924305785372209E-3</v>
      </c>
      <c r="AY44" s="73">
        <f>$N$2263/$N$2251-1</f>
        <v>2.0000000000000018E-2</v>
      </c>
      <c r="AZ44" s="73">
        <f>$N$2264/$N$2252-1</f>
        <v>2.0000000000000018E-2</v>
      </c>
      <c r="BA44" s="73">
        <f>$N$2265/$N$2253-1</f>
        <v>2.0000000000000018E-2</v>
      </c>
      <c r="BB44" s="73">
        <f>$N$2266/$N$2254-1</f>
        <v>2.0000000000000018E-2</v>
      </c>
      <c r="BC44" s="73">
        <f>$N$2267/$N$2255-1</f>
        <v>0</v>
      </c>
      <c r="BD44" s="73">
        <f>$N$2268/$N$2256-1</f>
        <v>0</v>
      </c>
      <c r="BE44" s="73">
        <f>$N$2269/$N$2257-1</f>
        <v>0</v>
      </c>
      <c r="BF44" s="73">
        <f>$N$2270/$N$2258-1</f>
        <v>0</v>
      </c>
      <c r="BG44" s="73">
        <f>$N$2271/$N$2259-1</f>
        <v>0</v>
      </c>
      <c r="BH44" s="73">
        <f>$N$2272/$N$2260-1</f>
        <v>0</v>
      </c>
      <c r="BI44" s="73">
        <f>$N$2273/$N$2261-1</f>
        <v>0</v>
      </c>
      <c r="BJ44" s="73">
        <f>$N$2274/$N$2262-1</f>
        <v>0</v>
      </c>
      <c r="BK44" s="73">
        <f>$O$2263/$O$2251-1</f>
        <v>-4.3748464309043555E-3</v>
      </c>
      <c r="BL44" s="73">
        <f>$O$2264/$O$2252-1</f>
        <v>-4.3763938514663758E-3</v>
      </c>
      <c r="BM44" s="73">
        <f>$O$2265/$O$2253-1</f>
        <v>-4.3779423670874396E-3</v>
      </c>
      <c r="BN44" s="73">
        <f>$O$2266/$O$2254-1</f>
        <v>-4.3795445273691058E-3</v>
      </c>
      <c r="BO44" s="73">
        <f>$O$2267/$O$2255-1</f>
        <v>-4.3811478607395093E-3</v>
      </c>
      <c r="BP44" s="73">
        <f>$O$2268/$O$2256-1</f>
        <v>-4.382752368487397E-3</v>
      </c>
      <c r="BQ44" s="73">
        <f>$O$2269/$O$2257-1</f>
        <v>-4.3843580519036252E-3</v>
      </c>
      <c r="BR44" s="73">
        <f>$O$2270/$O$2258-1</f>
        <v>-4.3859912640666909E-3</v>
      </c>
      <c r="BS44" s="73">
        <f>$O$2271/$O$2259-1</f>
        <v>-4.3875993220258147E-3</v>
      </c>
      <c r="BT44" s="73">
        <f>$O$2272/$O$2260-1</f>
        <v>-4.3892085595579333E-3</v>
      </c>
      <c r="BU44" s="73">
        <f>$O$2273/$O$2261-1</f>
        <v>-4.3908189779616746E-3</v>
      </c>
      <c r="BV44" s="73">
        <f>$O$2274/$O$2262-1</f>
        <v>-4.3924305785372209E-3</v>
      </c>
      <c r="BW44" s="73">
        <f>$V44*$H$2263</f>
        <v>14400</v>
      </c>
      <c r="BX44" s="73">
        <f>$V44*$H$2264</f>
        <v>14400</v>
      </c>
      <c r="BY44" s="73">
        <f>$V44*$H$2265</f>
        <v>14400</v>
      </c>
      <c r="BZ44" s="73">
        <f>$V44*$H$2266</f>
        <v>14400</v>
      </c>
      <c r="CA44" s="73">
        <f>$V44*$H$2267</f>
        <v>14400</v>
      </c>
      <c r="CB44" s="73">
        <f>$V44*$H$2268</f>
        <v>14400</v>
      </c>
      <c r="CC44" s="73">
        <f>$V44*$H$2269</f>
        <v>14400</v>
      </c>
      <c r="CD44" s="73">
        <f>$V44*$H$2270</f>
        <v>14400</v>
      </c>
      <c r="CE44" s="73">
        <f>$V44*$H$2271</f>
        <v>14400</v>
      </c>
      <c r="CF44" s="73">
        <f>$V44*$H$2272</f>
        <v>14400</v>
      </c>
      <c r="CG44" s="73">
        <f>$V44*$H$2273</f>
        <v>14400</v>
      </c>
      <c r="CH44" s="73">
        <f>$V44*$H$2274</f>
        <v>14400</v>
      </c>
      <c r="CI44" s="75">
        <f>$O$2236</f>
        <v>1</v>
      </c>
      <c r="CJ44" s="73">
        <f>$H$2287</f>
        <v>1.0066666666666666</v>
      </c>
      <c r="CK44" s="73">
        <f>$I$2287</f>
        <v>0.99561641381999111</v>
      </c>
      <c r="CL44" s="73">
        <f>$J$2287</f>
        <v>1.0022538992746963</v>
      </c>
      <c r="CM44" s="73">
        <f t="shared" si="54"/>
        <v>0</v>
      </c>
      <c r="CN44" s="73">
        <f t="shared" si="55"/>
        <v>14400</v>
      </c>
      <c r="CO44" s="72">
        <f>$M44*($C44/$K$2287)*IF($O$2236=1,$F$2236/$G44,1)*$R44</f>
        <v>0.58766277888760732</v>
      </c>
      <c r="CP44" s="72">
        <f>$M44*(1+$S44)*($C44/$L$2287)*IF($O$2236=1,$F$2236/$H44,1)*$R44</f>
        <v>0.58950259722512732</v>
      </c>
      <c r="CQ44" s="73">
        <f t="shared" si="56"/>
        <v>8462.3440159815455</v>
      </c>
      <c r="CR44" s="73">
        <f t="shared" si="57"/>
        <v>8488.8374000418335</v>
      </c>
      <c r="CS44" s="73">
        <f t="shared" si="58"/>
        <v>0</v>
      </c>
      <c r="CT44" s="272">
        <f t="shared" si="59"/>
        <v>0</v>
      </c>
      <c r="CU44" s="75">
        <f t="shared" si="60"/>
        <v>1</v>
      </c>
      <c r="CV44" s="75">
        <f t="shared" si="61"/>
        <v>0</v>
      </c>
      <c r="CW44" s="273">
        <f t="shared" si="62"/>
        <v>46143</v>
      </c>
      <c r="CX44" s="274">
        <f t="shared" si="63"/>
        <v>0.02</v>
      </c>
      <c r="CY44" s="6" t="str">
        <f t="shared" si="64"/>
        <v>T</v>
      </c>
      <c r="CZ44" s="273" t="str">
        <f t="shared" si="65"/>
        <v/>
      </c>
      <c r="DA44" s="274" t="str">
        <f t="shared" si="66"/>
        <v/>
      </c>
      <c r="DB44" s="6" t="str">
        <f t="shared" si="67"/>
        <v/>
      </c>
      <c r="DC44" s="273" t="str">
        <f t="shared" si="68"/>
        <v/>
      </c>
      <c r="DD44" s="274" t="str">
        <f t="shared" si="69"/>
        <v/>
      </c>
      <c r="DE44" s="6" t="str">
        <f t="shared" si="70"/>
        <v/>
      </c>
      <c r="DF44" s="273" t="str">
        <f t="shared" si="71"/>
        <v/>
      </c>
      <c r="DG44" s="274" t="str">
        <f t="shared" si="72"/>
        <v/>
      </c>
      <c r="DH44" s="6" t="str">
        <f t="shared" si="73"/>
        <v/>
      </c>
    </row>
    <row r="45" spans="1:112" x14ac:dyDescent="0.3">
      <c r="A45" s="6" t="str">
        <f>$A$2290</f>
        <v>MM|WI</v>
      </c>
      <c r="B45" s="75">
        <f>$C$2290</f>
        <v>6</v>
      </c>
      <c r="C45" s="73">
        <f>$B$2341</f>
        <v>1</v>
      </c>
      <c r="D45" s="73">
        <f>$C$2341</f>
        <v>1</v>
      </c>
      <c r="E45" s="73">
        <f>$D$2341</f>
        <v>1.0266666666666666</v>
      </c>
      <c r="F45" s="73">
        <f>$E$2341</f>
        <v>1.0399999999999998</v>
      </c>
      <c r="G45" s="224">
        <f>$F$2341</f>
        <v>0.91399252370532447</v>
      </c>
      <c r="H45" s="224">
        <f>$G$2341</f>
        <v>0.91966022368101141</v>
      </c>
      <c r="I45" s="73">
        <f t="shared" si="37"/>
        <v>0.97402597402597413</v>
      </c>
      <c r="J45" s="73">
        <f t="shared" si="38"/>
        <v>0.96153846153846168</v>
      </c>
      <c r="K45" s="73">
        <f>IF($L$2290,1,IF(AND(nr_ModAdjMaster="ON",INDEX(lr_modadj,42)="ON"),$F$2290/$G45,1))</f>
        <v>1.0065727849395543</v>
      </c>
      <c r="L45" s="73">
        <f>IF($L$2290,1,IF(AND(nr_ModAdjMaster="ON",INDEX(lr_modadj,42)="ON"),$F$2290/$H45,1))</f>
        <v>1.000369458535054</v>
      </c>
      <c r="M45" s="72">
        <f>IF(INDEX(lr_basis,42)="proposed",N(INDEX(lr_lrproj,42))*(1+N(INDEX(lr_s,42))),N(INDEX(lr_lrproj,42)))</f>
        <v>0.56399999999999995</v>
      </c>
      <c r="N45" s="72">
        <f t="shared" si="39"/>
        <v>0.55296141302523572</v>
      </c>
      <c r="O45" s="72">
        <f t="shared" si="40"/>
        <v>0.54250805251324086</v>
      </c>
      <c r="P45" s="72">
        <f t="shared" si="41"/>
        <v>2.6666666666666616E-2</v>
      </c>
      <c r="Q45" s="72">
        <f t="shared" si="42"/>
        <v>1.298701298701288E-2</v>
      </c>
      <c r="R45" s="73">
        <f>IF(N(INDEX(lr_aother,42))=0,1,INDEX(lr_aother,42))</f>
        <v>1</v>
      </c>
      <c r="S45" s="72">
        <f>IF(ISBLANK(INDEX(lr_trend,42)),N(nr_TrendDefault),N(INDEX(lr_trend,42)))</f>
        <v>0</v>
      </c>
      <c r="T45" s="6" t="str">
        <f>INDEX(lr_state,42)</f>
        <v>WI</v>
      </c>
      <c r="U45" s="6" t="str">
        <f>INDEX(lr_bu,42)</f>
        <v>MM</v>
      </c>
      <c r="V45" s="271">
        <f>N(INDEX(lr_ep,42))</f>
        <v>11200</v>
      </c>
      <c r="W45" s="73">
        <f>N(INDEX(lr_mind,42))*$V45</f>
        <v>10304</v>
      </c>
      <c r="X45" s="73">
        <f>N(INDEX(lr_m0,42))*$V45</f>
        <v>10192</v>
      </c>
      <c r="Y45" s="73">
        <f>N(INDEX(lr_m1,42))*$V45</f>
        <v>10304</v>
      </c>
      <c r="Z45" s="73">
        <f t="shared" si="43"/>
        <v>11200</v>
      </c>
      <c r="AA45" s="73">
        <f t="shared" si="44"/>
        <v>11498.666666666666</v>
      </c>
      <c r="AB45" s="73">
        <f t="shared" si="45"/>
        <v>10909.09090909091</v>
      </c>
      <c r="AC45" s="73">
        <f t="shared" si="46"/>
        <v>10236.716265499634</v>
      </c>
      <c r="AD45" s="73">
        <f t="shared" si="47"/>
        <v>11273.615191323008</v>
      </c>
      <c r="AE45" s="73">
        <f t="shared" si="48"/>
        <v>6316.7999999999993</v>
      </c>
      <c r="AF45" s="73">
        <f t="shared" si="49"/>
        <v>6193.1678258826396</v>
      </c>
      <c r="AG45" s="73">
        <f t="shared" si="50"/>
        <v>0</v>
      </c>
      <c r="AH45" s="73">
        <f t="shared" si="51"/>
        <v>10769.230769230771</v>
      </c>
      <c r="AI45" s="73">
        <f t="shared" si="52"/>
        <v>11204.137935592606</v>
      </c>
      <c r="AJ45" s="73">
        <f t="shared" si="53"/>
        <v>6076.0901881482978</v>
      </c>
      <c r="AK45" s="75">
        <f>IF($L$2290,1,0)</f>
        <v>0</v>
      </c>
      <c r="AL45" s="72">
        <f>IF($L$2290,$M$2290,0)</f>
        <v>0</v>
      </c>
      <c r="AM45" s="73">
        <f>$N$2317/$N$2305*IF($O$2290=1,$O$2317/$O$2305,1)-1</f>
        <v>8.8314642083742179E-3</v>
      </c>
      <c r="AN45" s="73">
        <f>$N$2318/$N$2306*IF($O$2290=1,$O$2318/$O$2306,1)-1</f>
        <v>4.9178171619236322E-2</v>
      </c>
      <c r="AO45" s="73">
        <f>$N$2319/$N$2307*IF($O$2290=1,$O$2319/$O$2307,1)-1</f>
        <v>4.9171629800548455E-2</v>
      </c>
      <c r="AP45" s="73">
        <f>$N$2320/$N$2308*IF($O$2290=1,$O$2320/$O$2308,1)-1</f>
        <v>4.9164876023081172E-2</v>
      </c>
      <c r="AQ45" s="73">
        <f>$N$2321/$N$2309*IF($O$2290=1,$O$2321/$O$2309,1)-1</f>
        <v>4.9158132184947911E-2</v>
      </c>
      <c r="AR45" s="73">
        <f>$N$2322/$N$2310*IF($O$2290=1,$O$2322/$O$2310,1)-1</f>
        <v>4.9151398264223767E-2</v>
      </c>
      <c r="AS45" s="73">
        <f>$N$2323/$N$2311*IF($O$2290=1,$O$2323/$O$2311,1)-1</f>
        <v>4.9144674239047781E-2</v>
      </c>
      <c r="AT45" s="73">
        <f>$N$2324/$N$2312*IF($O$2290=1,$O$2324/$O$2312,1)-1</f>
        <v>4.9137850101705682E-2</v>
      </c>
      <c r="AU45" s="73">
        <f>$N$2325/$N$2313*IF($O$2290=1,$O$2325/$O$2313,1)-1</f>
        <v>4.9131145963629441E-2</v>
      </c>
      <c r="AV45" s="73">
        <f>$N$2326/$N$2314*IF($O$2290=1,$O$2326/$O$2314,1)-1</f>
        <v>4.9124451655549795E-2</v>
      </c>
      <c r="AW45" s="73">
        <f>$N$2327/$N$2315*IF($O$2290=1,$O$2327/$O$2315,1)-1</f>
        <v>4.9117767155861802E-2</v>
      </c>
      <c r="AX45" s="73">
        <f>$N$2328/$N$2316*IF($O$2290=1,$O$2328/$O$2316,1)-1</f>
        <v>4.9111092443025806E-2</v>
      </c>
      <c r="AY45" s="73">
        <f>$N$2317/$N$2305-1</f>
        <v>0</v>
      </c>
      <c r="AZ45" s="73">
        <f>$N$2318/$N$2306-1</f>
        <v>4.0000000000000036E-2</v>
      </c>
      <c r="BA45" s="73">
        <f>$N$2319/$N$2307-1</f>
        <v>4.0000000000000036E-2</v>
      </c>
      <c r="BB45" s="73">
        <f>$N$2320/$N$2308-1</f>
        <v>4.0000000000000036E-2</v>
      </c>
      <c r="BC45" s="73">
        <f>$N$2321/$N$2309-1</f>
        <v>4.0000000000000036E-2</v>
      </c>
      <c r="BD45" s="73">
        <f>$N$2322/$N$2310-1</f>
        <v>4.0000000000000036E-2</v>
      </c>
      <c r="BE45" s="73">
        <f>$N$2323/$N$2311-1</f>
        <v>4.0000000000000036E-2</v>
      </c>
      <c r="BF45" s="73">
        <f>$N$2324/$N$2312-1</f>
        <v>4.0000000000000036E-2</v>
      </c>
      <c r="BG45" s="73">
        <f>$N$2325/$N$2313-1</f>
        <v>4.0000000000000036E-2</v>
      </c>
      <c r="BH45" s="73">
        <f>$N$2326/$N$2314-1</f>
        <v>4.0000000000000036E-2</v>
      </c>
      <c r="BI45" s="73">
        <f>$N$2327/$N$2315-1</f>
        <v>4.0000000000000036E-2</v>
      </c>
      <c r="BJ45" s="73">
        <f>$N$2328/$N$2316-1</f>
        <v>4.0000000000000036E-2</v>
      </c>
      <c r="BK45" s="73">
        <f>$O$2317/$O$2305-1</f>
        <v>8.8314642083742179E-3</v>
      </c>
      <c r="BL45" s="73">
        <f>$O$2318/$O$2306-1</f>
        <v>8.8251650184965058E-3</v>
      </c>
      <c r="BM45" s="73">
        <f>$O$2319/$O$2307-1</f>
        <v>8.8188748082196344E-3</v>
      </c>
      <c r="BN45" s="73">
        <f>$O$2320/$O$2308-1</f>
        <v>8.8123807914242125E-3</v>
      </c>
      <c r="BO45" s="73">
        <f>$O$2321/$O$2309-1</f>
        <v>8.8058963316806071E-3</v>
      </c>
      <c r="BP45" s="73">
        <f>$O$2322/$O$2310-1</f>
        <v>8.7994214079074595E-3</v>
      </c>
      <c r="BQ45" s="73">
        <f>$O$2323/$O$2311-1</f>
        <v>8.792955999084473E-3</v>
      </c>
      <c r="BR45" s="73">
        <f>$O$2324/$O$2312-1</f>
        <v>8.7863943285630963E-3</v>
      </c>
      <c r="BS45" s="73">
        <f>$O$2325/$O$2313-1</f>
        <v>8.7799480419512577E-3</v>
      </c>
      <c r="BT45" s="73">
        <f>$O$2326/$O$2314-1</f>
        <v>8.7735112072593324E-3</v>
      </c>
      <c r="BU45" s="73">
        <f>$O$2327/$O$2315-1</f>
        <v>8.7670838037132715E-3</v>
      </c>
      <c r="BV45" s="73">
        <f>$O$2328/$O$2316-1</f>
        <v>8.7606658106016422E-3</v>
      </c>
      <c r="BW45" s="73">
        <f>$V45*$H$2317</f>
        <v>11200</v>
      </c>
      <c r="BX45" s="73">
        <f>$V45*$H$2318</f>
        <v>11200</v>
      </c>
      <c r="BY45" s="73">
        <f>$V45*$H$2319</f>
        <v>11200</v>
      </c>
      <c r="BZ45" s="73">
        <f>$V45*$H$2320</f>
        <v>11200</v>
      </c>
      <c r="CA45" s="73">
        <f>$V45*$H$2321</f>
        <v>11200</v>
      </c>
      <c r="CB45" s="73">
        <f>$V45*$H$2322</f>
        <v>11200</v>
      </c>
      <c r="CC45" s="73">
        <f>$V45*$H$2323</f>
        <v>11200</v>
      </c>
      <c r="CD45" s="73">
        <f>$V45*$H$2324</f>
        <v>11200</v>
      </c>
      <c r="CE45" s="73">
        <f>$V45*$H$2325</f>
        <v>11200</v>
      </c>
      <c r="CF45" s="73">
        <f>$V45*$H$2326</f>
        <v>11200</v>
      </c>
      <c r="CG45" s="73">
        <f>$V45*$H$2327</f>
        <v>11200</v>
      </c>
      <c r="CH45" s="73">
        <f>$V45*$H$2328</f>
        <v>11200</v>
      </c>
      <c r="CI45" s="75">
        <f>$O$2290</f>
        <v>1</v>
      </c>
      <c r="CJ45" s="73">
        <f>$H$2341</f>
        <v>1.0366666666666664</v>
      </c>
      <c r="CK45" s="73">
        <f>$I$2341</f>
        <v>1.0087961468131064</v>
      </c>
      <c r="CL45" s="73">
        <f>$J$2341</f>
        <v>1.0457852211382692</v>
      </c>
      <c r="CM45" s="73">
        <f t="shared" si="54"/>
        <v>0</v>
      </c>
      <c r="CN45" s="73">
        <f t="shared" si="55"/>
        <v>11200</v>
      </c>
      <c r="CO45" s="72">
        <f>$M45*($C45/$K$2341)*IF($O$2290=1,$F$2290/$G45,1)*$R45</f>
        <v>0.55296141302523572</v>
      </c>
      <c r="CP45" s="72">
        <f>$M45*(1+$S45)*($C45/$L$2341)*IF($O$2290=1,$F$2290/$H45,1)*$R45</f>
        <v>0.54250805251324086</v>
      </c>
      <c r="CQ45" s="73">
        <f t="shared" si="56"/>
        <v>6193.1678258826396</v>
      </c>
      <c r="CR45" s="73">
        <f t="shared" si="57"/>
        <v>6076.0901881482978</v>
      </c>
      <c r="CS45" s="73">
        <f t="shared" si="58"/>
        <v>0</v>
      </c>
      <c r="CT45" s="272">
        <f t="shared" si="59"/>
        <v>0</v>
      </c>
      <c r="CU45" s="75">
        <f t="shared" si="60"/>
        <v>0</v>
      </c>
      <c r="CV45" s="75">
        <f t="shared" si="61"/>
        <v>1</v>
      </c>
      <c r="CW45" s="273">
        <f t="shared" si="62"/>
        <v>46419</v>
      </c>
      <c r="CX45" s="274">
        <f t="shared" si="63"/>
        <v>0.04</v>
      </c>
      <c r="CY45" s="6" t="str">
        <f t="shared" si="64"/>
        <v>P*</v>
      </c>
      <c r="CZ45" s="273" t="str">
        <f t="shared" si="65"/>
        <v/>
      </c>
      <c r="DA45" s="274" t="str">
        <f t="shared" si="66"/>
        <v/>
      </c>
      <c r="DB45" s="6" t="str">
        <f t="shared" si="67"/>
        <v/>
      </c>
      <c r="DC45" s="273" t="str">
        <f t="shared" si="68"/>
        <v/>
      </c>
      <c r="DD45" s="274" t="str">
        <f t="shared" si="69"/>
        <v/>
      </c>
      <c r="DE45" s="6" t="str">
        <f t="shared" si="70"/>
        <v/>
      </c>
      <c r="DF45" s="273" t="str">
        <f t="shared" si="71"/>
        <v/>
      </c>
      <c r="DG45" s="274" t="str">
        <f t="shared" si="72"/>
        <v/>
      </c>
      <c r="DH45" s="6" t="str">
        <f t="shared" si="73"/>
        <v/>
      </c>
    </row>
    <row r="46" spans="1:112" x14ac:dyDescent="0.3">
      <c r="A46" s="6" t="str">
        <f>$A$2344</f>
        <v>SBA|AZ</v>
      </c>
      <c r="B46" s="75">
        <f>$C$2344</f>
        <v>6</v>
      </c>
      <c r="C46" s="73">
        <f>$B$2395</f>
        <v>1.04</v>
      </c>
      <c r="D46" s="73">
        <f>$C$2395</f>
        <v>1.01</v>
      </c>
      <c r="E46" s="73">
        <f>$D$2395</f>
        <v>1.0399999999999998</v>
      </c>
      <c r="F46" s="73">
        <f>$E$2395</f>
        <v>1.0399999999999998</v>
      </c>
      <c r="G46" s="224">
        <f>$F$2395</f>
        <v>0.90600747629467537</v>
      </c>
      <c r="H46" s="224">
        <f>$G$2395</f>
        <v>0.90033977631898854</v>
      </c>
      <c r="I46" s="73">
        <f t="shared" si="37"/>
        <v>1.0000000000000002</v>
      </c>
      <c r="J46" s="73">
        <f t="shared" si="38"/>
        <v>1.0000000000000002</v>
      </c>
      <c r="K46" s="73">
        <f>IF($L$2344,1,IF(AND(nr_ModAdjMaster="ON",INDEX(lr_modadj,43)="ON"),$F$2344/$G46,1))</f>
        <v>1.0154441592055623</v>
      </c>
      <c r="L46" s="73">
        <f>IF($L$2344,1,IF(AND(nr_ModAdjMaster="ON",INDEX(lr_modadj,43)="ON"),$F$2344/$H46,1))</f>
        <v>1.0218364490808034</v>
      </c>
      <c r="M46" s="72">
        <f>IF(INDEX(lr_basis,43)="proposed",N(INDEX(lr_lrproj,43))*(1+N(INDEX(lr_s,43))),N(INDEX(lr_lrproj,43)))</f>
        <v>0.59199999999999997</v>
      </c>
      <c r="N46" s="72">
        <f t="shared" si="39"/>
        <v>0.601142942249693</v>
      </c>
      <c r="O46" s="72">
        <f t="shared" si="40"/>
        <v>0.60492717785583572</v>
      </c>
      <c r="P46" s="72">
        <f t="shared" si="41"/>
        <v>0</v>
      </c>
      <c r="Q46" s="72">
        <f t="shared" si="42"/>
        <v>0</v>
      </c>
      <c r="R46" s="73">
        <f>IF(N(INDEX(lr_aother,43))=0,1,INDEX(lr_aother,43))</f>
        <v>1</v>
      </c>
      <c r="S46" s="72">
        <f>IF(ISBLANK(INDEX(lr_trend,43)),N(nr_TrendDefault),N(INDEX(lr_trend,43)))</f>
        <v>0</v>
      </c>
      <c r="T46" s="6" t="str">
        <f>INDEX(lr_state,43)</f>
        <v>AZ</v>
      </c>
      <c r="U46" s="6" t="str">
        <f>INDEX(lr_bu,43)</f>
        <v>SBA</v>
      </c>
      <c r="V46" s="271">
        <f>N(INDEX(lr_ep,43))</f>
        <v>8000</v>
      </c>
      <c r="W46" s="73">
        <f>N(INDEX(lr_mind,43))*$V46</f>
        <v>7360</v>
      </c>
      <c r="X46" s="73">
        <f>N(INDEX(lr_m0,43))*$V46</f>
        <v>7280</v>
      </c>
      <c r="Y46" s="73">
        <f>N(INDEX(lr_m1,43))*$V46</f>
        <v>7200</v>
      </c>
      <c r="Z46" s="73">
        <f t="shared" si="43"/>
        <v>8320</v>
      </c>
      <c r="AA46" s="73">
        <f t="shared" si="44"/>
        <v>8319.9999999999982</v>
      </c>
      <c r="AB46" s="73">
        <f t="shared" si="45"/>
        <v>8000.0000000000018</v>
      </c>
      <c r="AC46" s="73">
        <f t="shared" si="46"/>
        <v>7248.059810357403</v>
      </c>
      <c r="AD46" s="73">
        <f t="shared" si="47"/>
        <v>8123.5532736444984</v>
      </c>
      <c r="AE46" s="73">
        <f t="shared" si="48"/>
        <v>4736</v>
      </c>
      <c r="AF46" s="73">
        <f t="shared" si="49"/>
        <v>4809.1435379975437</v>
      </c>
      <c r="AG46" s="73">
        <f t="shared" si="50"/>
        <v>0</v>
      </c>
      <c r="AH46" s="73">
        <f t="shared" si="51"/>
        <v>8000.0000000000018</v>
      </c>
      <c r="AI46" s="73">
        <f t="shared" si="52"/>
        <v>8174.6915926464271</v>
      </c>
      <c r="AJ46" s="73">
        <f t="shared" si="53"/>
        <v>4839.4174228466854</v>
      </c>
      <c r="AK46" s="75">
        <f>IF($L$2344,1,0)</f>
        <v>0</v>
      </c>
      <c r="AL46" s="72">
        <f>IF($L$2344,$M$2344,0)</f>
        <v>0</v>
      </c>
      <c r="AM46" s="73">
        <f>$N$2371/$N$2359*IF($O$2344=1,$O$2371/$O$2359,1)-1</f>
        <v>3.0928317939036276E-2</v>
      </c>
      <c r="AN46" s="73">
        <f>$N$2372/$N$2360*IF($O$2344=1,$O$2372/$O$2360,1)-1</f>
        <v>3.0921917972019708E-2</v>
      </c>
      <c r="AO46" s="73">
        <f>$N$2373/$N$2361*IF($O$2344=1,$O$2373/$O$2361,1)-1</f>
        <v>3.0915508968422101E-2</v>
      </c>
      <c r="AP46" s="73">
        <f>$N$2374/$N$2362*IF($O$2344=1,$O$2374/$O$2362,1)-1</f>
        <v>3.0908873188839614E-2</v>
      </c>
      <c r="AQ46" s="73">
        <f>$N$2375/$N$2363*IF($O$2344=1,$O$2375/$O$2363,1)-1</f>
        <v>3.0902227707941377E-2</v>
      </c>
      <c r="AR46" s="73">
        <f>$N$2376/$N$2364*IF($O$2344=1,$O$2376/$O$2364,1)-1</f>
        <v>3.0895572504437085E-2</v>
      </c>
      <c r="AS46" s="73">
        <f>$N$2377/$N$2365*IF($O$2344=1,$O$2377/$O$2365,1)-1</f>
        <v>-8.7606658106015312E-3</v>
      </c>
      <c r="AT46" s="73">
        <f>$N$2378/$N$2366*IF($O$2344=1,$O$2378/$O$2366,1)-1</f>
        <v>-8.7671890950580256E-3</v>
      </c>
      <c r="AU46" s="73">
        <f>$N$2379/$N$2367*IF($O$2344=1,$O$2379/$O$2367,1)-1</f>
        <v>-8.7736166530455462E-3</v>
      </c>
      <c r="AV46" s="73">
        <f>$N$2380/$N$2368*IF($O$2344=1,$O$2380/$O$2368,1)-1</f>
        <v>-8.7800536425195475E-3</v>
      </c>
      <c r="AW46" s="73">
        <f>$N$2381/$N$2369*IF($O$2344=1,$O$2381/$O$2369,1)-1</f>
        <v>-8.7865000842540786E-3</v>
      </c>
      <c r="AX46" s="73">
        <f>$N$2382/$N$2370*IF($O$2344=1,$O$2382/$O$2370,1)-1</f>
        <v>-8.7929559990846951E-3</v>
      </c>
      <c r="AY46" s="73">
        <f>$N$2371/$N$2359-1</f>
        <v>4.0000000000000036E-2</v>
      </c>
      <c r="AZ46" s="73">
        <f>$N$2372/$N$2360-1</f>
        <v>4.0000000000000036E-2</v>
      </c>
      <c r="BA46" s="73">
        <f>$N$2373/$N$2361-1</f>
        <v>4.0000000000000036E-2</v>
      </c>
      <c r="BB46" s="73">
        <f>$N$2374/$N$2362-1</f>
        <v>4.0000000000000036E-2</v>
      </c>
      <c r="BC46" s="73">
        <f>$N$2375/$N$2363-1</f>
        <v>4.0000000000000036E-2</v>
      </c>
      <c r="BD46" s="73">
        <f>$N$2376/$N$2364-1</f>
        <v>4.0000000000000036E-2</v>
      </c>
      <c r="BE46" s="73">
        <f>$N$2377/$N$2365-1</f>
        <v>0</v>
      </c>
      <c r="BF46" s="73">
        <f>$N$2378/$N$2366-1</f>
        <v>0</v>
      </c>
      <c r="BG46" s="73">
        <f>$N$2379/$N$2367-1</f>
        <v>0</v>
      </c>
      <c r="BH46" s="73">
        <f>$N$2380/$N$2368-1</f>
        <v>0</v>
      </c>
      <c r="BI46" s="73">
        <f>$N$2381/$N$2369-1</f>
        <v>0</v>
      </c>
      <c r="BJ46" s="73">
        <f>$N$2382/$N$2370-1</f>
        <v>0</v>
      </c>
      <c r="BK46" s="73">
        <f>$O$2371/$O$2359-1</f>
        <v>-8.7227712124651191E-3</v>
      </c>
      <c r="BL46" s="73">
        <f>$O$2372/$O$2360-1</f>
        <v>-8.7289250269041441E-3</v>
      </c>
      <c r="BM46" s="73">
        <f>$O$2373/$O$2361-1</f>
        <v>-8.7350875303633391E-3</v>
      </c>
      <c r="BN46" s="73">
        <f>$O$2374/$O$2362-1</f>
        <v>-8.7414680876541917E-3</v>
      </c>
      <c r="BO46" s="73">
        <f>$O$2375/$O$2363-1</f>
        <v>-8.7478579731332662E-3</v>
      </c>
      <c r="BP46" s="73">
        <f>$O$2376/$O$2364-1</f>
        <v>-8.7542572072719649E-3</v>
      </c>
      <c r="BQ46" s="73">
        <f>$O$2377/$O$2365-1</f>
        <v>-8.7606658106015312E-3</v>
      </c>
      <c r="BR46" s="73">
        <f>$O$2378/$O$2366-1</f>
        <v>-8.7671890950580256E-3</v>
      </c>
      <c r="BS46" s="73">
        <f>$O$2379/$O$2367-1</f>
        <v>-8.7736166530455462E-3</v>
      </c>
      <c r="BT46" s="73">
        <f>$O$2380/$O$2368-1</f>
        <v>-8.7800536425195475E-3</v>
      </c>
      <c r="BU46" s="73">
        <f>$O$2381/$O$2369-1</f>
        <v>-8.7865000842540786E-3</v>
      </c>
      <c r="BV46" s="73">
        <f>$O$2382/$O$2370-1</f>
        <v>-8.7929559990846951E-3</v>
      </c>
      <c r="BW46" s="73">
        <f>$V46*$H$2371</f>
        <v>8000</v>
      </c>
      <c r="BX46" s="73">
        <f>$V46*$H$2372</f>
        <v>8000</v>
      </c>
      <c r="BY46" s="73">
        <f>$V46*$H$2373</f>
        <v>8000</v>
      </c>
      <c r="BZ46" s="73">
        <f>$V46*$H$2374</f>
        <v>8000</v>
      </c>
      <c r="CA46" s="73">
        <f>$V46*$H$2375</f>
        <v>8000</v>
      </c>
      <c r="CB46" s="73">
        <f>$V46*$H$2376</f>
        <v>8000</v>
      </c>
      <c r="CC46" s="73">
        <f>$V46*$H$2377</f>
        <v>8000</v>
      </c>
      <c r="CD46" s="73">
        <f>$V46*$H$2378</f>
        <v>8000</v>
      </c>
      <c r="CE46" s="73">
        <f>$V46*$H$2379</f>
        <v>8000</v>
      </c>
      <c r="CF46" s="73">
        <f>$V46*$H$2380</f>
        <v>8000</v>
      </c>
      <c r="CG46" s="73">
        <f>$V46*$H$2381</f>
        <v>8000</v>
      </c>
      <c r="CH46" s="73">
        <f>$V46*$H$2382</f>
        <v>8000</v>
      </c>
      <c r="CI46" s="75">
        <f>$O$2344</f>
        <v>1</v>
      </c>
      <c r="CJ46" s="73">
        <f>$H$2395</f>
        <v>1.02</v>
      </c>
      <c r="CK46" s="73">
        <f>$I$2395</f>
        <v>0.99124238763980388</v>
      </c>
      <c r="CL46" s="73">
        <f>$J$2395</f>
        <v>1.0110676197496777</v>
      </c>
      <c r="CM46" s="73">
        <f t="shared" si="54"/>
        <v>0</v>
      </c>
      <c r="CN46" s="73">
        <f t="shared" si="55"/>
        <v>8000</v>
      </c>
      <c r="CO46" s="72">
        <f>$M46*($C46/$K$2395)*IF($O$2344=1,$F$2344/$G46,1)*$R46</f>
        <v>0.601142942249693</v>
      </c>
      <c r="CP46" s="72">
        <f>$M46*(1+$S46)*($C46/$L$2395)*IF($O$2344=1,$F$2344/$H46,1)*$R46</f>
        <v>0.60492717785583572</v>
      </c>
      <c r="CQ46" s="73">
        <f t="shared" si="56"/>
        <v>4809.1435379975437</v>
      </c>
      <c r="CR46" s="73">
        <f t="shared" si="57"/>
        <v>4839.4174228466854</v>
      </c>
      <c r="CS46" s="73">
        <f t="shared" si="58"/>
        <v>0</v>
      </c>
      <c r="CT46" s="272">
        <f t="shared" si="59"/>
        <v>0</v>
      </c>
      <c r="CU46" s="75">
        <f t="shared" si="60"/>
        <v>1</v>
      </c>
      <c r="CV46" s="75">
        <f t="shared" si="61"/>
        <v>0</v>
      </c>
      <c r="CW46" s="273">
        <f t="shared" si="62"/>
        <v>46204</v>
      </c>
      <c r="CX46" s="274">
        <f t="shared" si="63"/>
        <v>0.04</v>
      </c>
      <c r="CY46" s="6" t="str">
        <f t="shared" si="64"/>
        <v>T</v>
      </c>
      <c r="CZ46" s="273" t="str">
        <f t="shared" si="65"/>
        <v/>
      </c>
      <c r="DA46" s="274" t="str">
        <f t="shared" si="66"/>
        <v/>
      </c>
      <c r="DB46" s="6" t="str">
        <f t="shared" si="67"/>
        <v/>
      </c>
      <c r="DC46" s="273" t="str">
        <f t="shared" si="68"/>
        <v/>
      </c>
      <c r="DD46" s="274" t="str">
        <f t="shared" si="69"/>
        <v/>
      </c>
      <c r="DE46" s="6" t="str">
        <f t="shared" si="70"/>
        <v/>
      </c>
      <c r="DF46" s="273" t="str">
        <f t="shared" si="71"/>
        <v/>
      </c>
      <c r="DG46" s="274" t="str">
        <f t="shared" si="72"/>
        <v/>
      </c>
      <c r="DH46" s="6" t="str">
        <f t="shared" si="73"/>
        <v/>
      </c>
    </row>
    <row r="47" spans="1:112" x14ac:dyDescent="0.3">
      <c r="A47" s="6" t="str">
        <f>$A$2398</f>
        <v>SBA|CO</v>
      </c>
      <c r="B47" s="75">
        <f>$C$2398</f>
        <v>6</v>
      </c>
      <c r="C47" s="73">
        <f>$B$2449</f>
        <v>1.05</v>
      </c>
      <c r="D47" s="73">
        <f>$C$2449</f>
        <v>1.0086805555555556</v>
      </c>
      <c r="E47" s="73">
        <f>$D$2449</f>
        <v>1.049652777777778</v>
      </c>
      <c r="F47" s="73">
        <f>$E$2449</f>
        <v>1.05</v>
      </c>
      <c r="G47" s="224">
        <f>$F$2449</f>
        <v>0.91199626185266247</v>
      </c>
      <c r="H47" s="224">
        <f>$G$2449</f>
        <v>0.91483011184050556</v>
      </c>
      <c r="I47" s="73">
        <f t="shared" si="37"/>
        <v>1.0003307972213031</v>
      </c>
      <c r="J47" s="73">
        <f t="shared" si="38"/>
        <v>1</v>
      </c>
      <c r="K47" s="73">
        <f>IF($L$2398,1,IF(AND(nr_ModAdjMaster="ON",INDEX(lr_modadj,44)="ON"),$F$2398/$G47,1))</f>
        <v>1.0087760646420616</v>
      </c>
      <c r="L47" s="73">
        <f>IF($L$2398,1,IF(AND(nr_ModAdjMaster="ON",INDEX(lr_modadj,44)="ON"),$F$2398/$H47,1))</f>
        <v>1.0056512002530102</v>
      </c>
      <c r="M47" s="72">
        <f>IF(INDEX(lr_basis,44)="proposed",N(INDEX(lr_lrproj,44))*(1+N(INDEX(lr_s,44))),N(INDEX(lr_lrproj,44)))</f>
        <v>0.57599999999999996</v>
      </c>
      <c r="N47" s="72">
        <f t="shared" si="39"/>
        <v>0.58124722461762945</v>
      </c>
      <c r="O47" s="72">
        <f t="shared" si="40"/>
        <v>0.57925509134573383</v>
      </c>
      <c r="P47" s="72">
        <f t="shared" si="41"/>
        <v>-3.3068783068768148E-4</v>
      </c>
      <c r="Q47" s="72">
        <f t="shared" si="42"/>
        <v>3.3079722130313627E-4</v>
      </c>
      <c r="R47" s="73">
        <f>IF(N(INDEX(lr_aother,44))=0,1,INDEX(lr_aother,44))</f>
        <v>1</v>
      </c>
      <c r="S47" s="72">
        <f>IF(ISBLANK(INDEX(lr_trend,44)),N(nr_TrendDefault),N(INDEX(lr_trend,44)))</f>
        <v>0</v>
      </c>
      <c r="T47" s="6" t="str">
        <f>INDEX(lr_state,44)</f>
        <v>CO</v>
      </c>
      <c r="U47" s="6" t="str">
        <f>INDEX(lr_bu,44)</f>
        <v>SBA</v>
      </c>
      <c r="V47" s="271">
        <f>N(INDEX(lr_ep,44))</f>
        <v>18400</v>
      </c>
      <c r="W47" s="73">
        <f>N(INDEX(lr_mind,44))*$V47</f>
        <v>16928</v>
      </c>
      <c r="X47" s="73">
        <f>N(INDEX(lr_m0,44))*$V47</f>
        <v>16744</v>
      </c>
      <c r="Y47" s="73">
        <f>N(INDEX(lr_m1,44))*$V47</f>
        <v>16836</v>
      </c>
      <c r="Z47" s="73">
        <f t="shared" si="43"/>
        <v>19320</v>
      </c>
      <c r="AA47" s="73">
        <f t="shared" si="44"/>
        <v>19313.611111111117</v>
      </c>
      <c r="AB47" s="73">
        <f t="shared" si="45"/>
        <v>18406.086668871976</v>
      </c>
      <c r="AC47" s="73">
        <f t="shared" si="46"/>
        <v>16780.731218088989</v>
      </c>
      <c r="AD47" s="73">
        <f t="shared" si="47"/>
        <v>18561.479589413935</v>
      </c>
      <c r="AE47" s="73">
        <f t="shared" si="48"/>
        <v>10598.4</v>
      </c>
      <c r="AF47" s="73">
        <f t="shared" si="49"/>
        <v>10694.948932964382</v>
      </c>
      <c r="AG47" s="73">
        <f t="shared" si="50"/>
        <v>0</v>
      </c>
      <c r="AH47" s="73">
        <f t="shared" si="51"/>
        <v>18400</v>
      </c>
      <c r="AI47" s="73">
        <f t="shared" si="52"/>
        <v>18503.982084655388</v>
      </c>
      <c r="AJ47" s="73">
        <f t="shared" si="53"/>
        <v>10658.293680761502</v>
      </c>
      <c r="AK47" s="75">
        <f>IF($L$2398,1,0)</f>
        <v>0</v>
      </c>
      <c r="AL47" s="72">
        <f>IF($L$2398,$M$2398,0)</f>
        <v>0</v>
      </c>
      <c r="AM47" s="73">
        <f>$N$2425/$N$2413*IF($O$2398=1,$O$2425/$O$2413,1)-1</f>
        <v>5.4622119843457106E-2</v>
      </c>
      <c r="AN47" s="73">
        <f>$N$2426/$N$2414*IF($O$2398=1,$O$2426/$O$2414,1)-1</f>
        <v>5.4620475972319449E-2</v>
      </c>
      <c r="AO47" s="73">
        <f>$N$2427/$N$2415*IF($O$2398=1,$O$2427/$O$2415,1)-1</f>
        <v>5.4618833270061673E-2</v>
      </c>
      <c r="AP47" s="73">
        <f>$N$2428/$N$2416*IF($O$2398=1,$O$2428/$O$2416,1)-1</f>
        <v>5.4617136110642672E-2</v>
      </c>
      <c r="AQ47" s="73">
        <f>$N$2429/$N$2417*IF($O$2398=1,$O$2429/$O$2417,1)-1</f>
        <v>5.4615440197985254E-2</v>
      </c>
      <c r="AR47" s="73">
        <f>$N$2430/$N$2418*IF($O$2398=1,$O$2430/$O$2418,1)-1</f>
        <v>5.4613745530716296E-2</v>
      </c>
      <c r="AS47" s="73">
        <f>$N$2431/$N$2419*IF($O$2398=1,$O$2431/$O$2419,1)-1</f>
        <v>5.4612052107464226E-2</v>
      </c>
      <c r="AT47" s="73">
        <f>$N$2432/$N$2420*IF($O$2398=1,$O$2432/$O$2420,1)-1</f>
        <v>4.3907925681323512E-3</v>
      </c>
      <c r="AU47" s="73">
        <f>$N$2433/$N$2421*IF($O$2398=1,$O$2433/$O$2421,1)-1</f>
        <v>4.3891821690977828E-3</v>
      </c>
      <c r="AV47" s="73">
        <f>$N$2434/$N$2422*IF($O$2398=1,$O$2434/$O$2422,1)-1</f>
        <v>4.3875729509132988E-3</v>
      </c>
      <c r="AW47" s="73">
        <f>$N$2435/$N$2423*IF($O$2398=1,$O$2435/$O$2423,1)-1</f>
        <v>4.3859649122806044E-3</v>
      </c>
      <c r="AX47" s="73">
        <f>$N$2436/$N$2424*IF($O$2398=1,$O$2436/$O$2424,1)-1</f>
        <v>4.3843580519036252E-3</v>
      </c>
      <c r="AY47" s="73">
        <f>$N$2425/$N$2413-1</f>
        <v>5.0000000000000044E-2</v>
      </c>
      <c r="AZ47" s="73">
        <f>$N$2426/$N$2414-1</f>
        <v>5.0000000000000044E-2</v>
      </c>
      <c r="BA47" s="73">
        <f>$N$2427/$N$2415-1</f>
        <v>5.0000000000000044E-2</v>
      </c>
      <c r="BB47" s="73">
        <f>$N$2428/$N$2416-1</f>
        <v>5.0000000000000044E-2</v>
      </c>
      <c r="BC47" s="73">
        <f>$N$2429/$N$2417-1</f>
        <v>5.0000000000000044E-2</v>
      </c>
      <c r="BD47" s="73">
        <f>$N$2430/$N$2418-1</f>
        <v>5.0000000000000044E-2</v>
      </c>
      <c r="BE47" s="73">
        <f>$N$2431/$N$2419-1</f>
        <v>5.0000000000000044E-2</v>
      </c>
      <c r="BF47" s="73">
        <f>$N$2432/$N$2420-1</f>
        <v>0</v>
      </c>
      <c r="BG47" s="73">
        <f>$N$2433/$N$2421-1</f>
        <v>0</v>
      </c>
      <c r="BH47" s="73">
        <f>$N$2434/$N$2422-1</f>
        <v>0</v>
      </c>
      <c r="BI47" s="73">
        <f>$N$2435/$N$2423-1</f>
        <v>0</v>
      </c>
      <c r="BJ47" s="73">
        <f>$N$2436/$N$2424-1</f>
        <v>0</v>
      </c>
      <c r="BK47" s="73">
        <f>$O$2425/$O$2413-1</f>
        <v>4.4020188985305353E-3</v>
      </c>
      <c r="BL47" s="73">
        <f>$O$2426/$O$2414-1</f>
        <v>4.4004533069708085E-3</v>
      </c>
      <c r="BM47" s="73">
        <f>$O$2427/$O$2415-1</f>
        <v>4.3988888286301542E-3</v>
      </c>
      <c r="BN47" s="73">
        <f>$O$2428/$O$2416-1</f>
        <v>4.3972724863263757E-3</v>
      </c>
      <c r="BO47" s="73">
        <f>$O$2429/$O$2417-1</f>
        <v>4.3956573314145597E-3</v>
      </c>
      <c r="BP47" s="73">
        <f>$O$2430/$O$2418-1</f>
        <v>4.3940433625868636E-3</v>
      </c>
      <c r="BQ47" s="73">
        <f>$O$2431/$O$2419-1</f>
        <v>4.3924305785372209E-3</v>
      </c>
      <c r="BR47" s="73">
        <f>$O$2432/$O$2420-1</f>
        <v>4.3907925681323512E-3</v>
      </c>
      <c r="BS47" s="73">
        <f>$O$2433/$O$2421-1</f>
        <v>4.3891821690977828E-3</v>
      </c>
      <c r="BT47" s="73">
        <f>$O$2434/$O$2422-1</f>
        <v>4.3875729509132988E-3</v>
      </c>
      <c r="BU47" s="73">
        <f>$O$2435/$O$2423-1</f>
        <v>4.3859649122806044E-3</v>
      </c>
      <c r="BV47" s="73">
        <f>$O$2436/$O$2424-1</f>
        <v>4.3843580519036252E-3</v>
      </c>
      <c r="BW47" s="73">
        <f>$V47*$H$2425</f>
        <v>18400</v>
      </c>
      <c r="BX47" s="73">
        <f>$V47*$H$2426</f>
        <v>18400</v>
      </c>
      <c r="BY47" s="73">
        <f>$V47*$H$2427</f>
        <v>18400</v>
      </c>
      <c r="BZ47" s="73">
        <f>$V47*$H$2428</f>
        <v>18400</v>
      </c>
      <c r="CA47" s="73">
        <f>$V47*$H$2429</f>
        <v>18400</v>
      </c>
      <c r="CB47" s="73">
        <f>$V47*$H$2430</f>
        <v>18400</v>
      </c>
      <c r="CC47" s="73">
        <f>$V47*$H$2431</f>
        <v>18400</v>
      </c>
      <c r="CD47" s="73">
        <f>$V47*$H$2432</f>
        <v>18400</v>
      </c>
      <c r="CE47" s="73">
        <f>$V47*$H$2433</f>
        <v>18400</v>
      </c>
      <c r="CF47" s="73">
        <f>$V47*$H$2434</f>
        <v>18400</v>
      </c>
      <c r="CG47" s="73">
        <f>$V47*$H$2435</f>
        <v>18400</v>
      </c>
      <c r="CH47" s="73">
        <f>$V47*$H$2436</f>
        <v>18400</v>
      </c>
      <c r="CI47" s="75">
        <f>$O$2398</f>
        <v>1</v>
      </c>
      <c r="CJ47" s="73">
        <f>$H$2449</f>
        <v>1.0291666666666666</v>
      </c>
      <c r="CK47" s="73">
        <f>$I$2449</f>
        <v>1.0043932196204437</v>
      </c>
      <c r="CL47" s="73">
        <f>$J$2449</f>
        <v>1.0336881394737478</v>
      </c>
      <c r="CM47" s="73">
        <f t="shared" si="54"/>
        <v>0</v>
      </c>
      <c r="CN47" s="73">
        <f t="shared" si="55"/>
        <v>18400</v>
      </c>
      <c r="CO47" s="72">
        <f>$M47*($C47/$K$2449)*IF($O$2398=1,$F$2398/$G47,1)*$R47</f>
        <v>0.58124722461762945</v>
      </c>
      <c r="CP47" s="72">
        <f>$M47*(1+$S47)*($C47/$L$2449)*IF($O$2398=1,$F$2398/$H47,1)*$R47</f>
        <v>0.57925509134573383</v>
      </c>
      <c r="CQ47" s="73">
        <f t="shared" si="56"/>
        <v>10694.948932964382</v>
      </c>
      <c r="CR47" s="73">
        <f t="shared" si="57"/>
        <v>10658.293680761502</v>
      </c>
      <c r="CS47" s="73">
        <f t="shared" si="58"/>
        <v>0</v>
      </c>
      <c r="CT47" s="272">
        <f t="shared" si="59"/>
        <v>0</v>
      </c>
      <c r="CU47" s="75">
        <f t="shared" si="60"/>
        <v>1</v>
      </c>
      <c r="CV47" s="75">
        <f t="shared" si="61"/>
        <v>0</v>
      </c>
      <c r="CW47" s="273">
        <f t="shared" si="62"/>
        <v>46235</v>
      </c>
      <c r="CX47" s="274">
        <f t="shared" si="63"/>
        <v>0.05</v>
      </c>
      <c r="CY47" s="6" t="str">
        <f t="shared" si="64"/>
        <v>T</v>
      </c>
      <c r="CZ47" s="273" t="str">
        <f t="shared" si="65"/>
        <v/>
      </c>
      <c r="DA47" s="274" t="str">
        <f t="shared" si="66"/>
        <v/>
      </c>
      <c r="DB47" s="6" t="str">
        <f t="shared" si="67"/>
        <v/>
      </c>
      <c r="DC47" s="273" t="str">
        <f t="shared" si="68"/>
        <v/>
      </c>
      <c r="DD47" s="274" t="str">
        <f t="shared" si="69"/>
        <v/>
      </c>
      <c r="DE47" s="6" t="str">
        <f t="shared" si="70"/>
        <v/>
      </c>
      <c r="DF47" s="273" t="str">
        <f t="shared" si="71"/>
        <v/>
      </c>
      <c r="DG47" s="274" t="str">
        <f t="shared" si="72"/>
        <v/>
      </c>
      <c r="DH47" s="6" t="str">
        <f t="shared" si="73"/>
        <v/>
      </c>
    </row>
    <row r="48" spans="1:112" x14ac:dyDescent="0.3">
      <c r="A48" s="6" t="str">
        <f>$A$2452</f>
        <v>SBA|DE</v>
      </c>
      <c r="B48" s="75">
        <f>$C$2452</f>
        <v>6</v>
      </c>
      <c r="C48" s="73">
        <f>$B$2503</f>
        <v>1</v>
      </c>
      <c r="D48" s="73">
        <f>$C$2503</f>
        <v>1</v>
      </c>
      <c r="E48" s="73">
        <f>$D$2503</f>
        <v>1</v>
      </c>
      <c r="F48" s="73">
        <f>$E$2503</f>
        <v>1</v>
      </c>
      <c r="G48" s="224">
        <f>$F$2503</f>
        <v>0.91798504741064912</v>
      </c>
      <c r="H48" s="224">
        <f>$G$2503</f>
        <v>0.92932044736202268</v>
      </c>
      <c r="I48" s="73">
        <f t="shared" si="37"/>
        <v>1</v>
      </c>
      <c r="J48" s="73">
        <f t="shared" si="38"/>
        <v>1</v>
      </c>
      <c r="K48" s="73">
        <f>IF($L$2452,1,IF(AND(nr_ModAdjMaster="ON",INDEX(lr_modadj,45)="ON"),$F$2452/$G48,1))</f>
        <v>1.0021949732133812</v>
      </c>
      <c r="L48" s="73">
        <f>IF($L$2452,1,IF(AND(nr_ModAdjMaster="ON",INDEX(lr_modadj,45)="ON"),$F$2452/$H48,1))</f>
        <v>0.98997068515119868</v>
      </c>
      <c r="M48" s="72">
        <f>IF(INDEX(lr_basis,45)="proposed",N(INDEX(lr_lrproj,45))*(1+N(INDEX(lr_s,45))),N(INDEX(lr_lrproj,45)))</f>
        <v>0.56000000000000005</v>
      </c>
      <c r="N48" s="72">
        <f t="shared" si="39"/>
        <v>0.56122918499949359</v>
      </c>
      <c r="O48" s="72">
        <f t="shared" si="40"/>
        <v>0.55438358368467133</v>
      </c>
      <c r="P48" s="72">
        <f t="shared" si="41"/>
        <v>0</v>
      </c>
      <c r="Q48" s="72">
        <f t="shared" si="42"/>
        <v>0</v>
      </c>
      <c r="R48" s="73">
        <f>IF(N(INDEX(lr_aother,45))=0,1,INDEX(lr_aother,45))</f>
        <v>1</v>
      </c>
      <c r="S48" s="72">
        <f>IF(ISBLANK(INDEX(lr_trend,45)),N(nr_TrendDefault),N(INDEX(lr_trend,45)))</f>
        <v>0</v>
      </c>
      <c r="T48" s="6" t="str">
        <f>INDEX(lr_state,45)</f>
        <v>DE</v>
      </c>
      <c r="U48" s="6" t="str">
        <f>INDEX(lr_bu,45)</f>
        <v>SBA</v>
      </c>
      <c r="V48" s="271">
        <f>N(INDEX(lr_ep,45))</f>
        <v>15200</v>
      </c>
      <c r="W48" s="73">
        <f>N(INDEX(lr_mind,45))*$V48</f>
        <v>13984</v>
      </c>
      <c r="X48" s="73">
        <f>N(INDEX(lr_m0,45))*$V48</f>
        <v>13832</v>
      </c>
      <c r="Y48" s="73">
        <f>N(INDEX(lr_m1,45))*$V48</f>
        <v>14136</v>
      </c>
      <c r="Z48" s="73">
        <f t="shared" si="43"/>
        <v>15200</v>
      </c>
      <c r="AA48" s="73">
        <f t="shared" si="44"/>
        <v>15200</v>
      </c>
      <c r="AB48" s="73">
        <f t="shared" si="45"/>
        <v>15200</v>
      </c>
      <c r="AC48" s="73">
        <f t="shared" si="46"/>
        <v>13953.372720641866</v>
      </c>
      <c r="AD48" s="73">
        <f t="shared" si="47"/>
        <v>15233.363592843394</v>
      </c>
      <c r="AE48" s="73">
        <f t="shared" si="48"/>
        <v>8512</v>
      </c>
      <c r="AF48" s="73">
        <f t="shared" si="49"/>
        <v>8530.6836119923028</v>
      </c>
      <c r="AG48" s="73">
        <f t="shared" si="50"/>
        <v>0</v>
      </c>
      <c r="AH48" s="73">
        <f t="shared" si="51"/>
        <v>15200</v>
      </c>
      <c r="AI48" s="73">
        <f t="shared" si="52"/>
        <v>15047.55441429822</v>
      </c>
      <c r="AJ48" s="73">
        <f t="shared" si="53"/>
        <v>8426.6304720070038</v>
      </c>
      <c r="AK48" s="75">
        <f>IF($L$2452,1,0)</f>
        <v>0</v>
      </c>
      <c r="AL48" s="72">
        <f>IF($L$2452,$M$2452,0)</f>
        <v>0</v>
      </c>
      <c r="AM48" s="73">
        <f>$N$2479/$N$2467*IF($O$2452=1,$O$2479/$O$2467,1)-1</f>
        <v>1.7773665757693902E-2</v>
      </c>
      <c r="AN48" s="73">
        <f>$N$2480/$N$2468*IF($O$2452=1,$O$2480/$O$2468,1)-1</f>
        <v>1.7748170479686909E-2</v>
      </c>
      <c r="AO48" s="73">
        <f>$N$2481/$N$2469*IF($O$2452=1,$O$2481/$O$2469,1)-1</f>
        <v>1.7722748239864083E-2</v>
      </c>
      <c r="AP48" s="73">
        <f>$N$2482/$N$2470*IF($O$2452=1,$O$2482/$O$2470,1)-1</f>
        <v>1.7696540689922768E-2</v>
      </c>
      <c r="AQ48" s="73">
        <f>$N$2483/$N$2471*IF($O$2452=1,$O$2483/$O$2471,1)-1</f>
        <v>1.7670410534469383E-2</v>
      </c>
      <c r="AR48" s="73">
        <f>$N$2484/$N$2472*IF($O$2452=1,$O$2484/$O$2472,1)-1</f>
        <v>1.7644357431174873E-2</v>
      </c>
      <c r="AS48" s="73">
        <f>$N$2485/$N$2473*IF($O$2452=1,$O$2485/$O$2473,1)-1</f>
        <v>1.7618381039725906E-2</v>
      </c>
      <c r="AT48" s="73">
        <f>$N$2486/$N$2474*IF($O$2452=1,$O$2486/$O$2474,1)-1</f>
        <v>1.7592057065741296E-2</v>
      </c>
      <c r="AU48" s="73">
        <f>$N$2487/$N$2475*IF($O$2452=1,$O$2487/$O$2475,1)-1</f>
        <v>1.7566234328753261E-2</v>
      </c>
      <c r="AV48" s="73">
        <f>$N$2488/$N$2476*IF($O$2452=1,$O$2488/$O$2476,1)-1</f>
        <v>1.7540487289153583E-2</v>
      </c>
      <c r="AW48" s="73">
        <f>$N$2489/$N$2477*IF($O$2452=1,$O$2489/$O$2477,1)-1</f>
        <v>1.7514815614577905E-2</v>
      </c>
      <c r="AX48" s="73">
        <f>$N$2490/$N$2478*IF($O$2452=1,$O$2490/$O$2478,1)-1</f>
        <v>1.7489218974604537E-2</v>
      </c>
      <c r="AY48" s="73">
        <f>$N$2479/$N$2467-1</f>
        <v>0</v>
      </c>
      <c r="AZ48" s="73">
        <f>$N$2480/$N$2468-1</f>
        <v>0</v>
      </c>
      <c r="BA48" s="73">
        <f>$N$2481/$N$2469-1</f>
        <v>0</v>
      </c>
      <c r="BB48" s="73">
        <f>$N$2482/$N$2470-1</f>
        <v>0</v>
      </c>
      <c r="BC48" s="73">
        <f>$N$2483/$N$2471-1</f>
        <v>0</v>
      </c>
      <c r="BD48" s="73">
        <f>$N$2484/$N$2472-1</f>
        <v>0</v>
      </c>
      <c r="BE48" s="73">
        <f>$N$2485/$N$2473-1</f>
        <v>0</v>
      </c>
      <c r="BF48" s="73">
        <f>$N$2486/$N$2474-1</f>
        <v>0</v>
      </c>
      <c r="BG48" s="73">
        <f>$N$2487/$N$2475-1</f>
        <v>0</v>
      </c>
      <c r="BH48" s="73">
        <f>$N$2488/$N$2476-1</f>
        <v>0</v>
      </c>
      <c r="BI48" s="73">
        <f>$N$2489/$N$2477-1</f>
        <v>0</v>
      </c>
      <c r="BJ48" s="73">
        <f>$N$2490/$N$2478-1</f>
        <v>0</v>
      </c>
      <c r="BK48" s="73">
        <f>$O$2479/$O$2467-1</f>
        <v>1.7773665757693902E-2</v>
      </c>
      <c r="BL48" s="73">
        <f>$O$2480/$O$2468-1</f>
        <v>1.7748170479686909E-2</v>
      </c>
      <c r="BM48" s="73">
        <f>$O$2481/$O$2469-1</f>
        <v>1.7722748239864083E-2</v>
      </c>
      <c r="BN48" s="73">
        <f>$O$2482/$O$2470-1</f>
        <v>1.7696540689922768E-2</v>
      </c>
      <c r="BO48" s="73">
        <f>$O$2483/$O$2471-1</f>
        <v>1.7670410534469383E-2</v>
      </c>
      <c r="BP48" s="73">
        <f>$O$2484/$O$2472-1</f>
        <v>1.7644357431174873E-2</v>
      </c>
      <c r="BQ48" s="73">
        <f>$O$2485/$O$2473-1</f>
        <v>1.7618381039725906E-2</v>
      </c>
      <c r="BR48" s="73">
        <f>$O$2486/$O$2474-1</f>
        <v>1.7592057065741296E-2</v>
      </c>
      <c r="BS48" s="73">
        <f>$O$2487/$O$2475-1</f>
        <v>1.7566234328753261E-2</v>
      </c>
      <c r="BT48" s="73">
        <f>$O$2488/$O$2476-1</f>
        <v>1.7540487289153583E-2</v>
      </c>
      <c r="BU48" s="73">
        <f>$O$2489/$O$2477-1</f>
        <v>1.7514815614577905E-2</v>
      </c>
      <c r="BV48" s="73">
        <f>$O$2490/$O$2478-1</f>
        <v>1.7489218974604537E-2</v>
      </c>
      <c r="BW48" s="73">
        <f>$V48*$H$2479</f>
        <v>15200</v>
      </c>
      <c r="BX48" s="73">
        <f>$V48*$H$2480</f>
        <v>15200</v>
      </c>
      <c r="BY48" s="73">
        <f>$V48*$H$2481</f>
        <v>15200</v>
      </c>
      <c r="BZ48" s="73">
        <f>$V48*$H$2482</f>
        <v>15200</v>
      </c>
      <c r="CA48" s="73">
        <f>$V48*$H$2483</f>
        <v>15200</v>
      </c>
      <c r="CB48" s="73">
        <f>$V48*$H$2484</f>
        <v>15200</v>
      </c>
      <c r="CC48" s="73">
        <f>$V48*$H$2485</f>
        <v>15200</v>
      </c>
      <c r="CD48" s="73">
        <f>$V48*$H$2486</f>
        <v>15200</v>
      </c>
      <c r="CE48" s="73">
        <f>$V48*$H$2487</f>
        <v>15200</v>
      </c>
      <c r="CF48" s="73">
        <f>$V48*$H$2488</f>
        <v>15200</v>
      </c>
      <c r="CG48" s="73">
        <f>$V48*$H$2489</f>
        <v>15200</v>
      </c>
      <c r="CH48" s="73">
        <f>$V48*$H$2490</f>
        <v>15200</v>
      </c>
      <c r="CI48" s="75">
        <f>$O$2452</f>
        <v>1</v>
      </c>
      <c r="CJ48" s="73">
        <f>$H$2503</f>
        <v>1</v>
      </c>
      <c r="CK48" s="73">
        <f>$I$2503</f>
        <v>1.0176314239537807</v>
      </c>
      <c r="CL48" s="73">
        <f>$J$2503</f>
        <v>1.0176314239537807</v>
      </c>
      <c r="CM48" s="73">
        <f t="shared" si="54"/>
        <v>0</v>
      </c>
      <c r="CN48" s="73">
        <f t="shared" si="55"/>
        <v>15200</v>
      </c>
      <c r="CO48" s="72">
        <f>$M48*($C48/$K$2503)*IF($O$2452=1,$F$2452/$G48,1)*$R48</f>
        <v>0.56122918499949359</v>
      </c>
      <c r="CP48" s="72">
        <f>$M48*(1+$S48)*($C48/$L$2503)*IF($O$2452=1,$F$2452/$H48,1)*$R48</f>
        <v>0.55438358368467133</v>
      </c>
      <c r="CQ48" s="73">
        <f t="shared" si="56"/>
        <v>8530.6836119923028</v>
      </c>
      <c r="CR48" s="73">
        <f t="shared" si="57"/>
        <v>8426.6304720070038</v>
      </c>
      <c r="CS48" s="73">
        <f t="shared" si="58"/>
        <v>0</v>
      </c>
      <c r="CT48" s="272">
        <f t="shared" si="59"/>
        <v>0</v>
      </c>
      <c r="CU48" s="75">
        <f t="shared" si="60"/>
        <v>0</v>
      </c>
      <c r="CV48" s="75">
        <f t="shared" si="61"/>
        <v>0</v>
      </c>
      <c r="CW48" s="273" t="str">
        <f t="shared" si="62"/>
        <v/>
      </c>
      <c r="CX48" s="274" t="str">
        <f t="shared" si="63"/>
        <v/>
      </c>
      <c r="CY48" s="6" t="str">
        <f t="shared" si="64"/>
        <v/>
      </c>
      <c r="CZ48" s="273" t="str">
        <f t="shared" si="65"/>
        <v/>
      </c>
      <c r="DA48" s="274" t="str">
        <f t="shared" si="66"/>
        <v/>
      </c>
      <c r="DB48" s="6" t="str">
        <f t="shared" si="67"/>
        <v/>
      </c>
      <c r="DC48" s="273" t="str">
        <f t="shared" si="68"/>
        <v/>
      </c>
      <c r="DD48" s="274" t="str">
        <f t="shared" si="69"/>
        <v/>
      </c>
      <c r="DE48" s="6" t="str">
        <f t="shared" si="70"/>
        <v/>
      </c>
      <c r="DF48" s="273" t="str">
        <f t="shared" si="71"/>
        <v/>
      </c>
      <c r="DG48" s="274" t="str">
        <f t="shared" si="72"/>
        <v/>
      </c>
      <c r="DH48" s="6" t="str">
        <f t="shared" si="73"/>
        <v/>
      </c>
    </row>
    <row r="49" spans="1:112" x14ac:dyDescent="0.3">
      <c r="A49" s="6" t="str">
        <f>$A$2506</f>
        <v>SBA|FL</v>
      </c>
      <c r="B49" s="75">
        <f>$C$2506</f>
        <v>6</v>
      </c>
      <c r="C49" s="73">
        <f>$B$2557</f>
        <v>1.02</v>
      </c>
      <c r="D49" s="73">
        <f>$C$2557</f>
        <v>1.0012500000000002</v>
      </c>
      <c r="E49" s="73">
        <f>$D$2557</f>
        <v>1.0323499999999999</v>
      </c>
      <c r="F49" s="73">
        <f>$E$2557</f>
        <v>1.0608000000000002</v>
      </c>
      <c r="G49" s="224">
        <f>$F$2557</f>
        <v>0.90999999999999981</v>
      </c>
      <c r="H49" s="224">
        <f>$G$2557</f>
        <v>0.90999999999999981</v>
      </c>
      <c r="I49" s="73">
        <f t="shared" si="37"/>
        <v>0.98803700295442454</v>
      </c>
      <c r="J49" s="73">
        <f t="shared" si="38"/>
        <v>0.96153846153846134</v>
      </c>
      <c r="K49" s="73">
        <f>IF($L$2506,1,IF(AND(nr_ModAdjMaster="ON",INDEX(lr_modadj,46)="ON"),$F$2506/$G49,1))</f>
        <v>1.0109890109890112</v>
      </c>
      <c r="L49" s="73">
        <f>IF($L$2506,1,IF(AND(nr_ModAdjMaster="ON",INDEX(lr_modadj,46)="ON"),$F$2506/$H49,1))</f>
        <v>1.0109890109890112</v>
      </c>
      <c r="M49" s="72">
        <f>IF(INDEX(lr_basis,46)="proposed",N(INDEX(lr_lrproj,46))*(1+N(INDEX(lr_s,46))),N(INDEX(lr_lrproj,46)))</f>
        <v>0.58799999999999997</v>
      </c>
      <c r="N49" s="72">
        <f t="shared" si="39"/>
        <v>0.58734999683321487</v>
      </c>
      <c r="O49" s="72">
        <f t="shared" si="40"/>
        <v>0.57159763313609468</v>
      </c>
      <c r="P49" s="72">
        <f t="shared" si="41"/>
        <v>1.210784313725477E-2</v>
      </c>
      <c r="Q49" s="72">
        <f t="shared" si="42"/>
        <v>2.7558483072601669E-2</v>
      </c>
      <c r="R49" s="73">
        <f>IF(N(INDEX(lr_aother,46))=0,1,INDEX(lr_aother,46))</f>
        <v>1</v>
      </c>
      <c r="S49" s="72">
        <f>IF(ISBLANK(INDEX(lr_trend,46)),N(nr_TrendDefault),N(INDEX(lr_trend,46)))</f>
        <v>0</v>
      </c>
      <c r="T49" s="6" t="str">
        <f>INDEX(lr_state,46)</f>
        <v>FL</v>
      </c>
      <c r="U49" s="6" t="str">
        <f>INDEX(lr_bu,46)</f>
        <v>SBA</v>
      </c>
      <c r="V49" s="271">
        <f>N(INDEX(lr_ep,46))</f>
        <v>12000</v>
      </c>
      <c r="W49" s="73">
        <f>N(INDEX(lr_mind,46))*$V49</f>
        <v>11040</v>
      </c>
      <c r="X49" s="73">
        <f>N(INDEX(lr_m0,46))*$V49</f>
        <v>10920</v>
      </c>
      <c r="Y49" s="73">
        <f>N(INDEX(lr_m1,46))*$V49</f>
        <v>10920</v>
      </c>
      <c r="Z49" s="73">
        <f t="shared" si="43"/>
        <v>12240</v>
      </c>
      <c r="AA49" s="73">
        <f t="shared" si="44"/>
        <v>12388.199999999999</v>
      </c>
      <c r="AB49" s="73">
        <f t="shared" si="45"/>
        <v>11856.444035453094</v>
      </c>
      <c r="AC49" s="73">
        <f t="shared" si="46"/>
        <v>10919.999999999998</v>
      </c>
      <c r="AD49" s="73">
        <f t="shared" si="47"/>
        <v>12131.868131868134</v>
      </c>
      <c r="AE49" s="73">
        <f t="shared" si="48"/>
        <v>7056</v>
      </c>
      <c r="AF49" s="73">
        <f t="shared" si="49"/>
        <v>7048.1999619985781</v>
      </c>
      <c r="AG49" s="73">
        <f t="shared" si="50"/>
        <v>0</v>
      </c>
      <c r="AH49" s="73">
        <f t="shared" si="51"/>
        <v>11538.461538461535</v>
      </c>
      <c r="AI49" s="73">
        <f t="shared" si="52"/>
        <v>12131.868131868134</v>
      </c>
      <c r="AJ49" s="73">
        <f t="shared" si="53"/>
        <v>6859.1715976331361</v>
      </c>
      <c r="AK49" s="75">
        <f>IF($L$2506,1,0)</f>
        <v>0</v>
      </c>
      <c r="AL49" s="72">
        <f>IF($L$2506,$M$2506,0)</f>
        <v>0</v>
      </c>
      <c r="AM49" s="73">
        <f>$N$2533/$N$2521*IF($O$2506=1,$O$2533/$O$2521,1)-1</f>
        <v>2.0000000000000018E-2</v>
      </c>
      <c r="AN49" s="73">
        <f>$N$2534/$N$2522*IF($O$2506=1,$O$2534/$O$2522,1)-1</f>
        <v>2.0000000000000018E-2</v>
      </c>
      <c r="AO49" s="73">
        <f>$N$2535/$N$2523*IF($O$2506=1,$O$2535/$O$2523,1)-1</f>
        <v>2.0000000000000018E-2</v>
      </c>
      <c r="AP49" s="73">
        <f>$N$2536/$N$2524*IF($O$2506=1,$O$2536/$O$2524,1)-1</f>
        <v>2.0000000000000018E-2</v>
      </c>
      <c r="AQ49" s="73">
        <f>$N$2537/$N$2525*IF($O$2506=1,$O$2537/$O$2525,1)-1</f>
        <v>2.0000000000000018E-2</v>
      </c>
      <c r="AR49" s="73">
        <f>$N$2538/$N$2526*IF($O$2506=1,$O$2538/$O$2526,1)-1</f>
        <v>6.0799999999999965E-2</v>
      </c>
      <c r="AS49" s="73">
        <f>$N$2539/$N$2527*IF($O$2506=1,$O$2539/$O$2527,1)-1</f>
        <v>6.0799999999999965E-2</v>
      </c>
      <c r="AT49" s="73">
        <f>$N$2540/$N$2528*IF($O$2506=1,$O$2540/$O$2528,1)-1</f>
        <v>6.0799999999999965E-2</v>
      </c>
      <c r="AU49" s="73">
        <f>$N$2541/$N$2529*IF($O$2506=1,$O$2541/$O$2529,1)-1</f>
        <v>6.0799999999999965E-2</v>
      </c>
      <c r="AV49" s="73">
        <f>$N$2542/$N$2530*IF($O$2506=1,$O$2542/$O$2530,1)-1</f>
        <v>4.0000000000000036E-2</v>
      </c>
      <c r="AW49" s="73">
        <f>$N$2543/$N$2531*IF($O$2506=1,$O$2543/$O$2531,1)-1</f>
        <v>4.0000000000000036E-2</v>
      </c>
      <c r="AX49" s="73">
        <f>$N$2544/$N$2532*IF($O$2506=1,$O$2544/$O$2532,1)-1</f>
        <v>4.0000000000000036E-2</v>
      </c>
      <c r="AY49" s="73">
        <f>$N$2533/$N$2521-1</f>
        <v>2.0000000000000018E-2</v>
      </c>
      <c r="AZ49" s="73">
        <f>$N$2534/$N$2522-1</f>
        <v>2.0000000000000018E-2</v>
      </c>
      <c r="BA49" s="73">
        <f>$N$2535/$N$2523-1</f>
        <v>2.0000000000000018E-2</v>
      </c>
      <c r="BB49" s="73">
        <f>$N$2536/$N$2524-1</f>
        <v>2.0000000000000018E-2</v>
      </c>
      <c r="BC49" s="73">
        <f>$N$2537/$N$2525-1</f>
        <v>2.0000000000000018E-2</v>
      </c>
      <c r="BD49" s="73">
        <f>$N$2538/$N$2526-1</f>
        <v>6.0799999999999965E-2</v>
      </c>
      <c r="BE49" s="73">
        <f>$N$2539/$N$2527-1</f>
        <v>6.0799999999999965E-2</v>
      </c>
      <c r="BF49" s="73">
        <f>$N$2540/$N$2528-1</f>
        <v>6.0799999999999965E-2</v>
      </c>
      <c r="BG49" s="73">
        <f>$N$2541/$N$2529-1</f>
        <v>6.0799999999999965E-2</v>
      </c>
      <c r="BH49" s="73">
        <f>$N$2542/$N$2530-1</f>
        <v>4.0000000000000036E-2</v>
      </c>
      <c r="BI49" s="73">
        <f>$N$2543/$N$2531-1</f>
        <v>4.0000000000000036E-2</v>
      </c>
      <c r="BJ49" s="73">
        <f>$N$2544/$N$2532-1</f>
        <v>4.0000000000000036E-2</v>
      </c>
      <c r="BK49" s="73">
        <f>$O$2533/$O$2521-1</f>
        <v>0</v>
      </c>
      <c r="BL49" s="73">
        <f>$O$2534/$O$2522-1</f>
        <v>0</v>
      </c>
      <c r="BM49" s="73">
        <f>$O$2535/$O$2523-1</f>
        <v>0</v>
      </c>
      <c r="BN49" s="73">
        <f>$O$2536/$O$2524-1</f>
        <v>0</v>
      </c>
      <c r="BO49" s="73">
        <f>$O$2537/$O$2525-1</f>
        <v>0</v>
      </c>
      <c r="BP49" s="73">
        <f>$O$2538/$O$2526-1</f>
        <v>0</v>
      </c>
      <c r="BQ49" s="73">
        <f>$O$2539/$O$2527-1</f>
        <v>0</v>
      </c>
      <c r="BR49" s="73">
        <f>$O$2540/$O$2528-1</f>
        <v>0</v>
      </c>
      <c r="BS49" s="73">
        <f>$O$2541/$O$2529-1</f>
        <v>0</v>
      </c>
      <c r="BT49" s="73">
        <f>$O$2542/$O$2530-1</f>
        <v>0</v>
      </c>
      <c r="BU49" s="73">
        <f>$O$2543/$O$2531-1</f>
        <v>0</v>
      </c>
      <c r="BV49" s="73">
        <f>$O$2544/$O$2532-1</f>
        <v>0</v>
      </c>
      <c r="BW49" s="73">
        <f>$V49*$H$2533</f>
        <v>12000</v>
      </c>
      <c r="BX49" s="73">
        <f>$V49*$H$2534</f>
        <v>12000</v>
      </c>
      <c r="BY49" s="73">
        <f>$V49*$H$2535</f>
        <v>12000</v>
      </c>
      <c r="BZ49" s="73">
        <f>$V49*$H$2536</f>
        <v>12000</v>
      </c>
      <c r="CA49" s="73">
        <f>$V49*$H$2537</f>
        <v>12000</v>
      </c>
      <c r="CB49" s="73">
        <f>$V49*$H$2538</f>
        <v>12000</v>
      </c>
      <c r="CC49" s="73">
        <f>$V49*$H$2539</f>
        <v>12000</v>
      </c>
      <c r="CD49" s="73">
        <f>$V49*$H$2540</f>
        <v>12000</v>
      </c>
      <c r="CE49" s="73">
        <f>$V49*$H$2541</f>
        <v>12000</v>
      </c>
      <c r="CF49" s="73">
        <f>$V49*$H$2542</f>
        <v>12000</v>
      </c>
      <c r="CG49" s="73">
        <f>$V49*$H$2543</f>
        <v>12000</v>
      </c>
      <c r="CH49" s="73">
        <f>$V49*$H$2544</f>
        <v>12000</v>
      </c>
      <c r="CI49" s="75">
        <f>$O$2506</f>
        <v>1</v>
      </c>
      <c r="CJ49" s="73">
        <f>$H$2557</f>
        <v>1.0386</v>
      </c>
      <c r="CK49" s="73">
        <f>$I$2557</f>
        <v>1</v>
      </c>
      <c r="CL49" s="73">
        <f>$J$2557</f>
        <v>1.0386</v>
      </c>
      <c r="CM49" s="73">
        <f t="shared" si="54"/>
        <v>0</v>
      </c>
      <c r="CN49" s="73">
        <f t="shared" si="55"/>
        <v>12000</v>
      </c>
      <c r="CO49" s="72">
        <f>$M49*($C49/$K$2557)*IF($O$2506=1,$F$2506/$G49,1)*$R49</f>
        <v>0.58734999683321487</v>
      </c>
      <c r="CP49" s="72">
        <f>$M49*(1+$S49)*($C49/$L$2557)*IF($O$2506=1,$F$2506/$H49,1)*$R49</f>
        <v>0.57159763313609468</v>
      </c>
      <c r="CQ49" s="73">
        <f t="shared" si="56"/>
        <v>7048.1999619985781</v>
      </c>
      <c r="CR49" s="73">
        <f t="shared" si="57"/>
        <v>6859.1715976331361</v>
      </c>
      <c r="CS49" s="73">
        <f t="shared" si="58"/>
        <v>0</v>
      </c>
      <c r="CT49" s="272">
        <f t="shared" si="59"/>
        <v>0</v>
      </c>
      <c r="CU49" s="75">
        <f t="shared" si="60"/>
        <v>1</v>
      </c>
      <c r="CV49" s="75">
        <f t="shared" si="61"/>
        <v>1</v>
      </c>
      <c r="CW49" s="273">
        <f t="shared" si="62"/>
        <v>46296</v>
      </c>
      <c r="CX49" s="274">
        <f t="shared" si="63"/>
        <v>0.02</v>
      </c>
      <c r="CY49" s="6" t="str">
        <f t="shared" si="64"/>
        <v>T</v>
      </c>
      <c r="CZ49" s="273">
        <f t="shared" si="65"/>
        <v>46539</v>
      </c>
      <c r="DA49" s="274">
        <f t="shared" si="66"/>
        <v>0.04</v>
      </c>
      <c r="DB49" s="6" t="str">
        <f t="shared" si="67"/>
        <v>P*</v>
      </c>
      <c r="DC49" s="273" t="str">
        <f t="shared" si="68"/>
        <v/>
      </c>
      <c r="DD49" s="274" t="str">
        <f t="shared" si="69"/>
        <v/>
      </c>
      <c r="DE49" s="6" t="str">
        <f t="shared" si="70"/>
        <v/>
      </c>
      <c r="DF49" s="273" t="str">
        <f t="shared" si="71"/>
        <v/>
      </c>
      <c r="DG49" s="274" t="str">
        <f t="shared" si="72"/>
        <v/>
      </c>
      <c r="DH49" s="6" t="str">
        <f t="shared" si="73"/>
        <v/>
      </c>
    </row>
    <row r="50" spans="1:112" x14ac:dyDescent="0.3">
      <c r="A50" s="6" t="str">
        <f>$A$2560</f>
        <v>SBA|GA</v>
      </c>
      <c r="B50" s="75">
        <f>$C$2560</f>
        <v>6</v>
      </c>
      <c r="C50" s="73">
        <f>$B$2611</f>
        <v>1</v>
      </c>
      <c r="D50" s="73">
        <f>$C$2611</f>
        <v>1</v>
      </c>
      <c r="E50" s="73">
        <f>$D$2611</f>
        <v>1</v>
      </c>
      <c r="F50" s="73">
        <f>$E$2611</f>
        <v>1</v>
      </c>
      <c r="G50" s="224">
        <f>$F$2611</f>
        <v>0.91598878555798668</v>
      </c>
      <c r="H50" s="224">
        <f>$G$2611</f>
        <v>0.92449033552151683</v>
      </c>
      <c r="I50" s="73">
        <f t="shared" si="37"/>
        <v>1</v>
      </c>
      <c r="J50" s="73">
        <f t="shared" si="38"/>
        <v>1</v>
      </c>
      <c r="K50" s="73">
        <f>IF($L$2560,1,IF(AND(nr_ModAdjMaster="ON",INDEX(lr_modadj,47)="ON"),$F$2560/$G50,1))</f>
        <v>1.0043791086804299</v>
      </c>
      <c r="L50" s="73">
        <f>IF($L$2560,1,IF(AND(nr_ModAdjMaster="ON",INDEX(lr_modadj,47)="ON"),$F$2560/$H50,1))</f>
        <v>0.99514290701699581</v>
      </c>
      <c r="M50" s="72">
        <f>IF(INDEX(lr_basis,47)="proposed",N(INDEX(lr_lrproj,47))*(1+N(INDEX(lr_s,47))),N(INDEX(lr_lrproj,47)))</f>
        <v>0.57199999999999995</v>
      </c>
      <c r="N50" s="72">
        <f t="shared" si="39"/>
        <v>0.5745048501652058</v>
      </c>
      <c r="O50" s="72">
        <f t="shared" si="40"/>
        <v>0.56922174281372151</v>
      </c>
      <c r="P50" s="72">
        <f t="shared" si="41"/>
        <v>0</v>
      </c>
      <c r="Q50" s="72">
        <f t="shared" si="42"/>
        <v>0</v>
      </c>
      <c r="R50" s="73">
        <f>IF(N(INDEX(lr_aother,47))=0,1,INDEX(lr_aother,47))</f>
        <v>1</v>
      </c>
      <c r="S50" s="72">
        <f>IF(ISBLANK(INDEX(lr_trend,47)),N(nr_TrendDefault),N(INDEX(lr_trend,47)))</f>
        <v>0</v>
      </c>
      <c r="T50" s="6" t="str">
        <f>INDEX(lr_state,47)</f>
        <v>GA</v>
      </c>
      <c r="U50" s="6" t="str">
        <f>INDEX(lr_bu,47)</f>
        <v>SBA</v>
      </c>
      <c r="V50" s="271">
        <f>N(INDEX(lr_ep,47))</f>
        <v>8800</v>
      </c>
      <c r="W50" s="73">
        <f>N(INDEX(lr_mind,47))*$V50</f>
        <v>8096</v>
      </c>
      <c r="X50" s="73">
        <f>N(INDEX(lr_m0,47))*$V50</f>
        <v>8008</v>
      </c>
      <c r="Y50" s="73">
        <f>N(INDEX(lr_m1,47))*$V50</f>
        <v>8140</v>
      </c>
      <c r="Z50" s="73">
        <f t="shared" si="43"/>
        <v>8800</v>
      </c>
      <c r="AA50" s="73">
        <f t="shared" si="44"/>
        <v>8800</v>
      </c>
      <c r="AB50" s="73">
        <f t="shared" si="45"/>
        <v>8800</v>
      </c>
      <c r="AC50" s="73">
        <f t="shared" si="46"/>
        <v>8060.7013129102825</v>
      </c>
      <c r="AD50" s="73">
        <f t="shared" si="47"/>
        <v>8838.5361563877832</v>
      </c>
      <c r="AE50" s="73">
        <f t="shared" si="48"/>
        <v>5033.5999999999995</v>
      </c>
      <c r="AF50" s="73">
        <f t="shared" si="49"/>
        <v>5055.6426814538108</v>
      </c>
      <c r="AG50" s="73">
        <f t="shared" si="50"/>
        <v>0</v>
      </c>
      <c r="AH50" s="73">
        <f t="shared" si="51"/>
        <v>8800</v>
      </c>
      <c r="AI50" s="73">
        <f t="shared" si="52"/>
        <v>8757.2575817495635</v>
      </c>
      <c r="AJ50" s="73">
        <f t="shared" si="53"/>
        <v>5009.1513367607495</v>
      </c>
      <c r="AK50" s="75">
        <f>IF($L$2560,1,0)</f>
        <v>0</v>
      </c>
      <c r="AL50" s="72">
        <f>IF($L$2560,$M$2560,0)</f>
        <v>0</v>
      </c>
      <c r="AM50" s="73">
        <f>$N$2587/$N$2575*IF($O$2560=1,$O$2587/$O$2575,1)-1</f>
        <v>1.3288593047456665E-2</v>
      </c>
      <c r="AN50" s="73">
        <f>$N$2588/$N$2576*IF($O$2560=1,$O$2588/$O$2576,1)-1</f>
        <v>1.3274336283185972E-2</v>
      </c>
      <c r="AO50" s="73">
        <f>$N$2589/$N$2577*IF($O$2560=1,$O$2589/$O$2577,1)-1</f>
        <v>1.3260110077078169E-2</v>
      </c>
      <c r="AP50" s="73">
        <f>$N$2590/$N$2578*IF($O$2560=1,$O$2590/$O$2578,1)-1</f>
        <v>1.3245433651869032E-2</v>
      </c>
      <c r="AQ50" s="73">
        <f>$N$2591/$N$2579*IF($O$2560=1,$O$2591/$O$2579,1)-1</f>
        <v>1.3230789678775778E-2</v>
      </c>
      <c r="AR50" s="73">
        <f>$N$2592/$N$2580*IF($O$2560=1,$O$2592/$O$2580,1)-1</f>
        <v>1.3216178050281746E-2</v>
      </c>
      <c r="AS50" s="73">
        <f>$N$2593/$N$2581*IF($O$2560=1,$O$2593/$O$2581,1)-1</f>
        <v>1.320159865934456E-2</v>
      </c>
      <c r="AT50" s="73">
        <f>$N$2594/$N$2582*IF($O$2560=1,$O$2594/$O$2582,1)-1</f>
        <v>1.3186813186813362E-2</v>
      </c>
      <c r="AU50" s="73">
        <f>$N$2595/$N$2583*IF($O$2560=1,$O$2595/$O$2583,1)-1</f>
        <v>1.3172298475862876E-2</v>
      </c>
      <c r="AV50" s="73">
        <f>$N$2596/$N$2584*IF($O$2560=1,$O$2596/$O$2584,1)-1</f>
        <v>1.3157815682433904E-2</v>
      </c>
      <c r="AW50" s="73">
        <f>$N$2597/$N$2585*IF($O$2560=1,$O$2597/$O$2585,1)-1</f>
        <v>1.3143364701363458E-2</v>
      </c>
      <c r="AX50" s="73">
        <f>$N$2598/$N$2586*IF($O$2560=1,$O$2598/$O$2586,1)-1</f>
        <v>1.3128945427949512E-2</v>
      </c>
      <c r="AY50" s="73">
        <f>$N$2587/$N$2575-1</f>
        <v>0</v>
      </c>
      <c r="AZ50" s="73">
        <f>$N$2588/$N$2576-1</f>
        <v>0</v>
      </c>
      <c r="BA50" s="73">
        <f>$N$2589/$N$2577-1</f>
        <v>0</v>
      </c>
      <c r="BB50" s="73">
        <f>$N$2590/$N$2578-1</f>
        <v>0</v>
      </c>
      <c r="BC50" s="73">
        <f>$N$2591/$N$2579-1</f>
        <v>0</v>
      </c>
      <c r="BD50" s="73">
        <f>$N$2592/$N$2580-1</f>
        <v>0</v>
      </c>
      <c r="BE50" s="73">
        <f>$N$2593/$N$2581-1</f>
        <v>0</v>
      </c>
      <c r="BF50" s="73">
        <f>$N$2594/$N$2582-1</f>
        <v>0</v>
      </c>
      <c r="BG50" s="73">
        <f>$N$2595/$N$2583-1</f>
        <v>0</v>
      </c>
      <c r="BH50" s="73">
        <f>$N$2596/$N$2584-1</f>
        <v>0</v>
      </c>
      <c r="BI50" s="73">
        <f>$N$2597/$N$2585-1</f>
        <v>0</v>
      </c>
      <c r="BJ50" s="73">
        <f>$N$2598/$N$2586-1</f>
        <v>0</v>
      </c>
      <c r="BK50" s="73">
        <f>$O$2587/$O$2575-1</f>
        <v>1.3288593047456665E-2</v>
      </c>
      <c r="BL50" s="73">
        <f>$O$2588/$O$2576-1</f>
        <v>1.3274336283185972E-2</v>
      </c>
      <c r="BM50" s="73">
        <f>$O$2589/$O$2577-1</f>
        <v>1.3260110077078169E-2</v>
      </c>
      <c r="BN50" s="73">
        <f>$O$2590/$O$2578-1</f>
        <v>1.3245433651869032E-2</v>
      </c>
      <c r="BO50" s="73">
        <f>$O$2591/$O$2579-1</f>
        <v>1.3230789678775778E-2</v>
      </c>
      <c r="BP50" s="73">
        <f>$O$2592/$O$2580-1</f>
        <v>1.3216178050281746E-2</v>
      </c>
      <c r="BQ50" s="73">
        <f>$O$2593/$O$2581-1</f>
        <v>1.320159865934456E-2</v>
      </c>
      <c r="BR50" s="73">
        <f>$O$2594/$O$2582-1</f>
        <v>1.3186813186813362E-2</v>
      </c>
      <c r="BS50" s="73">
        <f>$O$2595/$O$2583-1</f>
        <v>1.3172298475862876E-2</v>
      </c>
      <c r="BT50" s="73">
        <f>$O$2596/$O$2584-1</f>
        <v>1.3157815682433904E-2</v>
      </c>
      <c r="BU50" s="73">
        <f>$O$2597/$O$2585-1</f>
        <v>1.3143364701363458E-2</v>
      </c>
      <c r="BV50" s="73">
        <f>$O$2598/$O$2586-1</f>
        <v>1.3128945427949512E-2</v>
      </c>
      <c r="BW50" s="73">
        <f>$V50*$H$2587</f>
        <v>8800</v>
      </c>
      <c r="BX50" s="73">
        <f>$V50*$H$2588</f>
        <v>8800</v>
      </c>
      <c r="BY50" s="73">
        <f>$V50*$H$2589</f>
        <v>8800</v>
      </c>
      <c r="BZ50" s="73">
        <f>$V50*$H$2590</f>
        <v>8800</v>
      </c>
      <c r="CA50" s="73">
        <f>$V50*$H$2591</f>
        <v>8800</v>
      </c>
      <c r="CB50" s="73">
        <f>$V50*$H$2592</f>
        <v>8800</v>
      </c>
      <c r="CC50" s="73">
        <f>$V50*$H$2593</f>
        <v>8800</v>
      </c>
      <c r="CD50" s="73">
        <f>$V50*$H$2594</f>
        <v>8800</v>
      </c>
      <c r="CE50" s="73">
        <f>$V50*$H$2595</f>
        <v>8800</v>
      </c>
      <c r="CF50" s="73">
        <f>$V50*$H$2596</f>
        <v>8800</v>
      </c>
      <c r="CG50" s="73">
        <f>$V50*$H$2597</f>
        <v>8800</v>
      </c>
      <c r="CH50" s="73">
        <f>$V50*$H$2598</f>
        <v>8800</v>
      </c>
      <c r="CI50" s="75">
        <f>$O$2560</f>
        <v>1</v>
      </c>
      <c r="CJ50" s="73">
        <f>$H$2611</f>
        <v>1</v>
      </c>
      <c r="CK50" s="73">
        <f>$I$2611</f>
        <v>1.0132088564102013</v>
      </c>
      <c r="CL50" s="73">
        <f>$J$2611</f>
        <v>1.0132088564102013</v>
      </c>
      <c r="CM50" s="73">
        <f t="shared" si="54"/>
        <v>0</v>
      </c>
      <c r="CN50" s="73">
        <f t="shared" si="55"/>
        <v>8800</v>
      </c>
      <c r="CO50" s="72">
        <f>$M50*($C50/$K$2611)*IF($O$2560=1,$F$2560/$G50,1)*$R50</f>
        <v>0.5745048501652058</v>
      </c>
      <c r="CP50" s="72">
        <f>$M50*(1+$S50)*($C50/$L$2611)*IF($O$2560=1,$F$2560/$H50,1)*$R50</f>
        <v>0.56922174281372151</v>
      </c>
      <c r="CQ50" s="73">
        <f t="shared" si="56"/>
        <v>5055.6426814538108</v>
      </c>
      <c r="CR50" s="73">
        <f t="shared" si="57"/>
        <v>5009.1513367607495</v>
      </c>
      <c r="CS50" s="73">
        <f t="shared" si="58"/>
        <v>0</v>
      </c>
      <c r="CT50" s="272">
        <f t="shared" si="59"/>
        <v>0</v>
      </c>
      <c r="CU50" s="75">
        <f t="shared" si="60"/>
        <v>0</v>
      </c>
      <c r="CV50" s="75">
        <f t="shared" si="61"/>
        <v>0</v>
      </c>
      <c r="CW50" s="273" t="str">
        <f t="shared" si="62"/>
        <v/>
      </c>
      <c r="CX50" s="274" t="str">
        <f t="shared" si="63"/>
        <v/>
      </c>
      <c r="CY50" s="6" t="str">
        <f t="shared" si="64"/>
        <v/>
      </c>
      <c r="CZ50" s="273" t="str">
        <f t="shared" si="65"/>
        <v/>
      </c>
      <c r="DA50" s="274" t="str">
        <f t="shared" si="66"/>
        <v/>
      </c>
      <c r="DB50" s="6" t="str">
        <f t="shared" si="67"/>
        <v/>
      </c>
      <c r="DC50" s="273" t="str">
        <f t="shared" si="68"/>
        <v/>
      </c>
      <c r="DD50" s="274" t="str">
        <f t="shared" si="69"/>
        <v/>
      </c>
      <c r="DE50" s="6" t="str">
        <f t="shared" si="70"/>
        <v/>
      </c>
      <c r="DF50" s="273" t="str">
        <f t="shared" si="71"/>
        <v/>
      </c>
      <c r="DG50" s="274" t="str">
        <f t="shared" si="72"/>
        <v/>
      </c>
      <c r="DH50" s="6" t="str">
        <f t="shared" si="73"/>
        <v/>
      </c>
    </row>
    <row r="51" spans="1:112" x14ac:dyDescent="0.3">
      <c r="A51" s="6" t="str">
        <f>$A$2614</f>
        <v>SBA|IA</v>
      </c>
      <c r="B51" s="75">
        <f>$C$2614</f>
        <v>6</v>
      </c>
      <c r="C51" s="73">
        <f>$B$2665</f>
        <v>1</v>
      </c>
      <c r="D51" s="73">
        <f>$C$2665</f>
        <v>1</v>
      </c>
      <c r="E51" s="73">
        <f>$D$2665</f>
        <v>1</v>
      </c>
      <c r="F51" s="73">
        <f>$E$2665</f>
        <v>1</v>
      </c>
      <c r="G51" s="224">
        <f>$F$2665</f>
        <v>0.9080037381473377</v>
      </c>
      <c r="H51" s="224">
        <f>$G$2665</f>
        <v>0.90516988815949428</v>
      </c>
      <c r="I51" s="73">
        <f t="shared" si="37"/>
        <v>1</v>
      </c>
      <c r="J51" s="73">
        <f t="shared" si="38"/>
        <v>1</v>
      </c>
      <c r="K51" s="73">
        <f>IF($L$2614,1,IF(AND(nr_ModAdjMaster="ON",INDEX(lr_modadj,48)="ON"),$F$2614/$G51,1))</f>
        <v>1.0132116877372543</v>
      </c>
      <c r="L51" s="73">
        <f>IF($L$2614,1,IF(AND(nr_ModAdjMaster="ON",INDEX(lr_modadj,48)="ON"),$F$2614/$H51,1))</f>
        <v>1.0163837883191853</v>
      </c>
      <c r="M51" s="72">
        <f>IF(INDEX(lr_basis,48)="proposed",N(INDEX(lr_lrproj,48))*(1+N(INDEX(lr_s,48))),N(INDEX(lr_lrproj,48)))</f>
        <v>0.6</v>
      </c>
      <c r="N51" s="72">
        <f t="shared" si="39"/>
        <v>0.6079270126423526</v>
      </c>
      <c r="O51" s="72">
        <f t="shared" si="40"/>
        <v>0.60983027299151116</v>
      </c>
      <c r="P51" s="72">
        <f t="shared" si="41"/>
        <v>0</v>
      </c>
      <c r="Q51" s="72">
        <f t="shared" si="42"/>
        <v>0</v>
      </c>
      <c r="R51" s="73">
        <f>IF(N(INDEX(lr_aother,48))=0,1,INDEX(lr_aother,48))</f>
        <v>1</v>
      </c>
      <c r="S51" s="72">
        <f>IF(ISBLANK(INDEX(lr_trend,48)),N(nr_TrendDefault),N(INDEX(lr_trend,48)))</f>
        <v>0</v>
      </c>
      <c r="T51" s="6" t="str">
        <f>INDEX(lr_state,48)</f>
        <v>IA</v>
      </c>
      <c r="U51" s="6" t="str">
        <f>INDEX(lr_bu,48)</f>
        <v>SBA</v>
      </c>
      <c r="V51" s="271">
        <f>N(INDEX(lr_ep,48))</f>
        <v>19200</v>
      </c>
      <c r="W51" s="73">
        <f>N(INDEX(lr_mind,48))*$V51</f>
        <v>17664</v>
      </c>
      <c r="X51" s="73">
        <f>N(INDEX(lr_m0,48))*$V51</f>
        <v>17472</v>
      </c>
      <c r="Y51" s="73">
        <f>N(INDEX(lr_m1,48))*$V51</f>
        <v>17376</v>
      </c>
      <c r="Z51" s="73">
        <f t="shared" si="43"/>
        <v>19200</v>
      </c>
      <c r="AA51" s="73">
        <f t="shared" si="44"/>
        <v>19200</v>
      </c>
      <c r="AB51" s="73">
        <f t="shared" si="45"/>
        <v>19200</v>
      </c>
      <c r="AC51" s="73">
        <f t="shared" si="46"/>
        <v>17433.671772428883</v>
      </c>
      <c r="AD51" s="73">
        <f t="shared" si="47"/>
        <v>19453.664404555282</v>
      </c>
      <c r="AE51" s="73">
        <f t="shared" si="48"/>
        <v>11520</v>
      </c>
      <c r="AF51" s="73">
        <f t="shared" si="49"/>
        <v>11672.19864273317</v>
      </c>
      <c r="AG51" s="73">
        <f t="shared" si="50"/>
        <v>0</v>
      </c>
      <c r="AH51" s="73">
        <f t="shared" si="51"/>
        <v>19200</v>
      </c>
      <c r="AI51" s="73">
        <f t="shared" si="52"/>
        <v>19514.568735728357</v>
      </c>
      <c r="AJ51" s="73">
        <f t="shared" si="53"/>
        <v>11708.741241437014</v>
      </c>
      <c r="AK51" s="75">
        <f>IF($L$2614,1,0)</f>
        <v>0</v>
      </c>
      <c r="AL51" s="72">
        <f>IF($L$2614,$M$2614,0)</f>
        <v>0</v>
      </c>
      <c r="AM51" s="73">
        <f>$N$2641/$N$2629*IF($O$2614=1,$O$2641/$O$2629,1)-1</f>
        <v>-4.3748464309043555E-3</v>
      </c>
      <c r="AN51" s="73">
        <f>$N$2642/$N$2630*IF($O$2614=1,$O$2642/$O$2630,1)-1</f>
        <v>-4.3763938514663758E-3</v>
      </c>
      <c r="AO51" s="73">
        <f>$N$2643/$N$2631*IF($O$2614=1,$O$2643/$O$2631,1)-1</f>
        <v>-4.3779423670874396E-3</v>
      </c>
      <c r="AP51" s="73">
        <f>$N$2644/$N$2632*IF($O$2614=1,$O$2644/$O$2632,1)-1</f>
        <v>-4.3795445273691058E-3</v>
      </c>
      <c r="AQ51" s="73">
        <f>$N$2645/$N$2633*IF($O$2614=1,$O$2645/$O$2633,1)-1</f>
        <v>-4.3811478607395093E-3</v>
      </c>
      <c r="AR51" s="73">
        <f>$N$2646/$N$2634*IF($O$2614=1,$O$2646/$O$2634,1)-1</f>
        <v>-4.382752368487397E-3</v>
      </c>
      <c r="AS51" s="73">
        <f>$N$2647/$N$2635*IF($O$2614=1,$O$2647/$O$2635,1)-1</f>
        <v>-4.3843580519036252E-3</v>
      </c>
      <c r="AT51" s="73">
        <f>$N$2648/$N$2636*IF($O$2614=1,$O$2648/$O$2636,1)-1</f>
        <v>-4.3859912640666909E-3</v>
      </c>
      <c r="AU51" s="73">
        <f>$N$2649/$N$2637*IF($O$2614=1,$O$2649/$O$2637,1)-1</f>
        <v>-4.3875993220258147E-3</v>
      </c>
      <c r="AV51" s="73">
        <f>$N$2650/$N$2638*IF($O$2614=1,$O$2650/$O$2638,1)-1</f>
        <v>-4.3892085595579333E-3</v>
      </c>
      <c r="AW51" s="73">
        <f>$N$2651/$N$2639*IF($O$2614=1,$O$2651/$O$2639,1)-1</f>
        <v>-4.3908189779616746E-3</v>
      </c>
      <c r="AX51" s="73">
        <f>$N$2652/$N$2640*IF($O$2614=1,$O$2652/$O$2640,1)-1</f>
        <v>-4.3924305785372209E-3</v>
      </c>
      <c r="AY51" s="73">
        <f>$N$2641/$N$2629-1</f>
        <v>0</v>
      </c>
      <c r="AZ51" s="73">
        <f>$N$2642/$N$2630-1</f>
        <v>0</v>
      </c>
      <c r="BA51" s="73">
        <f>$N$2643/$N$2631-1</f>
        <v>0</v>
      </c>
      <c r="BB51" s="73">
        <f>$N$2644/$N$2632-1</f>
        <v>0</v>
      </c>
      <c r="BC51" s="73">
        <f>$N$2645/$N$2633-1</f>
        <v>0</v>
      </c>
      <c r="BD51" s="73">
        <f>$N$2646/$N$2634-1</f>
        <v>0</v>
      </c>
      <c r="BE51" s="73">
        <f>$N$2647/$N$2635-1</f>
        <v>0</v>
      </c>
      <c r="BF51" s="73">
        <f>$N$2648/$N$2636-1</f>
        <v>0</v>
      </c>
      <c r="BG51" s="73">
        <f>$N$2649/$N$2637-1</f>
        <v>0</v>
      </c>
      <c r="BH51" s="73">
        <f>$N$2650/$N$2638-1</f>
        <v>0</v>
      </c>
      <c r="BI51" s="73">
        <f>$N$2651/$N$2639-1</f>
        <v>0</v>
      </c>
      <c r="BJ51" s="73">
        <f>$N$2652/$N$2640-1</f>
        <v>0</v>
      </c>
      <c r="BK51" s="73">
        <f>$O$2641/$O$2629-1</f>
        <v>-4.3748464309043555E-3</v>
      </c>
      <c r="BL51" s="73">
        <f>$O$2642/$O$2630-1</f>
        <v>-4.3763938514663758E-3</v>
      </c>
      <c r="BM51" s="73">
        <f>$O$2643/$O$2631-1</f>
        <v>-4.3779423670874396E-3</v>
      </c>
      <c r="BN51" s="73">
        <f>$O$2644/$O$2632-1</f>
        <v>-4.3795445273691058E-3</v>
      </c>
      <c r="BO51" s="73">
        <f>$O$2645/$O$2633-1</f>
        <v>-4.3811478607395093E-3</v>
      </c>
      <c r="BP51" s="73">
        <f>$O$2646/$O$2634-1</f>
        <v>-4.382752368487397E-3</v>
      </c>
      <c r="BQ51" s="73">
        <f>$O$2647/$O$2635-1</f>
        <v>-4.3843580519036252E-3</v>
      </c>
      <c r="BR51" s="73">
        <f>$O$2648/$O$2636-1</f>
        <v>-4.3859912640666909E-3</v>
      </c>
      <c r="BS51" s="73">
        <f>$O$2649/$O$2637-1</f>
        <v>-4.3875993220258147E-3</v>
      </c>
      <c r="BT51" s="73">
        <f>$O$2650/$O$2638-1</f>
        <v>-4.3892085595579333E-3</v>
      </c>
      <c r="BU51" s="73">
        <f>$O$2651/$O$2639-1</f>
        <v>-4.3908189779616746E-3</v>
      </c>
      <c r="BV51" s="73">
        <f>$O$2652/$O$2640-1</f>
        <v>-4.3924305785372209E-3</v>
      </c>
      <c r="BW51" s="73">
        <f>$V51*$H$2641</f>
        <v>19200</v>
      </c>
      <c r="BX51" s="73">
        <f>$V51*$H$2642</f>
        <v>19200</v>
      </c>
      <c r="BY51" s="73">
        <f>$V51*$H$2643</f>
        <v>19200</v>
      </c>
      <c r="BZ51" s="73">
        <f>$V51*$H$2644</f>
        <v>19200</v>
      </c>
      <c r="CA51" s="73">
        <f>$V51*$H$2645</f>
        <v>19200</v>
      </c>
      <c r="CB51" s="73">
        <f>$V51*$H$2646</f>
        <v>19200</v>
      </c>
      <c r="CC51" s="73">
        <f>$V51*$H$2647</f>
        <v>19200</v>
      </c>
      <c r="CD51" s="73">
        <f>$V51*$H$2648</f>
        <v>19200</v>
      </c>
      <c r="CE51" s="73">
        <f>$V51*$H$2649</f>
        <v>19200</v>
      </c>
      <c r="CF51" s="73">
        <f>$V51*$H$2650</f>
        <v>19200</v>
      </c>
      <c r="CG51" s="73">
        <f>$V51*$H$2651</f>
        <v>19200</v>
      </c>
      <c r="CH51" s="73">
        <f>$V51*$H$2652</f>
        <v>19200</v>
      </c>
      <c r="CI51" s="75">
        <f>$O$2614</f>
        <v>1</v>
      </c>
      <c r="CJ51" s="73">
        <f>$H$2665</f>
        <v>1</v>
      </c>
      <c r="CK51" s="73">
        <f>$I$2665</f>
        <v>0.99561641381999111</v>
      </c>
      <c r="CL51" s="73">
        <f>$J$2665</f>
        <v>0.99561641381999111</v>
      </c>
      <c r="CM51" s="73">
        <f t="shared" si="54"/>
        <v>0</v>
      </c>
      <c r="CN51" s="73">
        <f t="shared" si="55"/>
        <v>19200</v>
      </c>
      <c r="CO51" s="72">
        <f>$M51*($C51/$K$2665)*IF($O$2614=1,$F$2614/$G51,1)*$R51</f>
        <v>0.6079270126423526</v>
      </c>
      <c r="CP51" s="72">
        <f>$M51*(1+$S51)*($C51/$L$2665)*IF($O$2614=1,$F$2614/$H51,1)*$R51</f>
        <v>0.60983027299151116</v>
      </c>
      <c r="CQ51" s="73">
        <f t="shared" si="56"/>
        <v>11672.19864273317</v>
      </c>
      <c r="CR51" s="73">
        <f t="shared" si="57"/>
        <v>11708.741241437014</v>
      </c>
      <c r="CS51" s="73">
        <f t="shared" si="58"/>
        <v>0</v>
      </c>
      <c r="CT51" s="272">
        <f t="shared" si="59"/>
        <v>0</v>
      </c>
      <c r="CU51" s="75">
        <f t="shared" si="60"/>
        <v>0</v>
      </c>
      <c r="CV51" s="75">
        <f t="shared" si="61"/>
        <v>0</v>
      </c>
      <c r="CW51" s="273" t="str">
        <f t="shared" si="62"/>
        <v/>
      </c>
      <c r="CX51" s="274" t="str">
        <f t="shared" si="63"/>
        <v/>
      </c>
      <c r="CY51" s="6" t="str">
        <f t="shared" si="64"/>
        <v/>
      </c>
      <c r="CZ51" s="273" t="str">
        <f t="shared" si="65"/>
        <v/>
      </c>
      <c r="DA51" s="274" t="str">
        <f t="shared" si="66"/>
        <v/>
      </c>
      <c r="DB51" s="6" t="str">
        <f t="shared" si="67"/>
        <v/>
      </c>
      <c r="DC51" s="273" t="str">
        <f t="shared" si="68"/>
        <v/>
      </c>
      <c r="DD51" s="274" t="str">
        <f t="shared" si="69"/>
        <v/>
      </c>
      <c r="DE51" s="6" t="str">
        <f t="shared" si="70"/>
        <v/>
      </c>
      <c r="DF51" s="273" t="str">
        <f t="shared" si="71"/>
        <v/>
      </c>
      <c r="DG51" s="274" t="str">
        <f t="shared" si="72"/>
        <v/>
      </c>
      <c r="DH51" s="6" t="str">
        <f t="shared" si="73"/>
        <v/>
      </c>
    </row>
    <row r="52" spans="1:112" x14ac:dyDescent="0.3">
      <c r="A52" s="6" t="str">
        <f>$A$2668</f>
        <v>SBA|IL</v>
      </c>
      <c r="B52" s="75">
        <f>$C$2668</f>
        <v>6</v>
      </c>
      <c r="C52" s="73">
        <f>$B$2719</f>
        <v>1</v>
      </c>
      <c r="D52" s="73">
        <f>$C$2719</f>
        <v>1.0162499999999999</v>
      </c>
      <c r="E52" s="73">
        <f>$D$2719</f>
        <v>1.0649999999999997</v>
      </c>
      <c r="F52" s="73">
        <f>$E$2719</f>
        <v>1.0649999999999997</v>
      </c>
      <c r="G52" s="224">
        <f>$F$2719</f>
        <v>0.91399252370532447</v>
      </c>
      <c r="H52" s="224">
        <f>$G$2719</f>
        <v>0.91966022368101141</v>
      </c>
      <c r="I52" s="73">
        <f t="shared" si="37"/>
        <v>0.93896713615023497</v>
      </c>
      <c r="J52" s="73">
        <f t="shared" si="38"/>
        <v>0.93896713615023497</v>
      </c>
      <c r="K52" s="73">
        <f>IF($L$2668,1,IF(AND(nr_ModAdjMaster="ON",INDEX(lr_modadj,49)="ON"),$F$2668/$G52,1))</f>
        <v>1.0065727849395543</v>
      </c>
      <c r="L52" s="73">
        <f>IF($L$2668,1,IF(AND(nr_ModAdjMaster="ON",INDEX(lr_modadj,49)="ON"),$F$2668/$H52,1))</f>
        <v>1.000369458535054</v>
      </c>
      <c r="M52" s="72">
        <f>IF(INDEX(lr_basis,49)="proposed",N(INDEX(lr_lrproj,49))*(1+N(INDEX(lr_s,49))),N(INDEX(lr_lrproj,49)))</f>
        <v>0.58399999999999996</v>
      </c>
      <c r="N52" s="72">
        <f t="shared" si="39"/>
        <v>0.55196103887765247</v>
      </c>
      <c r="O52" s="72">
        <f t="shared" si="40"/>
        <v>0.5485594026145274</v>
      </c>
      <c r="P52" s="72">
        <f t="shared" si="41"/>
        <v>6.4999999999999725E-2</v>
      </c>
      <c r="Q52" s="72">
        <f t="shared" si="42"/>
        <v>0</v>
      </c>
      <c r="R52" s="73">
        <f>IF(N(INDEX(lr_aother,49))=0,1,INDEX(lr_aother,49))</f>
        <v>1</v>
      </c>
      <c r="S52" s="72">
        <f>IF(ISBLANK(INDEX(lr_trend,49)),N(nr_TrendDefault),N(INDEX(lr_trend,49)))</f>
        <v>0</v>
      </c>
      <c r="T52" s="6" t="str">
        <f>INDEX(lr_state,49)</f>
        <v>IL</v>
      </c>
      <c r="U52" s="6" t="str">
        <f>INDEX(lr_bu,49)</f>
        <v>SBA</v>
      </c>
      <c r="V52" s="271">
        <f>N(INDEX(lr_ep,49))</f>
        <v>16000</v>
      </c>
      <c r="W52" s="73">
        <f>N(INDEX(lr_mind,49))*$V52</f>
        <v>14720</v>
      </c>
      <c r="X52" s="73">
        <f>N(INDEX(lr_m0,49))*$V52</f>
        <v>14560</v>
      </c>
      <c r="Y52" s="73">
        <f>N(INDEX(lr_m1,49))*$V52</f>
        <v>14720</v>
      </c>
      <c r="Z52" s="73">
        <f t="shared" si="43"/>
        <v>16000</v>
      </c>
      <c r="AA52" s="73">
        <f t="shared" si="44"/>
        <v>17039.999999999996</v>
      </c>
      <c r="AB52" s="73">
        <f t="shared" si="45"/>
        <v>15023.47417840376</v>
      </c>
      <c r="AC52" s="73">
        <f t="shared" si="46"/>
        <v>14623.880379285192</v>
      </c>
      <c r="AD52" s="73">
        <f t="shared" si="47"/>
        <v>16105.164559032868</v>
      </c>
      <c r="AE52" s="73">
        <f t="shared" si="48"/>
        <v>9344</v>
      </c>
      <c r="AF52" s="73">
        <f t="shared" si="49"/>
        <v>8831.3766220424386</v>
      </c>
      <c r="AG52" s="73">
        <f t="shared" si="50"/>
        <v>0</v>
      </c>
      <c r="AH52" s="73">
        <f t="shared" si="51"/>
        <v>15023.47417840376</v>
      </c>
      <c r="AI52" s="73">
        <f t="shared" si="52"/>
        <v>16005.911336560865</v>
      </c>
      <c r="AJ52" s="73">
        <f t="shared" si="53"/>
        <v>8776.9504418324377</v>
      </c>
      <c r="AK52" s="75">
        <f>IF($L$2668,1,0)</f>
        <v>0</v>
      </c>
      <c r="AL52" s="72">
        <f>IF($L$2668,$M$2668,0)</f>
        <v>0</v>
      </c>
      <c r="AM52" s="73">
        <f>$N$2695/$N$2683*IF($O$2668=1,$O$2695/$O$2683,1)-1</f>
        <v>7.4405509381918478E-2</v>
      </c>
      <c r="AN52" s="73">
        <f>$N$2696/$N$2684*IF($O$2668=1,$O$2696/$O$2684,1)-1</f>
        <v>7.4398800744698734E-2</v>
      </c>
      <c r="AO52" s="73">
        <f>$N$2697/$N$2685*IF($O$2668=1,$O$2697/$O$2685,1)-1</f>
        <v>7.439210167075383E-2</v>
      </c>
      <c r="AP52" s="73">
        <f>$N$2698/$N$2686*IF($O$2668=1,$O$2698/$O$2686,1)-1</f>
        <v>7.4385185542866772E-2</v>
      </c>
      <c r="AQ52" s="73">
        <f>$N$2699/$N$2687*IF($O$2668=1,$O$2699/$O$2687,1)-1</f>
        <v>7.4378279593239727E-2</v>
      </c>
      <c r="AR52" s="73">
        <f>$N$2700/$N$2688*IF($O$2668=1,$O$2700/$O$2688,1)-1</f>
        <v>7.437138379942132E-2</v>
      </c>
      <c r="AS52" s="73">
        <f>$N$2701/$N$2689*IF($O$2668=1,$O$2701/$O$2689,1)-1</f>
        <v>8.792955999084473E-3</v>
      </c>
      <c r="AT52" s="73">
        <f>$N$2702/$N$2690*IF($O$2668=1,$O$2702/$O$2690,1)-1</f>
        <v>8.7863943285630963E-3</v>
      </c>
      <c r="AU52" s="73">
        <f>$N$2703/$N$2691*IF($O$2668=1,$O$2703/$O$2691,1)-1</f>
        <v>8.7799480419512577E-3</v>
      </c>
      <c r="AV52" s="73">
        <f>$N$2704/$N$2692*IF($O$2668=1,$O$2704/$O$2692,1)-1</f>
        <v>8.7735112072593324E-3</v>
      </c>
      <c r="AW52" s="73">
        <f>$N$2705/$N$2693*IF($O$2668=1,$O$2705/$O$2693,1)-1</f>
        <v>8.7670838037132715E-3</v>
      </c>
      <c r="AX52" s="73">
        <f>$N$2706/$N$2694*IF($O$2668=1,$O$2706/$O$2694,1)-1</f>
        <v>8.7606658106016422E-3</v>
      </c>
      <c r="AY52" s="73">
        <f>$N$2695/$N$2683-1</f>
        <v>6.4999999999999947E-2</v>
      </c>
      <c r="AZ52" s="73">
        <f>$N$2696/$N$2684-1</f>
        <v>6.4999999999999947E-2</v>
      </c>
      <c r="BA52" s="73">
        <f>$N$2697/$N$2685-1</f>
        <v>6.4999999999999947E-2</v>
      </c>
      <c r="BB52" s="73">
        <f>$N$2698/$N$2686-1</f>
        <v>6.4999999999999947E-2</v>
      </c>
      <c r="BC52" s="73">
        <f>$N$2699/$N$2687-1</f>
        <v>6.4999999999999947E-2</v>
      </c>
      <c r="BD52" s="73">
        <f>$N$2700/$N$2688-1</f>
        <v>6.4999999999999947E-2</v>
      </c>
      <c r="BE52" s="73">
        <f>$N$2701/$N$2689-1</f>
        <v>0</v>
      </c>
      <c r="BF52" s="73">
        <f>$N$2702/$N$2690-1</f>
        <v>0</v>
      </c>
      <c r="BG52" s="73">
        <f>$N$2703/$N$2691-1</f>
        <v>0</v>
      </c>
      <c r="BH52" s="73">
        <f>$N$2704/$N$2692-1</f>
        <v>0</v>
      </c>
      <c r="BI52" s="73">
        <f>$N$2705/$N$2693-1</f>
        <v>0</v>
      </c>
      <c r="BJ52" s="73">
        <f>$N$2706/$N$2694-1</f>
        <v>0</v>
      </c>
      <c r="BK52" s="73">
        <f>$O$2695/$O$2683-1</f>
        <v>8.8314642083742179E-3</v>
      </c>
      <c r="BL52" s="73">
        <f>$O$2696/$O$2684-1</f>
        <v>8.8251650184965058E-3</v>
      </c>
      <c r="BM52" s="73">
        <f>$O$2697/$O$2685-1</f>
        <v>8.8188748082196344E-3</v>
      </c>
      <c r="BN52" s="73">
        <f>$O$2698/$O$2686-1</f>
        <v>8.8123807914242125E-3</v>
      </c>
      <c r="BO52" s="73">
        <f>$O$2699/$O$2687-1</f>
        <v>8.8058963316806071E-3</v>
      </c>
      <c r="BP52" s="73">
        <f>$O$2700/$O$2688-1</f>
        <v>8.7994214079074595E-3</v>
      </c>
      <c r="BQ52" s="73">
        <f>$O$2701/$O$2689-1</f>
        <v>8.792955999084473E-3</v>
      </c>
      <c r="BR52" s="73">
        <f>$O$2702/$O$2690-1</f>
        <v>8.7863943285630963E-3</v>
      </c>
      <c r="BS52" s="73">
        <f>$O$2703/$O$2691-1</f>
        <v>8.7799480419512577E-3</v>
      </c>
      <c r="BT52" s="73">
        <f>$O$2704/$O$2692-1</f>
        <v>8.7735112072593324E-3</v>
      </c>
      <c r="BU52" s="73">
        <f>$O$2705/$O$2693-1</f>
        <v>8.7670838037132715E-3</v>
      </c>
      <c r="BV52" s="73">
        <f>$O$2706/$O$2694-1</f>
        <v>8.7606658106016422E-3</v>
      </c>
      <c r="BW52" s="73">
        <f>$V52*$H$2695</f>
        <v>16000</v>
      </c>
      <c r="BX52" s="73">
        <f>$V52*$H$2696</f>
        <v>16000</v>
      </c>
      <c r="BY52" s="73">
        <f>$V52*$H$2697</f>
        <v>16000</v>
      </c>
      <c r="BZ52" s="73">
        <f>$V52*$H$2698</f>
        <v>16000</v>
      </c>
      <c r="CA52" s="73">
        <f>$V52*$H$2699</f>
        <v>16000</v>
      </c>
      <c r="CB52" s="73">
        <f>$V52*$H$2700</f>
        <v>16000</v>
      </c>
      <c r="CC52" s="73">
        <f>$V52*$H$2701</f>
        <v>16000</v>
      </c>
      <c r="CD52" s="73">
        <f>$V52*$H$2702</f>
        <v>16000</v>
      </c>
      <c r="CE52" s="73">
        <f>$V52*$H$2703</f>
        <v>16000</v>
      </c>
      <c r="CF52" s="73">
        <f>$V52*$H$2704</f>
        <v>16000</v>
      </c>
      <c r="CG52" s="73">
        <f>$V52*$H$2705</f>
        <v>16000</v>
      </c>
      <c r="CH52" s="73">
        <f>$V52*$H$2706</f>
        <v>16000</v>
      </c>
      <c r="CI52" s="75">
        <f>$O$2668</f>
        <v>1</v>
      </c>
      <c r="CJ52" s="73">
        <f>$H$2719</f>
        <v>1.0325</v>
      </c>
      <c r="CK52" s="73">
        <f>$I$2719</f>
        <v>1.0087961468131064</v>
      </c>
      <c r="CL52" s="73">
        <f>$J$2719</f>
        <v>1.0415826516603393</v>
      </c>
      <c r="CM52" s="73">
        <f t="shared" si="54"/>
        <v>0</v>
      </c>
      <c r="CN52" s="73">
        <f t="shared" si="55"/>
        <v>16000</v>
      </c>
      <c r="CO52" s="72">
        <f>$M52*($C52/$K$2719)*IF($O$2668=1,$F$2668/$G52,1)*$R52</f>
        <v>0.55196103887765247</v>
      </c>
      <c r="CP52" s="72">
        <f>$M52*(1+$S52)*($C52/$L$2719)*IF($O$2668=1,$F$2668/$H52,1)*$R52</f>
        <v>0.5485594026145274</v>
      </c>
      <c r="CQ52" s="73">
        <f t="shared" si="56"/>
        <v>8831.3766220424386</v>
      </c>
      <c r="CR52" s="73">
        <f t="shared" si="57"/>
        <v>8776.9504418324377</v>
      </c>
      <c r="CS52" s="73">
        <f t="shared" si="58"/>
        <v>0</v>
      </c>
      <c r="CT52" s="272">
        <f t="shared" si="59"/>
        <v>0</v>
      </c>
      <c r="CU52" s="75">
        <f t="shared" si="60"/>
        <v>0</v>
      </c>
      <c r="CV52" s="75">
        <f t="shared" si="61"/>
        <v>1</v>
      </c>
      <c r="CW52" s="273">
        <f t="shared" si="62"/>
        <v>46204</v>
      </c>
      <c r="CX52" s="274">
        <f t="shared" si="63"/>
        <v>6.5000000000000002E-2</v>
      </c>
      <c r="CY52" s="6" t="str">
        <f t="shared" si="64"/>
        <v>P*</v>
      </c>
      <c r="CZ52" s="273" t="str">
        <f t="shared" si="65"/>
        <v/>
      </c>
      <c r="DA52" s="274" t="str">
        <f t="shared" si="66"/>
        <v/>
      </c>
      <c r="DB52" s="6" t="str">
        <f t="shared" si="67"/>
        <v/>
      </c>
      <c r="DC52" s="273" t="str">
        <f t="shared" si="68"/>
        <v/>
      </c>
      <c r="DD52" s="274" t="str">
        <f t="shared" si="69"/>
        <v/>
      </c>
      <c r="DE52" s="6" t="str">
        <f t="shared" si="70"/>
        <v/>
      </c>
      <c r="DF52" s="273" t="str">
        <f t="shared" si="71"/>
        <v/>
      </c>
      <c r="DG52" s="274" t="str">
        <f t="shared" si="72"/>
        <v/>
      </c>
      <c r="DH52" s="6" t="str">
        <f t="shared" si="73"/>
        <v/>
      </c>
    </row>
    <row r="53" spans="1:112" x14ac:dyDescent="0.3">
      <c r="A53" s="6" t="str">
        <f>$A$2722</f>
        <v>SBA|IN</v>
      </c>
      <c r="B53" s="75">
        <f>$C$2722</f>
        <v>6</v>
      </c>
      <c r="C53" s="73">
        <f>$B$2773</f>
        <v>1.06</v>
      </c>
      <c r="D53" s="73">
        <f>$C$2773</f>
        <v>1.0400000000000003</v>
      </c>
      <c r="E53" s="73">
        <f>$D$2773</f>
        <v>1.0626500000000003</v>
      </c>
      <c r="F53" s="73">
        <f>$E$2773</f>
        <v>1.09975</v>
      </c>
      <c r="G53" s="224">
        <f>$F$2773</f>
        <v>0.90600747629467537</v>
      </c>
      <c r="H53" s="224">
        <f>$G$2773</f>
        <v>0.90033977631898854</v>
      </c>
      <c r="I53" s="73">
        <f t="shared" si="37"/>
        <v>0.9975062344139648</v>
      </c>
      <c r="J53" s="73">
        <f t="shared" si="38"/>
        <v>0.96385542168674698</v>
      </c>
      <c r="K53" s="73">
        <f>IF($L$2722,1,IF(AND(nr_ModAdjMaster="ON",INDEX(lr_modadj,50)="ON"),$F$2722/$G53,1))</f>
        <v>1.0154441592055623</v>
      </c>
      <c r="L53" s="73">
        <f>IF($L$2722,1,IF(AND(nr_ModAdjMaster="ON",INDEX(lr_modadj,50)="ON"),$F$2722/$H53,1))</f>
        <v>1.0218364490808034</v>
      </c>
      <c r="M53" s="72">
        <f>IF(INDEX(lr_basis,50)="proposed",N(INDEX(lr_lrproj,50))*(1+N(INDEX(lr_s,50))),N(INDEX(lr_lrproj,50)))</f>
        <v>0.56799999999999995</v>
      </c>
      <c r="N53" s="72">
        <f t="shared" si="39"/>
        <v>0.57533394755985956</v>
      </c>
      <c r="O53" s="72">
        <f t="shared" si="40"/>
        <v>0.55942467766544224</v>
      </c>
      <c r="P53" s="72">
        <f t="shared" si="41"/>
        <v>2.5000000000001688E-3</v>
      </c>
      <c r="Q53" s="72">
        <f t="shared" si="42"/>
        <v>3.491271820448838E-2</v>
      </c>
      <c r="R53" s="73">
        <f>IF(N(INDEX(lr_aother,50))=0,1,INDEX(lr_aother,50))</f>
        <v>1</v>
      </c>
      <c r="S53" s="72">
        <f>IF(ISBLANK(INDEX(lr_trend,50)),N(nr_TrendDefault),N(INDEX(lr_trend,50)))</f>
        <v>0</v>
      </c>
      <c r="T53" s="6" t="str">
        <f>INDEX(lr_state,50)</f>
        <v>IN</v>
      </c>
      <c r="U53" s="6" t="str">
        <f>INDEX(lr_bu,50)</f>
        <v>SBA</v>
      </c>
      <c r="V53" s="271">
        <f>N(INDEX(lr_ep,50))</f>
        <v>12800</v>
      </c>
      <c r="W53" s="73">
        <f>N(INDEX(lr_mind,50))*$V53</f>
        <v>11776</v>
      </c>
      <c r="X53" s="73">
        <f>N(INDEX(lr_m0,50))*$V53</f>
        <v>11648</v>
      </c>
      <c r="Y53" s="73">
        <f>N(INDEX(lr_m1,50))*$V53</f>
        <v>11520</v>
      </c>
      <c r="Z53" s="73">
        <f t="shared" si="43"/>
        <v>13568</v>
      </c>
      <c r="AA53" s="73">
        <f t="shared" si="44"/>
        <v>13601.920000000004</v>
      </c>
      <c r="AB53" s="73">
        <f t="shared" si="45"/>
        <v>12768.07980049875</v>
      </c>
      <c r="AC53" s="73">
        <f t="shared" si="46"/>
        <v>11596.895696571844</v>
      </c>
      <c r="AD53" s="73">
        <f t="shared" si="47"/>
        <v>12997.685237831198</v>
      </c>
      <c r="AE53" s="73">
        <f t="shared" si="48"/>
        <v>7270.4</v>
      </c>
      <c r="AF53" s="73">
        <f t="shared" si="49"/>
        <v>7364.2745287662019</v>
      </c>
      <c r="AG53" s="73">
        <f t="shared" si="50"/>
        <v>0</v>
      </c>
      <c r="AH53" s="73">
        <f t="shared" si="51"/>
        <v>12337.349397590362</v>
      </c>
      <c r="AI53" s="73">
        <f t="shared" si="52"/>
        <v>13079.506548234283</v>
      </c>
      <c r="AJ53" s="73">
        <f t="shared" si="53"/>
        <v>7160.6358741176609</v>
      </c>
      <c r="AK53" s="75">
        <f>IF($L$2722,1,0)</f>
        <v>0</v>
      </c>
      <c r="AL53" s="72">
        <f>IF($L$2722,$M$2722,0)</f>
        <v>0</v>
      </c>
      <c r="AM53" s="73">
        <f>$N$2749/$N$2737*IF($O$2722=1,$O$2749/$O$2737,1)-1</f>
        <v>5.0753862514786974E-2</v>
      </c>
      <c r="AN53" s="73">
        <f>$N$2750/$N$2738*IF($O$2722=1,$O$2750/$O$2738,1)-1</f>
        <v>-8.7289250269041441E-3</v>
      </c>
      <c r="AO53" s="73">
        <f>$N$2751/$N$2739*IF($O$2722=1,$O$2751/$O$2739,1)-1</f>
        <v>-8.7350875303633391E-3</v>
      </c>
      <c r="AP53" s="73">
        <f>$N$2752/$N$2740*IF($O$2722=1,$O$2752/$O$2740,1)-1</f>
        <v>-8.7414680876541917E-3</v>
      </c>
      <c r="AQ53" s="73">
        <f>$N$2753/$N$2741*IF($O$2722=1,$O$2753/$O$2741,1)-1</f>
        <v>-8.7478579731332662E-3</v>
      </c>
      <c r="AR53" s="73">
        <f>$N$2754/$N$2742*IF($O$2722=1,$O$2754/$O$2742,1)-1</f>
        <v>-8.7542572072719649E-3</v>
      </c>
      <c r="AS53" s="73">
        <f>$N$2755/$N$2743*IF($O$2722=1,$O$2755/$O$2743,1)-1</f>
        <v>-8.7606658106015312E-3</v>
      </c>
      <c r="AT53" s="73">
        <f>$N$2756/$N$2744*IF($O$2722=1,$O$2756/$O$2744,1)-1</f>
        <v>-8.7671890950580256E-3</v>
      </c>
      <c r="AU53" s="73">
        <f>$N$2757/$N$2745*IF($O$2722=1,$O$2757/$O$2745,1)-1</f>
        <v>-8.7736166530455462E-3</v>
      </c>
      <c r="AV53" s="73">
        <f>$N$2758/$N$2746*IF($O$2722=1,$O$2758/$O$2746,1)-1</f>
        <v>3.0868744211779653E-2</v>
      </c>
      <c r="AW53" s="73">
        <f>$N$2759/$N$2747*IF($O$2722=1,$O$2759/$O$2747,1)-1</f>
        <v>3.0862039912375794E-2</v>
      </c>
      <c r="AX53" s="73">
        <f>$N$2760/$N$2748*IF($O$2722=1,$O$2760/$O$2748,1)-1</f>
        <v>3.0855325760951846E-2</v>
      </c>
      <c r="AY53" s="73">
        <f>$N$2749/$N$2737-1</f>
        <v>6.0000000000000053E-2</v>
      </c>
      <c r="AZ53" s="73">
        <f>$N$2750/$N$2738-1</f>
        <v>0</v>
      </c>
      <c r="BA53" s="73">
        <f>$N$2751/$N$2739-1</f>
        <v>0</v>
      </c>
      <c r="BB53" s="73">
        <f>$N$2752/$N$2740-1</f>
        <v>0</v>
      </c>
      <c r="BC53" s="73">
        <f>$N$2753/$N$2741-1</f>
        <v>0</v>
      </c>
      <c r="BD53" s="73">
        <f>$N$2754/$N$2742-1</f>
        <v>0</v>
      </c>
      <c r="BE53" s="73">
        <f>$N$2755/$N$2743-1</f>
        <v>0</v>
      </c>
      <c r="BF53" s="73">
        <f>$N$2756/$N$2744-1</f>
        <v>0</v>
      </c>
      <c r="BG53" s="73">
        <f>$N$2757/$N$2745-1</f>
        <v>0</v>
      </c>
      <c r="BH53" s="73">
        <f>$N$2758/$N$2746-1</f>
        <v>4.0000000000000036E-2</v>
      </c>
      <c r="BI53" s="73">
        <f>$N$2759/$N$2747-1</f>
        <v>4.0000000000000036E-2</v>
      </c>
      <c r="BJ53" s="73">
        <f>$N$2760/$N$2748-1</f>
        <v>4.0000000000000036E-2</v>
      </c>
      <c r="BK53" s="73">
        <f>$O$2749/$O$2737-1</f>
        <v>-8.7227712124651191E-3</v>
      </c>
      <c r="BL53" s="73">
        <f>$O$2750/$O$2738-1</f>
        <v>-8.7289250269041441E-3</v>
      </c>
      <c r="BM53" s="73">
        <f>$O$2751/$O$2739-1</f>
        <v>-8.7350875303633391E-3</v>
      </c>
      <c r="BN53" s="73">
        <f>$O$2752/$O$2740-1</f>
        <v>-8.7414680876541917E-3</v>
      </c>
      <c r="BO53" s="73">
        <f>$O$2753/$O$2741-1</f>
        <v>-8.7478579731332662E-3</v>
      </c>
      <c r="BP53" s="73">
        <f>$O$2754/$O$2742-1</f>
        <v>-8.7542572072719649E-3</v>
      </c>
      <c r="BQ53" s="73">
        <f>$O$2755/$O$2743-1</f>
        <v>-8.7606658106015312E-3</v>
      </c>
      <c r="BR53" s="73">
        <f>$O$2756/$O$2744-1</f>
        <v>-8.7671890950580256E-3</v>
      </c>
      <c r="BS53" s="73">
        <f>$O$2757/$O$2745-1</f>
        <v>-8.7736166530455462E-3</v>
      </c>
      <c r="BT53" s="73">
        <f>$O$2758/$O$2746-1</f>
        <v>-8.7800536425195475E-3</v>
      </c>
      <c r="BU53" s="73">
        <f>$O$2759/$O$2747-1</f>
        <v>-8.7865000842540786E-3</v>
      </c>
      <c r="BV53" s="73">
        <f>$O$2760/$O$2748-1</f>
        <v>-8.7929559990846951E-3</v>
      </c>
      <c r="BW53" s="73">
        <f>$V53*$H$2749</f>
        <v>12800</v>
      </c>
      <c r="BX53" s="73">
        <f>$V53*$H$2750</f>
        <v>12800</v>
      </c>
      <c r="BY53" s="73">
        <f>$V53*$H$2751</f>
        <v>12800</v>
      </c>
      <c r="BZ53" s="73">
        <f>$V53*$H$2752</f>
        <v>12800</v>
      </c>
      <c r="CA53" s="73">
        <f>$V53*$H$2753</f>
        <v>12800</v>
      </c>
      <c r="CB53" s="73">
        <f>$V53*$H$2754</f>
        <v>12800</v>
      </c>
      <c r="CC53" s="73">
        <f>$V53*$H$2755</f>
        <v>12800</v>
      </c>
      <c r="CD53" s="73">
        <f>$V53*$H$2756</f>
        <v>12800</v>
      </c>
      <c r="CE53" s="73">
        <f>$V53*$H$2757</f>
        <v>12800</v>
      </c>
      <c r="CF53" s="73">
        <f>$V53*$H$2758</f>
        <v>12800</v>
      </c>
      <c r="CG53" s="73">
        <f>$V53*$H$2759</f>
        <v>12800</v>
      </c>
      <c r="CH53" s="73">
        <f>$V53*$H$2760</f>
        <v>12800</v>
      </c>
      <c r="CI53" s="75">
        <f>$O$2722</f>
        <v>1</v>
      </c>
      <c r="CJ53" s="73">
        <f>$H$2773</f>
        <v>1.0149999999999999</v>
      </c>
      <c r="CK53" s="73">
        <f>$I$2773</f>
        <v>0.99124238763980388</v>
      </c>
      <c r="CL53" s="73">
        <f>$J$2773</f>
        <v>1.006110908751322</v>
      </c>
      <c r="CM53" s="73">
        <f t="shared" si="54"/>
        <v>0</v>
      </c>
      <c r="CN53" s="73">
        <f t="shared" si="55"/>
        <v>12800</v>
      </c>
      <c r="CO53" s="72">
        <f>$M53*($C53/$K$2773)*IF($O$2722=1,$F$2722/$G53,1)*$R53</f>
        <v>0.57533394755985956</v>
      </c>
      <c r="CP53" s="72">
        <f>$M53*(1+$S53)*($C53/$L$2773)*IF($O$2722=1,$F$2722/$H53,1)*$R53</f>
        <v>0.55942467766544224</v>
      </c>
      <c r="CQ53" s="73">
        <f t="shared" si="56"/>
        <v>7364.2745287662019</v>
      </c>
      <c r="CR53" s="73">
        <f t="shared" si="57"/>
        <v>7160.6358741176609</v>
      </c>
      <c r="CS53" s="73">
        <f t="shared" si="58"/>
        <v>0</v>
      </c>
      <c r="CT53" s="272">
        <f t="shared" si="59"/>
        <v>0</v>
      </c>
      <c r="CU53" s="75">
        <f t="shared" si="60"/>
        <v>1</v>
      </c>
      <c r="CV53" s="75">
        <f t="shared" si="61"/>
        <v>1</v>
      </c>
      <c r="CW53" s="273">
        <f t="shared" si="62"/>
        <v>46054</v>
      </c>
      <c r="CX53" s="274">
        <f t="shared" si="63"/>
        <v>0.06</v>
      </c>
      <c r="CY53" s="6" t="str">
        <f t="shared" si="64"/>
        <v>T</v>
      </c>
      <c r="CZ53" s="273">
        <f t="shared" si="65"/>
        <v>46661</v>
      </c>
      <c r="DA53" s="274">
        <f t="shared" si="66"/>
        <v>0.04</v>
      </c>
      <c r="DB53" s="6" t="str">
        <f t="shared" si="67"/>
        <v>P*</v>
      </c>
      <c r="DC53" s="273" t="str">
        <f t="shared" si="68"/>
        <v/>
      </c>
      <c r="DD53" s="274" t="str">
        <f t="shared" si="69"/>
        <v/>
      </c>
      <c r="DE53" s="6" t="str">
        <f t="shared" si="70"/>
        <v/>
      </c>
      <c r="DF53" s="273" t="str">
        <f t="shared" si="71"/>
        <v/>
      </c>
      <c r="DG53" s="274" t="str">
        <f t="shared" si="72"/>
        <v/>
      </c>
      <c r="DH53" s="6" t="str">
        <f t="shared" si="73"/>
        <v/>
      </c>
    </row>
    <row r="54" spans="1:112" x14ac:dyDescent="0.3">
      <c r="A54" s="6" t="str">
        <f>$A$2776</f>
        <v>SBA|KY</v>
      </c>
      <c r="B54" s="75">
        <f>$C$2776</f>
        <v>6</v>
      </c>
      <c r="C54" s="73">
        <f>$B$2827</f>
        <v>1</v>
      </c>
      <c r="D54" s="73">
        <f>$C$2827</f>
        <v>0.99314407062971088</v>
      </c>
      <c r="E54" s="73">
        <f>$D$2827</f>
        <v>1.0874724808798193</v>
      </c>
      <c r="F54" s="73">
        <f>$E$2827</f>
        <v>1.1962197289678012</v>
      </c>
      <c r="G54" s="224">
        <f>$F$2827</f>
        <v>0.91199626185266247</v>
      </c>
      <c r="H54" s="224">
        <f>$G$2827</f>
        <v>0.91483011184050556</v>
      </c>
      <c r="I54" s="73">
        <f t="shared" si="37"/>
        <v>0.91956349938248583</v>
      </c>
      <c r="J54" s="73">
        <f t="shared" si="38"/>
        <v>0.83596681762044167</v>
      </c>
      <c r="K54" s="73">
        <f>IF($L$2776,1,IF(AND(nr_ModAdjMaster="ON",INDEX(lr_modadj,51)="ON"),$F$2776/$G54,1))</f>
        <v>1</v>
      </c>
      <c r="L54" s="73">
        <f>IF($L$2776,1,IF(AND(nr_ModAdjMaster="ON",INDEX(lr_modadj,51)="ON"),$F$2776/$H54,1))</f>
        <v>1</v>
      </c>
      <c r="M54" s="72">
        <f>IF(INDEX(lr_basis,51)="proposed",N(INDEX(lr_lrproj,51))*(1+N(INDEX(lr_s,51))),N(INDEX(lr_lrproj,51)))</f>
        <v>0.59599999999999997</v>
      </c>
      <c r="N54" s="72">
        <f t="shared" si="39"/>
        <v>0.54805984563196153</v>
      </c>
      <c r="O54" s="72">
        <f t="shared" si="40"/>
        <v>0.49823622330178319</v>
      </c>
      <c r="P54" s="72">
        <f t="shared" si="41"/>
        <v>8.7472480879819292E-2</v>
      </c>
      <c r="Q54" s="72">
        <f t="shared" si="42"/>
        <v>9.9999999999999867E-2</v>
      </c>
      <c r="R54" s="73">
        <f>IF(N(INDEX(lr_aother,51))=0,1,INDEX(lr_aother,51))</f>
        <v>1</v>
      </c>
      <c r="S54" s="72">
        <f>IF(ISBLANK(INDEX(lr_trend,51)),N(nr_TrendDefault),N(INDEX(lr_trend,51)))</f>
        <v>0</v>
      </c>
      <c r="T54" s="6" t="str">
        <f>INDEX(lr_state,51)</f>
        <v>KY</v>
      </c>
      <c r="U54" s="6" t="str">
        <f>INDEX(lr_bu,51)</f>
        <v>SBA</v>
      </c>
      <c r="V54" s="271">
        <f>N(INDEX(lr_ep,51))</f>
        <v>9600</v>
      </c>
      <c r="W54" s="73">
        <f>N(INDEX(lr_mind,51))*$V54</f>
        <v>8832</v>
      </c>
      <c r="X54" s="73">
        <f>N(INDEX(lr_m0,51))*$V54</f>
        <v>8736</v>
      </c>
      <c r="Y54" s="73">
        <f>N(INDEX(lr_m1,51))*$V54</f>
        <v>8784</v>
      </c>
      <c r="Z54" s="73">
        <f t="shared" si="43"/>
        <v>9600</v>
      </c>
      <c r="AA54" s="73">
        <f t="shared" si="44"/>
        <v>10439.735816446266</v>
      </c>
      <c r="AB54" s="73">
        <f t="shared" si="45"/>
        <v>8827.8095940718631</v>
      </c>
      <c r="AC54" s="73">
        <f t="shared" si="46"/>
        <v>8755.1641137855604</v>
      </c>
      <c r="AD54" s="73">
        <f t="shared" si="47"/>
        <v>9600</v>
      </c>
      <c r="AE54" s="73">
        <f t="shared" si="48"/>
        <v>5721.5999999999995</v>
      </c>
      <c r="AF54" s="73">
        <f t="shared" si="49"/>
        <v>5261.3745180668311</v>
      </c>
      <c r="AG54" s="73">
        <f t="shared" si="50"/>
        <v>0</v>
      </c>
      <c r="AH54" s="73">
        <f t="shared" si="51"/>
        <v>8025.2814491562403</v>
      </c>
      <c r="AI54" s="73">
        <f t="shared" si="52"/>
        <v>9600</v>
      </c>
      <c r="AJ54" s="73">
        <f t="shared" si="53"/>
        <v>4783.0677436971182</v>
      </c>
      <c r="AK54" s="75">
        <f>IF($L$2776,1,0)</f>
        <v>1</v>
      </c>
      <c r="AL54" s="72">
        <f>IF($L$2776,$M$2776,0)</f>
        <v>0.1</v>
      </c>
      <c r="AM54" s="73">
        <f>$N$2803/$N$2791*IF($O$2776=1,$O$2803/$O$2791,1)-1</f>
        <v>0.10484222078838368</v>
      </c>
      <c r="AN54" s="73">
        <f>$N$2804/$N$2792*IF($O$2776=1,$O$2804/$O$2792,1)-1</f>
        <v>0.10484049863766809</v>
      </c>
      <c r="AO54" s="73">
        <f>$N$2805/$N$2793*IF($O$2776=1,$O$2805/$O$2793,1)-1</f>
        <v>0.10483877771149319</v>
      </c>
      <c r="AP54" s="73">
        <f>$N$2806/$N$2794*IF($O$2776=1,$O$2806/$O$2794,1)-1</f>
        <v>0.14903047972435757</v>
      </c>
      <c r="AQ54" s="73">
        <f>$N$2807/$N$2795*IF($O$2776=1,$O$2807/$O$2795,1)-1</f>
        <v>0.14902863198713834</v>
      </c>
      <c r="AR54" s="73">
        <f>$N$2808/$N$2796*IF($O$2776=1,$O$2808/$O$2796,1)-1</f>
        <v>0.14902678560679949</v>
      </c>
      <c r="AS54" s="73">
        <f>$N$2809/$N$2797*IF($O$2776=1,$O$2809/$O$2797,1)-1</f>
        <v>0.14902494058184668</v>
      </c>
      <c r="AT54" s="73">
        <f>$N$2810/$N$2798*IF($O$2776=1,$O$2810/$O$2798,1)-1</f>
        <v>0.14902306669794352</v>
      </c>
      <c r="AU54" s="73">
        <f>$N$2811/$N$2799*IF($O$2776=1,$O$2811/$O$2799,1)-1</f>
        <v>0.14902122440144794</v>
      </c>
      <c r="AV54" s="73">
        <f>$N$2812/$N$2800*IF($O$2776=1,$O$2812/$O$2800,1)-1</f>
        <v>4.456307586894992E-2</v>
      </c>
      <c r="AW54" s="73">
        <f>$N$2813/$N$2801*IF($O$2776=1,$O$2813/$O$2801,1)-1</f>
        <v>4.4561403508771802E-2</v>
      </c>
      <c r="AX54" s="73">
        <f>$N$2814/$N$2802*IF($O$2776=1,$O$2814/$O$2802,1)-1</f>
        <v>4.4559732373979699E-2</v>
      </c>
      <c r="AY54" s="73">
        <f>$N$2803/$N$2791-1</f>
        <v>0.10000000000000009</v>
      </c>
      <c r="AZ54" s="73">
        <f>$N$2804/$N$2792-1</f>
        <v>0.10000000000000009</v>
      </c>
      <c r="BA54" s="73">
        <f>$N$2805/$N$2793-1</f>
        <v>0.10000000000000009</v>
      </c>
      <c r="BB54" s="73">
        <f>$N$2806/$N$2794-1</f>
        <v>0.14400000000000013</v>
      </c>
      <c r="BC54" s="73">
        <f>$N$2807/$N$2795-1</f>
        <v>0.14400000000000013</v>
      </c>
      <c r="BD54" s="73">
        <f>$N$2808/$N$2796-1</f>
        <v>0.14400000000000013</v>
      </c>
      <c r="BE54" s="73">
        <f>$N$2809/$N$2797-1</f>
        <v>0.14400000000000013</v>
      </c>
      <c r="BF54" s="73">
        <f>$N$2810/$N$2798-1</f>
        <v>0.14400000000000013</v>
      </c>
      <c r="BG54" s="73">
        <f>$N$2811/$N$2799-1</f>
        <v>0.14400000000000013</v>
      </c>
      <c r="BH54" s="73">
        <f>$N$2812/$N$2800-1</f>
        <v>4.0000000000000036E-2</v>
      </c>
      <c r="BI54" s="73">
        <f>$N$2813/$N$2801-1</f>
        <v>4.0000000000000036E-2</v>
      </c>
      <c r="BJ54" s="73">
        <f>$N$2814/$N$2802-1</f>
        <v>4.0000000000000036E-2</v>
      </c>
      <c r="BK54" s="73">
        <f>$O$2803/$O$2791-1</f>
        <v>4.4020188985305353E-3</v>
      </c>
      <c r="BL54" s="73">
        <f>$O$2804/$O$2792-1</f>
        <v>4.4004533069708085E-3</v>
      </c>
      <c r="BM54" s="73">
        <f>$O$2805/$O$2793-1</f>
        <v>4.3988888286301542E-3</v>
      </c>
      <c r="BN54" s="73">
        <f>$O$2806/$O$2794-1</f>
        <v>4.3972724863263757E-3</v>
      </c>
      <c r="BO54" s="73">
        <f>$O$2807/$O$2795-1</f>
        <v>4.3956573314145597E-3</v>
      </c>
      <c r="BP54" s="73">
        <f>$O$2808/$O$2796-1</f>
        <v>4.3940433625868636E-3</v>
      </c>
      <c r="BQ54" s="73">
        <f>$O$2809/$O$2797-1</f>
        <v>4.3924305785372209E-3</v>
      </c>
      <c r="BR54" s="73">
        <f>$O$2810/$O$2798-1</f>
        <v>4.3907925681323512E-3</v>
      </c>
      <c r="BS54" s="73">
        <f>$O$2811/$O$2799-1</f>
        <v>4.3891821690977828E-3</v>
      </c>
      <c r="BT54" s="73">
        <f>$O$2812/$O$2800-1</f>
        <v>4.3875729509132988E-3</v>
      </c>
      <c r="BU54" s="73">
        <f>$O$2813/$O$2801-1</f>
        <v>4.3859649122806044E-3</v>
      </c>
      <c r="BV54" s="73">
        <f>$O$2814/$O$2802-1</f>
        <v>4.3843580519036252E-3</v>
      </c>
      <c r="BW54" s="73">
        <f>$V54*$H$2803</f>
        <v>9600</v>
      </c>
      <c r="BX54" s="73">
        <f>$V54*$H$2804</f>
        <v>9600</v>
      </c>
      <c r="BY54" s="73">
        <f>$V54*$H$2805</f>
        <v>9600</v>
      </c>
      <c r="BZ54" s="73">
        <f>$V54*$H$2806</f>
        <v>9600</v>
      </c>
      <c r="CA54" s="73">
        <f>$V54*$H$2807</f>
        <v>9600</v>
      </c>
      <c r="CB54" s="73">
        <f>$V54*$H$2808</f>
        <v>9600</v>
      </c>
      <c r="CC54" s="73">
        <f>$V54*$H$2809</f>
        <v>9600</v>
      </c>
      <c r="CD54" s="73">
        <f>$V54*$H$2810</f>
        <v>9600</v>
      </c>
      <c r="CE54" s="73">
        <f>$V54*$H$2811</f>
        <v>9600</v>
      </c>
      <c r="CF54" s="73">
        <f>$V54*$H$2812</f>
        <v>9600</v>
      </c>
      <c r="CG54" s="73">
        <f>$V54*$H$2813</f>
        <v>9600</v>
      </c>
      <c r="CH54" s="73">
        <f>$V54*$H$2814</f>
        <v>9600</v>
      </c>
      <c r="CI54" s="75">
        <f>$O$2776</f>
        <v>1</v>
      </c>
      <c r="CJ54" s="73">
        <f>$H$2827</f>
        <v>1.107</v>
      </c>
      <c r="CK54" s="73">
        <f>$I$2827</f>
        <v>1.0043932196204437</v>
      </c>
      <c r="CL54" s="73">
        <f>$J$2827</f>
        <v>1.1118634031573984</v>
      </c>
      <c r="CM54" s="73">
        <f t="shared" si="54"/>
        <v>1.1863403157398394E-2</v>
      </c>
      <c r="CN54" s="73">
        <f t="shared" si="55"/>
        <v>9600</v>
      </c>
      <c r="CO54" s="72">
        <f>$M54*($C54/$K$2827)*IF($O$2776=1,$F$2776/$G54,1)*$R54</f>
        <v>0.53885774996788582</v>
      </c>
      <c r="CP54" s="72">
        <f>$M54*(1+$S54)*($C54/$L$2827)*IF($O$2776=1,$F$2776/$H54,1)*$R54</f>
        <v>0.52392317775419062</v>
      </c>
      <c r="CQ54" s="73">
        <f t="shared" si="56"/>
        <v>5173.0343996917036</v>
      </c>
      <c r="CR54" s="73">
        <f t="shared" si="57"/>
        <v>5029.6625064402297</v>
      </c>
      <c r="CS54" s="73">
        <f t="shared" si="58"/>
        <v>0</v>
      </c>
      <c r="CT54" s="272">
        <f t="shared" si="59"/>
        <v>-0.92020956640757046</v>
      </c>
      <c r="CU54" s="75">
        <f t="shared" si="60"/>
        <v>1</v>
      </c>
      <c r="CV54" s="75">
        <f t="shared" si="61"/>
        <v>1</v>
      </c>
      <c r="CW54" s="273">
        <f t="shared" si="62"/>
        <v>46296</v>
      </c>
      <c r="CX54" s="274">
        <f t="shared" si="63"/>
        <v>0.1</v>
      </c>
      <c r="CY54" s="6" t="str">
        <f t="shared" si="64"/>
        <v>T*</v>
      </c>
      <c r="CZ54" s="273">
        <f t="shared" si="65"/>
        <v>46478</v>
      </c>
      <c r="DA54" s="274">
        <f t="shared" si="66"/>
        <v>0.04</v>
      </c>
      <c r="DB54" s="6" t="str">
        <f t="shared" si="67"/>
        <v>P*</v>
      </c>
      <c r="DC54" s="273" t="str">
        <f t="shared" si="68"/>
        <v/>
      </c>
      <c r="DD54" s="274" t="str">
        <f t="shared" si="69"/>
        <v/>
      </c>
      <c r="DE54" s="6" t="str">
        <f t="shared" si="70"/>
        <v/>
      </c>
      <c r="DF54" s="273" t="str">
        <f t="shared" si="71"/>
        <v/>
      </c>
      <c r="DG54" s="274" t="str">
        <f t="shared" si="72"/>
        <v/>
      </c>
      <c r="DH54" s="6" t="str">
        <f t="shared" si="73"/>
        <v/>
      </c>
    </row>
    <row r="55" spans="1:112" x14ac:dyDescent="0.3">
      <c r="A55" s="6" t="str">
        <f>$A$2830</f>
        <v>SBA|MD</v>
      </c>
      <c r="B55" s="75">
        <f>$C$2830</f>
        <v>6</v>
      </c>
      <c r="C55" s="73">
        <f>$B$2881</f>
        <v>1.03</v>
      </c>
      <c r="D55" s="73">
        <f>$C$2881</f>
        <v>1.0149999999999999</v>
      </c>
      <c r="E55" s="73">
        <f>$D$2881</f>
        <v>1.03</v>
      </c>
      <c r="F55" s="73">
        <f>$E$2881</f>
        <v>1.03</v>
      </c>
      <c r="G55" s="224">
        <f>$F$2881</f>
        <v>0.91798504741064912</v>
      </c>
      <c r="H55" s="224">
        <f>$G$2881</f>
        <v>0.92932044736202268</v>
      </c>
      <c r="I55" s="73">
        <f t="shared" si="37"/>
        <v>1</v>
      </c>
      <c r="J55" s="73">
        <f t="shared" si="38"/>
        <v>1</v>
      </c>
      <c r="K55" s="73">
        <f>IF($L$2830,1,IF(AND(nr_ModAdjMaster="ON",INDEX(lr_modadj,52)="ON"),$F$2830/$G55,1))</f>
        <v>1.0021949732133812</v>
      </c>
      <c r="L55" s="73">
        <f>IF($L$2830,1,IF(AND(nr_ModAdjMaster="ON",INDEX(lr_modadj,52)="ON"),$F$2830/$H55,1))</f>
        <v>0.98997068515119868</v>
      </c>
      <c r="M55" s="72">
        <f>IF(INDEX(lr_basis,52)="proposed",N(INDEX(lr_lrproj,52))*(1+N(INDEX(lr_s,52))),N(INDEX(lr_lrproj,52)))</f>
        <v>0.57999999999999996</v>
      </c>
      <c r="N55" s="72">
        <f t="shared" si="39"/>
        <v>0.58127308446376114</v>
      </c>
      <c r="O55" s="72">
        <f t="shared" si="40"/>
        <v>0.57418299738769518</v>
      </c>
      <c r="P55" s="72">
        <f t="shared" si="41"/>
        <v>0</v>
      </c>
      <c r="Q55" s="72">
        <f t="shared" si="42"/>
        <v>0</v>
      </c>
      <c r="R55" s="73">
        <f>IF(N(INDEX(lr_aother,52))=0,1,INDEX(lr_aother,52))</f>
        <v>1</v>
      </c>
      <c r="S55" s="72">
        <f>IF(ISBLANK(INDEX(lr_trend,52)),N(nr_TrendDefault),N(INDEX(lr_trend,52)))</f>
        <v>0</v>
      </c>
      <c r="T55" s="6" t="str">
        <f>INDEX(lr_state,52)</f>
        <v>MD</v>
      </c>
      <c r="U55" s="6" t="str">
        <f>INDEX(lr_bu,52)</f>
        <v>SBA</v>
      </c>
      <c r="V55" s="271">
        <f>N(INDEX(lr_ep,52))</f>
        <v>6400</v>
      </c>
      <c r="W55" s="73">
        <f>N(INDEX(lr_mind,52))*$V55</f>
        <v>5888</v>
      </c>
      <c r="X55" s="73">
        <f>N(INDEX(lr_m0,52))*$V55</f>
        <v>5824</v>
      </c>
      <c r="Y55" s="73">
        <f>N(INDEX(lr_m1,52))*$V55</f>
        <v>5952</v>
      </c>
      <c r="Z55" s="73">
        <f t="shared" si="43"/>
        <v>6592</v>
      </c>
      <c r="AA55" s="73">
        <f t="shared" si="44"/>
        <v>6592</v>
      </c>
      <c r="AB55" s="73">
        <f t="shared" si="45"/>
        <v>6400</v>
      </c>
      <c r="AC55" s="73">
        <f t="shared" si="46"/>
        <v>5875.1043034281547</v>
      </c>
      <c r="AD55" s="73">
        <f t="shared" si="47"/>
        <v>6414.04782856564</v>
      </c>
      <c r="AE55" s="73">
        <f t="shared" si="48"/>
        <v>3711.9999999999995</v>
      </c>
      <c r="AF55" s="73">
        <f t="shared" si="49"/>
        <v>3720.1477405680712</v>
      </c>
      <c r="AG55" s="73">
        <f t="shared" si="50"/>
        <v>0</v>
      </c>
      <c r="AH55" s="73">
        <f t="shared" si="51"/>
        <v>6400</v>
      </c>
      <c r="AI55" s="73">
        <f t="shared" si="52"/>
        <v>6335.8123849676713</v>
      </c>
      <c r="AJ55" s="73">
        <f t="shared" si="53"/>
        <v>3674.7711832812493</v>
      </c>
      <c r="AK55" s="75">
        <f>IF($L$2830,1,0)</f>
        <v>0</v>
      </c>
      <c r="AL55" s="72">
        <f>IF($L$2830,$M$2830,0)</f>
        <v>0</v>
      </c>
      <c r="AM55" s="73">
        <f>$N$2857/$N$2845*IF($O$2830=1,$O$2857/$O$2845,1)-1</f>
        <v>4.8306875730424803E-2</v>
      </c>
      <c r="AN55" s="73">
        <f>$N$2858/$N$2846*IF($O$2830=1,$O$2858/$O$2846,1)-1</f>
        <v>4.8280615594077592E-2</v>
      </c>
      <c r="AO55" s="73">
        <f>$N$2859/$N$2847*IF($O$2830=1,$O$2859/$O$2847,1)-1</f>
        <v>4.8254430687060035E-2</v>
      </c>
      <c r="AP55" s="73">
        <f>$N$2860/$N$2848*IF($O$2830=1,$O$2860/$O$2848,1)-1</f>
        <v>1.7696540689922768E-2</v>
      </c>
      <c r="AQ55" s="73">
        <f>$N$2861/$N$2849*IF($O$2830=1,$O$2861/$O$2849,1)-1</f>
        <v>1.7670410534469383E-2</v>
      </c>
      <c r="AR55" s="73">
        <f>$N$2862/$N$2850*IF($O$2830=1,$O$2862/$O$2850,1)-1</f>
        <v>1.7644357431174873E-2</v>
      </c>
      <c r="AS55" s="73">
        <f>$N$2863/$N$2851*IF($O$2830=1,$O$2863/$O$2851,1)-1</f>
        <v>1.7618381039725906E-2</v>
      </c>
      <c r="AT55" s="73">
        <f>$N$2864/$N$2852*IF($O$2830=1,$O$2864/$O$2852,1)-1</f>
        <v>1.7592057065741296E-2</v>
      </c>
      <c r="AU55" s="73">
        <f>$N$2865/$N$2853*IF($O$2830=1,$O$2865/$O$2853,1)-1</f>
        <v>1.7566234328753261E-2</v>
      </c>
      <c r="AV55" s="73">
        <f>$N$2866/$N$2854*IF($O$2830=1,$O$2866/$O$2854,1)-1</f>
        <v>1.7540487289153583E-2</v>
      </c>
      <c r="AW55" s="73">
        <f>$N$2867/$N$2855*IF($O$2830=1,$O$2867/$O$2855,1)-1</f>
        <v>1.7514815614577905E-2</v>
      </c>
      <c r="AX55" s="73">
        <f>$N$2868/$N$2856*IF($O$2830=1,$O$2868/$O$2856,1)-1</f>
        <v>1.7489218974604537E-2</v>
      </c>
      <c r="AY55" s="73">
        <f>$N$2857/$N$2845-1</f>
        <v>3.0000000000000027E-2</v>
      </c>
      <c r="AZ55" s="73">
        <f>$N$2858/$N$2846-1</f>
        <v>3.0000000000000027E-2</v>
      </c>
      <c r="BA55" s="73">
        <f>$N$2859/$N$2847-1</f>
        <v>3.0000000000000027E-2</v>
      </c>
      <c r="BB55" s="73">
        <f>$N$2860/$N$2848-1</f>
        <v>0</v>
      </c>
      <c r="BC55" s="73">
        <f>$N$2861/$N$2849-1</f>
        <v>0</v>
      </c>
      <c r="BD55" s="73">
        <f>$N$2862/$N$2850-1</f>
        <v>0</v>
      </c>
      <c r="BE55" s="73">
        <f>$N$2863/$N$2851-1</f>
        <v>0</v>
      </c>
      <c r="BF55" s="73">
        <f>$N$2864/$N$2852-1</f>
        <v>0</v>
      </c>
      <c r="BG55" s="73">
        <f>$N$2865/$N$2853-1</f>
        <v>0</v>
      </c>
      <c r="BH55" s="73">
        <f>$N$2866/$N$2854-1</f>
        <v>0</v>
      </c>
      <c r="BI55" s="73">
        <f>$N$2867/$N$2855-1</f>
        <v>0</v>
      </c>
      <c r="BJ55" s="73">
        <f>$N$2868/$N$2856-1</f>
        <v>0</v>
      </c>
      <c r="BK55" s="73">
        <f>$O$2857/$O$2845-1</f>
        <v>1.7773665757693902E-2</v>
      </c>
      <c r="BL55" s="73">
        <f>$O$2858/$O$2846-1</f>
        <v>1.7748170479686909E-2</v>
      </c>
      <c r="BM55" s="73">
        <f>$O$2859/$O$2847-1</f>
        <v>1.7722748239864083E-2</v>
      </c>
      <c r="BN55" s="73">
        <f>$O$2860/$O$2848-1</f>
        <v>1.7696540689922768E-2</v>
      </c>
      <c r="BO55" s="73">
        <f>$O$2861/$O$2849-1</f>
        <v>1.7670410534469383E-2</v>
      </c>
      <c r="BP55" s="73">
        <f>$O$2862/$O$2850-1</f>
        <v>1.7644357431174873E-2</v>
      </c>
      <c r="BQ55" s="73">
        <f>$O$2863/$O$2851-1</f>
        <v>1.7618381039725906E-2</v>
      </c>
      <c r="BR55" s="73">
        <f>$O$2864/$O$2852-1</f>
        <v>1.7592057065741296E-2</v>
      </c>
      <c r="BS55" s="73">
        <f>$O$2865/$O$2853-1</f>
        <v>1.7566234328753261E-2</v>
      </c>
      <c r="BT55" s="73">
        <f>$O$2866/$O$2854-1</f>
        <v>1.7540487289153583E-2</v>
      </c>
      <c r="BU55" s="73">
        <f>$O$2867/$O$2855-1</f>
        <v>1.7514815614577905E-2</v>
      </c>
      <c r="BV55" s="73">
        <f>$O$2868/$O$2856-1</f>
        <v>1.7489218974604537E-2</v>
      </c>
      <c r="BW55" s="73">
        <f>$V55*$H$2857</f>
        <v>6400</v>
      </c>
      <c r="BX55" s="73">
        <f>$V55*$H$2858</f>
        <v>6400</v>
      </c>
      <c r="BY55" s="73">
        <f>$V55*$H$2859</f>
        <v>6400</v>
      </c>
      <c r="BZ55" s="73">
        <f>$V55*$H$2860</f>
        <v>6400</v>
      </c>
      <c r="CA55" s="73">
        <f>$V55*$H$2861</f>
        <v>6400</v>
      </c>
      <c r="CB55" s="73">
        <f>$V55*$H$2862</f>
        <v>6400</v>
      </c>
      <c r="CC55" s="73">
        <f>$V55*$H$2863</f>
        <v>6400</v>
      </c>
      <c r="CD55" s="73">
        <f>$V55*$H$2864</f>
        <v>6400</v>
      </c>
      <c r="CE55" s="73">
        <f>$V55*$H$2865</f>
        <v>6400</v>
      </c>
      <c r="CF55" s="73">
        <f>$V55*$H$2866</f>
        <v>6400</v>
      </c>
      <c r="CG55" s="73">
        <f>$V55*$H$2867</f>
        <v>6400</v>
      </c>
      <c r="CH55" s="73">
        <f>$V55*$H$2868</f>
        <v>6400</v>
      </c>
      <c r="CI55" s="75">
        <f>$O$2830</f>
        <v>1</v>
      </c>
      <c r="CJ55" s="73">
        <f>$H$2881</f>
        <v>1.0075000000000001</v>
      </c>
      <c r="CK55" s="73">
        <f>$I$2881</f>
        <v>1.0176314239537807</v>
      </c>
      <c r="CL55" s="73">
        <f>$J$2881</f>
        <v>1.0252645354149741</v>
      </c>
      <c r="CM55" s="73">
        <f t="shared" si="54"/>
        <v>0</v>
      </c>
      <c r="CN55" s="73">
        <f t="shared" si="55"/>
        <v>6400</v>
      </c>
      <c r="CO55" s="72">
        <f>$M55*($C55/$K$2881)*IF($O$2830=1,$F$2830/$G55,1)*$R55</f>
        <v>0.58127308446376114</v>
      </c>
      <c r="CP55" s="72">
        <f>$M55*(1+$S55)*($C55/$L$2881)*IF($O$2830=1,$F$2830/$H55,1)*$R55</f>
        <v>0.57418299738769518</v>
      </c>
      <c r="CQ55" s="73">
        <f t="shared" si="56"/>
        <v>3720.1477405680712</v>
      </c>
      <c r="CR55" s="73">
        <f t="shared" si="57"/>
        <v>3674.7711832812493</v>
      </c>
      <c r="CS55" s="73">
        <f t="shared" si="58"/>
        <v>0</v>
      </c>
      <c r="CT55" s="272">
        <f t="shared" si="59"/>
        <v>0</v>
      </c>
      <c r="CU55" s="75">
        <f t="shared" si="60"/>
        <v>1</v>
      </c>
      <c r="CV55" s="75">
        <f t="shared" si="61"/>
        <v>0</v>
      </c>
      <c r="CW55" s="273">
        <f t="shared" si="62"/>
        <v>46113</v>
      </c>
      <c r="CX55" s="274">
        <f t="shared" si="63"/>
        <v>0.03</v>
      </c>
      <c r="CY55" s="6" t="str">
        <f t="shared" si="64"/>
        <v>T</v>
      </c>
      <c r="CZ55" s="273" t="str">
        <f t="shared" si="65"/>
        <v/>
      </c>
      <c r="DA55" s="274" t="str">
        <f t="shared" si="66"/>
        <v/>
      </c>
      <c r="DB55" s="6" t="str">
        <f t="shared" si="67"/>
        <v/>
      </c>
      <c r="DC55" s="273" t="str">
        <f t="shared" si="68"/>
        <v/>
      </c>
      <c r="DD55" s="274" t="str">
        <f t="shared" si="69"/>
        <v/>
      </c>
      <c r="DE55" s="6" t="str">
        <f t="shared" si="70"/>
        <v/>
      </c>
      <c r="DF55" s="273" t="str">
        <f t="shared" si="71"/>
        <v/>
      </c>
      <c r="DG55" s="274" t="str">
        <f t="shared" si="72"/>
        <v/>
      </c>
      <c r="DH55" s="6" t="str">
        <f t="shared" si="73"/>
        <v/>
      </c>
    </row>
    <row r="56" spans="1:112" x14ac:dyDescent="0.3">
      <c r="A56" s="6" t="str">
        <f>$A$2884</f>
        <v>SBA|MI</v>
      </c>
      <c r="B56" s="75">
        <f>$C$2884</f>
        <v>6</v>
      </c>
      <c r="C56" s="73">
        <f>$B$2935</f>
        <v>1.04</v>
      </c>
      <c r="D56" s="73">
        <f>$C$2935</f>
        <v>1.0166666666666664</v>
      </c>
      <c r="E56" s="73">
        <f>$D$2935</f>
        <v>1.0399999999999998</v>
      </c>
      <c r="F56" s="73">
        <f>$E$2935</f>
        <v>1.0399999999999998</v>
      </c>
      <c r="G56" s="224">
        <f>$F$2935</f>
        <v>0.90999999999999981</v>
      </c>
      <c r="H56" s="224">
        <f>$G$2935</f>
        <v>0.90999999999999981</v>
      </c>
      <c r="I56" s="73">
        <f t="shared" si="37"/>
        <v>1.0000000000000002</v>
      </c>
      <c r="J56" s="73">
        <f t="shared" si="38"/>
        <v>1.0000000000000002</v>
      </c>
      <c r="K56" s="73">
        <f>IF($L$2884,1,IF(AND(nr_ModAdjMaster="ON",INDEX(lr_modadj,53)="ON"),$F$2884/$G56,1))</f>
        <v>1.0109890109890112</v>
      </c>
      <c r="L56" s="73">
        <f>IF($L$2884,1,IF(AND(nr_ModAdjMaster="ON",INDEX(lr_modadj,53)="ON"),$F$2884/$H56,1))</f>
        <v>1.0109890109890112</v>
      </c>
      <c r="M56" s="72">
        <f>IF(INDEX(lr_basis,53)="proposed",N(INDEX(lr_lrproj,53))*(1+N(INDEX(lr_s,53))),N(INDEX(lr_lrproj,53)))</f>
        <v>0.56399999999999995</v>
      </c>
      <c r="N56" s="72">
        <f t="shared" si="39"/>
        <v>0.57019780219780236</v>
      </c>
      <c r="O56" s="72">
        <f t="shared" si="40"/>
        <v>0.57019780219780236</v>
      </c>
      <c r="P56" s="72">
        <f t="shared" si="41"/>
        <v>0</v>
      </c>
      <c r="Q56" s="72">
        <f t="shared" si="42"/>
        <v>0</v>
      </c>
      <c r="R56" s="73">
        <f>IF(N(INDEX(lr_aother,53))=0,1,INDEX(lr_aother,53))</f>
        <v>1</v>
      </c>
      <c r="S56" s="72">
        <f>IF(ISBLANK(INDEX(lr_trend,53)),N(nr_TrendDefault),N(INDEX(lr_trend,53)))</f>
        <v>0</v>
      </c>
      <c r="T56" s="6" t="str">
        <f>INDEX(lr_state,53)</f>
        <v>MI</v>
      </c>
      <c r="U56" s="6" t="str">
        <f>INDEX(lr_bu,53)</f>
        <v>SBA</v>
      </c>
      <c r="V56" s="271">
        <f>N(INDEX(lr_ep,53))</f>
        <v>16800</v>
      </c>
      <c r="W56" s="73">
        <f>N(INDEX(lr_mind,53))*$V56</f>
        <v>15456</v>
      </c>
      <c r="X56" s="73">
        <f>N(INDEX(lr_m0,53))*$V56</f>
        <v>15288</v>
      </c>
      <c r="Y56" s="73">
        <f>N(INDEX(lr_m1,53))*$V56</f>
        <v>15288</v>
      </c>
      <c r="Z56" s="73">
        <f t="shared" si="43"/>
        <v>17472</v>
      </c>
      <c r="AA56" s="73">
        <f t="shared" si="44"/>
        <v>17471.999999999996</v>
      </c>
      <c r="AB56" s="73">
        <f t="shared" si="45"/>
        <v>16800.000000000004</v>
      </c>
      <c r="AC56" s="73">
        <f t="shared" si="46"/>
        <v>15287.999999999996</v>
      </c>
      <c r="AD56" s="73">
        <f t="shared" si="47"/>
        <v>16984.615384615387</v>
      </c>
      <c r="AE56" s="73">
        <f t="shared" si="48"/>
        <v>9475.1999999999989</v>
      </c>
      <c r="AF56" s="73">
        <f t="shared" si="49"/>
        <v>9579.3230769230795</v>
      </c>
      <c r="AG56" s="73">
        <f t="shared" si="50"/>
        <v>0</v>
      </c>
      <c r="AH56" s="73">
        <f t="shared" si="51"/>
        <v>16800.000000000004</v>
      </c>
      <c r="AI56" s="73">
        <f t="shared" si="52"/>
        <v>16984.615384615387</v>
      </c>
      <c r="AJ56" s="73">
        <f t="shared" si="53"/>
        <v>9579.3230769230795</v>
      </c>
      <c r="AK56" s="75">
        <f>IF($L$2884,1,0)</f>
        <v>0</v>
      </c>
      <c r="AL56" s="72">
        <f>IF($L$2884,$M$2884,0)</f>
        <v>0</v>
      </c>
      <c r="AM56" s="73">
        <f>$N$2911/$N$2899*IF($O$2884=1,$O$2911/$O$2899,1)-1</f>
        <v>4.0000000000000036E-2</v>
      </c>
      <c r="AN56" s="73">
        <f>$N$2912/$N$2900*IF($O$2884=1,$O$2912/$O$2900,1)-1</f>
        <v>4.0000000000000036E-2</v>
      </c>
      <c r="AO56" s="73">
        <f>$N$2913/$N$2901*IF($O$2884=1,$O$2913/$O$2901,1)-1</f>
        <v>4.0000000000000036E-2</v>
      </c>
      <c r="AP56" s="73">
        <f>$N$2914/$N$2902*IF($O$2884=1,$O$2914/$O$2902,1)-1</f>
        <v>4.0000000000000036E-2</v>
      </c>
      <c r="AQ56" s="73">
        <f>$N$2915/$N$2903*IF($O$2884=1,$O$2915/$O$2903,1)-1</f>
        <v>0</v>
      </c>
      <c r="AR56" s="73">
        <f>$N$2916/$N$2904*IF($O$2884=1,$O$2916/$O$2904,1)-1</f>
        <v>0</v>
      </c>
      <c r="AS56" s="73">
        <f>$N$2917/$N$2905*IF($O$2884=1,$O$2917/$O$2905,1)-1</f>
        <v>0</v>
      </c>
      <c r="AT56" s="73">
        <f>$N$2918/$N$2906*IF($O$2884=1,$O$2918/$O$2906,1)-1</f>
        <v>0</v>
      </c>
      <c r="AU56" s="73">
        <f>$N$2919/$N$2907*IF($O$2884=1,$O$2919/$O$2907,1)-1</f>
        <v>0</v>
      </c>
      <c r="AV56" s="73">
        <f>$N$2920/$N$2908*IF($O$2884=1,$O$2920/$O$2908,1)-1</f>
        <v>0</v>
      </c>
      <c r="AW56" s="73">
        <f>$N$2921/$N$2909*IF($O$2884=1,$O$2921/$O$2909,1)-1</f>
        <v>0</v>
      </c>
      <c r="AX56" s="73">
        <f>$N$2922/$N$2910*IF($O$2884=1,$O$2922/$O$2910,1)-1</f>
        <v>0</v>
      </c>
      <c r="AY56" s="73">
        <f>$N$2911/$N$2899-1</f>
        <v>4.0000000000000036E-2</v>
      </c>
      <c r="AZ56" s="73">
        <f>$N$2912/$N$2900-1</f>
        <v>4.0000000000000036E-2</v>
      </c>
      <c r="BA56" s="73">
        <f>$N$2913/$N$2901-1</f>
        <v>4.0000000000000036E-2</v>
      </c>
      <c r="BB56" s="73">
        <f>$N$2914/$N$2902-1</f>
        <v>4.0000000000000036E-2</v>
      </c>
      <c r="BC56" s="73">
        <f>$N$2915/$N$2903-1</f>
        <v>0</v>
      </c>
      <c r="BD56" s="73">
        <f>$N$2916/$N$2904-1</f>
        <v>0</v>
      </c>
      <c r="BE56" s="73">
        <f>$N$2917/$N$2905-1</f>
        <v>0</v>
      </c>
      <c r="BF56" s="73">
        <f>$N$2918/$N$2906-1</f>
        <v>0</v>
      </c>
      <c r="BG56" s="73">
        <f>$N$2919/$N$2907-1</f>
        <v>0</v>
      </c>
      <c r="BH56" s="73">
        <f>$N$2920/$N$2908-1</f>
        <v>0</v>
      </c>
      <c r="BI56" s="73">
        <f>$N$2921/$N$2909-1</f>
        <v>0</v>
      </c>
      <c r="BJ56" s="73">
        <f>$N$2922/$N$2910-1</f>
        <v>0</v>
      </c>
      <c r="BK56" s="73">
        <f>$O$2911/$O$2899-1</f>
        <v>0</v>
      </c>
      <c r="BL56" s="73">
        <f>$O$2912/$O$2900-1</f>
        <v>0</v>
      </c>
      <c r="BM56" s="73">
        <f>$O$2913/$O$2901-1</f>
        <v>0</v>
      </c>
      <c r="BN56" s="73">
        <f>$O$2914/$O$2902-1</f>
        <v>0</v>
      </c>
      <c r="BO56" s="73">
        <f>$O$2915/$O$2903-1</f>
        <v>0</v>
      </c>
      <c r="BP56" s="73">
        <f>$O$2916/$O$2904-1</f>
        <v>0</v>
      </c>
      <c r="BQ56" s="73">
        <f>$O$2917/$O$2905-1</f>
        <v>0</v>
      </c>
      <c r="BR56" s="73">
        <f>$O$2918/$O$2906-1</f>
        <v>0</v>
      </c>
      <c r="BS56" s="73">
        <f>$O$2919/$O$2907-1</f>
        <v>0</v>
      </c>
      <c r="BT56" s="73">
        <f>$O$2920/$O$2908-1</f>
        <v>0</v>
      </c>
      <c r="BU56" s="73">
        <f>$O$2921/$O$2909-1</f>
        <v>0</v>
      </c>
      <c r="BV56" s="73">
        <f>$O$2922/$O$2910-1</f>
        <v>0</v>
      </c>
      <c r="BW56" s="73">
        <f>$V56*$H$2911</f>
        <v>16800</v>
      </c>
      <c r="BX56" s="73">
        <f>$V56*$H$2912</f>
        <v>16800</v>
      </c>
      <c r="BY56" s="73">
        <f>$V56*$H$2913</f>
        <v>16800</v>
      </c>
      <c r="BZ56" s="73">
        <f>$V56*$H$2914</f>
        <v>16800</v>
      </c>
      <c r="CA56" s="73">
        <f>$V56*$H$2915</f>
        <v>16800</v>
      </c>
      <c r="CB56" s="73">
        <f>$V56*$H$2916</f>
        <v>16800</v>
      </c>
      <c r="CC56" s="73">
        <f>$V56*$H$2917</f>
        <v>16800</v>
      </c>
      <c r="CD56" s="73">
        <f>$V56*$H$2918</f>
        <v>16800</v>
      </c>
      <c r="CE56" s="73">
        <f>$V56*$H$2919</f>
        <v>16800</v>
      </c>
      <c r="CF56" s="73">
        <f>$V56*$H$2920</f>
        <v>16800</v>
      </c>
      <c r="CG56" s="73">
        <f>$V56*$H$2921</f>
        <v>16800</v>
      </c>
      <c r="CH56" s="73">
        <f>$V56*$H$2922</f>
        <v>16800</v>
      </c>
      <c r="CI56" s="75">
        <f>$O$2884</f>
        <v>1</v>
      </c>
      <c r="CJ56" s="73">
        <f>$H$2935</f>
        <v>1.0133333333333334</v>
      </c>
      <c r="CK56" s="73">
        <f>$I$2935</f>
        <v>1</v>
      </c>
      <c r="CL56" s="73">
        <f>$J$2935</f>
        <v>1.0133333333333334</v>
      </c>
      <c r="CM56" s="73">
        <f t="shared" si="54"/>
        <v>0</v>
      </c>
      <c r="CN56" s="73">
        <f t="shared" si="55"/>
        <v>16800</v>
      </c>
      <c r="CO56" s="72">
        <f>$M56*($C56/$K$2935)*IF($O$2884=1,$F$2884/$G56,1)*$R56</f>
        <v>0.57019780219780236</v>
      </c>
      <c r="CP56" s="72">
        <f>$M56*(1+$S56)*($C56/$L$2935)*IF($O$2884=1,$F$2884/$H56,1)*$R56</f>
        <v>0.57019780219780236</v>
      </c>
      <c r="CQ56" s="73">
        <f t="shared" si="56"/>
        <v>9579.3230769230795</v>
      </c>
      <c r="CR56" s="73">
        <f t="shared" si="57"/>
        <v>9579.3230769230795</v>
      </c>
      <c r="CS56" s="73">
        <f t="shared" si="58"/>
        <v>0</v>
      </c>
      <c r="CT56" s="272">
        <f t="shared" si="59"/>
        <v>0</v>
      </c>
      <c r="CU56" s="75">
        <f t="shared" si="60"/>
        <v>1</v>
      </c>
      <c r="CV56" s="75">
        <f t="shared" si="61"/>
        <v>0</v>
      </c>
      <c r="CW56" s="273">
        <f t="shared" si="62"/>
        <v>46143</v>
      </c>
      <c r="CX56" s="274">
        <f t="shared" si="63"/>
        <v>0.04</v>
      </c>
      <c r="CY56" s="6" t="str">
        <f t="shared" si="64"/>
        <v>T</v>
      </c>
      <c r="CZ56" s="273" t="str">
        <f t="shared" si="65"/>
        <v/>
      </c>
      <c r="DA56" s="274" t="str">
        <f t="shared" si="66"/>
        <v/>
      </c>
      <c r="DB56" s="6" t="str">
        <f t="shared" si="67"/>
        <v/>
      </c>
      <c r="DC56" s="273" t="str">
        <f t="shared" si="68"/>
        <v/>
      </c>
      <c r="DD56" s="274" t="str">
        <f t="shared" si="69"/>
        <v/>
      </c>
      <c r="DE56" s="6" t="str">
        <f t="shared" si="70"/>
        <v/>
      </c>
      <c r="DF56" s="273" t="str">
        <f t="shared" si="71"/>
        <v/>
      </c>
      <c r="DG56" s="274" t="str">
        <f t="shared" si="72"/>
        <v/>
      </c>
      <c r="DH56" s="6" t="str">
        <f t="shared" si="73"/>
        <v/>
      </c>
    </row>
    <row r="57" spans="1:112" x14ac:dyDescent="0.3">
      <c r="A57" s="6" t="str">
        <f>$A$2938</f>
        <v>SBA|MN</v>
      </c>
      <c r="B57" s="75">
        <f>$C$2938</f>
        <v>6</v>
      </c>
      <c r="C57" s="73">
        <f>$B$2989</f>
        <v>1</v>
      </c>
      <c r="D57" s="73">
        <f>$C$2989</f>
        <v>1</v>
      </c>
      <c r="E57" s="73">
        <f>$D$2989</f>
        <v>1.02</v>
      </c>
      <c r="F57" s="73">
        <f>$E$2989</f>
        <v>1.0399999999999998</v>
      </c>
      <c r="G57" s="224">
        <f>$F$2989</f>
        <v>0.91598878555798668</v>
      </c>
      <c r="H57" s="224">
        <f>$G$2989</f>
        <v>0.92449033552151683</v>
      </c>
      <c r="I57" s="73">
        <f t="shared" si="37"/>
        <v>0.98039215686274506</v>
      </c>
      <c r="J57" s="73">
        <f t="shared" si="38"/>
        <v>0.96153846153846168</v>
      </c>
      <c r="K57" s="73">
        <f>IF($L$2938,1,IF(AND(nr_ModAdjMaster="ON",INDEX(lr_modadj,54)="ON"),$F$2938/$G57,1))</f>
        <v>1.0043791086804299</v>
      </c>
      <c r="L57" s="73">
        <f>IF($L$2938,1,IF(AND(nr_ModAdjMaster="ON",INDEX(lr_modadj,54)="ON"),$F$2938/$H57,1))</f>
        <v>0.99514290701699581</v>
      </c>
      <c r="M57" s="72">
        <f>IF(INDEX(lr_basis,54)="proposed",N(INDEX(lr_lrproj,54))*(1+N(INDEX(lr_s,54))),N(INDEX(lr_lrproj,54)))</f>
        <v>0.59199999999999997</v>
      </c>
      <c r="N57" s="72">
        <f t="shared" si="39"/>
        <v>0.58293375719491614</v>
      </c>
      <c r="O57" s="72">
        <f t="shared" si="40"/>
        <v>0.56646596245582848</v>
      </c>
      <c r="P57" s="72">
        <f t="shared" si="41"/>
        <v>2.0000000000000018E-2</v>
      </c>
      <c r="Q57" s="72">
        <f t="shared" si="42"/>
        <v>1.960784313725461E-2</v>
      </c>
      <c r="R57" s="73">
        <f>IF(N(INDEX(lr_aother,54))=0,1,INDEX(lr_aother,54))</f>
        <v>1</v>
      </c>
      <c r="S57" s="72">
        <f>IF(ISBLANK(INDEX(lr_trend,54)),N(nr_TrendDefault),N(INDEX(lr_trend,54)))</f>
        <v>0</v>
      </c>
      <c r="T57" s="6" t="str">
        <f>INDEX(lr_state,54)</f>
        <v>MN</v>
      </c>
      <c r="U57" s="6" t="str">
        <f>INDEX(lr_bu,54)</f>
        <v>SBA</v>
      </c>
      <c r="V57" s="271">
        <f>N(INDEX(lr_ep,54))</f>
        <v>13600</v>
      </c>
      <c r="W57" s="73">
        <f>N(INDEX(lr_mind,54))*$V57</f>
        <v>12512</v>
      </c>
      <c r="X57" s="73">
        <f>N(INDEX(lr_m0,54))*$V57</f>
        <v>12376</v>
      </c>
      <c r="Y57" s="73">
        <f>N(INDEX(lr_m1,54))*$V57</f>
        <v>12580</v>
      </c>
      <c r="Z57" s="73">
        <f t="shared" si="43"/>
        <v>13600</v>
      </c>
      <c r="AA57" s="73">
        <f t="shared" si="44"/>
        <v>13872</v>
      </c>
      <c r="AB57" s="73">
        <f t="shared" si="45"/>
        <v>13333.333333333332</v>
      </c>
      <c r="AC57" s="73">
        <f t="shared" si="46"/>
        <v>12457.447483588619</v>
      </c>
      <c r="AD57" s="73">
        <f t="shared" si="47"/>
        <v>13659.555878053847</v>
      </c>
      <c r="AE57" s="73">
        <f t="shared" si="48"/>
        <v>8051.2</v>
      </c>
      <c r="AF57" s="73">
        <f t="shared" si="49"/>
        <v>7927.8990978508591</v>
      </c>
      <c r="AG57" s="73">
        <f t="shared" si="50"/>
        <v>0</v>
      </c>
      <c r="AH57" s="73">
        <f t="shared" si="51"/>
        <v>13076.923076923078</v>
      </c>
      <c r="AI57" s="73">
        <f t="shared" si="52"/>
        <v>13533.943535431143</v>
      </c>
      <c r="AJ57" s="73">
        <f t="shared" si="53"/>
        <v>7703.9370893992673</v>
      </c>
      <c r="AK57" s="75">
        <f>IF($L$2938,1,0)</f>
        <v>0</v>
      </c>
      <c r="AL57" s="72">
        <f>IF($L$2938,$M$2938,0)</f>
        <v>0</v>
      </c>
      <c r="AM57" s="73">
        <f>$N$2965/$N$2953*IF($O$2938=1,$O$2965/$O$2953,1)-1</f>
        <v>1.3288593047456665E-2</v>
      </c>
      <c r="AN57" s="73">
        <f>$N$2966/$N$2954*IF($O$2938=1,$O$2966/$O$2954,1)-1</f>
        <v>1.3274336283185972E-2</v>
      </c>
      <c r="AO57" s="73">
        <f>$N$2967/$N$2955*IF($O$2938=1,$O$2967/$O$2955,1)-1</f>
        <v>1.3260110077078169E-2</v>
      </c>
      <c r="AP57" s="73">
        <f>$N$2968/$N$2956*IF($O$2938=1,$O$2968/$O$2956,1)-1</f>
        <v>5.3775250997943891E-2</v>
      </c>
      <c r="AQ57" s="73">
        <f>$N$2969/$N$2957*IF($O$2938=1,$O$2969/$O$2957,1)-1</f>
        <v>5.3760021265926827E-2</v>
      </c>
      <c r="AR57" s="73">
        <f>$N$2970/$N$2958*IF($O$2938=1,$O$2970/$O$2958,1)-1</f>
        <v>5.3744825172292954E-2</v>
      </c>
      <c r="AS57" s="73">
        <f>$N$2971/$N$2959*IF($O$2938=1,$O$2971/$O$2959,1)-1</f>
        <v>5.3729662605718431E-2</v>
      </c>
      <c r="AT57" s="73">
        <f>$N$2972/$N$2960*IF($O$2938=1,$O$2972/$O$2960,1)-1</f>
        <v>5.3714285714285825E-2</v>
      </c>
      <c r="AU57" s="73">
        <f>$N$2973/$N$2961*IF($O$2938=1,$O$2973/$O$2961,1)-1</f>
        <v>5.3699190414897346E-2</v>
      </c>
      <c r="AV57" s="73">
        <f>$N$2974/$N$2962*IF($O$2938=1,$O$2974/$O$2962,1)-1</f>
        <v>5.3684128309731349E-2</v>
      </c>
      <c r="AW57" s="73">
        <f>$N$2975/$N$2963*IF($O$2938=1,$O$2975/$O$2963,1)-1</f>
        <v>5.3669099289417987E-2</v>
      </c>
      <c r="AX57" s="73">
        <f>$N$2976/$N$2964*IF($O$2938=1,$O$2976/$O$2964,1)-1</f>
        <v>5.3654103245067475E-2</v>
      </c>
      <c r="AY57" s="73">
        <f>$N$2965/$N$2953-1</f>
        <v>0</v>
      </c>
      <c r="AZ57" s="73">
        <f>$N$2966/$N$2954-1</f>
        <v>0</v>
      </c>
      <c r="BA57" s="73">
        <f>$N$2967/$N$2955-1</f>
        <v>0</v>
      </c>
      <c r="BB57" s="73">
        <f>$N$2968/$N$2956-1</f>
        <v>4.0000000000000036E-2</v>
      </c>
      <c r="BC57" s="73">
        <f>$N$2969/$N$2957-1</f>
        <v>4.0000000000000036E-2</v>
      </c>
      <c r="BD57" s="73">
        <f>$N$2970/$N$2958-1</f>
        <v>4.0000000000000036E-2</v>
      </c>
      <c r="BE57" s="73">
        <f>$N$2971/$N$2959-1</f>
        <v>4.0000000000000036E-2</v>
      </c>
      <c r="BF57" s="73">
        <f>$N$2972/$N$2960-1</f>
        <v>4.0000000000000036E-2</v>
      </c>
      <c r="BG57" s="73">
        <f>$N$2973/$N$2961-1</f>
        <v>4.0000000000000036E-2</v>
      </c>
      <c r="BH57" s="73">
        <f>$N$2974/$N$2962-1</f>
        <v>4.0000000000000036E-2</v>
      </c>
      <c r="BI57" s="73">
        <f>$N$2975/$N$2963-1</f>
        <v>4.0000000000000036E-2</v>
      </c>
      <c r="BJ57" s="73">
        <f>$N$2976/$N$2964-1</f>
        <v>4.0000000000000036E-2</v>
      </c>
      <c r="BK57" s="73">
        <f>$O$2965/$O$2953-1</f>
        <v>1.3288593047456665E-2</v>
      </c>
      <c r="BL57" s="73">
        <f>$O$2966/$O$2954-1</f>
        <v>1.3274336283185972E-2</v>
      </c>
      <c r="BM57" s="73">
        <f>$O$2967/$O$2955-1</f>
        <v>1.3260110077078169E-2</v>
      </c>
      <c r="BN57" s="73">
        <f>$O$2968/$O$2956-1</f>
        <v>1.3245433651869032E-2</v>
      </c>
      <c r="BO57" s="73">
        <f>$O$2969/$O$2957-1</f>
        <v>1.3230789678775778E-2</v>
      </c>
      <c r="BP57" s="73">
        <f>$O$2970/$O$2958-1</f>
        <v>1.3216178050281746E-2</v>
      </c>
      <c r="BQ57" s="73">
        <f>$O$2971/$O$2959-1</f>
        <v>1.320159865934456E-2</v>
      </c>
      <c r="BR57" s="73">
        <f>$O$2972/$O$2960-1</f>
        <v>1.3186813186813362E-2</v>
      </c>
      <c r="BS57" s="73">
        <f>$O$2973/$O$2961-1</f>
        <v>1.3172298475862876E-2</v>
      </c>
      <c r="BT57" s="73">
        <f>$O$2974/$O$2962-1</f>
        <v>1.3157815682433904E-2</v>
      </c>
      <c r="BU57" s="73">
        <f>$O$2975/$O$2963-1</f>
        <v>1.3143364701363458E-2</v>
      </c>
      <c r="BV57" s="73">
        <f>$O$2976/$O$2964-1</f>
        <v>1.3128945427949512E-2</v>
      </c>
      <c r="BW57" s="73">
        <f>$V57*$H$2965</f>
        <v>13600</v>
      </c>
      <c r="BX57" s="73">
        <f>$V57*$H$2966</f>
        <v>13600</v>
      </c>
      <c r="BY57" s="73">
        <f>$V57*$H$2967</f>
        <v>13600</v>
      </c>
      <c r="BZ57" s="73">
        <f>$V57*$H$2968</f>
        <v>13600</v>
      </c>
      <c r="CA57" s="73">
        <f>$V57*$H$2969</f>
        <v>13600</v>
      </c>
      <c r="CB57" s="73">
        <f>$V57*$H$2970</f>
        <v>13600</v>
      </c>
      <c r="CC57" s="73">
        <f>$V57*$H$2971</f>
        <v>13600</v>
      </c>
      <c r="CD57" s="73">
        <f>$V57*$H$2972</f>
        <v>13600</v>
      </c>
      <c r="CE57" s="73">
        <f>$V57*$H$2973</f>
        <v>13600</v>
      </c>
      <c r="CF57" s="73">
        <f>$V57*$H$2974</f>
        <v>13600</v>
      </c>
      <c r="CG57" s="73">
        <f>$V57*$H$2975</f>
        <v>13600</v>
      </c>
      <c r="CH57" s="73">
        <f>$V57*$H$2976</f>
        <v>13600</v>
      </c>
      <c r="CI57" s="75">
        <f>$O$2938</f>
        <v>1</v>
      </c>
      <c r="CJ57" s="73">
        <f>$H$2989</f>
        <v>1.0299999999999996</v>
      </c>
      <c r="CK57" s="73">
        <f>$I$2989</f>
        <v>1.0132088564102013</v>
      </c>
      <c r="CL57" s="73">
        <f>$J$2989</f>
        <v>1.0436044672019169</v>
      </c>
      <c r="CM57" s="73">
        <f t="shared" si="54"/>
        <v>0</v>
      </c>
      <c r="CN57" s="73">
        <f t="shared" si="55"/>
        <v>13600</v>
      </c>
      <c r="CO57" s="72">
        <f>$M57*($C57/$K$2989)*IF($O$2938=1,$F$2938/$G57,1)*$R57</f>
        <v>0.58293375719491614</v>
      </c>
      <c r="CP57" s="72">
        <f>$M57*(1+$S57)*($C57/$L$2989)*IF($O$2938=1,$F$2938/$H57,1)*$R57</f>
        <v>0.56646596245582848</v>
      </c>
      <c r="CQ57" s="73">
        <f t="shared" si="56"/>
        <v>7927.8990978508591</v>
      </c>
      <c r="CR57" s="73">
        <f t="shared" si="57"/>
        <v>7703.9370893992673</v>
      </c>
      <c r="CS57" s="73">
        <f t="shared" si="58"/>
        <v>0</v>
      </c>
      <c r="CT57" s="272">
        <f t="shared" si="59"/>
        <v>0</v>
      </c>
      <c r="CU57" s="75">
        <f t="shared" si="60"/>
        <v>0</v>
      </c>
      <c r="CV57" s="75">
        <f t="shared" si="61"/>
        <v>1</v>
      </c>
      <c r="CW57" s="273">
        <f t="shared" si="62"/>
        <v>46478</v>
      </c>
      <c r="CX57" s="274">
        <f t="shared" si="63"/>
        <v>0.04</v>
      </c>
      <c r="CY57" s="6" t="str">
        <f t="shared" si="64"/>
        <v>P*</v>
      </c>
      <c r="CZ57" s="273" t="str">
        <f t="shared" si="65"/>
        <v/>
      </c>
      <c r="DA57" s="274" t="str">
        <f t="shared" si="66"/>
        <v/>
      </c>
      <c r="DB57" s="6" t="str">
        <f t="shared" si="67"/>
        <v/>
      </c>
      <c r="DC57" s="273" t="str">
        <f t="shared" si="68"/>
        <v/>
      </c>
      <c r="DD57" s="274" t="str">
        <f t="shared" si="69"/>
        <v/>
      </c>
      <c r="DE57" s="6" t="str">
        <f t="shared" si="70"/>
        <v/>
      </c>
      <c r="DF57" s="273" t="str">
        <f t="shared" si="71"/>
        <v/>
      </c>
      <c r="DG57" s="274" t="str">
        <f t="shared" si="72"/>
        <v/>
      </c>
      <c r="DH57" s="6" t="str">
        <f t="shared" si="73"/>
        <v/>
      </c>
    </row>
    <row r="58" spans="1:112" x14ac:dyDescent="0.3">
      <c r="A58" s="6" t="str">
        <f>$A$2992</f>
        <v>SBA|NM</v>
      </c>
      <c r="B58" s="75">
        <f>$C$2992</f>
        <v>6</v>
      </c>
      <c r="C58" s="73">
        <f>$B$3043</f>
        <v>1.06</v>
      </c>
      <c r="D58" s="73">
        <f>$C$3043</f>
        <v>1.0150000000000001</v>
      </c>
      <c r="E58" s="73">
        <f>$D$3043</f>
        <v>1.0600000000000003</v>
      </c>
      <c r="F58" s="73">
        <f>$E$3043</f>
        <v>1.0600000000000003</v>
      </c>
      <c r="G58" s="224">
        <f>$F$3043</f>
        <v>0.9080037381473377</v>
      </c>
      <c r="H58" s="224">
        <f>$G$3043</f>
        <v>0.90516988815949428</v>
      </c>
      <c r="I58" s="73">
        <f t="shared" si="37"/>
        <v>0.99999999999999978</v>
      </c>
      <c r="J58" s="73">
        <f t="shared" si="38"/>
        <v>0.99999999999999978</v>
      </c>
      <c r="K58" s="73">
        <f>IF($L$2992,1,IF(AND(nr_ModAdjMaster="ON",INDEX(lr_modadj,55)="ON"),$F$2992/$G58,1))</f>
        <v>1.0132116877372543</v>
      </c>
      <c r="L58" s="73">
        <f>IF($L$2992,1,IF(AND(nr_ModAdjMaster="ON",INDEX(lr_modadj,55)="ON"),$F$2992/$H58,1))</f>
        <v>1.0163837883191853</v>
      </c>
      <c r="M58" s="72">
        <f>IF(INDEX(lr_basis,55)="proposed",N(INDEX(lr_lrproj,55))*(1+N(INDEX(lr_s,55))),N(INDEX(lr_lrproj,55)))</f>
        <v>0.57599999999999996</v>
      </c>
      <c r="N58" s="72">
        <f t="shared" si="39"/>
        <v>0.58360993213665835</v>
      </c>
      <c r="O58" s="72">
        <f t="shared" si="40"/>
        <v>0.58543706207185053</v>
      </c>
      <c r="P58" s="72">
        <f t="shared" si="41"/>
        <v>0</v>
      </c>
      <c r="Q58" s="72">
        <f t="shared" si="42"/>
        <v>0</v>
      </c>
      <c r="R58" s="73">
        <f>IF(N(INDEX(lr_aother,55))=0,1,INDEX(lr_aother,55))</f>
        <v>1</v>
      </c>
      <c r="S58" s="72">
        <f>IF(ISBLANK(INDEX(lr_trend,55)),N(nr_TrendDefault),N(INDEX(lr_trend,55)))</f>
        <v>0</v>
      </c>
      <c r="T58" s="6" t="str">
        <f>INDEX(lr_state,55)</f>
        <v>NM</v>
      </c>
      <c r="U58" s="6" t="str">
        <f>INDEX(lr_bu,55)</f>
        <v>SBA</v>
      </c>
      <c r="V58" s="271">
        <f>N(INDEX(lr_ep,55))</f>
        <v>10400</v>
      </c>
      <c r="W58" s="73">
        <f>N(INDEX(lr_mind,55))*$V58</f>
        <v>9568</v>
      </c>
      <c r="X58" s="73">
        <f>N(INDEX(lr_m0,55))*$V58</f>
        <v>9464</v>
      </c>
      <c r="Y58" s="73">
        <f>N(INDEX(lr_m1,55))*$V58</f>
        <v>9412</v>
      </c>
      <c r="Z58" s="73">
        <f t="shared" si="43"/>
        <v>11024</v>
      </c>
      <c r="AA58" s="73">
        <f t="shared" si="44"/>
        <v>11024.000000000004</v>
      </c>
      <c r="AB58" s="73">
        <f t="shared" si="45"/>
        <v>10399.999999999998</v>
      </c>
      <c r="AC58" s="73">
        <f t="shared" si="46"/>
        <v>9443.2388767323118</v>
      </c>
      <c r="AD58" s="73">
        <f t="shared" si="47"/>
        <v>10537.401552467445</v>
      </c>
      <c r="AE58" s="73">
        <f t="shared" si="48"/>
        <v>5990.4</v>
      </c>
      <c r="AF58" s="73">
        <f t="shared" si="49"/>
        <v>6069.5432942212465</v>
      </c>
      <c r="AG58" s="73">
        <f t="shared" si="50"/>
        <v>0</v>
      </c>
      <c r="AH58" s="73">
        <f t="shared" si="51"/>
        <v>10399.999999999998</v>
      </c>
      <c r="AI58" s="73">
        <f t="shared" si="52"/>
        <v>10570.391398519527</v>
      </c>
      <c r="AJ58" s="73">
        <f t="shared" si="53"/>
        <v>6088.5454455472454</v>
      </c>
      <c r="AK58" s="75">
        <f>IF($L$2992,1,0)</f>
        <v>0</v>
      </c>
      <c r="AL58" s="72">
        <f>IF($L$2992,$M$2992,0)</f>
        <v>0</v>
      </c>
      <c r="AM58" s="73">
        <f>$N$3019/$N$3007*IF($O$2992=1,$O$3019/$O$3007,1)-1</f>
        <v>5.5362662783241534E-2</v>
      </c>
      <c r="AN58" s="73">
        <f>$N$3020/$N$3008*IF($O$2992=1,$O$3020/$O$3008,1)-1</f>
        <v>5.5361022517445679E-2</v>
      </c>
      <c r="AO58" s="73">
        <f>$N$3021/$N$3009*IF($O$2992=1,$O$3021/$O$3009,1)-1</f>
        <v>5.535938109088745E-2</v>
      </c>
      <c r="AP58" s="73">
        <f>$N$3022/$N$3010*IF($O$2992=1,$O$3022/$O$3010,1)-1</f>
        <v>5.5357682800988739E-2</v>
      </c>
      <c r="AQ58" s="73">
        <f>$N$3023/$N$3011*IF($O$2992=1,$O$3023/$O$3011,1)-1</f>
        <v>5.535598326761626E-2</v>
      </c>
      <c r="AR58" s="73">
        <f>$N$3024/$N$3012*IF($O$2992=1,$O$3024/$O$3012,1)-1</f>
        <v>5.5354282489403328E-2</v>
      </c>
      <c r="AS58" s="73">
        <f>$N$3025/$N$3013*IF($O$2992=1,$O$3025/$O$3013,1)-1</f>
        <v>-4.3843580519036252E-3</v>
      </c>
      <c r="AT58" s="73">
        <f>$N$3026/$N$3014*IF($O$2992=1,$O$3026/$O$3014,1)-1</f>
        <v>-4.3859912640666909E-3</v>
      </c>
      <c r="AU58" s="73">
        <f>$N$3027/$N$3015*IF($O$2992=1,$O$3027/$O$3015,1)-1</f>
        <v>-4.3875993220258147E-3</v>
      </c>
      <c r="AV58" s="73">
        <f>$N$3028/$N$3016*IF($O$2992=1,$O$3028/$O$3016,1)-1</f>
        <v>-4.3892085595579333E-3</v>
      </c>
      <c r="AW58" s="73">
        <f>$N$3029/$N$3017*IF($O$2992=1,$O$3029/$O$3017,1)-1</f>
        <v>-4.3908189779616746E-3</v>
      </c>
      <c r="AX58" s="73">
        <f>$N$3030/$N$3018*IF($O$2992=1,$O$3030/$O$3018,1)-1</f>
        <v>-4.3924305785372209E-3</v>
      </c>
      <c r="AY58" s="73">
        <f>$N$3019/$N$3007-1</f>
        <v>6.0000000000000053E-2</v>
      </c>
      <c r="AZ58" s="73">
        <f>$N$3020/$N$3008-1</f>
        <v>6.0000000000000053E-2</v>
      </c>
      <c r="BA58" s="73">
        <f>$N$3021/$N$3009-1</f>
        <v>6.0000000000000053E-2</v>
      </c>
      <c r="BB58" s="73">
        <f>$N$3022/$N$3010-1</f>
        <v>6.0000000000000053E-2</v>
      </c>
      <c r="BC58" s="73">
        <f>$N$3023/$N$3011-1</f>
        <v>6.0000000000000053E-2</v>
      </c>
      <c r="BD58" s="73">
        <f>$N$3024/$N$3012-1</f>
        <v>6.0000000000000053E-2</v>
      </c>
      <c r="BE58" s="73">
        <f>$N$3025/$N$3013-1</f>
        <v>0</v>
      </c>
      <c r="BF58" s="73">
        <f>$N$3026/$N$3014-1</f>
        <v>0</v>
      </c>
      <c r="BG58" s="73">
        <f>$N$3027/$N$3015-1</f>
        <v>0</v>
      </c>
      <c r="BH58" s="73">
        <f>$N$3028/$N$3016-1</f>
        <v>0</v>
      </c>
      <c r="BI58" s="73">
        <f>$N$3029/$N$3017-1</f>
        <v>0</v>
      </c>
      <c r="BJ58" s="73">
        <f>$N$3030/$N$3018-1</f>
        <v>0</v>
      </c>
      <c r="BK58" s="73">
        <f>$O$3019/$O$3007-1</f>
        <v>-4.3748464309043555E-3</v>
      </c>
      <c r="BL58" s="73">
        <f>$O$3020/$O$3008-1</f>
        <v>-4.3763938514663758E-3</v>
      </c>
      <c r="BM58" s="73">
        <f>$O$3021/$O$3009-1</f>
        <v>-4.3779423670874396E-3</v>
      </c>
      <c r="BN58" s="73">
        <f>$O$3022/$O$3010-1</f>
        <v>-4.3795445273691058E-3</v>
      </c>
      <c r="BO58" s="73">
        <f>$O$3023/$O$3011-1</f>
        <v>-4.3811478607395093E-3</v>
      </c>
      <c r="BP58" s="73">
        <f>$O$3024/$O$3012-1</f>
        <v>-4.382752368487397E-3</v>
      </c>
      <c r="BQ58" s="73">
        <f>$O$3025/$O$3013-1</f>
        <v>-4.3843580519036252E-3</v>
      </c>
      <c r="BR58" s="73">
        <f>$O$3026/$O$3014-1</f>
        <v>-4.3859912640666909E-3</v>
      </c>
      <c r="BS58" s="73">
        <f>$O$3027/$O$3015-1</f>
        <v>-4.3875993220258147E-3</v>
      </c>
      <c r="BT58" s="73">
        <f>$O$3028/$O$3016-1</f>
        <v>-4.3892085595579333E-3</v>
      </c>
      <c r="BU58" s="73">
        <f>$O$3029/$O$3017-1</f>
        <v>-4.3908189779616746E-3</v>
      </c>
      <c r="BV58" s="73">
        <f>$O$3030/$O$3018-1</f>
        <v>-4.3924305785372209E-3</v>
      </c>
      <c r="BW58" s="73">
        <f>$V58*$H$3019</f>
        <v>10400</v>
      </c>
      <c r="BX58" s="73">
        <f>$V58*$H$3020</f>
        <v>10400</v>
      </c>
      <c r="BY58" s="73">
        <f>$V58*$H$3021</f>
        <v>10400</v>
      </c>
      <c r="BZ58" s="73">
        <f>$V58*$H$3022</f>
        <v>10400</v>
      </c>
      <c r="CA58" s="73">
        <f>$V58*$H$3023</f>
        <v>10400</v>
      </c>
      <c r="CB58" s="73">
        <f>$V58*$H$3024</f>
        <v>10400</v>
      </c>
      <c r="CC58" s="73">
        <f>$V58*$H$3025</f>
        <v>10400</v>
      </c>
      <c r="CD58" s="73">
        <f>$V58*$H$3026</f>
        <v>10400</v>
      </c>
      <c r="CE58" s="73">
        <f>$V58*$H$3027</f>
        <v>10400</v>
      </c>
      <c r="CF58" s="73">
        <f>$V58*$H$3028</f>
        <v>10400</v>
      </c>
      <c r="CG58" s="73">
        <f>$V58*$H$3029</f>
        <v>10400</v>
      </c>
      <c r="CH58" s="73">
        <f>$V58*$H$3030</f>
        <v>10400</v>
      </c>
      <c r="CI58" s="75">
        <f>$O$2992</f>
        <v>1</v>
      </c>
      <c r="CJ58" s="73">
        <f>$H$3043</f>
        <v>1.03</v>
      </c>
      <c r="CK58" s="73">
        <f>$I$3043</f>
        <v>0.99561641381999111</v>
      </c>
      <c r="CL58" s="73">
        <f>$J$3043</f>
        <v>1.0254850506829607</v>
      </c>
      <c r="CM58" s="73">
        <f t="shared" si="54"/>
        <v>0</v>
      </c>
      <c r="CN58" s="73">
        <f t="shared" si="55"/>
        <v>10400</v>
      </c>
      <c r="CO58" s="72">
        <f>$M58*($C58/$K$3043)*IF($O$2992=1,$F$2992/$G58,1)*$R58</f>
        <v>0.58360993213665835</v>
      </c>
      <c r="CP58" s="72">
        <f>$M58*(1+$S58)*($C58/$L$3043)*IF($O$2992=1,$F$2992/$H58,1)*$R58</f>
        <v>0.58543706207185053</v>
      </c>
      <c r="CQ58" s="73">
        <f t="shared" si="56"/>
        <v>6069.5432942212465</v>
      </c>
      <c r="CR58" s="73">
        <f t="shared" si="57"/>
        <v>6088.5454455472454</v>
      </c>
      <c r="CS58" s="73">
        <f t="shared" si="58"/>
        <v>0</v>
      </c>
      <c r="CT58" s="272">
        <f t="shared" si="59"/>
        <v>0</v>
      </c>
      <c r="CU58" s="75">
        <f t="shared" si="60"/>
        <v>1</v>
      </c>
      <c r="CV58" s="75">
        <f t="shared" si="61"/>
        <v>0</v>
      </c>
      <c r="CW58" s="273">
        <f t="shared" si="62"/>
        <v>46204</v>
      </c>
      <c r="CX58" s="274">
        <f t="shared" si="63"/>
        <v>0.06</v>
      </c>
      <c r="CY58" s="6" t="str">
        <f t="shared" si="64"/>
        <v>T</v>
      </c>
      <c r="CZ58" s="273" t="str">
        <f t="shared" si="65"/>
        <v/>
      </c>
      <c r="DA58" s="274" t="str">
        <f t="shared" si="66"/>
        <v/>
      </c>
      <c r="DB58" s="6" t="str">
        <f t="shared" si="67"/>
        <v/>
      </c>
      <c r="DC58" s="273" t="str">
        <f t="shared" si="68"/>
        <v/>
      </c>
      <c r="DD58" s="274" t="str">
        <f t="shared" si="69"/>
        <v/>
      </c>
      <c r="DE58" s="6" t="str">
        <f t="shared" si="70"/>
        <v/>
      </c>
      <c r="DF58" s="273" t="str">
        <f t="shared" si="71"/>
        <v/>
      </c>
      <c r="DG58" s="274" t="str">
        <f t="shared" si="72"/>
        <v/>
      </c>
      <c r="DH58" s="6" t="str">
        <f t="shared" si="73"/>
        <v/>
      </c>
    </row>
    <row r="59" spans="1:112" x14ac:dyDescent="0.3">
      <c r="A59" s="6" t="str">
        <f>$A$3046</f>
        <v>SBA|NC</v>
      </c>
      <c r="B59" s="75">
        <f>$C$3046</f>
        <v>6</v>
      </c>
      <c r="C59" s="73">
        <f>$B$3097</f>
        <v>1.02</v>
      </c>
      <c r="D59" s="73">
        <f>$C$3097</f>
        <v>1.0034722222222225</v>
      </c>
      <c r="E59" s="73">
        <f>$D$3097</f>
        <v>1.0198611111111113</v>
      </c>
      <c r="F59" s="73">
        <f>$E$3097</f>
        <v>1.0200000000000002</v>
      </c>
      <c r="G59" s="224">
        <f>$F$3097</f>
        <v>0.91399252370532447</v>
      </c>
      <c r="H59" s="224">
        <f>$G$3097</f>
        <v>0.91966022368101141</v>
      </c>
      <c r="I59" s="73">
        <f t="shared" si="37"/>
        <v>1.0001361841209313</v>
      </c>
      <c r="J59" s="73">
        <f t="shared" si="38"/>
        <v>0.99999999999999978</v>
      </c>
      <c r="K59" s="73">
        <f>IF($L$3046,1,IF(AND(nr_ModAdjMaster="ON",INDEX(lr_modadj,56)="ON"),$F$3046/$G59,1))</f>
        <v>1.0065727849395543</v>
      </c>
      <c r="L59" s="73">
        <f>IF($L$3046,1,IF(AND(nr_ModAdjMaster="ON",INDEX(lr_modadj,56)="ON"),$F$3046/$H59,1))</f>
        <v>1.000369458535054</v>
      </c>
      <c r="M59" s="72">
        <f>IF(INDEX(lr_basis,56)="proposed",N(INDEX(lr_lrproj,56))*(1+N(INDEX(lr_s,56))),N(INDEX(lr_lrproj,56)))</f>
        <v>0.56000000000000005</v>
      </c>
      <c r="N59" s="72">
        <f t="shared" si="39"/>
        <v>0.56375752393487788</v>
      </c>
      <c r="O59" s="72">
        <f t="shared" si="40"/>
        <v>0.5602068967796302</v>
      </c>
      <c r="P59" s="72">
        <f t="shared" si="41"/>
        <v>-1.3616557734186241E-4</v>
      </c>
      <c r="Q59" s="72">
        <f t="shared" si="42"/>
        <v>1.3618412093152621E-4</v>
      </c>
      <c r="R59" s="73">
        <f>IF(N(INDEX(lr_aother,56))=0,1,INDEX(lr_aother,56))</f>
        <v>1</v>
      </c>
      <c r="S59" s="72">
        <f>IF(ISBLANK(INDEX(lr_trend,56)),N(nr_TrendDefault),N(INDEX(lr_trend,56)))</f>
        <v>0</v>
      </c>
      <c r="T59" s="6" t="str">
        <f>INDEX(lr_state,56)</f>
        <v>NC</v>
      </c>
      <c r="U59" s="6" t="str">
        <f>INDEX(lr_bu,56)</f>
        <v>SBA</v>
      </c>
      <c r="V59" s="271">
        <f>N(INDEX(lr_ep,56))</f>
        <v>7200</v>
      </c>
      <c r="W59" s="73">
        <f>N(INDEX(lr_mind,56))*$V59</f>
        <v>6624</v>
      </c>
      <c r="X59" s="73">
        <f>N(INDEX(lr_m0,56))*$V59</f>
        <v>6552</v>
      </c>
      <c r="Y59" s="73">
        <f>N(INDEX(lr_m1,56))*$V59</f>
        <v>6624</v>
      </c>
      <c r="Z59" s="73">
        <f t="shared" si="43"/>
        <v>7344</v>
      </c>
      <c r="AA59" s="73">
        <f t="shared" si="44"/>
        <v>7343.0000000000018</v>
      </c>
      <c r="AB59" s="73">
        <f t="shared" si="45"/>
        <v>7200.980525670705</v>
      </c>
      <c r="AC59" s="73">
        <f t="shared" si="46"/>
        <v>6580.7461706783361</v>
      </c>
      <c r="AD59" s="73">
        <f t="shared" si="47"/>
        <v>7247.3240515647904</v>
      </c>
      <c r="AE59" s="73">
        <f t="shared" si="48"/>
        <v>4032.0000000000005</v>
      </c>
      <c r="AF59" s="73">
        <f t="shared" si="49"/>
        <v>4059.0541723311208</v>
      </c>
      <c r="AG59" s="73">
        <f t="shared" si="50"/>
        <v>0</v>
      </c>
      <c r="AH59" s="73">
        <f t="shared" si="51"/>
        <v>7199.9999999999982</v>
      </c>
      <c r="AI59" s="73">
        <f t="shared" si="52"/>
        <v>7202.6601014523885</v>
      </c>
      <c r="AJ59" s="73">
        <f t="shared" si="53"/>
        <v>4033.4896568133377</v>
      </c>
      <c r="AK59" s="75">
        <f>IF($L$3046,1,0)</f>
        <v>0</v>
      </c>
      <c r="AL59" s="72">
        <f>IF($L$3046,$M$3046,0)</f>
        <v>0</v>
      </c>
      <c r="AM59" s="73">
        <f>$N$3073/$N$3061*IF($O$3046=1,$O$3073/$O$3061,1)-1</f>
        <v>2.9008093492541631E-2</v>
      </c>
      <c r="AN59" s="73">
        <f>$N$3074/$N$3062*IF($O$3046=1,$O$3074/$O$3062,1)-1</f>
        <v>2.9001668318866525E-2</v>
      </c>
      <c r="AO59" s="73">
        <f>$N$3075/$N$3063*IF($O$3046=1,$O$3075/$O$3063,1)-1</f>
        <v>2.8995252304384156E-2</v>
      </c>
      <c r="AP59" s="73">
        <f>$N$3076/$N$3064*IF($O$3046=1,$O$3076/$O$3064,1)-1</f>
        <v>2.8988628407252692E-2</v>
      </c>
      <c r="AQ59" s="73">
        <f>$N$3077/$N$3065*IF($O$3046=1,$O$3077/$O$3065,1)-1</f>
        <v>2.8982014258314148E-2</v>
      </c>
      <c r="AR59" s="73">
        <f>$N$3078/$N$3066*IF($O$3046=1,$O$3078/$O$3066,1)-1</f>
        <v>2.8975409836065724E-2</v>
      </c>
      <c r="AS59" s="73">
        <f>$N$3079/$N$3067*IF($O$3046=1,$O$3079/$O$3067,1)-1</f>
        <v>2.8968815119066127E-2</v>
      </c>
      <c r="AT59" s="73">
        <f>$N$3080/$N$3068*IF($O$3046=1,$O$3080/$O$3068,1)-1</f>
        <v>8.7863943285630963E-3</v>
      </c>
      <c r="AU59" s="73">
        <f>$N$3081/$N$3069*IF($O$3046=1,$O$3081/$O$3069,1)-1</f>
        <v>8.7799480419512577E-3</v>
      </c>
      <c r="AV59" s="73">
        <f>$N$3082/$N$3070*IF($O$3046=1,$O$3082/$O$3070,1)-1</f>
        <v>8.7735112072593324E-3</v>
      </c>
      <c r="AW59" s="73">
        <f>$N$3083/$N$3071*IF($O$3046=1,$O$3083/$O$3071,1)-1</f>
        <v>8.7670838037132715E-3</v>
      </c>
      <c r="AX59" s="73">
        <f>$N$3084/$N$3072*IF($O$3046=1,$O$3084/$O$3072,1)-1</f>
        <v>8.7606658106016422E-3</v>
      </c>
      <c r="AY59" s="73">
        <f>$N$3073/$N$3061-1</f>
        <v>2.0000000000000018E-2</v>
      </c>
      <c r="AZ59" s="73">
        <f>$N$3074/$N$3062-1</f>
        <v>2.0000000000000018E-2</v>
      </c>
      <c r="BA59" s="73">
        <f>$N$3075/$N$3063-1</f>
        <v>2.0000000000000018E-2</v>
      </c>
      <c r="BB59" s="73">
        <f>$N$3076/$N$3064-1</f>
        <v>2.0000000000000018E-2</v>
      </c>
      <c r="BC59" s="73">
        <f>$N$3077/$N$3065-1</f>
        <v>2.0000000000000018E-2</v>
      </c>
      <c r="BD59" s="73">
        <f>$N$3078/$N$3066-1</f>
        <v>2.0000000000000018E-2</v>
      </c>
      <c r="BE59" s="73">
        <f>$N$3079/$N$3067-1</f>
        <v>2.0000000000000018E-2</v>
      </c>
      <c r="BF59" s="73">
        <f>$N$3080/$N$3068-1</f>
        <v>0</v>
      </c>
      <c r="BG59" s="73">
        <f>$N$3081/$N$3069-1</f>
        <v>0</v>
      </c>
      <c r="BH59" s="73">
        <f>$N$3082/$N$3070-1</f>
        <v>0</v>
      </c>
      <c r="BI59" s="73">
        <f>$N$3083/$N$3071-1</f>
        <v>0</v>
      </c>
      <c r="BJ59" s="73">
        <f>$N$3084/$N$3072-1</f>
        <v>0</v>
      </c>
      <c r="BK59" s="73">
        <f>$O$3073/$O$3061-1</f>
        <v>8.8314642083742179E-3</v>
      </c>
      <c r="BL59" s="73">
        <f>$O$3074/$O$3062-1</f>
        <v>8.8251650184965058E-3</v>
      </c>
      <c r="BM59" s="73">
        <f>$O$3075/$O$3063-1</f>
        <v>8.8188748082196344E-3</v>
      </c>
      <c r="BN59" s="73">
        <f>$O$3076/$O$3064-1</f>
        <v>8.8123807914242125E-3</v>
      </c>
      <c r="BO59" s="73">
        <f>$O$3077/$O$3065-1</f>
        <v>8.8058963316806071E-3</v>
      </c>
      <c r="BP59" s="73">
        <f>$O$3078/$O$3066-1</f>
        <v>8.7994214079074595E-3</v>
      </c>
      <c r="BQ59" s="73">
        <f>$O$3079/$O$3067-1</f>
        <v>8.792955999084473E-3</v>
      </c>
      <c r="BR59" s="73">
        <f>$O$3080/$O$3068-1</f>
        <v>8.7863943285630963E-3</v>
      </c>
      <c r="BS59" s="73">
        <f>$O$3081/$O$3069-1</f>
        <v>8.7799480419512577E-3</v>
      </c>
      <c r="BT59" s="73">
        <f>$O$3082/$O$3070-1</f>
        <v>8.7735112072593324E-3</v>
      </c>
      <c r="BU59" s="73">
        <f>$O$3083/$O$3071-1</f>
        <v>8.7670838037132715E-3</v>
      </c>
      <c r="BV59" s="73">
        <f>$O$3084/$O$3072-1</f>
        <v>8.7606658106016422E-3</v>
      </c>
      <c r="BW59" s="73">
        <f>$V59*$H$3073</f>
        <v>7200</v>
      </c>
      <c r="BX59" s="73">
        <f>$V59*$H$3074</f>
        <v>7200</v>
      </c>
      <c r="BY59" s="73">
        <f>$V59*$H$3075</f>
        <v>7200</v>
      </c>
      <c r="BZ59" s="73">
        <f>$V59*$H$3076</f>
        <v>7200</v>
      </c>
      <c r="CA59" s="73">
        <f>$V59*$H$3077</f>
        <v>7200</v>
      </c>
      <c r="CB59" s="73">
        <f>$V59*$H$3078</f>
        <v>7200</v>
      </c>
      <c r="CC59" s="73">
        <f>$V59*$H$3079</f>
        <v>7200</v>
      </c>
      <c r="CD59" s="73">
        <f>$V59*$H$3080</f>
        <v>7200</v>
      </c>
      <c r="CE59" s="73">
        <f>$V59*$H$3081</f>
        <v>7200</v>
      </c>
      <c r="CF59" s="73">
        <f>$V59*$H$3082</f>
        <v>7200</v>
      </c>
      <c r="CG59" s="73">
        <f>$V59*$H$3083</f>
        <v>7200</v>
      </c>
      <c r="CH59" s="73">
        <f>$V59*$H$3084</f>
        <v>7200</v>
      </c>
      <c r="CI59" s="75">
        <f>$O$3046</f>
        <v>1</v>
      </c>
      <c r="CJ59" s="73">
        <f>$H$3097</f>
        <v>1.0116666666666665</v>
      </c>
      <c r="CK59" s="73">
        <f>$I$3097</f>
        <v>1.0087961468131064</v>
      </c>
      <c r="CL59" s="73">
        <f>$J$3097</f>
        <v>1.0205656237440481</v>
      </c>
      <c r="CM59" s="73">
        <f t="shared" si="54"/>
        <v>0</v>
      </c>
      <c r="CN59" s="73">
        <f t="shared" si="55"/>
        <v>7200</v>
      </c>
      <c r="CO59" s="72">
        <f>$M59*($C59/$K$3097)*IF($O$3046=1,$F$3046/$G59,1)*$R59</f>
        <v>0.56375752393487788</v>
      </c>
      <c r="CP59" s="72">
        <f>$M59*(1+$S59)*($C59/$L$3097)*IF($O$3046=1,$F$3046/$H59,1)*$R59</f>
        <v>0.5602068967796302</v>
      </c>
      <c r="CQ59" s="73">
        <f t="shared" si="56"/>
        <v>4059.0541723311208</v>
      </c>
      <c r="CR59" s="73">
        <f t="shared" si="57"/>
        <v>4033.4896568133377</v>
      </c>
      <c r="CS59" s="73">
        <f t="shared" si="58"/>
        <v>0</v>
      </c>
      <c r="CT59" s="272">
        <f t="shared" si="59"/>
        <v>0</v>
      </c>
      <c r="CU59" s="75">
        <f t="shared" si="60"/>
        <v>1</v>
      </c>
      <c r="CV59" s="75">
        <f t="shared" si="61"/>
        <v>0</v>
      </c>
      <c r="CW59" s="273">
        <f t="shared" si="62"/>
        <v>46235</v>
      </c>
      <c r="CX59" s="274">
        <f t="shared" si="63"/>
        <v>0.02</v>
      </c>
      <c r="CY59" s="6" t="str">
        <f t="shared" si="64"/>
        <v>T</v>
      </c>
      <c r="CZ59" s="273" t="str">
        <f t="shared" si="65"/>
        <v/>
      </c>
      <c r="DA59" s="274" t="str">
        <f t="shared" si="66"/>
        <v/>
      </c>
      <c r="DB59" s="6" t="str">
        <f t="shared" si="67"/>
        <v/>
      </c>
      <c r="DC59" s="273" t="str">
        <f t="shared" si="68"/>
        <v/>
      </c>
      <c r="DD59" s="274" t="str">
        <f t="shared" si="69"/>
        <v/>
      </c>
      <c r="DE59" s="6" t="str">
        <f t="shared" si="70"/>
        <v/>
      </c>
      <c r="DF59" s="273" t="str">
        <f t="shared" si="71"/>
        <v/>
      </c>
      <c r="DG59" s="274" t="str">
        <f t="shared" si="72"/>
        <v/>
      </c>
      <c r="DH59" s="6" t="str">
        <f t="shared" si="73"/>
        <v/>
      </c>
    </row>
    <row r="60" spans="1:112" x14ac:dyDescent="0.3">
      <c r="A60" s="6" t="str">
        <f>$A$3100</f>
        <v>SBA|OH</v>
      </c>
      <c r="B60" s="75">
        <f>$C$3100</f>
        <v>6</v>
      </c>
      <c r="C60" s="73">
        <f>$B$3151</f>
        <v>1</v>
      </c>
      <c r="D60" s="73">
        <f>$C$3151</f>
        <v>1</v>
      </c>
      <c r="E60" s="73">
        <f>$D$3151</f>
        <v>1</v>
      </c>
      <c r="F60" s="73">
        <f>$E$3151</f>
        <v>1</v>
      </c>
      <c r="G60" s="224">
        <f>$F$3151</f>
        <v>0.90600747629467537</v>
      </c>
      <c r="H60" s="224">
        <f>$G$3151</f>
        <v>0.90033977631898854</v>
      </c>
      <c r="I60" s="73">
        <f t="shared" si="37"/>
        <v>1</v>
      </c>
      <c r="J60" s="73">
        <f t="shared" si="38"/>
        <v>1</v>
      </c>
      <c r="K60" s="73">
        <f>IF($L$3100,1,IF(AND(nr_ModAdjMaster="ON",INDEX(lr_modadj,57)="ON"),$F$3100/$G60,1))</f>
        <v>1.0154441592055623</v>
      </c>
      <c r="L60" s="73">
        <f>IF($L$3100,1,IF(AND(nr_ModAdjMaster="ON",INDEX(lr_modadj,57)="ON"),$F$3100/$H60,1))</f>
        <v>1.0218364490808034</v>
      </c>
      <c r="M60" s="72">
        <f>IF(INDEX(lr_basis,57)="proposed",N(INDEX(lr_lrproj,57))*(1+N(INDEX(lr_s,57))),N(INDEX(lr_lrproj,57)))</f>
        <v>0.58799999999999997</v>
      </c>
      <c r="N60" s="72">
        <f t="shared" si="39"/>
        <v>0.59708116561287061</v>
      </c>
      <c r="O60" s="72">
        <f t="shared" si="40"/>
        <v>0.60083983205951241</v>
      </c>
      <c r="P60" s="72">
        <f t="shared" si="41"/>
        <v>0</v>
      </c>
      <c r="Q60" s="72">
        <f t="shared" si="42"/>
        <v>0</v>
      </c>
      <c r="R60" s="73">
        <f>IF(N(INDEX(lr_aother,57))=0,1,INDEX(lr_aother,57))</f>
        <v>1</v>
      </c>
      <c r="S60" s="72">
        <f>IF(ISBLANK(INDEX(lr_trend,57)),N(nr_TrendDefault),N(INDEX(lr_trend,57)))</f>
        <v>0</v>
      </c>
      <c r="T60" s="6" t="str">
        <f>INDEX(lr_state,57)</f>
        <v>OH</v>
      </c>
      <c r="U60" s="6" t="str">
        <f>INDEX(lr_bu,57)</f>
        <v>SBA</v>
      </c>
      <c r="V60" s="271">
        <f>N(INDEX(lr_ep,57))</f>
        <v>17600</v>
      </c>
      <c r="W60" s="73">
        <f>N(INDEX(lr_mind,57))*$V60</f>
        <v>16192</v>
      </c>
      <c r="X60" s="73">
        <f>N(INDEX(lr_m0,57))*$V60</f>
        <v>16016</v>
      </c>
      <c r="Y60" s="73">
        <f>N(INDEX(lr_m1,57))*$V60</f>
        <v>15840</v>
      </c>
      <c r="Z60" s="73">
        <f t="shared" si="43"/>
        <v>17600</v>
      </c>
      <c r="AA60" s="73">
        <f t="shared" si="44"/>
        <v>17600</v>
      </c>
      <c r="AB60" s="73">
        <f t="shared" si="45"/>
        <v>17600</v>
      </c>
      <c r="AC60" s="73">
        <f t="shared" si="46"/>
        <v>15945.731582786286</v>
      </c>
      <c r="AD60" s="73">
        <f t="shared" si="47"/>
        <v>17871.817202017897</v>
      </c>
      <c r="AE60" s="73">
        <f t="shared" si="48"/>
        <v>10348.799999999999</v>
      </c>
      <c r="AF60" s="73">
        <f t="shared" si="49"/>
        <v>10508.628514786522</v>
      </c>
      <c r="AG60" s="73">
        <f t="shared" si="50"/>
        <v>0</v>
      </c>
      <c r="AH60" s="73">
        <f t="shared" si="51"/>
        <v>17600</v>
      </c>
      <c r="AI60" s="73">
        <f t="shared" si="52"/>
        <v>17984.321503822139</v>
      </c>
      <c r="AJ60" s="73">
        <f t="shared" si="53"/>
        <v>10574.781044247418</v>
      </c>
      <c r="AK60" s="75">
        <f>IF($L$3100,1,0)</f>
        <v>0</v>
      </c>
      <c r="AL60" s="72">
        <f>IF($L$3100,$M$3100,0)</f>
        <v>0</v>
      </c>
      <c r="AM60" s="73">
        <f>$N$3127/$N$3115*IF($O$3100=1,$O$3127/$O$3115,1)-1</f>
        <v>-8.7227712124651191E-3</v>
      </c>
      <c r="AN60" s="73">
        <f>$N$3128/$N$3116*IF($O$3100=1,$O$3128/$O$3116,1)-1</f>
        <v>-8.7289250269041441E-3</v>
      </c>
      <c r="AO60" s="73">
        <f>$N$3129/$N$3117*IF($O$3100=1,$O$3129/$O$3117,1)-1</f>
        <v>-8.7350875303633391E-3</v>
      </c>
      <c r="AP60" s="73">
        <f>$N$3130/$N$3118*IF($O$3100=1,$O$3130/$O$3118,1)-1</f>
        <v>-8.7414680876541917E-3</v>
      </c>
      <c r="AQ60" s="73">
        <f>$N$3131/$N$3119*IF($O$3100=1,$O$3131/$O$3119,1)-1</f>
        <v>-8.7478579731332662E-3</v>
      </c>
      <c r="AR60" s="73">
        <f>$N$3132/$N$3120*IF($O$3100=1,$O$3132/$O$3120,1)-1</f>
        <v>-8.7542572072719649E-3</v>
      </c>
      <c r="AS60" s="73">
        <f>$N$3133/$N$3121*IF($O$3100=1,$O$3133/$O$3121,1)-1</f>
        <v>-8.7606658106015312E-3</v>
      </c>
      <c r="AT60" s="73">
        <f>$N$3134/$N$3122*IF($O$3100=1,$O$3134/$O$3122,1)-1</f>
        <v>-8.7671890950580256E-3</v>
      </c>
      <c r="AU60" s="73">
        <f>$N$3135/$N$3123*IF($O$3100=1,$O$3135/$O$3123,1)-1</f>
        <v>-8.7736166530455462E-3</v>
      </c>
      <c r="AV60" s="73">
        <f>$N$3136/$N$3124*IF($O$3100=1,$O$3136/$O$3124,1)-1</f>
        <v>-8.7800536425195475E-3</v>
      </c>
      <c r="AW60" s="73">
        <f>$N$3137/$N$3125*IF($O$3100=1,$O$3137/$O$3125,1)-1</f>
        <v>-8.7865000842540786E-3</v>
      </c>
      <c r="AX60" s="73">
        <f>$N$3138/$N$3126*IF($O$3100=1,$O$3138/$O$3126,1)-1</f>
        <v>-8.7929559990846951E-3</v>
      </c>
      <c r="AY60" s="73">
        <f>$N$3127/$N$3115-1</f>
        <v>0</v>
      </c>
      <c r="AZ60" s="73">
        <f>$N$3128/$N$3116-1</f>
        <v>0</v>
      </c>
      <c r="BA60" s="73">
        <f>$N$3129/$N$3117-1</f>
        <v>0</v>
      </c>
      <c r="BB60" s="73">
        <f>$N$3130/$N$3118-1</f>
        <v>0</v>
      </c>
      <c r="BC60" s="73">
        <f>$N$3131/$N$3119-1</f>
        <v>0</v>
      </c>
      <c r="BD60" s="73">
        <f>$N$3132/$N$3120-1</f>
        <v>0</v>
      </c>
      <c r="BE60" s="73">
        <f>$N$3133/$N$3121-1</f>
        <v>0</v>
      </c>
      <c r="BF60" s="73">
        <f>$N$3134/$N$3122-1</f>
        <v>0</v>
      </c>
      <c r="BG60" s="73">
        <f>$N$3135/$N$3123-1</f>
        <v>0</v>
      </c>
      <c r="BH60" s="73">
        <f>$N$3136/$N$3124-1</f>
        <v>0</v>
      </c>
      <c r="BI60" s="73">
        <f>$N$3137/$N$3125-1</f>
        <v>0</v>
      </c>
      <c r="BJ60" s="73">
        <f>$N$3138/$N$3126-1</f>
        <v>0</v>
      </c>
      <c r="BK60" s="73">
        <f>$O$3127/$O$3115-1</f>
        <v>-8.7227712124651191E-3</v>
      </c>
      <c r="BL60" s="73">
        <f>$O$3128/$O$3116-1</f>
        <v>-8.7289250269041441E-3</v>
      </c>
      <c r="BM60" s="73">
        <f>$O$3129/$O$3117-1</f>
        <v>-8.7350875303633391E-3</v>
      </c>
      <c r="BN60" s="73">
        <f>$O$3130/$O$3118-1</f>
        <v>-8.7414680876541917E-3</v>
      </c>
      <c r="BO60" s="73">
        <f>$O$3131/$O$3119-1</f>
        <v>-8.7478579731332662E-3</v>
      </c>
      <c r="BP60" s="73">
        <f>$O$3132/$O$3120-1</f>
        <v>-8.7542572072719649E-3</v>
      </c>
      <c r="BQ60" s="73">
        <f>$O$3133/$O$3121-1</f>
        <v>-8.7606658106015312E-3</v>
      </c>
      <c r="BR60" s="73">
        <f>$O$3134/$O$3122-1</f>
        <v>-8.7671890950580256E-3</v>
      </c>
      <c r="BS60" s="73">
        <f>$O$3135/$O$3123-1</f>
        <v>-8.7736166530455462E-3</v>
      </c>
      <c r="BT60" s="73">
        <f>$O$3136/$O$3124-1</f>
        <v>-8.7800536425195475E-3</v>
      </c>
      <c r="BU60" s="73">
        <f>$O$3137/$O$3125-1</f>
        <v>-8.7865000842540786E-3</v>
      </c>
      <c r="BV60" s="73">
        <f>$O$3138/$O$3126-1</f>
        <v>-8.7929559990846951E-3</v>
      </c>
      <c r="BW60" s="73">
        <f>$V60*$H$3127</f>
        <v>17600</v>
      </c>
      <c r="BX60" s="73">
        <f>$V60*$H$3128</f>
        <v>17600</v>
      </c>
      <c r="BY60" s="73">
        <f>$V60*$H$3129</f>
        <v>17600</v>
      </c>
      <c r="BZ60" s="73">
        <f>$V60*$H$3130</f>
        <v>17600</v>
      </c>
      <c r="CA60" s="73">
        <f>$V60*$H$3131</f>
        <v>17600</v>
      </c>
      <c r="CB60" s="73">
        <f>$V60*$H$3132</f>
        <v>17600</v>
      </c>
      <c r="CC60" s="73">
        <f>$V60*$H$3133</f>
        <v>17600</v>
      </c>
      <c r="CD60" s="73">
        <f>$V60*$H$3134</f>
        <v>17600</v>
      </c>
      <c r="CE60" s="73">
        <f>$V60*$H$3135</f>
        <v>17600</v>
      </c>
      <c r="CF60" s="73">
        <f>$V60*$H$3136</f>
        <v>17600</v>
      </c>
      <c r="CG60" s="73">
        <f>$V60*$H$3137</f>
        <v>17600</v>
      </c>
      <c r="CH60" s="73">
        <f>$V60*$H$3138</f>
        <v>17600</v>
      </c>
      <c r="CI60" s="75">
        <f>$O$3100</f>
        <v>1</v>
      </c>
      <c r="CJ60" s="73">
        <f>$H$3151</f>
        <v>1</v>
      </c>
      <c r="CK60" s="73">
        <f>$I$3151</f>
        <v>0.99124238763980388</v>
      </c>
      <c r="CL60" s="73">
        <f>$J$3151</f>
        <v>0.99124238763980388</v>
      </c>
      <c r="CM60" s="73">
        <f t="shared" si="54"/>
        <v>0</v>
      </c>
      <c r="CN60" s="73">
        <f t="shared" si="55"/>
        <v>17600</v>
      </c>
      <c r="CO60" s="72">
        <f>$M60*($C60/$K$3151)*IF($O$3100=1,$F$3100/$G60,1)*$R60</f>
        <v>0.59708116561287061</v>
      </c>
      <c r="CP60" s="72">
        <f>$M60*(1+$S60)*($C60/$L$3151)*IF($O$3100=1,$F$3100/$H60,1)*$R60</f>
        <v>0.60083983205951241</v>
      </c>
      <c r="CQ60" s="73">
        <f t="shared" si="56"/>
        <v>10508.628514786522</v>
      </c>
      <c r="CR60" s="73">
        <f t="shared" si="57"/>
        <v>10574.781044247418</v>
      </c>
      <c r="CS60" s="73">
        <f t="shared" si="58"/>
        <v>0</v>
      </c>
      <c r="CT60" s="272">
        <f t="shared" si="59"/>
        <v>0</v>
      </c>
      <c r="CU60" s="75">
        <f t="shared" si="60"/>
        <v>0</v>
      </c>
      <c r="CV60" s="75">
        <f t="shared" si="61"/>
        <v>0</v>
      </c>
      <c r="CW60" s="273" t="str">
        <f t="shared" si="62"/>
        <v/>
      </c>
      <c r="CX60" s="274" t="str">
        <f t="shared" si="63"/>
        <v/>
      </c>
      <c r="CY60" s="6" t="str">
        <f t="shared" si="64"/>
        <v/>
      </c>
      <c r="CZ60" s="273" t="str">
        <f t="shared" si="65"/>
        <v/>
      </c>
      <c r="DA60" s="274" t="str">
        <f t="shared" si="66"/>
        <v/>
      </c>
      <c r="DB60" s="6" t="str">
        <f t="shared" si="67"/>
        <v/>
      </c>
      <c r="DC60" s="273" t="str">
        <f t="shared" si="68"/>
        <v/>
      </c>
      <c r="DD60" s="274" t="str">
        <f t="shared" si="69"/>
        <v/>
      </c>
      <c r="DE60" s="6" t="str">
        <f t="shared" si="70"/>
        <v/>
      </c>
      <c r="DF60" s="273" t="str">
        <f t="shared" si="71"/>
        <v/>
      </c>
      <c r="DG60" s="274" t="str">
        <f t="shared" si="72"/>
        <v/>
      </c>
      <c r="DH60" s="6" t="str">
        <f t="shared" si="73"/>
        <v/>
      </c>
    </row>
    <row r="61" spans="1:112" x14ac:dyDescent="0.3">
      <c r="A61" s="6" t="str">
        <f>$A$3154</f>
        <v>SBA|PA</v>
      </c>
      <c r="B61" s="75">
        <f>$C$3154</f>
        <v>6</v>
      </c>
      <c r="C61" s="73">
        <f>$B$3205</f>
        <v>1.04</v>
      </c>
      <c r="D61" s="73">
        <f>$C$3205</f>
        <v>1.0024999999999999</v>
      </c>
      <c r="E61" s="73">
        <f>$D$3205</f>
        <v>1.0447222222222221</v>
      </c>
      <c r="F61" s="73">
        <f>$E$3205</f>
        <v>1.0813111111111111</v>
      </c>
      <c r="G61" s="224">
        <f>$F$3205</f>
        <v>0.91199626185266247</v>
      </c>
      <c r="H61" s="224">
        <f>$G$3205</f>
        <v>0.91483011184050556</v>
      </c>
      <c r="I61" s="73">
        <f t="shared" si="37"/>
        <v>0.99547992555171516</v>
      </c>
      <c r="J61" s="73">
        <f t="shared" si="38"/>
        <v>0.96179535132246863</v>
      </c>
      <c r="K61" s="73">
        <f>IF($L$3154,1,IF(AND(nr_ModAdjMaster="ON",INDEX(lr_modadj,58)="ON"),$F$3154/$G61,1))</f>
        <v>1.0087760646420616</v>
      </c>
      <c r="L61" s="73">
        <f>IF($L$3154,1,IF(AND(nr_ModAdjMaster="ON",INDEX(lr_modadj,58)="ON"),$F$3154/$H61,1))</f>
        <v>1.0056512002530102</v>
      </c>
      <c r="M61" s="72">
        <f>IF(INDEX(lr_basis,58)="proposed",N(INDEX(lr_lrproj,58))*(1+N(INDEX(lr_s,58))),N(INDEX(lr_lrproj,58)))</f>
        <v>0.57199999999999995</v>
      </c>
      <c r="N61" s="72">
        <f t="shared" si="39"/>
        <v>0.57441173602854845</v>
      </c>
      <c r="O61" s="72">
        <f t="shared" si="40"/>
        <v>0.55325593148837793</v>
      </c>
      <c r="P61" s="72">
        <f t="shared" si="41"/>
        <v>4.5405982905981634E-3</v>
      </c>
      <c r="Q61" s="72">
        <f t="shared" si="42"/>
        <v>3.5022600372241586E-2</v>
      </c>
      <c r="R61" s="73">
        <f>IF(N(INDEX(lr_aother,58))=0,1,INDEX(lr_aother,58))</f>
        <v>1</v>
      </c>
      <c r="S61" s="72">
        <f>IF(ISBLANK(INDEX(lr_trend,58)),N(nr_TrendDefault),N(INDEX(lr_trend,58)))</f>
        <v>0</v>
      </c>
      <c r="T61" s="6" t="str">
        <f>INDEX(lr_state,58)</f>
        <v>PA</v>
      </c>
      <c r="U61" s="6" t="str">
        <f>INDEX(lr_bu,58)</f>
        <v>SBA</v>
      </c>
      <c r="V61" s="271">
        <f>N(INDEX(lr_ep,58))</f>
        <v>14400</v>
      </c>
      <c r="W61" s="73">
        <f>N(INDEX(lr_mind,58))*$V61</f>
        <v>13248</v>
      </c>
      <c r="X61" s="73">
        <f>N(INDEX(lr_m0,58))*$V61</f>
        <v>13104</v>
      </c>
      <c r="Y61" s="73">
        <f>N(INDEX(lr_m1,58))*$V61</f>
        <v>13176</v>
      </c>
      <c r="Z61" s="73">
        <f t="shared" si="43"/>
        <v>14976</v>
      </c>
      <c r="AA61" s="73">
        <f t="shared" si="44"/>
        <v>15043.999999999998</v>
      </c>
      <c r="AB61" s="73">
        <f t="shared" si="45"/>
        <v>14334.910927944698</v>
      </c>
      <c r="AC61" s="73">
        <f t="shared" si="46"/>
        <v>13132.74617067834</v>
      </c>
      <c r="AD61" s="73">
        <f t="shared" si="47"/>
        <v>14526.375330845687</v>
      </c>
      <c r="AE61" s="73">
        <f t="shared" si="48"/>
        <v>8236.7999999999993</v>
      </c>
      <c r="AF61" s="73">
        <f t="shared" si="49"/>
        <v>8271.5289988110981</v>
      </c>
      <c r="AG61" s="73">
        <f t="shared" si="50"/>
        <v>0</v>
      </c>
      <c r="AH61" s="73">
        <f t="shared" si="51"/>
        <v>13849.853059043548</v>
      </c>
      <c r="AI61" s="73">
        <f t="shared" si="52"/>
        <v>14481.377283643347</v>
      </c>
      <c r="AJ61" s="73">
        <f t="shared" si="53"/>
        <v>7966.8854134326421</v>
      </c>
      <c r="AK61" s="75">
        <f>IF($L$3154,1,0)</f>
        <v>0</v>
      </c>
      <c r="AL61" s="72">
        <f>IF($L$3154,$M$3154,0)</f>
        <v>0</v>
      </c>
      <c r="AM61" s="73">
        <f>$N$3181/$N$3169*IF($O$3154=1,$O$3181/$O$3169,1)-1</f>
        <v>4.4578099654471792E-2</v>
      </c>
      <c r="AN61" s="73">
        <f>$N$3182/$N$3170*IF($O$3154=1,$O$3182/$O$3170,1)-1</f>
        <v>4.4576471439249588E-2</v>
      </c>
      <c r="AO61" s="73">
        <f>$N$3183/$N$3171*IF($O$3154=1,$O$3183/$O$3171,1)-1</f>
        <v>4.4574844381775502E-2</v>
      </c>
      <c r="AP61" s="73">
        <f>$N$3184/$N$3172*IF($O$3154=1,$O$3184/$O$3172,1)-1</f>
        <v>4.4573163385779546E-2</v>
      </c>
      <c r="AQ61" s="73">
        <f>$N$3185/$N$3173*IF($O$3154=1,$O$3185/$O$3173,1)-1</f>
        <v>4.4571483624671115E-2</v>
      </c>
      <c r="AR61" s="73">
        <f>$N$3186/$N$3174*IF($O$3154=1,$O$3186/$O$3174,1)-1</f>
        <v>4.4569805097090409E-2</v>
      </c>
      <c r="AS61" s="73">
        <f>$N$3187/$N$3175*IF($O$3154=1,$O$3187/$O$3175,1)-1</f>
        <v>4.4568127801678736E-2</v>
      </c>
      <c r="AT61" s="73">
        <f>$N$3188/$N$3176*IF($O$3154=1,$O$3188/$O$3176,1)-1</f>
        <v>8.6349081241692049E-2</v>
      </c>
      <c r="AU61" s="73">
        <f>$N$3189/$N$3177*IF($O$3154=1,$O$3189/$O$3177,1)-1</f>
        <v>8.6347339434096337E-2</v>
      </c>
      <c r="AV61" s="73">
        <f>$N$3190/$N$3178*IF($O$3154=1,$O$3190/$O$3178,1)-1</f>
        <v>4.456307586894992E-2</v>
      </c>
      <c r="AW61" s="73">
        <f>$N$3191/$N$3179*IF($O$3154=1,$O$3191/$O$3179,1)-1</f>
        <v>4.4561403508771802E-2</v>
      </c>
      <c r="AX61" s="73">
        <f>$N$3192/$N$3180*IF($O$3154=1,$O$3192/$O$3180,1)-1</f>
        <v>4.4559732373979699E-2</v>
      </c>
      <c r="AY61" s="73">
        <f>$N$3181/$N$3169-1</f>
        <v>4.0000000000000036E-2</v>
      </c>
      <c r="AZ61" s="73">
        <f>$N$3182/$N$3170-1</f>
        <v>4.0000000000000036E-2</v>
      </c>
      <c r="BA61" s="73">
        <f>$N$3183/$N$3171-1</f>
        <v>4.0000000000000036E-2</v>
      </c>
      <c r="BB61" s="73">
        <f>$N$3184/$N$3172-1</f>
        <v>4.0000000000000036E-2</v>
      </c>
      <c r="BC61" s="73">
        <f>$N$3185/$N$3173-1</f>
        <v>4.0000000000000036E-2</v>
      </c>
      <c r="BD61" s="73">
        <f>$N$3186/$N$3174-1</f>
        <v>4.0000000000000036E-2</v>
      </c>
      <c r="BE61" s="73">
        <f>$N$3187/$N$3175-1</f>
        <v>4.0000000000000036E-2</v>
      </c>
      <c r="BF61" s="73">
        <f>$N$3188/$N$3176-1</f>
        <v>8.1600000000000117E-2</v>
      </c>
      <c r="BG61" s="73">
        <f>$N$3189/$N$3177-1</f>
        <v>8.1600000000000117E-2</v>
      </c>
      <c r="BH61" s="73">
        <f>$N$3190/$N$3178-1</f>
        <v>4.0000000000000036E-2</v>
      </c>
      <c r="BI61" s="73">
        <f>$N$3191/$N$3179-1</f>
        <v>4.0000000000000036E-2</v>
      </c>
      <c r="BJ61" s="73">
        <f>$N$3192/$N$3180-1</f>
        <v>4.0000000000000036E-2</v>
      </c>
      <c r="BK61" s="73">
        <f>$O$3181/$O$3169-1</f>
        <v>4.4020188985305353E-3</v>
      </c>
      <c r="BL61" s="73">
        <f>$O$3182/$O$3170-1</f>
        <v>4.4004533069708085E-3</v>
      </c>
      <c r="BM61" s="73">
        <f>$O$3183/$O$3171-1</f>
        <v>4.3988888286301542E-3</v>
      </c>
      <c r="BN61" s="73">
        <f>$O$3184/$O$3172-1</f>
        <v>4.3972724863263757E-3</v>
      </c>
      <c r="BO61" s="73">
        <f>$O$3185/$O$3173-1</f>
        <v>4.3956573314145597E-3</v>
      </c>
      <c r="BP61" s="73">
        <f>$O$3186/$O$3174-1</f>
        <v>4.3940433625868636E-3</v>
      </c>
      <c r="BQ61" s="73">
        <f>$O$3187/$O$3175-1</f>
        <v>4.3924305785372209E-3</v>
      </c>
      <c r="BR61" s="73">
        <f>$O$3188/$O$3176-1</f>
        <v>4.3907925681323512E-3</v>
      </c>
      <c r="BS61" s="73">
        <f>$O$3189/$O$3177-1</f>
        <v>4.3891821690977828E-3</v>
      </c>
      <c r="BT61" s="73">
        <f>$O$3190/$O$3178-1</f>
        <v>4.3875729509132988E-3</v>
      </c>
      <c r="BU61" s="73">
        <f>$O$3191/$O$3179-1</f>
        <v>4.3859649122806044E-3</v>
      </c>
      <c r="BV61" s="73">
        <f>$O$3192/$O$3180-1</f>
        <v>4.3843580519036252E-3</v>
      </c>
      <c r="BW61" s="73">
        <f>$V61*$H$3181</f>
        <v>14400</v>
      </c>
      <c r="BX61" s="73">
        <f>$V61*$H$3182</f>
        <v>14400</v>
      </c>
      <c r="BY61" s="73">
        <f>$V61*$H$3183</f>
        <v>14400</v>
      </c>
      <c r="BZ61" s="73">
        <f>$V61*$H$3184</f>
        <v>14400</v>
      </c>
      <c r="CA61" s="73">
        <f>$V61*$H$3185</f>
        <v>14400</v>
      </c>
      <c r="CB61" s="73">
        <f>$V61*$H$3186</f>
        <v>14400</v>
      </c>
      <c r="CC61" s="73">
        <f>$V61*$H$3187</f>
        <v>14400</v>
      </c>
      <c r="CD61" s="73">
        <f>$V61*$H$3188</f>
        <v>14400</v>
      </c>
      <c r="CE61" s="73">
        <f>$V61*$H$3189</f>
        <v>14400</v>
      </c>
      <c r="CF61" s="73">
        <f>$V61*$H$3190</f>
        <v>14400</v>
      </c>
      <c r="CG61" s="73">
        <f>$V61*$H$3191</f>
        <v>14400</v>
      </c>
      <c r="CH61" s="73">
        <f>$V61*$H$3192</f>
        <v>14400</v>
      </c>
      <c r="CI61" s="75">
        <f>$O$3154</f>
        <v>1</v>
      </c>
      <c r="CJ61" s="73">
        <f>$H$3205</f>
        <v>1.0469333333333333</v>
      </c>
      <c r="CK61" s="73">
        <f>$I$3205</f>
        <v>1.0043932196204437</v>
      </c>
      <c r="CL61" s="73">
        <f>$J$3205</f>
        <v>1.0515327189843504</v>
      </c>
      <c r="CM61" s="73">
        <f t="shared" si="54"/>
        <v>0</v>
      </c>
      <c r="CN61" s="73">
        <f t="shared" si="55"/>
        <v>14400</v>
      </c>
      <c r="CO61" s="72">
        <f>$M61*($C61/$K$3205)*IF($O$3154=1,$F$3154/$G61,1)*$R61</f>
        <v>0.57441173602854845</v>
      </c>
      <c r="CP61" s="72">
        <f>$M61*(1+$S61)*($C61/$L$3205)*IF($O$3154=1,$F$3154/$H61,1)*$R61</f>
        <v>0.55325593148837793</v>
      </c>
      <c r="CQ61" s="73">
        <f t="shared" si="56"/>
        <v>8271.5289988110981</v>
      </c>
      <c r="CR61" s="73">
        <f t="shared" si="57"/>
        <v>7966.8854134326421</v>
      </c>
      <c r="CS61" s="73">
        <f t="shared" si="58"/>
        <v>0</v>
      </c>
      <c r="CT61" s="272">
        <f t="shared" si="59"/>
        <v>0</v>
      </c>
      <c r="CU61" s="75">
        <f t="shared" si="60"/>
        <v>1</v>
      </c>
      <c r="CV61" s="75">
        <f t="shared" si="61"/>
        <v>1</v>
      </c>
      <c r="CW61" s="273">
        <f t="shared" si="62"/>
        <v>46296</v>
      </c>
      <c r="CX61" s="274">
        <f t="shared" si="63"/>
        <v>0.04</v>
      </c>
      <c r="CY61" s="6" t="str">
        <f t="shared" si="64"/>
        <v>T</v>
      </c>
      <c r="CZ61" s="273">
        <f t="shared" si="65"/>
        <v>46600</v>
      </c>
      <c r="DA61" s="274">
        <f t="shared" si="66"/>
        <v>0.04</v>
      </c>
      <c r="DB61" s="6" t="str">
        <f t="shared" si="67"/>
        <v>P*</v>
      </c>
      <c r="DC61" s="273" t="str">
        <f t="shared" si="68"/>
        <v/>
      </c>
      <c r="DD61" s="274" t="str">
        <f t="shared" si="69"/>
        <v/>
      </c>
      <c r="DE61" s="6" t="str">
        <f t="shared" si="70"/>
        <v/>
      </c>
      <c r="DF61" s="273" t="str">
        <f t="shared" si="71"/>
        <v/>
      </c>
      <c r="DG61" s="274" t="str">
        <f t="shared" si="72"/>
        <v/>
      </c>
      <c r="DH61" s="6" t="str">
        <f t="shared" si="73"/>
        <v/>
      </c>
    </row>
    <row r="62" spans="1:112" x14ac:dyDescent="0.3">
      <c r="A62" s="6" t="str">
        <f>$A$3208</f>
        <v>SBA|SC</v>
      </c>
      <c r="B62" s="75">
        <f>$C$3208</f>
        <v>6</v>
      </c>
      <c r="C62" s="73">
        <f>$B$3259</f>
        <v>1.05</v>
      </c>
      <c r="D62" s="73">
        <f>$C$3259</f>
        <v>1.0013888888888889</v>
      </c>
      <c r="E62" s="73">
        <f>$D$3259</f>
        <v>1.0444444444444445</v>
      </c>
      <c r="F62" s="73">
        <f>$E$3259</f>
        <v>1.05</v>
      </c>
      <c r="G62" s="224">
        <f>$F$3259</f>
        <v>0.91798504741064912</v>
      </c>
      <c r="H62" s="224">
        <f>$G$3259</f>
        <v>0.92932044736202268</v>
      </c>
      <c r="I62" s="73">
        <f t="shared" si="37"/>
        <v>1.0053191489361701</v>
      </c>
      <c r="J62" s="73">
        <f t="shared" si="38"/>
        <v>1</v>
      </c>
      <c r="K62" s="73">
        <f>IF($L$3208,1,IF(AND(nr_ModAdjMaster="ON",INDEX(lr_modadj,59)="ON"),$F$3208/$G62,1))</f>
        <v>1.0021949732133812</v>
      </c>
      <c r="L62" s="73">
        <f>IF($L$3208,1,IF(AND(nr_ModAdjMaster="ON",INDEX(lr_modadj,59)="ON"),$F$3208/$H62,1))</f>
        <v>0.98997068515119868</v>
      </c>
      <c r="M62" s="72">
        <f>IF(INDEX(lr_basis,59)="proposed",N(INDEX(lr_lrproj,59))*(1+N(INDEX(lr_s,59))),N(INDEX(lr_lrproj,59)))</f>
        <v>0.6</v>
      </c>
      <c r="N62" s="72">
        <f t="shared" si="39"/>
        <v>0.6045154785233906</v>
      </c>
      <c r="O62" s="72">
        <f t="shared" si="40"/>
        <v>0.59398241109071914</v>
      </c>
      <c r="P62" s="72">
        <f t="shared" si="41"/>
        <v>-5.2910052910052352E-3</v>
      </c>
      <c r="Q62" s="72">
        <f t="shared" si="42"/>
        <v>5.3191489361701372E-3</v>
      </c>
      <c r="R62" s="73">
        <f>IF(N(INDEX(lr_aother,59))=0,1,INDEX(lr_aother,59))</f>
        <v>1</v>
      </c>
      <c r="S62" s="72">
        <f>IF(ISBLANK(INDEX(lr_trend,59)),N(nr_TrendDefault),N(INDEX(lr_trend,59)))</f>
        <v>0</v>
      </c>
      <c r="T62" s="6" t="str">
        <f>INDEX(lr_state,59)</f>
        <v>SC</v>
      </c>
      <c r="U62" s="6" t="str">
        <f>INDEX(lr_bu,59)</f>
        <v>SBA</v>
      </c>
      <c r="V62" s="271">
        <f>N(INDEX(lr_ep,59))</f>
        <v>11200</v>
      </c>
      <c r="W62" s="73">
        <f>N(INDEX(lr_mind,59))*$V62</f>
        <v>10304</v>
      </c>
      <c r="X62" s="73">
        <f>N(INDEX(lr_m0,59))*$V62</f>
        <v>10192</v>
      </c>
      <c r="Y62" s="73">
        <f>N(INDEX(lr_m1,59))*$V62</f>
        <v>10416</v>
      </c>
      <c r="Z62" s="73">
        <f t="shared" si="43"/>
        <v>11760</v>
      </c>
      <c r="AA62" s="73">
        <f t="shared" si="44"/>
        <v>11697.777777777779</v>
      </c>
      <c r="AB62" s="73">
        <f t="shared" si="45"/>
        <v>11259.574468085106</v>
      </c>
      <c r="AC62" s="73">
        <f t="shared" si="46"/>
        <v>10281.432530999271</v>
      </c>
      <c r="AD62" s="73">
        <f t="shared" si="47"/>
        <v>11224.583699989869</v>
      </c>
      <c r="AE62" s="73">
        <f t="shared" si="48"/>
        <v>6720</v>
      </c>
      <c r="AF62" s="73">
        <f t="shared" si="49"/>
        <v>6770.5733594619751</v>
      </c>
      <c r="AG62" s="73">
        <f t="shared" si="50"/>
        <v>0</v>
      </c>
      <c r="AH62" s="73">
        <f t="shared" si="51"/>
        <v>11200</v>
      </c>
      <c r="AI62" s="73">
        <f t="shared" si="52"/>
        <v>11087.671673693425</v>
      </c>
      <c r="AJ62" s="73">
        <f t="shared" si="53"/>
        <v>6652.6030042160546</v>
      </c>
      <c r="AK62" s="75">
        <f>IF($L$3208,1,0)</f>
        <v>0</v>
      </c>
      <c r="AL62" s="72">
        <f>IF($L$3208,$M$3208,0)</f>
        <v>0</v>
      </c>
      <c r="AM62" s="73">
        <f>$N$3235/$N$3223*IF($O$3208=1,$O$3235/$O$3223,1)-1</f>
        <v>6.8662349045578663E-2</v>
      </c>
      <c r="AN62" s="73">
        <f>$N$3236/$N$3224*IF($O$3208=1,$O$3236/$O$3224,1)-1</f>
        <v>6.8635579003671232E-2</v>
      </c>
      <c r="AO62" s="73">
        <f>$N$3237/$N$3225*IF($O$3208=1,$O$3237/$O$3225,1)-1</f>
        <v>6.860888565185741E-2</v>
      </c>
      <c r="AP62" s="73">
        <f>$N$3238/$N$3226*IF($O$3208=1,$O$3238/$O$3226,1)-1</f>
        <v>6.8581367724418918E-2</v>
      </c>
      <c r="AQ62" s="73">
        <f>$N$3239/$N$3227*IF($O$3208=1,$O$3239/$O$3227,1)-1</f>
        <v>6.8553931061192896E-2</v>
      </c>
      <c r="AR62" s="73">
        <f>$N$3240/$N$3228*IF($O$3208=1,$O$3240/$O$3228,1)-1</f>
        <v>6.8526575302733761E-2</v>
      </c>
      <c r="AS62" s="73">
        <f>$N$3241/$N$3229*IF($O$3208=1,$O$3241/$O$3229,1)-1</f>
        <v>6.8499300091712234E-2</v>
      </c>
      <c r="AT62" s="73">
        <f>$N$3242/$N$3230*IF($O$3208=1,$O$3242/$O$3230,1)-1</f>
        <v>6.8471659919028482E-2</v>
      </c>
      <c r="AU62" s="73">
        <f>$N$3243/$N$3231*IF($O$3208=1,$O$3243/$O$3231,1)-1</f>
        <v>6.8444546045191013E-2</v>
      </c>
      <c r="AV62" s="73">
        <f>$N$3244/$N$3232*IF($O$3208=1,$O$3244/$O$3232,1)-1</f>
        <v>6.8417511653611207E-2</v>
      </c>
      <c r="AW62" s="73">
        <f>$N$3245/$N$3233*IF($O$3208=1,$O$3245/$O$3233,1)-1</f>
        <v>1.7514815614577905E-2</v>
      </c>
      <c r="AX62" s="73">
        <f>$N$3246/$N$3234*IF($O$3208=1,$O$3246/$O$3234,1)-1</f>
        <v>1.7489218974604537E-2</v>
      </c>
      <c r="AY62" s="73">
        <f>$N$3235/$N$3223-1</f>
        <v>5.0000000000000044E-2</v>
      </c>
      <c r="AZ62" s="73">
        <f>$N$3236/$N$3224-1</f>
        <v>5.0000000000000044E-2</v>
      </c>
      <c r="BA62" s="73">
        <f>$N$3237/$N$3225-1</f>
        <v>5.0000000000000044E-2</v>
      </c>
      <c r="BB62" s="73">
        <f>$N$3238/$N$3226-1</f>
        <v>5.0000000000000044E-2</v>
      </c>
      <c r="BC62" s="73">
        <f>$N$3239/$N$3227-1</f>
        <v>5.0000000000000044E-2</v>
      </c>
      <c r="BD62" s="73">
        <f>$N$3240/$N$3228-1</f>
        <v>5.0000000000000044E-2</v>
      </c>
      <c r="BE62" s="73">
        <f>$N$3241/$N$3229-1</f>
        <v>5.0000000000000044E-2</v>
      </c>
      <c r="BF62" s="73">
        <f>$N$3242/$N$3230-1</f>
        <v>5.0000000000000044E-2</v>
      </c>
      <c r="BG62" s="73">
        <f>$N$3243/$N$3231-1</f>
        <v>5.0000000000000044E-2</v>
      </c>
      <c r="BH62" s="73">
        <f>$N$3244/$N$3232-1</f>
        <v>5.0000000000000044E-2</v>
      </c>
      <c r="BI62" s="73">
        <f>$N$3245/$N$3233-1</f>
        <v>0</v>
      </c>
      <c r="BJ62" s="73">
        <f>$N$3246/$N$3234-1</f>
        <v>0</v>
      </c>
      <c r="BK62" s="73">
        <f>$O$3235/$O$3223-1</f>
        <v>1.7773665757693902E-2</v>
      </c>
      <c r="BL62" s="73">
        <f>$O$3236/$O$3224-1</f>
        <v>1.7748170479686909E-2</v>
      </c>
      <c r="BM62" s="73">
        <f>$O$3237/$O$3225-1</f>
        <v>1.7722748239864083E-2</v>
      </c>
      <c r="BN62" s="73">
        <f>$O$3238/$O$3226-1</f>
        <v>1.7696540689922768E-2</v>
      </c>
      <c r="BO62" s="73">
        <f>$O$3239/$O$3227-1</f>
        <v>1.7670410534469383E-2</v>
      </c>
      <c r="BP62" s="73">
        <f>$O$3240/$O$3228-1</f>
        <v>1.7644357431174873E-2</v>
      </c>
      <c r="BQ62" s="73">
        <f>$O$3241/$O$3229-1</f>
        <v>1.7618381039725906E-2</v>
      </c>
      <c r="BR62" s="73">
        <f>$O$3242/$O$3230-1</f>
        <v>1.7592057065741296E-2</v>
      </c>
      <c r="BS62" s="73">
        <f>$O$3243/$O$3231-1</f>
        <v>1.7566234328753261E-2</v>
      </c>
      <c r="BT62" s="73">
        <f>$O$3244/$O$3232-1</f>
        <v>1.7540487289153583E-2</v>
      </c>
      <c r="BU62" s="73">
        <f>$O$3245/$O$3233-1</f>
        <v>1.7514815614577905E-2</v>
      </c>
      <c r="BV62" s="73">
        <f>$O$3246/$O$3234-1</f>
        <v>1.7489218974604537E-2</v>
      </c>
      <c r="BW62" s="73">
        <f>$V62*$H$3235</f>
        <v>11200</v>
      </c>
      <c r="BX62" s="73">
        <f>$V62*$H$3236</f>
        <v>11200</v>
      </c>
      <c r="BY62" s="73">
        <f>$V62*$H$3237</f>
        <v>11200</v>
      </c>
      <c r="BZ62" s="73">
        <f>$V62*$H$3238</f>
        <v>11200</v>
      </c>
      <c r="CA62" s="73">
        <f>$V62*$H$3239</f>
        <v>11200</v>
      </c>
      <c r="CB62" s="73">
        <f>$V62*$H$3240</f>
        <v>11200</v>
      </c>
      <c r="CC62" s="73">
        <f>$V62*$H$3241</f>
        <v>11200</v>
      </c>
      <c r="CD62" s="73">
        <f>$V62*$H$3242</f>
        <v>11200</v>
      </c>
      <c r="CE62" s="73">
        <f>$V62*$H$3243</f>
        <v>11200</v>
      </c>
      <c r="CF62" s="73">
        <f>$V62*$H$3244</f>
        <v>11200</v>
      </c>
      <c r="CG62" s="73">
        <f>$V62*$H$3245</f>
        <v>11200</v>
      </c>
      <c r="CH62" s="73">
        <f>$V62*$H$3246</f>
        <v>11200</v>
      </c>
      <c r="CI62" s="75">
        <f>$O$3208</f>
        <v>1</v>
      </c>
      <c r="CJ62" s="73">
        <f>$H$3259</f>
        <v>1.0416666666666667</v>
      </c>
      <c r="CK62" s="73">
        <f>$I$3259</f>
        <v>1.0176314239537807</v>
      </c>
      <c r="CL62" s="73">
        <f>$J$3259</f>
        <v>1.0600338116740151</v>
      </c>
      <c r="CM62" s="73">
        <f t="shared" si="54"/>
        <v>0</v>
      </c>
      <c r="CN62" s="73">
        <f t="shared" si="55"/>
        <v>11200</v>
      </c>
      <c r="CO62" s="72">
        <f>$M62*($C62/$K$3259)*IF($O$3208=1,$F$3208/$G62,1)*$R62</f>
        <v>0.6045154785233906</v>
      </c>
      <c r="CP62" s="72">
        <f>$M62*(1+$S62)*($C62/$L$3259)*IF($O$3208=1,$F$3208/$H62,1)*$R62</f>
        <v>0.59398241109071914</v>
      </c>
      <c r="CQ62" s="73">
        <f t="shared" si="56"/>
        <v>6770.5733594619751</v>
      </c>
      <c r="CR62" s="73">
        <f t="shared" si="57"/>
        <v>6652.6030042160546</v>
      </c>
      <c r="CS62" s="73">
        <f t="shared" si="58"/>
        <v>0</v>
      </c>
      <c r="CT62" s="272">
        <f t="shared" si="59"/>
        <v>0</v>
      </c>
      <c r="CU62" s="75">
        <f t="shared" si="60"/>
        <v>1</v>
      </c>
      <c r="CV62" s="75">
        <f t="shared" si="61"/>
        <v>0</v>
      </c>
      <c r="CW62" s="273">
        <f t="shared" si="62"/>
        <v>46327</v>
      </c>
      <c r="CX62" s="274">
        <f t="shared" si="63"/>
        <v>0.05</v>
      </c>
      <c r="CY62" s="6" t="str">
        <f t="shared" si="64"/>
        <v>T</v>
      </c>
      <c r="CZ62" s="273" t="str">
        <f t="shared" si="65"/>
        <v/>
      </c>
      <c r="DA62" s="274" t="str">
        <f t="shared" si="66"/>
        <v/>
      </c>
      <c r="DB62" s="6" t="str">
        <f t="shared" si="67"/>
        <v/>
      </c>
      <c r="DC62" s="273" t="str">
        <f t="shared" si="68"/>
        <v/>
      </c>
      <c r="DD62" s="274" t="str">
        <f t="shared" si="69"/>
        <v/>
      </c>
      <c r="DE62" s="6" t="str">
        <f t="shared" si="70"/>
        <v/>
      </c>
      <c r="DF62" s="273" t="str">
        <f t="shared" si="71"/>
        <v/>
      </c>
      <c r="DG62" s="274" t="str">
        <f t="shared" si="72"/>
        <v/>
      </c>
      <c r="DH62" s="6" t="str">
        <f t="shared" si="73"/>
        <v/>
      </c>
    </row>
    <row r="63" spans="1:112" x14ac:dyDescent="0.3">
      <c r="A63" s="6" t="str">
        <f>$A$3262</f>
        <v>SBA|TN</v>
      </c>
      <c r="B63" s="75">
        <f>$C$3262</f>
        <v>6</v>
      </c>
      <c r="C63" s="73">
        <f>$B$3313</f>
        <v>1</v>
      </c>
      <c r="D63" s="73">
        <f>$C$3313</f>
        <v>1</v>
      </c>
      <c r="E63" s="73">
        <f>$D$3313</f>
        <v>1</v>
      </c>
      <c r="F63" s="73">
        <f>$E$3313</f>
        <v>1</v>
      </c>
      <c r="G63" s="224">
        <f>$F$3313</f>
        <v>0.90999999999999981</v>
      </c>
      <c r="H63" s="224">
        <f>$G$3313</f>
        <v>0.90999999999999981</v>
      </c>
      <c r="I63" s="73">
        <f t="shared" si="37"/>
        <v>1</v>
      </c>
      <c r="J63" s="73">
        <f t="shared" si="38"/>
        <v>1</v>
      </c>
      <c r="K63" s="73">
        <f>IF($L$3262,1,IF(AND(nr_ModAdjMaster="ON",INDEX(lr_modadj,60)="ON"),$F$3262/$G63,1))</f>
        <v>1.0109890109890112</v>
      </c>
      <c r="L63" s="73">
        <f>IF($L$3262,1,IF(AND(nr_ModAdjMaster="ON",INDEX(lr_modadj,60)="ON"),$F$3262/$H63,1))</f>
        <v>1.0109890109890112</v>
      </c>
      <c r="M63" s="72">
        <f>IF(INDEX(lr_basis,60)="proposed",N(INDEX(lr_lrproj,60))*(1+N(INDEX(lr_s,60))),N(INDEX(lr_lrproj,60)))</f>
        <v>0.58399999999999996</v>
      </c>
      <c r="N63" s="72">
        <f t="shared" si="39"/>
        <v>0.59041758241758246</v>
      </c>
      <c r="O63" s="72">
        <f t="shared" si="40"/>
        <v>0.59041758241758246</v>
      </c>
      <c r="P63" s="72">
        <f t="shared" si="41"/>
        <v>0</v>
      </c>
      <c r="Q63" s="72">
        <f t="shared" si="42"/>
        <v>0</v>
      </c>
      <c r="R63" s="73">
        <f>IF(N(INDEX(lr_aother,60))=0,1,INDEX(lr_aother,60))</f>
        <v>1</v>
      </c>
      <c r="S63" s="72">
        <f>IF(ISBLANK(INDEX(lr_trend,60)),N(nr_TrendDefault),N(INDEX(lr_trend,60)))</f>
        <v>0</v>
      </c>
      <c r="T63" s="6" t="str">
        <f>INDEX(lr_state,60)</f>
        <v>TN</v>
      </c>
      <c r="U63" s="6" t="str">
        <f>INDEX(lr_bu,60)</f>
        <v>SBA</v>
      </c>
      <c r="V63" s="271">
        <f>N(INDEX(lr_ep,60))</f>
        <v>8000</v>
      </c>
      <c r="W63" s="73">
        <f>N(INDEX(lr_mind,60))*$V63</f>
        <v>7360</v>
      </c>
      <c r="X63" s="73">
        <f>N(INDEX(lr_m0,60))*$V63</f>
        <v>7280</v>
      </c>
      <c r="Y63" s="73">
        <f>N(INDEX(lr_m1,60))*$V63</f>
        <v>7280</v>
      </c>
      <c r="Z63" s="73">
        <f t="shared" si="43"/>
        <v>8000</v>
      </c>
      <c r="AA63" s="73">
        <f t="shared" si="44"/>
        <v>8000</v>
      </c>
      <c r="AB63" s="73">
        <f t="shared" si="45"/>
        <v>8000</v>
      </c>
      <c r="AC63" s="73">
        <f t="shared" si="46"/>
        <v>7279.9999999999982</v>
      </c>
      <c r="AD63" s="73">
        <f t="shared" si="47"/>
        <v>8087.9120879120892</v>
      </c>
      <c r="AE63" s="73">
        <f t="shared" si="48"/>
        <v>4672</v>
      </c>
      <c r="AF63" s="73">
        <f t="shared" si="49"/>
        <v>4723.3406593406598</v>
      </c>
      <c r="AG63" s="73">
        <f t="shared" si="50"/>
        <v>0</v>
      </c>
      <c r="AH63" s="73">
        <f t="shared" si="51"/>
        <v>8000</v>
      </c>
      <c r="AI63" s="73">
        <f t="shared" si="52"/>
        <v>8087.9120879120892</v>
      </c>
      <c r="AJ63" s="73">
        <f t="shared" si="53"/>
        <v>4723.3406593406598</v>
      </c>
      <c r="AK63" s="75">
        <f>IF($L$3262,1,0)</f>
        <v>0</v>
      </c>
      <c r="AL63" s="72">
        <f>IF($L$3262,$M$3262,0)</f>
        <v>0</v>
      </c>
      <c r="AM63" s="73">
        <f>$N$3289/$N$3277*IF($O$3262=1,$O$3289/$O$3277,1)-1</f>
        <v>0</v>
      </c>
      <c r="AN63" s="73">
        <f>$N$3290/$N$3278*IF($O$3262=1,$O$3290/$O$3278,1)-1</f>
        <v>0</v>
      </c>
      <c r="AO63" s="73">
        <f>$N$3291/$N$3279*IF($O$3262=1,$O$3291/$O$3279,1)-1</f>
        <v>0</v>
      </c>
      <c r="AP63" s="73">
        <f>$N$3292/$N$3280*IF($O$3262=1,$O$3292/$O$3280,1)-1</f>
        <v>0</v>
      </c>
      <c r="AQ63" s="73">
        <f>$N$3293/$N$3281*IF($O$3262=1,$O$3293/$O$3281,1)-1</f>
        <v>0</v>
      </c>
      <c r="AR63" s="73">
        <f>$N$3294/$N$3282*IF($O$3262=1,$O$3294/$O$3282,1)-1</f>
        <v>0</v>
      </c>
      <c r="AS63" s="73">
        <f>$N$3295/$N$3283*IF($O$3262=1,$O$3295/$O$3283,1)-1</f>
        <v>0</v>
      </c>
      <c r="AT63" s="73">
        <f>$N$3296/$N$3284*IF($O$3262=1,$O$3296/$O$3284,1)-1</f>
        <v>0</v>
      </c>
      <c r="AU63" s="73">
        <f>$N$3297/$N$3285*IF($O$3262=1,$O$3297/$O$3285,1)-1</f>
        <v>0</v>
      </c>
      <c r="AV63" s="73">
        <f>$N$3298/$N$3286*IF($O$3262=1,$O$3298/$O$3286,1)-1</f>
        <v>0</v>
      </c>
      <c r="AW63" s="73">
        <f>$N$3299/$N$3287*IF($O$3262=1,$O$3299/$O$3287,1)-1</f>
        <v>0</v>
      </c>
      <c r="AX63" s="73">
        <f>$N$3300/$N$3288*IF($O$3262=1,$O$3300/$O$3288,1)-1</f>
        <v>0</v>
      </c>
      <c r="AY63" s="73">
        <f>$N$3289/$N$3277-1</f>
        <v>0</v>
      </c>
      <c r="AZ63" s="73">
        <f>$N$3290/$N$3278-1</f>
        <v>0</v>
      </c>
      <c r="BA63" s="73">
        <f>$N$3291/$N$3279-1</f>
        <v>0</v>
      </c>
      <c r="BB63" s="73">
        <f>$N$3292/$N$3280-1</f>
        <v>0</v>
      </c>
      <c r="BC63" s="73">
        <f>$N$3293/$N$3281-1</f>
        <v>0</v>
      </c>
      <c r="BD63" s="73">
        <f>$N$3294/$N$3282-1</f>
        <v>0</v>
      </c>
      <c r="BE63" s="73">
        <f>$N$3295/$N$3283-1</f>
        <v>0</v>
      </c>
      <c r="BF63" s="73">
        <f>$N$3296/$N$3284-1</f>
        <v>0</v>
      </c>
      <c r="BG63" s="73">
        <f>$N$3297/$N$3285-1</f>
        <v>0</v>
      </c>
      <c r="BH63" s="73">
        <f>$N$3298/$N$3286-1</f>
        <v>0</v>
      </c>
      <c r="BI63" s="73">
        <f>$N$3299/$N$3287-1</f>
        <v>0</v>
      </c>
      <c r="BJ63" s="73">
        <f>$N$3300/$N$3288-1</f>
        <v>0</v>
      </c>
      <c r="BK63" s="73">
        <f>$O$3289/$O$3277-1</f>
        <v>0</v>
      </c>
      <c r="BL63" s="73">
        <f>$O$3290/$O$3278-1</f>
        <v>0</v>
      </c>
      <c r="BM63" s="73">
        <f>$O$3291/$O$3279-1</f>
        <v>0</v>
      </c>
      <c r="BN63" s="73">
        <f>$O$3292/$O$3280-1</f>
        <v>0</v>
      </c>
      <c r="BO63" s="73">
        <f>$O$3293/$O$3281-1</f>
        <v>0</v>
      </c>
      <c r="BP63" s="73">
        <f>$O$3294/$O$3282-1</f>
        <v>0</v>
      </c>
      <c r="BQ63" s="73">
        <f>$O$3295/$O$3283-1</f>
        <v>0</v>
      </c>
      <c r="BR63" s="73">
        <f>$O$3296/$O$3284-1</f>
        <v>0</v>
      </c>
      <c r="BS63" s="73">
        <f>$O$3297/$O$3285-1</f>
        <v>0</v>
      </c>
      <c r="BT63" s="73">
        <f>$O$3298/$O$3286-1</f>
        <v>0</v>
      </c>
      <c r="BU63" s="73">
        <f>$O$3299/$O$3287-1</f>
        <v>0</v>
      </c>
      <c r="BV63" s="73">
        <f>$O$3300/$O$3288-1</f>
        <v>0</v>
      </c>
      <c r="BW63" s="73">
        <f>$V63*$H$3289</f>
        <v>8000</v>
      </c>
      <c r="BX63" s="73">
        <f>$V63*$H$3290</f>
        <v>8000</v>
      </c>
      <c r="BY63" s="73">
        <f>$V63*$H$3291</f>
        <v>8000</v>
      </c>
      <c r="BZ63" s="73">
        <f>$V63*$H$3292</f>
        <v>8000</v>
      </c>
      <c r="CA63" s="73">
        <f>$V63*$H$3293</f>
        <v>8000</v>
      </c>
      <c r="CB63" s="73">
        <f>$V63*$H$3294</f>
        <v>8000</v>
      </c>
      <c r="CC63" s="73">
        <f>$V63*$H$3295</f>
        <v>8000</v>
      </c>
      <c r="CD63" s="73">
        <f>$V63*$H$3296</f>
        <v>8000</v>
      </c>
      <c r="CE63" s="73">
        <f>$V63*$H$3297</f>
        <v>8000</v>
      </c>
      <c r="CF63" s="73">
        <f>$V63*$H$3298</f>
        <v>8000</v>
      </c>
      <c r="CG63" s="73">
        <f>$V63*$H$3299</f>
        <v>8000</v>
      </c>
      <c r="CH63" s="73">
        <f>$V63*$H$3300</f>
        <v>8000</v>
      </c>
      <c r="CI63" s="75">
        <f>$O$3262</f>
        <v>1</v>
      </c>
      <c r="CJ63" s="73">
        <f>$H$3313</f>
        <v>1</v>
      </c>
      <c r="CK63" s="73">
        <f>$I$3313</f>
        <v>1</v>
      </c>
      <c r="CL63" s="73">
        <f>$J$3313</f>
        <v>1</v>
      </c>
      <c r="CM63" s="73">
        <f t="shared" si="54"/>
        <v>0</v>
      </c>
      <c r="CN63" s="73">
        <f t="shared" si="55"/>
        <v>8000</v>
      </c>
      <c r="CO63" s="72">
        <f>$M63*($C63/$K$3313)*IF($O$3262=1,$F$3262/$G63,1)*$R63</f>
        <v>0.59041758241758246</v>
      </c>
      <c r="CP63" s="72">
        <f>$M63*(1+$S63)*($C63/$L$3313)*IF($O$3262=1,$F$3262/$H63,1)*$R63</f>
        <v>0.59041758241758246</v>
      </c>
      <c r="CQ63" s="73">
        <f t="shared" si="56"/>
        <v>4723.3406593406598</v>
      </c>
      <c r="CR63" s="73">
        <f t="shared" si="57"/>
        <v>4723.3406593406598</v>
      </c>
      <c r="CS63" s="73">
        <f t="shared" si="58"/>
        <v>0</v>
      </c>
      <c r="CT63" s="272">
        <f t="shared" si="59"/>
        <v>0</v>
      </c>
      <c r="CU63" s="75">
        <f t="shared" si="60"/>
        <v>0</v>
      </c>
      <c r="CV63" s="75">
        <f t="shared" si="61"/>
        <v>0</v>
      </c>
      <c r="CW63" s="273" t="str">
        <f t="shared" si="62"/>
        <v/>
      </c>
      <c r="CX63" s="274" t="str">
        <f t="shared" si="63"/>
        <v/>
      </c>
      <c r="CY63" s="6" t="str">
        <f t="shared" si="64"/>
        <v/>
      </c>
      <c r="CZ63" s="273" t="str">
        <f t="shared" si="65"/>
        <v/>
      </c>
      <c r="DA63" s="274" t="str">
        <f t="shared" si="66"/>
        <v/>
      </c>
      <c r="DB63" s="6" t="str">
        <f t="shared" si="67"/>
        <v/>
      </c>
      <c r="DC63" s="273" t="str">
        <f t="shared" si="68"/>
        <v/>
      </c>
      <c r="DD63" s="274" t="str">
        <f t="shared" si="69"/>
        <v/>
      </c>
      <c r="DE63" s="6" t="str">
        <f t="shared" si="70"/>
        <v/>
      </c>
      <c r="DF63" s="273" t="str">
        <f t="shared" si="71"/>
        <v/>
      </c>
      <c r="DG63" s="274" t="str">
        <f t="shared" si="72"/>
        <v/>
      </c>
      <c r="DH63" s="6" t="str">
        <f t="shared" si="73"/>
        <v/>
      </c>
    </row>
    <row r="64" spans="1:112" x14ac:dyDescent="0.3">
      <c r="A64" s="6" t="str">
        <f>$A$3316</f>
        <v>SBA|VA</v>
      </c>
      <c r="B64" s="75">
        <f>$C$3316</f>
        <v>6</v>
      </c>
      <c r="C64" s="73">
        <f>$B$3367</f>
        <v>1.02</v>
      </c>
      <c r="D64" s="73">
        <f>$C$3367</f>
        <v>1.0150000000000001</v>
      </c>
      <c r="E64" s="73">
        <f>$D$3367</f>
        <v>1.0200000000000002</v>
      </c>
      <c r="F64" s="73">
        <f>$E$3367</f>
        <v>1.0200000000000002</v>
      </c>
      <c r="G64" s="224">
        <f>$F$3367</f>
        <v>0.91598878555798668</v>
      </c>
      <c r="H64" s="224">
        <f>$G$3367</f>
        <v>0.92449033552151683</v>
      </c>
      <c r="I64" s="73">
        <f t="shared" si="37"/>
        <v>0.99999999999999978</v>
      </c>
      <c r="J64" s="73">
        <f t="shared" si="38"/>
        <v>0.99999999999999978</v>
      </c>
      <c r="K64" s="73">
        <f>IF($L$3316,1,IF(AND(nr_ModAdjMaster="ON",INDEX(lr_modadj,61)="ON"),$F$3316/$G64,1))</f>
        <v>1.0043791086804299</v>
      </c>
      <c r="L64" s="73">
        <f>IF($L$3316,1,IF(AND(nr_ModAdjMaster="ON",INDEX(lr_modadj,61)="ON"),$F$3316/$H64,1))</f>
        <v>0.99514290701699581</v>
      </c>
      <c r="M64" s="72">
        <f>IF(INDEX(lr_basis,61)="proposed",N(INDEX(lr_lrproj,61))*(1+N(INDEX(lr_s,61))),N(INDEX(lr_lrproj,61)))</f>
        <v>0.56799999999999995</v>
      </c>
      <c r="N64" s="72">
        <f t="shared" si="39"/>
        <v>0.57048733373048399</v>
      </c>
      <c r="O64" s="72">
        <f t="shared" si="40"/>
        <v>0.56524117118565342</v>
      </c>
      <c r="P64" s="72">
        <f t="shared" si="41"/>
        <v>0</v>
      </c>
      <c r="Q64" s="72">
        <f t="shared" si="42"/>
        <v>0</v>
      </c>
      <c r="R64" s="73">
        <f>IF(N(INDEX(lr_aother,61))=0,1,INDEX(lr_aother,61))</f>
        <v>1</v>
      </c>
      <c r="S64" s="72">
        <f>IF(ISBLANK(INDEX(lr_trend,61)),N(nr_TrendDefault),N(INDEX(lr_trend,61)))</f>
        <v>0</v>
      </c>
      <c r="T64" s="6" t="str">
        <f>INDEX(lr_state,61)</f>
        <v>VA</v>
      </c>
      <c r="U64" s="6" t="str">
        <f>INDEX(lr_bu,61)</f>
        <v>SBA</v>
      </c>
      <c r="V64" s="271">
        <f>N(INDEX(lr_ep,61))</f>
        <v>18400</v>
      </c>
      <c r="W64" s="73">
        <f>N(INDEX(lr_mind,61))*$V64</f>
        <v>16928</v>
      </c>
      <c r="X64" s="73">
        <f>N(INDEX(lr_m0,61))*$V64</f>
        <v>16744</v>
      </c>
      <c r="Y64" s="73">
        <f>N(INDEX(lr_m1,61))*$V64</f>
        <v>17020</v>
      </c>
      <c r="Z64" s="73">
        <f t="shared" si="43"/>
        <v>18768</v>
      </c>
      <c r="AA64" s="73">
        <f t="shared" si="44"/>
        <v>18768.000000000004</v>
      </c>
      <c r="AB64" s="73">
        <f t="shared" si="45"/>
        <v>18399.999999999996</v>
      </c>
      <c r="AC64" s="73">
        <f t="shared" si="46"/>
        <v>16854.193654266954</v>
      </c>
      <c r="AD64" s="73">
        <f t="shared" si="47"/>
        <v>18480.575599719908</v>
      </c>
      <c r="AE64" s="73">
        <f t="shared" si="48"/>
        <v>10451.199999999999</v>
      </c>
      <c r="AF64" s="73">
        <f t="shared" si="49"/>
        <v>10496.966940640905</v>
      </c>
      <c r="AG64" s="73">
        <f t="shared" si="50"/>
        <v>0</v>
      </c>
      <c r="AH64" s="73">
        <f t="shared" si="51"/>
        <v>18399.999999999996</v>
      </c>
      <c r="AI64" s="73">
        <f t="shared" si="52"/>
        <v>18310.629489112722</v>
      </c>
      <c r="AJ64" s="73">
        <f t="shared" si="53"/>
        <v>10400.437549816023</v>
      </c>
      <c r="AK64" s="75">
        <f>IF($L$3316,1,0)</f>
        <v>0</v>
      </c>
      <c r="AL64" s="72">
        <f>IF($L$3316,$M$3316,0)</f>
        <v>0</v>
      </c>
      <c r="AM64" s="73">
        <f>$N$3343/$N$3331*IF($O$3316=1,$O$3343/$O$3331,1)-1</f>
        <v>1.3288593047456665E-2</v>
      </c>
      <c r="AN64" s="73">
        <f>$N$3344/$N$3332*IF($O$3316=1,$O$3344/$O$3332,1)-1</f>
        <v>1.3274336283185972E-2</v>
      </c>
      <c r="AO64" s="73">
        <f>$N$3345/$N$3333*IF($O$3316=1,$O$3345/$O$3333,1)-1</f>
        <v>1.3260110077078169E-2</v>
      </c>
      <c r="AP64" s="73">
        <f>$N$3346/$N$3334*IF($O$3316=1,$O$3346/$O$3334,1)-1</f>
        <v>1.3245433651869032E-2</v>
      </c>
      <c r="AQ64" s="73">
        <f>$N$3347/$N$3335*IF($O$3316=1,$O$3347/$O$3335,1)-1</f>
        <v>1.3230789678775778E-2</v>
      </c>
      <c r="AR64" s="73">
        <f>$N$3348/$N$3336*IF($O$3316=1,$O$3348/$O$3336,1)-1</f>
        <v>1.3216178050281746E-2</v>
      </c>
      <c r="AS64" s="73">
        <f>$N$3349/$N$3337*IF($O$3316=1,$O$3349/$O$3337,1)-1</f>
        <v>1.320159865934456E-2</v>
      </c>
      <c r="AT64" s="73">
        <f>$N$3350/$N$3338*IF($O$3316=1,$O$3350/$O$3338,1)-1</f>
        <v>1.3186813186813362E-2</v>
      </c>
      <c r="AU64" s="73">
        <f>$N$3351/$N$3339*IF($O$3316=1,$O$3351/$O$3339,1)-1</f>
        <v>1.3172298475862876E-2</v>
      </c>
      <c r="AV64" s="73">
        <f>$N$3352/$N$3340*IF($O$3316=1,$O$3352/$O$3340,1)-1</f>
        <v>1.3157815682433904E-2</v>
      </c>
      <c r="AW64" s="73">
        <f>$N$3353/$N$3341*IF($O$3316=1,$O$3353/$O$3341,1)-1</f>
        <v>1.3143364701363458E-2</v>
      </c>
      <c r="AX64" s="73">
        <f>$N$3354/$N$3342*IF($O$3316=1,$O$3354/$O$3342,1)-1</f>
        <v>1.3128945427949512E-2</v>
      </c>
      <c r="AY64" s="73">
        <f>$N$3343/$N$3331-1</f>
        <v>0</v>
      </c>
      <c r="AZ64" s="73">
        <f>$N$3344/$N$3332-1</f>
        <v>0</v>
      </c>
      <c r="BA64" s="73">
        <f>$N$3345/$N$3333-1</f>
        <v>0</v>
      </c>
      <c r="BB64" s="73">
        <f>$N$3346/$N$3334-1</f>
        <v>0</v>
      </c>
      <c r="BC64" s="73">
        <f>$N$3347/$N$3335-1</f>
        <v>0</v>
      </c>
      <c r="BD64" s="73">
        <f>$N$3348/$N$3336-1</f>
        <v>0</v>
      </c>
      <c r="BE64" s="73">
        <f>$N$3349/$N$3337-1</f>
        <v>0</v>
      </c>
      <c r="BF64" s="73">
        <f>$N$3350/$N$3338-1</f>
        <v>0</v>
      </c>
      <c r="BG64" s="73">
        <f>$N$3351/$N$3339-1</f>
        <v>0</v>
      </c>
      <c r="BH64" s="73">
        <f>$N$3352/$N$3340-1</f>
        <v>0</v>
      </c>
      <c r="BI64" s="73">
        <f>$N$3353/$N$3341-1</f>
        <v>0</v>
      </c>
      <c r="BJ64" s="73">
        <f>$N$3354/$N$3342-1</f>
        <v>0</v>
      </c>
      <c r="BK64" s="73">
        <f>$O$3343/$O$3331-1</f>
        <v>1.3288593047456665E-2</v>
      </c>
      <c r="BL64" s="73">
        <f>$O$3344/$O$3332-1</f>
        <v>1.3274336283185972E-2</v>
      </c>
      <c r="BM64" s="73">
        <f>$O$3345/$O$3333-1</f>
        <v>1.3260110077078169E-2</v>
      </c>
      <c r="BN64" s="73">
        <f>$O$3346/$O$3334-1</f>
        <v>1.3245433651869032E-2</v>
      </c>
      <c r="BO64" s="73">
        <f>$O$3347/$O$3335-1</f>
        <v>1.3230789678775778E-2</v>
      </c>
      <c r="BP64" s="73">
        <f>$O$3348/$O$3336-1</f>
        <v>1.3216178050281746E-2</v>
      </c>
      <c r="BQ64" s="73">
        <f>$O$3349/$O$3337-1</f>
        <v>1.320159865934456E-2</v>
      </c>
      <c r="BR64" s="73">
        <f>$O$3350/$O$3338-1</f>
        <v>1.3186813186813362E-2</v>
      </c>
      <c r="BS64" s="73">
        <f>$O$3351/$O$3339-1</f>
        <v>1.3172298475862876E-2</v>
      </c>
      <c r="BT64" s="73">
        <f>$O$3352/$O$3340-1</f>
        <v>1.3157815682433904E-2</v>
      </c>
      <c r="BU64" s="73">
        <f>$O$3353/$O$3341-1</f>
        <v>1.3143364701363458E-2</v>
      </c>
      <c r="BV64" s="73">
        <f>$O$3354/$O$3342-1</f>
        <v>1.3128945427949512E-2</v>
      </c>
      <c r="BW64" s="73">
        <f>$V64*$H$3343</f>
        <v>18400</v>
      </c>
      <c r="BX64" s="73">
        <f>$V64*$H$3344</f>
        <v>18400</v>
      </c>
      <c r="BY64" s="73">
        <f>$V64*$H$3345</f>
        <v>18400</v>
      </c>
      <c r="BZ64" s="73">
        <f>$V64*$H$3346</f>
        <v>18400</v>
      </c>
      <c r="CA64" s="73">
        <f>$V64*$H$3347</f>
        <v>18400</v>
      </c>
      <c r="CB64" s="73">
        <f>$V64*$H$3348</f>
        <v>18400</v>
      </c>
      <c r="CC64" s="73">
        <f>$V64*$H$3349</f>
        <v>18400</v>
      </c>
      <c r="CD64" s="73">
        <f>$V64*$H$3350</f>
        <v>18400</v>
      </c>
      <c r="CE64" s="73">
        <f>$V64*$H$3351</f>
        <v>18400</v>
      </c>
      <c r="CF64" s="73">
        <f>$V64*$H$3352</f>
        <v>18400</v>
      </c>
      <c r="CG64" s="73">
        <f>$V64*$H$3353</f>
        <v>18400</v>
      </c>
      <c r="CH64" s="73">
        <f>$V64*$H$3354</f>
        <v>18400</v>
      </c>
      <c r="CI64" s="75">
        <f>$O$3316</f>
        <v>1</v>
      </c>
      <c r="CJ64" s="73">
        <f>$H$3367</f>
        <v>1</v>
      </c>
      <c r="CK64" s="73">
        <f>$I$3367</f>
        <v>1.0132088564102013</v>
      </c>
      <c r="CL64" s="73">
        <f>$J$3367</f>
        <v>1.0132088564102013</v>
      </c>
      <c r="CM64" s="73">
        <f t="shared" si="54"/>
        <v>0</v>
      </c>
      <c r="CN64" s="73">
        <f t="shared" si="55"/>
        <v>18400</v>
      </c>
      <c r="CO64" s="72">
        <f>$M64*($C64/$K$3367)*IF($O$3316=1,$F$3316/$G64,1)*$R64</f>
        <v>0.57048733373048399</v>
      </c>
      <c r="CP64" s="72">
        <f>$M64*(1+$S64)*($C64/$L$3367)*IF($O$3316=1,$F$3316/$H64,1)*$R64</f>
        <v>0.56524117118565342</v>
      </c>
      <c r="CQ64" s="73">
        <f t="shared" si="56"/>
        <v>10496.966940640905</v>
      </c>
      <c r="CR64" s="73">
        <f t="shared" si="57"/>
        <v>10400.437549816023</v>
      </c>
      <c r="CS64" s="73">
        <f t="shared" si="58"/>
        <v>0</v>
      </c>
      <c r="CT64" s="272">
        <f t="shared" si="59"/>
        <v>0</v>
      </c>
      <c r="CU64" s="75">
        <f t="shared" si="60"/>
        <v>1</v>
      </c>
      <c r="CV64" s="75">
        <f t="shared" si="61"/>
        <v>0</v>
      </c>
      <c r="CW64" s="273">
        <f t="shared" si="62"/>
        <v>46023</v>
      </c>
      <c r="CX64" s="274">
        <f t="shared" si="63"/>
        <v>0.02</v>
      </c>
      <c r="CY64" s="6" t="str">
        <f t="shared" si="64"/>
        <v>T</v>
      </c>
      <c r="CZ64" s="273" t="str">
        <f t="shared" si="65"/>
        <v/>
      </c>
      <c r="DA64" s="274" t="str">
        <f t="shared" si="66"/>
        <v/>
      </c>
      <c r="DB64" s="6" t="str">
        <f t="shared" si="67"/>
        <v/>
      </c>
      <c r="DC64" s="273" t="str">
        <f t="shared" si="68"/>
        <v/>
      </c>
      <c r="DD64" s="274" t="str">
        <f t="shared" si="69"/>
        <v/>
      </c>
      <c r="DE64" s="6" t="str">
        <f t="shared" si="70"/>
        <v/>
      </c>
      <c r="DF64" s="273" t="str">
        <f t="shared" si="71"/>
        <v/>
      </c>
      <c r="DG64" s="274" t="str">
        <f t="shared" si="72"/>
        <v/>
      </c>
      <c r="DH64" s="6" t="str">
        <f t="shared" si="73"/>
        <v/>
      </c>
    </row>
    <row r="65" spans="1:112" x14ac:dyDescent="0.3">
      <c r="A65" s="6" t="str">
        <f>$A$3370</f>
        <v>SBA|WV</v>
      </c>
      <c r="B65" s="75">
        <f>$C$3370</f>
        <v>6</v>
      </c>
      <c r="C65" s="73">
        <f>$B$3421</f>
        <v>1.03</v>
      </c>
      <c r="D65" s="73">
        <f>$C$3421</f>
        <v>1.0199999999999998</v>
      </c>
      <c r="E65" s="73">
        <f>$D$3421</f>
        <v>1.057466666666667</v>
      </c>
      <c r="F65" s="73">
        <f>$E$3421</f>
        <v>1.0712000000000004</v>
      </c>
      <c r="G65" s="224">
        <f>$F$3421</f>
        <v>0.9080037381473377</v>
      </c>
      <c r="H65" s="224">
        <f>$G$3421</f>
        <v>0.90516988815949428</v>
      </c>
      <c r="I65" s="73">
        <f t="shared" si="37"/>
        <v>0.9740259740259738</v>
      </c>
      <c r="J65" s="73">
        <f t="shared" si="38"/>
        <v>0.96153846153846123</v>
      </c>
      <c r="K65" s="73">
        <f>IF($L$3370,1,IF(AND(nr_ModAdjMaster="ON",INDEX(lr_modadj,62)="ON"),$F$3370/$G65,1))</f>
        <v>1.0132116877372543</v>
      </c>
      <c r="L65" s="73">
        <f>IF($L$3370,1,IF(AND(nr_ModAdjMaster="ON",INDEX(lr_modadj,62)="ON"),$F$3370/$H65,1))</f>
        <v>1.0163837883191853</v>
      </c>
      <c r="M65" s="72">
        <f>IF(INDEX(lr_basis,62)="proposed",N(INDEX(lr_lrproj,62))*(1+N(INDEX(lr_s,62))),N(INDEX(lr_lrproj,62)))</f>
        <v>0.59599999999999997</v>
      </c>
      <c r="N65" s="72">
        <f t="shared" si="39"/>
        <v>0.58818912262149681</v>
      </c>
      <c r="O65" s="72">
        <f t="shared" si="40"/>
        <v>0.5824660940752252</v>
      </c>
      <c r="P65" s="72">
        <f t="shared" si="41"/>
        <v>2.666666666666706E-2</v>
      </c>
      <c r="Q65" s="72">
        <f t="shared" si="42"/>
        <v>1.2987012987013102E-2</v>
      </c>
      <c r="R65" s="73">
        <f>IF(N(INDEX(lr_aother,62))=0,1,INDEX(lr_aother,62))</f>
        <v>1</v>
      </c>
      <c r="S65" s="72">
        <f>IF(ISBLANK(INDEX(lr_trend,62)),N(nr_TrendDefault),N(INDEX(lr_trend,62)))</f>
        <v>0</v>
      </c>
      <c r="T65" s="6" t="str">
        <f>INDEX(lr_state,62)</f>
        <v>WV</v>
      </c>
      <c r="U65" s="6" t="str">
        <f>INDEX(lr_bu,62)</f>
        <v>SBA</v>
      </c>
      <c r="V65" s="271">
        <f>N(INDEX(lr_ep,62))</f>
        <v>15200</v>
      </c>
      <c r="W65" s="73">
        <f>N(INDEX(lr_mind,62))*$V65</f>
        <v>13984</v>
      </c>
      <c r="X65" s="73">
        <f>N(INDEX(lr_m0,62))*$V65</f>
        <v>13832</v>
      </c>
      <c r="Y65" s="73">
        <f>N(INDEX(lr_m1,62))*$V65</f>
        <v>13756</v>
      </c>
      <c r="Z65" s="73">
        <f t="shared" si="43"/>
        <v>15656</v>
      </c>
      <c r="AA65" s="73">
        <f t="shared" si="44"/>
        <v>16073.493333333339</v>
      </c>
      <c r="AB65" s="73">
        <f t="shared" si="45"/>
        <v>14805.194805194802</v>
      </c>
      <c r="AC65" s="73">
        <f t="shared" si="46"/>
        <v>13801.656819839533</v>
      </c>
      <c r="AD65" s="73">
        <f t="shared" si="47"/>
        <v>15400.817653606266</v>
      </c>
      <c r="AE65" s="73">
        <f t="shared" si="48"/>
        <v>9059.1999999999989</v>
      </c>
      <c r="AF65" s="73">
        <f t="shared" si="49"/>
        <v>8940.4746638467514</v>
      </c>
      <c r="AG65" s="73">
        <f t="shared" si="50"/>
        <v>0</v>
      </c>
      <c r="AH65" s="73">
        <f t="shared" si="51"/>
        <v>14615.384615384612</v>
      </c>
      <c r="AI65" s="73">
        <f t="shared" si="52"/>
        <v>15449.033582451617</v>
      </c>
      <c r="AJ65" s="73">
        <f t="shared" si="53"/>
        <v>8853.484629943423</v>
      </c>
      <c r="AK65" s="75">
        <f>IF($L$3370,1,0)</f>
        <v>0</v>
      </c>
      <c r="AL65" s="72">
        <f>IF($L$3370,$M$3370,0)</f>
        <v>0</v>
      </c>
      <c r="AM65" s="73">
        <f>$N$3397/$N$3385*IF($O$3370=1,$O$3397/$O$3385,1)-1</f>
        <v>2.5493908176168478E-2</v>
      </c>
      <c r="AN65" s="73">
        <f>$N$3398/$N$3386*IF($O$3370=1,$O$3398/$O$3386,1)-1</f>
        <v>3.5448550394475031E-2</v>
      </c>
      <c r="AO65" s="73">
        <f>$N$3399/$N$3387*IF($O$3370=1,$O$3399/$O$3387,1)-1</f>
        <v>3.5446939938229116E-2</v>
      </c>
      <c r="AP65" s="73">
        <f>$N$3400/$N$3388*IF($O$3370=1,$O$3400/$O$3388,1)-1</f>
        <v>3.5445273691536272E-2</v>
      </c>
      <c r="AQ65" s="73">
        <f>$N$3401/$N$3389*IF($O$3370=1,$O$3401/$O$3389,1)-1</f>
        <v>3.5443606224830893E-2</v>
      </c>
      <c r="AR65" s="73">
        <f>$N$3402/$N$3390*IF($O$3370=1,$O$3402/$O$3390,1)-1</f>
        <v>3.544193753677316E-2</v>
      </c>
      <c r="AS65" s="73">
        <f>$N$3403/$N$3391*IF($O$3370=1,$O$3403/$O$3391,1)-1</f>
        <v>3.5440267626020372E-2</v>
      </c>
      <c r="AT65" s="73">
        <f>$N$3404/$N$3392*IF($O$3370=1,$O$3404/$O$3392,1)-1</f>
        <v>3.5438569085370686E-2</v>
      </c>
      <c r="AU65" s="73">
        <f>$N$3405/$N$3393*IF($O$3370=1,$O$3405/$O$3393,1)-1</f>
        <v>3.5436896705093091E-2</v>
      </c>
      <c r="AV65" s="73">
        <f>$N$3406/$N$3394*IF($O$3370=1,$O$3406/$O$3394,1)-1</f>
        <v>3.5435223098059687E-2</v>
      </c>
      <c r="AW65" s="73">
        <f>$N$3407/$N$3395*IF($O$3370=1,$O$3407/$O$3395,1)-1</f>
        <v>3.543354826292E-2</v>
      </c>
      <c r="AX65" s="73">
        <f>$N$3408/$N$3396*IF($O$3370=1,$O$3408/$O$3396,1)-1</f>
        <v>3.5431872198321335E-2</v>
      </c>
      <c r="AY65" s="73">
        <f>$N$3397/$N$3385-1</f>
        <v>3.0000000000000027E-2</v>
      </c>
      <c r="AZ65" s="73">
        <f>$N$3398/$N$3386-1</f>
        <v>4.0000000000000036E-2</v>
      </c>
      <c r="BA65" s="73">
        <f>$N$3399/$N$3387-1</f>
        <v>4.0000000000000036E-2</v>
      </c>
      <c r="BB65" s="73">
        <f>$N$3400/$N$3388-1</f>
        <v>4.0000000000000036E-2</v>
      </c>
      <c r="BC65" s="73">
        <f>$N$3401/$N$3389-1</f>
        <v>4.0000000000000036E-2</v>
      </c>
      <c r="BD65" s="73">
        <f>$N$3402/$N$3390-1</f>
        <v>4.0000000000000036E-2</v>
      </c>
      <c r="BE65" s="73">
        <f>$N$3403/$N$3391-1</f>
        <v>4.0000000000000036E-2</v>
      </c>
      <c r="BF65" s="73">
        <f>$N$3404/$N$3392-1</f>
        <v>4.0000000000000036E-2</v>
      </c>
      <c r="BG65" s="73">
        <f>$N$3405/$N$3393-1</f>
        <v>4.0000000000000036E-2</v>
      </c>
      <c r="BH65" s="73">
        <f>$N$3406/$N$3394-1</f>
        <v>4.0000000000000036E-2</v>
      </c>
      <c r="BI65" s="73">
        <f>$N$3407/$N$3395-1</f>
        <v>4.0000000000000036E-2</v>
      </c>
      <c r="BJ65" s="73">
        <f>$N$3408/$N$3396-1</f>
        <v>4.0000000000000036E-2</v>
      </c>
      <c r="BK65" s="73">
        <f>$O$3397/$O$3385-1</f>
        <v>-4.3748464309043555E-3</v>
      </c>
      <c r="BL65" s="73">
        <f>$O$3398/$O$3386-1</f>
        <v>-4.3763938514663758E-3</v>
      </c>
      <c r="BM65" s="73">
        <f>$O$3399/$O$3387-1</f>
        <v>-4.3779423670874396E-3</v>
      </c>
      <c r="BN65" s="73">
        <f>$O$3400/$O$3388-1</f>
        <v>-4.3795445273691058E-3</v>
      </c>
      <c r="BO65" s="73">
        <f>$O$3401/$O$3389-1</f>
        <v>-4.3811478607395093E-3</v>
      </c>
      <c r="BP65" s="73">
        <f>$O$3402/$O$3390-1</f>
        <v>-4.382752368487397E-3</v>
      </c>
      <c r="BQ65" s="73">
        <f>$O$3403/$O$3391-1</f>
        <v>-4.3843580519036252E-3</v>
      </c>
      <c r="BR65" s="73">
        <f>$O$3404/$O$3392-1</f>
        <v>-4.3859912640666909E-3</v>
      </c>
      <c r="BS65" s="73">
        <f>$O$3405/$O$3393-1</f>
        <v>-4.3875993220258147E-3</v>
      </c>
      <c r="BT65" s="73">
        <f>$O$3406/$O$3394-1</f>
        <v>-4.3892085595579333E-3</v>
      </c>
      <c r="BU65" s="73">
        <f>$O$3407/$O$3395-1</f>
        <v>-4.3908189779616746E-3</v>
      </c>
      <c r="BV65" s="73">
        <f>$O$3408/$O$3396-1</f>
        <v>-4.3924305785372209E-3</v>
      </c>
      <c r="BW65" s="73">
        <f>$V65*$H$3397</f>
        <v>15200</v>
      </c>
      <c r="BX65" s="73">
        <f>$V65*$H$3398</f>
        <v>15200</v>
      </c>
      <c r="BY65" s="73">
        <f>$V65*$H$3399</f>
        <v>15200</v>
      </c>
      <c r="BZ65" s="73">
        <f>$V65*$H$3400</f>
        <v>15200</v>
      </c>
      <c r="CA65" s="73">
        <f>$V65*$H$3401</f>
        <v>15200</v>
      </c>
      <c r="CB65" s="73">
        <f>$V65*$H$3402</f>
        <v>15200</v>
      </c>
      <c r="CC65" s="73">
        <f>$V65*$H$3403</f>
        <v>15200</v>
      </c>
      <c r="CD65" s="73">
        <f>$V65*$H$3404</f>
        <v>15200</v>
      </c>
      <c r="CE65" s="73">
        <f>$V65*$H$3405</f>
        <v>15200</v>
      </c>
      <c r="CF65" s="73">
        <f>$V65*$H$3406</f>
        <v>15200</v>
      </c>
      <c r="CG65" s="73">
        <f>$V65*$H$3407</f>
        <v>15200</v>
      </c>
      <c r="CH65" s="73">
        <f>$V65*$H$3408</f>
        <v>15200</v>
      </c>
      <c r="CI65" s="75">
        <f>$O$3370</f>
        <v>1</v>
      </c>
      <c r="CJ65" s="73">
        <f>$H$3421</f>
        <v>1.0391666666666666</v>
      </c>
      <c r="CK65" s="73">
        <f>$I$3421</f>
        <v>0.99561641381999111</v>
      </c>
      <c r="CL65" s="73">
        <f>$J$3421</f>
        <v>1.0346113827448165</v>
      </c>
      <c r="CM65" s="73">
        <f t="shared" si="54"/>
        <v>0</v>
      </c>
      <c r="CN65" s="73">
        <f t="shared" si="55"/>
        <v>15200</v>
      </c>
      <c r="CO65" s="72">
        <f>$M65*($C65/$K$3421)*IF($O$3370=1,$F$3370/$G65,1)*$R65</f>
        <v>0.58818912262149681</v>
      </c>
      <c r="CP65" s="72">
        <f>$M65*(1+$S65)*($C65/$L$3421)*IF($O$3370=1,$F$3370/$H65,1)*$R65</f>
        <v>0.5824660940752252</v>
      </c>
      <c r="CQ65" s="73">
        <f t="shared" si="56"/>
        <v>8940.4746638467514</v>
      </c>
      <c r="CR65" s="73">
        <f t="shared" si="57"/>
        <v>8853.484629943423</v>
      </c>
      <c r="CS65" s="73">
        <f t="shared" si="58"/>
        <v>0</v>
      </c>
      <c r="CT65" s="272">
        <f t="shared" si="59"/>
        <v>0</v>
      </c>
      <c r="CU65" s="75">
        <f t="shared" si="60"/>
        <v>1</v>
      </c>
      <c r="CV65" s="75">
        <f t="shared" si="61"/>
        <v>1</v>
      </c>
      <c r="CW65" s="273">
        <f t="shared" si="62"/>
        <v>46054</v>
      </c>
      <c r="CX65" s="274">
        <f t="shared" si="63"/>
        <v>0.03</v>
      </c>
      <c r="CY65" s="6" t="str">
        <f t="shared" si="64"/>
        <v>T</v>
      </c>
      <c r="CZ65" s="273">
        <f t="shared" si="65"/>
        <v>46419</v>
      </c>
      <c r="DA65" s="274">
        <f t="shared" si="66"/>
        <v>0.04</v>
      </c>
      <c r="DB65" s="6" t="str">
        <f t="shared" si="67"/>
        <v>P*</v>
      </c>
      <c r="DC65" s="273" t="str">
        <f t="shared" si="68"/>
        <v/>
      </c>
      <c r="DD65" s="274" t="str">
        <f t="shared" si="69"/>
        <v/>
      </c>
      <c r="DE65" s="6" t="str">
        <f t="shared" si="70"/>
        <v/>
      </c>
      <c r="DF65" s="273" t="str">
        <f t="shared" si="71"/>
        <v/>
      </c>
      <c r="DG65" s="274" t="str">
        <f t="shared" si="72"/>
        <v/>
      </c>
      <c r="DH65" s="6" t="str">
        <f t="shared" si="73"/>
        <v/>
      </c>
    </row>
    <row r="66" spans="1:112" x14ac:dyDescent="0.3">
      <c r="A66" s="6" t="str">
        <f>$A$3424</f>
        <v>SBA|WI</v>
      </c>
      <c r="B66" s="75">
        <f>$C$3424</f>
        <v>6</v>
      </c>
      <c r="C66" s="73">
        <f>$B$3475</f>
        <v>1</v>
      </c>
      <c r="D66" s="73">
        <f>$C$3475</f>
        <v>1</v>
      </c>
      <c r="E66" s="73">
        <f>$D$3475</f>
        <v>1</v>
      </c>
      <c r="F66" s="73">
        <f>$E$3475</f>
        <v>1</v>
      </c>
      <c r="G66" s="224">
        <f>$F$3475</f>
        <v>0.91399252370532447</v>
      </c>
      <c r="H66" s="224">
        <f>$G$3475</f>
        <v>0.91966022368101141</v>
      </c>
      <c r="I66" s="73">
        <f t="shared" si="37"/>
        <v>1</v>
      </c>
      <c r="J66" s="73">
        <f t="shared" si="38"/>
        <v>1</v>
      </c>
      <c r="K66" s="73">
        <f>IF($L$3424,1,IF(AND(nr_ModAdjMaster="ON",INDEX(lr_modadj,63)="ON"),$F$3424/$G66,1))</f>
        <v>1.0065727849395543</v>
      </c>
      <c r="L66" s="73">
        <f>IF($L$3424,1,IF(AND(nr_ModAdjMaster="ON",INDEX(lr_modadj,63)="ON"),$F$3424/$H66,1))</f>
        <v>1.000369458535054</v>
      </c>
      <c r="M66" s="72">
        <f>IF(INDEX(lr_basis,63)="proposed",N(INDEX(lr_lrproj,63))*(1+N(INDEX(lr_s,63))),N(INDEX(lr_lrproj,63)))</f>
        <v>0.57999999999999996</v>
      </c>
      <c r="N66" s="72">
        <f t="shared" si="39"/>
        <v>0.58381221526494143</v>
      </c>
      <c r="O66" s="72">
        <f t="shared" si="40"/>
        <v>0.58021428595033131</v>
      </c>
      <c r="P66" s="72">
        <f t="shared" si="41"/>
        <v>0</v>
      </c>
      <c r="Q66" s="72">
        <f t="shared" si="42"/>
        <v>0</v>
      </c>
      <c r="R66" s="73">
        <f>IF(N(INDEX(lr_aother,63))=0,1,INDEX(lr_aother,63))</f>
        <v>1</v>
      </c>
      <c r="S66" s="72">
        <f>IF(ISBLANK(INDEX(lr_trend,63)),N(nr_TrendDefault),N(INDEX(lr_trend,63)))</f>
        <v>0</v>
      </c>
      <c r="T66" s="6" t="str">
        <f>INDEX(lr_state,63)</f>
        <v>WI</v>
      </c>
      <c r="U66" s="6" t="str">
        <f>INDEX(lr_bu,63)</f>
        <v>SBA</v>
      </c>
      <c r="V66" s="271">
        <f>N(INDEX(lr_ep,63))</f>
        <v>12000</v>
      </c>
      <c r="W66" s="73">
        <f>N(INDEX(lr_mind,63))*$V66</f>
        <v>11040</v>
      </c>
      <c r="X66" s="73">
        <f>N(INDEX(lr_m0,63))*$V66</f>
        <v>10920</v>
      </c>
      <c r="Y66" s="73">
        <f>N(INDEX(lr_m1,63))*$V66</f>
        <v>11040</v>
      </c>
      <c r="Z66" s="73">
        <f t="shared" si="43"/>
        <v>12000</v>
      </c>
      <c r="AA66" s="73">
        <f t="shared" si="44"/>
        <v>12000</v>
      </c>
      <c r="AB66" s="73">
        <f t="shared" si="45"/>
        <v>12000</v>
      </c>
      <c r="AC66" s="73">
        <f t="shared" si="46"/>
        <v>10967.910284463893</v>
      </c>
      <c r="AD66" s="73">
        <f t="shared" si="47"/>
        <v>12078.873419274651</v>
      </c>
      <c r="AE66" s="73">
        <f t="shared" si="48"/>
        <v>6959.9999999999991</v>
      </c>
      <c r="AF66" s="73">
        <f t="shared" si="49"/>
        <v>7005.746583179297</v>
      </c>
      <c r="AG66" s="73">
        <f t="shared" si="50"/>
        <v>0</v>
      </c>
      <c r="AH66" s="73">
        <f t="shared" si="51"/>
        <v>12000</v>
      </c>
      <c r="AI66" s="73">
        <f t="shared" si="52"/>
        <v>12004.433502420648</v>
      </c>
      <c r="AJ66" s="73">
        <f t="shared" si="53"/>
        <v>6962.571431403976</v>
      </c>
      <c r="AK66" s="75">
        <f>IF($L$3424,1,0)</f>
        <v>0</v>
      </c>
      <c r="AL66" s="72">
        <f>IF($L$3424,$M$3424,0)</f>
        <v>0</v>
      </c>
      <c r="AM66" s="73">
        <f>$N$3451/$N$3439*IF($O$3424=1,$O$3451/$O$3439,1)-1</f>
        <v>8.8314642083742179E-3</v>
      </c>
      <c r="AN66" s="73">
        <f>$N$3452/$N$3440*IF($O$3424=1,$O$3452/$O$3440,1)-1</f>
        <v>8.8251650184965058E-3</v>
      </c>
      <c r="AO66" s="73">
        <f>$N$3453/$N$3441*IF($O$3424=1,$O$3453/$O$3441,1)-1</f>
        <v>8.8188748082196344E-3</v>
      </c>
      <c r="AP66" s="73">
        <f>$N$3454/$N$3442*IF($O$3424=1,$O$3454/$O$3442,1)-1</f>
        <v>8.8123807914242125E-3</v>
      </c>
      <c r="AQ66" s="73">
        <f>$N$3455/$N$3443*IF($O$3424=1,$O$3455/$O$3443,1)-1</f>
        <v>8.8058963316806071E-3</v>
      </c>
      <c r="AR66" s="73">
        <f>$N$3456/$N$3444*IF($O$3424=1,$O$3456/$O$3444,1)-1</f>
        <v>8.7994214079074595E-3</v>
      </c>
      <c r="AS66" s="73">
        <f>$N$3457/$N$3445*IF($O$3424=1,$O$3457/$O$3445,1)-1</f>
        <v>8.792955999084473E-3</v>
      </c>
      <c r="AT66" s="73">
        <f>$N$3458/$N$3446*IF($O$3424=1,$O$3458/$O$3446,1)-1</f>
        <v>8.7863943285630963E-3</v>
      </c>
      <c r="AU66" s="73">
        <f>$N$3459/$N$3447*IF($O$3424=1,$O$3459/$O$3447,1)-1</f>
        <v>8.7799480419512577E-3</v>
      </c>
      <c r="AV66" s="73">
        <f>$N$3460/$N$3448*IF($O$3424=1,$O$3460/$O$3448,1)-1</f>
        <v>8.7735112072593324E-3</v>
      </c>
      <c r="AW66" s="73">
        <f>$N$3461/$N$3449*IF($O$3424=1,$O$3461/$O$3449,1)-1</f>
        <v>8.7670838037132715E-3</v>
      </c>
      <c r="AX66" s="73">
        <f>$N$3462/$N$3450*IF($O$3424=1,$O$3462/$O$3450,1)-1</f>
        <v>8.7606658106016422E-3</v>
      </c>
      <c r="AY66" s="73">
        <f>$N$3451/$N$3439-1</f>
        <v>0</v>
      </c>
      <c r="AZ66" s="73">
        <f>$N$3452/$N$3440-1</f>
        <v>0</v>
      </c>
      <c r="BA66" s="73">
        <f>$N$3453/$N$3441-1</f>
        <v>0</v>
      </c>
      <c r="BB66" s="73">
        <f>$N$3454/$N$3442-1</f>
        <v>0</v>
      </c>
      <c r="BC66" s="73">
        <f>$N$3455/$N$3443-1</f>
        <v>0</v>
      </c>
      <c r="BD66" s="73">
        <f>$N$3456/$N$3444-1</f>
        <v>0</v>
      </c>
      <c r="BE66" s="73">
        <f>$N$3457/$N$3445-1</f>
        <v>0</v>
      </c>
      <c r="BF66" s="73">
        <f>$N$3458/$N$3446-1</f>
        <v>0</v>
      </c>
      <c r="BG66" s="73">
        <f>$N$3459/$N$3447-1</f>
        <v>0</v>
      </c>
      <c r="BH66" s="73">
        <f>$N$3460/$N$3448-1</f>
        <v>0</v>
      </c>
      <c r="BI66" s="73">
        <f>$N$3461/$N$3449-1</f>
        <v>0</v>
      </c>
      <c r="BJ66" s="73">
        <f>$N$3462/$N$3450-1</f>
        <v>0</v>
      </c>
      <c r="BK66" s="73">
        <f>$O$3451/$O$3439-1</f>
        <v>8.8314642083742179E-3</v>
      </c>
      <c r="BL66" s="73">
        <f>$O$3452/$O$3440-1</f>
        <v>8.8251650184965058E-3</v>
      </c>
      <c r="BM66" s="73">
        <f>$O$3453/$O$3441-1</f>
        <v>8.8188748082196344E-3</v>
      </c>
      <c r="BN66" s="73">
        <f>$O$3454/$O$3442-1</f>
        <v>8.8123807914242125E-3</v>
      </c>
      <c r="BO66" s="73">
        <f>$O$3455/$O$3443-1</f>
        <v>8.8058963316806071E-3</v>
      </c>
      <c r="BP66" s="73">
        <f>$O$3456/$O$3444-1</f>
        <v>8.7994214079074595E-3</v>
      </c>
      <c r="BQ66" s="73">
        <f>$O$3457/$O$3445-1</f>
        <v>8.792955999084473E-3</v>
      </c>
      <c r="BR66" s="73">
        <f>$O$3458/$O$3446-1</f>
        <v>8.7863943285630963E-3</v>
      </c>
      <c r="BS66" s="73">
        <f>$O$3459/$O$3447-1</f>
        <v>8.7799480419512577E-3</v>
      </c>
      <c r="BT66" s="73">
        <f>$O$3460/$O$3448-1</f>
        <v>8.7735112072593324E-3</v>
      </c>
      <c r="BU66" s="73">
        <f>$O$3461/$O$3449-1</f>
        <v>8.7670838037132715E-3</v>
      </c>
      <c r="BV66" s="73">
        <f>$O$3462/$O$3450-1</f>
        <v>8.7606658106016422E-3</v>
      </c>
      <c r="BW66" s="73">
        <f>$V66*$H$3451</f>
        <v>12000</v>
      </c>
      <c r="BX66" s="73">
        <f>$V66*$H$3452</f>
        <v>12000</v>
      </c>
      <c r="BY66" s="73">
        <f>$V66*$H$3453</f>
        <v>12000</v>
      </c>
      <c r="BZ66" s="73">
        <f>$V66*$H$3454</f>
        <v>12000</v>
      </c>
      <c r="CA66" s="73">
        <f>$V66*$H$3455</f>
        <v>12000</v>
      </c>
      <c r="CB66" s="73">
        <f>$V66*$H$3456</f>
        <v>12000</v>
      </c>
      <c r="CC66" s="73">
        <f>$V66*$H$3457</f>
        <v>12000</v>
      </c>
      <c r="CD66" s="73">
        <f>$V66*$H$3458</f>
        <v>12000</v>
      </c>
      <c r="CE66" s="73">
        <f>$V66*$H$3459</f>
        <v>12000</v>
      </c>
      <c r="CF66" s="73">
        <f>$V66*$H$3460</f>
        <v>12000</v>
      </c>
      <c r="CG66" s="73">
        <f>$V66*$H$3461</f>
        <v>12000</v>
      </c>
      <c r="CH66" s="73">
        <f>$V66*$H$3462</f>
        <v>12000</v>
      </c>
      <c r="CI66" s="75">
        <f>$O$3424</f>
        <v>1</v>
      </c>
      <c r="CJ66" s="73">
        <f>$H$3475</f>
        <v>1</v>
      </c>
      <c r="CK66" s="73">
        <f>$I$3475</f>
        <v>1.0087961468131064</v>
      </c>
      <c r="CL66" s="73">
        <f>$J$3475</f>
        <v>1.0087961468131064</v>
      </c>
      <c r="CM66" s="73">
        <f t="shared" si="54"/>
        <v>0</v>
      </c>
      <c r="CN66" s="73">
        <f t="shared" si="55"/>
        <v>12000</v>
      </c>
      <c r="CO66" s="72">
        <f>$M66*($C66/$K$3475)*IF($O$3424=1,$F$3424/$G66,1)*$R66</f>
        <v>0.58381221526494143</v>
      </c>
      <c r="CP66" s="72">
        <f>$M66*(1+$S66)*($C66/$L$3475)*IF($O$3424=1,$F$3424/$H66,1)*$R66</f>
        <v>0.58021428595033131</v>
      </c>
      <c r="CQ66" s="73">
        <f t="shared" si="56"/>
        <v>7005.746583179297</v>
      </c>
      <c r="CR66" s="73">
        <f t="shared" si="57"/>
        <v>6962.571431403976</v>
      </c>
      <c r="CS66" s="73">
        <f t="shared" si="58"/>
        <v>0</v>
      </c>
      <c r="CT66" s="272">
        <f t="shared" si="59"/>
        <v>0</v>
      </c>
      <c r="CU66" s="75">
        <f t="shared" si="60"/>
        <v>0</v>
      </c>
      <c r="CV66" s="75">
        <f t="shared" si="61"/>
        <v>0</v>
      </c>
      <c r="CW66" s="273" t="str">
        <f t="shared" si="62"/>
        <v/>
      </c>
      <c r="CX66" s="274" t="str">
        <f t="shared" si="63"/>
        <v/>
      </c>
      <c r="CY66" s="6" t="str">
        <f t="shared" si="64"/>
        <v/>
      </c>
      <c r="CZ66" s="273" t="str">
        <f t="shared" si="65"/>
        <v/>
      </c>
      <c r="DA66" s="274" t="str">
        <f t="shared" si="66"/>
        <v/>
      </c>
      <c r="DB66" s="6" t="str">
        <f t="shared" si="67"/>
        <v/>
      </c>
      <c r="DC66" s="273" t="str">
        <f t="shared" si="68"/>
        <v/>
      </c>
      <c r="DD66" s="274" t="str">
        <f t="shared" si="69"/>
        <v/>
      </c>
      <c r="DE66" s="6" t="str">
        <f t="shared" si="70"/>
        <v/>
      </c>
      <c r="DF66" s="273" t="str">
        <f t="shared" si="71"/>
        <v/>
      </c>
      <c r="DG66" s="274" t="str">
        <f t="shared" si="72"/>
        <v/>
      </c>
      <c r="DH66" s="6" t="str">
        <f t="shared" si="73"/>
        <v/>
      </c>
    </row>
    <row r="67" spans="1:112" x14ac:dyDescent="0.3">
      <c r="A67" s="6" t="str">
        <f>$A$3478</f>
        <v/>
      </c>
      <c r="B67" s="75">
        <f>$C$3478</f>
        <v>6</v>
      </c>
      <c r="C67" s="73">
        <f>$B$3529</f>
        <v>1</v>
      </c>
      <c r="D67" s="73">
        <f>$C$3529</f>
        <v>1</v>
      </c>
      <c r="E67" s="73">
        <f>$D$3529</f>
        <v>1</v>
      </c>
      <c r="F67" s="73">
        <f>$E$3529</f>
        <v>1</v>
      </c>
      <c r="G67" s="224">
        <f>$F$3529</f>
        <v>1</v>
      </c>
      <c r="H67" s="224">
        <f>$G$3529</f>
        <v>1</v>
      </c>
      <c r="I67" s="73">
        <f t="shared" si="37"/>
        <v>1</v>
      </c>
      <c r="J67" s="73">
        <f t="shared" si="38"/>
        <v>1</v>
      </c>
      <c r="K67" s="73">
        <f>IF($L$3478,1,IF(AND(nr_ModAdjMaster="ON",INDEX(lr_modadj,64)="ON"),$F$3478/$G67,1))</f>
        <v>1</v>
      </c>
      <c r="L67" s="73">
        <f>IF($L$3478,1,IF(AND(nr_ModAdjMaster="ON",INDEX(lr_modadj,64)="ON"),$F$3478/$H67,1))</f>
        <v>1</v>
      </c>
      <c r="M67" s="72">
        <f>IF(INDEX(lr_basis,64)="proposed",N(INDEX(lr_lrproj,64))*(1+N(INDEX(lr_s,64))),N(INDEX(lr_lrproj,64)))</f>
        <v>0</v>
      </c>
      <c r="N67" s="72">
        <f t="shared" si="39"/>
        <v>0</v>
      </c>
      <c r="O67" s="72">
        <f t="shared" si="40"/>
        <v>0</v>
      </c>
      <c r="P67" s="72">
        <f t="shared" si="41"/>
        <v>0</v>
      </c>
      <c r="Q67" s="72">
        <f t="shared" si="42"/>
        <v>0</v>
      </c>
      <c r="R67" s="73">
        <f>IF(N(INDEX(lr_aother,64))=0,1,INDEX(lr_aother,64))</f>
        <v>1</v>
      </c>
      <c r="S67" s="72">
        <f>IF(ISBLANK(INDEX(lr_trend,64)),N(nr_TrendDefault),N(INDEX(lr_trend,64)))</f>
        <v>0</v>
      </c>
      <c r="T67" s="6">
        <f>INDEX(lr_state,64)</f>
        <v>0</v>
      </c>
      <c r="U67" s="6">
        <f>INDEX(lr_bu,64)</f>
        <v>0</v>
      </c>
      <c r="V67" s="271">
        <f>N(INDEX(lr_ep,64))</f>
        <v>0</v>
      </c>
      <c r="W67" s="73">
        <f>N(INDEX(lr_mind,64))*$V67</f>
        <v>0</v>
      </c>
      <c r="X67" s="73">
        <f>N(INDEX(lr_m0,64))*$V67</f>
        <v>0</v>
      </c>
      <c r="Y67" s="73">
        <f>N(INDEX(lr_m1,64))*$V67</f>
        <v>0</v>
      </c>
      <c r="Z67" s="73">
        <f t="shared" si="43"/>
        <v>0</v>
      </c>
      <c r="AA67" s="73">
        <f t="shared" si="44"/>
        <v>0</v>
      </c>
      <c r="AB67" s="73">
        <f t="shared" si="45"/>
        <v>0</v>
      </c>
      <c r="AC67" s="73">
        <f t="shared" si="46"/>
        <v>0</v>
      </c>
      <c r="AD67" s="73">
        <f t="shared" si="47"/>
        <v>0</v>
      </c>
      <c r="AE67" s="73">
        <f t="shared" si="48"/>
        <v>0</v>
      </c>
      <c r="AF67" s="73">
        <f t="shared" si="49"/>
        <v>0</v>
      </c>
      <c r="AG67" s="73">
        <f t="shared" si="50"/>
        <v>0</v>
      </c>
      <c r="AH67" s="73">
        <f t="shared" si="51"/>
        <v>0</v>
      </c>
      <c r="AI67" s="73">
        <f t="shared" si="52"/>
        <v>0</v>
      </c>
      <c r="AJ67" s="73">
        <f t="shared" si="53"/>
        <v>0</v>
      </c>
      <c r="AK67" s="75">
        <f>IF($L$3478,1,0)</f>
        <v>0</v>
      </c>
      <c r="AL67" s="72">
        <f>IF($L$3478,$M$3478,0)</f>
        <v>0</v>
      </c>
      <c r="AM67" s="73">
        <f>$N$3505/$N$3493*IF($O$3478=1,$O$3505/$O$3493,1)-1</f>
        <v>0</v>
      </c>
      <c r="AN67" s="73">
        <f>$N$3506/$N$3494*IF($O$3478=1,$O$3506/$O$3494,1)-1</f>
        <v>0</v>
      </c>
      <c r="AO67" s="73">
        <f>$N$3507/$N$3495*IF($O$3478=1,$O$3507/$O$3495,1)-1</f>
        <v>0</v>
      </c>
      <c r="AP67" s="73">
        <f>$N$3508/$N$3496*IF($O$3478=1,$O$3508/$O$3496,1)-1</f>
        <v>0</v>
      </c>
      <c r="AQ67" s="73">
        <f>$N$3509/$N$3497*IF($O$3478=1,$O$3509/$O$3497,1)-1</f>
        <v>0</v>
      </c>
      <c r="AR67" s="73">
        <f>$N$3510/$N$3498*IF($O$3478=1,$O$3510/$O$3498,1)-1</f>
        <v>0</v>
      </c>
      <c r="AS67" s="73">
        <f>$N$3511/$N$3499*IF($O$3478=1,$O$3511/$O$3499,1)-1</f>
        <v>0</v>
      </c>
      <c r="AT67" s="73">
        <f>$N$3512/$N$3500*IF($O$3478=1,$O$3512/$O$3500,1)-1</f>
        <v>0</v>
      </c>
      <c r="AU67" s="73">
        <f>$N$3513/$N$3501*IF($O$3478=1,$O$3513/$O$3501,1)-1</f>
        <v>0</v>
      </c>
      <c r="AV67" s="73">
        <f>$N$3514/$N$3502*IF($O$3478=1,$O$3514/$O$3502,1)-1</f>
        <v>0</v>
      </c>
      <c r="AW67" s="73">
        <f>$N$3515/$N$3503*IF($O$3478=1,$O$3515/$O$3503,1)-1</f>
        <v>0</v>
      </c>
      <c r="AX67" s="73">
        <f>$N$3516/$N$3504*IF($O$3478=1,$O$3516/$O$3504,1)-1</f>
        <v>0</v>
      </c>
      <c r="AY67" s="73">
        <f>$N$3505/$N$3493-1</f>
        <v>0</v>
      </c>
      <c r="AZ67" s="73">
        <f>$N$3506/$N$3494-1</f>
        <v>0</v>
      </c>
      <c r="BA67" s="73">
        <f>$N$3507/$N$3495-1</f>
        <v>0</v>
      </c>
      <c r="BB67" s="73">
        <f>$N$3508/$N$3496-1</f>
        <v>0</v>
      </c>
      <c r="BC67" s="73">
        <f>$N$3509/$N$3497-1</f>
        <v>0</v>
      </c>
      <c r="BD67" s="73">
        <f>$N$3510/$N$3498-1</f>
        <v>0</v>
      </c>
      <c r="BE67" s="73">
        <f>$N$3511/$N$3499-1</f>
        <v>0</v>
      </c>
      <c r="BF67" s="73">
        <f>$N$3512/$N$3500-1</f>
        <v>0</v>
      </c>
      <c r="BG67" s="73">
        <f>$N$3513/$N$3501-1</f>
        <v>0</v>
      </c>
      <c r="BH67" s="73">
        <f>$N$3514/$N$3502-1</f>
        <v>0</v>
      </c>
      <c r="BI67" s="73">
        <f>$N$3515/$N$3503-1</f>
        <v>0</v>
      </c>
      <c r="BJ67" s="73">
        <f>$N$3516/$N$3504-1</f>
        <v>0</v>
      </c>
      <c r="BK67" s="73">
        <f>$O$3505/$O$3493-1</f>
        <v>0</v>
      </c>
      <c r="BL67" s="73">
        <f>$O$3506/$O$3494-1</f>
        <v>0</v>
      </c>
      <c r="BM67" s="73">
        <f>$O$3507/$O$3495-1</f>
        <v>0</v>
      </c>
      <c r="BN67" s="73">
        <f>$O$3508/$O$3496-1</f>
        <v>0</v>
      </c>
      <c r="BO67" s="73">
        <f>$O$3509/$O$3497-1</f>
        <v>0</v>
      </c>
      <c r="BP67" s="73">
        <f>$O$3510/$O$3498-1</f>
        <v>0</v>
      </c>
      <c r="BQ67" s="73">
        <f>$O$3511/$O$3499-1</f>
        <v>0</v>
      </c>
      <c r="BR67" s="73">
        <f>$O$3512/$O$3500-1</f>
        <v>0</v>
      </c>
      <c r="BS67" s="73">
        <f>$O$3513/$O$3501-1</f>
        <v>0</v>
      </c>
      <c r="BT67" s="73">
        <f>$O$3514/$O$3502-1</f>
        <v>0</v>
      </c>
      <c r="BU67" s="73">
        <f>$O$3515/$O$3503-1</f>
        <v>0</v>
      </c>
      <c r="BV67" s="73">
        <f>$O$3516/$O$3504-1</f>
        <v>0</v>
      </c>
      <c r="BW67" s="73">
        <f>$V67*$H$3505</f>
        <v>0</v>
      </c>
      <c r="BX67" s="73">
        <f>$V67*$H$3506</f>
        <v>0</v>
      </c>
      <c r="BY67" s="73">
        <f>$V67*$H$3507</f>
        <v>0</v>
      </c>
      <c r="BZ67" s="73">
        <f>$V67*$H$3508</f>
        <v>0</v>
      </c>
      <c r="CA67" s="73">
        <f>$V67*$H$3509</f>
        <v>0</v>
      </c>
      <c r="CB67" s="73">
        <f>$V67*$H$3510</f>
        <v>0</v>
      </c>
      <c r="CC67" s="73">
        <f>$V67*$H$3511</f>
        <v>0</v>
      </c>
      <c r="CD67" s="73">
        <f>$V67*$H$3512</f>
        <v>0</v>
      </c>
      <c r="CE67" s="73">
        <f>$V67*$H$3513</f>
        <v>0</v>
      </c>
      <c r="CF67" s="73">
        <f>$V67*$H$3514</f>
        <v>0</v>
      </c>
      <c r="CG67" s="73">
        <f>$V67*$H$3515</f>
        <v>0</v>
      </c>
      <c r="CH67" s="73">
        <f>$V67*$H$3516</f>
        <v>0</v>
      </c>
      <c r="CI67" s="75">
        <f>$O$3478</f>
        <v>0</v>
      </c>
      <c r="CJ67" s="73">
        <f>$H$3529</f>
        <v>1</v>
      </c>
      <c r="CK67" s="73">
        <f>$I$3529</f>
        <v>1</v>
      </c>
      <c r="CL67" s="73">
        <f>$J$3529</f>
        <v>1</v>
      </c>
      <c r="CM67" s="73">
        <f t="shared" si="54"/>
        <v>0</v>
      </c>
      <c r="CN67" s="73">
        <f t="shared" si="55"/>
        <v>0</v>
      </c>
      <c r="CO67" s="72">
        <f>$M67*($C67/$K$3529)*IF($O$3478=1,$F$3478/$G67,1)*$R67</f>
        <v>0</v>
      </c>
      <c r="CP67" s="72">
        <f>$M67*(1+$S67)*($C67/$L$3529)*IF($O$3478=1,$F$3478/$H67,1)*$R67</f>
        <v>0</v>
      </c>
      <c r="CQ67" s="73">
        <f t="shared" si="56"/>
        <v>0</v>
      </c>
      <c r="CR67" s="73">
        <f t="shared" si="57"/>
        <v>0</v>
      </c>
      <c r="CS67" s="73">
        <f t="shared" si="58"/>
        <v>0</v>
      </c>
      <c r="CT67" s="272">
        <f t="shared" si="59"/>
        <v>0</v>
      </c>
      <c r="CU67" s="75">
        <f t="shared" si="60"/>
        <v>0</v>
      </c>
      <c r="CV67" s="75">
        <f t="shared" si="61"/>
        <v>0</v>
      </c>
      <c r="CW67" s="273" t="str">
        <f t="shared" si="62"/>
        <v/>
      </c>
      <c r="CX67" s="274" t="str">
        <f t="shared" si="63"/>
        <v/>
      </c>
      <c r="CY67" s="6" t="str">
        <f t="shared" si="64"/>
        <v/>
      </c>
      <c r="CZ67" s="273" t="str">
        <f t="shared" si="65"/>
        <v/>
      </c>
      <c r="DA67" s="274" t="str">
        <f t="shared" si="66"/>
        <v/>
      </c>
      <c r="DB67" s="6" t="str">
        <f t="shared" si="67"/>
        <v/>
      </c>
      <c r="DC67" s="273" t="str">
        <f t="shared" si="68"/>
        <v/>
      </c>
      <c r="DD67" s="274" t="str">
        <f t="shared" si="69"/>
        <v/>
      </c>
      <c r="DE67" s="6" t="str">
        <f t="shared" si="70"/>
        <v/>
      </c>
      <c r="DF67" s="273" t="str">
        <f t="shared" si="71"/>
        <v/>
      </c>
      <c r="DG67" s="274" t="str">
        <f t="shared" si="72"/>
        <v/>
      </c>
      <c r="DH67" s="6" t="str">
        <f t="shared" si="73"/>
        <v/>
      </c>
    </row>
    <row r="68" spans="1:112" x14ac:dyDescent="0.3">
      <c r="A68" s="6" t="str">
        <f>$A$3532</f>
        <v/>
      </c>
      <c r="B68" s="75">
        <f>$C$3532</f>
        <v>6</v>
      </c>
      <c r="C68" s="73">
        <f>$B$3583</f>
        <v>1</v>
      </c>
      <c r="D68" s="73">
        <f>$C$3583</f>
        <v>1</v>
      </c>
      <c r="E68" s="73">
        <f>$D$3583</f>
        <v>1</v>
      </c>
      <c r="F68" s="73">
        <f>$E$3583</f>
        <v>1</v>
      </c>
      <c r="G68" s="224">
        <f>$F$3583</f>
        <v>1</v>
      </c>
      <c r="H68" s="224">
        <f>$G$3583</f>
        <v>1</v>
      </c>
      <c r="I68" s="73">
        <f t="shared" si="37"/>
        <v>1</v>
      </c>
      <c r="J68" s="73">
        <f t="shared" si="38"/>
        <v>1</v>
      </c>
      <c r="K68" s="73">
        <f>IF($L$3532,1,IF(AND(nr_ModAdjMaster="ON",INDEX(lr_modadj,65)="ON"),$F$3532/$G68,1))</f>
        <v>1</v>
      </c>
      <c r="L68" s="73">
        <f>IF($L$3532,1,IF(AND(nr_ModAdjMaster="ON",INDEX(lr_modadj,65)="ON"),$F$3532/$H68,1))</f>
        <v>1</v>
      </c>
      <c r="M68" s="72">
        <f>IF(INDEX(lr_basis,65)="proposed",N(INDEX(lr_lrproj,65))*(1+N(INDEX(lr_s,65))),N(INDEX(lr_lrproj,65)))</f>
        <v>0</v>
      </c>
      <c r="N68" s="72">
        <f t="shared" si="39"/>
        <v>0</v>
      </c>
      <c r="O68" s="72">
        <f t="shared" si="40"/>
        <v>0</v>
      </c>
      <c r="P68" s="72">
        <f t="shared" si="41"/>
        <v>0</v>
      </c>
      <c r="Q68" s="72">
        <f t="shared" si="42"/>
        <v>0</v>
      </c>
      <c r="R68" s="73">
        <f>IF(N(INDEX(lr_aother,65))=0,1,INDEX(lr_aother,65))</f>
        <v>1</v>
      </c>
      <c r="S68" s="72">
        <f>IF(ISBLANK(INDEX(lr_trend,65)),N(nr_TrendDefault),N(INDEX(lr_trend,65)))</f>
        <v>0</v>
      </c>
      <c r="T68" s="6">
        <f>INDEX(lr_state,65)</f>
        <v>0</v>
      </c>
      <c r="U68" s="6">
        <f>INDEX(lr_bu,65)</f>
        <v>0</v>
      </c>
      <c r="V68" s="271">
        <f>N(INDEX(lr_ep,65))</f>
        <v>0</v>
      </c>
      <c r="W68" s="73">
        <f>N(INDEX(lr_mind,65))*$V68</f>
        <v>0</v>
      </c>
      <c r="X68" s="73">
        <f>N(INDEX(lr_m0,65))*$V68</f>
        <v>0</v>
      </c>
      <c r="Y68" s="73">
        <f>N(INDEX(lr_m1,65))*$V68</f>
        <v>0</v>
      </c>
      <c r="Z68" s="73">
        <f t="shared" si="43"/>
        <v>0</v>
      </c>
      <c r="AA68" s="73">
        <f t="shared" si="44"/>
        <v>0</v>
      </c>
      <c r="AB68" s="73">
        <f t="shared" si="45"/>
        <v>0</v>
      </c>
      <c r="AC68" s="73">
        <f t="shared" si="46"/>
        <v>0</v>
      </c>
      <c r="AD68" s="73">
        <f t="shared" si="47"/>
        <v>0</v>
      </c>
      <c r="AE68" s="73">
        <f t="shared" si="48"/>
        <v>0</v>
      </c>
      <c r="AF68" s="73">
        <f t="shared" si="49"/>
        <v>0</v>
      </c>
      <c r="AG68" s="73">
        <f t="shared" si="50"/>
        <v>0</v>
      </c>
      <c r="AH68" s="73">
        <f t="shared" si="51"/>
        <v>0</v>
      </c>
      <c r="AI68" s="73">
        <f t="shared" si="52"/>
        <v>0</v>
      </c>
      <c r="AJ68" s="73">
        <f t="shared" si="53"/>
        <v>0</v>
      </c>
      <c r="AK68" s="75">
        <f>IF($L$3532,1,0)</f>
        <v>0</v>
      </c>
      <c r="AL68" s="72">
        <f>IF($L$3532,$M$3532,0)</f>
        <v>0</v>
      </c>
      <c r="AM68" s="73">
        <f>$N$3559/$N$3547*IF($O$3532=1,$O$3559/$O$3547,1)-1</f>
        <v>0</v>
      </c>
      <c r="AN68" s="73">
        <f>$N$3560/$N$3548*IF($O$3532=1,$O$3560/$O$3548,1)-1</f>
        <v>0</v>
      </c>
      <c r="AO68" s="73">
        <f>$N$3561/$N$3549*IF($O$3532=1,$O$3561/$O$3549,1)-1</f>
        <v>0</v>
      </c>
      <c r="AP68" s="73">
        <f>$N$3562/$N$3550*IF($O$3532=1,$O$3562/$O$3550,1)-1</f>
        <v>0</v>
      </c>
      <c r="AQ68" s="73">
        <f>$N$3563/$N$3551*IF($O$3532=1,$O$3563/$O$3551,1)-1</f>
        <v>0</v>
      </c>
      <c r="AR68" s="73">
        <f>$N$3564/$N$3552*IF($O$3532=1,$O$3564/$O$3552,1)-1</f>
        <v>0</v>
      </c>
      <c r="AS68" s="73">
        <f>$N$3565/$N$3553*IF($O$3532=1,$O$3565/$O$3553,1)-1</f>
        <v>0</v>
      </c>
      <c r="AT68" s="73">
        <f>$N$3566/$N$3554*IF($O$3532=1,$O$3566/$O$3554,1)-1</f>
        <v>0</v>
      </c>
      <c r="AU68" s="73">
        <f>$N$3567/$N$3555*IF($O$3532=1,$O$3567/$O$3555,1)-1</f>
        <v>0</v>
      </c>
      <c r="AV68" s="73">
        <f>$N$3568/$N$3556*IF($O$3532=1,$O$3568/$O$3556,1)-1</f>
        <v>0</v>
      </c>
      <c r="AW68" s="73">
        <f>$N$3569/$N$3557*IF($O$3532=1,$O$3569/$O$3557,1)-1</f>
        <v>0</v>
      </c>
      <c r="AX68" s="73">
        <f>$N$3570/$N$3558*IF($O$3532=1,$O$3570/$O$3558,1)-1</f>
        <v>0</v>
      </c>
      <c r="AY68" s="73">
        <f>$N$3559/$N$3547-1</f>
        <v>0</v>
      </c>
      <c r="AZ68" s="73">
        <f>$N$3560/$N$3548-1</f>
        <v>0</v>
      </c>
      <c r="BA68" s="73">
        <f>$N$3561/$N$3549-1</f>
        <v>0</v>
      </c>
      <c r="BB68" s="73">
        <f>$N$3562/$N$3550-1</f>
        <v>0</v>
      </c>
      <c r="BC68" s="73">
        <f>$N$3563/$N$3551-1</f>
        <v>0</v>
      </c>
      <c r="BD68" s="73">
        <f>$N$3564/$N$3552-1</f>
        <v>0</v>
      </c>
      <c r="BE68" s="73">
        <f>$N$3565/$N$3553-1</f>
        <v>0</v>
      </c>
      <c r="BF68" s="73">
        <f>$N$3566/$N$3554-1</f>
        <v>0</v>
      </c>
      <c r="BG68" s="73">
        <f>$N$3567/$N$3555-1</f>
        <v>0</v>
      </c>
      <c r="BH68" s="73">
        <f>$N$3568/$N$3556-1</f>
        <v>0</v>
      </c>
      <c r="BI68" s="73">
        <f>$N$3569/$N$3557-1</f>
        <v>0</v>
      </c>
      <c r="BJ68" s="73">
        <f>$N$3570/$N$3558-1</f>
        <v>0</v>
      </c>
      <c r="BK68" s="73">
        <f>$O$3559/$O$3547-1</f>
        <v>0</v>
      </c>
      <c r="BL68" s="73">
        <f>$O$3560/$O$3548-1</f>
        <v>0</v>
      </c>
      <c r="BM68" s="73">
        <f>$O$3561/$O$3549-1</f>
        <v>0</v>
      </c>
      <c r="BN68" s="73">
        <f>$O$3562/$O$3550-1</f>
        <v>0</v>
      </c>
      <c r="BO68" s="73">
        <f>$O$3563/$O$3551-1</f>
        <v>0</v>
      </c>
      <c r="BP68" s="73">
        <f>$O$3564/$O$3552-1</f>
        <v>0</v>
      </c>
      <c r="BQ68" s="73">
        <f>$O$3565/$O$3553-1</f>
        <v>0</v>
      </c>
      <c r="BR68" s="73">
        <f>$O$3566/$O$3554-1</f>
        <v>0</v>
      </c>
      <c r="BS68" s="73">
        <f>$O$3567/$O$3555-1</f>
        <v>0</v>
      </c>
      <c r="BT68" s="73">
        <f>$O$3568/$O$3556-1</f>
        <v>0</v>
      </c>
      <c r="BU68" s="73">
        <f>$O$3569/$O$3557-1</f>
        <v>0</v>
      </c>
      <c r="BV68" s="73">
        <f>$O$3570/$O$3558-1</f>
        <v>0</v>
      </c>
      <c r="BW68" s="73">
        <f>$V68*$H$3559</f>
        <v>0</v>
      </c>
      <c r="BX68" s="73">
        <f>$V68*$H$3560</f>
        <v>0</v>
      </c>
      <c r="BY68" s="73">
        <f>$V68*$H$3561</f>
        <v>0</v>
      </c>
      <c r="BZ68" s="73">
        <f>$V68*$H$3562</f>
        <v>0</v>
      </c>
      <c r="CA68" s="73">
        <f>$V68*$H$3563</f>
        <v>0</v>
      </c>
      <c r="CB68" s="73">
        <f>$V68*$H$3564</f>
        <v>0</v>
      </c>
      <c r="CC68" s="73">
        <f>$V68*$H$3565</f>
        <v>0</v>
      </c>
      <c r="CD68" s="73">
        <f>$V68*$H$3566</f>
        <v>0</v>
      </c>
      <c r="CE68" s="73">
        <f>$V68*$H$3567</f>
        <v>0</v>
      </c>
      <c r="CF68" s="73">
        <f>$V68*$H$3568</f>
        <v>0</v>
      </c>
      <c r="CG68" s="73">
        <f>$V68*$H$3569</f>
        <v>0</v>
      </c>
      <c r="CH68" s="73">
        <f>$V68*$H$3570</f>
        <v>0</v>
      </c>
      <c r="CI68" s="75">
        <f>$O$3532</f>
        <v>0</v>
      </c>
      <c r="CJ68" s="73">
        <f>$H$3583</f>
        <v>1</v>
      </c>
      <c r="CK68" s="73">
        <f>$I$3583</f>
        <v>1</v>
      </c>
      <c r="CL68" s="73">
        <f>$J$3583</f>
        <v>1</v>
      </c>
      <c r="CM68" s="73">
        <f t="shared" si="54"/>
        <v>0</v>
      </c>
      <c r="CN68" s="73">
        <f t="shared" si="55"/>
        <v>0</v>
      </c>
      <c r="CO68" s="72">
        <f>$M68*($C68/$K$3583)*IF($O$3532=1,$F$3532/$G68,1)*$R68</f>
        <v>0</v>
      </c>
      <c r="CP68" s="72">
        <f>$M68*(1+$S68)*($C68/$L$3583)*IF($O$3532=1,$F$3532/$H68,1)*$R68</f>
        <v>0</v>
      </c>
      <c r="CQ68" s="73">
        <f t="shared" si="56"/>
        <v>0</v>
      </c>
      <c r="CR68" s="73">
        <f t="shared" si="57"/>
        <v>0</v>
      </c>
      <c r="CS68" s="73">
        <f t="shared" si="58"/>
        <v>0</v>
      </c>
      <c r="CT68" s="272">
        <f t="shared" si="59"/>
        <v>0</v>
      </c>
      <c r="CU68" s="75">
        <f t="shared" si="60"/>
        <v>0</v>
      </c>
      <c r="CV68" s="75">
        <f t="shared" si="61"/>
        <v>0</v>
      </c>
      <c r="CW68" s="273" t="str">
        <f t="shared" si="62"/>
        <v/>
      </c>
      <c r="CX68" s="274" t="str">
        <f t="shared" si="63"/>
        <v/>
      </c>
      <c r="CY68" s="6" t="str">
        <f t="shared" si="64"/>
        <v/>
      </c>
      <c r="CZ68" s="273" t="str">
        <f t="shared" si="65"/>
        <v/>
      </c>
      <c r="DA68" s="274" t="str">
        <f t="shared" si="66"/>
        <v/>
      </c>
      <c r="DB68" s="6" t="str">
        <f t="shared" si="67"/>
        <v/>
      </c>
      <c r="DC68" s="273" t="str">
        <f t="shared" si="68"/>
        <v/>
      </c>
      <c r="DD68" s="274" t="str">
        <f t="shared" si="69"/>
        <v/>
      </c>
      <c r="DE68" s="6" t="str">
        <f t="shared" si="70"/>
        <v/>
      </c>
      <c r="DF68" s="273" t="str">
        <f t="shared" si="71"/>
        <v/>
      </c>
      <c r="DG68" s="274" t="str">
        <f t="shared" si="72"/>
        <v/>
      </c>
      <c r="DH68" s="6" t="str">
        <f t="shared" si="73"/>
        <v/>
      </c>
    </row>
    <row r="69" spans="1:112" x14ac:dyDescent="0.3">
      <c r="A69" s="6" t="str">
        <f>$A$3586</f>
        <v/>
      </c>
      <c r="B69" s="75">
        <f>$C$3586</f>
        <v>6</v>
      </c>
      <c r="C69" s="73">
        <f>$B$3637</f>
        <v>1</v>
      </c>
      <c r="D69" s="73">
        <f>$C$3637</f>
        <v>1</v>
      </c>
      <c r="E69" s="73">
        <f>$D$3637</f>
        <v>1</v>
      </c>
      <c r="F69" s="73">
        <f>$E$3637</f>
        <v>1</v>
      </c>
      <c r="G69" s="224">
        <f>$F$3637</f>
        <v>1</v>
      </c>
      <c r="H69" s="224">
        <f>$G$3637</f>
        <v>1</v>
      </c>
      <c r="I69" s="73">
        <f t="shared" si="37"/>
        <v>1</v>
      </c>
      <c r="J69" s="73">
        <f t="shared" si="38"/>
        <v>1</v>
      </c>
      <c r="K69" s="73">
        <f>IF($L$3586,1,IF(AND(nr_ModAdjMaster="ON",INDEX(lr_modadj,66)="ON"),$F$3586/$G69,1))</f>
        <v>1</v>
      </c>
      <c r="L69" s="73">
        <f>IF($L$3586,1,IF(AND(nr_ModAdjMaster="ON",INDEX(lr_modadj,66)="ON"),$F$3586/$H69,1))</f>
        <v>1</v>
      </c>
      <c r="M69" s="72">
        <f>IF(INDEX(lr_basis,66)="proposed",N(INDEX(lr_lrproj,66))*(1+N(INDEX(lr_s,66))),N(INDEX(lr_lrproj,66)))</f>
        <v>0</v>
      </c>
      <c r="N69" s="72">
        <f t="shared" si="39"/>
        <v>0</v>
      </c>
      <c r="O69" s="72">
        <f t="shared" si="40"/>
        <v>0</v>
      </c>
      <c r="P69" s="72">
        <f t="shared" si="41"/>
        <v>0</v>
      </c>
      <c r="Q69" s="72">
        <f t="shared" si="42"/>
        <v>0</v>
      </c>
      <c r="R69" s="73">
        <f>IF(N(INDEX(lr_aother,66))=0,1,INDEX(lr_aother,66))</f>
        <v>1</v>
      </c>
      <c r="S69" s="72">
        <f>IF(ISBLANK(INDEX(lr_trend,66)),N(nr_TrendDefault),N(INDEX(lr_trend,66)))</f>
        <v>0</v>
      </c>
      <c r="T69" s="6">
        <f>INDEX(lr_state,66)</f>
        <v>0</v>
      </c>
      <c r="U69" s="6">
        <f>INDEX(lr_bu,66)</f>
        <v>0</v>
      </c>
      <c r="V69" s="271">
        <f>N(INDEX(lr_ep,66))</f>
        <v>0</v>
      </c>
      <c r="W69" s="73">
        <f>N(INDEX(lr_mind,66))*$V69</f>
        <v>0</v>
      </c>
      <c r="X69" s="73">
        <f>N(INDEX(lr_m0,66))*$V69</f>
        <v>0</v>
      </c>
      <c r="Y69" s="73">
        <f>N(INDEX(lr_m1,66))*$V69</f>
        <v>0</v>
      </c>
      <c r="Z69" s="73">
        <f t="shared" si="43"/>
        <v>0</v>
      </c>
      <c r="AA69" s="73">
        <f t="shared" si="44"/>
        <v>0</v>
      </c>
      <c r="AB69" s="73">
        <f t="shared" si="45"/>
        <v>0</v>
      </c>
      <c r="AC69" s="73">
        <f t="shared" si="46"/>
        <v>0</v>
      </c>
      <c r="AD69" s="73">
        <f t="shared" si="47"/>
        <v>0</v>
      </c>
      <c r="AE69" s="73">
        <f t="shared" si="48"/>
        <v>0</v>
      </c>
      <c r="AF69" s="73">
        <f t="shared" si="49"/>
        <v>0</v>
      </c>
      <c r="AG69" s="73">
        <f t="shared" si="50"/>
        <v>0</v>
      </c>
      <c r="AH69" s="73">
        <f t="shared" si="51"/>
        <v>0</v>
      </c>
      <c r="AI69" s="73">
        <f t="shared" si="52"/>
        <v>0</v>
      </c>
      <c r="AJ69" s="73">
        <f t="shared" si="53"/>
        <v>0</v>
      </c>
      <c r="AK69" s="75">
        <f>IF($L$3586,1,0)</f>
        <v>0</v>
      </c>
      <c r="AL69" s="72">
        <f>IF($L$3586,$M$3586,0)</f>
        <v>0</v>
      </c>
      <c r="AM69" s="73">
        <f>$N$3613/$N$3601*IF($O$3586=1,$O$3613/$O$3601,1)-1</f>
        <v>0</v>
      </c>
      <c r="AN69" s="73">
        <f>$N$3614/$N$3602*IF($O$3586=1,$O$3614/$O$3602,1)-1</f>
        <v>0</v>
      </c>
      <c r="AO69" s="73">
        <f>$N$3615/$N$3603*IF($O$3586=1,$O$3615/$O$3603,1)-1</f>
        <v>0</v>
      </c>
      <c r="AP69" s="73">
        <f>$N$3616/$N$3604*IF($O$3586=1,$O$3616/$O$3604,1)-1</f>
        <v>0</v>
      </c>
      <c r="AQ69" s="73">
        <f>$N$3617/$N$3605*IF($O$3586=1,$O$3617/$O$3605,1)-1</f>
        <v>0</v>
      </c>
      <c r="AR69" s="73">
        <f>$N$3618/$N$3606*IF($O$3586=1,$O$3618/$O$3606,1)-1</f>
        <v>0</v>
      </c>
      <c r="AS69" s="73">
        <f>$N$3619/$N$3607*IF($O$3586=1,$O$3619/$O$3607,1)-1</f>
        <v>0</v>
      </c>
      <c r="AT69" s="73">
        <f>$N$3620/$N$3608*IF($O$3586=1,$O$3620/$O$3608,1)-1</f>
        <v>0</v>
      </c>
      <c r="AU69" s="73">
        <f>$N$3621/$N$3609*IF($O$3586=1,$O$3621/$O$3609,1)-1</f>
        <v>0</v>
      </c>
      <c r="AV69" s="73">
        <f>$N$3622/$N$3610*IF($O$3586=1,$O$3622/$O$3610,1)-1</f>
        <v>0</v>
      </c>
      <c r="AW69" s="73">
        <f>$N$3623/$N$3611*IF($O$3586=1,$O$3623/$O$3611,1)-1</f>
        <v>0</v>
      </c>
      <c r="AX69" s="73">
        <f>$N$3624/$N$3612*IF($O$3586=1,$O$3624/$O$3612,1)-1</f>
        <v>0</v>
      </c>
      <c r="AY69" s="73">
        <f>$N$3613/$N$3601-1</f>
        <v>0</v>
      </c>
      <c r="AZ69" s="73">
        <f>$N$3614/$N$3602-1</f>
        <v>0</v>
      </c>
      <c r="BA69" s="73">
        <f>$N$3615/$N$3603-1</f>
        <v>0</v>
      </c>
      <c r="BB69" s="73">
        <f>$N$3616/$N$3604-1</f>
        <v>0</v>
      </c>
      <c r="BC69" s="73">
        <f>$N$3617/$N$3605-1</f>
        <v>0</v>
      </c>
      <c r="BD69" s="73">
        <f>$N$3618/$N$3606-1</f>
        <v>0</v>
      </c>
      <c r="BE69" s="73">
        <f>$N$3619/$N$3607-1</f>
        <v>0</v>
      </c>
      <c r="BF69" s="73">
        <f>$N$3620/$N$3608-1</f>
        <v>0</v>
      </c>
      <c r="BG69" s="73">
        <f>$N$3621/$N$3609-1</f>
        <v>0</v>
      </c>
      <c r="BH69" s="73">
        <f>$N$3622/$N$3610-1</f>
        <v>0</v>
      </c>
      <c r="BI69" s="73">
        <f>$N$3623/$N$3611-1</f>
        <v>0</v>
      </c>
      <c r="BJ69" s="73">
        <f>$N$3624/$N$3612-1</f>
        <v>0</v>
      </c>
      <c r="BK69" s="73">
        <f>$O$3613/$O$3601-1</f>
        <v>0</v>
      </c>
      <c r="BL69" s="73">
        <f>$O$3614/$O$3602-1</f>
        <v>0</v>
      </c>
      <c r="BM69" s="73">
        <f>$O$3615/$O$3603-1</f>
        <v>0</v>
      </c>
      <c r="BN69" s="73">
        <f>$O$3616/$O$3604-1</f>
        <v>0</v>
      </c>
      <c r="BO69" s="73">
        <f>$O$3617/$O$3605-1</f>
        <v>0</v>
      </c>
      <c r="BP69" s="73">
        <f>$O$3618/$O$3606-1</f>
        <v>0</v>
      </c>
      <c r="BQ69" s="73">
        <f>$O$3619/$O$3607-1</f>
        <v>0</v>
      </c>
      <c r="BR69" s="73">
        <f>$O$3620/$O$3608-1</f>
        <v>0</v>
      </c>
      <c r="BS69" s="73">
        <f>$O$3621/$O$3609-1</f>
        <v>0</v>
      </c>
      <c r="BT69" s="73">
        <f>$O$3622/$O$3610-1</f>
        <v>0</v>
      </c>
      <c r="BU69" s="73">
        <f>$O$3623/$O$3611-1</f>
        <v>0</v>
      </c>
      <c r="BV69" s="73">
        <f>$O$3624/$O$3612-1</f>
        <v>0</v>
      </c>
      <c r="BW69" s="73">
        <f>$V69*$H$3613</f>
        <v>0</v>
      </c>
      <c r="BX69" s="73">
        <f>$V69*$H$3614</f>
        <v>0</v>
      </c>
      <c r="BY69" s="73">
        <f>$V69*$H$3615</f>
        <v>0</v>
      </c>
      <c r="BZ69" s="73">
        <f>$V69*$H$3616</f>
        <v>0</v>
      </c>
      <c r="CA69" s="73">
        <f>$V69*$H$3617</f>
        <v>0</v>
      </c>
      <c r="CB69" s="73">
        <f>$V69*$H$3618</f>
        <v>0</v>
      </c>
      <c r="CC69" s="73">
        <f>$V69*$H$3619</f>
        <v>0</v>
      </c>
      <c r="CD69" s="73">
        <f>$V69*$H$3620</f>
        <v>0</v>
      </c>
      <c r="CE69" s="73">
        <f>$V69*$H$3621</f>
        <v>0</v>
      </c>
      <c r="CF69" s="73">
        <f>$V69*$H$3622</f>
        <v>0</v>
      </c>
      <c r="CG69" s="73">
        <f>$V69*$H$3623</f>
        <v>0</v>
      </c>
      <c r="CH69" s="73">
        <f>$V69*$H$3624</f>
        <v>0</v>
      </c>
      <c r="CI69" s="75">
        <f>$O$3586</f>
        <v>0</v>
      </c>
      <c r="CJ69" s="73">
        <f>$H$3637</f>
        <v>1</v>
      </c>
      <c r="CK69" s="73">
        <f>$I$3637</f>
        <v>1</v>
      </c>
      <c r="CL69" s="73">
        <f>$J$3637</f>
        <v>1</v>
      </c>
      <c r="CM69" s="73">
        <f t="shared" si="54"/>
        <v>0</v>
      </c>
      <c r="CN69" s="73">
        <f t="shared" si="55"/>
        <v>0</v>
      </c>
      <c r="CO69" s="72">
        <f>$M69*($C69/$K$3637)*IF($O$3586=1,$F$3586/$G69,1)*$R69</f>
        <v>0</v>
      </c>
      <c r="CP69" s="72">
        <f>$M69*(1+$S69)*($C69/$L$3637)*IF($O$3586=1,$F$3586/$H69,1)*$R69</f>
        <v>0</v>
      </c>
      <c r="CQ69" s="73">
        <f t="shared" si="56"/>
        <v>0</v>
      </c>
      <c r="CR69" s="73">
        <f t="shared" si="57"/>
        <v>0</v>
      </c>
      <c r="CS69" s="73">
        <f t="shared" si="58"/>
        <v>0</v>
      </c>
      <c r="CT69" s="272">
        <f t="shared" si="59"/>
        <v>0</v>
      </c>
      <c r="CU69" s="75">
        <f t="shared" si="60"/>
        <v>0</v>
      </c>
      <c r="CV69" s="75">
        <f t="shared" si="61"/>
        <v>0</v>
      </c>
      <c r="CW69" s="273" t="str">
        <f t="shared" si="62"/>
        <v/>
      </c>
      <c r="CX69" s="274" t="str">
        <f t="shared" si="63"/>
        <v/>
      </c>
      <c r="CY69" s="6" t="str">
        <f t="shared" si="64"/>
        <v/>
      </c>
      <c r="CZ69" s="273" t="str">
        <f t="shared" si="65"/>
        <v/>
      </c>
      <c r="DA69" s="274" t="str">
        <f t="shared" si="66"/>
        <v/>
      </c>
      <c r="DB69" s="6" t="str">
        <f t="shared" si="67"/>
        <v/>
      </c>
      <c r="DC69" s="273" t="str">
        <f t="shared" si="68"/>
        <v/>
      </c>
      <c r="DD69" s="274" t="str">
        <f t="shared" si="69"/>
        <v/>
      </c>
      <c r="DE69" s="6" t="str">
        <f t="shared" si="70"/>
        <v/>
      </c>
      <c r="DF69" s="273" t="str">
        <f t="shared" si="71"/>
        <v/>
      </c>
      <c r="DG69" s="274" t="str">
        <f t="shared" si="72"/>
        <v/>
      </c>
      <c r="DH69" s="6" t="str">
        <f t="shared" si="73"/>
        <v/>
      </c>
    </row>
    <row r="70" spans="1:112" x14ac:dyDescent="0.3">
      <c r="A70" s="6" t="str">
        <f>$A$3640</f>
        <v/>
      </c>
      <c r="B70" s="75">
        <f>$C$3640</f>
        <v>6</v>
      </c>
      <c r="C70" s="73">
        <f>$B$3691</f>
        <v>1</v>
      </c>
      <c r="D70" s="73">
        <f>$C$3691</f>
        <v>1</v>
      </c>
      <c r="E70" s="73">
        <f>$D$3691</f>
        <v>1</v>
      </c>
      <c r="F70" s="73">
        <f>$E$3691</f>
        <v>1</v>
      </c>
      <c r="G70" s="224">
        <f>$F$3691</f>
        <v>1</v>
      </c>
      <c r="H70" s="224">
        <f>$G$3691</f>
        <v>1</v>
      </c>
      <c r="I70" s="73">
        <f t="shared" si="37"/>
        <v>1</v>
      </c>
      <c r="J70" s="73">
        <f t="shared" si="38"/>
        <v>1</v>
      </c>
      <c r="K70" s="73">
        <f>IF($L$3640,1,IF(AND(nr_ModAdjMaster="ON",INDEX(lr_modadj,67)="ON"),$F$3640/$G70,1))</f>
        <v>1</v>
      </c>
      <c r="L70" s="73">
        <f>IF($L$3640,1,IF(AND(nr_ModAdjMaster="ON",INDEX(lr_modadj,67)="ON"),$F$3640/$H70,1))</f>
        <v>1</v>
      </c>
      <c r="M70" s="72">
        <f>IF(INDEX(lr_basis,67)="proposed",N(INDEX(lr_lrproj,67))*(1+N(INDEX(lr_s,67))),N(INDEX(lr_lrproj,67)))</f>
        <v>0</v>
      </c>
      <c r="N70" s="72">
        <f t="shared" si="39"/>
        <v>0</v>
      </c>
      <c r="O70" s="72">
        <f t="shared" si="40"/>
        <v>0</v>
      </c>
      <c r="P70" s="72">
        <f t="shared" si="41"/>
        <v>0</v>
      </c>
      <c r="Q70" s="72">
        <f t="shared" si="42"/>
        <v>0</v>
      </c>
      <c r="R70" s="73">
        <f>IF(N(INDEX(lr_aother,67))=0,1,INDEX(lr_aother,67))</f>
        <v>1</v>
      </c>
      <c r="S70" s="72">
        <f>IF(ISBLANK(INDEX(lr_trend,67)),N(nr_TrendDefault),N(INDEX(lr_trend,67)))</f>
        <v>0</v>
      </c>
      <c r="T70" s="6">
        <f>INDEX(lr_state,67)</f>
        <v>0</v>
      </c>
      <c r="U70" s="6">
        <f>INDEX(lr_bu,67)</f>
        <v>0</v>
      </c>
      <c r="V70" s="271">
        <f>N(INDEX(lr_ep,67))</f>
        <v>0</v>
      </c>
      <c r="W70" s="73">
        <f>N(INDEX(lr_mind,67))*$V70</f>
        <v>0</v>
      </c>
      <c r="X70" s="73">
        <f>N(INDEX(lr_m0,67))*$V70</f>
        <v>0</v>
      </c>
      <c r="Y70" s="73">
        <f>N(INDEX(lr_m1,67))*$V70</f>
        <v>0</v>
      </c>
      <c r="Z70" s="73">
        <f t="shared" si="43"/>
        <v>0</v>
      </c>
      <c r="AA70" s="73">
        <f t="shared" si="44"/>
        <v>0</v>
      </c>
      <c r="AB70" s="73">
        <f t="shared" si="45"/>
        <v>0</v>
      </c>
      <c r="AC70" s="73">
        <f t="shared" si="46"/>
        <v>0</v>
      </c>
      <c r="AD70" s="73">
        <f t="shared" si="47"/>
        <v>0</v>
      </c>
      <c r="AE70" s="73">
        <f t="shared" si="48"/>
        <v>0</v>
      </c>
      <c r="AF70" s="73">
        <f t="shared" si="49"/>
        <v>0</v>
      </c>
      <c r="AG70" s="73">
        <f t="shared" si="50"/>
        <v>0</v>
      </c>
      <c r="AH70" s="73">
        <f t="shared" si="51"/>
        <v>0</v>
      </c>
      <c r="AI70" s="73">
        <f t="shared" si="52"/>
        <v>0</v>
      </c>
      <c r="AJ70" s="73">
        <f t="shared" si="53"/>
        <v>0</v>
      </c>
      <c r="AK70" s="75">
        <f>IF($L$3640,1,0)</f>
        <v>0</v>
      </c>
      <c r="AL70" s="72">
        <f>IF($L$3640,$M$3640,0)</f>
        <v>0</v>
      </c>
      <c r="AM70" s="73">
        <f>$N$3667/$N$3655*IF($O$3640=1,$O$3667/$O$3655,1)-1</f>
        <v>0</v>
      </c>
      <c r="AN70" s="73">
        <f>$N$3668/$N$3656*IF($O$3640=1,$O$3668/$O$3656,1)-1</f>
        <v>0</v>
      </c>
      <c r="AO70" s="73">
        <f>$N$3669/$N$3657*IF($O$3640=1,$O$3669/$O$3657,1)-1</f>
        <v>0</v>
      </c>
      <c r="AP70" s="73">
        <f>$N$3670/$N$3658*IF($O$3640=1,$O$3670/$O$3658,1)-1</f>
        <v>0</v>
      </c>
      <c r="AQ70" s="73">
        <f>$N$3671/$N$3659*IF($O$3640=1,$O$3671/$O$3659,1)-1</f>
        <v>0</v>
      </c>
      <c r="AR70" s="73">
        <f>$N$3672/$N$3660*IF($O$3640=1,$O$3672/$O$3660,1)-1</f>
        <v>0</v>
      </c>
      <c r="AS70" s="73">
        <f>$N$3673/$N$3661*IF($O$3640=1,$O$3673/$O$3661,1)-1</f>
        <v>0</v>
      </c>
      <c r="AT70" s="73">
        <f>$N$3674/$N$3662*IF($O$3640=1,$O$3674/$O$3662,1)-1</f>
        <v>0</v>
      </c>
      <c r="AU70" s="73">
        <f>$N$3675/$N$3663*IF($O$3640=1,$O$3675/$O$3663,1)-1</f>
        <v>0</v>
      </c>
      <c r="AV70" s="73">
        <f>$N$3676/$N$3664*IF($O$3640=1,$O$3676/$O$3664,1)-1</f>
        <v>0</v>
      </c>
      <c r="AW70" s="73">
        <f>$N$3677/$N$3665*IF($O$3640=1,$O$3677/$O$3665,1)-1</f>
        <v>0</v>
      </c>
      <c r="AX70" s="73">
        <f>$N$3678/$N$3666*IF($O$3640=1,$O$3678/$O$3666,1)-1</f>
        <v>0</v>
      </c>
      <c r="AY70" s="73">
        <f>$N$3667/$N$3655-1</f>
        <v>0</v>
      </c>
      <c r="AZ70" s="73">
        <f>$N$3668/$N$3656-1</f>
        <v>0</v>
      </c>
      <c r="BA70" s="73">
        <f>$N$3669/$N$3657-1</f>
        <v>0</v>
      </c>
      <c r="BB70" s="73">
        <f>$N$3670/$N$3658-1</f>
        <v>0</v>
      </c>
      <c r="BC70" s="73">
        <f>$N$3671/$N$3659-1</f>
        <v>0</v>
      </c>
      <c r="BD70" s="73">
        <f>$N$3672/$N$3660-1</f>
        <v>0</v>
      </c>
      <c r="BE70" s="73">
        <f>$N$3673/$N$3661-1</f>
        <v>0</v>
      </c>
      <c r="BF70" s="73">
        <f>$N$3674/$N$3662-1</f>
        <v>0</v>
      </c>
      <c r="BG70" s="73">
        <f>$N$3675/$N$3663-1</f>
        <v>0</v>
      </c>
      <c r="BH70" s="73">
        <f>$N$3676/$N$3664-1</f>
        <v>0</v>
      </c>
      <c r="BI70" s="73">
        <f>$N$3677/$N$3665-1</f>
        <v>0</v>
      </c>
      <c r="BJ70" s="73">
        <f>$N$3678/$N$3666-1</f>
        <v>0</v>
      </c>
      <c r="BK70" s="73">
        <f>$O$3667/$O$3655-1</f>
        <v>0</v>
      </c>
      <c r="BL70" s="73">
        <f>$O$3668/$O$3656-1</f>
        <v>0</v>
      </c>
      <c r="BM70" s="73">
        <f>$O$3669/$O$3657-1</f>
        <v>0</v>
      </c>
      <c r="BN70" s="73">
        <f>$O$3670/$O$3658-1</f>
        <v>0</v>
      </c>
      <c r="BO70" s="73">
        <f>$O$3671/$O$3659-1</f>
        <v>0</v>
      </c>
      <c r="BP70" s="73">
        <f>$O$3672/$O$3660-1</f>
        <v>0</v>
      </c>
      <c r="BQ70" s="73">
        <f>$O$3673/$O$3661-1</f>
        <v>0</v>
      </c>
      <c r="BR70" s="73">
        <f>$O$3674/$O$3662-1</f>
        <v>0</v>
      </c>
      <c r="BS70" s="73">
        <f>$O$3675/$O$3663-1</f>
        <v>0</v>
      </c>
      <c r="BT70" s="73">
        <f>$O$3676/$O$3664-1</f>
        <v>0</v>
      </c>
      <c r="BU70" s="73">
        <f>$O$3677/$O$3665-1</f>
        <v>0</v>
      </c>
      <c r="BV70" s="73">
        <f>$O$3678/$O$3666-1</f>
        <v>0</v>
      </c>
      <c r="BW70" s="73">
        <f>$V70*$H$3667</f>
        <v>0</v>
      </c>
      <c r="BX70" s="73">
        <f>$V70*$H$3668</f>
        <v>0</v>
      </c>
      <c r="BY70" s="73">
        <f>$V70*$H$3669</f>
        <v>0</v>
      </c>
      <c r="BZ70" s="73">
        <f>$V70*$H$3670</f>
        <v>0</v>
      </c>
      <c r="CA70" s="73">
        <f>$V70*$H$3671</f>
        <v>0</v>
      </c>
      <c r="CB70" s="73">
        <f>$V70*$H$3672</f>
        <v>0</v>
      </c>
      <c r="CC70" s="73">
        <f>$V70*$H$3673</f>
        <v>0</v>
      </c>
      <c r="CD70" s="73">
        <f>$V70*$H$3674</f>
        <v>0</v>
      </c>
      <c r="CE70" s="73">
        <f>$V70*$H$3675</f>
        <v>0</v>
      </c>
      <c r="CF70" s="73">
        <f>$V70*$H$3676</f>
        <v>0</v>
      </c>
      <c r="CG70" s="73">
        <f>$V70*$H$3677</f>
        <v>0</v>
      </c>
      <c r="CH70" s="73">
        <f>$V70*$H$3678</f>
        <v>0</v>
      </c>
      <c r="CI70" s="75">
        <f>$O$3640</f>
        <v>0</v>
      </c>
      <c r="CJ70" s="73">
        <f>$H$3691</f>
        <v>1</v>
      </c>
      <c r="CK70" s="73">
        <f>$I$3691</f>
        <v>1</v>
      </c>
      <c r="CL70" s="73">
        <f>$J$3691</f>
        <v>1</v>
      </c>
      <c r="CM70" s="73">
        <f t="shared" si="54"/>
        <v>0</v>
      </c>
      <c r="CN70" s="73">
        <f t="shared" si="55"/>
        <v>0</v>
      </c>
      <c r="CO70" s="72">
        <f>$M70*($C70/$K$3691)*IF($O$3640=1,$F$3640/$G70,1)*$R70</f>
        <v>0</v>
      </c>
      <c r="CP70" s="72">
        <f>$M70*(1+$S70)*($C70/$L$3691)*IF($O$3640=1,$F$3640/$H70,1)*$R70</f>
        <v>0</v>
      </c>
      <c r="CQ70" s="73">
        <f t="shared" si="56"/>
        <v>0</v>
      </c>
      <c r="CR70" s="73">
        <f t="shared" si="57"/>
        <v>0</v>
      </c>
      <c r="CS70" s="73">
        <f t="shared" si="58"/>
        <v>0</v>
      </c>
      <c r="CT70" s="272">
        <f t="shared" si="59"/>
        <v>0</v>
      </c>
      <c r="CU70" s="75">
        <f t="shared" si="60"/>
        <v>0</v>
      </c>
      <c r="CV70" s="75">
        <f t="shared" si="61"/>
        <v>0</v>
      </c>
      <c r="CW70" s="273" t="str">
        <f t="shared" si="62"/>
        <v/>
      </c>
      <c r="CX70" s="274" t="str">
        <f t="shared" si="63"/>
        <v/>
      </c>
      <c r="CY70" s="6" t="str">
        <f t="shared" si="64"/>
        <v/>
      </c>
      <c r="CZ70" s="273" t="str">
        <f t="shared" si="65"/>
        <v/>
      </c>
      <c r="DA70" s="274" t="str">
        <f t="shared" si="66"/>
        <v/>
      </c>
      <c r="DB70" s="6" t="str">
        <f t="shared" si="67"/>
        <v/>
      </c>
      <c r="DC70" s="273" t="str">
        <f t="shared" si="68"/>
        <v/>
      </c>
      <c r="DD70" s="274" t="str">
        <f t="shared" si="69"/>
        <v/>
      </c>
      <c r="DE70" s="6" t="str">
        <f t="shared" si="70"/>
        <v/>
      </c>
      <c r="DF70" s="273" t="str">
        <f t="shared" si="71"/>
        <v/>
      </c>
      <c r="DG70" s="274" t="str">
        <f t="shared" si="72"/>
        <v/>
      </c>
      <c r="DH70" s="6" t="str">
        <f t="shared" si="73"/>
        <v/>
      </c>
    </row>
    <row r="71" spans="1:112" x14ac:dyDescent="0.3">
      <c r="A71" s="6" t="str">
        <f>$A$3694</f>
        <v/>
      </c>
      <c r="B71" s="75">
        <f>$C$3694</f>
        <v>6</v>
      </c>
      <c r="C71" s="73">
        <f>$B$3745</f>
        <v>1</v>
      </c>
      <c r="D71" s="73">
        <f>$C$3745</f>
        <v>1</v>
      </c>
      <c r="E71" s="73">
        <f>$D$3745</f>
        <v>1</v>
      </c>
      <c r="F71" s="73">
        <f>$E$3745</f>
        <v>1</v>
      </c>
      <c r="G71" s="224">
        <f>$F$3745</f>
        <v>1</v>
      </c>
      <c r="H71" s="224">
        <f>$G$3745</f>
        <v>1</v>
      </c>
      <c r="I71" s="73">
        <f t="shared" si="37"/>
        <v>1</v>
      </c>
      <c r="J71" s="73">
        <f t="shared" si="38"/>
        <v>1</v>
      </c>
      <c r="K71" s="73">
        <f>IF($L$3694,1,IF(AND(nr_ModAdjMaster="ON",INDEX(lr_modadj,68)="ON"),$F$3694/$G71,1))</f>
        <v>1</v>
      </c>
      <c r="L71" s="73">
        <f>IF($L$3694,1,IF(AND(nr_ModAdjMaster="ON",INDEX(lr_modadj,68)="ON"),$F$3694/$H71,1))</f>
        <v>1</v>
      </c>
      <c r="M71" s="72">
        <f>IF(INDEX(lr_basis,68)="proposed",N(INDEX(lr_lrproj,68))*(1+N(INDEX(lr_s,68))),N(INDEX(lr_lrproj,68)))</f>
        <v>0</v>
      </c>
      <c r="N71" s="72">
        <f t="shared" si="39"/>
        <v>0</v>
      </c>
      <c r="O71" s="72">
        <f t="shared" si="40"/>
        <v>0</v>
      </c>
      <c r="P71" s="72">
        <f t="shared" si="41"/>
        <v>0</v>
      </c>
      <c r="Q71" s="72">
        <f t="shared" si="42"/>
        <v>0</v>
      </c>
      <c r="R71" s="73">
        <f>IF(N(INDEX(lr_aother,68))=0,1,INDEX(lr_aother,68))</f>
        <v>1</v>
      </c>
      <c r="S71" s="72">
        <f>IF(ISBLANK(INDEX(lr_trend,68)),N(nr_TrendDefault),N(INDEX(lr_trend,68)))</f>
        <v>0</v>
      </c>
      <c r="T71" s="6">
        <f>INDEX(lr_state,68)</f>
        <v>0</v>
      </c>
      <c r="U71" s="6">
        <f>INDEX(lr_bu,68)</f>
        <v>0</v>
      </c>
      <c r="V71" s="271">
        <f>N(INDEX(lr_ep,68))</f>
        <v>0</v>
      </c>
      <c r="W71" s="73">
        <f>N(INDEX(lr_mind,68))*$V71</f>
        <v>0</v>
      </c>
      <c r="X71" s="73">
        <f>N(INDEX(lr_m0,68))*$V71</f>
        <v>0</v>
      </c>
      <c r="Y71" s="73">
        <f>N(INDEX(lr_m1,68))*$V71</f>
        <v>0</v>
      </c>
      <c r="Z71" s="73">
        <f t="shared" si="43"/>
        <v>0</v>
      </c>
      <c r="AA71" s="73">
        <f t="shared" si="44"/>
        <v>0</v>
      </c>
      <c r="AB71" s="73">
        <f t="shared" si="45"/>
        <v>0</v>
      </c>
      <c r="AC71" s="73">
        <f t="shared" si="46"/>
        <v>0</v>
      </c>
      <c r="AD71" s="73">
        <f t="shared" si="47"/>
        <v>0</v>
      </c>
      <c r="AE71" s="73">
        <f t="shared" si="48"/>
        <v>0</v>
      </c>
      <c r="AF71" s="73">
        <f t="shared" si="49"/>
        <v>0</v>
      </c>
      <c r="AG71" s="73">
        <f t="shared" si="50"/>
        <v>0</v>
      </c>
      <c r="AH71" s="73">
        <f t="shared" si="51"/>
        <v>0</v>
      </c>
      <c r="AI71" s="73">
        <f t="shared" si="52"/>
        <v>0</v>
      </c>
      <c r="AJ71" s="73">
        <f t="shared" si="53"/>
        <v>0</v>
      </c>
      <c r="AK71" s="75">
        <f>IF($L$3694,1,0)</f>
        <v>0</v>
      </c>
      <c r="AL71" s="72">
        <f>IF($L$3694,$M$3694,0)</f>
        <v>0</v>
      </c>
      <c r="AM71" s="73">
        <f>$N$3721/$N$3709*IF($O$3694=1,$O$3721/$O$3709,1)-1</f>
        <v>0</v>
      </c>
      <c r="AN71" s="73">
        <f>$N$3722/$N$3710*IF($O$3694=1,$O$3722/$O$3710,1)-1</f>
        <v>0</v>
      </c>
      <c r="AO71" s="73">
        <f>$N$3723/$N$3711*IF($O$3694=1,$O$3723/$O$3711,1)-1</f>
        <v>0</v>
      </c>
      <c r="AP71" s="73">
        <f>$N$3724/$N$3712*IF($O$3694=1,$O$3724/$O$3712,1)-1</f>
        <v>0</v>
      </c>
      <c r="AQ71" s="73">
        <f>$N$3725/$N$3713*IF($O$3694=1,$O$3725/$O$3713,1)-1</f>
        <v>0</v>
      </c>
      <c r="AR71" s="73">
        <f>$N$3726/$N$3714*IF($O$3694=1,$O$3726/$O$3714,1)-1</f>
        <v>0</v>
      </c>
      <c r="AS71" s="73">
        <f>$N$3727/$N$3715*IF($O$3694=1,$O$3727/$O$3715,1)-1</f>
        <v>0</v>
      </c>
      <c r="AT71" s="73">
        <f>$N$3728/$N$3716*IF($O$3694=1,$O$3728/$O$3716,1)-1</f>
        <v>0</v>
      </c>
      <c r="AU71" s="73">
        <f>$N$3729/$N$3717*IF($O$3694=1,$O$3729/$O$3717,1)-1</f>
        <v>0</v>
      </c>
      <c r="AV71" s="73">
        <f>$N$3730/$N$3718*IF($O$3694=1,$O$3730/$O$3718,1)-1</f>
        <v>0</v>
      </c>
      <c r="AW71" s="73">
        <f>$N$3731/$N$3719*IF($O$3694=1,$O$3731/$O$3719,1)-1</f>
        <v>0</v>
      </c>
      <c r="AX71" s="73">
        <f>$N$3732/$N$3720*IF($O$3694=1,$O$3732/$O$3720,1)-1</f>
        <v>0</v>
      </c>
      <c r="AY71" s="73">
        <f>$N$3721/$N$3709-1</f>
        <v>0</v>
      </c>
      <c r="AZ71" s="73">
        <f>$N$3722/$N$3710-1</f>
        <v>0</v>
      </c>
      <c r="BA71" s="73">
        <f>$N$3723/$N$3711-1</f>
        <v>0</v>
      </c>
      <c r="BB71" s="73">
        <f>$N$3724/$N$3712-1</f>
        <v>0</v>
      </c>
      <c r="BC71" s="73">
        <f>$N$3725/$N$3713-1</f>
        <v>0</v>
      </c>
      <c r="BD71" s="73">
        <f>$N$3726/$N$3714-1</f>
        <v>0</v>
      </c>
      <c r="BE71" s="73">
        <f>$N$3727/$N$3715-1</f>
        <v>0</v>
      </c>
      <c r="BF71" s="73">
        <f>$N$3728/$N$3716-1</f>
        <v>0</v>
      </c>
      <c r="BG71" s="73">
        <f>$N$3729/$N$3717-1</f>
        <v>0</v>
      </c>
      <c r="BH71" s="73">
        <f>$N$3730/$N$3718-1</f>
        <v>0</v>
      </c>
      <c r="BI71" s="73">
        <f>$N$3731/$N$3719-1</f>
        <v>0</v>
      </c>
      <c r="BJ71" s="73">
        <f>$N$3732/$N$3720-1</f>
        <v>0</v>
      </c>
      <c r="BK71" s="73">
        <f>$O$3721/$O$3709-1</f>
        <v>0</v>
      </c>
      <c r="BL71" s="73">
        <f>$O$3722/$O$3710-1</f>
        <v>0</v>
      </c>
      <c r="BM71" s="73">
        <f>$O$3723/$O$3711-1</f>
        <v>0</v>
      </c>
      <c r="BN71" s="73">
        <f>$O$3724/$O$3712-1</f>
        <v>0</v>
      </c>
      <c r="BO71" s="73">
        <f>$O$3725/$O$3713-1</f>
        <v>0</v>
      </c>
      <c r="BP71" s="73">
        <f>$O$3726/$O$3714-1</f>
        <v>0</v>
      </c>
      <c r="BQ71" s="73">
        <f>$O$3727/$O$3715-1</f>
        <v>0</v>
      </c>
      <c r="BR71" s="73">
        <f>$O$3728/$O$3716-1</f>
        <v>0</v>
      </c>
      <c r="BS71" s="73">
        <f>$O$3729/$O$3717-1</f>
        <v>0</v>
      </c>
      <c r="BT71" s="73">
        <f>$O$3730/$O$3718-1</f>
        <v>0</v>
      </c>
      <c r="BU71" s="73">
        <f>$O$3731/$O$3719-1</f>
        <v>0</v>
      </c>
      <c r="BV71" s="73">
        <f>$O$3732/$O$3720-1</f>
        <v>0</v>
      </c>
      <c r="BW71" s="73">
        <f>$V71*$H$3721</f>
        <v>0</v>
      </c>
      <c r="BX71" s="73">
        <f>$V71*$H$3722</f>
        <v>0</v>
      </c>
      <c r="BY71" s="73">
        <f>$V71*$H$3723</f>
        <v>0</v>
      </c>
      <c r="BZ71" s="73">
        <f>$V71*$H$3724</f>
        <v>0</v>
      </c>
      <c r="CA71" s="73">
        <f>$V71*$H$3725</f>
        <v>0</v>
      </c>
      <c r="CB71" s="73">
        <f>$V71*$H$3726</f>
        <v>0</v>
      </c>
      <c r="CC71" s="73">
        <f>$V71*$H$3727</f>
        <v>0</v>
      </c>
      <c r="CD71" s="73">
        <f>$V71*$H$3728</f>
        <v>0</v>
      </c>
      <c r="CE71" s="73">
        <f>$V71*$H$3729</f>
        <v>0</v>
      </c>
      <c r="CF71" s="73">
        <f>$V71*$H$3730</f>
        <v>0</v>
      </c>
      <c r="CG71" s="73">
        <f>$V71*$H$3731</f>
        <v>0</v>
      </c>
      <c r="CH71" s="73">
        <f>$V71*$H$3732</f>
        <v>0</v>
      </c>
      <c r="CI71" s="75">
        <f>$O$3694</f>
        <v>0</v>
      </c>
      <c r="CJ71" s="73">
        <f>$H$3745</f>
        <v>1</v>
      </c>
      <c r="CK71" s="73">
        <f>$I$3745</f>
        <v>1</v>
      </c>
      <c r="CL71" s="73">
        <f>$J$3745</f>
        <v>1</v>
      </c>
      <c r="CM71" s="73">
        <f t="shared" si="54"/>
        <v>0</v>
      </c>
      <c r="CN71" s="73">
        <f t="shared" si="55"/>
        <v>0</v>
      </c>
      <c r="CO71" s="72">
        <f>$M71*($C71/$K$3745)*IF($O$3694=1,$F$3694/$G71,1)*$R71</f>
        <v>0</v>
      </c>
      <c r="CP71" s="72">
        <f>$M71*(1+$S71)*($C71/$L$3745)*IF($O$3694=1,$F$3694/$H71,1)*$R71</f>
        <v>0</v>
      </c>
      <c r="CQ71" s="73">
        <f t="shared" si="56"/>
        <v>0</v>
      </c>
      <c r="CR71" s="73">
        <f t="shared" si="57"/>
        <v>0</v>
      </c>
      <c r="CS71" s="73">
        <f t="shared" si="58"/>
        <v>0</v>
      </c>
      <c r="CT71" s="272">
        <f t="shared" si="59"/>
        <v>0</v>
      </c>
      <c r="CU71" s="75">
        <f t="shared" si="60"/>
        <v>0</v>
      </c>
      <c r="CV71" s="75">
        <f t="shared" si="61"/>
        <v>0</v>
      </c>
      <c r="CW71" s="273" t="str">
        <f t="shared" si="62"/>
        <v/>
      </c>
      <c r="CX71" s="274" t="str">
        <f t="shared" si="63"/>
        <v/>
      </c>
      <c r="CY71" s="6" t="str">
        <f t="shared" si="64"/>
        <v/>
      </c>
      <c r="CZ71" s="273" t="str">
        <f t="shared" si="65"/>
        <v/>
      </c>
      <c r="DA71" s="274" t="str">
        <f t="shared" si="66"/>
        <v/>
      </c>
      <c r="DB71" s="6" t="str">
        <f t="shared" si="67"/>
        <v/>
      </c>
      <c r="DC71" s="273" t="str">
        <f t="shared" si="68"/>
        <v/>
      </c>
      <c r="DD71" s="274" t="str">
        <f t="shared" si="69"/>
        <v/>
      </c>
      <c r="DE71" s="6" t="str">
        <f t="shared" si="70"/>
        <v/>
      </c>
      <c r="DF71" s="273" t="str">
        <f t="shared" si="71"/>
        <v/>
      </c>
      <c r="DG71" s="274" t="str">
        <f t="shared" si="72"/>
        <v/>
      </c>
      <c r="DH71" s="6" t="str">
        <f t="shared" si="73"/>
        <v/>
      </c>
    </row>
    <row r="72" spans="1:112" x14ac:dyDescent="0.3">
      <c r="A72" s="6" t="str">
        <f>$A$3748</f>
        <v/>
      </c>
      <c r="B72" s="75">
        <f>$C$3748</f>
        <v>6</v>
      </c>
      <c r="C72" s="73">
        <f>$B$3799</f>
        <v>1</v>
      </c>
      <c r="D72" s="73">
        <f>$C$3799</f>
        <v>1</v>
      </c>
      <c r="E72" s="73">
        <f>$D$3799</f>
        <v>1</v>
      </c>
      <c r="F72" s="73">
        <f>$E$3799</f>
        <v>1</v>
      </c>
      <c r="G72" s="224">
        <f>$F$3799</f>
        <v>1</v>
      </c>
      <c r="H72" s="224">
        <f>$G$3799</f>
        <v>1</v>
      </c>
      <c r="I72" s="73">
        <f t="shared" si="37"/>
        <v>1</v>
      </c>
      <c r="J72" s="73">
        <f t="shared" si="38"/>
        <v>1</v>
      </c>
      <c r="K72" s="73">
        <f>IF($L$3748,1,IF(AND(nr_ModAdjMaster="ON",INDEX(lr_modadj,69)="ON"),$F$3748/$G72,1))</f>
        <v>1</v>
      </c>
      <c r="L72" s="73">
        <f>IF($L$3748,1,IF(AND(nr_ModAdjMaster="ON",INDEX(lr_modadj,69)="ON"),$F$3748/$H72,1))</f>
        <v>1</v>
      </c>
      <c r="M72" s="72">
        <f>IF(INDEX(lr_basis,69)="proposed",N(INDEX(lr_lrproj,69))*(1+N(INDEX(lr_s,69))),N(INDEX(lr_lrproj,69)))</f>
        <v>0</v>
      </c>
      <c r="N72" s="72">
        <f t="shared" si="39"/>
        <v>0</v>
      </c>
      <c r="O72" s="72">
        <f t="shared" si="40"/>
        <v>0</v>
      </c>
      <c r="P72" s="72">
        <f t="shared" si="41"/>
        <v>0</v>
      </c>
      <c r="Q72" s="72">
        <f t="shared" si="42"/>
        <v>0</v>
      </c>
      <c r="R72" s="73">
        <f>IF(N(INDEX(lr_aother,69))=0,1,INDEX(lr_aother,69))</f>
        <v>1</v>
      </c>
      <c r="S72" s="72">
        <f>IF(ISBLANK(INDEX(lr_trend,69)),N(nr_TrendDefault),N(INDEX(lr_trend,69)))</f>
        <v>0</v>
      </c>
      <c r="T72" s="6">
        <f>INDEX(lr_state,69)</f>
        <v>0</v>
      </c>
      <c r="U72" s="6">
        <f>INDEX(lr_bu,69)</f>
        <v>0</v>
      </c>
      <c r="V72" s="271">
        <f>N(INDEX(lr_ep,69))</f>
        <v>0</v>
      </c>
      <c r="W72" s="73">
        <f>N(INDEX(lr_mind,69))*$V72</f>
        <v>0</v>
      </c>
      <c r="X72" s="73">
        <f>N(INDEX(lr_m0,69))*$V72</f>
        <v>0</v>
      </c>
      <c r="Y72" s="73">
        <f>N(INDEX(lr_m1,69))*$V72</f>
        <v>0</v>
      </c>
      <c r="Z72" s="73">
        <f t="shared" si="43"/>
        <v>0</v>
      </c>
      <c r="AA72" s="73">
        <f t="shared" si="44"/>
        <v>0</v>
      </c>
      <c r="AB72" s="73">
        <f t="shared" si="45"/>
        <v>0</v>
      </c>
      <c r="AC72" s="73">
        <f t="shared" si="46"/>
        <v>0</v>
      </c>
      <c r="AD72" s="73">
        <f t="shared" si="47"/>
        <v>0</v>
      </c>
      <c r="AE72" s="73">
        <f t="shared" si="48"/>
        <v>0</v>
      </c>
      <c r="AF72" s="73">
        <f t="shared" si="49"/>
        <v>0</v>
      </c>
      <c r="AG72" s="73">
        <f t="shared" si="50"/>
        <v>0</v>
      </c>
      <c r="AH72" s="73">
        <f t="shared" si="51"/>
        <v>0</v>
      </c>
      <c r="AI72" s="73">
        <f t="shared" si="52"/>
        <v>0</v>
      </c>
      <c r="AJ72" s="73">
        <f t="shared" si="53"/>
        <v>0</v>
      </c>
      <c r="AK72" s="75">
        <f>IF($L$3748,1,0)</f>
        <v>0</v>
      </c>
      <c r="AL72" s="72">
        <f>IF($L$3748,$M$3748,0)</f>
        <v>0</v>
      </c>
      <c r="AM72" s="73">
        <f>$N$3775/$N$3763*IF($O$3748=1,$O$3775/$O$3763,1)-1</f>
        <v>0</v>
      </c>
      <c r="AN72" s="73">
        <f>$N$3776/$N$3764*IF($O$3748=1,$O$3776/$O$3764,1)-1</f>
        <v>0</v>
      </c>
      <c r="AO72" s="73">
        <f>$N$3777/$N$3765*IF($O$3748=1,$O$3777/$O$3765,1)-1</f>
        <v>0</v>
      </c>
      <c r="AP72" s="73">
        <f>$N$3778/$N$3766*IF($O$3748=1,$O$3778/$O$3766,1)-1</f>
        <v>0</v>
      </c>
      <c r="AQ72" s="73">
        <f>$N$3779/$N$3767*IF($O$3748=1,$O$3779/$O$3767,1)-1</f>
        <v>0</v>
      </c>
      <c r="AR72" s="73">
        <f>$N$3780/$N$3768*IF($O$3748=1,$O$3780/$O$3768,1)-1</f>
        <v>0</v>
      </c>
      <c r="AS72" s="73">
        <f>$N$3781/$N$3769*IF($O$3748=1,$O$3781/$O$3769,1)-1</f>
        <v>0</v>
      </c>
      <c r="AT72" s="73">
        <f>$N$3782/$N$3770*IF($O$3748=1,$O$3782/$O$3770,1)-1</f>
        <v>0</v>
      </c>
      <c r="AU72" s="73">
        <f>$N$3783/$N$3771*IF($O$3748=1,$O$3783/$O$3771,1)-1</f>
        <v>0</v>
      </c>
      <c r="AV72" s="73">
        <f>$N$3784/$N$3772*IF($O$3748=1,$O$3784/$O$3772,1)-1</f>
        <v>0</v>
      </c>
      <c r="AW72" s="73">
        <f>$N$3785/$N$3773*IF($O$3748=1,$O$3785/$O$3773,1)-1</f>
        <v>0</v>
      </c>
      <c r="AX72" s="73">
        <f>$N$3786/$N$3774*IF($O$3748=1,$O$3786/$O$3774,1)-1</f>
        <v>0</v>
      </c>
      <c r="AY72" s="73">
        <f>$N$3775/$N$3763-1</f>
        <v>0</v>
      </c>
      <c r="AZ72" s="73">
        <f>$N$3776/$N$3764-1</f>
        <v>0</v>
      </c>
      <c r="BA72" s="73">
        <f>$N$3777/$N$3765-1</f>
        <v>0</v>
      </c>
      <c r="BB72" s="73">
        <f>$N$3778/$N$3766-1</f>
        <v>0</v>
      </c>
      <c r="BC72" s="73">
        <f>$N$3779/$N$3767-1</f>
        <v>0</v>
      </c>
      <c r="BD72" s="73">
        <f>$N$3780/$N$3768-1</f>
        <v>0</v>
      </c>
      <c r="BE72" s="73">
        <f>$N$3781/$N$3769-1</f>
        <v>0</v>
      </c>
      <c r="BF72" s="73">
        <f>$N$3782/$N$3770-1</f>
        <v>0</v>
      </c>
      <c r="BG72" s="73">
        <f>$N$3783/$N$3771-1</f>
        <v>0</v>
      </c>
      <c r="BH72" s="73">
        <f>$N$3784/$N$3772-1</f>
        <v>0</v>
      </c>
      <c r="BI72" s="73">
        <f>$N$3785/$N$3773-1</f>
        <v>0</v>
      </c>
      <c r="BJ72" s="73">
        <f>$N$3786/$N$3774-1</f>
        <v>0</v>
      </c>
      <c r="BK72" s="73">
        <f>$O$3775/$O$3763-1</f>
        <v>0</v>
      </c>
      <c r="BL72" s="73">
        <f>$O$3776/$O$3764-1</f>
        <v>0</v>
      </c>
      <c r="BM72" s="73">
        <f>$O$3777/$O$3765-1</f>
        <v>0</v>
      </c>
      <c r="BN72" s="73">
        <f>$O$3778/$O$3766-1</f>
        <v>0</v>
      </c>
      <c r="BO72" s="73">
        <f>$O$3779/$O$3767-1</f>
        <v>0</v>
      </c>
      <c r="BP72" s="73">
        <f>$O$3780/$O$3768-1</f>
        <v>0</v>
      </c>
      <c r="BQ72" s="73">
        <f>$O$3781/$O$3769-1</f>
        <v>0</v>
      </c>
      <c r="BR72" s="73">
        <f>$O$3782/$O$3770-1</f>
        <v>0</v>
      </c>
      <c r="BS72" s="73">
        <f>$O$3783/$O$3771-1</f>
        <v>0</v>
      </c>
      <c r="BT72" s="73">
        <f>$O$3784/$O$3772-1</f>
        <v>0</v>
      </c>
      <c r="BU72" s="73">
        <f>$O$3785/$O$3773-1</f>
        <v>0</v>
      </c>
      <c r="BV72" s="73">
        <f>$O$3786/$O$3774-1</f>
        <v>0</v>
      </c>
      <c r="BW72" s="73">
        <f>$V72*$H$3775</f>
        <v>0</v>
      </c>
      <c r="BX72" s="73">
        <f>$V72*$H$3776</f>
        <v>0</v>
      </c>
      <c r="BY72" s="73">
        <f>$V72*$H$3777</f>
        <v>0</v>
      </c>
      <c r="BZ72" s="73">
        <f>$V72*$H$3778</f>
        <v>0</v>
      </c>
      <c r="CA72" s="73">
        <f>$V72*$H$3779</f>
        <v>0</v>
      </c>
      <c r="CB72" s="73">
        <f>$V72*$H$3780</f>
        <v>0</v>
      </c>
      <c r="CC72" s="73">
        <f>$V72*$H$3781</f>
        <v>0</v>
      </c>
      <c r="CD72" s="73">
        <f>$V72*$H$3782</f>
        <v>0</v>
      </c>
      <c r="CE72" s="73">
        <f>$V72*$H$3783</f>
        <v>0</v>
      </c>
      <c r="CF72" s="73">
        <f>$V72*$H$3784</f>
        <v>0</v>
      </c>
      <c r="CG72" s="73">
        <f>$V72*$H$3785</f>
        <v>0</v>
      </c>
      <c r="CH72" s="73">
        <f>$V72*$H$3786</f>
        <v>0</v>
      </c>
      <c r="CI72" s="75">
        <f>$O$3748</f>
        <v>0</v>
      </c>
      <c r="CJ72" s="73">
        <f>$H$3799</f>
        <v>1</v>
      </c>
      <c r="CK72" s="73">
        <f>$I$3799</f>
        <v>1</v>
      </c>
      <c r="CL72" s="73">
        <f>$J$3799</f>
        <v>1</v>
      </c>
      <c r="CM72" s="73">
        <f t="shared" si="54"/>
        <v>0</v>
      </c>
      <c r="CN72" s="73">
        <f t="shared" si="55"/>
        <v>0</v>
      </c>
      <c r="CO72" s="72">
        <f>$M72*($C72/$K$3799)*IF($O$3748=1,$F$3748/$G72,1)*$R72</f>
        <v>0</v>
      </c>
      <c r="CP72" s="72">
        <f>$M72*(1+$S72)*($C72/$L$3799)*IF($O$3748=1,$F$3748/$H72,1)*$R72</f>
        <v>0</v>
      </c>
      <c r="CQ72" s="73">
        <f t="shared" si="56"/>
        <v>0</v>
      </c>
      <c r="CR72" s="73">
        <f t="shared" si="57"/>
        <v>0</v>
      </c>
      <c r="CS72" s="73">
        <f t="shared" si="58"/>
        <v>0</v>
      </c>
      <c r="CT72" s="272">
        <f t="shared" si="59"/>
        <v>0</v>
      </c>
      <c r="CU72" s="75">
        <f t="shared" si="60"/>
        <v>0</v>
      </c>
      <c r="CV72" s="75">
        <f t="shared" si="61"/>
        <v>0</v>
      </c>
      <c r="CW72" s="273" t="str">
        <f t="shared" si="62"/>
        <v/>
      </c>
      <c r="CX72" s="274" t="str">
        <f t="shared" si="63"/>
        <v/>
      </c>
      <c r="CY72" s="6" t="str">
        <f t="shared" si="64"/>
        <v/>
      </c>
      <c r="CZ72" s="273" t="str">
        <f t="shared" si="65"/>
        <v/>
      </c>
      <c r="DA72" s="274" t="str">
        <f t="shared" si="66"/>
        <v/>
      </c>
      <c r="DB72" s="6" t="str">
        <f t="shared" si="67"/>
        <v/>
      </c>
      <c r="DC72" s="273" t="str">
        <f t="shared" si="68"/>
        <v/>
      </c>
      <c r="DD72" s="274" t="str">
        <f t="shared" si="69"/>
        <v/>
      </c>
      <c r="DE72" s="6" t="str">
        <f t="shared" si="70"/>
        <v/>
      </c>
      <c r="DF72" s="273" t="str">
        <f t="shared" si="71"/>
        <v/>
      </c>
      <c r="DG72" s="274" t="str">
        <f t="shared" si="72"/>
        <v/>
      </c>
      <c r="DH72" s="6" t="str">
        <f t="shared" si="73"/>
        <v/>
      </c>
    </row>
    <row r="76" spans="1:112" x14ac:dyDescent="0.3">
      <c r="A76" s="6" t="str">
        <f>INDEX(lr_key,1)</f>
        <v>ABD|AZ</v>
      </c>
      <c r="B76" s="6" t="str">
        <f>INDEX(lr_state,1)</f>
        <v>AZ</v>
      </c>
      <c r="C76" s="75">
        <f>nr_TermMonths</f>
        <v>6</v>
      </c>
      <c r="D76" s="75">
        <f>IF(COUNTIF(se_state,$B76)=0,0,MATCH($B76,se_state,0))</f>
        <v>0</v>
      </c>
      <c r="E76" s="70">
        <f>IF($D76=0,0,INDEX(se_sum,$D76))</f>
        <v>0</v>
      </c>
      <c r="F76" s="224">
        <f>IF(N(INDEX(lr_mind,1))=0,1,INDEX(lr_mind,1))</f>
        <v>0.85</v>
      </c>
      <c r="G76" s="224">
        <f>IF(N(INDEX(lr_m0,1))=0,1,INDEX(lr_m0,1))</f>
        <v>0.86</v>
      </c>
      <c r="H76" s="74">
        <f>IF(N(INDEX(lr_m0asof,1))=0,DATE(nr_PlanYear-1,10,1),INDEX(lr_m0asof,1))</f>
        <v>46295</v>
      </c>
      <c r="I76" s="224">
        <f>IF(N(INDEX(lr_m1,1))=0,1,INDEX(lr_m1,1))</f>
        <v>0.89</v>
      </c>
      <c r="J76" s="224">
        <f>INDEX(lr_mprior,1)</f>
        <v>0</v>
      </c>
      <c r="K76" s="224">
        <f>INDEX(lr_m2,1)</f>
        <v>0</v>
      </c>
      <c r="L76" s="6" t="b">
        <f>NOT(ISBLANK(INDEX(lr_netp,1)))</f>
        <v>0</v>
      </c>
      <c r="M76" s="72">
        <f>N(INDEX(lr_netp,1))</f>
        <v>0</v>
      </c>
      <c r="N76" s="72">
        <f>IF(ISBLANK(INDEX(lr_netp1,1)),$M$76,N(INDEX(lr_netp1,1)))</f>
        <v>0</v>
      </c>
      <c r="O76" s="75">
        <f>IF(AND(nr_ModAdjMaster="ON",INDEX(lr_modadj,1)="ON"),1,0)</f>
        <v>1</v>
      </c>
    </row>
    <row r="77" spans="1:112" x14ac:dyDescent="0.3">
      <c r="A77" s="6">
        <f>EDATE($H$76,-12)+1</f>
        <v>45931</v>
      </c>
      <c r="B77" s="6">
        <f>$H$76+1</f>
        <v>46296</v>
      </c>
      <c r="C77" s="6">
        <f>DATE(nr_PlanYear,12,31)+1</f>
        <v>46753</v>
      </c>
      <c r="D77" s="6">
        <f>DATE(nr_PlanYear+1,12,31)+1</f>
        <v>47119</v>
      </c>
      <c r="E77" s="6">
        <f>IF(N($J$76)=0,$F$77-($G$77-$F$77)/($C$77-$B$77)*($B$77-$A$77),$J$76)</f>
        <v>0.83603938730853389</v>
      </c>
      <c r="F77" s="6">
        <f>$G$76</f>
        <v>0.86</v>
      </c>
      <c r="G77" s="6">
        <f>$I$76</f>
        <v>0.89</v>
      </c>
      <c r="H77" s="6">
        <f>IF(N($K$76)=0,$I$76,$K$76)</f>
        <v>0.89</v>
      </c>
      <c r="I77" s="6">
        <f>($F$77-$E$77)/($B$77-$A$77)</f>
        <v>6.5645514223194786E-5</v>
      </c>
      <c r="J77" s="6">
        <f>($G$77-$F$77)/($C$77-$B$77)</f>
        <v>6.5645514223194813E-5</v>
      </c>
      <c r="K77" s="6">
        <f>($H$77-$G$77)/($D$77-$C$77)</f>
        <v>0</v>
      </c>
    </row>
    <row r="78" spans="1:112" ht="36" x14ac:dyDescent="0.3">
      <c r="A78" s="58" t="s">
        <v>390</v>
      </c>
      <c r="B78" s="58" t="s">
        <v>449</v>
      </c>
      <c r="C78" s="58" t="s">
        <v>685</v>
      </c>
      <c r="D78" s="58" t="s">
        <v>686</v>
      </c>
      <c r="E78" s="58" t="s">
        <v>687</v>
      </c>
      <c r="F78" s="58" t="s">
        <v>688</v>
      </c>
      <c r="G78" s="58" t="s">
        <v>689</v>
      </c>
      <c r="H78" s="58" t="s">
        <v>452</v>
      </c>
      <c r="I78" s="58" t="s">
        <v>690</v>
      </c>
      <c r="J78" s="58" t="s">
        <v>691</v>
      </c>
      <c r="K78" s="58" t="s">
        <v>692</v>
      </c>
      <c r="L78" s="58" t="s">
        <v>693</v>
      </c>
      <c r="M78" s="58" t="s">
        <v>694</v>
      </c>
      <c r="N78" s="58" t="s">
        <v>695</v>
      </c>
      <c r="O78" s="58" t="s">
        <v>696</v>
      </c>
      <c r="P78" s="58" t="s">
        <v>697</v>
      </c>
      <c r="Q78" s="58" t="s">
        <v>698</v>
      </c>
      <c r="R78" s="58" t="s">
        <v>699</v>
      </c>
      <c r="S78" s="58" t="s">
        <v>700</v>
      </c>
      <c r="T78" s="58" t="s">
        <v>701</v>
      </c>
      <c r="U78" s="58" t="s">
        <v>702</v>
      </c>
    </row>
    <row r="79" spans="1:112" x14ac:dyDescent="0.3">
      <c r="A79" s="187">
        <v>1</v>
      </c>
      <c r="B79" s="242">
        <f>DATE(nr_PlanYear-2,1,1)</f>
        <v>45658</v>
      </c>
      <c r="C79" s="243">
        <f t="shared" ref="C79:C126" si="74">EOMONTH($B79,0)</f>
        <v>45688</v>
      </c>
      <c r="D79" s="120">
        <f t="shared" ref="D79:D126" si="75">$C79-$B79+1</f>
        <v>31</v>
      </c>
      <c r="E79" s="120">
        <f t="shared" ref="E79:E126" si="76">MONTH($B79)</f>
        <v>1</v>
      </c>
      <c r="F79" s="275">
        <f t="shared" ref="F79:F126" si="77">($B79+$C79+1)/2</f>
        <v>45673.5</v>
      </c>
      <c r="G79" s="120">
        <f t="shared" ref="G79:G126" si="78">YEAR($B79)*12+MONTH($B79)-1</f>
        <v>24300</v>
      </c>
      <c r="H79" s="245">
        <f t="shared" ref="H79:H126" si="79">IF(OR(nr_SeasonOn="OFF",$D$76=0,$E$76=0),1,12*INDEX(se_block,$D$76,$E79)/$E$76)</f>
        <v>1</v>
      </c>
      <c r="I79" s="121">
        <f t="shared" ref="I79:I126" si="80">EXP(SUMPRODUCT((rl_eff&lt;$B79)*(rl_key=$A$76)*rl_ln1p))</f>
        <v>1</v>
      </c>
      <c r="J79" s="121">
        <f t="shared" ref="J79:J126" si="81">EXP(SUMPRODUCT((rl_eff&lt;=$C79)*(rl_key=$A$76)*rl_ln1p))</f>
        <v>1</v>
      </c>
      <c r="K79" s="120">
        <f t="shared" ref="K79:K126" si="82">COUNTIFS(rl_key,$A$76,rl_eff,"&gt;="&amp;$B79,rl_eff,"&lt;="&amp;$C79)</f>
        <v>0</v>
      </c>
      <c r="L79" s="120">
        <f t="shared" ref="L79:L126" si="83">SUMIFS(rl_daysafter,rl_key,$A$76,rl_effmonth,$B79,rl_first,1)</f>
        <v>0</v>
      </c>
      <c r="M79" s="246">
        <f t="shared" ref="M79:M126" si="84">IF($K79=0,0,MIN(1,$L79/$D79))</f>
        <v>0</v>
      </c>
      <c r="N79" s="121">
        <f t="shared" ref="N79:N126" si="85">IF($K79=0,$J79,(1-$M79)*$I79+$M79*$J79)</f>
        <v>1</v>
      </c>
      <c r="O79" s="246">
        <f t="shared" ref="O79:O126" si="86">IF($F79&lt;$B$77,$E$77+$I$77*($F79-$A$77),IF($F79&lt;$C$77,$F$77+$J$77*($F79-$B$77),$G$77+$K$77*($F79-$C$77)))</f>
        <v>0.81913566739606125</v>
      </c>
      <c r="P79" s="121">
        <f t="shared" ref="P79:P126" si="87">MIN(1,MAX(0,(nr_MEndPm1-$G79+0.5)/$C$76))-MIN(1,MAX(0,(nr_MStartPm1-1-$G79+0.5)/$C$76))</f>
        <v>0</v>
      </c>
      <c r="Q79" s="121">
        <f t="shared" ref="Q79:Q126" si="88">MIN(1,MAX(0,(nr_MEndP-$G79+0.5)/$C$76))-MIN(1,MAX(0,(nr_MStartP-1-$G79+0.5)/$C$76))</f>
        <v>0</v>
      </c>
      <c r="R79" s="121">
        <f t="shared" ref="R79:R126" si="89">MIN(1,MAX(0,(nr_MEndP1-$G79+0.5)/$C$76))-MIN(1,MAX(0,(nr_MStartP1-1-$G79+0.5)/$C$76))</f>
        <v>0</v>
      </c>
      <c r="S79" s="121" t="str">
        <f t="shared" ref="S79:S126" si="90">IF($L$76,$N79*IF($O$76=1,$O79/$F$76,1),"")</f>
        <v/>
      </c>
      <c r="T79" s="121" t="str">
        <f t="shared" ref="T79:T126" si="91">IF(NOT($L$76),"",IF($G79&lt;nr_MStartP,$S79,$T67*(1+IF($G79&lt;nr_MStartP1,$M$76,$N$76))))</f>
        <v/>
      </c>
      <c r="U79" s="121">
        <f t="shared" ref="U79:U126" si="92">IF($L$76,$T79,$N79)</f>
        <v>1</v>
      </c>
    </row>
    <row r="80" spans="1:112" x14ac:dyDescent="0.3">
      <c r="A80" s="187">
        <v>2</v>
      </c>
      <c r="B80" s="242">
        <f t="shared" ref="B80:B126" si="93">EDATE($B79,1)</f>
        <v>45689</v>
      </c>
      <c r="C80" s="243">
        <f t="shared" si="74"/>
        <v>45716</v>
      </c>
      <c r="D80" s="120">
        <f t="shared" si="75"/>
        <v>28</v>
      </c>
      <c r="E80" s="120">
        <f t="shared" si="76"/>
        <v>2</v>
      </c>
      <c r="F80" s="275">
        <f t="shared" si="77"/>
        <v>45703</v>
      </c>
      <c r="G80" s="120">
        <f t="shared" si="78"/>
        <v>24301</v>
      </c>
      <c r="H80" s="245">
        <f t="shared" si="79"/>
        <v>1</v>
      </c>
      <c r="I80" s="121">
        <f t="shared" si="80"/>
        <v>1</v>
      </c>
      <c r="J80" s="121">
        <f t="shared" si="81"/>
        <v>1</v>
      </c>
      <c r="K80" s="120">
        <f t="shared" si="82"/>
        <v>0</v>
      </c>
      <c r="L80" s="120">
        <f t="shared" si="83"/>
        <v>0</v>
      </c>
      <c r="M80" s="246">
        <f t="shared" si="84"/>
        <v>0</v>
      </c>
      <c r="N80" s="121">
        <f t="shared" si="85"/>
        <v>1</v>
      </c>
      <c r="O80" s="246">
        <f t="shared" si="86"/>
        <v>0.82107221006564546</v>
      </c>
      <c r="P80" s="121">
        <f t="shared" si="87"/>
        <v>0</v>
      </c>
      <c r="Q80" s="121">
        <f t="shared" si="88"/>
        <v>0</v>
      </c>
      <c r="R80" s="121">
        <f t="shared" si="89"/>
        <v>0</v>
      </c>
      <c r="S80" s="121" t="str">
        <f t="shared" si="90"/>
        <v/>
      </c>
      <c r="T80" s="121" t="str">
        <f t="shared" si="91"/>
        <v/>
      </c>
      <c r="U80" s="121">
        <f t="shared" si="92"/>
        <v>1</v>
      </c>
    </row>
    <row r="81" spans="1:21" x14ac:dyDescent="0.3">
      <c r="A81" s="187">
        <v>3</v>
      </c>
      <c r="B81" s="242">
        <f t="shared" si="93"/>
        <v>45717</v>
      </c>
      <c r="C81" s="243">
        <f t="shared" si="74"/>
        <v>45747</v>
      </c>
      <c r="D81" s="120">
        <f t="shared" si="75"/>
        <v>31</v>
      </c>
      <c r="E81" s="120">
        <f t="shared" si="76"/>
        <v>3</v>
      </c>
      <c r="F81" s="275">
        <f t="shared" si="77"/>
        <v>45732.5</v>
      </c>
      <c r="G81" s="120">
        <f t="shared" si="78"/>
        <v>24302</v>
      </c>
      <c r="H81" s="245">
        <f t="shared" si="79"/>
        <v>1</v>
      </c>
      <c r="I81" s="121">
        <f t="shared" si="80"/>
        <v>1</v>
      </c>
      <c r="J81" s="121">
        <f t="shared" si="81"/>
        <v>1</v>
      </c>
      <c r="K81" s="120">
        <f t="shared" si="82"/>
        <v>0</v>
      </c>
      <c r="L81" s="120">
        <f t="shared" si="83"/>
        <v>0</v>
      </c>
      <c r="M81" s="246">
        <f t="shared" si="84"/>
        <v>0</v>
      </c>
      <c r="N81" s="121">
        <f t="shared" si="85"/>
        <v>1</v>
      </c>
      <c r="O81" s="246">
        <f t="shared" si="86"/>
        <v>0.82300875273522978</v>
      </c>
      <c r="P81" s="121">
        <f t="shared" si="87"/>
        <v>0</v>
      </c>
      <c r="Q81" s="121">
        <f t="shared" si="88"/>
        <v>0</v>
      </c>
      <c r="R81" s="121">
        <f t="shared" si="89"/>
        <v>0</v>
      </c>
      <c r="S81" s="121" t="str">
        <f t="shared" si="90"/>
        <v/>
      </c>
      <c r="T81" s="121" t="str">
        <f t="shared" si="91"/>
        <v/>
      </c>
      <c r="U81" s="121">
        <f t="shared" si="92"/>
        <v>1</v>
      </c>
    </row>
    <row r="82" spans="1:21" x14ac:dyDescent="0.3">
      <c r="A82" s="187">
        <v>4</v>
      </c>
      <c r="B82" s="242">
        <f t="shared" si="93"/>
        <v>45748</v>
      </c>
      <c r="C82" s="243">
        <f t="shared" si="74"/>
        <v>45777</v>
      </c>
      <c r="D82" s="120">
        <f t="shared" si="75"/>
        <v>30</v>
      </c>
      <c r="E82" s="120">
        <f t="shared" si="76"/>
        <v>4</v>
      </c>
      <c r="F82" s="275">
        <f t="shared" si="77"/>
        <v>45763</v>
      </c>
      <c r="G82" s="120">
        <f t="shared" si="78"/>
        <v>24303</v>
      </c>
      <c r="H82" s="245">
        <f t="shared" si="79"/>
        <v>1</v>
      </c>
      <c r="I82" s="121">
        <f t="shared" si="80"/>
        <v>1</v>
      </c>
      <c r="J82" s="121">
        <f t="shared" si="81"/>
        <v>1</v>
      </c>
      <c r="K82" s="120">
        <f t="shared" si="82"/>
        <v>0</v>
      </c>
      <c r="L82" s="120">
        <f t="shared" si="83"/>
        <v>0</v>
      </c>
      <c r="M82" s="246">
        <f t="shared" si="84"/>
        <v>0</v>
      </c>
      <c r="N82" s="121">
        <f t="shared" si="85"/>
        <v>1</v>
      </c>
      <c r="O82" s="246">
        <f t="shared" si="86"/>
        <v>0.82501094091903715</v>
      </c>
      <c r="P82" s="121">
        <f t="shared" si="87"/>
        <v>0</v>
      </c>
      <c r="Q82" s="121">
        <f t="shared" si="88"/>
        <v>0</v>
      </c>
      <c r="R82" s="121">
        <f t="shared" si="89"/>
        <v>0</v>
      </c>
      <c r="S82" s="121" t="str">
        <f t="shared" si="90"/>
        <v/>
      </c>
      <c r="T82" s="121" t="str">
        <f t="shared" si="91"/>
        <v/>
      </c>
      <c r="U82" s="121">
        <f t="shared" si="92"/>
        <v>1</v>
      </c>
    </row>
    <row r="83" spans="1:21" x14ac:dyDescent="0.3">
      <c r="A83" s="187">
        <v>5</v>
      </c>
      <c r="B83" s="242">
        <f t="shared" si="93"/>
        <v>45778</v>
      </c>
      <c r="C83" s="243">
        <f t="shared" si="74"/>
        <v>45808</v>
      </c>
      <c r="D83" s="120">
        <f t="shared" si="75"/>
        <v>31</v>
      </c>
      <c r="E83" s="120">
        <f t="shared" si="76"/>
        <v>5</v>
      </c>
      <c r="F83" s="275">
        <f t="shared" si="77"/>
        <v>45793.5</v>
      </c>
      <c r="G83" s="120">
        <f t="shared" si="78"/>
        <v>24304</v>
      </c>
      <c r="H83" s="245">
        <f t="shared" si="79"/>
        <v>1</v>
      </c>
      <c r="I83" s="121">
        <f t="shared" si="80"/>
        <v>1</v>
      </c>
      <c r="J83" s="121">
        <f t="shared" si="81"/>
        <v>1</v>
      </c>
      <c r="K83" s="120">
        <f t="shared" si="82"/>
        <v>0</v>
      </c>
      <c r="L83" s="120">
        <f t="shared" si="83"/>
        <v>0</v>
      </c>
      <c r="M83" s="246">
        <f t="shared" si="84"/>
        <v>0</v>
      </c>
      <c r="N83" s="121">
        <f t="shared" si="85"/>
        <v>1</v>
      </c>
      <c r="O83" s="246">
        <f t="shared" si="86"/>
        <v>0.82701312910284464</v>
      </c>
      <c r="P83" s="121">
        <f t="shared" si="87"/>
        <v>0</v>
      </c>
      <c r="Q83" s="121">
        <f t="shared" si="88"/>
        <v>0</v>
      </c>
      <c r="R83" s="121">
        <f t="shared" si="89"/>
        <v>0</v>
      </c>
      <c r="S83" s="121" t="str">
        <f t="shared" si="90"/>
        <v/>
      </c>
      <c r="T83" s="121" t="str">
        <f t="shared" si="91"/>
        <v/>
      </c>
      <c r="U83" s="121">
        <f t="shared" si="92"/>
        <v>1</v>
      </c>
    </row>
    <row r="84" spans="1:21" x14ac:dyDescent="0.3">
      <c r="A84" s="187">
        <v>6</v>
      </c>
      <c r="B84" s="242">
        <f t="shared" si="93"/>
        <v>45809</v>
      </c>
      <c r="C84" s="243">
        <f t="shared" si="74"/>
        <v>45838</v>
      </c>
      <c r="D84" s="120">
        <f t="shared" si="75"/>
        <v>30</v>
      </c>
      <c r="E84" s="120">
        <f t="shared" si="76"/>
        <v>6</v>
      </c>
      <c r="F84" s="275">
        <f t="shared" si="77"/>
        <v>45824</v>
      </c>
      <c r="G84" s="120">
        <f t="shared" si="78"/>
        <v>24305</v>
      </c>
      <c r="H84" s="245">
        <f t="shared" si="79"/>
        <v>1</v>
      </c>
      <c r="I84" s="121">
        <f t="shared" si="80"/>
        <v>1</v>
      </c>
      <c r="J84" s="121">
        <f t="shared" si="81"/>
        <v>1</v>
      </c>
      <c r="K84" s="120">
        <f t="shared" si="82"/>
        <v>0</v>
      </c>
      <c r="L84" s="120">
        <f t="shared" si="83"/>
        <v>0</v>
      </c>
      <c r="M84" s="246">
        <f t="shared" si="84"/>
        <v>0</v>
      </c>
      <c r="N84" s="121">
        <f t="shared" si="85"/>
        <v>1</v>
      </c>
      <c r="O84" s="246">
        <f t="shared" si="86"/>
        <v>0.82901531728665201</v>
      </c>
      <c r="P84" s="121">
        <f t="shared" si="87"/>
        <v>0</v>
      </c>
      <c r="Q84" s="121">
        <f t="shared" si="88"/>
        <v>0</v>
      </c>
      <c r="R84" s="121">
        <f t="shared" si="89"/>
        <v>0</v>
      </c>
      <c r="S84" s="121" t="str">
        <f t="shared" si="90"/>
        <v/>
      </c>
      <c r="T84" s="121" t="str">
        <f t="shared" si="91"/>
        <v/>
      </c>
      <c r="U84" s="121">
        <f t="shared" si="92"/>
        <v>1</v>
      </c>
    </row>
    <row r="85" spans="1:21" x14ac:dyDescent="0.3">
      <c r="A85" s="187">
        <v>7</v>
      </c>
      <c r="B85" s="242">
        <f t="shared" si="93"/>
        <v>45839</v>
      </c>
      <c r="C85" s="243">
        <f t="shared" si="74"/>
        <v>45869</v>
      </c>
      <c r="D85" s="120">
        <f t="shared" si="75"/>
        <v>31</v>
      </c>
      <c r="E85" s="120">
        <f t="shared" si="76"/>
        <v>7</v>
      </c>
      <c r="F85" s="275">
        <f t="shared" si="77"/>
        <v>45854.5</v>
      </c>
      <c r="G85" s="120">
        <f t="shared" si="78"/>
        <v>24306</v>
      </c>
      <c r="H85" s="245">
        <f t="shared" si="79"/>
        <v>1</v>
      </c>
      <c r="I85" s="121">
        <f t="shared" si="80"/>
        <v>1</v>
      </c>
      <c r="J85" s="121">
        <f t="shared" si="81"/>
        <v>1.04</v>
      </c>
      <c r="K85" s="120">
        <f t="shared" si="82"/>
        <v>1</v>
      </c>
      <c r="L85" s="120">
        <f t="shared" si="83"/>
        <v>31</v>
      </c>
      <c r="M85" s="246">
        <f t="shared" si="84"/>
        <v>1</v>
      </c>
      <c r="N85" s="121">
        <f t="shared" si="85"/>
        <v>1.04</v>
      </c>
      <c r="O85" s="246">
        <f t="shared" si="86"/>
        <v>0.83101750547045949</v>
      </c>
      <c r="P85" s="121">
        <f t="shared" si="87"/>
        <v>8.333333333333337E-2</v>
      </c>
      <c r="Q85" s="121">
        <f t="shared" si="88"/>
        <v>0</v>
      </c>
      <c r="R85" s="121">
        <f t="shared" si="89"/>
        <v>0</v>
      </c>
      <c r="S85" s="121" t="str">
        <f t="shared" si="90"/>
        <v/>
      </c>
      <c r="T85" s="121" t="str">
        <f t="shared" si="91"/>
        <v/>
      </c>
      <c r="U85" s="121">
        <f t="shared" si="92"/>
        <v>1.04</v>
      </c>
    </row>
    <row r="86" spans="1:21" x14ac:dyDescent="0.3">
      <c r="A86" s="187">
        <v>8</v>
      </c>
      <c r="B86" s="242">
        <f t="shared" si="93"/>
        <v>45870</v>
      </c>
      <c r="C86" s="243">
        <f t="shared" si="74"/>
        <v>45900</v>
      </c>
      <c r="D86" s="120">
        <f t="shared" si="75"/>
        <v>31</v>
      </c>
      <c r="E86" s="120">
        <f t="shared" si="76"/>
        <v>8</v>
      </c>
      <c r="F86" s="275">
        <f t="shared" si="77"/>
        <v>45885.5</v>
      </c>
      <c r="G86" s="120">
        <f t="shared" si="78"/>
        <v>24307</v>
      </c>
      <c r="H86" s="245">
        <f t="shared" si="79"/>
        <v>1</v>
      </c>
      <c r="I86" s="121">
        <f t="shared" si="80"/>
        <v>1.04</v>
      </c>
      <c r="J86" s="121">
        <f t="shared" si="81"/>
        <v>1.04</v>
      </c>
      <c r="K86" s="120">
        <f t="shared" si="82"/>
        <v>0</v>
      </c>
      <c r="L86" s="120">
        <f t="shared" si="83"/>
        <v>0</v>
      </c>
      <c r="M86" s="246">
        <f t="shared" si="84"/>
        <v>0</v>
      </c>
      <c r="N86" s="121">
        <f t="shared" si="85"/>
        <v>1.04</v>
      </c>
      <c r="O86" s="246">
        <f t="shared" si="86"/>
        <v>0.83305251641137856</v>
      </c>
      <c r="P86" s="121">
        <f t="shared" si="87"/>
        <v>0.25</v>
      </c>
      <c r="Q86" s="121">
        <f t="shared" si="88"/>
        <v>0</v>
      </c>
      <c r="R86" s="121">
        <f t="shared" si="89"/>
        <v>0</v>
      </c>
      <c r="S86" s="121" t="str">
        <f t="shared" si="90"/>
        <v/>
      </c>
      <c r="T86" s="121" t="str">
        <f t="shared" si="91"/>
        <v/>
      </c>
      <c r="U86" s="121">
        <f t="shared" si="92"/>
        <v>1.04</v>
      </c>
    </row>
    <row r="87" spans="1:21" x14ac:dyDescent="0.3">
      <c r="A87" s="187">
        <v>9</v>
      </c>
      <c r="B87" s="242">
        <f t="shared" si="93"/>
        <v>45901</v>
      </c>
      <c r="C87" s="243">
        <f t="shared" si="74"/>
        <v>45930</v>
      </c>
      <c r="D87" s="120">
        <f t="shared" si="75"/>
        <v>30</v>
      </c>
      <c r="E87" s="120">
        <f t="shared" si="76"/>
        <v>9</v>
      </c>
      <c r="F87" s="275">
        <f t="shared" si="77"/>
        <v>45916</v>
      </c>
      <c r="G87" s="120">
        <f t="shared" si="78"/>
        <v>24308</v>
      </c>
      <c r="H87" s="245">
        <f t="shared" si="79"/>
        <v>1</v>
      </c>
      <c r="I87" s="121">
        <f t="shared" si="80"/>
        <v>1.04</v>
      </c>
      <c r="J87" s="121">
        <f t="shared" si="81"/>
        <v>1.04</v>
      </c>
      <c r="K87" s="120">
        <f t="shared" si="82"/>
        <v>0</v>
      </c>
      <c r="L87" s="120">
        <f t="shared" si="83"/>
        <v>0</v>
      </c>
      <c r="M87" s="246">
        <f t="shared" si="84"/>
        <v>0</v>
      </c>
      <c r="N87" s="121">
        <f t="shared" si="85"/>
        <v>1.04</v>
      </c>
      <c r="O87" s="246">
        <f t="shared" si="86"/>
        <v>0.83505470459518594</v>
      </c>
      <c r="P87" s="121">
        <f t="shared" si="87"/>
        <v>0.41666666666666663</v>
      </c>
      <c r="Q87" s="121">
        <f t="shared" si="88"/>
        <v>0</v>
      </c>
      <c r="R87" s="121">
        <f t="shared" si="89"/>
        <v>0</v>
      </c>
      <c r="S87" s="121" t="str">
        <f t="shared" si="90"/>
        <v/>
      </c>
      <c r="T87" s="121" t="str">
        <f t="shared" si="91"/>
        <v/>
      </c>
      <c r="U87" s="121">
        <f t="shared" si="92"/>
        <v>1.04</v>
      </c>
    </row>
    <row r="88" spans="1:21" x14ac:dyDescent="0.3">
      <c r="A88" s="187">
        <v>10</v>
      </c>
      <c r="B88" s="242">
        <f t="shared" si="93"/>
        <v>45931</v>
      </c>
      <c r="C88" s="243">
        <f t="shared" si="74"/>
        <v>45961</v>
      </c>
      <c r="D88" s="120">
        <f t="shared" si="75"/>
        <v>31</v>
      </c>
      <c r="E88" s="120">
        <f t="shared" si="76"/>
        <v>10</v>
      </c>
      <c r="F88" s="275">
        <f t="shared" si="77"/>
        <v>45946.5</v>
      </c>
      <c r="G88" s="120">
        <f t="shared" si="78"/>
        <v>24309</v>
      </c>
      <c r="H88" s="245">
        <f t="shared" si="79"/>
        <v>1</v>
      </c>
      <c r="I88" s="121">
        <f t="shared" si="80"/>
        <v>1.04</v>
      </c>
      <c r="J88" s="121">
        <f t="shared" si="81"/>
        <v>1.04</v>
      </c>
      <c r="K88" s="120">
        <f t="shared" si="82"/>
        <v>0</v>
      </c>
      <c r="L88" s="120">
        <f t="shared" si="83"/>
        <v>0</v>
      </c>
      <c r="M88" s="246">
        <f t="shared" si="84"/>
        <v>0</v>
      </c>
      <c r="N88" s="121">
        <f t="shared" si="85"/>
        <v>1.04</v>
      </c>
      <c r="O88" s="246">
        <f t="shared" si="86"/>
        <v>0.83705689277899342</v>
      </c>
      <c r="P88" s="121">
        <f t="shared" si="87"/>
        <v>0.58333333333333326</v>
      </c>
      <c r="Q88" s="121">
        <f t="shared" si="88"/>
        <v>0</v>
      </c>
      <c r="R88" s="121">
        <f t="shared" si="89"/>
        <v>0</v>
      </c>
      <c r="S88" s="121" t="str">
        <f t="shared" si="90"/>
        <v/>
      </c>
      <c r="T88" s="121" t="str">
        <f t="shared" si="91"/>
        <v/>
      </c>
      <c r="U88" s="121">
        <f t="shared" si="92"/>
        <v>1.04</v>
      </c>
    </row>
    <row r="89" spans="1:21" x14ac:dyDescent="0.3">
      <c r="A89" s="187">
        <v>11</v>
      </c>
      <c r="B89" s="242">
        <f t="shared" si="93"/>
        <v>45962</v>
      </c>
      <c r="C89" s="243">
        <f t="shared" si="74"/>
        <v>45991</v>
      </c>
      <c r="D89" s="120">
        <f t="shared" si="75"/>
        <v>30</v>
      </c>
      <c r="E89" s="120">
        <f t="shared" si="76"/>
        <v>11</v>
      </c>
      <c r="F89" s="275">
        <f t="shared" si="77"/>
        <v>45977</v>
      </c>
      <c r="G89" s="120">
        <f t="shared" si="78"/>
        <v>24310</v>
      </c>
      <c r="H89" s="245">
        <f t="shared" si="79"/>
        <v>1</v>
      </c>
      <c r="I89" s="121">
        <f t="shared" si="80"/>
        <v>1.04</v>
      </c>
      <c r="J89" s="121">
        <f t="shared" si="81"/>
        <v>1.04</v>
      </c>
      <c r="K89" s="120">
        <f t="shared" si="82"/>
        <v>0</v>
      </c>
      <c r="L89" s="120">
        <f t="shared" si="83"/>
        <v>0</v>
      </c>
      <c r="M89" s="246">
        <f t="shared" si="84"/>
        <v>0</v>
      </c>
      <c r="N89" s="121">
        <f t="shared" si="85"/>
        <v>1.04</v>
      </c>
      <c r="O89" s="246">
        <f t="shared" si="86"/>
        <v>0.8390590809628008</v>
      </c>
      <c r="P89" s="121">
        <f t="shared" si="87"/>
        <v>0.75</v>
      </c>
      <c r="Q89" s="121">
        <f t="shared" si="88"/>
        <v>0</v>
      </c>
      <c r="R89" s="121">
        <f t="shared" si="89"/>
        <v>0</v>
      </c>
      <c r="S89" s="121" t="str">
        <f t="shared" si="90"/>
        <v/>
      </c>
      <c r="T89" s="121" t="str">
        <f t="shared" si="91"/>
        <v/>
      </c>
      <c r="U89" s="121">
        <f t="shared" si="92"/>
        <v>1.04</v>
      </c>
    </row>
    <row r="90" spans="1:21" x14ac:dyDescent="0.3">
      <c r="A90" s="187">
        <v>12</v>
      </c>
      <c r="B90" s="242">
        <f t="shared" si="93"/>
        <v>45992</v>
      </c>
      <c r="C90" s="243">
        <f t="shared" si="74"/>
        <v>46022</v>
      </c>
      <c r="D90" s="120">
        <f t="shared" si="75"/>
        <v>31</v>
      </c>
      <c r="E90" s="120">
        <f t="shared" si="76"/>
        <v>12</v>
      </c>
      <c r="F90" s="275">
        <f t="shared" si="77"/>
        <v>46007.5</v>
      </c>
      <c r="G90" s="120">
        <f t="shared" si="78"/>
        <v>24311</v>
      </c>
      <c r="H90" s="245">
        <f t="shared" si="79"/>
        <v>1</v>
      </c>
      <c r="I90" s="121">
        <f t="shared" si="80"/>
        <v>1.04</v>
      </c>
      <c r="J90" s="121">
        <f t="shared" si="81"/>
        <v>1.04</v>
      </c>
      <c r="K90" s="120">
        <f t="shared" si="82"/>
        <v>0</v>
      </c>
      <c r="L90" s="120">
        <f t="shared" si="83"/>
        <v>0</v>
      </c>
      <c r="M90" s="246">
        <f t="shared" si="84"/>
        <v>0</v>
      </c>
      <c r="N90" s="121">
        <f t="shared" si="85"/>
        <v>1.04</v>
      </c>
      <c r="O90" s="246">
        <f t="shared" si="86"/>
        <v>0.84106126914660828</v>
      </c>
      <c r="P90" s="121">
        <f t="shared" si="87"/>
        <v>0.91666666666666663</v>
      </c>
      <c r="Q90" s="121">
        <f t="shared" si="88"/>
        <v>0</v>
      </c>
      <c r="R90" s="121">
        <f t="shared" si="89"/>
        <v>0</v>
      </c>
      <c r="S90" s="121" t="str">
        <f t="shared" si="90"/>
        <v/>
      </c>
      <c r="T90" s="121" t="str">
        <f t="shared" si="91"/>
        <v/>
      </c>
      <c r="U90" s="121">
        <f t="shared" si="92"/>
        <v>1.04</v>
      </c>
    </row>
    <row r="91" spans="1:21" x14ac:dyDescent="0.3">
      <c r="A91" s="187">
        <v>13</v>
      </c>
      <c r="B91" s="242">
        <f t="shared" si="93"/>
        <v>46023</v>
      </c>
      <c r="C91" s="243">
        <f t="shared" si="74"/>
        <v>46053</v>
      </c>
      <c r="D91" s="120">
        <f t="shared" si="75"/>
        <v>31</v>
      </c>
      <c r="E91" s="120">
        <f t="shared" si="76"/>
        <v>1</v>
      </c>
      <c r="F91" s="275">
        <f t="shared" si="77"/>
        <v>46038.5</v>
      </c>
      <c r="G91" s="120">
        <f t="shared" si="78"/>
        <v>24312</v>
      </c>
      <c r="H91" s="245">
        <f t="shared" si="79"/>
        <v>1</v>
      </c>
      <c r="I91" s="121">
        <f t="shared" si="80"/>
        <v>1.04</v>
      </c>
      <c r="J91" s="121">
        <f t="shared" si="81"/>
        <v>1.04</v>
      </c>
      <c r="K91" s="120">
        <f t="shared" si="82"/>
        <v>0</v>
      </c>
      <c r="L91" s="120">
        <f t="shared" si="83"/>
        <v>0</v>
      </c>
      <c r="M91" s="246">
        <f t="shared" si="84"/>
        <v>0</v>
      </c>
      <c r="N91" s="121">
        <f t="shared" si="85"/>
        <v>1.04</v>
      </c>
      <c r="O91" s="246">
        <f t="shared" si="86"/>
        <v>0.84309628008752735</v>
      </c>
      <c r="P91" s="121">
        <f t="shared" si="87"/>
        <v>1</v>
      </c>
      <c r="Q91" s="121">
        <f t="shared" si="88"/>
        <v>0</v>
      </c>
      <c r="R91" s="121">
        <f t="shared" si="89"/>
        <v>0</v>
      </c>
      <c r="S91" s="121" t="str">
        <f t="shared" si="90"/>
        <v/>
      </c>
      <c r="T91" s="121" t="str">
        <f t="shared" si="91"/>
        <v/>
      </c>
      <c r="U91" s="121">
        <f t="shared" si="92"/>
        <v>1.04</v>
      </c>
    </row>
    <row r="92" spans="1:21" x14ac:dyDescent="0.3">
      <c r="A92" s="187">
        <v>14</v>
      </c>
      <c r="B92" s="242">
        <f t="shared" si="93"/>
        <v>46054</v>
      </c>
      <c r="C92" s="243">
        <f t="shared" si="74"/>
        <v>46081</v>
      </c>
      <c r="D92" s="120">
        <f t="shared" si="75"/>
        <v>28</v>
      </c>
      <c r="E92" s="120">
        <f t="shared" si="76"/>
        <v>2</v>
      </c>
      <c r="F92" s="275">
        <f t="shared" si="77"/>
        <v>46068</v>
      </c>
      <c r="G92" s="120">
        <f t="shared" si="78"/>
        <v>24313</v>
      </c>
      <c r="H92" s="245">
        <f t="shared" si="79"/>
        <v>1</v>
      </c>
      <c r="I92" s="121">
        <f t="shared" si="80"/>
        <v>1.04</v>
      </c>
      <c r="J92" s="121">
        <f t="shared" si="81"/>
        <v>1.04</v>
      </c>
      <c r="K92" s="120">
        <f t="shared" si="82"/>
        <v>0</v>
      </c>
      <c r="L92" s="120">
        <f t="shared" si="83"/>
        <v>0</v>
      </c>
      <c r="M92" s="246">
        <f t="shared" si="84"/>
        <v>0</v>
      </c>
      <c r="N92" s="121">
        <f t="shared" si="85"/>
        <v>1.04</v>
      </c>
      <c r="O92" s="246">
        <f t="shared" si="86"/>
        <v>0.84503282275711156</v>
      </c>
      <c r="P92" s="121">
        <f t="shared" si="87"/>
        <v>1</v>
      </c>
      <c r="Q92" s="121">
        <f t="shared" si="88"/>
        <v>0</v>
      </c>
      <c r="R92" s="121">
        <f t="shared" si="89"/>
        <v>0</v>
      </c>
      <c r="S92" s="121" t="str">
        <f t="shared" si="90"/>
        <v/>
      </c>
      <c r="T92" s="121" t="str">
        <f t="shared" si="91"/>
        <v/>
      </c>
      <c r="U92" s="121">
        <f t="shared" si="92"/>
        <v>1.04</v>
      </c>
    </row>
    <row r="93" spans="1:21" x14ac:dyDescent="0.3">
      <c r="A93" s="187">
        <v>15</v>
      </c>
      <c r="B93" s="242">
        <f t="shared" si="93"/>
        <v>46082</v>
      </c>
      <c r="C93" s="243">
        <f t="shared" si="74"/>
        <v>46112</v>
      </c>
      <c r="D93" s="120">
        <f t="shared" si="75"/>
        <v>31</v>
      </c>
      <c r="E93" s="120">
        <f t="shared" si="76"/>
        <v>3</v>
      </c>
      <c r="F93" s="275">
        <f t="shared" si="77"/>
        <v>46097.5</v>
      </c>
      <c r="G93" s="120">
        <f t="shared" si="78"/>
        <v>24314</v>
      </c>
      <c r="H93" s="245">
        <f t="shared" si="79"/>
        <v>1</v>
      </c>
      <c r="I93" s="121">
        <f t="shared" si="80"/>
        <v>1.04</v>
      </c>
      <c r="J93" s="121">
        <f t="shared" si="81"/>
        <v>1.04</v>
      </c>
      <c r="K93" s="120">
        <f t="shared" si="82"/>
        <v>0</v>
      </c>
      <c r="L93" s="120">
        <f t="shared" si="83"/>
        <v>0</v>
      </c>
      <c r="M93" s="246">
        <f t="shared" si="84"/>
        <v>0</v>
      </c>
      <c r="N93" s="121">
        <f t="shared" si="85"/>
        <v>1.04</v>
      </c>
      <c r="O93" s="246">
        <f t="shared" si="86"/>
        <v>0.84696936542669587</v>
      </c>
      <c r="P93" s="121">
        <f t="shared" si="87"/>
        <v>1</v>
      </c>
      <c r="Q93" s="121">
        <f t="shared" si="88"/>
        <v>0</v>
      </c>
      <c r="R93" s="121">
        <f t="shared" si="89"/>
        <v>0</v>
      </c>
      <c r="S93" s="121" t="str">
        <f t="shared" si="90"/>
        <v/>
      </c>
      <c r="T93" s="121" t="str">
        <f t="shared" si="91"/>
        <v/>
      </c>
      <c r="U93" s="121">
        <f t="shared" si="92"/>
        <v>1.04</v>
      </c>
    </row>
    <row r="94" spans="1:21" x14ac:dyDescent="0.3">
      <c r="A94" s="187">
        <v>16</v>
      </c>
      <c r="B94" s="242">
        <f t="shared" si="93"/>
        <v>46113</v>
      </c>
      <c r="C94" s="243">
        <f t="shared" si="74"/>
        <v>46142</v>
      </c>
      <c r="D94" s="120">
        <f t="shared" si="75"/>
        <v>30</v>
      </c>
      <c r="E94" s="120">
        <f t="shared" si="76"/>
        <v>4</v>
      </c>
      <c r="F94" s="275">
        <f t="shared" si="77"/>
        <v>46128</v>
      </c>
      <c r="G94" s="120">
        <f t="shared" si="78"/>
        <v>24315</v>
      </c>
      <c r="H94" s="245">
        <f t="shared" si="79"/>
        <v>1</v>
      </c>
      <c r="I94" s="121">
        <f t="shared" si="80"/>
        <v>1.04</v>
      </c>
      <c r="J94" s="121">
        <f t="shared" si="81"/>
        <v>1.04</v>
      </c>
      <c r="K94" s="120">
        <f t="shared" si="82"/>
        <v>0</v>
      </c>
      <c r="L94" s="120">
        <f t="shared" si="83"/>
        <v>0</v>
      </c>
      <c r="M94" s="246">
        <f t="shared" si="84"/>
        <v>0</v>
      </c>
      <c r="N94" s="121">
        <f t="shared" si="85"/>
        <v>1.04</v>
      </c>
      <c r="O94" s="246">
        <f t="shared" si="86"/>
        <v>0.84897155361050325</v>
      </c>
      <c r="P94" s="121">
        <f t="shared" si="87"/>
        <v>1</v>
      </c>
      <c r="Q94" s="121">
        <f t="shared" si="88"/>
        <v>0</v>
      </c>
      <c r="R94" s="121">
        <f t="shared" si="89"/>
        <v>0</v>
      </c>
      <c r="S94" s="121" t="str">
        <f t="shared" si="90"/>
        <v/>
      </c>
      <c r="T94" s="121" t="str">
        <f t="shared" si="91"/>
        <v/>
      </c>
      <c r="U94" s="121">
        <f t="shared" si="92"/>
        <v>1.04</v>
      </c>
    </row>
    <row r="95" spans="1:21" x14ac:dyDescent="0.3">
      <c r="A95" s="187">
        <v>17</v>
      </c>
      <c r="B95" s="242">
        <f t="shared" si="93"/>
        <v>46143</v>
      </c>
      <c r="C95" s="243">
        <f t="shared" si="74"/>
        <v>46173</v>
      </c>
      <c r="D95" s="120">
        <f t="shared" si="75"/>
        <v>31</v>
      </c>
      <c r="E95" s="120">
        <f t="shared" si="76"/>
        <v>5</v>
      </c>
      <c r="F95" s="275">
        <f t="shared" si="77"/>
        <v>46158.5</v>
      </c>
      <c r="G95" s="120">
        <f t="shared" si="78"/>
        <v>24316</v>
      </c>
      <c r="H95" s="245">
        <f t="shared" si="79"/>
        <v>1</v>
      </c>
      <c r="I95" s="121">
        <f t="shared" si="80"/>
        <v>1.04</v>
      </c>
      <c r="J95" s="121">
        <f t="shared" si="81"/>
        <v>1.04</v>
      </c>
      <c r="K95" s="120">
        <f t="shared" si="82"/>
        <v>0</v>
      </c>
      <c r="L95" s="120">
        <f t="shared" si="83"/>
        <v>0</v>
      </c>
      <c r="M95" s="246">
        <f t="shared" si="84"/>
        <v>0</v>
      </c>
      <c r="N95" s="121">
        <f t="shared" si="85"/>
        <v>1.04</v>
      </c>
      <c r="O95" s="246">
        <f t="shared" si="86"/>
        <v>0.85097374179431073</v>
      </c>
      <c r="P95" s="121">
        <f t="shared" si="87"/>
        <v>1</v>
      </c>
      <c r="Q95" s="121">
        <f t="shared" si="88"/>
        <v>0</v>
      </c>
      <c r="R95" s="121">
        <f t="shared" si="89"/>
        <v>0</v>
      </c>
      <c r="S95" s="121" t="str">
        <f t="shared" si="90"/>
        <v/>
      </c>
      <c r="T95" s="121" t="str">
        <f t="shared" si="91"/>
        <v/>
      </c>
      <c r="U95" s="121">
        <f t="shared" si="92"/>
        <v>1.04</v>
      </c>
    </row>
    <row r="96" spans="1:21" x14ac:dyDescent="0.3">
      <c r="A96" s="187">
        <v>18</v>
      </c>
      <c r="B96" s="242">
        <f t="shared" si="93"/>
        <v>46174</v>
      </c>
      <c r="C96" s="243">
        <f t="shared" si="74"/>
        <v>46203</v>
      </c>
      <c r="D96" s="120">
        <f t="shared" si="75"/>
        <v>30</v>
      </c>
      <c r="E96" s="120">
        <f t="shared" si="76"/>
        <v>6</v>
      </c>
      <c r="F96" s="275">
        <f t="shared" si="77"/>
        <v>46189</v>
      </c>
      <c r="G96" s="120">
        <f t="shared" si="78"/>
        <v>24317</v>
      </c>
      <c r="H96" s="245">
        <f t="shared" si="79"/>
        <v>1</v>
      </c>
      <c r="I96" s="121">
        <f t="shared" si="80"/>
        <v>1.04</v>
      </c>
      <c r="J96" s="121">
        <f t="shared" si="81"/>
        <v>1.04</v>
      </c>
      <c r="K96" s="120">
        <f t="shared" si="82"/>
        <v>0</v>
      </c>
      <c r="L96" s="120">
        <f t="shared" si="83"/>
        <v>0</v>
      </c>
      <c r="M96" s="246">
        <f t="shared" si="84"/>
        <v>0</v>
      </c>
      <c r="N96" s="121">
        <f t="shared" si="85"/>
        <v>1.04</v>
      </c>
      <c r="O96" s="246">
        <f t="shared" si="86"/>
        <v>0.85297592997811811</v>
      </c>
      <c r="P96" s="121">
        <f t="shared" si="87"/>
        <v>1</v>
      </c>
      <c r="Q96" s="121">
        <f t="shared" si="88"/>
        <v>0</v>
      </c>
      <c r="R96" s="121">
        <f t="shared" si="89"/>
        <v>0</v>
      </c>
      <c r="S96" s="121" t="str">
        <f t="shared" si="90"/>
        <v/>
      </c>
      <c r="T96" s="121" t="str">
        <f t="shared" si="91"/>
        <v/>
      </c>
      <c r="U96" s="121">
        <f t="shared" si="92"/>
        <v>1.04</v>
      </c>
    </row>
    <row r="97" spans="1:21" x14ac:dyDescent="0.3">
      <c r="A97" s="187">
        <v>19</v>
      </c>
      <c r="B97" s="242">
        <f t="shared" si="93"/>
        <v>46204</v>
      </c>
      <c r="C97" s="243">
        <f t="shared" si="74"/>
        <v>46234</v>
      </c>
      <c r="D97" s="120">
        <f t="shared" si="75"/>
        <v>31</v>
      </c>
      <c r="E97" s="120">
        <f t="shared" si="76"/>
        <v>7</v>
      </c>
      <c r="F97" s="275">
        <f t="shared" si="77"/>
        <v>46219.5</v>
      </c>
      <c r="G97" s="120">
        <f t="shared" si="78"/>
        <v>24318</v>
      </c>
      <c r="H97" s="245">
        <f t="shared" si="79"/>
        <v>1</v>
      </c>
      <c r="I97" s="121">
        <f t="shared" si="80"/>
        <v>1.04</v>
      </c>
      <c r="J97" s="121">
        <f t="shared" si="81"/>
        <v>1.1024</v>
      </c>
      <c r="K97" s="120">
        <f t="shared" si="82"/>
        <v>1</v>
      </c>
      <c r="L97" s="120">
        <f t="shared" si="83"/>
        <v>31</v>
      </c>
      <c r="M97" s="246">
        <f t="shared" si="84"/>
        <v>1</v>
      </c>
      <c r="N97" s="121">
        <f t="shared" si="85"/>
        <v>1.1024</v>
      </c>
      <c r="O97" s="246">
        <f t="shared" si="86"/>
        <v>0.85497811816192559</v>
      </c>
      <c r="P97" s="121">
        <f t="shared" si="87"/>
        <v>0.91666666666666663</v>
      </c>
      <c r="Q97" s="121">
        <f t="shared" si="88"/>
        <v>8.333333333333337E-2</v>
      </c>
      <c r="R97" s="121">
        <f t="shared" si="89"/>
        <v>0</v>
      </c>
      <c r="S97" s="121" t="str">
        <f t="shared" si="90"/>
        <v/>
      </c>
      <c r="T97" s="121" t="str">
        <f t="shared" si="91"/>
        <v/>
      </c>
      <c r="U97" s="121">
        <f t="shared" si="92"/>
        <v>1.1024</v>
      </c>
    </row>
    <row r="98" spans="1:21" x14ac:dyDescent="0.3">
      <c r="A98" s="187">
        <v>20</v>
      </c>
      <c r="B98" s="242">
        <f t="shared" si="93"/>
        <v>46235</v>
      </c>
      <c r="C98" s="243">
        <f t="shared" si="74"/>
        <v>46265</v>
      </c>
      <c r="D98" s="120">
        <f t="shared" si="75"/>
        <v>31</v>
      </c>
      <c r="E98" s="120">
        <f t="shared" si="76"/>
        <v>8</v>
      </c>
      <c r="F98" s="275">
        <f t="shared" si="77"/>
        <v>46250.5</v>
      </c>
      <c r="G98" s="120">
        <f t="shared" si="78"/>
        <v>24319</v>
      </c>
      <c r="H98" s="245">
        <f t="shared" si="79"/>
        <v>1</v>
      </c>
      <c r="I98" s="121">
        <f t="shared" si="80"/>
        <v>1.1024</v>
      </c>
      <c r="J98" s="121">
        <f t="shared" si="81"/>
        <v>1.1024</v>
      </c>
      <c r="K98" s="120">
        <f t="shared" si="82"/>
        <v>0</v>
      </c>
      <c r="L98" s="120">
        <f t="shared" si="83"/>
        <v>0</v>
      </c>
      <c r="M98" s="246">
        <f t="shared" si="84"/>
        <v>0</v>
      </c>
      <c r="N98" s="121">
        <f t="shared" si="85"/>
        <v>1.1024</v>
      </c>
      <c r="O98" s="246">
        <f t="shared" si="86"/>
        <v>0.85701312910284466</v>
      </c>
      <c r="P98" s="121">
        <f t="shared" si="87"/>
        <v>0.75</v>
      </c>
      <c r="Q98" s="121">
        <f t="shared" si="88"/>
        <v>0.25</v>
      </c>
      <c r="R98" s="121">
        <f t="shared" si="89"/>
        <v>0</v>
      </c>
      <c r="S98" s="121" t="str">
        <f t="shared" si="90"/>
        <v/>
      </c>
      <c r="T98" s="121" t="str">
        <f t="shared" si="91"/>
        <v/>
      </c>
      <c r="U98" s="121">
        <f t="shared" si="92"/>
        <v>1.1024</v>
      </c>
    </row>
    <row r="99" spans="1:21" x14ac:dyDescent="0.3">
      <c r="A99" s="187">
        <v>21</v>
      </c>
      <c r="B99" s="242">
        <f t="shared" si="93"/>
        <v>46266</v>
      </c>
      <c r="C99" s="243">
        <f t="shared" si="74"/>
        <v>46295</v>
      </c>
      <c r="D99" s="120">
        <f t="shared" si="75"/>
        <v>30</v>
      </c>
      <c r="E99" s="120">
        <f t="shared" si="76"/>
        <v>9</v>
      </c>
      <c r="F99" s="275">
        <f t="shared" si="77"/>
        <v>46281</v>
      </c>
      <c r="G99" s="120">
        <f t="shared" si="78"/>
        <v>24320</v>
      </c>
      <c r="H99" s="245">
        <f t="shared" si="79"/>
        <v>1</v>
      </c>
      <c r="I99" s="121">
        <f t="shared" si="80"/>
        <v>1.1024</v>
      </c>
      <c r="J99" s="121">
        <f t="shared" si="81"/>
        <v>1.1024</v>
      </c>
      <c r="K99" s="120">
        <f t="shared" si="82"/>
        <v>0</v>
      </c>
      <c r="L99" s="120">
        <f t="shared" si="83"/>
        <v>0</v>
      </c>
      <c r="M99" s="246">
        <f t="shared" si="84"/>
        <v>0</v>
      </c>
      <c r="N99" s="121">
        <f t="shared" si="85"/>
        <v>1.1024</v>
      </c>
      <c r="O99" s="246">
        <f t="shared" si="86"/>
        <v>0.85901531728665204</v>
      </c>
      <c r="P99" s="121">
        <f t="shared" si="87"/>
        <v>0.58333333333333337</v>
      </c>
      <c r="Q99" s="121">
        <f t="shared" si="88"/>
        <v>0.41666666666666663</v>
      </c>
      <c r="R99" s="121">
        <f t="shared" si="89"/>
        <v>0</v>
      </c>
      <c r="S99" s="121" t="str">
        <f t="shared" si="90"/>
        <v/>
      </c>
      <c r="T99" s="121" t="str">
        <f t="shared" si="91"/>
        <v/>
      </c>
      <c r="U99" s="121">
        <f t="shared" si="92"/>
        <v>1.1024</v>
      </c>
    </row>
    <row r="100" spans="1:21" x14ac:dyDescent="0.3">
      <c r="A100" s="187">
        <v>22</v>
      </c>
      <c r="B100" s="242">
        <f t="shared" si="93"/>
        <v>46296</v>
      </c>
      <c r="C100" s="243">
        <f t="shared" si="74"/>
        <v>46326</v>
      </c>
      <c r="D100" s="120">
        <f t="shared" si="75"/>
        <v>31</v>
      </c>
      <c r="E100" s="120">
        <f t="shared" si="76"/>
        <v>10</v>
      </c>
      <c r="F100" s="275">
        <f t="shared" si="77"/>
        <v>46311.5</v>
      </c>
      <c r="G100" s="120">
        <f t="shared" si="78"/>
        <v>24321</v>
      </c>
      <c r="H100" s="245">
        <f t="shared" si="79"/>
        <v>1</v>
      </c>
      <c r="I100" s="121">
        <f t="shared" si="80"/>
        <v>1.1024</v>
      </c>
      <c r="J100" s="121">
        <f t="shared" si="81"/>
        <v>1.1024</v>
      </c>
      <c r="K100" s="120">
        <f t="shared" si="82"/>
        <v>0</v>
      </c>
      <c r="L100" s="120">
        <f t="shared" si="83"/>
        <v>0</v>
      </c>
      <c r="M100" s="246">
        <f t="shared" si="84"/>
        <v>0</v>
      </c>
      <c r="N100" s="121">
        <f t="shared" si="85"/>
        <v>1.1024</v>
      </c>
      <c r="O100" s="246">
        <f t="shared" si="86"/>
        <v>0.86101750547045952</v>
      </c>
      <c r="P100" s="121">
        <f t="shared" si="87"/>
        <v>0.41666666666666669</v>
      </c>
      <c r="Q100" s="121">
        <f t="shared" si="88"/>
        <v>0.58333333333333326</v>
      </c>
      <c r="R100" s="121">
        <f t="shared" si="89"/>
        <v>0</v>
      </c>
      <c r="S100" s="121" t="str">
        <f t="shared" si="90"/>
        <v/>
      </c>
      <c r="T100" s="121" t="str">
        <f t="shared" si="91"/>
        <v/>
      </c>
      <c r="U100" s="121">
        <f t="shared" si="92"/>
        <v>1.1024</v>
      </c>
    </row>
    <row r="101" spans="1:21" x14ac:dyDescent="0.3">
      <c r="A101" s="187">
        <v>23</v>
      </c>
      <c r="B101" s="242">
        <f t="shared" si="93"/>
        <v>46327</v>
      </c>
      <c r="C101" s="243">
        <f t="shared" si="74"/>
        <v>46356</v>
      </c>
      <c r="D101" s="120">
        <f t="shared" si="75"/>
        <v>30</v>
      </c>
      <c r="E101" s="120">
        <f t="shared" si="76"/>
        <v>11</v>
      </c>
      <c r="F101" s="275">
        <f t="shared" si="77"/>
        <v>46342</v>
      </c>
      <c r="G101" s="120">
        <f t="shared" si="78"/>
        <v>24322</v>
      </c>
      <c r="H101" s="245">
        <f t="shared" si="79"/>
        <v>1</v>
      </c>
      <c r="I101" s="121">
        <f t="shared" si="80"/>
        <v>1.1024</v>
      </c>
      <c r="J101" s="121">
        <f t="shared" si="81"/>
        <v>1.1024</v>
      </c>
      <c r="K101" s="120">
        <f t="shared" si="82"/>
        <v>0</v>
      </c>
      <c r="L101" s="120">
        <f t="shared" si="83"/>
        <v>0</v>
      </c>
      <c r="M101" s="246">
        <f t="shared" si="84"/>
        <v>0</v>
      </c>
      <c r="N101" s="121">
        <f t="shared" si="85"/>
        <v>1.1024</v>
      </c>
      <c r="O101" s="246">
        <f t="shared" si="86"/>
        <v>0.8630196936542669</v>
      </c>
      <c r="P101" s="121">
        <f t="shared" si="87"/>
        <v>0.25</v>
      </c>
      <c r="Q101" s="121">
        <f t="shared" si="88"/>
        <v>0.75</v>
      </c>
      <c r="R101" s="121">
        <f t="shared" si="89"/>
        <v>0</v>
      </c>
      <c r="S101" s="121" t="str">
        <f t="shared" si="90"/>
        <v/>
      </c>
      <c r="T101" s="121" t="str">
        <f t="shared" si="91"/>
        <v/>
      </c>
      <c r="U101" s="121">
        <f t="shared" si="92"/>
        <v>1.1024</v>
      </c>
    </row>
    <row r="102" spans="1:21" x14ac:dyDescent="0.3">
      <c r="A102" s="187">
        <v>24</v>
      </c>
      <c r="B102" s="242">
        <f t="shared" si="93"/>
        <v>46357</v>
      </c>
      <c r="C102" s="243">
        <f t="shared" si="74"/>
        <v>46387</v>
      </c>
      <c r="D102" s="120">
        <f t="shared" si="75"/>
        <v>31</v>
      </c>
      <c r="E102" s="120">
        <f t="shared" si="76"/>
        <v>12</v>
      </c>
      <c r="F102" s="275">
        <f t="shared" si="77"/>
        <v>46372.5</v>
      </c>
      <c r="G102" s="120">
        <f t="shared" si="78"/>
        <v>24323</v>
      </c>
      <c r="H102" s="245">
        <f t="shared" si="79"/>
        <v>1</v>
      </c>
      <c r="I102" s="121">
        <f t="shared" si="80"/>
        <v>1.1024</v>
      </c>
      <c r="J102" s="121">
        <f t="shared" si="81"/>
        <v>1.1024</v>
      </c>
      <c r="K102" s="120">
        <f t="shared" si="82"/>
        <v>0</v>
      </c>
      <c r="L102" s="120">
        <f t="shared" si="83"/>
        <v>0</v>
      </c>
      <c r="M102" s="246">
        <f t="shared" si="84"/>
        <v>0</v>
      </c>
      <c r="N102" s="121">
        <f t="shared" si="85"/>
        <v>1.1024</v>
      </c>
      <c r="O102" s="246">
        <f t="shared" si="86"/>
        <v>0.86502188183807438</v>
      </c>
      <c r="P102" s="121">
        <f t="shared" si="87"/>
        <v>8.3333333333333329E-2</v>
      </c>
      <c r="Q102" s="121">
        <f t="shared" si="88"/>
        <v>0.91666666666666663</v>
      </c>
      <c r="R102" s="121">
        <f t="shared" si="89"/>
        <v>0</v>
      </c>
      <c r="S102" s="121" t="str">
        <f t="shared" si="90"/>
        <v/>
      </c>
      <c r="T102" s="121" t="str">
        <f t="shared" si="91"/>
        <v/>
      </c>
      <c r="U102" s="121">
        <f t="shared" si="92"/>
        <v>1.1024</v>
      </c>
    </row>
    <row r="103" spans="1:21" x14ac:dyDescent="0.3">
      <c r="A103" s="187">
        <v>25</v>
      </c>
      <c r="B103" s="242">
        <f t="shared" si="93"/>
        <v>46388</v>
      </c>
      <c r="C103" s="243">
        <f t="shared" si="74"/>
        <v>46418</v>
      </c>
      <c r="D103" s="120">
        <f t="shared" si="75"/>
        <v>31</v>
      </c>
      <c r="E103" s="120">
        <f t="shared" si="76"/>
        <v>1</v>
      </c>
      <c r="F103" s="275">
        <f t="shared" si="77"/>
        <v>46403.5</v>
      </c>
      <c r="G103" s="120">
        <f t="shared" si="78"/>
        <v>24324</v>
      </c>
      <c r="H103" s="245">
        <f t="shared" si="79"/>
        <v>1</v>
      </c>
      <c r="I103" s="121">
        <f t="shared" si="80"/>
        <v>1.1024</v>
      </c>
      <c r="J103" s="121">
        <f t="shared" si="81"/>
        <v>1.1024</v>
      </c>
      <c r="K103" s="120">
        <f t="shared" si="82"/>
        <v>0</v>
      </c>
      <c r="L103" s="120">
        <f t="shared" si="83"/>
        <v>0</v>
      </c>
      <c r="M103" s="246">
        <f t="shared" si="84"/>
        <v>0</v>
      </c>
      <c r="N103" s="121">
        <f t="shared" si="85"/>
        <v>1.1024</v>
      </c>
      <c r="O103" s="246">
        <f t="shared" si="86"/>
        <v>0.86705689277899345</v>
      </c>
      <c r="P103" s="121">
        <f t="shared" si="87"/>
        <v>0</v>
      </c>
      <c r="Q103" s="121">
        <f t="shared" si="88"/>
        <v>1</v>
      </c>
      <c r="R103" s="121">
        <f t="shared" si="89"/>
        <v>0</v>
      </c>
      <c r="S103" s="121" t="str">
        <f t="shared" si="90"/>
        <v/>
      </c>
      <c r="T103" s="121" t="str">
        <f t="shared" si="91"/>
        <v/>
      </c>
      <c r="U103" s="121">
        <f t="shared" si="92"/>
        <v>1.1024</v>
      </c>
    </row>
    <row r="104" spans="1:21" x14ac:dyDescent="0.3">
      <c r="A104" s="187">
        <v>26</v>
      </c>
      <c r="B104" s="242">
        <f t="shared" si="93"/>
        <v>46419</v>
      </c>
      <c r="C104" s="243">
        <f t="shared" si="74"/>
        <v>46446</v>
      </c>
      <c r="D104" s="120">
        <f t="shared" si="75"/>
        <v>28</v>
      </c>
      <c r="E104" s="120">
        <f t="shared" si="76"/>
        <v>2</v>
      </c>
      <c r="F104" s="275">
        <f t="shared" si="77"/>
        <v>46433</v>
      </c>
      <c r="G104" s="120">
        <f t="shared" si="78"/>
        <v>24325</v>
      </c>
      <c r="H104" s="245">
        <f t="shared" si="79"/>
        <v>1</v>
      </c>
      <c r="I104" s="121">
        <f t="shared" si="80"/>
        <v>1.1024</v>
      </c>
      <c r="J104" s="121">
        <f t="shared" si="81"/>
        <v>1.1024</v>
      </c>
      <c r="K104" s="120">
        <f t="shared" si="82"/>
        <v>0</v>
      </c>
      <c r="L104" s="120">
        <f t="shared" si="83"/>
        <v>0</v>
      </c>
      <c r="M104" s="246">
        <f t="shared" si="84"/>
        <v>0</v>
      </c>
      <c r="N104" s="121">
        <f t="shared" si="85"/>
        <v>1.1024</v>
      </c>
      <c r="O104" s="246">
        <f t="shared" si="86"/>
        <v>0.86899343544857766</v>
      </c>
      <c r="P104" s="121">
        <f t="shared" si="87"/>
        <v>0</v>
      </c>
      <c r="Q104" s="121">
        <f t="shared" si="88"/>
        <v>1</v>
      </c>
      <c r="R104" s="121">
        <f t="shared" si="89"/>
        <v>0</v>
      </c>
      <c r="S104" s="121" t="str">
        <f t="shared" si="90"/>
        <v/>
      </c>
      <c r="T104" s="121" t="str">
        <f t="shared" si="91"/>
        <v/>
      </c>
      <c r="U104" s="121">
        <f t="shared" si="92"/>
        <v>1.1024</v>
      </c>
    </row>
    <row r="105" spans="1:21" x14ac:dyDescent="0.3">
      <c r="A105" s="187">
        <v>27</v>
      </c>
      <c r="B105" s="242">
        <f t="shared" si="93"/>
        <v>46447</v>
      </c>
      <c r="C105" s="243">
        <f t="shared" si="74"/>
        <v>46477</v>
      </c>
      <c r="D105" s="120">
        <f t="shared" si="75"/>
        <v>31</v>
      </c>
      <c r="E105" s="120">
        <f t="shared" si="76"/>
        <v>3</v>
      </c>
      <c r="F105" s="275">
        <f t="shared" si="77"/>
        <v>46462.5</v>
      </c>
      <c r="G105" s="120">
        <f t="shared" si="78"/>
        <v>24326</v>
      </c>
      <c r="H105" s="245">
        <f t="shared" si="79"/>
        <v>1</v>
      </c>
      <c r="I105" s="121">
        <f t="shared" si="80"/>
        <v>1.1024</v>
      </c>
      <c r="J105" s="121">
        <f t="shared" si="81"/>
        <v>1.1024</v>
      </c>
      <c r="K105" s="120">
        <f t="shared" si="82"/>
        <v>0</v>
      </c>
      <c r="L105" s="120">
        <f t="shared" si="83"/>
        <v>0</v>
      </c>
      <c r="M105" s="246">
        <f t="shared" si="84"/>
        <v>0</v>
      </c>
      <c r="N105" s="121">
        <f t="shared" si="85"/>
        <v>1.1024</v>
      </c>
      <c r="O105" s="246">
        <f t="shared" si="86"/>
        <v>0.87092997811816197</v>
      </c>
      <c r="P105" s="121">
        <f t="shared" si="87"/>
        <v>0</v>
      </c>
      <c r="Q105" s="121">
        <f t="shared" si="88"/>
        <v>1</v>
      </c>
      <c r="R105" s="121">
        <f t="shared" si="89"/>
        <v>0</v>
      </c>
      <c r="S105" s="121" t="str">
        <f t="shared" si="90"/>
        <v/>
      </c>
      <c r="T105" s="121" t="str">
        <f t="shared" si="91"/>
        <v/>
      </c>
      <c r="U105" s="121">
        <f t="shared" si="92"/>
        <v>1.1024</v>
      </c>
    </row>
    <row r="106" spans="1:21" x14ac:dyDescent="0.3">
      <c r="A106" s="187">
        <v>28</v>
      </c>
      <c r="B106" s="242">
        <f t="shared" si="93"/>
        <v>46478</v>
      </c>
      <c r="C106" s="243">
        <f t="shared" si="74"/>
        <v>46507</v>
      </c>
      <c r="D106" s="120">
        <f t="shared" si="75"/>
        <v>30</v>
      </c>
      <c r="E106" s="120">
        <f t="shared" si="76"/>
        <v>4</v>
      </c>
      <c r="F106" s="275">
        <f t="shared" si="77"/>
        <v>46493</v>
      </c>
      <c r="G106" s="120">
        <f t="shared" si="78"/>
        <v>24327</v>
      </c>
      <c r="H106" s="245">
        <f t="shared" si="79"/>
        <v>1</v>
      </c>
      <c r="I106" s="121">
        <f t="shared" si="80"/>
        <v>1.1024</v>
      </c>
      <c r="J106" s="121">
        <f t="shared" si="81"/>
        <v>1.1575200000000001</v>
      </c>
      <c r="K106" s="120">
        <f t="shared" si="82"/>
        <v>1</v>
      </c>
      <c r="L106" s="120">
        <f t="shared" si="83"/>
        <v>30</v>
      </c>
      <c r="M106" s="246">
        <f t="shared" si="84"/>
        <v>1</v>
      </c>
      <c r="N106" s="121">
        <f t="shared" si="85"/>
        <v>1.1575200000000001</v>
      </c>
      <c r="O106" s="246">
        <f t="shared" si="86"/>
        <v>0.87293216630196935</v>
      </c>
      <c r="P106" s="121">
        <f t="shared" si="87"/>
        <v>0</v>
      </c>
      <c r="Q106" s="121">
        <f t="shared" si="88"/>
        <v>1</v>
      </c>
      <c r="R106" s="121">
        <f t="shared" si="89"/>
        <v>0</v>
      </c>
      <c r="S106" s="121" t="str">
        <f t="shared" si="90"/>
        <v/>
      </c>
      <c r="T106" s="121" t="str">
        <f t="shared" si="91"/>
        <v/>
      </c>
      <c r="U106" s="121">
        <f t="shared" si="92"/>
        <v>1.1575200000000001</v>
      </c>
    </row>
    <row r="107" spans="1:21" x14ac:dyDescent="0.3">
      <c r="A107" s="187">
        <v>29</v>
      </c>
      <c r="B107" s="242">
        <f t="shared" si="93"/>
        <v>46508</v>
      </c>
      <c r="C107" s="243">
        <f t="shared" si="74"/>
        <v>46538</v>
      </c>
      <c r="D107" s="120">
        <f t="shared" si="75"/>
        <v>31</v>
      </c>
      <c r="E107" s="120">
        <f t="shared" si="76"/>
        <v>5</v>
      </c>
      <c r="F107" s="275">
        <f t="shared" si="77"/>
        <v>46523.5</v>
      </c>
      <c r="G107" s="120">
        <f t="shared" si="78"/>
        <v>24328</v>
      </c>
      <c r="H107" s="245">
        <f t="shared" si="79"/>
        <v>1</v>
      </c>
      <c r="I107" s="121">
        <f t="shared" si="80"/>
        <v>1.1575200000000001</v>
      </c>
      <c r="J107" s="121">
        <f t="shared" si="81"/>
        <v>1.1575200000000001</v>
      </c>
      <c r="K107" s="120">
        <f t="shared" si="82"/>
        <v>0</v>
      </c>
      <c r="L107" s="120">
        <f t="shared" si="83"/>
        <v>0</v>
      </c>
      <c r="M107" s="246">
        <f t="shared" si="84"/>
        <v>0</v>
      </c>
      <c r="N107" s="121">
        <f t="shared" si="85"/>
        <v>1.1575200000000001</v>
      </c>
      <c r="O107" s="246">
        <f t="shared" si="86"/>
        <v>0.87493435448577683</v>
      </c>
      <c r="P107" s="121">
        <f t="shared" si="87"/>
        <v>0</v>
      </c>
      <c r="Q107" s="121">
        <f t="shared" si="88"/>
        <v>1</v>
      </c>
      <c r="R107" s="121">
        <f t="shared" si="89"/>
        <v>0</v>
      </c>
      <c r="S107" s="121" t="str">
        <f t="shared" si="90"/>
        <v/>
      </c>
      <c r="T107" s="121" t="str">
        <f t="shared" si="91"/>
        <v/>
      </c>
      <c r="U107" s="121">
        <f t="shared" si="92"/>
        <v>1.1575200000000001</v>
      </c>
    </row>
    <row r="108" spans="1:21" x14ac:dyDescent="0.3">
      <c r="A108" s="187">
        <v>30</v>
      </c>
      <c r="B108" s="242">
        <f t="shared" si="93"/>
        <v>46539</v>
      </c>
      <c r="C108" s="243">
        <f t="shared" si="74"/>
        <v>46568</v>
      </c>
      <c r="D108" s="120">
        <f t="shared" si="75"/>
        <v>30</v>
      </c>
      <c r="E108" s="120">
        <f t="shared" si="76"/>
        <v>6</v>
      </c>
      <c r="F108" s="275">
        <f t="shared" si="77"/>
        <v>46554</v>
      </c>
      <c r="G108" s="120">
        <f t="shared" si="78"/>
        <v>24329</v>
      </c>
      <c r="H108" s="245">
        <f t="shared" si="79"/>
        <v>1</v>
      </c>
      <c r="I108" s="121">
        <f t="shared" si="80"/>
        <v>1.1575200000000001</v>
      </c>
      <c r="J108" s="121">
        <f t="shared" si="81"/>
        <v>1.1575200000000001</v>
      </c>
      <c r="K108" s="120">
        <f t="shared" si="82"/>
        <v>0</v>
      </c>
      <c r="L108" s="120">
        <f t="shared" si="83"/>
        <v>0</v>
      </c>
      <c r="M108" s="246">
        <f t="shared" si="84"/>
        <v>0</v>
      </c>
      <c r="N108" s="121">
        <f t="shared" si="85"/>
        <v>1.1575200000000001</v>
      </c>
      <c r="O108" s="246">
        <f t="shared" si="86"/>
        <v>0.87693654266958421</v>
      </c>
      <c r="P108" s="121">
        <f t="shared" si="87"/>
        <v>0</v>
      </c>
      <c r="Q108" s="121">
        <f t="shared" si="88"/>
        <v>1</v>
      </c>
      <c r="R108" s="121">
        <f t="shared" si="89"/>
        <v>0</v>
      </c>
      <c r="S108" s="121" t="str">
        <f t="shared" si="90"/>
        <v/>
      </c>
      <c r="T108" s="121" t="str">
        <f t="shared" si="91"/>
        <v/>
      </c>
      <c r="U108" s="121">
        <f t="shared" si="92"/>
        <v>1.1575200000000001</v>
      </c>
    </row>
    <row r="109" spans="1:21" x14ac:dyDescent="0.3">
      <c r="A109" s="187">
        <v>31</v>
      </c>
      <c r="B109" s="242">
        <f t="shared" si="93"/>
        <v>46569</v>
      </c>
      <c r="C109" s="243">
        <f t="shared" si="74"/>
        <v>46599</v>
      </c>
      <c r="D109" s="120">
        <f t="shared" si="75"/>
        <v>31</v>
      </c>
      <c r="E109" s="120">
        <f t="shared" si="76"/>
        <v>7</v>
      </c>
      <c r="F109" s="275">
        <f t="shared" si="77"/>
        <v>46584.5</v>
      </c>
      <c r="G109" s="120">
        <f t="shared" si="78"/>
        <v>24330</v>
      </c>
      <c r="H109" s="245">
        <f t="shared" si="79"/>
        <v>1</v>
      </c>
      <c r="I109" s="121">
        <f t="shared" si="80"/>
        <v>1.1575200000000001</v>
      </c>
      <c r="J109" s="121">
        <f t="shared" si="81"/>
        <v>1.1575200000000001</v>
      </c>
      <c r="K109" s="120">
        <f t="shared" si="82"/>
        <v>0</v>
      </c>
      <c r="L109" s="120">
        <f t="shared" si="83"/>
        <v>0</v>
      </c>
      <c r="M109" s="246">
        <f t="shared" si="84"/>
        <v>0</v>
      </c>
      <c r="N109" s="121">
        <f t="shared" si="85"/>
        <v>1.1575200000000001</v>
      </c>
      <c r="O109" s="246">
        <f t="shared" si="86"/>
        <v>0.87893873085339169</v>
      </c>
      <c r="P109" s="121">
        <f t="shared" si="87"/>
        <v>0</v>
      </c>
      <c r="Q109" s="121">
        <f t="shared" si="88"/>
        <v>0.91666666666666663</v>
      </c>
      <c r="R109" s="121">
        <f t="shared" si="89"/>
        <v>8.333333333333337E-2</v>
      </c>
      <c r="S109" s="121" t="str">
        <f t="shared" si="90"/>
        <v/>
      </c>
      <c r="T109" s="121" t="str">
        <f t="shared" si="91"/>
        <v/>
      </c>
      <c r="U109" s="121">
        <f t="shared" si="92"/>
        <v>1.1575200000000001</v>
      </c>
    </row>
    <row r="110" spans="1:21" x14ac:dyDescent="0.3">
      <c r="A110" s="187">
        <v>32</v>
      </c>
      <c r="B110" s="242">
        <f t="shared" si="93"/>
        <v>46600</v>
      </c>
      <c r="C110" s="243">
        <f t="shared" si="74"/>
        <v>46630</v>
      </c>
      <c r="D110" s="120">
        <f t="shared" si="75"/>
        <v>31</v>
      </c>
      <c r="E110" s="120">
        <f t="shared" si="76"/>
        <v>8</v>
      </c>
      <c r="F110" s="275">
        <f t="shared" si="77"/>
        <v>46615.5</v>
      </c>
      <c r="G110" s="120">
        <f t="shared" si="78"/>
        <v>24331</v>
      </c>
      <c r="H110" s="245">
        <f t="shared" si="79"/>
        <v>1</v>
      </c>
      <c r="I110" s="121">
        <f t="shared" si="80"/>
        <v>1.1575200000000001</v>
      </c>
      <c r="J110" s="121">
        <f t="shared" si="81"/>
        <v>1.1575200000000001</v>
      </c>
      <c r="K110" s="120">
        <f t="shared" si="82"/>
        <v>0</v>
      </c>
      <c r="L110" s="120">
        <f t="shared" si="83"/>
        <v>0</v>
      </c>
      <c r="M110" s="246">
        <f t="shared" si="84"/>
        <v>0</v>
      </c>
      <c r="N110" s="121">
        <f t="shared" si="85"/>
        <v>1.1575200000000001</v>
      </c>
      <c r="O110" s="246">
        <f t="shared" si="86"/>
        <v>0.88097374179431076</v>
      </c>
      <c r="P110" s="121">
        <f t="shared" si="87"/>
        <v>0</v>
      </c>
      <c r="Q110" s="121">
        <f t="shared" si="88"/>
        <v>0.75</v>
      </c>
      <c r="R110" s="121">
        <f t="shared" si="89"/>
        <v>0.25</v>
      </c>
      <c r="S110" s="121" t="str">
        <f t="shared" si="90"/>
        <v/>
      </c>
      <c r="T110" s="121" t="str">
        <f t="shared" si="91"/>
        <v/>
      </c>
      <c r="U110" s="121">
        <f t="shared" si="92"/>
        <v>1.1575200000000001</v>
      </c>
    </row>
    <row r="111" spans="1:21" x14ac:dyDescent="0.3">
      <c r="A111" s="187">
        <v>33</v>
      </c>
      <c r="B111" s="242">
        <f t="shared" si="93"/>
        <v>46631</v>
      </c>
      <c r="C111" s="243">
        <f t="shared" si="74"/>
        <v>46660</v>
      </c>
      <c r="D111" s="120">
        <f t="shared" si="75"/>
        <v>30</v>
      </c>
      <c r="E111" s="120">
        <f t="shared" si="76"/>
        <v>9</v>
      </c>
      <c r="F111" s="275">
        <f t="shared" si="77"/>
        <v>46646</v>
      </c>
      <c r="G111" s="120">
        <f t="shared" si="78"/>
        <v>24332</v>
      </c>
      <c r="H111" s="245">
        <f t="shared" si="79"/>
        <v>1</v>
      </c>
      <c r="I111" s="121">
        <f t="shared" si="80"/>
        <v>1.1575200000000001</v>
      </c>
      <c r="J111" s="121">
        <f t="shared" si="81"/>
        <v>1.1575200000000001</v>
      </c>
      <c r="K111" s="120">
        <f t="shared" si="82"/>
        <v>0</v>
      </c>
      <c r="L111" s="120">
        <f t="shared" si="83"/>
        <v>0</v>
      </c>
      <c r="M111" s="246">
        <f t="shared" si="84"/>
        <v>0</v>
      </c>
      <c r="N111" s="121">
        <f t="shared" si="85"/>
        <v>1.1575200000000001</v>
      </c>
      <c r="O111" s="246">
        <f t="shared" si="86"/>
        <v>0.88297592997811813</v>
      </c>
      <c r="P111" s="121">
        <f t="shared" si="87"/>
        <v>0</v>
      </c>
      <c r="Q111" s="121">
        <f t="shared" si="88"/>
        <v>0.58333333333333337</v>
      </c>
      <c r="R111" s="121">
        <f t="shared" si="89"/>
        <v>0.41666666666666663</v>
      </c>
      <c r="S111" s="121" t="str">
        <f t="shared" si="90"/>
        <v/>
      </c>
      <c r="T111" s="121" t="str">
        <f t="shared" si="91"/>
        <v/>
      </c>
      <c r="U111" s="121">
        <f t="shared" si="92"/>
        <v>1.1575200000000001</v>
      </c>
    </row>
    <row r="112" spans="1:21" x14ac:dyDescent="0.3">
      <c r="A112" s="187">
        <v>34</v>
      </c>
      <c r="B112" s="242">
        <f t="shared" si="93"/>
        <v>46661</v>
      </c>
      <c r="C112" s="243">
        <f t="shared" si="74"/>
        <v>46691</v>
      </c>
      <c r="D112" s="120">
        <f t="shared" si="75"/>
        <v>31</v>
      </c>
      <c r="E112" s="120">
        <f t="shared" si="76"/>
        <v>10</v>
      </c>
      <c r="F112" s="275">
        <f t="shared" si="77"/>
        <v>46676.5</v>
      </c>
      <c r="G112" s="120">
        <f t="shared" si="78"/>
        <v>24333</v>
      </c>
      <c r="H112" s="245">
        <f t="shared" si="79"/>
        <v>1</v>
      </c>
      <c r="I112" s="121">
        <f t="shared" si="80"/>
        <v>1.1575200000000001</v>
      </c>
      <c r="J112" s="121">
        <f t="shared" si="81"/>
        <v>1.1575200000000001</v>
      </c>
      <c r="K112" s="120">
        <f t="shared" si="82"/>
        <v>0</v>
      </c>
      <c r="L112" s="120">
        <f t="shared" si="83"/>
        <v>0</v>
      </c>
      <c r="M112" s="246">
        <f t="shared" si="84"/>
        <v>0</v>
      </c>
      <c r="N112" s="121">
        <f t="shared" si="85"/>
        <v>1.1575200000000001</v>
      </c>
      <c r="O112" s="246">
        <f t="shared" si="86"/>
        <v>0.88497811816192562</v>
      </c>
      <c r="P112" s="121">
        <f t="shared" si="87"/>
        <v>0</v>
      </c>
      <c r="Q112" s="121">
        <f t="shared" si="88"/>
        <v>0.41666666666666669</v>
      </c>
      <c r="R112" s="121">
        <f t="shared" si="89"/>
        <v>0.58333333333333326</v>
      </c>
      <c r="S112" s="121" t="str">
        <f t="shared" si="90"/>
        <v/>
      </c>
      <c r="T112" s="121" t="str">
        <f t="shared" si="91"/>
        <v/>
      </c>
      <c r="U112" s="121">
        <f t="shared" si="92"/>
        <v>1.1575200000000001</v>
      </c>
    </row>
    <row r="113" spans="1:21" x14ac:dyDescent="0.3">
      <c r="A113" s="187">
        <v>35</v>
      </c>
      <c r="B113" s="242">
        <f t="shared" si="93"/>
        <v>46692</v>
      </c>
      <c r="C113" s="243">
        <f t="shared" si="74"/>
        <v>46721</v>
      </c>
      <c r="D113" s="120">
        <f t="shared" si="75"/>
        <v>30</v>
      </c>
      <c r="E113" s="120">
        <f t="shared" si="76"/>
        <v>11</v>
      </c>
      <c r="F113" s="275">
        <f t="shared" si="77"/>
        <v>46707</v>
      </c>
      <c r="G113" s="120">
        <f t="shared" si="78"/>
        <v>24334</v>
      </c>
      <c r="H113" s="245">
        <f t="shared" si="79"/>
        <v>1</v>
      </c>
      <c r="I113" s="121">
        <f t="shared" si="80"/>
        <v>1.1575200000000001</v>
      </c>
      <c r="J113" s="121">
        <f t="shared" si="81"/>
        <v>1.1575200000000001</v>
      </c>
      <c r="K113" s="120">
        <f t="shared" si="82"/>
        <v>0</v>
      </c>
      <c r="L113" s="120">
        <f t="shared" si="83"/>
        <v>0</v>
      </c>
      <c r="M113" s="246">
        <f t="shared" si="84"/>
        <v>0</v>
      </c>
      <c r="N113" s="121">
        <f t="shared" si="85"/>
        <v>1.1575200000000001</v>
      </c>
      <c r="O113" s="246">
        <f t="shared" si="86"/>
        <v>0.8869803063457331</v>
      </c>
      <c r="P113" s="121">
        <f t="shared" si="87"/>
        <v>0</v>
      </c>
      <c r="Q113" s="121">
        <f t="shared" si="88"/>
        <v>0.25</v>
      </c>
      <c r="R113" s="121">
        <f t="shared" si="89"/>
        <v>0.75</v>
      </c>
      <c r="S113" s="121" t="str">
        <f t="shared" si="90"/>
        <v/>
      </c>
      <c r="T113" s="121" t="str">
        <f t="shared" si="91"/>
        <v/>
      </c>
      <c r="U113" s="121">
        <f t="shared" si="92"/>
        <v>1.1575200000000001</v>
      </c>
    </row>
    <row r="114" spans="1:21" x14ac:dyDescent="0.3">
      <c r="A114" s="187">
        <v>36</v>
      </c>
      <c r="B114" s="242">
        <f t="shared" si="93"/>
        <v>46722</v>
      </c>
      <c r="C114" s="243">
        <f t="shared" si="74"/>
        <v>46752</v>
      </c>
      <c r="D114" s="120">
        <f t="shared" si="75"/>
        <v>31</v>
      </c>
      <c r="E114" s="120">
        <f t="shared" si="76"/>
        <v>12</v>
      </c>
      <c r="F114" s="275">
        <f t="shared" si="77"/>
        <v>46737.5</v>
      </c>
      <c r="G114" s="120">
        <f t="shared" si="78"/>
        <v>24335</v>
      </c>
      <c r="H114" s="245">
        <f t="shared" si="79"/>
        <v>1</v>
      </c>
      <c r="I114" s="121">
        <f t="shared" si="80"/>
        <v>1.1575200000000001</v>
      </c>
      <c r="J114" s="121">
        <f t="shared" si="81"/>
        <v>1.1575200000000001</v>
      </c>
      <c r="K114" s="120">
        <f t="shared" si="82"/>
        <v>0</v>
      </c>
      <c r="L114" s="120">
        <f t="shared" si="83"/>
        <v>0</v>
      </c>
      <c r="M114" s="246">
        <f t="shared" si="84"/>
        <v>0</v>
      </c>
      <c r="N114" s="121">
        <f t="shared" si="85"/>
        <v>1.1575200000000001</v>
      </c>
      <c r="O114" s="246">
        <f t="shared" si="86"/>
        <v>0.88898249452954048</v>
      </c>
      <c r="P114" s="121">
        <f t="shared" si="87"/>
        <v>0</v>
      </c>
      <c r="Q114" s="121">
        <f t="shared" si="88"/>
        <v>8.3333333333333329E-2</v>
      </c>
      <c r="R114" s="121">
        <f t="shared" si="89"/>
        <v>0.91666666666666663</v>
      </c>
      <c r="S114" s="121" t="str">
        <f t="shared" si="90"/>
        <v/>
      </c>
      <c r="T114" s="121" t="str">
        <f t="shared" si="91"/>
        <v/>
      </c>
      <c r="U114" s="121">
        <f t="shared" si="92"/>
        <v>1.1575200000000001</v>
      </c>
    </row>
    <row r="115" spans="1:21" x14ac:dyDescent="0.3">
      <c r="A115" s="187">
        <v>37</v>
      </c>
      <c r="B115" s="242">
        <f t="shared" si="93"/>
        <v>46753</v>
      </c>
      <c r="C115" s="243">
        <f t="shared" si="74"/>
        <v>46783</v>
      </c>
      <c r="D115" s="120">
        <f t="shared" si="75"/>
        <v>31</v>
      </c>
      <c r="E115" s="120">
        <f t="shared" si="76"/>
        <v>1</v>
      </c>
      <c r="F115" s="275">
        <f t="shared" si="77"/>
        <v>46768.5</v>
      </c>
      <c r="G115" s="120">
        <f t="shared" si="78"/>
        <v>24336</v>
      </c>
      <c r="H115" s="245">
        <f t="shared" si="79"/>
        <v>1</v>
      </c>
      <c r="I115" s="121">
        <f t="shared" si="80"/>
        <v>1.1575200000000001</v>
      </c>
      <c r="J115" s="121">
        <f t="shared" si="81"/>
        <v>1.1575200000000001</v>
      </c>
      <c r="K115" s="120">
        <f t="shared" si="82"/>
        <v>0</v>
      </c>
      <c r="L115" s="120">
        <f t="shared" si="83"/>
        <v>0</v>
      </c>
      <c r="M115" s="246">
        <f t="shared" si="84"/>
        <v>0</v>
      </c>
      <c r="N115" s="121">
        <f t="shared" si="85"/>
        <v>1.1575200000000001</v>
      </c>
      <c r="O115" s="246">
        <f t="shared" si="86"/>
        <v>0.89</v>
      </c>
      <c r="P115" s="121">
        <f t="shared" si="87"/>
        <v>0</v>
      </c>
      <c r="Q115" s="121">
        <f t="shared" si="88"/>
        <v>0</v>
      </c>
      <c r="R115" s="121">
        <f t="shared" si="89"/>
        <v>1</v>
      </c>
      <c r="S115" s="121" t="str">
        <f t="shared" si="90"/>
        <v/>
      </c>
      <c r="T115" s="121" t="str">
        <f t="shared" si="91"/>
        <v/>
      </c>
      <c r="U115" s="121">
        <f t="shared" si="92"/>
        <v>1.1575200000000001</v>
      </c>
    </row>
    <row r="116" spans="1:21" x14ac:dyDescent="0.3">
      <c r="A116" s="187">
        <v>38</v>
      </c>
      <c r="B116" s="242">
        <f t="shared" si="93"/>
        <v>46784</v>
      </c>
      <c r="C116" s="243">
        <f t="shared" si="74"/>
        <v>46812</v>
      </c>
      <c r="D116" s="120">
        <f t="shared" si="75"/>
        <v>29</v>
      </c>
      <c r="E116" s="120">
        <f t="shared" si="76"/>
        <v>2</v>
      </c>
      <c r="F116" s="275">
        <f t="shared" si="77"/>
        <v>46798.5</v>
      </c>
      <c r="G116" s="120">
        <f t="shared" si="78"/>
        <v>24337</v>
      </c>
      <c r="H116" s="245">
        <f t="shared" si="79"/>
        <v>1</v>
      </c>
      <c r="I116" s="121">
        <f t="shared" si="80"/>
        <v>1.1575200000000001</v>
      </c>
      <c r="J116" s="121">
        <f t="shared" si="81"/>
        <v>1.1575200000000001</v>
      </c>
      <c r="K116" s="120">
        <f t="shared" si="82"/>
        <v>0</v>
      </c>
      <c r="L116" s="120">
        <f t="shared" si="83"/>
        <v>0</v>
      </c>
      <c r="M116" s="246">
        <f t="shared" si="84"/>
        <v>0</v>
      </c>
      <c r="N116" s="121">
        <f t="shared" si="85"/>
        <v>1.1575200000000001</v>
      </c>
      <c r="O116" s="246">
        <f t="shared" si="86"/>
        <v>0.89</v>
      </c>
      <c r="P116" s="121">
        <f t="shared" si="87"/>
        <v>0</v>
      </c>
      <c r="Q116" s="121">
        <f t="shared" si="88"/>
        <v>0</v>
      </c>
      <c r="R116" s="121">
        <f t="shared" si="89"/>
        <v>1</v>
      </c>
      <c r="S116" s="121" t="str">
        <f t="shared" si="90"/>
        <v/>
      </c>
      <c r="T116" s="121" t="str">
        <f t="shared" si="91"/>
        <v/>
      </c>
      <c r="U116" s="121">
        <f t="shared" si="92"/>
        <v>1.1575200000000001</v>
      </c>
    </row>
    <row r="117" spans="1:21" x14ac:dyDescent="0.3">
      <c r="A117" s="187">
        <v>39</v>
      </c>
      <c r="B117" s="242">
        <f t="shared" si="93"/>
        <v>46813</v>
      </c>
      <c r="C117" s="243">
        <f t="shared" si="74"/>
        <v>46843</v>
      </c>
      <c r="D117" s="120">
        <f t="shared" si="75"/>
        <v>31</v>
      </c>
      <c r="E117" s="120">
        <f t="shared" si="76"/>
        <v>3</v>
      </c>
      <c r="F117" s="275">
        <f t="shared" si="77"/>
        <v>46828.5</v>
      </c>
      <c r="G117" s="120">
        <f t="shared" si="78"/>
        <v>24338</v>
      </c>
      <c r="H117" s="245">
        <f t="shared" si="79"/>
        <v>1</v>
      </c>
      <c r="I117" s="121">
        <f t="shared" si="80"/>
        <v>1.1575200000000001</v>
      </c>
      <c r="J117" s="121">
        <f t="shared" si="81"/>
        <v>1.1575200000000001</v>
      </c>
      <c r="K117" s="120">
        <f t="shared" si="82"/>
        <v>0</v>
      </c>
      <c r="L117" s="120">
        <f t="shared" si="83"/>
        <v>0</v>
      </c>
      <c r="M117" s="246">
        <f t="shared" si="84"/>
        <v>0</v>
      </c>
      <c r="N117" s="121">
        <f t="shared" si="85"/>
        <v>1.1575200000000001</v>
      </c>
      <c r="O117" s="246">
        <f t="shared" si="86"/>
        <v>0.89</v>
      </c>
      <c r="P117" s="121">
        <f t="shared" si="87"/>
        <v>0</v>
      </c>
      <c r="Q117" s="121">
        <f t="shared" si="88"/>
        <v>0</v>
      </c>
      <c r="R117" s="121">
        <f t="shared" si="89"/>
        <v>1</v>
      </c>
      <c r="S117" s="121" t="str">
        <f t="shared" si="90"/>
        <v/>
      </c>
      <c r="T117" s="121" t="str">
        <f t="shared" si="91"/>
        <v/>
      </c>
      <c r="U117" s="121">
        <f t="shared" si="92"/>
        <v>1.1575200000000001</v>
      </c>
    </row>
    <row r="118" spans="1:21" x14ac:dyDescent="0.3">
      <c r="A118" s="187">
        <v>40</v>
      </c>
      <c r="B118" s="242">
        <f t="shared" si="93"/>
        <v>46844</v>
      </c>
      <c r="C118" s="243">
        <f t="shared" si="74"/>
        <v>46873</v>
      </c>
      <c r="D118" s="120">
        <f t="shared" si="75"/>
        <v>30</v>
      </c>
      <c r="E118" s="120">
        <f t="shared" si="76"/>
        <v>4</v>
      </c>
      <c r="F118" s="275">
        <f t="shared" si="77"/>
        <v>46859</v>
      </c>
      <c r="G118" s="120">
        <f t="shared" si="78"/>
        <v>24339</v>
      </c>
      <c r="H118" s="245">
        <f t="shared" si="79"/>
        <v>1</v>
      </c>
      <c r="I118" s="121">
        <f t="shared" si="80"/>
        <v>1.1575200000000001</v>
      </c>
      <c r="J118" s="121">
        <f t="shared" si="81"/>
        <v>1.1575200000000001</v>
      </c>
      <c r="K118" s="120">
        <f t="shared" si="82"/>
        <v>0</v>
      </c>
      <c r="L118" s="120">
        <f t="shared" si="83"/>
        <v>0</v>
      </c>
      <c r="M118" s="246">
        <f t="shared" si="84"/>
        <v>0</v>
      </c>
      <c r="N118" s="121">
        <f t="shared" si="85"/>
        <v>1.1575200000000001</v>
      </c>
      <c r="O118" s="246">
        <f t="shared" si="86"/>
        <v>0.89</v>
      </c>
      <c r="P118" s="121">
        <f t="shared" si="87"/>
        <v>0</v>
      </c>
      <c r="Q118" s="121">
        <f t="shared" si="88"/>
        <v>0</v>
      </c>
      <c r="R118" s="121">
        <f t="shared" si="89"/>
        <v>1</v>
      </c>
      <c r="S118" s="121" t="str">
        <f t="shared" si="90"/>
        <v/>
      </c>
      <c r="T118" s="121" t="str">
        <f t="shared" si="91"/>
        <v/>
      </c>
      <c r="U118" s="121">
        <f t="shared" si="92"/>
        <v>1.1575200000000001</v>
      </c>
    </row>
    <row r="119" spans="1:21" x14ac:dyDescent="0.3">
      <c r="A119" s="187">
        <v>41</v>
      </c>
      <c r="B119" s="242">
        <f t="shared" si="93"/>
        <v>46874</v>
      </c>
      <c r="C119" s="243">
        <f t="shared" si="74"/>
        <v>46904</v>
      </c>
      <c r="D119" s="120">
        <f t="shared" si="75"/>
        <v>31</v>
      </c>
      <c r="E119" s="120">
        <f t="shared" si="76"/>
        <v>5</v>
      </c>
      <c r="F119" s="275">
        <f t="shared" si="77"/>
        <v>46889.5</v>
      </c>
      <c r="G119" s="120">
        <f t="shared" si="78"/>
        <v>24340</v>
      </c>
      <c r="H119" s="245">
        <f t="shared" si="79"/>
        <v>1</v>
      </c>
      <c r="I119" s="121">
        <f t="shared" si="80"/>
        <v>1.1575200000000001</v>
      </c>
      <c r="J119" s="121">
        <f t="shared" si="81"/>
        <v>1.1575200000000001</v>
      </c>
      <c r="K119" s="120">
        <f t="shared" si="82"/>
        <v>0</v>
      </c>
      <c r="L119" s="120">
        <f t="shared" si="83"/>
        <v>0</v>
      </c>
      <c r="M119" s="246">
        <f t="shared" si="84"/>
        <v>0</v>
      </c>
      <c r="N119" s="121">
        <f t="shared" si="85"/>
        <v>1.1575200000000001</v>
      </c>
      <c r="O119" s="246">
        <f t="shared" si="86"/>
        <v>0.89</v>
      </c>
      <c r="P119" s="121">
        <f t="shared" si="87"/>
        <v>0</v>
      </c>
      <c r="Q119" s="121">
        <f t="shared" si="88"/>
        <v>0</v>
      </c>
      <c r="R119" s="121">
        <f t="shared" si="89"/>
        <v>1</v>
      </c>
      <c r="S119" s="121" t="str">
        <f t="shared" si="90"/>
        <v/>
      </c>
      <c r="T119" s="121" t="str">
        <f t="shared" si="91"/>
        <v/>
      </c>
      <c r="U119" s="121">
        <f t="shared" si="92"/>
        <v>1.1575200000000001</v>
      </c>
    </row>
    <row r="120" spans="1:21" x14ac:dyDescent="0.3">
      <c r="A120" s="187">
        <v>42</v>
      </c>
      <c r="B120" s="242">
        <f t="shared" si="93"/>
        <v>46905</v>
      </c>
      <c r="C120" s="243">
        <f t="shared" si="74"/>
        <v>46934</v>
      </c>
      <c r="D120" s="120">
        <f t="shared" si="75"/>
        <v>30</v>
      </c>
      <c r="E120" s="120">
        <f t="shared" si="76"/>
        <v>6</v>
      </c>
      <c r="F120" s="275">
        <f t="shared" si="77"/>
        <v>46920</v>
      </c>
      <c r="G120" s="120">
        <f t="shared" si="78"/>
        <v>24341</v>
      </c>
      <c r="H120" s="245">
        <f t="shared" si="79"/>
        <v>1</v>
      </c>
      <c r="I120" s="121">
        <f t="shared" si="80"/>
        <v>1.1575200000000001</v>
      </c>
      <c r="J120" s="121">
        <f t="shared" si="81"/>
        <v>1.1575200000000001</v>
      </c>
      <c r="K120" s="120">
        <f t="shared" si="82"/>
        <v>0</v>
      </c>
      <c r="L120" s="120">
        <f t="shared" si="83"/>
        <v>0</v>
      </c>
      <c r="M120" s="246">
        <f t="shared" si="84"/>
        <v>0</v>
      </c>
      <c r="N120" s="121">
        <f t="shared" si="85"/>
        <v>1.1575200000000001</v>
      </c>
      <c r="O120" s="246">
        <f t="shared" si="86"/>
        <v>0.89</v>
      </c>
      <c r="P120" s="121">
        <f t="shared" si="87"/>
        <v>0</v>
      </c>
      <c r="Q120" s="121">
        <f t="shared" si="88"/>
        <v>0</v>
      </c>
      <c r="R120" s="121">
        <f t="shared" si="89"/>
        <v>1</v>
      </c>
      <c r="S120" s="121" t="str">
        <f t="shared" si="90"/>
        <v/>
      </c>
      <c r="T120" s="121" t="str">
        <f t="shared" si="91"/>
        <v/>
      </c>
      <c r="U120" s="121">
        <f t="shared" si="92"/>
        <v>1.1575200000000001</v>
      </c>
    </row>
    <row r="121" spans="1:21" x14ac:dyDescent="0.3">
      <c r="A121" s="187">
        <v>43</v>
      </c>
      <c r="B121" s="242">
        <f t="shared" si="93"/>
        <v>46935</v>
      </c>
      <c r="C121" s="243">
        <f t="shared" si="74"/>
        <v>46965</v>
      </c>
      <c r="D121" s="120">
        <f t="shared" si="75"/>
        <v>31</v>
      </c>
      <c r="E121" s="120">
        <f t="shared" si="76"/>
        <v>7</v>
      </c>
      <c r="F121" s="275">
        <f t="shared" si="77"/>
        <v>46950.5</v>
      </c>
      <c r="G121" s="120">
        <f t="shared" si="78"/>
        <v>24342</v>
      </c>
      <c r="H121" s="245">
        <f t="shared" si="79"/>
        <v>1</v>
      </c>
      <c r="I121" s="121">
        <f t="shared" si="80"/>
        <v>1.1575200000000001</v>
      </c>
      <c r="J121" s="121">
        <f t="shared" si="81"/>
        <v>1.1575200000000001</v>
      </c>
      <c r="K121" s="120">
        <f t="shared" si="82"/>
        <v>0</v>
      </c>
      <c r="L121" s="120">
        <f t="shared" si="83"/>
        <v>0</v>
      </c>
      <c r="M121" s="246">
        <f t="shared" si="84"/>
        <v>0</v>
      </c>
      <c r="N121" s="121">
        <f t="shared" si="85"/>
        <v>1.1575200000000001</v>
      </c>
      <c r="O121" s="246">
        <f t="shared" si="86"/>
        <v>0.89</v>
      </c>
      <c r="P121" s="121">
        <f t="shared" si="87"/>
        <v>0</v>
      </c>
      <c r="Q121" s="121">
        <f t="shared" si="88"/>
        <v>0</v>
      </c>
      <c r="R121" s="121">
        <f t="shared" si="89"/>
        <v>0.91666666666666663</v>
      </c>
      <c r="S121" s="121" t="str">
        <f t="shared" si="90"/>
        <v/>
      </c>
      <c r="T121" s="121" t="str">
        <f t="shared" si="91"/>
        <v/>
      </c>
      <c r="U121" s="121">
        <f t="shared" si="92"/>
        <v>1.1575200000000001</v>
      </c>
    </row>
    <row r="122" spans="1:21" x14ac:dyDescent="0.3">
      <c r="A122" s="187">
        <v>44</v>
      </c>
      <c r="B122" s="242">
        <f t="shared" si="93"/>
        <v>46966</v>
      </c>
      <c r="C122" s="243">
        <f t="shared" si="74"/>
        <v>46996</v>
      </c>
      <c r="D122" s="120">
        <f t="shared" si="75"/>
        <v>31</v>
      </c>
      <c r="E122" s="120">
        <f t="shared" si="76"/>
        <v>8</v>
      </c>
      <c r="F122" s="275">
        <f t="shared" si="77"/>
        <v>46981.5</v>
      </c>
      <c r="G122" s="120">
        <f t="shared" si="78"/>
        <v>24343</v>
      </c>
      <c r="H122" s="245">
        <f t="shared" si="79"/>
        <v>1</v>
      </c>
      <c r="I122" s="121">
        <f t="shared" si="80"/>
        <v>1.1575200000000001</v>
      </c>
      <c r="J122" s="121">
        <f t="shared" si="81"/>
        <v>1.1575200000000001</v>
      </c>
      <c r="K122" s="120">
        <f t="shared" si="82"/>
        <v>0</v>
      </c>
      <c r="L122" s="120">
        <f t="shared" si="83"/>
        <v>0</v>
      </c>
      <c r="M122" s="246">
        <f t="shared" si="84"/>
        <v>0</v>
      </c>
      <c r="N122" s="121">
        <f t="shared" si="85"/>
        <v>1.1575200000000001</v>
      </c>
      <c r="O122" s="246">
        <f t="shared" si="86"/>
        <v>0.89</v>
      </c>
      <c r="P122" s="121">
        <f t="shared" si="87"/>
        <v>0</v>
      </c>
      <c r="Q122" s="121">
        <f t="shared" si="88"/>
        <v>0</v>
      </c>
      <c r="R122" s="121">
        <f t="shared" si="89"/>
        <v>0.75</v>
      </c>
      <c r="S122" s="121" t="str">
        <f t="shared" si="90"/>
        <v/>
      </c>
      <c r="T122" s="121" t="str">
        <f t="shared" si="91"/>
        <v/>
      </c>
      <c r="U122" s="121">
        <f t="shared" si="92"/>
        <v>1.1575200000000001</v>
      </c>
    </row>
    <row r="123" spans="1:21" x14ac:dyDescent="0.3">
      <c r="A123" s="187">
        <v>45</v>
      </c>
      <c r="B123" s="242">
        <f t="shared" si="93"/>
        <v>46997</v>
      </c>
      <c r="C123" s="243">
        <f t="shared" si="74"/>
        <v>47026</v>
      </c>
      <c r="D123" s="120">
        <f t="shared" si="75"/>
        <v>30</v>
      </c>
      <c r="E123" s="120">
        <f t="shared" si="76"/>
        <v>9</v>
      </c>
      <c r="F123" s="275">
        <f t="shared" si="77"/>
        <v>47012</v>
      </c>
      <c r="G123" s="120">
        <f t="shared" si="78"/>
        <v>24344</v>
      </c>
      <c r="H123" s="245">
        <f t="shared" si="79"/>
        <v>1</v>
      </c>
      <c r="I123" s="121">
        <f t="shared" si="80"/>
        <v>1.1575200000000001</v>
      </c>
      <c r="J123" s="121">
        <f t="shared" si="81"/>
        <v>1.1575200000000001</v>
      </c>
      <c r="K123" s="120">
        <f t="shared" si="82"/>
        <v>0</v>
      </c>
      <c r="L123" s="120">
        <f t="shared" si="83"/>
        <v>0</v>
      </c>
      <c r="M123" s="246">
        <f t="shared" si="84"/>
        <v>0</v>
      </c>
      <c r="N123" s="121">
        <f t="shared" si="85"/>
        <v>1.1575200000000001</v>
      </c>
      <c r="O123" s="246">
        <f t="shared" si="86"/>
        <v>0.89</v>
      </c>
      <c r="P123" s="121">
        <f t="shared" si="87"/>
        <v>0</v>
      </c>
      <c r="Q123" s="121">
        <f t="shared" si="88"/>
        <v>0</v>
      </c>
      <c r="R123" s="121">
        <f t="shared" si="89"/>
        <v>0.58333333333333337</v>
      </c>
      <c r="S123" s="121" t="str">
        <f t="shared" si="90"/>
        <v/>
      </c>
      <c r="T123" s="121" t="str">
        <f t="shared" si="91"/>
        <v/>
      </c>
      <c r="U123" s="121">
        <f t="shared" si="92"/>
        <v>1.1575200000000001</v>
      </c>
    </row>
    <row r="124" spans="1:21" x14ac:dyDescent="0.3">
      <c r="A124" s="187">
        <v>46</v>
      </c>
      <c r="B124" s="242">
        <f t="shared" si="93"/>
        <v>47027</v>
      </c>
      <c r="C124" s="243">
        <f t="shared" si="74"/>
        <v>47057</v>
      </c>
      <c r="D124" s="120">
        <f t="shared" si="75"/>
        <v>31</v>
      </c>
      <c r="E124" s="120">
        <f t="shared" si="76"/>
        <v>10</v>
      </c>
      <c r="F124" s="275">
        <f t="shared" si="77"/>
        <v>47042.5</v>
      </c>
      <c r="G124" s="120">
        <f t="shared" si="78"/>
        <v>24345</v>
      </c>
      <c r="H124" s="245">
        <f t="shared" si="79"/>
        <v>1</v>
      </c>
      <c r="I124" s="121">
        <f t="shared" si="80"/>
        <v>1.1575200000000001</v>
      </c>
      <c r="J124" s="121">
        <f t="shared" si="81"/>
        <v>1.1575200000000001</v>
      </c>
      <c r="K124" s="120">
        <f t="shared" si="82"/>
        <v>0</v>
      </c>
      <c r="L124" s="120">
        <f t="shared" si="83"/>
        <v>0</v>
      </c>
      <c r="M124" s="246">
        <f t="shared" si="84"/>
        <v>0</v>
      </c>
      <c r="N124" s="121">
        <f t="shared" si="85"/>
        <v>1.1575200000000001</v>
      </c>
      <c r="O124" s="246">
        <f t="shared" si="86"/>
        <v>0.89</v>
      </c>
      <c r="P124" s="121">
        <f t="shared" si="87"/>
        <v>0</v>
      </c>
      <c r="Q124" s="121">
        <f t="shared" si="88"/>
        <v>0</v>
      </c>
      <c r="R124" s="121">
        <f t="shared" si="89"/>
        <v>0.41666666666666669</v>
      </c>
      <c r="S124" s="121" t="str">
        <f t="shared" si="90"/>
        <v/>
      </c>
      <c r="T124" s="121" t="str">
        <f t="shared" si="91"/>
        <v/>
      </c>
      <c r="U124" s="121">
        <f t="shared" si="92"/>
        <v>1.1575200000000001</v>
      </c>
    </row>
    <row r="125" spans="1:21" x14ac:dyDescent="0.3">
      <c r="A125" s="187">
        <v>47</v>
      </c>
      <c r="B125" s="242">
        <f t="shared" si="93"/>
        <v>47058</v>
      </c>
      <c r="C125" s="243">
        <f t="shared" si="74"/>
        <v>47087</v>
      </c>
      <c r="D125" s="120">
        <f t="shared" si="75"/>
        <v>30</v>
      </c>
      <c r="E125" s="120">
        <f t="shared" si="76"/>
        <v>11</v>
      </c>
      <c r="F125" s="275">
        <f t="shared" si="77"/>
        <v>47073</v>
      </c>
      <c r="G125" s="120">
        <f t="shared" si="78"/>
        <v>24346</v>
      </c>
      <c r="H125" s="245">
        <f t="shared" si="79"/>
        <v>1</v>
      </c>
      <c r="I125" s="121">
        <f t="shared" si="80"/>
        <v>1.1575200000000001</v>
      </c>
      <c r="J125" s="121">
        <f t="shared" si="81"/>
        <v>1.1575200000000001</v>
      </c>
      <c r="K125" s="120">
        <f t="shared" si="82"/>
        <v>0</v>
      </c>
      <c r="L125" s="120">
        <f t="shared" si="83"/>
        <v>0</v>
      </c>
      <c r="M125" s="246">
        <f t="shared" si="84"/>
        <v>0</v>
      </c>
      <c r="N125" s="121">
        <f t="shared" si="85"/>
        <v>1.1575200000000001</v>
      </c>
      <c r="O125" s="246">
        <f t="shared" si="86"/>
        <v>0.89</v>
      </c>
      <c r="P125" s="121">
        <f t="shared" si="87"/>
        <v>0</v>
      </c>
      <c r="Q125" s="121">
        <f t="shared" si="88"/>
        <v>0</v>
      </c>
      <c r="R125" s="121">
        <f t="shared" si="89"/>
        <v>0.25</v>
      </c>
      <c r="S125" s="121" t="str">
        <f t="shared" si="90"/>
        <v/>
      </c>
      <c r="T125" s="121" t="str">
        <f t="shared" si="91"/>
        <v/>
      </c>
      <c r="U125" s="121">
        <f t="shared" si="92"/>
        <v>1.1575200000000001</v>
      </c>
    </row>
    <row r="126" spans="1:21" x14ac:dyDescent="0.3">
      <c r="A126" s="187">
        <v>48</v>
      </c>
      <c r="B126" s="242">
        <f t="shared" si="93"/>
        <v>47088</v>
      </c>
      <c r="C126" s="243">
        <f t="shared" si="74"/>
        <v>47118</v>
      </c>
      <c r="D126" s="120">
        <f t="shared" si="75"/>
        <v>31</v>
      </c>
      <c r="E126" s="120">
        <f t="shared" si="76"/>
        <v>12</v>
      </c>
      <c r="F126" s="275">
        <f t="shared" si="77"/>
        <v>47103.5</v>
      </c>
      <c r="G126" s="120">
        <f t="shared" si="78"/>
        <v>24347</v>
      </c>
      <c r="H126" s="245">
        <f t="shared" si="79"/>
        <v>1</v>
      </c>
      <c r="I126" s="121">
        <f t="shared" si="80"/>
        <v>1.1575200000000001</v>
      </c>
      <c r="J126" s="121">
        <f t="shared" si="81"/>
        <v>1.1575200000000001</v>
      </c>
      <c r="K126" s="120">
        <f t="shared" si="82"/>
        <v>0</v>
      </c>
      <c r="L126" s="120">
        <f t="shared" si="83"/>
        <v>0</v>
      </c>
      <c r="M126" s="246">
        <f t="shared" si="84"/>
        <v>0</v>
      </c>
      <c r="N126" s="121">
        <f t="shared" si="85"/>
        <v>1.1575200000000001</v>
      </c>
      <c r="O126" s="246">
        <f t="shared" si="86"/>
        <v>0.89</v>
      </c>
      <c r="P126" s="121">
        <f t="shared" si="87"/>
        <v>0</v>
      </c>
      <c r="Q126" s="121">
        <f t="shared" si="88"/>
        <v>0</v>
      </c>
      <c r="R126" s="121">
        <f t="shared" si="89"/>
        <v>8.3333333333333329E-2</v>
      </c>
      <c r="S126" s="121" t="str">
        <f t="shared" si="90"/>
        <v/>
      </c>
      <c r="T126" s="121" t="str">
        <f t="shared" si="91"/>
        <v/>
      </c>
      <c r="U126" s="121">
        <f t="shared" si="92"/>
        <v>1.1575200000000001</v>
      </c>
    </row>
    <row r="127" spans="1:21" x14ac:dyDescent="0.3">
      <c r="A127" s="6" t="s">
        <v>1651</v>
      </c>
      <c r="B127" s="73">
        <f>EXP(SUMPRODUCT((rl_key=$A$76)*(rl_cons="Y")*rl_ln1p))</f>
        <v>1.1024</v>
      </c>
      <c r="C127" s="73">
        <f>SUMPRODUCT($H$79:$H$126,$P$79:$P$126,$U$79:$U$126)/SUMPRODUCT($H$79:$H$126,$P$79:$P$126)</f>
        <v>1.0555999999999999</v>
      </c>
      <c r="D127" s="73">
        <f>SUMPRODUCT($H$79:$H$126,$Q$79:$Q$126,$U$79:$U$126)/SUMPRODUCT($H$79:$H$126,$Q$79:$Q$126)</f>
        <v>1.1299600000000001</v>
      </c>
      <c r="E127" s="73">
        <f>SUMPRODUCT($H$79:$H$126,$R$79:$R$126,$U$79:$U$126)/SUMPRODUCT($H$79:$H$126,$R$79:$R$126)</f>
        <v>1.1575200000000001</v>
      </c>
      <c r="F127" s="224">
        <f>SUMPRODUCT($H$79:$H$126,$Q$79:$Q$126,$O$79:$O$126)/SUMPRODUCT($H$79:$H$126,$Q$79:$Q$126)</f>
        <v>0.87197757111597374</v>
      </c>
      <c r="G127" s="224">
        <f>SUMPRODUCT($H$79:$H$126,$R$79:$R$126,$O$79:$O$126)/SUMPRODUCT($H$79:$H$126,$R$79:$R$126)</f>
        <v>0.88898067104303424</v>
      </c>
      <c r="H127" s="73">
        <f>SUMPRODUCT($H$103:$H$114,$N$103:$N$114/$N$91:$N$102)/SUM($H$103:$H$114)</f>
        <v>1.0682500000000001</v>
      </c>
      <c r="I127" s="73">
        <f>SUMPRODUCT($H$103:$H$114,$O$103:$O$114/$O$91:$O$102)/SUM($H$103:$H$114)</f>
        <v>1.0280585220280047</v>
      </c>
      <c r="J127" s="73">
        <f>IF($O$76=1,SUMPRODUCT($H$103:$H$114,$N$103:$N$114/$N$91:$N$102*$O$103:$O$114/$O$91:$O$102)/SUM($H$103:$H$114),$H127)</f>
        <v>1.0982258046786184</v>
      </c>
      <c r="K127" s="73">
        <f>SUMPRODUCT($H$79:$H$126,$Q$79:$Q$126,$N$79:$N$126)/SUMPRODUCT($H$79:$H$126,$Q$79:$Q$126)</f>
        <v>1.1299600000000001</v>
      </c>
      <c r="L127" s="73">
        <f>SUMPRODUCT($H$79:$H$126,$R$79:$R$126,$N$79:$N$126)/SUMPRODUCT($H$79:$H$126,$R$79:$R$126)</f>
        <v>1.1575200000000001</v>
      </c>
    </row>
    <row r="130" spans="1:21" x14ac:dyDescent="0.3">
      <c r="A130" s="6" t="str">
        <f>INDEX(lr_key,2)</f>
        <v>ABD|CO</v>
      </c>
      <c r="B130" s="6" t="str">
        <f>INDEX(lr_state,2)</f>
        <v>CO</v>
      </c>
      <c r="C130" s="75">
        <f>nr_TermMonths</f>
        <v>6</v>
      </c>
      <c r="D130" s="75">
        <f>IF(COUNTIF(se_state,$B130)=0,0,MATCH($B130,se_state,0))</f>
        <v>0</v>
      </c>
      <c r="E130" s="70">
        <f>IF($D130=0,0,INDEX(se_sum,$D130))</f>
        <v>0</v>
      </c>
      <c r="F130" s="224">
        <f>IF(N(INDEX(lr_mind,2))=0,1,INDEX(lr_mind,2))</f>
        <v>0.92</v>
      </c>
      <c r="G130" s="224">
        <f>IF(N(INDEX(lr_m0,2))=0,1,INDEX(lr_m0,2))</f>
        <v>0.91</v>
      </c>
      <c r="H130" s="74">
        <f>IF(N(INDEX(lr_m0asof,2))=0,DATE(nr_PlanYear-1,10,1),INDEX(lr_m0asof,2))</f>
        <v>46295</v>
      </c>
      <c r="I130" s="224">
        <f>IF(N(INDEX(lr_m1,2))=0,1,INDEX(lr_m1,2))</f>
        <v>0.91500000000000004</v>
      </c>
      <c r="J130" s="224">
        <f>INDEX(lr_mprior,2)</f>
        <v>0</v>
      </c>
      <c r="K130" s="224">
        <f>INDEX(lr_m2,2)</f>
        <v>0</v>
      </c>
      <c r="L130" s="6" t="b">
        <f>NOT(ISBLANK(INDEX(lr_netp,2)))</f>
        <v>0</v>
      </c>
      <c r="M130" s="72">
        <f>N(INDEX(lr_netp,2))</f>
        <v>0</v>
      </c>
      <c r="N130" s="72">
        <f>IF(ISBLANK(INDEX(lr_netp1,2)),$M$130,N(INDEX(lr_netp1,2)))</f>
        <v>0</v>
      </c>
      <c r="O130" s="75">
        <f>IF(AND(nr_ModAdjMaster="ON",INDEX(lr_modadj,2)="ON"),1,0)</f>
        <v>1</v>
      </c>
    </row>
    <row r="131" spans="1:21" x14ac:dyDescent="0.3">
      <c r="A131" s="6">
        <f>EDATE($H$130,-12)+1</f>
        <v>45931</v>
      </c>
      <c r="B131" s="6">
        <f>$H$130+1</f>
        <v>46296</v>
      </c>
      <c r="C131" s="6">
        <f>DATE(nr_PlanYear,12,31)+1</f>
        <v>46753</v>
      </c>
      <c r="D131" s="6">
        <f>DATE(nr_PlanYear+1,12,31)+1</f>
        <v>47119</v>
      </c>
      <c r="E131" s="6">
        <f>IF(N($J$130)=0,$F$131-($G$131-$F$131)/($C$131-$B$131)*($B$131-$A$131),$J$130)</f>
        <v>0.90600656455142237</v>
      </c>
      <c r="F131" s="6">
        <f>$G$130</f>
        <v>0.91</v>
      </c>
      <c r="G131" s="6">
        <f>$I$130</f>
        <v>0.91500000000000004</v>
      </c>
      <c r="H131" s="6">
        <f>IF(N($K$130)=0,$I$130,$K$130)</f>
        <v>0.91500000000000004</v>
      </c>
      <c r="I131" s="6">
        <f>($F$131-$E$131)/($B$131-$A$131)</f>
        <v>1.0940919037199081E-5</v>
      </c>
      <c r="J131" s="6">
        <f>($G$131-$F$131)/($C$131-$B$131)</f>
        <v>1.0940919037199135E-5</v>
      </c>
      <c r="K131" s="6">
        <f>($H$131-$G$131)/($D$131-$C$131)</f>
        <v>0</v>
      </c>
    </row>
    <row r="132" spans="1:21" ht="36" x14ac:dyDescent="0.3">
      <c r="A132" s="58" t="s">
        <v>390</v>
      </c>
      <c r="B132" s="58" t="s">
        <v>449</v>
      </c>
      <c r="C132" s="58" t="s">
        <v>685</v>
      </c>
      <c r="D132" s="58" t="s">
        <v>686</v>
      </c>
      <c r="E132" s="58" t="s">
        <v>687</v>
      </c>
      <c r="F132" s="58" t="s">
        <v>688</v>
      </c>
      <c r="G132" s="58" t="s">
        <v>689</v>
      </c>
      <c r="H132" s="58" t="s">
        <v>452</v>
      </c>
      <c r="I132" s="58" t="s">
        <v>690</v>
      </c>
      <c r="J132" s="58" t="s">
        <v>691</v>
      </c>
      <c r="K132" s="58" t="s">
        <v>692</v>
      </c>
      <c r="L132" s="58" t="s">
        <v>693</v>
      </c>
      <c r="M132" s="58" t="s">
        <v>694</v>
      </c>
      <c r="N132" s="58" t="s">
        <v>695</v>
      </c>
      <c r="O132" s="58" t="s">
        <v>696</v>
      </c>
      <c r="P132" s="58" t="s">
        <v>697</v>
      </c>
      <c r="Q132" s="58" t="s">
        <v>698</v>
      </c>
      <c r="R132" s="58" t="s">
        <v>699</v>
      </c>
      <c r="S132" s="58" t="s">
        <v>700</v>
      </c>
      <c r="T132" s="58" t="s">
        <v>701</v>
      </c>
      <c r="U132" s="58" t="s">
        <v>702</v>
      </c>
    </row>
    <row r="133" spans="1:21" x14ac:dyDescent="0.3">
      <c r="A133" s="187">
        <v>1</v>
      </c>
      <c r="B133" s="242">
        <f>DATE(nr_PlanYear-2,1,1)</f>
        <v>45658</v>
      </c>
      <c r="C133" s="243">
        <f t="shared" ref="C133:C180" si="94">EOMONTH($B133,0)</f>
        <v>45688</v>
      </c>
      <c r="D133" s="120">
        <f t="shared" ref="D133:D180" si="95">$C133-$B133+1</f>
        <v>31</v>
      </c>
      <c r="E133" s="120">
        <f t="shared" ref="E133:E180" si="96">MONTH($B133)</f>
        <v>1</v>
      </c>
      <c r="F133" s="275">
        <f t="shared" ref="F133:F180" si="97">($B133+$C133+1)/2</f>
        <v>45673.5</v>
      </c>
      <c r="G133" s="120">
        <f t="shared" ref="G133:G180" si="98">YEAR($B133)*12+MONTH($B133)-1</f>
        <v>24300</v>
      </c>
      <c r="H133" s="245">
        <f t="shared" ref="H133:H180" si="99">IF(OR(nr_SeasonOn="OFF",$D$130=0,$E$130=0),1,12*INDEX(se_block,$D$130,$E133)/$E$130)</f>
        <v>1</v>
      </c>
      <c r="I133" s="121">
        <f t="shared" ref="I133:I180" si="100">EXP(SUMPRODUCT((rl_eff&lt;$B133)*(rl_key=$A$130)*rl_ln1p))</f>
        <v>1</v>
      </c>
      <c r="J133" s="121">
        <f t="shared" ref="J133:J180" si="101">EXP(SUMPRODUCT((rl_eff&lt;=$C133)*(rl_key=$A$130)*rl_ln1p))</f>
        <v>1</v>
      </c>
      <c r="K133" s="120">
        <f t="shared" ref="K133:K180" si="102">COUNTIFS(rl_key,$A$130,rl_eff,"&gt;="&amp;$B133,rl_eff,"&lt;="&amp;$C133)</f>
        <v>0</v>
      </c>
      <c r="L133" s="120">
        <f t="shared" ref="L133:L180" si="103">SUMIFS(rl_daysafter,rl_key,$A$130,rl_effmonth,$B133,rl_first,1)</f>
        <v>0</v>
      </c>
      <c r="M133" s="246">
        <f t="shared" ref="M133:M180" si="104">IF($K133=0,0,MIN(1,$L133/$D133))</f>
        <v>0</v>
      </c>
      <c r="N133" s="121">
        <f t="shared" ref="N133:N180" si="105">IF($K133=0,$J133,(1-$M133)*$I133+$M133*$J133)</f>
        <v>1</v>
      </c>
      <c r="O133" s="246">
        <f t="shared" ref="O133:O180" si="106">IF($F133&lt;$B$131,$E$131+$I$131*($F133-$A$131),IF($F133&lt;$C$131,$F$131+$J$131*($F133-$B$131),$G$131+$K$131*($F133-$C$131)))</f>
        <v>0.90318927789934356</v>
      </c>
      <c r="P133" s="121">
        <f t="shared" ref="P133:P180" si="107">MIN(1,MAX(0,(nr_MEndPm1-$G133+0.5)/$C$130))-MIN(1,MAX(0,(nr_MStartPm1-1-$G133+0.5)/$C$130))</f>
        <v>0</v>
      </c>
      <c r="Q133" s="121">
        <f t="shared" ref="Q133:Q180" si="108">MIN(1,MAX(0,(nr_MEndP-$G133+0.5)/$C$130))-MIN(1,MAX(0,(nr_MStartP-1-$G133+0.5)/$C$130))</f>
        <v>0</v>
      </c>
      <c r="R133" s="121">
        <f t="shared" ref="R133:R180" si="109">MIN(1,MAX(0,(nr_MEndP1-$G133+0.5)/$C$130))-MIN(1,MAX(0,(nr_MStartP1-1-$G133+0.5)/$C$130))</f>
        <v>0</v>
      </c>
      <c r="S133" s="121" t="str">
        <f t="shared" ref="S133:S180" si="110">IF($L$130,$N133*IF($O$130=1,$O133/$F$130,1),"")</f>
        <v/>
      </c>
      <c r="T133" s="121" t="str">
        <f t="shared" ref="T133:T180" si="111">IF(NOT($L$130),"",IF($G133&lt;nr_MStartP,$S133,$T121*(1+IF($G133&lt;nr_MStartP1,$M$130,$N$130))))</f>
        <v/>
      </c>
      <c r="U133" s="121">
        <f t="shared" ref="U133:U180" si="112">IF($L$130,$T133,$N133)</f>
        <v>1</v>
      </c>
    </row>
    <row r="134" spans="1:21" x14ac:dyDescent="0.3">
      <c r="A134" s="187">
        <v>2</v>
      </c>
      <c r="B134" s="242">
        <f t="shared" ref="B134:B180" si="113">EDATE($B133,1)</f>
        <v>45689</v>
      </c>
      <c r="C134" s="243">
        <f t="shared" si="94"/>
        <v>45716</v>
      </c>
      <c r="D134" s="120">
        <f t="shared" si="95"/>
        <v>28</v>
      </c>
      <c r="E134" s="120">
        <f t="shared" si="96"/>
        <v>2</v>
      </c>
      <c r="F134" s="275">
        <f t="shared" si="97"/>
        <v>45703</v>
      </c>
      <c r="G134" s="120">
        <f t="shared" si="98"/>
        <v>24301</v>
      </c>
      <c r="H134" s="245">
        <f t="shared" si="99"/>
        <v>1</v>
      </c>
      <c r="I134" s="121">
        <f t="shared" si="100"/>
        <v>1</v>
      </c>
      <c r="J134" s="121">
        <f t="shared" si="101"/>
        <v>1</v>
      </c>
      <c r="K134" s="120">
        <f t="shared" si="102"/>
        <v>0</v>
      </c>
      <c r="L134" s="120">
        <f t="shared" si="103"/>
        <v>0</v>
      </c>
      <c r="M134" s="246">
        <f t="shared" si="104"/>
        <v>0</v>
      </c>
      <c r="N134" s="121">
        <f t="shared" si="105"/>
        <v>1</v>
      </c>
      <c r="O134" s="246">
        <f t="shared" si="106"/>
        <v>0.90351203501094102</v>
      </c>
      <c r="P134" s="121">
        <f t="shared" si="107"/>
        <v>0</v>
      </c>
      <c r="Q134" s="121">
        <f t="shared" si="108"/>
        <v>0</v>
      </c>
      <c r="R134" s="121">
        <f t="shared" si="109"/>
        <v>0</v>
      </c>
      <c r="S134" s="121" t="str">
        <f t="shared" si="110"/>
        <v/>
      </c>
      <c r="T134" s="121" t="str">
        <f t="shared" si="111"/>
        <v/>
      </c>
      <c r="U134" s="121">
        <f t="shared" si="112"/>
        <v>1</v>
      </c>
    </row>
    <row r="135" spans="1:21" x14ac:dyDescent="0.3">
      <c r="A135" s="187">
        <v>3</v>
      </c>
      <c r="B135" s="242">
        <f t="shared" si="113"/>
        <v>45717</v>
      </c>
      <c r="C135" s="243">
        <f t="shared" si="94"/>
        <v>45747</v>
      </c>
      <c r="D135" s="120">
        <f t="shared" si="95"/>
        <v>31</v>
      </c>
      <c r="E135" s="120">
        <f t="shared" si="96"/>
        <v>3</v>
      </c>
      <c r="F135" s="275">
        <f t="shared" si="97"/>
        <v>45732.5</v>
      </c>
      <c r="G135" s="120">
        <f t="shared" si="98"/>
        <v>24302</v>
      </c>
      <c r="H135" s="245">
        <f t="shared" si="99"/>
        <v>1</v>
      </c>
      <c r="I135" s="121">
        <f t="shared" si="100"/>
        <v>1</v>
      </c>
      <c r="J135" s="121">
        <f t="shared" si="101"/>
        <v>1</v>
      </c>
      <c r="K135" s="120">
        <f t="shared" si="102"/>
        <v>0</v>
      </c>
      <c r="L135" s="120">
        <f t="shared" si="103"/>
        <v>0</v>
      </c>
      <c r="M135" s="246">
        <f t="shared" si="104"/>
        <v>0</v>
      </c>
      <c r="N135" s="121">
        <f t="shared" si="105"/>
        <v>1</v>
      </c>
      <c r="O135" s="246">
        <f t="shared" si="106"/>
        <v>0.90383479212253837</v>
      </c>
      <c r="P135" s="121">
        <f t="shared" si="107"/>
        <v>0</v>
      </c>
      <c r="Q135" s="121">
        <f t="shared" si="108"/>
        <v>0</v>
      </c>
      <c r="R135" s="121">
        <f t="shared" si="109"/>
        <v>0</v>
      </c>
      <c r="S135" s="121" t="str">
        <f t="shared" si="110"/>
        <v/>
      </c>
      <c r="T135" s="121" t="str">
        <f t="shared" si="111"/>
        <v/>
      </c>
      <c r="U135" s="121">
        <f t="shared" si="112"/>
        <v>1</v>
      </c>
    </row>
    <row r="136" spans="1:21" x14ac:dyDescent="0.3">
      <c r="A136" s="187">
        <v>4</v>
      </c>
      <c r="B136" s="242">
        <f t="shared" si="113"/>
        <v>45748</v>
      </c>
      <c r="C136" s="243">
        <f t="shared" si="94"/>
        <v>45777</v>
      </c>
      <c r="D136" s="120">
        <f t="shared" si="95"/>
        <v>30</v>
      </c>
      <c r="E136" s="120">
        <f t="shared" si="96"/>
        <v>4</v>
      </c>
      <c r="F136" s="275">
        <f t="shared" si="97"/>
        <v>45763</v>
      </c>
      <c r="G136" s="120">
        <f t="shared" si="98"/>
        <v>24303</v>
      </c>
      <c r="H136" s="245">
        <f t="shared" si="99"/>
        <v>1</v>
      </c>
      <c r="I136" s="121">
        <f t="shared" si="100"/>
        <v>1</v>
      </c>
      <c r="J136" s="121">
        <f t="shared" si="101"/>
        <v>1</v>
      </c>
      <c r="K136" s="120">
        <f t="shared" si="102"/>
        <v>0</v>
      </c>
      <c r="L136" s="120">
        <f t="shared" si="103"/>
        <v>0</v>
      </c>
      <c r="M136" s="246">
        <f t="shared" si="104"/>
        <v>0</v>
      </c>
      <c r="N136" s="121">
        <f t="shared" si="105"/>
        <v>1</v>
      </c>
      <c r="O136" s="246">
        <f t="shared" si="106"/>
        <v>0.90416849015317291</v>
      </c>
      <c r="P136" s="121">
        <f t="shared" si="107"/>
        <v>0</v>
      </c>
      <c r="Q136" s="121">
        <f t="shared" si="108"/>
        <v>0</v>
      </c>
      <c r="R136" s="121">
        <f t="shared" si="109"/>
        <v>0</v>
      </c>
      <c r="S136" s="121" t="str">
        <f t="shared" si="110"/>
        <v/>
      </c>
      <c r="T136" s="121" t="str">
        <f t="shared" si="111"/>
        <v/>
      </c>
      <c r="U136" s="121">
        <f t="shared" si="112"/>
        <v>1</v>
      </c>
    </row>
    <row r="137" spans="1:21" x14ac:dyDescent="0.3">
      <c r="A137" s="187">
        <v>5</v>
      </c>
      <c r="B137" s="242">
        <f t="shared" si="113"/>
        <v>45778</v>
      </c>
      <c r="C137" s="243">
        <f t="shared" si="94"/>
        <v>45808</v>
      </c>
      <c r="D137" s="120">
        <f t="shared" si="95"/>
        <v>31</v>
      </c>
      <c r="E137" s="120">
        <f t="shared" si="96"/>
        <v>5</v>
      </c>
      <c r="F137" s="275">
        <f t="shared" si="97"/>
        <v>45793.5</v>
      </c>
      <c r="G137" s="120">
        <f t="shared" si="98"/>
        <v>24304</v>
      </c>
      <c r="H137" s="245">
        <f t="shared" si="99"/>
        <v>1</v>
      </c>
      <c r="I137" s="121">
        <f t="shared" si="100"/>
        <v>1</v>
      </c>
      <c r="J137" s="121">
        <f t="shared" si="101"/>
        <v>1</v>
      </c>
      <c r="K137" s="120">
        <f t="shared" si="102"/>
        <v>0</v>
      </c>
      <c r="L137" s="120">
        <f t="shared" si="103"/>
        <v>0</v>
      </c>
      <c r="M137" s="246">
        <f t="shared" si="104"/>
        <v>0</v>
      </c>
      <c r="N137" s="121">
        <f t="shared" si="105"/>
        <v>1</v>
      </c>
      <c r="O137" s="246">
        <f t="shared" si="106"/>
        <v>0.90450218818380745</v>
      </c>
      <c r="P137" s="121">
        <f t="shared" si="107"/>
        <v>0</v>
      </c>
      <c r="Q137" s="121">
        <f t="shared" si="108"/>
        <v>0</v>
      </c>
      <c r="R137" s="121">
        <f t="shared" si="109"/>
        <v>0</v>
      </c>
      <c r="S137" s="121" t="str">
        <f t="shared" si="110"/>
        <v/>
      </c>
      <c r="T137" s="121" t="str">
        <f t="shared" si="111"/>
        <v/>
      </c>
      <c r="U137" s="121">
        <f t="shared" si="112"/>
        <v>1</v>
      </c>
    </row>
    <row r="138" spans="1:21" x14ac:dyDescent="0.3">
      <c r="A138" s="187">
        <v>6</v>
      </c>
      <c r="B138" s="242">
        <f t="shared" si="113"/>
        <v>45809</v>
      </c>
      <c r="C138" s="243">
        <f t="shared" si="94"/>
        <v>45838</v>
      </c>
      <c r="D138" s="120">
        <f t="shared" si="95"/>
        <v>30</v>
      </c>
      <c r="E138" s="120">
        <f t="shared" si="96"/>
        <v>6</v>
      </c>
      <c r="F138" s="275">
        <f t="shared" si="97"/>
        <v>45824</v>
      </c>
      <c r="G138" s="120">
        <f t="shared" si="98"/>
        <v>24305</v>
      </c>
      <c r="H138" s="245">
        <f t="shared" si="99"/>
        <v>1</v>
      </c>
      <c r="I138" s="121">
        <f t="shared" si="100"/>
        <v>1</v>
      </c>
      <c r="J138" s="121">
        <f t="shared" si="101"/>
        <v>1</v>
      </c>
      <c r="K138" s="120">
        <f t="shared" si="102"/>
        <v>0</v>
      </c>
      <c r="L138" s="120">
        <f t="shared" si="103"/>
        <v>0</v>
      </c>
      <c r="M138" s="246">
        <f t="shared" si="104"/>
        <v>0</v>
      </c>
      <c r="N138" s="121">
        <f t="shared" si="105"/>
        <v>1</v>
      </c>
      <c r="O138" s="246">
        <f t="shared" si="106"/>
        <v>0.90483588621444211</v>
      </c>
      <c r="P138" s="121">
        <f t="shared" si="107"/>
        <v>0</v>
      </c>
      <c r="Q138" s="121">
        <f t="shared" si="108"/>
        <v>0</v>
      </c>
      <c r="R138" s="121">
        <f t="shared" si="109"/>
        <v>0</v>
      </c>
      <c r="S138" s="121" t="str">
        <f t="shared" si="110"/>
        <v/>
      </c>
      <c r="T138" s="121" t="str">
        <f t="shared" si="111"/>
        <v/>
      </c>
      <c r="U138" s="121">
        <f t="shared" si="112"/>
        <v>1</v>
      </c>
    </row>
    <row r="139" spans="1:21" x14ac:dyDescent="0.3">
      <c r="A139" s="187">
        <v>7</v>
      </c>
      <c r="B139" s="242">
        <f t="shared" si="113"/>
        <v>45839</v>
      </c>
      <c r="C139" s="243">
        <f t="shared" si="94"/>
        <v>45869</v>
      </c>
      <c r="D139" s="120">
        <f t="shared" si="95"/>
        <v>31</v>
      </c>
      <c r="E139" s="120">
        <f t="shared" si="96"/>
        <v>7</v>
      </c>
      <c r="F139" s="275">
        <f t="shared" si="97"/>
        <v>45854.5</v>
      </c>
      <c r="G139" s="120">
        <f t="shared" si="98"/>
        <v>24306</v>
      </c>
      <c r="H139" s="245">
        <f t="shared" si="99"/>
        <v>1</v>
      </c>
      <c r="I139" s="121">
        <f t="shared" si="100"/>
        <v>1</v>
      </c>
      <c r="J139" s="121">
        <f t="shared" si="101"/>
        <v>1</v>
      </c>
      <c r="K139" s="120">
        <f t="shared" si="102"/>
        <v>0</v>
      </c>
      <c r="L139" s="120">
        <f t="shared" si="103"/>
        <v>0</v>
      </c>
      <c r="M139" s="246">
        <f t="shared" si="104"/>
        <v>0</v>
      </c>
      <c r="N139" s="121">
        <f t="shared" si="105"/>
        <v>1</v>
      </c>
      <c r="O139" s="246">
        <f t="shared" si="106"/>
        <v>0.90516958424507665</v>
      </c>
      <c r="P139" s="121">
        <f t="shared" si="107"/>
        <v>8.333333333333337E-2</v>
      </c>
      <c r="Q139" s="121">
        <f t="shared" si="108"/>
        <v>0</v>
      </c>
      <c r="R139" s="121">
        <f t="shared" si="109"/>
        <v>0</v>
      </c>
      <c r="S139" s="121" t="str">
        <f t="shared" si="110"/>
        <v/>
      </c>
      <c r="T139" s="121" t="str">
        <f t="shared" si="111"/>
        <v/>
      </c>
      <c r="U139" s="121">
        <f t="shared" si="112"/>
        <v>1</v>
      </c>
    </row>
    <row r="140" spans="1:21" x14ac:dyDescent="0.3">
      <c r="A140" s="187">
        <v>8</v>
      </c>
      <c r="B140" s="242">
        <f t="shared" si="113"/>
        <v>45870</v>
      </c>
      <c r="C140" s="243">
        <f t="shared" si="94"/>
        <v>45900</v>
      </c>
      <c r="D140" s="120">
        <f t="shared" si="95"/>
        <v>31</v>
      </c>
      <c r="E140" s="120">
        <f t="shared" si="96"/>
        <v>8</v>
      </c>
      <c r="F140" s="275">
        <f t="shared" si="97"/>
        <v>45885.5</v>
      </c>
      <c r="G140" s="120">
        <f t="shared" si="98"/>
        <v>24307</v>
      </c>
      <c r="H140" s="245">
        <f t="shared" si="99"/>
        <v>1</v>
      </c>
      <c r="I140" s="121">
        <f t="shared" si="100"/>
        <v>1</v>
      </c>
      <c r="J140" s="121">
        <f t="shared" si="101"/>
        <v>1</v>
      </c>
      <c r="K140" s="120">
        <f t="shared" si="102"/>
        <v>0</v>
      </c>
      <c r="L140" s="120">
        <f t="shared" si="103"/>
        <v>0</v>
      </c>
      <c r="M140" s="246">
        <f t="shared" si="104"/>
        <v>0</v>
      </c>
      <c r="N140" s="121">
        <f t="shared" si="105"/>
        <v>1</v>
      </c>
      <c r="O140" s="246">
        <f t="shared" si="106"/>
        <v>0.90550875273522979</v>
      </c>
      <c r="P140" s="121">
        <f t="shared" si="107"/>
        <v>0.25</v>
      </c>
      <c r="Q140" s="121">
        <f t="shared" si="108"/>
        <v>0</v>
      </c>
      <c r="R140" s="121">
        <f t="shared" si="109"/>
        <v>0</v>
      </c>
      <c r="S140" s="121" t="str">
        <f t="shared" si="110"/>
        <v/>
      </c>
      <c r="T140" s="121" t="str">
        <f t="shared" si="111"/>
        <v/>
      </c>
      <c r="U140" s="121">
        <f t="shared" si="112"/>
        <v>1</v>
      </c>
    </row>
    <row r="141" spans="1:21" x14ac:dyDescent="0.3">
      <c r="A141" s="187">
        <v>9</v>
      </c>
      <c r="B141" s="242">
        <f t="shared" si="113"/>
        <v>45901</v>
      </c>
      <c r="C141" s="243">
        <f t="shared" si="94"/>
        <v>45930</v>
      </c>
      <c r="D141" s="120">
        <f t="shared" si="95"/>
        <v>30</v>
      </c>
      <c r="E141" s="120">
        <f t="shared" si="96"/>
        <v>9</v>
      </c>
      <c r="F141" s="275">
        <f t="shared" si="97"/>
        <v>45916</v>
      </c>
      <c r="G141" s="120">
        <f t="shared" si="98"/>
        <v>24308</v>
      </c>
      <c r="H141" s="245">
        <f t="shared" si="99"/>
        <v>1</v>
      </c>
      <c r="I141" s="121">
        <f t="shared" si="100"/>
        <v>1</v>
      </c>
      <c r="J141" s="121">
        <f t="shared" si="101"/>
        <v>1</v>
      </c>
      <c r="K141" s="120">
        <f t="shared" si="102"/>
        <v>0</v>
      </c>
      <c r="L141" s="120">
        <f t="shared" si="103"/>
        <v>0</v>
      </c>
      <c r="M141" s="246">
        <f t="shared" si="104"/>
        <v>0</v>
      </c>
      <c r="N141" s="121">
        <f t="shared" si="105"/>
        <v>1</v>
      </c>
      <c r="O141" s="246">
        <f t="shared" si="106"/>
        <v>0.90584245076586434</v>
      </c>
      <c r="P141" s="121">
        <f t="shared" si="107"/>
        <v>0.41666666666666663</v>
      </c>
      <c r="Q141" s="121">
        <f t="shared" si="108"/>
        <v>0</v>
      </c>
      <c r="R141" s="121">
        <f t="shared" si="109"/>
        <v>0</v>
      </c>
      <c r="S141" s="121" t="str">
        <f t="shared" si="110"/>
        <v/>
      </c>
      <c r="T141" s="121" t="str">
        <f t="shared" si="111"/>
        <v/>
      </c>
      <c r="U141" s="121">
        <f t="shared" si="112"/>
        <v>1</v>
      </c>
    </row>
    <row r="142" spans="1:21" x14ac:dyDescent="0.3">
      <c r="A142" s="187">
        <v>10</v>
      </c>
      <c r="B142" s="242">
        <f t="shared" si="113"/>
        <v>45931</v>
      </c>
      <c r="C142" s="243">
        <f t="shared" si="94"/>
        <v>45961</v>
      </c>
      <c r="D142" s="120">
        <f t="shared" si="95"/>
        <v>31</v>
      </c>
      <c r="E142" s="120">
        <f t="shared" si="96"/>
        <v>10</v>
      </c>
      <c r="F142" s="275">
        <f t="shared" si="97"/>
        <v>45946.5</v>
      </c>
      <c r="G142" s="120">
        <f t="shared" si="98"/>
        <v>24309</v>
      </c>
      <c r="H142" s="245">
        <f t="shared" si="99"/>
        <v>1</v>
      </c>
      <c r="I142" s="121">
        <f t="shared" si="100"/>
        <v>1</v>
      </c>
      <c r="J142" s="121">
        <f t="shared" si="101"/>
        <v>1</v>
      </c>
      <c r="K142" s="120">
        <f t="shared" si="102"/>
        <v>0</v>
      </c>
      <c r="L142" s="120">
        <f t="shared" si="103"/>
        <v>0</v>
      </c>
      <c r="M142" s="246">
        <f t="shared" si="104"/>
        <v>0</v>
      </c>
      <c r="N142" s="121">
        <f t="shared" si="105"/>
        <v>1</v>
      </c>
      <c r="O142" s="246">
        <f t="shared" si="106"/>
        <v>0.90617614879649899</v>
      </c>
      <c r="P142" s="121">
        <f t="shared" si="107"/>
        <v>0.58333333333333326</v>
      </c>
      <c r="Q142" s="121">
        <f t="shared" si="108"/>
        <v>0</v>
      </c>
      <c r="R142" s="121">
        <f t="shared" si="109"/>
        <v>0</v>
      </c>
      <c r="S142" s="121" t="str">
        <f t="shared" si="110"/>
        <v/>
      </c>
      <c r="T142" s="121" t="str">
        <f t="shared" si="111"/>
        <v/>
      </c>
      <c r="U142" s="121">
        <f t="shared" si="112"/>
        <v>1</v>
      </c>
    </row>
    <row r="143" spans="1:21" x14ac:dyDescent="0.3">
      <c r="A143" s="187">
        <v>11</v>
      </c>
      <c r="B143" s="242">
        <f t="shared" si="113"/>
        <v>45962</v>
      </c>
      <c r="C143" s="243">
        <f t="shared" si="94"/>
        <v>45991</v>
      </c>
      <c r="D143" s="120">
        <f t="shared" si="95"/>
        <v>30</v>
      </c>
      <c r="E143" s="120">
        <f t="shared" si="96"/>
        <v>11</v>
      </c>
      <c r="F143" s="275">
        <f t="shared" si="97"/>
        <v>45977</v>
      </c>
      <c r="G143" s="120">
        <f t="shared" si="98"/>
        <v>24310</v>
      </c>
      <c r="H143" s="245">
        <f t="shared" si="99"/>
        <v>1</v>
      </c>
      <c r="I143" s="121">
        <f t="shared" si="100"/>
        <v>1</v>
      </c>
      <c r="J143" s="121">
        <f t="shared" si="101"/>
        <v>1</v>
      </c>
      <c r="K143" s="120">
        <f t="shared" si="102"/>
        <v>0</v>
      </c>
      <c r="L143" s="120">
        <f t="shared" si="103"/>
        <v>0</v>
      </c>
      <c r="M143" s="246">
        <f t="shared" si="104"/>
        <v>0</v>
      </c>
      <c r="N143" s="121">
        <f t="shared" si="105"/>
        <v>1</v>
      </c>
      <c r="O143" s="246">
        <f t="shared" si="106"/>
        <v>0.90650984682713354</v>
      </c>
      <c r="P143" s="121">
        <f t="shared" si="107"/>
        <v>0.75</v>
      </c>
      <c r="Q143" s="121">
        <f t="shared" si="108"/>
        <v>0</v>
      </c>
      <c r="R143" s="121">
        <f t="shared" si="109"/>
        <v>0</v>
      </c>
      <c r="S143" s="121" t="str">
        <f t="shared" si="110"/>
        <v/>
      </c>
      <c r="T143" s="121" t="str">
        <f t="shared" si="111"/>
        <v/>
      </c>
      <c r="U143" s="121">
        <f t="shared" si="112"/>
        <v>1</v>
      </c>
    </row>
    <row r="144" spans="1:21" x14ac:dyDescent="0.3">
      <c r="A144" s="187">
        <v>12</v>
      </c>
      <c r="B144" s="242">
        <f t="shared" si="113"/>
        <v>45992</v>
      </c>
      <c r="C144" s="243">
        <f t="shared" si="94"/>
        <v>46022</v>
      </c>
      <c r="D144" s="120">
        <f t="shared" si="95"/>
        <v>31</v>
      </c>
      <c r="E144" s="120">
        <f t="shared" si="96"/>
        <v>12</v>
      </c>
      <c r="F144" s="275">
        <f t="shared" si="97"/>
        <v>46007.5</v>
      </c>
      <c r="G144" s="120">
        <f t="shared" si="98"/>
        <v>24311</v>
      </c>
      <c r="H144" s="245">
        <f t="shared" si="99"/>
        <v>1</v>
      </c>
      <c r="I144" s="121">
        <f t="shared" si="100"/>
        <v>1</v>
      </c>
      <c r="J144" s="121">
        <f t="shared" si="101"/>
        <v>1</v>
      </c>
      <c r="K144" s="120">
        <f t="shared" si="102"/>
        <v>0</v>
      </c>
      <c r="L144" s="120">
        <f t="shared" si="103"/>
        <v>0</v>
      </c>
      <c r="M144" s="246">
        <f t="shared" si="104"/>
        <v>0</v>
      </c>
      <c r="N144" s="121">
        <f t="shared" si="105"/>
        <v>1</v>
      </c>
      <c r="O144" s="246">
        <f t="shared" si="106"/>
        <v>0.90684354485776808</v>
      </c>
      <c r="P144" s="121">
        <f t="shared" si="107"/>
        <v>0.91666666666666663</v>
      </c>
      <c r="Q144" s="121">
        <f t="shared" si="108"/>
        <v>0</v>
      </c>
      <c r="R144" s="121">
        <f t="shared" si="109"/>
        <v>0</v>
      </c>
      <c r="S144" s="121" t="str">
        <f t="shared" si="110"/>
        <v/>
      </c>
      <c r="T144" s="121" t="str">
        <f t="shared" si="111"/>
        <v/>
      </c>
      <c r="U144" s="121">
        <f t="shared" si="112"/>
        <v>1</v>
      </c>
    </row>
    <row r="145" spans="1:21" x14ac:dyDescent="0.3">
      <c r="A145" s="187">
        <v>13</v>
      </c>
      <c r="B145" s="242">
        <f t="shared" si="113"/>
        <v>46023</v>
      </c>
      <c r="C145" s="243">
        <f t="shared" si="94"/>
        <v>46053</v>
      </c>
      <c r="D145" s="120">
        <f t="shared" si="95"/>
        <v>31</v>
      </c>
      <c r="E145" s="120">
        <f t="shared" si="96"/>
        <v>1</v>
      </c>
      <c r="F145" s="275">
        <f t="shared" si="97"/>
        <v>46038.5</v>
      </c>
      <c r="G145" s="120">
        <f t="shared" si="98"/>
        <v>24312</v>
      </c>
      <c r="H145" s="245">
        <f t="shared" si="99"/>
        <v>1</v>
      </c>
      <c r="I145" s="121">
        <f t="shared" si="100"/>
        <v>1</v>
      </c>
      <c r="J145" s="121">
        <f t="shared" si="101"/>
        <v>1</v>
      </c>
      <c r="K145" s="120">
        <f t="shared" si="102"/>
        <v>0</v>
      </c>
      <c r="L145" s="120">
        <f t="shared" si="103"/>
        <v>0</v>
      </c>
      <c r="M145" s="246">
        <f t="shared" si="104"/>
        <v>0</v>
      </c>
      <c r="N145" s="121">
        <f t="shared" si="105"/>
        <v>1</v>
      </c>
      <c r="O145" s="246">
        <f t="shared" si="106"/>
        <v>0.90718271334792122</v>
      </c>
      <c r="P145" s="121">
        <f t="shared" si="107"/>
        <v>1</v>
      </c>
      <c r="Q145" s="121">
        <f t="shared" si="108"/>
        <v>0</v>
      </c>
      <c r="R145" s="121">
        <f t="shared" si="109"/>
        <v>0</v>
      </c>
      <c r="S145" s="121" t="str">
        <f t="shared" si="110"/>
        <v/>
      </c>
      <c r="T145" s="121" t="str">
        <f t="shared" si="111"/>
        <v/>
      </c>
      <c r="U145" s="121">
        <f t="shared" si="112"/>
        <v>1</v>
      </c>
    </row>
    <row r="146" spans="1:21" x14ac:dyDescent="0.3">
      <c r="A146" s="187">
        <v>14</v>
      </c>
      <c r="B146" s="242">
        <f t="shared" si="113"/>
        <v>46054</v>
      </c>
      <c r="C146" s="243">
        <f t="shared" si="94"/>
        <v>46081</v>
      </c>
      <c r="D146" s="120">
        <f t="shared" si="95"/>
        <v>28</v>
      </c>
      <c r="E146" s="120">
        <f t="shared" si="96"/>
        <v>2</v>
      </c>
      <c r="F146" s="275">
        <f t="shared" si="97"/>
        <v>46068</v>
      </c>
      <c r="G146" s="120">
        <f t="shared" si="98"/>
        <v>24313</v>
      </c>
      <c r="H146" s="245">
        <f t="shared" si="99"/>
        <v>1</v>
      </c>
      <c r="I146" s="121">
        <f t="shared" si="100"/>
        <v>1</v>
      </c>
      <c r="J146" s="121">
        <f t="shared" si="101"/>
        <v>1.03</v>
      </c>
      <c r="K146" s="120">
        <f t="shared" si="102"/>
        <v>1</v>
      </c>
      <c r="L146" s="120">
        <f t="shared" si="103"/>
        <v>28</v>
      </c>
      <c r="M146" s="246">
        <f t="shared" si="104"/>
        <v>1</v>
      </c>
      <c r="N146" s="121">
        <f t="shared" si="105"/>
        <v>1.03</v>
      </c>
      <c r="O146" s="246">
        <f t="shared" si="106"/>
        <v>0.90750547045951868</v>
      </c>
      <c r="P146" s="121">
        <f t="shared" si="107"/>
        <v>1</v>
      </c>
      <c r="Q146" s="121">
        <f t="shared" si="108"/>
        <v>0</v>
      </c>
      <c r="R146" s="121">
        <f t="shared" si="109"/>
        <v>0</v>
      </c>
      <c r="S146" s="121" t="str">
        <f t="shared" si="110"/>
        <v/>
      </c>
      <c r="T146" s="121" t="str">
        <f t="shared" si="111"/>
        <v/>
      </c>
      <c r="U146" s="121">
        <f t="shared" si="112"/>
        <v>1.03</v>
      </c>
    </row>
    <row r="147" spans="1:21" x14ac:dyDescent="0.3">
      <c r="A147" s="187">
        <v>15</v>
      </c>
      <c r="B147" s="242">
        <f t="shared" si="113"/>
        <v>46082</v>
      </c>
      <c r="C147" s="243">
        <f t="shared" si="94"/>
        <v>46112</v>
      </c>
      <c r="D147" s="120">
        <f t="shared" si="95"/>
        <v>31</v>
      </c>
      <c r="E147" s="120">
        <f t="shared" si="96"/>
        <v>3</v>
      </c>
      <c r="F147" s="275">
        <f t="shared" si="97"/>
        <v>46097.5</v>
      </c>
      <c r="G147" s="120">
        <f t="shared" si="98"/>
        <v>24314</v>
      </c>
      <c r="H147" s="245">
        <f t="shared" si="99"/>
        <v>1</v>
      </c>
      <c r="I147" s="121">
        <f t="shared" si="100"/>
        <v>1.03</v>
      </c>
      <c r="J147" s="121">
        <f t="shared" si="101"/>
        <v>1.03</v>
      </c>
      <c r="K147" s="120">
        <f t="shared" si="102"/>
        <v>0</v>
      </c>
      <c r="L147" s="120">
        <f t="shared" si="103"/>
        <v>0</v>
      </c>
      <c r="M147" s="246">
        <f t="shared" si="104"/>
        <v>0</v>
      </c>
      <c r="N147" s="121">
        <f t="shared" si="105"/>
        <v>1.03</v>
      </c>
      <c r="O147" s="246">
        <f t="shared" si="106"/>
        <v>0.90782822757111603</v>
      </c>
      <c r="P147" s="121">
        <f t="shared" si="107"/>
        <v>1</v>
      </c>
      <c r="Q147" s="121">
        <f t="shared" si="108"/>
        <v>0</v>
      </c>
      <c r="R147" s="121">
        <f t="shared" si="109"/>
        <v>0</v>
      </c>
      <c r="S147" s="121" t="str">
        <f t="shared" si="110"/>
        <v/>
      </c>
      <c r="T147" s="121" t="str">
        <f t="shared" si="111"/>
        <v/>
      </c>
      <c r="U147" s="121">
        <f t="shared" si="112"/>
        <v>1.03</v>
      </c>
    </row>
    <row r="148" spans="1:21" x14ac:dyDescent="0.3">
      <c r="A148" s="187">
        <v>16</v>
      </c>
      <c r="B148" s="242">
        <f t="shared" si="113"/>
        <v>46113</v>
      </c>
      <c r="C148" s="243">
        <f t="shared" si="94"/>
        <v>46142</v>
      </c>
      <c r="D148" s="120">
        <f t="shared" si="95"/>
        <v>30</v>
      </c>
      <c r="E148" s="120">
        <f t="shared" si="96"/>
        <v>4</v>
      </c>
      <c r="F148" s="275">
        <f t="shared" si="97"/>
        <v>46128</v>
      </c>
      <c r="G148" s="120">
        <f t="shared" si="98"/>
        <v>24315</v>
      </c>
      <c r="H148" s="245">
        <f t="shared" si="99"/>
        <v>1</v>
      </c>
      <c r="I148" s="121">
        <f t="shared" si="100"/>
        <v>1.03</v>
      </c>
      <c r="J148" s="121">
        <f t="shared" si="101"/>
        <v>1.03</v>
      </c>
      <c r="K148" s="120">
        <f t="shared" si="102"/>
        <v>0</v>
      </c>
      <c r="L148" s="120">
        <f t="shared" si="103"/>
        <v>0</v>
      </c>
      <c r="M148" s="246">
        <f t="shared" si="104"/>
        <v>0</v>
      </c>
      <c r="N148" s="121">
        <f t="shared" si="105"/>
        <v>1.03</v>
      </c>
      <c r="O148" s="246">
        <f t="shared" si="106"/>
        <v>0.90816192560175057</v>
      </c>
      <c r="P148" s="121">
        <f t="shared" si="107"/>
        <v>1</v>
      </c>
      <c r="Q148" s="121">
        <f t="shared" si="108"/>
        <v>0</v>
      </c>
      <c r="R148" s="121">
        <f t="shared" si="109"/>
        <v>0</v>
      </c>
      <c r="S148" s="121" t="str">
        <f t="shared" si="110"/>
        <v/>
      </c>
      <c r="T148" s="121" t="str">
        <f t="shared" si="111"/>
        <v/>
      </c>
      <c r="U148" s="121">
        <f t="shared" si="112"/>
        <v>1.03</v>
      </c>
    </row>
    <row r="149" spans="1:21" x14ac:dyDescent="0.3">
      <c r="A149" s="187">
        <v>17</v>
      </c>
      <c r="B149" s="242">
        <f t="shared" si="113"/>
        <v>46143</v>
      </c>
      <c r="C149" s="243">
        <f t="shared" si="94"/>
        <v>46173</v>
      </c>
      <c r="D149" s="120">
        <f t="shared" si="95"/>
        <v>31</v>
      </c>
      <c r="E149" s="120">
        <f t="shared" si="96"/>
        <v>5</v>
      </c>
      <c r="F149" s="275">
        <f t="shared" si="97"/>
        <v>46158.5</v>
      </c>
      <c r="G149" s="120">
        <f t="shared" si="98"/>
        <v>24316</v>
      </c>
      <c r="H149" s="245">
        <f t="shared" si="99"/>
        <v>1</v>
      </c>
      <c r="I149" s="121">
        <f t="shared" si="100"/>
        <v>1.03</v>
      </c>
      <c r="J149" s="121">
        <f t="shared" si="101"/>
        <v>1.03</v>
      </c>
      <c r="K149" s="120">
        <f t="shared" si="102"/>
        <v>0</v>
      </c>
      <c r="L149" s="120">
        <f t="shared" si="103"/>
        <v>0</v>
      </c>
      <c r="M149" s="246">
        <f t="shared" si="104"/>
        <v>0</v>
      </c>
      <c r="N149" s="121">
        <f t="shared" si="105"/>
        <v>1.03</v>
      </c>
      <c r="O149" s="246">
        <f t="shared" si="106"/>
        <v>0.90849562363238512</v>
      </c>
      <c r="P149" s="121">
        <f t="shared" si="107"/>
        <v>1</v>
      </c>
      <c r="Q149" s="121">
        <f t="shared" si="108"/>
        <v>0</v>
      </c>
      <c r="R149" s="121">
        <f t="shared" si="109"/>
        <v>0</v>
      </c>
      <c r="S149" s="121" t="str">
        <f t="shared" si="110"/>
        <v/>
      </c>
      <c r="T149" s="121" t="str">
        <f t="shared" si="111"/>
        <v/>
      </c>
      <c r="U149" s="121">
        <f t="shared" si="112"/>
        <v>1.03</v>
      </c>
    </row>
    <row r="150" spans="1:21" x14ac:dyDescent="0.3">
      <c r="A150" s="187">
        <v>18</v>
      </c>
      <c r="B150" s="242">
        <f t="shared" si="113"/>
        <v>46174</v>
      </c>
      <c r="C150" s="243">
        <f t="shared" si="94"/>
        <v>46203</v>
      </c>
      <c r="D150" s="120">
        <f t="shared" si="95"/>
        <v>30</v>
      </c>
      <c r="E150" s="120">
        <f t="shared" si="96"/>
        <v>6</v>
      </c>
      <c r="F150" s="275">
        <f t="shared" si="97"/>
        <v>46189</v>
      </c>
      <c r="G150" s="120">
        <f t="shared" si="98"/>
        <v>24317</v>
      </c>
      <c r="H150" s="245">
        <f t="shared" si="99"/>
        <v>1</v>
      </c>
      <c r="I150" s="121">
        <f t="shared" si="100"/>
        <v>1.03</v>
      </c>
      <c r="J150" s="121">
        <f t="shared" si="101"/>
        <v>1.03</v>
      </c>
      <c r="K150" s="120">
        <f t="shared" si="102"/>
        <v>0</v>
      </c>
      <c r="L150" s="120">
        <f t="shared" si="103"/>
        <v>0</v>
      </c>
      <c r="M150" s="246">
        <f t="shared" si="104"/>
        <v>0</v>
      </c>
      <c r="N150" s="121">
        <f t="shared" si="105"/>
        <v>1.03</v>
      </c>
      <c r="O150" s="246">
        <f t="shared" si="106"/>
        <v>0.90882932166301977</v>
      </c>
      <c r="P150" s="121">
        <f t="shared" si="107"/>
        <v>1</v>
      </c>
      <c r="Q150" s="121">
        <f t="shared" si="108"/>
        <v>0</v>
      </c>
      <c r="R150" s="121">
        <f t="shared" si="109"/>
        <v>0</v>
      </c>
      <c r="S150" s="121" t="str">
        <f t="shared" si="110"/>
        <v/>
      </c>
      <c r="T150" s="121" t="str">
        <f t="shared" si="111"/>
        <v/>
      </c>
      <c r="U150" s="121">
        <f t="shared" si="112"/>
        <v>1.03</v>
      </c>
    </row>
    <row r="151" spans="1:21" x14ac:dyDescent="0.3">
      <c r="A151" s="187">
        <v>19</v>
      </c>
      <c r="B151" s="242">
        <f t="shared" si="113"/>
        <v>46204</v>
      </c>
      <c r="C151" s="243">
        <f t="shared" si="94"/>
        <v>46234</v>
      </c>
      <c r="D151" s="120">
        <f t="shared" si="95"/>
        <v>31</v>
      </c>
      <c r="E151" s="120">
        <f t="shared" si="96"/>
        <v>7</v>
      </c>
      <c r="F151" s="275">
        <f t="shared" si="97"/>
        <v>46219.5</v>
      </c>
      <c r="G151" s="120">
        <f t="shared" si="98"/>
        <v>24318</v>
      </c>
      <c r="H151" s="245">
        <f t="shared" si="99"/>
        <v>1</v>
      </c>
      <c r="I151" s="121">
        <f t="shared" si="100"/>
        <v>1.03</v>
      </c>
      <c r="J151" s="121">
        <f t="shared" si="101"/>
        <v>1.03</v>
      </c>
      <c r="K151" s="120">
        <f t="shared" si="102"/>
        <v>0</v>
      </c>
      <c r="L151" s="120">
        <f t="shared" si="103"/>
        <v>0</v>
      </c>
      <c r="M151" s="246">
        <f t="shared" si="104"/>
        <v>0</v>
      </c>
      <c r="N151" s="121">
        <f t="shared" si="105"/>
        <v>1.03</v>
      </c>
      <c r="O151" s="246">
        <f t="shared" si="106"/>
        <v>0.90916301969365432</v>
      </c>
      <c r="P151" s="121">
        <f t="shared" si="107"/>
        <v>0.91666666666666663</v>
      </c>
      <c r="Q151" s="121">
        <f t="shared" si="108"/>
        <v>8.333333333333337E-2</v>
      </c>
      <c r="R151" s="121">
        <f t="shared" si="109"/>
        <v>0</v>
      </c>
      <c r="S151" s="121" t="str">
        <f t="shared" si="110"/>
        <v/>
      </c>
      <c r="T151" s="121" t="str">
        <f t="shared" si="111"/>
        <v/>
      </c>
      <c r="U151" s="121">
        <f t="shared" si="112"/>
        <v>1.03</v>
      </c>
    </row>
    <row r="152" spans="1:21" x14ac:dyDescent="0.3">
      <c r="A152" s="187">
        <v>20</v>
      </c>
      <c r="B152" s="242">
        <f t="shared" si="113"/>
        <v>46235</v>
      </c>
      <c r="C152" s="243">
        <f t="shared" si="94"/>
        <v>46265</v>
      </c>
      <c r="D152" s="120">
        <f t="shared" si="95"/>
        <v>31</v>
      </c>
      <c r="E152" s="120">
        <f t="shared" si="96"/>
        <v>8</v>
      </c>
      <c r="F152" s="275">
        <f t="shared" si="97"/>
        <v>46250.5</v>
      </c>
      <c r="G152" s="120">
        <f t="shared" si="98"/>
        <v>24319</v>
      </c>
      <c r="H152" s="245">
        <f t="shared" si="99"/>
        <v>1</v>
      </c>
      <c r="I152" s="121">
        <f t="shared" si="100"/>
        <v>1.03</v>
      </c>
      <c r="J152" s="121">
        <f t="shared" si="101"/>
        <v>1.03</v>
      </c>
      <c r="K152" s="120">
        <f t="shared" si="102"/>
        <v>0</v>
      </c>
      <c r="L152" s="120">
        <f t="shared" si="103"/>
        <v>0</v>
      </c>
      <c r="M152" s="246">
        <f t="shared" si="104"/>
        <v>0</v>
      </c>
      <c r="N152" s="121">
        <f t="shared" si="105"/>
        <v>1.03</v>
      </c>
      <c r="O152" s="246">
        <f t="shared" si="106"/>
        <v>0.90950218818380746</v>
      </c>
      <c r="P152" s="121">
        <f t="shared" si="107"/>
        <v>0.75</v>
      </c>
      <c r="Q152" s="121">
        <f t="shared" si="108"/>
        <v>0.25</v>
      </c>
      <c r="R152" s="121">
        <f t="shared" si="109"/>
        <v>0</v>
      </c>
      <c r="S152" s="121" t="str">
        <f t="shared" si="110"/>
        <v/>
      </c>
      <c r="T152" s="121" t="str">
        <f t="shared" si="111"/>
        <v/>
      </c>
      <c r="U152" s="121">
        <f t="shared" si="112"/>
        <v>1.03</v>
      </c>
    </row>
    <row r="153" spans="1:21" x14ac:dyDescent="0.3">
      <c r="A153" s="187">
        <v>21</v>
      </c>
      <c r="B153" s="242">
        <f t="shared" si="113"/>
        <v>46266</v>
      </c>
      <c r="C153" s="243">
        <f t="shared" si="94"/>
        <v>46295</v>
      </c>
      <c r="D153" s="120">
        <f t="shared" si="95"/>
        <v>30</v>
      </c>
      <c r="E153" s="120">
        <f t="shared" si="96"/>
        <v>9</v>
      </c>
      <c r="F153" s="275">
        <f t="shared" si="97"/>
        <v>46281</v>
      </c>
      <c r="G153" s="120">
        <f t="shared" si="98"/>
        <v>24320</v>
      </c>
      <c r="H153" s="245">
        <f t="shared" si="99"/>
        <v>1</v>
      </c>
      <c r="I153" s="121">
        <f t="shared" si="100"/>
        <v>1.03</v>
      </c>
      <c r="J153" s="121">
        <f t="shared" si="101"/>
        <v>1.03</v>
      </c>
      <c r="K153" s="120">
        <f t="shared" si="102"/>
        <v>0</v>
      </c>
      <c r="L153" s="120">
        <f t="shared" si="103"/>
        <v>0</v>
      </c>
      <c r="M153" s="246">
        <f t="shared" si="104"/>
        <v>0</v>
      </c>
      <c r="N153" s="121">
        <f t="shared" si="105"/>
        <v>1.03</v>
      </c>
      <c r="O153" s="246">
        <f t="shared" si="106"/>
        <v>0.909835886214442</v>
      </c>
      <c r="P153" s="121">
        <f t="shared" si="107"/>
        <v>0.58333333333333337</v>
      </c>
      <c r="Q153" s="121">
        <f t="shared" si="108"/>
        <v>0.41666666666666663</v>
      </c>
      <c r="R153" s="121">
        <f t="shared" si="109"/>
        <v>0</v>
      </c>
      <c r="S153" s="121" t="str">
        <f t="shared" si="110"/>
        <v/>
      </c>
      <c r="T153" s="121" t="str">
        <f t="shared" si="111"/>
        <v/>
      </c>
      <c r="U153" s="121">
        <f t="shared" si="112"/>
        <v>1.03</v>
      </c>
    </row>
    <row r="154" spans="1:21" x14ac:dyDescent="0.3">
      <c r="A154" s="187">
        <v>22</v>
      </c>
      <c r="B154" s="242">
        <f t="shared" si="113"/>
        <v>46296</v>
      </c>
      <c r="C154" s="243">
        <f t="shared" si="94"/>
        <v>46326</v>
      </c>
      <c r="D154" s="120">
        <f t="shared" si="95"/>
        <v>31</v>
      </c>
      <c r="E154" s="120">
        <f t="shared" si="96"/>
        <v>10</v>
      </c>
      <c r="F154" s="275">
        <f t="shared" si="97"/>
        <v>46311.5</v>
      </c>
      <c r="G154" s="120">
        <f t="shared" si="98"/>
        <v>24321</v>
      </c>
      <c r="H154" s="245">
        <f t="shared" si="99"/>
        <v>1</v>
      </c>
      <c r="I154" s="121">
        <f t="shared" si="100"/>
        <v>1.03</v>
      </c>
      <c r="J154" s="121">
        <f t="shared" si="101"/>
        <v>1.03</v>
      </c>
      <c r="K154" s="120">
        <f t="shared" si="102"/>
        <v>0</v>
      </c>
      <c r="L154" s="120">
        <f t="shared" si="103"/>
        <v>0</v>
      </c>
      <c r="M154" s="246">
        <f t="shared" si="104"/>
        <v>0</v>
      </c>
      <c r="N154" s="121">
        <f t="shared" si="105"/>
        <v>1.03</v>
      </c>
      <c r="O154" s="246">
        <f t="shared" si="106"/>
        <v>0.91016958424507666</v>
      </c>
      <c r="P154" s="121">
        <f t="shared" si="107"/>
        <v>0.41666666666666669</v>
      </c>
      <c r="Q154" s="121">
        <f t="shared" si="108"/>
        <v>0.58333333333333326</v>
      </c>
      <c r="R154" s="121">
        <f t="shared" si="109"/>
        <v>0</v>
      </c>
      <c r="S154" s="121" t="str">
        <f t="shared" si="110"/>
        <v/>
      </c>
      <c r="T154" s="121" t="str">
        <f t="shared" si="111"/>
        <v/>
      </c>
      <c r="U154" s="121">
        <f t="shared" si="112"/>
        <v>1.03</v>
      </c>
    </row>
    <row r="155" spans="1:21" x14ac:dyDescent="0.3">
      <c r="A155" s="187">
        <v>23</v>
      </c>
      <c r="B155" s="242">
        <f t="shared" si="113"/>
        <v>46327</v>
      </c>
      <c r="C155" s="243">
        <f t="shared" si="94"/>
        <v>46356</v>
      </c>
      <c r="D155" s="120">
        <f t="shared" si="95"/>
        <v>30</v>
      </c>
      <c r="E155" s="120">
        <f t="shared" si="96"/>
        <v>11</v>
      </c>
      <c r="F155" s="275">
        <f t="shared" si="97"/>
        <v>46342</v>
      </c>
      <c r="G155" s="120">
        <f t="shared" si="98"/>
        <v>24322</v>
      </c>
      <c r="H155" s="245">
        <f t="shared" si="99"/>
        <v>1</v>
      </c>
      <c r="I155" s="121">
        <f t="shared" si="100"/>
        <v>1.03</v>
      </c>
      <c r="J155" s="121">
        <f t="shared" si="101"/>
        <v>1.03</v>
      </c>
      <c r="K155" s="120">
        <f t="shared" si="102"/>
        <v>0</v>
      </c>
      <c r="L155" s="120">
        <f t="shared" si="103"/>
        <v>0</v>
      </c>
      <c r="M155" s="246">
        <f t="shared" si="104"/>
        <v>0</v>
      </c>
      <c r="N155" s="121">
        <f t="shared" si="105"/>
        <v>1.03</v>
      </c>
      <c r="O155" s="246">
        <f t="shared" si="106"/>
        <v>0.9105032822757112</v>
      </c>
      <c r="P155" s="121">
        <f t="shared" si="107"/>
        <v>0.25</v>
      </c>
      <c r="Q155" s="121">
        <f t="shared" si="108"/>
        <v>0.75</v>
      </c>
      <c r="R155" s="121">
        <f t="shared" si="109"/>
        <v>0</v>
      </c>
      <c r="S155" s="121" t="str">
        <f t="shared" si="110"/>
        <v/>
      </c>
      <c r="T155" s="121" t="str">
        <f t="shared" si="111"/>
        <v/>
      </c>
      <c r="U155" s="121">
        <f t="shared" si="112"/>
        <v>1.03</v>
      </c>
    </row>
    <row r="156" spans="1:21" x14ac:dyDescent="0.3">
      <c r="A156" s="187">
        <v>24</v>
      </c>
      <c r="B156" s="242">
        <f t="shared" si="113"/>
        <v>46357</v>
      </c>
      <c r="C156" s="243">
        <f t="shared" si="94"/>
        <v>46387</v>
      </c>
      <c r="D156" s="120">
        <f t="shared" si="95"/>
        <v>31</v>
      </c>
      <c r="E156" s="120">
        <f t="shared" si="96"/>
        <v>12</v>
      </c>
      <c r="F156" s="275">
        <f t="shared" si="97"/>
        <v>46372.5</v>
      </c>
      <c r="G156" s="120">
        <f t="shared" si="98"/>
        <v>24323</v>
      </c>
      <c r="H156" s="245">
        <f t="shared" si="99"/>
        <v>1</v>
      </c>
      <c r="I156" s="121">
        <f t="shared" si="100"/>
        <v>1.03</v>
      </c>
      <c r="J156" s="121">
        <f t="shared" si="101"/>
        <v>1.03</v>
      </c>
      <c r="K156" s="120">
        <f t="shared" si="102"/>
        <v>0</v>
      </c>
      <c r="L156" s="120">
        <f t="shared" si="103"/>
        <v>0</v>
      </c>
      <c r="M156" s="246">
        <f t="shared" si="104"/>
        <v>0</v>
      </c>
      <c r="N156" s="121">
        <f t="shared" si="105"/>
        <v>1.03</v>
      </c>
      <c r="O156" s="246">
        <f t="shared" si="106"/>
        <v>0.91083698030634574</v>
      </c>
      <c r="P156" s="121">
        <f t="shared" si="107"/>
        <v>8.3333333333333329E-2</v>
      </c>
      <c r="Q156" s="121">
        <f t="shared" si="108"/>
        <v>0.91666666666666663</v>
      </c>
      <c r="R156" s="121">
        <f t="shared" si="109"/>
        <v>0</v>
      </c>
      <c r="S156" s="121" t="str">
        <f t="shared" si="110"/>
        <v/>
      </c>
      <c r="T156" s="121" t="str">
        <f t="shared" si="111"/>
        <v/>
      </c>
      <c r="U156" s="121">
        <f t="shared" si="112"/>
        <v>1.03</v>
      </c>
    </row>
    <row r="157" spans="1:21" x14ac:dyDescent="0.3">
      <c r="A157" s="187">
        <v>25</v>
      </c>
      <c r="B157" s="242">
        <f t="shared" si="113"/>
        <v>46388</v>
      </c>
      <c r="C157" s="243">
        <f t="shared" si="94"/>
        <v>46418</v>
      </c>
      <c r="D157" s="120">
        <f t="shared" si="95"/>
        <v>31</v>
      </c>
      <c r="E157" s="120">
        <f t="shared" si="96"/>
        <v>1</v>
      </c>
      <c r="F157" s="275">
        <f t="shared" si="97"/>
        <v>46403.5</v>
      </c>
      <c r="G157" s="120">
        <f t="shared" si="98"/>
        <v>24324</v>
      </c>
      <c r="H157" s="245">
        <f t="shared" si="99"/>
        <v>1</v>
      </c>
      <c r="I157" s="121">
        <f t="shared" si="100"/>
        <v>1.03</v>
      </c>
      <c r="J157" s="121">
        <f t="shared" si="101"/>
        <v>1.03</v>
      </c>
      <c r="K157" s="120">
        <f t="shared" si="102"/>
        <v>0</v>
      </c>
      <c r="L157" s="120">
        <f t="shared" si="103"/>
        <v>0</v>
      </c>
      <c r="M157" s="246">
        <f t="shared" si="104"/>
        <v>0</v>
      </c>
      <c r="N157" s="121">
        <f t="shared" si="105"/>
        <v>1.03</v>
      </c>
      <c r="O157" s="246">
        <f t="shared" si="106"/>
        <v>0.91117614879649889</v>
      </c>
      <c r="P157" s="121">
        <f t="shared" si="107"/>
        <v>0</v>
      </c>
      <c r="Q157" s="121">
        <f t="shared" si="108"/>
        <v>1</v>
      </c>
      <c r="R157" s="121">
        <f t="shared" si="109"/>
        <v>0</v>
      </c>
      <c r="S157" s="121" t="str">
        <f t="shared" si="110"/>
        <v/>
      </c>
      <c r="T157" s="121" t="str">
        <f t="shared" si="111"/>
        <v/>
      </c>
      <c r="U157" s="121">
        <f t="shared" si="112"/>
        <v>1.03</v>
      </c>
    </row>
    <row r="158" spans="1:21" x14ac:dyDescent="0.3">
      <c r="A158" s="187">
        <v>26</v>
      </c>
      <c r="B158" s="242">
        <f t="shared" si="113"/>
        <v>46419</v>
      </c>
      <c r="C158" s="243">
        <f t="shared" si="94"/>
        <v>46446</v>
      </c>
      <c r="D158" s="120">
        <f t="shared" si="95"/>
        <v>28</v>
      </c>
      <c r="E158" s="120">
        <f t="shared" si="96"/>
        <v>2</v>
      </c>
      <c r="F158" s="275">
        <f t="shared" si="97"/>
        <v>46433</v>
      </c>
      <c r="G158" s="120">
        <f t="shared" si="98"/>
        <v>24325</v>
      </c>
      <c r="H158" s="245">
        <f t="shared" si="99"/>
        <v>1</v>
      </c>
      <c r="I158" s="121">
        <f t="shared" si="100"/>
        <v>1.03</v>
      </c>
      <c r="J158" s="121">
        <f t="shared" si="101"/>
        <v>1.0712000000000002</v>
      </c>
      <c r="K158" s="120">
        <f t="shared" si="102"/>
        <v>1</v>
      </c>
      <c r="L158" s="120">
        <f t="shared" si="103"/>
        <v>28</v>
      </c>
      <c r="M158" s="246">
        <f t="shared" si="104"/>
        <v>1</v>
      </c>
      <c r="N158" s="121">
        <f t="shared" si="105"/>
        <v>1.0712000000000002</v>
      </c>
      <c r="O158" s="246">
        <f t="shared" si="106"/>
        <v>0.91149890590809635</v>
      </c>
      <c r="P158" s="121">
        <f t="shared" si="107"/>
        <v>0</v>
      </c>
      <c r="Q158" s="121">
        <f t="shared" si="108"/>
        <v>1</v>
      </c>
      <c r="R158" s="121">
        <f t="shared" si="109"/>
        <v>0</v>
      </c>
      <c r="S158" s="121" t="str">
        <f t="shared" si="110"/>
        <v/>
      </c>
      <c r="T158" s="121" t="str">
        <f t="shared" si="111"/>
        <v/>
      </c>
      <c r="U158" s="121">
        <f t="shared" si="112"/>
        <v>1.0712000000000002</v>
      </c>
    </row>
    <row r="159" spans="1:21" x14ac:dyDescent="0.3">
      <c r="A159" s="187">
        <v>27</v>
      </c>
      <c r="B159" s="242">
        <f t="shared" si="113"/>
        <v>46447</v>
      </c>
      <c r="C159" s="243">
        <f t="shared" si="94"/>
        <v>46477</v>
      </c>
      <c r="D159" s="120">
        <f t="shared" si="95"/>
        <v>31</v>
      </c>
      <c r="E159" s="120">
        <f t="shared" si="96"/>
        <v>3</v>
      </c>
      <c r="F159" s="275">
        <f t="shared" si="97"/>
        <v>46462.5</v>
      </c>
      <c r="G159" s="120">
        <f t="shared" si="98"/>
        <v>24326</v>
      </c>
      <c r="H159" s="245">
        <f t="shared" si="99"/>
        <v>1</v>
      </c>
      <c r="I159" s="121">
        <f t="shared" si="100"/>
        <v>1.0712000000000002</v>
      </c>
      <c r="J159" s="121">
        <f t="shared" si="101"/>
        <v>1.0712000000000002</v>
      </c>
      <c r="K159" s="120">
        <f t="shared" si="102"/>
        <v>0</v>
      </c>
      <c r="L159" s="120">
        <f t="shared" si="103"/>
        <v>0</v>
      </c>
      <c r="M159" s="246">
        <f t="shared" si="104"/>
        <v>0</v>
      </c>
      <c r="N159" s="121">
        <f t="shared" si="105"/>
        <v>1.0712000000000002</v>
      </c>
      <c r="O159" s="246">
        <f t="shared" si="106"/>
        <v>0.9118216630196937</v>
      </c>
      <c r="P159" s="121">
        <f t="shared" si="107"/>
        <v>0</v>
      </c>
      <c r="Q159" s="121">
        <f t="shared" si="108"/>
        <v>1</v>
      </c>
      <c r="R159" s="121">
        <f t="shared" si="109"/>
        <v>0</v>
      </c>
      <c r="S159" s="121" t="str">
        <f t="shared" si="110"/>
        <v/>
      </c>
      <c r="T159" s="121" t="str">
        <f t="shared" si="111"/>
        <v/>
      </c>
      <c r="U159" s="121">
        <f t="shared" si="112"/>
        <v>1.0712000000000002</v>
      </c>
    </row>
    <row r="160" spans="1:21" x14ac:dyDescent="0.3">
      <c r="A160" s="187">
        <v>28</v>
      </c>
      <c r="B160" s="242">
        <f t="shared" si="113"/>
        <v>46478</v>
      </c>
      <c r="C160" s="243">
        <f t="shared" si="94"/>
        <v>46507</v>
      </c>
      <c r="D160" s="120">
        <f t="shared" si="95"/>
        <v>30</v>
      </c>
      <c r="E160" s="120">
        <f t="shared" si="96"/>
        <v>4</v>
      </c>
      <c r="F160" s="275">
        <f t="shared" si="97"/>
        <v>46493</v>
      </c>
      <c r="G160" s="120">
        <f t="shared" si="98"/>
        <v>24327</v>
      </c>
      <c r="H160" s="245">
        <f t="shared" si="99"/>
        <v>1</v>
      </c>
      <c r="I160" s="121">
        <f t="shared" si="100"/>
        <v>1.0712000000000002</v>
      </c>
      <c r="J160" s="121">
        <f t="shared" si="101"/>
        <v>1.0712000000000002</v>
      </c>
      <c r="K160" s="120">
        <f t="shared" si="102"/>
        <v>0</v>
      </c>
      <c r="L160" s="120">
        <f t="shared" si="103"/>
        <v>0</v>
      </c>
      <c r="M160" s="246">
        <f t="shared" si="104"/>
        <v>0</v>
      </c>
      <c r="N160" s="121">
        <f t="shared" si="105"/>
        <v>1.0712000000000002</v>
      </c>
      <c r="O160" s="246">
        <f t="shared" si="106"/>
        <v>0.91215536105032824</v>
      </c>
      <c r="P160" s="121">
        <f t="shared" si="107"/>
        <v>0</v>
      </c>
      <c r="Q160" s="121">
        <f t="shared" si="108"/>
        <v>1</v>
      </c>
      <c r="R160" s="121">
        <f t="shared" si="109"/>
        <v>0</v>
      </c>
      <c r="S160" s="121" t="str">
        <f t="shared" si="110"/>
        <v/>
      </c>
      <c r="T160" s="121" t="str">
        <f t="shared" si="111"/>
        <v/>
      </c>
      <c r="U160" s="121">
        <f t="shared" si="112"/>
        <v>1.0712000000000002</v>
      </c>
    </row>
    <row r="161" spans="1:21" x14ac:dyDescent="0.3">
      <c r="A161" s="187">
        <v>29</v>
      </c>
      <c r="B161" s="242">
        <f t="shared" si="113"/>
        <v>46508</v>
      </c>
      <c r="C161" s="243">
        <f t="shared" si="94"/>
        <v>46538</v>
      </c>
      <c r="D161" s="120">
        <f t="shared" si="95"/>
        <v>31</v>
      </c>
      <c r="E161" s="120">
        <f t="shared" si="96"/>
        <v>5</v>
      </c>
      <c r="F161" s="275">
        <f t="shared" si="97"/>
        <v>46523.5</v>
      </c>
      <c r="G161" s="120">
        <f t="shared" si="98"/>
        <v>24328</v>
      </c>
      <c r="H161" s="245">
        <f t="shared" si="99"/>
        <v>1</v>
      </c>
      <c r="I161" s="121">
        <f t="shared" si="100"/>
        <v>1.0712000000000002</v>
      </c>
      <c r="J161" s="121">
        <f t="shared" si="101"/>
        <v>1.0712000000000002</v>
      </c>
      <c r="K161" s="120">
        <f t="shared" si="102"/>
        <v>0</v>
      </c>
      <c r="L161" s="120">
        <f t="shared" si="103"/>
        <v>0</v>
      </c>
      <c r="M161" s="246">
        <f t="shared" si="104"/>
        <v>0</v>
      </c>
      <c r="N161" s="121">
        <f t="shared" si="105"/>
        <v>1.0712000000000002</v>
      </c>
      <c r="O161" s="246">
        <f t="shared" si="106"/>
        <v>0.91248905908096278</v>
      </c>
      <c r="P161" s="121">
        <f t="shared" si="107"/>
        <v>0</v>
      </c>
      <c r="Q161" s="121">
        <f t="shared" si="108"/>
        <v>1</v>
      </c>
      <c r="R161" s="121">
        <f t="shared" si="109"/>
        <v>0</v>
      </c>
      <c r="S161" s="121" t="str">
        <f t="shared" si="110"/>
        <v/>
      </c>
      <c r="T161" s="121" t="str">
        <f t="shared" si="111"/>
        <v/>
      </c>
      <c r="U161" s="121">
        <f t="shared" si="112"/>
        <v>1.0712000000000002</v>
      </c>
    </row>
    <row r="162" spans="1:21" x14ac:dyDescent="0.3">
      <c r="A162" s="187">
        <v>30</v>
      </c>
      <c r="B162" s="242">
        <f t="shared" si="113"/>
        <v>46539</v>
      </c>
      <c r="C162" s="243">
        <f t="shared" si="94"/>
        <v>46568</v>
      </c>
      <c r="D162" s="120">
        <f t="shared" si="95"/>
        <v>30</v>
      </c>
      <c r="E162" s="120">
        <f t="shared" si="96"/>
        <v>6</v>
      </c>
      <c r="F162" s="275">
        <f t="shared" si="97"/>
        <v>46554</v>
      </c>
      <c r="G162" s="120">
        <f t="shared" si="98"/>
        <v>24329</v>
      </c>
      <c r="H162" s="245">
        <f t="shared" si="99"/>
        <v>1</v>
      </c>
      <c r="I162" s="121">
        <f t="shared" si="100"/>
        <v>1.0712000000000002</v>
      </c>
      <c r="J162" s="121">
        <f t="shared" si="101"/>
        <v>1.0712000000000002</v>
      </c>
      <c r="K162" s="120">
        <f t="shared" si="102"/>
        <v>0</v>
      </c>
      <c r="L162" s="120">
        <f t="shared" si="103"/>
        <v>0</v>
      </c>
      <c r="M162" s="246">
        <f t="shared" si="104"/>
        <v>0</v>
      </c>
      <c r="N162" s="121">
        <f t="shared" si="105"/>
        <v>1.0712000000000002</v>
      </c>
      <c r="O162" s="246">
        <f t="shared" si="106"/>
        <v>0.91282275711159744</v>
      </c>
      <c r="P162" s="121">
        <f t="shared" si="107"/>
        <v>0</v>
      </c>
      <c r="Q162" s="121">
        <f t="shared" si="108"/>
        <v>1</v>
      </c>
      <c r="R162" s="121">
        <f t="shared" si="109"/>
        <v>0</v>
      </c>
      <c r="S162" s="121" t="str">
        <f t="shared" si="110"/>
        <v/>
      </c>
      <c r="T162" s="121" t="str">
        <f t="shared" si="111"/>
        <v/>
      </c>
      <c r="U162" s="121">
        <f t="shared" si="112"/>
        <v>1.0712000000000002</v>
      </c>
    </row>
    <row r="163" spans="1:21" x14ac:dyDescent="0.3">
      <c r="A163" s="187">
        <v>31</v>
      </c>
      <c r="B163" s="242">
        <f t="shared" si="113"/>
        <v>46569</v>
      </c>
      <c r="C163" s="243">
        <f t="shared" si="94"/>
        <v>46599</v>
      </c>
      <c r="D163" s="120">
        <f t="shared" si="95"/>
        <v>31</v>
      </c>
      <c r="E163" s="120">
        <f t="shared" si="96"/>
        <v>7</v>
      </c>
      <c r="F163" s="275">
        <f t="shared" si="97"/>
        <v>46584.5</v>
      </c>
      <c r="G163" s="120">
        <f t="shared" si="98"/>
        <v>24330</v>
      </c>
      <c r="H163" s="245">
        <f t="shared" si="99"/>
        <v>1</v>
      </c>
      <c r="I163" s="121">
        <f t="shared" si="100"/>
        <v>1.0712000000000002</v>
      </c>
      <c r="J163" s="121">
        <f t="shared" si="101"/>
        <v>1.0712000000000002</v>
      </c>
      <c r="K163" s="120">
        <f t="shared" si="102"/>
        <v>0</v>
      </c>
      <c r="L163" s="120">
        <f t="shared" si="103"/>
        <v>0</v>
      </c>
      <c r="M163" s="246">
        <f t="shared" si="104"/>
        <v>0</v>
      </c>
      <c r="N163" s="121">
        <f t="shared" si="105"/>
        <v>1.0712000000000002</v>
      </c>
      <c r="O163" s="246">
        <f t="shared" si="106"/>
        <v>0.91315645514223198</v>
      </c>
      <c r="P163" s="121">
        <f t="shared" si="107"/>
        <v>0</v>
      </c>
      <c r="Q163" s="121">
        <f t="shared" si="108"/>
        <v>0.91666666666666663</v>
      </c>
      <c r="R163" s="121">
        <f t="shared" si="109"/>
        <v>8.333333333333337E-2</v>
      </c>
      <c r="S163" s="121" t="str">
        <f t="shared" si="110"/>
        <v/>
      </c>
      <c r="T163" s="121" t="str">
        <f t="shared" si="111"/>
        <v/>
      </c>
      <c r="U163" s="121">
        <f t="shared" si="112"/>
        <v>1.0712000000000002</v>
      </c>
    </row>
    <row r="164" spans="1:21" x14ac:dyDescent="0.3">
      <c r="A164" s="187">
        <v>32</v>
      </c>
      <c r="B164" s="242">
        <f t="shared" si="113"/>
        <v>46600</v>
      </c>
      <c r="C164" s="243">
        <f t="shared" si="94"/>
        <v>46630</v>
      </c>
      <c r="D164" s="120">
        <f t="shared" si="95"/>
        <v>31</v>
      </c>
      <c r="E164" s="120">
        <f t="shared" si="96"/>
        <v>8</v>
      </c>
      <c r="F164" s="275">
        <f t="shared" si="97"/>
        <v>46615.5</v>
      </c>
      <c r="G164" s="120">
        <f t="shared" si="98"/>
        <v>24331</v>
      </c>
      <c r="H164" s="245">
        <f t="shared" si="99"/>
        <v>1</v>
      </c>
      <c r="I164" s="121">
        <f t="shared" si="100"/>
        <v>1.0712000000000002</v>
      </c>
      <c r="J164" s="121">
        <f t="shared" si="101"/>
        <v>1.0712000000000002</v>
      </c>
      <c r="K164" s="120">
        <f t="shared" si="102"/>
        <v>0</v>
      </c>
      <c r="L164" s="120">
        <f t="shared" si="103"/>
        <v>0</v>
      </c>
      <c r="M164" s="246">
        <f t="shared" si="104"/>
        <v>0</v>
      </c>
      <c r="N164" s="121">
        <f t="shared" si="105"/>
        <v>1.0712000000000002</v>
      </c>
      <c r="O164" s="246">
        <f t="shared" si="106"/>
        <v>0.91349562363238512</v>
      </c>
      <c r="P164" s="121">
        <f t="shared" si="107"/>
        <v>0</v>
      </c>
      <c r="Q164" s="121">
        <f t="shared" si="108"/>
        <v>0.75</v>
      </c>
      <c r="R164" s="121">
        <f t="shared" si="109"/>
        <v>0.25</v>
      </c>
      <c r="S164" s="121" t="str">
        <f t="shared" si="110"/>
        <v/>
      </c>
      <c r="T164" s="121" t="str">
        <f t="shared" si="111"/>
        <v/>
      </c>
      <c r="U164" s="121">
        <f t="shared" si="112"/>
        <v>1.0712000000000002</v>
      </c>
    </row>
    <row r="165" spans="1:21" x14ac:dyDescent="0.3">
      <c r="A165" s="187">
        <v>33</v>
      </c>
      <c r="B165" s="242">
        <f t="shared" si="113"/>
        <v>46631</v>
      </c>
      <c r="C165" s="243">
        <f t="shared" si="94"/>
        <v>46660</v>
      </c>
      <c r="D165" s="120">
        <f t="shared" si="95"/>
        <v>30</v>
      </c>
      <c r="E165" s="120">
        <f t="shared" si="96"/>
        <v>9</v>
      </c>
      <c r="F165" s="275">
        <f t="shared" si="97"/>
        <v>46646</v>
      </c>
      <c r="G165" s="120">
        <f t="shared" si="98"/>
        <v>24332</v>
      </c>
      <c r="H165" s="245">
        <f t="shared" si="99"/>
        <v>1</v>
      </c>
      <c r="I165" s="121">
        <f t="shared" si="100"/>
        <v>1.0712000000000002</v>
      </c>
      <c r="J165" s="121">
        <f t="shared" si="101"/>
        <v>1.0712000000000002</v>
      </c>
      <c r="K165" s="120">
        <f t="shared" si="102"/>
        <v>0</v>
      </c>
      <c r="L165" s="120">
        <f t="shared" si="103"/>
        <v>0</v>
      </c>
      <c r="M165" s="246">
        <f t="shared" si="104"/>
        <v>0</v>
      </c>
      <c r="N165" s="121">
        <f t="shared" si="105"/>
        <v>1.0712000000000002</v>
      </c>
      <c r="O165" s="246">
        <f t="shared" si="106"/>
        <v>0.91382932166301978</v>
      </c>
      <c r="P165" s="121">
        <f t="shared" si="107"/>
        <v>0</v>
      </c>
      <c r="Q165" s="121">
        <f t="shared" si="108"/>
        <v>0.58333333333333337</v>
      </c>
      <c r="R165" s="121">
        <f t="shared" si="109"/>
        <v>0.41666666666666663</v>
      </c>
      <c r="S165" s="121" t="str">
        <f t="shared" si="110"/>
        <v/>
      </c>
      <c r="T165" s="121" t="str">
        <f t="shared" si="111"/>
        <v/>
      </c>
      <c r="U165" s="121">
        <f t="shared" si="112"/>
        <v>1.0712000000000002</v>
      </c>
    </row>
    <row r="166" spans="1:21" x14ac:dyDescent="0.3">
      <c r="A166" s="187">
        <v>34</v>
      </c>
      <c r="B166" s="242">
        <f t="shared" si="113"/>
        <v>46661</v>
      </c>
      <c r="C166" s="243">
        <f t="shared" si="94"/>
        <v>46691</v>
      </c>
      <c r="D166" s="120">
        <f t="shared" si="95"/>
        <v>31</v>
      </c>
      <c r="E166" s="120">
        <f t="shared" si="96"/>
        <v>10</v>
      </c>
      <c r="F166" s="275">
        <f t="shared" si="97"/>
        <v>46676.5</v>
      </c>
      <c r="G166" s="120">
        <f t="shared" si="98"/>
        <v>24333</v>
      </c>
      <c r="H166" s="245">
        <f t="shared" si="99"/>
        <v>1</v>
      </c>
      <c r="I166" s="121">
        <f t="shared" si="100"/>
        <v>1.0712000000000002</v>
      </c>
      <c r="J166" s="121">
        <f t="shared" si="101"/>
        <v>1.0712000000000002</v>
      </c>
      <c r="K166" s="120">
        <f t="shared" si="102"/>
        <v>0</v>
      </c>
      <c r="L166" s="120">
        <f t="shared" si="103"/>
        <v>0</v>
      </c>
      <c r="M166" s="246">
        <f t="shared" si="104"/>
        <v>0</v>
      </c>
      <c r="N166" s="121">
        <f t="shared" si="105"/>
        <v>1.0712000000000002</v>
      </c>
      <c r="O166" s="246">
        <f t="shared" si="106"/>
        <v>0.91416301969365432</v>
      </c>
      <c r="P166" s="121">
        <f t="shared" si="107"/>
        <v>0</v>
      </c>
      <c r="Q166" s="121">
        <f t="shared" si="108"/>
        <v>0.41666666666666669</v>
      </c>
      <c r="R166" s="121">
        <f t="shared" si="109"/>
        <v>0.58333333333333326</v>
      </c>
      <c r="S166" s="121" t="str">
        <f t="shared" si="110"/>
        <v/>
      </c>
      <c r="T166" s="121" t="str">
        <f t="shared" si="111"/>
        <v/>
      </c>
      <c r="U166" s="121">
        <f t="shared" si="112"/>
        <v>1.0712000000000002</v>
      </c>
    </row>
    <row r="167" spans="1:21" x14ac:dyDescent="0.3">
      <c r="A167" s="187">
        <v>35</v>
      </c>
      <c r="B167" s="242">
        <f t="shared" si="113"/>
        <v>46692</v>
      </c>
      <c r="C167" s="243">
        <f t="shared" si="94"/>
        <v>46721</v>
      </c>
      <c r="D167" s="120">
        <f t="shared" si="95"/>
        <v>30</v>
      </c>
      <c r="E167" s="120">
        <f t="shared" si="96"/>
        <v>11</v>
      </c>
      <c r="F167" s="275">
        <f t="shared" si="97"/>
        <v>46707</v>
      </c>
      <c r="G167" s="120">
        <f t="shared" si="98"/>
        <v>24334</v>
      </c>
      <c r="H167" s="245">
        <f t="shared" si="99"/>
        <v>1</v>
      </c>
      <c r="I167" s="121">
        <f t="shared" si="100"/>
        <v>1.0712000000000002</v>
      </c>
      <c r="J167" s="121">
        <f t="shared" si="101"/>
        <v>1.0712000000000002</v>
      </c>
      <c r="K167" s="120">
        <f t="shared" si="102"/>
        <v>0</v>
      </c>
      <c r="L167" s="120">
        <f t="shared" si="103"/>
        <v>0</v>
      </c>
      <c r="M167" s="246">
        <f t="shared" si="104"/>
        <v>0</v>
      </c>
      <c r="N167" s="121">
        <f t="shared" si="105"/>
        <v>1.0712000000000002</v>
      </c>
      <c r="O167" s="246">
        <f t="shared" si="106"/>
        <v>0.91449671772428887</v>
      </c>
      <c r="P167" s="121">
        <f t="shared" si="107"/>
        <v>0</v>
      </c>
      <c r="Q167" s="121">
        <f t="shared" si="108"/>
        <v>0.25</v>
      </c>
      <c r="R167" s="121">
        <f t="shared" si="109"/>
        <v>0.75</v>
      </c>
      <c r="S167" s="121" t="str">
        <f t="shared" si="110"/>
        <v/>
      </c>
      <c r="T167" s="121" t="str">
        <f t="shared" si="111"/>
        <v/>
      </c>
      <c r="U167" s="121">
        <f t="shared" si="112"/>
        <v>1.0712000000000002</v>
      </c>
    </row>
    <row r="168" spans="1:21" x14ac:dyDescent="0.3">
      <c r="A168" s="187">
        <v>36</v>
      </c>
      <c r="B168" s="242">
        <f t="shared" si="113"/>
        <v>46722</v>
      </c>
      <c r="C168" s="243">
        <f t="shared" si="94"/>
        <v>46752</v>
      </c>
      <c r="D168" s="120">
        <f t="shared" si="95"/>
        <v>31</v>
      </c>
      <c r="E168" s="120">
        <f t="shared" si="96"/>
        <v>12</v>
      </c>
      <c r="F168" s="275">
        <f t="shared" si="97"/>
        <v>46737.5</v>
      </c>
      <c r="G168" s="120">
        <f t="shared" si="98"/>
        <v>24335</v>
      </c>
      <c r="H168" s="245">
        <f t="shared" si="99"/>
        <v>1</v>
      </c>
      <c r="I168" s="121">
        <f t="shared" si="100"/>
        <v>1.0712000000000002</v>
      </c>
      <c r="J168" s="121">
        <f t="shared" si="101"/>
        <v>1.0712000000000002</v>
      </c>
      <c r="K168" s="120">
        <f t="shared" si="102"/>
        <v>0</v>
      </c>
      <c r="L168" s="120">
        <f t="shared" si="103"/>
        <v>0</v>
      </c>
      <c r="M168" s="246">
        <f t="shared" si="104"/>
        <v>0</v>
      </c>
      <c r="N168" s="121">
        <f t="shared" si="105"/>
        <v>1.0712000000000002</v>
      </c>
      <c r="O168" s="246">
        <f t="shared" si="106"/>
        <v>0.91483041575492341</v>
      </c>
      <c r="P168" s="121">
        <f t="shared" si="107"/>
        <v>0</v>
      </c>
      <c r="Q168" s="121">
        <f t="shared" si="108"/>
        <v>8.3333333333333329E-2</v>
      </c>
      <c r="R168" s="121">
        <f t="shared" si="109"/>
        <v>0.91666666666666663</v>
      </c>
      <c r="S168" s="121" t="str">
        <f t="shared" si="110"/>
        <v/>
      </c>
      <c r="T168" s="121" t="str">
        <f t="shared" si="111"/>
        <v/>
      </c>
      <c r="U168" s="121">
        <f t="shared" si="112"/>
        <v>1.0712000000000002</v>
      </c>
    </row>
    <row r="169" spans="1:21" x14ac:dyDescent="0.3">
      <c r="A169" s="187">
        <v>37</v>
      </c>
      <c r="B169" s="242">
        <f t="shared" si="113"/>
        <v>46753</v>
      </c>
      <c r="C169" s="243">
        <f t="shared" si="94"/>
        <v>46783</v>
      </c>
      <c r="D169" s="120">
        <f t="shared" si="95"/>
        <v>31</v>
      </c>
      <c r="E169" s="120">
        <f t="shared" si="96"/>
        <v>1</v>
      </c>
      <c r="F169" s="275">
        <f t="shared" si="97"/>
        <v>46768.5</v>
      </c>
      <c r="G169" s="120">
        <f t="shared" si="98"/>
        <v>24336</v>
      </c>
      <c r="H169" s="245">
        <f t="shared" si="99"/>
        <v>1</v>
      </c>
      <c r="I169" s="121">
        <f t="shared" si="100"/>
        <v>1.0712000000000002</v>
      </c>
      <c r="J169" s="121">
        <f t="shared" si="101"/>
        <v>1.0712000000000002</v>
      </c>
      <c r="K169" s="120">
        <f t="shared" si="102"/>
        <v>0</v>
      </c>
      <c r="L169" s="120">
        <f t="shared" si="103"/>
        <v>0</v>
      </c>
      <c r="M169" s="246">
        <f t="shared" si="104"/>
        <v>0</v>
      </c>
      <c r="N169" s="121">
        <f t="shared" si="105"/>
        <v>1.0712000000000002</v>
      </c>
      <c r="O169" s="246">
        <f t="shared" si="106"/>
        <v>0.91500000000000004</v>
      </c>
      <c r="P169" s="121">
        <f t="shared" si="107"/>
        <v>0</v>
      </c>
      <c r="Q169" s="121">
        <f t="shared" si="108"/>
        <v>0</v>
      </c>
      <c r="R169" s="121">
        <f t="shared" si="109"/>
        <v>1</v>
      </c>
      <c r="S169" s="121" t="str">
        <f t="shared" si="110"/>
        <v/>
      </c>
      <c r="T169" s="121" t="str">
        <f t="shared" si="111"/>
        <v/>
      </c>
      <c r="U169" s="121">
        <f t="shared" si="112"/>
        <v>1.0712000000000002</v>
      </c>
    </row>
    <row r="170" spans="1:21" x14ac:dyDescent="0.3">
      <c r="A170" s="187">
        <v>38</v>
      </c>
      <c r="B170" s="242">
        <f t="shared" si="113"/>
        <v>46784</v>
      </c>
      <c r="C170" s="243">
        <f t="shared" si="94"/>
        <v>46812</v>
      </c>
      <c r="D170" s="120">
        <f t="shared" si="95"/>
        <v>29</v>
      </c>
      <c r="E170" s="120">
        <f t="shared" si="96"/>
        <v>2</v>
      </c>
      <c r="F170" s="275">
        <f t="shared" si="97"/>
        <v>46798.5</v>
      </c>
      <c r="G170" s="120">
        <f t="shared" si="98"/>
        <v>24337</v>
      </c>
      <c r="H170" s="245">
        <f t="shared" si="99"/>
        <v>1</v>
      </c>
      <c r="I170" s="121">
        <f t="shared" si="100"/>
        <v>1.0712000000000002</v>
      </c>
      <c r="J170" s="121">
        <f t="shared" si="101"/>
        <v>1.0712000000000002</v>
      </c>
      <c r="K170" s="120">
        <f t="shared" si="102"/>
        <v>0</v>
      </c>
      <c r="L170" s="120">
        <f t="shared" si="103"/>
        <v>0</v>
      </c>
      <c r="M170" s="246">
        <f t="shared" si="104"/>
        <v>0</v>
      </c>
      <c r="N170" s="121">
        <f t="shared" si="105"/>
        <v>1.0712000000000002</v>
      </c>
      <c r="O170" s="246">
        <f t="shared" si="106"/>
        <v>0.91500000000000004</v>
      </c>
      <c r="P170" s="121">
        <f t="shared" si="107"/>
        <v>0</v>
      </c>
      <c r="Q170" s="121">
        <f t="shared" si="108"/>
        <v>0</v>
      </c>
      <c r="R170" s="121">
        <f t="shared" si="109"/>
        <v>1</v>
      </c>
      <c r="S170" s="121" t="str">
        <f t="shared" si="110"/>
        <v/>
      </c>
      <c r="T170" s="121" t="str">
        <f t="shared" si="111"/>
        <v/>
      </c>
      <c r="U170" s="121">
        <f t="shared" si="112"/>
        <v>1.0712000000000002</v>
      </c>
    </row>
    <row r="171" spans="1:21" x14ac:dyDescent="0.3">
      <c r="A171" s="187">
        <v>39</v>
      </c>
      <c r="B171" s="242">
        <f t="shared" si="113"/>
        <v>46813</v>
      </c>
      <c r="C171" s="243">
        <f t="shared" si="94"/>
        <v>46843</v>
      </c>
      <c r="D171" s="120">
        <f t="shared" si="95"/>
        <v>31</v>
      </c>
      <c r="E171" s="120">
        <f t="shared" si="96"/>
        <v>3</v>
      </c>
      <c r="F171" s="275">
        <f t="shared" si="97"/>
        <v>46828.5</v>
      </c>
      <c r="G171" s="120">
        <f t="shared" si="98"/>
        <v>24338</v>
      </c>
      <c r="H171" s="245">
        <f t="shared" si="99"/>
        <v>1</v>
      </c>
      <c r="I171" s="121">
        <f t="shared" si="100"/>
        <v>1.0712000000000002</v>
      </c>
      <c r="J171" s="121">
        <f t="shared" si="101"/>
        <v>1.0712000000000002</v>
      </c>
      <c r="K171" s="120">
        <f t="shared" si="102"/>
        <v>0</v>
      </c>
      <c r="L171" s="120">
        <f t="shared" si="103"/>
        <v>0</v>
      </c>
      <c r="M171" s="246">
        <f t="shared" si="104"/>
        <v>0</v>
      </c>
      <c r="N171" s="121">
        <f t="shared" si="105"/>
        <v>1.0712000000000002</v>
      </c>
      <c r="O171" s="246">
        <f t="shared" si="106"/>
        <v>0.91500000000000004</v>
      </c>
      <c r="P171" s="121">
        <f t="shared" si="107"/>
        <v>0</v>
      </c>
      <c r="Q171" s="121">
        <f t="shared" si="108"/>
        <v>0</v>
      </c>
      <c r="R171" s="121">
        <f t="shared" si="109"/>
        <v>1</v>
      </c>
      <c r="S171" s="121" t="str">
        <f t="shared" si="110"/>
        <v/>
      </c>
      <c r="T171" s="121" t="str">
        <f t="shared" si="111"/>
        <v/>
      </c>
      <c r="U171" s="121">
        <f t="shared" si="112"/>
        <v>1.0712000000000002</v>
      </c>
    </row>
    <row r="172" spans="1:21" x14ac:dyDescent="0.3">
      <c r="A172" s="187">
        <v>40</v>
      </c>
      <c r="B172" s="242">
        <f t="shared" si="113"/>
        <v>46844</v>
      </c>
      <c r="C172" s="243">
        <f t="shared" si="94"/>
        <v>46873</v>
      </c>
      <c r="D172" s="120">
        <f t="shared" si="95"/>
        <v>30</v>
      </c>
      <c r="E172" s="120">
        <f t="shared" si="96"/>
        <v>4</v>
      </c>
      <c r="F172" s="275">
        <f t="shared" si="97"/>
        <v>46859</v>
      </c>
      <c r="G172" s="120">
        <f t="shared" si="98"/>
        <v>24339</v>
      </c>
      <c r="H172" s="245">
        <f t="shared" si="99"/>
        <v>1</v>
      </c>
      <c r="I172" s="121">
        <f t="shared" si="100"/>
        <v>1.0712000000000002</v>
      </c>
      <c r="J172" s="121">
        <f t="shared" si="101"/>
        <v>1.0712000000000002</v>
      </c>
      <c r="K172" s="120">
        <f t="shared" si="102"/>
        <v>0</v>
      </c>
      <c r="L172" s="120">
        <f t="shared" si="103"/>
        <v>0</v>
      </c>
      <c r="M172" s="246">
        <f t="shared" si="104"/>
        <v>0</v>
      </c>
      <c r="N172" s="121">
        <f t="shared" si="105"/>
        <v>1.0712000000000002</v>
      </c>
      <c r="O172" s="246">
        <f t="shared" si="106"/>
        <v>0.91500000000000004</v>
      </c>
      <c r="P172" s="121">
        <f t="shared" si="107"/>
        <v>0</v>
      </c>
      <c r="Q172" s="121">
        <f t="shared" si="108"/>
        <v>0</v>
      </c>
      <c r="R172" s="121">
        <f t="shared" si="109"/>
        <v>1</v>
      </c>
      <c r="S172" s="121" t="str">
        <f t="shared" si="110"/>
        <v/>
      </c>
      <c r="T172" s="121" t="str">
        <f t="shared" si="111"/>
        <v/>
      </c>
      <c r="U172" s="121">
        <f t="shared" si="112"/>
        <v>1.0712000000000002</v>
      </c>
    </row>
    <row r="173" spans="1:21" x14ac:dyDescent="0.3">
      <c r="A173" s="187">
        <v>41</v>
      </c>
      <c r="B173" s="242">
        <f t="shared" si="113"/>
        <v>46874</v>
      </c>
      <c r="C173" s="243">
        <f t="shared" si="94"/>
        <v>46904</v>
      </c>
      <c r="D173" s="120">
        <f t="shared" si="95"/>
        <v>31</v>
      </c>
      <c r="E173" s="120">
        <f t="shared" si="96"/>
        <v>5</v>
      </c>
      <c r="F173" s="275">
        <f t="shared" si="97"/>
        <v>46889.5</v>
      </c>
      <c r="G173" s="120">
        <f t="shared" si="98"/>
        <v>24340</v>
      </c>
      <c r="H173" s="245">
        <f t="shared" si="99"/>
        <v>1</v>
      </c>
      <c r="I173" s="121">
        <f t="shared" si="100"/>
        <v>1.0712000000000002</v>
      </c>
      <c r="J173" s="121">
        <f t="shared" si="101"/>
        <v>1.0712000000000002</v>
      </c>
      <c r="K173" s="120">
        <f t="shared" si="102"/>
        <v>0</v>
      </c>
      <c r="L173" s="120">
        <f t="shared" si="103"/>
        <v>0</v>
      </c>
      <c r="M173" s="246">
        <f t="shared" si="104"/>
        <v>0</v>
      </c>
      <c r="N173" s="121">
        <f t="shared" si="105"/>
        <v>1.0712000000000002</v>
      </c>
      <c r="O173" s="246">
        <f t="shared" si="106"/>
        <v>0.91500000000000004</v>
      </c>
      <c r="P173" s="121">
        <f t="shared" si="107"/>
        <v>0</v>
      </c>
      <c r="Q173" s="121">
        <f t="shared" si="108"/>
        <v>0</v>
      </c>
      <c r="R173" s="121">
        <f t="shared" si="109"/>
        <v>1</v>
      </c>
      <c r="S173" s="121" t="str">
        <f t="shared" si="110"/>
        <v/>
      </c>
      <c r="T173" s="121" t="str">
        <f t="shared" si="111"/>
        <v/>
      </c>
      <c r="U173" s="121">
        <f t="shared" si="112"/>
        <v>1.0712000000000002</v>
      </c>
    </row>
    <row r="174" spans="1:21" x14ac:dyDescent="0.3">
      <c r="A174" s="187">
        <v>42</v>
      </c>
      <c r="B174" s="242">
        <f t="shared" si="113"/>
        <v>46905</v>
      </c>
      <c r="C174" s="243">
        <f t="shared" si="94"/>
        <v>46934</v>
      </c>
      <c r="D174" s="120">
        <f t="shared" si="95"/>
        <v>30</v>
      </c>
      <c r="E174" s="120">
        <f t="shared" si="96"/>
        <v>6</v>
      </c>
      <c r="F174" s="275">
        <f t="shared" si="97"/>
        <v>46920</v>
      </c>
      <c r="G174" s="120">
        <f t="shared" si="98"/>
        <v>24341</v>
      </c>
      <c r="H174" s="245">
        <f t="shared" si="99"/>
        <v>1</v>
      </c>
      <c r="I174" s="121">
        <f t="shared" si="100"/>
        <v>1.0712000000000002</v>
      </c>
      <c r="J174" s="121">
        <f t="shared" si="101"/>
        <v>1.0712000000000002</v>
      </c>
      <c r="K174" s="120">
        <f t="shared" si="102"/>
        <v>0</v>
      </c>
      <c r="L174" s="120">
        <f t="shared" si="103"/>
        <v>0</v>
      </c>
      <c r="M174" s="246">
        <f t="shared" si="104"/>
        <v>0</v>
      </c>
      <c r="N174" s="121">
        <f t="shared" si="105"/>
        <v>1.0712000000000002</v>
      </c>
      <c r="O174" s="246">
        <f t="shared" si="106"/>
        <v>0.91500000000000004</v>
      </c>
      <c r="P174" s="121">
        <f t="shared" si="107"/>
        <v>0</v>
      </c>
      <c r="Q174" s="121">
        <f t="shared" si="108"/>
        <v>0</v>
      </c>
      <c r="R174" s="121">
        <f t="shared" si="109"/>
        <v>1</v>
      </c>
      <c r="S174" s="121" t="str">
        <f t="shared" si="110"/>
        <v/>
      </c>
      <c r="T174" s="121" t="str">
        <f t="shared" si="111"/>
        <v/>
      </c>
      <c r="U174" s="121">
        <f t="shared" si="112"/>
        <v>1.0712000000000002</v>
      </c>
    </row>
    <row r="175" spans="1:21" x14ac:dyDescent="0.3">
      <c r="A175" s="187">
        <v>43</v>
      </c>
      <c r="B175" s="242">
        <f t="shared" si="113"/>
        <v>46935</v>
      </c>
      <c r="C175" s="243">
        <f t="shared" si="94"/>
        <v>46965</v>
      </c>
      <c r="D175" s="120">
        <f t="shared" si="95"/>
        <v>31</v>
      </c>
      <c r="E175" s="120">
        <f t="shared" si="96"/>
        <v>7</v>
      </c>
      <c r="F175" s="275">
        <f t="shared" si="97"/>
        <v>46950.5</v>
      </c>
      <c r="G175" s="120">
        <f t="shared" si="98"/>
        <v>24342</v>
      </c>
      <c r="H175" s="245">
        <f t="shared" si="99"/>
        <v>1</v>
      </c>
      <c r="I175" s="121">
        <f t="shared" si="100"/>
        <v>1.0712000000000002</v>
      </c>
      <c r="J175" s="121">
        <f t="shared" si="101"/>
        <v>1.0712000000000002</v>
      </c>
      <c r="K175" s="120">
        <f t="shared" si="102"/>
        <v>0</v>
      </c>
      <c r="L175" s="120">
        <f t="shared" si="103"/>
        <v>0</v>
      </c>
      <c r="M175" s="246">
        <f t="shared" si="104"/>
        <v>0</v>
      </c>
      <c r="N175" s="121">
        <f t="shared" si="105"/>
        <v>1.0712000000000002</v>
      </c>
      <c r="O175" s="246">
        <f t="shared" si="106"/>
        <v>0.91500000000000004</v>
      </c>
      <c r="P175" s="121">
        <f t="shared" si="107"/>
        <v>0</v>
      </c>
      <c r="Q175" s="121">
        <f t="shared" si="108"/>
        <v>0</v>
      </c>
      <c r="R175" s="121">
        <f t="shared" si="109"/>
        <v>0.91666666666666663</v>
      </c>
      <c r="S175" s="121" t="str">
        <f t="shared" si="110"/>
        <v/>
      </c>
      <c r="T175" s="121" t="str">
        <f t="shared" si="111"/>
        <v/>
      </c>
      <c r="U175" s="121">
        <f t="shared" si="112"/>
        <v>1.0712000000000002</v>
      </c>
    </row>
    <row r="176" spans="1:21" x14ac:dyDescent="0.3">
      <c r="A176" s="187">
        <v>44</v>
      </c>
      <c r="B176" s="242">
        <f t="shared" si="113"/>
        <v>46966</v>
      </c>
      <c r="C176" s="243">
        <f t="shared" si="94"/>
        <v>46996</v>
      </c>
      <c r="D176" s="120">
        <f t="shared" si="95"/>
        <v>31</v>
      </c>
      <c r="E176" s="120">
        <f t="shared" si="96"/>
        <v>8</v>
      </c>
      <c r="F176" s="275">
        <f t="shared" si="97"/>
        <v>46981.5</v>
      </c>
      <c r="G176" s="120">
        <f t="shared" si="98"/>
        <v>24343</v>
      </c>
      <c r="H176" s="245">
        <f t="shared" si="99"/>
        <v>1</v>
      </c>
      <c r="I176" s="121">
        <f t="shared" si="100"/>
        <v>1.0712000000000002</v>
      </c>
      <c r="J176" s="121">
        <f t="shared" si="101"/>
        <v>1.0712000000000002</v>
      </c>
      <c r="K176" s="120">
        <f t="shared" si="102"/>
        <v>0</v>
      </c>
      <c r="L176" s="120">
        <f t="shared" si="103"/>
        <v>0</v>
      </c>
      <c r="M176" s="246">
        <f t="shared" si="104"/>
        <v>0</v>
      </c>
      <c r="N176" s="121">
        <f t="shared" si="105"/>
        <v>1.0712000000000002</v>
      </c>
      <c r="O176" s="246">
        <f t="shared" si="106"/>
        <v>0.91500000000000004</v>
      </c>
      <c r="P176" s="121">
        <f t="shared" si="107"/>
        <v>0</v>
      </c>
      <c r="Q176" s="121">
        <f t="shared" si="108"/>
        <v>0</v>
      </c>
      <c r="R176" s="121">
        <f t="shared" si="109"/>
        <v>0.75</v>
      </c>
      <c r="S176" s="121" t="str">
        <f t="shared" si="110"/>
        <v/>
      </c>
      <c r="T176" s="121" t="str">
        <f t="shared" si="111"/>
        <v/>
      </c>
      <c r="U176" s="121">
        <f t="shared" si="112"/>
        <v>1.0712000000000002</v>
      </c>
    </row>
    <row r="177" spans="1:21" x14ac:dyDescent="0.3">
      <c r="A177" s="187">
        <v>45</v>
      </c>
      <c r="B177" s="242">
        <f t="shared" si="113"/>
        <v>46997</v>
      </c>
      <c r="C177" s="243">
        <f t="shared" si="94"/>
        <v>47026</v>
      </c>
      <c r="D177" s="120">
        <f t="shared" si="95"/>
        <v>30</v>
      </c>
      <c r="E177" s="120">
        <f t="shared" si="96"/>
        <v>9</v>
      </c>
      <c r="F177" s="275">
        <f t="shared" si="97"/>
        <v>47012</v>
      </c>
      <c r="G177" s="120">
        <f t="shared" si="98"/>
        <v>24344</v>
      </c>
      <c r="H177" s="245">
        <f t="shared" si="99"/>
        <v>1</v>
      </c>
      <c r="I177" s="121">
        <f t="shared" si="100"/>
        <v>1.0712000000000002</v>
      </c>
      <c r="J177" s="121">
        <f t="shared" si="101"/>
        <v>1.0712000000000002</v>
      </c>
      <c r="K177" s="120">
        <f t="shared" si="102"/>
        <v>0</v>
      </c>
      <c r="L177" s="120">
        <f t="shared" si="103"/>
        <v>0</v>
      </c>
      <c r="M177" s="246">
        <f t="shared" si="104"/>
        <v>0</v>
      </c>
      <c r="N177" s="121">
        <f t="shared" si="105"/>
        <v>1.0712000000000002</v>
      </c>
      <c r="O177" s="246">
        <f t="shared" si="106"/>
        <v>0.91500000000000004</v>
      </c>
      <c r="P177" s="121">
        <f t="shared" si="107"/>
        <v>0</v>
      </c>
      <c r="Q177" s="121">
        <f t="shared" si="108"/>
        <v>0</v>
      </c>
      <c r="R177" s="121">
        <f t="shared" si="109"/>
        <v>0.58333333333333337</v>
      </c>
      <c r="S177" s="121" t="str">
        <f t="shared" si="110"/>
        <v/>
      </c>
      <c r="T177" s="121" t="str">
        <f t="shared" si="111"/>
        <v/>
      </c>
      <c r="U177" s="121">
        <f t="shared" si="112"/>
        <v>1.0712000000000002</v>
      </c>
    </row>
    <row r="178" spans="1:21" x14ac:dyDescent="0.3">
      <c r="A178" s="187">
        <v>46</v>
      </c>
      <c r="B178" s="242">
        <f t="shared" si="113"/>
        <v>47027</v>
      </c>
      <c r="C178" s="243">
        <f t="shared" si="94"/>
        <v>47057</v>
      </c>
      <c r="D178" s="120">
        <f t="shared" si="95"/>
        <v>31</v>
      </c>
      <c r="E178" s="120">
        <f t="shared" si="96"/>
        <v>10</v>
      </c>
      <c r="F178" s="275">
        <f t="shared" si="97"/>
        <v>47042.5</v>
      </c>
      <c r="G178" s="120">
        <f t="shared" si="98"/>
        <v>24345</v>
      </c>
      <c r="H178" s="245">
        <f t="shared" si="99"/>
        <v>1</v>
      </c>
      <c r="I178" s="121">
        <f t="shared" si="100"/>
        <v>1.0712000000000002</v>
      </c>
      <c r="J178" s="121">
        <f t="shared" si="101"/>
        <v>1.0712000000000002</v>
      </c>
      <c r="K178" s="120">
        <f t="shared" si="102"/>
        <v>0</v>
      </c>
      <c r="L178" s="120">
        <f t="shared" si="103"/>
        <v>0</v>
      </c>
      <c r="M178" s="246">
        <f t="shared" si="104"/>
        <v>0</v>
      </c>
      <c r="N178" s="121">
        <f t="shared" si="105"/>
        <v>1.0712000000000002</v>
      </c>
      <c r="O178" s="246">
        <f t="shared" si="106"/>
        <v>0.91500000000000004</v>
      </c>
      <c r="P178" s="121">
        <f t="shared" si="107"/>
        <v>0</v>
      </c>
      <c r="Q178" s="121">
        <f t="shared" si="108"/>
        <v>0</v>
      </c>
      <c r="R178" s="121">
        <f t="shared" si="109"/>
        <v>0.41666666666666669</v>
      </c>
      <c r="S178" s="121" t="str">
        <f t="shared" si="110"/>
        <v/>
      </c>
      <c r="T178" s="121" t="str">
        <f t="shared" si="111"/>
        <v/>
      </c>
      <c r="U178" s="121">
        <f t="shared" si="112"/>
        <v>1.0712000000000002</v>
      </c>
    </row>
    <row r="179" spans="1:21" x14ac:dyDescent="0.3">
      <c r="A179" s="187">
        <v>47</v>
      </c>
      <c r="B179" s="242">
        <f t="shared" si="113"/>
        <v>47058</v>
      </c>
      <c r="C179" s="243">
        <f t="shared" si="94"/>
        <v>47087</v>
      </c>
      <c r="D179" s="120">
        <f t="shared" si="95"/>
        <v>30</v>
      </c>
      <c r="E179" s="120">
        <f t="shared" si="96"/>
        <v>11</v>
      </c>
      <c r="F179" s="275">
        <f t="shared" si="97"/>
        <v>47073</v>
      </c>
      <c r="G179" s="120">
        <f t="shared" si="98"/>
        <v>24346</v>
      </c>
      <c r="H179" s="245">
        <f t="shared" si="99"/>
        <v>1</v>
      </c>
      <c r="I179" s="121">
        <f t="shared" si="100"/>
        <v>1.0712000000000002</v>
      </c>
      <c r="J179" s="121">
        <f t="shared" si="101"/>
        <v>1.0712000000000002</v>
      </c>
      <c r="K179" s="120">
        <f t="shared" si="102"/>
        <v>0</v>
      </c>
      <c r="L179" s="120">
        <f t="shared" si="103"/>
        <v>0</v>
      </c>
      <c r="M179" s="246">
        <f t="shared" si="104"/>
        <v>0</v>
      </c>
      <c r="N179" s="121">
        <f t="shared" si="105"/>
        <v>1.0712000000000002</v>
      </c>
      <c r="O179" s="246">
        <f t="shared" si="106"/>
        <v>0.91500000000000004</v>
      </c>
      <c r="P179" s="121">
        <f t="shared" si="107"/>
        <v>0</v>
      </c>
      <c r="Q179" s="121">
        <f t="shared" si="108"/>
        <v>0</v>
      </c>
      <c r="R179" s="121">
        <f t="shared" si="109"/>
        <v>0.25</v>
      </c>
      <c r="S179" s="121" t="str">
        <f t="shared" si="110"/>
        <v/>
      </c>
      <c r="T179" s="121" t="str">
        <f t="shared" si="111"/>
        <v/>
      </c>
      <c r="U179" s="121">
        <f t="shared" si="112"/>
        <v>1.0712000000000002</v>
      </c>
    </row>
    <row r="180" spans="1:21" x14ac:dyDescent="0.3">
      <c r="A180" s="187">
        <v>48</v>
      </c>
      <c r="B180" s="242">
        <f t="shared" si="113"/>
        <v>47088</v>
      </c>
      <c r="C180" s="243">
        <f t="shared" si="94"/>
        <v>47118</v>
      </c>
      <c r="D180" s="120">
        <f t="shared" si="95"/>
        <v>31</v>
      </c>
      <c r="E180" s="120">
        <f t="shared" si="96"/>
        <v>12</v>
      </c>
      <c r="F180" s="275">
        <f t="shared" si="97"/>
        <v>47103.5</v>
      </c>
      <c r="G180" s="120">
        <f t="shared" si="98"/>
        <v>24347</v>
      </c>
      <c r="H180" s="245">
        <f t="shared" si="99"/>
        <v>1</v>
      </c>
      <c r="I180" s="121">
        <f t="shared" si="100"/>
        <v>1.0712000000000002</v>
      </c>
      <c r="J180" s="121">
        <f t="shared" si="101"/>
        <v>1.0712000000000002</v>
      </c>
      <c r="K180" s="120">
        <f t="shared" si="102"/>
        <v>0</v>
      </c>
      <c r="L180" s="120">
        <f t="shared" si="103"/>
        <v>0</v>
      </c>
      <c r="M180" s="246">
        <f t="shared" si="104"/>
        <v>0</v>
      </c>
      <c r="N180" s="121">
        <f t="shared" si="105"/>
        <v>1.0712000000000002</v>
      </c>
      <c r="O180" s="246">
        <f t="shared" si="106"/>
        <v>0.91500000000000004</v>
      </c>
      <c r="P180" s="121">
        <f t="shared" si="107"/>
        <v>0</v>
      </c>
      <c r="Q180" s="121">
        <f t="shared" si="108"/>
        <v>0</v>
      </c>
      <c r="R180" s="121">
        <f t="shared" si="109"/>
        <v>8.3333333333333329E-2</v>
      </c>
      <c r="S180" s="121" t="str">
        <f t="shared" si="110"/>
        <v/>
      </c>
      <c r="T180" s="121" t="str">
        <f t="shared" si="111"/>
        <v/>
      </c>
      <c r="U180" s="121">
        <f t="shared" si="112"/>
        <v>1.0712000000000002</v>
      </c>
    </row>
    <row r="181" spans="1:21" x14ac:dyDescent="0.3">
      <c r="A181" s="6" t="s">
        <v>1651</v>
      </c>
      <c r="B181" s="73">
        <f>EXP(SUMPRODUCT((rl_key=$A$130)*(rl_cons="Y")*rl_ln1p))</f>
        <v>1.03</v>
      </c>
      <c r="C181" s="73">
        <f>SUMPRODUCT($H$133:$H$180,$P$133:$P$180,$U$133:$U$180)/SUMPRODUCT($H$133:$H$180,$P$133:$P$180)</f>
        <v>1.0199999999999998</v>
      </c>
      <c r="D181" s="73">
        <f>SUMPRODUCT($H$133:$H$180,$Q$133:$Q$180,$U$133:$U$180)/SUMPRODUCT($H$133:$H$180,$Q$133:$Q$180)</f>
        <v>1.057466666666667</v>
      </c>
      <c r="E181" s="73">
        <f>SUMPRODUCT($H$133:$H$180,$R$133:$R$180,$U$133:$U$180)/SUMPRODUCT($H$133:$H$180,$R$133:$R$180)</f>
        <v>1.0712000000000004</v>
      </c>
      <c r="F181" s="224">
        <f>SUMPRODUCT($H$133:$H$180,$Q$133:$Q$180,$O$133:$O$180)/SUMPRODUCT($H$133:$H$180,$Q$133:$Q$180)</f>
        <v>0.91199626185266247</v>
      </c>
      <c r="G181" s="224">
        <f>SUMPRODUCT($H$133:$H$180,$R$133:$R$180,$O$133:$O$180)/SUMPRODUCT($H$133:$H$180,$R$133:$R$180)</f>
        <v>0.91483011184050556</v>
      </c>
      <c r="H181" s="73">
        <f>SUMPRODUCT($H$157:$H$168,$N$157:$N$168/$N$145:$N$156)/SUM($H$157:$H$168)</f>
        <v>1.0391666666666666</v>
      </c>
      <c r="I181" s="73">
        <f>SUMPRODUCT($H$157:$H$168,$O$157:$O$168/$O$145:$O$156)/SUM($H$157:$H$168)</f>
        <v>1.0043932196204437</v>
      </c>
      <c r="J181" s="73">
        <f>IF($O$130=1,SUMPRODUCT($H$157:$H$168,$N$157:$N$168/$N$145:$N$156*$O$157:$O$168/$O$145:$O$156)/SUM($H$157:$H$168),$H181)</f>
        <v>1.0437319467228461</v>
      </c>
      <c r="K181" s="73">
        <f>SUMPRODUCT($H$133:$H$180,$Q$133:$Q$180,$N$133:$N$180)/SUMPRODUCT($H$133:$H$180,$Q$133:$Q$180)</f>
        <v>1.057466666666667</v>
      </c>
      <c r="L181" s="73">
        <f>SUMPRODUCT($H$133:$H$180,$R$133:$R$180,$N$133:$N$180)/SUMPRODUCT($H$133:$H$180,$R$133:$R$180)</f>
        <v>1.0712000000000004</v>
      </c>
    </row>
    <row r="184" spans="1:21" x14ac:dyDescent="0.3">
      <c r="A184" s="6" t="str">
        <f>INDEX(lr_key,3)</f>
        <v>ABD|DE</v>
      </c>
      <c r="B184" s="6" t="str">
        <f>INDEX(lr_state,3)</f>
        <v>DE</v>
      </c>
      <c r="C184" s="75">
        <f>nr_TermMonths</f>
        <v>6</v>
      </c>
      <c r="D184" s="75">
        <f>IF(COUNTIF(se_state,$B184)=0,0,MATCH($B184,se_state,0))</f>
        <v>0</v>
      </c>
      <c r="E184" s="70">
        <f>IF($D184=0,0,INDEX(se_sum,$D184))</f>
        <v>0</v>
      </c>
      <c r="F184" s="224">
        <f>IF(N(INDEX(lr_mind,3))=0,1,INDEX(lr_mind,3))</f>
        <v>0.92</v>
      </c>
      <c r="G184" s="224">
        <f>IF(N(INDEX(lr_m0,3))=0,1,INDEX(lr_m0,3))</f>
        <v>0.91</v>
      </c>
      <c r="H184" s="74">
        <f>IF(N(INDEX(lr_m0asof,3))=0,DATE(nr_PlanYear-1,10,1),INDEX(lr_m0asof,3))</f>
        <v>46295</v>
      </c>
      <c r="I184" s="224">
        <f>IF(N(INDEX(lr_m1,3))=0,1,INDEX(lr_m1,3))</f>
        <v>0.93</v>
      </c>
      <c r="J184" s="224">
        <f>INDEX(lr_mprior,3)</f>
        <v>0</v>
      </c>
      <c r="K184" s="224">
        <f>INDEX(lr_m2,3)</f>
        <v>0</v>
      </c>
      <c r="L184" s="6" t="b">
        <f>NOT(ISBLANK(INDEX(lr_netp,3)))</f>
        <v>0</v>
      </c>
      <c r="M184" s="72">
        <f>N(INDEX(lr_netp,3))</f>
        <v>0</v>
      </c>
      <c r="N184" s="72">
        <f>IF(ISBLANK(INDEX(lr_netp1,3)),$M$184,N(INDEX(lr_netp1,3)))</f>
        <v>0</v>
      </c>
      <c r="O184" s="75">
        <f>IF(AND(nr_ModAdjMaster="ON",INDEX(lr_modadj,3)="ON"),1,0)</f>
        <v>1</v>
      </c>
    </row>
    <row r="185" spans="1:21" x14ac:dyDescent="0.3">
      <c r="A185" s="6">
        <f>EDATE($H$184,-12)+1</f>
        <v>45931</v>
      </c>
      <c r="B185" s="6">
        <f>$H$184+1</f>
        <v>46296</v>
      </c>
      <c r="C185" s="6">
        <f>DATE(nr_PlanYear,12,31)+1</f>
        <v>46753</v>
      </c>
      <c r="D185" s="6">
        <f>DATE(nr_PlanYear+1,12,31)+1</f>
        <v>47119</v>
      </c>
      <c r="E185" s="6">
        <f>IF(N($J$184)=0,$F$185-($G$185-$F$185)/($C$185-$B$185)*($B$185-$A$185),$J$184)</f>
        <v>0.89402625820568926</v>
      </c>
      <c r="F185" s="6">
        <f>$G$184</f>
        <v>0.91</v>
      </c>
      <c r="G185" s="6">
        <f>$I$184</f>
        <v>0.93</v>
      </c>
      <c r="H185" s="6">
        <f>IF(N($K$184)=0,$I$184,$K$184)</f>
        <v>0.93</v>
      </c>
      <c r="I185" s="6">
        <f>($F$185-$E$185)/($B$185-$A$185)</f>
        <v>4.3763676148796628E-5</v>
      </c>
      <c r="J185" s="6">
        <f>($G$185-$F$185)/($C$185-$B$185)</f>
        <v>4.376367614879654E-5</v>
      </c>
      <c r="K185" s="6">
        <f>($H$185-$G$185)/($D$185-$C$185)</f>
        <v>0</v>
      </c>
    </row>
    <row r="186" spans="1:21" ht="36" x14ac:dyDescent="0.3">
      <c r="A186" s="58" t="s">
        <v>390</v>
      </c>
      <c r="B186" s="58" t="s">
        <v>449</v>
      </c>
      <c r="C186" s="58" t="s">
        <v>685</v>
      </c>
      <c r="D186" s="58" t="s">
        <v>686</v>
      </c>
      <c r="E186" s="58" t="s">
        <v>687</v>
      </c>
      <c r="F186" s="58" t="s">
        <v>688</v>
      </c>
      <c r="G186" s="58" t="s">
        <v>689</v>
      </c>
      <c r="H186" s="58" t="s">
        <v>452</v>
      </c>
      <c r="I186" s="58" t="s">
        <v>690</v>
      </c>
      <c r="J186" s="58" t="s">
        <v>691</v>
      </c>
      <c r="K186" s="58" t="s">
        <v>692</v>
      </c>
      <c r="L186" s="58" t="s">
        <v>693</v>
      </c>
      <c r="M186" s="58" t="s">
        <v>694</v>
      </c>
      <c r="N186" s="58" t="s">
        <v>695</v>
      </c>
      <c r="O186" s="58" t="s">
        <v>696</v>
      </c>
      <c r="P186" s="58" t="s">
        <v>697</v>
      </c>
      <c r="Q186" s="58" t="s">
        <v>698</v>
      </c>
      <c r="R186" s="58" t="s">
        <v>699</v>
      </c>
      <c r="S186" s="58" t="s">
        <v>700</v>
      </c>
      <c r="T186" s="58" t="s">
        <v>701</v>
      </c>
      <c r="U186" s="58" t="s">
        <v>702</v>
      </c>
    </row>
    <row r="187" spans="1:21" x14ac:dyDescent="0.3">
      <c r="A187" s="187">
        <v>1</v>
      </c>
      <c r="B187" s="242">
        <f>DATE(nr_PlanYear-2,1,1)</f>
        <v>45658</v>
      </c>
      <c r="C187" s="243">
        <f t="shared" ref="C187:C234" si="114">EOMONTH($B187,0)</f>
        <v>45688</v>
      </c>
      <c r="D187" s="120">
        <f t="shared" ref="D187:D234" si="115">$C187-$B187+1</f>
        <v>31</v>
      </c>
      <c r="E187" s="120">
        <f t="shared" ref="E187:E234" si="116">MONTH($B187)</f>
        <v>1</v>
      </c>
      <c r="F187" s="275">
        <f t="shared" ref="F187:F234" si="117">($B187+$C187+1)/2</f>
        <v>45673.5</v>
      </c>
      <c r="G187" s="120">
        <f t="shared" ref="G187:G234" si="118">YEAR($B187)*12+MONTH($B187)-1</f>
        <v>24300</v>
      </c>
      <c r="H187" s="245">
        <f t="shared" ref="H187:H234" si="119">IF(OR(nr_SeasonOn="OFF",$D$184=0,$E$184=0),1,12*INDEX(se_block,$D$184,$E187)/$E$184)</f>
        <v>1</v>
      </c>
      <c r="I187" s="121">
        <f t="shared" ref="I187:I234" si="120">EXP(SUMPRODUCT((rl_eff&lt;$B187)*(rl_key=$A$184)*rl_ln1p))</f>
        <v>1</v>
      </c>
      <c r="J187" s="121">
        <f t="shared" ref="J187:J234" si="121">EXP(SUMPRODUCT((rl_eff&lt;=$C187)*(rl_key=$A$184)*rl_ln1p))</f>
        <v>1</v>
      </c>
      <c r="K187" s="120">
        <f t="shared" ref="K187:K234" si="122">COUNTIFS(rl_key,$A$184,rl_eff,"&gt;="&amp;$B187,rl_eff,"&lt;="&amp;$C187)</f>
        <v>0</v>
      </c>
      <c r="L187" s="120">
        <f t="shared" ref="L187:L234" si="123">SUMIFS(rl_daysafter,rl_key,$A$184,rl_effmonth,$B187,rl_first,1)</f>
        <v>0</v>
      </c>
      <c r="M187" s="246">
        <f t="shared" ref="M187:M234" si="124">IF($K187=0,0,MIN(1,$L187/$D187))</f>
        <v>0</v>
      </c>
      <c r="N187" s="121">
        <f t="shared" ref="N187:N234" si="125">IF($K187=0,$J187,(1-$M187)*$I187+$M187*$J187)</f>
        <v>1</v>
      </c>
      <c r="O187" s="246">
        <f t="shared" ref="O187:O234" si="126">IF($F187&lt;$B$185,$E$185+$I$185*($F187-$A$185),IF($F187&lt;$C$185,$F$185+$J$185*($F187-$B$185),$G$185+$K$185*($F187-$C$185)))</f>
        <v>0.88275711159737413</v>
      </c>
      <c r="P187" s="121">
        <f t="shared" ref="P187:P234" si="127">MIN(1,MAX(0,(nr_MEndPm1-$G187+0.5)/$C$184))-MIN(1,MAX(0,(nr_MStartPm1-1-$G187+0.5)/$C$184))</f>
        <v>0</v>
      </c>
      <c r="Q187" s="121">
        <f t="shared" ref="Q187:Q234" si="128">MIN(1,MAX(0,(nr_MEndP-$G187+0.5)/$C$184))-MIN(1,MAX(0,(nr_MStartP-1-$G187+0.5)/$C$184))</f>
        <v>0</v>
      </c>
      <c r="R187" s="121">
        <f t="shared" ref="R187:R234" si="129">MIN(1,MAX(0,(nr_MEndP1-$G187+0.5)/$C$184))-MIN(1,MAX(0,(nr_MStartP1-1-$G187+0.5)/$C$184))</f>
        <v>0</v>
      </c>
      <c r="S187" s="121" t="str">
        <f t="shared" ref="S187:S234" si="130">IF($L$184,$N187*IF($O$184=1,$O187/$F$184,1),"")</f>
        <v/>
      </c>
      <c r="T187" s="121" t="str">
        <f t="shared" ref="T187:T234" si="131">IF(NOT($L$184),"",IF($G187&lt;nr_MStartP,$S187,$T175*(1+IF($G187&lt;nr_MStartP1,$M$184,$N$184))))</f>
        <v/>
      </c>
      <c r="U187" s="121">
        <f t="shared" ref="U187:U234" si="132">IF($L$184,$T187,$N187)</f>
        <v>1</v>
      </c>
    </row>
    <row r="188" spans="1:21" x14ac:dyDescent="0.3">
      <c r="A188" s="187">
        <v>2</v>
      </c>
      <c r="B188" s="242">
        <f t="shared" ref="B188:B234" si="133">EDATE($B187,1)</f>
        <v>45689</v>
      </c>
      <c r="C188" s="243">
        <f t="shared" si="114"/>
        <v>45716</v>
      </c>
      <c r="D188" s="120">
        <f t="shared" si="115"/>
        <v>28</v>
      </c>
      <c r="E188" s="120">
        <f t="shared" si="116"/>
        <v>2</v>
      </c>
      <c r="F188" s="275">
        <f t="shared" si="117"/>
        <v>45703</v>
      </c>
      <c r="G188" s="120">
        <f t="shared" si="118"/>
        <v>24301</v>
      </c>
      <c r="H188" s="245">
        <f t="shared" si="119"/>
        <v>1</v>
      </c>
      <c r="I188" s="121">
        <f t="shared" si="120"/>
        <v>1</v>
      </c>
      <c r="J188" s="121">
        <f t="shared" si="121"/>
        <v>1</v>
      </c>
      <c r="K188" s="120">
        <f t="shared" si="122"/>
        <v>0</v>
      </c>
      <c r="L188" s="120">
        <f t="shared" si="123"/>
        <v>0</v>
      </c>
      <c r="M188" s="246">
        <f t="shared" si="124"/>
        <v>0</v>
      </c>
      <c r="N188" s="121">
        <f t="shared" si="125"/>
        <v>1</v>
      </c>
      <c r="O188" s="246">
        <f t="shared" si="126"/>
        <v>0.88404814004376364</v>
      </c>
      <c r="P188" s="121">
        <f t="shared" si="127"/>
        <v>0</v>
      </c>
      <c r="Q188" s="121">
        <f t="shared" si="128"/>
        <v>0</v>
      </c>
      <c r="R188" s="121">
        <f t="shared" si="129"/>
        <v>0</v>
      </c>
      <c r="S188" s="121" t="str">
        <f t="shared" si="130"/>
        <v/>
      </c>
      <c r="T188" s="121" t="str">
        <f t="shared" si="131"/>
        <v/>
      </c>
      <c r="U188" s="121">
        <f t="shared" si="132"/>
        <v>1</v>
      </c>
    </row>
    <row r="189" spans="1:21" x14ac:dyDescent="0.3">
      <c r="A189" s="187">
        <v>3</v>
      </c>
      <c r="B189" s="242">
        <f t="shared" si="133"/>
        <v>45717</v>
      </c>
      <c r="C189" s="243">
        <f t="shared" si="114"/>
        <v>45747</v>
      </c>
      <c r="D189" s="120">
        <f t="shared" si="115"/>
        <v>31</v>
      </c>
      <c r="E189" s="120">
        <f t="shared" si="116"/>
        <v>3</v>
      </c>
      <c r="F189" s="275">
        <f t="shared" si="117"/>
        <v>45732.5</v>
      </c>
      <c r="G189" s="120">
        <f t="shared" si="118"/>
        <v>24302</v>
      </c>
      <c r="H189" s="245">
        <f t="shared" si="119"/>
        <v>1</v>
      </c>
      <c r="I189" s="121">
        <f t="shared" si="120"/>
        <v>1</v>
      </c>
      <c r="J189" s="121">
        <f t="shared" si="121"/>
        <v>1</v>
      </c>
      <c r="K189" s="120">
        <f t="shared" si="122"/>
        <v>0</v>
      </c>
      <c r="L189" s="120">
        <f t="shared" si="123"/>
        <v>0</v>
      </c>
      <c r="M189" s="246">
        <f t="shared" si="124"/>
        <v>0</v>
      </c>
      <c r="N189" s="121">
        <f t="shared" si="125"/>
        <v>1</v>
      </c>
      <c r="O189" s="246">
        <f t="shared" si="126"/>
        <v>0.88533916849015315</v>
      </c>
      <c r="P189" s="121">
        <f t="shared" si="127"/>
        <v>0</v>
      </c>
      <c r="Q189" s="121">
        <f t="shared" si="128"/>
        <v>0</v>
      </c>
      <c r="R189" s="121">
        <f t="shared" si="129"/>
        <v>0</v>
      </c>
      <c r="S189" s="121" t="str">
        <f t="shared" si="130"/>
        <v/>
      </c>
      <c r="T189" s="121" t="str">
        <f t="shared" si="131"/>
        <v/>
      </c>
      <c r="U189" s="121">
        <f t="shared" si="132"/>
        <v>1</v>
      </c>
    </row>
    <row r="190" spans="1:21" x14ac:dyDescent="0.3">
      <c r="A190" s="187">
        <v>4</v>
      </c>
      <c r="B190" s="242">
        <f t="shared" si="133"/>
        <v>45748</v>
      </c>
      <c r="C190" s="243">
        <f t="shared" si="114"/>
        <v>45777</v>
      </c>
      <c r="D190" s="120">
        <f t="shared" si="115"/>
        <v>30</v>
      </c>
      <c r="E190" s="120">
        <f t="shared" si="116"/>
        <v>4</v>
      </c>
      <c r="F190" s="275">
        <f t="shared" si="117"/>
        <v>45763</v>
      </c>
      <c r="G190" s="120">
        <f t="shared" si="118"/>
        <v>24303</v>
      </c>
      <c r="H190" s="245">
        <f t="shared" si="119"/>
        <v>1</v>
      </c>
      <c r="I190" s="121">
        <f t="shared" si="120"/>
        <v>1</v>
      </c>
      <c r="J190" s="121">
        <f t="shared" si="121"/>
        <v>1</v>
      </c>
      <c r="K190" s="120">
        <f t="shared" si="122"/>
        <v>0</v>
      </c>
      <c r="L190" s="120">
        <f t="shared" si="123"/>
        <v>0</v>
      </c>
      <c r="M190" s="246">
        <f t="shared" si="124"/>
        <v>0</v>
      </c>
      <c r="N190" s="121">
        <f t="shared" si="125"/>
        <v>1</v>
      </c>
      <c r="O190" s="246">
        <f t="shared" si="126"/>
        <v>0.88667396061269144</v>
      </c>
      <c r="P190" s="121">
        <f t="shared" si="127"/>
        <v>0</v>
      </c>
      <c r="Q190" s="121">
        <f t="shared" si="128"/>
        <v>0</v>
      </c>
      <c r="R190" s="121">
        <f t="shared" si="129"/>
        <v>0</v>
      </c>
      <c r="S190" s="121" t="str">
        <f t="shared" si="130"/>
        <v/>
      </c>
      <c r="T190" s="121" t="str">
        <f t="shared" si="131"/>
        <v/>
      </c>
      <c r="U190" s="121">
        <f t="shared" si="132"/>
        <v>1</v>
      </c>
    </row>
    <row r="191" spans="1:21" x14ac:dyDescent="0.3">
      <c r="A191" s="187">
        <v>5</v>
      </c>
      <c r="B191" s="242">
        <f t="shared" si="133"/>
        <v>45778</v>
      </c>
      <c r="C191" s="243">
        <f t="shared" si="114"/>
        <v>45808</v>
      </c>
      <c r="D191" s="120">
        <f t="shared" si="115"/>
        <v>31</v>
      </c>
      <c r="E191" s="120">
        <f t="shared" si="116"/>
        <v>5</v>
      </c>
      <c r="F191" s="275">
        <f t="shared" si="117"/>
        <v>45793.5</v>
      </c>
      <c r="G191" s="120">
        <f t="shared" si="118"/>
        <v>24304</v>
      </c>
      <c r="H191" s="245">
        <f t="shared" si="119"/>
        <v>1</v>
      </c>
      <c r="I191" s="121">
        <f t="shared" si="120"/>
        <v>1</v>
      </c>
      <c r="J191" s="121">
        <f t="shared" si="121"/>
        <v>1</v>
      </c>
      <c r="K191" s="120">
        <f t="shared" si="122"/>
        <v>0</v>
      </c>
      <c r="L191" s="120">
        <f t="shared" si="123"/>
        <v>0</v>
      </c>
      <c r="M191" s="246">
        <f t="shared" si="124"/>
        <v>0</v>
      </c>
      <c r="N191" s="121">
        <f t="shared" si="125"/>
        <v>1</v>
      </c>
      <c r="O191" s="246">
        <f t="shared" si="126"/>
        <v>0.88800875273522972</v>
      </c>
      <c r="P191" s="121">
        <f t="shared" si="127"/>
        <v>0</v>
      </c>
      <c r="Q191" s="121">
        <f t="shared" si="128"/>
        <v>0</v>
      </c>
      <c r="R191" s="121">
        <f t="shared" si="129"/>
        <v>0</v>
      </c>
      <c r="S191" s="121" t="str">
        <f t="shared" si="130"/>
        <v/>
      </c>
      <c r="T191" s="121" t="str">
        <f t="shared" si="131"/>
        <v/>
      </c>
      <c r="U191" s="121">
        <f t="shared" si="132"/>
        <v>1</v>
      </c>
    </row>
    <row r="192" spans="1:21" x14ac:dyDescent="0.3">
      <c r="A192" s="187">
        <v>6</v>
      </c>
      <c r="B192" s="242">
        <f t="shared" si="133"/>
        <v>45809</v>
      </c>
      <c r="C192" s="243">
        <f t="shared" si="114"/>
        <v>45838</v>
      </c>
      <c r="D192" s="120">
        <f t="shared" si="115"/>
        <v>30</v>
      </c>
      <c r="E192" s="120">
        <f t="shared" si="116"/>
        <v>6</v>
      </c>
      <c r="F192" s="275">
        <f t="shared" si="117"/>
        <v>45824</v>
      </c>
      <c r="G192" s="120">
        <f t="shared" si="118"/>
        <v>24305</v>
      </c>
      <c r="H192" s="245">
        <f t="shared" si="119"/>
        <v>1</v>
      </c>
      <c r="I192" s="121">
        <f t="shared" si="120"/>
        <v>1</v>
      </c>
      <c r="J192" s="121">
        <f t="shared" si="121"/>
        <v>1</v>
      </c>
      <c r="K192" s="120">
        <f t="shared" si="122"/>
        <v>0</v>
      </c>
      <c r="L192" s="120">
        <f t="shared" si="123"/>
        <v>0</v>
      </c>
      <c r="M192" s="246">
        <f t="shared" si="124"/>
        <v>0</v>
      </c>
      <c r="N192" s="121">
        <f t="shared" si="125"/>
        <v>1</v>
      </c>
      <c r="O192" s="246">
        <f t="shared" si="126"/>
        <v>0.88934354485776801</v>
      </c>
      <c r="P192" s="121">
        <f t="shared" si="127"/>
        <v>0</v>
      </c>
      <c r="Q192" s="121">
        <f t="shared" si="128"/>
        <v>0</v>
      </c>
      <c r="R192" s="121">
        <f t="shared" si="129"/>
        <v>0</v>
      </c>
      <c r="S192" s="121" t="str">
        <f t="shared" si="130"/>
        <v/>
      </c>
      <c r="T192" s="121" t="str">
        <f t="shared" si="131"/>
        <v/>
      </c>
      <c r="U192" s="121">
        <f t="shared" si="132"/>
        <v>1</v>
      </c>
    </row>
    <row r="193" spans="1:21" x14ac:dyDescent="0.3">
      <c r="A193" s="187">
        <v>7</v>
      </c>
      <c r="B193" s="242">
        <f t="shared" si="133"/>
        <v>45839</v>
      </c>
      <c r="C193" s="243">
        <f t="shared" si="114"/>
        <v>45869</v>
      </c>
      <c r="D193" s="120">
        <f t="shared" si="115"/>
        <v>31</v>
      </c>
      <c r="E193" s="120">
        <f t="shared" si="116"/>
        <v>7</v>
      </c>
      <c r="F193" s="275">
        <f t="shared" si="117"/>
        <v>45854.5</v>
      </c>
      <c r="G193" s="120">
        <f t="shared" si="118"/>
        <v>24306</v>
      </c>
      <c r="H193" s="245">
        <f t="shared" si="119"/>
        <v>1</v>
      </c>
      <c r="I193" s="121">
        <f t="shared" si="120"/>
        <v>1</v>
      </c>
      <c r="J193" s="121">
        <f t="shared" si="121"/>
        <v>1</v>
      </c>
      <c r="K193" s="120">
        <f t="shared" si="122"/>
        <v>0</v>
      </c>
      <c r="L193" s="120">
        <f t="shared" si="123"/>
        <v>0</v>
      </c>
      <c r="M193" s="246">
        <f t="shared" si="124"/>
        <v>0</v>
      </c>
      <c r="N193" s="121">
        <f t="shared" si="125"/>
        <v>1</v>
      </c>
      <c r="O193" s="246">
        <f t="shared" si="126"/>
        <v>0.8906783369803063</v>
      </c>
      <c r="P193" s="121">
        <f t="shared" si="127"/>
        <v>8.333333333333337E-2</v>
      </c>
      <c r="Q193" s="121">
        <f t="shared" si="128"/>
        <v>0</v>
      </c>
      <c r="R193" s="121">
        <f t="shared" si="129"/>
        <v>0</v>
      </c>
      <c r="S193" s="121" t="str">
        <f t="shared" si="130"/>
        <v/>
      </c>
      <c r="T193" s="121" t="str">
        <f t="shared" si="131"/>
        <v/>
      </c>
      <c r="U193" s="121">
        <f t="shared" si="132"/>
        <v>1</v>
      </c>
    </row>
    <row r="194" spans="1:21" x14ac:dyDescent="0.3">
      <c r="A194" s="187">
        <v>8</v>
      </c>
      <c r="B194" s="242">
        <f t="shared" si="133"/>
        <v>45870</v>
      </c>
      <c r="C194" s="243">
        <f t="shared" si="114"/>
        <v>45900</v>
      </c>
      <c r="D194" s="120">
        <f t="shared" si="115"/>
        <v>31</v>
      </c>
      <c r="E194" s="120">
        <f t="shared" si="116"/>
        <v>8</v>
      </c>
      <c r="F194" s="275">
        <f t="shared" si="117"/>
        <v>45885.5</v>
      </c>
      <c r="G194" s="120">
        <f t="shared" si="118"/>
        <v>24307</v>
      </c>
      <c r="H194" s="245">
        <f t="shared" si="119"/>
        <v>1</v>
      </c>
      <c r="I194" s="121">
        <f t="shared" si="120"/>
        <v>1</v>
      </c>
      <c r="J194" s="121">
        <f t="shared" si="121"/>
        <v>1</v>
      </c>
      <c r="K194" s="120">
        <f t="shared" si="122"/>
        <v>0</v>
      </c>
      <c r="L194" s="120">
        <f t="shared" si="123"/>
        <v>0</v>
      </c>
      <c r="M194" s="246">
        <f t="shared" si="124"/>
        <v>0</v>
      </c>
      <c r="N194" s="121">
        <f t="shared" si="125"/>
        <v>1</v>
      </c>
      <c r="O194" s="246">
        <f t="shared" si="126"/>
        <v>0.89203501094091897</v>
      </c>
      <c r="P194" s="121">
        <f t="shared" si="127"/>
        <v>0.25</v>
      </c>
      <c r="Q194" s="121">
        <f t="shared" si="128"/>
        <v>0</v>
      </c>
      <c r="R194" s="121">
        <f t="shared" si="129"/>
        <v>0</v>
      </c>
      <c r="S194" s="121" t="str">
        <f t="shared" si="130"/>
        <v/>
      </c>
      <c r="T194" s="121" t="str">
        <f t="shared" si="131"/>
        <v/>
      </c>
      <c r="U194" s="121">
        <f t="shared" si="132"/>
        <v>1</v>
      </c>
    </row>
    <row r="195" spans="1:21" x14ac:dyDescent="0.3">
      <c r="A195" s="187">
        <v>9</v>
      </c>
      <c r="B195" s="242">
        <f t="shared" si="133"/>
        <v>45901</v>
      </c>
      <c r="C195" s="243">
        <f t="shared" si="114"/>
        <v>45930</v>
      </c>
      <c r="D195" s="120">
        <f t="shared" si="115"/>
        <v>30</v>
      </c>
      <c r="E195" s="120">
        <f t="shared" si="116"/>
        <v>9</v>
      </c>
      <c r="F195" s="275">
        <f t="shared" si="117"/>
        <v>45916</v>
      </c>
      <c r="G195" s="120">
        <f t="shared" si="118"/>
        <v>24308</v>
      </c>
      <c r="H195" s="245">
        <f t="shared" si="119"/>
        <v>1</v>
      </c>
      <c r="I195" s="121">
        <f t="shared" si="120"/>
        <v>1</v>
      </c>
      <c r="J195" s="121">
        <f t="shared" si="121"/>
        <v>1</v>
      </c>
      <c r="K195" s="120">
        <f t="shared" si="122"/>
        <v>0</v>
      </c>
      <c r="L195" s="120">
        <f t="shared" si="123"/>
        <v>0</v>
      </c>
      <c r="M195" s="246">
        <f t="shared" si="124"/>
        <v>0</v>
      </c>
      <c r="N195" s="121">
        <f t="shared" si="125"/>
        <v>1</v>
      </c>
      <c r="O195" s="246">
        <f t="shared" si="126"/>
        <v>0.89336980306345726</v>
      </c>
      <c r="P195" s="121">
        <f t="shared" si="127"/>
        <v>0.41666666666666663</v>
      </c>
      <c r="Q195" s="121">
        <f t="shared" si="128"/>
        <v>0</v>
      </c>
      <c r="R195" s="121">
        <f t="shared" si="129"/>
        <v>0</v>
      </c>
      <c r="S195" s="121" t="str">
        <f t="shared" si="130"/>
        <v/>
      </c>
      <c r="T195" s="121" t="str">
        <f t="shared" si="131"/>
        <v/>
      </c>
      <c r="U195" s="121">
        <f t="shared" si="132"/>
        <v>1</v>
      </c>
    </row>
    <row r="196" spans="1:21" x14ac:dyDescent="0.3">
      <c r="A196" s="187">
        <v>10</v>
      </c>
      <c r="B196" s="242">
        <f t="shared" si="133"/>
        <v>45931</v>
      </c>
      <c r="C196" s="243">
        <f t="shared" si="114"/>
        <v>45961</v>
      </c>
      <c r="D196" s="120">
        <f t="shared" si="115"/>
        <v>31</v>
      </c>
      <c r="E196" s="120">
        <f t="shared" si="116"/>
        <v>10</v>
      </c>
      <c r="F196" s="275">
        <f t="shared" si="117"/>
        <v>45946.5</v>
      </c>
      <c r="G196" s="120">
        <f t="shared" si="118"/>
        <v>24309</v>
      </c>
      <c r="H196" s="245">
        <f t="shared" si="119"/>
        <v>1</v>
      </c>
      <c r="I196" s="121">
        <f t="shared" si="120"/>
        <v>1</v>
      </c>
      <c r="J196" s="121">
        <f t="shared" si="121"/>
        <v>1</v>
      </c>
      <c r="K196" s="120">
        <f t="shared" si="122"/>
        <v>0</v>
      </c>
      <c r="L196" s="120">
        <f t="shared" si="123"/>
        <v>0</v>
      </c>
      <c r="M196" s="246">
        <f t="shared" si="124"/>
        <v>0</v>
      </c>
      <c r="N196" s="121">
        <f t="shared" si="125"/>
        <v>1</v>
      </c>
      <c r="O196" s="246">
        <f t="shared" si="126"/>
        <v>0.89470459518599565</v>
      </c>
      <c r="P196" s="121">
        <f t="shared" si="127"/>
        <v>0.58333333333333326</v>
      </c>
      <c r="Q196" s="121">
        <f t="shared" si="128"/>
        <v>0</v>
      </c>
      <c r="R196" s="121">
        <f t="shared" si="129"/>
        <v>0</v>
      </c>
      <c r="S196" s="121" t="str">
        <f t="shared" si="130"/>
        <v/>
      </c>
      <c r="T196" s="121" t="str">
        <f t="shared" si="131"/>
        <v/>
      </c>
      <c r="U196" s="121">
        <f t="shared" si="132"/>
        <v>1</v>
      </c>
    </row>
    <row r="197" spans="1:21" x14ac:dyDescent="0.3">
      <c r="A197" s="187">
        <v>11</v>
      </c>
      <c r="B197" s="242">
        <f t="shared" si="133"/>
        <v>45962</v>
      </c>
      <c r="C197" s="243">
        <f t="shared" si="114"/>
        <v>45991</v>
      </c>
      <c r="D197" s="120">
        <f t="shared" si="115"/>
        <v>30</v>
      </c>
      <c r="E197" s="120">
        <f t="shared" si="116"/>
        <v>11</v>
      </c>
      <c r="F197" s="275">
        <f t="shared" si="117"/>
        <v>45977</v>
      </c>
      <c r="G197" s="120">
        <f t="shared" si="118"/>
        <v>24310</v>
      </c>
      <c r="H197" s="245">
        <f t="shared" si="119"/>
        <v>1</v>
      </c>
      <c r="I197" s="121">
        <f t="shared" si="120"/>
        <v>1</v>
      </c>
      <c r="J197" s="121">
        <f t="shared" si="121"/>
        <v>1</v>
      </c>
      <c r="K197" s="120">
        <f t="shared" si="122"/>
        <v>0</v>
      </c>
      <c r="L197" s="120">
        <f t="shared" si="123"/>
        <v>0</v>
      </c>
      <c r="M197" s="246">
        <f t="shared" si="124"/>
        <v>0</v>
      </c>
      <c r="N197" s="121">
        <f t="shared" si="125"/>
        <v>1</v>
      </c>
      <c r="O197" s="246">
        <f t="shared" si="126"/>
        <v>0.89603938730853394</v>
      </c>
      <c r="P197" s="121">
        <f t="shared" si="127"/>
        <v>0.75</v>
      </c>
      <c r="Q197" s="121">
        <f t="shared" si="128"/>
        <v>0</v>
      </c>
      <c r="R197" s="121">
        <f t="shared" si="129"/>
        <v>0</v>
      </c>
      <c r="S197" s="121" t="str">
        <f t="shared" si="130"/>
        <v/>
      </c>
      <c r="T197" s="121" t="str">
        <f t="shared" si="131"/>
        <v/>
      </c>
      <c r="U197" s="121">
        <f t="shared" si="132"/>
        <v>1</v>
      </c>
    </row>
    <row r="198" spans="1:21" x14ac:dyDescent="0.3">
      <c r="A198" s="187">
        <v>12</v>
      </c>
      <c r="B198" s="242">
        <f t="shared" si="133"/>
        <v>45992</v>
      </c>
      <c r="C198" s="243">
        <f t="shared" si="114"/>
        <v>46022</v>
      </c>
      <c r="D198" s="120">
        <f t="shared" si="115"/>
        <v>31</v>
      </c>
      <c r="E198" s="120">
        <f t="shared" si="116"/>
        <v>12</v>
      </c>
      <c r="F198" s="275">
        <f t="shared" si="117"/>
        <v>46007.5</v>
      </c>
      <c r="G198" s="120">
        <f t="shared" si="118"/>
        <v>24311</v>
      </c>
      <c r="H198" s="245">
        <f t="shared" si="119"/>
        <v>1</v>
      </c>
      <c r="I198" s="121">
        <f t="shared" si="120"/>
        <v>1</v>
      </c>
      <c r="J198" s="121">
        <f t="shared" si="121"/>
        <v>1</v>
      </c>
      <c r="K198" s="120">
        <f t="shared" si="122"/>
        <v>0</v>
      </c>
      <c r="L198" s="120">
        <f t="shared" si="123"/>
        <v>0</v>
      </c>
      <c r="M198" s="246">
        <f t="shared" si="124"/>
        <v>0</v>
      </c>
      <c r="N198" s="121">
        <f t="shared" si="125"/>
        <v>1</v>
      </c>
      <c r="O198" s="246">
        <f t="shared" si="126"/>
        <v>0.89737417943107223</v>
      </c>
      <c r="P198" s="121">
        <f t="shared" si="127"/>
        <v>0.91666666666666663</v>
      </c>
      <c r="Q198" s="121">
        <f t="shared" si="128"/>
        <v>0</v>
      </c>
      <c r="R198" s="121">
        <f t="shared" si="129"/>
        <v>0</v>
      </c>
      <c r="S198" s="121" t="str">
        <f t="shared" si="130"/>
        <v/>
      </c>
      <c r="T198" s="121" t="str">
        <f t="shared" si="131"/>
        <v/>
      </c>
      <c r="U198" s="121">
        <f t="shared" si="132"/>
        <v>1</v>
      </c>
    </row>
    <row r="199" spans="1:21" x14ac:dyDescent="0.3">
      <c r="A199" s="187">
        <v>13</v>
      </c>
      <c r="B199" s="242">
        <f t="shared" si="133"/>
        <v>46023</v>
      </c>
      <c r="C199" s="243">
        <f t="shared" si="114"/>
        <v>46053</v>
      </c>
      <c r="D199" s="120">
        <f t="shared" si="115"/>
        <v>31</v>
      </c>
      <c r="E199" s="120">
        <f t="shared" si="116"/>
        <v>1</v>
      </c>
      <c r="F199" s="275">
        <f t="shared" si="117"/>
        <v>46038.5</v>
      </c>
      <c r="G199" s="120">
        <f t="shared" si="118"/>
        <v>24312</v>
      </c>
      <c r="H199" s="245">
        <f t="shared" si="119"/>
        <v>1</v>
      </c>
      <c r="I199" s="121">
        <f t="shared" si="120"/>
        <v>1</v>
      </c>
      <c r="J199" s="121">
        <f t="shared" si="121"/>
        <v>1</v>
      </c>
      <c r="K199" s="120">
        <f t="shared" si="122"/>
        <v>0</v>
      </c>
      <c r="L199" s="120">
        <f t="shared" si="123"/>
        <v>0</v>
      </c>
      <c r="M199" s="246">
        <f t="shared" si="124"/>
        <v>0</v>
      </c>
      <c r="N199" s="121">
        <f t="shared" si="125"/>
        <v>1</v>
      </c>
      <c r="O199" s="246">
        <f t="shared" si="126"/>
        <v>0.8987308533916849</v>
      </c>
      <c r="P199" s="121">
        <f t="shared" si="127"/>
        <v>1</v>
      </c>
      <c r="Q199" s="121">
        <f t="shared" si="128"/>
        <v>0</v>
      </c>
      <c r="R199" s="121">
        <f t="shared" si="129"/>
        <v>0</v>
      </c>
      <c r="S199" s="121" t="str">
        <f t="shared" si="130"/>
        <v/>
      </c>
      <c r="T199" s="121" t="str">
        <f t="shared" si="131"/>
        <v/>
      </c>
      <c r="U199" s="121">
        <f t="shared" si="132"/>
        <v>1</v>
      </c>
    </row>
    <row r="200" spans="1:21" x14ac:dyDescent="0.3">
      <c r="A200" s="187">
        <v>14</v>
      </c>
      <c r="B200" s="242">
        <f t="shared" si="133"/>
        <v>46054</v>
      </c>
      <c r="C200" s="243">
        <f t="shared" si="114"/>
        <v>46081</v>
      </c>
      <c r="D200" s="120">
        <f t="shared" si="115"/>
        <v>28</v>
      </c>
      <c r="E200" s="120">
        <f t="shared" si="116"/>
        <v>2</v>
      </c>
      <c r="F200" s="275">
        <f t="shared" si="117"/>
        <v>46068</v>
      </c>
      <c r="G200" s="120">
        <f t="shared" si="118"/>
        <v>24313</v>
      </c>
      <c r="H200" s="245">
        <f t="shared" si="119"/>
        <v>1</v>
      </c>
      <c r="I200" s="121">
        <f t="shared" si="120"/>
        <v>1</v>
      </c>
      <c r="J200" s="121">
        <f t="shared" si="121"/>
        <v>1</v>
      </c>
      <c r="K200" s="120">
        <f t="shared" si="122"/>
        <v>0</v>
      </c>
      <c r="L200" s="120">
        <f t="shared" si="123"/>
        <v>0</v>
      </c>
      <c r="M200" s="246">
        <f t="shared" si="124"/>
        <v>0</v>
      </c>
      <c r="N200" s="121">
        <f t="shared" si="125"/>
        <v>1</v>
      </c>
      <c r="O200" s="246">
        <f t="shared" si="126"/>
        <v>0.90002188183807441</v>
      </c>
      <c r="P200" s="121">
        <f t="shared" si="127"/>
        <v>1</v>
      </c>
      <c r="Q200" s="121">
        <f t="shared" si="128"/>
        <v>0</v>
      </c>
      <c r="R200" s="121">
        <f t="shared" si="129"/>
        <v>0</v>
      </c>
      <c r="S200" s="121" t="str">
        <f t="shared" si="130"/>
        <v/>
      </c>
      <c r="T200" s="121" t="str">
        <f t="shared" si="131"/>
        <v/>
      </c>
      <c r="U200" s="121">
        <f t="shared" si="132"/>
        <v>1</v>
      </c>
    </row>
    <row r="201" spans="1:21" x14ac:dyDescent="0.3">
      <c r="A201" s="187">
        <v>15</v>
      </c>
      <c r="B201" s="242">
        <f t="shared" si="133"/>
        <v>46082</v>
      </c>
      <c r="C201" s="243">
        <f t="shared" si="114"/>
        <v>46112</v>
      </c>
      <c r="D201" s="120">
        <f t="shared" si="115"/>
        <v>31</v>
      </c>
      <c r="E201" s="120">
        <f t="shared" si="116"/>
        <v>3</v>
      </c>
      <c r="F201" s="275">
        <f t="shared" si="117"/>
        <v>46097.5</v>
      </c>
      <c r="G201" s="120">
        <f t="shared" si="118"/>
        <v>24314</v>
      </c>
      <c r="H201" s="245">
        <f t="shared" si="119"/>
        <v>1</v>
      </c>
      <c r="I201" s="121">
        <f t="shared" si="120"/>
        <v>1</v>
      </c>
      <c r="J201" s="121">
        <f t="shared" si="121"/>
        <v>1</v>
      </c>
      <c r="K201" s="120">
        <f t="shared" si="122"/>
        <v>0</v>
      </c>
      <c r="L201" s="120">
        <f t="shared" si="123"/>
        <v>0</v>
      </c>
      <c r="M201" s="246">
        <f t="shared" si="124"/>
        <v>0</v>
      </c>
      <c r="N201" s="121">
        <f t="shared" si="125"/>
        <v>1</v>
      </c>
      <c r="O201" s="246">
        <f t="shared" si="126"/>
        <v>0.90131291028446392</v>
      </c>
      <c r="P201" s="121">
        <f t="shared" si="127"/>
        <v>1</v>
      </c>
      <c r="Q201" s="121">
        <f t="shared" si="128"/>
        <v>0</v>
      </c>
      <c r="R201" s="121">
        <f t="shared" si="129"/>
        <v>0</v>
      </c>
      <c r="S201" s="121" t="str">
        <f t="shared" si="130"/>
        <v/>
      </c>
      <c r="T201" s="121" t="str">
        <f t="shared" si="131"/>
        <v/>
      </c>
      <c r="U201" s="121">
        <f t="shared" si="132"/>
        <v>1</v>
      </c>
    </row>
    <row r="202" spans="1:21" x14ac:dyDescent="0.3">
      <c r="A202" s="187">
        <v>16</v>
      </c>
      <c r="B202" s="242">
        <f t="shared" si="133"/>
        <v>46113</v>
      </c>
      <c r="C202" s="243">
        <f t="shared" si="114"/>
        <v>46142</v>
      </c>
      <c r="D202" s="120">
        <f t="shared" si="115"/>
        <v>30</v>
      </c>
      <c r="E202" s="120">
        <f t="shared" si="116"/>
        <v>4</v>
      </c>
      <c r="F202" s="275">
        <f t="shared" si="117"/>
        <v>46128</v>
      </c>
      <c r="G202" s="120">
        <f t="shared" si="118"/>
        <v>24315</v>
      </c>
      <c r="H202" s="245">
        <f t="shared" si="119"/>
        <v>1</v>
      </c>
      <c r="I202" s="121">
        <f t="shared" si="120"/>
        <v>1</v>
      </c>
      <c r="J202" s="121">
        <f t="shared" si="121"/>
        <v>1</v>
      </c>
      <c r="K202" s="120">
        <f t="shared" si="122"/>
        <v>0</v>
      </c>
      <c r="L202" s="120">
        <f t="shared" si="123"/>
        <v>0</v>
      </c>
      <c r="M202" s="246">
        <f t="shared" si="124"/>
        <v>0</v>
      </c>
      <c r="N202" s="121">
        <f t="shared" si="125"/>
        <v>1</v>
      </c>
      <c r="O202" s="246">
        <f t="shared" si="126"/>
        <v>0.90264770240700221</v>
      </c>
      <c r="P202" s="121">
        <f t="shared" si="127"/>
        <v>1</v>
      </c>
      <c r="Q202" s="121">
        <f t="shared" si="128"/>
        <v>0</v>
      </c>
      <c r="R202" s="121">
        <f t="shared" si="129"/>
        <v>0</v>
      </c>
      <c r="S202" s="121" t="str">
        <f t="shared" si="130"/>
        <v/>
      </c>
      <c r="T202" s="121" t="str">
        <f t="shared" si="131"/>
        <v/>
      </c>
      <c r="U202" s="121">
        <f t="shared" si="132"/>
        <v>1</v>
      </c>
    </row>
    <row r="203" spans="1:21" x14ac:dyDescent="0.3">
      <c r="A203" s="187">
        <v>17</v>
      </c>
      <c r="B203" s="242">
        <f t="shared" si="133"/>
        <v>46143</v>
      </c>
      <c r="C203" s="243">
        <f t="shared" si="114"/>
        <v>46173</v>
      </c>
      <c r="D203" s="120">
        <f t="shared" si="115"/>
        <v>31</v>
      </c>
      <c r="E203" s="120">
        <f t="shared" si="116"/>
        <v>5</v>
      </c>
      <c r="F203" s="275">
        <f t="shared" si="117"/>
        <v>46158.5</v>
      </c>
      <c r="G203" s="120">
        <f t="shared" si="118"/>
        <v>24316</v>
      </c>
      <c r="H203" s="245">
        <f t="shared" si="119"/>
        <v>1</v>
      </c>
      <c r="I203" s="121">
        <f t="shared" si="120"/>
        <v>1</v>
      </c>
      <c r="J203" s="121">
        <f t="shared" si="121"/>
        <v>1</v>
      </c>
      <c r="K203" s="120">
        <f t="shared" si="122"/>
        <v>0</v>
      </c>
      <c r="L203" s="120">
        <f t="shared" si="123"/>
        <v>0</v>
      </c>
      <c r="M203" s="246">
        <f t="shared" si="124"/>
        <v>0</v>
      </c>
      <c r="N203" s="121">
        <f t="shared" si="125"/>
        <v>1</v>
      </c>
      <c r="O203" s="246">
        <f t="shared" si="126"/>
        <v>0.90398249452954049</v>
      </c>
      <c r="P203" s="121">
        <f t="shared" si="127"/>
        <v>1</v>
      </c>
      <c r="Q203" s="121">
        <f t="shared" si="128"/>
        <v>0</v>
      </c>
      <c r="R203" s="121">
        <f t="shared" si="129"/>
        <v>0</v>
      </c>
      <c r="S203" s="121" t="str">
        <f t="shared" si="130"/>
        <v/>
      </c>
      <c r="T203" s="121" t="str">
        <f t="shared" si="131"/>
        <v/>
      </c>
      <c r="U203" s="121">
        <f t="shared" si="132"/>
        <v>1</v>
      </c>
    </row>
    <row r="204" spans="1:21" x14ac:dyDescent="0.3">
      <c r="A204" s="187">
        <v>18</v>
      </c>
      <c r="B204" s="242">
        <f t="shared" si="133"/>
        <v>46174</v>
      </c>
      <c r="C204" s="243">
        <f t="shared" si="114"/>
        <v>46203</v>
      </c>
      <c r="D204" s="120">
        <f t="shared" si="115"/>
        <v>30</v>
      </c>
      <c r="E204" s="120">
        <f t="shared" si="116"/>
        <v>6</v>
      </c>
      <c r="F204" s="275">
        <f t="shared" si="117"/>
        <v>46189</v>
      </c>
      <c r="G204" s="120">
        <f t="shared" si="118"/>
        <v>24317</v>
      </c>
      <c r="H204" s="245">
        <f t="shared" si="119"/>
        <v>1</v>
      </c>
      <c r="I204" s="121">
        <f t="shared" si="120"/>
        <v>1</v>
      </c>
      <c r="J204" s="121">
        <f t="shared" si="121"/>
        <v>1</v>
      </c>
      <c r="K204" s="120">
        <f t="shared" si="122"/>
        <v>0</v>
      </c>
      <c r="L204" s="120">
        <f t="shared" si="123"/>
        <v>0</v>
      </c>
      <c r="M204" s="246">
        <f t="shared" si="124"/>
        <v>0</v>
      </c>
      <c r="N204" s="121">
        <f t="shared" si="125"/>
        <v>1</v>
      </c>
      <c r="O204" s="246">
        <f t="shared" si="126"/>
        <v>0.90531728665207878</v>
      </c>
      <c r="P204" s="121">
        <f t="shared" si="127"/>
        <v>1</v>
      </c>
      <c r="Q204" s="121">
        <f t="shared" si="128"/>
        <v>0</v>
      </c>
      <c r="R204" s="121">
        <f t="shared" si="129"/>
        <v>0</v>
      </c>
      <c r="S204" s="121" t="str">
        <f t="shared" si="130"/>
        <v/>
      </c>
      <c r="T204" s="121" t="str">
        <f t="shared" si="131"/>
        <v/>
      </c>
      <c r="U204" s="121">
        <f t="shared" si="132"/>
        <v>1</v>
      </c>
    </row>
    <row r="205" spans="1:21" x14ac:dyDescent="0.3">
      <c r="A205" s="187">
        <v>19</v>
      </c>
      <c r="B205" s="242">
        <f t="shared" si="133"/>
        <v>46204</v>
      </c>
      <c r="C205" s="243">
        <f t="shared" si="114"/>
        <v>46234</v>
      </c>
      <c r="D205" s="120">
        <f t="shared" si="115"/>
        <v>31</v>
      </c>
      <c r="E205" s="120">
        <f t="shared" si="116"/>
        <v>7</v>
      </c>
      <c r="F205" s="275">
        <f t="shared" si="117"/>
        <v>46219.5</v>
      </c>
      <c r="G205" s="120">
        <f t="shared" si="118"/>
        <v>24318</v>
      </c>
      <c r="H205" s="245">
        <f t="shared" si="119"/>
        <v>1</v>
      </c>
      <c r="I205" s="121">
        <f t="shared" si="120"/>
        <v>1</v>
      </c>
      <c r="J205" s="121">
        <f t="shared" si="121"/>
        <v>1</v>
      </c>
      <c r="K205" s="120">
        <f t="shared" si="122"/>
        <v>0</v>
      </c>
      <c r="L205" s="120">
        <f t="shared" si="123"/>
        <v>0</v>
      </c>
      <c r="M205" s="246">
        <f t="shared" si="124"/>
        <v>0</v>
      </c>
      <c r="N205" s="121">
        <f t="shared" si="125"/>
        <v>1</v>
      </c>
      <c r="O205" s="246">
        <f t="shared" si="126"/>
        <v>0.90665207877461707</v>
      </c>
      <c r="P205" s="121">
        <f t="shared" si="127"/>
        <v>0.91666666666666663</v>
      </c>
      <c r="Q205" s="121">
        <f t="shared" si="128"/>
        <v>8.333333333333337E-2</v>
      </c>
      <c r="R205" s="121">
        <f t="shared" si="129"/>
        <v>0</v>
      </c>
      <c r="S205" s="121" t="str">
        <f t="shared" si="130"/>
        <v/>
      </c>
      <c r="T205" s="121" t="str">
        <f t="shared" si="131"/>
        <v/>
      </c>
      <c r="U205" s="121">
        <f t="shared" si="132"/>
        <v>1</v>
      </c>
    </row>
    <row r="206" spans="1:21" x14ac:dyDescent="0.3">
      <c r="A206" s="187">
        <v>20</v>
      </c>
      <c r="B206" s="242">
        <f t="shared" si="133"/>
        <v>46235</v>
      </c>
      <c r="C206" s="243">
        <f t="shared" si="114"/>
        <v>46265</v>
      </c>
      <c r="D206" s="120">
        <f t="shared" si="115"/>
        <v>31</v>
      </c>
      <c r="E206" s="120">
        <f t="shared" si="116"/>
        <v>8</v>
      </c>
      <c r="F206" s="275">
        <f t="shared" si="117"/>
        <v>46250.5</v>
      </c>
      <c r="G206" s="120">
        <f t="shared" si="118"/>
        <v>24319</v>
      </c>
      <c r="H206" s="245">
        <f t="shared" si="119"/>
        <v>1</v>
      </c>
      <c r="I206" s="121">
        <f t="shared" si="120"/>
        <v>1</v>
      </c>
      <c r="J206" s="121">
        <f t="shared" si="121"/>
        <v>1</v>
      </c>
      <c r="K206" s="120">
        <f t="shared" si="122"/>
        <v>0</v>
      </c>
      <c r="L206" s="120">
        <f t="shared" si="123"/>
        <v>0</v>
      </c>
      <c r="M206" s="246">
        <f t="shared" si="124"/>
        <v>0</v>
      </c>
      <c r="N206" s="121">
        <f t="shared" si="125"/>
        <v>1</v>
      </c>
      <c r="O206" s="246">
        <f t="shared" si="126"/>
        <v>0.90800875273522974</v>
      </c>
      <c r="P206" s="121">
        <f t="shared" si="127"/>
        <v>0.75</v>
      </c>
      <c r="Q206" s="121">
        <f t="shared" si="128"/>
        <v>0.25</v>
      </c>
      <c r="R206" s="121">
        <f t="shared" si="129"/>
        <v>0</v>
      </c>
      <c r="S206" s="121" t="str">
        <f t="shared" si="130"/>
        <v/>
      </c>
      <c r="T206" s="121" t="str">
        <f t="shared" si="131"/>
        <v/>
      </c>
      <c r="U206" s="121">
        <f t="shared" si="132"/>
        <v>1</v>
      </c>
    </row>
    <row r="207" spans="1:21" x14ac:dyDescent="0.3">
      <c r="A207" s="187">
        <v>21</v>
      </c>
      <c r="B207" s="242">
        <f t="shared" si="133"/>
        <v>46266</v>
      </c>
      <c r="C207" s="243">
        <f t="shared" si="114"/>
        <v>46295</v>
      </c>
      <c r="D207" s="120">
        <f t="shared" si="115"/>
        <v>30</v>
      </c>
      <c r="E207" s="120">
        <f t="shared" si="116"/>
        <v>9</v>
      </c>
      <c r="F207" s="275">
        <f t="shared" si="117"/>
        <v>46281</v>
      </c>
      <c r="G207" s="120">
        <f t="shared" si="118"/>
        <v>24320</v>
      </c>
      <c r="H207" s="245">
        <f t="shared" si="119"/>
        <v>1</v>
      </c>
      <c r="I207" s="121">
        <f t="shared" si="120"/>
        <v>1</v>
      </c>
      <c r="J207" s="121">
        <f t="shared" si="121"/>
        <v>1</v>
      </c>
      <c r="K207" s="120">
        <f t="shared" si="122"/>
        <v>0</v>
      </c>
      <c r="L207" s="120">
        <f t="shared" si="123"/>
        <v>0</v>
      </c>
      <c r="M207" s="246">
        <f t="shared" si="124"/>
        <v>0</v>
      </c>
      <c r="N207" s="121">
        <f t="shared" si="125"/>
        <v>1</v>
      </c>
      <c r="O207" s="246">
        <f t="shared" si="126"/>
        <v>0.90934354485776803</v>
      </c>
      <c r="P207" s="121">
        <f t="shared" si="127"/>
        <v>0.58333333333333337</v>
      </c>
      <c r="Q207" s="121">
        <f t="shared" si="128"/>
        <v>0.41666666666666663</v>
      </c>
      <c r="R207" s="121">
        <f t="shared" si="129"/>
        <v>0</v>
      </c>
      <c r="S207" s="121" t="str">
        <f t="shared" si="130"/>
        <v/>
      </c>
      <c r="T207" s="121" t="str">
        <f t="shared" si="131"/>
        <v/>
      </c>
      <c r="U207" s="121">
        <f t="shared" si="132"/>
        <v>1</v>
      </c>
    </row>
    <row r="208" spans="1:21" x14ac:dyDescent="0.3">
      <c r="A208" s="187">
        <v>22</v>
      </c>
      <c r="B208" s="242">
        <f t="shared" si="133"/>
        <v>46296</v>
      </c>
      <c r="C208" s="243">
        <f t="shared" si="114"/>
        <v>46326</v>
      </c>
      <c r="D208" s="120">
        <f t="shared" si="115"/>
        <v>31</v>
      </c>
      <c r="E208" s="120">
        <f t="shared" si="116"/>
        <v>10</v>
      </c>
      <c r="F208" s="275">
        <f t="shared" si="117"/>
        <v>46311.5</v>
      </c>
      <c r="G208" s="120">
        <f t="shared" si="118"/>
        <v>24321</v>
      </c>
      <c r="H208" s="245">
        <f t="shared" si="119"/>
        <v>1</v>
      </c>
      <c r="I208" s="121">
        <f t="shared" si="120"/>
        <v>1</v>
      </c>
      <c r="J208" s="121">
        <f t="shared" si="121"/>
        <v>1</v>
      </c>
      <c r="K208" s="120">
        <f t="shared" si="122"/>
        <v>0</v>
      </c>
      <c r="L208" s="120">
        <f t="shared" si="123"/>
        <v>0</v>
      </c>
      <c r="M208" s="246">
        <f t="shared" si="124"/>
        <v>0</v>
      </c>
      <c r="N208" s="121">
        <f t="shared" si="125"/>
        <v>1</v>
      </c>
      <c r="O208" s="246">
        <f t="shared" si="126"/>
        <v>0.91067833698030642</v>
      </c>
      <c r="P208" s="121">
        <f t="shared" si="127"/>
        <v>0.41666666666666669</v>
      </c>
      <c r="Q208" s="121">
        <f t="shared" si="128"/>
        <v>0.58333333333333326</v>
      </c>
      <c r="R208" s="121">
        <f t="shared" si="129"/>
        <v>0</v>
      </c>
      <c r="S208" s="121" t="str">
        <f t="shared" si="130"/>
        <v/>
      </c>
      <c r="T208" s="121" t="str">
        <f t="shared" si="131"/>
        <v/>
      </c>
      <c r="U208" s="121">
        <f t="shared" si="132"/>
        <v>1</v>
      </c>
    </row>
    <row r="209" spans="1:21" x14ac:dyDescent="0.3">
      <c r="A209" s="187">
        <v>23</v>
      </c>
      <c r="B209" s="242">
        <f t="shared" si="133"/>
        <v>46327</v>
      </c>
      <c r="C209" s="243">
        <f t="shared" si="114"/>
        <v>46356</v>
      </c>
      <c r="D209" s="120">
        <f t="shared" si="115"/>
        <v>30</v>
      </c>
      <c r="E209" s="120">
        <f t="shared" si="116"/>
        <v>11</v>
      </c>
      <c r="F209" s="275">
        <f t="shared" si="117"/>
        <v>46342</v>
      </c>
      <c r="G209" s="120">
        <f t="shared" si="118"/>
        <v>24322</v>
      </c>
      <c r="H209" s="245">
        <f t="shared" si="119"/>
        <v>1</v>
      </c>
      <c r="I209" s="121">
        <f t="shared" si="120"/>
        <v>1</v>
      </c>
      <c r="J209" s="121">
        <f t="shared" si="121"/>
        <v>1</v>
      </c>
      <c r="K209" s="120">
        <f t="shared" si="122"/>
        <v>0</v>
      </c>
      <c r="L209" s="120">
        <f t="shared" si="123"/>
        <v>0</v>
      </c>
      <c r="M209" s="246">
        <f t="shared" si="124"/>
        <v>0</v>
      </c>
      <c r="N209" s="121">
        <f t="shared" si="125"/>
        <v>1</v>
      </c>
      <c r="O209" s="246">
        <f t="shared" si="126"/>
        <v>0.91201312910284471</v>
      </c>
      <c r="P209" s="121">
        <f t="shared" si="127"/>
        <v>0.25</v>
      </c>
      <c r="Q209" s="121">
        <f t="shared" si="128"/>
        <v>0.75</v>
      </c>
      <c r="R209" s="121">
        <f t="shared" si="129"/>
        <v>0</v>
      </c>
      <c r="S209" s="121" t="str">
        <f t="shared" si="130"/>
        <v/>
      </c>
      <c r="T209" s="121" t="str">
        <f t="shared" si="131"/>
        <v/>
      </c>
      <c r="U209" s="121">
        <f t="shared" si="132"/>
        <v>1</v>
      </c>
    </row>
    <row r="210" spans="1:21" x14ac:dyDescent="0.3">
      <c r="A210" s="187">
        <v>24</v>
      </c>
      <c r="B210" s="242">
        <f t="shared" si="133"/>
        <v>46357</v>
      </c>
      <c r="C210" s="243">
        <f t="shared" si="114"/>
        <v>46387</v>
      </c>
      <c r="D210" s="120">
        <f t="shared" si="115"/>
        <v>31</v>
      </c>
      <c r="E210" s="120">
        <f t="shared" si="116"/>
        <v>12</v>
      </c>
      <c r="F210" s="275">
        <f t="shared" si="117"/>
        <v>46372.5</v>
      </c>
      <c r="G210" s="120">
        <f t="shared" si="118"/>
        <v>24323</v>
      </c>
      <c r="H210" s="245">
        <f t="shared" si="119"/>
        <v>1</v>
      </c>
      <c r="I210" s="121">
        <f t="shared" si="120"/>
        <v>1</v>
      </c>
      <c r="J210" s="121">
        <f t="shared" si="121"/>
        <v>1</v>
      </c>
      <c r="K210" s="120">
        <f t="shared" si="122"/>
        <v>0</v>
      </c>
      <c r="L210" s="120">
        <f t="shared" si="123"/>
        <v>0</v>
      </c>
      <c r="M210" s="246">
        <f t="shared" si="124"/>
        <v>0</v>
      </c>
      <c r="N210" s="121">
        <f t="shared" si="125"/>
        <v>1</v>
      </c>
      <c r="O210" s="246">
        <f t="shared" si="126"/>
        <v>0.913347921225383</v>
      </c>
      <c r="P210" s="121">
        <f t="shared" si="127"/>
        <v>8.3333333333333329E-2</v>
      </c>
      <c r="Q210" s="121">
        <f t="shared" si="128"/>
        <v>0.91666666666666663</v>
      </c>
      <c r="R210" s="121">
        <f t="shared" si="129"/>
        <v>0</v>
      </c>
      <c r="S210" s="121" t="str">
        <f t="shared" si="130"/>
        <v/>
      </c>
      <c r="T210" s="121" t="str">
        <f t="shared" si="131"/>
        <v/>
      </c>
      <c r="U210" s="121">
        <f t="shared" si="132"/>
        <v>1</v>
      </c>
    </row>
    <row r="211" spans="1:21" x14ac:dyDescent="0.3">
      <c r="A211" s="187">
        <v>25</v>
      </c>
      <c r="B211" s="242">
        <f t="shared" si="133"/>
        <v>46388</v>
      </c>
      <c r="C211" s="243">
        <f t="shared" si="114"/>
        <v>46418</v>
      </c>
      <c r="D211" s="120">
        <f t="shared" si="115"/>
        <v>31</v>
      </c>
      <c r="E211" s="120">
        <f t="shared" si="116"/>
        <v>1</v>
      </c>
      <c r="F211" s="275">
        <f t="shared" si="117"/>
        <v>46403.5</v>
      </c>
      <c r="G211" s="120">
        <f t="shared" si="118"/>
        <v>24324</v>
      </c>
      <c r="H211" s="245">
        <f t="shared" si="119"/>
        <v>1</v>
      </c>
      <c r="I211" s="121">
        <f t="shared" si="120"/>
        <v>1</v>
      </c>
      <c r="J211" s="121">
        <f t="shared" si="121"/>
        <v>1</v>
      </c>
      <c r="K211" s="120">
        <f t="shared" si="122"/>
        <v>0</v>
      </c>
      <c r="L211" s="120">
        <f t="shared" si="123"/>
        <v>0</v>
      </c>
      <c r="M211" s="246">
        <f t="shared" si="124"/>
        <v>0</v>
      </c>
      <c r="N211" s="121">
        <f t="shared" si="125"/>
        <v>1</v>
      </c>
      <c r="O211" s="246">
        <f t="shared" si="126"/>
        <v>0.91470459518599567</v>
      </c>
      <c r="P211" s="121">
        <f t="shared" si="127"/>
        <v>0</v>
      </c>
      <c r="Q211" s="121">
        <f t="shared" si="128"/>
        <v>1</v>
      </c>
      <c r="R211" s="121">
        <f t="shared" si="129"/>
        <v>0</v>
      </c>
      <c r="S211" s="121" t="str">
        <f t="shared" si="130"/>
        <v/>
      </c>
      <c r="T211" s="121" t="str">
        <f t="shared" si="131"/>
        <v/>
      </c>
      <c r="U211" s="121">
        <f t="shared" si="132"/>
        <v>1</v>
      </c>
    </row>
    <row r="212" spans="1:21" x14ac:dyDescent="0.3">
      <c r="A212" s="187">
        <v>26</v>
      </c>
      <c r="B212" s="242">
        <f t="shared" si="133"/>
        <v>46419</v>
      </c>
      <c r="C212" s="243">
        <f t="shared" si="114"/>
        <v>46446</v>
      </c>
      <c r="D212" s="120">
        <f t="shared" si="115"/>
        <v>28</v>
      </c>
      <c r="E212" s="120">
        <f t="shared" si="116"/>
        <v>2</v>
      </c>
      <c r="F212" s="275">
        <f t="shared" si="117"/>
        <v>46433</v>
      </c>
      <c r="G212" s="120">
        <f t="shared" si="118"/>
        <v>24325</v>
      </c>
      <c r="H212" s="245">
        <f t="shared" si="119"/>
        <v>1</v>
      </c>
      <c r="I212" s="121">
        <f t="shared" si="120"/>
        <v>1</v>
      </c>
      <c r="J212" s="121">
        <f t="shared" si="121"/>
        <v>1</v>
      </c>
      <c r="K212" s="120">
        <f t="shared" si="122"/>
        <v>0</v>
      </c>
      <c r="L212" s="120">
        <f t="shared" si="123"/>
        <v>0</v>
      </c>
      <c r="M212" s="246">
        <f t="shared" si="124"/>
        <v>0</v>
      </c>
      <c r="N212" s="121">
        <f t="shared" si="125"/>
        <v>1</v>
      </c>
      <c r="O212" s="246">
        <f t="shared" si="126"/>
        <v>0.91599562363238518</v>
      </c>
      <c r="P212" s="121">
        <f t="shared" si="127"/>
        <v>0</v>
      </c>
      <c r="Q212" s="121">
        <f t="shared" si="128"/>
        <v>1</v>
      </c>
      <c r="R212" s="121">
        <f t="shared" si="129"/>
        <v>0</v>
      </c>
      <c r="S212" s="121" t="str">
        <f t="shared" si="130"/>
        <v/>
      </c>
      <c r="T212" s="121" t="str">
        <f t="shared" si="131"/>
        <v/>
      </c>
      <c r="U212" s="121">
        <f t="shared" si="132"/>
        <v>1</v>
      </c>
    </row>
    <row r="213" spans="1:21" x14ac:dyDescent="0.3">
      <c r="A213" s="187">
        <v>27</v>
      </c>
      <c r="B213" s="242">
        <f t="shared" si="133"/>
        <v>46447</v>
      </c>
      <c r="C213" s="243">
        <f t="shared" si="114"/>
        <v>46477</v>
      </c>
      <c r="D213" s="120">
        <f t="shared" si="115"/>
        <v>31</v>
      </c>
      <c r="E213" s="120">
        <f t="shared" si="116"/>
        <v>3</v>
      </c>
      <c r="F213" s="275">
        <f t="shared" si="117"/>
        <v>46462.5</v>
      </c>
      <c r="G213" s="120">
        <f t="shared" si="118"/>
        <v>24326</v>
      </c>
      <c r="H213" s="245">
        <f t="shared" si="119"/>
        <v>1</v>
      </c>
      <c r="I213" s="121">
        <f t="shared" si="120"/>
        <v>1</v>
      </c>
      <c r="J213" s="121">
        <f t="shared" si="121"/>
        <v>1</v>
      </c>
      <c r="K213" s="120">
        <f t="shared" si="122"/>
        <v>0</v>
      </c>
      <c r="L213" s="120">
        <f t="shared" si="123"/>
        <v>0</v>
      </c>
      <c r="M213" s="246">
        <f t="shared" si="124"/>
        <v>0</v>
      </c>
      <c r="N213" s="121">
        <f t="shared" si="125"/>
        <v>1</v>
      </c>
      <c r="O213" s="246">
        <f t="shared" si="126"/>
        <v>0.91728665207877469</v>
      </c>
      <c r="P213" s="121">
        <f t="shared" si="127"/>
        <v>0</v>
      </c>
      <c r="Q213" s="121">
        <f t="shared" si="128"/>
        <v>1</v>
      </c>
      <c r="R213" s="121">
        <f t="shared" si="129"/>
        <v>0</v>
      </c>
      <c r="S213" s="121" t="str">
        <f t="shared" si="130"/>
        <v/>
      </c>
      <c r="T213" s="121" t="str">
        <f t="shared" si="131"/>
        <v/>
      </c>
      <c r="U213" s="121">
        <f t="shared" si="132"/>
        <v>1</v>
      </c>
    </row>
    <row r="214" spans="1:21" x14ac:dyDescent="0.3">
      <c r="A214" s="187">
        <v>28</v>
      </c>
      <c r="B214" s="242">
        <f t="shared" si="133"/>
        <v>46478</v>
      </c>
      <c r="C214" s="243">
        <f t="shared" si="114"/>
        <v>46507</v>
      </c>
      <c r="D214" s="120">
        <f t="shared" si="115"/>
        <v>30</v>
      </c>
      <c r="E214" s="120">
        <f t="shared" si="116"/>
        <v>4</v>
      </c>
      <c r="F214" s="275">
        <f t="shared" si="117"/>
        <v>46493</v>
      </c>
      <c r="G214" s="120">
        <f t="shared" si="118"/>
        <v>24327</v>
      </c>
      <c r="H214" s="245">
        <f t="shared" si="119"/>
        <v>1</v>
      </c>
      <c r="I214" s="121">
        <f t="shared" si="120"/>
        <v>1</v>
      </c>
      <c r="J214" s="121">
        <f t="shared" si="121"/>
        <v>1</v>
      </c>
      <c r="K214" s="120">
        <f t="shared" si="122"/>
        <v>0</v>
      </c>
      <c r="L214" s="120">
        <f t="shared" si="123"/>
        <v>0</v>
      </c>
      <c r="M214" s="246">
        <f t="shared" si="124"/>
        <v>0</v>
      </c>
      <c r="N214" s="121">
        <f t="shared" si="125"/>
        <v>1</v>
      </c>
      <c r="O214" s="246">
        <f t="shared" si="126"/>
        <v>0.91862144420131298</v>
      </c>
      <c r="P214" s="121">
        <f t="shared" si="127"/>
        <v>0</v>
      </c>
      <c r="Q214" s="121">
        <f t="shared" si="128"/>
        <v>1</v>
      </c>
      <c r="R214" s="121">
        <f t="shared" si="129"/>
        <v>0</v>
      </c>
      <c r="S214" s="121" t="str">
        <f t="shared" si="130"/>
        <v/>
      </c>
      <c r="T214" s="121" t="str">
        <f t="shared" si="131"/>
        <v/>
      </c>
      <c r="U214" s="121">
        <f t="shared" si="132"/>
        <v>1</v>
      </c>
    </row>
    <row r="215" spans="1:21" x14ac:dyDescent="0.3">
      <c r="A215" s="187">
        <v>29</v>
      </c>
      <c r="B215" s="242">
        <f t="shared" si="133"/>
        <v>46508</v>
      </c>
      <c r="C215" s="243">
        <f t="shared" si="114"/>
        <v>46538</v>
      </c>
      <c r="D215" s="120">
        <f t="shared" si="115"/>
        <v>31</v>
      </c>
      <c r="E215" s="120">
        <f t="shared" si="116"/>
        <v>5</v>
      </c>
      <c r="F215" s="275">
        <f t="shared" si="117"/>
        <v>46523.5</v>
      </c>
      <c r="G215" s="120">
        <f t="shared" si="118"/>
        <v>24328</v>
      </c>
      <c r="H215" s="245">
        <f t="shared" si="119"/>
        <v>1</v>
      </c>
      <c r="I215" s="121">
        <f t="shared" si="120"/>
        <v>1</v>
      </c>
      <c r="J215" s="121">
        <f t="shared" si="121"/>
        <v>1</v>
      </c>
      <c r="K215" s="120">
        <f t="shared" si="122"/>
        <v>0</v>
      </c>
      <c r="L215" s="120">
        <f t="shared" si="123"/>
        <v>0</v>
      </c>
      <c r="M215" s="246">
        <f t="shared" si="124"/>
        <v>0</v>
      </c>
      <c r="N215" s="121">
        <f t="shared" si="125"/>
        <v>1</v>
      </c>
      <c r="O215" s="246">
        <f t="shared" si="126"/>
        <v>0.91995623632385126</v>
      </c>
      <c r="P215" s="121">
        <f t="shared" si="127"/>
        <v>0</v>
      </c>
      <c r="Q215" s="121">
        <f t="shared" si="128"/>
        <v>1</v>
      </c>
      <c r="R215" s="121">
        <f t="shared" si="129"/>
        <v>0</v>
      </c>
      <c r="S215" s="121" t="str">
        <f t="shared" si="130"/>
        <v/>
      </c>
      <c r="T215" s="121" t="str">
        <f t="shared" si="131"/>
        <v/>
      </c>
      <c r="U215" s="121">
        <f t="shared" si="132"/>
        <v>1</v>
      </c>
    </row>
    <row r="216" spans="1:21" x14ac:dyDescent="0.3">
      <c r="A216" s="187">
        <v>30</v>
      </c>
      <c r="B216" s="242">
        <f t="shared" si="133"/>
        <v>46539</v>
      </c>
      <c r="C216" s="243">
        <f t="shared" si="114"/>
        <v>46568</v>
      </c>
      <c r="D216" s="120">
        <f t="shared" si="115"/>
        <v>30</v>
      </c>
      <c r="E216" s="120">
        <f t="shared" si="116"/>
        <v>6</v>
      </c>
      <c r="F216" s="275">
        <f t="shared" si="117"/>
        <v>46554</v>
      </c>
      <c r="G216" s="120">
        <f t="shared" si="118"/>
        <v>24329</v>
      </c>
      <c r="H216" s="245">
        <f t="shared" si="119"/>
        <v>1</v>
      </c>
      <c r="I216" s="121">
        <f t="shared" si="120"/>
        <v>1</v>
      </c>
      <c r="J216" s="121">
        <f t="shared" si="121"/>
        <v>1</v>
      </c>
      <c r="K216" s="120">
        <f t="shared" si="122"/>
        <v>0</v>
      </c>
      <c r="L216" s="120">
        <f t="shared" si="123"/>
        <v>0</v>
      </c>
      <c r="M216" s="246">
        <f t="shared" si="124"/>
        <v>0</v>
      </c>
      <c r="N216" s="121">
        <f t="shared" si="125"/>
        <v>1</v>
      </c>
      <c r="O216" s="246">
        <f t="shared" si="126"/>
        <v>0.92129102844638955</v>
      </c>
      <c r="P216" s="121">
        <f t="shared" si="127"/>
        <v>0</v>
      </c>
      <c r="Q216" s="121">
        <f t="shared" si="128"/>
        <v>1</v>
      </c>
      <c r="R216" s="121">
        <f t="shared" si="129"/>
        <v>0</v>
      </c>
      <c r="S216" s="121" t="str">
        <f t="shared" si="130"/>
        <v/>
      </c>
      <c r="T216" s="121" t="str">
        <f t="shared" si="131"/>
        <v/>
      </c>
      <c r="U216" s="121">
        <f t="shared" si="132"/>
        <v>1</v>
      </c>
    </row>
    <row r="217" spans="1:21" x14ac:dyDescent="0.3">
      <c r="A217" s="187">
        <v>31</v>
      </c>
      <c r="B217" s="242">
        <f t="shared" si="133"/>
        <v>46569</v>
      </c>
      <c r="C217" s="243">
        <f t="shared" si="114"/>
        <v>46599</v>
      </c>
      <c r="D217" s="120">
        <f t="shared" si="115"/>
        <v>31</v>
      </c>
      <c r="E217" s="120">
        <f t="shared" si="116"/>
        <v>7</v>
      </c>
      <c r="F217" s="275">
        <f t="shared" si="117"/>
        <v>46584.5</v>
      </c>
      <c r="G217" s="120">
        <f t="shared" si="118"/>
        <v>24330</v>
      </c>
      <c r="H217" s="245">
        <f t="shared" si="119"/>
        <v>1</v>
      </c>
      <c r="I217" s="121">
        <f t="shared" si="120"/>
        <v>1</v>
      </c>
      <c r="J217" s="121">
        <f t="shared" si="121"/>
        <v>1</v>
      </c>
      <c r="K217" s="120">
        <f t="shared" si="122"/>
        <v>0</v>
      </c>
      <c r="L217" s="120">
        <f t="shared" si="123"/>
        <v>0</v>
      </c>
      <c r="M217" s="246">
        <f t="shared" si="124"/>
        <v>0</v>
      </c>
      <c r="N217" s="121">
        <f t="shared" si="125"/>
        <v>1</v>
      </c>
      <c r="O217" s="246">
        <f t="shared" si="126"/>
        <v>0.92262582056892783</v>
      </c>
      <c r="P217" s="121">
        <f t="shared" si="127"/>
        <v>0</v>
      </c>
      <c r="Q217" s="121">
        <f t="shared" si="128"/>
        <v>0.91666666666666663</v>
      </c>
      <c r="R217" s="121">
        <f t="shared" si="129"/>
        <v>8.333333333333337E-2</v>
      </c>
      <c r="S217" s="121" t="str">
        <f t="shared" si="130"/>
        <v/>
      </c>
      <c r="T217" s="121" t="str">
        <f t="shared" si="131"/>
        <v/>
      </c>
      <c r="U217" s="121">
        <f t="shared" si="132"/>
        <v>1</v>
      </c>
    </row>
    <row r="218" spans="1:21" x14ac:dyDescent="0.3">
      <c r="A218" s="187">
        <v>32</v>
      </c>
      <c r="B218" s="242">
        <f t="shared" si="133"/>
        <v>46600</v>
      </c>
      <c r="C218" s="243">
        <f t="shared" si="114"/>
        <v>46630</v>
      </c>
      <c r="D218" s="120">
        <f t="shared" si="115"/>
        <v>31</v>
      </c>
      <c r="E218" s="120">
        <f t="shared" si="116"/>
        <v>8</v>
      </c>
      <c r="F218" s="275">
        <f t="shared" si="117"/>
        <v>46615.5</v>
      </c>
      <c r="G218" s="120">
        <f t="shared" si="118"/>
        <v>24331</v>
      </c>
      <c r="H218" s="245">
        <f t="shared" si="119"/>
        <v>1</v>
      </c>
      <c r="I218" s="121">
        <f t="shared" si="120"/>
        <v>1</v>
      </c>
      <c r="J218" s="121">
        <f t="shared" si="121"/>
        <v>1</v>
      </c>
      <c r="K218" s="120">
        <f t="shared" si="122"/>
        <v>0</v>
      </c>
      <c r="L218" s="120">
        <f t="shared" si="123"/>
        <v>0</v>
      </c>
      <c r="M218" s="246">
        <f t="shared" si="124"/>
        <v>0</v>
      </c>
      <c r="N218" s="121">
        <f t="shared" si="125"/>
        <v>1</v>
      </c>
      <c r="O218" s="246">
        <f t="shared" si="126"/>
        <v>0.92398249452954051</v>
      </c>
      <c r="P218" s="121">
        <f t="shared" si="127"/>
        <v>0</v>
      </c>
      <c r="Q218" s="121">
        <f t="shared" si="128"/>
        <v>0.75</v>
      </c>
      <c r="R218" s="121">
        <f t="shared" si="129"/>
        <v>0.25</v>
      </c>
      <c r="S218" s="121" t="str">
        <f t="shared" si="130"/>
        <v/>
      </c>
      <c r="T218" s="121" t="str">
        <f t="shared" si="131"/>
        <v/>
      </c>
      <c r="U218" s="121">
        <f t="shared" si="132"/>
        <v>1</v>
      </c>
    </row>
    <row r="219" spans="1:21" x14ac:dyDescent="0.3">
      <c r="A219" s="187">
        <v>33</v>
      </c>
      <c r="B219" s="242">
        <f t="shared" si="133"/>
        <v>46631</v>
      </c>
      <c r="C219" s="243">
        <f t="shared" si="114"/>
        <v>46660</v>
      </c>
      <c r="D219" s="120">
        <f t="shared" si="115"/>
        <v>30</v>
      </c>
      <c r="E219" s="120">
        <f t="shared" si="116"/>
        <v>9</v>
      </c>
      <c r="F219" s="275">
        <f t="shared" si="117"/>
        <v>46646</v>
      </c>
      <c r="G219" s="120">
        <f t="shared" si="118"/>
        <v>24332</v>
      </c>
      <c r="H219" s="245">
        <f t="shared" si="119"/>
        <v>1</v>
      </c>
      <c r="I219" s="121">
        <f t="shared" si="120"/>
        <v>1</v>
      </c>
      <c r="J219" s="121">
        <f t="shared" si="121"/>
        <v>1</v>
      </c>
      <c r="K219" s="120">
        <f t="shared" si="122"/>
        <v>0</v>
      </c>
      <c r="L219" s="120">
        <f t="shared" si="123"/>
        <v>0</v>
      </c>
      <c r="M219" s="246">
        <f t="shared" si="124"/>
        <v>0</v>
      </c>
      <c r="N219" s="121">
        <f t="shared" si="125"/>
        <v>1</v>
      </c>
      <c r="O219" s="246">
        <f t="shared" si="126"/>
        <v>0.9253172866520788</v>
      </c>
      <c r="P219" s="121">
        <f t="shared" si="127"/>
        <v>0</v>
      </c>
      <c r="Q219" s="121">
        <f t="shared" si="128"/>
        <v>0.58333333333333337</v>
      </c>
      <c r="R219" s="121">
        <f t="shared" si="129"/>
        <v>0.41666666666666663</v>
      </c>
      <c r="S219" s="121" t="str">
        <f t="shared" si="130"/>
        <v/>
      </c>
      <c r="T219" s="121" t="str">
        <f t="shared" si="131"/>
        <v/>
      </c>
      <c r="U219" s="121">
        <f t="shared" si="132"/>
        <v>1</v>
      </c>
    </row>
    <row r="220" spans="1:21" x14ac:dyDescent="0.3">
      <c r="A220" s="187">
        <v>34</v>
      </c>
      <c r="B220" s="242">
        <f t="shared" si="133"/>
        <v>46661</v>
      </c>
      <c r="C220" s="243">
        <f t="shared" si="114"/>
        <v>46691</v>
      </c>
      <c r="D220" s="120">
        <f t="shared" si="115"/>
        <v>31</v>
      </c>
      <c r="E220" s="120">
        <f t="shared" si="116"/>
        <v>10</v>
      </c>
      <c r="F220" s="275">
        <f t="shared" si="117"/>
        <v>46676.5</v>
      </c>
      <c r="G220" s="120">
        <f t="shared" si="118"/>
        <v>24333</v>
      </c>
      <c r="H220" s="245">
        <f t="shared" si="119"/>
        <v>1</v>
      </c>
      <c r="I220" s="121">
        <f t="shared" si="120"/>
        <v>1</v>
      </c>
      <c r="J220" s="121">
        <f t="shared" si="121"/>
        <v>1</v>
      </c>
      <c r="K220" s="120">
        <f t="shared" si="122"/>
        <v>0</v>
      </c>
      <c r="L220" s="120">
        <f t="shared" si="123"/>
        <v>0</v>
      </c>
      <c r="M220" s="246">
        <f t="shared" si="124"/>
        <v>0</v>
      </c>
      <c r="N220" s="121">
        <f t="shared" si="125"/>
        <v>1</v>
      </c>
      <c r="O220" s="246">
        <f t="shared" si="126"/>
        <v>0.92665207877461708</v>
      </c>
      <c r="P220" s="121">
        <f t="shared" si="127"/>
        <v>0</v>
      </c>
      <c r="Q220" s="121">
        <f t="shared" si="128"/>
        <v>0.41666666666666669</v>
      </c>
      <c r="R220" s="121">
        <f t="shared" si="129"/>
        <v>0.58333333333333326</v>
      </c>
      <c r="S220" s="121" t="str">
        <f t="shared" si="130"/>
        <v/>
      </c>
      <c r="T220" s="121" t="str">
        <f t="shared" si="131"/>
        <v/>
      </c>
      <c r="U220" s="121">
        <f t="shared" si="132"/>
        <v>1</v>
      </c>
    </row>
    <row r="221" spans="1:21" x14ac:dyDescent="0.3">
      <c r="A221" s="187">
        <v>35</v>
      </c>
      <c r="B221" s="242">
        <f t="shared" si="133"/>
        <v>46692</v>
      </c>
      <c r="C221" s="243">
        <f t="shared" si="114"/>
        <v>46721</v>
      </c>
      <c r="D221" s="120">
        <f t="shared" si="115"/>
        <v>30</v>
      </c>
      <c r="E221" s="120">
        <f t="shared" si="116"/>
        <v>11</v>
      </c>
      <c r="F221" s="275">
        <f t="shared" si="117"/>
        <v>46707</v>
      </c>
      <c r="G221" s="120">
        <f t="shared" si="118"/>
        <v>24334</v>
      </c>
      <c r="H221" s="245">
        <f t="shared" si="119"/>
        <v>1</v>
      </c>
      <c r="I221" s="121">
        <f t="shared" si="120"/>
        <v>1</v>
      </c>
      <c r="J221" s="121">
        <f t="shared" si="121"/>
        <v>1</v>
      </c>
      <c r="K221" s="120">
        <f t="shared" si="122"/>
        <v>0</v>
      </c>
      <c r="L221" s="120">
        <f t="shared" si="123"/>
        <v>0</v>
      </c>
      <c r="M221" s="246">
        <f t="shared" si="124"/>
        <v>0</v>
      </c>
      <c r="N221" s="121">
        <f t="shared" si="125"/>
        <v>1</v>
      </c>
      <c r="O221" s="246">
        <f t="shared" si="126"/>
        <v>0.92798687089715537</v>
      </c>
      <c r="P221" s="121">
        <f t="shared" si="127"/>
        <v>0</v>
      </c>
      <c r="Q221" s="121">
        <f t="shared" si="128"/>
        <v>0.25</v>
      </c>
      <c r="R221" s="121">
        <f t="shared" si="129"/>
        <v>0.75</v>
      </c>
      <c r="S221" s="121" t="str">
        <f t="shared" si="130"/>
        <v/>
      </c>
      <c r="T221" s="121" t="str">
        <f t="shared" si="131"/>
        <v/>
      </c>
      <c r="U221" s="121">
        <f t="shared" si="132"/>
        <v>1</v>
      </c>
    </row>
    <row r="222" spans="1:21" x14ac:dyDescent="0.3">
      <c r="A222" s="187">
        <v>36</v>
      </c>
      <c r="B222" s="242">
        <f t="shared" si="133"/>
        <v>46722</v>
      </c>
      <c r="C222" s="243">
        <f t="shared" si="114"/>
        <v>46752</v>
      </c>
      <c r="D222" s="120">
        <f t="shared" si="115"/>
        <v>31</v>
      </c>
      <c r="E222" s="120">
        <f t="shared" si="116"/>
        <v>12</v>
      </c>
      <c r="F222" s="275">
        <f t="shared" si="117"/>
        <v>46737.5</v>
      </c>
      <c r="G222" s="120">
        <f t="shared" si="118"/>
        <v>24335</v>
      </c>
      <c r="H222" s="245">
        <f t="shared" si="119"/>
        <v>1</v>
      </c>
      <c r="I222" s="121">
        <f t="shared" si="120"/>
        <v>1</v>
      </c>
      <c r="J222" s="121">
        <f t="shared" si="121"/>
        <v>1</v>
      </c>
      <c r="K222" s="120">
        <f t="shared" si="122"/>
        <v>0</v>
      </c>
      <c r="L222" s="120">
        <f t="shared" si="123"/>
        <v>0</v>
      </c>
      <c r="M222" s="246">
        <f t="shared" si="124"/>
        <v>0</v>
      </c>
      <c r="N222" s="121">
        <f t="shared" si="125"/>
        <v>1</v>
      </c>
      <c r="O222" s="246">
        <f t="shared" si="126"/>
        <v>0.92932166301969366</v>
      </c>
      <c r="P222" s="121">
        <f t="shared" si="127"/>
        <v>0</v>
      </c>
      <c r="Q222" s="121">
        <f t="shared" si="128"/>
        <v>8.3333333333333329E-2</v>
      </c>
      <c r="R222" s="121">
        <f t="shared" si="129"/>
        <v>0.91666666666666663</v>
      </c>
      <c r="S222" s="121" t="str">
        <f t="shared" si="130"/>
        <v/>
      </c>
      <c r="T222" s="121" t="str">
        <f t="shared" si="131"/>
        <v/>
      </c>
      <c r="U222" s="121">
        <f t="shared" si="132"/>
        <v>1</v>
      </c>
    </row>
    <row r="223" spans="1:21" x14ac:dyDescent="0.3">
      <c r="A223" s="187">
        <v>37</v>
      </c>
      <c r="B223" s="242">
        <f t="shared" si="133"/>
        <v>46753</v>
      </c>
      <c r="C223" s="243">
        <f t="shared" si="114"/>
        <v>46783</v>
      </c>
      <c r="D223" s="120">
        <f t="shared" si="115"/>
        <v>31</v>
      </c>
      <c r="E223" s="120">
        <f t="shared" si="116"/>
        <v>1</v>
      </c>
      <c r="F223" s="275">
        <f t="shared" si="117"/>
        <v>46768.5</v>
      </c>
      <c r="G223" s="120">
        <f t="shared" si="118"/>
        <v>24336</v>
      </c>
      <c r="H223" s="245">
        <f t="shared" si="119"/>
        <v>1</v>
      </c>
      <c r="I223" s="121">
        <f t="shared" si="120"/>
        <v>1</v>
      </c>
      <c r="J223" s="121">
        <f t="shared" si="121"/>
        <v>1</v>
      </c>
      <c r="K223" s="120">
        <f t="shared" si="122"/>
        <v>0</v>
      </c>
      <c r="L223" s="120">
        <f t="shared" si="123"/>
        <v>0</v>
      </c>
      <c r="M223" s="246">
        <f t="shared" si="124"/>
        <v>0</v>
      </c>
      <c r="N223" s="121">
        <f t="shared" si="125"/>
        <v>1</v>
      </c>
      <c r="O223" s="246">
        <f t="shared" si="126"/>
        <v>0.93</v>
      </c>
      <c r="P223" s="121">
        <f t="shared" si="127"/>
        <v>0</v>
      </c>
      <c r="Q223" s="121">
        <f t="shared" si="128"/>
        <v>0</v>
      </c>
      <c r="R223" s="121">
        <f t="shared" si="129"/>
        <v>1</v>
      </c>
      <c r="S223" s="121" t="str">
        <f t="shared" si="130"/>
        <v/>
      </c>
      <c r="T223" s="121" t="str">
        <f t="shared" si="131"/>
        <v/>
      </c>
      <c r="U223" s="121">
        <f t="shared" si="132"/>
        <v>1</v>
      </c>
    </row>
    <row r="224" spans="1:21" x14ac:dyDescent="0.3">
      <c r="A224" s="187">
        <v>38</v>
      </c>
      <c r="B224" s="242">
        <f t="shared" si="133"/>
        <v>46784</v>
      </c>
      <c r="C224" s="243">
        <f t="shared" si="114"/>
        <v>46812</v>
      </c>
      <c r="D224" s="120">
        <f t="shared" si="115"/>
        <v>29</v>
      </c>
      <c r="E224" s="120">
        <f t="shared" si="116"/>
        <v>2</v>
      </c>
      <c r="F224" s="275">
        <f t="shared" si="117"/>
        <v>46798.5</v>
      </c>
      <c r="G224" s="120">
        <f t="shared" si="118"/>
        <v>24337</v>
      </c>
      <c r="H224" s="245">
        <f t="shared" si="119"/>
        <v>1</v>
      </c>
      <c r="I224" s="121">
        <f t="shared" si="120"/>
        <v>1</v>
      </c>
      <c r="J224" s="121">
        <f t="shared" si="121"/>
        <v>1</v>
      </c>
      <c r="K224" s="120">
        <f t="shared" si="122"/>
        <v>0</v>
      </c>
      <c r="L224" s="120">
        <f t="shared" si="123"/>
        <v>0</v>
      </c>
      <c r="M224" s="246">
        <f t="shared" si="124"/>
        <v>0</v>
      </c>
      <c r="N224" s="121">
        <f t="shared" si="125"/>
        <v>1</v>
      </c>
      <c r="O224" s="246">
        <f t="shared" si="126"/>
        <v>0.93</v>
      </c>
      <c r="P224" s="121">
        <f t="shared" si="127"/>
        <v>0</v>
      </c>
      <c r="Q224" s="121">
        <f t="shared" si="128"/>
        <v>0</v>
      </c>
      <c r="R224" s="121">
        <f t="shared" si="129"/>
        <v>1</v>
      </c>
      <c r="S224" s="121" t="str">
        <f t="shared" si="130"/>
        <v/>
      </c>
      <c r="T224" s="121" t="str">
        <f t="shared" si="131"/>
        <v/>
      </c>
      <c r="U224" s="121">
        <f t="shared" si="132"/>
        <v>1</v>
      </c>
    </row>
    <row r="225" spans="1:21" x14ac:dyDescent="0.3">
      <c r="A225" s="187">
        <v>39</v>
      </c>
      <c r="B225" s="242">
        <f t="shared" si="133"/>
        <v>46813</v>
      </c>
      <c r="C225" s="243">
        <f t="shared" si="114"/>
        <v>46843</v>
      </c>
      <c r="D225" s="120">
        <f t="shared" si="115"/>
        <v>31</v>
      </c>
      <c r="E225" s="120">
        <f t="shared" si="116"/>
        <v>3</v>
      </c>
      <c r="F225" s="275">
        <f t="shared" si="117"/>
        <v>46828.5</v>
      </c>
      <c r="G225" s="120">
        <f t="shared" si="118"/>
        <v>24338</v>
      </c>
      <c r="H225" s="245">
        <f t="shared" si="119"/>
        <v>1</v>
      </c>
      <c r="I225" s="121">
        <f t="shared" si="120"/>
        <v>1</v>
      </c>
      <c r="J225" s="121">
        <f t="shared" si="121"/>
        <v>1</v>
      </c>
      <c r="K225" s="120">
        <f t="shared" si="122"/>
        <v>0</v>
      </c>
      <c r="L225" s="120">
        <f t="shared" si="123"/>
        <v>0</v>
      </c>
      <c r="M225" s="246">
        <f t="shared" si="124"/>
        <v>0</v>
      </c>
      <c r="N225" s="121">
        <f t="shared" si="125"/>
        <v>1</v>
      </c>
      <c r="O225" s="246">
        <f t="shared" si="126"/>
        <v>0.93</v>
      </c>
      <c r="P225" s="121">
        <f t="shared" si="127"/>
        <v>0</v>
      </c>
      <c r="Q225" s="121">
        <f t="shared" si="128"/>
        <v>0</v>
      </c>
      <c r="R225" s="121">
        <f t="shared" si="129"/>
        <v>1</v>
      </c>
      <c r="S225" s="121" t="str">
        <f t="shared" si="130"/>
        <v/>
      </c>
      <c r="T225" s="121" t="str">
        <f t="shared" si="131"/>
        <v/>
      </c>
      <c r="U225" s="121">
        <f t="shared" si="132"/>
        <v>1</v>
      </c>
    </row>
    <row r="226" spans="1:21" x14ac:dyDescent="0.3">
      <c r="A226" s="187">
        <v>40</v>
      </c>
      <c r="B226" s="242">
        <f t="shared" si="133"/>
        <v>46844</v>
      </c>
      <c r="C226" s="243">
        <f t="shared" si="114"/>
        <v>46873</v>
      </c>
      <c r="D226" s="120">
        <f t="shared" si="115"/>
        <v>30</v>
      </c>
      <c r="E226" s="120">
        <f t="shared" si="116"/>
        <v>4</v>
      </c>
      <c r="F226" s="275">
        <f t="shared" si="117"/>
        <v>46859</v>
      </c>
      <c r="G226" s="120">
        <f t="shared" si="118"/>
        <v>24339</v>
      </c>
      <c r="H226" s="245">
        <f t="shared" si="119"/>
        <v>1</v>
      </c>
      <c r="I226" s="121">
        <f t="shared" si="120"/>
        <v>1</v>
      </c>
      <c r="J226" s="121">
        <f t="shared" si="121"/>
        <v>1</v>
      </c>
      <c r="K226" s="120">
        <f t="shared" si="122"/>
        <v>0</v>
      </c>
      <c r="L226" s="120">
        <f t="shared" si="123"/>
        <v>0</v>
      </c>
      <c r="M226" s="246">
        <f t="shared" si="124"/>
        <v>0</v>
      </c>
      <c r="N226" s="121">
        <f t="shared" si="125"/>
        <v>1</v>
      </c>
      <c r="O226" s="246">
        <f t="shared" si="126"/>
        <v>0.93</v>
      </c>
      <c r="P226" s="121">
        <f t="shared" si="127"/>
        <v>0</v>
      </c>
      <c r="Q226" s="121">
        <f t="shared" si="128"/>
        <v>0</v>
      </c>
      <c r="R226" s="121">
        <f t="shared" si="129"/>
        <v>1</v>
      </c>
      <c r="S226" s="121" t="str">
        <f t="shared" si="130"/>
        <v/>
      </c>
      <c r="T226" s="121" t="str">
        <f t="shared" si="131"/>
        <v/>
      </c>
      <c r="U226" s="121">
        <f t="shared" si="132"/>
        <v>1</v>
      </c>
    </row>
    <row r="227" spans="1:21" x14ac:dyDescent="0.3">
      <c r="A227" s="187">
        <v>41</v>
      </c>
      <c r="B227" s="242">
        <f t="shared" si="133"/>
        <v>46874</v>
      </c>
      <c r="C227" s="243">
        <f t="shared" si="114"/>
        <v>46904</v>
      </c>
      <c r="D227" s="120">
        <f t="shared" si="115"/>
        <v>31</v>
      </c>
      <c r="E227" s="120">
        <f t="shared" si="116"/>
        <v>5</v>
      </c>
      <c r="F227" s="275">
        <f t="shared" si="117"/>
        <v>46889.5</v>
      </c>
      <c r="G227" s="120">
        <f t="shared" si="118"/>
        <v>24340</v>
      </c>
      <c r="H227" s="245">
        <f t="shared" si="119"/>
        <v>1</v>
      </c>
      <c r="I227" s="121">
        <f t="shared" si="120"/>
        <v>1</v>
      </c>
      <c r="J227" s="121">
        <f t="shared" si="121"/>
        <v>1</v>
      </c>
      <c r="K227" s="120">
        <f t="shared" si="122"/>
        <v>0</v>
      </c>
      <c r="L227" s="120">
        <f t="shared" si="123"/>
        <v>0</v>
      </c>
      <c r="M227" s="246">
        <f t="shared" si="124"/>
        <v>0</v>
      </c>
      <c r="N227" s="121">
        <f t="shared" si="125"/>
        <v>1</v>
      </c>
      <c r="O227" s="246">
        <f t="shared" si="126"/>
        <v>0.93</v>
      </c>
      <c r="P227" s="121">
        <f t="shared" si="127"/>
        <v>0</v>
      </c>
      <c r="Q227" s="121">
        <f t="shared" si="128"/>
        <v>0</v>
      </c>
      <c r="R227" s="121">
        <f t="shared" si="129"/>
        <v>1</v>
      </c>
      <c r="S227" s="121" t="str">
        <f t="shared" si="130"/>
        <v/>
      </c>
      <c r="T227" s="121" t="str">
        <f t="shared" si="131"/>
        <v/>
      </c>
      <c r="U227" s="121">
        <f t="shared" si="132"/>
        <v>1</v>
      </c>
    </row>
    <row r="228" spans="1:21" x14ac:dyDescent="0.3">
      <c r="A228" s="187">
        <v>42</v>
      </c>
      <c r="B228" s="242">
        <f t="shared" si="133"/>
        <v>46905</v>
      </c>
      <c r="C228" s="243">
        <f t="shared" si="114"/>
        <v>46934</v>
      </c>
      <c r="D228" s="120">
        <f t="shared" si="115"/>
        <v>30</v>
      </c>
      <c r="E228" s="120">
        <f t="shared" si="116"/>
        <v>6</v>
      </c>
      <c r="F228" s="275">
        <f t="shared" si="117"/>
        <v>46920</v>
      </c>
      <c r="G228" s="120">
        <f t="shared" si="118"/>
        <v>24341</v>
      </c>
      <c r="H228" s="245">
        <f t="shared" si="119"/>
        <v>1</v>
      </c>
      <c r="I228" s="121">
        <f t="shared" si="120"/>
        <v>1</v>
      </c>
      <c r="J228" s="121">
        <f t="shared" si="121"/>
        <v>1</v>
      </c>
      <c r="K228" s="120">
        <f t="shared" si="122"/>
        <v>0</v>
      </c>
      <c r="L228" s="120">
        <f t="shared" si="123"/>
        <v>0</v>
      </c>
      <c r="M228" s="246">
        <f t="shared" si="124"/>
        <v>0</v>
      </c>
      <c r="N228" s="121">
        <f t="shared" si="125"/>
        <v>1</v>
      </c>
      <c r="O228" s="246">
        <f t="shared" si="126"/>
        <v>0.93</v>
      </c>
      <c r="P228" s="121">
        <f t="shared" si="127"/>
        <v>0</v>
      </c>
      <c r="Q228" s="121">
        <f t="shared" si="128"/>
        <v>0</v>
      </c>
      <c r="R228" s="121">
        <f t="shared" si="129"/>
        <v>1</v>
      </c>
      <c r="S228" s="121" t="str">
        <f t="shared" si="130"/>
        <v/>
      </c>
      <c r="T228" s="121" t="str">
        <f t="shared" si="131"/>
        <v/>
      </c>
      <c r="U228" s="121">
        <f t="shared" si="132"/>
        <v>1</v>
      </c>
    </row>
    <row r="229" spans="1:21" x14ac:dyDescent="0.3">
      <c r="A229" s="187">
        <v>43</v>
      </c>
      <c r="B229" s="242">
        <f t="shared" si="133"/>
        <v>46935</v>
      </c>
      <c r="C229" s="243">
        <f t="shared" si="114"/>
        <v>46965</v>
      </c>
      <c r="D229" s="120">
        <f t="shared" si="115"/>
        <v>31</v>
      </c>
      <c r="E229" s="120">
        <f t="shared" si="116"/>
        <v>7</v>
      </c>
      <c r="F229" s="275">
        <f t="shared" si="117"/>
        <v>46950.5</v>
      </c>
      <c r="G229" s="120">
        <f t="shared" si="118"/>
        <v>24342</v>
      </c>
      <c r="H229" s="245">
        <f t="shared" si="119"/>
        <v>1</v>
      </c>
      <c r="I229" s="121">
        <f t="shared" si="120"/>
        <v>1</v>
      </c>
      <c r="J229" s="121">
        <f t="shared" si="121"/>
        <v>1</v>
      </c>
      <c r="K229" s="120">
        <f t="shared" si="122"/>
        <v>0</v>
      </c>
      <c r="L229" s="120">
        <f t="shared" si="123"/>
        <v>0</v>
      </c>
      <c r="M229" s="246">
        <f t="shared" si="124"/>
        <v>0</v>
      </c>
      <c r="N229" s="121">
        <f t="shared" si="125"/>
        <v>1</v>
      </c>
      <c r="O229" s="246">
        <f t="shared" si="126"/>
        <v>0.93</v>
      </c>
      <c r="P229" s="121">
        <f t="shared" si="127"/>
        <v>0</v>
      </c>
      <c r="Q229" s="121">
        <f t="shared" si="128"/>
        <v>0</v>
      </c>
      <c r="R229" s="121">
        <f t="shared" si="129"/>
        <v>0.91666666666666663</v>
      </c>
      <c r="S229" s="121" t="str">
        <f t="shared" si="130"/>
        <v/>
      </c>
      <c r="T229" s="121" t="str">
        <f t="shared" si="131"/>
        <v/>
      </c>
      <c r="U229" s="121">
        <f t="shared" si="132"/>
        <v>1</v>
      </c>
    </row>
    <row r="230" spans="1:21" x14ac:dyDescent="0.3">
      <c r="A230" s="187">
        <v>44</v>
      </c>
      <c r="B230" s="242">
        <f t="shared" si="133"/>
        <v>46966</v>
      </c>
      <c r="C230" s="243">
        <f t="shared" si="114"/>
        <v>46996</v>
      </c>
      <c r="D230" s="120">
        <f t="shared" si="115"/>
        <v>31</v>
      </c>
      <c r="E230" s="120">
        <f t="shared" si="116"/>
        <v>8</v>
      </c>
      <c r="F230" s="275">
        <f t="shared" si="117"/>
        <v>46981.5</v>
      </c>
      <c r="G230" s="120">
        <f t="shared" si="118"/>
        <v>24343</v>
      </c>
      <c r="H230" s="245">
        <f t="shared" si="119"/>
        <v>1</v>
      </c>
      <c r="I230" s="121">
        <f t="shared" si="120"/>
        <v>1</v>
      </c>
      <c r="J230" s="121">
        <f t="shared" si="121"/>
        <v>1</v>
      </c>
      <c r="K230" s="120">
        <f t="shared" si="122"/>
        <v>0</v>
      </c>
      <c r="L230" s="120">
        <f t="shared" si="123"/>
        <v>0</v>
      </c>
      <c r="M230" s="246">
        <f t="shared" si="124"/>
        <v>0</v>
      </c>
      <c r="N230" s="121">
        <f t="shared" si="125"/>
        <v>1</v>
      </c>
      <c r="O230" s="246">
        <f t="shared" si="126"/>
        <v>0.93</v>
      </c>
      <c r="P230" s="121">
        <f t="shared" si="127"/>
        <v>0</v>
      </c>
      <c r="Q230" s="121">
        <f t="shared" si="128"/>
        <v>0</v>
      </c>
      <c r="R230" s="121">
        <f t="shared" si="129"/>
        <v>0.75</v>
      </c>
      <c r="S230" s="121" t="str">
        <f t="shared" si="130"/>
        <v/>
      </c>
      <c r="T230" s="121" t="str">
        <f t="shared" si="131"/>
        <v/>
      </c>
      <c r="U230" s="121">
        <f t="shared" si="132"/>
        <v>1</v>
      </c>
    </row>
    <row r="231" spans="1:21" x14ac:dyDescent="0.3">
      <c r="A231" s="187">
        <v>45</v>
      </c>
      <c r="B231" s="242">
        <f t="shared" si="133"/>
        <v>46997</v>
      </c>
      <c r="C231" s="243">
        <f t="shared" si="114"/>
        <v>47026</v>
      </c>
      <c r="D231" s="120">
        <f t="shared" si="115"/>
        <v>30</v>
      </c>
      <c r="E231" s="120">
        <f t="shared" si="116"/>
        <v>9</v>
      </c>
      <c r="F231" s="275">
        <f t="shared" si="117"/>
        <v>47012</v>
      </c>
      <c r="G231" s="120">
        <f t="shared" si="118"/>
        <v>24344</v>
      </c>
      <c r="H231" s="245">
        <f t="shared" si="119"/>
        <v>1</v>
      </c>
      <c r="I231" s="121">
        <f t="shared" si="120"/>
        <v>1</v>
      </c>
      <c r="J231" s="121">
        <f t="shared" si="121"/>
        <v>1</v>
      </c>
      <c r="K231" s="120">
        <f t="shared" si="122"/>
        <v>0</v>
      </c>
      <c r="L231" s="120">
        <f t="shared" si="123"/>
        <v>0</v>
      </c>
      <c r="M231" s="246">
        <f t="shared" si="124"/>
        <v>0</v>
      </c>
      <c r="N231" s="121">
        <f t="shared" si="125"/>
        <v>1</v>
      </c>
      <c r="O231" s="246">
        <f t="shared" si="126"/>
        <v>0.93</v>
      </c>
      <c r="P231" s="121">
        <f t="shared" si="127"/>
        <v>0</v>
      </c>
      <c r="Q231" s="121">
        <f t="shared" si="128"/>
        <v>0</v>
      </c>
      <c r="R231" s="121">
        <f t="shared" si="129"/>
        <v>0.58333333333333337</v>
      </c>
      <c r="S231" s="121" t="str">
        <f t="shared" si="130"/>
        <v/>
      </c>
      <c r="T231" s="121" t="str">
        <f t="shared" si="131"/>
        <v/>
      </c>
      <c r="U231" s="121">
        <f t="shared" si="132"/>
        <v>1</v>
      </c>
    </row>
    <row r="232" spans="1:21" x14ac:dyDescent="0.3">
      <c r="A232" s="187">
        <v>46</v>
      </c>
      <c r="B232" s="242">
        <f t="shared" si="133"/>
        <v>47027</v>
      </c>
      <c r="C232" s="243">
        <f t="shared" si="114"/>
        <v>47057</v>
      </c>
      <c r="D232" s="120">
        <f t="shared" si="115"/>
        <v>31</v>
      </c>
      <c r="E232" s="120">
        <f t="shared" si="116"/>
        <v>10</v>
      </c>
      <c r="F232" s="275">
        <f t="shared" si="117"/>
        <v>47042.5</v>
      </c>
      <c r="G232" s="120">
        <f t="shared" si="118"/>
        <v>24345</v>
      </c>
      <c r="H232" s="245">
        <f t="shared" si="119"/>
        <v>1</v>
      </c>
      <c r="I232" s="121">
        <f t="shared" si="120"/>
        <v>1</v>
      </c>
      <c r="J232" s="121">
        <f t="shared" si="121"/>
        <v>1</v>
      </c>
      <c r="K232" s="120">
        <f t="shared" si="122"/>
        <v>0</v>
      </c>
      <c r="L232" s="120">
        <f t="shared" si="123"/>
        <v>0</v>
      </c>
      <c r="M232" s="246">
        <f t="shared" si="124"/>
        <v>0</v>
      </c>
      <c r="N232" s="121">
        <f t="shared" si="125"/>
        <v>1</v>
      </c>
      <c r="O232" s="246">
        <f t="shared" si="126"/>
        <v>0.93</v>
      </c>
      <c r="P232" s="121">
        <f t="shared" si="127"/>
        <v>0</v>
      </c>
      <c r="Q232" s="121">
        <f t="shared" si="128"/>
        <v>0</v>
      </c>
      <c r="R232" s="121">
        <f t="shared" si="129"/>
        <v>0.41666666666666669</v>
      </c>
      <c r="S232" s="121" t="str">
        <f t="shared" si="130"/>
        <v/>
      </c>
      <c r="T232" s="121" t="str">
        <f t="shared" si="131"/>
        <v/>
      </c>
      <c r="U232" s="121">
        <f t="shared" si="132"/>
        <v>1</v>
      </c>
    </row>
    <row r="233" spans="1:21" x14ac:dyDescent="0.3">
      <c r="A233" s="187">
        <v>47</v>
      </c>
      <c r="B233" s="242">
        <f t="shared" si="133"/>
        <v>47058</v>
      </c>
      <c r="C233" s="243">
        <f t="shared" si="114"/>
        <v>47087</v>
      </c>
      <c r="D233" s="120">
        <f t="shared" si="115"/>
        <v>30</v>
      </c>
      <c r="E233" s="120">
        <f t="shared" si="116"/>
        <v>11</v>
      </c>
      <c r="F233" s="275">
        <f t="shared" si="117"/>
        <v>47073</v>
      </c>
      <c r="G233" s="120">
        <f t="shared" si="118"/>
        <v>24346</v>
      </c>
      <c r="H233" s="245">
        <f t="shared" si="119"/>
        <v>1</v>
      </c>
      <c r="I233" s="121">
        <f t="shared" si="120"/>
        <v>1</v>
      </c>
      <c r="J233" s="121">
        <f t="shared" si="121"/>
        <v>1</v>
      </c>
      <c r="K233" s="120">
        <f t="shared" si="122"/>
        <v>0</v>
      </c>
      <c r="L233" s="120">
        <f t="shared" si="123"/>
        <v>0</v>
      </c>
      <c r="M233" s="246">
        <f t="shared" si="124"/>
        <v>0</v>
      </c>
      <c r="N233" s="121">
        <f t="shared" si="125"/>
        <v>1</v>
      </c>
      <c r="O233" s="246">
        <f t="shared" si="126"/>
        <v>0.93</v>
      </c>
      <c r="P233" s="121">
        <f t="shared" si="127"/>
        <v>0</v>
      </c>
      <c r="Q233" s="121">
        <f t="shared" si="128"/>
        <v>0</v>
      </c>
      <c r="R233" s="121">
        <f t="shared" si="129"/>
        <v>0.25</v>
      </c>
      <c r="S233" s="121" t="str">
        <f t="shared" si="130"/>
        <v/>
      </c>
      <c r="T233" s="121" t="str">
        <f t="shared" si="131"/>
        <v/>
      </c>
      <c r="U233" s="121">
        <f t="shared" si="132"/>
        <v>1</v>
      </c>
    </row>
    <row r="234" spans="1:21" x14ac:dyDescent="0.3">
      <c r="A234" s="187">
        <v>48</v>
      </c>
      <c r="B234" s="242">
        <f t="shared" si="133"/>
        <v>47088</v>
      </c>
      <c r="C234" s="243">
        <f t="shared" si="114"/>
        <v>47118</v>
      </c>
      <c r="D234" s="120">
        <f t="shared" si="115"/>
        <v>31</v>
      </c>
      <c r="E234" s="120">
        <f t="shared" si="116"/>
        <v>12</v>
      </c>
      <c r="F234" s="275">
        <f t="shared" si="117"/>
        <v>47103.5</v>
      </c>
      <c r="G234" s="120">
        <f t="shared" si="118"/>
        <v>24347</v>
      </c>
      <c r="H234" s="245">
        <f t="shared" si="119"/>
        <v>1</v>
      </c>
      <c r="I234" s="121">
        <f t="shared" si="120"/>
        <v>1</v>
      </c>
      <c r="J234" s="121">
        <f t="shared" si="121"/>
        <v>1</v>
      </c>
      <c r="K234" s="120">
        <f t="shared" si="122"/>
        <v>0</v>
      </c>
      <c r="L234" s="120">
        <f t="shared" si="123"/>
        <v>0</v>
      </c>
      <c r="M234" s="246">
        <f t="shared" si="124"/>
        <v>0</v>
      </c>
      <c r="N234" s="121">
        <f t="shared" si="125"/>
        <v>1</v>
      </c>
      <c r="O234" s="246">
        <f t="shared" si="126"/>
        <v>0.93</v>
      </c>
      <c r="P234" s="121">
        <f t="shared" si="127"/>
        <v>0</v>
      </c>
      <c r="Q234" s="121">
        <f t="shared" si="128"/>
        <v>0</v>
      </c>
      <c r="R234" s="121">
        <f t="shared" si="129"/>
        <v>8.3333333333333329E-2</v>
      </c>
      <c r="S234" s="121" t="str">
        <f t="shared" si="130"/>
        <v/>
      </c>
      <c r="T234" s="121" t="str">
        <f t="shared" si="131"/>
        <v/>
      </c>
      <c r="U234" s="121">
        <f t="shared" si="132"/>
        <v>1</v>
      </c>
    </row>
    <row r="235" spans="1:21" x14ac:dyDescent="0.3">
      <c r="A235" s="6" t="s">
        <v>1651</v>
      </c>
      <c r="B235" s="73">
        <f>EXP(SUMPRODUCT((rl_key=$A$184)*(rl_cons="Y")*rl_ln1p))</f>
        <v>1</v>
      </c>
      <c r="C235" s="73">
        <f>SUMPRODUCT($H$187:$H$234,$P$187:$P$234,$U$187:$U$234)/SUMPRODUCT($H$187:$H$234,$P$187:$P$234)</f>
        <v>1</v>
      </c>
      <c r="D235" s="73">
        <f>SUMPRODUCT($H$187:$H$234,$Q$187:$Q$234,$U$187:$U$234)/SUMPRODUCT($H$187:$H$234,$Q$187:$Q$234)</f>
        <v>1</v>
      </c>
      <c r="E235" s="73">
        <f>SUMPRODUCT($H$187:$H$234,$R$187:$R$234,$U$187:$U$234)/SUMPRODUCT($H$187:$H$234,$R$187:$R$234)</f>
        <v>1</v>
      </c>
      <c r="F235" s="224">
        <f>SUMPRODUCT($H$187:$H$234,$Q$187:$Q$234,$O$187:$O$234)/SUMPRODUCT($H$187:$H$234,$Q$187:$Q$234)</f>
        <v>0.91798504741064912</v>
      </c>
      <c r="G235" s="224">
        <f>SUMPRODUCT($H$187:$H$234,$R$187:$R$234,$O$187:$O$234)/SUMPRODUCT($H$187:$H$234,$R$187:$R$234)</f>
        <v>0.92932044736202268</v>
      </c>
      <c r="H235" s="73">
        <f>SUMPRODUCT($H$211:$H$222,$N$211:$N$222/$N$199:$N$210)/SUM($H$211:$H$222)</f>
        <v>1</v>
      </c>
      <c r="I235" s="73">
        <f>SUMPRODUCT($H$211:$H$222,$O$211:$O$222/$O$199:$O$210)/SUM($H$211:$H$222)</f>
        <v>1.0176314239537807</v>
      </c>
      <c r="J235" s="73">
        <f>IF($O$184=1,SUMPRODUCT($H$211:$H$222,$N$211:$N$222/$N$199:$N$210*$O$211:$O$222/$O$199:$O$210)/SUM($H$211:$H$222),$H235)</f>
        <v>1.0176314239537807</v>
      </c>
      <c r="K235" s="73">
        <f>SUMPRODUCT($H$187:$H$234,$Q$187:$Q$234,$N$187:$N$234)/SUMPRODUCT($H$187:$H$234,$Q$187:$Q$234)</f>
        <v>1</v>
      </c>
      <c r="L235" s="73">
        <f>SUMPRODUCT($H$187:$H$234,$R$187:$R$234,$N$187:$N$234)/SUMPRODUCT($H$187:$H$234,$R$187:$R$234)</f>
        <v>1</v>
      </c>
    </row>
    <row r="238" spans="1:21" x14ac:dyDescent="0.3">
      <c r="A238" s="6" t="str">
        <f>INDEX(lr_key,4)</f>
        <v>ABD|FL</v>
      </c>
      <c r="B238" s="6" t="str">
        <f>INDEX(lr_state,4)</f>
        <v>FL</v>
      </c>
      <c r="C238" s="75">
        <f>nr_TermMonths</f>
        <v>6</v>
      </c>
      <c r="D238" s="75">
        <f>IF(COUNTIF(se_state,$B238)=0,0,MATCH($B238,se_state,0))</f>
        <v>0</v>
      </c>
      <c r="E238" s="70">
        <f>IF($D238=0,0,INDEX(se_sum,$D238))</f>
        <v>0</v>
      </c>
      <c r="F238" s="224">
        <f>IF(N(INDEX(lr_mind,4))=0,1,INDEX(lr_mind,4))</f>
        <v>0.92</v>
      </c>
      <c r="G238" s="224">
        <f>IF(N(INDEX(lr_m0,4))=0,1,INDEX(lr_m0,4))</f>
        <v>0.92</v>
      </c>
      <c r="H238" s="74">
        <f>IF(N(INDEX(lr_m0asof,4))=0,DATE(nr_PlanYear-1,10,1),INDEX(lr_m0asof,4))</f>
        <v>46295</v>
      </c>
      <c r="I238" s="224">
        <f>IF(N(INDEX(lr_m1,4))=0,1,INDEX(lr_m1,4))</f>
        <v>0.92</v>
      </c>
      <c r="J238" s="224">
        <f>INDEX(lr_mprior,4)</f>
        <v>0</v>
      </c>
      <c r="K238" s="224">
        <f>INDEX(lr_m2,4)</f>
        <v>0</v>
      </c>
      <c r="L238" s="6" t="b">
        <f>NOT(ISBLANK(INDEX(lr_netp,4)))</f>
        <v>0</v>
      </c>
      <c r="M238" s="72">
        <f>N(INDEX(lr_netp,4))</f>
        <v>0</v>
      </c>
      <c r="N238" s="72">
        <f>IF(ISBLANK(INDEX(lr_netp1,4)),$M$238,N(INDEX(lr_netp1,4)))</f>
        <v>0</v>
      </c>
      <c r="O238" s="75">
        <f>IF(AND(nr_ModAdjMaster="ON",INDEX(lr_modadj,4)="ON"),1,0)</f>
        <v>0</v>
      </c>
    </row>
    <row r="239" spans="1:21" x14ac:dyDescent="0.3">
      <c r="A239" s="6">
        <f>EDATE($H$238,-12)+1</f>
        <v>45931</v>
      </c>
      <c r="B239" s="6">
        <f>$H$238+1</f>
        <v>46296</v>
      </c>
      <c r="C239" s="6">
        <f>DATE(nr_PlanYear,12,31)+1</f>
        <v>46753</v>
      </c>
      <c r="D239" s="6">
        <f>DATE(nr_PlanYear+1,12,31)+1</f>
        <v>47119</v>
      </c>
      <c r="E239" s="6">
        <f>IF(N($J$238)=0,$F$239-($G$239-$F$239)/($C$239-$B$239)*($B$239-$A$239),$J$238)</f>
        <v>0.92</v>
      </c>
      <c r="F239" s="6">
        <f>$G$238</f>
        <v>0.92</v>
      </c>
      <c r="G239" s="6">
        <f>$I$238</f>
        <v>0.92</v>
      </c>
      <c r="H239" s="6">
        <f>IF(N($K$238)=0,$I$238,$K$238)</f>
        <v>0.92</v>
      </c>
      <c r="I239" s="6">
        <f>($F$239-$E$239)/($B$239-$A$239)</f>
        <v>0</v>
      </c>
      <c r="J239" s="6">
        <f>($G$239-$F$239)/($C$239-$B$239)</f>
        <v>0</v>
      </c>
      <c r="K239" s="6">
        <f>($H$239-$G$239)/($D$239-$C$239)</f>
        <v>0</v>
      </c>
    </row>
    <row r="240" spans="1:21" ht="36" x14ac:dyDescent="0.3">
      <c r="A240" s="58" t="s">
        <v>390</v>
      </c>
      <c r="B240" s="58" t="s">
        <v>449</v>
      </c>
      <c r="C240" s="58" t="s">
        <v>685</v>
      </c>
      <c r="D240" s="58" t="s">
        <v>686</v>
      </c>
      <c r="E240" s="58" t="s">
        <v>687</v>
      </c>
      <c r="F240" s="58" t="s">
        <v>688</v>
      </c>
      <c r="G240" s="58" t="s">
        <v>689</v>
      </c>
      <c r="H240" s="58" t="s">
        <v>452</v>
      </c>
      <c r="I240" s="58" t="s">
        <v>690</v>
      </c>
      <c r="J240" s="58" t="s">
        <v>691</v>
      </c>
      <c r="K240" s="58" t="s">
        <v>692</v>
      </c>
      <c r="L240" s="58" t="s">
        <v>693</v>
      </c>
      <c r="M240" s="58" t="s">
        <v>694</v>
      </c>
      <c r="N240" s="58" t="s">
        <v>695</v>
      </c>
      <c r="O240" s="58" t="s">
        <v>696</v>
      </c>
      <c r="P240" s="58" t="s">
        <v>697</v>
      </c>
      <c r="Q240" s="58" t="s">
        <v>698</v>
      </c>
      <c r="R240" s="58" t="s">
        <v>699</v>
      </c>
      <c r="S240" s="58" t="s">
        <v>700</v>
      </c>
      <c r="T240" s="58" t="s">
        <v>701</v>
      </c>
      <c r="U240" s="58" t="s">
        <v>702</v>
      </c>
    </row>
    <row r="241" spans="1:21" x14ac:dyDescent="0.3">
      <c r="A241" s="187">
        <v>1</v>
      </c>
      <c r="B241" s="242">
        <f>DATE(nr_PlanYear-2,1,1)</f>
        <v>45658</v>
      </c>
      <c r="C241" s="243">
        <f t="shared" ref="C241:C288" si="134">EOMONTH($B241,0)</f>
        <v>45688</v>
      </c>
      <c r="D241" s="120">
        <f t="shared" ref="D241:D288" si="135">$C241-$B241+1</f>
        <v>31</v>
      </c>
      <c r="E241" s="120">
        <f t="shared" ref="E241:E288" si="136">MONTH($B241)</f>
        <v>1</v>
      </c>
      <c r="F241" s="275">
        <f t="shared" ref="F241:F288" si="137">($B241+$C241+1)/2</f>
        <v>45673.5</v>
      </c>
      <c r="G241" s="120">
        <f t="shared" ref="G241:G288" si="138">YEAR($B241)*12+MONTH($B241)-1</f>
        <v>24300</v>
      </c>
      <c r="H241" s="245">
        <f t="shared" ref="H241:H288" si="139">IF(OR(nr_SeasonOn="OFF",$D$238=0,$E$238=0),1,12*INDEX(se_block,$D$238,$E241)/$E$238)</f>
        <v>1</v>
      </c>
      <c r="I241" s="121">
        <f t="shared" ref="I241:I288" si="140">EXP(SUMPRODUCT((rl_eff&lt;$B241)*(rl_key=$A$238)*rl_ln1p))</f>
        <v>1</v>
      </c>
      <c r="J241" s="121">
        <f t="shared" ref="J241:J288" si="141">EXP(SUMPRODUCT((rl_eff&lt;=$C241)*(rl_key=$A$238)*rl_ln1p))</f>
        <v>1</v>
      </c>
      <c r="K241" s="120">
        <f t="shared" ref="K241:K288" si="142">COUNTIFS(rl_key,$A$238,rl_eff,"&gt;="&amp;$B241,rl_eff,"&lt;="&amp;$C241)</f>
        <v>0</v>
      </c>
      <c r="L241" s="120">
        <f t="shared" ref="L241:L288" si="143">SUMIFS(rl_daysafter,rl_key,$A$238,rl_effmonth,$B241,rl_first,1)</f>
        <v>0</v>
      </c>
      <c r="M241" s="246">
        <f t="shared" ref="M241:M288" si="144">IF($K241=0,0,MIN(1,$L241/$D241))</f>
        <v>0</v>
      </c>
      <c r="N241" s="121">
        <f t="shared" ref="N241:N288" si="145">IF($K241=0,$J241,(1-$M241)*$I241+$M241*$J241)</f>
        <v>1</v>
      </c>
      <c r="O241" s="246">
        <f t="shared" ref="O241:O288" si="146">IF($F241&lt;$B$239,$E$239+$I$239*($F241-$A$239),IF($F241&lt;$C$239,$F$239+$J$239*($F241-$B$239),$G$239+$K$239*($F241-$C$239)))</f>
        <v>0.92</v>
      </c>
      <c r="P241" s="121">
        <f t="shared" ref="P241:P288" si="147">MIN(1,MAX(0,(nr_MEndPm1-$G241+0.5)/$C$238))-MIN(1,MAX(0,(nr_MStartPm1-1-$G241+0.5)/$C$238))</f>
        <v>0</v>
      </c>
      <c r="Q241" s="121">
        <f t="shared" ref="Q241:Q288" si="148">MIN(1,MAX(0,(nr_MEndP-$G241+0.5)/$C$238))-MIN(1,MAX(0,(nr_MStartP-1-$G241+0.5)/$C$238))</f>
        <v>0</v>
      </c>
      <c r="R241" s="121">
        <f t="shared" ref="R241:R288" si="149">MIN(1,MAX(0,(nr_MEndP1-$G241+0.5)/$C$238))-MIN(1,MAX(0,(nr_MStartP1-1-$G241+0.5)/$C$238))</f>
        <v>0</v>
      </c>
      <c r="S241" s="121" t="str">
        <f t="shared" ref="S241:S288" si="150">IF($L$238,$N241*IF($O$238=1,$O241/$F$238,1),"")</f>
        <v/>
      </c>
      <c r="T241" s="121" t="str">
        <f t="shared" ref="T241:T288" si="151">IF(NOT($L$238),"",IF($G241&lt;nr_MStartP,$S241,$T229*(1+IF($G241&lt;nr_MStartP1,$M$238,$N$238))))</f>
        <v/>
      </c>
      <c r="U241" s="121">
        <f t="shared" ref="U241:U288" si="152">IF($L$238,$T241,$N241)</f>
        <v>1</v>
      </c>
    </row>
    <row r="242" spans="1:21" x14ac:dyDescent="0.3">
      <c r="A242" s="187">
        <v>2</v>
      </c>
      <c r="B242" s="242">
        <f t="shared" ref="B242:B288" si="153">EDATE($B241,1)</f>
        <v>45689</v>
      </c>
      <c r="C242" s="243">
        <f t="shared" si="134"/>
        <v>45716</v>
      </c>
      <c r="D242" s="120">
        <f t="shared" si="135"/>
        <v>28</v>
      </c>
      <c r="E242" s="120">
        <f t="shared" si="136"/>
        <v>2</v>
      </c>
      <c r="F242" s="275">
        <f t="shared" si="137"/>
        <v>45703</v>
      </c>
      <c r="G242" s="120">
        <f t="shared" si="138"/>
        <v>24301</v>
      </c>
      <c r="H242" s="245">
        <f t="shared" si="139"/>
        <v>1</v>
      </c>
      <c r="I242" s="121">
        <f t="shared" si="140"/>
        <v>1</v>
      </c>
      <c r="J242" s="121">
        <f t="shared" si="141"/>
        <v>1</v>
      </c>
      <c r="K242" s="120">
        <f t="shared" si="142"/>
        <v>0</v>
      </c>
      <c r="L242" s="120">
        <f t="shared" si="143"/>
        <v>0</v>
      </c>
      <c r="M242" s="246">
        <f t="shared" si="144"/>
        <v>0</v>
      </c>
      <c r="N242" s="121">
        <f t="shared" si="145"/>
        <v>1</v>
      </c>
      <c r="O242" s="246">
        <f t="shared" si="146"/>
        <v>0.92</v>
      </c>
      <c r="P242" s="121">
        <f t="shared" si="147"/>
        <v>0</v>
      </c>
      <c r="Q242" s="121">
        <f t="shared" si="148"/>
        <v>0</v>
      </c>
      <c r="R242" s="121">
        <f t="shared" si="149"/>
        <v>0</v>
      </c>
      <c r="S242" s="121" t="str">
        <f t="shared" si="150"/>
        <v/>
      </c>
      <c r="T242" s="121" t="str">
        <f t="shared" si="151"/>
        <v/>
      </c>
      <c r="U242" s="121">
        <f t="shared" si="152"/>
        <v>1</v>
      </c>
    </row>
    <row r="243" spans="1:21" x14ac:dyDescent="0.3">
      <c r="A243" s="187">
        <v>3</v>
      </c>
      <c r="B243" s="242">
        <f t="shared" si="153"/>
        <v>45717</v>
      </c>
      <c r="C243" s="243">
        <f t="shared" si="134"/>
        <v>45747</v>
      </c>
      <c r="D243" s="120">
        <f t="shared" si="135"/>
        <v>31</v>
      </c>
      <c r="E243" s="120">
        <f t="shared" si="136"/>
        <v>3</v>
      </c>
      <c r="F243" s="275">
        <f t="shared" si="137"/>
        <v>45732.5</v>
      </c>
      <c r="G243" s="120">
        <f t="shared" si="138"/>
        <v>24302</v>
      </c>
      <c r="H243" s="245">
        <f t="shared" si="139"/>
        <v>1</v>
      </c>
      <c r="I243" s="121">
        <f t="shared" si="140"/>
        <v>1</v>
      </c>
      <c r="J243" s="121">
        <f t="shared" si="141"/>
        <v>1</v>
      </c>
      <c r="K243" s="120">
        <f t="shared" si="142"/>
        <v>0</v>
      </c>
      <c r="L243" s="120">
        <f t="shared" si="143"/>
        <v>0</v>
      </c>
      <c r="M243" s="246">
        <f t="shared" si="144"/>
        <v>0</v>
      </c>
      <c r="N243" s="121">
        <f t="shared" si="145"/>
        <v>1</v>
      </c>
      <c r="O243" s="246">
        <f t="shared" si="146"/>
        <v>0.92</v>
      </c>
      <c r="P243" s="121">
        <f t="shared" si="147"/>
        <v>0</v>
      </c>
      <c r="Q243" s="121">
        <f t="shared" si="148"/>
        <v>0</v>
      </c>
      <c r="R243" s="121">
        <f t="shared" si="149"/>
        <v>0</v>
      </c>
      <c r="S243" s="121" t="str">
        <f t="shared" si="150"/>
        <v/>
      </c>
      <c r="T243" s="121" t="str">
        <f t="shared" si="151"/>
        <v/>
      </c>
      <c r="U243" s="121">
        <f t="shared" si="152"/>
        <v>1</v>
      </c>
    </row>
    <row r="244" spans="1:21" x14ac:dyDescent="0.3">
      <c r="A244" s="187">
        <v>4</v>
      </c>
      <c r="B244" s="242">
        <f t="shared" si="153"/>
        <v>45748</v>
      </c>
      <c r="C244" s="243">
        <f t="shared" si="134"/>
        <v>45777</v>
      </c>
      <c r="D244" s="120">
        <f t="shared" si="135"/>
        <v>30</v>
      </c>
      <c r="E244" s="120">
        <f t="shared" si="136"/>
        <v>4</v>
      </c>
      <c r="F244" s="275">
        <f t="shared" si="137"/>
        <v>45763</v>
      </c>
      <c r="G244" s="120">
        <f t="shared" si="138"/>
        <v>24303</v>
      </c>
      <c r="H244" s="245">
        <f t="shared" si="139"/>
        <v>1</v>
      </c>
      <c r="I244" s="121">
        <f t="shared" si="140"/>
        <v>1</v>
      </c>
      <c r="J244" s="121">
        <f t="shared" si="141"/>
        <v>1</v>
      </c>
      <c r="K244" s="120">
        <f t="shared" si="142"/>
        <v>0</v>
      </c>
      <c r="L244" s="120">
        <f t="shared" si="143"/>
        <v>0</v>
      </c>
      <c r="M244" s="246">
        <f t="shared" si="144"/>
        <v>0</v>
      </c>
      <c r="N244" s="121">
        <f t="shared" si="145"/>
        <v>1</v>
      </c>
      <c r="O244" s="246">
        <f t="shared" si="146"/>
        <v>0.92</v>
      </c>
      <c r="P244" s="121">
        <f t="shared" si="147"/>
        <v>0</v>
      </c>
      <c r="Q244" s="121">
        <f t="shared" si="148"/>
        <v>0</v>
      </c>
      <c r="R244" s="121">
        <f t="shared" si="149"/>
        <v>0</v>
      </c>
      <c r="S244" s="121" t="str">
        <f t="shared" si="150"/>
        <v/>
      </c>
      <c r="T244" s="121" t="str">
        <f t="shared" si="151"/>
        <v/>
      </c>
      <c r="U244" s="121">
        <f t="shared" si="152"/>
        <v>1</v>
      </c>
    </row>
    <row r="245" spans="1:21" x14ac:dyDescent="0.3">
      <c r="A245" s="187">
        <v>5</v>
      </c>
      <c r="B245" s="242">
        <f t="shared" si="153"/>
        <v>45778</v>
      </c>
      <c r="C245" s="243">
        <f t="shared" si="134"/>
        <v>45808</v>
      </c>
      <c r="D245" s="120">
        <f t="shared" si="135"/>
        <v>31</v>
      </c>
      <c r="E245" s="120">
        <f t="shared" si="136"/>
        <v>5</v>
      </c>
      <c r="F245" s="275">
        <f t="shared" si="137"/>
        <v>45793.5</v>
      </c>
      <c r="G245" s="120">
        <f t="shared" si="138"/>
        <v>24304</v>
      </c>
      <c r="H245" s="245">
        <f t="shared" si="139"/>
        <v>1</v>
      </c>
      <c r="I245" s="121">
        <f t="shared" si="140"/>
        <v>1</v>
      </c>
      <c r="J245" s="121">
        <f t="shared" si="141"/>
        <v>1</v>
      </c>
      <c r="K245" s="120">
        <f t="shared" si="142"/>
        <v>0</v>
      </c>
      <c r="L245" s="120">
        <f t="shared" si="143"/>
        <v>0</v>
      </c>
      <c r="M245" s="246">
        <f t="shared" si="144"/>
        <v>0</v>
      </c>
      <c r="N245" s="121">
        <f t="shared" si="145"/>
        <v>1</v>
      </c>
      <c r="O245" s="246">
        <f t="shared" si="146"/>
        <v>0.92</v>
      </c>
      <c r="P245" s="121">
        <f t="shared" si="147"/>
        <v>0</v>
      </c>
      <c r="Q245" s="121">
        <f t="shared" si="148"/>
        <v>0</v>
      </c>
      <c r="R245" s="121">
        <f t="shared" si="149"/>
        <v>0</v>
      </c>
      <c r="S245" s="121" t="str">
        <f t="shared" si="150"/>
        <v/>
      </c>
      <c r="T245" s="121" t="str">
        <f t="shared" si="151"/>
        <v/>
      </c>
      <c r="U245" s="121">
        <f t="shared" si="152"/>
        <v>1</v>
      </c>
    </row>
    <row r="246" spans="1:21" x14ac:dyDescent="0.3">
      <c r="A246" s="187">
        <v>6</v>
      </c>
      <c r="B246" s="242">
        <f t="shared" si="153"/>
        <v>45809</v>
      </c>
      <c r="C246" s="243">
        <f t="shared" si="134"/>
        <v>45838</v>
      </c>
      <c r="D246" s="120">
        <f t="shared" si="135"/>
        <v>30</v>
      </c>
      <c r="E246" s="120">
        <f t="shared" si="136"/>
        <v>6</v>
      </c>
      <c r="F246" s="275">
        <f t="shared" si="137"/>
        <v>45824</v>
      </c>
      <c r="G246" s="120">
        <f t="shared" si="138"/>
        <v>24305</v>
      </c>
      <c r="H246" s="245">
        <f t="shared" si="139"/>
        <v>1</v>
      </c>
      <c r="I246" s="121">
        <f t="shared" si="140"/>
        <v>1</v>
      </c>
      <c r="J246" s="121">
        <f t="shared" si="141"/>
        <v>1</v>
      </c>
      <c r="K246" s="120">
        <f t="shared" si="142"/>
        <v>0</v>
      </c>
      <c r="L246" s="120">
        <f t="shared" si="143"/>
        <v>0</v>
      </c>
      <c r="M246" s="246">
        <f t="shared" si="144"/>
        <v>0</v>
      </c>
      <c r="N246" s="121">
        <f t="shared" si="145"/>
        <v>1</v>
      </c>
      <c r="O246" s="246">
        <f t="shared" si="146"/>
        <v>0.92</v>
      </c>
      <c r="P246" s="121">
        <f t="shared" si="147"/>
        <v>0</v>
      </c>
      <c r="Q246" s="121">
        <f t="shared" si="148"/>
        <v>0</v>
      </c>
      <c r="R246" s="121">
        <f t="shared" si="149"/>
        <v>0</v>
      </c>
      <c r="S246" s="121" t="str">
        <f t="shared" si="150"/>
        <v/>
      </c>
      <c r="T246" s="121" t="str">
        <f t="shared" si="151"/>
        <v/>
      </c>
      <c r="U246" s="121">
        <f t="shared" si="152"/>
        <v>1</v>
      </c>
    </row>
    <row r="247" spans="1:21" x14ac:dyDescent="0.3">
      <c r="A247" s="187">
        <v>7</v>
      </c>
      <c r="B247" s="242">
        <f t="shared" si="153"/>
        <v>45839</v>
      </c>
      <c r="C247" s="243">
        <f t="shared" si="134"/>
        <v>45869</v>
      </c>
      <c r="D247" s="120">
        <f t="shared" si="135"/>
        <v>31</v>
      </c>
      <c r="E247" s="120">
        <f t="shared" si="136"/>
        <v>7</v>
      </c>
      <c r="F247" s="275">
        <f t="shared" si="137"/>
        <v>45854.5</v>
      </c>
      <c r="G247" s="120">
        <f t="shared" si="138"/>
        <v>24306</v>
      </c>
      <c r="H247" s="245">
        <f t="shared" si="139"/>
        <v>1</v>
      </c>
      <c r="I247" s="121">
        <f t="shared" si="140"/>
        <v>1</v>
      </c>
      <c r="J247" s="121">
        <f t="shared" si="141"/>
        <v>1</v>
      </c>
      <c r="K247" s="120">
        <f t="shared" si="142"/>
        <v>0</v>
      </c>
      <c r="L247" s="120">
        <f t="shared" si="143"/>
        <v>0</v>
      </c>
      <c r="M247" s="246">
        <f t="shared" si="144"/>
        <v>0</v>
      </c>
      <c r="N247" s="121">
        <f t="shared" si="145"/>
        <v>1</v>
      </c>
      <c r="O247" s="246">
        <f t="shared" si="146"/>
        <v>0.92</v>
      </c>
      <c r="P247" s="121">
        <f t="shared" si="147"/>
        <v>8.333333333333337E-2</v>
      </c>
      <c r="Q247" s="121">
        <f t="shared" si="148"/>
        <v>0</v>
      </c>
      <c r="R247" s="121">
        <f t="shared" si="149"/>
        <v>0</v>
      </c>
      <c r="S247" s="121" t="str">
        <f t="shared" si="150"/>
        <v/>
      </c>
      <c r="T247" s="121" t="str">
        <f t="shared" si="151"/>
        <v/>
      </c>
      <c r="U247" s="121">
        <f t="shared" si="152"/>
        <v>1</v>
      </c>
    </row>
    <row r="248" spans="1:21" x14ac:dyDescent="0.3">
      <c r="A248" s="187">
        <v>8</v>
      </c>
      <c r="B248" s="242">
        <f t="shared" si="153"/>
        <v>45870</v>
      </c>
      <c r="C248" s="243">
        <f t="shared" si="134"/>
        <v>45900</v>
      </c>
      <c r="D248" s="120">
        <f t="shared" si="135"/>
        <v>31</v>
      </c>
      <c r="E248" s="120">
        <f t="shared" si="136"/>
        <v>8</v>
      </c>
      <c r="F248" s="275">
        <f t="shared" si="137"/>
        <v>45885.5</v>
      </c>
      <c r="G248" s="120">
        <f t="shared" si="138"/>
        <v>24307</v>
      </c>
      <c r="H248" s="245">
        <f t="shared" si="139"/>
        <v>1</v>
      </c>
      <c r="I248" s="121">
        <f t="shared" si="140"/>
        <v>1</v>
      </c>
      <c r="J248" s="121">
        <f t="shared" si="141"/>
        <v>1</v>
      </c>
      <c r="K248" s="120">
        <f t="shared" si="142"/>
        <v>0</v>
      </c>
      <c r="L248" s="120">
        <f t="shared" si="143"/>
        <v>0</v>
      </c>
      <c r="M248" s="246">
        <f t="shared" si="144"/>
        <v>0</v>
      </c>
      <c r="N248" s="121">
        <f t="shared" si="145"/>
        <v>1</v>
      </c>
      <c r="O248" s="246">
        <f t="shared" si="146"/>
        <v>0.92</v>
      </c>
      <c r="P248" s="121">
        <f t="shared" si="147"/>
        <v>0.25</v>
      </c>
      <c r="Q248" s="121">
        <f t="shared" si="148"/>
        <v>0</v>
      </c>
      <c r="R248" s="121">
        <f t="shared" si="149"/>
        <v>0</v>
      </c>
      <c r="S248" s="121" t="str">
        <f t="shared" si="150"/>
        <v/>
      </c>
      <c r="T248" s="121" t="str">
        <f t="shared" si="151"/>
        <v/>
      </c>
      <c r="U248" s="121">
        <f t="shared" si="152"/>
        <v>1</v>
      </c>
    </row>
    <row r="249" spans="1:21" x14ac:dyDescent="0.3">
      <c r="A249" s="187">
        <v>9</v>
      </c>
      <c r="B249" s="242">
        <f t="shared" si="153"/>
        <v>45901</v>
      </c>
      <c r="C249" s="243">
        <f t="shared" si="134"/>
        <v>45930</v>
      </c>
      <c r="D249" s="120">
        <f t="shared" si="135"/>
        <v>30</v>
      </c>
      <c r="E249" s="120">
        <f t="shared" si="136"/>
        <v>9</v>
      </c>
      <c r="F249" s="275">
        <f t="shared" si="137"/>
        <v>45916</v>
      </c>
      <c r="G249" s="120">
        <f t="shared" si="138"/>
        <v>24308</v>
      </c>
      <c r="H249" s="245">
        <f t="shared" si="139"/>
        <v>1</v>
      </c>
      <c r="I249" s="121">
        <f t="shared" si="140"/>
        <v>1</v>
      </c>
      <c r="J249" s="121">
        <f t="shared" si="141"/>
        <v>1</v>
      </c>
      <c r="K249" s="120">
        <f t="shared" si="142"/>
        <v>0</v>
      </c>
      <c r="L249" s="120">
        <f t="shared" si="143"/>
        <v>0</v>
      </c>
      <c r="M249" s="246">
        <f t="shared" si="144"/>
        <v>0</v>
      </c>
      <c r="N249" s="121">
        <f t="shared" si="145"/>
        <v>1</v>
      </c>
      <c r="O249" s="246">
        <f t="shared" si="146"/>
        <v>0.92</v>
      </c>
      <c r="P249" s="121">
        <f t="shared" si="147"/>
        <v>0.41666666666666663</v>
      </c>
      <c r="Q249" s="121">
        <f t="shared" si="148"/>
        <v>0</v>
      </c>
      <c r="R249" s="121">
        <f t="shared" si="149"/>
        <v>0</v>
      </c>
      <c r="S249" s="121" t="str">
        <f t="shared" si="150"/>
        <v/>
      </c>
      <c r="T249" s="121" t="str">
        <f t="shared" si="151"/>
        <v/>
      </c>
      <c r="U249" s="121">
        <f t="shared" si="152"/>
        <v>1</v>
      </c>
    </row>
    <row r="250" spans="1:21" x14ac:dyDescent="0.3">
      <c r="A250" s="187">
        <v>10</v>
      </c>
      <c r="B250" s="242">
        <f t="shared" si="153"/>
        <v>45931</v>
      </c>
      <c r="C250" s="243">
        <f t="shared" si="134"/>
        <v>45961</v>
      </c>
      <c r="D250" s="120">
        <f t="shared" si="135"/>
        <v>31</v>
      </c>
      <c r="E250" s="120">
        <f t="shared" si="136"/>
        <v>10</v>
      </c>
      <c r="F250" s="275">
        <f t="shared" si="137"/>
        <v>45946.5</v>
      </c>
      <c r="G250" s="120">
        <f t="shared" si="138"/>
        <v>24309</v>
      </c>
      <c r="H250" s="245">
        <f t="shared" si="139"/>
        <v>1</v>
      </c>
      <c r="I250" s="121">
        <f t="shared" si="140"/>
        <v>1</v>
      </c>
      <c r="J250" s="121">
        <f t="shared" si="141"/>
        <v>1</v>
      </c>
      <c r="K250" s="120">
        <f t="shared" si="142"/>
        <v>0</v>
      </c>
      <c r="L250" s="120">
        <f t="shared" si="143"/>
        <v>0</v>
      </c>
      <c r="M250" s="246">
        <f t="shared" si="144"/>
        <v>0</v>
      </c>
      <c r="N250" s="121">
        <f t="shared" si="145"/>
        <v>1</v>
      </c>
      <c r="O250" s="246">
        <f t="shared" si="146"/>
        <v>0.92</v>
      </c>
      <c r="P250" s="121">
        <f t="shared" si="147"/>
        <v>0.58333333333333326</v>
      </c>
      <c r="Q250" s="121">
        <f t="shared" si="148"/>
        <v>0</v>
      </c>
      <c r="R250" s="121">
        <f t="shared" si="149"/>
        <v>0</v>
      </c>
      <c r="S250" s="121" t="str">
        <f t="shared" si="150"/>
        <v/>
      </c>
      <c r="T250" s="121" t="str">
        <f t="shared" si="151"/>
        <v/>
      </c>
      <c r="U250" s="121">
        <f t="shared" si="152"/>
        <v>1</v>
      </c>
    </row>
    <row r="251" spans="1:21" x14ac:dyDescent="0.3">
      <c r="A251" s="187">
        <v>11</v>
      </c>
      <c r="B251" s="242">
        <f t="shared" si="153"/>
        <v>45962</v>
      </c>
      <c r="C251" s="243">
        <f t="shared" si="134"/>
        <v>45991</v>
      </c>
      <c r="D251" s="120">
        <f t="shared" si="135"/>
        <v>30</v>
      </c>
      <c r="E251" s="120">
        <f t="shared" si="136"/>
        <v>11</v>
      </c>
      <c r="F251" s="275">
        <f t="shared" si="137"/>
        <v>45977</v>
      </c>
      <c r="G251" s="120">
        <f t="shared" si="138"/>
        <v>24310</v>
      </c>
      <c r="H251" s="245">
        <f t="shared" si="139"/>
        <v>1</v>
      </c>
      <c r="I251" s="121">
        <f t="shared" si="140"/>
        <v>1</v>
      </c>
      <c r="J251" s="121">
        <f t="shared" si="141"/>
        <v>1</v>
      </c>
      <c r="K251" s="120">
        <f t="shared" si="142"/>
        <v>0</v>
      </c>
      <c r="L251" s="120">
        <f t="shared" si="143"/>
        <v>0</v>
      </c>
      <c r="M251" s="246">
        <f t="shared" si="144"/>
        <v>0</v>
      </c>
      <c r="N251" s="121">
        <f t="shared" si="145"/>
        <v>1</v>
      </c>
      <c r="O251" s="246">
        <f t="shared" si="146"/>
        <v>0.92</v>
      </c>
      <c r="P251" s="121">
        <f t="shared" si="147"/>
        <v>0.75</v>
      </c>
      <c r="Q251" s="121">
        <f t="shared" si="148"/>
        <v>0</v>
      </c>
      <c r="R251" s="121">
        <f t="shared" si="149"/>
        <v>0</v>
      </c>
      <c r="S251" s="121" t="str">
        <f t="shared" si="150"/>
        <v/>
      </c>
      <c r="T251" s="121" t="str">
        <f t="shared" si="151"/>
        <v/>
      </c>
      <c r="U251" s="121">
        <f t="shared" si="152"/>
        <v>1</v>
      </c>
    </row>
    <row r="252" spans="1:21" x14ac:dyDescent="0.3">
      <c r="A252" s="187">
        <v>12</v>
      </c>
      <c r="B252" s="242">
        <f t="shared" si="153"/>
        <v>45992</v>
      </c>
      <c r="C252" s="243">
        <f t="shared" si="134"/>
        <v>46022</v>
      </c>
      <c r="D252" s="120">
        <f t="shared" si="135"/>
        <v>31</v>
      </c>
      <c r="E252" s="120">
        <f t="shared" si="136"/>
        <v>12</v>
      </c>
      <c r="F252" s="275">
        <f t="shared" si="137"/>
        <v>46007.5</v>
      </c>
      <c r="G252" s="120">
        <f t="shared" si="138"/>
        <v>24311</v>
      </c>
      <c r="H252" s="245">
        <f t="shared" si="139"/>
        <v>1</v>
      </c>
      <c r="I252" s="121">
        <f t="shared" si="140"/>
        <v>1</v>
      </c>
      <c r="J252" s="121">
        <f t="shared" si="141"/>
        <v>1</v>
      </c>
      <c r="K252" s="120">
        <f t="shared" si="142"/>
        <v>0</v>
      </c>
      <c r="L252" s="120">
        <f t="shared" si="143"/>
        <v>0</v>
      </c>
      <c r="M252" s="246">
        <f t="shared" si="144"/>
        <v>0</v>
      </c>
      <c r="N252" s="121">
        <f t="shared" si="145"/>
        <v>1</v>
      </c>
      <c r="O252" s="246">
        <f t="shared" si="146"/>
        <v>0.92</v>
      </c>
      <c r="P252" s="121">
        <f t="shared" si="147"/>
        <v>0.91666666666666663</v>
      </c>
      <c r="Q252" s="121">
        <f t="shared" si="148"/>
        <v>0</v>
      </c>
      <c r="R252" s="121">
        <f t="shared" si="149"/>
        <v>0</v>
      </c>
      <c r="S252" s="121" t="str">
        <f t="shared" si="150"/>
        <v/>
      </c>
      <c r="T252" s="121" t="str">
        <f t="shared" si="151"/>
        <v/>
      </c>
      <c r="U252" s="121">
        <f t="shared" si="152"/>
        <v>1</v>
      </c>
    </row>
    <row r="253" spans="1:21" x14ac:dyDescent="0.3">
      <c r="A253" s="187">
        <v>13</v>
      </c>
      <c r="B253" s="242">
        <f t="shared" si="153"/>
        <v>46023</v>
      </c>
      <c r="C253" s="243">
        <f t="shared" si="134"/>
        <v>46053</v>
      </c>
      <c r="D253" s="120">
        <f t="shared" si="135"/>
        <v>31</v>
      </c>
      <c r="E253" s="120">
        <f t="shared" si="136"/>
        <v>1</v>
      </c>
      <c r="F253" s="275">
        <f t="shared" si="137"/>
        <v>46038.5</v>
      </c>
      <c r="G253" s="120">
        <f t="shared" si="138"/>
        <v>24312</v>
      </c>
      <c r="H253" s="245">
        <f t="shared" si="139"/>
        <v>1</v>
      </c>
      <c r="I253" s="121">
        <f t="shared" si="140"/>
        <v>1</v>
      </c>
      <c r="J253" s="121">
        <f t="shared" si="141"/>
        <v>1</v>
      </c>
      <c r="K253" s="120">
        <f t="shared" si="142"/>
        <v>0</v>
      </c>
      <c r="L253" s="120">
        <f t="shared" si="143"/>
        <v>0</v>
      </c>
      <c r="M253" s="246">
        <f t="shared" si="144"/>
        <v>0</v>
      </c>
      <c r="N253" s="121">
        <f t="shared" si="145"/>
        <v>1</v>
      </c>
      <c r="O253" s="246">
        <f t="shared" si="146"/>
        <v>0.92</v>
      </c>
      <c r="P253" s="121">
        <f t="shared" si="147"/>
        <v>1</v>
      </c>
      <c r="Q253" s="121">
        <f t="shared" si="148"/>
        <v>0</v>
      </c>
      <c r="R253" s="121">
        <f t="shared" si="149"/>
        <v>0</v>
      </c>
      <c r="S253" s="121" t="str">
        <f t="shared" si="150"/>
        <v/>
      </c>
      <c r="T253" s="121" t="str">
        <f t="shared" si="151"/>
        <v/>
      </c>
      <c r="U253" s="121">
        <f t="shared" si="152"/>
        <v>1</v>
      </c>
    </row>
    <row r="254" spans="1:21" x14ac:dyDescent="0.3">
      <c r="A254" s="187">
        <v>14</v>
      </c>
      <c r="B254" s="242">
        <f t="shared" si="153"/>
        <v>46054</v>
      </c>
      <c r="C254" s="243">
        <f t="shared" si="134"/>
        <v>46081</v>
      </c>
      <c r="D254" s="120">
        <f t="shared" si="135"/>
        <v>28</v>
      </c>
      <c r="E254" s="120">
        <f t="shared" si="136"/>
        <v>2</v>
      </c>
      <c r="F254" s="275">
        <f t="shared" si="137"/>
        <v>46068</v>
      </c>
      <c r="G254" s="120">
        <f t="shared" si="138"/>
        <v>24313</v>
      </c>
      <c r="H254" s="245">
        <f t="shared" si="139"/>
        <v>1</v>
      </c>
      <c r="I254" s="121">
        <f t="shared" si="140"/>
        <v>1</v>
      </c>
      <c r="J254" s="121">
        <f t="shared" si="141"/>
        <v>1</v>
      </c>
      <c r="K254" s="120">
        <f t="shared" si="142"/>
        <v>0</v>
      </c>
      <c r="L254" s="120">
        <f t="shared" si="143"/>
        <v>0</v>
      </c>
      <c r="M254" s="246">
        <f t="shared" si="144"/>
        <v>0</v>
      </c>
      <c r="N254" s="121">
        <f t="shared" si="145"/>
        <v>1</v>
      </c>
      <c r="O254" s="246">
        <f t="shared" si="146"/>
        <v>0.92</v>
      </c>
      <c r="P254" s="121">
        <f t="shared" si="147"/>
        <v>1</v>
      </c>
      <c r="Q254" s="121">
        <f t="shared" si="148"/>
        <v>0</v>
      </c>
      <c r="R254" s="121">
        <f t="shared" si="149"/>
        <v>0</v>
      </c>
      <c r="S254" s="121" t="str">
        <f t="shared" si="150"/>
        <v/>
      </c>
      <c r="T254" s="121" t="str">
        <f t="shared" si="151"/>
        <v/>
      </c>
      <c r="U254" s="121">
        <f t="shared" si="152"/>
        <v>1</v>
      </c>
    </row>
    <row r="255" spans="1:21" x14ac:dyDescent="0.3">
      <c r="A255" s="187">
        <v>15</v>
      </c>
      <c r="B255" s="242">
        <f t="shared" si="153"/>
        <v>46082</v>
      </c>
      <c r="C255" s="243">
        <f t="shared" si="134"/>
        <v>46112</v>
      </c>
      <c r="D255" s="120">
        <f t="shared" si="135"/>
        <v>31</v>
      </c>
      <c r="E255" s="120">
        <f t="shared" si="136"/>
        <v>3</v>
      </c>
      <c r="F255" s="275">
        <f t="shared" si="137"/>
        <v>46097.5</v>
      </c>
      <c r="G255" s="120">
        <f t="shared" si="138"/>
        <v>24314</v>
      </c>
      <c r="H255" s="245">
        <f t="shared" si="139"/>
        <v>1</v>
      </c>
      <c r="I255" s="121">
        <f t="shared" si="140"/>
        <v>1</v>
      </c>
      <c r="J255" s="121">
        <f t="shared" si="141"/>
        <v>1</v>
      </c>
      <c r="K255" s="120">
        <f t="shared" si="142"/>
        <v>0</v>
      </c>
      <c r="L255" s="120">
        <f t="shared" si="143"/>
        <v>0</v>
      </c>
      <c r="M255" s="246">
        <f t="shared" si="144"/>
        <v>0</v>
      </c>
      <c r="N255" s="121">
        <f t="shared" si="145"/>
        <v>1</v>
      </c>
      <c r="O255" s="246">
        <f t="shared" si="146"/>
        <v>0.92</v>
      </c>
      <c r="P255" s="121">
        <f t="shared" si="147"/>
        <v>1</v>
      </c>
      <c r="Q255" s="121">
        <f t="shared" si="148"/>
        <v>0</v>
      </c>
      <c r="R255" s="121">
        <f t="shared" si="149"/>
        <v>0</v>
      </c>
      <c r="S255" s="121" t="str">
        <f t="shared" si="150"/>
        <v/>
      </c>
      <c r="T255" s="121" t="str">
        <f t="shared" si="151"/>
        <v/>
      </c>
      <c r="U255" s="121">
        <f t="shared" si="152"/>
        <v>1</v>
      </c>
    </row>
    <row r="256" spans="1:21" x14ac:dyDescent="0.3">
      <c r="A256" s="187">
        <v>16</v>
      </c>
      <c r="B256" s="242">
        <f t="shared" si="153"/>
        <v>46113</v>
      </c>
      <c r="C256" s="243">
        <f t="shared" si="134"/>
        <v>46142</v>
      </c>
      <c r="D256" s="120">
        <f t="shared" si="135"/>
        <v>30</v>
      </c>
      <c r="E256" s="120">
        <f t="shared" si="136"/>
        <v>4</v>
      </c>
      <c r="F256" s="275">
        <f t="shared" si="137"/>
        <v>46128</v>
      </c>
      <c r="G256" s="120">
        <f t="shared" si="138"/>
        <v>24315</v>
      </c>
      <c r="H256" s="245">
        <f t="shared" si="139"/>
        <v>1</v>
      </c>
      <c r="I256" s="121">
        <f t="shared" si="140"/>
        <v>1</v>
      </c>
      <c r="J256" s="121">
        <f t="shared" si="141"/>
        <v>1.05</v>
      </c>
      <c r="K256" s="120">
        <f t="shared" si="142"/>
        <v>1</v>
      </c>
      <c r="L256" s="120">
        <f t="shared" si="143"/>
        <v>30</v>
      </c>
      <c r="M256" s="246">
        <f t="shared" si="144"/>
        <v>1</v>
      </c>
      <c r="N256" s="121">
        <f t="shared" si="145"/>
        <v>1.05</v>
      </c>
      <c r="O256" s="246">
        <f t="shared" si="146"/>
        <v>0.92</v>
      </c>
      <c r="P256" s="121">
        <f t="shared" si="147"/>
        <v>1</v>
      </c>
      <c r="Q256" s="121">
        <f t="shared" si="148"/>
        <v>0</v>
      </c>
      <c r="R256" s="121">
        <f t="shared" si="149"/>
        <v>0</v>
      </c>
      <c r="S256" s="121" t="str">
        <f t="shared" si="150"/>
        <v/>
      </c>
      <c r="T256" s="121" t="str">
        <f t="shared" si="151"/>
        <v/>
      </c>
      <c r="U256" s="121">
        <f t="shared" si="152"/>
        <v>1.05</v>
      </c>
    </row>
    <row r="257" spans="1:21" x14ac:dyDescent="0.3">
      <c r="A257" s="187">
        <v>17</v>
      </c>
      <c r="B257" s="242">
        <f t="shared" si="153"/>
        <v>46143</v>
      </c>
      <c r="C257" s="243">
        <f t="shared" si="134"/>
        <v>46173</v>
      </c>
      <c r="D257" s="120">
        <f t="shared" si="135"/>
        <v>31</v>
      </c>
      <c r="E257" s="120">
        <f t="shared" si="136"/>
        <v>5</v>
      </c>
      <c r="F257" s="275">
        <f t="shared" si="137"/>
        <v>46158.5</v>
      </c>
      <c r="G257" s="120">
        <f t="shared" si="138"/>
        <v>24316</v>
      </c>
      <c r="H257" s="245">
        <f t="shared" si="139"/>
        <v>1</v>
      </c>
      <c r="I257" s="121">
        <f t="shared" si="140"/>
        <v>1.05</v>
      </c>
      <c r="J257" s="121">
        <f t="shared" si="141"/>
        <v>1.05</v>
      </c>
      <c r="K257" s="120">
        <f t="shared" si="142"/>
        <v>0</v>
      </c>
      <c r="L257" s="120">
        <f t="shared" si="143"/>
        <v>0</v>
      </c>
      <c r="M257" s="246">
        <f t="shared" si="144"/>
        <v>0</v>
      </c>
      <c r="N257" s="121">
        <f t="shared" si="145"/>
        <v>1.05</v>
      </c>
      <c r="O257" s="246">
        <f t="shared" si="146"/>
        <v>0.92</v>
      </c>
      <c r="P257" s="121">
        <f t="shared" si="147"/>
        <v>1</v>
      </c>
      <c r="Q257" s="121">
        <f t="shared" si="148"/>
        <v>0</v>
      </c>
      <c r="R257" s="121">
        <f t="shared" si="149"/>
        <v>0</v>
      </c>
      <c r="S257" s="121" t="str">
        <f t="shared" si="150"/>
        <v/>
      </c>
      <c r="T257" s="121" t="str">
        <f t="shared" si="151"/>
        <v/>
      </c>
      <c r="U257" s="121">
        <f t="shared" si="152"/>
        <v>1.05</v>
      </c>
    </row>
    <row r="258" spans="1:21" x14ac:dyDescent="0.3">
      <c r="A258" s="187">
        <v>18</v>
      </c>
      <c r="B258" s="242">
        <f t="shared" si="153"/>
        <v>46174</v>
      </c>
      <c r="C258" s="243">
        <f t="shared" si="134"/>
        <v>46203</v>
      </c>
      <c r="D258" s="120">
        <f t="shared" si="135"/>
        <v>30</v>
      </c>
      <c r="E258" s="120">
        <f t="shared" si="136"/>
        <v>6</v>
      </c>
      <c r="F258" s="275">
        <f t="shared" si="137"/>
        <v>46189</v>
      </c>
      <c r="G258" s="120">
        <f t="shared" si="138"/>
        <v>24317</v>
      </c>
      <c r="H258" s="245">
        <f t="shared" si="139"/>
        <v>1</v>
      </c>
      <c r="I258" s="121">
        <f t="shared" si="140"/>
        <v>1.05</v>
      </c>
      <c r="J258" s="121">
        <f t="shared" si="141"/>
        <v>1.05</v>
      </c>
      <c r="K258" s="120">
        <f t="shared" si="142"/>
        <v>0</v>
      </c>
      <c r="L258" s="120">
        <f t="shared" si="143"/>
        <v>0</v>
      </c>
      <c r="M258" s="246">
        <f t="shared" si="144"/>
        <v>0</v>
      </c>
      <c r="N258" s="121">
        <f t="shared" si="145"/>
        <v>1.05</v>
      </c>
      <c r="O258" s="246">
        <f t="shared" si="146"/>
        <v>0.92</v>
      </c>
      <c r="P258" s="121">
        <f t="shared" si="147"/>
        <v>1</v>
      </c>
      <c r="Q258" s="121">
        <f t="shared" si="148"/>
        <v>0</v>
      </c>
      <c r="R258" s="121">
        <f t="shared" si="149"/>
        <v>0</v>
      </c>
      <c r="S258" s="121" t="str">
        <f t="shared" si="150"/>
        <v/>
      </c>
      <c r="T258" s="121" t="str">
        <f t="shared" si="151"/>
        <v/>
      </c>
      <c r="U258" s="121">
        <f t="shared" si="152"/>
        <v>1.05</v>
      </c>
    </row>
    <row r="259" spans="1:21" x14ac:dyDescent="0.3">
      <c r="A259" s="187">
        <v>19</v>
      </c>
      <c r="B259" s="242">
        <f t="shared" si="153"/>
        <v>46204</v>
      </c>
      <c r="C259" s="243">
        <f t="shared" si="134"/>
        <v>46234</v>
      </c>
      <c r="D259" s="120">
        <f t="shared" si="135"/>
        <v>31</v>
      </c>
      <c r="E259" s="120">
        <f t="shared" si="136"/>
        <v>7</v>
      </c>
      <c r="F259" s="275">
        <f t="shared" si="137"/>
        <v>46219.5</v>
      </c>
      <c r="G259" s="120">
        <f t="shared" si="138"/>
        <v>24318</v>
      </c>
      <c r="H259" s="245">
        <f t="shared" si="139"/>
        <v>1</v>
      </c>
      <c r="I259" s="121">
        <f t="shared" si="140"/>
        <v>1.05</v>
      </c>
      <c r="J259" s="121">
        <f t="shared" si="141"/>
        <v>1.05</v>
      </c>
      <c r="K259" s="120">
        <f t="shared" si="142"/>
        <v>0</v>
      </c>
      <c r="L259" s="120">
        <f t="shared" si="143"/>
        <v>0</v>
      </c>
      <c r="M259" s="246">
        <f t="shared" si="144"/>
        <v>0</v>
      </c>
      <c r="N259" s="121">
        <f t="shared" si="145"/>
        <v>1.05</v>
      </c>
      <c r="O259" s="246">
        <f t="shared" si="146"/>
        <v>0.92</v>
      </c>
      <c r="P259" s="121">
        <f t="shared" si="147"/>
        <v>0.91666666666666663</v>
      </c>
      <c r="Q259" s="121">
        <f t="shared" si="148"/>
        <v>8.333333333333337E-2</v>
      </c>
      <c r="R259" s="121">
        <f t="shared" si="149"/>
        <v>0</v>
      </c>
      <c r="S259" s="121" t="str">
        <f t="shared" si="150"/>
        <v/>
      </c>
      <c r="T259" s="121" t="str">
        <f t="shared" si="151"/>
        <v/>
      </c>
      <c r="U259" s="121">
        <f t="shared" si="152"/>
        <v>1.05</v>
      </c>
    </row>
    <row r="260" spans="1:21" x14ac:dyDescent="0.3">
      <c r="A260" s="187">
        <v>20</v>
      </c>
      <c r="B260" s="242">
        <f t="shared" si="153"/>
        <v>46235</v>
      </c>
      <c r="C260" s="243">
        <f t="shared" si="134"/>
        <v>46265</v>
      </c>
      <c r="D260" s="120">
        <f t="shared" si="135"/>
        <v>31</v>
      </c>
      <c r="E260" s="120">
        <f t="shared" si="136"/>
        <v>8</v>
      </c>
      <c r="F260" s="275">
        <f t="shared" si="137"/>
        <v>46250.5</v>
      </c>
      <c r="G260" s="120">
        <f t="shared" si="138"/>
        <v>24319</v>
      </c>
      <c r="H260" s="245">
        <f t="shared" si="139"/>
        <v>1</v>
      </c>
      <c r="I260" s="121">
        <f t="shared" si="140"/>
        <v>1.05</v>
      </c>
      <c r="J260" s="121">
        <f t="shared" si="141"/>
        <v>1.05</v>
      </c>
      <c r="K260" s="120">
        <f t="shared" si="142"/>
        <v>0</v>
      </c>
      <c r="L260" s="120">
        <f t="shared" si="143"/>
        <v>0</v>
      </c>
      <c r="M260" s="246">
        <f t="shared" si="144"/>
        <v>0</v>
      </c>
      <c r="N260" s="121">
        <f t="shared" si="145"/>
        <v>1.05</v>
      </c>
      <c r="O260" s="246">
        <f t="shared" si="146"/>
        <v>0.92</v>
      </c>
      <c r="P260" s="121">
        <f t="shared" si="147"/>
        <v>0.75</v>
      </c>
      <c r="Q260" s="121">
        <f t="shared" si="148"/>
        <v>0.25</v>
      </c>
      <c r="R260" s="121">
        <f t="shared" si="149"/>
        <v>0</v>
      </c>
      <c r="S260" s="121" t="str">
        <f t="shared" si="150"/>
        <v/>
      </c>
      <c r="T260" s="121" t="str">
        <f t="shared" si="151"/>
        <v/>
      </c>
      <c r="U260" s="121">
        <f t="shared" si="152"/>
        <v>1.05</v>
      </c>
    </row>
    <row r="261" spans="1:21" x14ac:dyDescent="0.3">
      <c r="A261" s="187">
        <v>21</v>
      </c>
      <c r="B261" s="242">
        <f t="shared" si="153"/>
        <v>46266</v>
      </c>
      <c r="C261" s="243">
        <f t="shared" si="134"/>
        <v>46295</v>
      </c>
      <c r="D261" s="120">
        <f t="shared" si="135"/>
        <v>30</v>
      </c>
      <c r="E261" s="120">
        <f t="shared" si="136"/>
        <v>9</v>
      </c>
      <c r="F261" s="275">
        <f t="shared" si="137"/>
        <v>46281</v>
      </c>
      <c r="G261" s="120">
        <f t="shared" si="138"/>
        <v>24320</v>
      </c>
      <c r="H261" s="245">
        <f t="shared" si="139"/>
        <v>1</v>
      </c>
      <c r="I261" s="121">
        <f t="shared" si="140"/>
        <v>1.05</v>
      </c>
      <c r="J261" s="121">
        <f t="shared" si="141"/>
        <v>1.05</v>
      </c>
      <c r="K261" s="120">
        <f t="shared" si="142"/>
        <v>0</v>
      </c>
      <c r="L261" s="120">
        <f t="shared" si="143"/>
        <v>0</v>
      </c>
      <c r="M261" s="246">
        <f t="shared" si="144"/>
        <v>0</v>
      </c>
      <c r="N261" s="121">
        <f t="shared" si="145"/>
        <v>1.05</v>
      </c>
      <c r="O261" s="246">
        <f t="shared" si="146"/>
        <v>0.92</v>
      </c>
      <c r="P261" s="121">
        <f t="shared" si="147"/>
        <v>0.58333333333333337</v>
      </c>
      <c r="Q261" s="121">
        <f t="shared" si="148"/>
        <v>0.41666666666666663</v>
      </c>
      <c r="R261" s="121">
        <f t="shared" si="149"/>
        <v>0</v>
      </c>
      <c r="S261" s="121" t="str">
        <f t="shared" si="150"/>
        <v/>
      </c>
      <c r="T261" s="121" t="str">
        <f t="shared" si="151"/>
        <v/>
      </c>
      <c r="U261" s="121">
        <f t="shared" si="152"/>
        <v>1.05</v>
      </c>
    </row>
    <row r="262" spans="1:21" x14ac:dyDescent="0.3">
      <c r="A262" s="187">
        <v>22</v>
      </c>
      <c r="B262" s="242">
        <f t="shared" si="153"/>
        <v>46296</v>
      </c>
      <c r="C262" s="243">
        <f t="shared" si="134"/>
        <v>46326</v>
      </c>
      <c r="D262" s="120">
        <f t="shared" si="135"/>
        <v>31</v>
      </c>
      <c r="E262" s="120">
        <f t="shared" si="136"/>
        <v>10</v>
      </c>
      <c r="F262" s="275">
        <f t="shared" si="137"/>
        <v>46311.5</v>
      </c>
      <c r="G262" s="120">
        <f t="shared" si="138"/>
        <v>24321</v>
      </c>
      <c r="H262" s="245">
        <f t="shared" si="139"/>
        <v>1</v>
      </c>
      <c r="I262" s="121">
        <f t="shared" si="140"/>
        <v>1.05</v>
      </c>
      <c r="J262" s="121">
        <f t="shared" si="141"/>
        <v>1.05</v>
      </c>
      <c r="K262" s="120">
        <f t="shared" si="142"/>
        <v>0</v>
      </c>
      <c r="L262" s="120">
        <f t="shared" si="143"/>
        <v>0</v>
      </c>
      <c r="M262" s="246">
        <f t="shared" si="144"/>
        <v>0</v>
      </c>
      <c r="N262" s="121">
        <f t="shared" si="145"/>
        <v>1.05</v>
      </c>
      <c r="O262" s="246">
        <f t="shared" si="146"/>
        <v>0.92</v>
      </c>
      <c r="P262" s="121">
        <f t="shared" si="147"/>
        <v>0.41666666666666669</v>
      </c>
      <c r="Q262" s="121">
        <f t="shared" si="148"/>
        <v>0.58333333333333326</v>
      </c>
      <c r="R262" s="121">
        <f t="shared" si="149"/>
        <v>0</v>
      </c>
      <c r="S262" s="121" t="str">
        <f t="shared" si="150"/>
        <v/>
      </c>
      <c r="T262" s="121" t="str">
        <f t="shared" si="151"/>
        <v/>
      </c>
      <c r="U262" s="121">
        <f t="shared" si="152"/>
        <v>1.05</v>
      </c>
    </row>
    <row r="263" spans="1:21" x14ac:dyDescent="0.3">
      <c r="A263" s="187">
        <v>23</v>
      </c>
      <c r="B263" s="242">
        <f t="shared" si="153"/>
        <v>46327</v>
      </c>
      <c r="C263" s="243">
        <f t="shared" si="134"/>
        <v>46356</v>
      </c>
      <c r="D263" s="120">
        <f t="shared" si="135"/>
        <v>30</v>
      </c>
      <c r="E263" s="120">
        <f t="shared" si="136"/>
        <v>11</v>
      </c>
      <c r="F263" s="275">
        <f t="shared" si="137"/>
        <v>46342</v>
      </c>
      <c r="G263" s="120">
        <f t="shared" si="138"/>
        <v>24322</v>
      </c>
      <c r="H263" s="245">
        <f t="shared" si="139"/>
        <v>1</v>
      </c>
      <c r="I263" s="121">
        <f t="shared" si="140"/>
        <v>1.05</v>
      </c>
      <c r="J263" s="121">
        <f t="shared" si="141"/>
        <v>1.05</v>
      </c>
      <c r="K263" s="120">
        <f t="shared" si="142"/>
        <v>0</v>
      </c>
      <c r="L263" s="120">
        <f t="shared" si="143"/>
        <v>0</v>
      </c>
      <c r="M263" s="246">
        <f t="shared" si="144"/>
        <v>0</v>
      </c>
      <c r="N263" s="121">
        <f t="shared" si="145"/>
        <v>1.05</v>
      </c>
      <c r="O263" s="246">
        <f t="shared" si="146"/>
        <v>0.92</v>
      </c>
      <c r="P263" s="121">
        <f t="shared" si="147"/>
        <v>0.25</v>
      </c>
      <c r="Q263" s="121">
        <f t="shared" si="148"/>
        <v>0.75</v>
      </c>
      <c r="R263" s="121">
        <f t="shared" si="149"/>
        <v>0</v>
      </c>
      <c r="S263" s="121" t="str">
        <f t="shared" si="150"/>
        <v/>
      </c>
      <c r="T263" s="121" t="str">
        <f t="shared" si="151"/>
        <v/>
      </c>
      <c r="U263" s="121">
        <f t="shared" si="152"/>
        <v>1.05</v>
      </c>
    </row>
    <row r="264" spans="1:21" x14ac:dyDescent="0.3">
      <c r="A264" s="187">
        <v>24</v>
      </c>
      <c r="B264" s="242">
        <f t="shared" si="153"/>
        <v>46357</v>
      </c>
      <c r="C264" s="243">
        <f t="shared" si="134"/>
        <v>46387</v>
      </c>
      <c r="D264" s="120">
        <f t="shared" si="135"/>
        <v>31</v>
      </c>
      <c r="E264" s="120">
        <f t="shared" si="136"/>
        <v>12</v>
      </c>
      <c r="F264" s="275">
        <f t="shared" si="137"/>
        <v>46372.5</v>
      </c>
      <c r="G264" s="120">
        <f t="shared" si="138"/>
        <v>24323</v>
      </c>
      <c r="H264" s="245">
        <f t="shared" si="139"/>
        <v>1</v>
      </c>
      <c r="I264" s="121">
        <f t="shared" si="140"/>
        <v>1.05</v>
      </c>
      <c r="J264" s="121">
        <f t="shared" si="141"/>
        <v>1.05</v>
      </c>
      <c r="K264" s="120">
        <f t="shared" si="142"/>
        <v>0</v>
      </c>
      <c r="L264" s="120">
        <f t="shared" si="143"/>
        <v>0</v>
      </c>
      <c r="M264" s="246">
        <f t="shared" si="144"/>
        <v>0</v>
      </c>
      <c r="N264" s="121">
        <f t="shared" si="145"/>
        <v>1.05</v>
      </c>
      <c r="O264" s="246">
        <f t="shared" si="146"/>
        <v>0.92</v>
      </c>
      <c r="P264" s="121">
        <f t="shared" si="147"/>
        <v>8.3333333333333329E-2</v>
      </c>
      <c r="Q264" s="121">
        <f t="shared" si="148"/>
        <v>0.91666666666666663</v>
      </c>
      <c r="R264" s="121">
        <f t="shared" si="149"/>
        <v>0</v>
      </c>
      <c r="S264" s="121" t="str">
        <f t="shared" si="150"/>
        <v/>
      </c>
      <c r="T264" s="121" t="str">
        <f t="shared" si="151"/>
        <v/>
      </c>
      <c r="U264" s="121">
        <f t="shared" si="152"/>
        <v>1.05</v>
      </c>
    </row>
    <row r="265" spans="1:21" x14ac:dyDescent="0.3">
      <c r="A265" s="187">
        <v>25</v>
      </c>
      <c r="B265" s="242">
        <f t="shared" si="153"/>
        <v>46388</v>
      </c>
      <c r="C265" s="243">
        <f t="shared" si="134"/>
        <v>46418</v>
      </c>
      <c r="D265" s="120">
        <f t="shared" si="135"/>
        <v>31</v>
      </c>
      <c r="E265" s="120">
        <f t="shared" si="136"/>
        <v>1</v>
      </c>
      <c r="F265" s="275">
        <f t="shared" si="137"/>
        <v>46403.5</v>
      </c>
      <c r="G265" s="120">
        <f t="shared" si="138"/>
        <v>24324</v>
      </c>
      <c r="H265" s="245">
        <f t="shared" si="139"/>
        <v>1</v>
      </c>
      <c r="I265" s="121">
        <f t="shared" si="140"/>
        <v>1.05</v>
      </c>
      <c r="J265" s="121">
        <f t="shared" si="141"/>
        <v>1.05</v>
      </c>
      <c r="K265" s="120">
        <f t="shared" si="142"/>
        <v>0</v>
      </c>
      <c r="L265" s="120">
        <f t="shared" si="143"/>
        <v>0</v>
      </c>
      <c r="M265" s="246">
        <f t="shared" si="144"/>
        <v>0</v>
      </c>
      <c r="N265" s="121">
        <f t="shared" si="145"/>
        <v>1.05</v>
      </c>
      <c r="O265" s="246">
        <f t="shared" si="146"/>
        <v>0.92</v>
      </c>
      <c r="P265" s="121">
        <f t="shared" si="147"/>
        <v>0</v>
      </c>
      <c r="Q265" s="121">
        <f t="shared" si="148"/>
        <v>1</v>
      </c>
      <c r="R265" s="121">
        <f t="shared" si="149"/>
        <v>0</v>
      </c>
      <c r="S265" s="121" t="str">
        <f t="shared" si="150"/>
        <v/>
      </c>
      <c r="T265" s="121" t="str">
        <f t="shared" si="151"/>
        <v/>
      </c>
      <c r="U265" s="121">
        <f t="shared" si="152"/>
        <v>1.05</v>
      </c>
    </row>
    <row r="266" spans="1:21" x14ac:dyDescent="0.3">
      <c r="A266" s="187">
        <v>26</v>
      </c>
      <c r="B266" s="242">
        <f t="shared" si="153"/>
        <v>46419</v>
      </c>
      <c r="C266" s="243">
        <f t="shared" si="134"/>
        <v>46446</v>
      </c>
      <c r="D266" s="120">
        <f t="shared" si="135"/>
        <v>28</v>
      </c>
      <c r="E266" s="120">
        <f t="shared" si="136"/>
        <v>2</v>
      </c>
      <c r="F266" s="275">
        <f t="shared" si="137"/>
        <v>46433</v>
      </c>
      <c r="G266" s="120">
        <f t="shared" si="138"/>
        <v>24325</v>
      </c>
      <c r="H266" s="245">
        <f t="shared" si="139"/>
        <v>1</v>
      </c>
      <c r="I266" s="121">
        <f t="shared" si="140"/>
        <v>1.05</v>
      </c>
      <c r="J266" s="121">
        <f t="shared" si="141"/>
        <v>1.05</v>
      </c>
      <c r="K266" s="120">
        <f t="shared" si="142"/>
        <v>0</v>
      </c>
      <c r="L266" s="120">
        <f t="shared" si="143"/>
        <v>0</v>
      </c>
      <c r="M266" s="246">
        <f t="shared" si="144"/>
        <v>0</v>
      </c>
      <c r="N266" s="121">
        <f t="shared" si="145"/>
        <v>1.05</v>
      </c>
      <c r="O266" s="246">
        <f t="shared" si="146"/>
        <v>0.92</v>
      </c>
      <c r="P266" s="121">
        <f t="shared" si="147"/>
        <v>0</v>
      </c>
      <c r="Q266" s="121">
        <f t="shared" si="148"/>
        <v>1</v>
      </c>
      <c r="R266" s="121">
        <f t="shared" si="149"/>
        <v>0</v>
      </c>
      <c r="S266" s="121" t="str">
        <f t="shared" si="150"/>
        <v/>
      </c>
      <c r="T266" s="121" t="str">
        <f t="shared" si="151"/>
        <v/>
      </c>
      <c r="U266" s="121">
        <f t="shared" si="152"/>
        <v>1.05</v>
      </c>
    </row>
    <row r="267" spans="1:21" x14ac:dyDescent="0.3">
      <c r="A267" s="187">
        <v>27</v>
      </c>
      <c r="B267" s="242">
        <f t="shared" si="153"/>
        <v>46447</v>
      </c>
      <c r="C267" s="243">
        <f t="shared" si="134"/>
        <v>46477</v>
      </c>
      <c r="D267" s="120">
        <f t="shared" si="135"/>
        <v>31</v>
      </c>
      <c r="E267" s="120">
        <f t="shared" si="136"/>
        <v>3</v>
      </c>
      <c r="F267" s="275">
        <f t="shared" si="137"/>
        <v>46462.5</v>
      </c>
      <c r="G267" s="120">
        <f t="shared" si="138"/>
        <v>24326</v>
      </c>
      <c r="H267" s="245">
        <f t="shared" si="139"/>
        <v>1</v>
      </c>
      <c r="I267" s="121">
        <f t="shared" si="140"/>
        <v>1.05</v>
      </c>
      <c r="J267" s="121">
        <f t="shared" si="141"/>
        <v>1.05</v>
      </c>
      <c r="K267" s="120">
        <f t="shared" si="142"/>
        <v>0</v>
      </c>
      <c r="L267" s="120">
        <f t="shared" si="143"/>
        <v>0</v>
      </c>
      <c r="M267" s="246">
        <f t="shared" si="144"/>
        <v>0</v>
      </c>
      <c r="N267" s="121">
        <f t="shared" si="145"/>
        <v>1.05</v>
      </c>
      <c r="O267" s="246">
        <f t="shared" si="146"/>
        <v>0.92</v>
      </c>
      <c r="P267" s="121">
        <f t="shared" si="147"/>
        <v>0</v>
      </c>
      <c r="Q267" s="121">
        <f t="shared" si="148"/>
        <v>1</v>
      </c>
      <c r="R267" s="121">
        <f t="shared" si="149"/>
        <v>0</v>
      </c>
      <c r="S267" s="121" t="str">
        <f t="shared" si="150"/>
        <v/>
      </c>
      <c r="T267" s="121" t="str">
        <f t="shared" si="151"/>
        <v/>
      </c>
      <c r="U267" s="121">
        <f t="shared" si="152"/>
        <v>1.05</v>
      </c>
    </row>
    <row r="268" spans="1:21" x14ac:dyDescent="0.3">
      <c r="A268" s="187">
        <v>28</v>
      </c>
      <c r="B268" s="242">
        <f t="shared" si="153"/>
        <v>46478</v>
      </c>
      <c r="C268" s="243">
        <f t="shared" si="134"/>
        <v>46507</v>
      </c>
      <c r="D268" s="120">
        <f t="shared" si="135"/>
        <v>30</v>
      </c>
      <c r="E268" s="120">
        <f t="shared" si="136"/>
        <v>4</v>
      </c>
      <c r="F268" s="275">
        <f t="shared" si="137"/>
        <v>46493</v>
      </c>
      <c r="G268" s="120">
        <f t="shared" si="138"/>
        <v>24327</v>
      </c>
      <c r="H268" s="245">
        <f t="shared" si="139"/>
        <v>1</v>
      </c>
      <c r="I268" s="121">
        <f t="shared" si="140"/>
        <v>1.05</v>
      </c>
      <c r="J268" s="121">
        <f t="shared" si="141"/>
        <v>1.05</v>
      </c>
      <c r="K268" s="120">
        <f t="shared" si="142"/>
        <v>0</v>
      </c>
      <c r="L268" s="120">
        <f t="shared" si="143"/>
        <v>0</v>
      </c>
      <c r="M268" s="246">
        <f t="shared" si="144"/>
        <v>0</v>
      </c>
      <c r="N268" s="121">
        <f t="shared" si="145"/>
        <v>1.05</v>
      </c>
      <c r="O268" s="246">
        <f t="shared" si="146"/>
        <v>0.92</v>
      </c>
      <c r="P268" s="121">
        <f t="shared" si="147"/>
        <v>0</v>
      </c>
      <c r="Q268" s="121">
        <f t="shared" si="148"/>
        <v>1</v>
      </c>
      <c r="R268" s="121">
        <f t="shared" si="149"/>
        <v>0</v>
      </c>
      <c r="S268" s="121" t="str">
        <f t="shared" si="150"/>
        <v/>
      </c>
      <c r="T268" s="121" t="str">
        <f t="shared" si="151"/>
        <v/>
      </c>
      <c r="U268" s="121">
        <f t="shared" si="152"/>
        <v>1.05</v>
      </c>
    </row>
    <row r="269" spans="1:21" x14ac:dyDescent="0.3">
      <c r="A269" s="187">
        <v>29</v>
      </c>
      <c r="B269" s="242">
        <f t="shared" si="153"/>
        <v>46508</v>
      </c>
      <c r="C269" s="243">
        <f t="shared" si="134"/>
        <v>46538</v>
      </c>
      <c r="D269" s="120">
        <f t="shared" si="135"/>
        <v>31</v>
      </c>
      <c r="E269" s="120">
        <f t="shared" si="136"/>
        <v>5</v>
      </c>
      <c r="F269" s="275">
        <f t="shared" si="137"/>
        <v>46523.5</v>
      </c>
      <c r="G269" s="120">
        <f t="shared" si="138"/>
        <v>24328</v>
      </c>
      <c r="H269" s="245">
        <f t="shared" si="139"/>
        <v>1</v>
      </c>
      <c r="I269" s="121">
        <f t="shared" si="140"/>
        <v>1.05</v>
      </c>
      <c r="J269" s="121">
        <f t="shared" si="141"/>
        <v>1.05</v>
      </c>
      <c r="K269" s="120">
        <f t="shared" si="142"/>
        <v>0</v>
      </c>
      <c r="L269" s="120">
        <f t="shared" si="143"/>
        <v>0</v>
      </c>
      <c r="M269" s="246">
        <f t="shared" si="144"/>
        <v>0</v>
      </c>
      <c r="N269" s="121">
        <f t="shared" si="145"/>
        <v>1.05</v>
      </c>
      <c r="O269" s="246">
        <f t="shared" si="146"/>
        <v>0.92</v>
      </c>
      <c r="P269" s="121">
        <f t="shared" si="147"/>
        <v>0</v>
      </c>
      <c r="Q269" s="121">
        <f t="shared" si="148"/>
        <v>1</v>
      </c>
      <c r="R269" s="121">
        <f t="shared" si="149"/>
        <v>0</v>
      </c>
      <c r="S269" s="121" t="str">
        <f t="shared" si="150"/>
        <v/>
      </c>
      <c r="T269" s="121" t="str">
        <f t="shared" si="151"/>
        <v/>
      </c>
      <c r="U269" s="121">
        <f t="shared" si="152"/>
        <v>1.05</v>
      </c>
    </row>
    <row r="270" spans="1:21" x14ac:dyDescent="0.3">
      <c r="A270" s="187">
        <v>30</v>
      </c>
      <c r="B270" s="242">
        <f t="shared" si="153"/>
        <v>46539</v>
      </c>
      <c r="C270" s="243">
        <f t="shared" si="134"/>
        <v>46568</v>
      </c>
      <c r="D270" s="120">
        <f t="shared" si="135"/>
        <v>30</v>
      </c>
      <c r="E270" s="120">
        <f t="shared" si="136"/>
        <v>6</v>
      </c>
      <c r="F270" s="275">
        <f t="shared" si="137"/>
        <v>46554</v>
      </c>
      <c r="G270" s="120">
        <f t="shared" si="138"/>
        <v>24329</v>
      </c>
      <c r="H270" s="245">
        <f t="shared" si="139"/>
        <v>1</v>
      </c>
      <c r="I270" s="121">
        <f t="shared" si="140"/>
        <v>1.05</v>
      </c>
      <c r="J270" s="121">
        <f t="shared" si="141"/>
        <v>1.05</v>
      </c>
      <c r="K270" s="120">
        <f t="shared" si="142"/>
        <v>0</v>
      </c>
      <c r="L270" s="120">
        <f t="shared" si="143"/>
        <v>0</v>
      </c>
      <c r="M270" s="246">
        <f t="shared" si="144"/>
        <v>0</v>
      </c>
      <c r="N270" s="121">
        <f t="shared" si="145"/>
        <v>1.05</v>
      </c>
      <c r="O270" s="246">
        <f t="shared" si="146"/>
        <v>0.92</v>
      </c>
      <c r="P270" s="121">
        <f t="shared" si="147"/>
        <v>0</v>
      </c>
      <c r="Q270" s="121">
        <f t="shared" si="148"/>
        <v>1</v>
      </c>
      <c r="R270" s="121">
        <f t="shared" si="149"/>
        <v>0</v>
      </c>
      <c r="S270" s="121" t="str">
        <f t="shared" si="150"/>
        <v/>
      </c>
      <c r="T270" s="121" t="str">
        <f t="shared" si="151"/>
        <v/>
      </c>
      <c r="U270" s="121">
        <f t="shared" si="152"/>
        <v>1.05</v>
      </c>
    </row>
    <row r="271" spans="1:21" x14ac:dyDescent="0.3">
      <c r="A271" s="187">
        <v>31</v>
      </c>
      <c r="B271" s="242">
        <f t="shared" si="153"/>
        <v>46569</v>
      </c>
      <c r="C271" s="243">
        <f t="shared" si="134"/>
        <v>46599</v>
      </c>
      <c r="D271" s="120">
        <f t="shared" si="135"/>
        <v>31</v>
      </c>
      <c r="E271" s="120">
        <f t="shared" si="136"/>
        <v>7</v>
      </c>
      <c r="F271" s="275">
        <f t="shared" si="137"/>
        <v>46584.5</v>
      </c>
      <c r="G271" s="120">
        <f t="shared" si="138"/>
        <v>24330</v>
      </c>
      <c r="H271" s="245">
        <f t="shared" si="139"/>
        <v>1</v>
      </c>
      <c r="I271" s="121">
        <f t="shared" si="140"/>
        <v>1.05</v>
      </c>
      <c r="J271" s="121">
        <f t="shared" si="141"/>
        <v>1.05</v>
      </c>
      <c r="K271" s="120">
        <f t="shared" si="142"/>
        <v>0</v>
      </c>
      <c r="L271" s="120">
        <f t="shared" si="143"/>
        <v>0</v>
      </c>
      <c r="M271" s="246">
        <f t="shared" si="144"/>
        <v>0</v>
      </c>
      <c r="N271" s="121">
        <f t="shared" si="145"/>
        <v>1.05</v>
      </c>
      <c r="O271" s="246">
        <f t="shared" si="146"/>
        <v>0.92</v>
      </c>
      <c r="P271" s="121">
        <f t="shared" si="147"/>
        <v>0</v>
      </c>
      <c r="Q271" s="121">
        <f t="shared" si="148"/>
        <v>0.91666666666666663</v>
      </c>
      <c r="R271" s="121">
        <f t="shared" si="149"/>
        <v>8.333333333333337E-2</v>
      </c>
      <c r="S271" s="121" t="str">
        <f t="shared" si="150"/>
        <v/>
      </c>
      <c r="T271" s="121" t="str">
        <f t="shared" si="151"/>
        <v/>
      </c>
      <c r="U271" s="121">
        <f t="shared" si="152"/>
        <v>1.05</v>
      </c>
    </row>
    <row r="272" spans="1:21" x14ac:dyDescent="0.3">
      <c r="A272" s="187">
        <v>32</v>
      </c>
      <c r="B272" s="242">
        <f t="shared" si="153"/>
        <v>46600</v>
      </c>
      <c r="C272" s="243">
        <f t="shared" si="134"/>
        <v>46630</v>
      </c>
      <c r="D272" s="120">
        <f t="shared" si="135"/>
        <v>31</v>
      </c>
      <c r="E272" s="120">
        <f t="shared" si="136"/>
        <v>8</v>
      </c>
      <c r="F272" s="275">
        <f t="shared" si="137"/>
        <v>46615.5</v>
      </c>
      <c r="G272" s="120">
        <f t="shared" si="138"/>
        <v>24331</v>
      </c>
      <c r="H272" s="245">
        <f t="shared" si="139"/>
        <v>1</v>
      </c>
      <c r="I272" s="121">
        <f t="shared" si="140"/>
        <v>1.05</v>
      </c>
      <c r="J272" s="121">
        <f t="shared" si="141"/>
        <v>1.05</v>
      </c>
      <c r="K272" s="120">
        <f t="shared" si="142"/>
        <v>0</v>
      </c>
      <c r="L272" s="120">
        <f t="shared" si="143"/>
        <v>0</v>
      </c>
      <c r="M272" s="246">
        <f t="shared" si="144"/>
        <v>0</v>
      </c>
      <c r="N272" s="121">
        <f t="shared" si="145"/>
        <v>1.05</v>
      </c>
      <c r="O272" s="246">
        <f t="shared" si="146"/>
        <v>0.92</v>
      </c>
      <c r="P272" s="121">
        <f t="shared" si="147"/>
        <v>0</v>
      </c>
      <c r="Q272" s="121">
        <f t="shared" si="148"/>
        <v>0.75</v>
      </c>
      <c r="R272" s="121">
        <f t="shared" si="149"/>
        <v>0.25</v>
      </c>
      <c r="S272" s="121" t="str">
        <f t="shared" si="150"/>
        <v/>
      </c>
      <c r="T272" s="121" t="str">
        <f t="shared" si="151"/>
        <v/>
      </c>
      <c r="U272" s="121">
        <f t="shared" si="152"/>
        <v>1.05</v>
      </c>
    </row>
    <row r="273" spans="1:21" x14ac:dyDescent="0.3">
      <c r="A273" s="187">
        <v>33</v>
      </c>
      <c r="B273" s="242">
        <f t="shared" si="153"/>
        <v>46631</v>
      </c>
      <c r="C273" s="243">
        <f t="shared" si="134"/>
        <v>46660</v>
      </c>
      <c r="D273" s="120">
        <f t="shared" si="135"/>
        <v>30</v>
      </c>
      <c r="E273" s="120">
        <f t="shared" si="136"/>
        <v>9</v>
      </c>
      <c r="F273" s="275">
        <f t="shared" si="137"/>
        <v>46646</v>
      </c>
      <c r="G273" s="120">
        <f t="shared" si="138"/>
        <v>24332</v>
      </c>
      <c r="H273" s="245">
        <f t="shared" si="139"/>
        <v>1</v>
      </c>
      <c r="I273" s="121">
        <f t="shared" si="140"/>
        <v>1.05</v>
      </c>
      <c r="J273" s="121">
        <f t="shared" si="141"/>
        <v>1.05</v>
      </c>
      <c r="K273" s="120">
        <f t="shared" si="142"/>
        <v>0</v>
      </c>
      <c r="L273" s="120">
        <f t="shared" si="143"/>
        <v>0</v>
      </c>
      <c r="M273" s="246">
        <f t="shared" si="144"/>
        <v>0</v>
      </c>
      <c r="N273" s="121">
        <f t="shared" si="145"/>
        <v>1.05</v>
      </c>
      <c r="O273" s="246">
        <f t="shared" si="146"/>
        <v>0.92</v>
      </c>
      <c r="P273" s="121">
        <f t="shared" si="147"/>
        <v>0</v>
      </c>
      <c r="Q273" s="121">
        <f t="shared" si="148"/>
        <v>0.58333333333333337</v>
      </c>
      <c r="R273" s="121">
        <f t="shared" si="149"/>
        <v>0.41666666666666663</v>
      </c>
      <c r="S273" s="121" t="str">
        <f t="shared" si="150"/>
        <v/>
      </c>
      <c r="T273" s="121" t="str">
        <f t="shared" si="151"/>
        <v/>
      </c>
      <c r="U273" s="121">
        <f t="shared" si="152"/>
        <v>1.05</v>
      </c>
    </row>
    <row r="274" spans="1:21" x14ac:dyDescent="0.3">
      <c r="A274" s="187">
        <v>34</v>
      </c>
      <c r="B274" s="242">
        <f t="shared" si="153"/>
        <v>46661</v>
      </c>
      <c r="C274" s="243">
        <f t="shared" si="134"/>
        <v>46691</v>
      </c>
      <c r="D274" s="120">
        <f t="shared" si="135"/>
        <v>31</v>
      </c>
      <c r="E274" s="120">
        <f t="shared" si="136"/>
        <v>10</v>
      </c>
      <c r="F274" s="275">
        <f t="shared" si="137"/>
        <v>46676.5</v>
      </c>
      <c r="G274" s="120">
        <f t="shared" si="138"/>
        <v>24333</v>
      </c>
      <c r="H274" s="245">
        <f t="shared" si="139"/>
        <v>1</v>
      </c>
      <c r="I274" s="121">
        <f t="shared" si="140"/>
        <v>1.05</v>
      </c>
      <c r="J274" s="121">
        <f t="shared" si="141"/>
        <v>1.05</v>
      </c>
      <c r="K274" s="120">
        <f t="shared" si="142"/>
        <v>0</v>
      </c>
      <c r="L274" s="120">
        <f t="shared" si="143"/>
        <v>0</v>
      </c>
      <c r="M274" s="246">
        <f t="shared" si="144"/>
        <v>0</v>
      </c>
      <c r="N274" s="121">
        <f t="shared" si="145"/>
        <v>1.05</v>
      </c>
      <c r="O274" s="246">
        <f t="shared" si="146"/>
        <v>0.92</v>
      </c>
      <c r="P274" s="121">
        <f t="shared" si="147"/>
        <v>0</v>
      </c>
      <c r="Q274" s="121">
        <f t="shared" si="148"/>
        <v>0.41666666666666669</v>
      </c>
      <c r="R274" s="121">
        <f t="shared" si="149"/>
        <v>0.58333333333333326</v>
      </c>
      <c r="S274" s="121" t="str">
        <f t="shared" si="150"/>
        <v/>
      </c>
      <c r="T274" s="121" t="str">
        <f t="shared" si="151"/>
        <v/>
      </c>
      <c r="U274" s="121">
        <f t="shared" si="152"/>
        <v>1.05</v>
      </c>
    </row>
    <row r="275" spans="1:21" x14ac:dyDescent="0.3">
      <c r="A275" s="187">
        <v>35</v>
      </c>
      <c r="B275" s="242">
        <f t="shared" si="153"/>
        <v>46692</v>
      </c>
      <c r="C275" s="243">
        <f t="shared" si="134"/>
        <v>46721</v>
      </c>
      <c r="D275" s="120">
        <f t="shared" si="135"/>
        <v>30</v>
      </c>
      <c r="E275" s="120">
        <f t="shared" si="136"/>
        <v>11</v>
      </c>
      <c r="F275" s="275">
        <f t="shared" si="137"/>
        <v>46707</v>
      </c>
      <c r="G275" s="120">
        <f t="shared" si="138"/>
        <v>24334</v>
      </c>
      <c r="H275" s="245">
        <f t="shared" si="139"/>
        <v>1</v>
      </c>
      <c r="I275" s="121">
        <f t="shared" si="140"/>
        <v>1.05</v>
      </c>
      <c r="J275" s="121">
        <f t="shared" si="141"/>
        <v>1.05</v>
      </c>
      <c r="K275" s="120">
        <f t="shared" si="142"/>
        <v>0</v>
      </c>
      <c r="L275" s="120">
        <f t="shared" si="143"/>
        <v>0</v>
      </c>
      <c r="M275" s="246">
        <f t="shared" si="144"/>
        <v>0</v>
      </c>
      <c r="N275" s="121">
        <f t="shared" si="145"/>
        <v>1.05</v>
      </c>
      <c r="O275" s="246">
        <f t="shared" si="146"/>
        <v>0.92</v>
      </c>
      <c r="P275" s="121">
        <f t="shared" si="147"/>
        <v>0</v>
      </c>
      <c r="Q275" s="121">
        <f t="shared" si="148"/>
        <v>0.25</v>
      </c>
      <c r="R275" s="121">
        <f t="shared" si="149"/>
        <v>0.75</v>
      </c>
      <c r="S275" s="121" t="str">
        <f t="shared" si="150"/>
        <v/>
      </c>
      <c r="T275" s="121" t="str">
        <f t="shared" si="151"/>
        <v/>
      </c>
      <c r="U275" s="121">
        <f t="shared" si="152"/>
        <v>1.05</v>
      </c>
    </row>
    <row r="276" spans="1:21" x14ac:dyDescent="0.3">
      <c r="A276" s="187">
        <v>36</v>
      </c>
      <c r="B276" s="242">
        <f t="shared" si="153"/>
        <v>46722</v>
      </c>
      <c r="C276" s="243">
        <f t="shared" si="134"/>
        <v>46752</v>
      </c>
      <c r="D276" s="120">
        <f t="shared" si="135"/>
        <v>31</v>
      </c>
      <c r="E276" s="120">
        <f t="shared" si="136"/>
        <v>12</v>
      </c>
      <c r="F276" s="275">
        <f t="shared" si="137"/>
        <v>46737.5</v>
      </c>
      <c r="G276" s="120">
        <f t="shared" si="138"/>
        <v>24335</v>
      </c>
      <c r="H276" s="245">
        <f t="shared" si="139"/>
        <v>1</v>
      </c>
      <c r="I276" s="121">
        <f t="shared" si="140"/>
        <v>1.05</v>
      </c>
      <c r="J276" s="121">
        <f t="shared" si="141"/>
        <v>1.05</v>
      </c>
      <c r="K276" s="120">
        <f t="shared" si="142"/>
        <v>0</v>
      </c>
      <c r="L276" s="120">
        <f t="shared" si="143"/>
        <v>0</v>
      </c>
      <c r="M276" s="246">
        <f t="shared" si="144"/>
        <v>0</v>
      </c>
      <c r="N276" s="121">
        <f t="shared" si="145"/>
        <v>1.05</v>
      </c>
      <c r="O276" s="246">
        <f t="shared" si="146"/>
        <v>0.92</v>
      </c>
      <c r="P276" s="121">
        <f t="shared" si="147"/>
        <v>0</v>
      </c>
      <c r="Q276" s="121">
        <f t="shared" si="148"/>
        <v>8.3333333333333329E-2</v>
      </c>
      <c r="R276" s="121">
        <f t="shared" si="149"/>
        <v>0.91666666666666663</v>
      </c>
      <c r="S276" s="121" t="str">
        <f t="shared" si="150"/>
        <v/>
      </c>
      <c r="T276" s="121" t="str">
        <f t="shared" si="151"/>
        <v/>
      </c>
      <c r="U276" s="121">
        <f t="shared" si="152"/>
        <v>1.05</v>
      </c>
    </row>
    <row r="277" spans="1:21" x14ac:dyDescent="0.3">
      <c r="A277" s="187">
        <v>37</v>
      </c>
      <c r="B277" s="242">
        <f t="shared" si="153"/>
        <v>46753</v>
      </c>
      <c r="C277" s="243">
        <f t="shared" si="134"/>
        <v>46783</v>
      </c>
      <c r="D277" s="120">
        <f t="shared" si="135"/>
        <v>31</v>
      </c>
      <c r="E277" s="120">
        <f t="shared" si="136"/>
        <v>1</v>
      </c>
      <c r="F277" s="275">
        <f t="shared" si="137"/>
        <v>46768.5</v>
      </c>
      <c r="G277" s="120">
        <f t="shared" si="138"/>
        <v>24336</v>
      </c>
      <c r="H277" s="245">
        <f t="shared" si="139"/>
        <v>1</v>
      </c>
      <c r="I277" s="121">
        <f t="shared" si="140"/>
        <v>1.05</v>
      </c>
      <c r="J277" s="121">
        <f t="shared" si="141"/>
        <v>1.05</v>
      </c>
      <c r="K277" s="120">
        <f t="shared" si="142"/>
        <v>0</v>
      </c>
      <c r="L277" s="120">
        <f t="shared" si="143"/>
        <v>0</v>
      </c>
      <c r="M277" s="246">
        <f t="shared" si="144"/>
        <v>0</v>
      </c>
      <c r="N277" s="121">
        <f t="shared" si="145"/>
        <v>1.05</v>
      </c>
      <c r="O277" s="246">
        <f t="shared" si="146"/>
        <v>0.92</v>
      </c>
      <c r="P277" s="121">
        <f t="shared" si="147"/>
        <v>0</v>
      </c>
      <c r="Q277" s="121">
        <f t="shared" si="148"/>
        <v>0</v>
      </c>
      <c r="R277" s="121">
        <f t="shared" si="149"/>
        <v>1</v>
      </c>
      <c r="S277" s="121" t="str">
        <f t="shared" si="150"/>
        <v/>
      </c>
      <c r="T277" s="121" t="str">
        <f t="shared" si="151"/>
        <v/>
      </c>
      <c r="U277" s="121">
        <f t="shared" si="152"/>
        <v>1.05</v>
      </c>
    </row>
    <row r="278" spans="1:21" x14ac:dyDescent="0.3">
      <c r="A278" s="187">
        <v>38</v>
      </c>
      <c r="B278" s="242">
        <f t="shared" si="153"/>
        <v>46784</v>
      </c>
      <c r="C278" s="243">
        <f t="shared" si="134"/>
        <v>46812</v>
      </c>
      <c r="D278" s="120">
        <f t="shared" si="135"/>
        <v>29</v>
      </c>
      <c r="E278" s="120">
        <f t="shared" si="136"/>
        <v>2</v>
      </c>
      <c r="F278" s="275">
        <f t="shared" si="137"/>
        <v>46798.5</v>
      </c>
      <c r="G278" s="120">
        <f t="shared" si="138"/>
        <v>24337</v>
      </c>
      <c r="H278" s="245">
        <f t="shared" si="139"/>
        <v>1</v>
      </c>
      <c r="I278" s="121">
        <f t="shared" si="140"/>
        <v>1.05</v>
      </c>
      <c r="J278" s="121">
        <f t="shared" si="141"/>
        <v>1.05</v>
      </c>
      <c r="K278" s="120">
        <f t="shared" si="142"/>
        <v>0</v>
      </c>
      <c r="L278" s="120">
        <f t="shared" si="143"/>
        <v>0</v>
      </c>
      <c r="M278" s="246">
        <f t="shared" si="144"/>
        <v>0</v>
      </c>
      <c r="N278" s="121">
        <f t="shared" si="145"/>
        <v>1.05</v>
      </c>
      <c r="O278" s="246">
        <f t="shared" si="146"/>
        <v>0.92</v>
      </c>
      <c r="P278" s="121">
        <f t="shared" si="147"/>
        <v>0</v>
      </c>
      <c r="Q278" s="121">
        <f t="shared" si="148"/>
        <v>0</v>
      </c>
      <c r="R278" s="121">
        <f t="shared" si="149"/>
        <v>1</v>
      </c>
      <c r="S278" s="121" t="str">
        <f t="shared" si="150"/>
        <v/>
      </c>
      <c r="T278" s="121" t="str">
        <f t="shared" si="151"/>
        <v/>
      </c>
      <c r="U278" s="121">
        <f t="shared" si="152"/>
        <v>1.05</v>
      </c>
    </row>
    <row r="279" spans="1:21" x14ac:dyDescent="0.3">
      <c r="A279" s="187">
        <v>39</v>
      </c>
      <c r="B279" s="242">
        <f t="shared" si="153"/>
        <v>46813</v>
      </c>
      <c r="C279" s="243">
        <f t="shared" si="134"/>
        <v>46843</v>
      </c>
      <c r="D279" s="120">
        <f t="shared" si="135"/>
        <v>31</v>
      </c>
      <c r="E279" s="120">
        <f t="shared" si="136"/>
        <v>3</v>
      </c>
      <c r="F279" s="275">
        <f t="shared" si="137"/>
        <v>46828.5</v>
      </c>
      <c r="G279" s="120">
        <f t="shared" si="138"/>
        <v>24338</v>
      </c>
      <c r="H279" s="245">
        <f t="shared" si="139"/>
        <v>1</v>
      </c>
      <c r="I279" s="121">
        <f t="shared" si="140"/>
        <v>1.05</v>
      </c>
      <c r="J279" s="121">
        <f t="shared" si="141"/>
        <v>1.05</v>
      </c>
      <c r="K279" s="120">
        <f t="shared" si="142"/>
        <v>0</v>
      </c>
      <c r="L279" s="120">
        <f t="shared" si="143"/>
        <v>0</v>
      </c>
      <c r="M279" s="246">
        <f t="shared" si="144"/>
        <v>0</v>
      </c>
      <c r="N279" s="121">
        <f t="shared" si="145"/>
        <v>1.05</v>
      </c>
      <c r="O279" s="246">
        <f t="shared" si="146"/>
        <v>0.92</v>
      </c>
      <c r="P279" s="121">
        <f t="shared" si="147"/>
        <v>0</v>
      </c>
      <c r="Q279" s="121">
        <f t="shared" si="148"/>
        <v>0</v>
      </c>
      <c r="R279" s="121">
        <f t="shared" si="149"/>
        <v>1</v>
      </c>
      <c r="S279" s="121" t="str">
        <f t="shared" si="150"/>
        <v/>
      </c>
      <c r="T279" s="121" t="str">
        <f t="shared" si="151"/>
        <v/>
      </c>
      <c r="U279" s="121">
        <f t="shared" si="152"/>
        <v>1.05</v>
      </c>
    </row>
    <row r="280" spans="1:21" x14ac:dyDescent="0.3">
      <c r="A280" s="187">
        <v>40</v>
      </c>
      <c r="B280" s="242">
        <f t="shared" si="153"/>
        <v>46844</v>
      </c>
      <c r="C280" s="243">
        <f t="shared" si="134"/>
        <v>46873</v>
      </c>
      <c r="D280" s="120">
        <f t="shared" si="135"/>
        <v>30</v>
      </c>
      <c r="E280" s="120">
        <f t="shared" si="136"/>
        <v>4</v>
      </c>
      <c r="F280" s="275">
        <f t="shared" si="137"/>
        <v>46859</v>
      </c>
      <c r="G280" s="120">
        <f t="shared" si="138"/>
        <v>24339</v>
      </c>
      <c r="H280" s="245">
        <f t="shared" si="139"/>
        <v>1</v>
      </c>
      <c r="I280" s="121">
        <f t="shared" si="140"/>
        <v>1.05</v>
      </c>
      <c r="J280" s="121">
        <f t="shared" si="141"/>
        <v>1.05</v>
      </c>
      <c r="K280" s="120">
        <f t="shared" si="142"/>
        <v>0</v>
      </c>
      <c r="L280" s="120">
        <f t="shared" si="143"/>
        <v>0</v>
      </c>
      <c r="M280" s="246">
        <f t="shared" si="144"/>
        <v>0</v>
      </c>
      <c r="N280" s="121">
        <f t="shared" si="145"/>
        <v>1.05</v>
      </c>
      <c r="O280" s="246">
        <f t="shared" si="146"/>
        <v>0.92</v>
      </c>
      <c r="P280" s="121">
        <f t="shared" si="147"/>
        <v>0</v>
      </c>
      <c r="Q280" s="121">
        <f t="shared" si="148"/>
        <v>0</v>
      </c>
      <c r="R280" s="121">
        <f t="shared" si="149"/>
        <v>1</v>
      </c>
      <c r="S280" s="121" t="str">
        <f t="shared" si="150"/>
        <v/>
      </c>
      <c r="T280" s="121" t="str">
        <f t="shared" si="151"/>
        <v/>
      </c>
      <c r="U280" s="121">
        <f t="shared" si="152"/>
        <v>1.05</v>
      </c>
    </row>
    <row r="281" spans="1:21" x14ac:dyDescent="0.3">
      <c r="A281" s="187">
        <v>41</v>
      </c>
      <c r="B281" s="242">
        <f t="shared" si="153"/>
        <v>46874</v>
      </c>
      <c r="C281" s="243">
        <f t="shared" si="134"/>
        <v>46904</v>
      </c>
      <c r="D281" s="120">
        <f t="shared" si="135"/>
        <v>31</v>
      </c>
      <c r="E281" s="120">
        <f t="shared" si="136"/>
        <v>5</v>
      </c>
      <c r="F281" s="275">
        <f t="shared" si="137"/>
        <v>46889.5</v>
      </c>
      <c r="G281" s="120">
        <f t="shared" si="138"/>
        <v>24340</v>
      </c>
      <c r="H281" s="245">
        <f t="shared" si="139"/>
        <v>1</v>
      </c>
      <c r="I281" s="121">
        <f t="shared" si="140"/>
        <v>1.05</v>
      </c>
      <c r="J281" s="121">
        <f t="shared" si="141"/>
        <v>1.05</v>
      </c>
      <c r="K281" s="120">
        <f t="shared" si="142"/>
        <v>0</v>
      </c>
      <c r="L281" s="120">
        <f t="shared" si="143"/>
        <v>0</v>
      </c>
      <c r="M281" s="246">
        <f t="shared" si="144"/>
        <v>0</v>
      </c>
      <c r="N281" s="121">
        <f t="shared" si="145"/>
        <v>1.05</v>
      </c>
      <c r="O281" s="246">
        <f t="shared" si="146"/>
        <v>0.92</v>
      </c>
      <c r="P281" s="121">
        <f t="shared" si="147"/>
        <v>0</v>
      </c>
      <c r="Q281" s="121">
        <f t="shared" si="148"/>
        <v>0</v>
      </c>
      <c r="R281" s="121">
        <f t="shared" si="149"/>
        <v>1</v>
      </c>
      <c r="S281" s="121" t="str">
        <f t="shared" si="150"/>
        <v/>
      </c>
      <c r="T281" s="121" t="str">
        <f t="shared" si="151"/>
        <v/>
      </c>
      <c r="U281" s="121">
        <f t="shared" si="152"/>
        <v>1.05</v>
      </c>
    </row>
    <row r="282" spans="1:21" x14ac:dyDescent="0.3">
      <c r="A282" s="187">
        <v>42</v>
      </c>
      <c r="B282" s="242">
        <f t="shared" si="153"/>
        <v>46905</v>
      </c>
      <c r="C282" s="243">
        <f t="shared" si="134"/>
        <v>46934</v>
      </c>
      <c r="D282" s="120">
        <f t="shared" si="135"/>
        <v>30</v>
      </c>
      <c r="E282" s="120">
        <f t="shared" si="136"/>
        <v>6</v>
      </c>
      <c r="F282" s="275">
        <f t="shared" si="137"/>
        <v>46920</v>
      </c>
      <c r="G282" s="120">
        <f t="shared" si="138"/>
        <v>24341</v>
      </c>
      <c r="H282" s="245">
        <f t="shared" si="139"/>
        <v>1</v>
      </c>
      <c r="I282" s="121">
        <f t="shared" si="140"/>
        <v>1.05</v>
      </c>
      <c r="J282" s="121">
        <f t="shared" si="141"/>
        <v>1.05</v>
      </c>
      <c r="K282" s="120">
        <f t="shared" si="142"/>
        <v>0</v>
      </c>
      <c r="L282" s="120">
        <f t="shared" si="143"/>
        <v>0</v>
      </c>
      <c r="M282" s="246">
        <f t="shared" si="144"/>
        <v>0</v>
      </c>
      <c r="N282" s="121">
        <f t="shared" si="145"/>
        <v>1.05</v>
      </c>
      <c r="O282" s="246">
        <f t="shared" si="146"/>
        <v>0.92</v>
      </c>
      <c r="P282" s="121">
        <f t="shared" si="147"/>
        <v>0</v>
      </c>
      <c r="Q282" s="121">
        <f t="shared" si="148"/>
        <v>0</v>
      </c>
      <c r="R282" s="121">
        <f t="shared" si="149"/>
        <v>1</v>
      </c>
      <c r="S282" s="121" t="str">
        <f t="shared" si="150"/>
        <v/>
      </c>
      <c r="T282" s="121" t="str">
        <f t="shared" si="151"/>
        <v/>
      </c>
      <c r="U282" s="121">
        <f t="shared" si="152"/>
        <v>1.05</v>
      </c>
    </row>
    <row r="283" spans="1:21" x14ac:dyDescent="0.3">
      <c r="A283" s="187">
        <v>43</v>
      </c>
      <c r="B283" s="242">
        <f t="shared" si="153"/>
        <v>46935</v>
      </c>
      <c r="C283" s="243">
        <f t="shared" si="134"/>
        <v>46965</v>
      </c>
      <c r="D283" s="120">
        <f t="shared" si="135"/>
        <v>31</v>
      </c>
      <c r="E283" s="120">
        <f t="shared" si="136"/>
        <v>7</v>
      </c>
      <c r="F283" s="275">
        <f t="shared" si="137"/>
        <v>46950.5</v>
      </c>
      <c r="G283" s="120">
        <f t="shared" si="138"/>
        <v>24342</v>
      </c>
      <c r="H283" s="245">
        <f t="shared" si="139"/>
        <v>1</v>
      </c>
      <c r="I283" s="121">
        <f t="shared" si="140"/>
        <v>1.05</v>
      </c>
      <c r="J283" s="121">
        <f t="shared" si="141"/>
        <v>1.05</v>
      </c>
      <c r="K283" s="120">
        <f t="shared" si="142"/>
        <v>0</v>
      </c>
      <c r="L283" s="120">
        <f t="shared" si="143"/>
        <v>0</v>
      </c>
      <c r="M283" s="246">
        <f t="shared" si="144"/>
        <v>0</v>
      </c>
      <c r="N283" s="121">
        <f t="shared" si="145"/>
        <v>1.05</v>
      </c>
      <c r="O283" s="246">
        <f t="shared" si="146"/>
        <v>0.92</v>
      </c>
      <c r="P283" s="121">
        <f t="shared" si="147"/>
        <v>0</v>
      </c>
      <c r="Q283" s="121">
        <f t="shared" si="148"/>
        <v>0</v>
      </c>
      <c r="R283" s="121">
        <f t="shared" si="149"/>
        <v>0.91666666666666663</v>
      </c>
      <c r="S283" s="121" t="str">
        <f t="shared" si="150"/>
        <v/>
      </c>
      <c r="T283" s="121" t="str">
        <f t="shared" si="151"/>
        <v/>
      </c>
      <c r="U283" s="121">
        <f t="shared" si="152"/>
        <v>1.05</v>
      </c>
    </row>
    <row r="284" spans="1:21" x14ac:dyDescent="0.3">
      <c r="A284" s="187">
        <v>44</v>
      </c>
      <c r="B284" s="242">
        <f t="shared" si="153"/>
        <v>46966</v>
      </c>
      <c r="C284" s="243">
        <f t="shared" si="134"/>
        <v>46996</v>
      </c>
      <c r="D284" s="120">
        <f t="shared" si="135"/>
        <v>31</v>
      </c>
      <c r="E284" s="120">
        <f t="shared" si="136"/>
        <v>8</v>
      </c>
      <c r="F284" s="275">
        <f t="shared" si="137"/>
        <v>46981.5</v>
      </c>
      <c r="G284" s="120">
        <f t="shared" si="138"/>
        <v>24343</v>
      </c>
      <c r="H284" s="245">
        <f t="shared" si="139"/>
        <v>1</v>
      </c>
      <c r="I284" s="121">
        <f t="shared" si="140"/>
        <v>1.05</v>
      </c>
      <c r="J284" s="121">
        <f t="shared" si="141"/>
        <v>1.05</v>
      </c>
      <c r="K284" s="120">
        <f t="shared" si="142"/>
        <v>0</v>
      </c>
      <c r="L284" s="120">
        <f t="shared" si="143"/>
        <v>0</v>
      </c>
      <c r="M284" s="246">
        <f t="shared" si="144"/>
        <v>0</v>
      </c>
      <c r="N284" s="121">
        <f t="shared" si="145"/>
        <v>1.05</v>
      </c>
      <c r="O284" s="246">
        <f t="shared" si="146"/>
        <v>0.92</v>
      </c>
      <c r="P284" s="121">
        <f t="shared" si="147"/>
        <v>0</v>
      </c>
      <c r="Q284" s="121">
        <f t="shared" si="148"/>
        <v>0</v>
      </c>
      <c r="R284" s="121">
        <f t="shared" si="149"/>
        <v>0.75</v>
      </c>
      <c r="S284" s="121" t="str">
        <f t="shared" si="150"/>
        <v/>
      </c>
      <c r="T284" s="121" t="str">
        <f t="shared" si="151"/>
        <v/>
      </c>
      <c r="U284" s="121">
        <f t="shared" si="152"/>
        <v>1.05</v>
      </c>
    </row>
    <row r="285" spans="1:21" x14ac:dyDescent="0.3">
      <c r="A285" s="187">
        <v>45</v>
      </c>
      <c r="B285" s="242">
        <f t="shared" si="153"/>
        <v>46997</v>
      </c>
      <c r="C285" s="243">
        <f t="shared" si="134"/>
        <v>47026</v>
      </c>
      <c r="D285" s="120">
        <f t="shared" si="135"/>
        <v>30</v>
      </c>
      <c r="E285" s="120">
        <f t="shared" si="136"/>
        <v>9</v>
      </c>
      <c r="F285" s="275">
        <f t="shared" si="137"/>
        <v>47012</v>
      </c>
      <c r="G285" s="120">
        <f t="shared" si="138"/>
        <v>24344</v>
      </c>
      <c r="H285" s="245">
        <f t="shared" si="139"/>
        <v>1</v>
      </c>
      <c r="I285" s="121">
        <f t="shared" si="140"/>
        <v>1.05</v>
      </c>
      <c r="J285" s="121">
        <f t="shared" si="141"/>
        <v>1.05</v>
      </c>
      <c r="K285" s="120">
        <f t="shared" si="142"/>
        <v>0</v>
      </c>
      <c r="L285" s="120">
        <f t="shared" si="143"/>
        <v>0</v>
      </c>
      <c r="M285" s="246">
        <f t="shared" si="144"/>
        <v>0</v>
      </c>
      <c r="N285" s="121">
        <f t="shared" si="145"/>
        <v>1.05</v>
      </c>
      <c r="O285" s="246">
        <f t="shared" si="146"/>
        <v>0.92</v>
      </c>
      <c r="P285" s="121">
        <f t="shared" si="147"/>
        <v>0</v>
      </c>
      <c r="Q285" s="121">
        <f t="shared" si="148"/>
        <v>0</v>
      </c>
      <c r="R285" s="121">
        <f t="shared" si="149"/>
        <v>0.58333333333333337</v>
      </c>
      <c r="S285" s="121" t="str">
        <f t="shared" si="150"/>
        <v/>
      </c>
      <c r="T285" s="121" t="str">
        <f t="shared" si="151"/>
        <v/>
      </c>
      <c r="U285" s="121">
        <f t="shared" si="152"/>
        <v>1.05</v>
      </c>
    </row>
    <row r="286" spans="1:21" x14ac:dyDescent="0.3">
      <c r="A286" s="187">
        <v>46</v>
      </c>
      <c r="B286" s="242">
        <f t="shared" si="153"/>
        <v>47027</v>
      </c>
      <c r="C286" s="243">
        <f t="shared" si="134"/>
        <v>47057</v>
      </c>
      <c r="D286" s="120">
        <f t="shared" si="135"/>
        <v>31</v>
      </c>
      <c r="E286" s="120">
        <f t="shared" si="136"/>
        <v>10</v>
      </c>
      <c r="F286" s="275">
        <f t="shared" si="137"/>
        <v>47042.5</v>
      </c>
      <c r="G286" s="120">
        <f t="shared" si="138"/>
        <v>24345</v>
      </c>
      <c r="H286" s="245">
        <f t="shared" si="139"/>
        <v>1</v>
      </c>
      <c r="I286" s="121">
        <f t="shared" si="140"/>
        <v>1.05</v>
      </c>
      <c r="J286" s="121">
        <f t="shared" si="141"/>
        <v>1.05</v>
      </c>
      <c r="K286" s="120">
        <f t="shared" si="142"/>
        <v>0</v>
      </c>
      <c r="L286" s="120">
        <f t="shared" si="143"/>
        <v>0</v>
      </c>
      <c r="M286" s="246">
        <f t="shared" si="144"/>
        <v>0</v>
      </c>
      <c r="N286" s="121">
        <f t="shared" si="145"/>
        <v>1.05</v>
      </c>
      <c r="O286" s="246">
        <f t="shared" si="146"/>
        <v>0.92</v>
      </c>
      <c r="P286" s="121">
        <f t="shared" si="147"/>
        <v>0</v>
      </c>
      <c r="Q286" s="121">
        <f t="shared" si="148"/>
        <v>0</v>
      </c>
      <c r="R286" s="121">
        <f t="shared" si="149"/>
        <v>0.41666666666666669</v>
      </c>
      <c r="S286" s="121" t="str">
        <f t="shared" si="150"/>
        <v/>
      </c>
      <c r="T286" s="121" t="str">
        <f t="shared" si="151"/>
        <v/>
      </c>
      <c r="U286" s="121">
        <f t="shared" si="152"/>
        <v>1.05</v>
      </c>
    </row>
    <row r="287" spans="1:21" x14ac:dyDescent="0.3">
      <c r="A287" s="187">
        <v>47</v>
      </c>
      <c r="B287" s="242">
        <f t="shared" si="153"/>
        <v>47058</v>
      </c>
      <c r="C287" s="243">
        <f t="shared" si="134"/>
        <v>47087</v>
      </c>
      <c r="D287" s="120">
        <f t="shared" si="135"/>
        <v>30</v>
      </c>
      <c r="E287" s="120">
        <f t="shared" si="136"/>
        <v>11</v>
      </c>
      <c r="F287" s="275">
        <f t="shared" si="137"/>
        <v>47073</v>
      </c>
      <c r="G287" s="120">
        <f t="shared" si="138"/>
        <v>24346</v>
      </c>
      <c r="H287" s="245">
        <f t="shared" si="139"/>
        <v>1</v>
      </c>
      <c r="I287" s="121">
        <f t="shared" si="140"/>
        <v>1.05</v>
      </c>
      <c r="J287" s="121">
        <f t="shared" si="141"/>
        <v>1.05</v>
      </c>
      <c r="K287" s="120">
        <f t="shared" si="142"/>
        <v>0</v>
      </c>
      <c r="L287" s="120">
        <f t="shared" si="143"/>
        <v>0</v>
      </c>
      <c r="M287" s="246">
        <f t="shared" si="144"/>
        <v>0</v>
      </c>
      <c r="N287" s="121">
        <f t="shared" si="145"/>
        <v>1.05</v>
      </c>
      <c r="O287" s="246">
        <f t="shared" si="146"/>
        <v>0.92</v>
      </c>
      <c r="P287" s="121">
        <f t="shared" si="147"/>
        <v>0</v>
      </c>
      <c r="Q287" s="121">
        <f t="shared" si="148"/>
        <v>0</v>
      </c>
      <c r="R287" s="121">
        <f t="shared" si="149"/>
        <v>0.25</v>
      </c>
      <c r="S287" s="121" t="str">
        <f t="shared" si="150"/>
        <v/>
      </c>
      <c r="T287" s="121" t="str">
        <f t="shared" si="151"/>
        <v/>
      </c>
      <c r="U287" s="121">
        <f t="shared" si="152"/>
        <v>1.05</v>
      </c>
    </row>
    <row r="288" spans="1:21" x14ac:dyDescent="0.3">
      <c r="A288" s="187">
        <v>48</v>
      </c>
      <c r="B288" s="242">
        <f t="shared" si="153"/>
        <v>47088</v>
      </c>
      <c r="C288" s="243">
        <f t="shared" si="134"/>
        <v>47118</v>
      </c>
      <c r="D288" s="120">
        <f t="shared" si="135"/>
        <v>31</v>
      </c>
      <c r="E288" s="120">
        <f t="shared" si="136"/>
        <v>12</v>
      </c>
      <c r="F288" s="275">
        <f t="shared" si="137"/>
        <v>47103.5</v>
      </c>
      <c r="G288" s="120">
        <f t="shared" si="138"/>
        <v>24347</v>
      </c>
      <c r="H288" s="245">
        <f t="shared" si="139"/>
        <v>1</v>
      </c>
      <c r="I288" s="121">
        <f t="shared" si="140"/>
        <v>1.05</v>
      </c>
      <c r="J288" s="121">
        <f t="shared" si="141"/>
        <v>1.05</v>
      </c>
      <c r="K288" s="120">
        <f t="shared" si="142"/>
        <v>0</v>
      </c>
      <c r="L288" s="120">
        <f t="shared" si="143"/>
        <v>0</v>
      </c>
      <c r="M288" s="246">
        <f t="shared" si="144"/>
        <v>0</v>
      </c>
      <c r="N288" s="121">
        <f t="shared" si="145"/>
        <v>1.05</v>
      </c>
      <c r="O288" s="246">
        <f t="shared" si="146"/>
        <v>0.92</v>
      </c>
      <c r="P288" s="121">
        <f t="shared" si="147"/>
        <v>0</v>
      </c>
      <c r="Q288" s="121">
        <f t="shared" si="148"/>
        <v>0</v>
      </c>
      <c r="R288" s="121">
        <f t="shared" si="149"/>
        <v>8.3333333333333329E-2</v>
      </c>
      <c r="S288" s="121" t="str">
        <f t="shared" si="150"/>
        <v/>
      </c>
      <c r="T288" s="121" t="str">
        <f t="shared" si="151"/>
        <v/>
      </c>
      <c r="U288" s="121">
        <f t="shared" si="152"/>
        <v>1.05</v>
      </c>
    </row>
    <row r="289" spans="1:21" x14ac:dyDescent="0.3">
      <c r="A289" s="6" t="s">
        <v>1651</v>
      </c>
      <c r="B289" s="73">
        <f>EXP(SUMPRODUCT((rl_key=$A$238)*(rl_cons="Y")*rl_ln1p))</f>
        <v>1.05</v>
      </c>
      <c r="C289" s="73">
        <f>SUMPRODUCT($H$241:$H$288,$P$241:$P$288,$U$241:$U$288)/SUMPRODUCT($H$241:$H$288,$P$241:$P$288)</f>
        <v>1.0250000000000001</v>
      </c>
      <c r="D289" s="73">
        <f>SUMPRODUCT($H$241:$H$288,$Q$241:$Q$288,$U$241:$U$288)/SUMPRODUCT($H$241:$H$288,$Q$241:$Q$288)</f>
        <v>1.05</v>
      </c>
      <c r="E289" s="73">
        <f>SUMPRODUCT($H$241:$H$288,$R$241:$R$288,$U$241:$U$288)/SUMPRODUCT($H$241:$H$288,$R$241:$R$288)</f>
        <v>1.05</v>
      </c>
      <c r="F289" s="224">
        <f>SUMPRODUCT($H$241:$H$288,$Q$241:$Q$288,$O$241:$O$288)/SUMPRODUCT($H$241:$H$288,$Q$241:$Q$288)</f>
        <v>0.91999999999999993</v>
      </c>
      <c r="G289" s="224">
        <f>SUMPRODUCT($H$241:$H$288,$R$241:$R$288,$O$241:$O$288)/SUMPRODUCT($H$241:$H$288,$R$241:$R$288)</f>
        <v>0.91999999999999993</v>
      </c>
      <c r="H289" s="73">
        <f>SUMPRODUCT($H$265:$H$276,$N$265:$N$276/$N$253:$N$264)/SUM($H$265:$H$276)</f>
        <v>1.0125</v>
      </c>
      <c r="I289" s="73">
        <f>SUMPRODUCT($H$265:$H$276,$O$265:$O$276/$O$253:$O$264)/SUM($H$265:$H$276)</f>
        <v>1</v>
      </c>
      <c r="J289" s="73">
        <f>IF($O$238=1,SUMPRODUCT($H$265:$H$276,$N$265:$N$276/$N$253:$N$264*$O$265:$O$276/$O$253:$O$264)/SUM($H$265:$H$276),$H289)</f>
        <v>1.0125</v>
      </c>
      <c r="K289" s="73">
        <f>SUMPRODUCT($H$241:$H$288,$Q$241:$Q$288,$N$241:$N$288)/SUMPRODUCT($H$241:$H$288,$Q$241:$Q$288)</f>
        <v>1.05</v>
      </c>
      <c r="L289" s="73">
        <f>SUMPRODUCT($H$241:$H$288,$R$241:$R$288,$N$241:$N$288)/SUMPRODUCT($H$241:$H$288,$R$241:$R$288)</f>
        <v>1.05</v>
      </c>
    </row>
    <row r="292" spans="1:21" x14ac:dyDescent="0.3">
      <c r="A292" s="6" t="str">
        <f>INDEX(lr_key,5)</f>
        <v>ABD|GA</v>
      </c>
      <c r="B292" s="6" t="str">
        <f>INDEX(lr_state,5)</f>
        <v>GA</v>
      </c>
      <c r="C292" s="75">
        <f>nr_TermMonths</f>
        <v>6</v>
      </c>
      <c r="D292" s="75">
        <f>IF(COUNTIF(se_state,$B292)=0,0,MATCH($B292,se_state,0))</f>
        <v>0</v>
      </c>
      <c r="E292" s="70">
        <f>IF($D292=0,0,INDEX(se_sum,$D292))</f>
        <v>0</v>
      </c>
      <c r="F292" s="224">
        <f>IF(N(INDEX(lr_mind,5))=0,1,INDEX(lr_mind,5))</f>
        <v>0.92</v>
      </c>
      <c r="G292" s="224">
        <f>IF(N(INDEX(lr_m0,5))=0,1,INDEX(lr_m0,5))</f>
        <v>0.91</v>
      </c>
      <c r="H292" s="74">
        <f>IF(N(INDEX(lr_m0asof,5))=0,DATE(nr_PlanYear-1,10,1),INDEX(lr_m0asof,5))</f>
        <v>46295</v>
      </c>
      <c r="I292" s="224">
        <f>IF(N(INDEX(lr_m1,5))=0,1,INDEX(lr_m1,5))</f>
        <v>0.92500000000000004</v>
      </c>
      <c r="J292" s="224">
        <f>INDEX(lr_mprior,5)</f>
        <v>0</v>
      </c>
      <c r="K292" s="224">
        <f>INDEX(lr_m2,5)</f>
        <v>0</v>
      </c>
      <c r="L292" s="6" t="b">
        <f>NOT(ISBLANK(INDEX(lr_netp,5)))</f>
        <v>0</v>
      </c>
      <c r="M292" s="72">
        <f>N(INDEX(lr_netp,5))</f>
        <v>0</v>
      </c>
      <c r="N292" s="72">
        <f>IF(ISBLANK(INDEX(lr_netp1,5)),$M$292,N(INDEX(lr_netp1,5)))</f>
        <v>0</v>
      </c>
      <c r="O292" s="75">
        <f>IF(AND(nr_ModAdjMaster="ON",INDEX(lr_modadj,5)="ON"),1,0)</f>
        <v>1</v>
      </c>
    </row>
    <row r="293" spans="1:21" x14ac:dyDescent="0.3">
      <c r="A293" s="6">
        <f>EDATE($H$292,-12)+1</f>
        <v>45931</v>
      </c>
      <c r="B293" s="6">
        <f>$H$292+1</f>
        <v>46296</v>
      </c>
      <c r="C293" s="6">
        <f>DATE(nr_PlanYear,12,31)+1</f>
        <v>46753</v>
      </c>
      <c r="D293" s="6">
        <f>DATE(nr_PlanYear+1,12,31)+1</f>
        <v>47119</v>
      </c>
      <c r="E293" s="6">
        <f>IF(N($J$292)=0,$F$293-($G$293-$F$293)/($C$293-$B$293)*($B$293-$A$293),$J$292)</f>
        <v>0.89801969365426693</v>
      </c>
      <c r="F293" s="6">
        <f>$G$292</f>
        <v>0.91</v>
      </c>
      <c r="G293" s="6">
        <f>$I$292</f>
        <v>0.92500000000000004</v>
      </c>
      <c r="H293" s="6">
        <f>IF(N($K$292)=0,$I$292,$K$292)</f>
        <v>0.92500000000000004</v>
      </c>
      <c r="I293" s="6">
        <f>($F$293-$E$293)/($B$293-$A$293)</f>
        <v>3.2822757111597549E-5</v>
      </c>
      <c r="J293" s="6">
        <f>($G$293-$F$293)/($C$293-$B$293)</f>
        <v>3.2822757111597407E-5</v>
      </c>
      <c r="K293" s="6">
        <f>($H$293-$G$293)/($D$293-$C$293)</f>
        <v>0</v>
      </c>
    </row>
    <row r="294" spans="1:21" ht="36" x14ac:dyDescent="0.3">
      <c r="A294" s="58" t="s">
        <v>390</v>
      </c>
      <c r="B294" s="58" t="s">
        <v>449</v>
      </c>
      <c r="C294" s="58" t="s">
        <v>685</v>
      </c>
      <c r="D294" s="58" t="s">
        <v>686</v>
      </c>
      <c r="E294" s="58" t="s">
        <v>687</v>
      </c>
      <c r="F294" s="58" t="s">
        <v>688</v>
      </c>
      <c r="G294" s="58" t="s">
        <v>689</v>
      </c>
      <c r="H294" s="58" t="s">
        <v>452</v>
      </c>
      <c r="I294" s="58" t="s">
        <v>690</v>
      </c>
      <c r="J294" s="58" t="s">
        <v>691</v>
      </c>
      <c r="K294" s="58" t="s">
        <v>692</v>
      </c>
      <c r="L294" s="58" t="s">
        <v>693</v>
      </c>
      <c r="M294" s="58" t="s">
        <v>694</v>
      </c>
      <c r="N294" s="58" t="s">
        <v>695</v>
      </c>
      <c r="O294" s="58" t="s">
        <v>696</v>
      </c>
      <c r="P294" s="58" t="s">
        <v>697</v>
      </c>
      <c r="Q294" s="58" t="s">
        <v>698</v>
      </c>
      <c r="R294" s="58" t="s">
        <v>699</v>
      </c>
      <c r="S294" s="58" t="s">
        <v>700</v>
      </c>
      <c r="T294" s="58" t="s">
        <v>701</v>
      </c>
      <c r="U294" s="58" t="s">
        <v>702</v>
      </c>
    </row>
    <row r="295" spans="1:21" x14ac:dyDescent="0.3">
      <c r="A295" s="187">
        <v>1</v>
      </c>
      <c r="B295" s="242">
        <f>DATE(nr_PlanYear-2,1,1)</f>
        <v>45658</v>
      </c>
      <c r="C295" s="243">
        <f t="shared" ref="C295:C342" si="154">EOMONTH($B295,0)</f>
        <v>45688</v>
      </c>
      <c r="D295" s="120">
        <f t="shared" ref="D295:D342" si="155">$C295-$B295+1</f>
        <v>31</v>
      </c>
      <c r="E295" s="120">
        <f t="shared" ref="E295:E342" si="156">MONTH($B295)</f>
        <v>1</v>
      </c>
      <c r="F295" s="275">
        <f t="shared" ref="F295:F342" si="157">($B295+$C295+1)/2</f>
        <v>45673.5</v>
      </c>
      <c r="G295" s="120">
        <f t="shared" ref="G295:G342" si="158">YEAR($B295)*12+MONTH($B295)-1</f>
        <v>24300</v>
      </c>
      <c r="H295" s="245">
        <f t="shared" ref="H295:H342" si="159">IF(OR(nr_SeasonOn="OFF",$D$292=0,$E$292=0),1,12*INDEX(se_block,$D$292,$E295)/$E$292)</f>
        <v>1</v>
      </c>
      <c r="I295" s="121">
        <f t="shared" ref="I295:I342" si="160">EXP(SUMPRODUCT((rl_eff&lt;$B295)*(rl_key=$A$292)*rl_ln1p))</f>
        <v>1</v>
      </c>
      <c r="J295" s="121">
        <f t="shared" ref="J295:J342" si="161">EXP(SUMPRODUCT((rl_eff&lt;=$C295)*(rl_key=$A$292)*rl_ln1p))</f>
        <v>1</v>
      </c>
      <c r="K295" s="120">
        <f t="shared" ref="K295:K342" si="162">COUNTIFS(rl_key,$A$292,rl_eff,"&gt;="&amp;$B295,rl_eff,"&lt;="&amp;$C295)</f>
        <v>0</v>
      </c>
      <c r="L295" s="120">
        <f t="shared" ref="L295:L342" si="163">SUMIFS(rl_daysafter,rl_key,$A$292,rl_effmonth,$B295,rl_first,1)</f>
        <v>0</v>
      </c>
      <c r="M295" s="246">
        <f t="shared" ref="M295:M342" si="164">IF($K295=0,0,MIN(1,$L295/$D295))</f>
        <v>0</v>
      </c>
      <c r="N295" s="121">
        <f t="shared" ref="N295:N342" si="165">IF($K295=0,$J295,(1-$M295)*$I295+$M295*$J295)</f>
        <v>1</v>
      </c>
      <c r="O295" s="246">
        <f t="shared" ref="O295:O342" si="166">IF($F295&lt;$B$293,$E$293+$I$293*($F295-$A$293),IF($F295&lt;$C$293,$F$293+$J$293*($F295-$B$293),$G$293+$K$293*($F295-$C$293)))</f>
        <v>0.88956783369803061</v>
      </c>
      <c r="P295" s="121">
        <f t="shared" ref="P295:P342" si="167">MIN(1,MAX(0,(nr_MEndPm1-$G295+0.5)/$C$292))-MIN(1,MAX(0,(nr_MStartPm1-1-$G295+0.5)/$C$292))</f>
        <v>0</v>
      </c>
      <c r="Q295" s="121">
        <f t="shared" ref="Q295:Q342" si="168">MIN(1,MAX(0,(nr_MEndP-$G295+0.5)/$C$292))-MIN(1,MAX(0,(nr_MStartP-1-$G295+0.5)/$C$292))</f>
        <v>0</v>
      </c>
      <c r="R295" s="121">
        <f t="shared" ref="R295:R342" si="169">MIN(1,MAX(0,(nr_MEndP1-$G295+0.5)/$C$292))-MIN(1,MAX(0,(nr_MStartP1-1-$G295+0.5)/$C$292))</f>
        <v>0</v>
      </c>
      <c r="S295" s="121" t="str">
        <f t="shared" ref="S295:S342" si="170">IF($L$292,$N295*IF($O$292=1,$O295/$F$292,1),"")</f>
        <v/>
      </c>
      <c r="T295" s="121" t="str">
        <f t="shared" ref="T295:T342" si="171">IF(NOT($L$292),"",IF($G295&lt;nr_MStartP,$S295,$T283*(1+IF($G295&lt;nr_MStartP1,$M$292,$N$292))))</f>
        <v/>
      </c>
      <c r="U295" s="121">
        <f t="shared" ref="U295:U342" si="172">IF($L$292,$T295,$N295)</f>
        <v>1</v>
      </c>
    </row>
    <row r="296" spans="1:21" x14ac:dyDescent="0.3">
      <c r="A296" s="187">
        <v>2</v>
      </c>
      <c r="B296" s="242">
        <f t="shared" ref="B296:B342" si="173">EDATE($B295,1)</f>
        <v>45689</v>
      </c>
      <c r="C296" s="243">
        <f t="shared" si="154"/>
        <v>45716</v>
      </c>
      <c r="D296" s="120">
        <f t="shared" si="155"/>
        <v>28</v>
      </c>
      <c r="E296" s="120">
        <f t="shared" si="156"/>
        <v>2</v>
      </c>
      <c r="F296" s="275">
        <f t="shared" si="157"/>
        <v>45703</v>
      </c>
      <c r="G296" s="120">
        <f t="shared" si="158"/>
        <v>24301</v>
      </c>
      <c r="H296" s="245">
        <f t="shared" si="159"/>
        <v>1</v>
      </c>
      <c r="I296" s="121">
        <f t="shared" si="160"/>
        <v>1</v>
      </c>
      <c r="J296" s="121">
        <f t="shared" si="161"/>
        <v>1</v>
      </c>
      <c r="K296" s="120">
        <f t="shared" si="162"/>
        <v>0</v>
      </c>
      <c r="L296" s="120">
        <f t="shared" si="163"/>
        <v>0</v>
      </c>
      <c r="M296" s="246">
        <f t="shared" si="164"/>
        <v>0</v>
      </c>
      <c r="N296" s="121">
        <f t="shared" si="165"/>
        <v>1</v>
      </c>
      <c r="O296" s="246">
        <f t="shared" si="166"/>
        <v>0.89053610503282266</v>
      </c>
      <c r="P296" s="121">
        <f t="shared" si="167"/>
        <v>0</v>
      </c>
      <c r="Q296" s="121">
        <f t="shared" si="168"/>
        <v>0</v>
      </c>
      <c r="R296" s="121">
        <f t="shared" si="169"/>
        <v>0</v>
      </c>
      <c r="S296" s="121" t="str">
        <f t="shared" si="170"/>
        <v/>
      </c>
      <c r="T296" s="121" t="str">
        <f t="shared" si="171"/>
        <v/>
      </c>
      <c r="U296" s="121">
        <f t="shared" si="172"/>
        <v>1</v>
      </c>
    </row>
    <row r="297" spans="1:21" x14ac:dyDescent="0.3">
      <c r="A297" s="187">
        <v>3</v>
      </c>
      <c r="B297" s="242">
        <f t="shared" si="173"/>
        <v>45717</v>
      </c>
      <c r="C297" s="243">
        <f t="shared" si="154"/>
        <v>45747</v>
      </c>
      <c r="D297" s="120">
        <f t="shared" si="155"/>
        <v>31</v>
      </c>
      <c r="E297" s="120">
        <f t="shared" si="156"/>
        <v>3</v>
      </c>
      <c r="F297" s="275">
        <f t="shared" si="157"/>
        <v>45732.5</v>
      </c>
      <c r="G297" s="120">
        <f t="shared" si="158"/>
        <v>24302</v>
      </c>
      <c r="H297" s="245">
        <f t="shared" si="159"/>
        <v>1</v>
      </c>
      <c r="I297" s="121">
        <f t="shared" si="160"/>
        <v>1</v>
      </c>
      <c r="J297" s="121">
        <f t="shared" si="161"/>
        <v>1</v>
      </c>
      <c r="K297" s="120">
        <f t="shared" si="162"/>
        <v>0</v>
      </c>
      <c r="L297" s="120">
        <f t="shared" si="163"/>
        <v>0</v>
      </c>
      <c r="M297" s="246">
        <f t="shared" si="164"/>
        <v>0</v>
      </c>
      <c r="N297" s="121">
        <f t="shared" si="165"/>
        <v>1</v>
      </c>
      <c r="O297" s="246">
        <f t="shared" si="166"/>
        <v>0.89150437636761481</v>
      </c>
      <c r="P297" s="121">
        <f t="shared" si="167"/>
        <v>0</v>
      </c>
      <c r="Q297" s="121">
        <f t="shared" si="168"/>
        <v>0</v>
      </c>
      <c r="R297" s="121">
        <f t="shared" si="169"/>
        <v>0</v>
      </c>
      <c r="S297" s="121" t="str">
        <f t="shared" si="170"/>
        <v/>
      </c>
      <c r="T297" s="121" t="str">
        <f t="shared" si="171"/>
        <v/>
      </c>
      <c r="U297" s="121">
        <f t="shared" si="172"/>
        <v>1</v>
      </c>
    </row>
    <row r="298" spans="1:21" x14ac:dyDescent="0.3">
      <c r="A298" s="187">
        <v>4</v>
      </c>
      <c r="B298" s="242">
        <f t="shared" si="173"/>
        <v>45748</v>
      </c>
      <c r="C298" s="243">
        <f t="shared" si="154"/>
        <v>45777</v>
      </c>
      <c r="D298" s="120">
        <f t="shared" si="155"/>
        <v>30</v>
      </c>
      <c r="E298" s="120">
        <f t="shared" si="156"/>
        <v>4</v>
      </c>
      <c r="F298" s="275">
        <f t="shared" si="157"/>
        <v>45763</v>
      </c>
      <c r="G298" s="120">
        <f t="shared" si="158"/>
        <v>24303</v>
      </c>
      <c r="H298" s="245">
        <f t="shared" si="159"/>
        <v>1</v>
      </c>
      <c r="I298" s="121">
        <f t="shared" si="160"/>
        <v>1</v>
      </c>
      <c r="J298" s="121">
        <f t="shared" si="161"/>
        <v>1</v>
      </c>
      <c r="K298" s="120">
        <f t="shared" si="162"/>
        <v>0</v>
      </c>
      <c r="L298" s="120">
        <f t="shared" si="163"/>
        <v>0</v>
      </c>
      <c r="M298" s="246">
        <f t="shared" si="164"/>
        <v>0</v>
      </c>
      <c r="N298" s="121">
        <f t="shared" si="165"/>
        <v>1</v>
      </c>
      <c r="O298" s="246">
        <f t="shared" si="166"/>
        <v>0.89250547045951856</v>
      </c>
      <c r="P298" s="121">
        <f t="shared" si="167"/>
        <v>0</v>
      </c>
      <c r="Q298" s="121">
        <f t="shared" si="168"/>
        <v>0</v>
      </c>
      <c r="R298" s="121">
        <f t="shared" si="169"/>
        <v>0</v>
      </c>
      <c r="S298" s="121" t="str">
        <f t="shared" si="170"/>
        <v/>
      </c>
      <c r="T298" s="121" t="str">
        <f t="shared" si="171"/>
        <v/>
      </c>
      <c r="U298" s="121">
        <f t="shared" si="172"/>
        <v>1</v>
      </c>
    </row>
    <row r="299" spans="1:21" x14ac:dyDescent="0.3">
      <c r="A299" s="187">
        <v>5</v>
      </c>
      <c r="B299" s="242">
        <f t="shared" si="173"/>
        <v>45778</v>
      </c>
      <c r="C299" s="243">
        <f t="shared" si="154"/>
        <v>45808</v>
      </c>
      <c r="D299" s="120">
        <f t="shared" si="155"/>
        <v>31</v>
      </c>
      <c r="E299" s="120">
        <f t="shared" si="156"/>
        <v>5</v>
      </c>
      <c r="F299" s="275">
        <f t="shared" si="157"/>
        <v>45793.5</v>
      </c>
      <c r="G299" s="120">
        <f t="shared" si="158"/>
        <v>24304</v>
      </c>
      <c r="H299" s="245">
        <f t="shared" si="159"/>
        <v>1</v>
      </c>
      <c r="I299" s="121">
        <f t="shared" si="160"/>
        <v>1</v>
      </c>
      <c r="J299" s="121">
        <f t="shared" si="161"/>
        <v>1</v>
      </c>
      <c r="K299" s="120">
        <f t="shared" si="162"/>
        <v>0</v>
      </c>
      <c r="L299" s="120">
        <f t="shared" si="163"/>
        <v>0</v>
      </c>
      <c r="M299" s="246">
        <f t="shared" si="164"/>
        <v>0</v>
      </c>
      <c r="N299" s="121">
        <f t="shared" si="165"/>
        <v>1</v>
      </c>
      <c r="O299" s="246">
        <f t="shared" si="166"/>
        <v>0.8935065645514223</v>
      </c>
      <c r="P299" s="121">
        <f t="shared" si="167"/>
        <v>0</v>
      </c>
      <c r="Q299" s="121">
        <f t="shared" si="168"/>
        <v>0</v>
      </c>
      <c r="R299" s="121">
        <f t="shared" si="169"/>
        <v>0</v>
      </c>
      <c r="S299" s="121" t="str">
        <f t="shared" si="170"/>
        <v/>
      </c>
      <c r="T299" s="121" t="str">
        <f t="shared" si="171"/>
        <v/>
      </c>
      <c r="U299" s="121">
        <f t="shared" si="172"/>
        <v>1</v>
      </c>
    </row>
    <row r="300" spans="1:21" x14ac:dyDescent="0.3">
      <c r="A300" s="187">
        <v>6</v>
      </c>
      <c r="B300" s="242">
        <f t="shared" si="173"/>
        <v>45809</v>
      </c>
      <c r="C300" s="243">
        <f t="shared" si="154"/>
        <v>45838</v>
      </c>
      <c r="D300" s="120">
        <f t="shared" si="155"/>
        <v>30</v>
      </c>
      <c r="E300" s="120">
        <f t="shared" si="156"/>
        <v>6</v>
      </c>
      <c r="F300" s="275">
        <f t="shared" si="157"/>
        <v>45824</v>
      </c>
      <c r="G300" s="120">
        <f t="shared" si="158"/>
        <v>24305</v>
      </c>
      <c r="H300" s="245">
        <f t="shared" si="159"/>
        <v>1</v>
      </c>
      <c r="I300" s="121">
        <f t="shared" si="160"/>
        <v>1</v>
      </c>
      <c r="J300" s="121">
        <f t="shared" si="161"/>
        <v>1</v>
      </c>
      <c r="K300" s="120">
        <f t="shared" si="162"/>
        <v>0</v>
      </c>
      <c r="L300" s="120">
        <f t="shared" si="163"/>
        <v>0</v>
      </c>
      <c r="M300" s="246">
        <f t="shared" si="164"/>
        <v>0</v>
      </c>
      <c r="N300" s="121">
        <f t="shared" si="165"/>
        <v>1</v>
      </c>
      <c r="O300" s="246">
        <f t="shared" si="166"/>
        <v>0.89450765864332604</v>
      </c>
      <c r="P300" s="121">
        <f t="shared" si="167"/>
        <v>0</v>
      </c>
      <c r="Q300" s="121">
        <f t="shared" si="168"/>
        <v>0</v>
      </c>
      <c r="R300" s="121">
        <f t="shared" si="169"/>
        <v>0</v>
      </c>
      <c r="S300" s="121" t="str">
        <f t="shared" si="170"/>
        <v/>
      </c>
      <c r="T300" s="121" t="str">
        <f t="shared" si="171"/>
        <v/>
      </c>
      <c r="U300" s="121">
        <f t="shared" si="172"/>
        <v>1</v>
      </c>
    </row>
    <row r="301" spans="1:21" x14ac:dyDescent="0.3">
      <c r="A301" s="187">
        <v>7</v>
      </c>
      <c r="B301" s="242">
        <f t="shared" si="173"/>
        <v>45839</v>
      </c>
      <c r="C301" s="243">
        <f t="shared" si="154"/>
        <v>45869</v>
      </c>
      <c r="D301" s="120">
        <f t="shared" si="155"/>
        <v>31</v>
      </c>
      <c r="E301" s="120">
        <f t="shared" si="156"/>
        <v>7</v>
      </c>
      <c r="F301" s="275">
        <f t="shared" si="157"/>
        <v>45854.5</v>
      </c>
      <c r="G301" s="120">
        <f t="shared" si="158"/>
        <v>24306</v>
      </c>
      <c r="H301" s="245">
        <f t="shared" si="159"/>
        <v>1</v>
      </c>
      <c r="I301" s="121">
        <f t="shared" si="160"/>
        <v>1</v>
      </c>
      <c r="J301" s="121">
        <f t="shared" si="161"/>
        <v>1</v>
      </c>
      <c r="K301" s="120">
        <f t="shared" si="162"/>
        <v>0</v>
      </c>
      <c r="L301" s="120">
        <f t="shared" si="163"/>
        <v>0</v>
      </c>
      <c r="M301" s="246">
        <f t="shared" si="164"/>
        <v>0</v>
      </c>
      <c r="N301" s="121">
        <f t="shared" si="165"/>
        <v>1</v>
      </c>
      <c r="O301" s="246">
        <f t="shared" si="166"/>
        <v>0.89550875273522967</v>
      </c>
      <c r="P301" s="121">
        <f t="shared" si="167"/>
        <v>8.333333333333337E-2</v>
      </c>
      <c r="Q301" s="121">
        <f t="shared" si="168"/>
        <v>0</v>
      </c>
      <c r="R301" s="121">
        <f t="shared" si="169"/>
        <v>0</v>
      </c>
      <c r="S301" s="121" t="str">
        <f t="shared" si="170"/>
        <v/>
      </c>
      <c r="T301" s="121" t="str">
        <f t="shared" si="171"/>
        <v/>
      </c>
      <c r="U301" s="121">
        <f t="shared" si="172"/>
        <v>1</v>
      </c>
    </row>
    <row r="302" spans="1:21" x14ac:dyDescent="0.3">
      <c r="A302" s="187">
        <v>8</v>
      </c>
      <c r="B302" s="242">
        <f t="shared" si="173"/>
        <v>45870</v>
      </c>
      <c r="C302" s="243">
        <f t="shared" si="154"/>
        <v>45900</v>
      </c>
      <c r="D302" s="120">
        <f t="shared" si="155"/>
        <v>31</v>
      </c>
      <c r="E302" s="120">
        <f t="shared" si="156"/>
        <v>8</v>
      </c>
      <c r="F302" s="275">
        <f t="shared" si="157"/>
        <v>45885.5</v>
      </c>
      <c r="G302" s="120">
        <f t="shared" si="158"/>
        <v>24307</v>
      </c>
      <c r="H302" s="245">
        <f t="shared" si="159"/>
        <v>1</v>
      </c>
      <c r="I302" s="121">
        <f t="shared" si="160"/>
        <v>1</v>
      </c>
      <c r="J302" s="121">
        <f t="shared" si="161"/>
        <v>1</v>
      </c>
      <c r="K302" s="120">
        <f t="shared" si="162"/>
        <v>0</v>
      </c>
      <c r="L302" s="120">
        <f t="shared" si="163"/>
        <v>0</v>
      </c>
      <c r="M302" s="246">
        <f t="shared" si="164"/>
        <v>0</v>
      </c>
      <c r="N302" s="121">
        <f t="shared" si="165"/>
        <v>1</v>
      </c>
      <c r="O302" s="246">
        <f t="shared" si="166"/>
        <v>0.89652625820568921</v>
      </c>
      <c r="P302" s="121">
        <f t="shared" si="167"/>
        <v>0.25</v>
      </c>
      <c r="Q302" s="121">
        <f t="shared" si="168"/>
        <v>0</v>
      </c>
      <c r="R302" s="121">
        <f t="shared" si="169"/>
        <v>0</v>
      </c>
      <c r="S302" s="121" t="str">
        <f t="shared" si="170"/>
        <v/>
      </c>
      <c r="T302" s="121" t="str">
        <f t="shared" si="171"/>
        <v/>
      </c>
      <c r="U302" s="121">
        <f t="shared" si="172"/>
        <v>1</v>
      </c>
    </row>
    <row r="303" spans="1:21" x14ac:dyDescent="0.3">
      <c r="A303" s="187">
        <v>9</v>
      </c>
      <c r="B303" s="242">
        <f t="shared" si="173"/>
        <v>45901</v>
      </c>
      <c r="C303" s="243">
        <f t="shared" si="154"/>
        <v>45930</v>
      </c>
      <c r="D303" s="120">
        <f t="shared" si="155"/>
        <v>30</v>
      </c>
      <c r="E303" s="120">
        <f t="shared" si="156"/>
        <v>9</v>
      </c>
      <c r="F303" s="275">
        <f t="shared" si="157"/>
        <v>45916</v>
      </c>
      <c r="G303" s="120">
        <f t="shared" si="158"/>
        <v>24308</v>
      </c>
      <c r="H303" s="245">
        <f t="shared" si="159"/>
        <v>1</v>
      </c>
      <c r="I303" s="121">
        <f t="shared" si="160"/>
        <v>1</v>
      </c>
      <c r="J303" s="121">
        <f t="shared" si="161"/>
        <v>1</v>
      </c>
      <c r="K303" s="120">
        <f t="shared" si="162"/>
        <v>0</v>
      </c>
      <c r="L303" s="120">
        <f t="shared" si="163"/>
        <v>0</v>
      </c>
      <c r="M303" s="246">
        <f t="shared" si="164"/>
        <v>0</v>
      </c>
      <c r="N303" s="121">
        <f t="shared" si="165"/>
        <v>1</v>
      </c>
      <c r="O303" s="246">
        <f t="shared" si="166"/>
        <v>0.89752735229759295</v>
      </c>
      <c r="P303" s="121">
        <f t="shared" si="167"/>
        <v>0.41666666666666663</v>
      </c>
      <c r="Q303" s="121">
        <f t="shared" si="168"/>
        <v>0</v>
      </c>
      <c r="R303" s="121">
        <f t="shared" si="169"/>
        <v>0</v>
      </c>
      <c r="S303" s="121" t="str">
        <f t="shared" si="170"/>
        <v/>
      </c>
      <c r="T303" s="121" t="str">
        <f t="shared" si="171"/>
        <v/>
      </c>
      <c r="U303" s="121">
        <f t="shared" si="172"/>
        <v>1</v>
      </c>
    </row>
    <row r="304" spans="1:21" x14ac:dyDescent="0.3">
      <c r="A304" s="187">
        <v>10</v>
      </c>
      <c r="B304" s="242">
        <f t="shared" si="173"/>
        <v>45931</v>
      </c>
      <c r="C304" s="243">
        <f t="shared" si="154"/>
        <v>45961</v>
      </c>
      <c r="D304" s="120">
        <f t="shared" si="155"/>
        <v>31</v>
      </c>
      <c r="E304" s="120">
        <f t="shared" si="156"/>
        <v>10</v>
      </c>
      <c r="F304" s="275">
        <f t="shared" si="157"/>
        <v>45946.5</v>
      </c>
      <c r="G304" s="120">
        <f t="shared" si="158"/>
        <v>24309</v>
      </c>
      <c r="H304" s="245">
        <f t="shared" si="159"/>
        <v>1</v>
      </c>
      <c r="I304" s="121">
        <f t="shared" si="160"/>
        <v>1</v>
      </c>
      <c r="J304" s="121">
        <f t="shared" si="161"/>
        <v>1</v>
      </c>
      <c r="K304" s="120">
        <f t="shared" si="162"/>
        <v>0</v>
      </c>
      <c r="L304" s="120">
        <f t="shared" si="163"/>
        <v>0</v>
      </c>
      <c r="M304" s="246">
        <f t="shared" si="164"/>
        <v>0</v>
      </c>
      <c r="N304" s="121">
        <f t="shared" si="165"/>
        <v>1</v>
      </c>
      <c r="O304" s="246">
        <f t="shared" si="166"/>
        <v>0.89852844638949669</v>
      </c>
      <c r="P304" s="121">
        <f t="shared" si="167"/>
        <v>0.58333333333333326</v>
      </c>
      <c r="Q304" s="121">
        <f t="shared" si="168"/>
        <v>0</v>
      </c>
      <c r="R304" s="121">
        <f t="shared" si="169"/>
        <v>0</v>
      </c>
      <c r="S304" s="121" t="str">
        <f t="shared" si="170"/>
        <v/>
      </c>
      <c r="T304" s="121" t="str">
        <f t="shared" si="171"/>
        <v/>
      </c>
      <c r="U304" s="121">
        <f t="shared" si="172"/>
        <v>1</v>
      </c>
    </row>
    <row r="305" spans="1:21" x14ac:dyDescent="0.3">
      <c r="A305" s="187">
        <v>11</v>
      </c>
      <c r="B305" s="242">
        <f t="shared" si="173"/>
        <v>45962</v>
      </c>
      <c r="C305" s="243">
        <f t="shared" si="154"/>
        <v>45991</v>
      </c>
      <c r="D305" s="120">
        <f t="shared" si="155"/>
        <v>30</v>
      </c>
      <c r="E305" s="120">
        <f t="shared" si="156"/>
        <v>11</v>
      </c>
      <c r="F305" s="275">
        <f t="shared" si="157"/>
        <v>45977</v>
      </c>
      <c r="G305" s="120">
        <f t="shared" si="158"/>
        <v>24310</v>
      </c>
      <c r="H305" s="245">
        <f t="shared" si="159"/>
        <v>1</v>
      </c>
      <c r="I305" s="121">
        <f t="shared" si="160"/>
        <v>1</v>
      </c>
      <c r="J305" s="121">
        <f t="shared" si="161"/>
        <v>1</v>
      </c>
      <c r="K305" s="120">
        <f t="shared" si="162"/>
        <v>0</v>
      </c>
      <c r="L305" s="120">
        <f t="shared" si="163"/>
        <v>0</v>
      </c>
      <c r="M305" s="246">
        <f t="shared" si="164"/>
        <v>0</v>
      </c>
      <c r="N305" s="121">
        <f t="shared" si="165"/>
        <v>1</v>
      </c>
      <c r="O305" s="246">
        <f t="shared" si="166"/>
        <v>0.89952954048140044</v>
      </c>
      <c r="P305" s="121">
        <f t="shared" si="167"/>
        <v>0.75</v>
      </c>
      <c r="Q305" s="121">
        <f t="shared" si="168"/>
        <v>0</v>
      </c>
      <c r="R305" s="121">
        <f t="shared" si="169"/>
        <v>0</v>
      </c>
      <c r="S305" s="121" t="str">
        <f t="shared" si="170"/>
        <v/>
      </c>
      <c r="T305" s="121" t="str">
        <f t="shared" si="171"/>
        <v/>
      </c>
      <c r="U305" s="121">
        <f t="shared" si="172"/>
        <v>1</v>
      </c>
    </row>
    <row r="306" spans="1:21" x14ac:dyDescent="0.3">
      <c r="A306" s="187">
        <v>12</v>
      </c>
      <c r="B306" s="242">
        <f t="shared" si="173"/>
        <v>45992</v>
      </c>
      <c r="C306" s="243">
        <f t="shared" si="154"/>
        <v>46022</v>
      </c>
      <c r="D306" s="120">
        <f t="shared" si="155"/>
        <v>31</v>
      </c>
      <c r="E306" s="120">
        <f t="shared" si="156"/>
        <v>12</v>
      </c>
      <c r="F306" s="275">
        <f t="shared" si="157"/>
        <v>46007.5</v>
      </c>
      <c r="G306" s="120">
        <f t="shared" si="158"/>
        <v>24311</v>
      </c>
      <c r="H306" s="245">
        <f t="shared" si="159"/>
        <v>1</v>
      </c>
      <c r="I306" s="121">
        <f t="shared" si="160"/>
        <v>1</v>
      </c>
      <c r="J306" s="121">
        <f t="shared" si="161"/>
        <v>1</v>
      </c>
      <c r="K306" s="120">
        <f t="shared" si="162"/>
        <v>0</v>
      </c>
      <c r="L306" s="120">
        <f t="shared" si="163"/>
        <v>0</v>
      </c>
      <c r="M306" s="246">
        <f t="shared" si="164"/>
        <v>0</v>
      </c>
      <c r="N306" s="121">
        <f t="shared" si="165"/>
        <v>1</v>
      </c>
      <c r="O306" s="246">
        <f t="shared" si="166"/>
        <v>0.90053063457330418</v>
      </c>
      <c r="P306" s="121">
        <f t="shared" si="167"/>
        <v>0.91666666666666663</v>
      </c>
      <c r="Q306" s="121">
        <f t="shared" si="168"/>
        <v>0</v>
      </c>
      <c r="R306" s="121">
        <f t="shared" si="169"/>
        <v>0</v>
      </c>
      <c r="S306" s="121" t="str">
        <f t="shared" si="170"/>
        <v/>
      </c>
      <c r="T306" s="121" t="str">
        <f t="shared" si="171"/>
        <v/>
      </c>
      <c r="U306" s="121">
        <f t="shared" si="172"/>
        <v>1</v>
      </c>
    </row>
    <row r="307" spans="1:21" x14ac:dyDescent="0.3">
      <c r="A307" s="187">
        <v>13</v>
      </c>
      <c r="B307" s="242">
        <f t="shared" si="173"/>
        <v>46023</v>
      </c>
      <c r="C307" s="243">
        <f t="shared" si="154"/>
        <v>46053</v>
      </c>
      <c r="D307" s="120">
        <f t="shared" si="155"/>
        <v>31</v>
      </c>
      <c r="E307" s="120">
        <f t="shared" si="156"/>
        <v>1</v>
      </c>
      <c r="F307" s="275">
        <f t="shared" si="157"/>
        <v>46038.5</v>
      </c>
      <c r="G307" s="120">
        <f t="shared" si="158"/>
        <v>24312</v>
      </c>
      <c r="H307" s="245">
        <f t="shared" si="159"/>
        <v>1</v>
      </c>
      <c r="I307" s="121">
        <f t="shared" si="160"/>
        <v>1</v>
      </c>
      <c r="J307" s="121">
        <f t="shared" si="161"/>
        <v>1</v>
      </c>
      <c r="K307" s="120">
        <f t="shared" si="162"/>
        <v>0</v>
      </c>
      <c r="L307" s="120">
        <f t="shared" si="163"/>
        <v>0</v>
      </c>
      <c r="M307" s="246">
        <f t="shared" si="164"/>
        <v>0</v>
      </c>
      <c r="N307" s="121">
        <f t="shared" si="165"/>
        <v>1</v>
      </c>
      <c r="O307" s="246">
        <f t="shared" si="166"/>
        <v>0.90154814004376371</v>
      </c>
      <c r="P307" s="121">
        <f t="shared" si="167"/>
        <v>1</v>
      </c>
      <c r="Q307" s="121">
        <f t="shared" si="168"/>
        <v>0</v>
      </c>
      <c r="R307" s="121">
        <f t="shared" si="169"/>
        <v>0</v>
      </c>
      <c r="S307" s="121" t="str">
        <f t="shared" si="170"/>
        <v/>
      </c>
      <c r="T307" s="121" t="str">
        <f t="shared" si="171"/>
        <v/>
      </c>
      <c r="U307" s="121">
        <f t="shared" si="172"/>
        <v>1</v>
      </c>
    </row>
    <row r="308" spans="1:21" x14ac:dyDescent="0.3">
      <c r="A308" s="187">
        <v>14</v>
      </c>
      <c r="B308" s="242">
        <f t="shared" si="173"/>
        <v>46054</v>
      </c>
      <c r="C308" s="243">
        <f t="shared" si="154"/>
        <v>46081</v>
      </c>
      <c r="D308" s="120">
        <f t="shared" si="155"/>
        <v>28</v>
      </c>
      <c r="E308" s="120">
        <f t="shared" si="156"/>
        <v>2</v>
      </c>
      <c r="F308" s="275">
        <f t="shared" si="157"/>
        <v>46068</v>
      </c>
      <c r="G308" s="120">
        <f t="shared" si="158"/>
        <v>24313</v>
      </c>
      <c r="H308" s="245">
        <f t="shared" si="159"/>
        <v>1</v>
      </c>
      <c r="I308" s="121">
        <f t="shared" si="160"/>
        <v>1</v>
      </c>
      <c r="J308" s="121">
        <f t="shared" si="161"/>
        <v>1</v>
      </c>
      <c r="K308" s="120">
        <f t="shared" si="162"/>
        <v>0</v>
      </c>
      <c r="L308" s="120">
        <f t="shared" si="163"/>
        <v>0</v>
      </c>
      <c r="M308" s="246">
        <f t="shared" si="164"/>
        <v>0</v>
      </c>
      <c r="N308" s="121">
        <f t="shared" si="165"/>
        <v>1</v>
      </c>
      <c r="O308" s="246">
        <f t="shared" si="166"/>
        <v>0.90251641137855576</v>
      </c>
      <c r="P308" s="121">
        <f t="shared" si="167"/>
        <v>1</v>
      </c>
      <c r="Q308" s="121">
        <f t="shared" si="168"/>
        <v>0</v>
      </c>
      <c r="R308" s="121">
        <f t="shared" si="169"/>
        <v>0</v>
      </c>
      <c r="S308" s="121" t="str">
        <f t="shared" si="170"/>
        <v/>
      </c>
      <c r="T308" s="121" t="str">
        <f t="shared" si="171"/>
        <v/>
      </c>
      <c r="U308" s="121">
        <f t="shared" si="172"/>
        <v>1</v>
      </c>
    </row>
    <row r="309" spans="1:21" x14ac:dyDescent="0.3">
      <c r="A309" s="187">
        <v>15</v>
      </c>
      <c r="B309" s="242">
        <f t="shared" si="173"/>
        <v>46082</v>
      </c>
      <c r="C309" s="243">
        <f t="shared" si="154"/>
        <v>46112</v>
      </c>
      <c r="D309" s="120">
        <f t="shared" si="155"/>
        <v>31</v>
      </c>
      <c r="E309" s="120">
        <f t="shared" si="156"/>
        <v>3</v>
      </c>
      <c r="F309" s="275">
        <f t="shared" si="157"/>
        <v>46097.5</v>
      </c>
      <c r="G309" s="120">
        <f t="shared" si="158"/>
        <v>24314</v>
      </c>
      <c r="H309" s="245">
        <f t="shared" si="159"/>
        <v>1</v>
      </c>
      <c r="I309" s="121">
        <f t="shared" si="160"/>
        <v>1</v>
      </c>
      <c r="J309" s="121">
        <f t="shared" si="161"/>
        <v>1</v>
      </c>
      <c r="K309" s="120">
        <f t="shared" si="162"/>
        <v>0</v>
      </c>
      <c r="L309" s="120">
        <f t="shared" si="163"/>
        <v>0</v>
      </c>
      <c r="M309" s="246">
        <f t="shared" si="164"/>
        <v>0</v>
      </c>
      <c r="N309" s="121">
        <f t="shared" si="165"/>
        <v>1</v>
      </c>
      <c r="O309" s="246">
        <f t="shared" si="166"/>
        <v>0.90348468271334792</v>
      </c>
      <c r="P309" s="121">
        <f t="shared" si="167"/>
        <v>1</v>
      </c>
      <c r="Q309" s="121">
        <f t="shared" si="168"/>
        <v>0</v>
      </c>
      <c r="R309" s="121">
        <f t="shared" si="169"/>
        <v>0</v>
      </c>
      <c r="S309" s="121" t="str">
        <f t="shared" si="170"/>
        <v/>
      </c>
      <c r="T309" s="121" t="str">
        <f t="shared" si="171"/>
        <v/>
      </c>
      <c r="U309" s="121">
        <f t="shared" si="172"/>
        <v>1</v>
      </c>
    </row>
    <row r="310" spans="1:21" x14ac:dyDescent="0.3">
      <c r="A310" s="187">
        <v>16</v>
      </c>
      <c r="B310" s="242">
        <f t="shared" si="173"/>
        <v>46113</v>
      </c>
      <c r="C310" s="243">
        <f t="shared" si="154"/>
        <v>46142</v>
      </c>
      <c r="D310" s="120">
        <f t="shared" si="155"/>
        <v>30</v>
      </c>
      <c r="E310" s="120">
        <f t="shared" si="156"/>
        <v>4</v>
      </c>
      <c r="F310" s="275">
        <f t="shared" si="157"/>
        <v>46128</v>
      </c>
      <c r="G310" s="120">
        <f t="shared" si="158"/>
        <v>24315</v>
      </c>
      <c r="H310" s="245">
        <f t="shared" si="159"/>
        <v>1</v>
      </c>
      <c r="I310" s="121">
        <f t="shared" si="160"/>
        <v>1</v>
      </c>
      <c r="J310" s="121">
        <f t="shared" si="161"/>
        <v>1</v>
      </c>
      <c r="K310" s="120">
        <f t="shared" si="162"/>
        <v>0</v>
      </c>
      <c r="L310" s="120">
        <f t="shared" si="163"/>
        <v>0</v>
      </c>
      <c r="M310" s="246">
        <f t="shared" si="164"/>
        <v>0</v>
      </c>
      <c r="N310" s="121">
        <f t="shared" si="165"/>
        <v>1</v>
      </c>
      <c r="O310" s="246">
        <f t="shared" si="166"/>
        <v>0.90448577680525166</v>
      </c>
      <c r="P310" s="121">
        <f t="shared" si="167"/>
        <v>1</v>
      </c>
      <c r="Q310" s="121">
        <f t="shared" si="168"/>
        <v>0</v>
      </c>
      <c r="R310" s="121">
        <f t="shared" si="169"/>
        <v>0</v>
      </c>
      <c r="S310" s="121" t="str">
        <f t="shared" si="170"/>
        <v/>
      </c>
      <c r="T310" s="121" t="str">
        <f t="shared" si="171"/>
        <v/>
      </c>
      <c r="U310" s="121">
        <f t="shared" si="172"/>
        <v>1</v>
      </c>
    </row>
    <row r="311" spans="1:21" x14ac:dyDescent="0.3">
      <c r="A311" s="187">
        <v>17</v>
      </c>
      <c r="B311" s="242">
        <f t="shared" si="173"/>
        <v>46143</v>
      </c>
      <c r="C311" s="243">
        <f t="shared" si="154"/>
        <v>46173</v>
      </c>
      <c r="D311" s="120">
        <f t="shared" si="155"/>
        <v>31</v>
      </c>
      <c r="E311" s="120">
        <f t="shared" si="156"/>
        <v>5</v>
      </c>
      <c r="F311" s="275">
        <f t="shared" si="157"/>
        <v>46158.5</v>
      </c>
      <c r="G311" s="120">
        <f t="shared" si="158"/>
        <v>24316</v>
      </c>
      <c r="H311" s="245">
        <f t="shared" si="159"/>
        <v>1</v>
      </c>
      <c r="I311" s="121">
        <f t="shared" si="160"/>
        <v>1</v>
      </c>
      <c r="J311" s="121">
        <f t="shared" si="161"/>
        <v>1.06</v>
      </c>
      <c r="K311" s="120">
        <f t="shared" si="162"/>
        <v>1</v>
      </c>
      <c r="L311" s="120">
        <f t="shared" si="163"/>
        <v>31</v>
      </c>
      <c r="M311" s="246">
        <f t="shared" si="164"/>
        <v>1</v>
      </c>
      <c r="N311" s="121">
        <f t="shared" si="165"/>
        <v>1.06</v>
      </c>
      <c r="O311" s="246">
        <f t="shared" si="166"/>
        <v>0.9054868708971554</v>
      </c>
      <c r="P311" s="121">
        <f t="shared" si="167"/>
        <v>1</v>
      </c>
      <c r="Q311" s="121">
        <f t="shared" si="168"/>
        <v>0</v>
      </c>
      <c r="R311" s="121">
        <f t="shared" si="169"/>
        <v>0</v>
      </c>
      <c r="S311" s="121" t="str">
        <f t="shared" si="170"/>
        <v/>
      </c>
      <c r="T311" s="121" t="str">
        <f t="shared" si="171"/>
        <v/>
      </c>
      <c r="U311" s="121">
        <f t="shared" si="172"/>
        <v>1.06</v>
      </c>
    </row>
    <row r="312" spans="1:21" x14ac:dyDescent="0.3">
      <c r="A312" s="187">
        <v>18</v>
      </c>
      <c r="B312" s="242">
        <f t="shared" si="173"/>
        <v>46174</v>
      </c>
      <c r="C312" s="243">
        <f t="shared" si="154"/>
        <v>46203</v>
      </c>
      <c r="D312" s="120">
        <f t="shared" si="155"/>
        <v>30</v>
      </c>
      <c r="E312" s="120">
        <f t="shared" si="156"/>
        <v>6</v>
      </c>
      <c r="F312" s="275">
        <f t="shared" si="157"/>
        <v>46189</v>
      </c>
      <c r="G312" s="120">
        <f t="shared" si="158"/>
        <v>24317</v>
      </c>
      <c r="H312" s="245">
        <f t="shared" si="159"/>
        <v>1</v>
      </c>
      <c r="I312" s="121">
        <f t="shared" si="160"/>
        <v>1.06</v>
      </c>
      <c r="J312" s="121">
        <f t="shared" si="161"/>
        <v>1.06</v>
      </c>
      <c r="K312" s="120">
        <f t="shared" si="162"/>
        <v>0</v>
      </c>
      <c r="L312" s="120">
        <f t="shared" si="163"/>
        <v>0</v>
      </c>
      <c r="M312" s="246">
        <f t="shared" si="164"/>
        <v>0</v>
      </c>
      <c r="N312" s="121">
        <f t="shared" si="165"/>
        <v>1.06</v>
      </c>
      <c r="O312" s="246">
        <f t="shared" si="166"/>
        <v>0.90648796498905915</v>
      </c>
      <c r="P312" s="121">
        <f t="shared" si="167"/>
        <v>1</v>
      </c>
      <c r="Q312" s="121">
        <f t="shared" si="168"/>
        <v>0</v>
      </c>
      <c r="R312" s="121">
        <f t="shared" si="169"/>
        <v>0</v>
      </c>
      <c r="S312" s="121" t="str">
        <f t="shared" si="170"/>
        <v/>
      </c>
      <c r="T312" s="121" t="str">
        <f t="shared" si="171"/>
        <v/>
      </c>
      <c r="U312" s="121">
        <f t="shared" si="172"/>
        <v>1.06</v>
      </c>
    </row>
    <row r="313" spans="1:21" x14ac:dyDescent="0.3">
      <c r="A313" s="187">
        <v>19</v>
      </c>
      <c r="B313" s="242">
        <f t="shared" si="173"/>
        <v>46204</v>
      </c>
      <c r="C313" s="243">
        <f t="shared" si="154"/>
        <v>46234</v>
      </c>
      <c r="D313" s="120">
        <f t="shared" si="155"/>
        <v>31</v>
      </c>
      <c r="E313" s="120">
        <f t="shared" si="156"/>
        <v>7</v>
      </c>
      <c r="F313" s="275">
        <f t="shared" si="157"/>
        <v>46219.5</v>
      </c>
      <c r="G313" s="120">
        <f t="shared" si="158"/>
        <v>24318</v>
      </c>
      <c r="H313" s="245">
        <f t="shared" si="159"/>
        <v>1</v>
      </c>
      <c r="I313" s="121">
        <f t="shared" si="160"/>
        <v>1.06</v>
      </c>
      <c r="J313" s="121">
        <f t="shared" si="161"/>
        <v>1.06</v>
      </c>
      <c r="K313" s="120">
        <f t="shared" si="162"/>
        <v>0</v>
      </c>
      <c r="L313" s="120">
        <f t="shared" si="163"/>
        <v>0</v>
      </c>
      <c r="M313" s="246">
        <f t="shared" si="164"/>
        <v>0</v>
      </c>
      <c r="N313" s="121">
        <f t="shared" si="165"/>
        <v>1.06</v>
      </c>
      <c r="O313" s="246">
        <f t="shared" si="166"/>
        <v>0.90748905908096278</v>
      </c>
      <c r="P313" s="121">
        <f t="shared" si="167"/>
        <v>0.91666666666666663</v>
      </c>
      <c r="Q313" s="121">
        <f t="shared" si="168"/>
        <v>8.333333333333337E-2</v>
      </c>
      <c r="R313" s="121">
        <f t="shared" si="169"/>
        <v>0</v>
      </c>
      <c r="S313" s="121" t="str">
        <f t="shared" si="170"/>
        <v/>
      </c>
      <c r="T313" s="121" t="str">
        <f t="shared" si="171"/>
        <v/>
      </c>
      <c r="U313" s="121">
        <f t="shared" si="172"/>
        <v>1.06</v>
      </c>
    </row>
    <row r="314" spans="1:21" x14ac:dyDescent="0.3">
      <c r="A314" s="187">
        <v>20</v>
      </c>
      <c r="B314" s="242">
        <f t="shared" si="173"/>
        <v>46235</v>
      </c>
      <c r="C314" s="243">
        <f t="shared" si="154"/>
        <v>46265</v>
      </c>
      <c r="D314" s="120">
        <f t="shared" si="155"/>
        <v>31</v>
      </c>
      <c r="E314" s="120">
        <f t="shared" si="156"/>
        <v>8</v>
      </c>
      <c r="F314" s="275">
        <f t="shared" si="157"/>
        <v>46250.5</v>
      </c>
      <c r="G314" s="120">
        <f t="shared" si="158"/>
        <v>24319</v>
      </c>
      <c r="H314" s="245">
        <f t="shared" si="159"/>
        <v>1</v>
      </c>
      <c r="I314" s="121">
        <f t="shared" si="160"/>
        <v>1.06</v>
      </c>
      <c r="J314" s="121">
        <f t="shared" si="161"/>
        <v>1.06</v>
      </c>
      <c r="K314" s="120">
        <f t="shared" si="162"/>
        <v>0</v>
      </c>
      <c r="L314" s="120">
        <f t="shared" si="163"/>
        <v>0</v>
      </c>
      <c r="M314" s="246">
        <f t="shared" si="164"/>
        <v>0</v>
      </c>
      <c r="N314" s="121">
        <f t="shared" si="165"/>
        <v>1.06</v>
      </c>
      <c r="O314" s="246">
        <f t="shared" si="166"/>
        <v>0.90850656455142231</v>
      </c>
      <c r="P314" s="121">
        <f t="shared" si="167"/>
        <v>0.75</v>
      </c>
      <c r="Q314" s="121">
        <f t="shared" si="168"/>
        <v>0.25</v>
      </c>
      <c r="R314" s="121">
        <f t="shared" si="169"/>
        <v>0</v>
      </c>
      <c r="S314" s="121" t="str">
        <f t="shared" si="170"/>
        <v/>
      </c>
      <c r="T314" s="121" t="str">
        <f t="shared" si="171"/>
        <v/>
      </c>
      <c r="U314" s="121">
        <f t="shared" si="172"/>
        <v>1.06</v>
      </c>
    </row>
    <row r="315" spans="1:21" x14ac:dyDescent="0.3">
      <c r="A315" s="187">
        <v>21</v>
      </c>
      <c r="B315" s="242">
        <f t="shared" si="173"/>
        <v>46266</v>
      </c>
      <c r="C315" s="243">
        <f t="shared" si="154"/>
        <v>46295</v>
      </c>
      <c r="D315" s="120">
        <f t="shared" si="155"/>
        <v>30</v>
      </c>
      <c r="E315" s="120">
        <f t="shared" si="156"/>
        <v>9</v>
      </c>
      <c r="F315" s="275">
        <f t="shared" si="157"/>
        <v>46281</v>
      </c>
      <c r="G315" s="120">
        <f t="shared" si="158"/>
        <v>24320</v>
      </c>
      <c r="H315" s="245">
        <f t="shared" si="159"/>
        <v>1</v>
      </c>
      <c r="I315" s="121">
        <f t="shared" si="160"/>
        <v>1.06</v>
      </c>
      <c r="J315" s="121">
        <f t="shared" si="161"/>
        <v>1.06</v>
      </c>
      <c r="K315" s="120">
        <f t="shared" si="162"/>
        <v>0</v>
      </c>
      <c r="L315" s="120">
        <f t="shared" si="163"/>
        <v>0</v>
      </c>
      <c r="M315" s="246">
        <f t="shared" si="164"/>
        <v>0</v>
      </c>
      <c r="N315" s="121">
        <f t="shared" si="165"/>
        <v>1.06</v>
      </c>
      <c r="O315" s="246">
        <f t="shared" si="166"/>
        <v>0.90950765864332606</v>
      </c>
      <c r="P315" s="121">
        <f t="shared" si="167"/>
        <v>0.58333333333333337</v>
      </c>
      <c r="Q315" s="121">
        <f t="shared" si="168"/>
        <v>0.41666666666666663</v>
      </c>
      <c r="R315" s="121">
        <f t="shared" si="169"/>
        <v>0</v>
      </c>
      <c r="S315" s="121" t="str">
        <f t="shared" si="170"/>
        <v/>
      </c>
      <c r="T315" s="121" t="str">
        <f t="shared" si="171"/>
        <v/>
      </c>
      <c r="U315" s="121">
        <f t="shared" si="172"/>
        <v>1.06</v>
      </c>
    </row>
    <row r="316" spans="1:21" x14ac:dyDescent="0.3">
      <c r="A316" s="187">
        <v>22</v>
      </c>
      <c r="B316" s="242">
        <f t="shared" si="173"/>
        <v>46296</v>
      </c>
      <c r="C316" s="243">
        <f t="shared" si="154"/>
        <v>46326</v>
      </c>
      <c r="D316" s="120">
        <f t="shared" si="155"/>
        <v>31</v>
      </c>
      <c r="E316" s="120">
        <f t="shared" si="156"/>
        <v>10</v>
      </c>
      <c r="F316" s="275">
        <f t="shared" si="157"/>
        <v>46311.5</v>
      </c>
      <c r="G316" s="120">
        <f t="shared" si="158"/>
        <v>24321</v>
      </c>
      <c r="H316" s="245">
        <f t="shared" si="159"/>
        <v>1</v>
      </c>
      <c r="I316" s="121">
        <f t="shared" si="160"/>
        <v>1.06</v>
      </c>
      <c r="J316" s="121">
        <f t="shared" si="161"/>
        <v>1.06</v>
      </c>
      <c r="K316" s="120">
        <f t="shared" si="162"/>
        <v>0</v>
      </c>
      <c r="L316" s="120">
        <f t="shared" si="163"/>
        <v>0</v>
      </c>
      <c r="M316" s="246">
        <f t="shared" si="164"/>
        <v>0</v>
      </c>
      <c r="N316" s="121">
        <f t="shared" si="165"/>
        <v>1.06</v>
      </c>
      <c r="O316" s="246">
        <f t="shared" si="166"/>
        <v>0.9105087527352298</v>
      </c>
      <c r="P316" s="121">
        <f t="shared" si="167"/>
        <v>0.41666666666666669</v>
      </c>
      <c r="Q316" s="121">
        <f t="shared" si="168"/>
        <v>0.58333333333333326</v>
      </c>
      <c r="R316" s="121">
        <f t="shared" si="169"/>
        <v>0</v>
      </c>
      <c r="S316" s="121" t="str">
        <f t="shared" si="170"/>
        <v/>
      </c>
      <c r="T316" s="121" t="str">
        <f t="shared" si="171"/>
        <v/>
      </c>
      <c r="U316" s="121">
        <f t="shared" si="172"/>
        <v>1.06</v>
      </c>
    </row>
    <row r="317" spans="1:21" x14ac:dyDescent="0.3">
      <c r="A317" s="187">
        <v>23</v>
      </c>
      <c r="B317" s="242">
        <f t="shared" si="173"/>
        <v>46327</v>
      </c>
      <c r="C317" s="243">
        <f t="shared" si="154"/>
        <v>46356</v>
      </c>
      <c r="D317" s="120">
        <f t="shared" si="155"/>
        <v>30</v>
      </c>
      <c r="E317" s="120">
        <f t="shared" si="156"/>
        <v>11</v>
      </c>
      <c r="F317" s="275">
        <f t="shared" si="157"/>
        <v>46342</v>
      </c>
      <c r="G317" s="120">
        <f t="shared" si="158"/>
        <v>24322</v>
      </c>
      <c r="H317" s="245">
        <f t="shared" si="159"/>
        <v>1</v>
      </c>
      <c r="I317" s="121">
        <f t="shared" si="160"/>
        <v>1.06</v>
      </c>
      <c r="J317" s="121">
        <f t="shared" si="161"/>
        <v>1.06</v>
      </c>
      <c r="K317" s="120">
        <f t="shared" si="162"/>
        <v>0</v>
      </c>
      <c r="L317" s="120">
        <f t="shared" si="163"/>
        <v>0</v>
      </c>
      <c r="M317" s="246">
        <f t="shared" si="164"/>
        <v>0</v>
      </c>
      <c r="N317" s="121">
        <f t="shared" si="165"/>
        <v>1.06</v>
      </c>
      <c r="O317" s="246">
        <f t="shared" si="166"/>
        <v>0.91150984682713354</v>
      </c>
      <c r="P317" s="121">
        <f t="shared" si="167"/>
        <v>0.25</v>
      </c>
      <c r="Q317" s="121">
        <f t="shared" si="168"/>
        <v>0.75</v>
      </c>
      <c r="R317" s="121">
        <f t="shared" si="169"/>
        <v>0</v>
      </c>
      <c r="S317" s="121" t="str">
        <f t="shared" si="170"/>
        <v/>
      </c>
      <c r="T317" s="121" t="str">
        <f t="shared" si="171"/>
        <v/>
      </c>
      <c r="U317" s="121">
        <f t="shared" si="172"/>
        <v>1.06</v>
      </c>
    </row>
    <row r="318" spans="1:21" x14ac:dyDescent="0.3">
      <c r="A318" s="187">
        <v>24</v>
      </c>
      <c r="B318" s="242">
        <f t="shared" si="173"/>
        <v>46357</v>
      </c>
      <c r="C318" s="243">
        <f t="shared" si="154"/>
        <v>46387</v>
      </c>
      <c r="D318" s="120">
        <f t="shared" si="155"/>
        <v>31</v>
      </c>
      <c r="E318" s="120">
        <f t="shared" si="156"/>
        <v>12</v>
      </c>
      <c r="F318" s="275">
        <f t="shared" si="157"/>
        <v>46372.5</v>
      </c>
      <c r="G318" s="120">
        <f t="shared" si="158"/>
        <v>24323</v>
      </c>
      <c r="H318" s="245">
        <f t="shared" si="159"/>
        <v>1</v>
      </c>
      <c r="I318" s="121">
        <f t="shared" si="160"/>
        <v>1.06</v>
      </c>
      <c r="J318" s="121">
        <f t="shared" si="161"/>
        <v>1.06</v>
      </c>
      <c r="K318" s="120">
        <f t="shared" si="162"/>
        <v>0</v>
      </c>
      <c r="L318" s="120">
        <f t="shared" si="163"/>
        <v>0</v>
      </c>
      <c r="M318" s="246">
        <f t="shared" si="164"/>
        <v>0</v>
      </c>
      <c r="N318" s="121">
        <f t="shared" si="165"/>
        <v>1.06</v>
      </c>
      <c r="O318" s="246">
        <f t="shared" si="166"/>
        <v>0.91251094091903728</v>
      </c>
      <c r="P318" s="121">
        <f t="shared" si="167"/>
        <v>8.3333333333333329E-2</v>
      </c>
      <c r="Q318" s="121">
        <f t="shared" si="168"/>
        <v>0.91666666666666663</v>
      </c>
      <c r="R318" s="121">
        <f t="shared" si="169"/>
        <v>0</v>
      </c>
      <c r="S318" s="121" t="str">
        <f t="shared" si="170"/>
        <v/>
      </c>
      <c r="T318" s="121" t="str">
        <f t="shared" si="171"/>
        <v/>
      </c>
      <c r="U318" s="121">
        <f t="shared" si="172"/>
        <v>1.06</v>
      </c>
    </row>
    <row r="319" spans="1:21" x14ac:dyDescent="0.3">
      <c r="A319" s="187">
        <v>25</v>
      </c>
      <c r="B319" s="242">
        <f t="shared" si="173"/>
        <v>46388</v>
      </c>
      <c r="C319" s="243">
        <f t="shared" si="154"/>
        <v>46418</v>
      </c>
      <c r="D319" s="120">
        <f t="shared" si="155"/>
        <v>31</v>
      </c>
      <c r="E319" s="120">
        <f t="shared" si="156"/>
        <v>1</v>
      </c>
      <c r="F319" s="275">
        <f t="shared" si="157"/>
        <v>46403.5</v>
      </c>
      <c r="G319" s="120">
        <f t="shared" si="158"/>
        <v>24324</v>
      </c>
      <c r="H319" s="245">
        <f t="shared" si="159"/>
        <v>1</v>
      </c>
      <c r="I319" s="121">
        <f t="shared" si="160"/>
        <v>1.06</v>
      </c>
      <c r="J319" s="121">
        <f t="shared" si="161"/>
        <v>1.06</v>
      </c>
      <c r="K319" s="120">
        <f t="shared" si="162"/>
        <v>0</v>
      </c>
      <c r="L319" s="120">
        <f t="shared" si="163"/>
        <v>0</v>
      </c>
      <c r="M319" s="246">
        <f t="shared" si="164"/>
        <v>0</v>
      </c>
      <c r="N319" s="121">
        <f t="shared" si="165"/>
        <v>1.06</v>
      </c>
      <c r="O319" s="246">
        <f t="shared" si="166"/>
        <v>0.91352844638949671</v>
      </c>
      <c r="P319" s="121">
        <f t="shared" si="167"/>
        <v>0</v>
      </c>
      <c r="Q319" s="121">
        <f t="shared" si="168"/>
        <v>1</v>
      </c>
      <c r="R319" s="121">
        <f t="shared" si="169"/>
        <v>0</v>
      </c>
      <c r="S319" s="121" t="str">
        <f t="shared" si="170"/>
        <v/>
      </c>
      <c r="T319" s="121" t="str">
        <f t="shared" si="171"/>
        <v/>
      </c>
      <c r="U319" s="121">
        <f t="shared" si="172"/>
        <v>1.06</v>
      </c>
    </row>
    <row r="320" spans="1:21" x14ac:dyDescent="0.3">
      <c r="A320" s="187">
        <v>26</v>
      </c>
      <c r="B320" s="242">
        <f t="shared" si="173"/>
        <v>46419</v>
      </c>
      <c r="C320" s="243">
        <f t="shared" si="154"/>
        <v>46446</v>
      </c>
      <c r="D320" s="120">
        <f t="shared" si="155"/>
        <v>28</v>
      </c>
      <c r="E320" s="120">
        <f t="shared" si="156"/>
        <v>2</v>
      </c>
      <c r="F320" s="275">
        <f t="shared" si="157"/>
        <v>46433</v>
      </c>
      <c r="G320" s="120">
        <f t="shared" si="158"/>
        <v>24325</v>
      </c>
      <c r="H320" s="245">
        <f t="shared" si="159"/>
        <v>1</v>
      </c>
      <c r="I320" s="121">
        <f t="shared" si="160"/>
        <v>1.06</v>
      </c>
      <c r="J320" s="121">
        <f t="shared" si="161"/>
        <v>1.06</v>
      </c>
      <c r="K320" s="120">
        <f t="shared" si="162"/>
        <v>0</v>
      </c>
      <c r="L320" s="120">
        <f t="shared" si="163"/>
        <v>0</v>
      </c>
      <c r="M320" s="246">
        <f t="shared" si="164"/>
        <v>0</v>
      </c>
      <c r="N320" s="121">
        <f t="shared" si="165"/>
        <v>1.06</v>
      </c>
      <c r="O320" s="246">
        <f t="shared" si="166"/>
        <v>0.91449671772428887</v>
      </c>
      <c r="P320" s="121">
        <f t="shared" si="167"/>
        <v>0</v>
      </c>
      <c r="Q320" s="121">
        <f t="shared" si="168"/>
        <v>1</v>
      </c>
      <c r="R320" s="121">
        <f t="shared" si="169"/>
        <v>0</v>
      </c>
      <c r="S320" s="121" t="str">
        <f t="shared" si="170"/>
        <v/>
      </c>
      <c r="T320" s="121" t="str">
        <f t="shared" si="171"/>
        <v/>
      </c>
      <c r="U320" s="121">
        <f t="shared" si="172"/>
        <v>1.06</v>
      </c>
    </row>
    <row r="321" spans="1:21" x14ac:dyDescent="0.3">
      <c r="A321" s="187">
        <v>27</v>
      </c>
      <c r="B321" s="242">
        <f t="shared" si="173"/>
        <v>46447</v>
      </c>
      <c r="C321" s="243">
        <f t="shared" si="154"/>
        <v>46477</v>
      </c>
      <c r="D321" s="120">
        <f t="shared" si="155"/>
        <v>31</v>
      </c>
      <c r="E321" s="120">
        <f t="shared" si="156"/>
        <v>3</v>
      </c>
      <c r="F321" s="275">
        <f t="shared" si="157"/>
        <v>46462.5</v>
      </c>
      <c r="G321" s="120">
        <f t="shared" si="158"/>
        <v>24326</v>
      </c>
      <c r="H321" s="245">
        <f t="shared" si="159"/>
        <v>1</v>
      </c>
      <c r="I321" s="121">
        <f t="shared" si="160"/>
        <v>1.06</v>
      </c>
      <c r="J321" s="121">
        <f t="shared" si="161"/>
        <v>1.06</v>
      </c>
      <c r="K321" s="120">
        <f t="shared" si="162"/>
        <v>0</v>
      </c>
      <c r="L321" s="120">
        <f t="shared" si="163"/>
        <v>0</v>
      </c>
      <c r="M321" s="246">
        <f t="shared" si="164"/>
        <v>0</v>
      </c>
      <c r="N321" s="121">
        <f t="shared" si="165"/>
        <v>1.06</v>
      </c>
      <c r="O321" s="246">
        <f t="shared" si="166"/>
        <v>0.91546498905908102</v>
      </c>
      <c r="P321" s="121">
        <f t="shared" si="167"/>
        <v>0</v>
      </c>
      <c r="Q321" s="121">
        <f t="shared" si="168"/>
        <v>1</v>
      </c>
      <c r="R321" s="121">
        <f t="shared" si="169"/>
        <v>0</v>
      </c>
      <c r="S321" s="121" t="str">
        <f t="shared" si="170"/>
        <v/>
      </c>
      <c r="T321" s="121" t="str">
        <f t="shared" si="171"/>
        <v/>
      </c>
      <c r="U321" s="121">
        <f t="shared" si="172"/>
        <v>1.06</v>
      </c>
    </row>
    <row r="322" spans="1:21" x14ac:dyDescent="0.3">
      <c r="A322" s="187">
        <v>28</v>
      </c>
      <c r="B322" s="242">
        <f t="shared" si="173"/>
        <v>46478</v>
      </c>
      <c r="C322" s="243">
        <f t="shared" si="154"/>
        <v>46507</v>
      </c>
      <c r="D322" s="120">
        <f t="shared" si="155"/>
        <v>30</v>
      </c>
      <c r="E322" s="120">
        <f t="shared" si="156"/>
        <v>4</v>
      </c>
      <c r="F322" s="275">
        <f t="shared" si="157"/>
        <v>46493</v>
      </c>
      <c r="G322" s="120">
        <f t="shared" si="158"/>
        <v>24327</v>
      </c>
      <c r="H322" s="245">
        <f t="shared" si="159"/>
        <v>1</v>
      </c>
      <c r="I322" s="121">
        <f t="shared" si="160"/>
        <v>1.06</v>
      </c>
      <c r="J322" s="121">
        <f t="shared" si="161"/>
        <v>1.06</v>
      </c>
      <c r="K322" s="120">
        <f t="shared" si="162"/>
        <v>0</v>
      </c>
      <c r="L322" s="120">
        <f t="shared" si="163"/>
        <v>0</v>
      </c>
      <c r="M322" s="246">
        <f t="shared" si="164"/>
        <v>0</v>
      </c>
      <c r="N322" s="121">
        <f t="shared" si="165"/>
        <v>1.06</v>
      </c>
      <c r="O322" s="246">
        <f t="shared" si="166"/>
        <v>0.91646608315098477</v>
      </c>
      <c r="P322" s="121">
        <f t="shared" si="167"/>
        <v>0</v>
      </c>
      <c r="Q322" s="121">
        <f t="shared" si="168"/>
        <v>1</v>
      </c>
      <c r="R322" s="121">
        <f t="shared" si="169"/>
        <v>0</v>
      </c>
      <c r="S322" s="121" t="str">
        <f t="shared" si="170"/>
        <v/>
      </c>
      <c r="T322" s="121" t="str">
        <f t="shared" si="171"/>
        <v/>
      </c>
      <c r="U322" s="121">
        <f t="shared" si="172"/>
        <v>1.06</v>
      </c>
    </row>
    <row r="323" spans="1:21" x14ac:dyDescent="0.3">
      <c r="A323" s="187">
        <v>29</v>
      </c>
      <c r="B323" s="242">
        <f t="shared" si="173"/>
        <v>46508</v>
      </c>
      <c r="C323" s="243">
        <f t="shared" si="154"/>
        <v>46538</v>
      </c>
      <c r="D323" s="120">
        <f t="shared" si="155"/>
        <v>31</v>
      </c>
      <c r="E323" s="120">
        <f t="shared" si="156"/>
        <v>5</v>
      </c>
      <c r="F323" s="275">
        <f t="shared" si="157"/>
        <v>46523.5</v>
      </c>
      <c r="G323" s="120">
        <f t="shared" si="158"/>
        <v>24328</v>
      </c>
      <c r="H323" s="245">
        <f t="shared" si="159"/>
        <v>1</v>
      </c>
      <c r="I323" s="121">
        <f t="shared" si="160"/>
        <v>1.06</v>
      </c>
      <c r="J323" s="121">
        <f t="shared" si="161"/>
        <v>1.06</v>
      </c>
      <c r="K323" s="120">
        <f t="shared" si="162"/>
        <v>0</v>
      </c>
      <c r="L323" s="120">
        <f t="shared" si="163"/>
        <v>0</v>
      </c>
      <c r="M323" s="246">
        <f t="shared" si="164"/>
        <v>0</v>
      </c>
      <c r="N323" s="121">
        <f t="shared" si="165"/>
        <v>1.06</v>
      </c>
      <c r="O323" s="246">
        <f t="shared" si="166"/>
        <v>0.9174671772428884</v>
      </c>
      <c r="P323" s="121">
        <f t="shared" si="167"/>
        <v>0</v>
      </c>
      <c r="Q323" s="121">
        <f t="shared" si="168"/>
        <v>1</v>
      </c>
      <c r="R323" s="121">
        <f t="shared" si="169"/>
        <v>0</v>
      </c>
      <c r="S323" s="121" t="str">
        <f t="shared" si="170"/>
        <v/>
      </c>
      <c r="T323" s="121" t="str">
        <f t="shared" si="171"/>
        <v/>
      </c>
      <c r="U323" s="121">
        <f t="shared" si="172"/>
        <v>1.06</v>
      </c>
    </row>
    <row r="324" spans="1:21" x14ac:dyDescent="0.3">
      <c r="A324" s="187">
        <v>30</v>
      </c>
      <c r="B324" s="242">
        <f t="shared" si="173"/>
        <v>46539</v>
      </c>
      <c r="C324" s="243">
        <f t="shared" si="154"/>
        <v>46568</v>
      </c>
      <c r="D324" s="120">
        <f t="shared" si="155"/>
        <v>30</v>
      </c>
      <c r="E324" s="120">
        <f t="shared" si="156"/>
        <v>6</v>
      </c>
      <c r="F324" s="275">
        <f t="shared" si="157"/>
        <v>46554</v>
      </c>
      <c r="G324" s="120">
        <f t="shared" si="158"/>
        <v>24329</v>
      </c>
      <c r="H324" s="245">
        <f t="shared" si="159"/>
        <v>1</v>
      </c>
      <c r="I324" s="121">
        <f t="shared" si="160"/>
        <v>1.06</v>
      </c>
      <c r="J324" s="121">
        <f t="shared" si="161"/>
        <v>1.06</v>
      </c>
      <c r="K324" s="120">
        <f t="shared" si="162"/>
        <v>0</v>
      </c>
      <c r="L324" s="120">
        <f t="shared" si="163"/>
        <v>0</v>
      </c>
      <c r="M324" s="246">
        <f t="shared" si="164"/>
        <v>0</v>
      </c>
      <c r="N324" s="121">
        <f t="shared" si="165"/>
        <v>1.06</v>
      </c>
      <c r="O324" s="246">
        <f t="shared" si="166"/>
        <v>0.91846827133479214</v>
      </c>
      <c r="P324" s="121">
        <f t="shared" si="167"/>
        <v>0</v>
      </c>
      <c r="Q324" s="121">
        <f t="shared" si="168"/>
        <v>1</v>
      </c>
      <c r="R324" s="121">
        <f t="shared" si="169"/>
        <v>0</v>
      </c>
      <c r="S324" s="121" t="str">
        <f t="shared" si="170"/>
        <v/>
      </c>
      <c r="T324" s="121" t="str">
        <f t="shared" si="171"/>
        <v/>
      </c>
      <c r="U324" s="121">
        <f t="shared" si="172"/>
        <v>1.06</v>
      </c>
    </row>
    <row r="325" spans="1:21" x14ac:dyDescent="0.3">
      <c r="A325" s="187">
        <v>31</v>
      </c>
      <c r="B325" s="242">
        <f t="shared" si="173"/>
        <v>46569</v>
      </c>
      <c r="C325" s="243">
        <f t="shared" si="154"/>
        <v>46599</v>
      </c>
      <c r="D325" s="120">
        <f t="shared" si="155"/>
        <v>31</v>
      </c>
      <c r="E325" s="120">
        <f t="shared" si="156"/>
        <v>7</v>
      </c>
      <c r="F325" s="275">
        <f t="shared" si="157"/>
        <v>46584.5</v>
      </c>
      <c r="G325" s="120">
        <f t="shared" si="158"/>
        <v>24330</v>
      </c>
      <c r="H325" s="245">
        <f t="shared" si="159"/>
        <v>1</v>
      </c>
      <c r="I325" s="121">
        <f t="shared" si="160"/>
        <v>1.06</v>
      </c>
      <c r="J325" s="121">
        <f t="shared" si="161"/>
        <v>1.06</v>
      </c>
      <c r="K325" s="120">
        <f t="shared" si="162"/>
        <v>0</v>
      </c>
      <c r="L325" s="120">
        <f t="shared" si="163"/>
        <v>0</v>
      </c>
      <c r="M325" s="246">
        <f t="shared" si="164"/>
        <v>0</v>
      </c>
      <c r="N325" s="121">
        <f t="shared" si="165"/>
        <v>1.06</v>
      </c>
      <c r="O325" s="246">
        <f t="shared" si="166"/>
        <v>0.91946936542669588</v>
      </c>
      <c r="P325" s="121">
        <f t="shared" si="167"/>
        <v>0</v>
      </c>
      <c r="Q325" s="121">
        <f t="shared" si="168"/>
        <v>0.91666666666666663</v>
      </c>
      <c r="R325" s="121">
        <f t="shared" si="169"/>
        <v>8.333333333333337E-2</v>
      </c>
      <c r="S325" s="121" t="str">
        <f t="shared" si="170"/>
        <v/>
      </c>
      <c r="T325" s="121" t="str">
        <f t="shared" si="171"/>
        <v/>
      </c>
      <c r="U325" s="121">
        <f t="shared" si="172"/>
        <v>1.06</v>
      </c>
    </row>
    <row r="326" spans="1:21" x14ac:dyDescent="0.3">
      <c r="A326" s="187">
        <v>32</v>
      </c>
      <c r="B326" s="242">
        <f t="shared" si="173"/>
        <v>46600</v>
      </c>
      <c r="C326" s="243">
        <f t="shared" si="154"/>
        <v>46630</v>
      </c>
      <c r="D326" s="120">
        <f t="shared" si="155"/>
        <v>31</v>
      </c>
      <c r="E326" s="120">
        <f t="shared" si="156"/>
        <v>8</v>
      </c>
      <c r="F326" s="275">
        <f t="shared" si="157"/>
        <v>46615.5</v>
      </c>
      <c r="G326" s="120">
        <f t="shared" si="158"/>
        <v>24331</v>
      </c>
      <c r="H326" s="245">
        <f t="shared" si="159"/>
        <v>1</v>
      </c>
      <c r="I326" s="121">
        <f t="shared" si="160"/>
        <v>1.06</v>
      </c>
      <c r="J326" s="121">
        <f t="shared" si="161"/>
        <v>1.06</v>
      </c>
      <c r="K326" s="120">
        <f t="shared" si="162"/>
        <v>0</v>
      </c>
      <c r="L326" s="120">
        <f t="shared" si="163"/>
        <v>0</v>
      </c>
      <c r="M326" s="246">
        <f t="shared" si="164"/>
        <v>0</v>
      </c>
      <c r="N326" s="121">
        <f t="shared" si="165"/>
        <v>1.06</v>
      </c>
      <c r="O326" s="246">
        <f t="shared" si="166"/>
        <v>0.92048687089715542</v>
      </c>
      <c r="P326" s="121">
        <f t="shared" si="167"/>
        <v>0</v>
      </c>
      <c r="Q326" s="121">
        <f t="shared" si="168"/>
        <v>0.75</v>
      </c>
      <c r="R326" s="121">
        <f t="shared" si="169"/>
        <v>0.25</v>
      </c>
      <c r="S326" s="121" t="str">
        <f t="shared" si="170"/>
        <v/>
      </c>
      <c r="T326" s="121" t="str">
        <f t="shared" si="171"/>
        <v/>
      </c>
      <c r="U326" s="121">
        <f t="shared" si="172"/>
        <v>1.06</v>
      </c>
    </row>
    <row r="327" spans="1:21" x14ac:dyDescent="0.3">
      <c r="A327" s="187">
        <v>33</v>
      </c>
      <c r="B327" s="242">
        <f t="shared" si="173"/>
        <v>46631</v>
      </c>
      <c r="C327" s="243">
        <f t="shared" si="154"/>
        <v>46660</v>
      </c>
      <c r="D327" s="120">
        <f t="shared" si="155"/>
        <v>30</v>
      </c>
      <c r="E327" s="120">
        <f t="shared" si="156"/>
        <v>9</v>
      </c>
      <c r="F327" s="275">
        <f t="shared" si="157"/>
        <v>46646</v>
      </c>
      <c r="G327" s="120">
        <f t="shared" si="158"/>
        <v>24332</v>
      </c>
      <c r="H327" s="245">
        <f t="shared" si="159"/>
        <v>1</v>
      </c>
      <c r="I327" s="121">
        <f t="shared" si="160"/>
        <v>1.06</v>
      </c>
      <c r="J327" s="121">
        <f t="shared" si="161"/>
        <v>1.06</v>
      </c>
      <c r="K327" s="120">
        <f t="shared" si="162"/>
        <v>0</v>
      </c>
      <c r="L327" s="120">
        <f t="shared" si="163"/>
        <v>0</v>
      </c>
      <c r="M327" s="246">
        <f t="shared" si="164"/>
        <v>0</v>
      </c>
      <c r="N327" s="121">
        <f t="shared" si="165"/>
        <v>1.06</v>
      </c>
      <c r="O327" s="246">
        <f t="shared" si="166"/>
        <v>0.92148796498905916</v>
      </c>
      <c r="P327" s="121">
        <f t="shared" si="167"/>
        <v>0</v>
      </c>
      <c r="Q327" s="121">
        <f t="shared" si="168"/>
        <v>0.58333333333333337</v>
      </c>
      <c r="R327" s="121">
        <f t="shared" si="169"/>
        <v>0.41666666666666663</v>
      </c>
      <c r="S327" s="121" t="str">
        <f t="shared" si="170"/>
        <v/>
      </c>
      <c r="T327" s="121" t="str">
        <f t="shared" si="171"/>
        <v/>
      </c>
      <c r="U327" s="121">
        <f t="shared" si="172"/>
        <v>1.06</v>
      </c>
    </row>
    <row r="328" spans="1:21" x14ac:dyDescent="0.3">
      <c r="A328" s="187">
        <v>34</v>
      </c>
      <c r="B328" s="242">
        <f t="shared" si="173"/>
        <v>46661</v>
      </c>
      <c r="C328" s="243">
        <f t="shared" si="154"/>
        <v>46691</v>
      </c>
      <c r="D328" s="120">
        <f t="shared" si="155"/>
        <v>31</v>
      </c>
      <c r="E328" s="120">
        <f t="shared" si="156"/>
        <v>10</v>
      </c>
      <c r="F328" s="275">
        <f t="shared" si="157"/>
        <v>46676.5</v>
      </c>
      <c r="G328" s="120">
        <f t="shared" si="158"/>
        <v>24333</v>
      </c>
      <c r="H328" s="245">
        <f t="shared" si="159"/>
        <v>1</v>
      </c>
      <c r="I328" s="121">
        <f t="shared" si="160"/>
        <v>1.06</v>
      </c>
      <c r="J328" s="121">
        <f t="shared" si="161"/>
        <v>1.06</v>
      </c>
      <c r="K328" s="120">
        <f t="shared" si="162"/>
        <v>0</v>
      </c>
      <c r="L328" s="120">
        <f t="shared" si="163"/>
        <v>0</v>
      </c>
      <c r="M328" s="246">
        <f t="shared" si="164"/>
        <v>0</v>
      </c>
      <c r="N328" s="121">
        <f t="shared" si="165"/>
        <v>1.06</v>
      </c>
      <c r="O328" s="246">
        <f t="shared" si="166"/>
        <v>0.92248905908096279</v>
      </c>
      <c r="P328" s="121">
        <f t="shared" si="167"/>
        <v>0</v>
      </c>
      <c r="Q328" s="121">
        <f t="shared" si="168"/>
        <v>0.41666666666666669</v>
      </c>
      <c r="R328" s="121">
        <f t="shared" si="169"/>
        <v>0.58333333333333326</v>
      </c>
      <c r="S328" s="121" t="str">
        <f t="shared" si="170"/>
        <v/>
      </c>
      <c r="T328" s="121" t="str">
        <f t="shared" si="171"/>
        <v/>
      </c>
      <c r="U328" s="121">
        <f t="shared" si="172"/>
        <v>1.06</v>
      </c>
    </row>
    <row r="329" spans="1:21" x14ac:dyDescent="0.3">
      <c r="A329" s="187">
        <v>35</v>
      </c>
      <c r="B329" s="242">
        <f t="shared" si="173"/>
        <v>46692</v>
      </c>
      <c r="C329" s="243">
        <f t="shared" si="154"/>
        <v>46721</v>
      </c>
      <c r="D329" s="120">
        <f t="shared" si="155"/>
        <v>30</v>
      </c>
      <c r="E329" s="120">
        <f t="shared" si="156"/>
        <v>11</v>
      </c>
      <c r="F329" s="275">
        <f t="shared" si="157"/>
        <v>46707</v>
      </c>
      <c r="G329" s="120">
        <f t="shared" si="158"/>
        <v>24334</v>
      </c>
      <c r="H329" s="245">
        <f t="shared" si="159"/>
        <v>1</v>
      </c>
      <c r="I329" s="121">
        <f t="shared" si="160"/>
        <v>1.06</v>
      </c>
      <c r="J329" s="121">
        <f t="shared" si="161"/>
        <v>1.06</v>
      </c>
      <c r="K329" s="120">
        <f t="shared" si="162"/>
        <v>0</v>
      </c>
      <c r="L329" s="120">
        <f t="shared" si="163"/>
        <v>0</v>
      </c>
      <c r="M329" s="246">
        <f t="shared" si="164"/>
        <v>0</v>
      </c>
      <c r="N329" s="121">
        <f t="shared" si="165"/>
        <v>1.06</v>
      </c>
      <c r="O329" s="246">
        <f t="shared" si="166"/>
        <v>0.92349015317286653</v>
      </c>
      <c r="P329" s="121">
        <f t="shared" si="167"/>
        <v>0</v>
      </c>
      <c r="Q329" s="121">
        <f t="shared" si="168"/>
        <v>0.25</v>
      </c>
      <c r="R329" s="121">
        <f t="shared" si="169"/>
        <v>0.75</v>
      </c>
      <c r="S329" s="121" t="str">
        <f t="shared" si="170"/>
        <v/>
      </c>
      <c r="T329" s="121" t="str">
        <f t="shared" si="171"/>
        <v/>
      </c>
      <c r="U329" s="121">
        <f t="shared" si="172"/>
        <v>1.06</v>
      </c>
    </row>
    <row r="330" spans="1:21" x14ac:dyDescent="0.3">
      <c r="A330" s="187">
        <v>36</v>
      </c>
      <c r="B330" s="242">
        <f t="shared" si="173"/>
        <v>46722</v>
      </c>
      <c r="C330" s="243">
        <f t="shared" si="154"/>
        <v>46752</v>
      </c>
      <c r="D330" s="120">
        <f t="shared" si="155"/>
        <v>31</v>
      </c>
      <c r="E330" s="120">
        <f t="shared" si="156"/>
        <v>12</v>
      </c>
      <c r="F330" s="275">
        <f t="shared" si="157"/>
        <v>46737.5</v>
      </c>
      <c r="G330" s="120">
        <f t="shared" si="158"/>
        <v>24335</v>
      </c>
      <c r="H330" s="245">
        <f t="shared" si="159"/>
        <v>1</v>
      </c>
      <c r="I330" s="121">
        <f t="shared" si="160"/>
        <v>1.06</v>
      </c>
      <c r="J330" s="121">
        <f t="shared" si="161"/>
        <v>1.06</v>
      </c>
      <c r="K330" s="120">
        <f t="shared" si="162"/>
        <v>0</v>
      </c>
      <c r="L330" s="120">
        <f t="shared" si="163"/>
        <v>0</v>
      </c>
      <c r="M330" s="246">
        <f t="shared" si="164"/>
        <v>0</v>
      </c>
      <c r="N330" s="121">
        <f t="shared" si="165"/>
        <v>1.06</v>
      </c>
      <c r="O330" s="246">
        <f t="shared" si="166"/>
        <v>0.92449124726477028</v>
      </c>
      <c r="P330" s="121">
        <f t="shared" si="167"/>
        <v>0</v>
      </c>
      <c r="Q330" s="121">
        <f t="shared" si="168"/>
        <v>8.3333333333333329E-2</v>
      </c>
      <c r="R330" s="121">
        <f t="shared" si="169"/>
        <v>0.91666666666666663</v>
      </c>
      <c r="S330" s="121" t="str">
        <f t="shared" si="170"/>
        <v/>
      </c>
      <c r="T330" s="121" t="str">
        <f t="shared" si="171"/>
        <v/>
      </c>
      <c r="U330" s="121">
        <f t="shared" si="172"/>
        <v>1.06</v>
      </c>
    </row>
    <row r="331" spans="1:21" x14ac:dyDescent="0.3">
      <c r="A331" s="187">
        <v>37</v>
      </c>
      <c r="B331" s="242">
        <f t="shared" si="173"/>
        <v>46753</v>
      </c>
      <c r="C331" s="243">
        <f t="shared" si="154"/>
        <v>46783</v>
      </c>
      <c r="D331" s="120">
        <f t="shared" si="155"/>
        <v>31</v>
      </c>
      <c r="E331" s="120">
        <f t="shared" si="156"/>
        <v>1</v>
      </c>
      <c r="F331" s="275">
        <f t="shared" si="157"/>
        <v>46768.5</v>
      </c>
      <c r="G331" s="120">
        <f t="shared" si="158"/>
        <v>24336</v>
      </c>
      <c r="H331" s="245">
        <f t="shared" si="159"/>
        <v>1</v>
      </c>
      <c r="I331" s="121">
        <f t="shared" si="160"/>
        <v>1.06</v>
      </c>
      <c r="J331" s="121">
        <f t="shared" si="161"/>
        <v>1.06</v>
      </c>
      <c r="K331" s="120">
        <f t="shared" si="162"/>
        <v>0</v>
      </c>
      <c r="L331" s="120">
        <f t="shared" si="163"/>
        <v>0</v>
      </c>
      <c r="M331" s="246">
        <f t="shared" si="164"/>
        <v>0</v>
      </c>
      <c r="N331" s="121">
        <f t="shared" si="165"/>
        <v>1.06</v>
      </c>
      <c r="O331" s="246">
        <f t="shared" si="166"/>
        <v>0.92500000000000004</v>
      </c>
      <c r="P331" s="121">
        <f t="shared" si="167"/>
        <v>0</v>
      </c>
      <c r="Q331" s="121">
        <f t="shared" si="168"/>
        <v>0</v>
      </c>
      <c r="R331" s="121">
        <f t="shared" si="169"/>
        <v>1</v>
      </c>
      <c r="S331" s="121" t="str">
        <f t="shared" si="170"/>
        <v/>
      </c>
      <c r="T331" s="121" t="str">
        <f t="shared" si="171"/>
        <v/>
      </c>
      <c r="U331" s="121">
        <f t="shared" si="172"/>
        <v>1.06</v>
      </c>
    </row>
    <row r="332" spans="1:21" x14ac:dyDescent="0.3">
      <c r="A332" s="187">
        <v>38</v>
      </c>
      <c r="B332" s="242">
        <f t="shared" si="173"/>
        <v>46784</v>
      </c>
      <c r="C332" s="243">
        <f t="shared" si="154"/>
        <v>46812</v>
      </c>
      <c r="D332" s="120">
        <f t="shared" si="155"/>
        <v>29</v>
      </c>
      <c r="E332" s="120">
        <f t="shared" si="156"/>
        <v>2</v>
      </c>
      <c r="F332" s="275">
        <f t="shared" si="157"/>
        <v>46798.5</v>
      </c>
      <c r="G332" s="120">
        <f t="shared" si="158"/>
        <v>24337</v>
      </c>
      <c r="H332" s="245">
        <f t="shared" si="159"/>
        <v>1</v>
      </c>
      <c r="I332" s="121">
        <f t="shared" si="160"/>
        <v>1.06</v>
      </c>
      <c r="J332" s="121">
        <f t="shared" si="161"/>
        <v>1.06</v>
      </c>
      <c r="K332" s="120">
        <f t="shared" si="162"/>
        <v>0</v>
      </c>
      <c r="L332" s="120">
        <f t="shared" si="163"/>
        <v>0</v>
      </c>
      <c r="M332" s="246">
        <f t="shared" si="164"/>
        <v>0</v>
      </c>
      <c r="N332" s="121">
        <f t="shared" si="165"/>
        <v>1.06</v>
      </c>
      <c r="O332" s="246">
        <f t="shared" si="166"/>
        <v>0.92500000000000004</v>
      </c>
      <c r="P332" s="121">
        <f t="shared" si="167"/>
        <v>0</v>
      </c>
      <c r="Q332" s="121">
        <f t="shared" si="168"/>
        <v>0</v>
      </c>
      <c r="R332" s="121">
        <f t="shared" si="169"/>
        <v>1</v>
      </c>
      <c r="S332" s="121" t="str">
        <f t="shared" si="170"/>
        <v/>
      </c>
      <c r="T332" s="121" t="str">
        <f t="shared" si="171"/>
        <v/>
      </c>
      <c r="U332" s="121">
        <f t="shared" si="172"/>
        <v>1.06</v>
      </c>
    </row>
    <row r="333" spans="1:21" x14ac:dyDescent="0.3">
      <c r="A333" s="187">
        <v>39</v>
      </c>
      <c r="B333" s="242">
        <f t="shared" si="173"/>
        <v>46813</v>
      </c>
      <c r="C333" s="243">
        <f t="shared" si="154"/>
        <v>46843</v>
      </c>
      <c r="D333" s="120">
        <f t="shared" si="155"/>
        <v>31</v>
      </c>
      <c r="E333" s="120">
        <f t="shared" si="156"/>
        <v>3</v>
      </c>
      <c r="F333" s="275">
        <f t="shared" si="157"/>
        <v>46828.5</v>
      </c>
      <c r="G333" s="120">
        <f t="shared" si="158"/>
        <v>24338</v>
      </c>
      <c r="H333" s="245">
        <f t="shared" si="159"/>
        <v>1</v>
      </c>
      <c r="I333" s="121">
        <f t="shared" si="160"/>
        <v>1.06</v>
      </c>
      <c r="J333" s="121">
        <f t="shared" si="161"/>
        <v>1.06</v>
      </c>
      <c r="K333" s="120">
        <f t="shared" si="162"/>
        <v>0</v>
      </c>
      <c r="L333" s="120">
        <f t="shared" si="163"/>
        <v>0</v>
      </c>
      <c r="M333" s="246">
        <f t="shared" si="164"/>
        <v>0</v>
      </c>
      <c r="N333" s="121">
        <f t="shared" si="165"/>
        <v>1.06</v>
      </c>
      <c r="O333" s="246">
        <f t="shared" si="166"/>
        <v>0.92500000000000004</v>
      </c>
      <c r="P333" s="121">
        <f t="shared" si="167"/>
        <v>0</v>
      </c>
      <c r="Q333" s="121">
        <f t="shared" si="168"/>
        <v>0</v>
      </c>
      <c r="R333" s="121">
        <f t="shared" si="169"/>
        <v>1</v>
      </c>
      <c r="S333" s="121" t="str">
        <f t="shared" si="170"/>
        <v/>
      </c>
      <c r="T333" s="121" t="str">
        <f t="shared" si="171"/>
        <v/>
      </c>
      <c r="U333" s="121">
        <f t="shared" si="172"/>
        <v>1.06</v>
      </c>
    </row>
    <row r="334" spans="1:21" x14ac:dyDescent="0.3">
      <c r="A334" s="187">
        <v>40</v>
      </c>
      <c r="B334" s="242">
        <f t="shared" si="173"/>
        <v>46844</v>
      </c>
      <c r="C334" s="243">
        <f t="shared" si="154"/>
        <v>46873</v>
      </c>
      <c r="D334" s="120">
        <f t="shared" si="155"/>
        <v>30</v>
      </c>
      <c r="E334" s="120">
        <f t="shared" si="156"/>
        <v>4</v>
      </c>
      <c r="F334" s="275">
        <f t="shared" si="157"/>
        <v>46859</v>
      </c>
      <c r="G334" s="120">
        <f t="shared" si="158"/>
        <v>24339</v>
      </c>
      <c r="H334" s="245">
        <f t="shared" si="159"/>
        <v>1</v>
      </c>
      <c r="I334" s="121">
        <f t="shared" si="160"/>
        <v>1.06</v>
      </c>
      <c r="J334" s="121">
        <f t="shared" si="161"/>
        <v>1.06</v>
      </c>
      <c r="K334" s="120">
        <f t="shared" si="162"/>
        <v>0</v>
      </c>
      <c r="L334" s="120">
        <f t="shared" si="163"/>
        <v>0</v>
      </c>
      <c r="M334" s="246">
        <f t="shared" si="164"/>
        <v>0</v>
      </c>
      <c r="N334" s="121">
        <f t="shared" si="165"/>
        <v>1.06</v>
      </c>
      <c r="O334" s="246">
        <f t="shared" si="166"/>
        <v>0.92500000000000004</v>
      </c>
      <c r="P334" s="121">
        <f t="shared" si="167"/>
        <v>0</v>
      </c>
      <c r="Q334" s="121">
        <f t="shared" si="168"/>
        <v>0</v>
      </c>
      <c r="R334" s="121">
        <f t="shared" si="169"/>
        <v>1</v>
      </c>
      <c r="S334" s="121" t="str">
        <f t="shared" si="170"/>
        <v/>
      </c>
      <c r="T334" s="121" t="str">
        <f t="shared" si="171"/>
        <v/>
      </c>
      <c r="U334" s="121">
        <f t="shared" si="172"/>
        <v>1.06</v>
      </c>
    </row>
    <row r="335" spans="1:21" x14ac:dyDescent="0.3">
      <c r="A335" s="187">
        <v>41</v>
      </c>
      <c r="B335" s="242">
        <f t="shared" si="173"/>
        <v>46874</v>
      </c>
      <c r="C335" s="243">
        <f t="shared" si="154"/>
        <v>46904</v>
      </c>
      <c r="D335" s="120">
        <f t="shared" si="155"/>
        <v>31</v>
      </c>
      <c r="E335" s="120">
        <f t="shared" si="156"/>
        <v>5</v>
      </c>
      <c r="F335" s="275">
        <f t="shared" si="157"/>
        <v>46889.5</v>
      </c>
      <c r="G335" s="120">
        <f t="shared" si="158"/>
        <v>24340</v>
      </c>
      <c r="H335" s="245">
        <f t="shared" si="159"/>
        <v>1</v>
      </c>
      <c r="I335" s="121">
        <f t="shared" si="160"/>
        <v>1.06</v>
      </c>
      <c r="J335" s="121">
        <f t="shared" si="161"/>
        <v>1.06</v>
      </c>
      <c r="K335" s="120">
        <f t="shared" si="162"/>
        <v>0</v>
      </c>
      <c r="L335" s="120">
        <f t="shared" si="163"/>
        <v>0</v>
      </c>
      <c r="M335" s="246">
        <f t="shared" si="164"/>
        <v>0</v>
      </c>
      <c r="N335" s="121">
        <f t="shared" si="165"/>
        <v>1.06</v>
      </c>
      <c r="O335" s="246">
        <f t="shared" si="166"/>
        <v>0.92500000000000004</v>
      </c>
      <c r="P335" s="121">
        <f t="shared" si="167"/>
        <v>0</v>
      </c>
      <c r="Q335" s="121">
        <f t="shared" si="168"/>
        <v>0</v>
      </c>
      <c r="R335" s="121">
        <f t="shared" si="169"/>
        <v>1</v>
      </c>
      <c r="S335" s="121" t="str">
        <f t="shared" si="170"/>
        <v/>
      </c>
      <c r="T335" s="121" t="str">
        <f t="shared" si="171"/>
        <v/>
      </c>
      <c r="U335" s="121">
        <f t="shared" si="172"/>
        <v>1.06</v>
      </c>
    </row>
    <row r="336" spans="1:21" x14ac:dyDescent="0.3">
      <c r="A336" s="187">
        <v>42</v>
      </c>
      <c r="B336" s="242">
        <f t="shared" si="173"/>
        <v>46905</v>
      </c>
      <c r="C336" s="243">
        <f t="shared" si="154"/>
        <v>46934</v>
      </c>
      <c r="D336" s="120">
        <f t="shared" si="155"/>
        <v>30</v>
      </c>
      <c r="E336" s="120">
        <f t="shared" si="156"/>
        <v>6</v>
      </c>
      <c r="F336" s="275">
        <f t="shared" si="157"/>
        <v>46920</v>
      </c>
      <c r="G336" s="120">
        <f t="shared" si="158"/>
        <v>24341</v>
      </c>
      <c r="H336" s="245">
        <f t="shared" si="159"/>
        <v>1</v>
      </c>
      <c r="I336" s="121">
        <f t="shared" si="160"/>
        <v>1.06</v>
      </c>
      <c r="J336" s="121">
        <f t="shared" si="161"/>
        <v>1.06</v>
      </c>
      <c r="K336" s="120">
        <f t="shared" si="162"/>
        <v>0</v>
      </c>
      <c r="L336" s="120">
        <f t="shared" si="163"/>
        <v>0</v>
      </c>
      <c r="M336" s="246">
        <f t="shared" si="164"/>
        <v>0</v>
      </c>
      <c r="N336" s="121">
        <f t="shared" si="165"/>
        <v>1.06</v>
      </c>
      <c r="O336" s="246">
        <f t="shared" si="166"/>
        <v>0.92500000000000004</v>
      </c>
      <c r="P336" s="121">
        <f t="shared" si="167"/>
        <v>0</v>
      </c>
      <c r="Q336" s="121">
        <f t="shared" si="168"/>
        <v>0</v>
      </c>
      <c r="R336" s="121">
        <f t="shared" si="169"/>
        <v>1</v>
      </c>
      <c r="S336" s="121" t="str">
        <f t="shared" si="170"/>
        <v/>
      </c>
      <c r="T336" s="121" t="str">
        <f t="shared" si="171"/>
        <v/>
      </c>
      <c r="U336" s="121">
        <f t="shared" si="172"/>
        <v>1.06</v>
      </c>
    </row>
    <row r="337" spans="1:21" x14ac:dyDescent="0.3">
      <c r="A337" s="187">
        <v>43</v>
      </c>
      <c r="B337" s="242">
        <f t="shared" si="173"/>
        <v>46935</v>
      </c>
      <c r="C337" s="243">
        <f t="shared" si="154"/>
        <v>46965</v>
      </c>
      <c r="D337" s="120">
        <f t="shared" si="155"/>
        <v>31</v>
      </c>
      <c r="E337" s="120">
        <f t="shared" si="156"/>
        <v>7</v>
      </c>
      <c r="F337" s="275">
        <f t="shared" si="157"/>
        <v>46950.5</v>
      </c>
      <c r="G337" s="120">
        <f t="shared" si="158"/>
        <v>24342</v>
      </c>
      <c r="H337" s="245">
        <f t="shared" si="159"/>
        <v>1</v>
      </c>
      <c r="I337" s="121">
        <f t="shared" si="160"/>
        <v>1.06</v>
      </c>
      <c r="J337" s="121">
        <f t="shared" si="161"/>
        <v>1.06</v>
      </c>
      <c r="K337" s="120">
        <f t="shared" si="162"/>
        <v>0</v>
      </c>
      <c r="L337" s="120">
        <f t="shared" si="163"/>
        <v>0</v>
      </c>
      <c r="M337" s="246">
        <f t="shared" si="164"/>
        <v>0</v>
      </c>
      <c r="N337" s="121">
        <f t="shared" si="165"/>
        <v>1.06</v>
      </c>
      <c r="O337" s="246">
        <f t="shared" si="166"/>
        <v>0.92500000000000004</v>
      </c>
      <c r="P337" s="121">
        <f t="shared" si="167"/>
        <v>0</v>
      </c>
      <c r="Q337" s="121">
        <f t="shared" si="168"/>
        <v>0</v>
      </c>
      <c r="R337" s="121">
        <f t="shared" si="169"/>
        <v>0.91666666666666663</v>
      </c>
      <c r="S337" s="121" t="str">
        <f t="shared" si="170"/>
        <v/>
      </c>
      <c r="T337" s="121" t="str">
        <f t="shared" si="171"/>
        <v/>
      </c>
      <c r="U337" s="121">
        <f t="shared" si="172"/>
        <v>1.06</v>
      </c>
    </row>
    <row r="338" spans="1:21" x14ac:dyDescent="0.3">
      <c r="A338" s="187">
        <v>44</v>
      </c>
      <c r="B338" s="242">
        <f t="shared" si="173"/>
        <v>46966</v>
      </c>
      <c r="C338" s="243">
        <f t="shared" si="154"/>
        <v>46996</v>
      </c>
      <c r="D338" s="120">
        <f t="shared" si="155"/>
        <v>31</v>
      </c>
      <c r="E338" s="120">
        <f t="shared" si="156"/>
        <v>8</v>
      </c>
      <c r="F338" s="275">
        <f t="shared" si="157"/>
        <v>46981.5</v>
      </c>
      <c r="G338" s="120">
        <f t="shared" si="158"/>
        <v>24343</v>
      </c>
      <c r="H338" s="245">
        <f t="shared" si="159"/>
        <v>1</v>
      </c>
      <c r="I338" s="121">
        <f t="shared" si="160"/>
        <v>1.06</v>
      </c>
      <c r="J338" s="121">
        <f t="shared" si="161"/>
        <v>1.06</v>
      </c>
      <c r="K338" s="120">
        <f t="shared" si="162"/>
        <v>0</v>
      </c>
      <c r="L338" s="120">
        <f t="shared" si="163"/>
        <v>0</v>
      </c>
      <c r="M338" s="246">
        <f t="shared" si="164"/>
        <v>0</v>
      </c>
      <c r="N338" s="121">
        <f t="shared" si="165"/>
        <v>1.06</v>
      </c>
      <c r="O338" s="246">
        <f t="shared" si="166"/>
        <v>0.92500000000000004</v>
      </c>
      <c r="P338" s="121">
        <f t="shared" si="167"/>
        <v>0</v>
      </c>
      <c r="Q338" s="121">
        <f t="shared" si="168"/>
        <v>0</v>
      </c>
      <c r="R338" s="121">
        <f t="shared" si="169"/>
        <v>0.75</v>
      </c>
      <c r="S338" s="121" t="str">
        <f t="shared" si="170"/>
        <v/>
      </c>
      <c r="T338" s="121" t="str">
        <f t="shared" si="171"/>
        <v/>
      </c>
      <c r="U338" s="121">
        <f t="shared" si="172"/>
        <v>1.06</v>
      </c>
    </row>
    <row r="339" spans="1:21" x14ac:dyDescent="0.3">
      <c r="A339" s="187">
        <v>45</v>
      </c>
      <c r="B339" s="242">
        <f t="shared" si="173"/>
        <v>46997</v>
      </c>
      <c r="C339" s="243">
        <f t="shared" si="154"/>
        <v>47026</v>
      </c>
      <c r="D339" s="120">
        <f t="shared" si="155"/>
        <v>30</v>
      </c>
      <c r="E339" s="120">
        <f t="shared" si="156"/>
        <v>9</v>
      </c>
      <c r="F339" s="275">
        <f t="shared" si="157"/>
        <v>47012</v>
      </c>
      <c r="G339" s="120">
        <f t="shared" si="158"/>
        <v>24344</v>
      </c>
      <c r="H339" s="245">
        <f t="shared" si="159"/>
        <v>1</v>
      </c>
      <c r="I339" s="121">
        <f t="shared" si="160"/>
        <v>1.06</v>
      </c>
      <c r="J339" s="121">
        <f t="shared" si="161"/>
        <v>1.06</v>
      </c>
      <c r="K339" s="120">
        <f t="shared" si="162"/>
        <v>0</v>
      </c>
      <c r="L339" s="120">
        <f t="shared" si="163"/>
        <v>0</v>
      </c>
      <c r="M339" s="246">
        <f t="shared" si="164"/>
        <v>0</v>
      </c>
      <c r="N339" s="121">
        <f t="shared" si="165"/>
        <v>1.06</v>
      </c>
      <c r="O339" s="246">
        <f t="shared" si="166"/>
        <v>0.92500000000000004</v>
      </c>
      <c r="P339" s="121">
        <f t="shared" si="167"/>
        <v>0</v>
      </c>
      <c r="Q339" s="121">
        <f t="shared" si="168"/>
        <v>0</v>
      </c>
      <c r="R339" s="121">
        <f t="shared" si="169"/>
        <v>0.58333333333333337</v>
      </c>
      <c r="S339" s="121" t="str">
        <f t="shared" si="170"/>
        <v/>
      </c>
      <c r="T339" s="121" t="str">
        <f t="shared" si="171"/>
        <v/>
      </c>
      <c r="U339" s="121">
        <f t="shared" si="172"/>
        <v>1.06</v>
      </c>
    </row>
    <row r="340" spans="1:21" x14ac:dyDescent="0.3">
      <c r="A340" s="187">
        <v>46</v>
      </c>
      <c r="B340" s="242">
        <f t="shared" si="173"/>
        <v>47027</v>
      </c>
      <c r="C340" s="243">
        <f t="shared" si="154"/>
        <v>47057</v>
      </c>
      <c r="D340" s="120">
        <f t="shared" si="155"/>
        <v>31</v>
      </c>
      <c r="E340" s="120">
        <f t="shared" si="156"/>
        <v>10</v>
      </c>
      <c r="F340" s="275">
        <f t="shared" si="157"/>
        <v>47042.5</v>
      </c>
      <c r="G340" s="120">
        <f t="shared" si="158"/>
        <v>24345</v>
      </c>
      <c r="H340" s="245">
        <f t="shared" si="159"/>
        <v>1</v>
      </c>
      <c r="I340" s="121">
        <f t="shared" si="160"/>
        <v>1.06</v>
      </c>
      <c r="J340" s="121">
        <f t="shared" si="161"/>
        <v>1.06</v>
      </c>
      <c r="K340" s="120">
        <f t="shared" si="162"/>
        <v>0</v>
      </c>
      <c r="L340" s="120">
        <f t="shared" si="163"/>
        <v>0</v>
      </c>
      <c r="M340" s="246">
        <f t="shared" si="164"/>
        <v>0</v>
      </c>
      <c r="N340" s="121">
        <f t="shared" si="165"/>
        <v>1.06</v>
      </c>
      <c r="O340" s="246">
        <f t="shared" si="166"/>
        <v>0.92500000000000004</v>
      </c>
      <c r="P340" s="121">
        <f t="shared" si="167"/>
        <v>0</v>
      </c>
      <c r="Q340" s="121">
        <f t="shared" si="168"/>
        <v>0</v>
      </c>
      <c r="R340" s="121">
        <f t="shared" si="169"/>
        <v>0.41666666666666669</v>
      </c>
      <c r="S340" s="121" t="str">
        <f t="shared" si="170"/>
        <v/>
      </c>
      <c r="T340" s="121" t="str">
        <f t="shared" si="171"/>
        <v/>
      </c>
      <c r="U340" s="121">
        <f t="shared" si="172"/>
        <v>1.06</v>
      </c>
    </row>
    <row r="341" spans="1:21" x14ac:dyDescent="0.3">
      <c r="A341" s="187">
        <v>47</v>
      </c>
      <c r="B341" s="242">
        <f t="shared" si="173"/>
        <v>47058</v>
      </c>
      <c r="C341" s="243">
        <f t="shared" si="154"/>
        <v>47087</v>
      </c>
      <c r="D341" s="120">
        <f t="shared" si="155"/>
        <v>30</v>
      </c>
      <c r="E341" s="120">
        <f t="shared" si="156"/>
        <v>11</v>
      </c>
      <c r="F341" s="275">
        <f t="shared" si="157"/>
        <v>47073</v>
      </c>
      <c r="G341" s="120">
        <f t="shared" si="158"/>
        <v>24346</v>
      </c>
      <c r="H341" s="245">
        <f t="shared" si="159"/>
        <v>1</v>
      </c>
      <c r="I341" s="121">
        <f t="shared" si="160"/>
        <v>1.06</v>
      </c>
      <c r="J341" s="121">
        <f t="shared" si="161"/>
        <v>1.06</v>
      </c>
      <c r="K341" s="120">
        <f t="shared" si="162"/>
        <v>0</v>
      </c>
      <c r="L341" s="120">
        <f t="shared" si="163"/>
        <v>0</v>
      </c>
      <c r="M341" s="246">
        <f t="shared" si="164"/>
        <v>0</v>
      </c>
      <c r="N341" s="121">
        <f t="shared" si="165"/>
        <v>1.06</v>
      </c>
      <c r="O341" s="246">
        <f t="shared" si="166"/>
        <v>0.92500000000000004</v>
      </c>
      <c r="P341" s="121">
        <f t="shared" si="167"/>
        <v>0</v>
      </c>
      <c r="Q341" s="121">
        <f t="shared" si="168"/>
        <v>0</v>
      </c>
      <c r="R341" s="121">
        <f t="shared" si="169"/>
        <v>0.25</v>
      </c>
      <c r="S341" s="121" t="str">
        <f t="shared" si="170"/>
        <v/>
      </c>
      <c r="T341" s="121" t="str">
        <f t="shared" si="171"/>
        <v/>
      </c>
      <c r="U341" s="121">
        <f t="shared" si="172"/>
        <v>1.06</v>
      </c>
    </row>
    <row r="342" spans="1:21" x14ac:dyDescent="0.3">
      <c r="A342" s="187">
        <v>48</v>
      </c>
      <c r="B342" s="242">
        <f t="shared" si="173"/>
        <v>47088</v>
      </c>
      <c r="C342" s="243">
        <f t="shared" si="154"/>
        <v>47118</v>
      </c>
      <c r="D342" s="120">
        <f t="shared" si="155"/>
        <v>31</v>
      </c>
      <c r="E342" s="120">
        <f t="shared" si="156"/>
        <v>12</v>
      </c>
      <c r="F342" s="275">
        <f t="shared" si="157"/>
        <v>47103.5</v>
      </c>
      <c r="G342" s="120">
        <f t="shared" si="158"/>
        <v>24347</v>
      </c>
      <c r="H342" s="245">
        <f t="shared" si="159"/>
        <v>1</v>
      </c>
      <c r="I342" s="121">
        <f t="shared" si="160"/>
        <v>1.06</v>
      </c>
      <c r="J342" s="121">
        <f t="shared" si="161"/>
        <v>1.06</v>
      </c>
      <c r="K342" s="120">
        <f t="shared" si="162"/>
        <v>0</v>
      </c>
      <c r="L342" s="120">
        <f t="shared" si="163"/>
        <v>0</v>
      </c>
      <c r="M342" s="246">
        <f t="shared" si="164"/>
        <v>0</v>
      </c>
      <c r="N342" s="121">
        <f t="shared" si="165"/>
        <v>1.06</v>
      </c>
      <c r="O342" s="246">
        <f t="shared" si="166"/>
        <v>0.92500000000000004</v>
      </c>
      <c r="P342" s="121">
        <f t="shared" si="167"/>
        <v>0</v>
      </c>
      <c r="Q342" s="121">
        <f t="shared" si="168"/>
        <v>0</v>
      </c>
      <c r="R342" s="121">
        <f t="shared" si="169"/>
        <v>8.3333333333333329E-2</v>
      </c>
      <c r="S342" s="121" t="str">
        <f t="shared" si="170"/>
        <v/>
      </c>
      <c r="T342" s="121" t="str">
        <f t="shared" si="171"/>
        <v/>
      </c>
      <c r="U342" s="121">
        <f t="shared" si="172"/>
        <v>1.06</v>
      </c>
    </row>
    <row r="343" spans="1:21" x14ac:dyDescent="0.3">
      <c r="A343" s="6" t="s">
        <v>1651</v>
      </c>
      <c r="B343" s="73">
        <f>EXP(SUMPRODUCT((rl_key=$A$292)*(rl_cons="Y")*rl_ln1p))</f>
        <v>1.06</v>
      </c>
      <c r="C343" s="73">
        <f>SUMPRODUCT($H$295:$H$342,$P$295:$P$342,$U$295:$U$342)/SUMPRODUCT($H$295:$H$342,$P$295:$P$342)</f>
        <v>1.0250000000000001</v>
      </c>
      <c r="D343" s="73">
        <f>SUMPRODUCT($H$295:$H$342,$Q$295:$Q$342,$U$295:$U$342)/SUMPRODUCT($H$295:$H$342,$Q$295:$Q$342)</f>
        <v>1.0600000000000003</v>
      </c>
      <c r="E343" s="73">
        <f>SUMPRODUCT($H$295:$H$342,$R$295:$R$342,$U$295:$U$342)/SUMPRODUCT($H$295:$H$342,$R$295:$R$342)</f>
        <v>1.0600000000000003</v>
      </c>
      <c r="F343" s="224">
        <f>SUMPRODUCT($H$295:$H$342,$Q$295:$Q$342,$O$295:$O$342)/SUMPRODUCT($H$295:$H$342,$Q$295:$Q$342)</f>
        <v>0.91598878555798668</v>
      </c>
      <c r="G343" s="224">
        <f>SUMPRODUCT($H$295:$H$342,$R$295:$R$342,$O$295:$O$342)/SUMPRODUCT($H$295:$H$342,$R$295:$R$342)</f>
        <v>0.92449033552151683</v>
      </c>
      <c r="H343" s="73">
        <f>SUMPRODUCT($H$319:$H$330,$N$319:$N$330/$N$307:$N$318)/SUM($H$319:$H$330)</f>
        <v>1.02</v>
      </c>
      <c r="I343" s="73">
        <f>SUMPRODUCT($H$319:$H$330,$O$319:$O$330/$O$307:$O$318)/SUM($H$319:$H$330)</f>
        <v>1.0132088564102013</v>
      </c>
      <c r="J343" s="73">
        <f>IF($O$292=1,SUMPRODUCT($H$319:$H$330,$N$319:$N$330/$N$307:$N$318*$O$319:$O$330/$O$307:$O$318)/SUM($H$319:$H$330),$H343)</f>
        <v>1.0334741987754994</v>
      </c>
      <c r="K343" s="73">
        <f>SUMPRODUCT($H$295:$H$342,$Q$295:$Q$342,$N$295:$N$342)/SUMPRODUCT($H$295:$H$342,$Q$295:$Q$342)</f>
        <v>1.0600000000000003</v>
      </c>
      <c r="L343" s="73">
        <f>SUMPRODUCT($H$295:$H$342,$R$295:$R$342,$N$295:$N$342)/SUMPRODUCT($H$295:$H$342,$R$295:$R$342)</f>
        <v>1.0600000000000003</v>
      </c>
    </row>
    <row r="346" spans="1:21" x14ac:dyDescent="0.3">
      <c r="A346" s="6" t="str">
        <f>INDEX(lr_key,6)</f>
        <v>ABD|IA</v>
      </c>
      <c r="B346" s="6" t="str">
        <f>INDEX(lr_state,6)</f>
        <v>IA</v>
      </c>
      <c r="C346" s="75">
        <f>nr_TermMonths</f>
        <v>6</v>
      </c>
      <c r="D346" s="75">
        <f>IF(COUNTIF(se_state,$B346)=0,0,MATCH($B346,se_state,0))</f>
        <v>0</v>
      </c>
      <c r="E346" s="70">
        <f>IF($D346=0,0,INDEX(se_sum,$D346))</f>
        <v>0</v>
      </c>
      <c r="F346" s="224">
        <f>IF(N(INDEX(lr_mind,6))=0,1,INDEX(lr_mind,6))</f>
        <v>0.92</v>
      </c>
      <c r="G346" s="224">
        <f>IF(N(INDEX(lr_m0,6))=0,1,INDEX(lr_m0,6))</f>
        <v>0.91</v>
      </c>
      <c r="H346" s="74">
        <f>IF(N(INDEX(lr_m0asof,6))=0,DATE(nr_PlanYear-1,10,1),INDEX(lr_m0asof,6))</f>
        <v>46295</v>
      </c>
      <c r="I346" s="224">
        <f>IF(N(INDEX(lr_m1,6))=0,1,INDEX(lr_m1,6))</f>
        <v>0.90500000000000003</v>
      </c>
      <c r="J346" s="224">
        <f>INDEX(lr_mprior,6)</f>
        <v>0.9</v>
      </c>
      <c r="K346" s="224">
        <f>INDEX(lr_m2,6)</f>
        <v>0.91</v>
      </c>
      <c r="L346" s="6" t="b">
        <f>NOT(ISBLANK(INDEX(lr_netp,6)))</f>
        <v>0</v>
      </c>
      <c r="M346" s="72">
        <f>N(INDEX(lr_netp,6))</f>
        <v>0</v>
      </c>
      <c r="N346" s="72">
        <f>IF(ISBLANK(INDEX(lr_netp1,6)),$M$346,N(INDEX(lr_netp1,6)))</f>
        <v>0</v>
      </c>
      <c r="O346" s="75">
        <f>IF(AND(nr_ModAdjMaster="ON",INDEX(lr_modadj,6)="ON"),1,0)</f>
        <v>1</v>
      </c>
    </row>
    <row r="347" spans="1:21" x14ac:dyDescent="0.3">
      <c r="A347" s="6">
        <f>EDATE($H$346,-12)+1</f>
        <v>45931</v>
      </c>
      <c r="B347" s="6">
        <f>$H$346+1</f>
        <v>46296</v>
      </c>
      <c r="C347" s="6">
        <f>DATE(nr_PlanYear,12,31)+1</f>
        <v>46753</v>
      </c>
      <c r="D347" s="6">
        <f>DATE(nr_PlanYear+1,12,31)+1</f>
        <v>47119</v>
      </c>
      <c r="E347" s="6">
        <f>IF(N($J$346)=0,$F$347-($G$347-$F$347)/($C$347-$B$347)*($B$347-$A$347),$J$346)</f>
        <v>0.9</v>
      </c>
      <c r="F347" s="6">
        <f>$G$346</f>
        <v>0.91</v>
      </c>
      <c r="G347" s="6">
        <f>$I$346</f>
        <v>0.90500000000000003</v>
      </c>
      <c r="H347" s="6">
        <f>IF(N($K$346)=0,$I$346,$K$346)</f>
        <v>0.91</v>
      </c>
      <c r="I347" s="6">
        <f>($F$347-$E$347)/($B$347-$A$347)</f>
        <v>2.7397260273972627E-5</v>
      </c>
      <c r="J347" s="6">
        <f>($G$347-$F$347)/($C$347-$B$347)</f>
        <v>-1.0940919037199135E-5</v>
      </c>
      <c r="K347" s="6">
        <f>($H$347-$G$347)/($D$347-$C$347)</f>
        <v>1.3661202185792362E-5</v>
      </c>
    </row>
    <row r="348" spans="1:21" ht="36" x14ac:dyDescent="0.3">
      <c r="A348" s="58" t="s">
        <v>390</v>
      </c>
      <c r="B348" s="58" t="s">
        <v>449</v>
      </c>
      <c r="C348" s="58" t="s">
        <v>685</v>
      </c>
      <c r="D348" s="58" t="s">
        <v>686</v>
      </c>
      <c r="E348" s="58" t="s">
        <v>687</v>
      </c>
      <c r="F348" s="58" t="s">
        <v>688</v>
      </c>
      <c r="G348" s="58" t="s">
        <v>689</v>
      </c>
      <c r="H348" s="58" t="s">
        <v>452</v>
      </c>
      <c r="I348" s="58" t="s">
        <v>690</v>
      </c>
      <c r="J348" s="58" t="s">
        <v>691</v>
      </c>
      <c r="K348" s="58" t="s">
        <v>692</v>
      </c>
      <c r="L348" s="58" t="s">
        <v>693</v>
      </c>
      <c r="M348" s="58" t="s">
        <v>694</v>
      </c>
      <c r="N348" s="58" t="s">
        <v>695</v>
      </c>
      <c r="O348" s="58" t="s">
        <v>696</v>
      </c>
      <c r="P348" s="58" t="s">
        <v>697</v>
      </c>
      <c r="Q348" s="58" t="s">
        <v>698</v>
      </c>
      <c r="R348" s="58" t="s">
        <v>699</v>
      </c>
      <c r="S348" s="58" t="s">
        <v>700</v>
      </c>
      <c r="T348" s="58" t="s">
        <v>701</v>
      </c>
      <c r="U348" s="58" t="s">
        <v>702</v>
      </c>
    </row>
    <row r="349" spans="1:21" x14ac:dyDescent="0.3">
      <c r="A349" s="187">
        <v>1</v>
      </c>
      <c r="B349" s="242">
        <f>DATE(nr_PlanYear-2,1,1)</f>
        <v>45658</v>
      </c>
      <c r="C349" s="243">
        <f t="shared" ref="C349:C396" si="174">EOMONTH($B349,0)</f>
        <v>45688</v>
      </c>
      <c r="D349" s="120">
        <f t="shared" ref="D349:D396" si="175">$C349-$B349+1</f>
        <v>31</v>
      </c>
      <c r="E349" s="120">
        <f t="shared" ref="E349:E396" si="176">MONTH($B349)</f>
        <v>1</v>
      </c>
      <c r="F349" s="275">
        <f t="shared" ref="F349:F396" si="177">($B349+$C349+1)/2</f>
        <v>45673.5</v>
      </c>
      <c r="G349" s="120">
        <f t="shared" ref="G349:G396" si="178">YEAR($B349)*12+MONTH($B349)-1</f>
        <v>24300</v>
      </c>
      <c r="H349" s="245">
        <f t="shared" ref="H349:H396" si="179">IF(OR(nr_SeasonOn="OFF",$D$346=0,$E$346=0),1,12*INDEX(se_block,$D$346,$E349)/$E$346)</f>
        <v>1</v>
      </c>
      <c r="I349" s="121">
        <f t="shared" ref="I349:I396" si="180">EXP(SUMPRODUCT((rl_eff&lt;$B349)*(rl_key=$A$346)*rl_ln1p))</f>
        <v>1</v>
      </c>
      <c r="J349" s="121">
        <f t="shared" ref="J349:J396" si="181">EXP(SUMPRODUCT((rl_eff&lt;=$C349)*(rl_key=$A$346)*rl_ln1p))</f>
        <v>1</v>
      </c>
      <c r="K349" s="120">
        <f t="shared" ref="K349:K396" si="182">COUNTIFS(rl_key,$A$346,rl_eff,"&gt;="&amp;$B349,rl_eff,"&lt;="&amp;$C349)</f>
        <v>0</v>
      </c>
      <c r="L349" s="120">
        <f t="shared" ref="L349:L396" si="183">SUMIFS(rl_daysafter,rl_key,$A$346,rl_effmonth,$B349,rl_first,1)</f>
        <v>0</v>
      </c>
      <c r="M349" s="246">
        <f t="shared" ref="M349:M396" si="184">IF($K349=0,0,MIN(1,$L349/$D349))</f>
        <v>0</v>
      </c>
      <c r="N349" s="121">
        <f t="shared" ref="N349:N396" si="185">IF($K349=0,$J349,(1-$M349)*$I349+$M349*$J349)</f>
        <v>1</v>
      </c>
      <c r="O349" s="246">
        <f t="shared" ref="O349:O396" si="186">IF($F349&lt;$B$347,$E$347+$I$347*($F349-$A$347),IF($F349&lt;$C$347,$F$347+$J$347*($F349-$B$347),$G$347+$K$347*($F349-$C$347)))</f>
        <v>0.89294520547945211</v>
      </c>
      <c r="P349" s="121">
        <f t="shared" ref="P349:P396" si="187">MIN(1,MAX(0,(nr_MEndPm1-$G349+0.5)/$C$346))-MIN(1,MAX(0,(nr_MStartPm1-1-$G349+0.5)/$C$346))</f>
        <v>0</v>
      </c>
      <c r="Q349" s="121">
        <f t="shared" ref="Q349:Q396" si="188">MIN(1,MAX(0,(nr_MEndP-$G349+0.5)/$C$346))-MIN(1,MAX(0,(nr_MStartP-1-$G349+0.5)/$C$346))</f>
        <v>0</v>
      </c>
      <c r="R349" s="121">
        <f t="shared" ref="R349:R396" si="189">MIN(1,MAX(0,(nr_MEndP1-$G349+0.5)/$C$346))-MIN(1,MAX(0,(nr_MStartP1-1-$G349+0.5)/$C$346))</f>
        <v>0</v>
      </c>
      <c r="S349" s="121" t="str">
        <f t="shared" ref="S349:S396" si="190">IF($L$346,$N349*IF($O$346=1,$O349/$F$346,1),"")</f>
        <v/>
      </c>
      <c r="T349" s="121" t="str">
        <f t="shared" ref="T349:T396" si="191">IF(NOT($L$346),"",IF($G349&lt;nr_MStartP,$S349,$T337*(1+IF($G349&lt;nr_MStartP1,$M$346,$N$346))))</f>
        <v/>
      </c>
      <c r="U349" s="121">
        <f t="shared" ref="U349:U396" si="192">IF($L$346,$T349,$N349)</f>
        <v>1</v>
      </c>
    </row>
    <row r="350" spans="1:21" x14ac:dyDescent="0.3">
      <c r="A350" s="187">
        <v>2</v>
      </c>
      <c r="B350" s="242">
        <f t="shared" ref="B350:B396" si="193">EDATE($B349,1)</f>
        <v>45689</v>
      </c>
      <c r="C350" s="243">
        <f t="shared" si="174"/>
        <v>45716</v>
      </c>
      <c r="D350" s="120">
        <f t="shared" si="175"/>
        <v>28</v>
      </c>
      <c r="E350" s="120">
        <f t="shared" si="176"/>
        <v>2</v>
      </c>
      <c r="F350" s="275">
        <f t="shared" si="177"/>
        <v>45703</v>
      </c>
      <c r="G350" s="120">
        <f t="shared" si="178"/>
        <v>24301</v>
      </c>
      <c r="H350" s="245">
        <f t="shared" si="179"/>
        <v>1</v>
      </c>
      <c r="I350" s="121">
        <f t="shared" si="180"/>
        <v>1</v>
      </c>
      <c r="J350" s="121">
        <f t="shared" si="181"/>
        <v>1</v>
      </c>
      <c r="K350" s="120">
        <f t="shared" si="182"/>
        <v>0</v>
      </c>
      <c r="L350" s="120">
        <f t="shared" si="183"/>
        <v>0</v>
      </c>
      <c r="M350" s="246">
        <f t="shared" si="184"/>
        <v>0</v>
      </c>
      <c r="N350" s="121">
        <f t="shared" si="185"/>
        <v>1</v>
      </c>
      <c r="O350" s="246">
        <f t="shared" si="186"/>
        <v>0.89375342465753427</v>
      </c>
      <c r="P350" s="121">
        <f t="shared" si="187"/>
        <v>0</v>
      </c>
      <c r="Q350" s="121">
        <f t="shared" si="188"/>
        <v>0</v>
      </c>
      <c r="R350" s="121">
        <f t="shared" si="189"/>
        <v>0</v>
      </c>
      <c r="S350" s="121" t="str">
        <f t="shared" si="190"/>
        <v/>
      </c>
      <c r="T350" s="121" t="str">
        <f t="shared" si="191"/>
        <v/>
      </c>
      <c r="U350" s="121">
        <f t="shared" si="192"/>
        <v>1</v>
      </c>
    </row>
    <row r="351" spans="1:21" x14ac:dyDescent="0.3">
      <c r="A351" s="187">
        <v>3</v>
      </c>
      <c r="B351" s="242">
        <f t="shared" si="193"/>
        <v>45717</v>
      </c>
      <c r="C351" s="243">
        <f t="shared" si="174"/>
        <v>45747</v>
      </c>
      <c r="D351" s="120">
        <f t="shared" si="175"/>
        <v>31</v>
      </c>
      <c r="E351" s="120">
        <f t="shared" si="176"/>
        <v>3</v>
      </c>
      <c r="F351" s="275">
        <f t="shared" si="177"/>
        <v>45732.5</v>
      </c>
      <c r="G351" s="120">
        <f t="shared" si="178"/>
        <v>24302</v>
      </c>
      <c r="H351" s="245">
        <f t="shared" si="179"/>
        <v>1</v>
      </c>
      <c r="I351" s="121">
        <f t="shared" si="180"/>
        <v>1</v>
      </c>
      <c r="J351" s="121">
        <f t="shared" si="181"/>
        <v>1</v>
      </c>
      <c r="K351" s="120">
        <f t="shared" si="182"/>
        <v>0</v>
      </c>
      <c r="L351" s="120">
        <f t="shared" si="183"/>
        <v>0</v>
      </c>
      <c r="M351" s="246">
        <f t="shared" si="184"/>
        <v>0</v>
      </c>
      <c r="N351" s="121">
        <f t="shared" si="185"/>
        <v>1</v>
      </c>
      <c r="O351" s="246">
        <f t="shared" si="186"/>
        <v>0.89456164383561643</v>
      </c>
      <c r="P351" s="121">
        <f t="shared" si="187"/>
        <v>0</v>
      </c>
      <c r="Q351" s="121">
        <f t="shared" si="188"/>
        <v>0</v>
      </c>
      <c r="R351" s="121">
        <f t="shared" si="189"/>
        <v>0</v>
      </c>
      <c r="S351" s="121" t="str">
        <f t="shared" si="190"/>
        <v/>
      </c>
      <c r="T351" s="121" t="str">
        <f t="shared" si="191"/>
        <v/>
      </c>
      <c r="U351" s="121">
        <f t="shared" si="192"/>
        <v>1</v>
      </c>
    </row>
    <row r="352" spans="1:21" x14ac:dyDescent="0.3">
      <c r="A352" s="187">
        <v>4</v>
      </c>
      <c r="B352" s="242">
        <f t="shared" si="193"/>
        <v>45748</v>
      </c>
      <c r="C352" s="243">
        <f t="shared" si="174"/>
        <v>45777</v>
      </c>
      <c r="D352" s="120">
        <f t="shared" si="175"/>
        <v>30</v>
      </c>
      <c r="E352" s="120">
        <f t="shared" si="176"/>
        <v>4</v>
      </c>
      <c r="F352" s="275">
        <f t="shared" si="177"/>
        <v>45763</v>
      </c>
      <c r="G352" s="120">
        <f t="shared" si="178"/>
        <v>24303</v>
      </c>
      <c r="H352" s="245">
        <f t="shared" si="179"/>
        <v>1</v>
      </c>
      <c r="I352" s="121">
        <f t="shared" si="180"/>
        <v>1</v>
      </c>
      <c r="J352" s="121">
        <f t="shared" si="181"/>
        <v>1</v>
      </c>
      <c r="K352" s="120">
        <f t="shared" si="182"/>
        <v>0</v>
      </c>
      <c r="L352" s="120">
        <f t="shared" si="183"/>
        <v>0</v>
      </c>
      <c r="M352" s="246">
        <f t="shared" si="184"/>
        <v>0</v>
      </c>
      <c r="N352" s="121">
        <f t="shared" si="185"/>
        <v>1</v>
      </c>
      <c r="O352" s="246">
        <f t="shared" si="186"/>
        <v>0.8953972602739726</v>
      </c>
      <c r="P352" s="121">
        <f t="shared" si="187"/>
        <v>0</v>
      </c>
      <c r="Q352" s="121">
        <f t="shared" si="188"/>
        <v>0</v>
      </c>
      <c r="R352" s="121">
        <f t="shared" si="189"/>
        <v>0</v>
      </c>
      <c r="S352" s="121" t="str">
        <f t="shared" si="190"/>
        <v/>
      </c>
      <c r="T352" s="121" t="str">
        <f t="shared" si="191"/>
        <v/>
      </c>
      <c r="U352" s="121">
        <f t="shared" si="192"/>
        <v>1</v>
      </c>
    </row>
    <row r="353" spans="1:21" x14ac:dyDescent="0.3">
      <c r="A353" s="187">
        <v>5</v>
      </c>
      <c r="B353" s="242">
        <f t="shared" si="193"/>
        <v>45778</v>
      </c>
      <c r="C353" s="243">
        <f t="shared" si="174"/>
        <v>45808</v>
      </c>
      <c r="D353" s="120">
        <f t="shared" si="175"/>
        <v>31</v>
      </c>
      <c r="E353" s="120">
        <f t="shared" si="176"/>
        <v>5</v>
      </c>
      <c r="F353" s="275">
        <f t="shared" si="177"/>
        <v>45793.5</v>
      </c>
      <c r="G353" s="120">
        <f t="shared" si="178"/>
        <v>24304</v>
      </c>
      <c r="H353" s="245">
        <f t="shared" si="179"/>
        <v>1</v>
      </c>
      <c r="I353" s="121">
        <f t="shared" si="180"/>
        <v>1</v>
      </c>
      <c r="J353" s="121">
        <f t="shared" si="181"/>
        <v>1</v>
      </c>
      <c r="K353" s="120">
        <f t="shared" si="182"/>
        <v>0</v>
      </c>
      <c r="L353" s="120">
        <f t="shared" si="183"/>
        <v>0</v>
      </c>
      <c r="M353" s="246">
        <f t="shared" si="184"/>
        <v>0</v>
      </c>
      <c r="N353" s="121">
        <f t="shared" si="185"/>
        <v>1</v>
      </c>
      <c r="O353" s="246">
        <f t="shared" si="186"/>
        <v>0.89623287671232876</v>
      </c>
      <c r="P353" s="121">
        <f t="shared" si="187"/>
        <v>0</v>
      </c>
      <c r="Q353" s="121">
        <f t="shared" si="188"/>
        <v>0</v>
      </c>
      <c r="R353" s="121">
        <f t="shared" si="189"/>
        <v>0</v>
      </c>
      <c r="S353" s="121" t="str">
        <f t="shared" si="190"/>
        <v/>
      </c>
      <c r="T353" s="121" t="str">
        <f t="shared" si="191"/>
        <v/>
      </c>
      <c r="U353" s="121">
        <f t="shared" si="192"/>
        <v>1</v>
      </c>
    </row>
    <row r="354" spans="1:21" x14ac:dyDescent="0.3">
      <c r="A354" s="187">
        <v>6</v>
      </c>
      <c r="B354" s="242">
        <f t="shared" si="193"/>
        <v>45809</v>
      </c>
      <c r="C354" s="243">
        <f t="shared" si="174"/>
        <v>45838</v>
      </c>
      <c r="D354" s="120">
        <f t="shared" si="175"/>
        <v>30</v>
      </c>
      <c r="E354" s="120">
        <f t="shared" si="176"/>
        <v>6</v>
      </c>
      <c r="F354" s="275">
        <f t="shared" si="177"/>
        <v>45824</v>
      </c>
      <c r="G354" s="120">
        <f t="shared" si="178"/>
        <v>24305</v>
      </c>
      <c r="H354" s="245">
        <f t="shared" si="179"/>
        <v>1</v>
      </c>
      <c r="I354" s="121">
        <f t="shared" si="180"/>
        <v>1</v>
      </c>
      <c r="J354" s="121">
        <f t="shared" si="181"/>
        <v>1</v>
      </c>
      <c r="K354" s="120">
        <f t="shared" si="182"/>
        <v>0</v>
      </c>
      <c r="L354" s="120">
        <f t="shared" si="183"/>
        <v>0</v>
      </c>
      <c r="M354" s="246">
        <f t="shared" si="184"/>
        <v>0</v>
      </c>
      <c r="N354" s="121">
        <f t="shared" si="185"/>
        <v>1</v>
      </c>
      <c r="O354" s="246">
        <f t="shared" si="186"/>
        <v>0.89706849315068493</v>
      </c>
      <c r="P354" s="121">
        <f t="shared" si="187"/>
        <v>0</v>
      </c>
      <c r="Q354" s="121">
        <f t="shared" si="188"/>
        <v>0</v>
      </c>
      <c r="R354" s="121">
        <f t="shared" si="189"/>
        <v>0</v>
      </c>
      <c r="S354" s="121" t="str">
        <f t="shared" si="190"/>
        <v/>
      </c>
      <c r="T354" s="121" t="str">
        <f t="shared" si="191"/>
        <v/>
      </c>
      <c r="U354" s="121">
        <f t="shared" si="192"/>
        <v>1</v>
      </c>
    </row>
    <row r="355" spans="1:21" x14ac:dyDescent="0.3">
      <c r="A355" s="187">
        <v>7</v>
      </c>
      <c r="B355" s="242">
        <f t="shared" si="193"/>
        <v>45839</v>
      </c>
      <c r="C355" s="243">
        <f t="shared" si="174"/>
        <v>45869</v>
      </c>
      <c r="D355" s="120">
        <f t="shared" si="175"/>
        <v>31</v>
      </c>
      <c r="E355" s="120">
        <f t="shared" si="176"/>
        <v>7</v>
      </c>
      <c r="F355" s="275">
        <f t="shared" si="177"/>
        <v>45854.5</v>
      </c>
      <c r="G355" s="120">
        <f t="shared" si="178"/>
        <v>24306</v>
      </c>
      <c r="H355" s="245">
        <f t="shared" si="179"/>
        <v>1</v>
      </c>
      <c r="I355" s="121">
        <f t="shared" si="180"/>
        <v>1</v>
      </c>
      <c r="J355" s="121">
        <f t="shared" si="181"/>
        <v>1</v>
      </c>
      <c r="K355" s="120">
        <f t="shared" si="182"/>
        <v>0</v>
      </c>
      <c r="L355" s="120">
        <f t="shared" si="183"/>
        <v>0</v>
      </c>
      <c r="M355" s="246">
        <f t="shared" si="184"/>
        <v>0</v>
      </c>
      <c r="N355" s="121">
        <f t="shared" si="185"/>
        <v>1</v>
      </c>
      <c r="O355" s="246">
        <f t="shared" si="186"/>
        <v>0.8979041095890411</v>
      </c>
      <c r="P355" s="121">
        <f t="shared" si="187"/>
        <v>8.333333333333337E-2</v>
      </c>
      <c r="Q355" s="121">
        <f t="shared" si="188"/>
        <v>0</v>
      </c>
      <c r="R355" s="121">
        <f t="shared" si="189"/>
        <v>0</v>
      </c>
      <c r="S355" s="121" t="str">
        <f t="shared" si="190"/>
        <v/>
      </c>
      <c r="T355" s="121" t="str">
        <f t="shared" si="191"/>
        <v/>
      </c>
      <c r="U355" s="121">
        <f t="shared" si="192"/>
        <v>1</v>
      </c>
    </row>
    <row r="356" spans="1:21" x14ac:dyDescent="0.3">
      <c r="A356" s="187">
        <v>8</v>
      </c>
      <c r="B356" s="242">
        <f t="shared" si="193"/>
        <v>45870</v>
      </c>
      <c r="C356" s="243">
        <f t="shared" si="174"/>
        <v>45900</v>
      </c>
      <c r="D356" s="120">
        <f t="shared" si="175"/>
        <v>31</v>
      </c>
      <c r="E356" s="120">
        <f t="shared" si="176"/>
        <v>8</v>
      </c>
      <c r="F356" s="275">
        <f t="shared" si="177"/>
        <v>45885.5</v>
      </c>
      <c r="G356" s="120">
        <f t="shared" si="178"/>
        <v>24307</v>
      </c>
      <c r="H356" s="245">
        <f t="shared" si="179"/>
        <v>1</v>
      </c>
      <c r="I356" s="121">
        <f t="shared" si="180"/>
        <v>1</v>
      </c>
      <c r="J356" s="121">
        <f t="shared" si="181"/>
        <v>1</v>
      </c>
      <c r="K356" s="120">
        <f t="shared" si="182"/>
        <v>0</v>
      </c>
      <c r="L356" s="120">
        <f t="shared" si="183"/>
        <v>0</v>
      </c>
      <c r="M356" s="246">
        <f t="shared" si="184"/>
        <v>0</v>
      </c>
      <c r="N356" s="121">
        <f t="shared" si="185"/>
        <v>1</v>
      </c>
      <c r="O356" s="246">
        <f t="shared" si="186"/>
        <v>0.89875342465753427</v>
      </c>
      <c r="P356" s="121">
        <f t="shared" si="187"/>
        <v>0.25</v>
      </c>
      <c r="Q356" s="121">
        <f t="shared" si="188"/>
        <v>0</v>
      </c>
      <c r="R356" s="121">
        <f t="shared" si="189"/>
        <v>0</v>
      </c>
      <c r="S356" s="121" t="str">
        <f t="shared" si="190"/>
        <v/>
      </c>
      <c r="T356" s="121" t="str">
        <f t="shared" si="191"/>
        <v/>
      </c>
      <c r="U356" s="121">
        <f t="shared" si="192"/>
        <v>1</v>
      </c>
    </row>
    <row r="357" spans="1:21" x14ac:dyDescent="0.3">
      <c r="A357" s="187">
        <v>9</v>
      </c>
      <c r="B357" s="242">
        <f t="shared" si="193"/>
        <v>45901</v>
      </c>
      <c r="C357" s="243">
        <f t="shared" si="174"/>
        <v>45930</v>
      </c>
      <c r="D357" s="120">
        <f t="shared" si="175"/>
        <v>30</v>
      </c>
      <c r="E357" s="120">
        <f t="shared" si="176"/>
        <v>9</v>
      </c>
      <c r="F357" s="275">
        <f t="shared" si="177"/>
        <v>45916</v>
      </c>
      <c r="G357" s="120">
        <f t="shared" si="178"/>
        <v>24308</v>
      </c>
      <c r="H357" s="245">
        <f t="shared" si="179"/>
        <v>1</v>
      </c>
      <c r="I357" s="121">
        <f t="shared" si="180"/>
        <v>1</v>
      </c>
      <c r="J357" s="121">
        <f t="shared" si="181"/>
        <v>1</v>
      </c>
      <c r="K357" s="120">
        <f t="shared" si="182"/>
        <v>0</v>
      </c>
      <c r="L357" s="120">
        <f t="shared" si="183"/>
        <v>0</v>
      </c>
      <c r="M357" s="246">
        <f t="shared" si="184"/>
        <v>0</v>
      </c>
      <c r="N357" s="121">
        <f t="shared" si="185"/>
        <v>1</v>
      </c>
      <c r="O357" s="246">
        <f t="shared" si="186"/>
        <v>0.89958904109589044</v>
      </c>
      <c r="P357" s="121">
        <f t="shared" si="187"/>
        <v>0.41666666666666663</v>
      </c>
      <c r="Q357" s="121">
        <f t="shared" si="188"/>
        <v>0</v>
      </c>
      <c r="R357" s="121">
        <f t="shared" si="189"/>
        <v>0</v>
      </c>
      <c r="S357" s="121" t="str">
        <f t="shared" si="190"/>
        <v/>
      </c>
      <c r="T357" s="121" t="str">
        <f t="shared" si="191"/>
        <v/>
      </c>
      <c r="U357" s="121">
        <f t="shared" si="192"/>
        <v>1</v>
      </c>
    </row>
    <row r="358" spans="1:21" x14ac:dyDescent="0.3">
      <c r="A358" s="187">
        <v>10</v>
      </c>
      <c r="B358" s="242">
        <f t="shared" si="193"/>
        <v>45931</v>
      </c>
      <c r="C358" s="243">
        <f t="shared" si="174"/>
        <v>45961</v>
      </c>
      <c r="D358" s="120">
        <f t="shared" si="175"/>
        <v>31</v>
      </c>
      <c r="E358" s="120">
        <f t="shared" si="176"/>
        <v>10</v>
      </c>
      <c r="F358" s="275">
        <f t="shared" si="177"/>
        <v>45946.5</v>
      </c>
      <c r="G358" s="120">
        <f t="shared" si="178"/>
        <v>24309</v>
      </c>
      <c r="H358" s="245">
        <f t="shared" si="179"/>
        <v>1</v>
      </c>
      <c r="I358" s="121">
        <f t="shared" si="180"/>
        <v>1</v>
      </c>
      <c r="J358" s="121">
        <f t="shared" si="181"/>
        <v>1</v>
      </c>
      <c r="K358" s="120">
        <f t="shared" si="182"/>
        <v>0</v>
      </c>
      <c r="L358" s="120">
        <f t="shared" si="183"/>
        <v>0</v>
      </c>
      <c r="M358" s="246">
        <f t="shared" si="184"/>
        <v>0</v>
      </c>
      <c r="N358" s="121">
        <f t="shared" si="185"/>
        <v>1</v>
      </c>
      <c r="O358" s="246">
        <f t="shared" si="186"/>
        <v>0.90042465753424661</v>
      </c>
      <c r="P358" s="121">
        <f t="shared" si="187"/>
        <v>0.58333333333333326</v>
      </c>
      <c r="Q358" s="121">
        <f t="shared" si="188"/>
        <v>0</v>
      </c>
      <c r="R358" s="121">
        <f t="shared" si="189"/>
        <v>0</v>
      </c>
      <c r="S358" s="121" t="str">
        <f t="shared" si="190"/>
        <v/>
      </c>
      <c r="T358" s="121" t="str">
        <f t="shared" si="191"/>
        <v/>
      </c>
      <c r="U358" s="121">
        <f t="shared" si="192"/>
        <v>1</v>
      </c>
    </row>
    <row r="359" spans="1:21" x14ac:dyDescent="0.3">
      <c r="A359" s="187">
        <v>11</v>
      </c>
      <c r="B359" s="242">
        <f t="shared" si="193"/>
        <v>45962</v>
      </c>
      <c r="C359" s="243">
        <f t="shared" si="174"/>
        <v>45991</v>
      </c>
      <c r="D359" s="120">
        <f t="shared" si="175"/>
        <v>30</v>
      </c>
      <c r="E359" s="120">
        <f t="shared" si="176"/>
        <v>11</v>
      </c>
      <c r="F359" s="275">
        <f t="shared" si="177"/>
        <v>45977</v>
      </c>
      <c r="G359" s="120">
        <f t="shared" si="178"/>
        <v>24310</v>
      </c>
      <c r="H359" s="245">
        <f t="shared" si="179"/>
        <v>1</v>
      </c>
      <c r="I359" s="121">
        <f t="shared" si="180"/>
        <v>1</v>
      </c>
      <c r="J359" s="121">
        <f t="shared" si="181"/>
        <v>1</v>
      </c>
      <c r="K359" s="120">
        <f t="shared" si="182"/>
        <v>0</v>
      </c>
      <c r="L359" s="120">
        <f t="shared" si="183"/>
        <v>0</v>
      </c>
      <c r="M359" s="246">
        <f t="shared" si="184"/>
        <v>0</v>
      </c>
      <c r="N359" s="121">
        <f t="shared" si="185"/>
        <v>1</v>
      </c>
      <c r="O359" s="246">
        <f t="shared" si="186"/>
        <v>0.90126027397260278</v>
      </c>
      <c r="P359" s="121">
        <f t="shared" si="187"/>
        <v>0.75</v>
      </c>
      <c r="Q359" s="121">
        <f t="shared" si="188"/>
        <v>0</v>
      </c>
      <c r="R359" s="121">
        <f t="shared" si="189"/>
        <v>0</v>
      </c>
      <c r="S359" s="121" t="str">
        <f t="shared" si="190"/>
        <v/>
      </c>
      <c r="T359" s="121" t="str">
        <f t="shared" si="191"/>
        <v/>
      </c>
      <c r="U359" s="121">
        <f t="shared" si="192"/>
        <v>1</v>
      </c>
    </row>
    <row r="360" spans="1:21" x14ac:dyDescent="0.3">
      <c r="A360" s="187">
        <v>12</v>
      </c>
      <c r="B360" s="242">
        <f t="shared" si="193"/>
        <v>45992</v>
      </c>
      <c r="C360" s="243">
        <f t="shared" si="174"/>
        <v>46022</v>
      </c>
      <c r="D360" s="120">
        <f t="shared" si="175"/>
        <v>31</v>
      </c>
      <c r="E360" s="120">
        <f t="shared" si="176"/>
        <v>12</v>
      </c>
      <c r="F360" s="275">
        <f t="shared" si="177"/>
        <v>46007.5</v>
      </c>
      <c r="G360" s="120">
        <f t="shared" si="178"/>
        <v>24311</v>
      </c>
      <c r="H360" s="245">
        <f t="shared" si="179"/>
        <v>1</v>
      </c>
      <c r="I360" s="121">
        <f t="shared" si="180"/>
        <v>1</v>
      </c>
      <c r="J360" s="121">
        <f t="shared" si="181"/>
        <v>1</v>
      </c>
      <c r="K360" s="120">
        <f t="shared" si="182"/>
        <v>0</v>
      </c>
      <c r="L360" s="120">
        <f t="shared" si="183"/>
        <v>0</v>
      </c>
      <c r="M360" s="246">
        <f t="shared" si="184"/>
        <v>0</v>
      </c>
      <c r="N360" s="121">
        <f t="shared" si="185"/>
        <v>1</v>
      </c>
      <c r="O360" s="246">
        <f t="shared" si="186"/>
        <v>0.90209589041095894</v>
      </c>
      <c r="P360" s="121">
        <f t="shared" si="187"/>
        <v>0.91666666666666663</v>
      </c>
      <c r="Q360" s="121">
        <f t="shared" si="188"/>
        <v>0</v>
      </c>
      <c r="R360" s="121">
        <f t="shared" si="189"/>
        <v>0</v>
      </c>
      <c r="S360" s="121" t="str">
        <f t="shared" si="190"/>
        <v/>
      </c>
      <c r="T360" s="121" t="str">
        <f t="shared" si="191"/>
        <v/>
      </c>
      <c r="U360" s="121">
        <f t="shared" si="192"/>
        <v>1</v>
      </c>
    </row>
    <row r="361" spans="1:21" x14ac:dyDescent="0.3">
      <c r="A361" s="187">
        <v>13</v>
      </c>
      <c r="B361" s="242">
        <f t="shared" si="193"/>
        <v>46023</v>
      </c>
      <c r="C361" s="243">
        <f t="shared" si="174"/>
        <v>46053</v>
      </c>
      <c r="D361" s="120">
        <f t="shared" si="175"/>
        <v>31</v>
      </c>
      <c r="E361" s="120">
        <f t="shared" si="176"/>
        <v>1</v>
      </c>
      <c r="F361" s="275">
        <f t="shared" si="177"/>
        <v>46038.5</v>
      </c>
      <c r="G361" s="120">
        <f t="shared" si="178"/>
        <v>24312</v>
      </c>
      <c r="H361" s="245">
        <f t="shared" si="179"/>
        <v>1</v>
      </c>
      <c r="I361" s="121">
        <f t="shared" si="180"/>
        <v>1</v>
      </c>
      <c r="J361" s="121">
        <f t="shared" si="181"/>
        <v>1</v>
      </c>
      <c r="K361" s="120">
        <f t="shared" si="182"/>
        <v>0</v>
      </c>
      <c r="L361" s="120">
        <f t="shared" si="183"/>
        <v>0</v>
      </c>
      <c r="M361" s="246">
        <f t="shared" si="184"/>
        <v>0</v>
      </c>
      <c r="N361" s="121">
        <f t="shared" si="185"/>
        <v>1</v>
      </c>
      <c r="O361" s="246">
        <f t="shared" si="186"/>
        <v>0.90294520547945212</v>
      </c>
      <c r="P361" s="121">
        <f t="shared" si="187"/>
        <v>1</v>
      </c>
      <c r="Q361" s="121">
        <f t="shared" si="188"/>
        <v>0</v>
      </c>
      <c r="R361" s="121">
        <f t="shared" si="189"/>
        <v>0</v>
      </c>
      <c r="S361" s="121" t="str">
        <f t="shared" si="190"/>
        <v/>
      </c>
      <c r="T361" s="121" t="str">
        <f t="shared" si="191"/>
        <v/>
      </c>
      <c r="U361" s="121">
        <f t="shared" si="192"/>
        <v>1</v>
      </c>
    </row>
    <row r="362" spans="1:21" x14ac:dyDescent="0.3">
      <c r="A362" s="187">
        <v>14</v>
      </c>
      <c r="B362" s="242">
        <f t="shared" si="193"/>
        <v>46054</v>
      </c>
      <c r="C362" s="243">
        <f t="shared" si="174"/>
        <v>46081</v>
      </c>
      <c r="D362" s="120">
        <f t="shared" si="175"/>
        <v>28</v>
      </c>
      <c r="E362" s="120">
        <f t="shared" si="176"/>
        <v>2</v>
      </c>
      <c r="F362" s="275">
        <f t="shared" si="177"/>
        <v>46068</v>
      </c>
      <c r="G362" s="120">
        <f t="shared" si="178"/>
        <v>24313</v>
      </c>
      <c r="H362" s="245">
        <f t="shared" si="179"/>
        <v>1</v>
      </c>
      <c r="I362" s="121">
        <f t="shared" si="180"/>
        <v>1</v>
      </c>
      <c r="J362" s="121">
        <f t="shared" si="181"/>
        <v>1</v>
      </c>
      <c r="K362" s="120">
        <f t="shared" si="182"/>
        <v>0</v>
      </c>
      <c r="L362" s="120">
        <f t="shared" si="183"/>
        <v>0</v>
      </c>
      <c r="M362" s="246">
        <f t="shared" si="184"/>
        <v>0</v>
      </c>
      <c r="N362" s="121">
        <f t="shared" si="185"/>
        <v>1</v>
      </c>
      <c r="O362" s="246">
        <f t="shared" si="186"/>
        <v>0.90375342465753428</v>
      </c>
      <c r="P362" s="121">
        <f t="shared" si="187"/>
        <v>1</v>
      </c>
      <c r="Q362" s="121">
        <f t="shared" si="188"/>
        <v>0</v>
      </c>
      <c r="R362" s="121">
        <f t="shared" si="189"/>
        <v>0</v>
      </c>
      <c r="S362" s="121" t="str">
        <f t="shared" si="190"/>
        <v/>
      </c>
      <c r="T362" s="121" t="str">
        <f t="shared" si="191"/>
        <v/>
      </c>
      <c r="U362" s="121">
        <f t="shared" si="192"/>
        <v>1</v>
      </c>
    </row>
    <row r="363" spans="1:21" x14ac:dyDescent="0.3">
      <c r="A363" s="187">
        <v>15</v>
      </c>
      <c r="B363" s="242">
        <f t="shared" si="193"/>
        <v>46082</v>
      </c>
      <c r="C363" s="243">
        <f t="shared" si="174"/>
        <v>46112</v>
      </c>
      <c r="D363" s="120">
        <f t="shared" si="175"/>
        <v>31</v>
      </c>
      <c r="E363" s="120">
        <f t="shared" si="176"/>
        <v>3</v>
      </c>
      <c r="F363" s="275">
        <f t="shared" si="177"/>
        <v>46097.5</v>
      </c>
      <c r="G363" s="120">
        <f t="shared" si="178"/>
        <v>24314</v>
      </c>
      <c r="H363" s="245">
        <f t="shared" si="179"/>
        <v>1</v>
      </c>
      <c r="I363" s="121">
        <f t="shared" si="180"/>
        <v>1</v>
      </c>
      <c r="J363" s="121">
        <f t="shared" si="181"/>
        <v>1</v>
      </c>
      <c r="K363" s="120">
        <f t="shared" si="182"/>
        <v>0</v>
      </c>
      <c r="L363" s="120">
        <f t="shared" si="183"/>
        <v>0</v>
      </c>
      <c r="M363" s="246">
        <f t="shared" si="184"/>
        <v>0</v>
      </c>
      <c r="N363" s="121">
        <f t="shared" si="185"/>
        <v>1</v>
      </c>
      <c r="O363" s="246">
        <f t="shared" si="186"/>
        <v>0.90456164383561644</v>
      </c>
      <c r="P363" s="121">
        <f t="shared" si="187"/>
        <v>1</v>
      </c>
      <c r="Q363" s="121">
        <f t="shared" si="188"/>
        <v>0</v>
      </c>
      <c r="R363" s="121">
        <f t="shared" si="189"/>
        <v>0</v>
      </c>
      <c r="S363" s="121" t="str">
        <f t="shared" si="190"/>
        <v/>
      </c>
      <c r="T363" s="121" t="str">
        <f t="shared" si="191"/>
        <v/>
      </c>
      <c r="U363" s="121">
        <f t="shared" si="192"/>
        <v>1</v>
      </c>
    </row>
    <row r="364" spans="1:21" x14ac:dyDescent="0.3">
      <c r="A364" s="187">
        <v>16</v>
      </c>
      <c r="B364" s="242">
        <f t="shared" si="193"/>
        <v>46113</v>
      </c>
      <c r="C364" s="243">
        <f t="shared" si="174"/>
        <v>46142</v>
      </c>
      <c r="D364" s="120">
        <f t="shared" si="175"/>
        <v>30</v>
      </c>
      <c r="E364" s="120">
        <f t="shared" si="176"/>
        <v>4</v>
      </c>
      <c r="F364" s="275">
        <f t="shared" si="177"/>
        <v>46128</v>
      </c>
      <c r="G364" s="120">
        <f t="shared" si="178"/>
        <v>24315</v>
      </c>
      <c r="H364" s="245">
        <f t="shared" si="179"/>
        <v>1</v>
      </c>
      <c r="I364" s="121">
        <f t="shared" si="180"/>
        <v>1</v>
      </c>
      <c r="J364" s="121">
        <f t="shared" si="181"/>
        <v>1</v>
      </c>
      <c r="K364" s="120">
        <f t="shared" si="182"/>
        <v>0</v>
      </c>
      <c r="L364" s="120">
        <f t="shared" si="183"/>
        <v>0</v>
      </c>
      <c r="M364" s="246">
        <f t="shared" si="184"/>
        <v>0</v>
      </c>
      <c r="N364" s="121">
        <f t="shared" si="185"/>
        <v>1</v>
      </c>
      <c r="O364" s="246">
        <f t="shared" si="186"/>
        <v>0.9053972602739726</v>
      </c>
      <c r="P364" s="121">
        <f t="shared" si="187"/>
        <v>1</v>
      </c>
      <c r="Q364" s="121">
        <f t="shared" si="188"/>
        <v>0</v>
      </c>
      <c r="R364" s="121">
        <f t="shared" si="189"/>
        <v>0</v>
      </c>
      <c r="S364" s="121" t="str">
        <f t="shared" si="190"/>
        <v/>
      </c>
      <c r="T364" s="121" t="str">
        <f t="shared" si="191"/>
        <v/>
      </c>
      <c r="U364" s="121">
        <f t="shared" si="192"/>
        <v>1</v>
      </c>
    </row>
    <row r="365" spans="1:21" x14ac:dyDescent="0.3">
      <c r="A365" s="187">
        <v>17</v>
      </c>
      <c r="B365" s="242">
        <f t="shared" si="193"/>
        <v>46143</v>
      </c>
      <c r="C365" s="243">
        <f t="shared" si="174"/>
        <v>46173</v>
      </c>
      <c r="D365" s="120">
        <f t="shared" si="175"/>
        <v>31</v>
      </c>
      <c r="E365" s="120">
        <f t="shared" si="176"/>
        <v>5</v>
      </c>
      <c r="F365" s="275">
        <f t="shared" si="177"/>
        <v>46158.5</v>
      </c>
      <c r="G365" s="120">
        <f t="shared" si="178"/>
        <v>24316</v>
      </c>
      <c r="H365" s="245">
        <f t="shared" si="179"/>
        <v>1</v>
      </c>
      <c r="I365" s="121">
        <f t="shared" si="180"/>
        <v>1</v>
      </c>
      <c r="J365" s="121">
        <f t="shared" si="181"/>
        <v>1</v>
      </c>
      <c r="K365" s="120">
        <f t="shared" si="182"/>
        <v>0</v>
      </c>
      <c r="L365" s="120">
        <f t="shared" si="183"/>
        <v>0</v>
      </c>
      <c r="M365" s="246">
        <f t="shared" si="184"/>
        <v>0</v>
      </c>
      <c r="N365" s="121">
        <f t="shared" si="185"/>
        <v>1</v>
      </c>
      <c r="O365" s="246">
        <f t="shared" si="186"/>
        <v>0.90623287671232877</v>
      </c>
      <c r="P365" s="121">
        <f t="shared" si="187"/>
        <v>1</v>
      </c>
      <c r="Q365" s="121">
        <f t="shared" si="188"/>
        <v>0</v>
      </c>
      <c r="R365" s="121">
        <f t="shared" si="189"/>
        <v>0</v>
      </c>
      <c r="S365" s="121" t="str">
        <f t="shared" si="190"/>
        <v/>
      </c>
      <c r="T365" s="121" t="str">
        <f t="shared" si="191"/>
        <v/>
      </c>
      <c r="U365" s="121">
        <f t="shared" si="192"/>
        <v>1</v>
      </c>
    </row>
    <row r="366" spans="1:21" x14ac:dyDescent="0.3">
      <c r="A366" s="187">
        <v>18</v>
      </c>
      <c r="B366" s="242">
        <f t="shared" si="193"/>
        <v>46174</v>
      </c>
      <c r="C366" s="243">
        <f t="shared" si="174"/>
        <v>46203</v>
      </c>
      <c r="D366" s="120">
        <f t="shared" si="175"/>
        <v>30</v>
      </c>
      <c r="E366" s="120">
        <f t="shared" si="176"/>
        <v>6</v>
      </c>
      <c r="F366" s="275">
        <f t="shared" si="177"/>
        <v>46189</v>
      </c>
      <c r="G366" s="120">
        <f t="shared" si="178"/>
        <v>24317</v>
      </c>
      <c r="H366" s="245">
        <f t="shared" si="179"/>
        <v>1</v>
      </c>
      <c r="I366" s="121">
        <f t="shared" si="180"/>
        <v>1</v>
      </c>
      <c r="J366" s="121">
        <f t="shared" si="181"/>
        <v>1.0449999999999999</v>
      </c>
      <c r="K366" s="120">
        <f t="shared" si="182"/>
        <v>1</v>
      </c>
      <c r="L366" s="120">
        <f t="shared" si="183"/>
        <v>30</v>
      </c>
      <c r="M366" s="246">
        <f t="shared" si="184"/>
        <v>1</v>
      </c>
      <c r="N366" s="121">
        <f t="shared" si="185"/>
        <v>1.0449999999999999</v>
      </c>
      <c r="O366" s="246">
        <f t="shared" si="186"/>
        <v>0.90706849315068494</v>
      </c>
      <c r="P366" s="121">
        <f t="shared" si="187"/>
        <v>1</v>
      </c>
      <c r="Q366" s="121">
        <f t="shared" si="188"/>
        <v>0</v>
      </c>
      <c r="R366" s="121">
        <f t="shared" si="189"/>
        <v>0</v>
      </c>
      <c r="S366" s="121" t="str">
        <f t="shared" si="190"/>
        <v/>
      </c>
      <c r="T366" s="121" t="str">
        <f t="shared" si="191"/>
        <v/>
      </c>
      <c r="U366" s="121">
        <f t="shared" si="192"/>
        <v>1.0449999999999999</v>
      </c>
    </row>
    <row r="367" spans="1:21" x14ac:dyDescent="0.3">
      <c r="A367" s="187">
        <v>19</v>
      </c>
      <c r="B367" s="242">
        <f t="shared" si="193"/>
        <v>46204</v>
      </c>
      <c r="C367" s="243">
        <f t="shared" si="174"/>
        <v>46234</v>
      </c>
      <c r="D367" s="120">
        <f t="shared" si="175"/>
        <v>31</v>
      </c>
      <c r="E367" s="120">
        <f t="shared" si="176"/>
        <v>7</v>
      </c>
      <c r="F367" s="275">
        <f t="shared" si="177"/>
        <v>46219.5</v>
      </c>
      <c r="G367" s="120">
        <f t="shared" si="178"/>
        <v>24318</v>
      </c>
      <c r="H367" s="245">
        <f t="shared" si="179"/>
        <v>1</v>
      </c>
      <c r="I367" s="121">
        <f t="shared" si="180"/>
        <v>1.0449999999999999</v>
      </c>
      <c r="J367" s="121">
        <f t="shared" si="181"/>
        <v>1.0449999999999999</v>
      </c>
      <c r="K367" s="120">
        <f t="shared" si="182"/>
        <v>0</v>
      </c>
      <c r="L367" s="120">
        <f t="shared" si="183"/>
        <v>0</v>
      </c>
      <c r="M367" s="246">
        <f t="shared" si="184"/>
        <v>0</v>
      </c>
      <c r="N367" s="121">
        <f t="shared" si="185"/>
        <v>1.0449999999999999</v>
      </c>
      <c r="O367" s="246">
        <f t="shared" si="186"/>
        <v>0.90790410958904111</v>
      </c>
      <c r="P367" s="121">
        <f t="shared" si="187"/>
        <v>0.91666666666666663</v>
      </c>
      <c r="Q367" s="121">
        <f t="shared" si="188"/>
        <v>8.333333333333337E-2</v>
      </c>
      <c r="R367" s="121">
        <f t="shared" si="189"/>
        <v>0</v>
      </c>
      <c r="S367" s="121" t="str">
        <f t="shared" si="190"/>
        <v/>
      </c>
      <c r="T367" s="121" t="str">
        <f t="shared" si="191"/>
        <v/>
      </c>
      <c r="U367" s="121">
        <f t="shared" si="192"/>
        <v>1.0449999999999999</v>
      </c>
    </row>
    <row r="368" spans="1:21" x14ac:dyDescent="0.3">
      <c r="A368" s="187">
        <v>20</v>
      </c>
      <c r="B368" s="242">
        <f t="shared" si="193"/>
        <v>46235</v>
      </c>
      <c r="C368" s="243">
        <f t="shared" si="174"/>
        <v>46265</v>
      </c>
      <c r="D368" s="120">
        <f t="shared" si="175"/>
        <v>31</v>
      </c>
      <c r="E368" s="120">
        <f t="shared" si="176"/>
        <v>8</v>
      </c>
      <c r="F368" s="275">
        <f t="shared" si="177"/>
        <v>46250.5</v>
      </c>
      <c r="G368" s="120">
        <f t="shared" si="178"/>
        <v>24319</v>
      </c>
      <c r="H368" s="245">
        <f t="shared" si="179"/>
        <v>1</v>
      </c>
      <c r="I368" s="121">
        <f t="shared" si="180"/>
        <v>1.0449999999999999</v>
      </c>
      <c r="J368" s="121">
        <f t="shared" si="181"/>
        <v>1.0449999999999999</v>
      </c>
      <c r="K368" s="120">
        <f t="shared" si="182"/>
        <v>0</v>
      </c>
      <c r="L368" s="120">
        <f t="shared" si="183"/>
        <v>0</v>
      </c>
      <c r="M368" s="246">
        <f t="shared" si="184"/>
        <v>0</v>
      </c>
      <c r="N368" s="121">
        <f t="shared" si="185"/>
        <v>1.0449999999999999</v>
      </c>
      <c r="O368" s="246">
        <f t="shared" si="186"/>
        <v>0.90875342465753428</v>
      </c>
      <c r="P368" s="121">
        <f t="shared" si="187"/>
        <v>0.75</v>
      </c>
      <c r="Q368" s="121">
        <f t="shared" si="188"/>
        <v>0.25</v>
      </c>
      <c r="R368" s="121">
        <f t="shared" si="189"/>
        <v>0</v>
      </c>
      <c r="S368" s="121" t="str">
        <f t="shared" si="190"/>
        <v/>
      </c>
      <c r="T368" s="121" t="str">
        <f t="shared" si="191"/>
        <v/>
      </c>
      <c r="U368" s="121">
        <f t="shared" si="192"/>
        <v>1.0449999999999999</v>
      </c>
    </row>
    <row r="369" spans="1:21" x14ac:dyDescent="0.3">
      <c r="A369" s="187">
        <v>21</v>
      </c>
      <c r="B369" s="242">
        <f t="shared" si="193"/>
        <v>46266</v>
      </c>
      <c r="C369" s="243">
        <f t="shared" si="174"/>
        <v>46295</v>
      </c>
      <c r="D369" s="120">
        <f t="shared" si="175"/>
        <v>30</v>
      </c>
      <c r="E369" s="120">
        <f t="shared" si="176"/>
        <v>9</v>
      </c>
      <c r="F369" s="275">
        <f t="shared" si="177"/>
        <v>46281</v>
      </c>
      <c r="G369" s="120">
        <f t="shared" si="178"/>
        <v>24320</v>
      </c>
      <c r="H369" s="245">
        <f t="shared" si="179"/>
        <v>1</v>
      </c>
      <c r="I369" s="121">
        <f t="shared" si="180"/>
        <v>1.0449999999999999</v>
      </c>
      <c r="J369" s="121">
        <f t="shared" si="181"/>
        <v>1.0449999999999999</v>
      </c>
      <c r="K369" s="120">
        <f t="shared" si="182"/>
        <v>0</v>
      </c>
      <c r="L369" s="120">
        <f t="shared" si="183"/>
        <v>0</v>
      </c>
      <c r="M369" s="246">
        <f t="shared" si="184"/>
        <v>0</v>
      </c>
      <c r="N369" s="121">
        <f t="shared" si="185"/>
        <v>1.0449999999999999</v>
      </c>
      <c r="O369" s="246">
        <f t="shared" si="186"/>
        <v>0.90958904109589045</v>
      </c>
      <c r="P369" s="121">
        <f t="shared" si="187"/>
        <v>0.58333333333333337</v>
      </c>
      <c r="Q369" s="121">
        <f t="shared" si="188"/>
        <v>0.41666666666666663</v>
      </c>
      <c r="R369" s="121">
        <f t="shared" si="189"/>
        <v>0</v>
      </c>
      <c r="S369" s="121" t="str">
        <f t="shared" si="190"/>
        <v/>
      </c>
      <c r="T369" s="121" t="str">
        <f t="shared" si="191"/>
        <v/>
      </c>
      <c r="U369" s="121">
        <f t="shared" si="192"/>
        <v>1.0449999999999999</v>
      </c>
    </row>
    <row r="370" spans="1:21" x14ac:dyDescent="0.3">
      <c r="A370" s="187">
        <v>22</v>
      </c>
      <c r="B370" s="242">
        <f t="shared" si="193"/>
        <v>46296</v>
      </c>
      <c r="C370" s="243">
        <f t="shared" si="174"/>
        <v>46326</v>
      </c>
      <c r="D370" s="120">
        <f t="shared" si="175"/>
        <v>31</v>
      </c>
      <c r="E370" s="120">
        <f t="shared" si="176"/>
        <v>10</v>
      </c>
      <c r="F370" s="275">
        <f t="shared" si="177"/>
        <v>46311.5</v>
      </c>
      <c r="G370" s="120">
        <f t="shared" si="178"/>
        <v>24321</v>
      </c>
      <c r="H370" s="245">
        <f t="shared" si="179"/>
        <v>1</v>
      </c>
      <c r="I370" s="121">
        <f t="shared" si="180"/>
        <v>1.0449999999999999</v>
      </c>
      <c r="J370" s="121">
        <f t="shared" si="181"/>
        <v>1.0449999999999999</v>
      </c>
      <c r="K370" s="120">
        <f t="shared" si="182"/>
        <v>0</v>
      </c>
      <c r="L370" s="120">
        <f t="shared" si="183"/>
        <v>0</v>
      </c>
      <c r="M370" s="246">
        <f t="shared" si="184"/>
        <v>0</v>
      </c>
      <c r="N370" s="121">
        <f t="shared" si="185"/>
        <v>1.0449999999999999</v>
      </c>
      <c r="O370" s="246">
        <f t="shared" si="186"/>
        <v>0.90983041575492341</v>
      </c>
      <c r="P370" s="121">
        <f t="shared" si="187"/>
        <v>0.41666666666666669</v>
      </c>
      <c r="Q370" s="121">
        <f t="shared" si="188"/>
        <v>0.58333333333333326</v>
      </c>
      <c r="R370" s="121">
        <f t="shared" si="189"/>
        <v>0</v>
      </c>
      <c r="S370" s="121" t="str">
        <f t="shared" si="190"/>
        <v/>
      </c>
      <c r="T370" s="121" t="str">
        <f t="shared" si="191"/>
        <v/>
      </c>
      <c r="U370" s="121">
        <f t="shared" si="192"/>
        <v>1.0449999999999999</v>
      </c>
    </row>
    <row r="371" spans="1:21" x14ac:dyDescent="0.3">
      <c r="A371" s="187">
        <v>23</v>
      </c>
      <c r="B371" s="242">
        <f t="shared" si="193"/>
        <v>46327</v>
      </c>
      <c r="C371" s="243">
        <f t="shared" si="174"/>
        <v>46356</v>
      </c>
      <c r="D371" s="120">
        <f t="shared" si="175"/>
        <v>30</v>
      </c>
      <c r="E371" s="120">
        <f t="shared" si="176"/>
        <v>11</v>
      </c>
      <c r="F371" s="275">
        <f t="shared" si="177"/>
        <v>46342</v>
      </c>
      <c r="G371" s="120">
        <f t="shared" si="178"/>
        <v>24322</v>
      </c>
      <c r="H371" s="245">
        <f t="shared" si="179"/>
        <v>1</v>
      </c>
      <c r="I371" s="121">
        <f t="shared" si="180"/>
        <v>1.0449999999999999</v>
      </c>
      <c r="J371" s="121">
        <f t="shared" si="181"/>
        <v>1.0449999999999999</v>
      </c>
      <c r="K371" s="120">
        <f t="shared" si="182"/>
        <v>0</v>
      </c>
      <c r="L371" s="120">
        <f t="shared" si="183"/>
        <v>0</v>
      </c>
      <c r="M371" s="246">
        <f t="shared" si="184"/>
        <v>0</v>
      </c>
      <c r="N371" s="121">
        <f t="shared" si="185"/>
        <v>1.0449999999999999</v>
      </c>
      <c r="O371" s="246">
        <f t="shared" si="186"/>
        <v>0.90949671772428886</v>
      </c>
      <c r="P371" s="121">
        <f t="shared" si="187"/>
        <v>0.25</v>
      </c>
      <c r="Q371" s="121">
        <f t="shared" si="188"/>
        <v>0.75</v>
      </c>
      <c r="R371" s="121">
        <f t="shared" si="189"/>
        <v>0</v>
      </c>
      <c r="S371" s="121" t="str">
        <f t="shared" si="190"/>
        <v/>
      </c>
      <c r="T371" s="121" t="str">
        <f t="shared" si="191"/>
        <v/>
      </c>
      <c r="U371" s="121">
        <f t="shared" si="192"/>
        <v>1.0449999999999999</v>
      </c>
    </row>
    <row r="372" spans="1:21" x14ac:dyDescent="0.3">
      <c r="A372" s="187">
        <v>24</v>
      </c>
      <c r="B372" s="242">
        <f t="shared" si="193"/>
        <v>46357</v>
      </c>
      <c r="C372" s="243">
        <f t="shared" si="174"/>
        <v>46387</v>
      </c>
      <c r="D372" s="120">
        <f t="shared" si="175"/>
        <v>31</v>
      </c>
      <c r="E372" s="120">
        <f t="shared" si="176"/>
        <v>12</v>
      </c>
      <c r="F372" s="275">
        <f t="shared" si="177"/>
        <v>46372.5</v>
      </c>
      <c r="G372" s="120">
        <f t="shared" si="178"/>
        <v>24323</v>
      </c>
      <c r="H372" s="245">
        <f t="shared" si="179"/>
        <v>1</v>
      </c>
      <c r="I372" s="121">
        <f t="shared" si="180"/>
        <v>1.0449999999999999</v>
      </c>
      <c r="J372" s="121">
        <f t="shared" si="181"/>
        <v>1.0449999999999999</v>
      </c>
      <c r="K372" s="120">
        <f t="shared" si="182"/>
        <v>0</v>
      </c>
      <c r="L372" s="120">
        <f t="shared" si="183"/>
        <v>0</v>
      </c>
      <c r="M372" s="246">
        <f t="shared" si="184"/>
        <v>0</v>
      </c>
      <c r="N372" s="121">
        <f t="shared" si="185"/>
        <v>1.0449999999999999</v>
      </c>
      <c r="O372" s="246">
        <f t="shared" si="186"/>
        <v>0.90916301969365432</v>
      </c>
      <c r="P372" s="121">
        <f t="shared" si="187"/>
        <v>8.3333333333333329E-2</v>
      </c>
      <c r="Q372" s="121">
        <f t="shared" si="188"/>
        <v>0.91666666666666663</v>
      </c>
      <c r="R372" s="121">
        <f t="shared" si="189"/>
        <v>0</v>
      </c>
      <c r="S372" s="121" t="str">
        <f t="shared" si="190"/>
        <v/>
      </c>
      <c r="T372" s="121" t="str">
        <f t="shared" si="191"/>
        <v/>
      </c>
      <c r="U372" s="121">
        <f t="shared" si="192"/>
        <v>1.0449999999999999</v>
      </c>
    </row>
    <row r="373" spans="1:21" x14ac:dyDescent="0.3">
      <c r="A373" s="187">
        <v>25</v>
      </c>
      <c r="B373" s="242">
        <f t="shared" si="193"/>
        <v>46388</v>
      </c>
      <c r="C373" s="243">
        <f t="shared" si="174"/>
        <v>46418</v>
      </c>
      <c r="D373" s="120">
        <f t="shared" si="175"/>
        <v>31</v>
      </c>
      <c r="E373" s="120">
        <f t="shared" si="176"/>
        <v>1</v>
      </c>
      <c r="F373" s="275">
        <f t="shared" si="177"/>
        <v>46403.5</v>
      </c>
      <c r="G373" s="120">
        <f t="shared" si="178"/>
        <v>24324</v>
      </c>
      <c r="H373" s="245">
        <f t="shared" si="179"/>
        <v>1</v>
      </c>
      <c r="I373" s="121">
        <f t="shared" si="180"/>
        <v>1.0449999999999999</v>
      </c>
      <c r="J373" s="121">
        <f t="shared" si="181"/>
        <v>1.0449999999999999</v>
      </c>
      <c r="K373" s="120">
        <f t="shared" si="182"/>
        <v>0</v>
      </c>
      <c r="L373" s="120">
        <f t="shared" si="183"/>
        <v>0</v>
      </c>
      <c r="M373" s="246">
        <f t="shared" si="184"/>
        <v>0</v>
      </c>
      <c r="N373" s="121">
        <f t="shared" si="185"/>
        <v>1.0449999999999999</v>
      </c>
      <c r="O373" s="246">
        <f t="shared" si="186"/>
        <v>0.90882385120350118</v>
      </c>
      <c r="P373" s="121">
        <f t="shared" si="187"/>
        <v>0</v>
      </c>
      <c r="Q373" s="121">
        <f t="shared" si="188"/>
        <v>1</v>
      </c>
      <c r="R373" s="121">
        <f t="shared" si="189"/>
        <v>0</v>
      </c>
      <c r="S373" s="121" t="str">
        <f t="shared" si="190"/>
        <v/>
      </c>
      <c r="T373" s="121" t="str">
        <f t="shared" si="191"/>
        <v/>
      </c>
      <c r="U373" s="121">
        <f t="shared" si="192"/>
        <v>1.0449999999999999</v>
      </c>
    </row>
    <row r="374" spans="1:21" x14ac:dyDescent="0.3">
      <c r="A374" s="187">
        <v>26</v>
      </c>
      <c r="B374" s="242">
        <f t="shared" si="193"/>
        <v>46419</v>
      </c>
      <c r="C374" s="243">
        <f t="shared" si="174"/>
        <v>46446</v>
      </c>
      <c r="D374" s="120">
        <f t="shared" si="175"/>
        <v>28</v>
      </c>
      <c r="E374" s="120">
        <f t="shared" si="176"/>
        <v>2</v>
      </c>
      <c r="F374" s="275">
        <f t="shared" si="177"/>
        <v>46433</v>
      </c>
      <c r="G374" s="120">
        <f t="shared" si="178"/>
        <v>24325</v>
      </c>
      <c r="H374" s="245">
        <f t="shared" si="179"/>
        <v>1</v>
      </c>
      <c r="I374" s="121">
        <f t="shared" si="180"/>
        <v>1.0449999999999999</v>
      </c>
      <c r="J374" s="121">
        <f t="shared" si="181"/>
        <v>1.0449999999999999</v>
      </c>
      <c r="K374" s="120">
        <f t="shared" si="182"/>
        <v>0</v>
      </c>
      <c r="L374" s="120">
        <f t="shared" si="183"/>
        <v>0</v>
      </c>
      <c r="M374" s="246">
        <f t="shared" si="184"/>
        <v>0</v>
      </c>
      <c r="N374" s="121">
        <f t="shared" si="185"/>
        <v>1.0449999999999999</v>
      </c>
      <c r="O374" s="246">
        <f t="shared" si="186"/>
        <v>0.90850109409190372</v>
      </c>
      <c r="P374" s="121">
        <f t="shared" si="187"/>
        <v>0</v>
      </c>
      <c r="Q374" s="121">
        <f t="shared" si="188"/>
        <v>1</v>
      </c>
      <c r="R374" s="121">
        <f t="shared" si="189"/>
        <v>0</v>
      </c>
      <c r="S374" s="121" t="str">
        <f t="shared" si="190"/>
        <v/>
      </c>
      <c r="T374" s="121" t="str">
        <f t="shared" si="191"/>
        <v/>
      </c>
      <c r="U374" s="121">
        <f t="shared" si="192"/>
        <v>1.0449999999999999</v>
      </c>
    </row>
    <row r="375" spans="1:21" x14ac:dyDescent="0.3">
      <c r="A375" s="187">
        <v>27</v>
      </c>
      <c r="B375" s="242">
        <f t="shared" si="193"/>
        <v>46447</v>
      </c>
      <c r="C375" s="243">
        <f t="shared" si="174"/>
        <v>46477</v>
      </c>
      <c r="D375" s="120">
        <f t="shared" si="175"/>
        <v>31</v>
      </c>
      <c r="E375" s="120">
        <f t="shared" si="176"/>
        <v>3</v>
      </c>
      <c r="F375" s="275">
        <f t="shared" si="177"/>
        <v>46462.5</v>
      </c>
      <c r="G375" s="120">
        <f t="shared" si="178"/>
        <v>24326</v>
      </c>
      <c r="H375" s="245">
        <f t="shared" si="179"/>
        <v>1</v>
      </c>
      <c r="I375" s="121">
        <f t="shared" si="180"/>
        <v>1.0449999999999999</v>
      </c>
      <c r="J375" s="121">
        <f t="shared" si="181"/>
        <v>1.0449999999999999</v>
      </c>
      <c r="K375" s="120">
        <f t="shared" si="182"/>
        <v>0</v>
      </c>
      <c r="L375" s="120">
        <f t="shared" si="183"/>
        <v>0</v>
      </c>
      <c r="M375" s="246">
        <f t="shared" si="184"/>
        <v>0</v>
      </c>
      <c r="N375" s="121">
        <f t="shared" si="185"/>
        <v>1.0449999999999999</v>
      </c>
      <c r="O375" s="246">
        <f t="shared" si="186"/>
        <v>0.90817833698030637</v>
      </c>
      <c r="P375" s="121">
        <f t="shared" si="187"/>
        <v>0</v>
      </c>
      <c r="Q375" s="121">
        <f t="shared" si="188"/>
        <v>1</v>
      </c>
      <c r="R375" s="121">
        <f t="shared" si="189"/>
        <v>0</v>
      </c>
      <c r="S375" s="121" t="str">
        <f t="shared" si="190"/>
        <v/>
      </c>
      <c r="T375" s="121" t="str">
        <f t="shared" si="191"/>
        <v/>
      </c>
      <c r="U375" s="121">
        <f t="shared" si="192"/>
        <v>1.0449999999999999</v>
      </c>
    </row>
    <row r="376" spans="1:21" x14ac:dyDescent="0.3">
      <c r="A376" s="187">
        <v>28</v>
      </c>
      <c r="B376" s="242">
        <f t="shared" si="193"/>
        <v>46478</v>
      </c>
      <c r="C376" s="243">
        <f t="shared" si="174"/>
        <v>46507</v>
      </c>
      <c r="D376" s="120">
        <f t="shared" si="175"/>
        <v>30</v>
      </c>
      <c r="E376" s="120">
        <f t="shared" si="176"/>
        <v>4</v>
      </c>
      <c r="F376" s="275">
        <f t="shared" si="177"/>
        <v>46493</v>
      </c>
      <c r="G376" s="120">
        <f t="shared" si="178"/>
        <v>24327</v>
      </c>
      <c r="H376" s="245">
        <f t="shared" si="179"/>
        <v>1</v>
      </c>
      <c r="I376" s="121">
        <f t="shared" si="180"/>
        <v>1.0449999999999999</v>
      </c>
      <c r="J376" s="121">
        <f t="shared" si="181"/>
        <v>1.0449999999999999</v>
      </c>
      <c r="K376" s="120">
        <f t="shared" si="182"/>
        <v>0</v>
      </c>
      <c r="L376" s="120">
        <f t="shared" si="183"/>
        <v>0</v>
      </c>
      <c r="M376" s="246">
        <f t="shared" si="184"/>
        <v>0</v>
      </c>
      <c r="N376" s="121">
        <f t="shared" si="185"/>
        <v>1.0449999999999999</v>
      </c>
      <c r="O376" s="246">
        <f t="shared" si="186"/>
        <v>0.90784463894967182</v>
      </c>
      <c r="P376" s="121">
        <f t="shared" si="187"/>
        <v>0</v>
      </c>
      <c r="Q376" s="121">
        <f t="shared" si="188"/>
        <v>1</v>
      </c>
      <c r="R376" s="121">
        <f t="shared" si="189"/>
        <v>0</v>
      </c>
      <c r="S376" s="121" t="str">
        <f t="shared" si="190"/>
        <v/>
      </c>
      <c r="T376" s="121" t="str">
        <f t="shared" si="191"/>
        <v/>
      </c>
      <c r="U376" s="121">
        <f t="shared" si="192"/>
        <v>1.0449999999999999</v>
      </c>
    </row>
    <row r="377" spans="1:21" x14ac:dyDescent="0.3">
      <c r="A377" s="187">
        <v>29</v>
      </c>
      <c r="B377" s="242">
        <f t="shared" si="193"/>
        <v>46508</v>
      </c>
      <c r="C377" s="243">
        <f t="shared" si="174"/>
        <v>46538</v>
      </c>
      <c r="D377" s="120">
        <f t="shared" si="175"/>
        <v>31</v>
      </c>
      <c r="E377" s="120">
        <f t="shared" si="176"/>
        <v>5</v>
      </c>
      <c r="F377" s="275">
        <f t="shared" si="177"/>
        <v>46523.5</v>
      </c>
      <c r="G377" s="120">
        <f t="shared" si="178"/>
        <v>24328</v>
      </c>
      <c r="H377" s="245">
        <f t="shared" si="179"/>
        <v>1</v>
      </c>
      <c r="I377" s="121">
        <f t="shared" si="180"/>
        <v>1.0449999999999999</v>
      </c>
      <c r="J377" s="121">
        <f t="shared" si="181"/>
        <v>1.0449999999999999</v>
      </c>
      <c r="K377" s="120">
        <f t="shared" si="182"/>
        <v>0</v>
      </c>
      <c r="L377" s="120">
        <f t="shared" si="183"/>
        <v>0</v>
      </c>
      <c r="M377" s="246">
        <f t="shared" si="184"/>
        <v>0</v>
      </c>
      <c r="N377" s="121">
        <f t="shared" si="185"/>
        <v>1.0449999999999999</v>
      </c>
      <c r="O377" s="246">
        <f t="shared" si="186"/>
        <v>0.90751094091903728</v>
      </c>
      <c r="P377" s="121">
        <f t="shared" si="187"/>
        <v>0</v>
      </c>
      <c r="Q377" s="121">
        <f t="shared" si="188"/>
        <v>1</v>
      </c>
      <c r="R377" s="121">
        <f t="shared" si="189"/>
        <v>0</v>
      </c>
      <c r="S377" s="121" t="str">
        <f t="shared" si="190"/>
        <v/>
      </c>
      <c r="T377" s="121" t="str">
        <f t="shared" si="191"/>
        <v/>
      </c>
      <c r="U377" s="121">
        <f t="shared" si="192"/>
        <v>1.0449999999999999</v>
      </c>
    </row>
    <row r="378" spans="1:21" x14ac:dyDescent="0.3">
      <c r="A378" s="187">
        <v>30</v>
      </c>
      <c r="B378" s="242">
        <f t="shared" si="193"/>
        <v>46539</v>
      </c>
      <c r="C378" s="243">
        <f t="shared" si="174"/>
        <v>46568</v>
      </c>
      <c r="D378" s="120">
        <f t="shared" si="175"/>
        <v>30</v>
      </c>
      <c r="E378" s="120">
        <f t="shared" si="176"/>
        <v>6</v>
      </c>
      <c r="F378" s="275">
        <f t="shared" si="177"/>
        <v>46554</v>
      </c>
      <c r="G378" s="120">
        <f t="shared" si="178"/>
        <v>24329</v>
      </c>
      <c r="H378" s="245">
        <f t="shared" si="179"/>
        <v>1</v>
      </c>
      <c r="I378" s="121">
        <f t="shared" si="180"/>
        <v>1.0449999999999999</v>
      </c>
      <c r="J378" s="121">
        <f t="shared" si="181"/>
        <v>1.0868</v>
      </c>
      <c r="K378" s="120">
        <f t="shared" si="182"/>
        <v>1</v>
      </c>
      <c r="L378" s="120">
        <f t="shared" si="183"/>
        <v>30</v>
      </c>
      <c r="M378" s="246">
        <f t="shared" si="184"/>
        <v>1</v>
      </c>
      <c r="N378" s="121">
        <f t="shared" si="185"/>
        <v>1.0868</v>
      </c>
      <c r="O378" s="246">
        <f t="shared" si="186"/>
        <v>0.90717724288840262</v>
      </c>
      <c r="P378" s="121">
        <f t="shared" si="187"/>
        <v>0</v>
      </c>
      <c r="Q378" s="121">
        <f t="shared" si="188"/>
        <v>1</v>
      </c>
      <c r="R378" s="121">
        <f t="shared" si="189"/>
        <v>0</v>
      </c>
      <c r="S378" s="121" t="str">
        <f t="shared" si="190"/>
        <v/>
      </c>
      <c r="T378" s="121" t="str">
        <f t="shared" si="191"/>
        <v/>
      </c>
      <c r="U378" s="121">
        <f t="shared" si="192"/>
        <v>1.0868</v>
      </c>
    </row>
    <row r="379" spans="1:21" x14ac:dyDescent="0.3">
      <c r="A379" s="187">
        <v>31</v>
      </c>
      <c r="B379" s="242">
        <f t="shared" si="193"/>
        <v>46569</v>
      </c>
      <c r="C379" s="243">
        <f t="shared" si="174"/>
        <v>46599</v>
      </c>
      <c r="D379" s="120">
        <f t="shared" si="175"/>
        <v>31</v>
      </c>
      <c r="E379" s="120">
        <f t="shared" si="176"/>
        <v>7</v>
      </c>
      <c r="F379" s="275">
        <f t="shared" si="177"/>
        <v>46584.5</v>
      </c>
      <c r="G379" s="120">
        <f t="shared" si="178"/>
        <v>24330</v>
      </c>
      <c r="H379" s="245">
        <f t="shared" si="179"/>
        <v>1</v>
      </c>
      <c r="I379" s="121">
        <f t="shared" si="180"/>
        <v>1.0868</v>
      </c>
      <c r="J379" s="121">
        <f t="shared" si="181"/>
        <v>1.0868</v>
      </c>
      <c r="K379" s="120">
        <f t="shared" si="182"/>
        <v>0</v>
      </c>
      <c r="L379" s="120">
        <f t="shared" si="183"/>
        <v>0</v>
      </c>
      <c r="M379" s="246">
        <f t="shared" si="184"/>
        <v>0</v>
      </c>
      <c r="N379" s="121">
        <f t="shared" si="185"/>
        <v>1.0868</v>
      </c>
      <c r="O379" s="246">
        <f t="shared" si="186"/>
        <v>0.90684354485776808</v>
      </c>
      <c r="P379" s="121">
        <f t="shared" si="187"/>
        <v>0</v>
      </c>
      <c r="Q379" s="121">
        <f t="shared" si="188"/>
        <v>0.91666666666666663</v>
      </c>
      <c r="R379" s="121">
        <f t="shared" si="189"/>
        <v>8.333333333333337E-2</v>
      </c>
      <c r="S379" s="121" t="str">
        <f t="shared" si="190"/>
        <v/>
      </c>
      <c r="T379" s="121" t="str">
        <f t="shared" si="191"/>
        <v/>
      </c>
      <c r="U379" s="121">
        <f t="shared" si="192"/>
        <v>1.0868</v>
      </c>
    </row>
    <row r="380" spans="1:21" x14ac:dyDescent="0.3">
      <c r="A380" s="187">
        <v>32</v>
      </c>
      <c r="B380" s="242">
        <f t="shared" si="193"/>
        <v>46600</v>
      </c>
      <c r="C380" s="243">
        <f t="shared" si="174"/>
        <v>46630</v>
      </c>
      <c r="D380" s="120">
        <f t="shared" si="175"/>
        <v>31</v>
      </c>
      <c r="E380" s="120">
        <f t="shared" si="176"/>
        <v>8</v>
      </c>
      <c r="F380" s="275">
        <f t="shared" si="177"/>
        <v>46615.5</v>
      </c>
      <c r="G380" s="120">
        <f t="shared" si="178"/>
        <v>24331</v>
      </c>
      <c r="H380" s="245">
        <f t="shared" si="179"/>
        <v>1</v>
      </c>
      <c r="I380" s="121">
        <f t="shared" si="180"/>
        <v>1.0868</v>
      </c>
      <c r="J380" s="121">
        <f t="shared" si="181"/>
        <v>1.0868</v>
      </c>
      <c r="K380" s="120">
        <f t="shared" si="182"/>
        <v>0</v>
      </c>
      <c r="L380" s="120">
        <f t="shared" si="183"/>
        <v>0</v>
      </c>
      <c r="M380" s="246">
        <f t="shared" si="184"/>
        <v>0</v>
      </c>
      <c r="N380" s="121">
        <f t="shared" si="185"/>
        <v>1.0868</v>
      </c>
      <c r="O380" s="246">
        <f t="shared" si="186"/>
        <v>0.90650437636761494</v>
      </c>
      <c r="P380" s="121">
        <f t="shared" si="187"/>
        <v>0</v>
      </c>
      <c r="Q380" s="121">
        <f t="shared" si="188"/>
        <v>0.75</v>
      </c>
      <c r="R380" s="121">
        <f t="shared" si="189"/>
        <v>0.25</v>
      </c>
      <c r="S380" s="121" t="str">
        <f t="shared" si="190"/>
        <v/>
      </c>
      <c r="T380" s="121" t="str">
        <f t="shared" si="191"/>
        <v/>
      </c>
      <c r="U380" s="121">
        <f t="shared" si="192"/>
        <v>1.0868</v>
      </c>
    </row>
    <row r="381" spans="1:21" x14ac:dyDescent="0.3">
      <c r="A381" s="187">
        <v>33</v>
      </c>
      <c r="B381" s="242">
        <f t="shared" si="193"/>
        <v>46631</v>
      </c>
      <c r="C381" s="243">
        <f t="shared" si="174"/>
        <v>46660</v>
      </c>
      <c r="D381" s="120">
        <f t="shared" si="175"/>
        <v>30</v>
      </c>
      <c r="E381" s="120">
        <f t="shared" si="176"/>
        <v>9</v>
      </c>
      <c r="F381" s="275">
        <f t="shared" si="177"/>
        <v>46646</v>
      </c>
      <c r="G381" s="120">
        <f t="shared" si="178"/>
        <v>24332</v>
      </c>
      <c r="H381" s="245">
        <f t="shared" si="179"/>
        <v>1</v>
      </c>
      <c r="I381" s="121">
        <f t="shared" si="180"/>
        <v>1.0868</v>
      </c>
      <c r="J381" s="121">
        <f t="shared" si="181"/>
        <v>1.0868</v>
      </c>
      <c r="K381" s="120">
        <f t="shared" si="182"/>
        <v>0</v>
      </c>
      <c r="L381" s="120">
        <f t="shared" si="183"/>
        <v>0</v>
      </c>
      <c r="M381" s="246">
        <f t="shared" si="184"/>
        <v>0</v>
      </c>
      <c r="N381" s="121">
        <f t="shared" si="185"/>
        <v>1.0868</v>
      </c>
      <c r="O381" s="246">
        <f t="shared" si="186"/>
        <v>0.90617067833698028</v>
      </c>
      <c r="P381" s="121">
        <f t="shared" si="187"/>
        <v>0</v>
      </c>
      <c r="Q381" s="121">
        <f t="shared" si="188"/>
        <v>0.58333333333333337</v>
      </c>
      <c r="R381" s="121">
        <f t="shared" si="189"/>
        <v>0.41666666666666663</v>
      </c>
      <c r="S381" s="121" t="str">
        <f t="shared" si="190"/>
        <v/>
      </c>
      <c r="T381" s="121" t="str">
        <f t="shared" si="191"/>
        <v/>
      </c>
      <c r="U381" s="121">
        <f t="shared" si="192"/>
        <v>1.0868</v>
      </c>
    </row>
    <row r="382" spans="1:21" x14ac:dyDescent="0.3">
      <c r="A382" s="187">
        <v>34</v>
      </c>
      <c r="B382" s="242">
        <f t="shared" si="193"/>
        <v>46661</v>
      </c>
      <c r="C382" s="243">
        <f t="shared" si="174"/>
        <v>46691</v>
      </c>
      <c r="D382" s="120">
        <f t="shared" si="175"/>
        <v>31</v>
      </c>
      <c r="E382" s="120">
        <f t="shared" si="176"/>
        <v>10</v>
      </c>
      <c r="F382" s="275">
        <f t="shared" si="177"/>
        <v>46676.5</v>
      </c>
      <c r="G382" s="120">
        <f t="shared" si="178"/>
        <v>24333</v>
      </c>
      <c r="H382" s="245">
        <f t="shared" si="179"/>
        <v>1</v>
      </c>
      <c r="I382" s="121">
        <f t="shared" si="180"/>
        <v>1.0868</v>
      </c>
      <c r="J382" s="121">
        <f t="shared" si="181"/>
        <v>1.0868</v>
      </c>
      <c r="K382" s="120">
        <f t="shared" si="182"/>
        <v>0</v>
      </c>
      <c r="L382" s="120">
        <f t="shared" si="183"/>
        <v>0</v>
      </c>
      <c r="M382" s="246">
        <f t="shared" si="184"/>
        <v>0</v>
      </c>
      <c r="N382" s="121">
        <f t="shared" si="185"/>
        <v>1.0868</v>
      </c>
      <c r="O382" s="246">
        <f t="shared" si="186"/>
        <v>0.90583698030634574</v>
      </c>
      <c r="P382" s="121">
        <f t="shared" si="187"/>
        <v>0</v>
      </c>
      <c r="Q382" s="121">
        <f t="shared" si="188"/>
        <v>0.41666666666666669</v>
      </c>
      <c r="R382" s="121">
        <f t="shared" si="189"/>
        <v>0.58333333333333326</v>
      </c>
      <c r="S382" s="121" t="str">
        <f t="shared" si="190"/>
        <v/>
      </c>
      <c r="T382" s="121" t="str">
        <f t="shared" si="191"/>
        <v/>
      </c>
      <c r="U382" s="121">
        <f t="shared" si="192"/>
        <v>1.0868</v>
      </c>
    </row>
    <row r="383" spans="1:21" x14ac:dyDescent="0.3">
      <c r="A383" s="187">
        <v>35</v>
      </c>
      <c r="B383" s="242">
        <f t="shared" si="193"/>
        <v>46692</v>
      </c>
      <c r="C383" s="243">
        <f t="shared" si="174"/>
        <v>46721</v>
      </c>
      <c r="D383" s="120">
        <f t="shared" si="175"/>
        <v>30</v>
      </c>
      <c r="E383" s="120">
        <f t="shared" si="176"/>
        <v>11</v>
      </c>
      <c r="F383" s="275">
        <f t="shared" si="177"/>
        <v>46707</v>
      </c>
      <c r="G383" s="120">
        <f t="shared" si="178"/>
        <v>24334</v>
      </c>
      <c r="H383" s="245">
        <f t="shared" si="179"/>
        <v>1</v>
      </c>
      <c r="I383" s="121">
        <f t="shared" si="180"/>
        <v>1.0868</v>
      </c>
      <c r="J383" s="121">
        <f t="shared" si="181"/>
        <v>1.0868</v>
      </c>
      <c r="K383" s="120">
        <f t="shared" si="182"/>
        <v>0</v>
      </c>
      <c r="L383" s="120">
        <f t="shared" si="183"/>
        <v>0</v>
      </c>
      <c r="M383" s="246">
        <f t="shared" si="184"/>
        <v>0</v>
      </c>
      <c r="N383" s="121">
        <f t="shared" si="185"/>
        <v>1.0868</v>
      </c>
      <c r="O383" s="246">
        <f t="shared" si="186"/>
        <v>0.9055032822757112</v>
      </c>
      <c r="P383" s="121">
        <f t="shared" si="187"/>
        <v>0</v>
      </c>
      <c r="Q383" s="121">
        <f t="shared" si="188"/>
        <v>0.25</v>
      </c>
      <c r="R383" s="121">
        <f t="shared" si="189"/>
        <v>0.75</v>
      </c>
      <c r="S383" s="121" t="str">
        <f t="shared" si="190"/>
        <v/>
      </c>
      <c r="T383" s="121" t="str">
        <f t="shared" si="191"/>
        <v/>
      </c>
      <c r="U383" s="121">
        <f t="shared" si="192"/>
        <v>1.0868</v>
      </c>
    </row>
    <row r="384" spans="1:21" x14ac:dyDescent="0.3">
      <c r="A384" s="187">
        <v>36</v>
      </c>
      <c r="B384" s="242">
        <f t="shared" si="193"/>
        <v>46722</v>
      </c>
      <c r="C384" s="243">
        <f t="shared" si="174"/>
        <v>46752</v>
      </c>
      <c r="D384" s="120">
        <f t="shared" si="175"/>
        <v>31</v>
      </c>
      <c r="E384" s="120">
        <f t="shared" si="176"/>
        <v>12</v>
      </c>
      <c r="F384" s="275">
        <f t="shared" si="177"/>
        <v>46737.5</v>
      </c>
      <c r="G384" s="120">
        <f t="shared" si="178"/>
        <v>24335</v>
      </c>
      <c r="H384" s="245">
        <f t="shared" si="179"/>
        <v>1</v>
      </c>
      <c r="I384" s="121">
        <f t="shared" si="180"/>
        <v>1.0868</v>
      </c>
      <c r="J384" s="121">
        <f t="shared" si="181"/>
        <v>1.0868</v>
      </c>
      <c r="K384" s="120">
        <f t="shared" si="182"/>
        <v>0</v>
      </c>
      <c r="L384" s="120">
        <f t="shared" si="183"/>
        <v>0</v>
      </c>
      <c r="M384" s="246">
        <f t="shared" si="184"/>
        <v>0</v>
      </c>
      <c r="N384" s="121">
        <f t="shared" si="185"/>
        <v>1.0868</v>
      </c>
      <c r="O384" s="246">
        <f t="shared" si="186"/>
        <v>0.90516958424507665</v>
      </c>
      <c r="P384" s="121">
        <f t="shared" si="187"/>
        <v>0</v>
      </c>
      <c r="Q384" s="121">
        <f t="shared" si="188"/>
        <v>8.3333333333333329E-2</v>
      </c>
      <c r="R384" s="121">
        <f t="shared" si="189"/>
        <v>0.91666666666666663</v>
      </c>
      <c r="S384" s="121" t="str">
        <f t="shared" si="190"/>
        <v/>
      </c>
      <c r="T384" s="121" t="str">
        <f t="shared" si="191"/>
        <v/>
      </c>
      <c r="U384" s="121">
        <f t="shared" si="192"/>
        <v>1.0868</v>
      </c>
    </row>
    <row r="385" spans="1:21" x14ac:dyDescent="0.3">
      <c r="A385" s="187">
        <v>37</v>
      </c>
      <c r="B385" s="242">
        <f t="shared" si="193"/>
        <v>46753</v>
      </c>
      <c r="C385" s="243">
        <f t="shared" si="174"/>
        <v>46783</v>
      </c>
      <c r="D385" s="120">
        <f t="shared" si="175"/>
        <v>31</v>
      </c>
      <c r="E385" s="120">
        <f t="shared" si="176"/>
        <v>1</v>
      </c>
      <c r="F385" s="275">
        <f t="shared" si="177"/>
        <v>46768.5</v>
      </c>
      <c r="G385" s="120">
        <f t="shared" si="178"/>
        <v>24336</v>
      </c>
      <c r="H385" s="245">
        <f t="shared" si="179"/>
        <v>1</v>
      </c>
      <c r="I385" s="121">
        <f t="shared" si="180"/>
        <v>1.0868</v>
      </c>
      <c r="J385" s="121">
        <f t="shared" si="181"/>
        <v>1.0868</v>
      </c>
      <c r="K385" s="120">
        <f t="shared" si="182"/>
        <v>0</v>
      </c>
      <c r="L385" s="120">
        <f t="shared" si="183"/>
        <v>0</v>
      </c>
      <c r="M385" s="246">
        <f t="shared" si="184"/>
        <v>0</v>
      </c>
      <c r="N385" s="121">
        <f t="shared" si="185"/>
        <v>1.0868</v>
      </c>
      <c r="O385" s="246">
        <f t="shared" si="186"/>
        <v>0.90521174863387976</v>
      </c>
      <c r="P385" s="121">
        <f t="shared" si="187"/>
        <v>0</v>
      </c>
      <c r="Q385" s="121">
        <f t="shared" si="188"/>
        <v>0</v>
      </c>
      <c r="R385" s="121">
        <f t="shared" si="189"/>
        <v>1</v>
      </c>
      <c r="S385" s="121" t="str">
        <f t="shared" si="190"/>
        <v/>
      </c>
      <c r="T385" s="121" t="str">
        <f t="shared" si="191"/>
        <v/>
      </c>
      <c r="U385" s="121">
        <f t="shared" si="192"/>
        <v>1.0868</v>
      </c>
    </row>
    <row r="386" spans="1:21" x14ac:dyDescent="0.3">
      <c r="A386" s="187">
        <v>38</v>
      </c>
      <c r="B386" s="242">
        <f t="shared" si="193"/>
        <v>46784</v>
      </c>
      <c r="C386" s="243">
        <f t="shared" si="174"/>
        <v>46812</v>
      </c>
      <c r="D386" s="120">
        <f t="shared" si="175"/>
        <v>29</v>
      </c>
      <c r="E386" s="120">
        <f t="shared" si="176"/>
        <v>2</v>
      </c>
      <c r="F386" s="275">
        <f t="shared" si="177"/>
        <v>46798.5</v>
      </c>
      <c r="G386" s="120">
        <f t="shared" si="178"/>
        <v>24337</v>
      </c>
      <c r="H386" s="245">
        <f t="shared" si="179"/>
        <v>1</v>
      </c>
      <c r="I386" s="121">
        <f t="shared" si="180"/>
        <v>1.0868</v>
      </c>
      <c r="J386" s="121">
        <f t="shared" si="181"/>
        <v>1.0868</v>
      </c>
      <c r="K386" s="120">
        <f t="shared" si="182"/>
        <v>0</v>
      </c>
      <c r="L386" s="120">
        <f t="shared" si="183"/>
        <v>0</v>
      </c>
      <c r="M386" s="246">
        <f t="shared" si="184"/>
        <v>0</v>
      </c>
      <c r="N386" s="121">
        <f t="shared" si="185"/>
        <v>1.0868</v>
      </c>
      <c r="O386" s="246">
        <f t="shared" si="186"/>
        <v>0.90562158469945353</v>
      </c>
      <c r="P386" s="121">
        <f t="shared" si="187"/>
        <v>0</v>
      </c>
      <c r="Q386" s="121">
        <f t="shared" si="188"/>
        <v>0</v>
      </c>
      <c r="R386" s="121">
        <f t="shared" si="189"/>
        <v>1</v>
      </c>
      <c r="S386" s="121" t="str">
        <f t="shared" si="190"/>
        <v/>
      </c>
      <c r="T386" s="121" t="str">
        <f t="shared" si="191"/>
        <v/>
      </c>
      <c r="U386" s="121">
        <f t="shared" si="192"/>
        <v>1.0868</v>
      </c>
    </row>
    <row r="387" spans="1:21" x14ac:dyDescent="0.3">
      <c r="A387" s="187">
        <v>39</v>
      </c>
      <c r="B387" s="242">
        <f t="shared" si="193"/>
        <v>46813</v>
      </c>
      <c r="C387" s="243">
        <f t="shared" si="174"/>
        <v>46843</v>
      </c>
      <c r="D387" s="120">
        <f t="shared" si="175"/>
        <v>31</v>
      </c>
      <c r="E387" s="120">
        <f t="shared" si="176"/>
        <v>3</v>
      </c>
      <c r="F387" s="275">
        <f t="shared" si="177"/>
        <v>46828.5</v>
      </c>
      <c r="G387" s="120">
        <f t="shared" si="178"/>
        <v>24338</v>
      </c>
      <c r="H387" s="245">
        <f t="shared" si="179"/>
        <v>1</v>
      </c>
      <c r="I387" s="121">
        <f t="shared" si="180"/>
        <v>1.0868</v>
      </c>
      <c r="J387" s="121">
        <f t="shared" si="181"/>
        <v>1.0868</v>
      </c>
      <c r="K387" s="120">
        <f t="shared" si="182"/>
        <v>0</v>
      </c>
      <c r="L387" s="120">
        <f t="shared" si="183"/>
        <v>0</v>
      </c>
      <c r="M387" s="246">
        <f t="shared" si="184"/>
        <v>0</v>
      </c>
      <c r="N387" s="121">
        <f t="shared" si="185"/>
        <v>1.0868</v>
      </c>
      <c r="O387" s="246">
        <f t="shared" si="186"/>
        <v>0.9060314207650273</v>
      </c>
      <c r="P387" s="121">
        <f t="shared" si="187"/>
        <v>0</v>
      </c>
      <c r="Q387" s="121">
        <f t="shared" si="188"/>
        <v>0</v>
      </c>
      <c r="R387" s="121">
        <f t="shared" si="189"/>
        <v>1</v>
      </c>
      <c r="S387" s="121" t="str">
        <f t="shared" si="190"/>
        <v/>
      </c>
      <c r="T387" s="121" t="str">
        <f t="shared" si="191"/>
        <v/>
      </c>
      <c r="U387" s="121">
        <f t="shared" si="192"/>
        <v>1.0868</v>
      </c>
    </row>
    <row r="388" spans="1:21" x14ac:dyDescent="0.3">
      <c r="A388" s="187">
        <v>40</v>
      </c>
      <c r="B388" s="242">
        <f t="shared" si="193"/>
        <v>46844</v>
      </c>
      <c r="C388" s="243">
        <f t="shared" si="174"/>
        <v>46873</v>
      </c>
      <c r="D388" s="120">
        <f t="shared" si="175"/>
        <v>30</v>
      </c>
      <c r="E388" s="120">
        <f t="shared" si="176"/>
        <v>4</v>
      </c>
      <c r="F388" s="275">
        <f t="shared" si="177"/>
        <v>46859</v>
      </c>
      <c r="G388" s="120">
        <f t="shared" si="178"/>
        <v>24339</v>
      </c>
      <c r="H388" s="245">
        <f t="shared" si="179"/>
        <v>1</v>
      </c>
      <c r="I388" s="121">
        <f t="shared" si="180"/>
        <v>1.0868</v>
      </c>
      <c r="J388" s="121">
        <f t="shared" si="181"/>
        <v>1.0868</v>
      </c>
      <c r="K388" s="120">
        <f t="shared" si="182"/>
        <v>0</v>
      </c>
      <c r="L388" s="120">
        <f t="shared" si="183"/>
        <v>0</v>
      </c>
      <c r="M388" s="246">
        <f t="shared" si="184"/>
        <v>0</v>
      </c>
      <c r="N388" s="121">
        <f t="shared" si="185"/>
        <v>1.0868</v>
      </c>
      <c r="O388" s="246">
        <f t="shared" si="186"/>
        <v>0.90644808743169403</v>
      </c>
      <c r="P388" s="121">
        <f t="shared" si="187"/>
        <v>0</v>
      </c>
      <c r="Q388" s="121">
        <f t="shared" si="188"/>
        <v>0</v>
      </c>
      <c r="R388" s="121">
        <f t="shared" si="189"/>
        <v>1</v>
      </c>
      <c r="S388" s="121" t="str">
        <f t="shared" si="190"/>
        <v/>
      </c>
      <c r="T388" s="121" t="str">
        <f t="shared" si="191"/>
        <v/>
      </c>
      <c r="U388" s="121">
        <f t="shared" si="192"/>
        <v>1.0868</v>
      </c>
    </row>
    <row r="389" spans="1:21" x14ac:dyDescent="0.3">
      <c r="A389" s="187">
        <v>41</v>
      </c>
      <c r="B389" s="242">
        <f t="shared" si="193"/>
        <v>46874</v>
      </c>
      <c r="C389" s="243">
        <f t="shared" si="174"/>
        <v>46904</v>
      </c>
      <c r="D389" s="120">
        <f t="shared" si="175"/>
        <v>31</v>
      </c>
      <c r="E389" s="120">
        <f t="shared" si="176"/>
        <v>5</v>
      </c>
      <c r="F389" s="275">
        <f t="shared" si="177"/>
        <v>46889.5</v>
      </c>
      <c r="G389" s="120">
        <f t="shared" si="178"/>
        <v>24340</v>
      </c>
      <c r="H389" s="245">
        <f t="shared" si="179"/>
        <v>1</v>
      </c>
      <c r="I389" s="121">
        <f t="shared" si="180"/>
        <v>1.0868</v>
      </c>
      <c r="J389" s="121">
        <f t="shared" si="181"/>
        <v>1.0868</v>
      </c>
      <c r="K389" s="120">
        <f t="shared" si="182"/>
        <v>0</v>
      </c>
      <c r="L389" s="120">
        <f t="shared" si="183"/>
        <v>0</v>
      </c>
      <c r="M389" s="246">
        <f t="shared" si="184"/>
        <v>0</v>
      </c>
      <c r="N389" s="121">
        <f t="shared" si="185"/>
        <v>1.0868</v>
      </c>
      <c r="O389" s="246">
        <f t="shared" si="186"/>
        <v>0.90686475409836065</v>
      </c>
      <c r="P389" s="121">
        <f t="shared" si="187"/>
        <v>0</v>
      </c>
      <c r="Q389" s="121">
        <f t="shared" si="188"/>
        <v>0</v>
      </c>
      <c r="R389" s="121">
        <f t="shared" si="189"/>
        <v>1</v>
      </c>
      <c r="S389" s="121" t="str">
        <f t="shared" si="190"/>
        <v/>
      </c>
      <c r="T389" s="121" t="str">
        <f t="shared" si="191"/>
        <v/>
      </c>
      <c r="U389" s="121">
        <f t="shared" si="192"/>
        <v>1.0868</v>
      </c>
    </row>
    <row r="390" spans="1:21" x14ac:dyDescent="0.3">
      <c r="A390" s="187">
        <v>42</v>
      </c>
      <c r="B390" s="242">
        <f t="shared" si="193"/>
        <v>46905</v>
      </c>
      <c r="C390" s="243">
        <f t="shared" si="174"/>
        <v>46934</v>
      </c>
      <c r="D390" s="120">
        <f t="shared" si="175"/>
        <v>30</v>
      </c>
      <c r="E390" s="120">
        <f t="shared" si="176"/>
        <v>6</v>
      </c>
      <c r="F390" s="275">
        <f t="shared" si="177"/>
        <v>46920</v>
      </c>
      <c r="G390" s="120">
        <f t="shared" si="178"/>
        <v>24341</v>
      </c>
      <c r="H390" s="245">
        <f t="shared" si="179"/>
        <v>1</v>
      </c>
      <c r="I390" s="121">
        <f t="shared" si="180"/>
        <v>1.0868</v>
      </c>
      <c r="J390" s="121">
        <f t="shared" si="181"/>
        <v>1.0868</v>
      </c>
      <c r="K390" s="120">
        <f t="shared" si="182"/>
        <v>0</v>
      </c>
      <c r="L390" s="120">
        <f t="shared" si="183"/>
        <v>0</v>
      </c>
      <c r="M390" s="246">
        <f t="shared" si="184"/>
        <v>0</v>
      </c>
      <c r="N390" s="121">
        <f t="shared" si="185"/>
        <v>1.0868</v>
      </c>
      <c r="O390" s="246">
        <f t="shared" si="186"/>
        <v>0.90728142076502738</v>
      </c>
      <c r="P390" s="121">
        <f t="shared" si="187"/>
        <v>0</v>
      </c>
      <c r="Q390" s="121">
        <f t="shared" si="188"/>
        <v>0</v>
      </c>
      <c r="R390" s="121">
        <f t="shared" si="189"/>
        <v>1</v>
      </c>
      <c r="S390" s="121" t="str">
        <f t="shared" si="190"/>
        <v/>
      </c>
      <c r="T390" s="121" t="str">
        <f t="shared" si="191"/>
        <v/>
      </c>
      <c r="U390" s="121">
        <f t="shared" si="192"/>
        <v>1.0868</v>
      </c>
    </row>
    <row r="391" spans="1:21" x14ac:dyDescent="0.3">
      <c r="A391" s="187">
        <v>43</v>
      </c>
      <c r="B391" s="242">
        <f t="shared" si="193"/>
        <v>46935</v>
      </c>
      <c r="C391" s="243">
        <f t="shared" si="174"/>
        <v>46965</v>
      </c>
      <c r="D391" s="120">
        <f t="shared" si="175"/>
        <v>31</v>
      </c>
      <c r="E391" s="120">
        <f t="shared" si="176"/>
        <v>7</v>
      </c>
      <c r="F391" s="275">
        <f t="shared" si="177"/>
        <v>46950.5</v>
      </c>
      <c r="G391" s="120">
        <f t="shared" si="178"/>
        <v>24342</v>
      </c>
      <c r="H391" s="245">
        <f t="shared" si="179"/>
        <v>1</v>
      </c>
      <c r="I391" s="121">
        <f t="shared" si="180"/>
        <v>1.0868</v>
      </c>
      <c r="J391" s="121">
        <f t="shared" si="181"/>
        <v>1.0868</v>
      </c>
      <c r="K391" s="120">
        <f t="shared" si="182"/>
        <v>0</v>
      </c>
      <c r="L391" s="120">
        <f t="shared" si="183"/>
        <v>0</v>
      </c>
      <c r="M391" s="246">
        <f t="shared" si="184"/>
        <v>0</v>
      </c>
      <c r="N391" s="121">
        <f t="shared" si="185"/>
        <v>1.0868</v>
      </c>
      <c r="O391" s="246">
        <f t="shared" si="186"/>
        <v>0.907698087431694</v>
      </c>
      <c r="P391" s="121">
        <f t="shared" si="187"/>
        <v>0</v>
      </c>
      <c r="Q391" s="121">
        <f t="shared" si="188"/>
        <v>0</v>
      </c>
      <c r="R391" s="121">
        <f t="shared" si="189"/>
        <v>0.91666666666666663</v>
      </c>
      <c r="S391" s="121" t="str">
        <f t="shared" si="190"/>
        <v/>
      </c>
      <c r="T391" s="121" t="str">
        <f t="shared" si="191"/>
        <v/>
      </c>
      <c r="U391" s="121">
        <f t="shared" si="192"/>
        <v>1.0868</v>
      </c>
    </row>
    <row r="392" spans="1:21" x14ac:dyDescent="0.3">
      <c r="A392" s="187">
        <v>44</v>
      </c>
      <c r="B392" s="242">
        <f t="shared" si="193"/>
        <v>46966</v>
      </c>
      <c r="C392" s="243">
        <f t="shared" si="174"/>
        <v>46996</v>
      </c>
      <c r="D392" s="120">
        <f t="shared" si="175"/>
        <v>31</v>
      </c>
      <c r="E392" s="120">
        <f t="shared" si="176"/>
        <v>8</v>
      </c>
      <c r="F392" s="275">
        <f t="shared" si="177"/>
        <v>46981.5</v>
      </c>
      <c r="G392" s="120">
        <f t="shared" si="178"/>
        <v>24343</v>
      </c>
      <c r="H392" s="245">
        <f t="shared" si="179"/>
        <v>1</v>
      </c>
      <c r="I392" s="121">
        <f t="shared" si="180"/>
        <v>1.0868</v>
      </c>
      <c r="J392" s="121">
        <f t="shared" si="181"/>
        <v>1.0868</v>
      </c>
      <c r="K392" s="120">
        <f t="shared" si="182"/>
        <v>0</v>
      </c>
      <c r="L392" s="120">
        <f t="shared" si="183"/>
        <v>0</v>
      </c>
      <c r="M392" s="246">
        <f t="shared" si="184"/>
        <v>0</v>
      </c>
      <c r="N392" s="121">
        <f t="shared" si="185"/>
        <v>1.0868</v>
      </c>
      <c r="O392" s="246">
        <f t="shared" si="186"/>
        <v>0.90812158469945359</v>
      </c>
      <c r="P392" s="121">
        <f t="shared" si="187"/>
        <v>0</v>
      </c>
      <c r="Q392" s="121">
        <f t="shared" si="188"/>
        <v>0</v>
      </c>
      <c r="R392" s="121">
        <f t="shared" si="189"/>
        <v>0.75</v>
      </c>
      <c r="S392" s="121" t="str">
        <f t="shared" si="190"/>
        <v/>
      </c>
      <c r="T392" s="121" t="str">
        <f t="shared" si="191"/>
        <v/>
      </c>
      <c r="U392" s="121">
        <f t="shared" si="192"/>
        <v>1.0868</v>
      </c>
    </row>
    <row r="393" spans="1:21" x14ac:dyDescent="0.3">
      <c r="A393" s="187">
        <v>45</v>
      </c>
      <c r="B393" s="242">
        <f t="shared" si="193"/>
        <v>46997</v>
      </c>
      <c r="C393" s="243">
        <f t="shared" si="174"/>
        <v>47026</v>
      </c>
      <c r="D393" s="120">
        <f t="shared" si="175"/>
        <v>30</v>
      </c>
      <c r="E393" s="120">
        <f t="shared" si="176"/>
        <v>9</v>
      </c>
      <c r="F393" s="275">
        <f t="shared" si="177"/>
        <v>47012</v>
      </c>
      <c r="G393" s="120">
        <f t="shared" si="178"/>
        <v>24344</v>
      </c>
      <c r="H393" s="245">
        <f t="shared" si="179"/>
        <v>1</v>
      </c>
      <c r="I393" s="121">
        <f t="shared" si="180"/>
        <v>1.0868</v>
      </c>
      <c r="J393" s="121">
        <f t="shared" si="181"/>
        <v>1.0868</v>
      </c>
      <c r="K393" s="120">
        <f t="shared" si="182"/>
        <v>0</v>
      </c>
      <c r="L393" s="120">
        <f t="shared" si="183"/>
        <v>0</v>
      </c>
      <c r="M393" s="246">
        <f t="shared" si="184"/>
        <v>0</v>
      </c>
      <c r="N393" s="121">
        <f t="shared" si="185"/>
        <v>1.0868</v>
      </c>
      <c r="O393" s="246">
        <f t="shared" si="186"/>
        <v>0.90853825136612021</v>
      </c>
      <c r="P393" s="121">
        <f t="shared" si="187"/>
        <v>0</v>
      </c>
      <c r="Q393" s="121">
        <f t="shared" si="188"/>
        <v>0</v>
      </c>
      <c r="R393" s="121">
        <f t="shared" si="189"/>
        <v>0.58333333333333337</v>
      </c>
      <c r="S393" s="121" t="str">
        <f t="shared" si="190"/>
        <v/>
      </c>
      <c r="T393" s="121" t="str">
        <f t="shared" si="191"/>
        <v/>
      </c>
      <c r="U393" s="121">
        <f t="shared" si="192"/>
        <v>1.0868</v>
      </c>
    </row>
    <row r="394" spans="1:21" x14ac:dyDescent="0.3">
      <c r="A394" s="187">
        <v>46</v>
      </c>
      <c r="B394" s="242">
        <f t="shared" si="193"/>
        <v>47027</v>
      </c>
      <c r="C394" s="243">
        <f t="shared" si="174"/>
        <v>47057</v>
      </c>
      <c r="D394" s="120">
        <f t="shared" si="175"/>
        <v>31</v>
      </c>
      <c r="E394" s="120">
        <f t="shared" si="176"/>
        <v>10</v>
      </c>
      <c r="F394" s="275">
        <f t="shared" si="177"/>
        <v>47042.5</v>
      </c>
      <c r="G394" s="120">
        <f t="shared" si="178"/>
        <v>24345</v>
      </c>
      <c r="H394" s="245">
        <f t="shared" si="179"/>
        <v>1</v>
      </c>
      <c r="I394" s="121">
        <f t="shared" si="180"/>
        <v>1.0868</v>
      </c>
      <c r="J394" s="121">
        <f t="shared" si="181"/>
        <v>1.0868</v>
      </c>
      <c r="K394" s="120">
        <f t="shared" si="182"/>
        <v>0</v>
      </c>
      <c r="L394" s="120">
        <f t="shared" si="183"/>
        <v>0</v>
      </c>
      <c r="M394" s="246">
        <f t="shared" si="184"/>
        <v>0</v>
      </c>
      <c r="N394" s="121">
        <f t="shared" si="185"/>
        <v>1.0868</v>
      </c>
      <c r="O394" s="246">
        <f t="shared" si="186"/>
        <v>0.90895491803278694</v>
      </c>
      <c r="P394" s="121">
        <f t="shared" si="187"/>
        <v>0</v>
      </c>
      <c r="Q394" s="121">
        <f t="shared" si="188"/>
        <v>0</v>
      </c>
      <c r="R394" s="121">
        <f t="shared" si="189"/>
        <v>0.41666666666666669</v>
      </c>
      <c r="S394" s="121" t="str">
        <f t="shared" si="190"/>
        <v/>
      </c>
      <c r="T394" s="121" t="str">
        <f t="shared" si="191"/>
        <v/>
      </c>
      <c r="U394" s="121">
        <f t="shared" si="192"/>
        <v>1.0868</v>
      </c>
    </row>
    <row r="395" spans="1:21" x14ac:dyDescent="0.3">
      <c r="A395" s="187">
        <v>47</v>
      </c>
      <c r="B395" s="242">
        <f t="shared" si="193"/>
        <v>47058</v>
      </c>
      <c r="C395" s="243">
        <f t="shared" si="174"/>
        <v>47087</v>
      </c>
      <c r="D395" s="120">
        <f t="shared" si="175"/>
        <v>30</v>
      </c>
      <c r="E395" s="120">
        <f t="shared" si="176"/>
        <v>11</v>
      </c>
      <c r="F395" s="275">
        <f t="shared" si="177"/>
        <v>47073</v>
      </c>
      <c r="G395" s="120">
        <f t="shared" si="178"/>
        <v>24346</v>
      </c>
      <c r="H395" s="245">
        <f t="shared" si="179"/>
        <v>1</v>
      </c>
      <c r="I395" s="121">
        <f t="shared" si="180"/>
        <v>1.0868</v>
      </c>
      <c r="J395" s="121">
        <f t="shared" si="181"/>
        <v>1.0868</v>
      </c>
      <c r="K395" s="120">
        <f t="shared" si="182"/>
        <v>0</v>
      </c>
      <c r="L395" s="120">
        <f t="shared" si="183"/>
        <v>0</v>
      </c>
      <c r="M395" s="246">
        <f t="shared" si="184"/>
        <v>0</v>
      </c>
      <c r="N395" s="121">
        <f t="shared" si="185"/>
        <v>1.0868</v>
      </c>
      <c r="O395" s="246">
        <f t="shared" si="186"/>
        <v>0.90937158469945356</v>
      </c>
      <c r="P395" s="121">
        <f t="shared" si="187"/>
        <v>0</v>
      </c>
      <c r="Q395" s="121">
        <f t="shared" si="188"/>
        <v>0</v>
      </c>
      <c r="R395" s="121">
        <f t="shared" si="189"/>
        <v>0.25</v>
      </c>
      <c r="S395" s="121" t="str">
        <f t="shared" si="190"/>
        <v/>
      </c>
      <c r="T395" s="121" t="str">
        <f t="shared" si="191"/>
        <v/>
      </c>
      <c r="U395" s="121">
        <f t="shared" si="192"/>
        <v>1.0868</v>
      </c>
    </row>
    <row r="396" spans="1:21" x14ac:dyDescent="0.3">
      <c r="A396" s="187">
        <v>48</v>
      </c>
      <c r="B396" s="242">
        <f t="shared" si="193"/>
        <v>47088</v>
      </c>
      <c r="C396" s="243">
        <f t="shared" si="174"/>
        <v>47118</v>
      </c>
      <c r="D396" s="120">
        <f t="shared" si="175"/>
        <v>31</v>
      </c>
      <c r="E396" s="120">
        <f t="shared" si="176"/>
        <v>12</v>
      </c>
      <c r="F396" s="275">
        <f t="shared" si="177"/>
        <v>47103.5</v>
      </c>
      <c r="G396" s="120">
        <f t="shared" si="178"/>
        <v>24347</v>
      </c>
      <c r="H396" s="245">
        <f t="shared" si="179"/>
        <v>1</v>
      </c>
      <c r="I396" s="121">
        <f t="shared" si="180"/>
        <v>1.0868</v>
      </c>
      <c r="J396" s="121">
        <f t="shared" si="181"/>
        <v>1.0868</v>
      </c>
      <c r="K396" s="120">
        <f t="shared" si="182"/>
        <v>0</v>
      </c>
      <c r="L396" s="120">
        <f t="shared" si="183"/>
        <v>0</v>
      </c>
      <c r="M396" s="246">
        <f t="shared" si="184"/>
        <v>0</v>
      </c>
      <c r="N396" s="121">
        <f t="shared" si="185"/>
        <v>1.0868</v>
      </c>
      <c r="O396" s="246">
        <f t="shared" si="186"/>
        <v>0.90978825136612029</v>
      </c>
      <c r="P396" s="121">
        <f t="shared" si="187"/>
        <v>0</v>
      </c>
      <c r="Q396" s="121">
        <f t="shared" si="188"/>
        <v>0</v>
      </c>
      <c r="R396" s="121">
        <f t="shared" si="189"/>
        <v>8.3333333333333329E-2</v>
      </c>
      <c r="S396" s="121" t="str">
        <f t="shared" si="190"/>
        <v/>
      </c>
      <c r="T396" s="121" t="str">
        <f t="shared" si="191"/>
        <v/>
      </c>
      <c r="U396" s="121">
        <f t="shared" si="192"/>
        <v>1.0868</v>
      </c>
    </row>
    <row r="397" spans="1:21" x14ac:dyDescent="0.3">
      <c r="A397" s="6" t="s">
        <v>1651</v>
      </c>
      <c r="B397" s="73">
        <f>EXP(SUMPRODUCT((rl_key=$A$346)*(rl_cons="Y")*rl_ln1p))</f>
        <v>1.0449999999999999</v>
      </c>
      <c r="C397" s="73">
        <f>SUMPRODUCT($H$349:$H$396,$P$349:$P$396,$U$349:$U$396)/SUMPRODUCT($H$349:$H$396,$P$349:$P$396)</f>
        <v>1.0149999999999999</v>
      </c>
      <c r="D397" s="73">
        <f>SUMPRODUCT($H$349:$H$396,$Q$349:$Q$396,$U$349:$U$396)/SUMPRODUCT($H$349:$H$396,$Q$349:$Q$396)</f>
        <v>1.0589333333333328</v>
      </c>
      <c r="E397" s="73">
        <f>SUMPRODUCT($H$349:$H$396,$R$349:$R$396,$U$349:$U$396)/SUMPRODUCT($H$349:$H$396,$R$349:$R$396)</f>
        <v>1.0867999999999995</v>
      </c>
      <c r="F397" s="224">
        <f>SUMPRODUCT($H$349:$H$396,$Q$349:$Q$396,$O$349:$O$396)/SUMPRODUCT($H$349:$H$396,$Q$349:$Q$396)</f>
        <v>0.90792706178871529</v>
      </c>
      <c r="G397" s="224">
        <f>SUMPRODUCT($H$349:$H$396,$R$349:$R$396,$O$349:$O$396)/SUMPRODUCT($H$349:$H$396,$R$349:$R$396)</f>
        <v>0.90662632410363519</v>
      </c>
      <c r="H397" s="73">
        <f>SUMPRODUCT($H$373:$H$384,$N$373:$N$384/$N$361:$N$372)/SUM($H$373:$H$384)</f>
        <v>1.042083333333333</v>
      </c>
      <c r="I397" s="73">
        <f>SUMPRODUCT($H$373:$H$384,$O$373:$O$384/$O$361:$O$372)/SUM($H$373:$H$384)</f>
        <v>0.99995181371858044</v>
      </c>
      <c r="J397" s="73">
        <f>IF($O$346=1,SUMPRODUCT($H$373:$H$384,$N$373:$N$384/$N$361:$N$372*$O$373:$O$384/$O$361:$O$372)/SUM($H$373:$H$384),$H397)</f>
        <v>1.042041501054473</v>
      </c>
      <c r="K397" s="73">
        <f>SUMPRODUCT($H$349:$H$396,$Q$349:$Q$396,$N$349:$N$396)/SUMPRODUCT($H$349:$H$396,$Q$349:$Q$396)</f>
        <v>1.0589333333333328</v>
      </c>
      <c r="L397" s="73">
        <f>SUMPRODUCT($H$349:$H$396,$R$349:$R$396,$N$349:$N$396)/SUMPRODUCT($H$349:$H$396,$R$349:$R$396)</f>
        <v>1.0867999999999995</v>
      </c>
    </row>
    <row r="400" spans="1:21" x14ac:dyDescent="0.3">
      <c r="A400" s="6" t="str">
        <f>INDEX(lr_key,7)</f>
        <v>ABD|IL</v>
      </c>
      <c r="B400" s="6" t="str">
        <f>INDEX(lr_state,7)</f>
        <v>IL</v>
      </c>
      <c r="C400" s="75">
        <f>nr_TermMonths</f>
        <v>6</v>
      </c>
      <c r="D400" s="75">
        <f>IF(COUNTIF(se_state,$B400)=0,0,MATCH($B400,se_state,0))</f>
        <v>1</v>
      </c>
      <c r="E400" s="70">
        <f>IF($D400=0,0,INDEX(se_sum,$D400))</f>
        <v>11.999999999999998</v>
      </c>
      <c r="F400" s="224">
        <f>IF(N(INDEX(lr_mind,7))=0,1,INDEX(lr_mind,7))</f>
        <v>0.92</v>
      </c>
      <c r="G400" s="224">
        <f>IF(N(INDEX(lr_m0,7))=0,1,INDEX(lr_m0,7))</f>
        <v>0.91</v>
      </c>
      <c r="H400" s="74">
        <f>IF(N(INDEX(lr_m0asof,7))=0,DATE(nr_PlanYear-1,10,1),INDEX(lr_m0asof,7))</f>
        <v>46295</v>
      </c>
      <c r="I400" s="224">
        <f>IF(N(INDEX(lr_m1,7))=0,1,INDEX(lr_m1,7))</f>
        <v>0.92</v>
      </c>
      <c r="J400" s="224">
        <f>INDEX(lr_mprior,7)</f>
        <v>0</v>
      </c>
      <c r="K400" s="224">
        <f>INDEX(lr_m2,7)</f>
        <v>0</v>
      </c>
      <c r="L400" s="6" t="b">
        <f>NOT(ISBLANK(INDEX(lr_netp,7)))</f>
        <v>0</v>
      </c>
      <c r="M400" s="72">
        <f>N(INDEX(lr_netp,7))</f>
        <v>0</v>
      </c>
      <c r="N400" s="72">
        <f>IF(ISBLANK(INDEX(lr_netp1,7)),$M$400,N(INDEX(lr_netp1,7)))</f>
        <v>0</v>
      </c>
      <c r="O400" s="75">
        <f>IF(AND(nr_ModAdjMaster="ON",INDEX(lr_modadj,7)="ON"),1,0)</f>
        <v>1</v>
      </c>
    </row>
    <row r="401" spans="1:21" x14ac:dyDescent="0.3">
      <c r="A401" s="6">
        <f>EDATE($H$400,-12)+1</f>
        <v>45931</v>
      </c>
      <c r="B401" s="6">
        <f>$H$400+1</f>
        <v>46296</v>
      </c>
      <c r="C401" s="6">
        <f>DATE(nr_PlanYear,12,31)+1</f>
        <v>46753</v>
      </c>
      <c r="D401" s="6">
        <f>DATE(nr_PlanYear+1,12,31)+1</f>
        <v>47119</v>
      </c>
      <c r="E401" s="6">
        <f>IF(N($J$400)=0,$F$401-($G$401-$F$401)/($C$401-$B$401)*($B$401-$A$401),$J$400)</f>
        <v>0.9020131291028447</v>
      </c>
      <c r="F401" s="6">
        <f>$G$400</f>
        <v>0.91</v>
      </c>
      <c r="G401" s="6">
        <f>$I$400</f>
        <v>0.92</v>
      </c>
      <c r="H401" s="6">
        <f>IF(N($K$400)=0,$I$400,$K$400)</f>
        <v>0.92</v>
      </c>
      <c r="I401" s="6">
        <f>($F$401-$E$401)/($B$401-$A$401)</f>
        <v>2.1881838074398162E-5</v>
      </c>
      <c r="J401" s="6">
        <f>($G$401-$F$401)/($C$401-$B$401)</f>
        <v>2.188183807439827E-5</v>
      </c>
      <c r="K401" s="6">
        <f>($H$401-$G$401)/($D$401-$C$401)</f>
        <v>0</v>
      </c>
    </row>
    <row r="402" spans="1:21" ht="36" x14ac:dyDescent="0.3">
      <c r="A402" s="58" t="s">
        <v>390</v>
      </c>
      <c r="B402" s="58" t="s">
        <v>449</v>
      </c>
      <c r="C402" s="58" t="s">
        <v>685</v>
      </c>
      <c r="D402" s="58" t="s">
        <v>686</v>
      </c>
      <c r="E402" s="58" t="s">
        <v>687</v>
      </c>
      <c r="F402" s="58" t="s">
        <v>688</v>
      </c>
      <c r="G402" s="58" t="s">
        <v>689</v>
      </c>
      <c r="H402" s="58" t="s">
        <v>452</v>
      </c>
      <c r="I402" s="58" t="s">
        <v>690</v>
      </c>
      <c r="J402" s="58" t="s">
        <v>691</v>
      </c>
      <c r="K402" s="58" t="s">
        <v>692</v>
      </c>
      <c r="L402" s="58" t="s">
        <v>693</v>
      </c>
      <c r="M402" s="58" t="s">
        <v>694</v>
      </c>
      <c r="N402" s="58" t="s">
        <v>695</v>
      </c>
      <c r="O402" s="58" t="s">
        <v>696</v>
      </c>
      <c r="P402" s="58" t="s">
        <v>697</v>
      </c>
      <c r="Q402" s="58" t="s">
        <v>698</v>
      </c>
      <c r="R402" s="58" t="s">
        <v>699</v>
      </c>
      <c r="S402" s="58" t="s">
        <v>700</v>
      </c>
      <c r="T402" s="58" t="s">
        <v>701</v>
      </c>
      <c r="U402" s="58" t="s">
        <v>702</v>
      </c>
    </row>
    <row r="403" spans="1:21" x14ac:dyDescent="0.3">
      <c r="A403" s="187">
        <v>1</v>
      </c>
      <c r="B403" s="242">
        <f>DATE(nr_PlanYear-2,1,1)</f>
        <v>45658</v>
      </c>
      <c r="C403" s="243">
        <f t="shared" ref="C403:C450" si="194">EOMONTH($B403,0)</f>
        <v>45688</v>
      </c>
      <c r="D403" s="120">
        <f t="shared" ref="D403:D450" si="195">$C403-$B403+1</f>
        <v>31</v>
      </c>
      <c r="E403" s="120">
        <f t="shared" ref="E403:E450" si="196">MONTH($B403)</f>
        <v>1</v>
      </c>
      <c r="F403" s="275">
        <f t="shared" ref="F403:F450" si="197">($B403+$C403+1)/2</f>
        <v>45673.5</v>
      </c>
      <c r="G403" s="120">
        <f t="shared" ref="G403:G450" si="198">YEAR($B403)*12+MONTH($B403)-1</f>
        <v>24300</v>
      </c>
      <c r="H403" s="245">
        <f t="shared" ref="H403:H450" si="199">IF(OR(nr_SeasonOn="OFF",$D$400=0,$E$400=0),1,12*INDEX(se_block,$D$400,$E403)/$E$400)</f>
        <v>1</v>
      </c>
      <c r="I403" s="121">
        <f t="shared" ref="I403:I450" si="200">EXP(SUMPRODUCT((rl_eff&lt;$B403)*(rl_key=$A$400)*rl_ln1p))</f>
        <v>1</v>
      </c>
      <c r="J403" s="121">
        <f t="shared" ref="J403:J450" si="201">EXP(SUMPRODUCT((rl_eff&lt;=$C403)*(rl_key=$A$400)*rl_ln1p))</f>
        <v>1</v>
      </c>
      <c r="K403" s="120">
        <f t="shared" ref="K403:K450" si="202">COUNTIFS(rl_key,$A$400,rl_eff,"&gt;="&amp;$B403,rl_eff,"&lt;="&amp;$C403)</f>
        <v>0</v>
      </c>
      <c r="L403" s="120">
        <f t="shared" ref="L403:L450" si="203">SUMIFS(rl_daysafter,rl_key,$A$400,rl_effmonth,$B403,rl_first,1)</f>
        <v>0</v>
      </c>
      <c r="M403" s="246">
        <f t="shared" ref="M403:M450" si="204">IF($K403=0,0,MIN(1,$L403/$D403))</f>
        <v>0</v>
      </c>
      <c r="N403" s="121">
        <f t="shared" ref="N403:N450" si="205">IF($K403=0,$J403,(1-$M403)*$I403+$M403*$J403)</f>
        <v>1</v>
      </c>
      <c r="O403" s="246">
        <f t="shared" ref="O403:O450" si="206">IF($F403&lt;$B$401,$E$401+$I$401*($F403-$A$401),IF($F403&lt;$C$401,$F$401+$J$401*($F403-$B$401),$G$401+$K$401*($F403-$C$401)))</f>
        <v>0.89637855579868719</v>
      </c>
      <c r="P403" s="121">
        <f t="shared" ref="P403:P450" si="207">MIN(1,MAX(0,(nr_MEndPm1-$G403+0.5)/$C$400))-MIN(1,MAX(0,(nr_MStartPm1-1-$G403+0.5)/$C$400))</f>
        <v>0</v>
      </c>
      <c r="Q403" s="121">
        <f t="shared" ref="Q403:Q450" si="208">MIN(1,MAX(0,(nr_MEndP-$G403+0.5)/$C$400))-MIN(1,MAX(0,(nr_MStartP-1-$G403+0.5)/$C$400))</f>
        <v>0</v>
      </c>
      <c r="R403" s="121">
        <f t="shared" ref="R403:R450" si="209">MIN(1,MAX(0,(nr_MEndP1-$G403+0.5)/$C$400))-MIN(1,MAX(0,(nr_MStartP1-1-$G403+0.5)/$C$400))</f>
        <v>0</v>
      </c>
      <c r="S403" s="121" t="str">
        <f t="shared" ref="S403:S450" si="210">IF($L$400,$N403*IF($O$400=1,$O403/$F$400,1),"")</f>
        <v/>
      </c>
      <c r="T403" s="121" t="str">
        <f t="shared" ref="T403:T450" si="211">IF(NOT($L$400),"",IF($G403&lt;nr_MStartP,$S403,$T391*(1+IF($G403&lt;nr_MStartP1,$M$400,$N$400))))</f>
        <v/>
      </c>
      <c r="U403" s="121">
        <f t="shared" ref="U403:U450" si="212">IF($L$400,$T403,$N403)</f>
        <v>1</v>
      </c>
    </row>
    <row r="404" spans="1:21" x14ac:dyDescent="0.3">
      <c r="A404" s="187">
        <v>2</v>
      </c>
      <c r="B404" s="242">
        <f t="shared" ref="B404:B450" si="213">EDATE($B403,1)</f>
        <v>45689</v>
      </c>
      <c r="C404" s="243">
        <f t="shared" si="194"/>
        <v>45716</v>
      </c>
      <c r="D404" s="120">
        <f t="shared" si="195"/>
        <v>28</v>
      </c>
      <c r="E404" s="120">
        <f t="shared" si="196"/>
        <v>2</v>
      </c>
      <c r="F404" s="275">
        <f t="shared" si="197"/>
        <v>45703</v>
      </c>
      <c r="G404" s="120">
        <f t="shared" si="198"/>
        <v>24301</v>
      </c>
      <c r="H404" s="245">
        <f t="shared" si="199"/>
        <v>1</v>
      </c>
      <c r="I404" s="121">
        <f t="shared" si="200"/>
        <v>1</v>
      </c>
      <c r="J404" s="121">
        <f t="shared" si="201"/>
        <v>1</v>
      </c>
      <c r="K404" s="120">
        <f t="shared" si="202"/>
        <v>0</v>
      </c>
      <c r="L404" s="120">
        <f t="shared" si="203"/>
        <v>0</v>
      </c>
      <c r="M404" s="246">
        <f t="shared" si="204"/>
        <v>0</v>
      </c>
      <c r="N404" s="121">
        <f t="shared" si="205"/>
        <v>1</v>
      </c>
      <c r="O404" s="246">
        <f t="shared" si="206"/>
        <v>0.89702407002188189</v>
      </c>
      <c r="P404" s="121">
        <f t="shared" si="207"/>
        <v>0</v>
      </c>
      <c r="Q404" s="121">
        <f t="shared" si="208"/>
        <v>0</v>
      </c>
      <c r="R404" s="121">
        <f t="shared" si="209"/>
        <v>0</v>
      </c>
      <c r="S404" s="121" t="str">
        <f t="shared" si="210"/>
        <v/>
      </c>
      <c r="T404" s="121" t="str">
        <f t="shared" si="211"/>
        <v/>
      </c>
      <c r="U404" s="121">
        <f t="shared" si="212"/>
        <v>1</v>
      </c>
    </row>
    <row r="405" spans="1:21" x14ac:dyDescent="0.3">
      <c r="A405" s="187">
        <v>3</v>
      </c>
      <c r="B405" s="242">
        <f t="shared" si="213"/>
        <v>45717</v>
      </c>
      <c r="C405" s="243">
        <f t="shared" si="194"/>
        <v>45747</v>
      </c>
      <c r="D405" s="120">
        <f t="shared" si="195"/>
        <v>31</v>
      </c>
      <c r="E405" s="120">
        <f t="shared" si="196"/>
        <v>3</v>
      </c>
      <c r="F405" s="275">
        <f t="shared" si="197"/>
        <v>45732.5</v>
      </c>
      <c r="G405" s="120">
        <f t="shared" si="198"/>
        <v>24302</v>
      </c>
      <c r="H405" s="245">
        <f t="shared" si="199"/>
        <v>1</v>
      </c>
      <c r="I405" s="121">
        <f t="shared" si="200"/>
        <v>1</v>
      </c>
      <c r="J405" s="121">
        <f t="shared" si="201"/>
        <v>1</v>
      </c>
      <c r="K405" s="120">
        <f t="shared" si="202"/>
        <v>0</v>
      </c>
      <c r="L405" s="120">
        <f t="shared" si="203"/>
        <v>0</v>
      </c>
      <c r="M405" s="246">
        <f t="shared" si="204"/>
        <v>0</v>
      </c>
      <c r="N405" s="121">
        <f t="shared" si="205"/>
        <v>1</v>
      </c>
      <c r="O405" s="246">
        <f t="shared" si="206"/>
        <v>0.8976695842450767</v>
      </c>
      <c r="P405" s="121">
        <f t="shared" si="207"/>
        <v>0</v>
      </c>
      <c r="Q405" s="121">
        <f t="shared" si="208"/>
        <v>0</v>
      </c>
      <c r="R405" s="121">
        <f t="shared" si="209"/>
        <v>0</v>
      </c>
      <c r="S405" s="121" t="str">
        <f t="shared" si="210"/>
        <v/>
      </c>
      <c r="T405" s="121" t="str">
        <f t="shared" si="211"/>
        <v/>
      </c>
      <c r="U405" s="121">
        <f t="shared" si="212"/>
        <v>1</v>
      </c>
    </row>
    <row r="406" spans="1:21" x14ac:dyDescent="0.3">
      <c r="A406" s="187">
        <v>4</v>
      </c>
      <c r="B406" s="242">
        <f t="shared" si="213"/>
        <v>45748</v>
      </c>
      <c r="C406" s="243">
        <f t="shared" si="194"/>
        <v>45777</v>
      </c>
      <c r="D406" s="120">
        <f t="shared" si="195"/>
        <v>30</v>
      </c>
      <c r="E406" s="120">
        <f t="shared" si="196"/>
        <v>4</v>
      </c>
      <c r="F406" s="275">
        <f t="shared" si="197"/>
        <v>45763</v>
      </c>
      <c r="G406" s="120">
        <f t="shared" si="198"/>
        <v>24303</v>
      </c>
      <c r="H406" s="245">
        <f t="shared" si="199"/>
        <v>1</v>
      </c>
      <c r="I406" s="121">
        <f t="shared" si="200"/>
        <v>1</v>
      </c>
      <c r="J406" s="121">
        <f t="shared" si="201"/>
        <v>1</v>
      </c>
      <c r="K406" s="120">
        <f t="shared" si="202"/>
        <v>0</v>
      </c>
      <c r="L406" s="120">
        <f t="shared" si="203"/>
        <v>0</v>
      </c>
      <c r="M406" s="246">
        <f t="shared" si="204"/>
        <v>0</v>
      </c>
      <c r="N406" s="121">
        <f t="shared" si="205"/>
        <v>1</v>
      </c>
      <c r="O406" s="246">
        <f t="shared" si="206"/>
        <v>0.89833698030634579</v>
      </c>
      <c r="P406" s="121">
        <f t="shared" si="207"/>
        <v>0</v>
      </c>
      <c r="Q406" s="121">
        <f t="shared" si="208"/>
        <v>0</v>
      </c>
      <c r="R406" s="121">
        <f t="shared" si="209"/>
        <v>0</v>
      </c>
      <c r="S406" s="121" t="str">
        <f t="shared" si="210"/>
        <v/>
      </c>
      <c r="T406" s="121" t="str">
        <f t="shared" si="211"/>
        <v/>
      </c>
      <c r="U406" s="121">
        <f t="shared" si="212"/>
        <v>1</v>
      </c>
    </row>
    <row r="407" spans="1:21" x14ac:dyDescent="0.3">
      <c r="A407" s="187">
        <v>5</v>
      </c>
      <c r="B407" s="242">
        <f t="shared" si="213"/>
        <v>45778</v>
      </c>
      <c r="C407" s="243">
        <f t="shared" si="194"/>
        <v>45808</v>
      </c>
      <c r="D407" s="120">
        <f t="shared" si="195"/>
        <v>31</v>
      </c>
      <c r="E407" s="120">
        <f t="shared" si="196"/>
        <v>5</v>
      </c>
      <c r="F407" s="275">
        <f t="shared" si="197"/>
        <v>45793.5</v>
      </c>
      <c r="G407" s="120">
        <f t="shared" si="198"/>
        <v>24304</v>
      </c>
      <c r="H407" s="245">
        <f t="shared" si="199"/>
        <v>1</v>
      </c>
      <c r="I407" s="121">
        <f t="shared" si="200"/>
        <v>1</v>
      </c>
      <c r="J407" s="121">
        <f t="shared" si="201"/>
        <v>1</v>
      </c>
      <c r="K407" s="120">
        <f t="shared" si="202"/>
        <v>0</v>
      </c>
      <c r="L407" s="120">
        <f t="shared" si="203"/>
        <v>0</v>
      </c>
      <c r="M407" s="246">
        <f t="shared" si="204"/>
        <v>0</v>
      </c>
      <c r="N407" s="121">
        <f t="shared" si="205"/>
        <v>1</v>
      </c>
      <c r="O407" s="246">
        <f t="shared" si="206"/>
        <v>0.89900437636761499</v>
      </c>
      <c r="P407" s="121">
        <f t="shared" si="207"/>
        <v>0</v>
      </c>
      <c r="Q407" s="121">
        <f t="shared" si="208"/>
        <v>0</v>
      </c>
      <c r="R407" s="121">
        <f t="shared" si="209"/>
        <v>0</v>
      </c>
      <c r="S407" s="121" t="str">
        <f t="shared" si="210"/>
        <v/>
      </c>
      <c r="T407" s="121" t="str">
        <f t="shared" si="211"/>
        <v/>
      </c>
      <c r="U407" s="121">
        <f t="shared" si="212"/>
        <v>1</v>
      </c>
    </row>
    <row r="408" spans="1:21" x14ac:dyDescent="0.3">
      <c r="A408" s="187">
        <v>6</v>
      </c>
      <c r="B408" s="242">
        <f t="shared" si="213"/>
        <v>45809</v>
      </c>
      <c r="C408" s="243">
        <f t="shared" si="194"/>
        <v>45838</v>
      </c>
      <c r="D408" s="120">
        <f t="shared" si="195"/>
        <v>30</v>
      </c>
      <c r="E408" s="120">
        <f t="shared" si="196"/>
        <v>6</v>
      </c>
      <c r="F408" s="275">
        <f t="shared" si="197"/>
        <v>45824</v>
      </c>
      <c r="G408" s="120">
        <f t="shared" si="198"/>
        <v>24305</v>
      </c>
      <c r="H408" s="245">
        <f t="shared" si="199"/>
        <v>1</v>
      </c>
      <c r="I408" s="121">
        <f t="shared" si="200"/>
        <v>1</v>
      </c>
      <c r="J408" s="121">
        <f t="shared" si="201"/>
        <v>1</v>
      </c>
      <c r="K408" s="120">
        <f t="shared" si="202"/>
        <v>0</v>
      </c>
      <c r="L408" s="120">
        <f t="shared" si="203"/>
        <v>0</v>
      </c>
      <c r="M408" s="246">
        <f t="shared" si="204"/>
        <v>0</v>
      </c>
      <c r="N408" s="121">
        <f t="shared" si="205"/>
        <v>1</v>
      </c>
      <c r="O408" s="246">
        <f t="shared" si="206"/>
        <v>0.89967177242888408</v>
      </c>
      <c r="P408" s="121">
        <f t="shared" si="207"/>
        <v>0</v>
      </c>
      <c r="Q408" s="121">
        <f t="shared" si="208"/>
        <v>0</v>
      </c>
      <c r="R408" s="121">
        <f t="shared" si="209"/>
        <v>0</v>
      </c>
      <c r="S408" s="121" t="str">
        <f t="shared" si="210"/>
        <v/>
      </c>
      <c r="T408" s="121" t="str">
        <f t="shared" si="211"/>
        <v/>
      </c>
      <c r="U408" s="121">
        <f t="shared" si="212"/>
        <v>1</v>
      </c>
    </row>
    <row r="409" spans="1:21" x14ac:dyDescent="0.3">
      <c r="A409" s="187">
        <v>7</v>
      </c>
      <c r="B409" s="242">
        <f t="shared" si="213"/>
        <v>45839</v>
      </c>
      <c r="C409" s="243">
        <f t="shared" si="194"/>
        <v>45869</v>
      </c>
      <c r="D409" s="120">
        <f t="shared" si="195"/>
        <v>31</v>
      </c>
      <c r="E409" s="120">
        <f t="shared" si="196"/>
        <v>7</v>
      </c>
      <c r="F409" s="275">
        <f t="shared" si="197"/>
        <v>45854.5</v>
      </c>
      <c r="G409" s="120">
        <f t="shared" si="198"/>
        <v>24306</v>
      </c>
      <c r="H409" s="245">
        <f t="shared" si="199"/>
        <v>1</v>
      </c>
      <c r="I409" s="121">
        <f t="shared" si="200"/>
        <v>1</v>
      </c>
      <c r="J409" s="121">
        <f t="shared" si="201"/>
        <v>1</v>
      </c>
      <c r="K409" s="120">
        <f t="shared" si="202"/>
        <v>0</v>
      </c>
      <c r="L409" s="120">
        <f t="shared" si="203"/>
        <v>0</v>
      </c>
      <c r="M409" s="246">
        <f t="shared" si="204"/>
        <v>0</v>
      </c>
      <c r="N409" s="121">
        <f t="shared" si="205"/>
        <v>1</v>
      </c>
      <c r="O409" s="246">
        <f t="shared" si="206"/>
        <v>0.90033916849015327</v>
      </c>
      <c r="P409" s="121">
        <f t="shared" si="207"/>
        <v>8.333333333333337E-2</v>
      </c>
      <c r="Q409" s="121">
        <f t="shared" si="208"/>
        <v>0</v>
      </c>
      <c r="R409" s="121">
        <f t="shared" si="209"/>
        <v>0</v>
      </c>
      <c r="S409" s="121" t="str">
        <f t="shared" si="210"/>
        <v/>
      </c>
      <c r="T409" s="121" t="str">
        <f t="shared" si="211"/>
        <v/>
      </c>
      <c r="U409" s="121">
        <f t="shared" si="212"/>
        <v>1</v>
      </c>
    </row>
    <row r="410" spans="1:21" x14ac:dyDescent="0.3">
      <c r="A410" s="187">
        <v>8</v>
      </c>
      <c r="B410" s="242">
        <f t="shared" si="213"/>
        <v>45870</v>
      </c>
      <c r="C410" s="243">
        <f t="shared" si="194"/>
        <v>45900</v>
      </c>
      <c r="D410" s="120">
        <f t="shared" si="195"/>
        <v>31</v>
      </c>
      <c r="E410" s="120">
        <f t="shared" si="196"/>
        <v>8</v>
      </c>
      <c r="F410" s="275">
        <f t="shared" si="197"/>
        <v>45885.5</v>
      </c>
      <c r="G410" s="120">
        <f t="shared" si="198"/>
        <v>24307</v>
      </c>
      <c r="H410" s="245">
        <f t="shared" si="199"/>
        <v>1</v>
      </c>
      <c r="I410" s="121">
        <f t="shared" si="200"/>
        <v>1</v>
      </c>
      <c r="J410" s="121">
        <f t="shared" si="201"/>
        <v>1</v>
      </c>
      <c r="K410" s="120">
        <f t="shared" si="202"/>
        <v>0</v>
      </c>
      <c r="L410" s="120">
        <f t="shared" si="203"/>
        <v>0</v>
      </c>
      <c r="M410" s="246">
        <f t="shared" si="204"/>
        <v>0</v>
      </c>
      <c r="N410" s="121">
        <f t="shared" si="205"/>
        <v>1</v>
      </c>
      <c r="O410" s="246">
        <f t="shared" si="206"/>
        <v>0.90101750547045956</v>
      </c>
      <c r="P410" s="121">
        <f t="shared" si="207"/>
        <v>0.25</v>
      </c>
      <c r="Q410" s="121">
        <f t="shared" si="208"/>
        <v>0</v>
      </c>
      <c r="R410" s="121">
        <f t="shared" si="209"/>
        <v>0</v>
      </c>
      <c r="S410" s="121" t="str">
        <f t="shared" si="210"/>
        <v/>
      </c>
      <c r="T410" s="121" t="str">
        <f t="shared" si="211"/>
        <v/>
      </c>
      <c r="U410" s="121">
        <f t="shared" si="212"/>
        <v>1</v>
      </c>
    </row>
    <row r="411" spans="1:21" x14ac:dyDescent="0.3">
      <c r="A411" s="187">
        <v>9</v>
      </c>
      <c r="B411" s="242">
        <f t="shared" si="213"/>
        <v>45901</v>
      </c>
      <c r="C411" s="243">
        <f t="shared" si="194"/>
        <v>45930</v>
      </c>
      <c r="D411" s="120">
        <f t="shared" si="195"/>
        <v>30</v>
      </c>
      <c r="E411" s="120">
        <f t="shared" si="196"/>
        <v>9</v>
      </c>
      <c r="F411" s="275">
        <f t="shared" si="197"/>
        <v>45916</v>
      </c>
      <c r="G411" s="120">
        <f t="shared" si="198"/>
        <v>24308</v>
      </c>
      <c r="H411" s="245">
        <f t="shared" si="199"/>
        <v>1</v>
      </c>
      <c r="I411" s="121">
        <f t="shared" si="200"/>
        <v>1</v>
      </c>
      <c r="J411" s="121">
        <f t="shared" si="201"/>
        <v>1</v>
      </c>
      <c r="K411" s="120">
        <f t="shared" si="202"/>
        <v>0</v>
      </c>
      <c r="L411" s="120">
        <f t="shared" si="203"/>
        <v>0</v>
      </c>
      <c r="M411" s="246">
        <f t="shared" si="204"/>
        <v>0</v>
      </c>
      <c r="N411" s="121">
        <f t="shared" si="205"/>
        <v>1</v>
      </c>
      <c r="O411" s="246">
        <f t="shared" si="206"/>
        <v>0.90168490153172876</v>
      </c>
      <c r="P411" s="121">
        <f t="shared" si="207"/>
        <v>0.41666666666666663</v>
      </c>
      <c r="Q411" s="121">
        <f t="shared" si="208"/>
        <v>0</v>
      </c>
      <c r="R411" s="121">
        <f t="shared" si="209"/>
        <v>0</v>
      </c>
      <c r="S411" s="121" t="str">
        <f t="shared" si="210"/>
        <v/>
      </c>
      <c r="T411" s="121" t="str">
        <f t="shared" si="211"/>
        <v/>
      </c>
      <c r="U411" s="121">
        <f t="shared" si="212"/>
        <v>1</v>
      </c>
    </row>
    <row r="412" spans="1:21" x14ac:dyDescent="0.3">
      <c r="A412" s="187">
        <v>10</v>
      </c>
      <c r="B412" s="242">
        <f t="shared" si="213"/>
        <v>45931</v>
      </c>
      <c r="C412" s="243">
        <f t="shared" si="194"/>
        <v>45961</v>
      </c>
      <c r="D412" s="120">
        <f t="shared" si="195"/>
        <v>31</v>
      </c>
      <c r="E412" s="120">
        <f t="shared" si="196"/>
        <v>10</v>
      </c>
      <c r="F412" s="275">
        <f t="shared" si="197"/>
        <v>45946.5</v>
      </c>
      <c r="G412" s="120">
        <f t="shared" si="198"/>
        <v>24309</v>
      </c>
      <c r="H412" s="245">
        <f t="shared" si="199"/>
        <v>1</v>
      </c>
      <c r="I412" s="121">
        <f t="shared" si="200"/>
        <v>1</v>
      </c>
      <c r="J412" s="121">
        <f t="shared" si="201"/>
        <v>1</v>
      </c>
      <c r="K412" s="120">
        <f t="shared" si="202"/>
        <v>0</v>
      </c>
      <c r="L412" s="120">
        <f t="shared" si="203"/>
        <v>0</v>
      </c>
      <c r="M412" s="246">
        <f t="shared" si="204"/>
        <v>0</v>
      </c>
      <c r="N412" s="121">
        <f t="shared" si="205"/>
        <v>1</v>
      </c>
      <c r="O412" s="246">
        <f t="shared" si="206"/>
        <v>0.90235229759299784</v>
      </c>
      <c r="P412" s="121">
        <f t="shared" si="207"/>
        <v>0.58333333333333326</v>
      </c>
      <c r="Q412" s="121">
        <f t="shared" si="208"/>
        <v>0</v>
      </c>
      <c r="R412" s="121">
        <f t="shared" si="209"/>
        <v>0</v>
      </c>
      <c r="S412" s="121" t="str">
        <f t="shared" si="210"/>
        <v/>
      </c>
      <c r="T412" s="121" t="str">
        <f t="shared" si="211"/>
        <v/>
      </c>
      <c r="U412" s="121">
        <f t="shared" si="212"/>
        <v>1</v>
      </c>
    </row>
    <row r="413" spans="1:21" x14ac:dyDescent="0.3">
      <c r="A413" s="187">
        <v>11</v>
      </c>
      <c r="B413" s="242">
        <f t="shared" si="213"/>
        <v>45962</v>
      </c>
      <c r="C413" s="243">
        <f t="shared" si="194"/>
        <v>45991</v>
      </c>
      <c r="D413" s="120">
        <f t="shared" si="195"/>
        <v>30</v>
      </c>
      <c r="E413" s="120">
        <f t="shared" si="196"/>
        <v>11</v>
      </c>
      <c r="F413" s="275">
        <f t="shared" si="197"/>
        <v>45977</v>
      </c>
      <c r="G413" s="120">
        <f t="shared" si="198"/>
        <v>24310</v>
      </c>
      <c r="H413" s="245">
        <f t="shared" si="199"/>
        <v>1</v>
      </c>
      <c r="I413" s="121">
        <f t="shared" si="200"/>
        <v>1</v>
      </c>
      <c r="J413" s="121">
        <f t="shared" si="201"/>
        <v>1</v>
      </c>
      <c r="K413" s="120">
        <f t="shared" si="202"/>
        <v>0</v>
      </c>
      <c r="L413" s="120">
        <f t="shared" si="203"/>
        <v>0</v>
      </c>
      <c r="M413" s="246">
        <f t="shared" si="204"/>
        <v>0</v>
      </c>
      <c r="N413" s="121">
        <f t="shared" si="205"/>
        <v>1</v>
      </c>
      <c r="O413" s="246">
        <f t="shared" si="206"/>
        <v>0.90301969365426704</v>
      </c>
      <c r="P413" s="121">
        <f t="shared" si="207"/>
        <v>0.75</v>
      </c>
      <c r="Q413" s="121">
        <f t="shared" si="208"/>
        <v>0</v>
      </c>
      <c r="R413" s="121">
        <f t="shared" si="209"/>
        <v>0</v>
      </c>
      <c r="S413" s="121" t="str">
        <f t="shared" si="210"/>
        <v/>
      </c>
      <c r="T413" s="121" t="str">
        <f t="shared" si="211"/>
        <v/>
      </c>
      <c r="U413" s="121">
        <f t="shared" si="212"/>
        <v>1</v>
      </c>
    </row>
    <row r="414" spans="1:21" x14ac:dyDescent="0.3">
      <c r="A414" s="187">
        <v>12</v>
      </c>
      <c r="B414" s="242">
        <f t="shared" si="213"/>
        <v>45992</v>
      </c>
      <c r="C414" s="243">
        <f t="shared" si="194"/>
        <v>46022</v>
      </c>
      <c r="D414" s="120">
        <f t="shared" si="195"/>
        <v>31</v>
      </c>
      <c r="E414" s="120">
        <f t="shared" si="196"/>
        <v>12</v>
      </c>
      <c r="F414" s="275">
        <f t="shared" si="197"/>
        <v>46007.5</v>
      </c>
      <c r="G414" s="120">
        <f t="shared" si="198"/>
        <v>24311</v>
      </c>
      <c r="H414" s="245">
        <f t="shared" si="199"/>
        <v>1</v>
      </c>
      <c r="I414" s="121">
        <f t="shared" si="200"/>
        <v>1</v>
      </c>
      <c r="J414" s="121">
        <f t="shared" si="201"/>
        <v>1</v>
      </c>
      <c r="K414" s="120">
        <f t="shared" si="202"/>
        <v>0</v>
      </c>
      <c r="L414" s="120">
        <f t="shared" si="203"/>
        <v>0</v>
      </c>
      <c r="M414" s="246">
        <f t="shared" si="204"/>
        <v>0</v>
      </c>
      <c r="N414" s="121">
        <f t="shared" si="205"/>
        <v>1</v>
      </c>
      <c r="O414" s="246">
        <f t="shared" si="206"/>
        <v>0.90368708971553613</v>
      </c>
      <c r="P414" s="121">
        <f t="shared" si="207"/>
        <v>0.91666666666666663</v>
      </c>
      <c r="Q414" s="121">
        <f t="shared" si="208"/>
        <v>0</v>
      </c>
      <c r="R414" s="121">
        <f t="shared" si="209"/>
        <v>0</v>
      </c>
      <c r="S414" s="121" t="str">
        <f t="shared" si="210"/>
        <v/>
      </c>
      <c r="T414" s="121" t="str">
        <f t="shared" si="211"/>
        <v/>
      </c>
      <c r="U414" s="121">
        <f t="shared" si="212"/>
        <v>1</v>
      </c>
    </row>
    <row r="415" spans="1:21" x14ac:dyDescent="0.3">
      <c r="A415" s="187">
        <v>13</v>
      </c>
      <c r="B415" s="242">
        <f t="shared" si="213"/>
        <v>46023</v>
      </c>
      <c r="C415" s="243">
        <f t="shared" si="194"/>
        <v>46053</v>
      </c>
      <c r="D415" s="120">
        <f t="shared" si="195"/>
        <v>31</v>
      </c>
      <c r="E415" s="120">
        <f t="shared" si="196"/>
        <v>1</v>
      </c>
      <c r="F415" s="275">
        <f t="shared" si="197"/>
        <v>46038.5</v>
      </c>
      <c r="G415" s="120">
        <f t="shared" si="198"/>
        <v>24312</v>
      </c>
      <c r="H415" s="245">
        <f t="shared" si="199"/>
        <v>1</v>
      </c>
      <c r="I415" s="121">
        <f t="shared" si="200"/>
        <v>1</v>
      </c>
      <c r="J415" s="121">
        <f t="shared" si="201"/>
        <v>1</v>
      </c>
      <c r="K415" s="120">
        <f t="shared" si="202"/>
        <v>0</v>
      </c>
      <c r="L415" s="120">
        <f t="shared" si="203"/>
        <v>0</v>
      </c>
      <c r="M415" s="246">
        <f t="shared" si="204"/>
        <v>0</v>
      </c>
      <c r="N415" s="121">
        <f t="shared" si="205"/>
        <v>1</v>
      </c>
      <c r="O415" s="246">
        <f t="shared" si="206"/>
        <v>0.90436542669584252</v>
      </c>
      <c r="P415" s="121">
        <f t="shared" si="207"/>
        <v>1</v>
      </c>
      <c r="Q415" s="121">
        <f t="shared" si="208"/>
        <v>0</v>
      </c>
      <c r="R415" s="121">
        <f t="shared" si="209"/>
        <v>0</v>
      </c>
      <c r="S415" s="121" t="str">
        <f t="shared" si="210"/>
        <v/>
      </c>
      <c r="T415" s="121" t="str">
        <f t="shared" si="211"/>
        <v/>
      </c>
      <c r="U415" s="121">
        <f t="shared" si="212"/>
        <v>1</v>
      </c>
    </row>
    <row r="416" spans="1:21" x14ac:dyDescent="0.3">
      <c r="A416" s="187">
        <v>14</v>
      </c>
      <c r="B416" s="242">
        <f t="shared" si="213"/>
        <v>46054</v>
      </c>
      <c r="C416" s="243">
        <f t="shared" si="194"/>
        <v>46081</v>
      </c>
      <c r="D416" s="120">
        <f t="shared" si="195"/>
        <v>28</v>
      </c>
      <c r="E416" s="120">
        <f t="shared" si="196"/>
        <v>2</v>
      </c>
      <c r="F416" s="275">
        <f t="shared" si="197"/>
        <v>46068</v>
      </c>
      <c r="G416" s="120">
        <f t="shared" si="198"/>
        <v>24313</v>
      </c>
      <c r="H416" s="245">
        <f t="shared" si="199"/>
        <v>1</v>
      </c>
      <c r="I416" s="121">
        <f t="shared" si="200"/>
        <v>1</v>
      </c>
      <c r="J416" s="121">
        <f t="shared" si="201"/>
        <v>1</v>
      </c>
      <c r="K416" s="120">
        <f t="shared" si="202"/>
        <v>0</v>
      </c>
      <c r="L416" s="120">
        <f t="shared" si="203"/>
        <v>0</v>
      </c>
      <c r="M416" s="246">
        <f t="shared" si="204"/>
        <v>0</v>
      </c>
      <c r="N416" s="121">
        <f t="shared" si="205"/>
        <v>1</v>
      </c>
      <c r="O416" s="246">
        <f t="shared" si="206"/>
        <v>0.90501094091903722</v>
      </c>
      <c r="P416" s="121">
        <f t="shared" si="207"/>
        <v>1</v>
      </c>
      <c r="Q416" s="121">
        <f t="shared" si="208"/>
        <v>0</v>
      </c>
      <c r="R416" s="121">
        <f t="shared" si="209"/>
        <v>0</v>
      </c>
      <c r="S416" s="121" t="str">
        <f t="shared" si="210"/>
        <v/>
      </c>
      <c r="T416" s="121" t="str">
        <f t="shared" si="211"/>
        <v/>
      </c>
      <c r="U416" s="121">
        <f t="shared" si="212"/>
        <v>1</v>
      </c>
    </row>
    <row r="417" spans="1:21" x14ac:dyDescent="0.3">
      <c r="A417" s="187">
        <v>15</v>
      </c>
      <c r="B417" s="242">
        <f t="shared" si="213"/>
        <v>46082</v>
      </c>
      <c r="C417" s="243">
        <f t="shared" si="194"/>
        <v>46112</v>
      </c>
      <c r="D417" s="120">
        <f t="shared" si="195"/>
        <v>31</v>
      </c>
      <c r="E417" s="120">
        <f t="shared" si="196"/>
        <v>3</v>
      </c>
      <c r="F417" s="275">
        <f t="shared" si="197"/>
        <v>46097.5</v>
      </c>
      <c r="G417" s="120">
        <f t="shared" si="198"/>
        <v>24314</v>
      </c>
      <c r="H417" s="245">
        <f t="shared" si="199"/>
        <v>1</v>
      </c>
      <c r="I417" s="121">
        <f t="shared" si="200"/>
        <v>1</v>
      </c>
      <c r="J417" s="121">
        <f t="shared" si="201"/>
        <v>1</v>
      </c>
      <c r="K417" s="120">
        <f t="shared" si="202"/>
        <v>0</v>
      </c>
      <c r="L417" s="120">
        <f t="shared" si="203"/>
        <v>0</v>
      </c>
      <c r="M417" s="246">
        <f t="shared" si="204"/>
        <v>0</v>
      </c>
      <c r="N417" s="121">
        <f t="shared" si="205"/>
        <v>1</v>
      </c>
      <c r="O417" s="246">
        <f t="shared" si="206"/>
        <v>0.90565645514223203</v>
      </c>
      <c r="P417" s="121">
        <f t="shared" si="207"/>
        <v>1</v>
      </c>
      <c r="Q417" s="121">
        <f t="shared" si="208"/>
        <v>0</v>
      </c>
      <c r="R417" s="121">
        <f t="shared" si="209"/>
        <v>0</v>
      </c>
      <c r="S417" s="121" t="str">
        <f t="shared" si="210"/>
        <v/>
      </c>
      <c r="T417" s="121" t="str">
        <f t="shared" si="211"/>
        <v/>
      </c>
      <c r="U417" s="121">
        <f t="shared" si="212"/>
        <v>1</v>
      </c>
    </row>
    <row r="418" spans="1:21" x14ac:dyDescent="0.3">
      <c r="A418" s="187">
        <v>16</v>
      </c>
      <c r="B418" s="242">
        <f t="shared" si="213"/>
        <v>46113</v>
      </c>
      <c r="C418" s="243">
        <f t="shared" si="194"/>
        <v>46142</v>
      </c>
      <c r="D418" s="120">
        <f t="shared" si="195"/>
        <v>30</v>
      </c>
      <c r="E418" s="120">
        <f t="shared" si="196"/>
        <v>4</v>
      </c>
      <c r="F418" s="275">
        <f t="shared" si="197"/>
        <v>46128</v>
      </c>
      <c r="G418" s="120">
        <f t="shared" si="198"/>
        <v>24315</v>
      </c>
      <c r="H418" s="245">
        <f t="shared" si="199"/>
        <v>1</v>
      </c>
      <c r="I418" s="121">
        <f t="shared" si="200"/>
        <v>1</v>
      </c>
      <c r="J418" s="121">
        <f t="shared" si="201"/>
        <v>1</v>
      </c>
      <c r="K418" s="120">
        <f t="shared" si="202"/>
        <v>0</v>
      </c>
      <c r="L418" s="120">
        <f t="shared" si="203"/>
        <v>0</v>
      </c>
      <c r="M418" s="246">
        <f t="shared" si="204"/>
        <v>0</v>
      </c>
      <c r="N418" s="121">
        <f t="shared" si="205"/>
        <v>1</v>
      </c>
      <c r="O418" s="246">
        <f t="shared" si="206"/>
        <v>0.90632385120350112</v>
      </c>
      <c r="P418" s="121">
        <f t="shared" si="207"/>
        <v>1</v>
      </c>
      <c r="Q418" s="121">
        <f t="shared" si="208"/>
        <v>0</v>
      </c>
      <c r="R418" s="121">
        <f t="shared" si="209"/>
        <v>0</v>
      </c>
      <c r="S418" s="121" t="str">
        <f t="shared" si="210"/>
        <v/>
      </c>
      <c r="T418" s="121" t="str">
        <f t="shared" si="211"/>
        <v/>
      </c>
      <c r="U418" s="121">
        <f t="shared" si="212"/>
        <v>1</v>
      </c>
    </row>
    <row r="419" spans="1:21" x14ac:dyDescent="0.3">
      <c r="A419" s="187">
        <v>17</v>
      </c>
      <c r="B419" s="242">
        <f t="shared" si="213"/>
        <v>46143</v>
      </c>
      <c r="C419" s="243">
        <f t="shared" si="194"/>
        <v>46173</v>
      </c>
      <c r="D419" s="120">
        <f t="shared" si="195"/>
        <v>31</v>
      </c>
      <c r="E419" s="120">
        <f t="shared" si="196"/>
        <v>5</v>
      </c>
      <c r="F419" s="275">
        <f t="shared" si="197"/>
        <v>46158.5</v>
      </c>
      <c r="G419" s="120">
        <f t="shared" si="198"/>
        <v>24316</v>
      </c>
      <c r="H419" s="245">
        <f t="shared" si="199"/>
        <v>1</v>
      </c>
      <c r="I419" s="121">
        <f t="shared" si="200"/>
        <v>1</v>
      </c>
      <c r="J419" s="121">
        <f t="shared" si="201"/>
        <v>1</v>
      </c>
      <c r="K419" s="120">
        <f t="shared" si="202"/>
        <v>0</v>
      </c>
      <c r="L419" s="120">
        <f t="shared" si="203"/>
        <v>0</v>
      </c>
      <c r="M419" s="246">
        <f t="shared" si="204"/>
        <v>0</v>
      </c>
      <c r="N419" s="121">
        <f t="shared" si="205"/>
        <v>1</v>
      </c>
      <c r="O419" s="246">
        <f t="shared" si="206"/>
        <v>0.90699124726477032</v>
      </c>
      <c r="P419" s="121">
        <f t="shared" si="207"/>
        <v>1</v>
      </c>
      <c r="Q419" s="121">
        <f t="shared" si="208"/>
        <v>0</v>
      </c>
      <c r="R419" s="121">
        <f t="shared" si="209"/>
        <v>0</v>
      </c>
      <c r="S419" s="121" t="str">
        <f t="shared" si="210"/>
        <v/>
      </c>
      <c r="T419" s="121" t="str">
        <f t="shared" si="211"/>
        <v/>
      </c>
      <c r="U419" s="121">
        <f t="shared" si="212"/>
        <v>1</v>
      </c>
    </row>
    <row r="420" spans="1:21" x14ac:dyDescent="0.3">
      <c r="A420" s="187">
        <v>18</v>
      </c>
      <c r="B420" s="242">
        <f t="shared" si="213"/>
        <v>46174</v>
      </c>
      <c r="C420" s="243">
        <f t="shared" si="194"/>
        <v>46203</v>
      </c>
      <c r="D420" s="120">
        <f t="shared" si="195"/>
        <v>30</v>
      </c>
      <c r="E420" s="120">
        <f t="shared" si="196"/>
        <v>6</v>
      </c>
      <c r="F420" s="275">
        <f t="shared" si="197"/>
        <v>46189</v>
      </c>
      <c r="G420" s="120">
        <f t="shared" si="198"/>
        <v>24317</v>
      </c>
      <c r="H420" s="245">
        <f t="shared" si="199"/>
        <v>1</v>
      </c>
      <c r="I420" s="121">
        <f t="shared" si="200"/>
        <v>1</v>
      </c>
      <c r="J420" s="121">
        <f t="shared" si="201"/>
        <v>1</v>
      </c>
      <c r="K420" s="120">
        <f t="shared" si="202"/>
        <v>0</v>
      </c>
      <c r="L420" s="120">
        <f t="shared" si="203"/>
        <v>0</v>
      </c>
      <c r="M420" s="246">
        <f t="shared" si="204"/>
        <v>0</v>
      </c>
      <c r="N420" s="121">
        <f t="shared" si="205"/>
        <v>1</v>
      </c>
      <c r="O420" s="246">
        <f t="shared" si="206"/>
        <v>0.9076586433260394</v>
      </c>
      <c r="P420" s="121">
        <f t="shared" si="207"/>
        <v>1</v>
      </c>
      <c r="Q420" s="121">
        <f t="shared" si="208"/>
        <v>0</v>
      </c>
      <c r="R420" s="121">
        <f t="shared" si="209"/>
        <v>0</v>
      </c>
      <c r="S420" s="121" t="str">
        <f t="shared" si="210"/>
        <v/>
      </c>
      <c r="T420" s="121" t="str">
        <f t="shared" si="211"/>
        <v/>
      </c>
      <c r="U420" s="121">
        <f t="shared" si="212"/>
        <v>1</v>
      </c>
    </row>
    <row r="421" spans="1:21" x14ac:dyDescent="0.3">
      <c r="A421" s="187">
        <v>19</v>
      </c>
      <c r="B421" s="242">
        <f t="shared" si="213"/>
        <v>46204</v>
      </c>
      <c r="C421" s="243">
        <f t="shared" si="194"/>
        <v>46234</v>
      </c>
      <c r="D421" s="120">
        <f t="shared" si="195"/>
        <v>31</v>
      </c>
      <c r="E421" s="120">
        <f t="shared" si="196"/>
        <v>7</v>
      </c>
      <c r="F421" s="275">
        <f t="shared" si="197"/>
        <v>46219.5</v>
      </c>
      <c r="G421" s="120">
        <f t="shared" si="198"/>
        <v>24318</v>
      </c>
      <c r="H421" s="245">
        <f t="shared" si="199"/>
        <v>1</v>
      </c>
      <c r="I421" s="121">
        <f t="shared" si="200"/>
        <v>1</v>
      </c>
      <c r="J421" s="121">
        <f t="shared" si="201"/>
        <v>1.03</v>
      </c>
      <c r="K421" s="120">
        <f t="shared" si="202"/>
        <v>1</v>
      </c>
      <c r="L421" s="120">
        <f t="shared" si="203"/>
        <v>31</v>
      </c>
      <c r="M421" s="246">
        <f t="shared" si="204"/>
        <v>1</v>
      </c>
      <c r="N421" s="121">
        <f t="shared" si="205"/>
        <v>1.03</v>
      </c>
      <c r="O421" s="246">
        <f t="shared" si="206"/>
        <v>0.9083260393873086</v>
      </c>
      <c r="P421" s="121">
        <f t="shared" si="207"/>
        <v>0.91666666666666663</v>
      </c>
      <c r="Q421" s="121">
        <f t="shared" si="208"/>
        <v>8.333333333333337E-2</v>
      </c>
      <c r="R421" s="121">
        <f t="shared" si="209"/>
        <v>0</v>
      </c>
      <c r="S421" s="121" t="str">
        <f t="shared" si="210"/>
        <v/>
      </c>
      <c r="T421" s="121" t="str">
        <f t="shared" si="211"/>
        <v/>
      </c>
      <c r="U421" s="121">
        <f t="shared" si="212"/>
        <v>1.03</v>
      </c>
    </row>
    <row r="422" spans="1:21" x14ac:dyDescent="0.3">
      <c r="A422" s="187">
        <v>20</v>
      </c>
      <c r="B422" s="242">
        <f t="shared" si="213"/>
        <v>46235</v>
      </c>
      <c r="C422" s="243">
        <f t="shared" si="194"/>
        <v>46265</v>
      </c>
      <c r="D422" s="120">
        <f t="shared" si="195"/>
        <v>31</v>
      </c>
      <c r="E422" s="120">
        <f t="shared" si="196"/>
        <v>8</v>
      </c>
      <c r="F422" s="275">
        <f t="shared" si="197"/>
        <v>46250.5</v>
      </c>
      <c r="G422" s="120">
        <f t="shared" si="198"/>
        <v>24319</v>
      </c>
      <c r="H422" s="245">
        <f t="shared" si="199"/>
        <v>1</v>
      </c>
      <c r="I422" s="121">
        <f t="shared" si="200"/>
        <v>1.03</v>
      </c>
      <c r="J422" s="121">
        <f t="shared" si="201"/>
        <v>1.03</v>
      </c>
      <c r="K422" s="120">
        <f t="shared" si="202"/>
        <v>0</v>
      </c>
      <c r="L422" s="120">
        <f t="shared" si="203"/>
        <v>0</v>
      </c>
      <c r="M422" s="246">
        <f t="shared" si="204"/>
        <v>0</v>
      </c>
      <c r="N422" s="121">
        <f t="shared" si="205"/>
        <v>1.03</v>
      </c>
      <c r="O422" s="246">
        <f t="shared" si="206"/>
        <v>0.90900437636761489</v>
      </c>
      <c r="P422" s="121">
        <f t="shared" si="207"/>
        <v>0.75</v>
      </c>
      <c r="Q422" s="121">
        <f t="shared" si="208"/>
        <v>0.25</v>
      </c>
      <c r="R422" s="121">
        <f t="shared" si="209"/>
        <v>0</v>
      </c>
      <c r="S422" s="121" t="str">
        <f t="shared" si="210"/>
        <v/>
      </c>
      <c r="T422" s="121" t="str">
        <f t="shared" si="211"/>
        <v/>
      </c>
      <c r="U422" s="121">
        <f t="shared" si="212"/>
        <v>1.03</v>
      </c>
    </row>
    <row r="423" spans="1:21" x14ac:dyDescent="0.3">
      <c r="A423" s="187">
        <v>21</v>
      </c>
      <c r="B423" s="242">
        <f t="shared" si="213"/>
        <v>46266</v>
      </c>
      <c r="C423" s="243">
        <f t="shared" si="194"/>
        <v>46295</v>
      </c>
      <c r="D423" s="120">
        <f t="shared" si="195"/>
        <v>30</v>
      </c>
      <c r="E423" s="120">
        <f t="shared" si="196"/>
        <v>9</v>
      </c>
      <c r="F423" s="275">
        <f t="shared" si="197"/>
        <v>46281</v>
      </c>
      <c r="G423" s="120">
        <f t="shared" si="198"/>
        <v>24320</v>
      </c>
      <c r="H423" s="245">
        <f t="shared" si="199"/>
        <v>1</v>
      </c>
      <c r="I423" s="121">
        <f t="shared" si="200"/>
        <v>1.03</v>
      </c>
      <c r="J423" s="121">
        <f t="shared" si="201"/>
        <v>1.03</v>
      </c>
      <c r="K423" s="120">
        <f t="shared" si="202"/>
        <v>0</v>
      </c>
      <c r="L423" s="120">
        <f t="shared" si="203"/>
        <v>0</v>
      </c>
      <c r="M423" s="246">
        <f t="shared" si="204"/>
        <v>0</v>
      </c>
      <c r="N423" s="121">
        <f t="shared" si="205"/>
        <v>1.03</v>
      </c>
      <c r="O423" s="246">
        <f t="shared" si="206"/>
        <v>0.90967177242888408</v>
      </c>
      <c r="P423" s="121">
        <f t="shared" si="207"/>
        <v>0.58333333333333337</v>
      </c>
      <c r="Q423" s="121">
        <f t="shared" si="208"/>
        <v>0.41666666666666663</v>
      </c>
      <c r="R423" s="121">
        <f t="shared" si="209"/>
        <v>0</v>
      </c>
      <c r="S423" s="121" t="str">
        <f t="shared" si="210"/>
        <v/>
      </c>
      <c r="T423" s="121" t="str">
        <f t="shared" si="211"/>
        <v/>
      </c>
      <c r="U423" s="121">
        <f t="shared" si="212"/>
        <v>1.03</v>
      </c>
    </row>
    <row r="424" spans="1:21" x14ac:dyDescent="0.3">
      <c r="A424" s="187">
        <v>22</v>
      </c>
      <c r="B424" s="242">
        <f t="shared" si="213"/>
        <v>46296</v>
      </c>
      <c r="C424" s="243">
        <f t="shared" si="194"/>
        <v>46326</v>
      </c>
      <c r="D424" s="120">
        <f t="shared" si="195"/>
        <v>31</v>
      </c>
      <c r="E424" s="120">
        <f t="shared" si="196"/>
        <v>10</v>
      </c>
      <c r="F424" s="275">
        <f t="shared" si="197"/>
        <v>46311.5</v>
      </c>
      <c r="G424" s="120">
        <f t="shared" si="198"/>
        <v>24321</v>
      </c>
      <c r="H424" s="245">
        <f t="shared" si="199"/>
        <v>1</v>
      </c>
      <c r="I424" s="121">
        <f t="shared" si="200"/>
        <v>1.03</v>
      </c>
      <c r="J424" s="121">
        <f t="shared" si="201"/>
        <v>1.03</v>
      </c>
      <c r="K424" s="120">
        <f t="shared" si="202"/>
        <v>0</v>
      </c>
      <c r="L424" s="120">
        <f t="shared" si="203"/>
        <v>0</v>
      </c>
      <c r="M424" s="246">
        <f t="shared" si="204"/>
        <v>0</v>
      </c>
      <c r="N424" s="121">
        <f t="shared" si="205"/>
        <v>1.03</v>
      </c>
      <c r="O424" s="246">
        <f t="shared" si="206"/>
        <v>0.91033916849015317</v>
      </c>
      <c r="P424" s="121">
        <f t="shared" si="207"/>
        <v>0.41666666666666669</v>
      </c>
      <c r="Q424" s="121">
        <f t="shared" si="208"/>
        <v>0.58333333333333326</v>
      </c>
      <c r="R424" s="121">
        <f t="shared" si="209"/>
        <v>0</v>
      </c>
      <c r="S424" s="121" t="str">
        <f t="shared" si="210"/>
        <v/>
      </c>
      <c r="T424" s="121" t="str">
        <f t="shared" si="211"/>
        <v/>
      </c>
      <c r="U424" s="121">
        <f t="shared" si="212"/>
        <v>1.03</v>
      </c>
    </row>
    <row r="425" spans="1:21" x14ac:dyDescent="0.3">
      <c r="A425" s="187">
        <v>23</v>
      </c>
      <c r="B425" s="242">
        <f t="shared" si="213"/>
        <v>46327</v>
      </c>
      <c r="C425" s="243">
        <f t="shared" si="194"/>
        <v>46356</v>
      </c>
      <c r="D425" s="120">
        <f t="shared" si="195"/>
        <v>30</v>
      </c>
      <c r="E425" s="120">
        <f t="shared" si="196"/>
        <v>11</v>
      </c>
      <c r="F425" s="275">
        <f t="shared" si="197"/>
        <v>46342</v>
      </c>
      <c r="G425" s="120">
        <f t="shared" si="198"/>
        <v>24322</v>
      </c>
      <c r="H425" s="245">
        <f t="shared" si="199"/>
        <v>1</v>
      </c>
      <c r="I425" s="121">
        <f t="shared" si="200"/>
        <v>1.03</v>
      </c>
      <c r="J425" s="121">
        <f t="shared" si="201"/>
        <v>1.03</v>
      </c>
      <c r="K425" s="120">
        <f t="shared" si="202"/>
        <v>0</v>
      </c>
      <c r="L425" s="120">
        <f t="shared" si="203"/>
        <v>0</v>
      </c>
      <c r="M425" s="246">
        <f t="shared" si="204"/>
        <v>0</v>
      </c>
      <c r="N425" s="121">
        <f t="shared" si="205"/>
        <v>1.03</v>
      </c>
      <c r="O425" s="246">
        <f t="shared" si="206"/>
        <v>0.91100656455142237</v>
      </c>
      <c r="P425" s="121">
        <f t="shared" si="207"/>
        <v>0.25</v>
      </c>
      <c r="Q425" s="121">
        <f t="shared" si="208"/>
        <v>0.75</v>
      </c>
      <c r="R425" s="121">
        <f t="shared" si="209"/>
        <v>0</v>
      </c>
      <c r="S425" s="121" t="str">
        <f t="shared" si="210"/>
        <v/>
      </c>
      <c r="T425" s="121" t="str">
        <f t="shared" si="211"/>
        <v/>
      </c>
      <c r="U425" s="121">
        <f t="shared" si="212"/>
        <v>1.03</v>
      </c>
    </row>
    <row r="426" spans="1:21" x14ac:dyDescent="0.3">
      <c r="A426" s="187">
        <v>24</v>
      </c>
      <c r="B426" s="242">
        <f t="shared" si="213"/>
        <v>46357</v>
      </c>
      <c r="C426" s="243">
        <f t="shared" si="194"/>
        <v>46387</v>
      </c>
      <c r="D426" s="120">
        <f t="shared" si="195"/>
        <v>31</v>
      </c>
      <c r="E426" s="120">
        <f t="shared" si="196"/>
        <v>12</v>
      </c>
      <c r="F426" s="275">
        <f t="shared" si="197"/>
        <v>46372.5</v>
      </c>
      <c r="G426" s="120">
        <f t="shared" si="198"/>
        <v>24323</v>
      </c>
      <c r="H426" s="245">
        <f t="shared" si="199"/>
        <v>1</v>
      </c>
      <c r="I426" s="121">
        <f t="shared" si="200"/>
        <v>1.03</v>
      </c>
      <c r="J426" s="121">
        <f t="shared" si="201"/>
        <v>1.03</v>
      </c>
      <c r="K426" s="120">
        <f t="shared" si="202"/>
        <v>0</v>
      </c>
      <c r="L426" s="120">
        <f t="shared" si="203"/>
        <v>0</v>
      </c>
      <c r="M426" s="246">
        <f t="shared" si="204"/>
        <v>0</v>
      </c>
      <c r="N426" s="121">
        <f t="shared" si="205"/>
        <v>1.03</v>
      </c>
      <c r="O426" s="246">
        <f t="shared" si="206"/>
        <v>0.91167396061269146</v>
      </c>
      <c r="P426" s="121">
        <f t="shared" si="207"/>
        <v>8.3333333333333329E-2</v>
      </c>
      <c r="Q426" s="121">
        <f t="shared" si="208"/>
        <v>0.91666666666666663</v>
      </c>
      <c r="R426" s="121">
        <f t="shared" si="209"/>
        <v>0</v>
      </c>
      <c r="S426" s="121" t="str">
        <f t="shared" si="210"/>
        <v/>
      </c>
      <c r="T426" s="121" t="str">
        <f t="shared" si="211"/>
        <v/>
      </c>
      <c r="U426" s="121">
        <f t="shared" si="212"/>
        <v>1.03</v>
      </c>
    </row>
    <row r="427" spans="1:21" x14ac:dyDescent="0.3">
      <c r="A427" s="187">
        <v>25</v>
      </c>
      <c r="B427" s="242">
        <f t="shared" si="213"/>
        <v>46388</v>
      </c>
      <c r="C427" s="243">
        <f t="shared" si="194"/>
        <v>46418</v>
      </c>
      <c r="D427" s="120">
        <f t="shared" si="195"/>
        <v>31</v>
      </c>
      <c r="E427" s="120">
        <f t="shared" si="196"/>
        <v>1</v>
      </c>
      <c r="F427" s="275">
        <f t="shared" si="197"/>
        <v>46403.5</v>
      </c>
      <c r="G427" s="120">
        <f t="shared" si="198"/>
        <v>24324</v>
      </c>
      <c r="H427" s="245">
        <f t="shared" si="199"/>
        <v>1</v>
      </c>
      <c r="I427" s="121">
        <f t="shared" si="200"/>
        <v>1.03</v>
      </c>
      <c r="J427" s="121">
        <f t="shared" si="201"/>
        <v>1.03</v>
      </c>
      <c r="K427" s="120">
        <f t="shared" si="202"/>
        <v>0</v>
      </c>
      <c r="L427" s="120">
        <f t="shared" si="203"/>
        <v>0</v>
      </c>
      <c r="M427" s="246">
        <f t="shared" si="204"/>
        <v>0</v>
      </c>
      <c r="N427" s="121">
        <f t="shared" si="205"/>
        <v>1.03</v>
      </c>
      <c r="O427" s="246">
        <f t="shared" si="206"/>
        <v>0.91235229759299785</v>
      </c>
      <c r="P427" s="121">
        <f t="shared" si="207"/>
        <v>0</v>
      </c>
      <c r="Q427" s="121">
        <f t="shared" si="208"/>
        <v>1</v>
      </c>
      <c r="R427" s="121">
        <f t="shared" si="209"/>
        <v>0</v>
      </c>
      <c r="S427" s="121" t="str">
        <f t="shared" si="210"/>
        <v/>
      </c>
      <c r="T427" s="121" t="str">
        <f t="shared" si="211"/>
        <v/>
      </c>
      <c r="U427" s="121">
        <f t="shared" si="212"/>
        <v>1.03</v>
      </c>
    </row>
    <row r="428" spans="1:21" x14ac:dyDescent="0.3">
      <c r="A428" s="187">
        <v>26</v>
      </c>
      <c r="B428" s="242">
        <f t="shared" si="213"/>
        <v>46419</v>
      </c>
      <c r="C428" s="243">
        <f t="shared" si="194"/>
        <v>46446</v>
      </c>
      <c r="D428" s="120">
        <f t="shared" si="195"/>
        <v>28</v>
      </c>
      <c r="E428" s="120">
        <f t="shared" si="196"/>
        <v>2</v>
      </c>
      <c r="F428" s="275">
        <f t="shared" si="197"/>
        <v>46433</v>
      </c>
      <c r="G428" s="120">
        <f t="shared" si="198"/>
        <v>24325</v>
      </c>
      <c r="H428" s="245">
        <f t="shared" si="199"/>
        <v>1</v>
      </c>
      <c r="I428" s="121">
        <f t="shared" si="200"/>
        <v>1.03</v>
      </c>
      <c r="J428" s="121">
        <f t="shared" si="201"/>
        <v>1.03</v>
      </c>
      <c r="K428" s="120">
        <f t="shared" si="202"/>
        <v>0</v>
      </c>
      <c r="L428" s="120">
        <f t="shared" si="203"/>
        <v>0</v>
      </c>
      <c r="M428" s="246">
        <f t="shared" si="204"/>
        <v>0</v>
      </c>
      <c r="N428" s="121">
        <f t="shared" si="205"/>
        <v>1.03</v>
      </c>
      <c r="O428" s="246">
        <f t="shared" si="206"/>
        <v>0.91299781181619255</v>
      </c>
      <c r="P428" s="121">
        <f t="shared" si="207"/>
        <v>0</v>
      </c>
      <c r="Q428" s="121">
        <f t="shared" si="208"/>
        <v>1</v>
      </c>
      <c r="R428" s="121">
        <f t="shared" si="209"/>
        <v>0</v>
      </c>
      <c r="S428" s="121" t="str">
        <f t="shared" si="210"/>
        <v/>
      </c>
      <c r="T428" s="121" t="str">
        <f t="shared" si="211"/>
        <v/>
      </c>
      <c r="U428" s="121">
        <f t="shared" si="212"/>
        <v>1.03</v>
      </c>
    </row>
    <row r="429" spans="1:21" x14ac:dyDescent="0.3">
      <c r="A429" s="187">
        <v>27</v>
      </c>
      <c r="B429" s="242">
        <f t="shared" si="213"/>
        <v>46447</v>
      </c>
      <c r="C429" s="243">
        <f t="shared" si="194"/>
        <v>46477</v>
      </c>
      <c r="D429" s="120">
        <f t="shared" si="195"/>
        <v>31</v>
      </c>
      <c r="E429" s="120">
        <f t="shared" si="196"/>
        <v>3</v>
      </c>
      <c r="F429" s="275">
        <f t="shared" si="197"/>
        <v>46462.5</v>
      </c>
      <c r="G429" s="120">
        <f t="shared" si="198"/>
        <v>24326</v>
      </c>
      <c r="H429" s="245">
        <f t="shared" si="199"/>
        <v>1</v>
      </c>
      <c r="I429" s="121">
        <f t="shared" si="200"/>
        <v>1.03</v>
      </c>
      <c r="J429" s="121">
        <f t="shared" si="201"/>
        <v>1.03</v>
      </c>
      <c r="K429" s="120">
        <f t="shared" si="202"/>
        <v>0</v>
      </c>
      <c r="L429" s="120">
        <f t="shared" si="203"/>
        <v>0</v>
      </c>
      <c r="M429" s="246">
        <f t="shared" si="204"/>
        <v>0</v>
      </c>
      <c r="N429" s="121">
        <f t="shared" si="205"/>
        <v>1.03</v>
      </c>
      <c r="O429" s="246">
        <f t="shared" si="206"/>
        <v>0.91364332603938736</v>
      </c>
      <c r="P429" s="121">
        <f t="shared" si="207"/>
        <v>0</v>
      </c>
      <c r="Q429" s="121">
        <f t="shared" si="208"/>
        <v>1</v>
      </c>
      <c r="R429" s="121">
        <f t="shared" si="209"/>
        <v>0</v>
      </c>
      <c r="S429" s="121" t="str">
        <f t="shared" si="210"/>
        <v/>
      </c>
      <c r="T429" s="121" t="str">
        <f t="shared" si="211"/>
        <v/>
      </c>
      <c r="U429" s="121">
        <f t="shared" si="212"/>
        <v>1.03</v>
      </c>
    </row>
    <row r="430" spans="1:21" x14ac:dyDescent="0.3">
      <c r="A430" s="187">
        <v>28</v>
      </c>
      <c r="B430" s="242">
        <f t="shared" si="213"/>
        <v>46478</v>
      </c>
      <c r="C430" s="243">
        <f t="shared" si="194"/>
        <v>46507</v>
      </c>
      <c r="D430" s="120">
        <f t="shared" si="195"/>
        <v>30</v>
      </c>
      <c r="E430" s="120">
        <f t="shared" si="196"/>
        <v>4</v>
      </c>
      <c r="F430" s="275">
        <f t="shared" si="197"/>
        <v>46493</v>
      </c>
      <c r="G430" s="120">
        <f t="shared" si="198"/>
        <v>24327</v>
      </c>
      <c r="H430" s="245">
        <f t="shared" si="199"/>
        <v>1</v>
      </c>
      <c r="I430" s="121">
        <f t="shared" si="200"/>
        <v>1.03</v>
      </c>
      <c r="J430" s="121">
        <f t="shared" si="201"/>
        <v>1.03</v>
      </c>
      <c r="K430" s="120">
        <f t="shared" si="202"/>
        <v>0</v>
      </c>
      <c r="L430" s="120">
        <f t="shared" si="203"/>
        <v>0</v>
      </c>
      <c r="M430" s="246">
        <f t="shared" si="204"/>
        <v>0</v>
      </c>
      <c r="N430" s="121">
        <f t="shared" si="205"/>
        <v>1.03</v>
      </c>
      <c r="O430" s="246">
        <f t="shared" si="206"/>
        <v>0.91431072210065645</v>
      </c>
      <c r="P430" s="121">
        <f t="shared" si="207"/>
        <v>0</v>
      </c>
      <c r="Q430" s="121">
        <f t="shared" si="208"/>
        <v>1</v>
      </c>
      <c r="R430" s="121">
        <f t="shared" si="209"/>
        <v>0</v>
      </c>
      <c r="S430" s="121" t="str">
        <f t="shared" si="210"/>
        <v/>
      </c>
      <c r="T430" s="121" t="str">
        <f t="shared" si="211"/>
        <v/>
      </c>
      <c r="U430" s="121">
        <f t="shared" si="212"/>
        <v>1.03</v>
      </c>
    </row>
    <row r="431" spans="1:21" x14ac:dyDescent="0.3">
      <c r="A431" s="187">
        <v>29</v>
      </c>
      <c r="B431" s="242">
        <f t="shared" si="213"/>
        <v>46508</v>
      </c>
      <c r="C431" s="243">
        <f t="shared" si="194"/>
        <v>46538</v>
      </c>
      <c r="D431" s="120">
        <f t="shared" si="195"/>
        <v>31</v>
      </c>
      <c r="E431" s="120">
        <f t="shared" si="196"/>
        <v>5</v>
      </c>
      <c r="F431" s="275">
        <f t="shared" si="197"/>
        <v>46523.5</v>
      </c>
      <c r="G431" s="120">
        <f t="shared" si="198"/>
        <v>24328</v>
      </c>
      <c r="H431" s="245">
        <f t="shared" si="199"/>
        <v>1</v>
      </c>
      <c r="I431" s="121">
        <f t="shared" si="200"/>
        <v>1.03</v>
      </c>
      <c r="J431" s="121">
        <f t="shared" si="201"/>
        <v>1.03</v>
      </c>
      <c r="K431" s="120">
        <f t="shared" si="202"/>
        <v>0</v>
      </c>
      <c r="L431" s="120">
        <f t="shared" si="203"/>
        <v>0</v>
      </c>
      <c r="M431" s="246">
        <f t="shared" si="204"/>
        <v>0</v>
      </c>
      <c r="N431" s="121">
        <f t="shared" si="205"/>
        <v>1.03</v>
      </c>
      <c r="O431" s="246">
        <f t="shared" si="206"/>
        <v>0.91497811816192565</v>
      </c>
      <c r="P431" s="121">
        <f t="shared" si="207"/>
        <v>0</v>
      </c>
      <c r="Q431" s="121">
        <f t="shared" si="208"/>
        <v>1</v>
      </c>
      <c r="R431" s="121">
        <f t="shared" si="209"/>
        <v>0</v>
      </c>
      <c r="S431" s="121" t="str">
        <f t="shared" si="210"/>
        <v/>
      </c>
      <c r="T431" s="121" t="str">
        <f t="shared" si="211"/>
        <v/>
      </c>
      <c r="U431" s="121">
        <f t="shared" si="212"/>
        <v>1.03</v>
      </c>
    </row>
    <row r="432" spans="1:21" x14ac:dyDescent="0.3">
      <c r="A432" s="187">
        <v>30</v>
      </c>
      <c r="B432" s="242">
        <f t="shared" si="213"/>
        <v>46539</v>
      </c>
      <c r="C432" s="243">
        <f t="shared" si="194"/>
        <v>46568</v>
      </c>
      <c r="D432" s="120">
        <f t="shared" si="195"/>
        <v>30</v>
      </c>
      <c r="E432" s="120">
        <f t="shared" si="196"/>
        <v>6</v>
      </c>
      <c r="F432" s="275">
        <f t="shared" si="197"/>
        <v>46554</v>
      </c>
      <c r="G432" s="120">
        <f t="shared" si="198"/>
        <v>24329</v>
      </c>
      <c r="H432" s="245">
        <f t="shared" si="199"/>
        <v>1</v>
      </c>
      <c r="I432" s="121">
        <f t="shared" si="200"/>
        <v>1.03</v>
      </c>
      <c r="J432" s="121">
        <f t="shared" si="201"/>
        <v>1.03</v>
      </c>
      <c r="K432" s="120">
        <f t="shared" si="202"/>
        <v>0</v>
      </c>
      <c r="L432" s="120">
        <f t="shared" si="203"/>
        <v>0</v>
      </c>
      <c r="M432" s="246">
        <f t="shared" si="204"/>
        <v>0</v>
      </c>
      <c r="N432" s="121">
        <f t="shared" si="205"/>
        <v>1.03</v>
      </c>
      <c r="O432" s="246">
        <f t="shared" si="206"/>
        <v>0.91564551422319473</v>
      </c>
      <c r="P432" s="121">
        <f t="shared" si="207"/>
        <v>0</v>
      </c>
      <c r="Q432" s="121">
        <f t="shared" si="208"/>
        <v>1</v>
      </c>
      <c r="R432" s="121">
        <f t="shared" si="209"/>
        <v>0</v>
      </c>
      <c r="S432" s="121" t="str">
        <f t="shared" si="210"/>
        <v/>
      </c>
      <c r="T432" s="121" t="str">
        <f t="shared" si="211"/>
        <v/>
      </c>
      <c r="U432" s="121">
        <f t="shared" si="212"/>
        <v>1.03</v>
      </c>
    </row>
    <row r="433" spans="1:21" x14ac:dyDescent="0.3">
      <c r="A433" s="187">
        <v>31</v>
      </c>
      <c r="B433" s="242">
        <f t="shared" si="213"/>
        <v>46569</v>
      </c>
      <c r="C433" s="243">
        <f t="shared" si="194"/>
        <v>46599</v>
      </c>
      <c r="D433" s="120">
        <f t="shared" si="195"/>
        <v>31</v>
      </c>
      <c r="E433" s="120">
        <f t="shared" si="196"/>
        <v>7</v>
      </c>
      <c r="F433" s="275">
        <f t="shared" si="197"/>
        <v>46584.5</v>
      </c>
      <c r="G433" s="120">
        <f t="shared" si="198"/>
        <v>24330</v>
      </c>
      <c r="H433" s="245">
        <f t="shared" si="199"/>
        <v>1</v>
      </c>
      <c r="I433" s="121">
        <f t="shared" si="200"/>
        <v>1.03</v>
      </c>
      <c r="J433" s="121">
        <f t="shared" si="201"/>
        <v>1.03</v>
      </c>
      <c r="K433" s="120">
        <f t="shared" si="202"/>
        <v>0</v>
      </c>
      <c r="L433" s="120">
        <f t="shared" si="203"/>
        <v>0</v>
      </c>
      <c r="M433" s="246">
        <f t="shared" si="204"/>
        <v>0</v>
      </c>
      <c r="N433" s="121">
        <f t="shared" si="205"/>
        <v>1.03</v>
      </c>
      <c r="O433" s="246">
        <f t="shared" si="206"/>
        <v>0.91631291028446393</v>
      </c>
      <c r="P433" s="121">
        <f t="shared" si="207"/>
        <v>0</v>
      </c>
      <c r="Q433" s="121">
        <f t="shared" si="208"/>
        <v>0.91666666666666663</v>
      </c>
      <c r="R433" s="121">
        <f t="shared" si="209"/>
        <v>8.333333333333337E-2</v>
      </c>
      <c r="S433" s="121" t="str">
        <f t="shared" si="210"/>
        <v/>
      </c>
      <c r="T433" s="121" t="str">
        <f t="shared" si="211"/>
        <v/>
      </c>
      <c r="U433" s="121">
        <f t="shared" si="212"/>
        <v>1.03</v>
      </c>
    </row>
    <row r="434" spans="1:21" x14ac:dyDescent="0.3">
      <c r="A434" s="187">
        <v>32</v>
      </c>
      <c r="B434" s="242">
        <f t="shared" si="213"/>
        <v>46600</v>
      </c>
      <c r="C434" s="243">
        <f t="shared" si="194"/>
        <v>46630</v>
      </c>
      <c r="D434" s="120">
        <f t="shared" si="195"/>
        <v>31</v>
      </c>
      <c r="E434" s="120">
        <f t="shared" si="196"/>
        <v>8</v>
      </c>
      <c r="F434" s="275">
        <f t="shared" si="197"/>
        <v>46615.5</v>
      </c>
      <c r="G434" s="120">
        <f t="shared" si="198"/>
        <v>24331</v>
      </c>
      <c r="H434" s="245">
        <f t="shared" si="199"/>
        <v>1</v>
      </c>
      <c r="I434" s="121">
        <f t="shared" si="200"/>
        <v>1.03</v>
      </c>
      <c r="J434" s="121">
        <f t="shared" si="201"/>
        <v>1.03</v>
      </c>
      <c r="K434" s="120">
        <f t="shared" si="202"/>
        <v>0</v>
      </c>
      <c r="L434" s="120">
        <f t="shared" si="203"/>
        <v>0</v>
      </c>
      <c r="M434" s="246">
        <f t="shared" si="204"/>
        <v>0</v>
      </c>
      <c r="N434" s="121">
        <f t="shared" si="205"/>
        <v>1.03</v>
      </c>
      <c r="O434" s="246">
        <f t="shared" si="206"/>
        <v>0.91699124726477033</v>
      </c>
      <c r="P434" s="121">
        <f t="shared" si="207"/>
        <v>0</v>
      </c>
      <c r="Q434" s="121">
        <f t="shared" si="208"/>
        <v>0.75</v>
      </c>
      <c r="R434" s="121">
        <f t="shared" si="209"/>
        <v>0.25</v>
      </c>
      <c r="S434" s="121" t="str">
        <f t="shared" si="210"/>
        <v/>
      </c>
      <c r="T434" s="121" t="str">
        <f t="shared" si="211"/>
        <v/>
      </c>
      <c r="U434" s="121">
        <f t="shared" si="212"/>
        <v>1.03</v>
      </c>
    </row>
    <row r="435" spans="1:21" x14ac:dyDescent="0.3">
      <c r="A435" s="187">
        <v>33</v>
      </c>
      <c r="B435" s="242">
        <f t="shared" si="213"/>
        <v>46631</v>
      </c>
      <c r="C435" s="243">
        <f t="shared" si="194"/>
        <v>46660</v>
      </c>
      <c r="D435" s="120">
        <f t="shared" si="195"/>
        <v>30</v>
      </c>
      <c r="E435" s="120">
        <f t="shared" si="196"/>
        <v>9</v>
      </c>
      <c r="F435" s="275">
        <f t="shared" si="197"/>
        <v>46646</v>
      </c>
      <c r="G435" s="120">
        <f t="shared" si="198"/>
        <v>24332</v>
      </c>
      <c r="H435" s="245">
        <f t="shared" si="199"/>
        <v>1</v>
      </c>
      <c r="I435" s="121">
        <f t="shared" si="200"/>
        <v>1.03</v>
      </c>
      <c r="J435" s="121">
        <f t="shared" si="201"/>
        <v>1.03</v>
      </c>
      <c r="K435" s="120">
        <f t="shared" si="202"/>
        <v>0</v>
      </c>
      <c r="L435" s="120">
        <f t="shared" si="203"/>
        <v>0</v>
      </c>
      <c r="M435" s="246">
        <f t="shared" si="204"/>
        <v>0</v>
      </c>
      <c r="N435" s="121">
        <f t="shared" si="205"/>
        <v>1.03</v>
      </c>
      <c r="O435" s="246">
        <f t="shared" si="206"/>
        <v>0.91765864332603941</v>
      </c>
      <c r="P435" s="121">
        <f t="shared" si="207"/>
        <v>0</v>
      </c>
      <c r="Q435" s="121">
        <f t="shared" si="208"/>
        <v>0.58333333333333337</v>
      </c>
      <c r="R435" s="121">
        <f t="shared" si="209"/>
        <v>0.41666666666666663</v>
      </c>
      <c r="S435" s="121" t="str">
        <f t="shared" si="210"/>
        <v/>
      </c>
      <c r="T435" s="121" t="str">
        <f t="shared" si="211"/>
        <v/>
      </c>
      <c r="U435" s="121">
        <f t="shared" si="212"/>
        <v>1.03</v>
      </c>
    </row>
    <row r="436" spans="1:21" x14ac:dyDescent="0.3">
      <c r="A436" s="187">
        <v>34</v>
      </c>
      <c r="B436" s="242">
        <f t="shared" si="213"/>
        <v>46661</v>
      </c>
      <c r="C436" s="243">
        <f t="shared" si="194"/>
        <v>46691</v>
      </c>
      <c r="D436" s="120">
        <f t="shared" si="195"/>
        <v>31</v>
      </c>
      <c r="E436" s="120">
        <f t="shared" si="196"/>
        <v>10</v>
      </c>
      <c r="F436" s="275">
        <f t="shared" si="197"/>
        <v>46676.5</v>
      </c>
      <c r="G436" s="120">
        <f t="shared" si="198"/>
        <v>24333</v>
      </c>
      <c r="H436" s="245">
        <f t="shared" si="199"/>
        <v>1</v>
      </c>
      <c r="I436" s="121">
        <f t="shared" si="200"/>
        <v>1.03</v>
      </c>
      <c r="J436" s="121">
        <f t="shared" si="201"/>
        <v>1.03</v>
      </c>
      <c r="K436" s="120">
        <f t="shared" si="202"/>
        <v>0</v>
      </c>
      <c r="L436" s="120">
        <f t="shared" si="203"/>
        <v>0</v>
      </c>
      <c r="M436" s="246">
        <f t="shared" si="204"/>
        <v>0</v>
      </c>
      <c r="N436" s="121">
        <f t="shared" si="205"/>
        <v>1.03</v>
      </c>
      <c r="O436" s="246">
        <f t="shared" si="206"/>
        <v>0.91832603938730861</v>
      </c>
      <c r="P436" s="121">
        <f t="shared" si="207"/>
        <v>0</v>
      </c>
      <c r="Q436" s="121">
        <f t="shared" si="208"/>
        <v>0.41666666666666669</v>
      </c>
      <c r="R436" s="121">
        <f t="shared" si="209"/>
        <v>0.58333333333333326</v>
      </c>
      <c r="S436" s="121" t="str">
        <f t="shared" si="210"/>
        <v/>
      </c>
      <c r="T436" s="121" t="str">
        <f t="shared" si="211"/>
        <v/>
      </c>
      <c r="U436" s="121">
        <f t="shared" si="212"/>
        <v>1.03</v>
      </c>
    </row>
    <row r="437" spans="1:21" x14ac:dyDescent="0.3">
      <c r="A437" s="187">
        <v>35</v>
      </c>
      <c r="B437" s="242">
        <f t="shared" si="213"/>
        <v>46692</v>
      </c>
      <c r="C437" s="243">
        <f t="shared" si="194"/>
        <v>46721</v>
      </c>
      <c r="D437" s="120">
        <f t="shared" si="195"/>
        <v>30</v>
      </c>
      <c r="E437" s="120">
        <f t="shared" si="196"/>
        <v>11</v>
      </c>
      <c r="F437" s="275">
        <f t="shared" si="197"/>
        <v>46707</v>
      </c>
      <c r="G437" s="120">
        <f t="shared" si="198"/>
        <v>24334</v>
      </c>
      <c r="H437" s="245">
        <f t="shared" si="199"/>
        <v>1</v>
      </c>
      <c r="I437" s="121">
        <f t="shared" si="200"/>
        <v>1.03</v>
      </c>
      <c r="J437" s="121">
        <f t="shared" si="201"/>
        <v>1.03</v>
      </c>
      <c r="K437" s="120">
        <f t="shared" si="202"/>
        <v>0</v>
      </c>
      <c r="L437" s="120">
        <f t="shared" si="203"/>
        <v>0</v>
      </c>
      <c r="M437" s="246">
        <f t="shared" si="204"/>
        <v>0</v>
      </c>
      <c r="N437" s="121">
        <f t="shared" si="205"/>
        <v>1.03</v>
      </c>
      <c r="O437" s="246">
        <f t="shared" si="206"/>
        <v>0.9189934354485777</v>
      </c>
      <c r="P437" s="121">
        <f t="shared" si="207"/>
        <v>0</v>
      </c>
      <c r="Q437" s="121">
        <f t="shared" si="208"/>
        <v>0.25</v>
      </c>
      <c r="R437" s="121">
        <f t="shared" si="209"/>
        <v>0.75</v>
      </c>
      <c r="S437" s="121" t="str">
        <f t="shared" si="210"/>
        <v/>
      </c>
      <c r="T437" s="121" t="str">
        <f t="shared" si="211"/>
        <v/>
      </c>
      <c r="U437" s="121">
        <f t="shared" si="212"/>
        <v>1.03</v>
      </c>
    </row>
    <row r="438" spans="1:21" x14ac:dyDescent="0.3">
      <c r="A438" s="187">
        <v>36</v>
      </c>
      <c r="B438" s="242">
        <f t="shared" si="213"/>
        <v>46722</v>
      </c>
      <c r="C438" s="243">
        <f t="shared" si="194"/>
        <v>46752</v>
      </c>
      <c r="D438" s="120">
        <f t="shared" si="195"/>
        <v>31</v>
      </c>
      <c r="E438" s="120">
        <f t="shared" si="196"/>
        <v>12</v>
      </c>
      <c r="F438" s="275">
        <f t="shared" si="197"/>
        <v>46737.5</v>
      </c>
      <c r="G438" s="120">
        <f t="shared" si="198"/>
        <v>24335</v>
      </c>
      <c r="H438" s="245">
        <f t="shared" si="199"/>
        <v>1</v>
      </c>
      <c r="I438" s="121">
        <f t="shared" si="200"/>
        <v>1.03</v>
      </c>
      <c r="J438" s="121">
        <f t="shared" si="201"/>
        <v>1.03</v>
      </c>
      <c r="K438" s="120">
        <f t="shared" si="202"/>
        <v>0</v>
      </c>
      <c r="L438" s="120">
        <f t="shared" si="203"/>
        <v>0</v>
      </c>
      <c r="M438" s="246">
        <f t="shared" si="204"/>
        <v>0</v>
      </c>
      <c r="N438" s="121">
        <f t="shared" si="205"/>
        <v>1.03</v>
      </c>
      <c r="O438" s="246">
        <f t="shared" si="206"/>
        <v>0.9196608315098469</v>
      </c>
      <c r="P438" s="121">
        <f t="shared" si="207"/>
        <v>0</v>
      </c>
      <c r="Q438" s="121">
        <f t="shared" si="208"/>
        <v>8.3333333333333329E-2</v>
      </c>
      <c r="R438" s="121">
        <f t="shared" si="209"/>
        <v>0.91666666666666663</v>
      </c>
      <c r="S438" s="121" t="str">
        <f t="shared" si="210"/>
        <v/>
      </c>
      <c r="T438" s="121" t="str">
        <f t="shared" si="211"/>
        <v/>
      </c>
      <c r="U438" s="121">
        <f t="shared" si="212"/>
        <v>1.03</v>
      </c>
    </row>
    <row r="439" spans="1:21" x14ac:dyDescent="0.3">
      <c r="A439" s="187">
        <v>37</v>
      </c>
      <c r="B439" s="242">
        <f t="shared" si="213"/>
        <v>46753</v>
      </c>
      <c r="C439" s="243">
        <f t="shared" si="194"/>
        <v>46783</v>
      </c>
      <c r="D439" s="120">
        <f t="shared" si="195"/>
        <v>31</v>
      </c>
      <c r="E439" s="120">
        <f t="shared" si="196"/>
        <v>1</v>
      </c>
      <c r="F439" s="275">
        <f t="shared" si="197"/>
        <v>46768.5</v>
      </c>
      <c r="G439" s="120">
        <f t="shared" si="198"/>
        <v>24336</v>
      </c>
      <c r="H439" s="245">
        <f t="shared" si="199"/>
        <v>1</v>
      </c>
      <c r="I439" s="121">
        <f t="shared" si="200"/>
        <v>1.03</v>
      </c>
      <c r="J439" s="121">
        <f t="shared" si="201"/>
        <v>1.03</v>
      </c>
      <c r="K439" s="120">
        <f t="shared" si="202"/>
        <v>0</v>
      </c>
      <c r="L439" s="120">
        <f t="shared" si="203"/>
        <v>0</v>
      </c>
      <c r="M439" s="246">
        <f t="shared" si="204"/>
        <v>0</v>
      </c>
      <c r="N439" s="121">
        <f t="shared" si="205"/>
        <v>1.03</v>
      </c>
      <c r="O439" s="246">
        <f t="shared" si="206"/>
        <v>0.92</v>
      </c>
      <c r="P439" s="121">
        <f t="shared" si="207"/>
        <v>0</v>
      </c>
      <c r="Q439" s="121">
        <f t="shared" si="208"/>
        <v>0</v>
      </c>
      <c r="R439" s="121">
        <f t="shared" si="209"/>
        <v>1</v>
      </c>
      <c r="S439" s="121" t="str">
        <f t="shared" si="210"/>
        <v/>
      </c>
      <c r="T439" s="121" t="str">
        <f t="shared" si="211"/>
        <v/>
      </c>
      <c r="U439" s="121">
        <f t="shared" si="212"/>
        <v>1.03</v>
      </c>
    </row>
    <row r="440" spans="1:21" x14ac:dyDescent="0.3">
      <c r="A440" s="187">
        <v>38</v>
      </c>
      <c r="B440" s="242">
        <f t="shared" si="213"/>
        <v>46784</v>
      </c>
      <c r="C440" s="243">
        <f t="shared" si="194"/>
        <v>46812</v>
      </c>
      <c r="D440" s="120">
        <f t="shared" si="195"/>
        <v>29</v>
      </c>
      <c r="E440" s="120">
        <f t="shared" si="196"/>
        <v>2</v>
      </c>
      <c r="F440" s="275">
        <f t="shared" si="197"/>
        <v>46798.5</v>
      </c>
      <c r="G440" s="120">
        <f t="shared" si="198"/>
        <v>24337</v>
      </c>
      <c r="H440" s="245">
        <f t="shared" si="199"/>
        <v>1</v>
      </c>
      <c r="I440" s="121">
        <f t="shared" si="200"/>
        <v>1.03</v>
      </c>
      <c r="J440" s="121">
        <f t="shared" si="201"/>
        <v>1.03</v>
      </c>
      <c r="K440" s="120">
        <f t="shared" si="202"/>
        <v>0</v>
      </c>
      <c r="L440" s="120">
        <f t="shared" si="203"/>
        <v>0</v>
      </c>
      <c r="M440" s="246">
        <f t="shared" si="204"/>
        <v>0</v>
      </c>
      <c r="N440" s="121">
        <f t="shared" si="205"/>
        <v>1.03</v>
      </c>
      <c r="O440" s="246">
        <f t="shared" si="206"/>
        <v>0.92</v>
      </c>
      <c r="P440" s="121">
        <f t="shared" si="207"/>
        <v>0</v>
      </c>
      <c r="Q440" s="121">
        <f t="shared" si="208"/>
        <v>0</v>
      </c>
      <c r="R440" s="121">
        <f t="shared" si="209"/>
        <v>1</v>
      </c>
      <c r="S440" s="121" t="str">
        <f t="shared" si="210"/>
        <v/>
      </c>
      <c r="T440" s="121" t="str">
        <f t="shared" si="211"/>
        <v/>
      </c>
      <c r="U440" s="121">
        <f t="shared" si="212"/>
        <v>1.03</v>
      </c>
    </row>
    <row r="441" spans="1:21" x14ac:dyDescent="0.3">
      <c r="A441" s="187">
        <v>39</v>
      </c>
      <c r="B441" s="242">
        <f t="shared" si="213"/>
        <v>46813</v>
      </c>
      <c r="C441" s="243">
        <f t="shared" si="194"/>
        <v>46843</v>
      </c>
      <c r="D441" s="120">
        <f t="shared" si="195"/>
        <v>31</v>
      </c>
      <c r="E441" s="120">
        <f t="shared" si="196"/>
        <v>3</v>
      </c>
      <c r="F441" s="275">
        <f t="shared" si="197"/>
        <v>46828.5</v>
      </c>
      <c r="G441" s="120">
        <f t="shared" si="198"/>
        <v>24338</v>
      </c>
      <c r="H441" s="245">
        <f t="shared" si="199"/>
        <v>1</v>
      </c>
      <c r="I441" s="121">
        <f t="shared" si="200"/>
        <v>1.03</v>
      </c>
      <c r="J441" s="121">
        <f t="shared" si="201"/>
        <v>1.03</v>
      </c>
      <c r="K441" s="120">
        <f t="shared" si="202"/>
        <v>0</v>
      </c>
      <c r="L441" s="120">
        <f t="shared" si="203"/>
        <v>0</v>
      </c>
      <c r="M441" s="246">
        <f t="shared" si="204"/>
        <v>0</v>
      </c>
      <c r="N441" s="121">
        <f t="shared" si="205"/>
        <v>1.03</v>
      </c>
      <c r="O441" s="246">
        <f t="shared" si="206"/>
        <v>0.92</v>
      </c>
      <c r="P441" s="121">
        <f t="shared" si="207"/>
        <v>0</v>
      </c>
      <c r="Q441" s="121">
        <f t="shared" si="208"/>
        <v>0</v>
      </c>
      <c r="R441" s="121">
        <f t="shared" si="209"/>
        <v>1</v>
      </c>
      <c r="S441" s="121" t="str">
        <f t="shared" si="210"/>
        <v/>
      </c>
      <c r="T441" s="121" t="str">
        <f t="shared" si="211"/>
        <v/>
      </c>
      <c r="U441" s="121">
        <f t="shared" si="212"/>
        <v>1.03</v>
      </c>
    </row>
    <row r="442" spans="1:21" x14ac:dyDescent="0.3">
      <c r="A442" s="187">
        <v>40</v>
      </c>
      <c r="B442" s="242">
        <f t="shared" si="213"/>
        <v>46844</v>
      </c>
      <c r="C442" s="243">
        <f t="shared" si="194"/>
        <v>46873</v>
      </c>
      <c r="D442" s="120">
        <f t="shared" si="195"/>
        <v>30</v>
      </c>
      <c r="E442" s="120">
        <f t="shared" si="196"/>
        <v>4</v>
      </c>
      <c r="F442" s="275">
        <f t="shared" si="197"/>
        <v>46859</v>
      </c>
      <c r="G442" s="120">
        <f t="shared" si="198"/>
        <v>24339</v>
      </c>
      <c r="H442" s="245">
        <f t="shared" si="199"/>
        <v>1</v>
      </c>
      <c r="I442" s="121">
        <f t="shared" si="200"/>
        <v>1.03</v>
      </c>
      <c r="J442" s="121">
        <f t="shared" si="201"/>
        <v>1.03</v>
      </c>
      <c r="K442" s="120">
        <f t="shared" si="202"/>
        <v>0</v>
      </c>
      <c r="L442" s="120">
        <f t="shared" si="203"/>
        <v>0</v>
      </c>
      <c r="M442" s="246">
        <f t="shared" si="204"/>
        <v>0</v>
      </c>
      <c r="N442" s="121">
        <f t="shared" si="205"/>
        <v>1.03</v>
      </c>
      <c r="O442" s="246">
        <f t="shared" si="206"/>
        <v>0.92</v>
      </c>
      <c r="P442" s="121">
        <f t="shared" si="207"/>
        <v>0</v>
      </c>
      <c r="Q442" s="121">
        <f t="shared" si="208"/>
        <v>0</v>
      </c>
      <c r="R442" s="121">
        <f t="shared" si="209"/>
        <v>1</v>
      </c>
      <c r="S442" s="121" t="str">
        <f t="shared" si="210"/>
        <v/>
      </c>
      <c r="T442" s="121" t="str">
        <f t="shared" si="211"/>
        <v/>
      </c>
      <c r="U442" s="121">
        <f t="shared" si="212"/>
        <v>1.03</v>
      </c>
    </row>
    <row r="443" spans="1:21" x14ac:dyDescent="0.3">
      <c r="A443" s="187">
        <v>41</v>
      </c>
      <c r="B443" s="242">
        <f t="shared" si="213"/>
        <v>46874</v>
      </c>
      <c r="C443" s="243">
        <f t="shared" si="194"/>
        <v>46904</v>
      </c>
      <c r="D443" s="120">
        <f t="shared" si="195"/>
        <v>31</v>
      </c>
      <c r="E443" s="120">
        <f t="shared" si="196"/>
        <v>5</v>
      </c>
      <c r="F443" s="275">
        <f t="shared" si="197"/>
        <v>46889.5</v>
      </c>
      <c r="G443" s="120">
        <f t="shared" si="198"/>
        <v>24340</v>
      </c>
      <c r="H443" s="245">
        <f t="shared" si="199"/>
        <v>1</v>
      </c>
      <c r="I443" s="121">
        <f t="shared" si="200"/>
        <v>1.03</v>
      </c>
      <c r="J443" s="121">
        <f t="shared" si="201"/>
        <v>1.03</v>
      </c>
      <c r="K443" s="120">
        <f t="shared" si="202"/>
        <v>0</v>
      </c>
      <c r="L443" s="120">
        <f t="shared" si="203"/>
        <v>0</v>
      </c>
      <c r="M443" s="246">
        <f t="shared" si="204"/>
        <v>0</v>
      </c>
      <c r="N443" s="121">
        <f t="shared" si="205"/>
        <v>1.03</v>
      </c>
      <c r="O443" s="246">
        <f t="shared" si="206"/>
        <v>0.92</v>
      </c>
      <c r="P443" s="121">
        <f t="shared" si="207"/>
        <v>0</v>
      </c>
      <c r="Q443" s="121">
        <f t="shared" si="208"/>
        <v>0</v>
      </c>
      <c r="R443" s="121">
        <f t="shared" si="209"/>
        <v>1</v>
      </c>
      <c r="S443" s="121" t="str">
        <f t="shared" si="210"/>
        <v/>
      </c>
      <c r="T443" s="121" t="str">
        <f t="shared" si="211"/>
        <v/>
      </c>
      <c r="U443" s="121">
        <f t="shared" si="212"/>
        <v>1.03</v>
      </c>
    </row>
    <row r="444" spans="1:21" x14ac:dyDescent="0.3">
      <c r="A444" s="187">
        <v>42</v>
      </c>
      <c r="B444" s="242">
        <f t="shared" si="213"/>
        <v>46905</v>
      </c>
      <c r="C444" s="243">
        <f t="shared" si="194"/>
        <v>46934</v>
      </c>
      <c r="D444" s="120">
        <f t="shared" si="195"/>
        <v>30</v>
      </c>
      <c r="E444" s="120">
        <f t="shared" si="196"/>
        <v>6</v>
      </c>
      <c r="F444" s="275">
        <f t="shared" si="197"/>
        <v>46920</v>
      </c>
      <c r="G444" s="120">
        <f t="shared" si="198"/>
        <v>24341</v>
      </c>
      <c r="H444" s="245">
        <f t="shared" si="199"/>
        <v>1</v>
      </c>
      <c r="I444" s="121">
        <f t="shared" si="200"/>
        <v>1.03</v>
      </c>
      <c r="J444" s="121">
        <f t="shared" si="201"/>
        <v>1.03</v>
      </c>
      <c r="K444" s="120">
        <f t="shared" si="202"/>
        <v>0</v>
      </c>
      <c r="L444" s="120">
        <f t="shared" si="203"/>
        <v>0</v>
      </c>
      <c r="M444" s="246">
        <f t="shared" si="204"/>
        <v>0</v>
      </c>
      <c r="N444" s="121">
        <f t="shared" si="205"/>
        <v>1.03</v>
      </c>
      <c r="O444" s="246">
        <f t="shared" si="206"/>
        <v>0.92</v>
      </c>
      <c r="P444" s="121">
        <f t="shared" si="207"/>
        <v>0</v>
      </c>
      <c r="Q444" s="121">
        <f t="shared" si="208"/>
        <v>0</v>
      </c>
      <c r="R444" s="121">
        <f t="shared" si="209"/>
        <v>1</v>
      </c>
      <c r="S444" s="121" t="str">
        <f t="shared" si="210"/>
        <v/>
      </c>
      <c r="T444" s="121" t="str">
        <f t="shared" si="211"/>
        <v/>
      </c>
      <c r="U444" s="121">
        <f t="shared" si="212"/>
        <v>1.03</v>
      </c>
    </row>
    <row r="445" spans="1:21" x14ac:dyDescent="0.3">
      <c r="A445" s="187">
        <v>43</v>
      </c>
      <c r="B445" s="242">
        <f t="shared" si="213"/>
        <v>46935</v>
      </c>
      <c r="C445" s="243">
        <f t="shared" si="194"/>
        <v>46965</v>
      </c>
      <c r="D445" s="120">
        <f t="shared" si="195"/>
        <v>31</v>
      </c>
      <c r="E445" s="120">
        <f t="shared" si="196"/>
        <v>7</v>
      </c>
      <c r="F445" s="275">
        <f t="shared" si="197"/>
        <v>46950.5</v>
      </c>
      <c r="G445" s="120">
        <f t="shared" si="198"/>
        <v>24342</v>
      </c>
      <c r="H445" s="245">
        <f t="shared" si="199"/>
        <v>1</v>
      </c>
      <c r="I445" s="121">
        <f t="shared" si="200"/>
        <v>1.03</v>
      </c>
      <c r="J445" s="121">
        <f t="shared" si="201"/>
        <v>1.03</v>
      </c>
      <c r="K445" s="120">
        <f t="shared" si="202"/>
        <v>0</v>
      </c>
      <c r="L445" s="120">
        <f t="shared" si="203"/>
        <v>0</v>
      </c>
      <c r="M445" s="246">
        <f t="shared" si="204"/>
        <v>0</v>
      </c>
      <c r="N445" s="121">
        <f t="shared" si="205"/>
        <v>1.03</v>
      </c>
      <c r="O445" s="246">
        <f t="shared" si="206"/>
        <v>0.92</v>
      </c>
      <c r="P445" s="121">
        <f t="shared" si="207"/>
        <v>0</v>
      </c>
      <c r="Q445" s="121">
        <f t="shared" si="208"/>
        <v>0</v>
      </c>
      <c r="R445" s="121">
        <f t="shared" si="209"/>
        <v>0.91666666666666663</v>
      </c>
      <c r="S445" s="121" t="str">
        <f t="shared" si="210"/>
        <v/>
      </c>
      <c r="T445" s="121" t="str">
        <f t="shared" si="211"/>
        <v/>
      </c>
      <c r="U445" s="121">
        <f t="shared" si="212"/>
        <v>1.03</v>
      </c>
    </row>
    <row r="446" spans="1:21" x14ac:dyDescent="0.3">
      <c r="A446" s="187">
        <v>44</v>
      </c>
      <c r="B446" s="242">
        <f t="shared" si="213"/>
        <v>46966</v>
      </c>
      <c r="C446" s="243">
        <f t="shared" si="194"/>
        <v>46996</v>
      </c>
      <c r="D446" s="120">
        <f t="shared" si="195"/>
        <v>31</v>
      </c>
      <c r="E446" s="120">
        <f t="shared" si="196"/>
        <v>8</v>
      </c>
      <c r="F446" s="275">
        <f t="shared" si="197"/>
        <v>46981.5</v>
      </c>
      <c r="G446" s="120">
        <f t="shared" si="198"/>
        <v>24343</v>
      </c>
      <c r="H446" s="245">
        <f t="shared" si="199"/>
        <v>1</v>
      </c>
      <c r="I446" s="121">
        <f t="shared" si="200"/>
        <v>1.03</v>
      </c>
      <c r="J446" s="121">
        <f t="shared" si="201"/>
        <v>1.03</v>
      </c>
      <c r="K446" s="120">
        <f t="shared" si="202"/>
        <v>0</v>
      </c>
      <c r="L446" s="120">
        <f t="shared" si="203"/>
        <v>0</v>
      </c>
      <c r="M446" s="246">
        <f t="shared" si="204"/>
        <v>0</v>
      </c>
      <c r="N446" s="121">
        <f t="shared" si="205"/>
        <v>1.03</v>
      </c>
      <c r="O446" s="246">
        <f t="shared" si="206"/>
        <v>0.92</v>
      </c>
      <c r="P446" s="121">
        <f t="shared" si="207"/>
        <v>0</v>
      </c>
      <c r="Q446" s="121">
        <f t="shared" si="208"/>
        <v>0</v>
      </c>
      <c r="R446" s="121">
        <f t="shared" si="209"/>
        <v>0.75</v>
      </c>
      <c r="S446" s="121" t="str">
        <f t="shared" si="210"/>
        <v/>
      </c>
      <c r="T446" s="121" t="str">
        <f t="shared" si="211"/>
        <v/>
      </c>
      <c r="U446" s="121">
        <f t="shared" si="212"/>
        <v>1.03</v>
      </c>
    </row>
    <row r="447" spans="1:21" x14ac:dyDescent="0.3">
      <c r="A447" s="187">
        <v>45</v>
      </c>
      <c r="B447" s="242">
        <f t="shared" si="213"/>
        <v>46997</v>
      </c>
      <c r="C447" s="243">
        <f t="shared" si="194"/>
        <v>47026</v>
      </c>
      <c r="D447" s="120">
        <f t="shared" si="195"/>
        <v>30</v>
      </c>
      <c r="E447" s="120">
        <f t="shared" si="196"/>
        <v>9</v>
      </c>
      <c r="F447" s="275">
        <f t="shared" si="197"/>
        <v>47012</v>
      </c>
      <c r="G447" s="120">
        <f t="shared" si="198"/>
        <v>24344</v>
      </c>
      <c r="H447" s="245">
        <f t="shared" si="199"/>
        <v>1</v>
      </c>
      <c r="I447" s="121">
        <f t="shared" si="200"/>
        <v>1.03</v>
      </c>
      <c r="J447" s="121">
        <f t="shared" si="201"/>
        <v>1.03</v>
      </c>
      <c r="K447" s="120">
        <f t="shared" si="202"/>
        <v>0</v>
      </c>
      <c r="L447" s="120">
        <f t="shared" si="203"/>
        <v>0</v>
      </c>
      <c r="M447" s="246">
        <f t="shared" si="204"/>
        <v>0</v>
      </c>
      <c r="N447" s="121">
        <f t="shared" si="205"/>
        <v>1.03</v>
      </c>
      <c r="O447" s="246">
        <f t="shared" si="206"/>
        <v>0.92</v>
      </c>
      <c r="P447" s="121">
        <f t="shared" si="207"/>
        <v>0</v>
      </c>
      <c r="Q447" s="121">
        <f t="shared" si="208"/>
        <v>0</v>
      </c>
      <c r="R447" s="121">
        <f t="shared" si="209"/>
        <v>0.58333333333333337</v>
      </c>
      <c r="S447" s="121" t="str">
        <f t="shared" si="210"/>
        <v/>
      </c>
      <c r="T447" s="121" t="str">
        <f t="shared" si="211"/>
        <v/>
      </c>
      <c r="U447" s="121">
        <f t="shared" si="212"/>
        <v>1.03</v>
      </c>
    </row>
    <row r="448" spans="1:21" x14ac:dyDescent="0.3">
      <c r="A448" s="187">
        <v>46</v>
      </c>
      <c r="B448" s="242">
        <f t="shared" si="213"/>
        <v>47027</v>
      </c>
      <c r="C448" s="243">
        <f t="shared" si="194"/>
        <v>47057</v>
      </c>
      <c r="D448" s="120">
        <f t="shared" si="195"/>
        <v>31</v>
      </c>
      <c r="E448" s="120">
        <f t="shared" si="196"/>
        <v>10</v>
      </c>
      <c r="F448" s="275">
        <f t="shared" si="197"/>
        <v>47042.5</v>
      </c>
      <c r="G448" s="120">
        <f t="shared" si="198"/>
        <v>24345</v>
      </c>
      <c r="H448" s="245">
        <f t="shared" si="199"/>
        <v>1</v>
      </c>
      <c r="I448" s="121">
        <f t="shared" si="200"/>
        <v>1.03</v>
      </c>
      <c r="J448" s="121">
        <f t="shared" si="201"/>
        <v>1.03</v>
      </c>
      <c r="K448" s="120">
        <f t="shared" si="202"/>
        <v>0</v>
      </c>
      <c r="L448" s="120">
        <f t="shared" si="203"/>
        <v>0</v>
      </c>
      <c r="M448" s="246">
        <f t="shared" si="204"/>
        <v>0</v>
      </c>
      <c r="N448" s="121">
        <f t="shared" si="205"/>
        <v>1.03</v>
      </c>
      <c r="O448" s="246">
        <f t="shared" si="206"/>
        <v>0.92</v>
      </c>
      <c r="P448" s="121">
        <f t="shared" si="207"/>
        <v>0</v>
      </c>
      <c r="Q448" s="121">
        <f t="shared" si="208"/>
        <v>0</v>
      </c>
      <c r="R448" s="121">
        <f t="shared" si="209"/>
        <v>0.41666666666666669</v>
      </c>
      <c r="S448" s="121" t="str">
        <f t="shared" si="210"/>
        <v/>
      </c>
      <c r="T448" s="121" t="str">
        <f t="shared" si="211"/>
        <v/>
      </c>
      <c r="U448" s="121">
        <f t="shared" si="212"/>
        <v>1.03</v>
      </c>
    </row>
    <row r="449" spans="1:21" x14ac:dyDescent="0.3">
      <c r="A449" s="187">
        <v>47</v>
      </c>
      <c r="B449" s="242">
        <f t="shared" si="213"/>
        <v>47058</v>
      </c>
      <c r="C449" s="243">
        <f t="shared" si="194"/>
        <v>47087</v>
      </c>
      <c r="D449" s="120">
        <f t="shared" si="195"/>
        <v>30</v>
      </c>
      <c r="E449" s="120">
        <f t="shared" si="196"/>
        <v>11</v>
      </c>
      <c r="F449" s="275">
        <f t="shared" si="197"/>
        <v>47073</v>
      </c>
      <c r="G449" s="120">
        <f t="shared" si="198"/>
        <v>24346</v>
      </c>
      <c r="H449" s="245">
        <f t="shared" si="199"/>
        <v>1</v>
      </c>
      <c r="I449" s="121">
        <f t="shared" si="200"/>
        <v>1.03</v>
      </c>
      <c r="J449" s="121">
        <f t="shared" si="201"/>
        <v>1.03</v>
      </c>
      <c r="K449" s="120">
        <f t="shared" si="202"/>
        <v>0</v>
      </c>
      <c r="L449" s="120">
        <f t="shared" si="203"/>
        <v>0</v>
      </c>
      <c r="M449" s="246">
        <f t="shared" si="204"/>
        <v>0</v>
      </c>
      <c r="N449" s="121">
        <f t="shared" si="205"/>
        <v>1.03</v>
      </c>
      <c r="O449" s="246">
        <f t="shared" si="206"/>
        <v>0.92</v>
      </c>
      <c r="P449" s="121">
        <f t="shared" si="207"/>
        <v>0</v>
      </c>
      <c r="Q449" s="121">
        <f t="shared" si="208"/>
        <v>0</v>
      </c>
      <c r="R449" s="121">
        <f t="shared" si="209"/>
        <v>0.25</v>
      </c>
      <c r="S449" s="121" t="str">
        <f t="shared" si="210"/>
        <v/>
      </c>
      <c r="T449" s="121" t="str">
        <f t="shared" si="211"/>
        <v/>
      </c>
      <c r="U449" s="121">
        <f t="shared" si="212"/>
        <v>1.03</v>
      </c>
    </row>
    <row r="450" spans="1:21" x14ac:dyDescent="0.3">
      <c r="A450" s="187">
        <v>48</v>
      </c>
      <c r="B450" s="242">
        <f t="shared" si="213"/>
        <v>47088</v>
      </c>
      <c r="C450" s="243">
        <f t="shared" si="194"/>
        <v>47118</v>
      </c>
      <c r="D450" s="120">
        <f t="shared" si="195"/>
        <v>31</v>
      </c>
      <c r="E450" s="120">
        <f t="shared" si="196"/>
        <v>12</v>
      </c>
      <c r="F450" s="275">
        <f t="shared" si="197"/>
        <v>47103.5</v>
      </c>
      <c r="G450" s="120">
        <f t="shared" si="198"/>
        <v>24347</v>
      </c>
      <c r="H450" s="245">
        <f t="shared" si="199"/>
        <v>1</v>
      </c>
      <c r="I450" s="121">
        <f t="shared" si="200"/>
        <v>1.03</v>
      </c>
      <c r="J450" s="121">
        <f t="shared" si="201"/>
        <v>1.03</v>
      </c>
      <c r="K450" s="120">
        <f t="shared" si="202"/>
        <v>0</v>
      </c>
      <c r="L450" s="120">
        <f t="shared" si="203"/>
        <v>0</v>
      </c>
      <c r="M450" s="246">
        <f t="shared" si="204"/>
        <v>0</v>
      </c>
      <c r="N450" s="121">
        <f t="shared" si="205"/>
        <v>1.03</v>
      </c>
      <c r="O450" s="246">
        <f t="shared" si="206"/>
        <v>0.92</v>
      </c>
      <c r="P450" s="121">
        <f t="shared" si="207"/>
        <v>0</v>
      </c>
      <c r="Q450" s="121">
        <f t="shared" si="208"/>
        <v>0</v>
      </c>
      <c r="R450" s="121">
        <f t="shared" si="209"/>
        <v>8.3333333333333329E-2</v>
      </c>
      <c r="S450" s="121" t="str">
        <f t="shared" si="210"/>
        <v/>
      </c>
      <c r="T450" s="121" t="str">
        <f t="shared" si="211"/>
        <v/>
      </c>
      <c r="U450" s="121">
        <f t="shared" si="212"/>
        <v>1.03</v>
      </c>
    </row>
    <row r="451" spans="1:21" x14ac:dyDescent="0.3">
      <c r="A451" s="6" t="s">
        <v>1651</v>
      </c>
      <c r="B451" s="73">
        <f>EXP(SUMPRODUCT((rl_key=$A$400)*(rl_cons="Y")*rl_ln1p))</f>
        <v>1.03</v>
      </c>
      <c r="C451" s="73">
        <f>SUMPRODUCT($H$403:$H$450,$P$403:$P$450,$U$403:$U$450)/SUMPRODUCT($H$403:$H$450,$P$403:$P$450)</f>
        <v>1.0075000000000001</v>
      </c>
      <c r="D451" s="73">
        <f>SUMPRODUCT($H$403:$H$450,$Q$403:$Q$450,$U$403:$U$450)/SUMPRODUCT($H$403:$H$450,$Q$403:$Q$450)</f>
        <v>1.03</v>
      </c>
      <c r="E451" s="73">
        <f>SUMPRODUCT($H$403:$H$450,$R$403:$R$450,$U$403:$U$450)/SUMPRODUCT($H$403:$H$450,$R$403:$R$450)</f>
        <v>1.03</v>
      </c>
      <c r="F451" s="224">
        <f>SUMPRODUCT($H$403:$H$450,$Q$403:$Q$450,$O$403:$O$450)/SUMPRODUCT($H$403:$H$450,$Q$403:$Q$450)</f>
        <v>0.91399252370532447</v>
      </c>
      <c r="G451" s="224">
        <f>SUMPRODUCT($H$403:$H$450,$R$403:$R$450,$O$403:$O$450)/SUMPRODUCT($H$403:$H$450,$R$403:$R$450)</f>
        <v>0.91966022368101141</v>
      </c>
      <c r="H451" s="73">
        <f>SUMPRODUCT($H$427:$H$438,$N$427:$N$438/$N$415:$N$426)/SUM($H$427:$H$438)</f>
        <v>1.0149999999999999</v>
      </c>
      <c r="I451" s="73">
        <f>SUMPRODUCT($H$427:$H$438,$O$427:$O$438/$O$415:$O$426)/SUM($H$427:$H$438)</f>
        <v>1.0087961468131064</v>
      </c>
      <c r="J451" s="73">
        <f>IF($O$400=1,SUMPRODUCT($H$427:$H$438,$N$427:$N$438/$N$415:$N$426*$O$427:$O$438/$O$415:$O$426)/SUM($H$427:$H$438),$H451)</f>
        <v>1.0239283798195216</v>
      </c>
      <c r="K451" s="73">
        <f>SUMPRODUCT($H$403:$H$450,$Q$403:$Q$450,$N$403:$N$450)/SUMPRODUCT($H$403:$H$450,$Q$403:$Q$450)</f>
        <v>1.03</v>
      </c>
      <c r="L451" s="73">
        <f>SUMPRODUCT($H$403:$H$450,$R$403:$R$450,$N$403:$N$450)/SUMPRODUCT($H$403:$H$450,$R$403:$R$450)</f>
        <v>1.03</v>
      </c>
    </row>
    <row r="454" spans="1:21" x14ac:dyDescent="0.3">
      <c r="A454" s="6" t="str">
        <f>INDEX(lr_key,8)</f>
        <v>ABD|IN</v>
      </c>
      <c r="B454" s="6" t="str">
        <f>INDEX(lr_state,8)</f>
        <v>IN</v>
      </c>
      <c r="C454" s="75">
        <f>nr_TermMonths</f>
        <v>6</v>
      </c>
      <c r="D454" s="75">
        <f>IF(COUNTIF(se_state,$B454)=0,0,MATCH($B454,se_state,0))</f>
        <v>2</v>
      </c>
      <c r="E454" s="70">
        <f>IF($D454=0,0,INDEX(se_sum,$D454))</f>
        <v>11.999999999999998</v>
      </c>
      <c r="F454" s="224">
        <f>IF(N(INDEX(lr_mind,8))=0,1,INDEX(lr_mind,8))</f>
        <v>0.92</v>
      </c>
      <c r="G454" s="224">
        <f>IF(N(INDEX(lr_m0,8))=0,1,INDEX(lr_m0,8))</f>
        <v>0.91</v>
      </c>
      <c r="H454" s="74">
        <f>IF(N(INDEX(lr_m0asof,8))=0,DATE(nr_PlanYear-1,10,1),INDEX(lr_m0asof,8))</f>
        <v>46295</v>
      </c>
      <c r="I454" s="224">
        <f>IF(N(INDEX(lr_m1,8))=0,1,INDEX(lr_m1,8))</f>
        <v>0.9</v>
      </c>
      <c r="J454" s="224">
        <f>INDEX(lr_mprior,8)</f>
        <v>0</v>
      </c>
      <c r="K454" s="224">
        <f>INDEX(lr_m2,8)</f>
        <v>0</v>
      </c>
      <c r="L454" s="6" t="b">
        <f>NOT(ISBLANK(INDEX(lr_netp,8)))</f>
        <v>0</v>
      </c>
      <c r="M454" s="72">
        <f>N(INDEX(lr_netp,8))</f>
        <v>0</v>
      </c>
      <c r="N454" s="72">
        <f>IF(ISBLANK(INDEX(lr_netp1,8)),$M$454,N(INDEX(lr_netp1,8)))</f>
        <v>0</v>
      </c>
      <c r="O454" s="75">
        <f>IF(AND(nr_ModAdjMaster="ON",INDEX(lr_modadj,8)="ON"),1,0)</f>
        <v>1</v>
      </c>
    </row>
    <row r="455" spans="1:21" x14ac:dyDescent="0.3">
      <c r="A455" s="6">
        <f>EDATE($H$454,-12)+1</f>
        <v>45931</v>
      </c>
      <c r="B455" s="6">
        <f>$H$454+1</f>
        <v>46296</v>
      </c>
      <c r="C455" s="6">
        <f>DATE(nr_PlanYear,12,31)+1</f>
        <v>46753</v>
      </c>
      <c r="D455" s="6">
        <f>DATE(nr_PlanYear+1,12,31)+1</f>
        <v>47119</v>
      </c>
      <c r="E455" s="6">
        <f>IF(N($J$454)=0,$F$455-($G$455-$F$455)/($C$455-$B$455)*($B$455-$A$455),$J$454)</f>
        <v>0.91798687089715536</v>
      </c>
      <c r="F455" s="6">
        <f>$G$454</f>
        <v>0.91</v>
      </c>
      <c r="G455" s="6">
        <f>$I$454</f>
        <v>0.9</v>
      </c>
      <c r="H455" s="6">
        <f>IF(N($K$454)=0,$I$454,$K$454)</f>
        <v>0.9</v>
      </c>
      <c r="I455" s="6">
        <f>($F$455-$E$455)/($B$455-$A$455)</f>
        <v>-2.1881838074398162E-5</v>
      </c>
      <c r="J455" s="6">
        <f>($G$455-$F$455)/($C$455-$B$455)</f>
        <v>-2.188183807439827E-5</v>
      </c>
      <c r="K455" s="6">
        <f>($H$455-$G$455)/($D$455-$C$455)</f>
        <v>0</v>
      </c>
    </row>
    <row r="456" spans="1:21" ht="36" x14ac:dyDescent="0.3">
      <c r="A456" s="58" t="s">
        <v>390</v>
      </c>
      <c r="B456" s="58" t="s">
        <v>449</v>
      </c>
      <c r="C456" s="58" t="s">
        <v>685</v>
      </c>
      <c r="D456" s="58" t="s">
        <v>686</v>
      </c>
      <c r="E456" s="58" t="s">
        <v>687</v>
      </c>
      <c r="F456" s="58" t="s">
        <v>688</v>
      </c>
      <c r="G456" s="58" t="s">
        <v>689</v>
      </c>
      <c r="H456" s="58" t="s">
        <v>452</v>
      </c>
      <c r="I456" s="58" t="s">
        <v>690</v>
      </c>
      <c r="J456" s="58" t="s">
        <v>691</v>
      </c>
      <c r="K456" s="58" t="s">
        <v>692</v>
      </c>
      <c r="L456" s="58" t="s">
        <v>693</v>
      </c>
      <c r="M456" s="58" t="s">
        <v>694</v>
      </c>
      <c r="N456" s="58" t="s">
        <v>695</v>
      </c>
      <c r="O456" s="58" t="s">
        <v>696</v>
      </c>
      <c r="P456" s="58" t="s">
        <v>697</v>
      </c>
      <c r="Q456" s="58" t="s">
        <v>698</v>
      </c>
      <c r="R456" s="58" t="s">
        <v>699</v>
      </c>
      <c r="S456" s="58" t="s">
        <v>700</v>
      </c>
      <c r="T456" s="58" t="s">
        <v>701</v>
      </c>
      <c r="U456" s="58" t="s">
        <v>702</v>
      </c>
    </row>
    <row r="457" spans="1:21" x14ac:dyDescent="0.3">
      <c r="A457" s="187">
        <v>1</v>
      </c>
      <c r="B457" s="242">
        <f>DATE(nr_PlanYear-2,1,1)</f>
        <v>45658</v>
      </c>
      <c r="C457" s="243">
        <f t="shared" ref="C457:C504" si="214">EOMONTH($B457,0)</f>
        <v>45688</v>
      </c>
      <c r="D457" s="120">
        <f t="shared" ref="D457:D504" si="215">$C457-$B457+1</f>
        <v>31</v>
      </c>
      <c r="E457" s="120">
        <f t="shared" ref="E457:E504" si="216">MONTH($B457)</f>
        <v>1</v>
      </c>
      <c r="F457" s="275">
        <f t="shared" ref="F457:F504" si="217">($B457+$C457+1)/2</f>
        <v>45673.5</v>
      </c>
      <c r="G457" s="120">
        <f t="shared" ref="G457:G504" si="218">YEAR($B457)*12+MONTH($B457)-1</f>
        <v>24300</v>
      </c>
      <c r="H457" s="245">
        <f t="shared" ref="H457:H504" si="219">IF(OR(nr_SeasonOn="OFF",$D$454=0,$E$454=0),1,12*INDEX(se_block,$D$454,$E457)/$E$454)</f>
        <v>1</v>
      </c>
      <c r="I457" s="121">
        <f t="shared" ref="I457:I504" si="220">EXP(SUMPRODUCT((rl_eff&lt;$B457)*(rl_key=$A$454)*rl_ln1p))</f>
        <v>1</v>
      </c>
      <c r="J457" s="121">
        <f t="shared" ref="J457:J504" si="221">EXP(SUMPRODUCT((rl_eff&lt;=$C457)*(rl_key=$A$454)*rl_ln1p))</f>
        <v>1</v>
      </c>
      <c r="K457" s="120">
        <f t="shared" ref="K457:K504" si="222">COUNTIFS(rl_key,$A$454,rl_eff,"&gt;="&amp;$B457,rl_eff,"&lt;="&amp;$C457)</f>
        <v>0</v>
      </c>
      <c r="L457" s="120">
        <f t="shared" ref="L457:L504" si="223">SUMIFS(rl_daysafter,rl_key,$A$454,rl_effmonth,$B457,rl_first,1)</f>
        <v>0</v>
      </c>
      <c r="M457" s="246">
        <f t="shared" ref="M457:M504" si="224">IF($K457=0,0,MIN(1,$L457/$D457))</f>
        <v>0</v>
      </c>
      <c r="N457" s="121">
        <f t="shared" ref="N457:N504" si="225">IF($K457=0,$J457,(1-$M457)*$I457+$M457*$J457)</f>
        <v>1</v>
      </c>
      <c r="O457" s="246">
        <f t="shared" ref="O457:O504" si="226">IF($F457&lt;$B$455,$E$455+$I$455*($F457-$A$455),IF($F457&lt;$C$455,$F$455+$J$455*($F457-$B$455),$G$455+$K$455*($F457-$C$455)))</f>
        <v>0.92362144420131287</v>
      </c>
      <c r="P457" s="121">
        <f t="shared" ref="P457:P504" si="227">MIN(1,MAX(0,(nr_MEndPm1-$G457+0.5)/$C$454))-MIN(1,MAX(0,(nr_MStartPm1-1-$G457+0.5)/$C$454))</f>
        <v>0</v>
      </c>
      <c r="Q457" s="121">
        <f t="shared" ref="Q457:Q504" si="228">MIN(1,MAX(0,(nr_MEndP-$G457+0.5)/$C$454))-MIN(1,MAX(0,(nr_MStartP-1-$G457+0.5)/$C$454))</f>
        <v>0</v>
      </c>
      <c r="R457" s="121">
        <f t="shared" ref="R457:R504" si="229">MIN(1,MAX(0,(nr_MEndP1-$G457+0.5)/$C$454))-MIN(1,MAX(0,(nr_MStartP1-1-$G457+0.5)/$C$454))</f>
        <v>0</v>
      </c>
      <c r="S457" s="121" t="str">
        <f t="shared" ref="S457:S504" si="230">IF($L$454,$N457*IF($O$454=1,$O457/$F$454,1),"")</f>
        <v/>
      </c>
      <c r="T457" s="121" t="str">
        <f t="shared" ref="T457:T504" si="231">IF(NOT($L$454),"",IF($G457&lt;nr_MStartP,$S457,$T445*(1+IF($G457&lt;nr_MStartP1,$M$454,$N$454))))</f>
        <v/>
      </c>
      <c r="U457" s="121">
        <f t="shared" ref="U457:U504" si="232">IF($L$454,$T457,$N457)</f>
        <v>1</v>
      </c>
    </row>
    <row r="458" spans="1:21" x14ac:dyDescent="0.3">
      <c r="A458" s="187">
        <v>2</v>
      </c>
      <c r="B458" s="242">
        <f t="shared" ref="B458:B504" si="233">EDATE($B457,1)</f>
        <v>45689</v>
      </c>
      <c r="C458" s="243">
        <f t="shared" si="214"/>
        <v>45716</v>
      </c>
      <c r="D458" s="120">
        <f t="shared" si="215"/>
        <v>28</v>
      </c>
      <c r="E458" s="120">
        <f t="shared" si="216"/>
        <v>2</v>
      </c>
      <c r="F458" s="275">
        <f t="shared" si="217"/>
        <v>45703</v>
      </c>
      <c r="G458" s="120">
        <f t="shared" si="218"/>
        <v>24301</v>
      </c>
      <c r="H458" s="245">
        <f t="shared" si="219"/>
        <v>1</v>
      </c>
      <c r="I458" s="121">
        <f t="shared" si="220"/>
        <v>1</v>
      </c>
      <c r="J458" s="121">
        <f t="shared" si="221"/>
        <v>1</v>
      </c>
      <c r="K458" s="120">
        <f t="shared" si="222"/>
        <v>0</v>
      </c>
      <c r="L458" s="120">
        <f t="shared" si="223"/>
        <v>0</v>
      </c>
      <c r="M458" s="246">
        <f t="shared" si="224"/>
        <v>0</v>
      </c>
      <c r="N458" s="121">
        <f t="shared" si="225"/>
        <v>1</v>
      </c>
      <c r="O458" s="246">
        <f t="shared" si="226"/>
        <v>0.92297592997811817</v>
      </c>
      <c r="P458" s="121">
        <f t="shared" si="227"/>
        <v>0</v>
      </c>
      <c r="Q458" s="121">
        <f t="shared" si="228"/>
        <v>0</v>
      </c>
      <c r="R458" s="121">
        <f t="shared" si="229"/>
        <v>0</v>
      </c>
      <c r="S458" s="121" t="str">
        <f t="shared" si="230"/>
        <v/>
      </c>
      <c r="T458" s="121" t="str">
        <f t="shared" si="231"/>
        <v/>
      </c>
      <c r="U458" s="121">
        <f t="shared" si="232"/>
        <v>1</v>
      </c>
    </row>
    <row r="459" spans="1:21" x14ac:dyDescent="0.3">
      <c r="A459" s="187">
        <v>3</v>
      </c>
      <c r="B459" s="242">
        <f t="shared" si="233"/>
        <v>45717</v>
      </c>
      <c r="C459" s="243">
        <f t="shared" si="214"/>
        <v>45747</v>
      </c>
      <c r="D459" s="120">
        <f t="shared" si="215"/>
        <v>31</v>
      </c>
      <c r="E459" s="120">
        <f t="shared" si="216"/>
        <v>3</v>
      </c>
      <c r="F459" s="275">
        <f t="shared" si="217"/>
        <v>45732.5</v>
      </c>
      <c r="G459" s="120">
        <f t="shared" si="218"/>
        <v>24302</v>
      </c>
      <c r="H459" s="245">
        <f t="shared" si="219"/>
        <v>1</v>
      </c>
      <c r="I459" s="121">
        <f t="shared" si="220"/>
        <v>1</v>
      </c>
      <c r="J459" s="121">
        <f t="shared" si="221"/>
        <v>1</v>
      </c>
      <c r="K459" s="120">
        <f t="shared" si="222"/>
        <v>0</v>
      </c>
      <c r="L459" s="120">
        <f t="shared" si="223"/>
        <v>0</v>
      </c>
      <c r="M459" s="246">
        <f t="shared" si="224"/>
        <v>0</v>
      </c>
      <c r="N459" s="121">
        <f t="shared" si="225"/>
        <v>1</v>
      </c>
      <c r="O459" s="246">
        <f t="shared" si="226"/>
        <v>0.92233041575492336</v>
      </c>
      <c r="P459" s="121">
        <f t="shared" si="227"/>
        <v>0</v>
      </c>
      <c r="Q459" s="121">
        <f t="shared" si="228"/>
        <v>0</v>
      </c>
      <c r="R459" s="121">
        <f t="shared" si="229"/>
        <v>0</v>
      </c>
      <c r="S459" s="121" t="str">
        <f t="shared" si="230"/>
        <v/>
      </c>
      <c r="T459" s="121" t="str">
        <f t="shared" si="231"/>
        <v/>
      </c>
      <c r="U459" s="121">
        <f t="shared" si="232"/>
        <v>1</v>
      </c>
    </row>
    <row r="460" spans="1:21" x14ac:dyDescent="0.3">
      <c r="A460" s="187">
        <v>4</v>
      </c>
      <c r="B460" s="242">
        <f t="shared" si="233"/>
        <v>45748</v>
      </c>
      <c r="C460" s="243">
        <f t="shared" si="214"/>
        <v>45777</v>
      </c>
      <c r="D460" s="120">
        <f t="shared" si="215"/>
        <v>30</v>
      </c>
      <c r="E460" s="120">
        <f t="shared" si="216"/>
        <v>4</v>
      </c>
      <c r="F460" s="275">
        <f t="shared" si="217"/>
        <v>45763</v>
      </c>
      <c r="G460" s="120">
        <f t="shared" si="218"/>
        <v>24303</v>
      </c>
      <c r="H460" s="245">
        <f t="shared" si="219"/>
        <v>1</v>
      </c>
      <c r="I460" s="121">
        <f t="shared" si="220"/>
        <v>1</v>
      </c>
      <c r="J460" s="121">
        <f t="shared" si="221"/>
        <v>1</v>
      </c>
      <c r="K460" s="120">
        <f t="shared" si="222"/>
        <v>0</v>
      </c>
      <c r="L460" s="120">
        <f t="shared" si="223"/>
        <v>0</v>
      </c>
      <c r="M460" s="246">
        <f t="shared" si="224"/>
        <v>0</v>
      </c>
      <c r="N460" s="121">
        <f t="shared" si="225"/>
        <v>1</v>
      </c>
      <c r="O460" s="246">
        <f t="shared" si="226"/>
        <v>0.92166301969365427</v>
      </c>
      <c r="P460" s="121">
        <f t="shared" si="227"/>
        <v>0</v>
      </c>
      <c r="Q460" s="121">
        <f t="shared" si="228"/>
        <v>0</v>
      </c>
      <c r="R460" s="121">
        <f t="shared" si="229"/>
        <v>0</v>
      </c>
      <c r="S460" s="121" t="str">
        <f t="shared" si="230"/>
        <v/>
      </c>
      <c r="T460" s="121" t="str">
        <f t="shared" si="231"/>
        <v/>
      </c>
      <c r="U460" s="121">
        <f t="shared" si="232"/>
        <v>1</v>
      </c>
    </row>
    <row r="461" spans="1:21" x14ac:dyDescent="0.3">
      <c r="A461" s="187">
        <v>5</v>
      </c>
      <c r="B461" s="242">
        <f t="shared" si="233"/>
        <v>45778</v>
      </c>
      <c r="C461" s="243">
        <f t="shared" si="214"/>
        <v>45808</v>
      </c>
      <c r="D461" s="120">
        <f t="shared" si="215"/>
        <v>31</v>
      </c>
      <c r="E461" s="120">
        <f t="shared" si="216"/>
        <v>5</v>
      </c>
      <c r="F461" s="275">
        <f t="shared" si="217"/>
        <v>45793.5</v>
      </c>
      <c r="G461" s="120">
        <f t="shared" si="218"/>
        <v>24304</v>
      </c>
      <c r="H461" s="245">
        <f t="shared" si="219"/>
        <v>1</v>
      </c>
      <c r="I461" s="121">
        <f t="shared" si="220"/>
        <v>1</v>
      </c>
      <c r="J461" s="121">
        <f t="shared" si="221"/>
        <v>1</v>
      </c>
      <c r="K461" s="120">
        <f t="shared" si="222"/>
        <v>0</v>
      </c>
      <c r="L461" s="120">
        <f t="shared" si="223"/>
        <v>0</v>
      </c>
      <c r="M461" s="246">
        <f t="shared" si="224"/>
        <v>0</v>
      </c>
      <c r="N461" s="121">
        <f t="shared" si="225"/>
        <v>1</v>
      </c>
      <c r="O461" s="246">
        <f t="shared" si="226"/>
        <v>0.92099562363238507</v>
      </c>
      <c r="P461" s="121">
        <f t="shared" si="227"/>
        <v>0</v>
      </c>
      <c r="Q461" s="121">
        <f t="shared" si="228"/>
        <v>0</v>
      </c>
      <c r="R461" s="121">
        <f t="shared" si="229"/>
        <v>0</v>
      </c>
      <c r="S461" s="121" t="str">
        <f t="shared" si="230"/>
        <v/>
      </c>
      <c r="T461" s="121" t="str">
        <f t="shared" si="231"/>
        <v/>
      </c>
      <c r="U461" s="121">
        <f t="shared" si="232"/>
        <v>1</v>
      </c>
    </row>
    <row r="462" spans="1:21" x14ac:dyDescent="0.3">
      <c r="A462" s="187">
        <v>6</v>
      </c>
      <c r="B462" s="242">
        <f t="shared" si="233"/>
        <v>45809</v>
      </c>
      <c r="C462" s="243">
        <f t="shared" si="214"/>
        <v>45838</v>
      </c>
      <c r="D462" s="120">
        <f t="shared" si="215"/>
        <v>30</v>
      </c>
      <c r="E462" s="120">
        <f t="shared" si="216"/>
        <v>6</v>
      </c>
      <c r="F462" s="275">
        <f t="shared" si="217"/>
        <v>45824</v>
      </c>
      <c r="G462" s="120">
        <f t="shared" si="218"/>
        <v>24305</v>
      </c>
      <c r="H462" s="245">
        <f t="shared" si="219"/>
        <v>1</v>
      </c>
      <c r="I462" s="121">
        <f t="shared" si="220"/>
        <v>1</v>
      </c>
      <c r="J462" s="121">
        <f t="shared" si="221"/>
        <v>1</v>
      </c>
      <c r="K462" s="120">
        <f t="shared" si="222"/>
        <v>0</v>
      </c>
      <c r="L462" s="120">
        <f t="shared" si="223"/>
        <v>0</v>
      </c>
      <c r="M462" s="246">
        <f t="shared" si="224"/>
        <v>0</v>
      </c>
      <c r="N462" s="121">
        <f t="shared" si="225"/>
        <v>1</v>
      </c>
      <c r="O462" s="246">
        <f t="shared" si="226"/>
        <v>0.92032822757111599</v>
      </c>
      <c r="P462" s="121">
        <f t="shared" si="227"/>
        <v>0</v>
      </c>
      <c r="Q462" s="121">
        <f t="shared" si="228"/>
        <v>0</v>
      </c>
      <c r="R462" s="121">
        <f t="shared" si="229"/>
        <v>0</v>
      </c>
      <c r="S462" s="121" t="str">
        <f t="shared" si="230"/>
        <v/>
      </c>
      <c r="T462" s="121" t="str">
        <f t="shared" si="231"/>
        <v/>
      </c>
      <c r="U462" s="121">
        <f t="shared" si="232"/>
        <v>1</v>
      </c>
    </row>
    <row r="463" spans="1:21" x14ac:dyDescent="0.3">
      <c r="A463" s="187">
        <v>7</v>
      </c>
      <c r="B463" s="242">
        <f t="shared" si="233"/>
        <v>45839</v>
      </c>
      <c r="C463" s="243">
        <f t="shared" si="214"/>
        <v>45869</v>
      </c>
      <c r="D463" s="120">
        <f t="shared" si="215"/>
        <v>31</v>
      </c>
      <c r="E463" s="120">
        <f t="shared" si="216"/>
        <v>7</v>
      </c>
      <c r="F463" s="275">
        <f t="shared" si="217"/>
        <v>45854.5</v>
      </c>
      <c r="G463" s="120">
        <f t="shared" si="218"/>
        <v>24306</v>
      </c>
      <c r="H463" s="245">
        <f t="shared" si="219"/>
        <v>1</v>
      </c>
      <c r="I463" s="121">
        <f t="shared" si="220"/>
        <v>1</v>
      </c>
      <c r="J463" s="121">
        <f t="shared" si="221"/>
        <v>1</v>
      </c>
      <c r="K463" s="120">
        <f t="shared" si="222"/>
        <v>0</v>
      </c>
      <c r="L463" s="120">
        <f t="shared" si="223"/>
        <v>0</v>
      </c>
      <c r="M463" s="246">
        <f t="shared" si="224"/>
        <v>0</v>
      </c>
      <c r="N463" s="121">
        <f t="shared" si="225"/>
        <v>1</v>
      </c>
      <c r="O463" s="246">
        <f t="shared" si="226"/>
        <v>0.91966083150984679</v>
      </c>
      <c r="P463" s="121">
        <f t="shared" si="227"/>
        <v>8.333333333333337E-2</v>
      </c>
      <c r="Q463" s="121">
        <f t="shared" si="228"/>
        <v>0</v>
      </c>
      <c r="R463" s="121">
        <f t="shared" si="229"/>
        <v>0</v>
      </c>
      <c r="S463" s="121" t="str">
        <f t="shared" si="230"/>
        <v/>
      </c>
      <c r="T463" s="121" t="str">
        <f t="shared" si="231"/>
        <v/>
      </c>
      <c r="U463" s="121">
        <f t="shared" si="232"/>
        <v>1</v>
      </c>
    </row>
    <row r="464" spans="1:21" x14ac:dyDescent="0.3">
      <c r="A464" s="187">
        <v>8</v>
      </c>
      <c r="B464" s="242">
        <f t="shared" si="233"/>
        <v>45870</v>
      </c>
      <c r="C464" s="243">
        <f t="shared" si="214"/>
        <v>45900</v>
      </c>
      <c r="D464" s="120">
        <f t="shared" si="215"/>
        <v>31</v>
      </c>
      <c r="E464" s="120">
        <f t="shared" si="216"/>
        <v>8</v>
      </c>
      <c r="F464" s="275">
        <f t="shared" si="217"/>
        <v>45885.5</v>
      </c>
      <c r="G464" s="120">
        <f t="shared" si="218"/>
        <v>24307</v>
      </c>
      <c r="H464" s="245">
        <f t="shared" si="219"/>
        <v>1</v>
      </c>
      <c r="I464" s="121">
        <f t="shared" si="220"/>
        <v>1</v>
      </c>
      <c r="J464" s="121">
        <f t="shared" si="221"/>
        <v>1</v>
      </c>
      <c r="K464" s="120">
        <f t="shared" si="222"/>
        <v>0</v>
      </c>
      <c r="L464" s="120">
        <f t="shared" si="223"/>
        <v>0</v>
      </c>
      <c r="M464" s="246">
        <f t="shared" si="224"/>
        <v>0</v>
      </c>
      <c r="N464" s="121">
        <f t="shared" si="225"/>
        <v>1</v>
      </c>
      <c r="O464" s="246">
        <f t="shared" si="226"/>
        <v>0.91898249452954051</v>
      </c>
      <c r="P464" s="121">
        <f t="shared" si="227"/>
        <v>0.25</v>
      </c>
      <c r="Q464" s="121">
        <f t="shared" si="228"/>
        <v>0</v>
      </c>
      <c r="R464" s="121">
        <f t="shared" si="229"/>
        <v>0</v>
      </c>
      <c r="S464" s="121" t="str">
        <f t="shared" si="230"/>
        <v/>
      </c>
      <c r="T464" s="121" t="str">
        <f t="shared" si="231"/>
        <v/>
      </c>
      <c r="U464" s="121">
        <f t="shared" si="232"/>
        <v>1</v>
      </c>
    </row>
    <row r="465" spans="1:21" x14ac:dyDescent="0.3">
      <c r="A465" s="187">
        <v>9</v>
      </c>
      <c r="B465" s="242">
        <f t="shared" si="233"/>
        <v>45901</v>
      </c>
      <c r="C465" s="243">
        <f t="shared" si="214"/>
        <v>45930</v>
      </c>
      <c r="D465" s="120">
        <f t="shared" si="215"/>
        <v>30</v>
      </c>
      <c r="E465" s="120">
        <f t="shared" si="216"/>
        <v>9</v>
      </c>
      <c r="F465" s="275">
        <f t="shared" si="217"/>
        <v>45916</v>
      </c>
      <c r="G465" s="120">
        <f t="shared" si="218"/>
        <v>24308</v>
      </c>
      <c r="H465" s="245">
        <f t="shared" si="219"/>
        <v>1</v>
      </c>
      <c r="I465" s="121">
        <f t="shared" si="220"/>
        <v>1</v>
      </c>
      <c r="J465" s="121">
        <f t="shared" si="221"/>
        <v>1</v>
      </c>
      <c r="K465" s="120">
        <f t="shared" si="222"/>
        <v>0</v>
      </c>
      <c r="L465" s="120">
        <f t="shared" si="223"/>
        <v>0</v>
      </c>
      <c r="M465" s="246">
        <f t="shared" si="224"/>
        <v>0</v>
      </c>
      <c r="N465" s="121">
        <f t="shared" si="225"/>
        <v>1</v>
      </c>
      <c r="O465" s="246">
        <f t="shared" si="226"/>
        <v>0.91831509846827131</v>
      </c>
      <c r="P465" s="121">
        <f t="shared" si="227"/>
        <v>0.41666666666666663</v>
      </c>
      <c r="Q465" s="121">
        <f t="shared" si="228"/>
        <v>0</v>
      </c>
      <c r="R465" s="121">
        <f t="shared" si="229"/>
        <v>0</v>
      </c>
      <c r="S465" s="121" t="str">
        <f t="shared" si="230"/>
        <v/>
      </c>
      <c r="T465" s="121" t="str">
        <f t="shared" si="231"/>
        <v/>
      </c>
      <c r="U465" s="121">
        <f t="shared" si="232"/>
        <v>1</v>
      </c>
    </row>
    <row r="466" spans="1:21" x14ac:dyDescent="0.3">
      <c r="A466" s="187">
        <v>10</v>
      </c>
      <c r="B466" s="242">
        <f t="shared" si="233"/>
        <v>45931</v>
      </c>
      <c r="C466" s="243">
        <f t="shared" si="214"/>
        <v>45961</v>
      </c>
      <c r="D466" s="120">
        <f t="shared" si="215"/>
        <v>31</v>
      </c>
      <c r="E466" s="120">
        <f t="shared" si="216"/>
        <v>10</v>
      </c>
      <c r="F466" s="275">
        <f t="shared" si="217"/>
        <v>45946.5</v>
      </c>
      <c r="G466" s="120">
        <f t="shared" si="218"/>
        <v>24309</v>
      </c>
      <c r="H466" s="245">
        <f t="shared" si="219"/>
        <v>1</v>
      </c>
      <c r="I466" s="121">
        <f t="shared" si="220"/>
        <v>1</v>
      </c>
      <c r="J466" s="121">
        <f t="shared" si="221"/>
        <v>1</v>
      </c>
      <c r="K466" s="120">
        <f t="shared" si="222"/>
        <v>0</v>
      </c>
      <c r="L466" s="120">
        <f t="shared" si="223"/>
        <v>0</v>
      </c>
      <c r="M466" s="246">
        <f t="shared" si="224"/>
        <v>0</v>
      </c>
      <c r="N466" s="121">
        <f t="shared" si="225"/>
        <v>1</v>
      </c>
      <c r="O466" s="246">
        <f t="shared" si="226"/>
        <v>0.91764770240700222</v>
      </c>
      <c r="P466" s="121">
        <f t="shared" si="227"/>
        <v>0.58333333333333326</v>
      </c>
      <c r="Q466" s="121">
        <f t="shared" si="228"/>
        <v>0</v>
      </c>
      <c r="R466" s="121">
        <f t="shared" si="229"/>
        <v>0</v>
      </c>
      <c r="S466" s="121" t="str">
        <f t="shared" si="230"/>
        <v/>
      </c>
      <c r="T466" s="121" t="str">
        <f t="shared" si="231"/>
        <v/>
      </c>
      <c r="U466" s="121">
        <f t="shared" si="232"/>
        <v>1</v>
      </c>
    </row>
    <row r="467" spans="1:21" x14ac:dyDescent="0.3">
      <c r="A467" s="187">
        <v>11</v>
      </c>
      <c r="B467" s="242">
        <f t="shared" si="233"/>
        <v>45962</v>
      </c>
      <c r="C467" s="243">
        <f t="shared" si="214"/>
        <v>45991</v>
      </c>
      <c r="D467" s="120">
        <f t="shared" si="215"/>
        <v>30</v>
      </c>
      <c r="E467" s="120">
        <f t="shared" si="216"/>
        <v>11</v>
      </c>
      <c r="F467" s="275">
        <f t="shared" si="217"/>
        <v>45977</v>
      </c>
      <c r="G467" s="120">
        <f t="shared" si="218"/>
        <v>24310</v>
      </c>
      <c r="H467" s="245">
        <f t="shared" si="219"/>
        <v>1</v>
      </c>
      <c r="I467" s="121">
        <f t="shared" si="220"/>
        <v>1</v>
      </c>
      <c r="J467" s="121">
        <f t="shared" si="221"/>
        <v>1</v>
      </c>
      <c r="K467" s="120">
        <f t="shared" si="222"/>
        <v>0</v>
      </c>
      <c r="L467" s="120">
        <f t="shared" si="223"/>
        <v>0</v>
      </c>
      <c r="M467" s="246">
        <f t="shared" si="224"/>
        <v>0</v>
      </c>
      <c r="N467" s="121">
        <f t="shared" si="225"/>
        <v>1</v>
      </c>
      <c r="O467" s="246">
        <f t="shared" si="226"/>
        <v>0.91698030634573302</v>
      </c>
      <c r="P467" s="121">
        <f t="shared" si="227"/>
        <v>0.75</v>
      </c>
      <c r="Q467" s="121">
        <f t="shared" si="228"/>
        <v>0</v>
      </c>
      <c r="R467" s="121">
        <f t="shared" si="229"/>
        <v>0</v>
      </c>
      <c r="S467" s="121" t="str">
        <f t="shared" si="230"/>
        <v/>
      </c>
      <c r="T467" s="121" t="str">
        <f t="shared" si="231"/>
        <v/>
      </c>
      <c r="U467" s="121">
        <f t="shared" si="232"/>
        <v>1</v>
      </c>
    </row>
    <row r="468" spans="1:21" x14ac:dyDescent="0.3">
      <c r="A468" s="187">
        <v>12</v>
      </c>
      <c r="B468" s="242">
        <f t="shared" si="233"/>
        <v>45992</v>
      </c>
      <c r="C468" s="243">
        <f t="shared" si="214"/>
        <v>46022</v>
      </c>
      <c r="D468" s="120">
        <f t="shared" si="215"/>
        <v>31</v>
      </c>
      <c r="E468" s="120">
        <f t="shared" si="216"/>
        <v>12</v>
      </c>
      <c r="F468" s="275">
        <f t="shared" si="217"/>
        <v>46007.5</v>
      </c>
      <c r="G468" s="120">
        <f t="shared" si="218"/>
        <v>24311</v>
      </c>
      <c r="H468" s="245">
        <f t="shared" si="219"/>
        <v>1</v>
      </c>
      <c r="I468" s="121">
        <f t="shared" si="220"/>
        <v>1</v>
      </c>
      <c r="J468" s="121">
        <f t="shared" si="221"/>
        <v>1</v>
      </c>
      <c r="K468" s="120">
        <f t="shared" si="222"/>
        <v>0</v>
      </c>
      <c r="L468" s="120">
        <f t="shared" si="223"/>
        <v>0</v>
      </c>
      <c r="M468" s="246">
        <f t="shared" si="224"/>
        <v>0</v>
      </c>
      <c r="N468" s="121">
        <f t="shared" si="225"/>
        <v>1</v>
      </c>
      <c r="O468" s="246">
        <f t="shared" si="226"/>
        <v>0.91631291028446393</v>
      </c>
      <c r="P468" s="121">
        <f t="shared" si="227"/>
        <v>0.91666666666666663</v>
      </c>
      <c r="Q468" s="121">
        <f t="shared" si="228"/>
        <v>0</v>
      </c>
      <c r="R468" s="121">
        <f t="shared" si="229"/>
        <v>0</v>
      </c>
      <c r="S468" s="121" t="str">
        <f t="shared" si="230"/>
        <v/>
      </c>
      <c r="T468" s="121" t="str">
        <f t="shared" si="231"/>
        <v/>
      </c>
      <c r="U468" s="121">
        <f t="shared" si="232"/>
        <v>1</v>
      </c>
    </row>
    <row r="469" spans="1:21" x14ac:dyDescent="0.3">
      <c r="A469" s="187">
        <v>13</v>
      </c>
      <c r="B469" s="242">
        <f t="shared" si="233"/>
        <v>46023</v>
      </c>
      <c r="C469" s="243">
        <f t="shared" si="214"/>
        <v>46053</v>
      </c>
      <c r="D469" s="120">
        <f t="shared" si="215"/>
        <v>31</v>
      </c>
      <c r="E469" s="120">
        <f t="shared" si="216"/>
        <v>1</v>
      </c>
      <c r="F469" s="275">
        <f t="shared" si="217"/>
        <v>46038.5</v>
      </c>
      <c r="G469" s="120">
        <f t="shared" si="218"/>
        <v>24312</v>
      </c>
      <c r="H469" s="245">
        <f t="shared" si="219"/>
        <v>1</v>
      </c>
      <c r="I469" s="121">
        <f t="shared" si="220"/>
        <v>1</v>
      </c>
      <c r="J469" s="121">
        <f t="shared" si="221"/>
        <v>1</v>
      </c>
      <c r="K469" s="120">
        <f t="shared" si="222"/>
        <v>0</v>
      </c>
      <c r="L469" s="120">
        <f t="shared" si="223"/>
        <v>0</v>
      </c>
      <c r="M469" s="246">
        <f t="shared" si="224"/>
        <v>0</v>
      </c>
      <c r="N469" s="121">
        <f t="shared" si="225"/>
        <v>1</v>
      </c>
      <c r="O469" s="246">
        <f t="shared" si="226"/>
        <v>0.91563457330415754</v>
      </c>
      <c r="P469" s="121">
        <f t="shared" si="227"/>
        <v>1</v>
      </c>
      <c r="Q469" s="121">
        <f t="shared" si="228"/>
        <v>0</v>
      </c>
      <c r="R469" s="121">
        <f t="shared" si="229"/>
        <v>0</v>
      </c>
      <c r="S469" s="121" t="str">
        <f t="shared" si="230"/>
        <v/>
      </c>
      <c r="T469" s="121" t="str">
        <f t="shared" si="231"/>
        <v/>
      </c>
      <c r="U469" s="121">
        <f t="shared" si="232"/>
        <v>1</v>
      </c>
    </row>
    <row r="470" spans="1:21" x14ac:dyDescent="0.3">
      <c r="A470" s="187">
        <v>14</v>
      </c>
      <c r="B470" s="242">
        <f t="shared" si="233"/>
        <v>46054</v>
      </c>
      <c r="C470" s="243">
        <f t="shared" si="214"/>
        <v>46081</v>
      </c>
      <c r="D470" s="120">
        <f t="shared" si="215"/>
        <v>28</v>
      </c>
      <c r="E470" s="120">
        <f t="shared" si="216"/>
        <v>2</v>
      </c>
      <c r="F470" s="275">
        <f t="shared" si="217"/>
        <v>46068</v>
      </c>
      <c r="G470" s="120">
        <f t="shared" si="218"/>
        <v>24313</v>
      </c>
      <c r="H470" s="245">
        <f t="shared" si="219"/>
        <v>1</v>
      </c>
      <c r="I470" s="121">
        <f t="shared" si="220"/>
        <v>1</v>
      </c>
      <c r="J470" s="121">
        <f t="shared" si="221"/>
        <v>1</v>
      </c>
      <c r="K470" s="120">
        <f t="shared" si="222"/>
        <v>0</v>
      </c>
      <c r="L470" s="120">
        <f t="shared" si="223"/>
        <v>0</v>
      </c>
      <c r="M470" s="246">
        <f t="shared" si="224"/>
        <v>0</v>
      </c>
      <c r="N470" s="121">
        <f t="shared" si="225"/>
        <v>1</v>
      </c>
      <c r="O470" s="246">
        <f t="shared" si="226"/>
        <v>0.91498905908096284</v>
      </c>
      <c r="P470" s="121">
        <f t="shared" si="227"/>
        <v>1</v>
      </c>
      <c r="Q470" s="121">
        <f t="shared" si="228"/>
        <v>0</v>
      </c>
      <c r="R470" s="121">
        <f t="shared" si="229"/>
        <v>0</v>
      </c>
      <c r="S470" s="121" t="str">
        <f t="shared" si="230"/>
        <v/>
      </c>
      <c r="T470" s="121" t="str">
        <f t="shared" si="231"/>
        <v/>
      </c>
      <c r="U470" s="121">
        <f t="shared" si="232"/>
        <v>1</v>
      </c>
    </row>
    <row r="471" spans="1:21" x14ac:dyDescent="0.3">
      <c r="A471" s="187">
        <v>15</v>
      </c>
      <c r="B471" s="242">
        <f t="shared" si="233"/>
        <v>46082</v>
      </c>
      <c r="C471" s="243">
        <f t="shared" si="214"/>
        <v>46112</v>
      </c>
      <c r="D471" s="120">
        <f t="shared" si="215"/>
        <v>31</v>
      </c>
      <c r="E471" s="120">
        <f t="shared" si="216"/>
        <v>3</v>
      </c>
      <c r="F471" s="275">
        <f t="shared" si="217"/>
        <v>46097.5</v>
      </c>
      <c r="G471" s="120">
        <f t="shared" si="218"/>
        <v>24314</v>
      </c>
      <c r="H471" s="245">
        <f t="shared" si="219"/>
        <v>1</v>
      </c>
      <c r="I471" s="121">
        <f t="shared" si="220"/>
        <v>1</v>
      </c>
      <c r="J471" s="121">
        <f t="shared" si="221"/>
        <v>1</v>
      </c>
      <c r="K471" s="120">
        <f t="shared" si="222"/>
        <v>0</v>
      </c>
      <c r="L471" s="120">
        <f t="shared" si="223"/>
        <v>0</v>
      </c>
      <c r="M471" s="246">
        <f t="shared" si="224"/>
        <v>0</v>
      </c>
      <c r="N471" s="121">
        <f t="shared" si="225"/>
        <v>1</v>
      </c>
      <c r="O471" s="246">
        <f t="shared" si="226"/>
        <v>0.91434354485776803</v>
      </c>
      <c r="P471" s="121">
        <f t="shared" si="227"/>
        <v>1</v>
      </c>
      <c r="Q471" s="121">
        <f t="shared" si="228"/>
        <v>0</v>
      </c>
      <c r="R471" s="121">
        <f t="shared" si="229"/>
        <v>0</v>
      </c>
      <c r="S471" s="121" t="str">
        <f t="shared" si="230"/>
        <v/>
      </c>
      <c r="T471" s="121" t="str">
        <f t="shared" si="231"/>
        <v/>
      </c>
      <c r="U471" s="121">
        <f t="shared" si="232"/>
        <v>1</v>
      </c>
    </row>
    <row r="472" spans="1:21" x14ac:dyDescent="0.3">
      <c r="A472" s="187">
        <v>16</v>
      </c>
      <c r="B472" s="242">
        <f t="shared" si="233"/>
        <v>46113</v>
      </c>
      <c r="C472" s="243">
        <f t="shared" si="214"/>
        <v>46142</v>
      </c>
      <c r="D472" s="120">
        <f t="shared" si="215"/>
        <v>30</v>
      </c>
      <c r="E472" s="120">
        <f t="shared" si="216"/>
        <v>4</v>
      </c>
      <c r="F472" s="275">
        <f t="shared" si="217"/>
        <v>46128</v>
      </c>
      <c r="G472" s="120">
        <f t="shared" si="218"/>
        <v>24315</v>
      </c>
      <c r="H472" s="245">
        <f t="shared" si="219"/>
        <v>1</v>
      </c>
      <c r="I472" s="121">
        <f t="shared" si="220"/>
        <v>1</v>
      </c>
      <c r="J472" s="121">
        <f t="shared" si="221"/>
        <v>1</v>
      </c>
      <c r="K472" s="120">
        <f t="shared" si="222"/>
        <v>0</v>
      </c>
      <c r="L472" s="120">
        <f t="shared" si="223"/>
        <v>0</v>
      </c>
      <c r="M472" s="246">
        <f t="shared" si="224"/>
        <v>0</v>
      </c>
      <c r="N472" s="121">
        <f t="shared" si="225"/>
        <v>1</v>
      </c>
      <c r="O472" s="246">
        <f t="shared" si="226"/>
        <v>0.91367614879649894</v>
      </c>
      <c r="P472" s="121">
        <f t="shared" si="227"/>
        <v>1</v>
      </c>
      <c r="Q472" s="121">
        <f t="shared" si="228"/>
        <v>0</v>
      </c>
      <c r="R472" s="121">
        <f t="shared" si="229"/>
        <v>0</v>
      </c>
      <c r="S472" s="121" t="str">
        <f t="shared" si="230"/>
        <v/>
      </c>
      <c r="T472" s="121" t="str">
        <f t="shared" si="231"/>
        <v/>
      </c>
      <c r="U472" s="121">
        <f t="shared" si="232"/>
        <v>1</v>
      </c>
    </row>
    <row r="473" spans="1:21" x14ac:dyDescent="0.3">
      <c r="A473" s="187">
        <v>17</v>
      </c>
      <c r="B473" s="242">
        <f t="shared" si="233"/>
        <v>46143</v>
      </c>
      <c r="C473" s="243">
        <f t="shared" si="214"/>
        <v>46173</v>
      </c>
      <c r="D473" s="120">
        <f t="shared" si="215"/>
        <v>31</v>
      </c>
      <c r="E473" s="120">
        <f t="shared" si="216"/>
        <v>5</v>
      </c>
      <c r="F473" s="275">
        <f t="shared" si="217"/>
        <v>46158.5</v>
      </c>
      <c r="G473" s="120">
        <f t="shared" si="218"/>
        <v>24316</v>
      </c>
      <c r="H473" s="245">
        <f t="shared" si="219"/>
        <v>1</v>
      </c>
      <c r="I473" s="121">
        <f t="shared" si="220"/>
        <v>1</v>
      </c>
      <c r="J473" s="121">
        <f t="shared" si="221"/>
        <v>1</v>
      </c>
      <c r="K473" s="120">
        <f t="shared" si="222"/>
        <v>0</v>
      </c>
      <c r="L473" s="120">
        <f t="shared" si="223"/>
        <v>0</v>
      </c>
      <c r="M473" s="246">
        <f t="shared" si="224"/>
        <v>0</v>
      </c>
      <c r="N473" s="121">
        <f t="shared" si="225"/>
        <v>1</v>
      </c>
      <c r="O473" s="246">
        <f t="shared" si="226"/>
        <v>0.91300875273522974</v>
      </c>
      <c r="P473" s="121">
        <f t="shared" si="227"/>
        <v>1</v>
      </c>
      <c r="Q473" s="121">
        <f t="shared" si="228"/>
        <v>0</v>
      </c>
      <c r="R473" s="121">
        <f t="shared" si="229"/>
        <v>0</v>
      </c>
      <c r="S473" s="121" t="str">
        <f t="shared" si="230"/>
        <v/>
      </c>
      <c r="T473" s="121" t="str">
        <f t="shared" si="231"/>
        <v/>
      </c>
      <c r="U473" s="121">
        <f t="shared" si="232"/>
        <v>1</v>
      </c>
    </row>
    <row r="474" spans="1:21" x14ac:dyDescent="0.3">
      <c r="A474" s="187">
        <v>18</v>
      </c>
      <c r="B474" s="242">
        <f t="shared" si="233"/>
        <v>46174</v>
      </c>
      <c r="C474" s="243">
        <f t="shared" si="214"/>
        <v>46203</v>
      </c>
      <c r="D474" s="120">
        <f t="shared" si="215"/>
        <v>30</v>
      </c>
      <c r="E474" s="120">
        <f t="shared" si="216"/>
        <v>6</v>
      </c>
      <c r="F474" s="275">
        <f t="shared" si="217"/>
        <v>46189</v>
      </c>
      <c r="G474" s="120">
        <f t="shared" si="218"/>
        <v>24317</v>
      </c>
      <c r="H474" s="245">
        <f t="shared" si="219"/>
        <v>1</v>
      </c>
      <c r="I474" s="121">
        <f t="shared" si="220"/>
        <v>1</v>
      </c>
      <c r="J474" s="121">
        <f t="shared" si="221"/>
        <v>1</v>
      </c>
      <c r="K474" s="120">
        <f t="shared" si="222"/>
        <v>0</v>
      </c>
      <c r="L474" s="120">
        <f t="shared" si="223"/>
        <v>0</v>
      </c>
      <c r="M474" s="246">
        <f t="shared" si="224"/>
        <v>0</v>
      </c>
      <c r="N474" s="121">
        <f t="shared" si="225"/>
        <v>1</v>
      </c>
      <c r="O474" s="246">
        <f t="shared" si="226"/>
        <v>0.91234135667396066</v>
      </c>
      <c r="P474" s="121">
        <f t="shared" si="227"/>
        <v>1</v>
      </c>
      <c r="Q474" s="121">
        <f t="shared" si="228"/>
        <v>0</v>
      </c>
      <c r="R474" s="121">
        <f t="shared" si="229"/>
        <v>0</v>
      </c>
      <c r="S474" s="121" t="str">
        <f t="shared" si="230"/>
        <v/>
      </c>
      <c r="T474" s="121" t="str">
        <f t="shared" si="231"/>
        <v/>
      </c>
      <c r="U474" s="121">
        <f t="shared" si="232"/>
        <v>1</v>
      </c>
    </row>
    <row r="475" spans="1:21" x14ac:dyDescent="0.3">
      <c r="A475" s="187">
        <v>19</v>
      </c>
      <c r="B475" s="242">
        <f t="shared" si="233"/>
        <v>46204</v>
      </c>
      <c r="C475" s="243">
        <f t="shared" si="214"/>
        <v>46234</v>
      </c>
      <c r="D475" s="120">
        <f t="shared" si="215"/>
        <v>31</v>
      </c>
      <c r="E475" s="120">
        <f t="shared" si="216"/>
        <v>7</v>
      </c>
      <c r="F475" s="275">
        <f t="shared" si="217"/>
        <v>46219.5</v>
      </c>
      <c r="G475" s="120">
        <f t="shared" si="218"/>
        <v>24318</v>
      </c>
      <c r="H475" s="245">
        <f t="shared" si="219"/>
        <v>1</v>
      </c>
      <c r="I475" s="121">
        <f t="shared" si="220"/>
        <v>1</v>
      </c>
      <c r="J475" s="121">
        <f t="shared" si="221"/>
        <v>1</v>
      </c>
      <c r="K475" s="120">
        <f t="shared" si="222"/>
        <v>0</v>
      </c>
      <c r="L475" s="120">
        <f t="shared" si="223"/>
        <v>0</v>
      </c>
      <c r="M475" s="246">
        <f t="shared" si="224"/>
        <v>0</v>
      </c>
      <c r="N475" s="121">
        <f t="shared" si="225"/>
        <v>1</v>
      </c>
      <c r="O475" s="246">
        <f t="shared" si="226"/>
        <v>0.91167396061269146</v>
      </c>
      <c r="P475" s="121">
        <f t="shared" si="227"/>
        <v>0.91666666666666663</v>
      </c>
      <c r="Q475" s="121">
        <f t="shared" si="228"/>
        <v>8.333333333333337E-2</v>
      </c>
      <c r="R475" s="121">
        <f t="shared" si="229"/>
        <v>0</v>
      </c>
      <c r="S475" s="121" t="str">
        <f t="shared" si="230"/>
        <v/>
      </c>
      <c r="T475" s="121" t="str">
        <f t="shared" si="231"/>
        <v/>
      </c>
      <c r="U475" s="121">
        <f t="shared" si="232"/>
        <v>1</v>
      </c>
    </row>
    <row r="476" spans="1:21" x14ac:dyDescent="0.3">
      <c r="A476" s="187">
        <v>20</v>
      </c>
      <c r="B476" s="242">
        <f t="shared" si="233"/>
        <v>46235</v>
      </c>
      <c r="C476" s="243">
        <f t="shared" si="214"/>
        <v>46265</v>
      </c>
      <c r="D476" s="120">
        <f t="shared" si="215"/>
        <v>31</v>
      </c>
      <c r="E476" s="120">
        <f t="shared" si="216"/>
        <v>8</v>
      </c>
      <c r="F476" s="275">
        <f t="shared" si="217"/>
        <v>46250.5</v>
      </c>
      <c r="G476" s="120">
        <f t="shared" si="218"/>
        <v>24319</v>
      </c>
      <c r="H476" s="245">
        <f t="shared" si="219"/>
        <v>1</v>
      </c>
      <c r="I476" s="121">
        <f t="shared" si="220"/>
        <v>1</v>
      </c>
      <c r="J476" s="121">
        <f t="shared" si="221"/>
        <v>1.04</v>
      </c>
      <c r="K476" s="120">
        <f t="shared" si="222"/>
        <v>1</v>
      </c>
      <c r="L476" s="120">
        <f t="shared" si="223"/>
        <v>31</v>
      </c>
      <c r="M476" s="246">
        <f t="shared" si="224"/>
        <v>1</v>
      </c>
      <c r="N476" s="121">
        <f t="shared" si="225"/>
        <v>1.04</v>
      </c>
      <c r="O476" s="246">
        <f t="shared" si="226"/>
        <v>0.91099562363238518</v>
      </c>
      <c r="P476" s="121">
        <f t="shared" si="227"/>
        <v>0.75</v>
      </c>
      <c r="Q476" s="121">
        <f t="shared" si="228"/>
        <v>0.25</v>
      </c>
      <c r="R476" s="121">
        <f t="shared" si="229"/>
        <v>0</v>
      </c>
      <c r="S476" s="121" t="str">
        <f t="shared" si="230"/>
        <v/>
      </c>
      <c r="T476" s="121" t="str">
        <f t="shared" si="231"/>
        <v/>
      </c>
      <c r="U476" s="121">
        <f t="shared" si="232"/>
        <v>1.04</v>
      </c>
    </row>
    <row r="477" spans="1:21" x14ac:dyDescent="0.3">
      <c r="A477" s="187">
        <v>21</v>
      </c>
      <c r="B477" s="242">
        <f t="shared" si="233"/>
        <v>46266</v>
      </c>
      <c r="C477" s="243">
        <f t="shared" si="214"/>
        <v>46295</v>
      </c>
      <c r="D477" s="120">
        <f t="shared" si="215"/>
        <v>30</v>
      </c>
      <c r="E477" s="120">
        <f t="shared" si="216"/>
        <v>9</v>
      </c>
      <c r="F477" s="275">
        <f t="shared" si="217"/>
        <v>46281</v>
      </c>
      <c r="G477" s="120">
        <f t="shared" si="218"/>
        <v>24320</v>
      </c>
      <c r="H477" s="245">
        <f t="shared" si="219"/>
        <v>1</v>
      </c>
      <c r="I477" s="121">
        <f t="shared" si="220"/>
        <v>1.04</v>
      </c>
      <c r="J477" s="121">
        <f t="shared" si="221"/>
        <v>1.04</v>
      </c>
      <c r="K477" s="120">
        <f t="shared" si="222"/>
        <v>0</v>
      </c>
      <c r="L477" s="120">
        <f t="shared" si="223"/>
        <v>0</v>
      </c>
      <c r="M477" s="246">
        <f t="shared" si="224"/>
        <v>0</v>
      </c>
      <c r="N477" s="121">
        <f t="shared" si="225"/>
        <v>1.04</v>
      </c>
      <c r="O477" s="246">
        <f t="shared" si="226"/>
        <v>0.91032822757111598</v>
      </c>
      <c r="P477" s="121">
        <f t="shared" si="227"/>
        <v>0.58333333333333337</v>
      </c>
      <c r="Q477" s="121">
        <f t="shared" si="228"/>
        <v>0.41666666666666663</v>
      </c>
      <c r="R477" s="121">
        <f t="shared" si="229"/>
        <v>0</v>
      </c>
      <c r="S477" s="121" t="str">
        <f t="shared" si="230"/>
        <v/>
      </c>
      <c r="T477" s="121" t="str">
        <f t="shared" si="231"/>
        <v/>
      </c>
      <c r="U477" s="121">
        <f t="shared" si="232"/>
        <v>1.04</v>
      </c>
    </row>
    <row r="478" spans="1:21" x14ac:dyDescent="0.3">
      <c r="A478" s="187">
        <v>22</v>
      </c>
      <c r="B478" s="242">
        <f t="shared" si="233"/>
        <v>46296</v>
      </c>
      <c r="C478" s="243">
        <f t="shared" si="214"/>
        <v>46326</v>
      </c>
      <c r="D478" s="120">
        <f t="shared" si="215"/>
        <v>31</v>
      </c>
      <c r="E478" s="120">
        <f t="shared" si="216"/>
        <v>10</v>
      </c>
      <c r="F478" s="275">
        <f t="shared" si="217"/>
        <v>46311.5</v>
      </c>
      <c r="G478" s="120">
        <f t="shared" si="218"/>
        <v>24321</v>
      </c>
      <c r="H478" s="245">
        <f t="shared" si="219"/>
        <v>1</v>
      </c>
      <c r="I478" s="121">
        <f t="shared" si="220"/>
        <v>1.04</v>
      </c>
      <c r="J478" s="121">
        <f t="shared" si="221"/>
        <v>1.04</v>
      </c>
      <c r="K478" s="120">
        <f t="shared" si="222"/>
        <v>0</v>
      </c>
      <c r="L478" s="120">
        <f t="shared" si="223"/>
        <v>0</v>
      </c>
      <c r="M478" s="246">
        <f t="shared" si="224"/>
        <v>0</v>
      </c>
      <c r="N478" s="121">
        <f t="shared" si="225"/>
        <v>1.04</v>
      </c>
      <c r="O478" s="246">
        <f t="shared" si="226"/>
        <v>0.90966083150984689</v>
      </c>
      <c r="P478" s="121">
        <f t="shared" si="227"/>
        <v>0.41666666666666669</v>
      </c>
      <c r="Q478" s="121">
        <f t="shared" si="228"/>
        <v>0.58333333333333326</v>
      </c>
      <c r="R478" s="121">
        <f t="shared" si="229"/>
        <v>0</v>
      </c>
      <c r="S478" s="121" t="str">
        <f t="shared" si="230"/>
        <v/>
      </c>
      <c r="T478" s="121" t="str">
        <f t="shared" si="231"/>
        <v/>
      </c>
      <c r="U478" s="121">
        <f t="shared" si="232"/>
        <v>1.04</v>
      </c>
    </row>
    <row r="479" spans="1:21" x14ac:dyDescent="0.3">
      <c r="A479" s="187">
        <v>23</v>
      </c>
      <c r="B479" s="242">
        <f t="shared" si="233"/>
        <v>46327</v>
      </c>
      <c r="C479" s="243">
        <f t="shared" si="214"/>
        <v>46356</v>
      </c>
      <c r="D479" s="120">
        <f t="shared" si="215"/>
        <v>30</v>
      </c>
      <c r="E479" s="120">
        <f t="shared" si="216"/>
        <v>11</v>
      </c>
      <c r="F479" s="275">
        <f t="shared" si="217"/>
        <v>46342</v>
      </c>
      <c r="G479" s="120">
        <f t="shared" si="218"/>
        <v>24322</v>
      </c>
      <c r="H479" s="245">
        <f t="shared" si="219"/>
        <v>1</v>
      </c>
      <c r="I479" s="121">
        <f t="shared" si="220"/>
        <v>1.04</v>
      </c>
      <c r="J479" s="121">
        <f t="shared" si="221"/>
        <v>1.04</v>
      </c>
      <c r="K479" s="120">
        <f t="shared" si="222"/>
        <v>0</v>
      </c>
      <c r="L479" s="120">
        <f t="shared" si="223"/>
        <v>0</v>
      </c>
      <c r="M479" s="246">
        <f t="shared" si="224"/>
        <v>0</v>
      </c>
      <c r="N479" s="121">
        <f t="shared" si="225"/>
        <v>1.04</v>
      </c>
      <c r="O479" s="246">
        <f t="shared" si="226"/>
        <v>0.90899343544857769</v>
      </c>
      <c r="P479" s="121">
        <f t="shared" si="227"/>
        <v>0.25</v>
      </c>
      <c r="Q479" s="121">
        <f t="shared" si="228"/>
        <v>0.75</v>
      </c>
      <c r="R479" s="121">
        <f t="shared" si="229"/>
        <v>0</v>
      </c>
      <c r="S479" s="121" t="str">
        <f t="shared" si="230"/>
        <v/>
      </c>
      <c r="T479" s="121" t="str">
        <f t="shared" si="231"/>
        <v/>
      </c>
      <c r="U479" s="121">
        <f t="shared" si="232"/>
        <v>1.04</v>
      </c>
    </row>
    <row r="480" spans="1:21" x14ac:dyDescent="0.3">
      <c r="A480" s="187">
        <v>24</v>
      </c>
      <c r="B480" s="242">
        <f t="shared" si="233"/>
        <v>46357</v>
      </c>
      <c r="C480" s="243">
        <f t="shared" si="214"/>
        <v>46387</v>
      </c>
      <c r="D480" s="120">
        <f t="shared" si="215"/>
        <v>31</v>
      </c>
      <c r="E480" s="120">
        <f t="shared" si="216"/>
        <v>12</v>
      </c>
      <c r="F480" s="275">
        <f t="shared" si="217"/>
        <v>46372.5</v>
      </c>
      <c r="G480" s="120">
        <f t="shared" si="218"/>
        <v>24323</v>
      </c>
      <c r="H480" s="245">
        <f t="shared" si="219"/>
        <v>1</v>
      </c>
      <c r="I480" s="121">
        <f t="shared" si="220"/>
        <v>1.04</v>
      </c>
      <c r="J480" s="121">
        <f t="shared" si="221"/>
        <v>1.04</v>
      </c>
      <c r="K480" s="120">
        <f t="shared" si="222"/>
        <v>0</v>
      </c>
      <c r="L480" s="120">
        <f t="shared" si="223"/>
        <v>0</v>
      </c>
      <c r="M480" s="246">
        <f t="shared" si="224"/>
        <v>0</v>
      </c>
      <c r="N480" s="121">
        <f t="shared" si="225"/>
        <v>1.04</v>
      </c>
      <c r="O480" s="246">
        <f t="shared" si="226"/>
        <v>0.9083260393873086</v>
      </c>
      <c r="P480" s="121">
        <f t="shared" si="227"/>
        <v>8.3333333333333329E-2</v>
      </c>
      <c r="Q480" s="121">
        <f t="shared" si="228"/>
        <v>0.91666666666666663</v>
      </c>
      <c r="R480" s="121">
        <f t="shared" si="229"/>
        <v>0</v>
      </c>
      <c r="S480" s="121" t="str">
        <f t="shared" si="230"/>
        <v/>
      </c>
      <c r="T480" s="121" t="str">
        <f t="shared" si="231"/>
        <v/>
      </c>
      <c r="U480" s="121">
        <f t="shared" si="232"/>
        <v>1.04</v>
      </c>
    </row>
    <row r="481" spans="1:21" x14ac:dyDescent="0.3">
      <c r="A481" s="187">
        <v>25</v>
      </c>
      <c r="B481" s="242">
        <f t="shared" si="233"/>
        <v>46388</v>
      </c>
      <c r="C481" s="243">
        <f t="shared" si="214"/>
        <v>46418</v>
      </c>
      <c r="D481" s="120">
        <f t="shared" si="215"/>
        <v>31</v>
      </c>
      <c r="E481" s="120">
        <f t="shared" si="216"/>
        <v>1</v>
      </c>
      <c r="F481" s="275">
        <f t="shared" si="217"/>
        <v>46403.5</v>
      </c>
      <c r="G481" s="120">
        <f t="shared" si="218"/>
        <v>24324</v>
      </c>
      <c r="H481" s="245">
        <f t="shared" si="219"/>
        <v>1</v>
      </c>
      <c r="I481" s="121">
        <f t="shared" si="220"/>
        <v>1.04</v>
      </c>
      <c r="J481" s="121">
        <f t="shared" si="221"/>
        <v>1.04</v>
      </c>
      <c r="K481" s="120">
        <f t="shared" si="222"/>
        <v>0</v>
      </c>
      <c r="L481" s="120">
        <f t="shared" si="223"/>
        <v>0</v>
      </c>
      <c r="M481" s="246">
        <f t="shared" si="224"/>
        <v>0</v>
      </c>
      <c r="N481" s="121">
        <f t="shared" si="225"/>
        <v>1.04</v>
      </c>
      <c r="O481" s="246">
        <f t="shared" si="226"/>
        <v>0.90764770240700221</v>
      </c>
      <c r="P481" s="121">
        <f t="shared" si="227"/>
        <v>0</v>
      </c>
      <c r="Q481" s="121">
        <f t="shared" si="228"/>
        <v>1</v>
      </c>
      <c r="R481" s="121">
        <f t="shared" si="229"/>
        <v>0</v>
      </c>
      <c r="S481" s="121" t="str">
        <f t="shared" si="230"/>
        <v/>
      </c>
      <c r="T481" s="121" t="str">
        <f t="shared" si="231"/>
        <v/>
      </c>
      <c r="U481" s="121">
        <f t="shared" si="232"/>
        <v>1.04</v>
      </c>
    </row>
    <row r="482" spans="1:21" x14ac:dyDescent="0.3">
      <c r="A482" s="187">
        <v>26</v>
      </c>
      <c r="B482" s="242">
        <f t="shared" si="233"/>
        <v>46419</v>
      </c>
      <c r="C482" s="243">
        <f t="shared" si="214"/>
        <v>46446</v>
      </c>
      <c r="D482" s="120">
        <f t="shared" si="215"/>
        <v>28</v>
      </c>
      <c r="E482" s="120">
        <f t="shared" si="216"/>
        <v>2</v>
      </c>
      <c r="F482" s="275">
        <f t="shared" si="217"/>
        <v>46433</v>
      </c>
      <c r="G482" s="120">
        <f t="shared" si="218"/>
        <v>24325</v>
      </c>
      <c r="H482" s="245">
        <f t="shared" si="219"/>
        <v>1</v>
      </c>
      <c r="I482" s="121">
        <f t="shared" si="220"/>
        <v>1.04</v>
      </c>
      <c r="J482" s="121">
        <f t="shared" si="221"/>
        <v>1.04</v>
      </c>
      <c r="K482" s="120">
        <f t="shared" si="222"/>
        <v>0</v>
      </c>
      <c r="L482" s="120">
        <f t="shared" si="223"/>
        <v>0</v>
      </c>
      <c r="M482" s="246">
        <f t="shared" si="224"/>
        <v>0</v>
      </c>
      <c r="N482" s="121">
        <f t="shared" si="225"/>
        <v>1.04</v>
      </c>
      <c r="O482" s="246">
        <f t="shared" si="226"/>
        <v>0.90700218818380751</v>
      </c>
      <c r="P482" s="121">
        <f t="shared" si="227"/>
        <v>0</v>
      </c>
      <c r="Q482" s="121">
        <f t="shared" si="228"/>
        <v>1</v>
      </c>
      <c r="R482" s="121">
        <f t="shared" si="229"/>
        <v>0</v>
      </c>
      <c r="S482" s="121" t="str">
        <f t="shared" si="230"/>
        <v/>
      </c>
      <c r="T482" s="121" t="str">
        <f t="shared" si="231"/>
        <v/>
      </c>
      <c r="U482" s="121">
        <f t="shared" si="232"/>
        <v>1.04</v>
      </c>
    </row>
    <row r="483" spans="1:21" x14ac:dyDescent="0.3">
      <c r="A483" s="187">
        <v>27</v>
      </c>
      <c r="B483" s="242">
        <f t="shared" si="233"/>
        <v>46447</v>
      </c>
      <c r="C483" s="243">
        <f t="shared" si="214"/>
        <v>46477</v>
      </c>
      <c r="D483" s="120">
        <f t="shared" si="215"/>
        <v>31</v>
      </c>
      <c r="E483" s="120">
        <f t="shared" si="216"/>
        <v>3</v>
      </c>
      <c r="F483" s="275">
        <f t="shared" si="217"/>
        <v>46462.5</v>
      </c>
      <c r="G483" s="120">
        <f t="shared" si="218"/>
        <v>24326</v>
      </c>
      <c r="H483" s="245">
        <f t="shared" si="219"/>
        <v>1</v>
      </c>
      <c r="I483" s="121">
        <f t="shared" si="220"/>
        <v>1.04</v>
      </c>
      <c r="J483" s="121">
        <f t="shared" si="221"/>
        <v>1.04</v>
      </c>
      <c r="K483" s="120">
        <f t="shared" si="222"/>
        <v>0</v>
      </c>
      <c r="L483" s="120">
        <f t="shared" si="223"/>
        <v>0</v>
      </c>
      <c r="M483" s="246">
        <f t="shared" si="224"/>
        <v>0</v>
      </c>
      <c r="N483" s="121">
        <f t="shared" si="225"/>
        <v>1.04</v>
      </c>
      <c r="O483" s="246">
        <f t="shared" si="226"/>
        <v>0.9063566739606127</v>
      </c>
      <c r="P483" s="121">
        <f t="shared" si="227"/>
        <v>0</v>
      </c>
      <c r="Q483" s="121">
        <f t="shared" si="228"/>
        <v>1</v>
      </c>
      <c r="R483" s="121">
        <f t="shared" si="229"/>
        <v>0</v>
      </c>
      <c r="S483" s="121" t="str">
        <f t="shared" si="230"/>
        <v/>
      </c>
      <c r="T483" s="121" t="str">
        <f t="shared" si="231"/>
        <v/>
      </c>
      <c r="U483" s="121">
        <f t="shared" si="232"/>
        <v>1.04</v>
      </c>
    </row>
    <row r="484" spans="1:21" x14ac:dyDescent="0.3">
      <c r="A484" s="187">
        <v>28</v>
      </c>
      <c r="B484" s="242">
        <f t="shared" si="233"/>
        <v>46478</v>
      </c>
      <c r="C484" s="243">
        <f t="shared" si="214"/>
        <v>46507</v>
      </c>
      <c r="D484" s="120">
        <f t="shared" si="215"/>
        <v>30</v>
      </c>
      <c r="E484" s="120">
        <f t="shared" si="216"/>
        <v>4</v>
      </c>
      <c r="F484" s="275">
        <f t="shared" si="217"/>
        <v>46493</v>
      </c>
      <c r="G484" s="120">
        <f t="shared" si="218"/>
        <v>24327</v>
      </c>
      <c r="H484" s="245">
        <f t="shared" si="219"/>
        <v>1</v>
      </c>
      <c r="I484" s="121">
        <f t="shared" si="220"/>
        <v>1.04</v>
      </c>
      <c r="J484" s="121">
        <f t="shared" si="221"/>
        <v>1.04</v>
      </c>
      <c r="K484" s="120">
        <f t="shared" si="222"/>
        <v>0</v>
      </c>
      <c r="L484" s="120">
        <f t="shared" si="223"/>
        <v>0</v>
      </c>
      <c r="M484" s="246">
        <f t="shared" si="224"/>
        <v>0</v>
      </c>
      <c r="N484" s="121">
        <f t="shared" si="225"/>
        <v>1.04</v>
      </c>
      <c r="O484" s="246">
        <f t="shared" si="226"/>
        <v>0.90568927789934361</v>
      </c>
      <c r="P484" s="121">
        <f t="shared" si="227"/>
        <v>0</v>
      </c>
      <c r="Q484" s="121">
        <f t="shared" si="228"/>
        <v>1</v>
      </c>
      <c r="R484" s="121">
        <f t="shared" si="229"/>
        <v>0</v>
      </c>
      <c r="S484" s="121" t="str">
        <f t="shared" si="230"/>
        <v/>
      </c>
      <c r="T484" s="121" t="str">
        <f t="shared" si="231"/>
        <v/>
      </c>
      <c r="U484" s="121">
        <f t="shared" si="232"/>
        <v>1.04</v>
      </c>
    </row>
    <row r="485" spans="1:21" x14ac:dyDescent="0.3">
      <c r="A485" s="187">
        <v>29</v>
      </c>
      <c r="B485" s="242">
        <f t="shared" si="233"/>
        <v>46508</v>
      </c>
      <c r="C485" s="243">
        <f t="shared" si="214"/>
        <v>46538</v>
      </c>
      <c r="D485" s="120">
        <f t="shared" si="215"/>
        <v>31</v>
      </c>
      <c r="E485" s="120">
        <f t="shared" si="216"/>
        <v>5</v>
      </c>
      <c r="F485" s="275">
        <f t="shared" si="217"/>
        <v>46523.5</v>
      </c>
      <c r="G485" s="120">
        <f t="shared" si="218"/>
        <v>24328</v>
      </c>
      <c r="H485" s="245">
        <f t="shared" si="219"/>
        <v>1</v>
      </c>
      <c r="I485" s="121">
        <f t="shared" si="220"/>
        <v>1.04</v>
      </c>
      <c r="J485" s="121">
        <f t="shared" si="221"/>
        <v>1.04</v>
      </c>
      <c r="K485" s="120">
        <f t="shared" si="222"/>
        <v>0</v>
      </c>
      <c r="L485" s="120">
        <f t="shared" si="223"/>
        <v>0</v>
      </c>
      <c r="M485" s="246">
        <f t="shared" si="224"/>
        <v>0</v>
      </c>
      <c r="N485" s="121">
        <f t="shared" si="225"/>
        <v>1.04</v>
      </c>
      <c r="O485" s="246">
        <f t="shared" si="226"/>
        <v>0.90502188183807442</v>
      </c>
      <c r="P485" s="121">
        <f t="shared" si="227"/>
        <v>0</v>
      </c>
      <c r="Q485" s="121">
        <f t="shared" si="228"/>
        <v>1</v>
      </c>
      <c r="R485" s="121">
        <f t="shared" si="229"/>
        <v>0</v>
      </c>
      <c r="S485" s="121" t="str">
        <f t="shared" si="230"/>
        <v/>
      </c>
      <c r="T485" s="121" t="str">
        <f t="shared" si="231"/>
        <v/>
      </c>
      <c r="U485" s="121">
        <f t="shared" si="232"/>
        <v>1.04</v>
      </c>
    </row>
    <row r="486" spans="1:21" x14ac:dyDescent="0.3">
      <c r="A486" s="187">
        <v>30</v>
      </c>
      <c r="B486" s="242">
        <f t="shared" si="233"/>
        <v>46539</v>
      </c>
      <c r="C486" s="243">
        <f t="shared" si="214"/>
        <v>46568</v>
      </c>
      <c r="D486" s="120">
        <f t="shared" si="215"/>
        <v>30</v>
      </c>
      <c r="E486" s="120">
        <f t="shared" si="216"/>
        <v>6</v>
      </c>
      <c r="F486" s="275">
        <f t="shared" si="217"/>
        <v>46554</v>
      </c>
      <c r="G486" s="120">
        <f t="shared" si="218"/>
        <v>24329</v>
      </c>
      <c r="H486" s="245">
        <f t="shared" si="219"/>
        <v>1</v>
      </c>
      <c r="I486" s="121">
        <f t="shared" si="220"/>
        <v>1.04</v>
      </c>
      <c r="J486" s="121">
        <f t="shared" si="221"/>
        <v>1.04</v>
      </c>
      <c r="K486" s="120">
        <f t="shared" si="222"/>
        <v>0</v>
      </c>
      <c r="L486" s="120">
        <f t="shared" si="223"/>
        <v>0</v>
      </c>
      <c r="M486" s="246">
        <f t="shared" si="224"/>
        <v>0</v>
      </c>
      <c r="N486" s="121">
        <f t="shared" si="225"/>
        <v>1.04</v>
      </c>
      <c r="O486" s="246">
        <f t="shared" si="226"/>
        <v>0.90435448577680533</v>
      </c>
      <c r="P486" s="121">
        <f t="shared" si="227"/>
        <v>0</v>
      </c>
      <c r="Q486" s="121">
        <f t="shared" si="228"/>
        <v>1</v>
      </c>
      <c r="R486" s="121">
        <f t="shared" si="229"/>
        <v>0</v>
      </c>
      <c r="S486" s="121" t="str">
        <f t="shared" si="230"/>
        <v/>
      </c>
      <c r="T486" s="121" t="str">
        <f t="shared" si="231"/>
        <v/>
      </c>
      <c r="U486" s="121">
        <f t="shared" si="232"/>
        <v>1.04</v>
      </c>
    </row>
    <row r="487" spans="1:21" x14ac:dyDescent="0.3">
      <c r="A487" s="187">
        <v>31</v>
      </c>
      <c r="B487" s="242">
        <f t="shared" si="233"/>
        <v>46569</v>
      </c>
      <c r="C487" s="243">
        <f t="shared" si="214"/>
        <v>46599</v>
      </c>
      <c r="D487" s="120">
        <f t="shared" si="215"/>
        <v>31</v>
      </c>
      <c r="E487" s="120">
        <f t="shared" si="216"/>
        <v>7</v>
      </c>
      <c r="F487" s="275">
        <f t="shared" si="217"/>
        <v>46584.5</v>
      </c>
      <c r="G487" s="120">
        <f t="shared" si="218"/>
        <v>24330</v>
      </c>
      <c r="H487" s="245">
        <f t="shared" si="219"/>
        <v>1</v>
      </c>
      <c r="I487" s="121">
        <f t="shared" si="220"/>
        <v>1.04</v>
      </c>
      <c r="J487" s="121">
        <f t="shared" si="221"/>
        <v>1.04</v>
      </c>
      <c r="K487" s="120">
        <f t="shared" si="222"/>
        <v>0</v>
      </c>
      <c r="L487" s="120">
        <f t="shared" si="223"/>
        <v>0</v>
      </c>
      <c r="M487" s="246">
        <f t="shared" si="224"/>
        <v>0</v>
      </c>
      <c r="N487" s="121">
        <f t="shared" si="225"/>
        <v>1.04</v>
      </c>
      <c r="O487" s="246">
        <f t="shared" si="226"/>
        <v>0.90368708971553613</v>
      </c>
      <c r="P487" s="121">
        <f t="shared" si="227"/>
        <v>0</v>
      </c>
      <c r="Q487" s="121">
        <f t="shared" si="228"/>
        <v>0.91666666666666663</v>
      </c>
      <c r="R487" s="121">
        <f t="shared" si="229"/>
        <v>8.333333333333337E-2</v>
      </c>
      <c r="S487" s="121" t="str">
        <f t="shared" si="230"/>
        <v/>
      </c>
      <c r="T487" s="121" t="str">
        <f t="shared" si="231"/>
        <v/>
      </c>
      <c r="U487" s="121">
        <f t="shared" si="232"/>
        <v>1.04</v>
      </c>
    </row>
    <row r="488" spans="1:21" x14ac:dyDescent="0.3">
      <c r="A488" s="187">
        <v>32</v>
      </c>
      <c r="B488" s="242">
        <f t="shared" si="233"/>
        <v>46600</v>
      </c>
      <c r="C488" s="243">
        <f t="shared" si="214"/>
        <v>46630</v>
      </c>
      <c r="D488" s="120">
        <f t="shared" si="215"/>
        <v>31</v>
      </c>
      <c r="E488" s="120">
        <f t="shared" si="216"/>
        <v>8</v>
      </c>
      <c r="F488" s="275">
        <f t="shared" si="217"/>
        <v>46615.5</v>
      </c>
      <c r="G488" s="120">
        <f t="shared" si="218"/>
        <v>24331</v>
      </c>
      <c r="H488" s="245">
        <f t="shared" si="219"/>
        <v>1</v>
      </c>
      <c r="I488" s="121">
        <f t="shared" si="220"/>
        <v>1.04</v>
      </c>
      <c r="J488" s="121">
        <f t="shared" si="221"/>
        <v>1.04</v>
      </c>
      <c r="K488" s="120">
        <f t="shared" si="222"/>
        <v>0</v>
      </c>
      <c r="L488" s="120">
        <f t="shared" si="223"/>
        <v>0</v>
      </c>
      <c r="M488" s="246">
        <f t="shared" si="224"/>
        <v>0</v>
      </c>
      <c r="N488" s="121">
        <f t="shared" si="225"/>
        <v>1.04</v>
      </c>
      <c r="O488" s="246">
        <f t="shared" si="226"/>
        <v>0.90300875273522974</v>
      </c>
      <c r="P488" s="121">
        <f t="shared" si="227"/>
        <v>0</v>
      </c>
      <c r="Q488" s="121">
        <f t="shared" si="228"/>
        <v>0.75</v>
      </c>
      <c r="R488" s="121">
        <f t="shared" si="229"/>
        <v>0.25</v>
      </c>
      <c r="S488" s="121" t="str">
        <f t="shared" si="230"/>
        <v/>
      </c>
      <c r="T488" s="121" t="str">
        <f t="shared" si="231"/>
        <v/>
      </c>
      <c r="U488" s="121">
        <f t="shared" si="232"/>
        <v>1.04</v>
      </c>
    </row>
    <row r="489" spans="1:21" x14ac:dyDescent="0.3">
      <c r="A489" s="187">
        <v>33</v>
      </c>
      <c r="B489" s="242">
        <f t="shared" si="233"/>
        <v>46631</v>
      </c>
      <c r="C489" s="243">
        <f t="shared" si="214"/>
        <v>46660</v>
      </c>
      <c r="D489" s="120">
        <f t="shared" si="215"/>
        <v>30</v>
      </c>
      <c r="E489" s="120">
        <f t="shared" si="216"/>
        <v>9</v>
      </c>
      <c r="F489" s="275">
        <f t="shared" si="217"/>
        <v>46646</v>
      </c>
      <c r="G489" s="120">
        <f t="shared" si="218"/>
        <v>24332</v>
      </c>
      <c r="H489" s="245">
        <f t="shared" si="219"/>
        <v>1</v>
      </c>
      <c r="I489" s="121">
        <f t="shared" si="220"/>
        <v>1.04</v>
      </c>
      <c r="J489" s="121">
        <f t="shared" si="221"/>
        <v>1.04</v>
      </c>
      <c r="K489" s="120">
        <f t="shared" si="222"/>
        <v>0</v>
      </c>
      <c r="L489" s="120">
        <f t="shared" si="223"/>
        <v>0</v>
      </c>
      <c r="M489" s="246">
        <f t="shared" si="224"/>
        <v>0</v>
      </c>
      <c r="N489" s="121">
        <f t="shared" si="225"/>
        <v>1.04</v>
      </c>
      <c r="O489" s="246">
        <f t="shared" si="226"/>
        <v>0.90234135667396065</v>
      </c>
      <c r="P489" s="121">
        <f t="shared" si="227"/>
        <v>0</v>
      </c>
      <c r="Q489" s="121">
        <f t="shared" si="228"/>
        <v>0.58333333333333337</v>
      </c>
      <c r="R489" s="121">
        <f t="shared" si="229"/>
        <v>0.41666666666666663</v>
      </c>
      <c r="S489" s="121" t="str">
        <f t="shared" si="230"/>
        <v/>
      </c>
      <c r="T489" s="121" t="str">
        <f t="shared" si="231"/>
        <v/>
      </c>
      <c r="U489" s="121">
        <f t="shared" si="232"/>
        <v>1.04</v>
      </c>
    </row>
    <row r="490" spans="1:21" x14ac:dyDescent="0.3">
      <c r="A490" s="187">
        <v>34</v>
      </c>
      <c r="B490" s="242">
        <f t="shared" si="233"/>
        <v>46661</v>
      </c>
      <c r="C490" s="243">
        <f t="shared" si="214"/>
        <v>46691</v>
      </c>
      <c r="D490" s="120">
        <f t="shared" si="215"/>
        <v>31</v>
      </c>
      <c r="E490" s="120">
        <f t="shared" si="216"/>
        <v>10</v>
      </c>
      <c r="F490" s="275">
        <f t="shared" si="217"/>
        <v>46676.5</v>
      </c>
      <c r="G490" s="120">
        <f t="shared" si="218"/>
        <v>24333</v>
      </c>
      <c r="H490" s="245">
        <f t="shared" si="219"/>
        <v>1</v>
      </c>
      <c r="I490" s="121">
        <f t="shared" si="220"/>
        <v>1.04</v>
      </c>
      <c r="J490" s="121">
        <f t="shared" si="221"/>
        <v>1.04</v>
      </c>
      <c r="K490" s="120">
        <f t="shared" si="222"/>
        <v>0</v>
      </c>
      <c r="L490" s="120">
        <f t="shared" si="223"/>
        <v>0</v>
      </c>
      <c r="M490" s="246">
        <f t="shared" si="224"/>
        <v>0</v>
      </c>
      <c r="N490" s="121">
        <f t="shared" si="225"/>
        <v>1.04</v>
      </c>
      <c r="O490" s="246">
        <f t="shared" si="226"/>
        <v>0.90167396061269145</v>
      </c>
      <c r="P490" s="121">
        <f t="shared" si="227"/>
        <v>0</v>
      </c>
      <c r="Q490" s="121">
        <f t="shared" si="228"/>
        <v>0.41666666666666669</v>
      </c>
      <c r="R490" s="121">
        <f t="shared" si="229"/>
        <v>0.58333333333333326</v>
      </c>
      <c r="S490" s="121" t="str">
        <f t="shared" si="230"/>
        <v/>
      </c>
      <c r="T490" s="121" t="str">
        <f t="shared" si="231"/>
        <v/>
      </c>
      <c r="U490" s="121">
        <f t="shared" si="232"/>
        <v>1.04</v>
      </c>
    </row>
    <row r="491" spans="1:21" x14ac:dyDescent="0.3">
      <c r="A491" s="187">
        <v>35</v>
      </c>
      <c r="B491" s="242">
        <f t="shared" si="233"/>
        <v>46692</v>
      </c>
      <c r="C491" s="243">
        <f t="shared" si="214"/>
        <v>46721</v>
      </c>
      <c r="D491" s="120">
        <f t="shared" si="215"/>
        <v>30</v>
      </c>
      <c r="E491" s="120">
        <f t="shared" si="216"/>
        <v>11</v>
      </c>
      <c r="F491" s="275">
        <f t="shared" si="217"/>
        <v>46707</v>
      </c>
      <c r="G491" s="120">
        <f t="shared" si="218"/>
        <v>24334</v>
      </c>
      <c r="H491" s="245">
        <f t="shared" si="219"/>
        <v>1</v>
      </c>
      <c r="I491" s="121">
        <f t="shared" si="220"/>
        <v>1.04</v>
      </c>
      <c r="J491" s="121">
        <f t="shared" si="221"/>
        <v>1.04</v>
      </c>
      <c r="K491" s="120">
        <f t="shared" si="222"/>
        <v>0</v>
      </c>
      <c r="L491" s="120">
        <f t="shared" si="223"/>
        <v>0</v>
      </c>
      <c r="M491" s="246">
        <f t="shared" si="224"/>
        <v>0</v>
      </c>
      <c r="N491" s="121">
        <f t="shared" si="225"/>
        <v>1.04</v>
      </c>
      <c r="O491" s="246">
        <f t="shared" si="226"/>
        <v>0.90100656455142236</v>
      </c>
      <c r="P491" s="121">
        <f t="shared" si="227"/>
        <v>0</v>
      </c>
      <c r="Q491" s="121">
        <f t="shared" si="228"/>
        <v>0.25</v>
      </c>
      <c r="R491" s="121">
        <f t="shared" si="229"/>
        <v>0.75</v>
      </c>
      <c r="S491" s="121" t="str">
        <f t="shared" si="230"/>
        <v/>
      </c>
      <c r="T491" s="121" t="str">
        <f t="shared" si="231"/>
        <v/>
      </c>
      <c r="U491" s="121">
        <f t="shared" si="232"/>
        <v>1.04</v>
      </c>
    </row>
    <row r="492" spans="1:21" x14ac:dyDescent="0.3">
      <c r="A492" s="187">
        <v>36</v>
      </c>
      <c r="B492" s="242">
        <f t="shared" si="233"/>
        <v>46722</v>
      </c>
      <c r="C492" s="243">
        <f t="shared" si="214"/>
        <v>46752</v>
      </c>
      <c r="D492" s="120">
        <f t="shared" si="215"/>
        <v>31</v>
      </c>
      <c r="E492" s="120">
        <f t="shared" si="216"/>
        <v>12</v>
      </c>
      <c r="F492" s="275">
        <f t="shared" si="217"/>
        <v>46737.5</v>
      </c>
      <c r="G492" s="120">
        <f t="shared" si="218"/>
        <v>24335</v>
      </c>
      <c r="H492" s="245">
        <f t="shared" si="219"/>
        <v>1</v>
      </c>
      <c r="I492" s="121">
        <f t="shared" si="220"/>
        <v>1.04</v>
      </c>
      <c r="J492" s="121">
        <f t="shared" si="221"/>
        <v>1.04</v>
      </c>
      <c r="K492" s="120">
        <f t="shared" si="222"/>
        <v>0</v>
      </c>
      <c r="L492" s="120">
        <f t="shared" si="223"/>
        <v>0</v>
      </c>
      <c r="M492" s="246">
        <f t="shared" si="224"/>
        <v>0</v>
      </c>
      <c r="N492" s="121">
        <f t="shared" si="225"/>
        <v>1.04</v>
      </c>
      <c r="O492" s="246">
        <f t="shared" si="226"/>
        <v>0.90033916849015316</v>
      </c>
      <c r="P492" s="121">
        <f t="shared" si="227"/>
        <v>0</v>
      </c>
      <c r="Q492" s="121">
        <f t="shared" si="228"/>
        <v>8.3333333333333329E-2</v>
      </c>
      <c r="R492" s="121">
        <f t="shared" si="229"/>
        <v>0.91666666666666663</v>
      </c>
      <c r="S492" s="121" t="str">
        <f t="shared" si="230"/>
        <v/>
      </c>
      <c r="T492" s="121" t="str">
        <f t="shared" si="231"/>
        <v/>
      </c>
      <c r="U492" s="121">
        <f t="shared" si="232"/>
        <v>1.04</v>
      </c>
    </row>
    <row r="493" spans="1:21" x14ac:dyDescent="0.3">
      <c r="A493" s="187">
        <v>37</v>
      </c>
      <c r="B493" s="242">
        <f t="shared" si="233"/>
        <v>46753</v>
      </c>
      <c r="C493" s="243">
        <f t="shared" si="214"/>
        <v>46783</v>
      </c>
      <c r="D493" s="120">
        <f t="shared" si="215"/>
        <v>31</v>
      </c>
      <c r="E493" s="120">
        <f t="shared" si="216"/>
        <v>1</v>
      </c>
      <c r="F493" s="275">
        <f t="shared" si="217"/>
        <v>46768.5</v>
      </c>
      <c r="G493" s="120">
        <f t="shared" si="218"/>
        <v>24336</v>
      </c>
      <c r="H493" s="245">
        <f t="shared" si="219"/>
        <v>1</v>
      </c>
      <c r="I493" s="121">
        <f t="shared" si="220"/>
        <v>1.04</v>
      </c>
      <c r="J493" s="121">
        <f t="shared" si="221"/>
        <v>1.04</v>
      </c>
      <c r="K493" s="120">
        <f t="shared" si="222"/>
        <v>0</v>
      </c>
      <c r="L493" s="120">
        <f t="shared" si="223"/>
        <v>0</v>
      </c>
      <c r="M493" s="246">
        <f t="shared" si="224"/>
        <v>0</v>
      </c>
      <c r="N493" s="121">
        <f t="shared" si="225"/>
        <v>1.04</v>
      </c>
      <c r="O493" s="246">
        <f t="shared" si="226"/>
        <v>0.9</v>
      </c>
      <c r="P493" s="121">
        <f t="shared" si="227"/>
        <v>0</v>
      </c>
      <c r="Q493" s="121">
        <f t="shared" si="228"/>
        <v>0</v>
      </c>
      <c r="R493" s="121">
        <f t="shared" si="229"/>
        <v>1</v>
      </c>
      <c r="S493" s="121" t="str">
        <f t="shared" si="230"/>
        <v/>
      </c>
      <c r="T493" s="121" t="str">
        <f t="shared" si="231"/>
        <v/>
      </c>
      <c r="U493" s="121">
        <f t="shared" si="232"/>
        <v>1.04</v>
      </c>
    </row>
    <row r="494" spans="1:21" x14ac:dyDescent="0.3">
      <c r="A494" s="187">
        <v>38</v>
      </c>
      <c r="B494" s="242">
        <f t="shared" si="233"/>
        <v>46784</v>
      </c>
      <c r="C494" s="243">
        <f t="shared" si="214"/>
        <v>46812</v>
      </c>
      <c r="D494" s="120">
        <f t="shared" si="215"/>
        <v>29</v>
      </c>
      <c r="E494" s="120">
        <f t="shared" si="216"/>
        <v>2</v>
      </c>
      <c r="F494" s="275">
        <f t="shared" si="217"/>
        <v>46798.5</v>
      </c>
      <c r="G494" s="120">
        <f t="shared" si="218"/>
        <v>24337</v>
      </c>
      <c r="H494" s="245">
        <f t="shared" si="219"/>
        <v>1</v>
      </c>
      <c r="I494" s="121">
        <f t="shared" si="220"/>
        <v>1.04</v>
      </c>
      <c r="J494" s="121">
        <f t="shared" si="221"/>
        <v>1.04</v>
      </c>
      <c r="K494" s="120">
        <f t="shared" si="222"/>
        <v>0</v>
      </c>
      <c r="L494" s="120">
        <f t="shared" si="223"/>
        <v>0</v>
      </c>
      <c r="M494" s="246">
        <f t="shared" si="224"/>
        <v>0</v>
      </c>
      <c r="N494" s="121">
        <f t="shared" si="225"/>
        <v>1.04</v>
      </c>
      <c r="O494" s="246">
        <f t="shared" si="226"/>
        <v>0.9</v>
      </c>
      <c r="P494" s="121">
        <f t="shared" si="227"/>
        <v>0</v>
      </c>
      <c r="Q494" s="121">
        <f t="shared" si="228"/>
        <v>0</v>
      </c>
      <c r="R494" s="121">
        <f t="shared" si="229"/>
        <v>1</v>
      </c>
      <c r="S494" s="121" t="str">
        <f t="shared" si="230"/>
        <v/>
      </c>
      <c r="T494" s="121" t="str">
        <f t="shared" si="231"/>
        <v/>
      </c>
      <c r="U494" s="121">
        <f t="shared" si="232"/>
        <v>1.04</v>
      </c>
    </row>
    <row r="495" spans="1:21" x14ac:dyDescent="0.3">
      <c r="A495" s="187">
        <v>39</v>
      </c>
      <c r="B495" s="242">
        <f t="shared" si="233"/>
        <v>46813</v>
      </c>
      <c r="C495" s="243">
        <f t="shared" si="214"/>
        <v>46843</v>
      </c>
      <c r="D495" s="120">
        <f t="shared" si="215"/>
        <v>31</v>
      </c>
      <c r="E495" s="120">
        <f t="shared" si="216"/>
        <v>3</v>
      </c>
      <c r="F495" s="275">
        <f t="shared" si="217"/>
        <v>46828.5</v>
      </c>
      <c r="G495" s="120">
        <f t="shared" si="218"/>
        <v>24338</v>
      </c>
      <c r="H495" s="245">
        <f t="shared" si="219"/>
        <v>1</v>
      </c>
      <c r="I495" s="121">
        <f t="shared" si="220"/>
        <v>1.04</v>
      </c>
      <c r="J495" s="121">
        <f t="shared" si="221"/>
        <v>1.04</v>
      </c>
      <c r="K495" s="120">
        <f t="shared" si="222"/>
        <v>0</v>
      </c>
      <c r="L495" s="120">
        <f t="shared" si="223"/>
        <v>0</v>
      </c>
      <c r="M495" s="246">
        <f t="shared" si="224"/>
        <v>0</v>
      </c>
      <c r="N495" s="121">
        <f t="shared" si="225"/>
        <v>1.04</v>
      </c>
      <c r="O495" s="246">
        <f t="shared" si="226"/>
        <v>0.9</v>
      </c>
      <c r="P495" s="121">
        <f t="shared" si="227"/>
        <v>0</v>
      </c>
      <c r="Q495" s="121">
        <f t="shared" si="228"/>
        <v>0</v>
      </c>
      <c r="R495" s="121">
        <f t="shared" si="229"/>
        <v>1</v>
      </c>
      <c r="S495" s="121" t="str">
        <f t="shared" si="230"/>
        <v/>
      </c>
      <c r="T495" s="121" t="str">
        <f t="shared" si="231"/>
        <v/>
      </c>
      <c r="U495" s="121">
        <f t="shared" si="232"/>
        <v>1.04</v>
      </c>
    </row>
    <row r="496" spans="1:21" x14ac:dyDescent="0.3">
      <c r="A496" s="187">
        <v>40</v>
      </c>
      <c r="B496" s="242">
        <f t="shared" si="233"/>
        <v>46844</v>
      </c>
      <c r="C496" s="243">
        <f t="shared" si="214"/>
        <v>46873</v>
      </c>
      <c r="D496" s="120">
        <f t="shared" si="215"/>
        <v>30</v>
      </c>
      <c r="E496" s="120">
        <f t="shared" si="216"/>
        <v>4</v>
      </c>
      <c r="F496" s="275">
        <f t="shared" si="217"/>
        <v>46859</v>
      </c>
      <c r="G496" s="120">
        <f t="shared" si="218"/>
        <v>24339</v>
      </c>
      <c r="H496" s="245">
        <f t="shared" si="219"/>
        <v>1</v>
      </c>
      <c r="I496" s="121">
        <f t="shared" si="220"/>
        <v>1.04</v>
      </c>
      <c r="J496" s="121">
        <f t="shared" si="221"/>
        <v>1.04</v>
      </c>
      <c r="K496" s="120">
        <f t="shared" si="222"/>
        <v>0</v>
      </c>
      <c r="L496" s="120">
        <f t="shared" si="223"/>
        <v>0</v>
      </c>
      <c r="M496" s="246">
        <f t="shared" si="224"/>
        <v>0</v>
      </c>
      <c r="N496" s="121">
        <f t="shared" si="225"/>
        <v>1.04</v>
      </c>
      <c r="O496" s="246">
        <f t="shared" si="226"/>
        <v>0.9</v>
      </c>
      <c r="P496" s="121">
        <f t="shared" si="227"/>
        <v>0</v>
      </c>
      <c r="Q496" s="121">
        <f t="shared" si="228"/>
        <v>0</v>
      </c>
      <c r="R496" s="121">
        <f t="shared" si="229"/>
        <v>1</v>
      </c>
      <c r="S496" s="121" t="str">
        <f t="shared" si="230"/>
        <v/>
      </c>
      <c r="T496" s="121" t="str">
        <f t="shared" si="231"/>
        <v/>
      </c>
      <c r="U496" s="121">
        <f t="shared" si="232"/>
        <v>1.04</v>
      </c>
    </row>
    <row r="497" spans="1:21" x14ac:dyDescent="0.3">
      <c r="A497" s="187">
        <v>41</v>
      </c>
      <c r="B497" s="242">
        <f t="shared" si="233"/>
        <v>46874</v>
      </c>
      <c r="C497" s="243">
        <f t="shared" si="214"/>
        <v>46904</v>
      </c>
      <c r="D497" s="120">
        <f t="shared" si="215"/>
        <v>31</v>
      </c>
      <c r="E497" s="120">
        <f t="shared" si="216"/>
        <v>5</v>
      </c>
      <c r="F497" s="275">
        <f t="shared" si="217"/>
        <v>46889.5</v>
      </c>
      <c r="G497" s="120">
        <f t="shared" si="218"/>
        <v>24340</v>
      </c>
      <c r="H497" s="245">
        <f t="shared" si="219"/>
        <v>1</v>
      </c>
      <c r="I497" s="121">
        <f t="shared" si="220"/>
        <v>1.04</v>
      </c>
      <c r="J497" s="121">
        <f t="shared" si="221"/>
        <v>1.04</v>
      </c>
      <c r="K497" s="120">
        <f t="shared" si="222"/>
        <v>0</v>
      </c>
      <c r="L497" s="120">
        <f t="shared" si="223"/>
        <v>0</v>
      </c>
      <c r="M497" s="246">
        <f t="shared" si="224"/>
        <v>0</v>
      </c>
      <c r="N497" s="121">
        <f t="shared" si="225"/>
        <v>1.04</v>
      </c>
      <c r="O497" s="246">
        <f t="shared" si="226"/>
        <v>0.9</v>
      </c>
      <c r="P497" s="121">
        <f t="shared" si="227"/>
        <v>0</v>
      </c>
      <c r="Q497" s="121">
        <f t="shared" si="228"/>
        <v>0</v>
      </c>
      <c r="R497" s="121">
        <f t="shared" si="229"/>
        <v>1</v>
      </c>
      <c r="S497" s="121" t="str">
        <f t="shared" si="230"/>
        <v/>
      </c>
      <c r="T497" s="121" t="str">
        <f t="shared" si="231"/>
        <v/>
      </c>
      <c r="U497" s="121">
        <f t="shared" si="232"/>
        <v>1.04</v>
      </c>
    </row>
    <row r="498" spans="1:21" x14ac:dyDescent="0.3">
      <c r="A498" s="187">
        <v>42</v>
      </c>
      <c r="B498" s="242">
        <f t="shared" si="233"/>
        <v>46905</v>
      </c>
      <c r="C498" s="243">
        <f t="shared" si="214"/>
        <v>46934</v>
      </c>
      <c r="D498" s="120">
        <f t="shared" si="215"/>
        <v>30</v>
      </c>
      <c r="E498" s="120">
        <f t="shared" si="216"/>
        <v>6</v>
      </c>
      <c r="F498" s="275">
        <f t="shared" si="217"/>
        <v>46920</v>
      </c>
      <c r="G498" s="120">
        <f t="shared" si="218"/>
        <v>24341</v>
      </c>
      <c r="H498" s="245">
        <f t="shared" si="219"/>
        <v>1</v>
      </c>
      <c r="I498" s="121">
        <f t="shared" si="220"/>
        <v>1.04</v>
      </c>
      <c r="J498" s="121">
        <f t="shared" si="221"/>
        <v>1.04</v>
      </c>
      <c r="K498" s="120">
        <f t="shared" si="222"/>
        <v>0</v>
      </c>
      <c r="L498" s="120">
        <f t="shared" si="223"/>
        <v>0</v>
      </c>
      <c r="M498" s="246">
        <f t="shared" si="224"/>
        <v>0</v>
      </c>
      <c r="N498" s="121">
        <f t="shared" si="225"/>
        <v>1.04</v>
      </c>
      <c r="O498" s="246">
        <f t="shared" si="226"/>
        <v>0.9</v>
      </c>
      <c r="P498" s="121">
        <f t="shared" si="227"/>
        <v>0</v>
      </c>
      <c r="Q498" s="121">
        <f t="shared" si="228"/>
        <v>0</v>
      </c>
      <c r="R498" s="121">
        <f t="shared" si="229"/>
        <v>1</v>
      </c>
      <c r="S498" s="121" t="str">
        <f t="shared" si="230"/>
        <v/>
      </c>
      <c r="T498" s="121" t="str">
        <f t="shared" si="231"/>
        <v/>
      </c>
      <c r="U498" s="121">
        <f t="shared" si="232"/>
        <v>1.04</v>
      </c>
    </row>
    <row r="499" spans="1:21" x14ac:dyDescent="0.3">
      <c r="A499" s="187">
        <v>43</v>
      </c>
      <c r="B499" s="242">
        <f t="shared" si="233"/>
        <v>46935</v>
      </c>
      <c r="C499" s="243">
        <f t="shared" si="214"/>
        <v>46965</v>
      </c>
      <c r="D499" s="120">
        <f t="shared" si="215"/>
        <v>31</v>
      </c>
      <c r="E499" s="120">
        <f t="shared" si="216"/>
        <v>7</v>
      </c>
      <c r="F499" s="275">
        <f t="shared" si="217"/>
        <v>46950.5</v>
      </c>
      <c r="G499" s="120">
        <f t="shared" si="218"/>
        <v>24342</v>
      </c>
      <c r="H499" s="245">
        <f t="shared" si="219"/>
        <v>1</v>
      </c>
      <c r="I499" s="121">
        <f t="shared" si="220"/>
        <v>1.04</v>
      </c>
      <c r="J499" s="121">
        <f t="shared" si="221"/>
        <v>1.04</v>
      </c>
      <c r="K499" s="120">
        <f t="shared" si="222"/>
        <v>0</v>
      </c>
      <c r="L499" s="120">
        <f t="shared" si="223"/>
        <v>0</v>
      </c>
      <c r="M499" s="246">
        <f t="shared" si="224"/>
        <v>0</v>
      </c>
      <c r="N499" s="121">
        <f t="shared" si="225"/>
        <v>1.04</v>
      </c>
      <c r="O499" s="246">
        <f t="shared" si="226"/>
        <v>0.9</v>
      </c>
      <c r="P499" s="121">
        <f t="shared" si="227"/>
        <v>0</v>
      </c>
      <c r="Q499" s="121">
        <f t="shared" si="228"/>
        <v>0</v>
      </c>
      <c r="R499" s="121">
        <f t="shared" si="229"/>
        <v>0.91666666666666663</v>
      </c>
      <c r="S499" s="121" t="str">
        <f t="shared" si="230"/>
        <v/>
      </c>
      <c r="T499" s="121" t="str">
        <f t="shared" si="231"/>
        <v/>
      </c>
      <c r="U499" s="121">
        <f t="shared" si="232"/>
        <v>1.04</v>
      </c>
    </row>
    <row r="500" spans="1:21" x14ac:dyDescent="0.3">
      <c r="A500" s="187">
        <v>44</v>
      </c>
      <c r="B500" s="242">
        <f t="shared" si="233"/>
        <v>46966</v>
      </c>
      <c r="C500" s="243">
        <f t="shared" si="214"/>
        <v>46996</v>
      </c>
      <c r="D500" s="120">
        <f t="shared" si="215"/>
        <v>31</v>
      </c>
      <c r="E500" s="120">
        <f t="shared" si="216"/>
        <v>8</v>
      </c>
      <c r="F500" s="275">
        <f t="shared" si="217"/>
        <v>46981.5</v>
      </c>
      <c r="G500" s="120">
        <f t="shared" si="218"/>
        <v>24343</v>
      </c>
      <c r="H500" s="245">
        <f t="shared" si="219"/>
        <v>1</v>
      </c>
      <c r="I500" s="121">
        <f t="shared" si="220"/>
        <v>1.04</v>
      </c>
      <c r="J500" s="121">
        <f t="shared" si="221"/>
        <v>1.04</v>
      </c>
      <c r="K500" s="120">
        <f t="shared" si="222"/>
        <v>0</v>
      </c>
      <c r="L500" s="120">
        <f t="shared" si="223"/>
        <v>0</v>
      </c>
      <c r="M500" s="246">
        <f t="shared" si="224"/>
        <v>0</v>
      </c>
      <c r="N500" s="121">
        <f t="shared" si="225"/>
        <v>1.04</v>
      </c>
      <c r="O500" s="246">
        <f t="shared" si="226"/>
        <v>0.9</v>
      </c>
      <c r="P500" s="121">
        <f t="shared" si="227"/>
        <v>0</v>
      </c>
      <c r="Q500" s="121">
        <f t="shared" si="228"/>
        <v>0</v>
      </c>
      <c r="R500" s="121">
        <f t="shared" si="229"/>
        <v>0.75</v>
      </c>
      <c r="S500" s="121" t="str">
        <f t="shared" si="230"/>
        <v/>
      </c>
      <c r="T500" s="121" t="str">
        <f t="shared" si="231"/>
        <v/>
      </c>
      <c r="U500" s="121">
        <f t="shared" si="232"/>
        <v>1.04</v>
      </c>
    </row>
    <row r="501" spans="1:21" x14ac:dyDescent="0.3">
      <c r="A501" s="187">
        <v>45</v>
      </c>
      <c r="B501" s="242">
        <f t="shared" si="233"/>
        <v>46997</v>
      </c>
      <c r="C501" s="243">
        <f t="shared" si="214"/>
        <v>47026</v>
      </c>
      <c r="D501" s="120">
        <f t="shared" si="215"/>
        <v>30</v>
      </c>
      <c r="E501" s="120">
        <f t="shared" si="216"/>
        <v>9</v>
      </c>
      <c r="F501" s="275">
        <f t="shared" si="217"/>
        <v>47012</v>
      </c>
      <c r="G501" s="120">
        <f t="shared" si="218"/>
        <v>24344</v>
      </c>
      <c r="H501" s="245">
        <f t="shared" si="219"/>
        <v>1</v>
      </c>
      <c r="I501" s="121">
        <f t="shared" si="220"/>
        <v>1.04</v>
      </c>
      <c r="J501" s="121">
        <f t="shared" si="221"/>
        <v>1.04</v>
      </c>
      <c r="K501" s="120">
        <f t="shared" si="222"/>
        <v>0</v>
      </c>
      <c r="L501" s="120">
        <f t="shared" si="223"/>
        <v>0</v>
      </c>
      <c r="M501" s="246">
        <f t="shared" si="224"/>
        <v>0</v>
      </c>
      <c r="N501" s="121">
        <f t="shared" si="225"/>
        <v>1.04</v>
      </c>
      <c r="O501" s="246">
        <f t="shared" si="226"/>
        <v>0.9</v>
      </c>
      <c r="P501" s="121">
        <f t="shared" si="227"/>
        <v>0</v>
      </c>
      <c r="Q501" s="121">
        <f t="shared" si="228"/>
        <v>0</v>
      </c>
      <c r="R501" s="121">
        <f t="shared" si="229"/>
        <v>0.58333333333333337</v>
      </c>
      <c r="S501" s="121" t="str">
        <f t="shared" si="230"/>
        <v/>
      </c>
      <c r="T501" s="121" t="str">
        <f t="shared" si="231"/>
        <v/>
      </c>
      <c r="U501" s="121">
        <f t="shared" si="232"/>
        <v>1.04</v>
      </c>
    </row>
    <row r="502" spans="1:21" x14ac:dyDescent="0.3">
      <c r="A502" s="187">
        <v>46</v>
      </c>
      <c r="B502" s="242">
        <f t="shared" si="233"/>
        <v>47027</v>
      </c>
      <c r="C502" s="243">
        <f t="shared" si="214"/>
        <v>47057</v>
      </c>
      <c r="D502" s="120">
        <f t="shared" si="215"/>
        <v>31</v>
      </c>
      <c r="E502" s="120">
        <f t="shared" si="216"/>
        <v>10</v>
      </c>
      <c r="F502" s="275">
        <f t="shared" si="217"/>
        <v>47042.5</v>
      </c>
      <c r="G502" s="120">
        <f t="shared" si="218"/>
        <v>24345</v>
      </c>
      <c r="H502" s="245">
        <f t="shared" si="219"/>
        <v>1</v>
      </c>
      <c r="I502" s="121">
        <f t="shared" si="220"/>
        <v>1.04</v>
      </c>
      <c r="J502" s="121">
        <f t="shared" si="221"/>
        <v>1.04</v>
      </c>
      <c r="K502" s="120">
        <f t="shared" si="222"/>
        <v>0</v>
      </c>
      <c r="L502" s="120">
        <f t="shared" si="223"/>
        <v>0</v>
      </c>
      <c r="M502" s="246">
        <f t="shared" si="224"/>
        <v>0</v>
      </c>
      <c r="N502" s="121">
        <f t="shared" si="225"/>
        <v>1.04</v>
      </c>
      <c r="O502" s="246">
        <f t="shared" si="226"/>
        <v>0.9</v>
      </c>
      <c r="P502" s="121">
        <f t="shared" si="227"/>
        <v>0</v>
      </c>
      <c r="Q502" s="121">
        <f t="shared" si="228"/>
        <v>0</v>
      </c>
      <c r="R502" s="121">
        <f t="shared" si="229"/>
        <v>0.41666666666666669</v>
      </c>
      <c r="S502" s="121" t="str">
        <f t="shared" si="230"/>
        <v/>
      </c>
      <c r="T502" s="121" t="str">
        <f t="shared" si="231"/>
        <v/>
      </c>
      <c r="U502" s="121">
        <f t="shared" si="232"/>
        <v>1.04</v>
      </c>
    </row>
    <row r="503" spans="1:21" x14ac:dyDescent="0.3">
      <c r="A503" s="187">
        <v>47</v>
      </c>
      <c r="B503" s="242">
        <f t="shared" si="233"/>
        <v>47058</v>
      </c>
      <c r="C503" s="243">
        <f t="shared" si="214"/>
        <v>47087</v>
      </c>
      <c r="D503" s="120">
        <f t="shared" si="215"/>
        <v>30</v>
      </c>
      <c r="E503" s="120">
        <f t="shared" si="216"/>
        <v>11</v>
      </c>
      <c r="F503" s="275">
        <f t="shared" si="217"/>
        <v>47073</v>
      </c>
      <c r="G503" s="120">
        <f t="shared" si="218"/>
        <v>24346</v>
      </c>
      <c r="H503" s="245">
        <f t="shared" si="219"/>
        <v>1</v>
      </c>
      <c r="I503" s="121">
        <f t="shared" si="220"/>
        <v>1.04</v>
      </c>
      <c r="J503" s="121">
        <f t="shared" si="221"/>
        <v>1.04</v>
      </c>
      <c r="K503" s="120">
        <f t="shared" si="222"/>
        <v>0</v>
      </c>
      <c r="L503" s="120">
        <f t="shared" si="223"/>
        <v>0</v>
      </c>
      <c r="M503" s="246">
        <f t="shared" si="224"/>
        <v>0</v>
      </c>
      <c r="N503" s="121">
        <f t="shared" si="225"/>
        <v>1.04</v>
      </c>
      <c r="O503" s="246">
        <f t="shared" si="226"/>
        <v>0.9</v>
      </c>
      <c r="P503" s="121">
        <f t="shared" si="227"/>
        <v>0</v>
      </c>
      <c r="Q503" s="121">
        <f t="shared" si="228"/>
        <v>0</v>
      </c>
      <c r="R503" s="121">
        <f t="shared" si="229"/>
        <v>0.25</v>
      </c>
      <c r="S503" s="121" t="str">
        <f t="shared" si="230"/>
        <v/>
      </c>
      <c r="T503" s="121" t="str">
        <f t="shared" si="231"/>
        <v/>
      </c>
      <c r="U503" s="121">
        <f t="shared" si="232"/>
        <v>1.04</v>
      </c>
    </row>
    <row r="504" spans="1:21" x14ac:dyDescent="0.3">
      <c r="A504" s="187">
        <v>48</v>
      </c>
      <c r="B504" s="242">
        <f t="shared" si="233"/>
        <v>47088</v>
      </c>
      <c r="C504" s="243">
        <f t="shared" si="214"/>
        <v>47118</v>
      </c>
      <c r="D504" s="120">
        <f t="shared" si="215"/>
        <v>31</v>
      </c>
      <c r="E504" s="120">
        <f t="shared" si="216"/>
        <v>12</v>
      </c>
      <c r="F504" s="275">
        <f t="shared" si="217"/>
        <v>47103.5</v>
      </c>
      <c r="G504" s="120">
        <f t="shared" si="218"/>
        <v>24347</v>
      </c>
      <c r="H504" s="245">
        <f t="shared" si="219"/>
        <v>1</v>
      </c>
      <c r="I504" s="121">
        <f t="shared" si="220"/>
        <v>1.04</v>
      </c>
      <c r="J504" s="121">
        <f t="shared" si="221"/>
        <v>1.04</v>
      </c>
      <c r="K504" s="120">
        <f t="shared" si="222"/>
        <v>0</v>
      </c>
      <c r="L504" s="120">
        <f t="shared" si="223"/>
        <v>0</v>
      </c>
      <c r="M504" s="246">
        <f t="shared" si="224"/>
        <v>0</v>
      </c>
      <c r="N504" s="121">
        <f t="shared" si="225"/>
        <v>1.04</v>
      </c>
      <c r="O504" s="246">
        <f t="shared" si="226"/>
        <v>0.9</v>
      </c>
      <c r="P504" s="121">
        <f t="shared" si="227"/>
        <v>0</v>
      </c>
      <c r="Q504" s="121">
        <f t="shared" si="228"/>
        <v>0</v>
      </c>
      <c r="R504" s="121">
        <f t="shared" si="229"/>
        <v>8.3333333333333329E-2</v>
      </c>
      <c r="S504" s="121" t="str">
        <f t="shared" si="230"/>
        <v/>
      </c>
      <c r="T504" s="121" t="str">
        <f t="shared" si="231"/>
        <v/>
      </c>
      <c r="U504" s="121">
        <f t="shared" si="232"/>
        <v>1.04</v>
      </c>
    </row>
    <row r="505" spans="1:21" x14ac:dyDescent="0.3">
      <c r="A505" s="6" t="s">
        <v>1651</v>
      </c>
      <c r="B505" s="73">
        <f>EXP(SUMPRODUCT((rl_key=$A$454)*(rl_cons="Y")*rl_ln1p))</f>
        <v>1.04</v>
      </c>
      <c r="C505" s="73">
        <f>SUMPRODUCT($H$457:$H$504,$P$457:$P$504,$U$457:$U$504)/SUMPRODUCT($H$457:$H$504,$P$457:$P$504)</f>
        <v>1.0069444444444444</v>
      </c>
      <c r="D505" s="73">
        <f>SUMPRODUCT($H$457:$H$504,$Q$457:$Q$504,$U$457:$U$504)/SUMPRODUCT($H$457:$H$504,$Q$457:$Q$504)</f>
        <v>1.039722222222222</v>
      </c>
      <c r="E505" s="73">
        <f>SUMPRODUCT($H$457:$H$504,$R$457:$R$504,$U$457:$U$504)/SUMPRODUCT($H$457:$H$504,$R$457:$R$504)</f>
        <v>1.0399999999999998</v>
      </c>
      <c r="F505" s="224">
        <f>SUMPRODUCT($H$457:$H$504,$Q$457:$Q$504,$O$457:$O$504)/SUMPRODUCT($H$457:$H$504,$Q$457:$Q$504)</f>
        <v>0.90600747629467537</v>
      </c>
      <c r="G505" s="224">
        <f>SUMPRODUCT($H$457:$H$504,$R$457:$R$504,$O$457:$O$504)/SUMPRODUCT($H$457:$H$504,$R$457:$R$504)</f>
        <v>0.90033977631898854</v>
      </c>
      <c r="H505" s="73">
        <f>SUMPRODUCT($H$481:$H$492,$N$481:$N$492/$N$469:$N$480)/SUM($H$481:$H$492)</f>
        <v>1.0233333333333334</v>
      </c>
      <c r="I505" s="73">
        <f>SUMPRODUCT($H$481:$H$492,$O$481:$O$492/$O$469:$O$480)/SUM($H$481:$H$492)</f>
        <v>0.99124238763980388</v>
      </c>
      <c r="J505" s="73">
        <f>IF($O$454=1,SUMPRODUCT($H$481:$H$492,$N$481:$N$492/$N$469:$N$480*$O$481:$O$492/$O$469:$O$480)/SUM($H$481:$H$492),$H505)</f>
        <v>1.0143717508636425</v>
      </c>
      <c r="K505" s="73">
        <f>SUMPRODUCT($H$457:$H$504,$Q$457:$Q$504,$N$457:$N$504)/SUMPRODUCT($H$457:$H$504,$Q$457:$Q$504)</f>
        <v>1.039722222222222</v>
      </c>
      <c r="L505" s="73">
        <f>SUMPRODUCT($H$457:$H$504,$R$457:$R$504,$N$457:$N$504)/SUMPRODUCT($H$457:$H$504,$R$457:$R$504)</f>
        <v>1.0399999999999998</v>
      </c>
    </row>
    <row r="508" spans="1:21" x14ac:dyDescent="0.3">
      <c r="A508" s="6" t="str">
        <f>INDEX(lr_key,9)</f>
        <v>ABD|KY</v>
      </c>
      <c r="B508" s="6" t="str">
        <f>INDEX(lr_state,9)</f>
        <v>KY</v>
      </c>
      <c r="C508" s="75">
        <f>nr_TermMonths</f>
        <v>6</v>
      </c>
      <c r="D508" s="75">
        <f>IF(COUNTIF(se_state,$B508)=0,0,MATCH($B508,se_state,0))</f>
        <v>0</v>
      </c>
      <c r="E508" s="70">
        <f>IF($D508=0,0,INDEX(se_sum,$D508))</f>
        <v>0</v>
      </c>
      <c r="F508" s="224">
        <f>IF(N(INDEX(lr_mind,9))=0,1,INDEX(lr_mind,9))</f>
        <v>0.92</v>
      </c>
      <c r="G508" s="224">
        <f>IF(N(INDEX(lr_m0,9))=0,1,INDEX(lr_m0,9))</f>
        <v>0.91</v>
      </c>
      <c r="H508" s="74">
        <f>IF(N(INDEX(lr_m0asof,9))=0,DATE(nr_PlanYear-1,10,1),INDEX(lr_m0asof,9))</f>
        <v>46295</v>
      </c>
      <c r="I508" s="224">
        <f>IF(N(INDEX(lr_m1,9))=0,1,INDEX(lr_m1,9))</f>
        <v>0.91500000000000004</v>
      </c>
      <c r="J508" s="224">
        <f>INDEX(lr_mprior,9)</f>
        <v>0</v>
      </c>
      <c r="K508" s="224">
        <f>INDEX(lr_m2,9)</f>
        <v>0</v>
      </c>
      <c r="L508" s="6" t="b">
        <f>NOT(ISBLANK(INDEX(lr_netp,9)))</f>
        <v>0</v>
      </c>
      <c r="M508" s="72">
        <f>N(INDEX(lr_netp,9))</f>
        <v>0</v>
      </c>
      <c r="N508" s="72">
        <f>IF(ISBLANK(INDEX(lr_netp1,9)),$M$508,N(INDEX(lr_netp1,9)))</f>
        <v>0</v>
      </c>
      <c r="O508" s="75">
        <f>IF(AND(nr_ModAdjMaster="ON",INDEX(lr_modadj,9)="ON"),1,0)</f>
        <v>1</v>
      </c>
    </row>
    <row r="509" spans="1:21" x14ac:dyDescent="0.3">
      <c r="A509" s="6">
        <f>EDATE($H$508,-12)+1</f>
        <v>45931</v>
      </c>
      <c r="B509" s="6">
        <f>$H$508+1</f>
        <v>46296</v>
      </c>
      <c r="C509" s="6">
        <f>DATE(nr_PlanYear,12,31)+1</f>
        <v>46753</v>
      </c>
      <c r="D509" s="6">
        <f>DATE(nr_PlanYear+1,12,31)+1</f>
        <v>47119</v>
      </c>
      <c r="E509" s="6">
        <f>IF(N($J$508)=0,$F$509-($G$509-$F$509)/($C$509-$B$509)*($B$509-$A$509),$J$508)</f>
        <v>0.90600656455142237</v>
      </c>
      <c r="F509" s="6">
        <f>$G$508</f>
        <v>0.91</v>
      </c>
      <c r="G509" s="6">
        <f>$I$508</f>
        <v>0.91500000000000004</v>
      </c>
      <c r="H509" s="6">
        <f>IF(N($K$508)=0,$I$508,$K$508)</f>
        <v>0.91500000000000004</v>
      </c>
      <c r="I509" s="6">
        <f>($F$509-$E$509)/($B$509-$A$509)</f>
        <v>1.0940919037199081E-5</v>
      </c>
      <c r="J509" s="6">
        <f>($G$509-$F$509)/($C$509-$B$509)</f>
        <v>1.0940919037199135E-5</v>
      </c>
      <c r="K509" s="6">
        <f>($H$509-$G$509)/($D$509-$C$509)</f>
        <v>0</v>
      </c>
    </row>
    <row r="510" spans="1:21" ht="36" x14ac:dyDescent="0.3">
      <c r="A510" s="58" t="s">
        <v>390</v>
      </c>
      <c r="B510" s="58" t="s">
        <v>449</v>
      </c>
      <c r="C510" s="58" t="s">
        <v>685</v>
      </c>
      <c r="D510" s="58" t="s">
        <v>686</v>
      </c>
      <c r="E510" s="58" t="s">
        <v>687</v>
      </c>
      <c r="F510" s="58" t="s">
        <v>688</v>
      </c>
      <c r="G510" s="58" t="s">
        <v>689</v>
      </c>
      <c r="H510" s="58" t="s">
        <v>452</v>
      </c>
      <c r="I510" s="58" t="s">
        <v>690</v>
      </c>
      <c r="J510" s="58" t="s">
        <v>691</v>
      </c>
      <c r="K510" s="58" t="s">
        <v>692</v>
      </c>
      <c r="L510" s="58" t="s">
        <v>693</v>
      </c>
      <c r="M510" s="58" t="s">
        <v>694</v>
      </c>
      <c r="N510" s="58" t="s">
        <v>695</v>
      </c>
      <c r="O510" s="58" t="s">
        <v>696</v>
      </c>
      <c r="P510" s="58" t="s">
        <v>697</v>
      </c>
      <c r="Q510" s="58" t="s">
        <v>698</v>
      </c>
      <c r="R510" s="58" t="s">
        <v>699</v>
      </c>
      <c r="S510" s="58" t="s">
        <v>700</v>
      </c>
      <c r="T510" s="58" t="s">
        <v>701</v>
      </c>
      <c r="U510" s="58" t="s">
        <v>702</v>
      </c>
    </row>
    <row r="511" spans="1:21" x14ac:dyDescent="0.3">
      <c r="A511" s="187">
        <v>1</v>
      </c>
      <c r="B511" s="242">
        <f>DATE(nr_PlanYear-2,1,1)</f>
        <v>45658</v>
      </c>
      <c r="C511" s="243">
        <f t="shared" ref="C511:C558" si="234">EOMONTH($B511,0)</f>
        <v>45688</v>
      </c>
      <c r="D511" s="120">
        <f t="shared" ref="D511:D558" si="235">$C511-$B511+1</f>
        <v>31</v>
      </c>
      <c r="E511" s="120">
        <f t="shared" ref="E511:E558" si="236">MONTH($B511)</f>
        <v>1</v>
      </c>
      <c r="F511" s="275">
        <f t="shared" ref="F511:F558" si="237">($B511+$C511+1)/2</f>
        <v>45673.5</v>
      </c>
      <c r="G511" s="120">
        <f t="shared" ref="G511:G558" si="238">YEAR($B511)*12+MONTH($B511)-1</f>
        <v>24300</v>
      </c>
      <c r="H511" s="245">
        <f t="shared" ref="H511:H558" si="239">IF(OR(nr_SeasonOn="OFF",$D$508=0,$E$508=0),1,12*INDEX(se_block,$D$508,$E511)/$E$508)</f>
        <v>1</v>
      </c>
      <c r="I511" s="121">
        <f t="shared" ref="I511:I558" si="240">EXP(SUMPRODUCT((rl_eff&lt;$B511)*(rl_key=$A$508)*rl_ln1p))</f>
        <v>1</v>
      </c>
      <c r="J511" s="121">
        <f t="shared" ref="J511:J558" si="241">EXP(SUMPRODUCT((rl_eff&lt;=$C511)*(rl_key=$A$508)*rl_ln1p))</f>
        <v>1</v>
      </c>
      <c r="K511" s="120">
        <f t="shared" ref="K511:K558" si="242">COUNTIFS(rl_key,$A$508,rl_eff,"&gt;="&amp;$B511,rl_eff,"&lt;="&amp;$C511)</f>
        <v>0</v>
      </c>
      <c r="L511" s="120">
        <f t="shared" ref="L511:L558" si="243">SUMIFS(rl_daysafter,rl_key,$A$508,rl_effmonth,$B511,rl_first,1)</f>
        <v>0</v>
      </c>
      <c r="M511" s="246">
        <f t="shared" ref="M511:M558" si="244">IF($K511=0,0,MIN(1,$L511/$D511))</f>
        <v>0</v>
      </c>
      <c r="N511" s="121">
        <f t="shared" ref="N511:N558" si="245">IF($K511=0,$J511,(1-$M511)*$I511+$M511*$J511)</f>
        <v>1</v>
      </c>
      <c r="O511" s="246">
        <f t="shared" ref="O511:O558" si="246">IF($F511&lt;$B$509,$E$509+$I$509*($F511-$A$509),IF($F511&lt;$C$509,$F$509+$J$509*($F511-$B$509),$G$509+$K$509*($F511-$C$509)))</f>
        <v>0.90318927789934356</v>
      </c>
      <c r="P511" s="121">
        <f t="shared" ref="P511:P558" si="247">MIN(1,MAX(0,(nr_MEndPm1-$G511+0.5)/$C$508))-MIN(1,MAX(0,(nr_MStartPm1-1-$G511+0.5)/$C$508))</f>
        <v>0</v>
      </c>
      <c r="Q511" s="121">
        <f t="shared" ref="Q511:Q558" si="248">MIN(1,MAX(0,(nr_MEndP-$G511+0.5)/$C$508))-MIN(1,MAX(0,(nr_MStartP-1-$G511+0.5)/$C$508))</f>
        <v>0</v>
      </c>
      <c r="R511" s="121">
        <f t="shared" ref="R511:R558" si="249">MIN(1,MAX(0,(nr_MEndP1-$G511+0.5)/$C$508))-MIN(1,MAX(0,(nr_MStartP1-1-$G511+0.5)/$C$508))</f>
        <v>0</v>
      </c>
      <c r="S511" s="121" t="str">
        <f t="shared" ref="S511:S558" si="250">IF($L$508,$N511*IF($O$508=1,$O511/$F$508,1),"")</f>
        <v/>
      </c>
      <c r="T511" s="121" t="str">
        <f t="shared" ref="T511:T558" si="251">IF(NOT($L$508),"",IF($G511&lt;nr_MStartP,$S511,$T499*(1+IF($G511&lt;nr_MStartP1,$M$508,$N$508))))</f>
        <v/>
      </c>
      <c r="U511" s="121">
        <f t="shared" ref="U511:U558" si="252">IF($L$508,$T511,$N511)</f>
        <v>1</v>
      </c>
    </row>
    <row r="512" spans="1:21" x14ac:dyDescent="0.3">
      <c r="A512" s="187">
        <v>2</v>
      </c>
      <c r="B512" s="242">
        <f t="shared" ref="B512:B558" si="253">EDATE($B511,1)</f>
        <v>45689</v>
      </c>
      <c r="C512" s="243">
        <f t="shared" si="234"/>
        <v>45716</v>
      </c>
      <c r="D512" s="120">
        <f t="shared" si="235"/>
        <v>28</v>
      </c>
      <c r="E512" s="120">
        <f t="shared" si="236"/>
        <v>2</v>
      </c>
      <c r="F512" s="275">
        <f t="shared" si="237"/>
        <v>45703</v>
      </c>
      <c r="G512" s="120">
        <f t="shared" si="238"/>
        <v>24301</v>
      </c>
      <c r="H512" s="245">
        <f t="shared" si="239"/>
        <v>1</v>
      </c>
      <c r="I512" s="121">
        <f t="shared" si="240"/>
        <v>1</v>
      </c>
      <c r="J512" s="121">
        <f t="shared" si="241"/>
        <v>1</v>
      </c>
      <c r="K512" s="120">
        <f t="shared" si="242"/>
        <v>0</v>
      </c>
      <c r="L512" s="120">
        <f t="shared" si="243"/>
        <v>0</v>
      </c>
      <c r="M512" s="246">
        <f t="shared" si="244"/>
        <v>0</v>
      </c>
      <c r="N512" s="121">
        <f t="shared" si="245"/>
        <v>1</v>
      </c>
      <c r="O512" s="246">
        <f t="shared" si="246"/>
        <v>0.90351203501094102</v>
      </c>
      <c r="P512" s="121">
        <f t="shared" si="247"/>
        <v>0</v>
      </c>
      <c r="Q512" s="121">
        <f t="shared" si="248"/>
        <v>0</v>
      </c>
      <c r="R512" s="121">
        <f t="shared" si="249"/>
        <v>0</v>
      </c>
      <c r="S512" s="121" t="str">
        <f t="shared" si="250"/>
        <v/>
      </c>
      <c r="T512" s="121" t="str">
        <f t="shared" si="251"/>
        <v/>
      </c>
      <c r="U512" s="121">
        <f t="shared" si="252"/>
        <v>1</v>
      </c>
    </row>
    <row r="513" spans="1:21" x14ac:dyDescent="0.3">
      <c r="A513" s="187">
        <v>3</v>
      </c>
      <c r="B513" s="242">
        <f t="shared" si="253"/>
        <v>45717</v>
      </c>
      <c r="C513" s="243">
        <f t="shared" si="234"/>
        <v>45747</v>
      </c>
      <c r="D513" s="120">
        <f t="shared" si="235"/>
        <v>31</v>
      </c>
      <c r="E513" s="120">
        <f t="shared" si="236"/>
        <v>3</v>
      </c>
      <c r="F513" s="275">
        <f t="shared" si="237"/>
        <v>45732.5</v>
      </c>
      <c r="G513" s="120">
        <f t="shared" si="238"/>
        <v>24302</v>
      </c>
      <c r="H513" s="245">
        <f t="shared" si="239"/>
        <v>1</v>
      </c>
      <c r="I513" s="121">
        <f t="shared" si="240"/>
        <v>1</v>
      </c>
      <c r="J513" s="121">
        <f t="shared" si="241"/>
        <v>1</v>
      </c>
      <c r="K513" s="120">
        <f t="shared" si="242"/>
        <v>0</v>
      </c>
      <c r="L513" s="120">
        <f t="shared" si="243"/>
        <v>0</v>
      </c>
      <c r="M513" s="246">
        <f t="shared" si="244"/>
        <v>0</v>
      </c>
      <c r="N513" s="121">
        <f t="shared" si="245"/>
        <v>1</v>
      </c>
      <c r="O513" s="246">
        <f t="shared" si="246"/>
        <v>0.90383479212253837</v>
      </c>
      <c r="P513" s="121">
        <f t="shared" si="247"/>
        <v>0</v>
      </c>
      <c r="Q513" s="121">
        <f t="shared" si="248"/>
        <v>0</v>
      </c>
      <c r="R513" s="121">
        <f t="shared" si="249"/>
        <v>0</v>
      </c>
      <c r="S513" s="121" t="str">
        <f t="shared" si="250"/>
        <v/>
      </c>
      <c r="T513" s="121" t="str">
        <f t="shared" si="251"/>
        <v/>
      </c>
      <c r="U513" s="121">
        <f t="shared" si="252"/>
        <v>1</v>
      </c>
    </row>
    <row r="514" spans="1:21" x14ac:dyDescent="0.3">
      <c r="A514" s="187">
        <v>4</v>
      </c>
      <c r="B514" s="242">
        <f t="shared" si="253"/>
        <v>45748</v>
      </c>
      <c r="C514" s="243">
        <f t="shared" si="234"/>
        <v>45777</v>
      </c>
      <c r="D514" s="120">
        <f t="shared" si="235"/>
        <v>30</v>
      </c>
      <c r="E514" s="120">
        <f t="shared" si="236"/>
        <v>4</v>
      </c>
      <c r="F514" s="275">
        <f t="shared" si="237"/>
        <v>45763</v>
      </c>
      <c r="G514" s="120">
        <f t="shared" si="238"/>
        <v>24303</v>
      </c>
      <c r="H514" s="245">
        <f t="shared" si="239"/>
        <v>1</v>
      </c>
      <c r="I514" s="121">
        <f t="shared" si="240"/>
        <v>1</v>
      </c>
      <c r="J514" s="121">
        <f t="shared" si="241"/>
        <v>1</v>
      </c>
      <c r="K514" s="120">
        <f t="shared" si="242"/>
        <v>0</v>
      </c>
      <c r="L514" s="120">
        <f t="shared" si="243"/>
        <v>0</v>
      </c>
      <c r="M514" s="246">
        <f t="shared" si="244"/>
        <v>0</v>
      </c>
      <c r="N514" s="121">
        <f t="shared" si="245"/>
        <v>1</v>
      </c>
      <c r="O514" s="246">
        <f t="shared" si="246"/>
        <v>0.90416849015317291</v>
      </c>
      <c r="P514" s="121">
        <f t="shared" si="247"/>
        <v>0</v>
      </c>
      <c r="Q514" s="121">
        <f t="shared" si="248"/>
        <v>0</v>
      </c>
      <c r="R514" s="121">
        <f t="shared" si="249"/>
        <v>0</v>
      </c>
      <c r="S514" s="121" t="str">
        <f t="shared" si="250"/>
        <v/>
      </c>
      <c r="T514" s="121" t="str">
        <f t="shared" si="251"/>
        <v/>
      </c>
      <c r="U514" s="121">
        <f t="shared" si="252"/>
        <v>1</v>
      </c>
    </row>
    <row r="515" spans="1:21" x14ac:dyDescent="0.3">
      <c r="A515" s="187">
        <v>5</v>
      </c>
      <c r="B515" s="242">
        <f t="shared" si="253"/>
        <v>45778</v>
      </c>
      <c r="C515" s="243">
        <f t="shared" si="234"/>
        <v>45808</v>
      </c>
      <c r="D515" s="120">
        <f t="shared" si="235"/>
        <v>31</v>
      </c>
      <c r="E515" s="120">
        <f t="shared" si="236"/>
        <v>5</v>
      </c>
      <c r="F515" s="275">
        <f t="shared" si="237"/>
        <v>45793.5</v>
      </c>
      <c r="G515" s="120">
        <f t="shared" si="238"/>
        <v>24304</v>
      </c>
      <c r="H515" s="245">
        <f t="shared" si="239"/>
        <v>1</v>
      </c>
      <c r="I515" s="121">
        <f t="shared" si="240"/>
        <v>1</v>
      </c>
      <c r="J515" s="121">
        <f t="shared" si="241"/>
        <v>1</v>
      </c>
      <c r="K515" s="120">
        <f t="shared" si="242"/>
        <v>0</v>
      </c>
      <c r="L515" s="120">
        <f t="shared" si="243"/>
        <v>0</v>
      </c>
      <c r="M515" s="246">
        <f t="shared" si="244"/>
        <v>0</v>
      </c>
      <c r="N515" s="121">
        <f t="shared" si="245"/>
        <v>1</v>
      </c>
      <c r="O515" s="246">
        <f t="shared" si="246"/>
        <v>0.90450218818380745</v>
      </c>
      <c r="P515" s="121">
        <f t="shared" si="247"/>
        <v>0</v>
      </c>
      <c r="Q515" s="121">
        <f t="shared" si="248"/>
        <v>0</v>
      </c>
      <c r="R515" s="121">
        <f t="shared" si="249"/>
        <v>0</v>
      </c>
      <c r="S515" s="121" t="str">
        <f t="shared" si="250"/>
        <v/>
      </c>
      <c r="T515" s="121" t="str">
        <f t="shared" si="251"/>
        <v/>
      </c>
      <c r="U515" s="121">
        <f t="shared" si="252"/>
        <v>1</v>
      </c>
    </row>
    <row r="516" spans="1:21" x14ac:dyDescent="0.3">
      <c r="A516" s="187">
        <v>6</v>
      </c>
      <c r="B516" s="242">
        <f t="shared" si="253"/>
        <v>45809</v>
      </c>
      <c r="C516" s="243">
        <f t="shared" si="234"/>
        <v>45838</v>
      </c>
      <c r="D516" s="120">
        <f t="shared" si="235"/>
        <v>30</v>
      </c>
      <c r="E516" s="120">
        <f t="shared" si="236"/>
        <v>6</v>
      </c>
      <c r="F516" s="275">
        <f t="shared" si="237"/>
        <v>45824</v>
      </c>
      <c r="G516" s="120">
        <f t="shared" si="238"/>
        <v>24305</v>
      </c>
      <c r="H516" s="245">
        <f t="shared" si="239"/>
        <v>1</v>
      </c>
      <c r="I516" s="121">
        <f t="shared" si="240"/>
        <v>1</v>
      </c>
      <c r="J516" s="121">
        <f t="shared" si="241"/>
        <v>1</v>
      </c>
      <c r="K516" s="120">
        <f t="shared" si="242"/>
        <v>0</v>
      </c>
      <c r="L516" s="120">
        <f t="shared" si="243"/>
        <v>0</v>
      </c>
      <c r="M516" s="246">
        <f t="shared" si="244"/>
        <v>0</v>
      </c>
      <c r="N516" s="121">
        <f t="shared" si="245"/>
        <v>1</v>
      </c>
      <c r="O516" s="246">
        <f t="shared" si="246"/>
        <v>0.90483588621444211</v>
      </c>
      <c r="P516" s="121">
        <f t="shared" si="247"/>
        <v>0</v>
      </c>
      <c r="Q516" s="121">
        <f t="shared" si="248"/>
        <v>0</v>
      </c>
      <c r="R516" s="121">
        <f t="shared" si="249"/>
        <v>0</v>
      </c>
      <c r="S516" s="121" t="str">
        <f t="shared" si="250"/>
        <v/>
      </c>
      <c r="T516" s="121" t="str">
        <f t="shared" si="251"/>
        <v/>
      </c>
      <c r="U516" s="121">
        <f t="shared" si="252"/>
        <v>1</v>
      </c>
    </row>
    <row r="517" spans="1:21" x14ac:dyDescent="0.3">
      <c r="A517" s="187">
        <v>7</v>
      </c>
      <c r="B517" s="242">
        <f t="shared" si="253"/>
        <v>45839</v>
      </c>
      <c r="C517" s="243">
        <f t="shared" si="234"/>
        <v>45869</v>
      </c>
      <c r="D517" s="120">
        <f t="shared" si="235"/>
        <v>31</v>
      </c>
      <c r="E517" s="120">
        <f t="shared" si="236"/>
        <v>7</v>
      </c>
      <c r="F517" s="275">
        <f t="shared" si="237"/>
        <v>45854.5</v>
      </c>
      <c r="G517" s="120">
        <f t="shared" si="238"/>
        <v>24306</v>
      </c>
      <c r="H517" s="245">
        <f t="shared" si="239"/>
        <v>1</v>
      </c>
      <c r="I517" s="121">
        <f t="shared" si="240"/>
        <v>1</v>
      </c>
      <c r="J517" s="121">
        <f t="shared" si="241"/>
        <v>1</v>
      </c>
      <c r="K517" s="120">
        <f t="shared" si="242"/>
        <v>0</v>
      </c>
      <c r="L517" s="120">
        <f t="shared" si="243"/>
        <v>0</v>
      </c>
      <c r="M517" s="246">
        <f t="shared" si="244"/>
        <v>0</v>
      </c>
      <c r="N517" s="121">
        <f t="shared" si="245"/>
        <v>1</v>
      </c>
      <c r="O517" s="246">
        <f t="shared" si="246"/>
        <v>0.90516958424507665</v>
      </c>
      <c r="P517" s="121">
        <f t="shared" si="247"/>
        <v>8.333333333333337E-2</v>
      </c>
      <c r="Q517" s="121">
        <f t="shared" si="248"/>
        <v>0</v>
      </c>
      <c r="R517" s="121">
        <f t="shared" si="249"/>
        <v>0</v>
      </c>
      <c r="S517" s="121" t="str">
        <f t="shared" si="250"/>
        <v/>
      </c>
      <c r="T517" s="121" t="str">
        <f t="shared" si="251"/>
        <v/>
      </c>
      <c r="U517" s="121">
        <f t="shared" si="252"/>
        <v>1</v>
      </c>
    </row>
    <row r="518" spans="1:21" x14ac:dyDescent="0.3">
      <c r="A518" s="187">
        <v>8</v>
      </c>
      <c r="B518" s="242">
        <f t="shared" si="253"/>
        <v>45870</v>
      </c>
      <c r="C518" s="243">
        <f t="shared" si="234"/>
        <v>45900</v>
      </c>
      <c r="D518" s="120">
        <f t="shared" si="235"/>
        <v>31</v>
      </c>
      <c r="E518" s="120">
        <f t="shared" si="236"/>
        <v>8</v>
      </c>
      <c r="F518" s="275">
        <f t="shared" si="237"/>
        <v>45885.5</v>
      </c>
      <c r="G518" s="120">
        <f t="shared" si="238"/>
        <v>24307</v>
      </c>
      <c r="H518" s="245">
        <f t="shared" si="239"/>
        <v>1</v>
      </c>
      <c r="I518" s="121">
        <f t="shared" si="240"/>
        <v>1</v>
      </c>
      <c r="J518" s="121">
        <f t="shared" si="241"/>
        <v>1</v>
      </c>
      <c r="K518" s="120">
        <f t="shared" si="242"/>
        <v>0</v>
      </c>
      <c r="L518" s="120">
        <f t="shared" si="243"/>
        <v>0</v>
      </c>
      <c r="M518" s="246">
        <f t="shared" si="244"/>
        <v>0</v>
      </c>
      <c r="N518" s="121">
        <f t="shared" si="245"/>
        <v>1</v>
      </c>
      <c r="O518" s="246">
        <f t="shared" si="246"/>
        <v>0.90550875273522979</v>
      </c>
      <c r="P518" s="121">
        <f t="shared" si="247"/>
        <v>0.25</v>
      </c>
      <c r="Q518" s="121">
        <f t="shared" si="248"/>
        <v>0</v>
      </c>
      <c r="R518" s="121">
        <f t="shared" si="249"/>
        <v>0</v>
      </c>
      <c r="S518" s="121" t="str">
        <f t="shared" si="250"/>
        <v/>
      </c>
      <c r="T518" s="121" t="str">
        <f t="shared" si="251"/>
        <v/>
      </c>
      <c r="U518" s="121">
        <f t="shared" si="252"/>
        <v>1</v>
      </c>
    </row>
    <row r="519" spans="1:21" x14ac:dyDescent="0.3">
      <c r="A519" s="187">
        <v>9</v>
      </c>
      <c r="B519" s="242">
        <f t="shared" si="253"/>
        <v>45901</v>
      </c>
      <c r="C519" s="243">
        <f t="shared" si="234"/>
        <v>45930</v>
      </c>
      <c r="D519" s="120">
        <f t="shared" si="235"/>
        <v>30</v>
      </c>
      <c r="E519" s="120">
        <f t="shared" si="236"/>
        <v>9</v>
      </c>
      <c r="F519" s="275">
        <f t="shared" si="237"/>
        <v>45916</v>
      </c>
      <c r="G519" s="120">
        <f t="shared" si="238"/>
        <v>24308</v>
      </c>
      <c r="H519" s="245">
        <f t="shared" si="239"/>
        <v>1</v>
      </c>
      <c r="I519" s="121">
        <f t="shared" si="240"/>
        <v>1</v>
      </c>
      <c r="J519" s="121">
        <f t="shared" si="241"/>
        <v>1</v>
      </c>
      <c r="K519" s="120">
        <f t="shared" si="242"/>
        <v>0</v>
      </c>
      <c r="L519" s="120">
        <f t="shared" si="243"/>
        <v>0</v>
      </c>
      <c r="M519" s="246">
        <f t="shared" si="244"/>
        <v>0</v>
      </c>
      <c r="N519" s="121">
        <f t="shared" si="245"/>
        <v>1</v>
      </c>
      <c r="O519" s="246">
        <f t="shared" si="246"/>
        <v>0.90584245076586434</v>
      </c>
      <c r="P519" s="121">
        <f t="shared" si="247"/>
        <v>0.41666666666666663</v>
      </c>
      <c r="Q519" s="121">
        <f t="shared" si="248"/>
        <v>0</v>
      </c>
      <c r="R519" s="121">
        <f t="shared" si="249"/>
        <v>0</v>
      </c>
      <c r="S519" s="121" t="str">
        <f t="shared" si="250"/>
        <v/>
      </c>
      <c r="T519" s="121" t="str">
        <f t="shared" si="251"/>
        <v/>
      </c>
      <c r="U519" s="121">
        <f t="shared" si="252"/>
        <v>1</v>
      </c>
    </row>
    <row r="520" spans="1:21" x14ac:dyDescent="0.3">
      <c r="A520" s="187">
        <v>10</v>
      </c>
      <c r="B520" s="242">
        <f t="shared" si="253"/>
        <v>45931</v>
      </c>
      <c r="C520" s="243">
        <f t="shared" si="234"/>
        <v>45961</v>
      </c>
      <c r="D520" s="120">
        <f t="shared" si="235"/>
        <v>31</v>
      </c>
      <c r="E520" s="120">
        <f t="shared" si="236"/>
        <v>10</v>
      </c>
      <c r="F520" s="275">
        <f t="shared" si="237"/>
        <v>45946.5</v>
      </c>
      <c r="G520" s="120">
        <f t="shared" si="238"/>
        <v>24309</v>
      </c>
      <c r="H520" s="245">
        <f t="shared" si="239"/>
        <v>1</v>
      </c>
      <c r="I520" s="121">
        <f t="shared" si="240"/>
        <v>1</v>
      </c>
      <c r="J520" s="121">
        <f t="shared" si="241"/>
        <v>1</v>
      </c>
      <c r="K520" s="120">
        <f t="shared" si="242"/>
        <v>0</v>
      </c>
      <c r="L520" s="120">
        <f t="shared" si="243"/>
        <v>0</v>
      </c>
      <c r="M520" s="246">
        <f t="shared" si="244"/>
        <v>0</v>
      </c>
      <c r="N520" s="121">
        <f t="shared" si="245"/>
        <v>1</v>
      </c>
      <c r="O520" s="246">
        <f t="shared" si="246"/>
        <v>0.90617614879649899</v>
      </c>
      <c r="P520" s="121">
        <f t="shared" si="247"/>
        <v>0.58333333333333326</v>
      </c>
      <c r="Q520" s="121">
        <f t="shared" si="248"/>
        <v>0</v>
      </c>
      <c r="R520" s="121">
        <f t="shared" si="249"/>
        <v>0</v>
      </c>
      <c r="S520" s="121" t="str">
        <f t="shared" si="250"/>
        <v/>
      </c>
      <c r="T520" s="121" t="str">
        <f t="shared" si="251"/>
        <v/>
      </c>
      <c r="U520" s="121">
        <f t="shared" si="252"/>
        <v>1</v>
      </c>
    </row>
    <row r="521" spans="1:21" x14ac:dyDescent="0.3">
      <c r="A521" s="187">
        <v>11</v>
      </c>
      <c r="B521" s="242">
        <f t="shared" si="253"/>
        <v>45962</v>
      </c>
      <c r="C521" s="243">
        <f t="shared" si="234"/>
        <v>45991</v>
      </c>
      <c r="D521" s="120">
        <f t="shared" si="235"/>
        <v>30</v>
      </c>
      <c r="E521" s="120">
        <f t="shared" si="236"/>
        <v>11</v>
      </c>
      <c r="F521" s="275">
        <f t="shared" si="237"/>
        <v>45977</v>
      </c>
      <c r="G521" s="120">
        <f t="shared" si="238"/>
        <v>24310</v>
      </c>
      <c r="H521" s="245">
        <f t="shared" si="239"/>
        <v>1</v>
      </c>
      <c r="I521" s="121">
        <f t="shared" si="240"/>
        <v>1</v>
      </c>
      <c r="J521" s="121">
        <f t="shared" si="241"/>
        <v>1</v>
      </c>
      <c r="K521" s="120">
        <f t="shared" si="242"/>
        <v>0</v>
      </c>
      <c r="L521" s="120">
        <f t="shared" si="243"/>
        <v>0</v>
      </c>
      <c r="M521" s="246">
        <f t="shared" si="244"/>
        <v>0</v>
      </c>
      <c r="N521" s="121">
        <f t="shared" si="245"/>
        <v>1</v>
      </c>
      <c r="O521" s="246">
        <f t="shared" si="246"/>
        <v>0.90650984682713354</v>
      </c>
      <c r="P521" s="121">
        <f t="shared" si="247"/>
        <v>0.75</v>
      </c>
      <c r="Q521" s="121">
        <f t="shared" si="248"/>
        <v>0</v>
      </c>
      <c r="R521" s="121">
        <f t="shared" si="249"/>
        <v>0</v>
      </c>
      <c r="S521" s="121" t="str">
        <f t="shared" si="250"/>
        <v/>
      </c>
      <c r="T521" s="121" t="str">
        <f t="shared" si="251"/>
        <v/>
      </c>
      <c r="U521" s="121">
        <f t="shared" si="252"/>
        <v>1</v>
      </c>
    </row>
    <row r="522" spans="1:21" x14ac:dyDescent="0.3">
      <c r="A522" s="187">
        <v>12</v>
      </c>
      <c r="B522" s="242">
        <f t="shared" si="253"/>
        <v>45992</v>
      </c>
      <c r="C522" s="243">
        <f t="shared" si="234"/>
        <v>46022</v>
      </c>
      <c r="D522" s="120">
        <f t="shared" si="235"/>
        <v>31</v>
      </c>
      <c r="E522" s="120">
        <f t="shared" si="236"/>
        <v>12</v>
      </c>
      <c r="F522" s="275">
        <f t="shared" si="237"/>
        <v>46007.5</v>
      </c>
      <c r="G522" s="120">
        <f t="shared" si="238"/>
        <v>24311</v>
      </c>
      <c r="H522" s="245">
        <f t="shared" si="239"/>
        <v>1</v>
      </c>
      <c r="I522" s="121">
        <f t="shared" si="240"/>
        <v>1</v>
      </c>
      <c r="J522" s="121">
        <f t="shared" si="241"/>
        <v>1</v>
      </c>
      <c r="K522" s="120">
        <f t="shared" si="242"/>
        <v>0</v>
      </c>
      <c r="L522" s="120">
        <f t="shared" si="243"/>
        <v>0</v>
      </c>
      <c r="M522" s="246">
        <f t="shared" si="244"/>
        <v>0</v>
      </c>
      <c r="N522" s="121">
        <f t="shared" si="245"/>
        <v>1</v>
      </c>
      <c r="O522" s="246">
        <f t="shared" si="246"/>
        <v>0.90684354485776808</v>
      </c>
      <c r="P522" s="121">
        <f t="shared" si="247"/>
        <v>0.91666666666666663</v>
      </c>
      <c r="Q522" s="121">
        <f t="shared" si="248"/>
        <v>0</v>
      </c>
      <c r="R522" s="121">
        <f t="shared" si="249"/>
        <v>0</v>
      </c>
      <c r="S522" s="121" t="str">
        <f t="shared" si="250"/>
        <v/>
      </c>
      <c r="T522" s="121" t="str">
        <f t="shared" si="251"/>
        <v/>
      </c>
      <c r="U522" s="121">
        <f t="shared" si="252"/>
        <v>1</v>
      </c>
    </row>
    <row r="523" spans="1:21" x14ac:dyDescent="0.3">
      <c r="A523" s="187">
        <v>13</v>
      </c>
      <c r="B523" s="242">
        <f t="shared" si="253"/>
        <v>46023</v>
      </c>
      <c r="C523" s="243">
        <f t="shared" si="234"/>
        <v>46053</v>
      </c>
      <c r="D523" s="120">
        <f t="shared" si="235"/>
        <v>31</v>
      </c>
      <c r="E523" s="120">
        <f t="shared" si="236"/>
        <v>1</v>
      </c>
      <c r="F523" s="275">
        <f t="shared" si="237"/>
        <v>46038.5</v>
      </c>
      <c r="G523" s="120">
        <f t="shared" si="238"/>
        <v>24312</v>
      </c>
      <c r="H523" s="245">
        <f t="shared" si="239"/>
        <v>1</v>
      </c>
      <c r="I523" s="121">
        <f t="shared" si="240"/>
        <v>1</v>
      </c>
      <c r="J523" s="121">
        <f t="shared" si="241"/>
        <v>1</v>
      </c>
      <c r="K523" s="120">
        <f t="shared" si="242"/>
        <v>0</v>
      </c>
      <c r="L523" s="120">
        <f t="shared" si="243"/>
        <v>0</v>
      </c>
      <c r="M523" s="246">
        <f t="shared" si="244"/>
        <v>0</v>
      </c>
      <c r="N523" s="121">
        <f t="shared" si="245"/>
        <v>1</v>
      </c>
      <c r="O523" s="246">
        <f t="shared" si="246"/>
        <v>0.90718271334792122</v>
      </c>
      <c r="P523" s="121">
        <f t="shared" si="247"/>
        <v>1</v>
      </c>
      <c r="Q523" s="121">
        <f t="shared" si="248"/>
        <v>0</v>
      </c>
      <c r="R523" s="121">
        <f t="shared" si="249"/>
        <v>0</v>
      </c>
      <c r="S523" s="121" t="str">
        <f t="shared" si="250"/>
        <v/>
      </c>
      <c r="T523" s="121" t="str">
        <f t="shared" si="251"/>
        <v/>
      </c>
      <c r="U523" s="121">
        <f t="shared" si="252"/>
        <v>1</v>
      </c>
    </row>
    <row r="524" spans="1:21" x14ac:dyDescent="0.3">
      <c r="A524" s="187">
        <v>14</v>
      </c>
      <c r="B524" s="242">
        <f t="shared" si="253"/>
        <v>46054</v>
      </c>
      <c r="C524" s="243">
        <f t="shared" si="234"/>
        <v>46081</v>
      </c>
      <c r="D524" s="120">
        <f t="shared" si="235"/>
        <v>28</v>
      </c>
      <c r="E524" s="120">
        <f t="shared" si="236"/>
        <v>2</v>
      </c>
      <c r="F524" s="275">
        <f t="shared" si="237"/>
        <v>46068</v>
      </c>
      <c r="G524" s="120">
        <f t="shared" si="238"/>
        <v>24313</v>
      </c>
      <c r="H524" s="245">
        <f t="shared" si="239"/>
        <v>1</v>
      </c>
      <c r="I524" s="121">
        <f t="shared" si="240"/>
        <v>1</v>
      </c>
      <c r="J524" s="121">
        <f t="shared" si="241"/>
        <v>1</v>
      </c>
      <c r="K524" s="120">
        <f t="shared" si="242"/>
        <v>0</v>
      </c>
      <c r="L524" s="120">
        <f t="shared" si="243"/>
        <v>0</v>
      </c>
      <c r="M524" s="246">
        <f t="shared" si="244"/>
        <v>0</v>
      </c>
      <c r="N524" s="121">
        <f t="shared" si="245"/>
        <v>1</v>
      </c>
      <c r="O524" s="246">
        <f t="shared" si="246"/>
        <v>0.90750547045951868</v>
      </c>
      <c r="P524" s="121">
        <f t="shared" si="247"/>
        <v>1</v>
      </c>
      <c r="Q524" s="121">
        <f t="shared" si="248"/>
        <v>0</v>
      </c>
      <c r="R524" s="121">
        <f t="shared" si="249"/>
        <v>0</v>
      </c>
      <c r="S524" s="121" t="str">
        <f t="shared" si="250"/>
        <v/>
      </c>
      <c r="T524" s="121" t="str">
        <f t="shared" si="251"/>
        <v/>
      </c>
      <c r="U524" s="121">
        <f t="shared" si="252"/>
        <v>1</v>
      </c>
    </row>
    <row r="525" spans="1:21" x14ac:dyDescent="0.3">
      <c r="A525" s="187">
        <v>15</v>
      </c>
      <c r="B525" s="242">
        <f t="shared" si="253"/>
        <v>46082</v>
      </c>
      <c r="C525" s="243">
        <f t="shared" si="234"/>
        <v>46112</v>
      </c>
      <c r="D525" s="120">
        <f t="shared" si="235"/>
        <v>31</v>
      </c>
      <c r="E525" s="120">
        <f t="shared" si="236"/>
        <v>3</v>
      </c>
      <c r="F525" s="275">
        <f t="shared" si="237"/>
        <v>46097.5</v>
      </c>
      <c r="G525" s="120">
        <f t="shared" si="238"/>
        <v>24314</v>
      </c>
      <c r="H525" s="245">
        <f t="shared" si="239"/>
        <v>1</v>
      </c>
      <c r="I525" s="121">
        <f t="shared" si="240"/>
        <v>1</v>
      </c>
      <c r="J525" s="121">
        <f t="shared" si="241"/>
        <v>1</v>
      </c>
      <c r="K525" s="120">
        <f t="shared" si="242"/>
        <v>0</v>
      </c>
      <c r="L525" s="120">
        <f t="shared" si="243"/>
        <v>0</v>
      </c>
      <c r="M525" s="246">
        <f t="shared" si="244"/>
        <v>0</v>
      </c>
      <c r="N525" s="121">
        <f t="shared" si="245"/>
        <v>1</v>
      </c>
      <c r="O525" s="246">
        <f t="shared" si="246"/>
        <v>0.90782822757111603</v>
      </c>
      <c r="P525" s="121">
        <f t="shared" si="247"/>
        <v>1</v>
      </c>
      <c r="Q525" s="121">
        <f t="shared" si="248"/>
        <v>0</v>
      </c>
      <c r="R525" s="121">
        <f t="shared" si="249"/>
        <v>0</v>
      </c>
      <c r="S525" s="121" t="str">
        <f t="shared" si="250"/>
        <v/>
      </c>
      <c r="T525" s="121" t="str">
        <f t="shared" si="251"/>
        <v/>
      </c>
      <c r="U525" s="121">
        <f t="shared" si="252"/>
        <v>1</v>
      </c>
    </row>
    <row r="526" spans="1:21" x14ac:dyDescent="0.3">
      <c r="A526" s="187">
        <v>16</v>
      </c>
      <c r="B526" s="242">
        <f t="shared" si="253"/>
        <v>46113</v>
      </c>
      <c r="C526" s="243">
        <f t="shared" si="234"/>
        <v>46142</v>
      </c>
      <c r="D526" s="120">
        <f t="shared" si="235"/>
        <v>30</v>
      </c>
      <c r="E526" s="120">
        <f t="shared" si="236"/>
        <v>4</v>
      </c>
      <c r="F526" s="275">
        <f t="shared" si="237"/>
        <v>46128</v>
      </c>
      <c r="G526" s="120">
        <f t="shared" si="238"/>
        <v>24315</v>
      </c>
      <c r="H526" s="245">
        <f t="shared" si="239"/>
        <v>1</v>
      </c>
      <c r="I526" s="121">
        <f t="shared" si="240"/>
        <v>1</v>
      </c>
      <c r="J526" s="121">
        <f t="shared" si="241"/>
        <v>1</v>
      </c>
      <c r="K526" s="120">
        <f t="shared" si="242"/>
        <v>0</v>
      </c>
      <c r="L526" s="120">
        <f t="shared" si="243"/>
        <v>0</v>
      </c>
      <c r="M526" s="246">
        <f t="shared" si="244"/>
        <v>0</v>
      </c>
      <c r="N526" s="121">
        <f t="shared" si="245"/>
        <v>1</v>
      </c>
      <c r="O526" s="246">
        <f t="shared" si="246"/>
        <v>0.90816192560175057</v>
      </c>
      <c r="P526" s="121">
        <f t="shared" si="247"/>
        <v>1</v>
      </c>
      <c r="Q526" s="121">
        <f t="shared" si="248"/>
        <v>0</v>
      </c>
      <c r="R526" s="121">
        <f t="shared" si="249"/>
        <v>0</v>
      </c>
      <c r="S526" s="121" t="str">
        <f t="shared" si="250"/>
        <v/>
      </c>
      <c r="T526" s="121" t="str">
        <f t="shared" si="251"/>
        <v/>
      </c>
      <c r="U526" s="121">
        <f t="shared" si="252"/>
        <v>1</v>
      </c>
    </row>
    <row r="527" spans="1:21" x14ac:dyDescent="0.3">
      <c r="A527" s="187">
        <v>17</v>
      </c>
      <c r="B527" s="242">
        <f t="shared" si="253"/>
        <v>46143</v>
      </c>
      <c r="C527" s="243">
        <f t="shared" si="234"/>
        <v>46173</v>
      </c>
      <c r="D527" s="120">
        <f t="shared" si="235"/>
        <v>31</v>
      </c>
      <c r="E527" s="120">
        <f t="shared" si="236"/>
        <v>5</v>
      </c>
      <c r="F527" s="275">
        <f t="shared" si="237"/>
        <v>46158.5</v>
      </c>
      <c r="G527" s="120">
        <f t="shared" si="238"/>
        <v>24316</v>
      </c>
      <c r="H527" s="245">
        <f t="shared" si="239"/>
        <v>1</v>
      </c>
      <c r="I527" s="121">
        <f t="shared" si="240"/>
        <v>1</v>
      </c>
      <c r="J527" s="121">
        <f t="shared" si="241"/>
        <v>1</v>
      </c>
      <c r="K527" s="120">
        <f t="shared" si="242"/>
        <v>0</v>
      </c>
      <c r="L527" s="120">
        <f t="shared" si="243"/>
        <v>0</v>
      </c>
      <c r="M527" s="246">
        <f t="shared" si="244"/>
        <v>0</v>
      </c>
      <c r="N527" s="121">
        <f t="shared" si="245"/>
        <v>1</v>
      </c>
      <c r="O527" s="246">
        <f t="shared" si="246"/>
        <v>0.90849562363238512</v>
      </c>
      <c r="P527" s="121">
        <f t="shared" si="247"/>
        <v>1</v>
      </c>
      <c r="Q527" s="121">
        <f t="shared" si="248"/>
        <v>0</v>
      </c>
      <c r="R527" s="121">
        <f t="shared" si="249"/>
        <v>0</v>
      </c>
      <c r="S527" s="121" t="str">
        <f t="shared" si="250"/>
        <v/>
      </c>
      <c r="T527" s="121" t="str">
        <f t="shared" si="251"/>
        <v/>
      </c>
      <c r="U527" s="121">
        <f t="shared" si="252"/>
        <v>1</v>
      </c>
    </row>
    <row r="528" spans="1:21" x14ac:dyDescent="0.3">
      <c r="A528" s="187">
        <v>18</v>
      </c>
      <c r="B528" s="242">
        <f t="shared" si="253"/>
        <v>46174</v>
      </c>
      <c r="C528" s="243">
        <f t="shared" si="234"/>
        <v>46203</v>
      </c>
      <c r="D528" s="120">
        <f t="shared" si="235"/>
        <v>30</v>
      </c>
      <c r="E528" s="120">
        <f t="shared" si="236"/>
        <v>6</v>
      </c>
      <c r="F528" s="275">
        <f t="shared" si="237"/>
        <v>46189</v>
      </c>
      <c r="G528" s="120">
        <f t="shared" si="238"/>
        <v>24317</v>
      </c>
      <c r="H528" s="245">
        <f t="shared" si="239"/>
        <v>1</v>
      </c>
      <c r="I528" s="121">
        <f t="shared" si="240"/>
        <v>1</v>
      </c>
      <c r="J528" s="121">
        <f t="shared" si="241"/>
        <v>1</v>
      </c>
      <c r="K528" s="120">
        <f t="shared" si="242"/>
        <v>0</v>
      </c>
      <c r="L528" s="120">
        <f t="shared" si="243"/>
        <v>0</v>
      </c>
      <c r="M528" s="246">
        <f t="shared" si="244"/>
        <v>0</v>
      </c>
      <c r="N528" s="121">
        <f t="shared" si="245"/>
        <v>1</v>
      </c>
      <c r="O528" s="246">
        <f t="shared" si="246"/>
        <v>0.90882932166301977</v>
      </c>
      <c r="P528" s="121">
        <f t="shared" si="247"/>
        <v>1</v>
      </c>
      <c r="Q528" s="121">
        <f t="shared" si="248"/>
        <v>0</v>
      </c>
      <c r="R528" s="121">
        <f t="shared" si="249"/>
        <v>0</v>
      </c>
      <c r="S528" s="121" t="str">
        <f t="shared" si="250"/>
        <v/>
      </c>
      <c r="T528" s="121" t="str">
        <f t="shared" si="251"/>
        <v/>
      </c>
      <c r="U528" s="121">
        <f t="shared" si="252"/>
        <v>1</v>
      </c>
    </row>
    <row r="529" spans="1:21" x14ac:dyDescent="0.3">
      <c r="A529" s="187">
        <v>19</v>
      </c>
      <c r="B529" s="242">
        <f t="shared" si="253"/>
        <v>46204</v>
      </c>
      <c r="C529" s="243">
        <f t="shared" si="234"/>
        <v>46234</v>
      </c>
      <c r="D529" s="120">
        <f t="shared" si="235"/>
        <v>31</v>
      </c>
      <c r="E529" s="120">
        <f t="shared" si="236"/>
        <v>7</v>
      </c>
      <c r="F529" s="275">
        <f t="shared" si="237"/>
        <v>46219.5</v>
      </c>
      <c r="G529" s="120">
        <f t="shared" si="238"/>
        <v>24318</v>
      </c>
      <c r="H529" s="245">
        <f t="shared" si="239"/>
        <v>1</v>
      </c>
      <c r="I529" s="121">
        <f t="shared" si="240"/>
        <v>1</v>
      </c>
      <c r="J529" s="121">
        <f t="shared" si="241"/>
        <v>1</v>
      </c>
      <c r="K529" s="120">
        <f t="shared" si="242"/>
        <v>0</v>
      </c>
      <c r="L529" s="120">
        <f t="shared" si="243"/>
        <v>0</v>
      </c>
      <c r="M529" s="246">
        <f t="shared" si="244"/>
        <v>0</v>
      </c>
      <c r="N529" s="121">
        <f t="shared" si="245"/>
        <v>1</v>
      </c>
      <c r="O529" s="246">
        <f t="shared" si="246"/>
        <v>0.90916301969365432</v>
      </c>
      <c r="P529" s="121">
        <f t="shared" si="247"/>
        <v>0.91666666666666663</v>
      </c>
      <c r="Q529" s="121">
        <f t="shared" si="248"/>
        <v>8.333333333333337E-2</v>
      </c>
      <c r="R529" s="121">
        <f t="shared" si="249"/>
        <v>0</v>
      </c>
      <c r="S529" s="121" t="str">
        <f t="shared" si="250"/>
        <v/>
      </c>
      <c r="T529" s="121" t="str">
        <f t="shared" si="251"/>
        <v/>
      </c>
      <c r="U529" s="121">
        <f t="shared" si="252"/>
        <v>1</v>
      </c>
    </row>
    <row r="530" spans="1:21" x14ac:dyDescent="0.3">
      <c r="A530" s="187">
        <v>20</v>
      </c>
      <c r="B530" s="242">
        <f t="shared" si="253"/>
        <v>46235</v>
      </c>
      <c r="C530" s="243">
        <f t="shared" si="234"/>
        <v>46265</v>
      </c>
      <c r="D530" s="120">
        <f t="shared" si="235"/>
        <v>31</v>
      </c>
      <c r="E530" s="120">
        <f t="shared" si="236"/>
        <v>8</v>
      </c>
      <c r="F530" s="275">
        <f t="shared" si="237"/>
        <v>46250.5</v>
      </c>
      <c r="G530" s="120">
        <f t="shared" si="238"/>
        <v>24319</v>
      </c>
      <c r="H530" s="245">
        <f t="shared" si="239"/>
        <v>1</v>
      </c>
      <c r="I530" s="121">
        <f t="shared" si="240"/>
        <v>1</v>
      </c>
      <c r="J530" s="121">
        <f t="shared" si="241"/>
        <v>1</v>
      </c>
      <c r="K530" s="120">
        <f t="shared" si="242"/>
        <v>0</v>
      </c>
      <c r="L530" s="120">
        <f t="shared" si="243"/>
        <v>0</v>
      </c>
      <c r="M530" s="246">
        <f t="shared" si="244"/>
        <v>0</v>
      </c>
      <c r="N530" s="121">
        <f t="shared" si="245"/>
        <v>1</v>
      </c>
      <c r="O530" s="246">
        <f t="shared" si="246"/>
        <v>0.90950218818380746</v>
      </c>
      <c r="P530" s="121">
        <f t="shared" si="247"/>
        <v>0.75</v>
      </c>
      <c r="Q530" s="121">
        <f t="shared" si="248"/>
        <v>0.25</v>
      </c>
      <c r="R530" s="121">
        <f t="shared" si="249"/>
        <v>0</v>
      </c>
      <c r="S530" s="121" t="str">
        <f t="shared" si="250"/>
        <v/>
      </c>
      <c r="T530" s="121" t="str">
        <f t="shared" si="251"/>
        <v/>
      </c>
      <c r="U530" s="121">
        <f t="shared" si="252"/>
        <v>1</v>
      </c>
    </row>
    <row r="531" spans="1:21" x14ac:dyDescent="0.3">
      <c r="A531" s="187">
        <v>21</v>
      </c>
      <c r="B531" s="242">
        <f t="shared" si="253"/>
        <v>46266</v>
      </c>
      <c r="C531" s="243">
        <f t="shared" si="234"/>
        <v>46295</v>
      </c>
      <c r="D531" s="120">
        <f t="shared" si="235"/>
        <v>30</v>
      </c>
      <c r="E531" s="120">
        <f t="shared" si="236"/>
        <v>9</v>
      </c>
      <c r="F531" s="275">
        <f t="shared" si="237"/>
        <v>46281</v>
      </c>
      <c r="G531" s="120">
        <f t="shared" si="238"/>
        <v>24320</v>
      </c>
      <c r="H531" s="245">
        <f t="shared" si="239"/>
        <v>1</v>
      </c>
      <c r="I531" s="121">
        <f t="shared" si="240"/>
        <v>1</v>
      </c>
      <c r="J531" s="121">
        <f t="shared" si="241"/>
        <v>1</v>
      </c>
      <c r="K531" s="120">
        <f t="shared" si="242"/>
        <v>0</v>
      </c>
      <c r="L531" s="120">
        <f t="shared" si="243"/>
        <v>0</v>
      </c>
      <c r="M531" s="246">
        <f t="shared" si="244"/>
        <v>0</v>
      </c>
      <c r="N531" s="121">
        <f t="shared" si="245"/>
        <v>1</v>
      </c>
      <c r="O531" s="246">
        <f t="shared" si="246"/>
        <v>0.909835886214442</v>
      </c>
      <c r="P531" s="121">
        <f t="shared" si="247"/>
        <v>0.58333333333333337</v>
      </c>
      <c r="Q531" s="121">
        <f t="shared" si="248"/>
        <v>0.41666666666666663</v>
      </c>
      <c r="R531" s="121">
        <f t="shared" si="249"/>
        <v>0</v>
      </c>
      <c r="S531" s="121" t="str">
        <f t="shared" si="250"/>
        <v/>
      </c>
      <c r="T531" s="121" t="str">
        <f t="shared" si="251"/>
        <v/>
      </c>
      <c r="U531" s="121">
        <f t="shared" si="252"/>
        <v>1</v>
      </c>
    </row>
    <row r="532" spans="1:21" x14ac:dyDescent="0.3">
      <c r="A532" s="187">
        <v>22</v>
      </c>
      <c r="B532" s="242">
        <f t="shared" si="253"/>
        <v>46296</v>
      </c>
      <c r="C532" s="243">
        <f t="shared" si="234"/>
        <v>46326</v>
      </c>
      <c r="D532" s="120">
        <f t="shared" si="235"/>
        <v>31</v>
      </c>
      <c r="E532" s="120">
        <f t="shared" si="236"/>
        <v>10</v>
      </c>
      <c r="F532" s="275">
        <f t="shared" si="237"/>
        <v>46311.5</v>
      </c>
      <c r="G532" s="120">
        <f t="shared" si="238"/>
        <v>24321</v>
      </c>
      <c r="H532" s="245">
        <f t="shared" si="239"/>
        <v>1</v>
      </c>
      <c r="I532" s="121">
        <f t="shared" si="240"/>
        <v>1</v>
      </c>
      <c r="J532" s="121">
        <f t="shared" si="241"/>
        <v>1</v>
      </c>
      <c r="K532" s="120">
        <f t="shared" si="242"/>
        <v>0</v>
      </c>
      <c r="L532" s="120">
        <f t="shared" si="243"/>
        <v>0</v>
      </c>
      <c r="M532" s="246">
        <f t="shared" si="244"/>
        <v>0</v>
      </c>
      <c r="N532" s="121">
        <f t="shared" si="245"/>
        <v>1</v>
      </c>
      <c r="O532" s="246">
        <f t="shared" si="246"/>
        <v>0.91016958424507666</v>
      </c>
      <c r="P532" s="121">
        <f t="shared" si="247"/>
        <v>0.41666666666666669</v>
      </c>
      <c r="Q532" s="121">
        <f t="shared" si="248"/>
        <v>0.58333333333333326</v>
      </c>
      <c r="R532" s="121">
        <f t="shared" si="249"/>
        <v>0</v>
      </c>
      <c r="S532" s="121" t="str">
        <f t="shared" si="250"/>
        <v/>
      </c>
      <c r="T532" s="121" t="str">
        <f t="shared" si="251"/>
        <v/>
      </c>
      <c r="U532" s="121">
        <f t="shared" si="252"/>
        <v>1</v>
      </c>
    </row>
    <row r="533" spans="1:21" x14ac:dyDescent="0.3">
      <c r="A533" s="187">
        <v>23</v>
      </c>
      <c r="B533" s="242">
        <f t="shared" si="253"/>
        <v>46327</v>
      </c>
      <c r="C533" s="243">
        <f t="shared" si="234"/>
        <v>46356</v>
      </c>
      <c r="D533" s="120">
        <f t="shared" si="235"/>
        <v>30</v>
      </c>
      <c r="E533" s="120">
        <f t="shared" si="236"/>
        <v>11</v>
      </c>
      <c r="F533" s="275">
        <f t="shared" si="237"/>
        <v>46342</v>
      </c>
      <c r="G533" s="120">
        <f t="shared" si="238"/>
        <v>24322</v>
      </c>
      <c r="H533" s="245">
        <f t="shared" si="239"/>
        <v>1</v>
      </c>
      <c r="I533" s="121">
        <f t="shared" si="240"/>
        <v>1</v>
      </c>
      <c r="J533" s="121">
        <f t="shared" si="241"/>
        <v>1</v>
      </c>
      <c r="K533" s="120">
        <f t="shared" si="242"/>
        <v>0</v>
      </c>
      <c r="L533" s="120">
        <f t="shared" si="243"/>
        <v>0</v>
      </c>
      <c r="M533" s="246">
        <f t="shared" si="244"/>
        <v>0</v>
      </c>
      <c r="N533" s="121">
        <f t="shared" si="245"/>
        <v>1</v>
      </c>
      <c r="O533" s="246">
        <f t="shared" si="246"/>
        <v>0.9105032822757112</v>
      </c>
      <c r="P533" s="121">
        <f t="shared" si="247"/>
        <v>0.25</v>
      </c>
      <c r="Q533" s="121">
        <f t="shared" si="248"/>
        <v>0.75</v>
      </c>
      <c r="R533" s="121">
        <f t="shared" si="249"/>
        <v>0</v>
      </c>
      <c r="S533" s="121" t="str">
        <f t="shared" si="250"/>
        <v/>
      </c>
      <c r="T533" s="121" t="str">
        <f t="shared" si="251"/>
        <v/>
      </c>
      <c r="U533" s="121">
        <f t="shared" si="252"/>
        <v>1</v>
      </c>
    </row>
    <row r="534" spans="1:21" x14ac:dyDescent="0.3">
      <c r="A534" s="187">
        <v>24</v>
      </c>
      <c r="B534" s="242">
        <f t="shared" si="253"/>
        <v>46357</v>
      </c>
      <c r="C534" s="243">
        <f t="shared" si="234"/>
        <v>46387</v>
      </c>
      <c r="D534" s="120">
        <f t="shared" si="235"/>
        <v>31</v>
      </c>
      <c r="E534" s="120">
        <f t="shared" si="236"/>
        <v>12</v>
      </c>
      <c r="F534" s="275">
        <f t="shared" si="237"/>
        <v>46372.5</v>
      </c>
      <c r="G534" s="120">
        <f t="shared" si="238"/>
        <v>24323</v>
      </c>
      <c r="H534" s="245">
        <f t="shared" si="239"/>
        <v>1</v>
      </c>
      <c r="I534" s="121">
        <f t="shared" si="240"/>
        <v>1</v>
      </c>
      <c r="J534" s="121">
        <f t="shared" si="241"/>
        <v>1</v>
      </c>
      <c r="K534" s="120">
        <f t="shared" si="242"/>
        <v>0</v>
      </c>
      <c r="L534" s="120">
        <f t="shared" si="243"/>
        <v>0</v>
      </c>
      <c r="M534" s="246">
        <f t="shared" si="244"/>
        <v>0</v>
      </c>
      <c r="N534" s="121">
        <f t="shared" si="245"/>
        <v>1</v>
      </c>
      <c r="O534" s="246">
        <f t="shared" si="246"/>
        <v>0.91083698030634574</v>
      </c>
      <c r="P534" s="121">
        <f t="shared" si="247"/>
        <v>8.3333333333333329E-2</v>
      </c>
      <c r="Q534" s="121">
        <f t="shared" si="248"/>
        <v>0.91666666666666663</v>
      </c>
      <c r="R534" s="121">
        <f t="shared" si="249"/>
        <v>0</v>
      </c>
      <c r="S534" s="121" t="str">
        <f t="shared" si="250"/>
        <v/>
      </c>
      <c r="T534" s="121" t="str">
        <f t="shared" si="251"/>
        <v/>
      </c>
      <c r="U534" s="121">
        <f t="shared" si="252"/>
        <v>1</v>
      </c>
    </row>
    <row r="535" spans="1:21" x14ac:dyDescent="0.3">
      <c r="A535" s="187">
        <v>25</v>
      </c>
      <c r="B535" s="242">
        <f t="shared" si="253"/>
        <v>46388</v>
      </c>
      <c r="C535" s="243">
        <f t="shared" si="234"/>
        <v>46418</v>
      </c>
      <c r="D535" s="120">
        <f t="shared" si="235"/>
        <v>31</v>
      </c>
      <c r="E535" s="120">
        <f t="shared" si="236"/>
        <v>1</v>
      </c>
      <c r="F535" s="275">
        <f t="shared" si="237"/>
        <v>46403.5</v>
      </c>
      <c r="G535" s="120">
        <f t="shared" si="238"/>
        <v>24324</v>
      </c>
      <c r="H535" s="245">
        <f t="shared" si="239"/>
        <v>1</v>
      </c>
      <c r="I535" s="121">
        <f t="shared" si="240"/>
        <v>1</v>
      </c>
      <c r="J535" s="121">
        <f t="shared" si="241"/>
        <v>1</v>
      </c>
      <c r="K535" s="120">
        <f t="shared" si="242"/>
        <v>0</v>
      </c>
      <c r="L535" s="120">
        <f t="shared" si="243"/>
        <v>0</v>
      </c>
      <c r="M535" s="246">
        <f t="shared" si="244"/>
        <v>0</v>
      </c>
      <c r="N535" s="121">
        <f t="shared" si="245"/>
        <v>1</v>
      </c>
      <c r="O535" s="246">
        <f t="shared" si="246"/>
        <v>0.91117614879649889</v>
      </c>
      <c r="P535" s="121">
        <f t="shared" si="247"/>
        <v>0</v>
      </c>
      <c r="Q535" s="121">
        <f t="shared" si="248"/>
        <v>1</v>
      </c>
      <c r="R535" s="121">
        <f t="shared" si="249"/>
        <v>0</v>
      </c>
      <c r="S535" s="121" t="str">
        <f t="shared" si="250"/>
        <v/>
      </c>
      <c r="T535" s="121" t="str">
        <f t="shared" si="251"/>
        <v/>
      </c>
      <c r="U535" s="121">
        <f t="shared" si="252"/>
        <v>1</v>
      </c>
    </row>
    <row r="536" spans="1:21" x14ac:dyDescent="0.3">
      <c r="A536" s="187">
        <v>26</v>
      </c>
      <c r="B536" s="242">
        <f t="shared" si="253"/>
        <v>46419</v>
      </c>
      <c r="C536" s="243">
        <f t="shared" si="234"/>
        <v>46446</v>
      </c>
      <c r="D536" s="120">
        <f t="shared" si="235"/>
        <v>28</v>
      </c>
      <c r="E536" s="120">
        <f t="shared" si="236"/>
        <v>2</v>
      </c>
      <c r="F536" s="275">
        <f t="shared" si="237"/>
        <v>46433</v>
      </c>
      <c r="G536" s="120">
        <f t="shared" si="238"/>
        <v>24325</v>
      </c>
      <c r="H536" s="245">
        <f t="shared" si="239"/>
        <v>1</v>
      </c>
      <c r="I536" s="121">
        <f t="shared" si="240"/>
        <v>1</v>
      </c>
      <c r="J536" s="121">
        <f t="shared" si="241"/>
        <v>1</v>
      </c>
      <c r="K536" s="120">
        <f t="shared" si="242"/>
        <v>0</v>
      </c>
      <c r="L536" s="120">
        <f t="shared" si="243"/>
        <v>0</v>
      </c>
      <c r="M536" s="246">
        <f t="shared" si="244"/>
        <v>0</v>
      </c>
      <c r="N536" s="121">
        <f t="shared" si="245"/>
        <v>1</v>
      </c>
      <c r="O536" s="246">
        <f t="shared" si="246"/>
        <v>0.91149890590809635</v>
      </c>
      <c r="P536" s="121">
        <f t="shared" si="247"/>
        <v>0</v>
      </c>
      <c r="Q536" s="121">
        <f t="shared" si="248"/>
        <v>1</v>
      </c>
      <c r="R536" s="121">
        <f t="shared" si="249"/>
        <v>0</v>
      </c>
      <c r="S536" s="121" t="str">
        <f t="shared" si="250"/>
        <v/>
      </c>
      <c r="T536" s="121" t="str">
        <f t="shared" si="251"/>
        <v/>
      </c>
      <c r="U536" s="121">
        <f t="shared" si="252"/>
        <v>1</v>
      </c>
    </row>
    <row r="537" spans="1:21" x14ac:dyDescent="0.3">
      <c r="A537" s="187">
        <v>27</v>
      </c>
      <c r="B537" s="242">
        <f t="shared" si="253"/>
        <v>46447</v>
      </c>
      <c r="C537" s="243">
        <f t="shared" si="234"/>
        <v>46477</v>
      </c>
      <c r="D537" s="120">
        <f t="shared" si="235"/>
        <v>31</v>
      </c>
      <c r="E537" s="120">
        <f t="shared" si="236"/>
        <v>3</v>
      </c>
      <c r="F537" s="275">
        <f t="shared" si="237"/>
        <v>46462.5</v>
      </c>
      <c r="G537" s="120">
        <f t="shared" si="238"/>
        <v>24326</v>
      </c>
      <c r="H537" s="245">
        <f t="shared" si="239"/>
        <v>1</v>
      </c>
      <c r="I537" s="121">
        <f t="shared" si="240"/>
        <v>1</v>
      </c>
      <c r="J537" s="121">
        <f t="shared" si="241"/>
        <v>1</v>
      </c>
      <c r="K537" s="120">
        <f t="shared" si="242"/>
        <v>0</v>
      </c>
      <c r="L537" s="120">
        <f t="shared" si="243"/>
        <v>0</v>
      </c>
      <c r="M537" s="246">
        <f t="shared" si="244"/>
        <v>0</v>
      </c>
      <c r="N537" s="121">
        <f t="shared" si="245"/>
        <v>1</v>
      </c>
      <c r="O537" s="246">
        <f t="shared" si="246"/>
        <v>0.9118216630196937</v>
      </c>
      <c r="P537" s="121">
        <f t="shared" si="247"/>
        <v>0</v>
      </c>
      <c r="Q537" s="121">
        <f t="shared" si="248"/>
        <v>1</v>
      </c>
      <c r="R537" s="121">
        <f t="shared" si="249"/>
        <v>0</v>
      </c>
      <c r="S537" s="121" t="str">
        <f t="shared" si="250"/>
        <v/>
      </c>
      <c r="T537" s="121" t="str">
        <f t="shared" si="251"/>
        <v/>
      </c>
      <c r="U537" s="121">
        <f t="shared" si="252"/>
        <v>1</v>
      </c>
    </row>
    <row r="538" spans="1:21" x14ac:dyDescent="0.3">
      <c r="A538" s="187">
        <v>28</v>
      </c>
      <c r="B538" s="242">
        <f t="shared" si="253"/>
        <v>46478</v>
      </c>
      <c r="C538" s="243">
        <f t="shared" si="234"/>
        <v>46507</v>
      </c>
      <c r="D538" s="120">
        <f t="shared" si="235"/>
        <v>30</v>
      </c>
      <c r="E538" s="120">
        <f t="shared" si="236"/>
        <v>4</v>
      </c>
      <c r="F538" s="275">
        <f t="shared" si="237"/>
        <v>46493</v>
      </c>
      <c r="G538" s="120">
        <f t="shared" si="238"/>
        <v>24327</v>
      </c>
      <c r="H538" s="245">
        <f t="shared" si="239"/>
        <v>1</v>
      </c>
      <c r="I538" s="121">
        <f t="shared" si="240"/>
        <v>1</v>
      </c>
      <c r="J538" s="121">
        <f t="shared" si="241"/>
        <v>1</v>
      </c>
      <c r="K538" s="120">
        <f t="shared" si="242"/>
        <v>0</v>
      </c>
      <c r="L538" s="120">
        <f t="shared" si="243"/>
        <v>0</v>
      </c>
      <c r="M538" s="246">
        <f t="shared" si="244"/>
        <v>0</v>
      </c>
      <c r="N538" s="121">
        <f t="shared" si="245"/>
        <v>1</v>
      </c>
      <c r="O538" s="246">
        <f t="shared" si="246"/>
        <v>0.91215536105032824</v>
      </c>
      <c r="P538" s="121">
        <f t="shared" si="247"/>
        <v>0</v>
      </c>
      <c r="Q538" s="121">
        <f t="shared" si="248"/>
        <v>1</v>
      </c>
      <c r="R538" s="121">
        <f t="shared" si="249"/>
        <v>0</v>
      </c>
      <c r="S538" s="121" t="str">
        <f t="shared" si="250"/>
        <v/>
      </c>
      <c r="T538" s="121" t="str">
        <f t="shared" si="251"/>
        <v/>
      </c>
      <c r="U538" s="121">
        <f t="shared" si="252"/>
        <v>1</v>
      </c>
    </row>
    <row r="539" spans="1:21" x14ac:dyDescent="0.3">
      <c r="A539" s="187">
        <v>29</v>
      </c>
      <c r="B539" s="242">
        <f t="shared" si="253"/>
        <v>46508</v>
      </c>
      <c r="C539" s="243">
        <f t="shared" si="234"/>
        <v>46538</v>
      </c>
      <c r="D539" s="120">
        <f t="shared" si="235"/>
        <v>31</v>
      </c>
      <c r="E539" s="120">
        <f t="shared" si="236"/>
        <v>5</v>
      </c>
      <c r="F539" s="275">
        <f t="shared" si="237"/>
        <v>46523.5</v>
      </c>
      <c r="G539" s="120">
        <f t="shared" si="238"/>
        <v>24328</v>
      </c>
      <c r="H539" s="245">
        <f t="shared" si="239"/>
        <v>1</v>
      </c>
      <c r="I539" s="121">
        <f t="shared" si="240"/>
        <v>1</v>
      </c>
      <c r="J539" s="121">
        <f t="shared" si="241"/>
        <v>1</v>
      </c>
      <c r="K539" s="120">
        <f t="shared" si="242"/>
        <v>0</v>
      </c>
      <c r="L539" s="120">
        <f t="shared" si="243"/>
        <v>0</v>
      </c>
      <c r="M539" s="246">
        <f t="shared" si="244"/>
        <v>0</v>
      </c>
      <c r="N539" s="121">
        <f t="shared" si="245"/>
        <v>1</v>
      </c>
      <c r="O539" s="246">
        <f t="shared" si="246"/>
        <v>0.91248905908096278</v>
      </c>
      <c r="P539" s="121">
        <f t="shared" si="247"/>
        <v>0</v>
      </c>
      <c r="Q539" s="121">
        <f t="shared" si="248"/>
        <v>1</v>
      </c>
      <c r="R539" s="121">
        <f t="shared" si="249"/>
        <v>0</v>
      </c>
      <c r="S539" s="121" t="str">
        <f t="shared" si="250"/>
        <v/>
      </c>
      <c r="T539" s="121" t="str">
        <f t="shared" si="251"/>
        <v/>
      </c>
      <c r="U539" s="121">
        <f t="shared" si="252"/>
        <v>1</v>
      </c>
    </row>
    <row r="540" spans="1:21" x14ac:dyDescent="0.3">
      <c r="A540" s="187">
        <v>30</v>
      </c>
      <c r="B540" s="242">
        <f t="shared" si="253"/>
        <v>46539</v>
      </c>
      <c r="C540" s="243">
        <f t="shared" si="234"/>
        <v>46568</v>
      </c>
      <c r="D540" s="120">
        <f t="shared" si="235"/>
        <v>30</v>
      </c>
      <c r="E540" s="120">
        <f t="shared" si="236"/>
        <v>6</v>
      </c>
      <c r="F540" s="275">
        <f t="shared" si="237"/>
        <v>46554</v>
      </c>
      <c r="G540" s="120">
        <f t="shared" si="238"/>
        <v>24329</v>
      </c>
      <c r="H540" s="245">
        <f t="shared" si="239"/>
        <v>1</v>
      </c>
      <c r="I540" s="121">
        <f t="shared" si="240"/>
        <v>1</v>
      </c>
      <c r="J540" s="121">
        <f t="shared" si="241"/>
        <v>1</v>
      </c>
      <c r="K540" s="120">
        <f t="shared" si="242"/>
        <v>0</v>
      </c>
      <c r="L540" s="120">
        <f t="shared" si="243"/>
        <v>0</v>
      </c>
      <c r="M540" s="246">
        <f t="shared" si="244"/>
        <v>0</v>
      </c>
      <c r="N540" s="121">
        <f t="shared" si="245"/>
        <v>1</v>
      </c>
      <c r="O540" s="246">
        <f t="shared" si="246"/>
        <v>0.91282275711159744</v>
      </c>
      <c r="P540" s="121">
        <f t="shared" si="247"/>
        <v>0</v>
      </c>
      <c r="Q540" s="121">
        <f t="shared" si="248"/>
        <v>1</v>
      </c>
      <c r="R540" s="121">
        <f t="shared" si="249"/>
        <v>0</v>
      </c>
      <c r="S540" s="121" t="str">
        <f t="shared" si="250"/>
        <v/>
      </c>
      <c r="T540" s="121" t="str">
        <f t="shared" si="251"/>
        <v/>
      </c>
      <c r="U540" s="121">
        <f t="shared" si="252"/>
        <v>1</v>
      </c>
    </row>
    <row r="541" spans="1:21" x14ac:dyDescent="0.3">
      <c r="A541" s="187">
        <v>31</v>
      </c>
      <c r="B541" s="242">
        <f t="shared" si="253"/>
        <v>46569</v>
      </c>
      <c r="C541" s="243">
        <f t="shared" si="234"/>
        <v>46599</v>
      </c>
      <c r="D541" s="120">
        <f t="shared" si="235"/>
        <v>31</v>
      </c>
      <c r="E541" s="120">
        <f t="shared" si="236"/>
        <v>7</v>
      </c>
      <c r="F541" s="275">
        <f t="shared" si="237"/>
        <v>46584.5</v>
      </c>
      <c r="G541" s="120">
        <f t="shared" si="238"/>
        <v>24330</v>
      </c>
      <c r="H541" s="245">
        <f t="shared" si="239"/>
        <v>1</v>
      </c>
      <c r="I541" s="121">
        <f t="shared" si="240"/>
        <v>1</v>
      </c>
      <c r="J541" s="121">
        <f t="shared" si="241"/>
        <v>1</v>
      </c>
      <c r="K541" s="120">
        <f t="shared" si="242"/>
        <v>0</v>
      </c>
      <c r="L541" s="120">
        <f t="shared" si="243"/>
        <v>0</v>
      </c>
      <c r="M541" s="246">
        <f t="shared" si="244"/>
        <v>0</v>
      </c>
      <c r="N541" s="121">
        <f t="shared" si="245"/>
        <v>1</v>
      </c>
      <c r="O541" s="246">
        <f t="shared" si="246"/>
        <v>0.91315645514223198</v>
      </c>
      <c r="P541" s="121">
        <f t="shared" si="247"/>
        <v>0</v>
      </c>
      <c r="Q541" s="121">
        <f t="shared" si="248"/>
        <v>0.91666666666666663</v>
      </c>
      <c r="R541" s="121">
        <f t="shared" si="249"/>
        <v>8.333333333333337E-2</v>
      </c>
      <c r="S541" s="121" t="str">
        <f t="shared" si="250"/>
        <v/>
      </c>
      <c r="T541" s="121" t="str">
        <f t="shared" si="251"/>
        <v/>
      </c>
      <c r="U541" s="121">
        <f t="shared" si="252"/>
        <v>1</v>
      </c>
    </row>
    <row r="542" spans="1:21" x14ac:dyDescent="0.3">
      <c r="A542" s="187">
        <v>32</v>
      </c>
      <c r="B542" s="242">
        <f t="shared" si="253"/>
        <v>46600</v>
      </c>
      <c r="C542" s="243">
        <f t="shared" si="234"/>
        <v>46630</v>
      </c>
      <c r="D542" s="120">
        <f t="shared" si="235"/>
        <v>31</v>
      </c>
      <c r="E542" s="120">
        <f t="shared" si="236"/>
        <v>8</v>
      </c>
      <c r="F542" s="275">
        <f t="shared" si="237"/>
        <v>46615.5</v>
      </c>
      <c r="G542" s="120">
        <f t="shared" si="238"/>
        <v>24331</v>
      </c>
      <c r="H542" s="245">
        <f t="shared" si="239"/>
        <v>1</v>
      </c>
      <c r="I542" s="121">
        <f t="shared" si="240"/>
        <v>1</v>
      </c>
      <c r="J542" s="121">
        <f t="shared" si="241"/>
        <v>1</v>
      </c>
      <c r="K542" s="120">
        <f t="shared" si="242"/>
        <v>0</v>
      </c>
      <c r="L542" s="120">
        <f t="shared" si="243"/>
        <v>0</v>
      </c>
      <c r="M542" s="246">
        <f t="shared" si="244"/>
        <v>0</v>
      </c>
      <c r="N542" s="121">
        <f t="shared" si="245"/>
        <v>1</v>
      </c>
      <c r="O542" s="246">
        <f t="shared" si="246"/>
        <v>0.91349562363238512</v>
      </c>
      <c r="P542" s="121">
        <f t="shared" si="247"/>
        <v>0</v>
      </c>
      <c r="Q542" s="121">
        <f t="shared" si="248"/>
        <v>0.75</v>
      </c>
      <c r="R542" s="121">
        <f t="shared" si="249"/>
        <v>0.25</v>
      </c>
      <c r="S542" s="121" t="str">
        <f t="shared" si="250"/>
        <v/>
      </c>
      <c r="T542" s="121" t="str">
        <f t="shared" si="251"/>
        <v/>
      </c>
      <c r="U542" s="121">
        <f t="shared" si="252"/>
        <v>1</v>
      </c>
    </row>
    <row r="543" spans="1:21" x14ac:dyDescent="0.3">
      <c r="A543" s="187">
        <v>33</v>
      </c>
      <c r="B543" s="242">
        <f t="shared" si="253"/>
        <v>46631</v>
      </c>
      <c r="C543" s="243">
        <f t="shared" si="234"/>
        <v>46660</v>
      </c>
      <c r="D543" s="120">
        <f t="shared" si="235"/>
        <v>30</v>
      </c>
      <c r="E543" s="120">
        <f t="shared" si="236"/>
        <v>9</v>
      </c>
      <c r="F543" s="275">
        <f t="shared" si="237"/>
        <v>46646</v>
      </c>
      <c r="G543" s="120">
        <f t="shared" si="238"/>
        <v>24332</v>
      </c>
      <c r="H543" s="245">
        <f t="shared" si="239"/>
        <v>1</v>
      </c>
      <c r="I543" s="121">
        <f t="shared" si="240"/>
        <v>1</v>
      </c>
      <c r="J543" s="121">
        <f t="shared" si="241"/>
        <v>1</v>
      </c>
      <c r="K543" s="120">
        <f t="shared" si="242"/>
        <v>0</v>
      </c>
      <c r="L543" s="120">
        <f t="shared" si="243"/>
        <v>0</v>
      </c>
      <c r="M543" s="246">
        <f t="shared" si="244"/>
        <v>0</v>
      </c>
      <c r="N543" s="121">
        <f t="shared" si="245"/>
        <v>1</v>
      </c>
      <c r="O543" s="246">
        <f t="shared" si="246"/>
        <v>0.91382932166301978</v>
      </c>
      <c r="P543" s="121">
        <f t="shared" si="247"/>
        <v>0</v>
      </c>
      <c r="Q543" s="121">
        <f t="shared" si="248"/>
        <v>0.58333333333333337</v>
      </c>
      <c r="R543" s="121">
        <f t="shared" si="249"/>
        <v>0.41666666666666663</v>
      </c>
      <c r="S543" s="121" t="str">
        <f t="shared" si="250"/>
        <v/>
      </c>
      <c r="T543" s="121" t="str">
        <f t="shared" si="251"/>
        <v/>
      </c>
      <c r="U543" s="121">
        <f t="shared" si="252"/>
        <v>1</v>
      </c>
    </row>
    <row r="544" spans="1:21" x14ac:dyDescent="0.3">
      <c r="A544" s="187">
        <v>34</v>
      </c>
      <c r="B544" s="242">
        <f t="shared" si="253"/>
        <v>46661</v>
      </c>
      <c r="C544" s="243">
        <f t="shared" si="234"/>
        <v>46691</v>
      </c>
      <c r="D544" s="120">
        <f t="shared" si="235"/>
        <v>31</v>
      </c>
      <c r="E544" s="120">
        <f t="shared" si="236"/>
        <v>10</v>
      </c>
      <c r="F544" s="275">
        <f t="shared" si="237"/>
        <v>46676.5</v>
      </c>
      <c r="G544" s="120">
        <f t="shared" si="238"/>
        <v>24333</v>
      </c>
      <c r="H544" s="245">
        <f t="shared" si="239"/>
        <v>1</v>
      </c>
      <c r="I544" s="121">
        <f t="shared" si="240"/>
        <v>1</v>
      </c>
      <c r="J544" s="121">
        <f t="shared" si="241"/>
        <v>1</v>
      </c>
      <c r="K544" s="120">
        <f t="shared" si="242"/>
        <v>0</v>
      </c>
      <c r="L544" s="120">
        <f t="shared" si="243"/>
        <v>0</v>
      </c>
      <c r="M544" s="246">
        <f t="shared" si="244"/>
        <v>0</v>
      </c>
      <c r="N544" s="121">
        <f t="shared" si="245"/>
        <v>1</v>
      </c>
      <c r="O544" s="246">
        <f t="shared" si="246"/>
        <v>0.91416301969365432</v>
      </c>
      <c r="P544" s="121">
        <f t="shared" si="247"/>
        <v>0</v>
      </c>
      <c r="Q544" s="121">
        <f t="shared" si="248"/>
        <v>0.41666666666666669</v>
      </c>
      <c r="R544" s="121">
        <f t="shared" si="249"/>
        <v>0.58333333333333326</v>
      </c>
      <c r="S544" s="121" t="str">
        <f t="shared" si="250"/>
        <v/>
      </c>
      <c r="T544" s="121" t="str">
        <f t="shared" si="251"/>
        <v/>
      </c>
      <c r="U544" s="121">
        <f t="shared" si="252"/>
        <v>1</v>
      </c>
    </row>
    <row r="545" spans="1:21" x14ac:dyDescent="0.3">
      <c r="A545" s="187">
        <v>35</v>
      </c>
      <c r="B545" s="242">
        <f t="shared" si="253"/>
        <v>46692</v>
      </c>
      <c r="C545" s="243">
        <f t="shared" si="234"/>
        <v>46721</v>
      </c>
      <c r="D545" s="120">
        <f t="shared" si="235"/>
        <v>30</v>
      </c>
      <c r="E545" s="120">
        <f t="shared" si="236"/>
        <v>11</v>
      </c>
      <c r="F545" s="275">
        <f t="shared" si="237"/>
        <v>46707</v>
      </c>
      <c r="G545" s="120">
        <f t="shared" si="238"/>
        <v>24334</v>
      </c>
      <c r="H545" s="245">
        <f t="shared" si="239"/>
        <v>1</v>
      </c>
      <c r="I545" s="121">
        <f t="shared" si="240"/>
        <v>1</v>
      </c>
      <c r="J545" s="121">
        <f t="shared" si="241"/>
        <v>1</v>
      </c>
      <c r="K545" s="120">
        <f t="shared" si="242"/>
        <v>0</v>
      </c>
      <c r="L545" s="120">
        <f t="shared" si="243"/>
        <v>0</v>
      </c>
      <c r="M545" s="246">
        <f t="shared" si="244"/>
        <v>0</v>
      </c>
      <c r="N545" s="121">
        <f t="shared" si="245"/>
        <v>1</v>
      </c>
      <c r="O545" s="246">
        <f t="shared" si="246"/>
        <v>0.91449671772428887</v>
      </c>
      <c r="P545" s="121">
        <f t="shared" si="247"/>
        <v>0</v>
      </c>
      <c r="Q545" s="121">
        <f t="shared" si="248"/>
        <v>0.25</v>
      </c>
      <c r="R545" s="121">
        <f t="shared" si="249"/>
        <v>0.75</v>
      </c>
      <c r="S545" s="121" t="str">
        <f t="shared" si="250"/>
        <v/>
      </c>
      <c r="T545" s="121" t="str">
        <f t="shared" si="251"/>
        <v/>
      </c>
      <c r="U545" s="121">
        <f t="shared" si="252"/>
        <v>1</v>
      </c>
    </row>
    <row r="546" spans="1:21" x14ac:dyDescent="0.3">
      <c r="A546" s="187">
        <v>36</v>
      </c>
      <c r="B546" s="242">
        <f t="shared" si="253"/>
        <v>46722</v>
      </c>
      <c r="C546" s="243">
        <f t="shared" si="234"/>
        <v>46752</v>
      </c>
      <c r="D546" s="120">
        <f t="shared" si="235"/>
        <v>31</v>
      </c>
      <c r="E546" s="120">
        <f t="shared" si="236"/>
        <v>12</v>
      </c>
      <c r="F546" s="275">
        <f t="shared" si="237"/>
        <v>46737.5</v>
      </c>
      <c r="G546" s="120">
        <f t="shared" si="238"/>
        <v>24335</v>
      </c>
      <c r="H546" s="245">
        <f t="shared" si="239"/>
        <v>1</v>
      </c>
      <c r="I546" s="121">
        <f t="shared" si="240"/>
        <v>1</v>
      </c>
      <c r="J546" s="121">
        <f t="shared" si="241"/>
        <v>1</v>
      </c>
      <c r="K546" s="120">
        <f t="shared" si="242"/>
        <v>0</v>
      </c>
      <c r="L546" s="120">
        <f t="shared" si="243"/>
        <v>0</v>
      </c>
      <c r="M546" s="246">
        <f t="shared" si="244"/>
        <v>0</v>
      </c>
      <c r="N546" s="121">
        <f t="shared" si="245"/>
        <v>1</v>
      </c>
      <c r="O546" s="246">
        <f t="shared" si="246"/>
        <v>0.91483041575492341</v>
      </c>
      <c r="P546" s="121">
        <f t="shared" si="247"/>
        <v>0</v>
      </c>
      <c r="Q546" s="121">
        <f t="shared" si="248"/>
        <v>8.3333333333333329E-2</v>
      </c>
      <c r="R546" s="121">
        <f t="shared" si="249"/>
        <v>0.91666666666666663</v>
      </c>
      <c r="S546" s="121" t="str">
        <f t="shared" si="250"/>
        <v/>
      </c>
      <c r="T546" s="121" t="str">
        <f t="shared" si="251"/>
        <v/>
      </c>
      <c r="U546" s="121">
        <f t="shared" si="252"/>
        <v>1</v>
      </c>
    </row>
    <row r="547" spans="1:21" x14ac:dyDescent="0.3">
      <c r="A547" s="187">
        <v>37</v>
      </c>
      <c r="B547" s="242">
        <f t="shared" si="253"/>
        <v>46753</v>
      </c>
      <c r="C547" s="243">
        <f t="shared" si="234"/>
        <v>46783</v>
      </c>
      <c r="D547" s="120">
        <f t="shared" si="235"/>
        <v>31</v>
      </c>
      <c r="E547" s="120">
        <f t="shared" si="236"/>
        <v>1</v>
      </c>
      <c r="F547" s="275">
        <f t="shared" si="237"/>
        <v>46768.5</v>
      </c>
      <c r="G547" s="120">
        <f t="shared" si="238"/>
        <v>24336</v>
      </c>
      <c r="H547" s="245">
        <f t="shared" si="239"/>
        <v>1</v>
      </c>
      <c r="I547" s="121">
        <f t="shared" si="240"/>
        <v>1</v>
      </c>
      <c r="J547" s="121">
        <f t="shared" si="241"/>
        <v>1</v>
      </c>
      <c r="K547" s="120">
        <f t="shared" si="242"/>
        <v>0</v>
      </c>
      <c r="L547" s="120">
        <f t="shared" si="243"/>
        <v>0</v>
      </c>
      <c r="M547" s="246">
        <f t="shared" si="244"/>
        <v>0</v>
      </c>
      <c r="N547" s="121">
        <f t="shared" si="245"/>
        <v>1</v>
      </c>
      <c r="O547" s="246">
        <f t="shared" si="246"/>
        <v>0.91500000000000004</v>
      </c>
      <c r="P547" s="121">
        <f t="shared" si="247"/>
        <v>0</v>
      </c>
      <c r="Q547" s="121">
        <f t="shared" si="248"/>
        <v>0</v>
      </c>
      <c r="R547" s="121">
        <f t="shared" si="249"/>
        <v>1</v>
      </c>
      <c r="S547" s="121" t="str">
        <f t="shared" si="250"/>
        <v/>
      </c>
      <c r="T547" s="121" t="str">
        <f t="shared" si="251"/>
        <v/>
      </c>
      <c r="U547" s="121">
        <f t="shared" si="252"/>
        <v>1</v>
      </c>
    </row>
    <row r="548" spans="1:21" x14ac:dyDescent="0.3">
      <c r="A548" s="187">
        <v>38</v>
      </c>
      <c r="B548" s="242">
        <f t="shared" si="253"/>
        <v>46784</v>
      </c>
      <c r="C548" s="243">
        <f t="shared" si="234"/>
        <v>46812</v>
      </c>
      <c r="D548" s="120">
        <f t="shared" si="235"/>
        <v>29</v>
      </c>
      <c r="E548" s="120">
        <f t="shared" si="236"/>
        <v>2</v>
      </c>
      <c r="F548" s="275">
        <f t="shared" si="237"/>
        <v>46798.5</v>
      </c>
      <c r="G548" s="120">
        <f t="shared" si="238"/>
        <v>24337</v>
      </c>
      <c r="H548" s="245">
        <f t="shared" si="239"/>
        <v>1</v>
      </c>
      <c r="I548" s="121">
        <f t="shared" si="240"/>
        <v>1</v>
      </c>
      <c r="J548" s="121">
        <f t="shared" si="241"/>
        <v>1</v>
      </c>
      <c r="K548" s="120">
        <f t="shared" si="242"/>
        <v>0</v>
      </c>
      <c r="L548" s="120">
        <f t="shared" si="243"/>
        <v>0</v>
      </c>
      <c r="M548" s="246">
        <f t="shared" si="244"/>
        <v>0</v>
      </c>
      <c r="N548" s="121">
        <f t="shared" si="245"/>
        <v>1</v>
      </c>
      <c r="O548" s="246">
        <f t="shared" si="246"/>
        <v>0.91500000000000004</v>
      </c>
      <c r="P548" s="121">
        <f t="shared" si="247"/>
        <v>0</v>
      </c>
      <c r="Q548" s="121">
        <f t="shared" si="248"/>
        <v>0</v>
      </c>
      <c r="R548" s="121">
        <f t="shared" si="249"/>
        <v>1</v>
      </c>
      <c r="S548" s="121" t="str">
        <f t="shared" si="250"/>
        <v/>
      </c>
      <c r="T548" s="121" t="str">
        <f t="shared" si="251"/>
        <v/>
      </c>
      <c r="U548" s="121">
        <f t="shared" si="252"/>
        <v>1</v>
      </c>
    </row>
    <row r="549" spans="1:21" x14ac:dyDescent="0.3">
      <c r="A549" s="187">
        <v>39</v>
      </c>
      <c r="B549" s="242">
        <f t="shared" si="253"/>
        <v>46813</v>
      </c>
      <c r="C549" s="243">
        <f t="shared" si="234"/>
        <v>46843</v>
      </c>
      <c r="D549" s="120">
        <f t="shared" si="235"/>
        <v>31</v>
      </c>
      <c r="E549" s="120">
        <f t="shared" si="236"/>
        <v>3</v>
      </c>
      <c r="F549" s="275">
        <f t="shared" si="237"/>
        <v>46828.5</v>
      </c>
      <c r="G549" s="120">
        <f t="shared" si="238"/>
        <v>24338</v>
      </c>
      <c r="H549" s="245">
        <f t="shared" si="239"/>
        <v>1</v>
      </c>
      <c r="I549" s="121">
        <f t="shared" si="240"/>
        <v>1</v>
      </c>
      <c r="J549" s="121">
        <f t="shared" si="241"/>
        <v>1</v>
      </c>
      <c r="K549" s="120">
        <f t="shared" si="242"/>
        <v>0</v>
      </c>
      <c r="L549" s="120">
        <f t="shared" si="243"/>
        <v>0</v>
      </c>
      <c r="M549" s="246">
        <f t="shared" si="244"/>
        <v>0</v>
      </c>
      <c r="N549" s="121">
        <f t="shared" si="245"/>
        <v>1</v>
      </c>
      <c r="O549" s="246">
        <f t="shared" si="246"/>
        <v>0.91500000000000004</v>
      </c>
      <c r="P549" s="121">
        <f t="shared" si="247"/>
        <v>0</v>
      </c>
      <c r="Q549" s="121">
        <f t="shared" si="248"/>
        <v>0</v>
      </c>
      <c r="R549" s="121">
        <f t="shared" si="249"/>
        <v>1</v>
      </c>
      <c r="S549" s="121" t="str">
        <f t="shared" si="250"/>
        <v/>
      </c>
      <c r="T549" s="121" t="str">
        <f t="shared" si="251"/>
        <v/>
      </c>
      <c r="U549" s="121">
        <f t="shared" si="252"/>
        <v>1</v>
      </c>
    </row>
    <row r="550" spans="1:21" x14ac:dyDescent="0.3">
      <c r="A550" s="187">
        <v>40</v>
      </c>
      <c r="B550" s="242">
        <f t="shared" si="253"/>
        <v>46844</v>
      </c>
      <c r="C550" s="243">
        <f t="shared" si="234"/>
        <v>46873</v>
      </c>
      <c r="D550" s="120">
        <f t="shared" si="235"/>
        <v>30</v>
      </c>
      <c r="E550" s="120">
        <f t="shared" si="236"/>
        <v>4</v>
      </c>
      <c r="F550" s="275">
        <f t="shared" si="237"/>
        <v>46859</v>
      </c>
      <c r="G550" s="120">
        <f t="shared" si="238"/>
        <v>24339</v>
      </c>
      <c r="H550" s="245">
        <f t="shared" si="239"/>
        <v>1</v>
      </c>
      <c r="I550" s="121">
        <f t="shared" si="240"/>
        <v>1</v>
      </c>
      <c r="J550" s="121">
        <f t="shared" si="241"/>
        <v>1</v>
      </c>
      <c r="K550" s="120">
        <f t="shared" si="242"/>
        <v>0</v>
      </c>
      <c r="L550" s="120">
        <f t="shared" si="243"/>
        <v>0</v>
      </c>
      <c r="M550" s="246">
        <f t="shared" si="244"/>
        <v>0</v>
      </c>
      <c r="N550" s="121">
        <f t="shared" si="245"/>
        <v>1</v>
      </c>
      <c r="O550" s="246">
        <f t="shared" si="246"/>
        <v>0.91500000000000004</v>
      </c>
      <c r="P550" s="121">
        <f t="shared" si="247"/>
        <v>0</v>
      </c>
      <c r="Q550" s="121">
        <f t="shared" si="248"/>
        <v>0</v>
      </c>
      <c r="R550" s="121">
        <f t="shared" si="249"/>
        <v>1</v>
      </c>
      <c r="S550" s="121" t="str">
        <f t="shared" si="250"/>
        <v/>
      </c>
      <c r="T550" s="121" t="str">
        <f t="shared" si="251"/>
        <v/>
      </c>
      <c r="U550" s="121">
        <f t="shared" si="252"/>
        <v>1</v>
      </c>
    </row>
    <row r="551" spans="1:21" x14ac:dyDescent="0.3">
      <c r="A551" s="187">
        <v>41</v>
      </c>
      <c r="B551" s="242">
        <f t="shared" si="253"/>
        <v>46874</v>
      </c>
      <c r="C551" s="243">
        <f t="shared" si="234"/>
        <v>46904</v>
      </c>
      <c r="D551" s="120">
        <f t="shared" si="235"/>
        <v>31</v>
      </c>
      <c r="E551" s="120">
        <f t="shared" si="236"/>
        <v>5</v>
      </c>
      <c r="F551" s="275">
        <f t="shared" si="237"/>
        <v>46889.5</v>
      </c>
      <c r="G551" s="120">
        <f t="shared" si="238"/>
        <v>24340</v>
      </c>
      <c r="H551" s="245">
        <f t="shared" si="239"/>
        <v>1</v>
      </c>
      <c r="I551" s="121">
        <f t="shared" si="240"/>
        <v>1</v>
      </c>
      <c r="J551" s="121">
        <f t="shared" si="241"/>
        <v>1</v>
      </c>
      <c r="K551" s="120">
        <f t="shared" si="242"/>
        <v>0</v>
      </c>
      <c r="L551" s="120">
        <f t="shared" si="243"/>
        <v>0</v>
      </c>
      <c r="M551" s="246">
        <f t="shared" si="244"/>
        <v>0</v>
      </c>
      <c r="N551" s="121">
        <f t="shared" si="245"/>
        <v>1</v>
      </c>
      <c r="O551" s="246">
        <f t="shared" si="246"/>
        <v>0.91500000000000004</v>
      </c>
      <c r="P551" s="121">
        <f t="shared" si="247"/>
        <v>0</v>
      </c>
      <c r="Q551" s="121">
        <f t="shared" si="248"/>
        <v>0</v>
      </c>
      <c r="R551" s="121">
        <f t="shared" si="249"/>
        <v>1</v>
      </c>
      <c r="S551" s="121" t="str">
        <f t="shared" si="250"/>
        <v/>
      </c>
      <c r="T551" s="121" t="str">
        <f t="shared" si="251"/>
        <v/>
      </c>
      <c r="U551" s="121">
        <f t="shared" si="252"/>
        <v>1</v>
      </c>
    </row>
    <row r="552" spans="1:21" x14ac:dyDescent="0.3">
      <c r="A552" s="187">
        <v>42</v>
      </c>
      <c r="B552" s="242">
        <f t="shared" si="253"/>
        <v>46905</v>
      </c>
      <c r="C552" s="243">
        <f t="shared" si="234"/>
        <v>46934</v>
      </c>
      <c r="D552" s="120">
        <f t="shared" si="235"/>
        <v>30</v>
      </c>
      <c r="E552" s="120">
        <f t="shared" si="236"/>
        <v>6</v>
      </c>
      <c r="F552" s="275">
        <f t="shared" si="237"/>
        <v>46920</v>
      </c>
      <c r="G552" s="120">
        <f t="shared" si="238"/>
        <v>24341</v>
      </c>
      <c r="H552" s="245">
        <f t="shared" si="239"/>
        <v>1</v>
      </c>
      <c r="I552" s="121">
        <f t="shared" si="240"/>
        <v>1</v>
      </c>
      <c r="J552" s="121">
        <f t="shared" si="241"/>
        <v>1</v>
      </c>
      <c r="K552" s="120">
        <f t="shared" si="242"/>
        <v>0</v>
      </c>
      <c r="L552" s="120">
        <f t="shared" si="243"/>
        <v>0</v>
      </c>
      <c r="M552" s="246">
        <f t="shared" si="244"/>
        <v>0</v>
      </c>
      <c r="N552" s="121">
        <f t="shared" si="245"/>
        <v>1</v>
      </c>
      <c r="O552" s="246">
        <f t="shared" si="246"/>
        <v>0.91500000000000004</v>
      </c>
      <c r="P552" s="121">
        <f t="shared" si="247"/>
        <v>0</v>
      </c>
      <c r="Q552" s="121">
        <f t="shared" si="248"/>
        <v>0</v>
      </c>
      <c r="R552" s="121">
        <f t="shared" si="249"/>
        <v>1</v>
      </c>
      <c r="S552" s="121" t="str">
        <f t="shared" si="250"/>
        <v/>
      </c>
      <c r="T552" s="121" t="str">
        <f t="shared" si="251"/>
        <v/>
      </c>
      <c r="U552" s="121">
        <f t="shared" si="252"/>
        <v>1</v>
      </c>
    </row>
    <row r="553" spans="1:21" x14ac:dyDescent="0.3">
      <c r="A553" s="187">
        <v>43</v>
      </c>
      <c r="B553" s="242">
        <f t="shared" si="253"/>
        <v>46935</v>
      </c>
      <c r="C553" s="243">
        <f t="shared" si="234"/>
        <v>46965</v>
      </c>
      <c r="D553" s="120">
        <f t="shared" si="235"/>
        <v>31</v>
      </c>
      <c r="E553" s="120">
        <f t="shared" si="236"/>
        <v>7</v>
      </c>
      <c r="F553" s="275">
        <f t="shared" si="237"/>
        <v>46950.5</v>
      </c>
      <c r="G553" s="120">
        <f t="shared" si="238"/>
        <v>24342</v>
      </c>
      <c r="H553" s="245">
        <f t="shared" si="239"/>
        <v>1</v>
      </c>
      <c r="I553" s="121">
        <f t="shared" si="240"/>
        <v>1</v>
      </c>
      <c r="J553" s="121">
        <f t="shared" si="241"/>
        <v>1</v>
      </c>
      <c r="K553" s="120">
        <f t="shared" si="242"/>
        <v>0</v>
      </c>
      <c r="L553" s="120">
        <f t="shared" si="243"/>
        <v>0</v>
      </c>
      <c r="M553" s="246">
        <f t="shared" si="244"/>
        <v>0</v>
      </c>
      <c r="N553" s="121">
        <f t="shared" si="245"/>
        <v>1</v>
      </c>
      <c r="O553" s="246">
        <f t="shared" si="246"/>
        <v>0.91500000000000004</v>
      </c>
      <c r="P553" s="121">
        <f t="shared" si="247"/>
        <v>0</v>
      </c>
      <c r="Q553" s="121">
        <f t="shared" si="248"/>
        <v>0</v>
      </c>
      <c r="R553" s="121">
        <f t="shared" si="249"/>
        <v>0.91666666666666663</v>
      </c>
      <c r="S553" s="121" t="str">
        <f t="shared" si="250"/>
        <v/>
      </c>
      <c r="T553" s="121" t="str">
        <f t="shared" si="251"/>
        <v/>
      </c>
      <c r="U553" s="121">
        <f t="shared" si="252"/>
        <v>1</v>
      </c>
    </row>
    <row r="554" spans="1:21" x14ac:dyDescent="0.3">
      <c r="A554" s="187">
        <v>44</v>
      </c>
      <c r="B554" s="242">
        <f t="shared" si="253"/>
        <v>46966</v>
      </c>
      <c r="C554" s="243">
        <f t="shared" si="234"/>
        <v>46996</v>
      </c>
      <c r="D554" s="120">
        <f t="shared" si="235"/>
        <v>31</v>
      </c>
      <c r="E554" s="120">
        <f t="shared" si="236"/>
        <v>8</v>
      </c>
      <c r="F554" s="275">
        <f t="shared" si="237"/>
        <v>46981.5</v>
      </c>
      <c r="G554" s="120">
        <f t="shared" si="238"/>
        <v>24343</v>
      </c>
      <c r="H554" s="245">
        <f t="shared" si="239"/>
        <v>1</v>
      </c>
      <c r="I554" s="121">
        <f t="shared" si="240"/>
        <v>1</v>
      </c>
      <c r="J554" s="121">
        <f t="shared" si="241"/>
        <v>1</v>
      </c>
      <c r="K554" s="120">
        <f t="shared" si="242"/>
        <v>0</v>
      </c>
      <c r="L554" s="120">
        <f t="shared" si="243"/>
        <v>0</v>
      </c>
      <c r="M554" s="246">
        <f t="shared" si="244"/>
        <v>0</v>
      </c>
      <c r="N554" s="121">
        <f t="shared" si="245"/>
        <v>1</v>
      </c>
      <c r="O554" s="246">
        <f t="shared" si="246"/>
        <v>0.91500000000000004</v>
      </c>
      <c r="P554" s="121">
        <f t="shared" si="247"/>
        <v>0</v>
      </c>
      <c r="Q554" s="121">
        <f t="shared" si="248"/>
        <v>0</v>
      </c>
      <c r="R554" s="121">
        <f t="shared" si="249"/>
        <v>0.75</v>
      </c>
      <c r="S554" s="121" t="str">
        <f t="shared" si="250"/>
        <v/>
      </c>
      <c r="T554" s="121" t="str">
        <f t="shared" si="251"/>
        <v/>
      </c>
      <c r="U554" s="121">
        <f t="shared" si="252"/>
        <v>1</v>
      </c>
    </row>
    <row r="555" spans="1:21" x14ac:dyDescent="0.3">
      <c r="A555" s="187">
        <v>45</v>
      </c>
      <c r="B555" s="242">
        <f t="shared" si="253"/>
        <v>46997</v>
      </c>
      <c r="C555" s="243">
        <f t="shared" si="234"/>
        <v>47026</v>
      </c>
      <c r="D555" s="120">
        <f t="shared" si="235"/>
        <v>30</v>
      </c>
      <c r="E555" s="120">
        <f t="shared" si="236"/>
        <v>9</v>
      </c>
      <c r="F555" s="275">
        <f t="shared" si="237"/>
        <v>47012</v>
      </c>
      <c r="G555" s="120">
        <f t="shared" si="238"/>
        <v>24344</v>
      </c>
      <c r="H555" s="245">
        <f t="shared" si="239"/>
        <v>1</v>
      </c>
      <c r="I555" s="121">
        <f t="shared" si="240"/>
        <v>1</v>
      </c>
      <c r="J555" s="121">
        <f t="shared" si="241"/>
        <v>1</v>
      </c>
      <c r="K555" s="120">
        <f t="shared" si="242"/>
        <v>0</v>
      </c>
      <c r="L555" s="120">
        <f t="shared" si="243"/>
        <v>0</v>
      </c>
      <c r="M555" s="246">
        <f t="shared" si="244"/>
        <v>0</v>
      </c>
      <c r="N555" s="121">
        <f t="shared" si="245"/>
        <v>1</v>
      </c>
      <c r="O555" s="246">
        <f t="shared" si="246"/>
        <v>0.91500000000000004</v>
      </c>
      <c r="P555" s="121">
        <f t="shared" si="247"/>
        <v>0</v>
      </c>
      <c r="Q555" s="121">
        <f t="shared" si="248"/>
        <v>0</v>
      </c>
      <c r="R555" s="121">
        <f t="shared" si="249"/>
        <v>0.58333333333333337</v>
      </c>
      <c r="S555" s="121" t="str">
        <f t="shared" si="250"/>
        <v/>
      </c>
      <c r="T555" s="121" t="str">
        <f t="shared" si="251"/>
        <v/>
      </c>
      <c r="U555" s="121">
        <f t="shared" si="252"/>
        <v>1</v>
      </c>
    </row>
    <row r="556" spans="1:21" x14ac:dyDescent="0.3">
      <c r="A556" s="187">
        <v>46</v>
      </c>
      <c r="B556" s="242">
        <f t="shared" si="253"/>
        <v>47027</v>
      </c>
      <c r="C556" s="243">
        <f t="shared" si="234"/>
        <v>47057</v>
      </c>
      <c r="D556" s="120">
        <f t="shared" si="235"/>
        <v>31</v>
      </c>
      <c r="E556" s="120">
        <f t="shared" si="236"/>
        <v>10</v>
      </c>
      <c r="F556" s="275">
        <f t="shared" si="237"/>
        <v>47042.5</v>
      </c>
      <c r="G556" s="120">
        <f t="shared" si="238"/>
        <v>24345</v>
      </c>
      <c r="H556" s="245">
        <f t="shared" si="239"/>
        <v>1</v>
      </c>
      <c r="I556" s="121">
        <f t="shared" si="240"/>
        <v>1</v>
      </c>
      <c r="J556" s="121">
        <f t="shared" si="241"/>
        <v>1</v>
      </c>
      <c r="K556" s="120">
        <f t="shared" si="242"/>
        <v>0</v>
      </c>
      <c r="L556" s="120">
        <f t="shared" si="243"/>
        <v>0</v>
      </c>
      <c r="M556" s="246">
        <f t="shared" si="244"/>
        <v>0</v>
      </c>
      <c r="N556" s="121">
        <f t="shared" si="245"/>
        <v>1</v>
      </c>
      <c r="O556" s="246">
        <f t="shared" si="246"/>
        <v>0.91500000000000004</v>
      </c>
      <c r="P556" s="121">
        <f t="shared" si="247"/>
        <v>0</v>
      </c>
      <c r="Q556" s="121">
        <f t="shared" si="248"/>
        <v>0</v>
      </c>
      <c r="R556" s="121">
        <f t="shared" si="249"/>
        <v>0.41666666666666669</v>
      </c>
      <c r="S556" s="121" t="str">
        <f t="shared" si="250"/>
        <v/>
      </c>
      <c r="T556" s="121" t="str">
        <f t="shared" si="251"/>
        <v/>
      </c>
      <c r="U556" s="121">
        <f t="shared" si="252"/>
        <v>1</v>
      </c>
    </row>
    <row r="557" spans="1:21" x14ac:dyDescent="0.3">
      <c r="A557" s="187">
        <v>47</v>
      </c>
      <c r="B557" s="242">
        <f t="shared" si="253"/>
        <v>47058</v>
      </c>
      <c r="C557" s="243">
        <f t="shared" si="234"/>
        <v>47087</v>
      </c>
      <c r="D557" s="120">
        <f t="shared" si="235"/>
        <v>30</v>
      </c>
      <c r="E557" s="120">
        <f t="shared" si="236"/>
        <v>11</v>
      </c>
      <c r="F557" s="275">
        <f t="shared" si="237"/>
        <v>47073</v>
      </c>
      <c r="G557" s="120">
        <f t="shared" si="238"/>
        <v>24346</v>
      </c>
      <c r="H557" s="245">
        <f t="shared" si="239"/>
        <v>1</v>
      </c>
      <c r="I557" s="121">
        <f t="shared" si="240"/>
        <v>1</v>
      </c>
      <c r="J557" s="121">
        <f t="shared" si="241"/>
        <v>1</v>
      </c>
      <c r="K557" s="120">
        <f t="shared" si="242"/>
        <v>0</v>
      </c>
      <c r="L557" s="120">
        <f t="shared" si="243"/>
        <v>0</v>
      </c>
      <c r="M557" s="246">
        <f t="shared" si="244"/>
        <v>0</v>
      </c>
      <c r="N557" s="121">
        <f t="shared" si="245"/>
        <v>1</v>
      </c>
      <c r="O557" s="246">
        <f t="shared" si="246"/>
        <v>0.91500000000000004</v>
      </c>
      <c r="P557" s="121">
        <f t="shared" si="247"/>
        <v>0</v>
      </c>
      <c r="Q557" s="121">
        <f t="shared" si="248"/>
        <v>0</v>
      </c>
      <c r="R557" s="121">
        <f t="shared" si="249"/>
        <v>0.25</v>
      </c>
      <c r="S557" s="121" t="str">
        <f t="shared" si="250"/>
        <v/>
      </c>
      <c r="T557" s="121" t="str">
        <f t="shared" si="251"/>
        <v/>
      </c>
      <c r="U557" s="121">
        <f t="shared" si="252"/>
        <v>1</v>
      </c>
    </row>
    <row r="558" spans="1:21" x14ac:dyDescent="0.3">
      <c r="A558" s="187">
        <v>48</v>
      </c>
      <c r="B558" s="242">
        <f t="shared" si="253"/>
        <v>47088</v>
      </c>
      <c r="C558" s="243">
        <f t="shared" si="234"/>
        <v>47118</v>
      </c>
      <c r="D558" s="120">
        <f t="shared" si="235"/>
        <v>31</v>
      </c>
      <c r="E558" s="120">
        <f t="shared" si="236"/>
        <v>12</v>
      </c>
      <c r="F558" s="275">
        <f t="shared" si="237"/>
        <v>47103.5</v>
      </c>
      <c r="G558" s="120">
        <f t="shared" si="238"/>
        <v>24347</v>
      </c>
      <c r="H558" s="245">
        <f t="shared" si="239"/>
        <v>1</v>
      </c>
      <c r="I558" s="121">
        <f t="shared" si="240"/>
        <v>1</v>
      </c>
      <c r="J558" s="121">
        <f t="shared" si="241"/>
        <v>1</v>
      </c>
      <c r="K558" s="120">
        <f t="shared" si="242"/>
        <v>0</v>
      </c>
      <c r="L558" s="120">
        <f t="shared" si="243"/>
        <v>0</v>
      </c>
      <c r="M558" s="246">
        <f t="shared" si="244"/>
        <v>0</v>
      </c>
      <c r="N558" s="121">
        <f t="shared" si="245"/>
        <v>1</v>
      </c>
      <c r="O558" s="246">
        <f t="shared" si="246"/>
        <v>0.91500000000000004</v>
      </c>
      <c r="P558" s="121">
        <f t="shared" si="247"/>
        <v>0</v>
      </c>
      <c r="Q558" s="121">
        <f t="shared" si="248"/>
        <v>0</v>
      </c>
      <c r="R558" s="121">
        <f t="shared" si="249"/>
        <v>8.3333333333333329E-2</v>
      </c>
      <c r="S558" s="121" t="str">
        <f t="shared" si="250"/>
        <v/>
      </c>
      <c r="T558" s="121" t="str">
        <f t="shared" si="251"/>
        <v/>
      </c>
      <c r="U558" s="121">
        <f t="shared" si="252"/>
        <v>1</v>
      </c>
    </row>
    <row r="559" spans="1:21" x14ac:dyDescent="0.3">
      <c r="A559" s="6" t="s">
        <v>1651</v>
      </c>
      <c r="B559" s="73">
        <f>EXP(SUMPRODUCT((rl_key=$A$508)*(rl_cons="Y")*rl_ln1p))</f>
        <v>1</v>
      </c>
      <c r="C559" s="73">
        <f>SUMPRODUCT($H$511:$H$558,$P$511:$P$558,$U$511:$U$558)/SUMPRODUCT($H$511:$H$558,$P$511:$P$558)</f>
        <v>1</v>
      </c>
      <c r="D559" s="73">
        <f>SUMPRODUCT($H$511:$H$558,$Q$511:$Q$558,$U$511:$U$558)/SUMPRODUCT($H$511:$H$558,$Q$511:$Q$558)</f>
        <v>1</v>
      </c>
      <c r="E559" s="73">
        <f>SUMPRODUCT($H$511:$H$558,$R$511:$R$558,$U$511:$U$558)/SUMPRODUCT($H$511:$H$558,$R$511:$R$558)</f>
        <v>1</v>
      </c>
      <c r="F559" s="224">
        <f>SUMPRODUCT($H$511:$H$558,$Q$511:$Q$558,$O$511:$O$558)/SUMPRODUCT($H$511:$H$558,$Q$511:$Q$558)</f>
        <v>0.91199626185266247</v>
      </c>
      <c r="G559" s="224">
        <f>SUMPRODUCT($H$511:$H$558,$R$511:$R$558,$O$511:$O$558)/SUMPRODUCT($H$511:$H$558,$R$511:$R$558)</f>
        <v>0.91483011184050556</v>
      </c>
      <c r="H559" s="73">
        <f>SUMPRODUCT($H$535:$H$546,$N$535:$N$546/$N$523:$N$534)/SUM($H$535:$H$546)</f>
        <v>1</v>
      </c>
      <c r="I559" s="73">
        <f>SUMPRODUCT($H$535:$H$546,$O$535:$O$546/$O$523:$O$534)/SUM($H$535:$H$546)</f>
        <v>1.0043932196204437</v>
      </c>
      <c r="J559" s="73">
        <f>IF($O$508=1,SUMPRODUCT($H$535:$H$546,$N$535:$N$546/$N$523:$N$534*$O$535:$O$546/$O$523:$O$534)/SUM($H$535:$H$546),$H559)</f>
        <v>1.0043932196204437</v>
      </c>
      <c r="K559" s="73">
        <f>SUMPRODUCT($H$511:$H$558,$Q$511:$Q$558,$N$511:$N$558)/SUMPRODUCT($H$511:$H$558,$Q$511:$Q$558)</f>
        <v>1</v>
      </c>
      <c r="L559" s="73">
        <f>SUMPRODUCT($H$511:$H$558,$R$511:$R$558,$N$511:$N$558)/SUMPRODUCT($H$511:$H$558,$R$511:$R$558)</f>
        <v>1</v>
      </c>
    </row>
    <row r="562" spans="1:21" x14ac:dyDescent="0.3">
      <c r="A562" s="6" t="str">
        <f>INDEX(lr_key,10)</f>
        <v>ABD|MD</v>
      </c>
      <c r="B562" s="6" t="str">
        <f>INDEX(lr_state,10)</f>
        <v>MD</v>
      </c>
      <c r="C562" s="75">
        <f>nr_TermMonths</f>
        <v>6</v>
      </c>
      <c r="D562" s="75">
        <f>IF(COUNTIF(se_state,$B562)=0,0,MATCH($B562,se_state,0))</f>
        <v>0</v>
      </c>
      <c r="E562" s="70">
        <f>IF($D562=0,0,INDEX(se_sum,$D562))</f>
        <v>0</v>
      </c>
      <c r="F562" s="224">
        <f>IF(N(INDEX(lr_mind,10))=0,1,INDEX(lr_mind,10))</f>
        <v>0.92</v>
      </c>
      <c r="G562" s="224">
        <f>IF(N(INDEX(lr_m0,10))=0,1,INDEX(lr_m0,10))</f>
        <v>0.91</v>
      </c>
      <c r="H562" s="74">
        <f>IF(N(INDEX(lr_m0asof,10))=0,DATE(nr_PlanYear-1,10,1),INDEX(lr_m0asof,10))</f>
        <v>46295</v>
      </c>
      <c r="I562" s="224">
        <f>IF(N(INDEX(lr_m1,10))=0,1,INDEX(lr_m1,10))</f>
        <v>0.93</v>
      </c>
      <c r="J562" s="224">
        <f>INDEX(lr_mprior,10)</f>
        <v>0</v>
      </c>
      <c r="K562" s="224">
        <f>INDEX(lr_m2,10)</f>
        <v>0</v>
      </c>
      <c r="L562" s="6" t="b">
        <f>NOT(ISBLANK(INDEX(lr_netp,10)))</f>
        <v>0</v>
      </c>
      <c r="M562" s="72">
        <f>N(INDEX(lr_netp,10))</f>
        <v>0</v>
      </c>
      <c r="N562" s="72">
        <f>IF(ISBLANK(INDEX(lr_netp1,10)),$M$562,N(INDEX(lr_netp1,10)))</f>
        <v>0</v>
      </c>
      <c r="O562" s="75">
        <f>IF(AND(nr_ModAdjMaster="ON",INDEX(lr_modadj,10)="ON"),1,0)</f>
        <v>1</v>
      </c>
    </row>
    <row r="563" spans="1:21" x14ac:dyDescent="0.3">
      <c r="A563" s="6">
        <f>EDATE($H$562,-12)+1</f>
        <v>45931</v>
      </c>
      <c r="B563" s="6">
        <f>$H$562+1</f>
        <v>46296</v>
      </c>
      <c r="C563" s="6">
        <f>DATE(nr_PlanYear,12,31)+1</f>
        <v>46753</v>
      </c>
      <c r="D563" s="6">
        <f>DATE(nr_PlanYear+1,12,31)+1</f>
        <v>47119</v>
      </c>
      <c r="E563" s="6">
        <f>IF(N($J$562)=0,$F$563-($G$563-$F$563)/($C$563-$B$563)*($B$563-$A$563),$J$562)</f>
        <v>0.89402625820568926</v>
      </c>
      <c r="F563" s="6">
        <f>$G$562</f>
        <v>0.91</v>
      </c>
      <c r="G563" s="6">
        <f>$I$562</f>
        <v>0.93</v>
      </c>
      <c r="H563" s="6">
        <f>IF(N($K$562)=0,$I$562,$K$562)</f>
        <v>0.93</v>
      </c>
      <c r="I563" s="6">
        <f>($F$563-$E$563)/($B$563-$A$563)</f>
        <v>4.3763676148796628E-5</v>
      </c>
      <c r="J563" s="6">
        <f>($G$563-$F$563)/($C$563-$B$563)</f>
        <v>4.376367614879654E-5</v>
      </c>
      <c r="K563" s="6">
        <f>($H$563-$G$563)/($D$563-$C$563)</f>
        <v>0</v>
      </c>
    </row>
    <row r="564" spans="1:21" ht="36" x14ac:dyDescent="0.3">
      <c r="A564" s="58" t="s">
        <v>390</v>
      </c>
      <c r="B564" s="58" t="s">
        <v>449</v>
      </c>
      <c r="C564" s="58" t="s">
        <v>685</v>
      </c>
      <c r="D564" s="58" t="s">
        <v>686</v>
      </c>
      <c r="E564" s="58" t="s">
        <v>687</v>
      </c>
      <c r="F564" s="58" t="s">
        <v>688</v>
      </c>
      <c r="G564" s="58" t="s">
        <v>689</v>
      </c>
      <c r="H564" s="58" t="s">
        <v>452</v>
      </c>
      <c r="I564" s="58" t="s">
        <v>690</v>
      </c>
      <c r="J564" s="58" t="s">
        <v>691</v>
      </c>
      <c r="K564" s="58" t="s">
        <v>692</v>
      </c>
      <c r="L564" s="58" t="s">
        <v>693</v>
      </c>
      <c r="M564" s="58" t="s">
        <v>694</v>
      </c>
      <c r="N564" s="58" t="s">
        <v>695</v>
      </c>
      <c r="O564" s="58" t="s">
        <v>696</v>
      </c>
      <c r="P564" s="58" t="s">
        <v>697</v>
      </c>
      <c r="Q564" s="58" t="s">
        <v>698</v>
      </c>
      <c r="R564" s="58" t="s">
        <v>699</v>
      </c>
      <c r="S564" s="58" t="s">
        <v>700</v>
      </c>
      <c r="T564" s="58" t="s">
        <v>701</v>
      </c>
      <c r="U564" s="58" t="s">
        <v>702</v>
      </c>
    </row>
    <row r="565" spans="1:21" x14ac:dyDescent="0.3">
      <c r="A565" s="187">
        <v>1</v>
      </c>
      <c r="B565" s="242">
        <f>DATE(nr_PlanYear-2,1,1)</f>
        <v>45658</v>
      </c>
      <c r="C565" s="243">
        <f t="shared" ref="C565:C612" si="254">EOMONTH($B565,0)</f>
        <v>45688</v>
      </c>
      <c r="D565" s="120">
        <f t="shared" ref="D565:D612" si="255">$C565-$B565+1</f>
        <v>31</v>
      </c>
      <c r="E565" s="120">
        <f t="shared" ref="E565:E612" si="256">MONTH($B565)</f>
        <v>1</v>
      </c>
      <c r="F565" s="275">
        <f t="shared" ref="F565:F612" si="257">($B565+$C565+1)/2</f>
        <v>45673.5</v>
      </c>
      <c r="G565" s="120">
        <f t="shared" ref="G565:G612" si="258">YEAR($B565)*12+MONTH($B565)-1</f>
        <v>24300</v>
      </c>
      <c r="H565" s="245">
        <f t="shared" ref="H565:H612" si="259">IF(OR(nr_SeasonOn="OFF",$D$562=0,$E$562=0),1,12*INDEX(se_block,$D$562,$E565)/$E$562)</f>
        <v>1</v>
      </c>
      <c r="I565" s="121">
        <f t="shared" ref="I565:I612" si="260">EXP(SUMPRODUCT((rl_eff&lt;$B565)*(rl_key=$A$562)*rl_ln1p))</f>
        <v>1</v>
      </c>
      <c r="J565" s="121">
        <f t="shared" ref="J565:J612" si="261">EXP(SUMPRODUCT((rl_eff&lt;=$C565)*(rl_key=$A$562)*rl_ln1p))</f>
        <v>1</v>
      </c>
      <c r="K565" s="120">
        <f t="shared" ref="K565:K612" si="262">COUNTIFS(rl_key,$A$562,rl_eff,"&gt;="&amp;$B565,rl_eff,"&lt;="&amp;$C565)</f>
        <v>0</v>
      </c>
      <c r="L565" s="120">
        <f t="shared" ref="L565:L612" si="263">SUMIFS(rl_daysafter,rl_key,$A$562,rl_effmonth,$B565,rl_first,1)</f>
        <v>0</v>
      </c>
      <c r="M565" s="246">
        <f t="shared" ref="M565:M612" si="264">IF($K565=0,0,MIN(1,$L565/$D565))</f>
        <v>0</v>
      </c>
      <c r="N565" s="121">
        <f t="shared" ref="N565:N612" si="265">IF($K565=0,$J565,(1-$M565)*$I565+$M565*$J565)</f>
        <v>1</v>
      </c>
      <c r="O565" s="246">
        <f t="shared" ref="O565:O612" si="266">IF($F565&lt;$B$563,$E$563+$I$563*($F565-$A$563),IF($F565&lt;$C$563,$F$563+$J$563*($F565-$B$563),$G$563+$K$563*($F565-$C$563)))</f>
        <v>0.88275711159737413</v>
      </c>
      <c r="P565" s="121">
        <f t="shared" ref="P565:P612" si="267">MIN(1,MAX(0,(nr_MEndPm1-$G565+0.5)/$C$562))-MIN(1,MAX(0,(nr_MStartPm1-1-$G565+0.5)/$C$562))</f>
        <v>0</v>
      </c>
      <c r="Q565" s="121">
        <f t="shared" ref="Q565:Q612" si="268">MIN(1,MAX(0,(nr_MEndP-$G565+0.5)/$C$562))-MIN(1,MAX(0,(nr_MStartP-1-$G565+0.5)/$C$562))</f>
        <v>0</v>
      </c>
      <c r="R565" s="121">
        <f t="shared" ref="R565:R612" si="269">MIN(1,MAX(0,(nr_MEndP1-$G565+0.5)/$C$562))-MIN(1,MAX(0,(nr_MStartP1-1-$G565+0.5)/$C$562))</f>
        <v>0</v>
      </c>
      <c r="S565" s="121" t="str">
        <f t="shared" ref="S565:S612" si="270">IF($L$562,$N565*IF($O$562=1,$O565/$F$562,1),"")</f>
        <v/>
      </c>
      <c r="T565" s="121" t="str">
        <f t="shared" ref="T565:T612" si="271">IF(NOT($L$562),"",IF($G565&lt;nr_MStartP,$S565,$T553*(1+IF($G565&lt;nr_MStartP1,$M$562,$N$562))))</f>
        <v/>
      </c>
      <c r="U565" s="121">
        <f t="shared" ref="U565:U612" si="272">IF($L$562,$T565,$N565)</f>
        <v>1</v>
      </c>
    </row>
    <row r="566" spans="1:21" x14ac:dyDescent="0.3">
      <c r="A566" s="187">
        <v>2</v>
      </c>
      <c r="B566" s="242">
        <f t="shared" ref="B566:B612" si="273">EDATE($B565,1)</f>
        <v>45689</v>
      </c>
      <c r="C566" s="243">
        <f t="shared" si="254"/>
        <v>45716</v>
      </c>
      <c r="D566" s="120">
        <f t="shared" si="255"/>
        <v>28</v>
      </c>
      <c r="E566" s="120">
        <f t="shared" si="256"/>
        <v>2</v>
      </c>
      <c r="F566" s="275">
        <f t="shared" si="257"/>
        <v>45703</v>
      </c>
      <c r="G566" s="120">
        <f t="shared" si="258"/>
        <v>24301</v>
      </c>
      <c r="H566" s="245">
        <f t="shared" si="259"/>
        <v>1</v>
      </c>
      <c r="I566" s="121">
        <f t="shared" si="260"/>
        <v>1</v>
      </c>
      <c r="J566" s="121">
        <f t="shared" si="261"/>
        <v>1</v>
      </c>
      <c r="K566" s="120">
        <f t="shared" si="262"/>
        <v>0</v>
      </c>
      <c r="L566" s="120">
        <f t="shared" si="263"/>
        <v>0</v>
      </c>
      <c r="M566" s="246">
        <f t="shared" si="264"/>
        <v>0</v>
      </c>
      <c r="N566" s="121">
        <f t="shared" si="265"/>
        <v>1</v>
      </c>
      <c r="O566" s="246">
        <f t="shared" si="266"/>
        <v>0.88404814004376364</v>
      </c>
      <c r="P566" s="121">
        <f t="shared" si="267"/>
        <v>0</v>
      </c>
      <c r="Q566" s="121">
        <f t="shared" si="268"/>
        <v>0</v>
      </c>
      <c r="R566" s="121">
        <f t="shared" si="269"/>
        <v>0</v>
      </c>
      <c r="S566" s="121" t="str">
        <f t="shared" si="270"/>
        <v/>
      </c>
      <c r="T566" s="121" t="str">
        <f t="shared" si="271"/>
        <v/>
      </c>
      <c r="U566" s="121">
        <f t="shared" si="272"/>
        <v>1</v>
      </c>
    </row>
    <row r="567" spans="1:21" x14ac:dyDescent="0.3">
      <c r="A567" s="187">
        <v>3</v>
      </c>
      <c r="B567" s="242">
        <f t="shared" si="273"/>
        <v>45717</v>
      </c>
      <c r="C567" s="243">
        <f t="shared" si="254"/>
        <v>45747</v>
      </c>
      <c r="D567" s="120">
        <f t="shared" si="255"/>
        <v>31</v>
      </c>
      <c r="E567" s="120">
        <f t="shared" si="256"/>
        <v>3</v>
      </c>
      <c r="F567" s="275">
        <f t="shared" si="257"/>
        <v>45732.5</v>
      </c>
      <c r="G567" s="120">
        <f t="shared" si="258"/>
        <v>24302</v>
      </c>
      <c r="H567" s="245">
        <f t="shared" si="259"/>
        <v>1</v>
      </c>
      <c r="I567" s="121">
        <f t="shared" si="260"/>
        <v>1</v>
      </c>
      <c r="J567" s="121">
        <f t="shared" si="261"/>
        <v>1</v>
      </c>
      <c r="K567" s="120">
        <f t="shared" si="262"/>
        <v>0</v>
      </c>
      <c r="L567" s="120">
        <f t="shared" si="263"/>
        <v>0</v>
      </c>
      <c r="M567" s="246">
        <f t="shared" si="264"/>
        <v>0</v>
      </c>
      <c r="N567" s="121">
        <f t="shared" si="265"/>
        <v>1</v>
      </c>
      <c r="O567" s="246">
        <f t="shared" si="266"/>
        <v>0.88533916849015315</v>
      </c>
      <c r="P567" s="121">
        <f t="shared" si="267"/>
        <v>0</v>
      </c>
      <c r="Q567" s="121">
        <f t="shared" si="268"/>
        <v>0</v>
      </c>
      <c r="R567" s="121">
        <f t="shared" si="269"/>
        <v>0</v>
      </c>
      <c r="S567" s="121" t="str">
        <f t="shared" si="270"/>
        <v/>
      </c>
      <c r="T567" s="121" t="str">
        <f t="shared" si="271"/>
        <v/>
      </c>
      <c r="U567" s="121">
        <f t="shared" si="272"/>
        <v>1</v>
      </c>
    </row>
    <row r="568" spans="1:21" x14ac:dyDescent="0.3">
      <c r="A568" s="187">
        <v>4</v>
      </c>
      <c r="B568" s="242">
        <f t="shared" si="273"/>
        <v>45748</v>
      </c>
      <c r="C568" s="243">
        <f t="shared" si="254"/>
        <v>45777</v>
      </c>
      <c r="D568" s="120">
        <f t="shared" si="255"/>
        <v>30</v>
      </c>
      <c r="E568" s="120">
        <f t="shared" si="256"/>
        <v>4</v>
      </c>
      <c r="F568" s="275">
        <f t="shared" si="257"/>
        <v>45763</v>
      </c>
      <c r="G568" s="120">
        <f t="shared" si="258"/>
        <v>24303</v>
      </c>
      <c r="H568" s="245">
        <f t="shared" si="259"/>
        <v>1</v>
      </c>
      <c r="I568" s="121">
        <f t="shared" si="260"/>
        <v>1</v>
      </c>
      <c r="J568" s="121">
        <f t="shared" si="261"/>
        <v>1</v>
      </c>
      <c r="K568" s="120">
        <f t="shared" si="262"/>
        <v>0</v>
      </c>
      <c r="L568" s="120">
        <f t="shared" si="263"/>
        <v>0</v>
      </c>
      <c r="M568" s="246">
        <f t="shared" si="264"/>
        <v>0</v>
      </c>
      <c r="N568" s="121">
        <f t="shared" si="265"/>
        <v>1</v>
      </c>
      <c r="O568" s="246">
        <f t="shared" si="266"/>
        <v>0.88667396061269144</v>
      </c>
      <c r="P568" s="121">
        <f t="shared" si="267"/>
        <v>0</v>
      </c>
      <c r="Q568" s="121">
        <f t="shared" si="268"/>
        <v>0</v>
      </c>
      <c r="R568" s="121">
        <f t="shared" si="269"/>
        <v>0</v>
      </c>
      <c r="S568" s="121" t="str">
        <f t="shared" si="270"/>
        <v/>
      </c>
      <c r="T568" s="121" t="str">
        <f t="shared" si="271"/>
        <v/>
      </c>
      <c r="U568" s="121">
        <f t="shared" si="272"/>
        <v>1</v>
      </c>
    </row>
    <row r="569" spans="1:21" x14ac:dyDescent="0.3">
      <c r="A569" s="187">
        <v>5</v>
      </c>
      <c r="B569" s="242">
        <f t="shared" si="273"/>
        <v>45778</v>
      </c>
      <c r="C569" s="243">
        <f t="shared" si="254"/>
        <v>45808</v>
      </c>
      <c r="D569" s="120">
        <f t="shared" si="255"/>
        <v>31</v>
      </c>
      <c r="E569" s="120">
        <f t="shared" si="256"/>
        <v>5</v>
      </c>
      <c r="F569" s="275">
        <f t="shared" si="257"/>
        <v>45793.5</v>
      </c>
      <c r="G569" s="120">
        <f t="shared" si="258"/>
        <v>24304</v>
      </c>
      <c r="H569" s="245">
        <f t="shared" si="259"/>
        <v>1</v>
      </c>
      <c r="I569" s="121">
        <f t="shared" si="260"/>
        <v>1</v>
      </c>
      <c r="J569" s="121">
        <f t="shared" si="261"/>
        <v>1</v>
      </c>
      <c r="K569" s="120">
        <f t="shared" si="262"/>
        <v>0</v>
      </c>
      <c r="L569" s="120">
        <f t="shared" si="263"/>
        <v>0</v>
      </c>
      <c r="M569" s="246">
        <f t="shared" si="264"/>
        <v>0</v>
      </c>
      <c r="N569" s="121">
        <f t="shared" si="265"/>
        <v>1</v>
      </c>
      <c r="O569" s="246">
        <f t="shared" si="266"/>
        <v>0.88800875273522972</v>
      </c>
      <c r="P569" s="121">
        <f t="shared" si="267"/>
        <v>0</v>
      </c>
      <c r="Q569" s="121">
        <f t="shared" si="268"/>
        <v>0</v>
      </c>
      <c r="R569" s="121">
        <f t="shared" si="269"/>
        <v>0</v>
      </c>
      <c r="S569" s="121" t="str">
        <f t="shared" si="270"/>
        <v/>
      </c>
      <c r="T569" s="121" t="str">
        <f t="shared" si="271"/>
        <v/>
      </c>
      <c r="U569" s="121">
        <f t="shared" si="272"/>
        <v>1</v>
      </c>
    </row>
    <row r="570" spans="1:21" x14ac:dyDescent="0.3">
      <c r="A570" s="187">
        <v>6</v>
      </c>
      <c r="B570" s="242">
        <f t="shared" si="273"/>
        <v>45809</v>
      </c>
      <c r="C570" s="243">
        <f t="shared" si="254"/>
        <v>45838</v>
      </c>
      <c r="D570" s="120">
        <f t="shared" si="255"/>
        <v>30</v>
      </c>
      <c r="E570" s="120">
        <f t="shared" si="256"/>
        <v>6</v>
      </c>
      <c r="F570" s="275">
        <f t="shared" si="257"/>
        <v>45824</v>
      </c>
      <c r="G570" s="120">
        <f t="shared" si="258"/>
        <v>24305</v>
      </c>
      <c r="H570" s="245">
        <f t="shared" si="259"/>
        <v>1</v>
      </c>
      <c r="I570" s="121">
        <f t="shared" si="260"/>
        <v>1</v>
      </c>
      <c r="J570" s="121">
        <f t="shared" si="261"/>
        <v>1</v>
      </c>
      <c r="K570" s="120">
        <f t="shared" si="262"/>
        <v>0</v>
      </c>
      <c r="L570" s="120">
        <f t="shared" si="263"/>
        <v>0</v>
      </c>
      <c r="M570" s="246">
        <f t="shared" si="264"/>
        <v>0</v>
      </c>
      <c r="N570" s="121">
        <f t="shared" si="265"/>
        <v>1</v>
      </c>
      <c r="O570" s="246">
        <f t="shared" si="266"/>
        <v>0.88934354485776801</v>
      </c>
      <c r="P570" s="121">
        <f t="shared" si="267"/>
        <v>0</v>
      </c>
      <c r="Q570" s="121">
        <f t="shared" si="268"/>
        <v>0</v>
      </c>
      <c r="R570" s="121">
        <f t="shared" si="269"/>
        <v>0</v>
      </c>
      <c r="S570" s="121" t="str">
        <f t="shared" si="270"/>
        <v/>
      </c>
      <c r="T570" s="121" t="str">
        <f t="shared" si="271"/>
        <v/>
      </c>
      <c r="U570" s="121">
        <f t="shared" si="272"/>
        <v>1</v>
      </c>
    </row>
    <row r="571" spans="1:21" x14ac:dyDescent="0.3">
      <c r="A571" s="187">
        <v>7</v>
      </c>
      <c r="B571" s="242">
        <f t="shared" si="273"/>
        <v>45839</v>
      </c>
      <c r="C571" s="243">
        <f t="shared" si="254"/>
        <v>45869</v>
      </c>
      <c r="D571" s="120">
        <f t="shared" si="255"/>
        <v>31</v>
      </c>
      <c r="E571" s="120">
        <f t="shared" si="256"/>
        <v>7</v>
      </c>
      <c r="F571" s="275">
        <f t="shared" si="257"/>
        <v>45854.5</v>
      </c>
      <c r="G571" s="120">
        <f t="shared" si="258"/>
        <v>24306</v>
      </c>
      <c r="H571" s="245">
        <f t="shared" si="259"/>
        <v>1</v>
      </c>
      <c r="I571" s="121">
        <f t="shared" si="260"/>
        <v>1</v>
      </c>
      <c r="J571" s="121">
        <f t="shared" si="261"/>
        <v>1</v>
      </c>
      <c r="K571" s="120">
        <f t="shared" si="262"/>
        <v>0</v>
      </c>
      <c r="L571" s="120">
        <f t="shared" si="263"/>
        <v>0</v>
      </c>
      <c r="M571" s="246">
        <f t="shared" si="264"/>
        <v>0</v>
      </c>
      <c r="N571" s="121">
        <f t="shared" si="265"/>
        <v>1</v>
      </c>
      <c r="O571" s="246">
        <f t="shared" si="266"/>
        <v>0.8906783369803063</v>
      </c>
      <c r="P571" s="121">
        <f t="shared" si="267"/>
        <v>8.333333333333337E-2</v>
      </c>
      <c r="Q571" s="121">
        <f t="shared" si="268"/>
        <v>0</v>
      </c>
      <c r="R571" s="121">
        <f t="shared" si="269"/>
        <v>0</v>
      </c>
      <c r="S571" s="121" t="str">
        <f t="shared" si="270"/>
        <v/>
      </c>
      <c r="T571" s="121" t="str">
        <f t="shared" si="271"/>
        <v/>
      </c>
      <c r="U571" s="121">
        <f t="shared" si="272"/>
        <v>1</v>
      </c>
    </row>
    <row r="572" spans="1:21" x14ac:dyDescent="0.3">
      <c r="A572" s="187">
        <v>8</v>
      </c>
      <c r="B572" s="242">
        <f t="shared" si="273"/>
        <v>45870</v>
      </c>
      <c r="C572" s="243">
        <f t="shared" si="254"/>
        <v>45900</v>
      </c>
      <c r="D572" s="120">
        <f t="shared" si="255"/>
        <v>31</v>
      </c>
      <c r="E572" s="120">
        <f t="shared" si="256"/>
        <v>8</v>
      </c>
      <c r="F572" s="275">
        <f t="shared" si="257"/>
        <v>45885.5</v>
      </c>
      <c r="G572" s="120">
        <f t="shared" si="258"/>
        <v>24307</v>
      </c>
      <c r="H572" s="245">
        <f t="shared" si="259"/>
        <v>1</v>
      </c>
      <c r="I572" s="121">
        <f t="shared" si="260"/>
        <v>1</v>
      </c>
      <c r="J572" s="121">
        <f t="shared" si="261"/>
        <v>1</v>
      </c>
      <c r="K572" s="120">
        <f t="shared" si="262"/>
        <v>0</v>
      </c>
      <c r="L572" s="120">
        <f t="shared" si="263"/>
        <v>0</v>
      </c>
      <c r="M572" s="246">
        <f t="shared" si="264"/>
        <v>0</v>
      </c>
      <c r="N572" s="121">
        <f t="shared" si="265"/>
        <v>1</v>
      </c>
      <c r="O572" s="246">
        <f t="shared" si="266"/>
        <v>0.89203501094091897</v>
      </c>
      <c r="P572" s="121">
        <f t="shared" si="267"/>
        <v>0.25</v>
      </c>
      <c r="Q572" s="121">
        <f t="shared" si="268"/>
        <v>0</v>
      </c>
      <c r="R572" s="121">
        <f t="shared" si="269"/>
        <v>0</v>
      </c>
      <c r="S572" s="121" t="str">
        <f t="shared" si="270"/>
        <v/>
      </c>
      <c r="T572" s="121" t="str">
        <f t="shared" si="271"/>
        <v/>
      </c>
      <c r="U572" s="121">
        <f t="shared" si="272"/>
        <v>1</v>
      </c>
    </row>
    <row r="573" spans="1:21" x14ac:dyDescent="0.3">
      <c r="A573" s="187">
        <v>9</v>
      </c>
      <c r="B573" s="242">
        <f t="shared" si="273"/>
        <v>45901</v>
      </c>
      <c r="C573" s="243">
        <f t="shared" si="254"/>
        <v>45930</v>
      </c>
      <c r="D573" s="120">
        <f t="shared" si="255"/>
        <v>30</v>
      </c>
      <c r="E573" s="120">
        <f t="shared" si="256"/>
        <v>9</v>
      </c>
      <c r="F573" s="275">
        <f t="shared" si="257"/>
        <v>45916</v>
      </c>
      <c r="G573" s="120">
        <f t="shared" si="258"/>
        <v>24308</v>
      </c>
      <c r="H573" s="245">
        <f t="shared" si="259"/>
        <v>1</v>
      </c>
      <c r="I573" s="121">
        <f t="shared" si="260"/>
        <v>1</v>
      </c>
      <c r="J573" s="121">
        <f t="shared" si="261"/>
        <v>1</v>
      </c>
      <c r="K573" s="120">
        <f t="shared" si="262"/>
        <v>0</v>
      </c>
      <c r="L573" s="120">
        <f t="shared" si="263"/>
        <v>0</v>
      </c>
      <c r="M573" s="246">
        <f t="shared" si="264"/>
        <v>0</v>
      </c>
      <c r="N573" s="121">
        <f t="shared" si="265"/>
        <v>1</v>
      </c>
      <c r="O573" s="246">
        <f t="shared" si="266"/>
        <v>0.89336980306345726</v>
      </c>
      <c r="P573" s="121">
        <f t="shared" si="267"/>
        <v>0.41666666666666663</v>
      </c>
      <c r="Q573" s="121">
        <f t="shared" si="268"/>
        <v>0</v>
      </c>
      <c r="R573" s="121">
        <f t="shared" si="269"/>
        <v>0</v>
      </c>
      <c r="S573" s="121" t="str">
        <f t="shared" si="270"/>
        <v/>
      </c>
      <c r="T573" s="121" t="str">
        <f t="shared" si="271"/>
        <v/>
      </c>
      <c r="U573" s="121">
        <f t="shared" si="272"/>
        <v>1</v>
      </c>
    </row>
    <row r="574" spans="1:21" x14ac:dyDescent="0.3">
      <c r="A574" s="187">
        <v>10</v>
      </c>
      <c r="B574" s="242">
        <f t="shared" si="273"/>
        <v>45931</v>
      </c>
      <c r="C574" s="243">
        <f t="shared" si="254"/>
        <v>45961</v>
      </c>
      <c r="D574" s="120">
        <f t="shared" si="255"/>
        <v>31</v>
      </c>
      <c r="E574" s="120">
        <f t="shared" si="256"/>
        <v>10</v>
      </c>
      <c r="F574" s="275">
        <f t="shared" si="257"/>
        <v>45946.5</v>
      </c>
      <c r="G574" s="120">
        <f t="shared" si="258"/>
        <v>24309</v>
      </c>
      <c r="H574" s="245">
        <f t="shared" si="259"/>
        <v>1</v>
      </c>
      <c r="I574" s="121">
        <f t="shared" si="260"/>
        <v>1</v>
      </c>
      <c r="J574" s="121">
        <f t="shared" si="261"/>
        <v>1</v>
      </c>
      <c r="K574" s="120">
        <f t="shared" si="262"/>
        <v>0</v>
      </c>
      <c r="L574" s="120">
        <f t="shared" si="263"/>
        <v>0</v>
      </c>
      <c r="M574" s="246">
        <f t="shared" si="264"/>
        <v>0</v>
      </c>
      <c r="N574" s="121">
        <f t="shared" si="265"/>
        <v>1</v>
      </c>
      <c r="O574" s="246">
        <f t="shared" si="266"/>
        <v>0.89470459518599565</v>
      </c>
      <c r="P574" s="121">
        <f t="shared" si="267"/>
        <v>0.58333333333333326</v>
      </c>
      <c r="Q574" s="121">
        <f t="shared" si="268"/>
        <v>0</v>
      </c>
      <c r="R574" s="121">
        <f t="shared" si="269"/>
        <v>0</v>
      </c>
      <c r="S574" s="121" t="str">
        <f t="shared" si="270"/>
        <v/>
      </c>
      <c r="T574" s="121" t="str">
        <f t="shared" si="271"/>
        <v/>
      </c>
      <c r="U574" s="121">
        <f t="shared" si="272"/>
        <v>1</v>
      </c>
    </row>
    <row r="575" spans="1:21" x14ac:dyDescent="0.3">
      <c r="A575" s="187">
        <v>11</v>
      </c>
      <c r="B575" s="242">
        <f t="shared" si="273"/>
        <v>45962</v>
      </c>
      <c r="C575" s="243">
        <f t="shared" si="254"/>
        <v>45991</v>
      </c>
      <c r="D575" s="120">
        <f t="shared" si="255"/>
        <v>30</v>
      </c>
      <c r="E575" s="120">
        <f t="shared" si="256"/>
        <v>11</v>
      </c>
      <c r="F575" s="275">
        <f t="shared" si="257"/>
        <v>45977</v>
      </c>
      <c r="G575" s="120">
        <f t="shared" si="258"/>
        <v>24310</v>
      </c>
      <c r="H575" s="245">
        <f t="shared" si="259"/>
        <v>1</v>
      </c>
      <c r="I575" s="121">
        <f t="shared" si="260"/>
        <v>1</v>
      </c>
      <c r="J575" s="121">
        <f t="shared" si="261"/>
        <v>1</v>
      </c>
      <c r="K575" s="120">
        <f t="shared" si="262"/>
        <v>0</v>
      </c>
      <c r="L575" s="120">
        <f t="shared" si="263"/>
        <v>0</v>
      </c>
      <c r="M575" s="246">
        <f t="shared" si="264"/>
        <v>0</v>
      </c>
      <c r="N575" s="121">
        <f t="shared" si="265"/>
        <v>1</v>
      </c>
      <c r="O575" s="246">
        <f t="shared" si="266"/>
        <v>0.89603938730853394</v>
      </c>
      <c r="P575" s="121">
        <f t="shared" si="267"/>
        <v>0.75</v>
      </c>
      <c r="Q575" s="121">
        <f t="shared" si="268"/>
        <v>0</v>
      </c>
      <c r="R575" s="121">
        <f t="shared" si="269"/>
        <v>0</v>
      </c>
      <c r="S575" s="121" t="str">
        <f t="shared" si="270"/>
        <v/>
      </c>
      <c r="T575" s="121" t="str">
        <f t="shared" si="271"/>
        <v/>
      </c>
      <c r="U575" s="121">
        <f t="shared" si="272"/>
        <v>1</v>
      </c>
    </row>
    <row r="576" spans="1:21" x14ac:dyDescent="0.3">
      <c r="A576" s="187">
        <v>12</v>
      </c>
      <c r="B576" s="242">
        <f t="shared" si="273"/>
        <v>45992</v>
      </c>
      <c r="C576" s="243">
        <f t="shared" si="254"/>
        <v>46022</v>
      </c>
      <c r="D576" s="120">
        <f t="shared" si="255"/>
        <v>31</v>
      </c>
      <c r="E576" s="120">
        <f t="shared" si="256"/>
        <v>12</v>
      </c>
      <c r="F576" s="275">
        <f t="shared" si="257"/>
        <v>46007.5</v>
      </c>
      <c r="G576" s="120">
        <f t="shared" si="258"/>
        <v>24311</v>
      </c>
      <c r="H576" s="245">
        <f t="shared" si="259"/>
        <v>1</v>
      </c>
      <c r="I576" s="121">
        <f t="shared" si="260"/>
        <v>1</v>
      </c>
      <c r="J576" s="121">
        <f t="shared" si="261"/>
        <v>1</v>
      </c>
      <c r="K576" s="120">
        <f t="shared" si="262"/>
        <v>0</v>
      </c>
      <c r="L576" s="120">
        <f t="shared" si="263"/>
        <v>0</v>
      </c>
      <c r="M576" s="246">
        <f t="shared" si="264"/>
        <v>0</v>
      </c>
      <c r="N576" s="121">
        <f t="shared" si="265"/>
        <v>1</v>
      </c>
      <c r="O576" s="246">
        <f t="shared" si="266"/>
        <v>0.89737417943107223</v>
      </c>
      <c r="P576" s="121">
        <f t="shared" si="267"/>
        <v>0.91666666666666663</v>
      </c>
      <c r="Q576" s="121">
        <f t="shared" si="268"/>
        <v>0</v>
      </c>
      <c r="R576" s="121">
        <f t="shared" si="269"/>
        <v>0</v>
      </c>
      <c r="S576" s="121" t="str">
        <f t="shared" si="270"/>
        <v/>
      </c>
      <c r="T576" s="121" t="str">
        <f t="shared" si="271"/>
        <v/>
      </c>
      <c r="U576" s="121">
        <f t="shared" si="272"/>
        <v>1</v>
      </c>
    </row>
    <row r="577" spans="1:21" x14ac:dyDescent="0.3">
      <c r="A577" s="187">
        <v>13</v>
      </c>
      <c r="B577" s="242">
        <f t="shared" si="273"/>
        <v>46023</v>
      </c>
      <c r="C577" s="243">
        <f t="shared" si="254"/>
        <v>46053</v>
      </c>
      <c r="D577" s="120">
        <f t="shared" si="255"/>
        <v>31</v>
      </c>
      <c r="E577" s="120">
        <f t="shared" si="256"/>
        <v>1</v>
      </c>
      <c r="F577" s="275">
        <f t="shared" si="257"/>
        <v>46038.5</v>
      </c>
      <c r="G577" s="120">
        <f t="shared" si="258"/>
        <v>24312</v>
      </c>
      <c r="H577" s="245">
        <f t="shared" si="259"/>
        <v>1</v>
      </c>
      <c r="I577" s="121">
        <f t="shared" si="260"/>
        <v>1</v>
      </c>
      <c r="J577" s="121">
        <f t="shared" si="261"/>
        <v>1</v>
      </c>
      <c r="K577" s="120">
        <f t="shared" si="262"/>
        <v>0</v>
      </c>
      <c r="L577" s="120">
        <f t="shared" si="263"/>
        <v>0</v>
      </c>
      <c r="M577" s="246">
        <f t="shared" si="264"/>
        <v>0</v>
      </c>
      <c r="N577" s="121">
        <f t="shared" si="265"/>
        <v>1</v>
      </c>
      <c r="O577" s="246">
        <f t="shared" si="266"/>
        <v>0.8987308533916849</v>
      </c>
      <c r="P577" s="121">
        <f t="shared" si="267"/>
        <v>1</v>
      </c>
      <c r="Q577" s="121">
        <f t="shared" si="268"/>
        <v>0</v>
      </c>
      <c r="R577" s="121">
        <f t="shared" si="269"/>
        <v>0</v>
      </c>
      <c r="S577" s="121" t="str">
        <f t="shared" si="270"/>
        <v/>
      </c>
      <c r="T577" s="121" t="str">
        <f t="shared" si="271"/>
        <v/>
      </c>
      <c r="U577" s="121">
        <f t="shared" si="272"/>
        <v>1</v>
      </c>
    </row>
    <row r="578" spans="1:21" x14ac:dyDescent="0.3">
      <c r="A578" s="187">
        <v>14</v>
      </c>
      <c r="B578" s="242">
        <f t="shared" si="273"/>
        <v>46054</v>
      </c>
      <c r="C578" s="243">
        <f t="shared" si="254"/>
        <v>46081</v>
      </c>
      <c r="D578" s="120">
        <f t="shared" si="255"/>
        <v>28</v>
      </c>
      <c r="E578" s="120">
        <f t="shared" si="256"/>
        <v>2</v>
      </c>
      <c r="F578" s="275">
        <f t="shared" si="257"/>
        <v>46068</v>
      </c>
      <c r="G578" s="120">
        <f t="shared" si="258"/>
        <v>24313</v>
      </c>
      <c r="H578" s="245">
        <f t="shared" si="259"/>
        <v>1</v>
      </c>
      <c r="I578" s="121">
        <f t="shared" si="260"/>
        <v>1</v>
      </c>
      <c r="J578" s="121">
        <f t="shared" si="261"/>
        <v>1</v>
      </c>
      <c r="K578" s="120">
        <f t="shared" si="262"/>
        <v>0</v>
      </c>
      <c r="L578" s="120">
        <f t="shared" si="263"/>
        <v>0</v>
      </c>
      <c r="M578" s="246">
        <f t="shared" si="264"/>
        <v>0</v>
      </c>
      <c r="N578" s="121">
        <f t="shared" si="265"/>
        <v>1</v>
      </c>
      <c r="O578" s="246">
        <f t="shared" si="266"/>
        <v>0.90002188183807441</v>
      </c>
      <c r="P578" s="121">
        <f t="shared" si="267"/>
        <v>1</v>
      </c>
      <c r="Q578" s="121">
        <f t="shared" si="268"/>
        <v>0</v>
      </c>
      <c r="R578" s="121">
        <f t="shared" si="269"/>
        <v>0</v>
      </c>
      <c r="S578" s="121" t="str">
        <f t="shared" si="270"/>
        <v/>
      </c>
      <c r="T578" s="121" t="str">
        <f t="shared" si="271"/>
        <v/>
      </c>
      <c r="U578" s="121">
        <f t="shared" si="272"/>
        <v>1</v>
      </c>
    </row>
    <row r="579" spans="1:21" x14ac:dyDescent="0.3">
      <c r="A579" s="187">
        <v>15</v>
      </c>
      <c r="B579" s="242">
        <f t="shared" si="273"/>
        <v>46082</v>
      </c>
      <c r="C579" s="243">
        <f t="shared" si="254"/>
        <v>46112</v>
      </c>
      <c r="D579" s="120">
        <f t="shared" si="255"/>
        <v>31</v>
      </c>
      <c r="E579" s="120">
        <f t="shared" si="256"/>
        <v>3</v>
      </c>
      <c r="F579" s="275">
        <f t="shared" si="257"/>
        <v>46097.5</v>
      </c>
      <c r="G579" s="120">
        <f t="shared" si="258"/>
        <v>24314</v>
      </c>
      <c r="H579" s="245">
        <f t="shared" si="259"/>
        <v>1</v>
      </c>
      <c r="I579" s="121">
        <f t="shared" si="260"/>
        <v>1</v>
      </c>
      <c r="J579" s="121">
        <f t="shared" si="261"/>
        <v>1</v>
      </c>
      <c r="K579" s="120">
        <f t="shared" si="262"/>
        <v>0</v>
      </c>
      <c r="L579" s="120">
        <f t="shared" si="263"/>
        <v>0</v>
      </c>
      <c r="M579" s="246">
        <f t="shared" si="264"/>
        <v>0</v>
      </c>
      <c r="N579" s="121">
        <f t="shared" si="265"/>
        <v>1</v>
      </c>
      <c r="O579" s="246">
        <f t="shared" si="266"/>
        <v>0.90131291028446392</v>
      </c>
      <c r="P579" s="121">
        <f t="shared" si="267"/>
        <v>1</v>
      </c>
      <c r="Q579" s="121">
        <f t="shared" si="268"/>
        <v>0</v>
      </c>
      <c r="R579" s="121">
        <f t="shared" si="269"/>
        <v>0</v>
      </c>
      <c r="S579" s="121" t="str">
        <f t="shared" si="270"/>
        <v/>
      </c>
      <c r="T579" s="121" t="str">
        <f t="shared" si="271"/>
        <v/>
      </c>
      <c r="U579" s="121">
        <f t="shared" si="272"/>
        <v>1</v>
      </c>
    </row>
    <row r="580" spans="1:21" x14ac:dyDescent="0.3">
      <c r="A580" s="187">
        <v>16</v>
      </c>
      <c r="B580" s="242">
        <f t="shared" si="273"/>
        <v>46113</v>
      </c>
      <c r="C580" s="243">
        <f t="shared" si="254"/>
        <v>46142</v>
      </c>
      <c r="D580" s="120">
        <f t="shared" si="255"/>
        <v>30</v>
      </c>
      <c r="E580" s="120">
        <f t="shared" si="256"/>
        <v>4</v>
      </c>
      <c r="F580" s="275">
        <f t="shared" si="257"/>
        <v>46128</v>
      </c>
      <c r="G580" s="120">
        <f t="shared" si="258"/>
        <v>24315</v>
      </c>
      <c r="H580" s="245">
        <f t="shared" si="259"/>
        <v>1</v>
      </c>
      <c r="I580" s="121">
        <f t="shared" si="260"/>
        <v>1</v>
      </c>
      <c r="J580" s="121">
        <f t="shared" si="261"/>
        <v>1</v>
      </c>
      <c r="K580" s="120">
        <f t="shared" si="262"/>
        <v>0</v>
      </c>
      <c r="L580" s="120">
        <f t="shared" si="263"/>
        <v>0</v>
      </c>
      <c r="M580" s="246">
        <f t="shared" si="264"/>
        <v>0</v>
      </c>
      <c r="N580" s="121">
        <f t="shared" si="265"/>
        <v>1</v>
      </c>
      <c r="O580" s="246">
        <f t="shared" si="266"/>
        <v>0.90264770240700221</v>
      </c>
      <c r="P580" s="121">
        <f t="shared" si="267"/>
        <v>1</v>
      </c>
      <c r="Q580" s="121">
        <f t="shared" si="268"/>
        <v>0</v>
      </c>
      <c r="R580" s="121">
        <f t="shared" si="269"/>
        <v>0</v>
      </c>
      <c r="S580" s="121" t="str">
        <f t="shared" si="270"/>
        <v/>
      </c>
      <c r="T580" s="121" t="str">
        <f t="shared" si="271"/>
        <v/>
      </c>
      <c r="U580" s="121">
        <f t="shared" si="272"/>
        <v>1</v>
      </c>
    </row>
    <row r="581" spans="1:21" x14ac:dyDescent="0.3">
      <c r="A581" s="187">
        <v>17</v>
      </c>
      <c r="B581" s="242">
        <f t="shared" si="273"/>
        <v>46143</v>
      </c>
      <c r="C581" s="243">
        <f t="shared" si="254"/>
        <v>46173</v>
      </c>
      <c r="D581" s="120">
        <f t="shared" si="255"/>
        <v>31</v>
      </c>
      <c r="E581" s="120">
        <f t="shared" si="256"/>
        <v>5</v>
      </c>
      <c r="F581" s="275">
        <f t="shared" si="257"/>
        <v>46158.5</v>
      </c>
      <c r="G581" s="120">
        <f t="shared" si="258"/>
        <v>24316</v>
      </c>
      <c r="H581" s="245">
        <f t="shared" si="259"/>
        <v>1</v>
      </c>
      <c r="I581" s="121">
        <f t="shared" si="260"/>
        <v>1</v>
      </c>
      <c r="J581" s="121">
        <f t="shared" si="261"/>
        <v>1</v>
      </c>
      <c r="K581" s="120">
        <f t="shared" si="262"/>
        <v>0</v>
      </c>
      <c r="L581" s="120">
        <f t="shared" si="263"/>
        <v>0</v>
      </c>
      <c r="M581" s="246">
        <f t="shared" si="264"/>
        <v>0</v>
      </c>
      <c r="N581" s="121">
        <f t="shared" si="265"/>
        <v>1</v>
      </c>
      <c r="O581" s="246">
        <f t="shared" si="266"/>
        <v>0.90398249452954049</v>
      </c>
      <c r="P581" s="121">
        <f t="shared" si="267"/>
        <v>1</v>
      </c>
      <c r="Q581" s="121">
        <f t="shared" si="268"/>
        <v>0</v>
      </c>
      <c r="R581" s="121">
        <f t="shared" si="269"/>
        <v>0</v>
      </c>
      <c r="S581" s="121" t="str">
        <f t="shared" si="270"/>
        <v/>
      </c>
      <c r="T581" s="121" t="str">
        <f t="shared" si="271"/>
        <v/>
      </c>
      <c r="U581" s="121">
        <f t="shared" si="272"/>
        <v>1</v>
      </c>
    </row>
    <row r="582" spans="1:21" x14ac:dyDescent="0.3">
      <c r="A582" s="187">
        <v>18</v>
      </c>
      <c r="B582" s="242">
        <f t="shared" si="273"/>
        <v>46174</v>
      </c>
      <c r="C582" s="243">
        <f t="shared" si="254"/>
        <v>46203</v>
      </c>
      <c r="D582" s="120">
        <f t="shared" si="255"/>
        <v>30</v>
      </c>
      <c r="E582" s="120">
        <f t="shared" si="256"/>
        <v>6</v>
      </c>
      <c r="F582" s="275">
        <f t="shared" si="257"/>
        <v>46189</v>
      </c>
      <c r="G582" s="120">
        <f t="shared" si="258"/>
        <v>24317</v>
      </c>
      <c r="H582" s="245">
        <f t="shared" si="259"/>
        <v>1</v>
      </c>
      <c r="I582" s="121">
        <f t="shared" si="260"/>
        <v>1</v>
      </c>
      <c r="J582" s="121">
        <f t="shared" si="261"/>
        <v>1</v>
      </c>
      <c r="K582" s="120">
        <f t="shared" si="262"/>
        <v>0</v>
      </c>
      <c r="L582" s="120">
        <f t="shared" si="263"/>
        <v>0</v>
      </c>
      <c r="M582" s="246">
        <f t="shared" si="264"/>
        <v>0</v>
      </c>
      <c r="N582" s="121">
        <f t="shared" si="265"/>
        <v>1</v>
      </c>
      <c r="O582" s="246">
        <f t="shared" si="266"/>
        <v>0.90531728665207878</v>
      </c>
      <c r="P582" s="121">
        <f t="shared" si="267"/>
        <v>1</v>
      </c>
      <c r="Q582" s="121">
        <f t="shared" si="268"/>
        <v>0</v>
      </c>
      <c r="R582" s="121">
        <f t="shared" si="269"/>
        <v>0</v>
      </c>
      <c r="S582" s="121" t="str">
        <f t="shared" si="270"/>
        <v/>
      </c>
      <c r="T582" s="121" t="str">
        <f t="shared" si="271"/>
        <v/>
      </c>
      <c r="U582" s="121">
        <f t="shared" si="272"/>
        <v>1</v>
      </c>
    </row>
    <row r="583" spans="1:21" x14ac:dyDescent="0.3">
      <c r="A583" s="187">
        <v>19</v>
      </c>
      <c r="B583" s="242">
        <f t="shared" si="273"/>
        <v>46204</v>
      </c>
      <c r="C583" s="243">
        <f t="shared" si="254"/>
        <v>46234</v>
      </c>
      <c r="D583" s="120">
        <f t="shared" si="255"/>
        <v>31</v>
      </c>
      <c r="E583" s="120">
        <f t="shared" si="256"/>
        <v>7</v>
      </c>
      <c r="F583" s="275">
        <f t="shared" si="257"/>
        <v>46219.5</v>
      </c>
      <c r="G583" s="120">
        <f t="shared" si="258"/>
        <v>24318</v>
      </c>
      <c r="H583" s="245">
        <f t="shared" si="259"/>
        <v>1</v>
      </c>
      <c r="I583" s="121">
        <f t="shared" si="260"/>
        <v>1</v>
      </c>
      <c r="J583" s="121">
        <f t="shared" si="261"/>
        <v>1</v>
      </c>
      <c r="K583" s="120">
        <f t="shared" si="262"/>
        <v>0</v>
      </c>
      <c r="L583" s="120">
        <f t="shared" si="263"/>
        <v>0</v>
      </c>
      <c r="M583" s="246">
        <f t="shared" si="264"/>
        <v>0</v>
      </c>
      <c r="N583" s="121">
        <f t="shared" si="265"/>
        <v>1</v>
      </c>
      <c r="O583" s="246">
        <f t="shared" si="266"/>
        <v>0.90665207877461707</v>
      </c>
      <c r="P583" s="121">
        <f t="shared" si="267"/>
        <v>0.91666666666666663</v>
      </c>
      <c r="Q583" s="121">
        <f t="shared" si="268"/>
        <v>8.333333333333337E-2</v>
      </c>
      <c r="R583" s="121">
        <f t="shared" si="269"/>
        <v>0</v>
      </c>
      <c r="S583" s="121" t="str">
        <f t="shared" si="270"/>
        <v/>
      </c>
      <c r="T583" s="121" t="str">
        <f t="shared" si="271"/>
        <v/>
      </c>
      <c r="U583" s="121">
        <f t="shared" si="272"/>
        <v>1</v>
      </c>
    </row>
    <row r="584" spans="1:21" x14ac:dyDescent="0.3">
      <c r="A584" s="187">
        <v>20</v>
      </c>
      <c r="B584" s="242">
        <f t="shared" si="273"/>
        <v>46235</v>
      </c>
      <c r="C584" s="243">
        <f t="shared" si="254"/>
        <v>46265</v>
      </c>
      <c r="D584" s="120">
        <f t="shared" si="255"/>
        <v>31</v>
      </c>
      <c r="E584" s="120">
        <f t="shared" si="256"/>
        <v>8</v>
      </c>
      <c r="F584" s="275">
        <f t="shared" si="257"/>
        <v>46250.5</v>
      </c>
      <c r="G584" s="120">
        <f t="shared" si="258"/>
        <v>24319</v>
      </c>
      <c r="H584" s="245">
        <f t="shared" si="259"/>
        <v>1</v>
      </c>
      <c r="I584" s="121">
        <f t="shared" si="260"/>
        <v>1</v>
      </c>
      <c r="J584" s="121">
        <f t="shared" si="261"/>
        <v>1</v>
      </c>
      <c r="K584" s="120">
        <f t="shared" si="262"/>
        <v>0</v>
      </c>
      <c r="L584" s="120">
        <f t="shared" si="263"/>
        <v>0</v>
      </c>
      <c r="M584" s="246">
        <f t="shared" si="264"/>
        <v>0</v>
      </c>
      <c r="N584" s="121">
        <f t="shared" si="265"/>
        <v>1</v>
      </c>
      <c r="O584" s="246">
        <f t="shared" si="266"/>
        <v>0.90800875273522974</v>
      </c>
      <c r="P584" s="121">
        <f t="shared" si="267"/>
        <v>0.75</v>
      </c>
      <c r="Q584" s="121">
        <f t="shared" si="268"/>
        <v>0.25</v>
      </c>
      <c r="R584" s="121">
        <f t="shared" si="269"/>
        <v>0</v>
      </c>
      <c r="S584" s="121" t="str">
        <f t="shared" si="270"/>
        <v/>
      </c>
      <c r="T584" s="121" t="str">
        <f t="shared" si="271"/>
        <v/>
      </c>
      <c r="U584" s="121">
        <f t="shared" si="272"/>
        <v>1</v>
      </c>
    </row>
    <row r="585" spans="1:21" x14ac:dyDescent="0.3">
      <c r="A585" s="187">
        <v>21</v>
      </c>
      <c r="B585" s="242">
        <f t="shared" si="273"/>
        <v>46266</v>
      </c>
      <c r="C585" s="243">
        <f t="shared" si="254"/>
        <v>46295</v>
      </c>
      <c r="D585" s="120">
        <f t="shared" si="255"/>
        <v>30</v>
      </c>
      <c r="E585" s="120">
        <f t="shared" si="256"/>
        <v>9</v>
      </c>
      <c r="F585" s="275">
        <f t="shared" si="257"/>
        <v>46281</v>
      </c>
      <c r="G585" s="120">
        <f t="shared" si="258"/>
        <v>24320</v>
      </c>
      <c r="H585" s="245">
        <f t="shared" si="259"/>
        <v>1</v>
      </c>
      <c r="I585" s="121">
        <f t="shared" si="260"/>
        <v>1</v>
      </c>
      <c r="J585" s="121">
        <f t="shared" si="261"/>
        <v>1</v>
      </c>
      <c r="K585" s="120">
        <f t="shared" si="262"/>
        <v>0</v>
      </c>
      <c r="L585" s="120">
        <f t="shared" si="263"/>
        <v>0</v>
      </c>
      <c r="M585" s="246">
        <f t="shared" si="264"/>
        <v>0</v>
      </c>
      <c r="N585" s="121">
        <f t="shared" si="265"/>
        <v>1</v>
      </c>
      <c r="O585" s="246">
        <f t="shared" si="266"/>
        <v>0.90934354485776803</v>
      </c>
      <c r="P585" s="121">
        <f t="shared" si="267"/>
        <v>0.58333333333333337</v>
      </c>
      <c r="Q585" s="121">
        <f t="shared" si="268"/>
        <v>0.41666666666666663</v>
      </c>
      <c r="R585" s="121">
        <f t="shared" si="269"/>
        <v>0</v>
      </c>
      <c r="S585" s="121" t="str">
        <f t="shared" si="270"/>
        <v/>
      </c>
      <c r="T585" s="121" t="str">
        <f t="shared" si="271"/>
        <v/>
      </c>
      <c r="U585" s="121">
        <f t="shared" si="272"/>
        <v>1</v>
      </c>
    </row>
    <row r="586" spans="1:21" x14ac:dyDescent="0.3">
      <c r="A586" s="187">
        <v>22</v>
      </c>
      <c r="B586" s="242">
        <f t="shared" si="273"/>
        <v>46296</v>
      </c>
      <c r="C586" s="243">
        <f t="shared" si="254"/>
        <v>46326</v>
      </c>
      <c r="D586" s="120">
        <f t="shared" si="255"/>
        <v>31</v>
      </c>
      <c r="E586" s="120">
        <f t="shared" si="256"/>
        <v>10</v>
      </c>
      <c r="F586" s="275">
        <f t="shared" si="257"/>
        <v>46311.5</v>
      </c>
      <c r="G586" s="120">
        <f t="shared" si="258"/>
        <v>24321</v>
      </c>
      <c r="H586" s="245">
        <f t="shared" si="259"/>
        <v>1</v>
      </c>
      <c r="I586" s="121">
        <f t="shared" si="260"/>
        <v>1</v>
      </c>
      <c r="J586" s="121">
        <f t="shared" si="261"/>
        <v>1.06</v>
      </c>
      <c r="K586" s="120">
        <f t="shared" si="262"/>
        <v>1</v>
      </c>
      <c r="L586" s="120">
        <f t="shared" si="263"/>
        <v>31</v>
      </c>
      <c r="M586" s="246">
        <f t="shared" si="264"/>
        <v>1</v>
      </c>
      <c r="N586" s="121">
        <f t="shared" si="265"/>
        <v>1.06</v>
      </c>
      <c r="O586" s="246">
        <f t="shared" si="266"/>
        <v>0.91067833698030642</v>
      </c>
      <c r="P586" s="121">
        <f t="shared" si="267"/>
        <v>0.41666666666666669</v>
      </c>
      <c r="Q586" s="121">
        <f t="shared" si="268"/>
        <v>0.58333333333333326</v>
      </c>
      <c r="R586" s="121">
        <f t="shared" si="269"/>
        <v>0</v>
      </c>
      <c r="S586" s="121" t="str">
        <f t="shared" si="270"/>
        <v/>
      </c>
      <c r="T586" s="121" t="str">
        <f t="shared" si="271"/>
        <v/>
      </c>
      <c r="U586" s="121">
        <f t="shared" si="272"/>
        <v>1.06</v>
      </c>
    </row>
    <row r="587" spans="1:21" x14ac:dyDescent="0.3">
      <c r="A587" s="187">
        <v>23</v>
      </c>
      <c r="B587" s="242">
        <f t="shared" si="273"/>
        <v>46327</v>
      </c>
      <c r="C587" s="243">
        <f t="shared" si="254"/>
        <v>46356</v>
      </c>
      <c r="D587" s="120">
        <f t="shared" si="255"/>
        <v>30</v>
      </c>
      <c r="E587" s="120">
        <f t="shared" si="256"/>
        <v>11</v>
      </c>
      <c r="F587" s="275">
        <f t="shared" si="257"/>
        <v>46342</v>
      </c>
      <c r="G587" s="120">
        <f t="shared" si="258"/>
        <v>24322</v>
      </c>
      <c r="H587" s="245">
        <f t="shared" si="259"/>
        <v>1</v>
      </c>
      <c r="I587" s="121">
        <f t="shared" si="260"/>
        <v>1.06</v>
      </c>
      <c r="J587" s="121">
        <f t="shared" si="261"/>
        <v>1.06</v>
      </c>
      <c r="K587" s="120">
        <f t="shared" si="262"/>
        <v>0</v>
      </c>
      <c r="L587" s="120">
        <f t="shared" si="263"/>
        <v>0</v>
      </c>
      <c r="M587" s="246">
        <f t="shared" si="264"/>
        <v>0</v>
      </c>
      <c r="N587" s="121">
        <f t="shared" si="265"/>
        <v>1.06</v>
      </c>
      <c r="O587" s="246">
        <f t="shared" si="266"/>
        <v>0.91201312910284471</v>
      </c>
      <c r="P587" s="121">
        <f t="shared" si="267"/>
        <v>0.25</v>
      </c>
      <c r="Q587" s="121">
        <f t="shared" si="268"/>
        <v>0.75</v>
      </c>
      <c r="R587" s="121">
        <f t="shared" si="269"/>
        <v>0</v>
      </c>
      <c r="S587" s="121" t="str">
        <f t="shared" si="270"/>
        <v/>
      </c>
      <c r="T587" s="121" t="str">
        <f t="shared" si="271"/>
        <v/>
      </c>
      <c r="U587" s="121">
        <f t="shared" si="272"/>
        <v>1.06</v>
      </c>
    </row>
    <row r="588" spans="1:21" x14ac:dyDescent="0.3">
      <c r="A588" s="187">
        <v>24</v>
      </c>
      <c r="B588" s="242">
        <f t="shared" si="273"/>
        <v>46357</v>
      </c>
      <c r="C588" s="243">
        <f t="shared" si="254"/>
        <v>46387</v>
      </c>
      <c r="D588" s="120">
        <f t="shared" si="255"/>
        <v>31</v>
      </c>
      <c r="E588" s="120">
        <f t="shared" si="256"/>
        <v>12</v>
      </c>
      <c r="F588" s="275">
        <f t="shared" si="257"/>
        <v>46372.5</v>
      </c>
      <c r="G588" s="120">
        <f t="shared" si="258"/>
        <v>24323</v>
      </c>
      <c r="H588" s="245">
        <f t="shared" si="259"/>
        <v>1</v>
      </c>
      <c r="I588" s="121">
        <f t="shared" si="260"/>
        <v>1.06</v>
      </c>
      <c r="J588" s="121">
        <f t="shared" si="261"/>
        <v>1.06</v>
      </c>
      <c r="K588" s="120">
        <f t="shared" si="262"/>
        <v>0</v>
      </c>
      <c r="L588" s="120">
        <f t="shared" si="263"/>
        <v>0</v>
      </c>
      <c r="M588" s="246">
        <f t="shared" si="264"/>
        <v>0</v>
      </c>
      <c r="N588" s="121">
        <f t="shared" si="265"/>
        <v>1.06</v>
      </c>
      <c r="O588" s="246">
        <f t="shared" si="266"/>
        <v>0.913347921225383</v>
      </c>
      <c r="P588" s="121">
        <f t="shared" si="267"/>
        <v>8.3333333333333329E-2</v>
      </c>
      <c r="Q588" s="121">
        <f t="shared" si="268"/>
        <v>0.91666666666666663</v>
      </c>
      <c r="R588" s="121">
        <f t="shared" si="269"/>
        <v>0</v>
      </c>
      <c r="S588" s="121" t="str">
        <f t="shared" si="270"/>
        <v/>
      </c>
      <c r="T588" s="121" t="str">
        <f t="shared" si="271"/>
        <v/>
      </c>
      <c r="U588" s="121">
        <f t="shared" si="272"/>
        <v>1.06</v>
      </c>
    </row>
    <row r="589" spans="1:21" x14ac:dyDescent="0.3">
      <c r="A589" s="187">
        <v>25</v>
      </c>
      <c r="B589" s="242">
        <f t="shared" si="273"/>
        <v>46388</v>
      </c>
      <c r="C589" s="243">
        <f t="shared" si="254"/>
        <v>46418</v>
      </c>
      <c r="D589" s="120">
        <f t="shared" si="255"/>
        <v>31</v>
      </c>
      <c r="E589" s="120">
        <f t="shared" si="256"/>
        <v>1</v>
      </c>
      <c r="F589" s="275">
        <f t="shared" si="257"/>
        <v>46403.5</v>
      </c>
      <c r="G589" s="120">
        <f t="shared" si="258"/>
        <v>24324</v>
      </c>
      <c r="H589" s="245">
        <f t="shared" si="259"/>
        <v>1</v>
      </c>
      <c r="I589" s="121">
        <f t="shared" si="260"/>
        <v>1.06</v>
      </c>
      <c r="J589" s="121">
        <f t="shared" si="261"/>
        <v>1.06</v>
      </c>
      <c r="K589" s="120">
        <f t="shared" si="262"/>
        <v>0</v>
      </c>
      <c r="L589" s="120">
        <f t="shared" si="263"/>
        <v>0</v>
      </c>
      <c r="M589" s="246">
        <f t="shared" si="264"/>
        <v>0</v>
      </c>
      <c r="N589" s="121">
        <f t="shared" si="265"/>
        <v>1.06</v>
      </c>
      <c r="O589" s="246">
        <f t="shared" si="266"/>
        <v>0.91470459518599567</v>
      </c>
      <c r="P589" s="121">
        <f t="shared" si="267"/>
        <v>0</v>
      </c>
      <c r="Q589" s="121">
        <f t="shared" si="268"/>
        <v>1</v>
      </c>
      <c r="R589" s="121">
        <f t="shared" si="269"/>
        <v>0</v>
      </c>
      <c r="S589" s="121" t="str">
        <f t="shared" si="270"/>
        <v/>
      </c>
      <c r="T589" s="121" t="str">
        <f t="shared" si="271"/>
        <v/>
      </c>
      <c r="U589" s="121">
        <f t="shared" si="272"/>
        <v>1.06</v>
      </c>
    </row>
    <row r="590" spans="1:21" x14ac:dyDescent="0.3">
      <c r="A590" s="187">
        <v>26</v>
      </c>
      <c r="B590" s="242">
        <f t="shared" si="273"/>
        <v>46419</v>
      </c>
      <c r="C590" s="243">
        <f t="shared" si="254"/>
        <v>46446</v>
      </c>
      <c r="D590" s="120">
        <f t="shared" si="255"/>
        <v>28</v>
      </c>
      <c r="E590" s="120">
        <f t="shared" si="256"/>
        <v>2</v>
      </c>
      <c r="F590" s="275">
        <f t="shared" si="257"/>
        <v>46433</v>
      </c>
      <c r="G590" s="120">
        <f t="shared" si="258"/>
        <v>24325</v>
      </c>
      <c r="H590" s="245">
        <f t="shared" si="259"/>
        <v>1</v>
      </c>
      <c r="I590" s="121">
        <f t="shared" si="260"/>
        <v>1.06</v>
      </c>
      <c r="J590" s="121">
        <f t="shared" si="261"/>
        <v>1.06</v>
      </c>
      <c r="K590" s="120">
        <f t="shared" si="262"/>
        <v>0</v>
      </c>
      <c r="L590" s="120">
        <f t="shared" si="263"/>
        <v>0</v>
      </c>
      <c r="M590" s="246">
        <f t="shared" si="264"/>
        <v>0</v>
      </c>
      <c r="N590" s="121">
        <f t="shared" si="265"/>
        <v>1.06</v>
      </c>
      <c r="O590" s="246">
        <f t="shared" si="266"/>
        <v>0.91599562363238518</v>
      </c>
      <c r="P590" s="121">
        <f t="shared" si="267"/>
        <v>0</v>
      </c>
      <c r="Q590" s="121">
        <f t="shared" si="268"/>
        <v>1</v>
      </c>
      <c r="R590" s="121">
        <f t="shared" si="269"/>
        <v>0</v>
      </c>
      <c r="S590" s="121" t="str">
        <f t="shared" si="270"/>
        <v/>
      </c>
      <c r="T590" s="121" t="str">
        <f t="shared" si="271"/>
        <v/>
      </c>
      <c r="U590" s="121">
        <f t="shared" si="272"/>
        <v>1.06</v>
      </c>
    </row>
    <row r="591" spans="1:21" x14ac:dyDescent="0.3">
      <c r="A591" s="187">
        <v>27</v>
      </c>
      <c r="B591" s="242">
        <f t="shared" si="273"/>
        <v>46447</v>
      </c>
      <c r="C591" s="243">
        <f t="shared" si="254"/>
        <v>46477</v>
      </c>
      <c r="D591" s="120">
        <f t="shared" si="255"/>
        <v>31</v>
      </c>
      <c r="E591" s="120">
        <f t="shared" si="256"/>
        <v>3</v>
      </c>
      <c r="F591" s="275">
        <f t="shared" si="257"/>
        <v>46462.5</v>
      </c>
      <c r="G591" s="120">
        <f t="shared" si="258"/>
        <v>24326</v>
      </c>
      <c r="H591" s="245">
        <f t="shared" si="259"/>
        <v>1</v>
      </c>
      <c r="I591" s="121">
        <f t="shared" si="260"/>
        <v>1.06</v>
      </c>
      <c r="J591" s="121">
        <f t="shared" si="261"/>
        <v>1.06</v>
      </c>
      <c r="K591" s="120">
        <f t="shared" si="262"/>
        <v>0</v>
      </c>
      <c r="L591" s="120">
        <f t="shared" si="263"/>
        <v>0</v>
      </c>
      <c r="M591" s="246">
        <f t="shared" si="264"/>
        <v>0</v>
      </c>
      <c r="N591" s="121">
        <f t="shared" si="265"/>
        <v>1.06</v>
      </c>
      <c r="O591" s="246">
        <f t="shared" si="266"/>
        <v>0.91728665207877469</v>
      </c>
      <c r="P591" s="121">
        <f t="shared" si="267"/>
        <v>0</v>
      </c>
      <c r="Q591" s="121">
        <f t="shared" si="268"/>
        <v>1</v>
      </c>
      <c r="R591" s="121">
        <f t="shared" si="269"/>
        <v>0</v>
      </c>
      <c r="S591" s="121" t="str">
        <f t="shared" si="270"/>
        <v/>
      </c>
      <c r="T591" s="121" t="str">
        <f t="shared" si="271"/>
        <v/>
      </c>
      <c r="U591" s="121">
        <f t="shared" si="272"/>
        <v>1.06</v>
      </c>
    </row>
    <row r="592" spans="1:21" x14ac:dyDescent="0.3">
      <c r="A592" s="187">
        <v>28</v>
      </c>
      <c r="B592" s="242">
        <f t="shared" si="273"/>
        <v>46478</v>
      </c>
      <c r="C592" s="243">
        <f t="shared" si="254"/>
        <v>46507</v>
      </c>
      <c r="D592" s="120">
        <f t="shared" si="255"/>
        <v>30</v>
      </c>
      <c r="E592" s="120">
        <f t="shared" si="256"/>
        <v>4</v>
      </c>
      <c r="F592" s="275">
        <f t="shared" si="257"/>
        <v>46493</v>
      </c>
      <c r="G592" s="120">
        <f t="shared" si="258"/>
        <v>24327</v>
      </c>
      <c r="H592" s="245">
        <f t="shared" si="259"/>
        <v>1</v>
      </c>
      <c r="I592" s="121">
        <f t="shared" si="260"/>
        <v>1.06</v>
      </c>
      <c r="J592" s="121">
        <f t="shared" si="261"/>
        <v>1.06</v>
      </c>
      <c r="K592" s="120">
        <f t="shared" si="262"/>
        <v>0</v>
      </c>
      <c r="L592" s="120">
        <f t="shared" si="263"/>
        <v>0</v>
      </c>
      <c r="M592" s="246">
        <f t="shared" si="264"/>
        <v>0</v>
      </c>
      <c r="N592" s="121">
        <f t="shared" si="265"/>
        <v>1.06</v>
      </c>
      <c r="O592" s="246">
        <f t="shared" si="266"/>
        <v>0.91862144420131298</v>
      </c>
      <c r="P592" s="121">
        <f t="shared" si="267"/>
        <v>0</v>
      </c>
      <c r="Q592" s="121">
        <f t="shared" si="268"/>
        <v>1</v>
      </c>
      <c r="R592" s="121">
        <f t="shared" si="269"/>
        <v>0</v>
      </c>
      <c r="S592" s="121" t="str">
        <f t="shared" si="270"/>
        <v/>
      </c>
      <c r="T592" s="121" t="str">
        <f t="shared" si="271"/>
        <v/>
      </c>
      <c r="U592" s="121">
        <f t="shared" si="272"/>
        <v>1.06</v>
      </c>
    </row>
    <row r="593" spans="1:21" x14ac:dyDescent="0.3">
      <c r="A593" s="187">
        <v>29</v>
      </c>
      <c r="B593" s="242">
        <f t="shared" si="273"/>
        <v>46508</v>
      </c>
      <c r="C593" s="243">
        <f t="shared" si="254"/>
        <v>46538</v>
      </c>
      <c r="D593" s="120">
        <f t="shared" si="255"/>
        <v>31</v>
      </c>
      <c r="E593" s="120">
        <f t="shared" si="256"/>
        <v>5</v>
      </c>
      <c r="F593" s="275">
        <f t="shared" si="257"/>
        <v>46523.5</v>
      </c>
      <c r="G593" s="120">
        <f t="shared" si="258"/>
        <v>24328</v>
      </c>
      <c r="H593" s="245">
        <f t="shared" si="259"/>
        <v>1</v>
      </c>
      <c r="I593" s="121">
        <f t="shared" si="260"/>
        <v>1.06</v>
      </c>
      <c r="J593" s="121">
        <f t="shared" si="261"/>
        <v>1.06</v>
      </c>
      <c r="K593" s="120">
        <f t="shared" si="262"/>
        <v>0</v>
      </c>
      <c r="L593" s="120">
        <f t="shared" si="263"/>
        <v>0</v>
      </c>
      <c r="M593" s="246">
        <f t="shared" si="264"/>
        <v>0</v>
      </c>
      <c r="N593" s="121">
        <f t="shared" si="265"/>
        <v>1.06</v>
      </c>
      <c r="O593" s="246">
        <f t="shared" si="266"/>
        <v>0.91995623632385126</v>
      </c>
      <c r="P593" s="121">
        <f t="shared" si="267"/>
        <v>0</v>
      </c>
      <c r="Q593" s="121">
        <f t="shared" si="268"/>
        <v>1</v>
      </c>
      <c r="R593" s="121">
        <f t="shared" si="269"/>
        <v>0</v>
      </c>
      <c r="S593" s="121" t="str">
        <f t="shared" si="270"/>
        <v/>
      </c>
      <c r="T593" s="121" t="str">
        <f t="shared" si="271"/>
        <v/>
      </c>
      <c r="U593" s="121">
        <f t="shared" si="272"/>
        <v>1.06</v>
      </c>
    </row>
    <row r="594" spans="1:21" x14ac:dyDescent="0.3">
      <c r="A594" s="187">
        <v>30</v>
      </c>
      <c r="B594" s="242">
        <f t="shared" si="273"/>
        <v>46539</v>
      </c>
      <c r="C594" s="243">
        <f t="shared" si="254"/>
        <v>46568</v>
      </c>
      <c r="D594" s="120">
        <f t="shared" si="255"/>
        <v>30</v>
      </c>
      <c r="E594" s="120">
        <f t="shared" si="256"/>
        <v>6</v>
      </c>
      <c r="F594" s="275">
        <f t="shared" si="257"/>
        <v>46554</v>
      </c>
      <c r="G594" s="120">
        <f t="shared" si="258"/>
        <v>24329</v>
      </c>
      <c r="H594" s="245">
        <f t="shared" si="259"/>
        <v>1</v>
      </c>
      <c r="I594" s="121">
        <f t="shared" si="260"/>
        <v>1.06</v>
      </c>
      <c r="J594" s="121">
        <f t="shared" si="261"/>
        <v>1.06</v>
      </c>
      <c r="K594" s="120">
        <f t="shared" si="262"/>
        <v>0</v>
      </c>
      <c r="L594" s="120">
        <f t="shared" si="263"/>
        <v>0</v>
      </c>
      <c r="M594" s="246">
        <f t="shared" si="264"/>
        <v>0</v>
      </c>
      <c r="N594" s="121">
        <f t="shared" si="265"/>
        <v>1.06</v>
      </c>
      <c r="O594" s="246">
        <f t="shared" si="266"/>
        <v>0.92129102844638955</v>
      </c>
      <c r="P594" s="121">
        <f t="shared" si="267"/>
        <v>0</v>
      </c>
      <c r="Q594" s="121">
        <f t="shared" si="268"/>
        <v>1</v>
      </c>
      <c r="R594" s="121">
        <f t="shared" si="269"/>
        <v>0</v>
      </c>
      <c r="S594" s="121" t="str">
        <f t="shared" si="270"/>
        <v/>
      </c>
      <c r="T594" s="121" t="str">
        <f t="shared" si="271"/>
        <v/>
      </c>
      <c r="U594" s="121">
        <f t="shared" si="272"/>
        <v>1.06</v>
      </c>
    </row>
    <row r="595" spans="1:21" x14ac:dyDescent="0.3">
      <c r="A595" s="187">
        <v>31</v>
      </c>
      <c r="B595" s="242">
        <f t="shared" si="273"/>
        <v>46569</v>
      </c>
      <c r="C595" s="243">
        <f t="shared" si="254"/>
        <v>46599</v>
      </c>
      <c r="D595" s="120">
        <f t="shared" si="255"/>
        <v>31</v>
      </c>
      <c r="E595" s="120">
        <f t="shared" si="256"/>
        <v>7</v>
      </c>
      <c r="F595" s="275">
        <f t="shared" si="257"/>
        <v>46584.5</v>
      </c>
      <c r="G595" s="120">
        <f t="shared" si="258"/>
        <v>24330</v>
      </c>
      <c r="H595" s="245">
        <f t="shared" si="259"/>
        <v>1</v>
      </c>
      <c r="I595" s="121">
        <f t="shared" si="260"/>
        <v>1.06</v>
      </c>
      <c r="J595" s="121">
        <f t="shared" si="261"/>
        <v>1.06</v>
      </c>
      <c r="K595" s="120">
        <f t="shared" si="262"/>
        <v>0</v>
      </c>
      <c r="L595" s="120">
        <f t="shared" si="263"/>
        <v>0</v>
      </c>
      <c r="M595" s="246">
        <f t="shared" si="264"/>
        <v>0</v>
      </c>
      <c r="N595" s="121">
        <f t="shared" si="265"/>
        <v>1.06</v>
      </c>
      <c r="O595" s="246">
        <f t="shared" si="266"/>
        <v>0.92262582056892783</v>
      </c>
      <c r="P595" s="121">
        <f t="shared" si="267"/>
        <v>0</v>
      </c>
      <c r="Q595" s="121">
        <f t="shared" si="268"/>
        <v>0.91666666666666663</v>
      </c>
      <c r="R595" s="121">
        <f t="shared" si="269"/>
        <v>8.333333333333337E-2</v>
      </c>
      <c r="S595" s="121" t="str">
        <f t="shared" si="270"/>
        <v/>
      </c>
      <c r="T595" s="121" t="str">
        <f t="shared" si="271"/>
        <v/>
      </c>
      <c r="U595" s="121">
        <f t="shared" si="272"/>
        <v>1.06</v>
      </c>
    </row>
    <row r="596" spans="1:21" x14ac:dyDescent="0.3">
      <c r="A596" s="187">
        <v>32</v>
      </c>
      <c r="B596" s="242">
        <f t="shared" si="273"/>
        <v>46600</v>
      </c>
      <c r="C596" s="243">
        <f t="shared" si="254"/>
        <v>46630</v>
      </c>
      <c r="D596" s="120">
        <f t="shared" si="255"/>
        <v>31</v>
      </c>
      <c r="E596" s="120">
        <f t="shared" si="256"/>
        <v>8</v>
      </c>
      <c r="F596" s="275">
        <f t="shared" si="257"/>
        <v>46615.5</v>
      </c>
      <c r="G596" s="120">
        <f t="shared" si="258"/>
        <v>24331</v>
      </c>
      <c r="H596" s="245">
        <f t="shared" si="259"/>
        <v>1</v>
      </c>
      <c r="I596" s="121">
        <f t="shared" si="260"/>
        <v>1.06</v>
      </c>
      <c r="J596" s="121">
        <f t="shared" si="261"/>
        <v>1.06</v>
      </c>
      <c r="K596" s="120">
        <f t="shared" si="262"/>
        <v>0</v>
      </c>
      <c r="L596" s="120">
        <f t="shared" si="263"/>
        <v>0</v>
      </c>
      <c r="M596" s="246">
        <f t="shared" si="264"/>
        <v>0</v>
      </c>
      <c r="N596" s="121">
        <f t="shared" si="265"/>
        <v>1.06</v>
      </c>
      <c r="O596" s="246">
        <f t="shared" si="266"/>
        <v>0.92398249452954051</v>
      </c>
      <c r="P596" s="121">
        <f t="shared" si="267"/>
        <v>0</v>
      </c>
      <c r="Q596" s="121">
        <f t="shared" si="268"/>
        <v>0.75</v>
      </c>
      <c r="R596" s="121">
        <f t="shared" si="269"/>
        <v>0.25</v>
      </c>
      <c r="S596" s="121" t="str">
        <f t="shared" si="270"/>
        <v/>
      </c>
      <c r="T596" s="121" t="str">
        <f t="shared" si="271"/>
        <v/>
      </c>
      <c r="U596" s="121">
        <f t="shared" si="272"/>
        <v>1.06</v>
      </c>
    </row>
    <row r="597" spans="1:21" x14ac:dyDescent="0.3">
      <c r="A597" s="187">
        <v>33</v>
      </c>
      <c r="B597" s="242">
        <f t="shared" si="273"/>
        <v>46631</v>
      </c>
      <c r="C597" s="243">
        <f t="shared" si="254"/>
        <v>46660</v>
      </c>
      <c r="D597" s="120">
        <f t="shared" si="255"/>
        <v>30</v>
      </c>
      <c r="E597" s="120">
        <f t="shared" si="256"/>
        <v>9</v>
      </c>
      <c r="F597" s="275">
        <f t="shared" si="257"/>
        <v>46646</v>
      </c>
      <c r="G597" s="120">
        <f t="shared" si="258"/>
        <v>24332</v>
      </c>
      <c r="H597" s="245">
        <f t="shared" si="259"/>
        <v>1</v>
      </c>
      <c r="I597" s="121">
        <f t="shared" si="260"/>
        <v>1.06</v>
      </c>
      <c r="J597" s="121">
        <f t="shared" si="261"/>
        <v>1.06</v>
      </c>
      <c r="K597" s="120">
        <f t="shared" si="262"/>
        <v>0</v>
      </c>
      <c r="L597" s="120">
        <f t="shared" si="263"/>
        <v>0</v>
      </c>
      <c r="M597" s="246">
        <f t="shared" si="264"/>
        <v>0</v>
      </c>
      <c r="N597" s="121">
        <f t="shared" si="265"/>
        <v>1.06</v>
      </c>
      <c r="O597" s="246">
        <f t="shared" si="266"/>
        <v>0.9253172866520788</v>
      </c>
      <c r="P597" s="121">
        <f t="shared" si="267"/>
        <v>0</v>
      </c>
      <c r="Q597" s="121">
        <f t="shared" si="268"/>
        <v>0.58333333333333337</v>
      </c>
      <c r="R597" s="121">
        <f t="shared" si="269"/>
        <v>0.41666666666666663</v>
      </c>
      <c r="S597" s="121" t="str">
        <f t="shared" si="270"/>
        <v/>
      </c>
      <c r="T597" s="121" t="str">
        <f t="shared" si="271"/>
        <v/>
      </c>
      <c r="U597" s="121">
        <f t="shared" si="272"/>
        <v>1.06</v>
      </c>
    </row>
    <row r="598" spans="1:21" x14ac:dyDescent="0.3">
      <c r="A598" s="187">
        <v>34</v>
      </c>
      <c r="B598" s="242">
        <f t="shared" si="273"/>
        <v>46661</v>
      </c>
      <c r="C598" s="243">
        <f t="shared" si="254"/>
        <v>46691</v>
      </c>
      <c r="D598" s="120">
        <f t="shared" si="255"/>
        <v>31</v>
      </c>
      <c r="E598" s="120">
        <f t="shared" si="256"/>
        <v>10</v>
      </c>
      <c r="F598" s="275">
        <f t="shared" si="257"/>
        <v>46676.5</v>
      </c>
      <c r="G598" s="120">
        <f t="shared" si="258"/>
        <v>24333</v>
      </c>
      <c r="H598" s="245">
        <f t="shared" si="259"/>
        <v>1</v>
      </c>
      <c r="I598" s="121">
        <f t="shared" si="260"/>
        <v>1.06</v>
      </c>
      <c r="J598" s="121">
        <f t="shared" si="261"/>
        <v>1.1024</v>
      </c>
      <c r="K598" s="120">
        <f t="shared" si="262"/>
        <v>1</v>
      </c>
      <c r="L598" s="120">
        <f t="shared" si="263"/>
        <v>31</v>
      </c>
      <c r="M598" s="246">
        <f t="shared" si="264"/>
        <v>1</v>
      </c>
      <c r="N598" s="121">
        <f t="shared" si="265"/>
        <v>1.1024</v>
      </c>
      <c r="O598" s="246">
        <f t="shared" si="266"/>
        <v>0.92665207877461708</v>
      </c>
      <c r="P598" s="121">
        <f t="shared" si="267"/>
        <v>0</v>
      </c>
      <c r="Q598" s="121">
        <f t="shared" si="268"/>
        <v>0.41666666666666669</v>
      </c>
      <c r="R598" s="121">
        <f t="shared" si="269"/>
        <v>0.58333333333333326</v>
      </c>
      <c r="S598" s="121" t="str">
        <f t="shared" si="270"/>
        <v/>
      </c>
      <c r="T598" s="121" t="str">
        <f t="shared" si="271"/>
        <v/>
      </c>
      <c r="U598" s="121">
        <f t="shared" si="272"/>
        <v>1.1024</v>
      </c>
    </row>
    <row r="599" spans="1:21" x14ac:dyDescent="0.3">
      <c r="A599" s="187">
        <v>35</v>
      </c>
      <c r="B599" s="242">
        <f t="shared" si="273"/>
        <v>46692</v>
      </c>
      <c r="C599" s="243">
        <f t="shared" si="254"/>
        <v>46721</v>
      </c>
      <c r="D599" s="120">
        <f t="shared" si="255"/>
        <v>30</v>
      </c>
      <c r="E599" s="120">
        <f t="shared" si="256"/>
        <v>11</v>
      </c>
      <c r="F599" s="275">
        <f t="shared" si="257"/>
        <v>46707</v>
      </c>
      <c r="G599" s="120">
        <f t="shared" si="258"/>
        <v>24334</v>
      </c>
      <c r="H599" s="245">
        <f t="shared" si="259"/>
        <v>1</v>
      </c>
      <c r="I599" s="121">
        <f t="shared" si="260"/>
        <v>1.1024</v>
      </c>
      <c r="J599" s="121">
        <f t="shared" si="261"/>
        <v>1.1024</v>
      </c>
      <c r="K599" s="120">
        <f t="shared" si="262"/>
        <v>0</v>
      </c>
      <c r="L599" s="120">
        <f t="shared" si="263"/>
        <v>0</v>
      </c>
      <c r="M599" s="246">
        <f t="shared" si="264"/>
        <v>0</v>
      </c>
      <c r="N599" s="121">
        <f t="shared" si="265"/>
        <v>1.1024</v>
      </c>
      <c r="O599" s="246">
        <f t="shared" si="266"/>
        <v>0.92798687089715537</v>
      </c>
      <c r="P599" s="121">
        <f t="shared" si="267"/>
        <v>0</v>
      </c>
      <c r="Q599" s="121">
        <f t="shared" si="268"/>
        <v>0.25</v>
      </c>
      <c r="R599" s="121">
        <f t="shared" si="269"/>
        <v>0.75</v>
      </c>
      <c r="S599" s="121" t="str">
        <f t="shared" si="270"/>
        <v/>
      </c>
      <c r="T599" s="121" t="str">
        <f t="shared" si="271"/>
        <v/>
      </c>
      <c r="U599" s="121">
        <f t="shared" si="272"/>
        <v>1.1024</v>
      </c>
    </row>
    <row r="600" spans="1:21" x14ac:dyDescent="0.3">
      <c r="A600" s="187">
        <v>36</v>
      </c>
      <c r="B600" s="242">
        <f t="shared" si="273"/>
        <v>46722</v>
      </c>
      <c r="C600" s="243">
        <f t="shared" si="254"/>
        <v>46752</v>
      </c>
      <c r="D600" s="120">
        <f t="shared" si="255"/>
        <v>31</v>
      </c>
      <c r="E600" s="120">
        <f t="shared" si="256"/>
        <v>12</v>
      </c>
      <c r="F600" s="275">
        <f t="shared" si="257"/>
        <v>46737.5</v>
      </c>
      <c r="G600" s="120">
        <f t="shared" si="258"/>
        <v>24335</v>
      </c>
      <c r="H600" s="245">
        <f t="shared" si="259"/>
        <v>1</v>
      </c>
      <c r="I600" s="121">
        <f t="shared" si="260"/>
        <v>1.1024</v>
      </c>
      <c r="J600" s="121">
        <f t="shared" si="261"/>
        <v>1.1024</v>
      </c>
      <c r="K600" s="120">
        <f t="shared" si="262"/>
        <v>0</v>
      </c>
      <c r="L600" s="120">
        <f t="shared" si="263"/>
        <v>0</v>
      </c>
      <c r="M600" s="246">
        <f t="shared" si="264"/>
        <v>0</v>
      </c>
      <c r="N600" s="121">
        <f t="shared" si="265"/>
        <v>1.1024</v>
      </c>
      <c r="O600" s="246">
        <f t="shared" si="266"/>
        <v>0.92932166301969366</v>
      </c>
      <c r="P600" s="121">
        <f t="shared" si="267"/>
        <v>0</v>
      </c>
      <c r="Q600" s="121">
        <f t="shared" si="268"/>
        <v>8.3333333333333329E-2</v>
      </c>
      <c r="R600" s="121">
        <f t="shared" si="269"/>
        <v>0.91666666666666663</v>
      </c>
      <c r="S600" s="121" t="str">
        <f t="shared" si="270"/>
        <v/>
      </c>
      <c r="T600" s="121" t="str">
        <f t="shared" si="271"/>
        <v/>
      </c>
      <c r="U600" s="121">
        <f t="shared" si="272"/>
        <v>1.1024</v>
      </c>
    </row>
    <row r="601" spans="1:21" x14ac:dyDescent="0.3">
      <c r="A601" s="187">
        <v>37</v>
      </c>
      <c r="B601" s="242">
        <f t="shared" si="273"/>
        <v>46753</v>
      </c>
      <c r="C601" s="243">
        <f t="shared" si="254"/>
        <v>46783</v>
      </c>
      <c r="D601" s="120">
        <f t="shared" si="255"/>
        <v>31</v>
      </c>
      <c r="E601" s="120">
        <f t="shared" si="256"/>
        <v>1</v>
      </c>
      <c r="F601" s="275">
        <f t="shared" si="257"/>
        <v>46768.5</v>
      </c>
      <c r="G601" s="120">
        <f t="shared" si="258"/>
        <v>24336</v>
      </c>
      <c r="H601" s="245">
        <f t="shared" si="259"/>
        <v>1</v>
      </c>
      <c r="I601" s="121">
        <f t="shared" si="260"/>
        <v>1.1024</v>
      </c>
      <c r="J601" s="121">
        <f t="shared" si="261"/>
        <v>1.1024</v>
      </c>
      <c r="K601" s="120">
        <f t="shared" si="262"/>
        <v>0</v>
      </c>
      <c r="L601" s="120">
        <f t="shared" si="263"/>
        <v>0</v>
      </c>
      <c r="M601" s="246">
        <f t="shared" si="264"/>
        <v>0</v>
      </c>
      <c r="N601" s="121">
        <f t="shared" si="265"/>
        <v>1.1024</v>
      </c>
      <c r="O601" s="246">
        <f t="shared" si="266"/>
        <v>0.93</v>
      </c>
      <c r="P601" s="121">
        <f t="shared" si="267"/>
        <v>0</v>
      </c>
      <c r="Q601" s="121">
        <f t="shared" si="268"/>
        <v>0</v>
      </c>
      <c r="R601" s="121">
        <f t="shared" si="269"/>
        <v>1</v>
      </c>
      <c r="S601" s="121" t="str">
        <f t="shared" si="270"/>
        <v/>
      </c>
      <c r="T601" s="121" t="str">
        <f t="shared" si="271"/>
        <v/>
      </c>
      <c r="U601" s="121">
        <f t="shared" si="272"/>
        <v>1.1024</v>
      </c>
    </row>
    <row r="602" spans="1:21" x14ac:dyDescent="0.3">
      <c r="A602" s="187">
        <v>38</v>
      </c>
      <c r="B602" s="242">
        <f t="shared" si="273"/>
        <v>46784</v>
      </c>
      <c r="C602" s="243">
        <f t="shared" si="254"/>
        <v>46812</v>
      </c>
      <c r="D602" s="120">
        <f t="shared" si="255"/>
        <v>29</v>
      </c>
      <c r="E602" s="120">
        <f t="shared" si="256"/>
        <v>2</v>
      </c>
      <c r="F602" s="275">
        <f t="shared" si="257"/>
        <v>46798.5</v>
      </c>
      <c r="G602" s="120">
        <f t="shared" si="258"/>
        <v>24337</v>
      </c>
      <c r="H602" s="245">
        <f t="shared" si="259"/>
        <v>1</v>
      </c>
      <c r="I602" s="121">
        <f t="shared" si="260"/>
        <v>1.1024</v>
      </c>
      <c r="J602" s="121">
        <f t="shared" si="261"/>
        <v>1.1024</v>
      </c>
      <c r="K602" s="120">
        <f t="shared" si="262"/>
        <v>0</v>
      </c>
      <c r="L602" s="120">
        <f t="shared" si="263"/>
        <v>0</v>
      </c>
      <c r="M602" s="246">
        <f t="shared" si="264"/>
        <v>0</v>
      </c>
      <c r="N602" s="121">
        <f t="shared" si="265"/>
        <v>1.1024</v>
      </c>
      <c r="O602" s="246">
        <f t="shared" si="266"/>
        <v>0.93</v>
      </c>
      <c r="P602" s="121">
        <f t="shared" si="267"/>
        <v>0</v>
      </c>
      <c r="Q602" s="121">
        <f t="shared" si="268"/>
        <v>0</v>
      </c>
      <c r="R602" s="121">
        <f t="shared" si="269"/>
        <v>1</v>
      </c>
      <c r="S602" s="121" t="str">
        <f t="shared" si="270"/>
        <v/>
      </c>
      <c r="T602" s="121" t="str">
        <f t="shared" si="271"/>
        <v/>
      </c>
      <c r="U602" s="121">
        <f t="shared" si="272"/>
        <v>1.1024</v>
      </c>
    </row>
    <row r="603" spans="1:21" x14ac:dyDescent="0.3">
      <c r="A603" s="187">
        <v>39</v>
      </c>
      <c r="B603" s="242">
        <f t="shared" si="273"/>
        <v>46813</v>
      </c>
      <c r="C603" s="243">
        <f t="shared" si="254"/>
        <v>46843</v>
      </c>
      <c r="D603" s="120">
        <f t="shared" si="255"/>
        <v>31</v>
      </c>
      <c r="E603" s="120">
        <f t="shared" si="256"/>
        <v>3</v>
      </c>
      <c r="F603" s="275">
        <f t="shared" si="257"/>
        <v>46828.5</v>
      </c>
      <c r="G603" s="120">
        <f t="shared" si="258"/>
        <v>24338</v>
      </c>
      <c r="H603" s="245">
        <f t="shared" si="259"/>
        <v>1</v>
      </c>
      <c r="I603" s="121">
        <f t="shared" si="260"/>
        <v>1.1024</v>
      </c>
      <c r="J603" s="121">
        <f t="shared" si="261"/>
        <v>1.1024</v>
      </c>
      <c r="K603" s="120">
        <f t="shared" si="262"/>
        <v>0</v>
      </c>
      <c r="L603" s="120">
        <f t="shared" si="263"/>
        <v>0</v>
      </c>
      <c r="M603" s="246">
        <f t="shared" si="264"/>
        <v>0</v>
      </c>
      <c r="N603" s="121">
        <f t="shared" si="265"/>
        <v>1.1024</v>
      </c>
      <c r="O603" s="246">
        <f t="shared" si="266"/>
        <v>0.93</v>
      </c>
      <c r="P603" s="121">
        <f t="shared" si="267"/>
        <v>0</v>
      </c>
      <c r="Q603" s="121">
        <f t="shared" si="268"/>
        <v>0</v>
      </c>
      <c r="R603" s="121">
        <f t="shared" si="269"/>
        <v>1</v>
      </c>
      <c r="S603" s="121" t="str">
        <f t="shared" si="270"/>
        <v/>
      </c>
      <c r="T603" s="121" t="str">
        <f t="shared" si="271"/>
        <v/>
      </c>
      <c r="U603" s="121">
        <f t="shared" si="272"/>
        <v>1.1024</v>
      </c>
    </row>
    <row r="604" spans="1:21" x14ac:dyDescent="0.3">
      <c r="A604" s="187">
        <v>40</v>
      </c>
      <c r="B604" s="242">
        <f t="shared" si="273"/>
        <v>46844</v>
      </c>
      <c r="C604" s="243">
        <f t="shared" si="254"/>
        <v>46873</v>
      </c>
      <c r="D604" s="120">
        <f t="shared" si="255"/>
        <v>30</v>
      </c>
      <c r="E604" s="120">
        <f t="shared" si="256"/>
        <v>4</v>
      </c>
      <c r="F604" s="275">
        <f t="shared" si="257"/>
        <v>46859</v>
      </c>
      <c r="G604" s="120">
        <f t="shared" si="258"/>
        <v>24339</v>
      </c>
      <c r="H604" s="245">
        <f t="shared" si="259"/>
        <v>1</v>
      </c>
      <c r="I604" s="121">
        <f t="shared" si="260"/>
        <v>1.1024</v>
      </c>
      <c r="J604" s="121">
        <f t="shared" si="261"/>
        <v>1.1024</v>
      </c>
      <c r="K604" s="120">
        <f t="shared" si="262"/>
        <v>0</v>
      </c>
      <c r="L604" s="120">
        <f t="shared" si="263"/>
        <v>0</v>
      </c>
      <c r="M604" s="246">
        <f t="shared" si="264"/>
        <v>0</v>
      </c>
      <c r="N604" s="121">
        <f t="shared" si="265"/>
        <v>1.1024</v>
      </c>
      <c r="O604" s="246">
        <f t="shared" si="266"/>
        <v>0.93</v>
      </c>
      <c r="P604" s="121">
        <f t="shared" si="267"/>
        <v>0</v>
      </c>
      <c r="Q604" s="121">
        <f t="shared" si="268"/>
        <v>0</v>
      </c>
      <c r="R604" s="121">
        <f t="shared" si="269"/>
        <v>1</v>
      </c>
      <c r="S604" s="121" t="str">
        <f t="shared" si="270"/>
        <v/>
      </c>
      <c r="T604" s="121" t="str">
        <f t="shared" si="271"/>
        <v/>
      </c>
      <c r="U604" s="121">
        <f t="shared" si="272"/>
        <v>1.1024</v>
      </c>
    </row>
    <row r="605" spans="1:21" x14ac:dyDescent="0.3">
      <c r="A605" s="187">
        <v>41</v>
      </c>
      <c r="B605" s="242">
        <f t="shared" si="273"/>
        <v>46874</v>
      </c>
      <c r="C605" s="243">
        <f t="shared" si="254"/>
        <v>46904</v>
      </c>
      <c r="D605" s="120">
        <f t="shared" si="255"/>
        <v>31</v>
      </c>
      <c r="E605" s="120">
        <f t="shared" si="256"/>
        <v>5</v>
      </c>
      <c r="F605" s="275">
        <f t="shared" si="257"/>
        <v>46889.5</v>
      </c>
      <c r="G605" s="120">
        <f t="shared" si="258"/>
        <v>24340</v>
      </c>
      <c r="H605" s="245">
        <f t="shared" si="259"/>
        <v>1</v>
      </c>
      <c r="I605" s="121">
        <f t="shared" si="260"/>
        <v>1.1024</v>
      </c>
      <c r="J605" s="121">
        <f t="shared" si="261"/>
        <v>1.1024</v>
      </c>
      <c r="K605" s="120">
        <f t="shared" si="262"/>
        <v>0</v>
      </c>
      <c r="L605" s="120">
        <f t="shared" si="263"/>
        <v>0</v>
      </c>
      <c r="M605" s="246">
        <f t="shared" si="264"/>
        <v>0</v>
      </c>
      <c r="N605" s="121">
        <f t="shared" si="265"/>
        <v>1.1024</v>
      </c>
      <c r="O605" s="246">
        <f t="shared" si="266"/>
        <v>0.93</v>
      </c>
      <c r="P605" s="121">
        <f t="shared" si="267"/>
        <v>0</v>
      </c>
      <c r="Q605" s="121">
        <f t="shared" si="268"/>
        <v>0</v>
      </c>
      <c r="R605" s="121">
        <f t="shared" si="269"/>
        <v>1</v>
      </c>
      <c r="S605" s="121" t="str">
        <f t="shared" si="270"/>
        <v/>
      </c>
      <c r="T605" s="121" t="str">
        <f t="shared" si="271"/>
        <v/>
      </c>
      <c r="U605" s="121">
        <f t="shared" si="272"/>
        <v>1.1024</v>
      </c>
    </row>
    <row r="606" spans="1:21" x14ac:dyDescent="0.3">
      <c r="A606" s="187">
        <v>42</v>
      </c>
      <c r="B606" s="242">
        <f t="shared" si="273"/>
        <v>46905</v>
      </c>
      <c r="C606" s="243">
        <f t="shared" si="254"/>
        <v>46934</v>
      </c>
      <c r="D606" s="120">
        <f t="shared" si="255"/>
        <v>30</v>
      </c>
      <c r="E606" s="120">
        <f t="shared" si="256"/>
        <v>6</v>
      </c>
      <c r="F606" s="275">
        <f t="shared" si="257"/>
        <v>46920</v>
      </c>
      <c r="G606" s="120">
        <f t="shared" si="258"/>
        <v>24341</v>
      </c>
      <c r="H606" s="245">
        <f t="shared" si="259"/>
        <v>1</v>
      </c>
      <c r="I606" s="121">
        <f t="shared" si="260"/>
        <v>1.1024</v>
      </c>
      <c r="J606" s="121">
        <f t="shared" si="261"/>
        <v>1.1024</v>
      </c>
      <c r="K606" s="120">
        <f t="shared" si="262"/>
        <v>0</v>
      </c>
      <c r="L606" s="120">
        <f t="shared" si="263"/>
        <v>0</v>
      </c>
      <c r="M606" s="246">
        <f t="shared" si="264"/>
        <v>0</v>
      </c>
      <c r="N606" s="121">
        <f t="shared" si="265"/>
        <v>1.1024</v>
      </c>
      <c r="O606" s="246">
        <f t="shared" si="266"/>
        <v>0.93</v>
      </c>
      <c r="P606" s="121">
        <f t="shared" si="267"/>
        <v>0</v>
      </c>
      <c r="Q606" s="121">
        <f t="shared" si="268"/>
        <v>0</v>
      </c>
      <c r="R606" s="121">
        <f t="shared" si="269"/>
        <v>1</v>
      </c>
      <c r="S606" s="121" t="str">
        <f t="shared" si="270"/>
        <v/>
      </c>
      <c r="T606" s="121" t="str">
        <f t="shared" si="271"/>
        <v/>
      </c>
      <c r="U606" s="121">
        <f t="shared" si="272"/>
        <v>1.1024</v>
      </c>
    </row>
    <row r="607" spans="1:21" x14ac:dyDescent="0.3">
      <c r="A607" s="187">
        <v>43</v>
      </c>
      <c r="B607" s="242">
        <f t="shared" si="273"/>
        <v>46935</v>
      </c>
      <c r="C607" s="243">
        <f t="shared" si="254"/>
        <v>46965</v>
      </c>
      <c r="D607" s="120">
        <f t="shared" si="255"/>
        <v>31</v>
      </c>
      <c r="E607" s="120">
        <f t="shared" si="256"/>
        <v>7</v>
      </c>
      <c r="F607" s="275">
        <f t="shared" si="257"/>
        <v>46950.5</v>
      </c>
      <c r="G607" s="120">
        <f t="shared" si="258"/>
        <v>24342</v>
      </c>
      <c r="H607" s="245">
        <f t="shared" si="259"/>
        <v>1</v>
      </c>
      <c r="I607" s="121">
        <f t="shared" si="260"/>
        <v>1.1024</v>
      </c>
      <c r="J607" s="121">
        <f t="shared" si="261"/>
        <v>1.1024</v>
      </c>
      <c r="K607" s="120">
        <f t="shared" si="262"/>
        <v>0</v>
      </c>
      <c r="L607" s="120">
        <f t="shared" si="263"/>
        <v>0</v>
      </c>
      <c r="M607" s="246">
        <f t="shared" si="264"/>
        <v>0</v>
      </c>
      <c r="N607" s="121">
        <f t="shared" si="265"/>
        <v>1.1024</v>
      </c>
      <c r="O607" s="246">
        <f t="shared" si="266"/>
        <v>0.93</v>
      </c>
      <c r="P607" s="121">
        <f t="shared" si="267"/>
        <v>0</v>
      </c>
      <c r="Q607" s="121">
        <f t="shared" si="268"/>
        <v>0</v>
      </c>
      <c r="R607" s="121">
        <f t="shared" si="269"/>
        <v>0.91666666666666663</v>
      </c>
      <c r="S607" s="121" t="str">
        <f t="shared" si="270"/>
        <v/>
      </c>
      <c r="T607" s="121" t="str">
        <f t="shared" si="271"/>
        <v/>
      </c>
      <c r="U607" s="121">
        <f t="shared" si="272"/>
        <v>1.1024</v>
      </c>
    </row>
    <row r="608" spans="1:21" x14ac:dyDescent="0.3">
      <c r="A608" s="187">
        <v>44</v>
      </c>
      <c r="B608" s="242">
        <f t="shared" si="273"/>
        <v>46966</v>
      </c>
      <c r="C608" s="243">
        <f t="shared" si="254"/>
        <v>46996</v>
      </c>
      <c r="D608" s="120">
        <f t="shared" si="255"/>
        <v>31</v>
      </c>
      <c r="E608" s="120">
        <f t="shared" si="256"/>
        <v>8</v>
      </c>
      <c r="F608" s="275">
        <f t="shared" si="257"/>
        <v>46981.5</v>
      </c>
      <c r="G608" s="120">
        <f t="shared" si="258"/>
        <v>24343</v>
      </c>
      <c r="H608" s="245">
        <f t="shared" si="259"/>
        <v>1</v>
      </c>
      <c r="I608" s="121">
        <f t="shared" si="260"/>
        <v>1.1024</v>
      </c>
      <c r="J608" s="121">
        <f t="shared" si="261"/>
        <v>1.1024</v>
      </c>
      <c r="K608" s="120">
        <f t="shared" si="262"/>
        <v>0</v>
      </c>
      <c r="L608" s="120">
        <f t="shared" si="263"/>
        <v>0</v>
      </c>
      <c r="M608" s="246">
        <f t="shared" si="264"/>
        <v>0</v>
      </c>
      <c r="N608" s="121">
        <f t="shared" si="265"/>
        <v>1.1024</v>
      </c>
      <c r="O608" s="246">
        <f t="shared" si="266"/>
        <v>0.93</v>
      </c>
      <c r="P608" s="121">
        <f t="shared" si="267"/>
        <v>0</v>
      </c>
      <c r="Q608" s="121">
        <f t="shared" si="268"/>
        <v>0</v>
      </c>
      <c r="R608" s="121">
        <f t="shared" si="269"/>
        <v>0.75</v>
      </c>
      <c r="S608" s="121" t="str">
        <f t="shared" si="270"/>
        <v/>
      </c>
      <c r="T608" s="121" t="str">
        <f t="shared" si="271"/>
        <v/>
      </c>
      <c r="U608" s="121">
        <f t="shared" si="272"/>
        <v>1.1024</v>
      </c>
    </row>
    <row r="609" spans="1:21" x14ac:dyDescent="0.3">
      <c r="A609" s="187">
        <v>45</v>
      </c>
      <c r="B609" s="242">
        <f t="shared" si="273"/>
        <v>46997</v>
      </c>
      <c r="C609" s="243">
        <f t="shared" si="254"/>
        <v>47026</v>
      </c>
      <c r="D609" s="120">
        <f t="shared" si="255"/>
        <v>30</v>
      </c>
      <c r="E609" s="120">
        <f t="shared" si="256"/>
        <v>9</v>
      </c>
      <c r="F609" s="275">
        <f t="shared" si="257"/>
        <v>47012</v>
      </c>
      <c r="G609" s="120">
        <f t="shared" si="258"/>
        <v>24344</v>
      </c>
      <c r="H609" s="245">
        <f t="shared" si="259"/>
        <v>1</v>
      </c>
      <c r="I609" s="121">
        <f t="shared" si="260"/>
        <v>1.1024</v>
      </c>
      <c r="J609" s="121">
        <f t="shared" si="261"/>
        <v>1.1024</v>
      </c>
      <c r="K609" s="120">
        <f t="shared" si="262"/>
        <v>0</v>
      </c>
      <c r="L609" s="120">
        <f t="shared" si="263"/>
        <v>0</v>
      </c>
      <c r="M609" s="246">
        <f t="shared" si="264"/>
        <v>0</v>
      </c>
      <c r="N609" s="121">
        <f t="shared" si="265"/>
        <v>1.1024</v>
      </c>
      <c r="O609" s="246">
        <f t="shared" si="266"/>
        <v>0.93</v>
      </c>
      <c r="P609" s="121">
        <f t="shared" si="267"/>
        <v>0</v>
      </c>
      <c r="Q609" s="121">
        <f t="shared" si="268"/>
        <v>0</v>
      </c>
      <c r="R609" s="121">
        <f t="shared" si="269"/>
        <v>0.58333333333333337</v>
      </c>
      <c r="S609" s="121" t="str">
        <f t="shared" si="270"/>
        <v/>
      </c>
      <c r="T609" s="121" t="str">
        <f t="shared" si="271"/>
        <v/>
      </c>
      <c r="U609" s="121">
        <f t="shared" si="272"/>
        <v>1.1024</v>
      </c>
    </row>
    <row r="610" spans="1:21" x14ac:dyDescent="0.3">
      <c r="A610" s="187">
        <v>46</v>
      </c>
      <c r="B610" s="242">
        <f t="shared" si="273"/>
        <v>47027</v>
      </c>
      <c r="C610" s="243">
        <f t="shared" si="254"/>
        <v>47057</v>
      </c>
      <c r="D610" s="120">
        <f t="shared" si="255"/>
        <v>31</v>
      </c>
      <c r="E610" s="120">
        <f t="shared" si="256"/>
        <v>10</v>
      </c>
      <c r="F610" s="275">
        <f t="shared" si="257"/>
        <v>47042.5</v>
      </c>
      <c r="G610" s="120">
        <f t="shared" si="258"/>
        <v>24345</v>
      </c>
      <c r="H610" s="245">
        <f t="shared" si="259"/>
        <v>1</v>
      </c>
      <c r="I610" s="121">
        <f t="shared" si="260"/>
        <v>1.1024</v>
      </c>
      <c r="J610" s="121">
        <f t="shared" si="261"/>
        <v>1.1024</v>
      </c>
      <c r="K610" s="120">
        <f t="shared" si="262"/>
        <v>0</v>
      </c>
      <c r="L610" s="120">
        <f t="shared" si="263"/>
        <v>0</v>
      </c>
      <c r="M610" s="246">
        <f t="shared" si="264"/>
        <v>0</v>
      </c>
      <c r="N610" s="121">
        <f t="shared" si="265"/>
        <v>1.1024</v>
      </c>
      <c r="O610" s="246">
        <f t="shared" si="266"/>
        <v>0.93</v>
      </c>
      <c r="P610" s="121">
        <f t="shared" si="267"/>
        <v>0</v>
      </c>
      <c r="Q610" s="121">
        <f t="shared" si="268"/>
        <v>0</v>
      </c>
      <c r="R610" s="121">
        <f t="shared" si="269"/>
        <v>0.41666666666666669</v>
      </c>
      <c r="S610" s="121" t="str">
        <f t="shared" si="270"/>
        <v/>
      </c>
      <c r="T610" s="121" t="str">
        <f t="shared" si="271"/>
        <v/>
      </c>
      <c r="U610" s="121">
        <f t="shared" si="272"/>
        <v>1.1024</v>
      </c>
    </row>
    <row r="611" spans="1:21" x14ac:dyDescent="0.3">
      <c r="A611" s="187">
        <v>47</v>
      </c>
      <c r="B611" s="242">
        <f t="shared" si="273"/>
        <v>47058</v>
      </c>
      <c r="C611" s="243">
        <f t="shared" si="254"/>
        <v>47087</v>
      </c>
      <c r="D611" s="120">
        <f t="shared" si="255"/>
        <v>30</v>
      </c>
      <c r="E611" s="120">
        <f t="shared" si="256"/>
        <v>11</v>
      </c>
      <c r="F611" s="275">
        <f t="shared" si="257"/>
        <v>47073</v>
      </c>
      <c r="G611" s="120">
        <f t="shared" si="258"/>
        <v>24346</v>
      </c>
      <c r="H611" s="245">
        <f t="shared" si="259"/>
        <v>1</v>
      </c>
      <c r="I611" s="121">
        <f t="shared" si="260"/>
        <v>1.1024</v>
      </c>
      <c r="J611" s="121">
        <f t="shared" si="261"/>
        <v>1.1024</v>
      </c>
      <c r="K611" s="120">
        <f t="shared" si="262"/>
        <v>0</v>
      </c>
      <c r="L611" s="120">
        <f t="shared" si="263"/>
        <v>0</v>
      </c>
      <c r="M611" s="246">
        <f t="shared" si="264"/>
        <v>0</v>
      </c>
      <c r="N611" s="121">
        <f t="shared" si="265"/>
        <v>1.1024</v>
      </c>
      <c r="O611" s="246">
        <f t="shared" si="266"/>
        <v>0.93</v>
      </c>
      <c r="P611" s="121">
        <f t="shared" si="267"/>
        <v>0</v>
      </c>
      <c r="Q611" s="121">
        <f t="shared" si="268"/>
        <v>0</v>
      </c>
      <c r="R611" s="121">
        <f t="shared" si="269"/>
        <v>0.25</v>
      </c>
      <c r="S611" s="121" t="str">
        <f t="shared" si="270"/>
        <v/>
      </c>
      <c r="T611" s="121" t="str">
        <f t="shared" si="271"/>
        <v/>
      </c>
      <c r="U611" s="121">
        <f t="shared" si="272"/>
        <v>1.1024</v>
      </c>
    </row>
    <row r="612" spans="1:21" x14ac:dyDescent="0.3">
      <c r="A612" s="187">
        <v>48</v>
      </c>
      <c r="B612" s="242">
        <f t="shared" si="273"/>
        <v>47088</v>
      </c>
      <c r="C612" s="243">
        <f t="shared" si="254"/>
        <v>47118</v>
      </c>
      <c r="D612" s="120">
        <f t="shared" si="255"/>
        <v>31</v>
      </c>
      <c r="E612" s="120">
        <f t="shared" si="256"/>
        <v>12</v>
      </c>
      <c r="F612" s="275">
        <f t="shared" si="257"/>
        <v>47103.5</v>
      </c>
      <c r="G612" s="120">
        <f t="shared" si="258"/>
        <v>24347</v>
      </c>
      <c r="H612" s="245">
        <f t="shared" si="259"/>
        <v>1</v>
      </c>
      <c r="I612" s="121">
        <f t="shared" si="260"/>
        <v>1.1024</v>
      </c>
      <c r="J612" s="121">
        <f t="shared" si="261"/>
        <v>1.1024</v>
      </c>
      <c r="K612" s="120">
        <f t="shared" si="262"/>
        <v>0</v>
      </c>
      <c r="L612" s="120">
        <f t="shared" si="263"/>
        <v>0</v>
      </c>
      <c r="M612" s="246">
        <f t="shared" si="264"/>
        <v>0</v>
      </c>
      <c r="N612" s="121">
        <f t="shared" si="265"/>
        <v>1.1024</v>
      </c>
      <c r="O612" s="246">
        <f t="shared" si="266"/>
        <v>0.93</v>
      </c>
      <c r="P612" s="121">
        <f t="shared" si="267"/>
        <v>0</v>
      </c>
      <c r="Q612" s="121">
        <f t="shared" si="268"/>
        <v>0</v>
      </c>
      <c r="R612" s="121">
        <f t="shared" si="269"/>
        <v>8.3333333333333329E-2</v>
      </c>
      <c r="S612" s="121" t="str">
        <f t="shared" si="270"/>
        <v/>
      </c>
      <c r="T612" s="121" t="str">
        <f t="shared" si="271"/>
        <v/>
      </c>
      <c r="U612" s="121">
        <f t="shared" si="272"/>
        <v>1.1024</v>
      </c>
    </row>
    <row r="613" spans="1:21" x14ac:dyDescent="0.3">
      <c r="A613" s="6" t="s">
        <v>1651</v>
      </c>
      <c r="B613" s="73">
        <f>EXP(SUMPRODUCT((rl_key=$A$562)*(rl_cons="Y")*rl_ln1p))</f>
        <v>1.06</v>
      </c>
      <c r="C613" s="73">
        <f>SUMPRODUCT($H$565:$H$612,$P$565:$P$612,$U$565:$U$612)/SUMPRODUCT($H$565:$H$612,$P$565:$P$612)</f>
        <v>1.0037499999999999</v>
      </c>
      <c r="D613" s="73">
        <f>SUMPRODUCT($H$565:$H$612,$Q$565:$Q$612,$U$565:$U$612)/SUMPRODUCT($H$565:$H$612,$Q$565:$Q$612)</f>
        <v>1.0589000000000002</v>
      </c>
      <c r="E613" s="73">
        <f>SUMPRODUCT($H$565:$H$612,$R$565:$R$612,$U$565:$U$612)/SUMPRODUCT($H$565:$H$612,$R$565:$R$612)</f>
        <v>1.09975</v>
      </c>
      <c r="F613" s="224">
        <f>SUMPRODUCT($H$565:$H$612,$Q$565:$Q$612,$O$565:$O$612)/SUMPRODUCT($H$565:$H$612,$Q$565:$Q$612)</f>
        <v>0.91798504741064912</v>
      </c>
      <c r="G613" s="224">
        <f>SUMPRODUCT($H$565:$H$612,$R$565:$R$612,$O$565:$O$612)/SUMPRODUCT($H$565:$H$612,$R$565:$R$612)</f>
        <v>0.92932044736202268</v>
      </c>
      <c r="H613" s="73">
        <f>SUMPRODUCT($H$589:$H$600,$N$589:$N$600/$N$577:$N$588)/SUM($H$589:$H$600)</f>
        <v>1.0549999999999999</v>
      </c>
      <c r="I613" s="73">
        <f>SUMPRODUCT($H$589:$H$600,$O$589:$O$600/$O$577:$O$588)/SUM($H$589:$H$600)</f>
        <v>1.0176314239537807</v>
      </c>
      <c r="J613" s="73">
        <f>IF($O$562=1,SUMPRODUCT($H$589:$H$600,$N$589:$N$600/$N$577:$N$588*$O$589:$O$600/$O$577:$O$588)/SUM($H$589:$H$600),$H613)</f>
        <v>1.073601735187877</v>
      </c>
      <c r="K613" s="73">
        <f>SUMPRODUCT($H$565:$H$612,$Q$565:$Q$612,$N$565:$N$612)/SUMPRODUCT($H$565:$H$612,$Q$565:$Q$612)</f>
        <v>1.0589000000000002</v>
      </c>
      <c r="L613" s="73">
        <f>SUMPRODUCT($H$565:$H$612,$R$565:$R$612,$N$565:$N$612)/SUMPRODUCT($H$565:$H$612,$R$565:$R$612)</f>
        <v>1.09975</v>
      </c>
    </row>
    <row r="616" spans="1:21" x14ac:dyDescent="0.3">
      <c r="A616" s="6" t="str">
        <f>INDEX(lr_key,11)</f>
        <v>ABD|MI</v>
      </c>
      <c r="B616" s="6" t="str">
        <f>INDEX(lr_state,11)</f>
        <v>MI</v>
      </c>
      <c r="C616" s="75">
        <f>nr_TermMonths</f>
        <v>6</v>
      </c>
      <c r="D616" s="75">
        <f>IF(COUNTIF(se_state,$B616)=0,0,MATCH($B616,se_state,0))</f>
        <v>0</v>
      </c>
      <c r="E616" s="70">
        <f>IF($D616=0,0,INDEX(se_sum,$D616))</f>
        <v>0</v>
      </c>
      <c r="F616" s="224">
        <f>IF(N(INDEX(lr_mind,11))=0,1,INDEX(lr_mind,11))</f>
        <v>0.92</v>
      </c>
      <c r="G616" s="224">
        <f>IF(N(INDEX(lr_m0,11))=0,1,INDEX(lr_m0,11))</f>
        <v>0.91</v>
      </c>
      <c r="H616" s="74">
        <f>IF(N(INDEX(lr_m0asof,11))=0,DATE(nr_PlanYear-1,10,1),INDEX(lr_m0asof,11))</f>
        <v>46295</v>
      </c>
      <c r="I616" s="224">
        <f>IF(N(INDEX(lr_m1,11))=0,1,INDEX(lr_m1,11))</f>
        <v>0.91</v>
      </c>
      <c r="J616" s="224">
        <f>INDEX(lr_mprior,11)</f>
        <v>0</v>
      </c>
      <c r="K616" s="224">
        <f>INDEX(lr_m2,11)</f>
        <v>0</v>
      </c>
      <c r="L616" s="6" t="b">
        <f>NOT(ISBLANK(INDEX(lr_netp,11)))</f>
        <v>0</v>
      </c>
      <c r="M616" s="72">
        <f>N(INDEX(lr_netp,11))</f>
        <v>0</v>
      </c>
      <c r="N616" s="72">
        <f>IF(ISBLANK(INDEX(lr_netp1,11)),$M$616,N(INDEX(lr_netp1,11)))</f>
        <v>0</v>
      </c>
      <c r="O616" s="75">
        <f>IF(AND(nr_ModAdjMaster="ON",INDEX(lr_modadj,11)="ON"),1,0)</f>
        <v>1</v>
      </c>
    </row>
    <row r="617" spans="1:21" x14ac:dyDescent="0.3">
      <c r="A617" s="6">
        <f>EDATE($H$616,-12)+1</f>
        <v>45931</v>
      </c>
      <c r="B617" s="6">
        <f>$H$616+1</f>
        <v>46296</v>
      </c>
      <c r="C617" s="6">
        <f>DATE(nr_PlanYear,12,31)+1</f>
        <v>46753</v>
      </c>
      <c r="D617" s="6">
        <f>DATE(nr_PlanYear+1,12,31)+1</f>
        <v>47119</v>
      </c>
      <c r="E617" s="6">
        <f>IF(N($J$616)=0,$F$617-($G$617-$F$617)/($C$617-$B$617)*($B$617-$A$617),$J$616)</f>
        <v>0.91</v>
      </c>
      <c r="F617" s="6">
        <f>$G$616</f>
        <v>0.91</v>
      </c>
      <c r="G617" s="6">
        <f>$I$616</f>
        <v>0.91</v>
      </c>
      <c r="H617" s="6">
        <f>IF(N($K$616)=0,$I$616,$K$616)</f>
        <v>0.91</v>
      </c>
      <c r="I617" s="6">
        <f>($F$617-$E$617)/($B$617-$A$617)</f>
        <v>0</v>
      </c>
      <c r="J617" s="6">
        <f>($G$617-$F$617)/($C$617-$B$617)</f>
        <v>0</v>
      </c>
      <c r="K617" s="6">
        <f>($H$617-$G$617)/($D$617-$C$617)</f>
        <v>0</v>
      </c>
    </row>
    <row r="618" spans="1:21" ht="36" x14ac:dyDescent="0.3">
      <c r="A618" s="58" t="s">
        <v>390</v>
      </c>
      <c r="B618" s="58" t="s">
        <v>449</v>
      </c>
      <c r="C618" s="58" t="s">
        <v>685</v>
      </c>
      <c r="D618" s="58" t="s">
        <v>686</v>
      </c>
      <c r="E618" s="58" t="s">
        <v>687</v>
      </c>
      <c r="F618" s="58" t="s">
        <v>688</v>
      </c>
      <c r="G618" s="58" t="s">
        <v>689</v>
      </c>
      <c r="H618" s="58" t="s">
        <v>452</v>
      </c>
      <c r="I618" s="58" t="s">
        <v>690</v>
      </c>
      <c r="J618" s="58" t="s">
        <v>691</v>
      </c>
      <c r="K618" s="58" t="s">
        <v>692</v>
      </c>
      <c r="L618" s="58" t="s">
        <v>693</v>
      </c>
      <c r="M618" s="58" t="s">
        <v>694</v>
      </c>
      <c r="N618" s="58" t="s">
        <v>695</v>
      </c>
      <c r="O618" s="58" t="s">
        <v>696</v>
      </c>
      <c r="P618" s="58" t="s">
        <v>697</v>
      </c>
      <c r="Q618" s="58" t="s">
        <v>698</v>
      </c>
      <c r="R618" s="58" t="s">
        <v>699</v>
      </c>
      <c r="S618" s="58" t="s">
        <v>700</v>
      </c>
      <c r="T618" s="58" t="s">
        <v>701</v>
      </c>
      <c r="U618" s="58" t="s">
        <v>702</v>
      </c>
    </row>
    <row r="619" spans="1:21" x14ac:dyDescent="0.3">
      <c r="A619" s="187">
        <v>1</v>
      </c>
      <c r="B619" s="242">
        <f>DATE(nr_PlanYear-2,1,1)</f>
        <v>45658</v>
      </c>
      <c r="C619" s="243">
        <f t="shared" ref="C619:C666" si="274">EOMONTH($B619,0)</f>
        <v>45688</v>
      </c>
      <c r="D619" s="120">
        <f t="shared" ref="D619:D666" si="275">$C619-$B619+1</f>
        <v>31</v>
      </c>
      <c r="E619" s="120">
        <f t="shared" ref="E619:E666" si="276">MONTH($B619)</f>
        <v>1</v>
      </c>
      <c r="F619" s="275">
        <f t="shared" ref="F619:F666" si="277">($B619+$C619+1)/2</f>
        <v>45673.5</v>
      </c>
      <c r="G619" s="120">
        <f t="shared" ref="G619:G666" si="278">YEAR($B619)*12+MONTH($B619)-1</f>
        <v>24300</v>
      </c>
      <c r="H619" s="245">
        <f t="shared" ref="H619:H666" si="279">IF(OR(nr_SeasonOn="OFF",$D$616=0,$E$616=0),1,12*INDEX(se_block,$D$616,$E619)/$E$616)</f>
        <v>1</v>
      </c>
      <c r="I619" s="121">
        <f t="shared" ref="I619:I666" si="280">EXP(SUMPRODUCT((rl_eff&lt;$B619)*(rl_key=$A$616)*rl_ln1p))</f>
        <v>1</v>
      </c>
      <c r="J619" s="121">
        <f t="shared" ref="J619:J666" si="281">EXP(SUMPRODUCT((rl_eff&lt;=$C619)*(rl_key=$A$616)*rl_ln1p))</f>
        <v>1</v>
      </c>
      <c r="K619" s="120">
        <f t="shared" ref="K619:K666" si="282">COUNTIFS(rl_key,$A$616,rl_eff,"&gt;="&amp;$B619,rl_eff,"&lt;="&amp;$C619)</f>
        <v>0</v>
      </c>
      <c r="L619" s="120">
        <f t="shared" ref="L619:L666" si="283">SUMIFS(rl_daysafter,rl_key,$A$616,rl_effmonth,$B619,rl_first,1)</f>
        <v>0</v>
      </c>
      <c r="M619" s="246">
        <f t="shared" ref="M619:M666" si="284">IF($K619=0,0,MIN(1,$L619/$D619))</f>
        <v>0</v>
      </c>
      <c r="N619" s="121">
        <f t="shared" ref="N619:N666" si="285">IF($K619=0,$J619,(1-$M619)*$I619+$M619*$J619)</f>
        <v>1</v>
      </c>
      <c r="O619" s="246">
        <f t="shared" ref="O619:O666" si="286">IF($F619&lt;$B$617,$E$617+$I$617*($F619-$A$617),IF($F619&lt;$C$617,$F$617+$J$617*($F619-$B$617),$G$617+$K$617*($F619-$C$617)))</f>
        <v>0.91</v>
      </c>
      <c r="P619" s="121">
        <f t="shared" ref="P619:P666" si="287">MIN(1,MAX(0,(nr_MEndPm1-$G619+0.5)/$C$616))-MIN(1,MAX(0,(nr_MStartPm1-1-$G619+0.5)/$C$616))</f>
        <v>0</v>
      </c>
      <c r="Q619" s="121">
        <f t="shared" ref="Q619:Q666" si="288">MIN(1,MAX(0,(nr_MEndP-$G619+0.5)/$C$616))-MIN(1,MAX(0,(nr_MStartP-1-$G619+0.5)/$C$616))</f>
        <v>0</v>
      </c>
      <c r="R619" s="121">
        <f t="shared" ref="R619:R666" si="289">MIN(1,MAX(0,(nr_MEndP1-$G619+0.5)/$C$616))-MIN(1,MAX(0,(nr_MStartP1-1-$G619+0.5)/$C$616))</f>
        <v>0</v>
      </c>
      <c r="S619" s="121" t="str">
        <f t="shared" ref="S619:S666" si="290">IF($L$616,$N619*IF($O$616=1,$O619/$F$616,1),"")</f>
        <v/>
      </c>
      <c r="T619" s="121" t="str">
        <f t="shared" ref="T619:T666" si="291">IF(NOT($L$616),"",IF($G619&lt;nr_MStartP,$S619,$T607*(1+IF($G619&lt;nr_MStartP1,$M$616,$N$616))))</f>
        <v/>
      </c>
      <c r="U619" s="121">
        <f t="shared" ref="U619:U666" si="292">IF($L$616,$T619,$N619)</f>
        <v>1</v>
      </c>
    </row>
    <row r="620" spans="1:21" x14ac:dyDescent="0.3">
      <c r="A620" s="187">
        <v>2</v>
      </c>
      <c r="B620" s="242">
        <f t="shared" ref="B620:B666" si="293">EDATE($B619,1)</f>
        <v>45689</v>
      </c>
      <c r="C620" s="243">
        <f t="shared" si="274"/>
        <v>45716</v>
      </c>
      <c r="D620" s="120">
        <f t="shared" si="275"/>
        <v>28</v>
      </c>
      <c r="E620" s="120">
        <f t="shared" si="276"/>
        <v>2</v>
      </c>
      <c r="F620" s="275">
        <f t="shared" si="277"/>
        <v>45703</v>
      </c>
      <c r="G620" s="120">
        <f t="shared" si="278"/>
        <v>24301</v>
      </c>
      <c r="H620" s="245">
        <f t="shared" si="279"/>
        <v>1</v>
      </c>
      <c r="I620" s="121">
        <f t="shared" si="280"/>
        <v>1</v>
      </c>
      <c r="J620" s="121">
        <f t="shared" si="281"/>
        <v>1</v>
      </c>
      <c r="K620" s="120">
        <f t="shared" si="282"/>
        <v>0</v>
      </c>
      <c r="L620" s="120">
        <f t="shared" si="283"/>
        <v>0</v>
      </c>
      <c r="M620" s="246">
        <f t="shared" si="284"/>
        <v>0</v>
      </c>
      <c r="N620" s="121">
        <f t="shared" si="285"/>
        <v>1</v>
      </c>
      <c r="O620" s="246">
        <f t="shared" si="286"/>
        <v>0.91</v>
      </c>
      <c r="P620" s="121">
        <f t="shared" si="287"/>
        <v>0</v>
      </c>
      <c r="Q620" s="121">
        <f t="shared" si="288"/>
        <v>0</v>
      </c>
      <c r="R620" s="121">
        <f t="shared" si="289"/>
        <v>0</v>
      </c>
      <c r="S620" s="121" t="str">
        <f t="shared" si="290"/>
        <v/>
      </c>
      <c r="T620" s="121" t="str">
        <f t="shared" si="291"/>
        <v/>
      </c>
      <c r="U620" s="121">
        <f t="shared" si="292"/>
        <v>1</v>
      </c>
    </row>
    <row r="621" spans="1:21" x14ac:dyDescent="0.3">
      <c r="A621" s="187">
        <v>3</v>
      </c>
      <c r="B621" s="242">
        <f t="shared" si="293"/>
        <v>45717</v>
      </c>
      <c r="C621" s="243">
        <f t="shared" si="274"/>
        <v>45747</v>
      </c>
      <c r="D621" s="120">
        <f t="shared" si="275"/>
        <v>31</v>
      </c>
      <c r="E621" s="120">
        <f t="shared" si="276"/>
        <v>3</v>
      </c>
      <c r="F621" s="275">
        <f t="shared" si="277"/>
        <v>45732.5</v>
      </c>
      <c r="G621" s="120">
        <f t="shared" si="278"/>
        <v>24302</v>
      </c>
      <c r="H621" s="245">
        <f t="shared" si="279"/>
        <v>1</v>
      </c>
      <c r="I621" s="121">
        <f t="shared" si="280"/>
        <v>1</v>
      </c>
      <c r="J621" s="121">
        <f t="shared" si="281"/>
        <v>1</v>
      </c>
      <c r="K621" s="120">
        <f t="shared" si="282"/>
        <v>0</v>
      </c>
      <c r="L621" s="120">
        <f t="shared" si="283"/>
        <v>0</v>
      </c>
      <c r="M621" s="246">
        <f t="shared" si="284"/>
        <v>0</v>
      </c>
      <c r="N621" s="121">
        <f t="shared" si="285"/>
        <v>1</v>
      </c>
      <c r="O621" s="246">
        <f t="shared" si="286"/>
        <v>0.91</v>
      </c>
      <c r="P621" s="121">
        <f t="shared" si="287"/>
        <v>0</v>
      </c>
      <c r="Q621" s="121">
        <f t="shared" si="288"/>
        <v>0</v>
      </c>
      <c r="R621" s="121">
        <f t="shared" si="289"/>
        <v>0</v>
      </c>
      <c r="S621" s="121" t="str">
        <f t="shared" si="290"/>
        <v/>
      </c>
      <c r="T621" s="121" t="str">
        <f t="shared" si="291"/>
        <v/>
      </c>
      <c r="U621" s="121">
        <f t="shared" si="292"/>
        <v>1</v>
      </c>
    </row>
    <row r="622" spans="1:21" x14ac:dyDescent="0.3">
      <c r="A622" s="187">
        <v>4</v>
      </c>
      <c r="B622" s="242">
        <f t="shared" si="293"/>
        <v>45748</v>
      </c>
      <c r="C622" s="243">
        <f t="shared" si="274"/>
        <v>45777</v>
      </c>
      <c r="D622" s="120">
        <f t="shared" si="275"/>
        <v>30</v>
      </c>
      <c r="E622" s="120">
        <f t="shared" si="276"/>
        <v>4</v>
      </c>
      <c r="F622" s="275">
        <f t="shared" si="277"/>
        <v>45763</v>
      </c>
      <c r="G622" s="120">
        <f t="shared" si="278"/>
        <v>24303</v>
      </c>
      <c r="H622" s="245">
        <f t="shared" si="279"/>
        <v>1</v>
      </c>
      <c r="I622" s="121">
        <f t="shared" si="280"/>
        <v>1</v>
      </c>
      <c r="J622" s="121">
        <f t="shared" si="281"/>
        <v>1</v>
      </c>
      <c r="K622" s="120">
        <f t="shared" si="282"/>
        <v>0</v>
      </c>
      <c r="L622" s="120">
        <f t="shared" si="283"/>
        <v>0</v>
      </c>
      <c r="M622" s="246">
        <f t="shared" si="284"/>
        <v>0</v>
      </c>
      <c r="N622" s="121">
        <f t="shared" si="285"/>
        <v>1</v>
      </c>
      <c r="O622" s="246">
        <f t="shared" si="286"/>
        <v>0.91</v>
      </c>
      <c r="P622" s="121">
        <f t="shared" si="287"/>
        <v>0</v>
      </c>
      <c r="Q622" s="121">
        <f t="shared" si="288"/>
        <v>0</v>
      </c>
      <c r="R622" s="121">
        <f t="shared" si="289"/>
        <v>0</v>
      </c>
      <c r="S622" s="121" t="str">
        <f t="shared" si="290"/>
        <v/>
      </c>
      <c r="T622" s="121" t="str">
        <f t="shared" si="291"/>
        <v/>
      </c>
      <c r="U622" s="121">
        <f t="shared" si="292"/>
        <v>1</v>
      </c>
    </row>
    <row r="623" spans="1:21" x14ac:dyDescent="0.3">
      <c r="A623" s="187">
        <v>5</v>
      </c>
      <c r="B623" s="242">
        <f t="shared" si="293"/>
        <v>45778</v>
      </c>
      <c r="C623" s="243">
        <f t="shared" si="274"/>
        <v>45808</v>
      </c>
      <c r="D623" s="120">
        <f t="shared" si="275"/>
        <v>31</v>
      </c>
      <c r="E623" s="120">
        <f t="shared" si="276"/>
        <v>5</v>
      </c>
      <c r="F623" s="275">
        <f t="shared" si="277"/>
        <v>45793.5</v>
      </c>
      <c r="G623" s="120">
        <f t="shared" si="278"/>
        <v>24304</v>
      </c>
      <c r="H623" s="245">
        <f t="shared" si="279"/>
        <v>1</v>
      </c>
      <c r="I623" s="121">
        <f t="shared" si="280"/>
        <v>1</v>
      </c>
      <c r="J623" s="121">
        <f t="shared" si="281"/>
        <v>1</v>
      </c>
      <c r="K623" s="120">
        <f t="shared" si="282"/>
        <v>0</v>
      </c>
      <c r="L623" s="120">
        <f t="shared" si="283"/>
        <v>0</v>
      </c>
      <c r="M623" s="246">
        <f t="shared" si="284"/>
        <v>0</v>
      </c>
      <c r="N623" s="121">
        <f t="shared" si="285"/>
        <v>1</v>
      </c>
      <c r="O623" s="246">
        <f t="shared" si="286"/>
        <v>0.91</v>
      </c>
      <c r="P623" s="121">
        <f t="shared" si="287"/>
        <v>0</v>
      </c>
      <c r="Q623" s="121">
        <f t="shared" si="288"/>
        <v>0</v>
      </c>
      <c r="R623" s="121">
        <f t="shared" si="289"/>
        <v>0</v>
      </c>
      <c r="S623" s="121" t="str">
        <f t="shared" si="290"/>
        <v/>
      </c>
      <c r="T623" s="121" t="str">
        <f t="shared" si="291"/>
        <v/>
      </c>
      <c r="U623" s="121">
        <f t="shared" si="292"/>
        <v>1</v>
      </c>
    </row>
    <row r="624" spans="1:21" x14ac:dyDescent="0.3">
      <c r="A624" s="187">
        <v>6</v>
      </c>
      <c r="B624" s="242">
        <f t="shared" si="293"/>
        <v>45809</v>
      </c>
      <c r="C624" s="243">
        <f t="shared" si="274"/>
        <v>45838</v>
      </c>
      <c r="D624" s="120">
        <f t="shared" si="275"/>
        <v>30</v>
      </c>
      <c r="E624" s="120">
        <f t="shared" si="276"/>
        <v>6</v>
      </c>
      <c r="F624" s="275">
        <f t="shared" si="277"/>
        <v>45824</v>
      </c>
      <c r="G624" s="120">
        <f t="shared" si="278"/>
        <v>24305</v>
      </c>
      <c r="H624" s="245">
        <f t="shared" si="279"/>
        <v>1</v>
      </c>
      <c r="I624" s="121">
        <f t="shared" si="280"/>
        <v>1</v>
      </c>
      <c r="J624" s="121">
        <f t="shared" si="281"/>
        <v>1</v>
      </c>
      <c r="K624" s="120">
        <f t="shared" si="282"/>
        <v>0</v>
      </c>
      <c r="L624" s="120">
        <f t="shared" si="283"/>
        <v>0</v>
      </c>
      <c r="M624" s="246">
        <f t="shared" si="284"/>
        <v>0</v>
      </c>
      <c r="N624" s="121">
        <f t="shared" si="285"/>
        <v>1</v>
      </c>
      <c r="O624" s="246">
        <f t="shared" si="286"/>
        <v>0.91</v>
      </c>
      <c r="P624" s="121">
        <f t="shared" si="287"/>
        <v>0</v>
      </c>
      <c r="Q624" s="121">
        <f t="shared" si="288"/>
        <v>0</v>
      </c>
      <c r="R624" s="121">
        <f t="shared" si="289"/>
        <v>0</v>
      </c>
      <c r="S624" s="121" t="str">
        <f t="shared" si="290"/>
        <v/>
      </c>
      <c r="T624" s="121" t="str">
        <f t="shared" si="291"/>
        <v/>
      </c>
      <c r="U624" s="121">
        <f t="shared" si="292"/>
        <v>1</v>
      </c>
    </row>
    <row r="625" spans="1:21" x14ac:dyDescent="0.3">
      <c r="A625" s="187">
        <v>7</v>
      </c>
      <c r="B625" s="242">
        <f t="shared" si="293"/>
        <v>45839</v>
      </c>
      <c r="C625" s="243">
        <f t="shared" si="274"/>
        <v>45869</v>
      </c>
      <c r="D625" s="120">
        <f t="shared" si="275"/>
        <v>31</v>
      </c>
      <c r="E625" s="120">
        <f t="shared" si="276"/>
        <v>7</v>
      </c>
      <c r="F625" s="275">
        <f t="shared" si="277"/>
        <v>45854.5</v>
      </c>
      <c r="G625" s="120">
        <f t="shared" si="278"/>
        <v>24306</v>
      </c>
      <c r="H625" s="245">
        <f t="shared" si="279"/>
        <v>1</v>
      </c>
      <c r="I625" s="121">
        <f t="shared" si="280"/>
        <v>1</v>
      </c>
      <c r="J625" s="121">
        <f t="shared" si="281"/>
        <v>1</v>
      </c>
      <c r="K625" s="120">
        <f t="shared" si="282"/>
        <v>0</v>
      </c>
      <c r="L625" s="120">
        <f t="shared" si="283"/>
        <v>0</v>
      </c>
      <c r="M625" s="246">
        <f t="shared" si="284"/>
        <v>0</v>
      </c>
      <c r="N625" s="121">
        <f t="shared" si="285"/>
        <v>1</v>
      </c>
      <c r="O625" s="246">
        <f t="shared" si="286"/>
        <v>0.91</v>
      </c>
      <c r="P625" s="121">
        <f t="shared" si="287"/>
        <v>8.333333333333337E-2</v>
      </c>
      <c r="Q625" s="121">
        <f t="shared" si="288"/>
        <v>0</v>
      </c>
      <c r="R625" s="121">
        <f t="shared" si="289"/>
        <v>0</v>
      </c>
      <c r="S625" s="121" t="str">
        <f t="shared" si="290"/>
        <v/>
      </c>
      <c r="T625" s="121" t="str">
        <f t="shared" si="291"/>
        <v/>
      </c>
      <c r="U625" s="121">
        <f t="shared" si="292"/>
        <v>1</v>
      </c>
    </row>
    <row r="626" spans="1:21" x14ac:dyDescent="0.3">
      <c r="A626" s="187">
        <v>8</v>
      </c>
      <c r="B626" s="242">
        <f t="shared" si="293"/>
        <v>45870</v>
      </c>
      <c r="C626" s="243">
        <f t="shared" si="274"/>
        <v>45900</v>
      </c>
      <c r="D626" s="120">
        <f t="shared" si="275"/>
        <v>31</v>
      </c>
      <c r="E626" s="120">
        <f t="shared" si="276"/>
        <v>8</v>
      </c>
      <c r="F626" s="275">
        <f t="shared" si="277"/>
        <v>45885.5</v>
      </c>
      <c r="G626" s="120">
        <f t="shared" si="278"/>
        <v>24307</v>
      </c>
      <c r="H626" s="245">
        <f t="shared" si="279"/>
        <v>1</v>
      </c>
      <c r="I626" s="121">
        <f t="shared" si="280"/>
        <v>1</v>
      </c>
      <c r="J626" s="121">
        <f t="shared" si="281"/>
        <v>1</v>
      </c>
      <c r="K626" s="120">
        <f t="shared" si="282"/>
        <v>0</v>
      </c>
      <c r="L626" s="120">
        <f t="shared" si="283"/>
        <v>0</v>
      </c>
      <c r="M626" s="246">
        <f t="shared" si="284"/>
        <v>0</v>
      </c>
      <c r="N626" s="121">
        <f t="shared" si="285"/>
        <v>1</v>
      </c>
      <c r="O626" s="246">
        <f t="shared" si="286"/>
        <v>0.91</v>
      </c>
      <c r="P626" s="121">
        <f t="shared" si="287"/>
        <v>0.25</v>
      </c>
      <c r="Q626" s="121">
        <f t="shared" si="288"/>
        <v>0</v>
      </c>
      <c r="R626" s="121">
        <f t="shared" si="289"/>
        <v>0</v>
      </c>
      <c r="S626" s="121" t="str">
        <f t="shared" si="290"/>
        <v/>
      </c>
      <c r="T626" s="121" t="str">
        <f t="shared" si="291"/>
        <v/>
      </c>
      <c r="U626" s="121">
        <f t="shared" si="292"/>
        <v>1</v>
      </c>
    </row>
    <row r="627" spans="1:21" x14ac:dyDescent="0.3">
      <c r="A627" s="187">
        <v>9</v>
      </c>
      <c r="B627" s="242">
        <f t="shared" si="293"/>
        <v>45901</v>
      </c>
      <c r="C627" s="243">
        <f t="shared" si="274"/>
        <v>45930</v>
      </c>
      <c r="D627" s="120">
        <f t="shared" si="275"/>
        <v>30</v>
      </c>
      <c r="E627" s="120">
        <f t="shared" si="276"/>
        <v>9</v>
      </c>
      <c r="F627" s="275">
        <f t="shared" si="277"/>
        <v>45916</v>
      </c>
      <c r="G627" s="120">
        <f t="shared" si="278"/>
        <v>24308</v>
      </c>
      <c r="H627" s="245">
        <f t="shared" si="279"/>
        <v>1</v>
      </c>
      <c r="I627" s="121">
        <f t="shared" si="280"/>
        <v>1</v>
      </c>
      <c r="J627" s="121">
        <f t="shared" si="281"/>
        <v>1</v>
      </c>
      <c r="K627" s="120">
        <f t="shared" si="282"/>
        <v>0</v>
      </c>
      <c r="L627" s="120">
        <f t="shared" si="283"/>
        <v>0</v>
      </c>
      <c r="M627" s="246">
        <f t="shared" si="284"/>
        <v>0</v>
      </c>
      <c r="N627" s="121">
        <f t="shared" si="285"/>
        <v>1</v>
      </c>
      <c r="O627" s="246">
        <f t="shared" si="286"/>
        <v>0.91</v>
      </c>
      <c r="P627" s="121">
        <f t="shared" si="287"/>
        <v>0.41666666666666663</v>
      </c>
      <c r="Q627" s="121">
        <f t="shared" si="288"/>
        <v>0</v>
      </c>
      <c r="R627" s="121">
        <f t="shared" si="289"/>
        <v>0</v>
      </c>
      <c r="S627" s="121" t="str">
        <f t="shared" si="290"/>
        <v/>
      </c>
      <c r="T627" s="121" t="str">
        <f t="shared" si="291"/>
        <v/>
      </c>
      <c r="U627" s="121">
        <f t="shared" si="292"/>
        <v>1</v>
      </c>
    </row>
    <row r="628" spans="1:21" x14ac:dyDescent="0.3">
      <c r="A628" s="187">
        <v>10</v>
      </c>
      <c r="B628" s="242">
        <f t="shared" si="293"/>
        <v>45931</v>
      </c>
      <c r="C628" s="243">
        <f t="shared" si="274"/>
        <v>45961</v>
      </c>
      <c r="D628" s="120">
        <f t="shared" si="275"/>
        <v>31</v>
      </c>
      <c r="E628" s="120">
        <f t="shared" si="276"/>
        <v>10</v>
      </c>
      <c r="F628" s="275">
        <f t="shared" si="277"/>
        <v>45946.5</v>
      </c>
      <c r="G628" s="120">
        <f t="shared" si="278"/>
        <v>24309</v>
      </c>
      <c r="H628" s="245">
        <f t="shared" si="279"/>
        <v>1</v>
      </c>
      <c r="I628" s="121">
        <f t="shared" si="280"/>
        <v>1</v>
      </c>
      <c r="J628" s="121">
        <f t="shared" si="281"/>
        <v>1</v>
      </c>
      <c r="K628" s="120">
        <f t="shared" si="282"/>
        <v>0</v>
      </c>
      <c r="L628" s="120">
        <f t="shared" si="283"/>
        <v>0</v>
      </c>
      <c r="M628" s="246">
        <f t="shared" si="284"/>
        <v>0</v>
      </c>
      <c r="N628" s="121">
        <f t="shared" si="285"/>
        <v>1</v>
      </c>
      <c r="O628" s="246">
        <f t="shared" si="286"/>
        <v>0.91</v>
      </c>
      <c r="P628" s="121">
        <f t="shared" si="287"/>
        <v>0.58333333333333326</v>
      </c>
      <c r="Q628" s="121">
        <f t="shared" si="288"/>
        <v>0</v>
      </c>
      <c r="R628" s="121">
        <f t="shared" si="289"/>
        <v>0</v>
      </c>
      <c r="S628" s="121" t="str">
        <f t="shared" si="290"/>
        <v/>
      </c>
      <c r="T628" s="121" t="str">
        <f t="shared" si="291"/>
        <v/>
      </c>
      <c r="U628" s="121">
        <f t="shared" si="292"/>
        <v>1</v>
      </c>
    </row>
    <row r="629" spans="1:21" x14ac:dyDescent="0.3">
      <c r="A629" s="187">
        <v>11</v>
      </c>
      <c r="B629" s="242">
        <f t="shared" si="293"/>
        <v>45962</v>
      </c>
      <c r="C629" s="243">
        <f t="shared" si="274"/>
        <v>45991</v>
      </c>
      <c r="D629" s="120">
        <f t="shared" si="275"/>
        <v>30</v>
      </c>
      <c r="E629" s="120">
        <f t="shared" si="276"/>
        <v>11</v>
      </c>
      <c r="F629" s="275">
        <f t="shared" si="277"/>
        <v>45977</v>
      </c>
      <c r="G629" s="120">
        <f t="shared" si="278"/>
        <v>24310</v>
      </c>
      <c r="H629" s="245">
        <f t="shared" si="279"/>
        <v>1</v>
      </c>
      <c r="I629" s="121">
        <f t="shared" si="280"/>
        <v>1</v>
      </c>
      <c r="J629" s="121">
        <f t="shared" si="281"/>
        <v>1</v>
      </c>
      <c r="K629" s="120">
        <f t="shared" si="282"/>
        <v>0</v>
      </c>
      <c r="L629" s="120">
        <f t="shared" si="283"/>
        <v>0</v>
      </c>
      <c r="M629" s="246">
        <f t="shared" si="284"/>
        <v>0</v>
      </c>
      <c r="N629" s="121">
        <f t="shared" si="285"/>
        <v>1</v>
      </c>
      <c r="O629" s="246">
        <f t="shared" si="286"/>
        <v>0.91</v>
      </c>
      <c r="P629" s="121">
        <f t="shared" si="287"/>
        <v>0.75</v>
      </c>
      <c r="Q629" s="121">
        <f t="shared" si="288"/>
        <v>0</v>
      </c>
      <c r="R629" s="121">
        <f t="shared" si="289"/>
        <v>0</v>
      </c>
      <c r="S629" s="121" t="str">
        <f t="shared" si="290"/>
        <v/>
      </c>
      <c r="T629" s="121" t="str">
        <f t="shared" si="291"/>
        <v/>
      </c>
      <c r="U629" s="121">
        <f t="shared" si="292"/>
        <v>1</v>
      </c>
    </row>
    <row r="630" spans="1:21" x14ac:dyDescent="0.3">
      <c r="A630" s="187">
        <v>12</v>
      </c>
      <c r="B630" s="242">
        <f t="shared" si="293"/>
        <v>45992</v>
      </c>
      <c r="C630" s="243">
        <f t="shared" si="274"/>
        <v>46022</v>
      </c>
      <c r="D630" s="120">
        <f t="shared" si="275"/>
        <v>31</v>
      </c>
      <c r="E630" s="120">
        <f t="shared" si="276"/>
        <v>12</v>
      </c>
      <c r="F630" s="275">
        <f t="shared" si="277"/>
        <v>46007.5</v>
      </c>
      <c r="G630" s="120">
        <f t="shared" si="278"/>
        <v>24311</v>
      </c>
      <c r="H630" s="245">
        <f t="shared" si="279"/>
        <v>1</v>
      </c>
      <c r="I630" s="121">
        <f t="shared" si="280"/>
        <v>1</v>
      </c>
      <c r="J630" s="121">
        <f t="shared" si="281"/>
        <v>1</v>
      </c>
      <c r="K630" s="120">
        <f t="shared" si="282"/>
        <v>0</v>
      </c>
      <c r="L630" s="120">
        <f t="shared" si="283"/>
        <v>0</v>
      </c>
      <c r="M630" s="246">
        <f t="shared" si="284"/>
        <v>0</v>
      </c>
      <c r="N630" s="121">
        <f t="shared" si="285"/>
        <v>1</v>
      </c>
      <c r="O630" s="246">
        <f t="shared" si="286"/>
        <v>0.91</v>
      </c>
      <c r="P630" s="121">
        <f t="shared" si="287"/>
        <v>0.91666666666666663</v>
      </c>
      <c r="Q630" s="121">
        <f t="shared" si="288"/>
        <v>0</v>
      </c>
      <c r="R630" s="121">
        <f t="shared" si="289"/>
        <v>0</v>
      </c>
      <c r="S630" s="121" t="str">
        <f t="shared" si="290"/>
        <v/>
      </c>
      <c r="T630" s="121" t="str">
        <f t="shared" si="291"/>
        <v/>
      </c>
      <c r="U630" s="121">
        <f t="shared" si="292"/>
        <v>1</v>
      </c>
    </row>
    <row r="631" spans="1:21" x14ac:dyDescent="0.3">
      <c r="A631" s="187">
        <v>13</v>
      </c>
      <c r="B631" s="242">
        <f t="shared" si="293"/>
        <v>46023</v>
      </c>
      <c r="C631" s="243">
        <f t="shared" si="274"/>
        <v>46053</v>
      </c>
      <c r="D631" s="120">
        <f t="shared" si="275"/>
        <v>31</v>
      </c>
      <c r="E631" s="120">
        <f t="shared" si="276"/>
        <v>1</v>
      </c>
      <c r="F631" s="275">
        <f t="shared" si="277"/>
        <v>46038.5</v>
      </c>
      <c r="G631" s="120">
        <f t="shared" si="278"/>
        <v>24312</v>
      </c>
      <c r="H631" s="245">
        <f t="shared" si="279"/>
        <v>1</v>
      </c>
      <c r="I631" s="121">
        <f t="shared" si="280"/>
        <v>1</v>
      </c>
      <c r="J631" s="121">
        <f t="shared" si="281"/>
        <v>1</v>
      </c>
      <c r="K631" s="120">
        <f t="shared" si="282"/>
        <v>0</v>
      </c>
      <c r="L631" s="120">
        <f t="shared" si="283"/>
        <v>0</v>
      </c>
      <c r="M631" s="246">
        <f t="shared" si="284"/>
        <v>0</v>
      </c>
      <c r="N631" s="121">
        <f t="shared" si="285"/>
        <v>1</v>
      </c>
      <c r="O631" s="246">
        <f t="shared" si="286"/>
        <v>0.91</v>
      </c>
      <c r="P631" s="121">
        <f t="shared" si="287"/>
        <v>1</v>
      </c>
      <c r="Q631" s="121">
        <f t="shared" si="288"/>
        <v>0</v>
      </c>
      <c r="R631" s="121">
        <f t="shared" si="289"/>
        <v>0</v>
      </c>
      <c r="S631" s="121" t="str">
        <f t="shared" si="290"/>
        <v/>
      </c>
      <c r="T631" s="121" t="str">
        <f t="shared" si="291"/>
        <v/>
      </c>
      <c r="U631" s="121">
        <f t="shared" si="292"/>
        <v>1</v>
      </c>
    </row>
    <row r="632" spans="1:21" x14ac:dyDescent="0.3">
      <c r="A632" s="187">
        <v>14</v>
      </c>
      <c r="B632" s="242">
        <f t="shared" si="293"/>
        <v>46054</v>
      </c>
      <c r="C632" s="243">
        <f t="shared" si="274"/>
        <v>46081</v>
      </c>
      <c r="D632" s="120">
        <f t="shared" si="275"/>
        <v>28</v>
      </c>
      <c r="E632" s="120">
        <f t="shared" si="276"/>
        <v>2</v>
      </c>
      <c r="F632" s="275">
        <f t="shared" si="277"/>
        <v>46068</v>
      </c>
      <c r="G632" s="120">
        <f t="shared" si="278"/>
        <v>24313</v>
      </c>
      <c r="H632" s="245">
        <f t="shared" si="279"/>
        <v>1</v>
      </c>
      <c r="I632" s="121">
        <f t="shared" si="280"/>
        <v>1</v>
      </c>
      <c r="J632" s="121">
        <f t="shared" si="281"/>
        <v>1</v>
      </c>
      <c r="K632" s="120">
        <f t="shared" si="282"/>
        <v>0</v>
      </c>
      <c r="L632" s="120">
        <f t="shared" si="283"/>
        <v>0</v>
      </c>
      <c r="M632" s="246">
        <f t="shared" si="284"/>
        <v>0</v>
      </c>
      <c r="N632" s="121">
        <f t="shared" si="285"/>
        <v>1</v>
      </c>
      <c r="O632" s="246">
        <f t="shared" si="286"/>
        <v>0.91</v>
      </c>
      <c r="P632" s="121">
        <f t="shared" si="287"/>
        <v>1</v>
      </c>
      <c r="Q632" s="121">
        <f t="shared" si="288"/>
        <v>0</v>
      </c>
      <c r="R632" s="121">
        <f t="shared" si="289"/>
        <v>0</v>
      </c>
      <c r="S632" s="121" t="str">
        <f t="shared" si="290"/>
        <v/>
      </c>
      <c r="T632" s="121" t="str">
        <f t="shared" si="291"/>
        <v/>
      </c>
      <c r="U632" s="121">
        <f t="shared" si="292"/>
        <v>1</v>
      </c>
    </row>
    <row r="633" spans="1:21" x14ac:dyDescent="0.3">
      <c r="A633" s="187">
        <v>15</v>
      </c>
      <c r="B633" s="242">
        <f t="shared" si="293"/>
        <v>46082</v>
      </c>
      <c r="C633" s="243">
        <f t="shared" si="274"/>
        <v>46112</v>
      </c>
      <c r="D633" s="120">
        <f t="shared" si="275"/>
        <v>31</v>
      </c>
      <c r="E633" s="120">
        <f t="shared" si="276"/>
        <v>3</v>
      </c>
      <c r="F633" s="275">
        <f t="shared" si="277"/>
        <v>46097.5</v>
      </c>
      <c r="G633" s="120">
        <f t="shared" si="278"/>
        <v>24314</v>
      </c>
      <c r="H633" s="245">
        <f t="shared" si="279"/>
        <v>1</v>
      </c>
      <c r="I633" s="121">
        <f t="shared" si="280"/>
        <v>1</v>
      </c>
      <c r="J633" s="121">
        <f t="shared" si="281"/>
        <v>1</v>
      </c>
      <c r="K633" s="120">
        <f t="shared" si="282"/>
        <v>0</v>
      </c>
      <c r="L633" s="120">
        <f t="shared" si="283"/>
        <v>0</v>
      </c>
      <c r="M633" s="246">
        <f t="shared" si="284"/>
        <v>0</v>
      </c>
      <c r="N633" s="121">
        <f t="shared" si="285"/>
        <v>1</v>
      </c>
      <c r="O633" s="246">
        <f t="shared" si="286"/>
        <v>0.91</v>
      </c>
      <c r="P633" s="121">
        <f t="shared" si="287"/>
        <v>1</v>
      </c>
      <c r="Q633" s="121">
        <f t="shared" si="288"/>
        <v>0</v>
      </c>
      <c r="R633" s="121">
        <f t="shared" si="289"/>
        <v>0</v>
      </c>
      <c r="S633" s="121" t="str">
        <f t="shared" si="290"/>
        <v/>
      </c>
      <c r="T633" s="121" t="str">
        <f t="shared" si="291"/>
        <v/>
      </c>
      <c r="U633" s="121">
        <f t="shared" si="292"/>
        <v>1</v>
      </c>
    </row>
    <row r="634" spans="1:21" x14ac:dyDescent="0.3">
      <c r="A634" s="187">
        <v>16</v>
      </c>
      <c r="B634" s="242">
        <f t="shared" si="293"/>
        <v>46113</v>
      </c>
      <c r="C634" s="243">
        <f t="shared" si="274"/>
        <v>46142</v>
      </c>
      <c r="D634" s="120">
        <f t="shared" si="275"/>
        <v>30</v>
      </c>
      <c r="E634" s="120">
        <f t="shared" si="276"/>
        <v>4</v>
      </c>
      <c r="F634" s="275">
        <f t="shared" si="277"/>
        <v>46128</v>
      </c>
      <c r="G634" s="120">
        <f t="shared" si="278"/>
        <v>24315</v>
      </c>
      <c r="H634" s="245">
        <f t="shared" si="279"/>
        <v>1</v>
      </c>
      <c r="I634" s="121">
        <f t="shared" si="280"/>
        <v>1</v>
      </c>
      <c r="J634" s="121">
        <f t="shared" si="281"/>
        <v>1</v>
      </c>
      <c r="K634" s="120">
        <f t="shared" si="282"/>
        <v>0</v>
      </c>
      <c r="L634" s="120">
        <f t="shared" si="283"/>
        <v>0</v>
      </c>
      <c r="M634" s="246">
        <f t="shared" si="284"/>
        <v>0</v>
      </c>
      <c r="N634" s="121">
        <f t="shared" si="285"/>
        <v>1</v>
      </c>
      <c r="O634" s="246">
        <f t="shared" si="286"/>
        <v>0.91</v>
      </c>
      <c r="P634" s="121">
        <f t="shared" si="287"/>
        <v>1</v>
      </c>
      <c r="Q634" s="121">
        <f t="shared" si="288"/>
        <v>0</v>
      </c>
      <c r="R634" s="121">
        <f t="shared" si="289"/>
        <v>0</v>
      </c>
      <c r="S634" s="121" t="str">
        <f t="shared" si="290"/>
        <v/>
      </c>
      <c r="T634" s="121" t="str">
        <f t="shared" si="291"/>
        <v/>
      </c>
      <c r="U634" s="121">
        <f t="shared" si="292"/>
        <v>1</v>
      </c>
    </row>
    <row r="635" spans="1:21" x14ac:dyDescent="0.3">
      <c r="A635" s="187">
        <v>17</v>
      </c>
      <c r="B635" s="242">
        <f t="shared" si="293"/>
        <v>46143</v>
      </c>
      <c r="C635" s="243">
        <f t="shared" si="274"/>
        <v>46173</v>
      </c>
      <c r="D635" s="120">
        <f t="shared" si="275"/>
        <v>31</v>
      </c>
      <c r="E635" s="120">
        <f t="shared" si="276"/>
        <v>5</v>
      </c>
      <c r="F635" s="275">
        <f t="shared" si="277"/>
        <v>46158.5</v>
      </c>
      <c r="G635" s="120">
        <f t="shared" si="278"/>
        <v>24316</v>
      </c>
      <c r="H635" s="245">
        <f t="shared" si="279"/>
        <v>1</v>
      </c>
      <c r="I635" s="121">
        <f t="shared" si="280"/>
        <v>1</v>
      </c>
      <c r="J635" s="121">
        <f t="shared" si="281"/>
        <v>1</v>
      </c>
      <c r="K635" s="120">
        <f t="shared" si="282"/>
        <v>0</v>
      </c>
      <c r="L635" s="120">
        <f t="shared" si="283"/>
        <v>0</v>
      </c>
      <c r="M635" s="246">
        <f t="shared" si="284"/>
        <v>0</v>
      </c>
      <c r="N635" s="121">
        <f t="shared" si="285"/>
        <v>1</v>
      </c>
      <c r="O635" s="246">
        <f t="shared" si="286"/>
        <v>0.91</v>
      </c>
      <c r="P635" s="121">
        <f t="shared" si="287"/>
        <v>1</v>
      </c>
      <c r="Q635" s="121">
        <f t="shared" si="288"/>
        <v>0</v>
      </c>
      <c r="R635" s="121">
        <f t="shared" si="289"/>
        <v>0</v>
      </c>
      <c r="S635" s="121" t="str">
        <f t="shared" si="290"/>
        <v/>
      </c>
      <c r="T635" s="121" t="str">
        <f t="shared" si="291"/>
        <v/>
      </c>
      <c r="U635" s="121">
        <f t="shared" si="292"/>
        <v>1</v>
      </c>
    </row>
    <row r="636" spans="1:21" x14ac:dyDescent="0.3">
      <c r="A636" s="187">
        <v>18</v>
      </c>
      <c r="B636" s="242">
        <f t="shared" si="293"/>
        <v>46174</v>
      </c>
      <c r="C636" s="243">
        <f t="shared" si="274"/>
        <v>46203</v>
      </c>
      <c r="D636" s="120">
        <f t="shared" si="275"/>
        <v>30</v>
      </c>
      <c r="E636" s="120">
        <f t="shared" si="276"/>
        <v>6</v>
      </c>
      <c r="F636" s="275">
        <f t="shared" si="277"/>
        <v>46189</v>
      </c>
      <c r="G636" s="120">
        <f t="shared" si="278"/>
        <v>24317</v>
      </c>
      <c r="H636" s="245">
        <f t="shared" si="279"/>
        <v>1</v>
      </c>
      <c r="I636" s="121">
        <f t="shared" si="280"/>
        <v>1</v>
      </c>
      <c r="J636" s="121">
        <f t="shared" si="281"/>
        <v>1</v>
      </c>
      <c r="K636" s="120">
        <f t="shared" si="282"/>
        <v>0</v>
      </c>
      <c r="L636" s="120">
        <f t="shared" si="283"/>
        <v>0</v>
      </c>
      <c r="M636" s="246">
        <f t="shared" si="284"/>
        <v>0</v>
      </c>
      <c r="N636" s="121">
        <f t="shared" si="285"/>
        <v>1</v>
      </c>
      <c r="O636" s="246">
        <f t="shared" si="286"/>
        <v>0.91</v>
      </c>
      <c r="P636" s="121">
        <f t="shared" si="287"/>
        <v>1</v>
      </c>
      <c r="Q636" s="121">
        <f t="shared" si="288"/>
        <v>0</v>
      </c>
      <c r="R636" s="121">
        <f t="shared" si="289"/>
        <v>0</v>
      </c>
      <c r="S636" s="121" t="str">
        <f t="shared" si="290"/>
        <v/>
      </c>
      <c r="T636" s="121" t="str">
        <f t="shared" si="291"/>
        <v/>
      </c>
      <c r="U636" s="121">
        <f t="shared" si="292"/>
        <v>1</v>
      </c>
    </row>
    <row r="637" spans="1:21" x14ac:dyDescent="0.3">
      <c r="A637" s="187">
        <v>19</v>
      </c>
      <c r="B637" s="242">
        <f t="shared" si="293"/>
        <v>46204</v>
      </c>
      <c r="C637" s="243">
        <f t="shared" si="274"/>
        <v>46234</v>
      </c>
      <c r="D637" s="120">
        <f t="shared" si="275"/>
        <v>31</v>
      </c>
      <c r="E637" s="120">
        <f t="shared" si="276"/>
        <v>7</v>
      </c>
      <c r="F637" s="275">
        <f t="shared" si="277"/>
        <v>46219.5</v>
      </c>
      <c r="G637" s="120">
        <f t="shared" si="278"/>
        <v>24318</v>
      </c>
      <c r="H637" s="245">
        <f t="shared" si="279"/>
        <v>1</v>
      </c>
      <c r="I637" s="121">
        <f t="shared" si="280"/>
        <v>1</v>
      </c>
      <c r="J637" s="121">
        <f t="shared" si="281"/>
        <v>1</v>
      </c>
      <c r="K637" s="120">
        <f t="shared" si="282"/>
        <v>0</v>
      </c>
      <c r="L637" s="120">
        <f t="shared" si="283"/>
        <v>0</v>
      </c>
      <c r="M637" s="246">
        <f t="shared" si="284"/>
        <v>0</v>
      </c>
      <c r="N637" s="121">
        <f t="shared" si="285"/>
        <v>1</v>
      </c>
      <c r="O637" s="246">
        <f t="shared" si="286"/>
        <v>0.91</v>
      </c>
      <c r="P637" s="121">
        <f t="shared" si="287"/>
        <v>0.91666666666666663</v>
      </c>
      <c r="Q637" s="121">
        <f t="shared" si="288"/>
        <v>8.333333333333337E-2</v>
      </c>
      <c r="R637" s="121">
        <f t="shared" si="289"/>
        <v>0</v>
      </c>
      <c r="S637" s="121" t="str">
        <f t="shared" si="290"/>
        <v/>
      </c>
      <c r="T637" s="121" t="str">
        <f t="shared" si="291"/>
        <v/>
      </c>
      <c r="U637" s="121">
        <f t="shared" si="292"/>
        <v>1</v>
      </c>
    </row>
    <row r="638" spans="1:21" x14ac:dyDescent="0.3">
      <c r="A638" s="187">
        <v>20</v>
      </c>
      <c r="B638" s="242">
        <f t="shared" si="293"/>
        <v>46235</v>
      </c>
      <c r="C638" s="243">
        <f t="shared" si="274"/>
        <v>46265</v>
      </c>
      <c r="D638" s="120">
        <f t="shared" si="275"/>
        <v>31</v>
      </c>
      <c r="E638" s="120">
        <f t="shared" si="276"/>
        <v>8</v>
      </c>
      <c r="F638" s="275">
        <f t="shared" si="277"/>
        <v>46250.5</v>
      </c>
      <c r="G638" s="120">
        <f t="shared" si="278"/>
        <v>24319</v>
      </c>
      <c r="H638" s="245">
        <f t="shared" si="279"/>
        <v>1</v>
      </c>
      <c r="I638" s="121">
        <f t="shared" si="280"/>
        <v>1</v>
      </c>
      <c r="J638" s="121">
        <f t="shared" si="281"/>
        <v>1</v>
      </c>
      <c r="K638" s="120">
        <f t="shared" si="282"/>
        <v>0</v>
      </c>
      <c r="L638" s="120">
        <f t="shared" si="283"/>
        <v>0</v>
      </c>
      <c r="M638" s="246">
        <f t="shared" si="284"/>
        <v>0</v>
      </c>
      <c r="N638" s="121">
        <f t="shared" si="285"/>
        <v>1</v>
      </c>
      <c r="O638" s="246">
        <f t="shared" si="286"/>
        <v>0.91</v>
      </c>
      <c r="P638" s="121">
        <f t="shared" si="287"/>
        <v>0.75</v>
      </c>
      <c r="Q638" s="121">
        <f t="shared" si="288"/>
        <v>0.25</v>
      </c>
      <c r="R638" s="121">
        <f t="shared" si="289"/>
        <v>0</v>
      </c>
      <c r="S638" s="121" t="str">
        <f t="shared" si="290"/>
        <v/>
      </c>
      <c r="T638" s="121" t="str">
        <f t="shared" si="291"/>
        <v/>
      </c>
      <c r="U638" s="121">
        <f t="shared" si="292"/>
        <v>1</v>
      </c>
    </row>
    <row r="639" spans="1:21" x14ac:dyDescent="0.3">
      <c r="A639" s="187">
        <v>21</v>
      </c>
      <c r="B639" s="242">
        <f t="shared" si="293"/>
        <v>46266</v>
      </c>
      <c r="C639" s="243">
        <f t="shared" si="274"/>
        <v>46295</v>
      </c>
      <c r="D639" s="120">
        <f t="shared" si="275"/>
        <v>30</v>
      </c>
      <c r="E639" s="120">
        <f t="shared" si="276"/>
        <v>9</v>
      </c>
      <c r="F639" s="275">
        <f t="shared" si="277"/>
        <v>46281</v>
      </c>
      <c r="G639" s="120">
        <f t="shared" si="278"/>
        <v>24320</v>
      </c>
      <c r="H639" s="245">
        <f t="shared" si="279"/>
        <v>1</v>
      </c>
      <c r="I639" s="121">
        <f t="shared" si="280"/>
        <v>1</v>
      </c>
      <c r="J639" s="121">
        <f t="shared" si="281"/>
        <v>1</v>
      </c>
      <c r="K639" s="120">
        <f t="shared" si="282"/>
        <v>0</v>
      </c>
      <c r="L639" s="120">
        <f t="shared" si="283"/>
        <v>0</v>
      </c>
      <c r="M639" s="246">
        <f t="shared" si="284"/>
        <v>0</v>
      </c>
      <c r="N639" s="121">
        <f t="shared" si="285"/>
        <v>1</v>
      </c>
      <c r="O639" s="246">
        <f t="shared" si="286"/>
        <v>0.91</v>
      </c>
      <c r="P639" s="121">
        <f t="shared" si="287"/>
        <v>0.58333333333333337</v>
      </c>
      <c r="Q639" s="121">
        <f t="shared" si="288"/>
        <v>0.41666666666666663</v>
      </c>
      <c r="R639" s="121">
        <f t="shared" si="289"/>
        <v>0</v>
      </c>
      <c r="S639" s="121" t="str">
        <f t="shared" si="290"/>
        <v/>
      </c>
      <c r="T639" s="121" t="str">
        <f t="shared" si="291"/>
        <v/>
      </c>
      <c r="U639" s="121">
        <f t="shared" si="292"/>
        <v>1</v>
      </c>
    </row>
    <row r="640" spans="1:21" x14ac:dyDescent="0.3">
      <c r="A640" s="187">
        <v>22</v>
      </c>
      <c r="B640" s="242">
        <f t="shared" si="293"/>
        <v>46296</v>
      </c>
      <c r="C640" s="243">
        <f t="shared" si="274"/>
        <v>46326</v>
      </c>
      <c r="D640" s="120">
        <f t="shared" si="275"/>
        <v>31</v>
      </c>
      <c r="E640" s="120">
        <f t="shared" si="276"/>
        <v>10</v>
      </c>
      <c r="F640" s="275">
        <f t="shared" si="277"/>
        <v>46311.5</v>
      </c>
      <c r="G640" s="120">
        <f t="shared" si="278"/>
        <v>24321</v>
      </c>
      <c r="H640" s="245">
        <f t="shared" si="279"/>
        <v>1</v>
      </c>
      <c r="I640" s="121">
        <f t="shared" si="280"/>
        <v>1</v>
      </c>
      <c r="J640" s="121">
        <f t="shared" si="281"/>
        <v>1</v>
      </c>
      <c r="K640" s="120">
        <f t="shared" si="282"/>
        <v>0</v>
      </c>
      <c r="L640" s="120">
        <f t="shared" si="283"/>
        <v>0</v>
      </c>
      <c r="M640" s="246">
        <f t="shared" si="284"/>
        <v>0</v>
      </c>
      <c r="N640" s="121">
        <f t="shared" si="285"/>
        <v>1</v>
      </c>
      <c r="O640" s="246">
        <f t="shared" si="286"/>
        <v>0.91</v>
      </c>
      <c r="P640" s="121">
        <f t="shared" si="287"/>
        <v>0.41666666666666669</v>
      </c>
      <c r="Q640" s="121">
        <f t="shared" si="288"/>
        <v>0.58333333333333326</v>
      </c>
      <c r="R640" s="121">
        <f t="shared" si="289"/>
        <v>0</v>
      </c>
      <c r="S640" s="121" t="str">
        <f t="shared" si="290"/>
        <v/>
      </c>
      <c r="T640" s="121" t="str">
        <f t="shared" si="291"/>
        <v/>
      </c>
      <c r="U640" s="121">
        <f t="shared" si="292"/>
        <v>1</v>
      </c>
    </row>
    <row r="641" spans="1:21" x14ac:dyDescent="0.3">
      <c r="A641" s="187">
        <v>23</v>
      </c>
      <c r="B641" s="242">
        <f t="shared" si="293"/>
        <v>46327</v>
      </c>
      <c r="C641" s="243">
        <f t="shared" si="274"/>
        <v>46356</v>
      </c>
      <c r="D641" s="120">
        <f t="shared" si="275"/>
        <v>30</v>
      </c>
      <c r="E641" s="120">
        <f t="shared" si="276"/>
        <v>11</v>
      </c>
      <c r="F641" s="275">
        <f t="shared" si="277"/>
        <v>46342</v>
      </c>
      <c r="G641" s="120">
        <f t="shared" si="278"/>
        <v>24322</v>
      </c>
      <c r="H641" s="245">
        <f t="shared" si="279"/>
        <v>1</v>
      </c>
      <c r="I641" s="121">
        <f t="shared" si="280"/>
        <v>1</v>
      </c>
      <c r="J641" s="121">
        <f t="shared" si="281"/>
        <v>1.02</v>
      </c>
      <c r="K641" s="120">
        <f t="shared" si="282"/>
        <v>1</v>
      </c>
      <c r="L641" s="120">
        <f t="shared" si="283"/>
        <v>30</v>
      </c>
      <c r="M641" s="246">
        <f t="shared" si="284"/>
        <v>1</v>
      </c>
      <c r="N641" s="121">
        <f t="shared" si="285"/>
        <v>1.02</v>
      </c>
      <c r="O641" s="246">
        <f t="shared" si="286"/>
        <v>0.91</v>
      </c>
      <c r="P641" s="121">
        <f t="shared" si="287"/>
        <v>0.25</v>
      </c>
      <c r="Q641" s="121">
        <f t="shared" si="288"/>
        <v>0.75</v>
      </c>
      <c r="R641" s="121">
        <f t="shared" si="289"/>
        <v>0</v>
      </c>
      <c r="S641" s="121" t="str">
        <f t="shared" si="290"/>
        <v/>
      </c>
      <c r="T641" s="121" t="str">
        <f t="shared" si="291"/>
        <v/>
      </c>
      <c r="U641" s="121">
        <f t="shared" si="292"/>
        <v>1.02</v>
      </c>
    </row>
    <row r="642" spans="1:21" x14ac:dyDescent="0.3">
      <c r="A642" s="187">
        <v>24</v>
      </c>
      <c r="B642" s="242">
        <f t="shared" si="293"/>
        <v>46357</v>
      </c>
      <c r="C642" s="243">
        <f t="shared" si="274"/>
        <v>46387</v>
      </c>
      <c r="D642" s="120">
        <f t="shared" si="275"/>
        <v>31</v>
      </c>
      <c r="E642" s="120">
        <f t="shared" si="276"/>
        <v>12</v>
      </c>
      <c r="F642" s="275">
        <f t="shared" si="277"/>
        <v>46372.5</v>
      </c>
      <c r="G642" s="120">
        <f t="shared" si="278"/>
        <v>24323</v>
      </c>
      <c r="H642" s="245">
        <f t="shared" si="279"/>
        <v>1</v>
      </c>
      <c r="I642" s="121">
        <f t="shared" si="280"/>
        <v>1.02</v>
      </c>
      <c r="J642" s="121">
        <f t="shared" si="281"/>
        <v>1.02</v>
      </c>
      <c r="K642" s="120">
        <f t="shared" si="282"/>
        <v>0</v>
      </c>
      <c r="L642" s="120">
        <f t="shared" si="283"/>
        <v>0</v>
      </c>
      <c r="M642" s="246">
        <f t="shared" si="284"/>
        <v>0</v>
      </c>
      <c r="N642" s="121">
        <f t="shared" si="285"/>
        <v>1.02</v>
      </c>
      <c r="O642" s="246">
        <f t="shared" si="286"/>
        <v>0.91</v>
      </c>
      <c r="P642" s="121">
        <f t="shared" si="287"/>
        <v>8.3333333333333329E-2</v>
      </c>
      <c r="Q642" s="121">
        <f t="shared" si="288"/>
        <v>0.91666666666666663</v>
      </c>
      <c r="R642" s="121">
        <f t="shared" si="289"/>
        <v>0</v>
      </c>
      <c r="S642" s="121" t="str">
        <f t="shared" si="290"/>
        <v/>
      </c>
      <c r="T642" s="121" t="str">
        <f t="shared" si="291"/>
        <v/>
      </c>
      <c r="U642" s="121">
        <f t="shared" si="292"/>
        <v>1.02</v>
      </c>
    </row>
    <row r="643" spans="1:21" x14ac:dyDescent="0.3">
      <c r="A643" s="187">
        <v>25</v>
      </c>
      <c r="B643" s="242">
        <f t="shared" si="293"/>
        <v>46388</v>
      </c>
      <c r="C643" s="243">
        <f t="shared" si="274"/>
        <v>46418</v>
      </c>
      <c r="D643" s="120">
        <f t="shared" si="275"/>
        <v>31</v>
      </c>
      <c r="E643" s="120">
        <f t="shared" si="276"/>
        <v>1</v>
      </c>
      <c r="F643" s="275">
        <f t="shared" si="277"/>
        <v>46403.5</v>
      </c>
      <c r="G643" s="120">
        <f t="shared" si="278"/>
        <v>24324</v>
      </c>
      <c r="H643" s="245">
        <f t="shared" si="279"/>
        <v>1</v>
      </c>
      <c r="I643" s="121">
        <f t="shared" si="280"/>
        <v>1.02</v>
      </c>
      <c r="J643" s="121">
        <f t="shared" si="281"/>
        <v>1.02</v>
      </c>
      <c r="K643" s="120">
        <f t="shared" si="282"/>
        <v>0</v>
      </c>
      <c r="L643" s="120">
        <f t="shared" si="283"/>
        <v>0</v>
      </c>
      <c r="M643" s="246">
        <f t="shared" si="284"/>
        <v>0</v>
      </c>
      <c r="N643" s="121">
        <f t="shared" si="285"/>
        <v>1.02</v>
      </c>
      <c r="O643" s="246">
        <f t="shared" si="286"/>
        <v>0.91</v>
      </c>
      <c r="P643" s="121">
        <f t="shared" si="287"/>
        <v>0</v>
      </c>
      <c r="Q643" s="121">
        <f t="shared" si="288"/>
        <v>1</v>
      </c>
      <c r="R643" s="121">
        <f t="shared" si="289"/>
        <v>0</v>
      </c>
      <c r="S643" s="121" t="str">
        <f t="shared" si="290"/>
        <v/>
      </c>
      <c r="T643" s="121" t="str">
        <f t="shared" si="291"/>
        <v/>
      </c>
      <c r="U643" s="121">
        <f t="shared" si="292"/>
        <v>1.02</v>
      </c>
    </row>
    <row r="644" spans="1:21" x14ac:dyDescent="0.3">
      <c r="A644" s="187">
        <v>26</v>
      </c>
      <c r="B644" s="242">
        <f t="shared" si="293"/>
        <v>46419</v>
      </c>
      <c r="C644" s="243">
        <f t="shared" si="274"/>
        <v>46446</v>
      </c>
      <c r="D644" s="120">
        <f t="shared" si="275"/>
        <v>28</v>
      </c>
      <c r="E644" s="120">
        <f t="shared" si="276"/>
        <v>2</v>
      </c>
      <c r="F644" s="275">
        <f t="shared" si="277"/>
        <v>46433</v>
      </c>
      <c r="G644" s="120">
        <f t="shared" si="278"/>
        <v>24325</v>
      </c>
      <c r="H644" s="245">
        <f t="shared" si="279"/>
        <v>1</v>
      </c>
      <c r="I644" s="121">
        <f t="shared" si="280"/>
        <v>1.02</v>
      </c>
      <c r="J644" s="121">
        <f t="shared" si="281"/>
        <v>1.02</v>
      </c>
      <c r="K644" s="120">
        <f t="shared" si="282"/>
        <v>0</v>
      </c>
      <c r="L644" s="120">
        <f t="shared" si="283"/>
        <v>0</v>
      </c>
      <c r="M644" s="246">
        <f t="shared" si="284"/>
        <v>0</v>
      </c>
      <c r="N644" s="121">
        <f t="shared" si="285"/>
        <v>1.02</v>
      </c>
      <c r="O644" s="246">
        <f t="shared" si="286"/>
        <v>0.91</v>
      </c>
      <c r="P644" s="121">
        <f t="shared" si="287"/>
        <v>0</v>
      </c>
      <c r="Q644" s="121">
        <f t="shared" si="288"/>
        <v>1</v>
      </c>
      <c r="R644" s="121">
        <f t="shared" si="289"/>
        <v>0</v>
      </c>
      <c r="S644" s="121" t="str">
        <f t="shared" si="290"/>
        <v/>
      </c>
      <c r="T644" s="121" t="str">
        <f t="shared" si="291"/>
        <v/>
      </c>
      <c r="U644" s="121">
        <f t="shared" si="292"/>
        <v>1.02</v>
      </c>
    </row>
    <row r="645" spans="1:21" x14ac:dyDescent="0.3">
      <c r="A645" s="187">
        <v>27</v>
      </c>
      <c r="B645" s="242">
        <f t="shared" si="293"/>
        <v>46447</v>
      </c>
      <c r="C645" s="243">
        <f t="shared" si="274"/>
        <v>46477</v>
      </c>
      <c r="D645" s="120">
        <f t="shared" si="275"/>
        <v>31</v>
      </c>
      <c r="E645" s="120">
        <f t="shared" si="276"/>
        <v>3</v>
      </c>
      <c r="F645" s="275">
        <f t="shared" si="277"/>
        <v>46462.5</v>
      </c>
      <c r="G645" s="120">
        <f t="shared" si="278"/>
        <v>24326</v>
      </c>
      <c r="H645" s="245">
        <f t="shared" si="279"/>
        <v>1</v>
      </c>
      <c r="I645" s="121">
        <f t="shared" si="280"/>
        <v>1.02</v>
      </c>
      <c r="J645" s="121">
        <f t="shared" si="281"/>
        <v>1.02</v>
      </c>
      <c r="K645" s="120">
        <f t="shared" si="282"/>
        <v>0</v>
      </c>
      <c r="L645" s="120">
        <f t="shared" si="283"/>
        <v>0</v>
      </c>
      <c r="M645" s="246">
        <f t="shared" si="284"/>
        <v>0</v>
      </c>
      <c r="N645" s="121">
        <f t="shared" si="285"/>
        <v>1.02</v>
      </c>
      <c r="O645" s="246">
        <f t="shared" si="286"/>
        <v>0.91</v>
      </c>
      <c r="P645" s="121">
        <f t="shared" si="287"/>
        <v>0</v>
      </c>
      <c r="Q645" s="121">
        <f t="shared" si="288"/>
        <v>1</v>
      </c>
      <c r="R645" s="121">
        <f t="shared" si="289"/>
        <v>0</v>
      </c>
      <c r="S645" s="121" t="str">
        <f t="shared" si="290"/>
        <v/>
      </c>
      <c r="T645" s="121" t="str">
        <f t="shared" si="291"/>
        <v/>
      </c>
      <c r="U645" s="121">
        <f t="shared" si="292"/>
        <v>1.02</v>
      </c>
    </row>
    <row r="646" spans="1:21" x14ac:dyDescent="0.3">
      <c r="A646" s="187">
        <v>28</v>
      </c>
      <c r="B646" s="242">
        <f t="shared" si="293"/>
        <v>46478</v>
      </c>
      <c r="C646" s="243">
        <f t="shared" si="274"/>
        <v>46507</v>
      </c>
      <c r="D646" s="120">
        <f t="shared" si="275"/>
        <v>30</v>
      </c>
      <c r="E646" s="120">
        <f t="shared" si="276"/>
        <v>4</v>
      </c>
      <c r="F646" s="275">
        <f t="shared" si="277"/>
        <v>46493</v>
      </c>
      <c r="G646" s="120">
        <f t="shared" si="278"/>
        <v>24327</v>
      </c>
      <c r="H646" s="245">
        <f t="shared" si="279"/>
        <v>1</v>
      </c>
      <c r="I646" s="121">
        <f t="shared" si="280"/>
        <v>1.02</v>
      </c>
      <c r="J646" s="121">
        <f t="shared" si="281"/>
        <v>1.02</v>
      </c>
      <c r="K646" s="120">
        <f t="shared" si="282"/>
        <v>0</v>
      </c>
      <c r="L646" s="120">
        <f t="shared" si="283"/>
        <v>0</v>
      </c>
      <c r="M646" s="246">
        <f t="shared" si="284"/>
        <v>0</v>
      </c>
      <c r="N646" s="121">
        <f t="shared" si="285"/>
        <v>1.02</v>
      </c>
      <c r="O646" s="246">
        <f t="shared" si="286"/>
        <v>0.91</v>
      </c>
      <c r="P646" s="121">
        <f t="shared" si="287"/>
        <v>0</v>
      </c>
      <c r="Q646" s="121">
        <f t="shared" si="288"/>
        <v>1</v>
      </c>
      <c r="R646" s="121">
        <f t="shared" si="289"/>
        <v>0</v>
      </c>
      <c r="S646" s="121" t="str">
        <f t="shared" si="290"/>
        <v/>
      </c>
      <c r="T646" s="121" t="str">
        <f t="shared" si="291"/>
        <v/>
      </c>
      <c r="U646" s="121">
        <f t="shared" si="292"/>
        <v>1.02</v>
      </c>
    </row>
    <row r="647" spans="1:21" x14ac:dyDescent="0.3">
      <c r="A647" s="187">
        <v>29</v>
      </c>
      <c r="B647" s="242">
        <f t="shared" si="293"/>
        <v>46508</v>
      </c>
      <c r="C647" s="243">
        <f t="shared" si="274"/>
        <v>46538</v>
      </c>
      <c r="D647" s="120">
        <f t="shared" si="275"/>
        <v>31</v>
      </c>
      <c r="E647" s="120">
        <f t="shared" si="276"/>
        <v>5</v>
      </c>
      <c r="F647" s="275">
        <f t="shared" si="277"/>
        <v>46523.5</v>
      </c>
      <c r="G647" s="120">
        <f t="shared" si="278"/>
        <v>24328</v>
      </c>
      <c r="H647" s="245">
        <f t="shared" si="279"/>
        <v>1</v>
      </c>
      <c r="I647" s="121">
        <f t="shared" si="280"/>
        <v>1.02</v>
      </c>
      <c r="J647" s="121">
        <f t="shared" si="281"/>
        <v>1.02</v>
      </c>
      <c r="K647" s="120">
        <f t="shared" si="282"/>
        <v>0</v>
      </c>
      <c r="L647" s="120">
        <f t="shared" si="283"/>
        <v>0</v>
      </c>
      <c r="M647" s="246">
        <f t="shared" si="284"/>
        <v>0</v>
      </c>
      <c r="N647" s="121">
        <f t="shared" si="285"/>
        <v>1.02</v>
      </c>
      <c r="O647" s="246">
        <f t="shared" si="286"/>
        <v>0.91</v>
      </c>
      <c r="P647" s="121">
        <f t="shared" si="287"/>
        <v>0</v>
      </c>
      <c r="Q647" s="121">
        <f t="shared" si="288"/>
        <v>1</v>
      </c>
      <c r="R647" s="121">
        <f t="shared" si="289"/>
        <v>0</v>
      </c>
      <c r="S647" s="121" t="str">
        <f t="shared" si="290"/>
        <v/>
      </c>
      <c r="T647" s="121" t="str">
        <f t="shared" si="291"/>
        <v/>
      </c>
      <c r="U647" s="121">
        <f t="shared" si="292"/>
        <v>1.02</v>
      </c>
    </row>
    <row r="648" spans="1:21" x14ac:dyDescent="0.3">
      <c r="A648" s="187">
        <v>30</v>
      </c>
      <c r="B648" s="242">
        <f t="shared" si="293"/>
        <v>46539</v>
      </c>
      <c r="C648" s="243">
        <f t="shared" si="274"/>
        <v>46568</v>
      </c>
      <c r="D648" s="120">
        <f t="shared" si="275"/>
        <v>30</v>
      </c>
      <c r="E648" s="120">
        <f t="shared" si="276"/>
        <v>6</v>
      </c>
      <c r="F648" s="275">
        <f t="shared" si="277"/>
        <v>46554</v>
      </c>
      <c r="G648" s="120">
        <f t="shared" si="278"/>
        <v>24329</v>
      </c>
      <c r="H648" s="245">
        <f t="shared" si="279"/>
        <v>1</v>
      </c>
      <c r="I648" s="121">
        <f t="shared" si="280"/>
        <v>1.02</v>
      </c>
      <c r="J648" s="121">
        <f t="shared" si="281"/>
        <v>1.02</v>
      </c>
      <c r="K648" s="120">
        <f t="shared" si="282"/>
        <v>0</v>
      </c>
      <c r="L648" s="120">
        <f t="shared" si="283"/>
        <v>0</v>
      </c>
      <c r="M648" s="246">
        <f t="shared" si="284"/>
        <v>0</v>
      </c>
      <c r="N648" s="121">
        <f t="shared" si="285"/>
        <v>1.02</v>
      </c>
      <c r="O648" s="246">
        <f t="shared" si="286"/>
        <v>0.91</v>
      </c>
      <c r="P648" s="121">
        <f t="shared" si="287"/>
        <v>0</v>
      </c>
      <c r="Q648" s="121">
        <f t="shared" si="288"/>
        <v>1</v>
      </c>
      <c r="R648" s="121">
        <f t="shared" si="289"/>
        <v>0</v>
      </c>
      <c r="S648" s="121" t="str">
        <f t="shared" si="290"/>
        <v/>
      </c>
      <c r="T648" s="121" t="str">
        <f t="shared" si="291"/>
        <v/>
      </c>
      <c r="U648" s="121">
        <f t="shared" si="292"/>
        <v>1.02</v>
      </c>
    </row>
    <row r="649" spans="1:21" x14ac:dyDescent="0.3">
      <c r="A649" s="187">
        <v>31</v>
      </c>
      <c r="B649" s="242">
        <f t="shared" si="293"/>
        <v>46569</v>
      </c>
      <c r="C649" s="243">
        <f t="shared" si="274"/>
        <v>46599</v>
      </c>
      <c r="D649" s="120">
        <f t="shared" si="275"/>
        <v>31</v>
      </c>
      <c r="E649" s="120">
        <f t="shared" si="276"/>
        <v>7</v>
      </c>
      <c r="F649" s="275">
        <f t="shared" si="277"/>
        <v>46584.5</v>
      </c>
      <c r="G649" s="120">
        <f t="shared" si="278"/>
        <v>24330</v>
      </c>
      <c r="H649" s="245">
        <f t="shared" si="279"/>
        <v>1</v>
      </c>
      <c r="I649" s="121">
        <f t="shared" si="280"/>
        <v>1.02</v>
      </c>
      <c r="J649" s="121">
        <f t="shared" si="281"/>
        <v>1.02</v>
      </c>
      <c r="K649" s="120">
        <f t="shared" si="282"/>
        <v>0</v>
      </c>
      <c r="L649" s="120">
        <f t="shared" si="283"/>
        <v>0</v>
      </c>
      <c r="M649" s="246">
        <f t="shared" si="284"/>
        <v>0</v>
      </c>
      <c r="N649" s="121">
        <f t="shared" si="285"/>
        <v>1.02</v>
      </c>
      <c r="O649" s="246">
        <f t="shared" si="286"/>
        <v>0.91</v>
      </c>
      <c r="P649" s="121">
        <f t="shared" si="287"/>
        <v>0</v>
      </c>
      <c r="Q649" s="121">
        <f t="shared" si="288"/>
        <v>0.91666666666666663</v>
      </c>
      <c r="R649" s="121">
        <f t="shared" si="289"/>
        <v>8.333333333333337E-2</v>
      </c>
      <c r="S649" s="121" t="str">
        <f t="shared" si="290"/>
        <v/>
      </c>
      <c r="T649" s="121" t="str">
        <f t="shared" si="291"/>
        <v/>
      </c>
      <c r="U649" s="121">
        <f t="shared" si="292"/>
        <v>1.02</v>
      </c>
    </row>
    <row r="650" spans="1:21" x14ac:dyDescent="0.3">
      <c r="A650" s="187">
        <v>32</v>
      </c>
      <c r="B650" s="242">
        <f t="shared" si="293"/>
        <v>46600</v>
      </c>
      <c r="C650" s="243">
        <f t="shared" si="274"/>
        <v>46630</v>
      </c>
      <c r="D650" s="120">
        <f t="shared" si="275"/>
        <v>31</v>
      </c>
      <c r="E650" s="120">
        <f t="shared" si="276"/>
        <v>8</v>
      </c>
      <c r="F650" s="275">
        <f t="shared" si="277"/>
        <v>46615.5</v>
      </c>
      <c r="G650" s="120">
        <f t="shared" si="278"/>
        <v>24331</v>
      </c>
      <c r="H650" s="245">
        <f t="shared" si="279"/>
        <v>1</v>
      </c>
      <c r="I650" s="121">
        <f t="shared" si="280"/>
        <v>1.02</v>
      </c>
      <c r="J650" s="121">
        <f t="shared" si="281"/>
        <v>1.02</v>
      </c>
      <c r="K650" s="120">
        <f t="shared" si="282"/>
        <v>0</v>
      </c>
      <c r="L650" s="120">
        <f t="shared" si="283"/>
        <v>0</v>
      </c>
      <c r="M650" s="246">
        <f t="shared" si="284"/>
        <v>0</v>
      </c>
      <c r="N650" s="121">
        <f t="shared" si="285"/>
        <v>1.02</v>
      </c>
      <c r="O650" s="246">
        <f t="shared" si="286"/>
        <v>0.91</v>
      </c>
      <c r="P650" s="121">
        <f t="shared" si="287"/>
        <v>0</v>
      </c>
      <c r="Q650" s="121">
        <f t="shared" si="288"/>
        <v>0.75</v>
      </c>
      <c r="R650" s="121">
        <f t="shared" si="289"/>
        <v>0.25</v>
      </c>
      <c r="S650" s="121" t="str">
        <f t="shared" si="290"/>
        <v/>
      </c>
      <c r="T650" s="121" t="str">
        <f t="shared" si="291"/>
        <v/>
      </c>
      <c r="U650" s="121">
        <f t="shared" si="292"/>
        <v>1.02</v>
      </c>
    </row>
    <row r="651" spans="1:21" x14ac:dyDescent="0.3">
      <c r="A651" s="187">
        <v>33</v>
      </c>
      <c r="B651" s="242">
        <f t="shared" si="293"/>
        <v>46631</v>
      </c>
      <c r="C651" s="243">
        <f t="shared" si="274"/>
        <v>46660</v>
      </c>
      <c r="D651" s="120">
        <f t="shared" si="275"/>
        <v>30</v>
      </c>
      <c r="E651" s="120">
        <f t="shared" si="276"/>
        <v>9</v>
      </c>
      <c r="F651" s="275">
        <f t="shared" si="277"/>
        <v>46646</v>
      </c>
      <c r="G651" s="120">
        <f t="shared" si="278"/>
        <v>24332</v>
      </c>
      <c r="H651" s="245">
        <f t="shared" si="279"/>
        <v>1</v>
      </c>
      <c r="I651" s="121">
        <f t="shared" si="280"/>
        <v>1.02</v>
      </c>
      <c r="J651" s="121">
        <f t="shared" si="281"/>
        <v>1.02</v>
      </c>
      <c r="K651" s="120">
        <f t="shared" si="282"/>
        <v>0</v>
      </c>
      <c r="L651" s="120">
        <f t="shared" si="283"/>
        <v>0</v>
      </c>
      <c r="M651" s="246">
        <f t="shared" si="284"/>
        <v>0</v>
      </c>
      <c r="N651" s="121">
        <f t="shared" si="285"/>
        <v>1.02</v>
      </c>
      <c r="O651" s="246">
        <f t="shared" si="286"/>
        <v>0.91</v>
      </c>
      <c r="P651" s="121">
        <f t="shared" si="287"/>
        <v>0</v>
      </c>
      <c r="Q651" s="121">
        <f t="shared" si="288"/>
        <v>0.58333333333333337</v>
      </c>
      <c r="R651" s="121">
        <f t="shared" si="289"/>
        <v>0.41666666666666663</v>
      </c>
      <c r="S651" s="121" t="str">
        <f t="shared" si="290"/>
        <v/>
      </c>
      <c r="T651" s="121" t="str">
        <f t="shared" si="291"/>
        <v/>
      </c>
      <c r="U651" s="121">
        <f t="shared" si="292"/>
        <v>1.02</v>
      </c>
    </row>
    <row r="652" spans="1:21" x14ac:dyDescent="0.3">
      <c r="A652" s="187">
        <v>34</v>
      </c>
      <c r="B652" s="242">
        <f t="shared" si="293"/>
        <v>46661</v>
      </c>
      <c r="C652" s="243">
        <f t="shared" si="274"/>
        <v>46691</v>
      </c>
      <c r="D652" s="120">
        <f t="shared" si="275"/>
        <v>31</v>
      </c>
      <c r="E652" s="120">
        <f t="shared" si="276"/>
        <v>10</v>
      </c>
      <c r="F652" s="275">
        <f t="shared" si="277"/>
        <v>46676.5</v>
      </c>
      <c r="G652" s="120">
        <f t="shared" si="278"/>
        <v>24333</v>
      </c>
      <c r="H652" s="245">
        <f t="shared" si="279"/>
        <v>1</v>
      </c>
      <c r="I652" s="121">
        <f t="shared" si="280"/>
        <v>1.02</v>
      </c>
      <c r="J652" s="121">
        <f t="shared" si="281"/>
        <v>1.02</v>
      </c>
      <c r="K652" s="120">
        <f t="shared" si="282"/>
        <v>0</v>
      </c>
      <c r="L652" s="120">
        <f t="shared" si="283"/>
        <v>0</v>
      </c>
      <c r="M652" s="246">
        <f t="shared" si="284"/>
        <v>0</v>
      </c>
      <c r="N652" s="121">
        <f t="shared" si="285"/>
        <v>1.02</v>
      </c>
      <c r="O652" s="246">
        <f t="shared" si="286"/>
        <v>0.91</v>
      </c>
      <c r="P652" s="121">
        <f t="shared" si="287"/>
        <v>0</v>
      </c>
      <c r="Q652" s="121">
        <f t="shared" si="288"/>
        <v>0.41666666666666669</v>
      </c>
      <c r="R652" s="121">
        <f t="shared" si="289"/>
        <v>0.58333333333333326</v>
      </c>
      <c r="S652" s="121" t="str">
        <f t="shared" si="290"/>
        <v/>
      </c>
      <c r="T652" s="121" t="str">
        <f t="shared" si="291"/>
        <v/>
      </c>
      <c r="U652" s="121">
        <f t="shared" si="292"/>
        <v>1.02</v>
      </c>
    </row>
    <row r="653" spans="1:21" x14ac:dyDescent="0.3">
      <c r="A653" s="187">
        <v>35</v>
      </c>
      <c r="B653" s="242">
        <f t="shared" si="293"/>
        <v>46692</v>
      </c>
      <c r="C653" s="243">
        <f t="shared" si="274"/>
        <v>46721</v>
      </c>
      <c r="D653" s="120">
        <f t="shared" si="275"/>
        <v>30</v>
      </c>
      <c r="E653" s="120">
        <f t="shared" si="276"/>
        <v>11</v>
      </c>
      <c r="F653" s="275">
        <f t="shared" si="277"/>
        <v>46707</v>
      </c>
      <c r="G653" s="120">
        <f t="shared" si="278"/>
        <v>24334</v>
      </c>
      <c r="H653" s="245">
        <f t="shared" si="279"/>
        <v>1</v>
      </c>
      <c r="I653" s="121">
        <f t="shared" si="280"/>
        <v>1.02</v>
      </c>
      <c r="J653" s="121">
        <f t="shared" si="281"/>
        <v>1.02</v>
      </c>
      <c r="K653" s="120">
        <f t="shared" si="282"/>
        <v>0</v>
      </c>
      <c r="L653" s="120">
        <f t="shared" si="283"/>
        <v>0</v>
      </c>
      <c r="M653" s="246">
        <f t="shared" si="284"/>
        <v>0</v>
      </c>
      <c r="N653" s="121">
        <f t="shared" si="285"/>
        <v>1.02</v>
      </c>
      <c r="O653" s="246">
        <f t="shared" si="286"/>
        <v>0.91</v>
      </c>
      <c r="P653" s="121">
        <f t="shared" si="287"/>
        <v>0</v>
      </c>
      <c r="Q653" s="121">
        <f t="shared" si="288"/>
        <v>0.25</v>
      </c>
      <c r="R653" s="121">
        <f t="shared" si="289"/>
        <v>0.75</v>
      </c>
      <c r="S653" s="121" t="str">
        <f t="shared" si="290"/>
        <v/>
      </c>
      <c r="T653" s="121" t="str">
        <f t="shared" si="291"/>
        <v/>
      </c>
      <c r="U653" s="121">
        <f t="shared" si="292"/>
        <v>1.02</v>
      </c>
    </row>
    <row r="654" spans="1:21" x14ac:dyDescent="0.3">
      <c r="A654" s="187">
        <v>36</v>
      </c>
      <c r="B654" s="242">
        <f t="shared" si="293"/>
        <v>46722</v>
      </c>
      <c r="C654" s="243">
        <f t="shared" si="274"/>
        <v>46752</v>
      </c>
      <c r="D654" s="120">
        <f t="shared" si="275"/>
        <v>31</v>
      </c>
      <c r="E654" s="120">
        <f t="shared" si="276"/>
        <v>12</v>
      </c>
      <c r="F654" s="275">
        <f t="shared" si="277"/>
        <v>46737.5</v>
      </c>
      <c r="G654" s="120">
        <f t="shared" si="278"/>
        <v>24335</v>
      </c>
      <c r="H654" s="245">
        <f t="shared" si="279"/>
        <v>1</v>
      </c>
      <c r="I654" s="121">
        <f t="shared" si="280"/>
        <v>1.02</v>
      </c>
      <c r="J654" s="121">
        <f t="shared" si="281"/>
        <v>1.02</v>
      </c>
      <c r="K654" s="120">
        <f t="shared" si="282"/>
        <v>0</v>
      </c>
      <c r="L654" s="120">
        <f t="shared" si="283"/>
        <v>0</v>
      </c>
      <c r="M654" s="246">
        <f t="shared" si="284"/>
        <v>0</v>
      </c>
      <c r="N654" s="121">
        <f t="shared" si="285"/>
        <v>1.02</v>
      </c>
      <c r="O654" s="246">
        <f t="shared" si="286"/>
        <v>0.91</v>
      </c>
      <c r="P654" s="121">
        <f t="shared" si="287"/>
        <v>0</v>
      </c>
      <c r="Q654" s="121">
        <f t="shared" si="288"/>
        <v>8.3333333333333329E-2</v>
      </c>
      <c r="R654" s="121">
        <f t="shared" si="289"/>
        <v>0.91666666666666663</v>
      </c>
      <c r="S654" s="121" t="str">
        <f t="shared" si="290"/>
        <v/>
      </c>
      <c r="T654" s="121" t="str">
        <f t="shared" si="291"/>
        <v/>
      </c>
      <c r="U654" s="121">
        <f t="shared" si="292"/>
        <v>1.02</v>
      </c>
    </row>
    <row r="655" spans="1:21" x14ac:dyDescent="0.3">
      <c r="A655" s="187">
        <v>37</v>
      </c>
      <c r="B655" s="242">
        <f t="shared" si="293"/>
        <v>46753</v>
      </c>
      <c r="C655" s="243">
        <f t="shared" si="274"/>
        <v>46783</v>
      </c>
      <c r="D655" s="120">
        <f t="shared" si="275"/>
        <v>31</v>
      </c>
      <c r="E655" s="120">
        <f t="shared" si="276"/>
        <v>1</v>
      </c>
      <c r="F655" s="275">
        <f t="shared" si="277"/>
        <v>46768.5</v>
      </c>
      <c r="G655" s="120">
        <f t="shared" si="278"/>
        <v>24336</v>
      </c>
      <c r="H655" s="245">
        <f t="shared" si="279"/>
        <v>1</v>
      </c>
      <c r="I655" s="121">
        <f t="shared" si="280"/>
        <v>1.02</v>
      </c>
      <c r="J655" s="121">
        <f t="shared" si="281"/>
        <v>1.02</v>
      </c>
      <c r="K655" s="120">
        <f t="shared" si="282"/>
        <v>0</v>
      </c>
      <c r="L655" s="120">
        <f t="shared" si="283"/>
        <v>0</v>
      </c>
      <c r="M655" s="246">
        <f t="shared" si="284"/>
        <v>0</v>
      </c>
      <c r="N655" s="121">
        <f t="shared" si="285"/>
        <v>1.02</v>
      </c>
      <c r="O655" s="246">
        <f t="shared" si="286"/>
        <v>0.91</v>
      </c>
      <c r="P655" s="121">
        <f t="shared" si="287"/>
        <v>0</v>
      </c>
      <c r="Q655" s="121">
        <f t="shared" si="288"/>
        <v>0</v>
      </c>
      <c r="R655" s="121">
        <f t="shared" si="289"/>
        <v>1</v>
      </c>
      <c r="S655" s="121" t="str">
        <f t="shared" si="290"/>
        <v/>
      </c>
      <c r="T655" s="121" t="str">
        <f t="shared" si="291"/>
        <v/>
      </c>
      <c r="U655" s="121">
        <f t="shared" si="292"/>
        <v>1.02</v>
      </c>
    </row>
    <row r="656" spans="1:21" x14ac:dyDescent="0.3">
      <c r="A656" s="187">
        <v>38</v>
      </c>
      <c r="B656" s="242">
        <f t="shared" si="293"/>
        <v>46784</v>
      </c>
      <c r="C656" s="243">
        <f t="shared" si="274"/>
        <v>46812</v>
      </c>
      <c r="D656" s="120">
        <f t="shared" si="275"/>
        <v>29</v>
      </c>
      <c r="E656" s="120">
        <f t="shared" si="276"/>
        <v>2</v>
      </c>
      <c r="F656" s="275">
        <f t="shared" si="277"/>
        <v>46798.5</v>
      </c>
      <c r="G656" s="120">
        <f t="shared" si="278"/>
        <v>24337</v>
      </c>
      <c r="H656" s="245">
        <f t="shared" si="279"/>
        <v>1</v>
      </c>
      <c r="I656" s="121">
        <f t="shared" si="280"/>
        <v>1.02</v>
      </c>
      <c r="J656" s="121">
        <f t="shared" si="281"/>
        <v>1.02</v>
      </c>
      <c r="K656" s="120">
        <f t="shared" si="282"/>
        <v>0</v>
      </c>
      <c r="L656" s="120">
        <f t="shared" si="283"/>
        <v>0</v>
      </c>
      <c r="M656" s="246">
        <f t="shared" si="284"/>
        <v>0</v>
      </c>
      <c r="N656" s="121">
        <f t="shared" si="285"/>
        <v>1.02</v>
      </c>
      <c r="O656" s="246">
        <f t="shared" si="286"/>
        <v>0.91</v>
      </c>
      <c r="P656" s="121">
        <f t="shared" si="287"/>
        <v>0</v>
      </c>
      <c r="Q656" s="121">
        <f t="shared" si="288"/>
        <v>0</v>
      </c>
      <c r="R656" s="121">
        <f t="shared" si="289"/>
        <v>1</v>
      </c>
      <c r="S656" s="121" t="str">
        <f t="shared" si="290"/>
        <v/>
      </c>
      <c r="T656" s="121" t="str">
        <f t="shared" si="291"/>
        <v/>
      </c>
      <c r="U656" s="121">
        <f t="shared" si="292"/>
        <v>1.02</v>
      </c>
    </row>
    <row r="657" spans="1:21" x14ac:dyDescent="0.3">
      <c r="A657" s="187">
        <v>39</v>
      </c>
      <c r="B657" s="242">
        <f t="shared" si="293"/>
        <v>46813</v>
      </c>
      <c r="C657" s="243">
        <f t="shared" si="274"/>
        <v>46843</v>
      </c>
      <c r="D657" s="120">
        <f t="shared" si="275"/>
        <v>31</v>
      </c>
      <c r="E657" s="120">
        <f t="shared" si="276"/>
        <v>3</v>
      </c>
      <c r="F657" s="275">
        <f t="shared" si="277"/>
        <v>46828.5</v>
      </c>
      <c r="G657" s="120">
        <f t="shared" si="278"/>
        <v>24338</v>
      </c>
      <c r="H657" s="245">
        <f t="shared" si="279"/>
        <v>1</v>
      </c>
      <c r="I657" s="121">
        <f t="shared" si="280"/>
        <v>1.02</v>
      </c>
      <c r="J657" s="121">
        <f t="shared" si="281"/>
        <v>1.02</v>
      </c>
      <c r="K657" s="120">
        <f t="shared" si="282"/>
        <v>0</v>
      </c>
      <c r="L657" s="120">
        <f t="shared" si="283"/>
        <v>0</v>
      </c>
      <c r="M657" s="246">
        <f t="shared" si="284"/>
        <v>0</v>
      </c>
      <c r="N657" s="121">
        <f t="shared" si="285"/>
        <v>1.02</v>
      </c>
      <c r="O657" s="246">
        <f t="shared" si="286"/>
        <v>0.91</v>
      </c>
      <c r="P657" s="121">
        <f t="shared" si="287"/>
        <v>0</v>
      </c>
      <c r="Q657" s="121">
        <f t="shared" si="288"/>
        <v>0</v>
      </c>
      <c r="R657" s="121">
        <f t="shared" si="289"/>
        <v>1</v>
      </c>
      <c r="S657" s="121" t="str">
        <f t="shared" si="290"/>
        <v/>
      </c>
      <c r="T657" s="121" t="str">
        <f t="shared" si="291"/>
        <v/>
      </c>
      <c r="U657" s="121">
        <f t="shared" si="292"/>
        <v>1.02</v>
      </c>
    </row>
    <row r="658" spans="1:21" x14ac:dyDescent="0.3">
      <c r="A658" s="187">
        <v>40</v>
      </c>
      <c r="B658" s="242">
        <f t="shared" si="293"/>
        <v>46844</v>
      </c>
      <c r="C658" s="243">
        <f t="shared" si="274"/>
        <v>46873</v>
      </c>
      <c r="D658" s="120">
        <f t="shared" si="275"/>
        <v>30</v>
      </c>
      <c r="E658" s="120">
        <f t="shared" si="276"/>
        <v>4</v>
      </c>
      <c r="F658" s="275">
        <f t="shared" si="277"/>
        <v>46859</v>
      </c>
      <c r="G658" s="120">
        <f t="shared" si="278"/>
        <v>24339</v>
      </c>
      <c r="H658" s="245">
        <f t="shared" si="279"/>
        <v>1</v>
      </c>
      <c r="I658" s="121">
        <f t="shared" si="280"/>
        <v>1.02</v>
      </c>
      <c r="J658" s="121">
        <f t="shared" si="281"/>
        <v>1.02</v>
      </c>
      <c r="K658" s="120">
        <f t="shared" si="282"/>
        <v>0</v>
      </c>
      <c r="L658" s="120">
        <f t="shared" si="283"/>
        <v>0</v>
      </c>
      <c r="M658" s="246">
        <f t="shared" si="284"/>
        <v>0</v>
      </c>
      <c r="N658" s="121">
        <f t="shared" si="285"/>
        <v>1.02</v>
      </c>
      <c r="O658" s="246">
        <f t="shared" si="286"/>
        <v>0.91</v>
      </c>
      <c r="P658" s="121">
        <f t="shared" si="287"/>
        <v>0</v>
      </c>
      <c r="Q658" s="121">
        <f t="shared" si="288"/>
        <v>0</v>
      </c>
      <c r="R658" s="121">
        <f t="shared" si="289"/>
        <v>1</v>
      </c>
      <c r="S658" s="121" t="str">
        <f t="shared" si="290"/>
        <v/>
      </c>
      <c r="T658" s="121" t="str">
        <f t="shared" si="291"/>
        <v/>
      </c>
      <c r="U658" s="121">
        <f t="shared" si="292"/>
        <v>1.02</v>
      </c>
    </row>
    <row r="659" spans="1:21" x14ac:dyDescent="0.3">
      <c r="A659" s="187">
        <v>41</v>
      </c>
      <c r="B659" s="242">
        <f t="shared" si="293"/>
        <v>46874</v>
      </c>
      <c r="C659" s="243">
        <f t="shared" si="274"/>
        <v>46904</v>
      </c>
      <c r="D659" s="120">
        <f t="shared" si="275"/>
        <v>31</v>
      </c>
      <c r="E659" s="120">
        <f t="shared" si="276"/>
        <v>5</v>
      </c>
      <c r="F659" s="275">
        <f t="shared" si="277"/>
        <v>46889.5</v>
      </c>
      <c r="G659" s="120">
        <f t="shared" si="278"/>
        <v>24340</v>
      </c>
      <c r="H659" s="245">
        <f t="shared" si="279"/>
        <v>1</v>
      </c>
      <c r="I659" s="121">
        <f t="shared" si="280"/>
        <v>1.02</v>
      </c>
      <c r="J659" s="121">
        <f t="shared" si="281"/>
        <v>1.02</v>
      </c>
      <c r="K659" s="120">
        <f t="shared" si="282"/>
        <v>0</v>
      </c>
      <c r="L659" s="120">
        <f t="shared" si="283"/>
        <v>0</v>
      </c>
      <c r="M659" s="246">
        <f t="shared" si="284"/>
        <v>0</v>
      </c>
      <c r="N659" s="121">
        <f t="shared" si="285"/>
        <v>1.02</v>
      </c>
      <c r="O659" s="246">
        <f t="shared" si="286"/>
        <v>0.91</v>
      </c>
      <c r="P659" s="121">
        <f t="shared" si="287"/>
        <v>0</v>
      </c>
      <c r="Q659" s="121">
        <f t="shared" si="288"/>
        <v>0</v>
      </c>
      <c r="R659" s="121">
        <f t="shared" si="289"/>
        <v>1</v>
      </c>
      <c r="S659" s="121" t="str">
        <f t="shared" si="290"/>
        <v/>
      </c>
      <c r="T659" s="121" t="str">
        <f t="shared" si="291"/>
        <v/>
      </c>
      <c r="U659" s="121">
        <f t="shared" si="292"/>
        <v>1.02</v>
      </c>
    </row>
    <row r="660" spans="1:21" x14ac:dyDescent="0.3">
      <c r="A660" s="187">
        <v>42</v>
      </c>
      <c r="B660" s="242">
        <f t="shared" si="293"/>
        <v>46905</v>
      </c>
      <c r="C660" s="243">
        <f t="shared" si="274"/>
        <v>46934</v>
      </c>
      <c r="D660" s="120">
        <f t="shared" si="275"/>
        <v>30</v>
      </c>
      <c r="E660" s="120">
        <f t="shared" si="276"/>
        <v>6</v>
      </c>
      <c r="F660" s="275">
        <f t="shared" si="277"/>
        <v>46920</v>
      </c>
      <c r="G660" s="120">
        <f t="shared" si="278"/>
        <v>24341</v>
      </c>
      <c r="H660" s="245">
        <f t="shared" si="279"/>
        <v>1</v>
      </c>
      <c r="I660" s="121">
        <f t="shared" si="280"/>
        <v>1.02</v>
      </c>
      <c r="J660" s="121">
        <f t="shared" si="281"/>
        <v>1.02</v>
      </c>
      <c r="K660" s="120">
        <f t="shared" si="282"/>
        <v>0</v>
      </c>
      <c r="L660" s="120">
        <f t="shared" si="283"/>
        <v>0</v>
      </c>
      <c r="M660" s="246">
        <f t="shared" si="284"/>
        <v>0</v>
      </c>
      <c r="N660" s="121">
        <f t="shared" si="285"/>
        <v>1.02</v>
      </c>
      <c r="O660" s="246">
        <f t="shared" si="286"/>
        <v>0.91</v>
      </c>
      <c r="P660" s="121">
        <f t="shared" si="287"/>
        <v>0</v>
      </c>
      <c r="Q660" s="121">
        <f t="shared" si="288"/>
        <v>0</v>
      </c>
      <c r="R660" s="121">
        <f t="shared" si="289"/>
        <v>1</v>
      </c>
      <c r="S660" s="121" t="str">
        <f t="shared" si="290"/>
        <v/>
      </c>
      <c r="T660" s="121" t="str">
        <f t="shared" si="291"/>
        <v/>
      </c>
      <c r="U660" s="121">
        <f t="shared" si="292"/>
        <v>1.02</v>
      </c>
    </row>
    <row r="661" spans="1:21" x14ac:dyDescent="0.3">
      <c r="A661" s="187">
        <v>43</v>
      </c>
      <c r="B661" s="242">
        <f t="shared" si="293"/>
        <v>46935</v>
      </c>
      <c r="C661" s="243">
        <f t="shared" si="274"/>
        <v>46965</v>
      </c>
      <c r="D661" s="120">
        <f t="shared" si="275"/>
        <v>31</v>
      </c>
      <c r="E661" s="120">
        <f t="shared" si="276"/>
        <v>7</v>
      </c>
      <c r="F661" s="275">
        <f t="shared" si="277"/>
        <v>46950.5</v>
      </c>
      <c r="G661" s="120">
        <f t="shared" si="278"/>
        <v>24342</v>
      </c>
      <c r="H661" s="245">
        <f t="shared" si="279"/>
        <v>1</v>
      </c>
      <c r="I661" s="121">
        <f t="shared" si="280"/>
        <v>1.02</v>
      </c>
      <c r="J661" s="121">
        <f t="shared" si="281"/>
        <v>1.02</v>
      </c>
      <c r="K661" s="120">
        <f t="shared" si="282"/>
        <v>0</v>
      </c>
      <c r="L661" s="120">
        <f t="shared" si="283"/>
        <v>0</v>
      </c>
      <c r="M661" s="246">
        <f t="shared" si="284"/>
        <v>0</v>
      </c>
      <c r="N661" s="121">
        <f t="shared" si="285"/>
        <v>1.02</v>
      </c>
      <c r="O661" s="246">
        <f t="shared" si="286"/>
        <v>0.91</v>
      </c>
      <c r="P661" s="121">
        <f t="shared" si="287"/>
        <v>0</v>
      </c>
      <c r="Q661" s="121">
        <f t="shared" si="288"/>
        <v>0</v>
      </c>
      <c r="R661" s="121">
        <f t="shared" si="289"/>
        <v>0.91666666666666663</v>
      </c>
      <c r="S661" s="121" t="str">
        <f t="shared" si="290"/>
        <v/>
      </c>
      <c r="T661" s="121" t="str">
        <f t="shared" si="291"/>
        <v/>
      </c>
      <c r="U661" s="121">
        <f t="shared" si="292"/>
        <v>1.02</v>
      </c>
    </row>
    <row r="662" spans="1:21" x14ac:dyDescent="0.3">
      <c r="A662" s="187">
        <v>44</v>
      </c>
      <c r="B662" s="242">
        <f t="shared" si="293"/>
        <v>46966</v>
      </c>
      <c r="C662" s="243">
        <f t="shared" si="274"/>
        <v>46996</v>
      </c>
      <c r="D662" s="120">
        <f t="shared" si="275"/>
        <v>31</v>
      </c>
      <c r="E662" s="120">
        <f t="shared" si="276"/>
        <v>8</v>
      </c>
      <c r="F662" s="275">
        <f t="shared" si="277"/>
        <v>46981.5</v>
      </c>
      <c r="G662" s="120">
        <f t="shared" si="278"/>
        <v>24343</v>
      </c>
      <c r="H662" s="245">
        <f t="shared" si="279"/>
        <v>1</v>
      </c>
      <c r="I662" s="121">
        <f t="shared" si="280"/>
        <v>1.02</v>
      </c>
      <c r="J662" s="121">
        <f t="shared" si="281"/>
        <v>1.02</v>
      </c>
      <c r="K662" s="120">
        <f t="shared" si="282"/>
        <v>0</v>
      </c>
      <c r="L662" s="120">
        <f t="shared" si="283"/>
        <v>0</v>
      </c>
      <c r="M662" s="246">
        <f t="shared" si="284"/>
        <v>0</v>
      </c>
      <c r="N662" s="121">
        <f t="shared" si="285"/>
        <v>1.02</v>
      </c>
      <c r="O662" s="246">
        <f t="shared" si="286"/>
        <v>0.91</v>
      </c>
      <c r="P662" s="121">
        <f t="shared" si="287"/>
        <v>0</v>
      </c>
      <c r="Q662" s="121">
        <f t="shared" si="288"/>
        <v>0</v>
      </c>
      <c r="R662" s="121">
        <f t="shared" si="289"/>
        <v>0.75</v>
      </c>
      <c r="S662" s="121" t="str">
        <f t="shared" si="290"/>
        <v/>
      </c>
      <c r="T662" s="121" t="str">
        <f t="shared" si="291"/>
        <v/>
      </c>
      <c r="U662" s="121">
        <f t="shared" si="292"/>
        <v>1.02</v>
      </c>
    </row>
    <row r="663" spans="1:21" x14ac:dyDescent="0.3">
      <c r="A663" s="187">
        <v>45</v>
      </c>
      <c r="B663" s="242">
        <f t="shared" si="293"/>
        <v>46997</v>
      </c>
      <c r="C663" s="243">
        <f t="shared" si="274"/>
        <v>47026</v>
      </c>
      <c r="D663" s="120">
        <f t="shared" si="275"/>
        <v>30</v>
      </c>
      <c r="E663" s="120">
        <f t="shared" si="276"/>
        <v>9</v>
      </c>
      <c r="F663" s="275">
        <f t="shared" si="277"/>
        <v>47012</v>
      </c>
      <c r="G663" s="120">
        <f t="shared" si="278"/>
        <v>24344</v>
      </c>
      <c r="H663" s="245">
        <f t="shared" si="279"/>
        <v>1</v>
      </c>
      <c r="I663" s="121">
        <f t="shared" si="280"/>
        <v>1.02</v>
      </c>
      <c r="J663" s="121">
        <f t="shared" si="281"/>
        <v>1.02</v>
      </c>
      <c r="K663" s="120">
        <f t="shared" si="282"/>
        <v>0</v>
      </c>
      <c r="L663" s="120">
        <f t="shared" si="283"/>
        <v>0</v>
      </c>
      <c r="M663" s="246">
        <f t="shared" si="284"/>
        <v>0</v>
      </c>
      <c r="N663" s="121">
        <f t="shared" si="285"/>
        <v>1.02</v>
      </c>
      <c r="O663" s="246">
        <f t="shared" si="286"/>
        <v>0.91</v>
      </c>
      <c r="P663" s="121">
        <f t="shared" si="287"/>
        <v>0</v>
      </c>
      <c r="Q663" s="121">
        <f t="shared" si="288"/>
        <v>0</v>
      </c>
      <c r="R663" s="121">
        <f t="shared" si="289"/>
        <v>0.58333333333333337</v>
      </c>
      <c r="S663" s="121" t="str">
        <f t="shared" si="290"/>
        <v/>
      </c>
      <c r="T663" s="121" t="str">
        <f t="shared" si="291"/>
        <v/>
      </c>
      <c r="U663" s="121">
        <f t="shared" si="292"/>
        <v>1.02</v>
      </c>
    </row>
    <row r="664" spans="1:21" x14ac:dyDescent="0.3">
      <c r="A664" s="187">
        <v>46</v>
      </c>
      <c r="B664" s="242">
        <f t="shared" si="293"/>
        <v>47027</v>
      </c>
      <c r="C664" s="243">
        <f t="shared" si="274"/>
        <v>47057</v>
      </c>
      <c r="D664" s="120">
        <f t="shared" si="275"/>
        <v>31</v>
      </c>
      <c r="E664" s="120">
        <f t="shared" si="276"/>
        <v>10</v>
      </c>
      <c r="F664" s="275">
        <f t="shared" si="277"/>
        <v>47042.5</v>
      </c>
      <c r="G664" s="120">
        <f t="shared" si="278"/>
        <v>24345</v>
      </c>
      <c r="H664" s="245">
        <f t="shared" si="279"/>
        <v>1</v>
      </c>
      <c r="I664" s="121">
        <f t="shared" si="280"/>
        <v>1.02</v>
      </c>
      <c r="J664" s="121">
        <f t="shared" si="281"/>
        <v>1.02</v>
      </c>
      <c r="K664" s="120">
        <f t="shared" si="282"/>
        <v>0</v>
      </c>
      <c r="L664" s="120">
        <f t="shared" si="283"/>
        <v>0</v>
      </c>
      <c r="M664" s="246">
        <f t="shared" si="284"/>
        <v>0</v>
      </c>
      <c r="N664" s="121">
        <f t="shared" si="285"/>
        <v>1.02</v>
      </c>
      <c r="O664" s="246">
        <f t="shared" si="286"/>
        <v>0.91</v>
      </c>
      <c r="P664" s="121">
        <f t="shared" si="287"/>
        <v>0</v>
      </c>
      <c r="Q664" s="121">
        <f t="shared" si="288"/>
        <v>0</v>
      </c>
      <c r="R664" s="121">
        <f t="shared" si="289"/>
        <v>0.41666666666666669</v>
      </c>
      <c r="S664" s="121" t="str">
        <f t="shared" si="290"/>
        <v/>
      </c>
      <c r="T664" s="121" t="str">
        <f t="shared" si="291"/>
        <v/>
      </c>
      <c r="U664" s="121">
        <f t="shared" si="292"/>
        <v>1.02</v>
      </c>
    </row>
    <row r="665" spans="1:21" x14ac:dyDescent="0.3">
      <c r="A665" s="187">
        <v>47</v>
      </c>
      <c r="B665" s="242">
        <f t="shared" si="293"/>
        <v>47058</v>
      </c>
      <c r="C665" s="243">
        <f t="shared" si="274"/>
        <v>47087</v>
      </c>
      <c r="D665" s="120">
        <f t="shared" si="275"/>
        <v>30</v>
      </c>
      <c r="E665" s="120">
        <f t="shared" si="276"/>
        <v>11</v>
      </c>
      <c r="F665" s="275">
        <f t="shared" si="277"/>
        <v>47073</v>
      </c>
      <c r="G665" s="120">
        <f t="shared" si="278"/>
        <v>24346</v>
      </c>
      <c r="H665" s="245">
        <f t="shared" si="279"/>
        <v>1</v>
      </c>
      <c r="I665" s="121">
        <f t="shared" si="280"/>
        <v>1.02</v>
      </c>
      <c r="J665" s="121">
        <f t="shared" si="281"/>
        <v>1.02</v>
      </c>
      <c r="K665" s="120">
        <f t="shared" si="282"/>
        <v>0</v>
      </c>
      <c r="L665" s="120">
        <f t="shared" si="283"/>
        <v>0</v>
      </c>
      <c r="M665" s="246">
        <f t="shared" si="284"/>
        <v>0</v>
      </c>
      <c r="N665" s="121">
        <f t="shared" si="285"/>
        <v>1.02</v>
      </c>
      <c r="O665" s="246">
        <f t="shared" si="286"/>
        <v>0.91</v>
      </c>
      <c r="P665" s="121">
        <f t="shared" si="287"/>
        <v>0</v>
      </c>
      <c r="Q665" s="121">
        <f t="shared" si="288"/>
        <v>0</v>
      </c>
      <c r="R665" s="121">
        <f t="shared" si="289"/>
        <v>0.25</v>
      </c>
      <c r="S665" s="121" t="str">
        <f t="shared" si="290"/>
        <v/>
      </c>
      <c r="T665" s="121" t="str">
        <f t="shared" si="291"/>
        <v/>
      </c>
      <c r="U665" s="121">
        <f t="shared" si="292"/>
        <v>1.02</v>
      </c>
    </row>
    <row r="666" spans="1:21" x14ac:dyDescent="0.3">
      <c r="A666" s="187">
        <v>48</v>
      </c>
      <c r="B666" s="242">
        <f t="shared" si="293"/>
        <v>47088</v>
      </c>
      <c r="C666" s="243">
        <f t="shared" si="274"/>
        <v>47118</v>
      </c>
      <c r="D666" s="120">
        <f t="shared" si="275"/>
        <v>31</v>
      </c>
      <c r="E666" s="120">
        <f t="shared" si="276"/>
        <v>12</v>
      </c>
      <c r="F666" s="275">
        <f t="shared" si="277"/>
        <v>47103.5</v>
      </c>
      <c r="G666" s="120">
        <f t="shared" si="278"/>
        <v>24347</v>
      </c>
      <c r="H666" s="245">
        <f t="shared" si="279"/>
        <v>1</v>
      </c>
      <c r="I666" s="121">
        <f t="shared" si="280"/>
        <v>1.02</v>
      </c>
      <c r="J666" s="121">
        <f t="shared" si="281"/>
        <v>1.02</v>
      </c>
      <c r="K666" s="120">
        <f t="shared" si="282"/>
        <v>0</v>
      </c>
      <c r="L666" s="120">
        <f t="shared" si="283"/>
        <v>0</v>
      </c>
      <c r="M666" s="246">
        <f t="shared" si="284"/>
        <v>0</v>
      </c>
      <c r="N666" s="121">
        <f t="shared" si="285"/>
        <v>1.02</v>
      </c>
      <c r="O666" s="246">
        <f t="shared" si="286"/>
        <v>0.91</v>
      </c>
      <c r="P666" s="121">
        <f t="shared" si="287"/>
        <v>0</v>
      </c>
      <c r="Q666" s="121">
        <f t="shared" si="288"/>
        <v>0</v>
      </c>
      <c r="R666" s="121">
        <f t="shared" si="289"/>
        <v>8.3333333333333329E-2</v>
      </c>
      <c r="S666" s="121" t="str">
        <f t="shared" si="290"/>
        <v/>
      </c>
      <c r="T666" s="121" t="str">
        <f t="shared" si="291"/>
        <v/>
      </c>
      <c r="U666" s="121">
        <f t="shared" si="292"/>
        <v>1.02</v>
      </c>
    </row>
    <row r="667" spans="1:21" x14ac:dyDescent="0.3">
      <c r="A667" s="6" t="s">
        <v>1651</v>
      </c>
      <c r="B667" s="73">
        <f>EXP(SUMPRODUCT((rl_key=$A$616)*(rl_cons="Y")*rl_ln1p))</f>
        <v>1.02</v>
      </c>
      <c r="C667" s="73">
        <f>SUMPRODUCT($H$619:$H$666,$P$619:$P$666,$U$619:$U$666)/SUMPRODUCT($H$619:$H$666,$P$619:$P$666)</f>
        <v>1.0005555555555556</v>
      </c>
      <c r="D667" s="73">
        <f>SUMPRODUCT($H$619:$H$666,$Q$619:$Q$666,$U$619:$U$666)/SUMPRODUCT($H$619:$H$666,$Q$619:$Q$666)</f>
        <v>1.0177777777777779</v>
      </c>
      <c r="E667" s="73">
        <f>SUMPRODUCT($H$619:$H$666,$R$619:$R$666,$U$619:$U$666)/SUMPRODUCT($H$619:$H$666,$R$619:$R$666)</f>
        <v>1.0200000000000002</v>
      </c>
      <c r="F667" s="224">
        <f>SUMPRODUCT($H$619:$H$666,$Q$619:$Q$666,$O$619:$O$666)/SUMPRODUCT($H$619:$H$666,$Q$619:$Q$666)</f>
        <v>0.90999999999999981</v>
      </c>
      <c r="G667" s="224">
        <f>SUMPRODUCT($H$619:$H$666,$R$619:$R$666,$O$619:$O$666)/SUMPRODUCT($H$619:$H$666,$R$619:$R$666)</f>
        <v>0.90999999999999981</v>
      </c>
      <c r="H667" s="73">
        <f>SUMPRODUCT($H$643:$H$654,$N$643:$N$654/$N$631:$N$642)/SUM($H$643:$H$654)</f>
        <v>1.0166666666666664</v>
      </c>
      <c r="I667" s="73">
        <f>SUMPRODUCT($H$643:$H$654,$O$643:$O$654/$O$631:$O$642)/SUM($H$643:$H$654)</f>
        <v>1</v>
      </c>
      <c r="J667" s="73">
        <f>IF($O$616=1,SUMPRODUCT($H$643:$H$654,$N$643:$N$654/$N$631:$N$642*$O$643:$O$654/$O$631:$O$642)/SUM($H$643:$H$654),$H667)</f>
        <v>1.0166666666666664</v>
      </c>
      <c r="K667" s="73">
        <f>SUMPRODUCT($H$619:$H$666,$Q$619:$Q$666,$N$619:$N$666)/SUMPRODUCT($H$619:$H$666,$Q$619:$Q$666)</f>
        <v>1.0177777777777779</v>
      </c>
      <c r="L667" s="73">
        <f>SUMPRODUCT($H$619:$H$666,$R$619:$R$666,$N$619:$N$666)/SUMPRODUCT($H$619:$H$666,$R$619:$R$666)</f>
        <v>1.0200000000000002</v>
      </c>
    </row>
    <row r="670" spans="1:21" x14ac:dyDescent="0.3">
      <c r="A670" s="6" t="str">
        <f>INDEX(lr_key,12)</f>
        <v>ABD|MN</v>
      </c>
      <c r="B670" s="6" t="str">
        <f>INDEX(lr_state,12)</f>
        <v>MN</v>
      </c>
      <c r="C670" s="75">
        <f>nr_TermMonths</f>
        <v>6</v>
      </c>
      <c r="D670" s="75">
        <f>IF(COUNTIF(se_state,$B670)=0,0,MATCH($B670,se_state,0))</f>
        <v>0</v>
      </c>
      <c r="E670" s="70">
        <f>IF($D670=0,0,INDEX(se_sum,$D670))</f>
        <v>0</v>
      </c>
      <c r="F670" s="224">
        <f>IF(N(INDEX(lr_mind,12))=0,1,INDEX(lr_mind,12))</f>
        <v>0.92</v>
      </c>
      <c r="G670" s="224">
        <f>IF(N(INDEX(lr_m0,12))=0,1,INDEX(lr_m0,12))</f>
        <v>0.91</v>
      </c>
      <c r="H670" s="74">
        <f>IF(N(INDEX(lr_m0asof,12))=0,DATE(nr_PlanYear-1,10,1),INDEX(lr_m0asof,12))</f>
        <v>46295</v>
      </c>
      <c r="I670" s="224">
        <f>IF(N(INDEX(lr_m1,12))=0,1,INDEX(lr_m1,12))</f>
        <v>0.92500000000000004</v>
      </c>
      <c r="J670" s="224">
        <f>INDEX(lr_mprior,12)</f>
        <v>0</v>
      </c>
      <c r="K670" s="224">
        <f>INDEX(lr_m2,12)</f>
        <v>0</v>
      </c>
      <c r="L670" s="6" t="b">
        <f>NOT(ISBLANK(INDEX(lr_netp,12)))</f>
        <v>0</v>
      </c>
      <c r="M670" s="72">
        <f>N(INDEX(lr_netp,12))</f>
        <v>0</v>
      </c>
      <c r="N670" s="72">
        <f>IF(ISBLANK(INDEX(lr_netp1,12)),$M$670,N(INDEX(lr_netp1,12)))</f>
        <v>0</v>
      </c>
      <c r="O670" s="75">
        <f>IF(AND(nr_ModAdjMaster="ON",INDEX(lr_modadj,12)="ON"),1,0)</f>
        <v>1</v>
      </c>
    </row>
    <row r="671" spans="1:21" x14ac:dyDescent="0.3">
      <c r="A671" s="6">
        <f>EDATE($H$670,-12)+1</f>
        <v>45931</v>
      </c>
      <c r="B671" s="6">
        <f>$H$670+1</f>
        <v>46296</v>
      </c>
      <c r="C671" s="6">
        <f>DATE(nr_PlanYear,12,31)+1</f>
        <v>46753</v>
      </c>
      <c r="D671" s="6">
        <f>DATE(nr_PlanYear+1,12,31)+1</f>
        <v>47119</v>
      </c>
      <c r="E671" s="6">
        <f>IF(N($J$670)=0,$F$671-($G$671-$F$671)/($C$671-$B$671)*($B$671-$A$671),$J$670)</f>
        <v>0.89801969365426693</v>
      </c>
      <c r="F671" s="6">
        <f>$G$670</f>
        <v>0.91</v>
      </c>
      <c r="G671" s="6">
        <f>$I$670</f>
        <v>0.92500000000000004</v>
      </c>
      <c r="H671" s="6">
        <f>IF(N($K$670)=0,$I$670,$K$670)</f>
        <v>0.92500000000000004</v>
      </c>
      <c r="I671" s="6">
        <f>($F$671-$E$671)/($B$671-$A$671)</f>
        <v>3.2822757111597549E-5</v>
      </c>
      <c r="J671" s="6">
        <f>($G$671-$F$671)/($C$671-$B$671)</f>
        <v>3.2822757111597407E-5</v>
      </c>
      <c r="K671" s="6">
        <f>($H$671-$G$671)/($D$671-$C$671)</f>
        <v>0</v>
      </c>
    </row>
    <row r="672" spans="1:21" ht="36" x14ac:dyDescent="0.3">
      <c r="A672" s="58" t="s">
        <v>390</v>
      </c>
      <c r="B672" s="58" t="s">
        <v>449</v>
      </c>
      <c r="C672" s="58" t="s">
        <v>685</v>
      </c>
      <c r="D672" s="58" t="s">
        <v>686</v>
      </c>
      <c r="E672" s="58" t="s">
        <v>687</v>
      </c>
      <c r="F672" s="58" t="s">
        <v>688</v>
      </c>
      <c r="G672" s="58" t="s">
        <v>689</v>
      </c>
      <c r="H672" s="58" t="s">
        <v>452</v>
      </c>
      <c r="I672" s="58" t="s">
        <v>690</v>
      </c>
      <c r="J672" s="58" t="s">
        <v>691</v>
      </c>
      <c r="K672" s="58" t="s">
        <v>692</v>
      </c>
      <c r="L672" s="58" t="s">
        <v>693</v>
      </c>
      <c r="M672" s="58" t="s">
        <v>694</v>
      </c>
      <c r="N672" s="58" t="s">
        <v>695</v>
      </c>
      <c r="O672" s="58" t="s">
        <v>696</v>
      </c>
      <c r="P672" s="58" t="s">
        <v>697</v>
      </c>
      <c r="Q672" s="58" t="s">
        <v>698</v>
      </c>
      <c r="R672" s="58" t="s">
        <v>699</v>
      </c>
      <c r="S672" s="58" t="s">
        <v>700</v>
      </c>
      <c r="T672" s="58" t="s">
        <v>701</v>
      </c>
      <c r="U672" s="58" t="s">
        <v>702</v>
      </c>
    </row>
    <row r="673" spans="1:21" x14ac:dyDescent="0.3">
      <c r="A673" s="187">
        <v>1</v>
      </c>
      <c r="B673" s="242">
        <f>DATE(nr_PlanYear-2,1,1)</f>
        <v>45658</v>
      </c>
      <c r="C673" s="243">
        <f t="shared" ref="C673:C720" si="294">EOMONTH($B673,0)</f>
        <v>45688</v>
      </c>
      <c r="D673" s="120">
        <f t="shared" ref="D673:D720" si="295">$C673-$B673+1</f>
        <v>31</v>
      </c>
      <c r="E673" s="120">
        <f t="shared" ref="E673:E720" si="296">MONTH($B673)</f>
        <v>1</v>
      </c>
      <c r="F673" s="275">
        <f t="shared" ref="F673:F720" si="297">($B673+$C673+1)/2</f>
        <v>45673.5</v>
      </c>
      <c r="G673" s="120">
        <f t="shared" ref="G673:G720" si="298">YEAR($B673)*12+MONTH($B673)-1</f>
        <v>24300</v>
      </c>
      <c r="H673" s="245">
        <f t="shared" ref="H673:H720" si="299">IF(OR(nr_SeasonOn="OFF",$D$670=0,$E$670=0),1,12*INDEX(se_block,$D$670,$E673)/$E$670)</f>
        <v>1</v>
      </c>
      <c r="I673" s="121">
        <f t="shared" ref="I673:I720" si="300">EXP(SUMPRODUCT((rl_eff&lt;$B673)*(rl_key=$A$670)*rl_ln1p))</f>
        <v>1</v>
      </c>
      <c r="J673" s="121">
        <f t="shared" ref="J673:J720" si="301">EXP(SUMPRODUCT((rl_eff&lt;=$C673)*(rl_key=$A$670)*rl_ln1p))</f>
        <v>1</v>
      </c>
      <c r="K673" s="120">
        <f t="shared" ref="K673:K720" si="302">COUNTIFS(rl_key,$A$670,rl_eff,"&gt;="&amp;$B673,rl_eff,"&lt;="&amp;$C673)</f>
        <v>0</v>
      </c>
      <c r="L673" s="120">
        <f t="shared" ref="L673:L720" si="303">SUMIFS(rl_daysafter,rl_key,$A$670,rl_effmonth,$B673,rl_first,1)</f>
        <v>0</v>
      </c>
      <c r="M673" s="246">
        <f t="shared" ref="M673:M720" si="304">IF($K673=0,0,MIN(1,$L673/$D673))</f>
        <v>0</v>
      </c>
      <c r="N673" s="121">
        <f t="shared" ref="N673:N720" si="305">IF($K673=0,$J673,(1-$M673)*$I673+$M673*$J673)</f>
        <v>1</v>
      </c>
      <c r="O673" s="246">
        <f t="shared" ref="O673:O720" si="306">IF($F673&lt;$B$671,$E$671+$I$671*($F673-$A$671),IF($F673&lt;$C$671,$F$671+$J$671*($F673-$B$671),$G$671+$K$671*($F673-$C$671)))</f>
        <v>0.88956783369803061</v>
      </c>
      <c r="P673" s="121">
        <f t="shared" ref="P673:P720" si="307">MIN(1,MAX(0,(nr_MEndPm1-$G673+0.5)/$C$670))-MIN(1,MAX(0,(nr_MStartPm1-1-$G673+0.5)/$C$670))</f>
        <v>0</v>
      </c>
      <c r="Q673" s="121">
        <f t="shared" ref="Q673:Q720" si="308">MIN(1,MAX(0,(nr_MEndP-$G673+0.5)/$C$670))-MIN(1,MAX(0,(nr_MStartP-1-$G673+0.5)/$C$670))</f>
        <v>0</v>
      </c>
      <c r="R673" s="121">
        <f t="shared" ref="R673:R720" si="309">MIN(1,MAX(0,(nr_MEndP1-$G673+0.5)/$C$670))-MIN(1,MAX(0,(nr_MStartP1-1-$G673+0.5)/$C$670))</f>
        <v>0</v>
      </c>
      <c r="S673" s="121" t="str">
        <f t="shared" ref="S673:S720" si="310">IF($L$670,$N673*IF($O$670=1,$O673/$F$670,1),"")</f>
        <v/>
      </c>
      <c r="T673" s="121" t="str">
        <f t="shared" ref="T673:T720" si="311">IF(NOT($L$670),"",IF($G673&lt;nr_MStartP,$S673,$T661*(1+IF($G673&lt;nr_MStartP1,$M$670,$N$670))))</f>
        <v/>
      </c>
      <c r="U673" s="121">
        <f t="shared" ref="U673:U720" si="312">IF($L$670,$T673,$N673)</f>
        <v>1</v>
      </c>
    </row>
    <row r="674" spans="1:21" x14ac:dyDescent="0.3">
      <c r="A674" s="187">
        <v>2</v>
      </c>
      <c r="B674" s="242">
        <f t="shared" ref="B674:B720" si="313">EDATE($B673,1)</f>
        <v>45689</v>
      </c>
      <c r="C674" s="243">
        <f t="shared" si="294"/>
        <v>45716</v>
      </c>
      <c r="D674" s="120">
        <f t="shared" si="295"/>
        <v>28</v>
      </c>
      <c r="E674" s="120">
        <f t="shared" si="296"/>
        <v>2</v>
      </c>
      <c r="F674" s="275">
        <f t="shared" si="297"/>
        <v>45703</v>
      </c>
      <c r="G674" s="120">
        <f t="shared" si="298"/>
        <v>24301</v>
      </c>
      <c r="H674" s="245">
        <f t="shared" si="299"/>
        <v>1</v>
      </c>
      <c r="I674" s="121">
        <f t="shared" si="300"/>
        <v>1</v>
      </c>
      <c r="J674" s="121">
        <f t="shared" si="301"/>
        <v>1</v>
      </c>
      <c r="K674" s="120">
        <f t="shared" si="302"/>
        <v>0</v>
      </c>
      <c r="L674" s="120">
        <f t="shared" si="303"/>
        <v>0</v>
      </c>
      <c r="M674" s="246">
        <f t="shared" si="304"/>
        <v>0</v>
      </c>
      <c r="N674" s="121">
        <f t="shared" si="305"/>
        <v>1</v>
      </c>
      <c r="O674" s="246">
        <f t="shared" si="306"/>
        <v>0.89053610503282266</v>
      </c>
      <c r="P674" s="121">
        <f t="shared" si="307"/>
        <v>0</v>
      </c>
      <c r="Q674" s="121">
        <f t="shared" si="308"/>
        <v>0</v>
      </c>
      <c r="R674" s="121">
        <f t="shared" si="309"/>
        <v>0</v>
      </c>
      <c r="S674" s="121" t="str">
        <f t="shared" si="310"/>
        <v/>
      </c>
      <c r="T674" s="121" t="str">
        <f t="shared" si="311"/>
        <v/>
      </c>
      <c r="U674" s="121">
        <f t="shared" si="312"/>
        <v>1</v>
      </c>
    </row>
    <row r="675" spans="1:21" x14ac:dyDescent="0.3">
      <c r="A675" s="187">
        <v>3</v>
      </c>
      <c r="B675" s="242">
        <f t="shared" si="313"/>
        <v>45717</v>
      </c>
      <c r="C675" s="243">
        <f t="shared" si="294"/>
        <v>45747</v>
      </c>
      <c r="D675" s="120">
        <f t="shared" si="295"/>
        <v>31</v>
      </c>
      <c r="E675" s="120">
        <f t="shared" si="296"/>
        <v>3</v>
      </c>
      <c r="F675" s="275">
        <f t="shared" si="297"/>
        <v>45732.5</v>
      </c>
      <c r="G675" s="120">
        <f t="shared" si="298"/>
        <v>24302</v>
      </c>
      <c r="H675" s="245">
        <f t="shared" si="299"/>
        <v>1</v>
      </c>
      <c r="I675" s="121">
        <f t="shared" si="300"/>
        <v>1</v>
      </c>
      <c r="J675" s="121">
        <f t="shared" si="301"/>
        <v>1</v>
      </c>
      <c r="K675" s="120">
        <f t="shared" si="302"/>
        <v>0</v>
      </c>
      <c r="L675" s="120">
        <f t="shared" si="303"/>
        <v>0</v>
      </c>
      <c r="M675" s="246">
        <f t="shared" si="304"/>
        <v>0</v>
      </c>
      <c r="N675" s="121">
        <f t="shared" si="305"/>
        <v>1</v>
      </c>
      <c r="O675" s="246">
        <f t="shared" si="306"/>
        <v>0.89150437636761481</v>
      </c>
      <c r="P675" s="121">
        <f t="shared" si="307"/>
        <v>0</v>
      </c>
      <c r="Q675" s="121">
        <f t="shared" si="308"/>
        <v>0</v>
      </c>
      <c r="R675" s="121">
        <f t="shared" si="309"/>
        <v>0</v>
      </c>
      <c r="S675" s="121" t="str">
        <f t="shared" si="310"/>
        <v/>
      </c>
      <c r="T675" s="121" t="str">
        <f t="shared" si="311"/>
        <v/>
      </c>
      <c r="U675" s="121">
        <f t="shared" si="312"/>
        <v>1</v>
      </c>
    </row>
    <row r="676" spans="1:21" x14ac:dyDescent="0.3">
      <c r="A676" s="187">
        <v>4</v>
      </c>
      <c r="B676" s="242">
        <f t="shared" si="313"/>
        <v>45748</v>
      </c>
      <c r="C676" s="243">
        <f t="shared" si="294"/>
        <v>45777</v>
      </c>
      <c r="D676" s="120">
        <f t="shared" si="295"/>
        <v>30</v>
      </c>
      <c r="E676" s="120">
        <f t="shared" si="296"/>
        <v>4</v>
      </c>
      <c r="F676" s="275">
        <f t="shared" si="297"/>
        <v>45763</v>
      </c>
      <c r="G676" s="120">
        <f t="shared" si="298"/>
        <v>24303</v>
      </c>
      <c r="H676" s="245">
        <f t="shared" si="299"/>
        <v>1</v>
      </c>
      <c r="I676" s="121">
        <f t="shared" si="300"/>
        <v>1</v>
      </c>
      <c r="J676" s="121">
        <f t="shared" si="301"/>
        <v>1</v>
      </c>
      <c r="K676" s="120">
        <f t="shared" si="302"/>
        <v>0</v>
      </c>
      <c r="L676" s="120">
        <f t="shared" si="303"/>
        <v>0</v>
      </c>
      <c r="M676" s="246">
        <f t="shared" si="304"/>
        <v>0</v>
      </c>
      <c r="N676" s="121">
        <f t="shared" si="305"/>
        <v>1</v>
      </c>
      <c r="O676" s="246">
        <f t="shared" si="306"/>
        <v>0.89250547045951856</v>
      </c>
      <c r="P676" s="121">
        <f t="shared" si="307"/>
        <v>0</v>
      </c>
      <c r="Q676" s="121">
        <f t="shared" si="308"/>
        <v>0</v>
      </c>
      <c r="R676" s="121">
        <f t="shared" si="309"/>
        <v>0</v>
      </c>
      <c r="S676" s="121" t="str">
        <f t="shared" si="310"/>
        <v/>
      </c>
      <c r="T676" s="121" t="str">
        <f t="shared" si="311"/>
        <v/>
      </c>
      <c r="U676" s="121">
        <f t="shared" si="312"/>
        <v>1</v>
      </c>
    </row>
    <row r="677" spans="1:21" x14ac:dyDescent="0.3">
      <c r="A677" s="187">
        <v>5</v>
      </c>
      <c r="B677" s="242">
        <f t="shared" si="313"/>
        <v>45778</v>
      </c>
      <c r="C677" s="243">
        <f t="shared" si="294"/>
        <v>45808</v>
      </c>
      <c r="D677" s="120">
        <f t="shared" si="295"/>
        <v>31</v>
      </c>
      <c r="E677" s="120">
        <f t="shared" si="296"/>
        <v>5</v>
      </c>
      <c r="F677" s="275">
        <f t="shared" si="297"/>
        <v>45793.5</v>
      </c>
      <c r="G677" s="120">
        <f t="shared" si="298"/>
        <v>24304</v>
      </c>
      <c r="H677" s="245">
        <f t="shared" si="299"/>
        <v>1</v>
      </c>
      <c r="I677" s="121">
        <f t="shared" si="300"/>
        <v>1</v>
      </c>
      <c r="J677" s="121">
        <f t="shared" si="301"/>
        <v>1</v>
      </c>
      <c r="K677" s="120">
        <f t="shared" si="302"/>
        <v>0</v>
      </c>
      <c r="L677" s="120">
        <f t="shared" si="303"/>
        <v>0</v>
      </c>
      <c r="M677" s="246">
        <f t="shared" si="304"/>
        <v>0</v>
      </c>
      <c r="N677" s="121">
        <f t="shared" si="305"/>
        <v>1</v>
      </c>
      <c r="O677" s="246">
        <f t="shared" si="306"/>
        <v>0.8935065645514223</v>
      </c>
      <c r="P677" s="121">
        <f t="shared" si="307"/>
        <v>0</v>
      </c>
      <c r="Q677" s="121">
        <f t="shared" si="308"/>
        <v>0</v>
      </c>
      <c r="R677" s="121">
        <f t="shared" si="309"/>
        <v>0</v>
      </c>
      <c r="S677" s="121" t="str">
        <f t="shared" si="310"/>
        <v/>
      </c>
      <c r="T677" s="121" t="str">
        <f t="shared" si="311"/>
        <v/>
      </c>
      <c r="U677" s="121">
        <f t="shared" si="312"/>
        <v>1</v>
      </c>
    </row>
    <row r="678" spans="1:21" x14ac:dyDescent="0.3">
      <c r="A678" s="187">
        <v>6</v>
      </c>
      <c r="B678" s="242">
        <f t="shared" si="313"/>
        <v>45809</v>
      </c>
      <c r="C678" s="243">
        <f t="shared" si="294"/>
        <v>45838</v>
      </c>
      <c r="D678" s="120">
        <f t="shared" si="295"/>
        <v>30</v>
      </c>
      <c r="E678" s="120">
        <f t="shared" si="296"/>
        <v>6</v>
      </c>
      <c r="F678" s="275">
        <f t="shared" si="297"/>
        <v>45824</v>
      </c>
      <c r="G678" s="120">
        <f t="shared" si="298"/>
        <v>24305</v>
      </c>
      <c r="H678" s="245">
        <f t="shared" si="299"/>
        <v>1</v>
      </c>
      <c r="I678" s="121">
        <f t="shared" si="300"/>
        <v>1</v>
      </c>
      <c r="J678" s="121">
        <f t="shared" si="301"/>
        <v>1</v>
      </c>
      <c r="K678" s="120">
        <f t="shared" si="302"/>
        <v>0</v>
      </c>
      <c r="L678" s="120">
        <f t="shared" si="303"/>
        <v>0</v>
      </c>
      <c r="M678" s="246">
        <f t="shared" si="304"/>
        <v>0</v>
      </c>
      <c r="N678" s="121">
        <f t="shared" si="305"/>
        <v>1</v>
      </c>
      <c r="O678" s="246">
        <f t="shared" si="306"/>
        <v>0.89450765864332604</v>
      </c>
      <c r="P678" s="121">
        <f t="shared" si="307"/>
        <v>0</v>
      </c>
      <c r="Q678" s="121">
        <f t="shared" si="308"/>
        <v>0</v>
      </c>
      <c r="R678" s="121">
        <f t="shared" si="309"/>
        <v>0</v>
      </c>
      <c r="S678" s="121" t="str">
        <f t="shared" si="310"/>
        <v/>
      </c>
      <c r="T678" s="121" t="str">
        <f t="shared" si="311"/>
        <v/>
      </c>
      <c r="U678" s="121">
        <f t="shared" si="312"/>
        <v>1</v>
      </c>
    </row>
    <row r="679" spans="1:21" x14ac:dyDescent="0.3">
      <c r="A679" s="187">
        <v>7</v>
      </c>
      <c r="B679" s="242">
        <f t="shared" si="313"/>
        <v>45839</v>
      </c>
      <c r="C679" s="243">
        <f t="shared" si="294"/>
        <v>45869</v>
      </c>
      <c r="D679" s="120">
        <f t="shared" si="295"/>
        <v>31</v>
      </c>
      <c r="E679" s="120">
        <f t="shared" si="296"/>
        <v>7</v>
      </c>
      <c r="F679" s="275">
        <f t="shared" si="297"/>
        <v>45854.5</v>
      </c>
      <c r="G679" s="120">
        <f t="shared" si="298"/>
        <v>24306</v>
      </c>
      <c r="H679" s="245">
        <f t="shared" si="299"/>
        <v>1</v>
      </c>
      <c r="I679" s="121">
        <f t="shared" si="300"/>
        <v>1</v>
      </c>
      <c r="J679" s="121">
        <f t="shared" si="301"/>
        <v>1</v>
      </c>
      <c r="K679" s="120">
        <f t="shared" si="302"/>
        <v>0</v>
      </c>
      <c r="L679" s="120">
        <f t="shared" si="303"/>
        <v>0</v>
      </c>
      <c r="M679" s="246">
        <f t="shared" si="304"/>
        <v>0</v>
      </c>
      <c r="N679" s="121">
        <f t="shared" si="305"/>
        <v>1</v>
      </c>
      <c r="O679" s="246">
        <f t="shared" si="306"/>
        <v>0.89550875273522967</v>
      </c>
      <c r="P679" s="121">
        <f t="shared" si="307"/>
        <v>8.333333333333337E-2</v>
      </c>
      <c r="Q679" s="121">
        <f t="shared" si="308"/>
        <v>0</v>
      </c>
      <c r="R679" s="121">
        <f t="shared" si="309"/>
        <v>0</v>
      </c>
      <c r="S679" s="121" t="str">
        <f t="shared" si="310"/>
        <v/>
      </c>
      <c r="T679" s="121" t="str">
        <f t="shared" si="311"/>
        <v/>
      </c>
      <c r="U679" s="121">
        <f t="shared" si="312"/>
        <v>1</v>
      </c>
    </row>
    <row r="680" spans="1:21" x14ac:dyDescent="0.3">
      <c r="A680" s="187">
        <v>8</v>
      </c>
      <c r="B680" s="242">
        <f t="shared" si="313"/>
        <v>45870</v>
      </c>
      <c r="C680" s="243">
        <f t="shared" si="294"/>
        <v>45900</v>
      </c>
      <c r="D680" s="120">
        <f t="shared" si="295"/>
        <v>31</v>
      </c>
      <c r="E680" s="120">
        <f t="shared" si="296"/>
        <v>8</v>
      </c>
      <c r="F680" s="275">
        <f t="shared" si="297"/>
        <v>45885.5</v>
      </c>
      <c r="G680" s="120">
        <f t="shared" si="298"/>
        <v>24307</v>
      </c>
      <c r="H680" s="245">
        <f t="shared" si="299"/>
        <v>1</v>
      </c>
      <c r="I680" s="121">
        <f t="shared" si="300"/>
        <v>1</v>
      </c>
      <c r="J680" s="121">
        <f t="shared" si="301"/>
        <v>1</v>
      </c>
      <c r="K680" s="120">
        <f t="shared" si="302"/>
        <v>0</v>
      </c>
      <c r="L680" s="120">
        <f t="shared" si="303"/>
        <v>0</v>
      </c>
      <c r="M680" s="246">
        <f t="shared" si="304"/>
        <v>0</v>
      </c>
      <c r="N680" s="121">
        <f t="shared" si="305"/>
        <v>1</v>
      </c>
      <c r="O680" s="246">
        <f t="shared" si="306"/>
        <v>0.89652625820568921</v>
      </c>
      <c r="P680" s="121">
        <f t="shared" si="307"/>
        <v>0.25</v>
      </c>
      <c r="Q680" s="121">
        <f t="shared" si="308"/>
        <v>0</v>
      </c>
      <c r="R680" s="121">
        <f t="shared" si="309"/>
        <v>0</v>
      </c>
      <c r="S680" s="121" t="str">
        <f t="shared" si="310"/>
        <v/>
      </c>
      <c r="T680" s="121" t="str">
        <f t="shared" si="311"/>
        <v/>
      </c>
      <c r="U680" s="121">
        <f t="shared" si="312"/>
        <v>1</v>
      </c>
    </row>
    <row r="681" spans="1:21" x14ac:dyDescent="0.3">
      <c r="A681" s="187">
        <v>9</v>
      </c>
      <c r="B681" s="242">
        <f t="shared" si="313"/>
        <v>45901</v>
      </c>
      <c r="C681" s="243">
        <f t="shared" si="294"/>
        <v>45930</v>
      </c>
      <c r="D681" s="120">
        <f t="shared" si="295"/>
        <v>30</v>
      </c>
      <c r="E681" s="120">
        <f t="shared" si="296"/>
        <v>9</v>
      </c>
      <c r="F681" s="275">
        <f t="shared" si="297"/>
        <v>45916</v>
      </c>
      <c r="G681" s="120">
        <f t="shared" si="298"/>
        <v>24308</v>
      </c>
      <c r="H681" s="245">
        <f t="shared" si="299"/>
        <v>1</v>
      </c>
      <c r="I681" s="121">
        <f t="shared" si="300"/>
        <v>1</v>
      </c>
      <c r="J681" s="121">
        <f t="shared" si="301"/>
        <v>1</v>
      </c>
      <c r="K681" s="120">
        <f t="shared" si="302"/>
        <v>0</v>
      </c>
      <c r="L681" s="120">
        <f t="shared" si="303"/>
        <v>0</v>
      </c>
      <c r="M681" s="246">
        <f t="shared" si="304"/>
        <v>0</v>
      </c>
      <c r="N681" s="121">
        <f t="shared" si="305"/>
        <v>1</v>
      </c>
      <c r="O681" s="246">
        <f t="shared" si="306"/>
        <v>0.89752735229759295</v>
      </c>
      <c r="P681" s="121">
        <f t="shared" si="307"/>
        <v>0.41666666666666663</v>
      </c>
      <c r="Q681" s="121">
        <f t="shared" si="308"/>
        <v>0</v>
      </c>
      <c r="R681" s="121">
        <f t="shared" si="309"/>
        <v>0</v>
      </c>
      <c r="S681" s="121" t="str">
        <f t="shared" si="310"/>
        <v/>
      </c>
      <c r="T681" s="121" t="str">
        <f t="shared" si="311"/>
        <v/>
      </c>
      <c r="U681" s="121">
        <f t="shared" si="312"/>
        <v>1</v>
      </c>
    </row>
    <row r="682" spans="1:21" x14ac:dyDescent="0.3">
      <c r="A682" s="187">
        <v>10</v>
      </c>
      <c r="B682" s="242">
        <f t="shared" si="313"/>
        <v>45931</v>
      </c>
      <c r="C682" s="243">
        <f t="shared" si="294"/>
        <v>45961</v>
      </c>
      <c r="D682" s="120">
        <f t="shared" si="295"/>
        <v>31</v>
      </c>
      <c r="E682" s="120">
        <f t="shared" si="296"/>
        <v>10</v>
      </c>
      <c r="F682" s="275">
        <f t="shared" si="297"/>
        <v>45946.5</v>
      </c>
      <c r="G682" s="120">
        <f t="shared" si="298"/>
        <v>24309</v>
      </c>
      <c r="H682" s="245">
        <f t="shared" si="299"/>
        <v>1</v>
      </c>
      <c r="I682" s="121">
        <f t="shared" si="300"/>
        <v>1</v>
      </c>
      <c r="J682" s="121">
        <f t="shared" si="301"/>
        <v>1</v>
      </c>
      <c r="K682" s="120">
        <f t="shared" si="302"/>
        <v>0</v>
      </c>
      <c r="L682" s="120">
        <f t="shared" si="303"/>
        <v>0</v>
      </c>
      <c r="M682" s="246">
        <f t="shared" si="304"/>
        <v>0</v>
      </c>
      <c r="N682" s="121">
        <f t="shared" si="305"/>
        <v>1</v>
      </c>
      <c r="O682" s="246">
        <f t="shared" si="306"/>
        <v>0.89852844638949669</v>
      </c>
      <c r="P682" s="121">
        <f t="shared" si="307"/>
        <v>0.58333333333333326</v>
      </c>
      <c r="Q682" s="121">
        <f t="shared" si="308"/>
        <v>0</v>
      </c>
      <c r="R682" s="121">
        <f t="shared" si="309"/>
        <v>0</v>
      </c>
      <c r="S682" s="121" t="str">
        <f t="shared" si="310"/>
        <v/>
      </c>
      <c r="T682" s="121" t="str">
        <f t="shared" si="311"/>
        <v/>
      </c>
      <c r="U682" s="121">
        <f t="shared" si="312"/>
        <v>1</v>
      </c>
    </row>
    <row r="683" spans="1:21" x14ac:dyDescent="0.3">
      <c r="A683" s="187">
        <v>11</v>
      </c>
      <c r="B683" s="242">
        <f t="shared" si="313"/>
        <v>45962</v>
      </c>
      <c r="C683" s="243">
        <f t="shared" si="294"/>
        <v>45991</v>
      </c>
      <c r="D683" s="120">
        <f t="shared" si="295"/>
        <v>30</v>
      </c>
      <c r="E683" s="120">
        <f t="shared" si="296"/>
        <v>11</v>
      </c>
      <c r="F683" s="275">
        <f t="shared" si="297"/>
        <v>45977</v>
      </c>
      <c r="G683" s="120">
        <f t="shared" si="298"/>
        <v>24310</v>
      </c>
      <c r="H683" s="245">
        <f t="shared" si="299"/>
        <v>1</v>
      </c>
      <c r="I683" s="121">
        <f t="shared" si="300"/>
        <v>1</v>
      </c>
      <c r="J683" s="121">
        <f t="shared" si="301"/>
        <v>1</v>
      </c>
      <c r="K683" s="120">
        <f t="shared" si="302"/>
        <v>0</v>
      </c>
      <c r="L683" s="120">
        <f t="shared" si="303"/>
        <v>0</v>
      </c>
      <c r="M683" s="246">
        <f t="shared" si="304"/>
        <v>0</v>
      </c>
      <c r="N683" s="121">
        <f t="shared" si="305"/>
        <v>1</v>
      </c>
      <c r="O683" s="246">
        <f t="shared" si="306"/>
        <v>0.89952954048140044</v>
      </c>
      <c r="P683" s="121">
        <f t="shared" si="307"/>
        <v>0.75</v>
      </c>
      <c r="Q683" s="121">
        <f t="shared" si="308"/>
        <v>0</v>
      </c>
      <c r="R683" s="121">
        <f t="shared" si="309"/>
        <v>0</v>
      </c>
      <c r="S683" s="121" t="str">
        <f t="shared" si="310"/>
        <v/>
      </c>
      <c r="T683" s="121" t="str">
        <f t="shared" si="311"/>
        <v/>
      </c>
      <c r="U683" s="121">
        <f t="shared" si="312"/>
        <v>1</v>
      </c>
    </row>
    <row r="684" spans="1:21" x14ac:dyDescent="0.3">
      <c r="A684" s="187">
        <v>12</v>
      </c>
      <c r="B684" s="242">
        <f t="shared" si="313"/>
        <v>45992</v>
      </c>
      <c r="C684" s="243">
        <f t="shared" si="294"/>
        <v>46022</v>
      </c>
      <c r="D684" s="120">
        <f t="shared" si="295"/>
        <v>31</v>
      </c>
      <c r="E684" s="120">
        <f t="shared" si="296"/>
        <v>12</v>
      </c>
      <c r="F684" s="275">
        <f t="shared" si="297"/>
        <v>46007.5</v>
      </c>
      <c r="G684" s="120">
        <f t="shared" si="298"/>
        <v>24311</v>
      </c>
      <c r="H684" s="245">
        <f t="shared" si="299"/>
        <v>1</v>
      </c>
      <c r="I684" s="121">
        <f t="shared" si="300"/>
        <v>1</v>
      </c>
      <c r="J684" s="121">
        <f t="shared" si="301"/>
        <v>1</v>
      </c>
      <c r="K684" s="120">
        <f t="shared" si="302"/>
        <v>0</v>
      </c>
      <c r="L684" s="120">
        <f t="shared" si="303"/>
        <v>0</v>
      </c>
      <c r="M684" s="246">
        <f t="shared" si="304"/>
        <v>0</v>
      </c>
      <c r="N684" s="121">
        <f t="shared" si="305"/>
        <v>1</v>
      </c>
      <c r="O684" s="246">
        <f t="shared" si="306"/>
        <v>0.90053063457330418</v>
      </c>
      <c r="P684" s="121">
        <f t="shared" si="307"/>
        <v>0.91666666666666663</v>
      </c>
      <c r="Q684" s="121">
        <f t="shared" si="308"/>
        <v>0</v>
      </c>
      <c r="R684" s="121">
        <f t="shared" si="309"/>
        <v>0</v>
      </c>
      <c r="S684" s="121" t="str">
        <f t="shared" si="310"/>
        <v/>
      </c>
      <c r="T684" s="121" t="str">
        <f t="shared" si="311"/>
        <v/>
      </c>
      <c r="U684" s="121">
        <f t="shared" si="312"/>
        <v>1</v>
      </c>
    </row>
    <row r="685" spans="1:21" x14ac:dyDescent="0.3">
      <c r="A685" s="187">
        <v>13</v>
      </c>
      <c r="B685" s="242">
        <f t="shared" si="313"/>
        <v>46023</v>
      </c>
      <c r="C685" s="243">
        <f t="shared" si="294"/>
        <v>46053</v>
      </c>
      <c r="D685" s="120">
        <f t="shared" si="295"/>
        <v>31</v>
      </c>
      <c r="E685" s="120">
        <f t="shared" si="296"/>
        <v>1</v>
      </c>
      <c r="F685" s="275">
        <f t="shared" si="297"/>
        <v>46038.5</v>
      </c>
      <c r="G685" s="120">
        <f t="shared" si="298"/>
        <v>24312</v>
      </c>
      <c r="H685" s="245">
        <f t="shared" si="299"/>
        <v>1</v>
      </c>
      <c r="I685" s="121">
        <f t="shared" si="300"/>
        <v>1</v>
      </c>
      <c r="J685" s="121">
        <f t="shared" si="301"/>
        <v>1</v>
      </c>
      <c r="K685" s="120">
        <f t="shared" si="302"/>
        <v>0</v>
      </c>
      <c r="L685" s="120">
        <f t="shared" si="303"/>
        <v>0</v>
      </c>
      <c r="M685" s="246">
        <f t="shared" si="304"/>
        <v>0</v>
      </c>
      <c r="N685" s="121">
        <f t="shared" si="305"/>
        <v>1</v>
      </c>
      <c r="O685" s="246">
        <f t="shared" si="306"/>
        <v>0.90154814004376371</v>
      </c>
      <c r="P685" s="121">
        <f t="shared" si="307"/>
        <v>1</v>
      </c>
      <c r="Q685" s="121">
        <f t="shared" si="308"/>
        <v>0</v>
      </c>
      <c r="R685" s="121">
        <f t="shared" si="309"/>
        <v>0</v>
      </c>
      <c r="S685" s="121" t="str">
        <f t="shared" si="310"/>
        <v/>
      </c>
      <c r="T685" s="121" t="str">
        <f t="shared" si="311"/>
        <v/>
      </c>
      <c r="U685" s="121">
        <f t="shared" si="312"/>
        <v>1</v>
      </c>
    </row>
    <row r="686" spans="1:21" x14ac:dyDescent="0.3">
      <c r="A686" s="187">
        <v>14</v>
      </c>
      <c r="B686" s="242">
        <f t="shared" si="313"/>
        <v>46054</v>
      </c>
      <c r="C686" s="243">
        <f t="shared" si="294"/>
        <v>46081</v>
      </c>
      <c r="D686" s="120">
        <f t="shared" si="295"/>
        <v>28</v>
      </c>
      <c r="E686" s="120">
        <f t="shared" si="296"/>
        <v>2</v>
      </c>
      <c r="F686" s="275">
        <f t="shared" si="297"/>
        <v>46068</v>
      </c>
      <c r="G686" s="120">
        <f t="shared" si="298"/>
        <v>24313</v>
      </c>
      <c r="H686" s="245">
        <f t="shared" si="299"/>
        <v>1</v>
      </c>
      <c r="I686" s="121">
        <f t="shared" si="300"/>
        <v>1</v>
      </c>
      <c r="J686" s="121">
        <f t="shared" si="301"/>
        <v>1</v>
      </c>
      <c r="K686" s="120">
        <f t="shared" si="302"/>
        <v>0</v>
      </c>
      <c r="L686" s="120">
        <f t="shared" si="303"/>
        <v>0</v>
      </c>
      <c r="M686" s="246">
        <f t="shared" si="304"/>
        <v>0</v>
      </c>
      <c r="N686" s="121">
        <f t="shared" si="305"/>
        <v>1</v>
      </c>
      <c r="O686" s="246">
        <f t="shared" si="306"/>
        <v>0.90251641137855576</v>
      </c>
      <c r="P686" s="121">
        <f t="shared" si="307"/>
        <v>1</v>
      </c>
      <c r="Q686" s="121">
        <f t="shared" si="308"/>
        <v>0</v>
      </c>
      <c r="R686" s="121">
        <f t="shared" si="309"/>
        <v>0</v>
      </c>
      <c r="S686" s="121" t="str">
        <f t="shared" si="310"/>
        <v/>
      </c>
      <c r="T686" s="121" t="str">
        <f t="shared" si="311"/>
        <v/>
      </c>
      <c r="U686" s="121">
        <f t="shared" si="312"/>
        <v>1</v>
      </c>
    </row>
    <row r="687" spans="1:21" x14ac:dyDescent="0.3">
      <c r="A687" s="187">
        <v>15</v>
      </c>
      <c r="B687" s="242">
        <f t="shared" si="313"/>
        <v>46082</v>
      </c>
      <c r="C687" s="243">
        <f t="shared" si="294"/>
        <v>46112</v>
      </c>
      <c r="D687" s="120">
        <f t="shared" si="295"/>
        <v>31</v>
      </c>
      <c r="E687" s="120">
        <f t="shared" si="296"/>
        <v>3</v>
      </c>
      <c r="F687" s="275">
        <f t="shared" si="297"/>
        <v>46097.5</v>
      </c>
      <c r="G687" s="120">
        <f t="shared" si="298"/>
        <v>24314</v>
      </c>
      <c r="H687" s="245">
        <f t="shared" si="299"/>
        <v>1</v>
      </c>
      <c r="I687" s="121">
        <f t="shared" si="300"/>
        <v>1</v>
      </c>
      <c r="J687" s="121">
        <f t="shared" si="301"/>
        <v>1</v>
      </c>
      <c r="K687" s="120">
        <f t="shared" si="302"/>
        <v>0</v>
      </c>
      <c r="L687" s="120">
        <f t="shared" si="303"/>
        <v>0</v>
      </c>
      <c r="M687" s="246">
        <f t="shared" si="304"/>
        <v>0</v>
      </c>
      <c r="N687" s="121">
        <f t="shared" si="305"/>
        <v>1</v>
      </c>
      <c r="O687" s="246">
        <f t="shared" si="306"/>
        <v>0.90348468271334792</v>
      </c>
      <c r="P687" s="121">
        <f t="shared" si="307"/>
        <v>1</v>
      </c>
      <c r="Q687" s="121">
        <f t="shared" si="308"/>
        <v>0</v>
      </c>
      <c r="R687" s="121">
        <f t="shared" si="309"/>
        <v>0</v>
      </c>
      <c r="S687" s="121" t="str">
        <f t="shared" si="310"/>
        <v/>
      </c>
      <c r="T687" s="121" t="str">
        <f t="shared" si="311"/>
        <v/>
      </c>
      <c r="U687" s="121">
        <f t="shared" si="312"/>
        <v>1</v>
      </c>
    </row>
    <row r="688" spans="1:21" x14ac:dyDescent="0.3">
      <c r="A688" s="187">
        <v>16</v>
      </c>
      <c r="B688" s="242">
        <f t="shared" si="313"/>
        <v>46113</v>
      </c>
      <c r="C688" s="243">
        <f t="shared" si="294"/>
        <v>46142</v>
      </c>
      <c r="D688" s="120">
        <f t="shared" si="295"/>
        <v>30</v>
      </c>
      <c r="E688" s="120">
        <f t="shared" si="296"/>
        <v>4</v>
      </c>
      <c r="F688" s="275">
        <f t="shared" si="297"/>
        <v>46128</v>
      </c>
      <c r="G688" s="120">
        <f t="shared" si="298"/>
        <v>24315</v>
      </c>
      <c r="H688" s="245">
        <f t="shared" si="299"/>
        <v>1</v>
      </c>
      <c r="I688" s="121">
        <f t="shared" si="300"/>
        <v>1</v>
      </c>
      <c r="J688" s="121">
        <f t="shared" si="301"/>
        <v>1</v>
      </c>
      <c r="K688" s="120">
        <f t="shared" si="302"/>
        <v>0</v>
      </c>
      <c r="L688" s="120">
        <f t="shared" si="303"/>
        <v>0</v>
      </c>
      <c r="M688" s="246">
        <f t="shared" si="304"/>
        <v>0</v>
      </c>
      <c r="N688" s="121">
        <f t="shared" si="305"/>
        <v>1</v>
      </c>
      <c r="O688" s="246">
        <f t="shared" si="306"/>
        <v>0.90448577680525166</v>
      </c>
      <c r="P688" s="121">
        <f t="shared" si="307"/>
        <v>1</v>
      </c>
      <c r="Q688" s="121">
        <f t="shared" si="308"/>
        <v>0</v>
      </c>
      <c r="R688" s="121">
        <f t="shared" si="309"/>
        <v>0</v>
      </c>
      <c r="S688" s="121" t="str">
        <f t="shared" si="310"/>
        <v/>
      </c>
      <c r="T688" s="121" t="str">
        <f t="shared" si="311"/>
        <v/>
      </c>
      <c r="U688" s="121">
        <f t="shared" si="312"/>
        <v>1</v>
      </c>
    </row>
    <row r="689" spans="1:21" x14ac:dyDescent="0.3">
      <c r="A689" s="187">
        <v>17</v>
      </c>
      <c r="B689" s="242">
        <f t="shared" si="313"/>
        <v>46143</v>
      </c>
      <c r="C689" s="243">
        <f t="shared" si="294"/>
        <v>46173</v>
      </c>
      <c r="D689" s="120">
        <f t="shared" si="295"/>
        <v>31</v>
      </c>
      <c r="E689" s="120">
        <f t="shared" si="296"/>
        <v>5</v>
      </c>
      <c r="F689" s="275">
        <f t="shared" si="297"/>
        <v>46158.5</v>
      </c>
      <c r="G689" s="120">
        <f t="shared" si="298"/>
        <v>24316</v>
      </c>
      <c r="H689" s="245">
        <f t="shared" si="299"/>
        <v>1</v>
      </c>
      <c r="I689" s="121">
        <f t="shared" si="300"/>
        <v>1</v>
      </c>
      <c r="J689" s="121">
        <f t="shared" si="301"/>
        <v>1</v>
      </c>
      <c r="K689" s="120">
        <f t="shared" si="302"/>
        <v>0</v>
      </c>
      <c r="L689" s="120">
        <f t="shared" si="303"/>
        <v>0</v>
      </c>
      <c r="M689" s="246">
        <f t="shared" si="304"/>
        <v>0</v>
      </c>
      <c r="N689" s="121">
        <f t="shared" si="305"/>
        <v>1</v>
      </c>
      <c r="O689" s="246">
        <f t="shared" si="306"/>
        <v>0.9054868708971554</v>
      </c>
      <c r="P689" s="121">
        <f t="shared" si="307"/>
        <v>1</v>
      </c>
      <c r="Q689" s="121">
        <f t="shared" si="308"/>
        <v>0</v>
      </c>
      <c r="R689" s="121">
        <f t="shared" si="309"/>
        <v>0</v>
      </c>
      <c r="S689" s="121" t="str">
        <f t="shared" si="310"/>
        <v/>
      </c>
      <c r="T689" s="121" t="str">
        <f t="shared" si="311"/>
        <v/>
      </c>
      <c r="U689" s="121">
        <f t="shared" si="312"/>
        <v>1</v>
      </c>
    </row>
    <row r="690" spans="1:21" x14ac:dyDescent="0.3">
      <c r="A690" s="187">
        <v>18</v>
      </c>
      <c r="B690" s="242">
        <f t="shared" si="313"/>
        <v>46174</v>
      </c>
      <c r="C690" s="243">
        <f t="shared" si="294"/>
        <v>46203</v>
      </c>
      <c r="D690" s="120">
        <f t="shared" si="295"/>
        <v>30</v>
      </c>
      <c r="E690" s="120">
        <f t="shared" si="296"/>
        <v>6</v>
      </c>
      <c r="F690" s="275">
        <f t="shared" si="297"/>
        <v>46189</v>
      </c>
      <c r="G690" s="120">
        <f t="shared" si="298"/>
        <v>24317</v>
      </c>
      <c r="H690" s="245">
        <f t="shared" si="299"/>
        <v>1</v>
      </c>
      <c r="I690" s="121">
        <f t="shared" si="300"/>
        <v>1</v>
      </c>
      <c r="J690" s="121">
        <f t="shared" si="301"/>
        <v>1</v>
      </c>
      <c r="K690" s="120">
        <f t="shared" si="302"/>
        <v>0</v>
      </c>
      <c r="L690" s="120">
        <f t="shared" si="303"/>
        <v>0</v>
      </c>
      <c r="M690" s="246">
        <f t="shared" si="304"/>
        <v>0</v>
      </c>
      <c r="N690" s="121">
        <f t="shared" si="305"/>
        <v>1</v>
      </c>
      <c r="O690" s="246">
        <f t="shared" si="306"/>
        <v>0.90648796498905915</v>
      </c>
      <c r="P690" s="121">
        <f t="shared" si="307"/>
        <v>1</v>
      </c>
      <c r="Q690" s="121">
        <f t="shared" si="308"/>
        <v>0</v>
      </c>
      <c r="R690" s="121">
        <f t="shared" si="309"/>
        <v>0</v>
      </c>
      <c r="S690" s="121" t="str">
        <f t="shared" si="310"/>
        <v/>
      </c>
      <c r="T690" s="121" t="str">
        <f t="shared" si="311"/>
        <v/>
      </c>
      <c r="U690" s="121">
        <f t="shared" si="312"/>
        <v>1</v>
      </c>
    </row>
    <row r="691" spans="1:21" x14ac:dyDescent="0.3">
      <c r="A691" s="187">
        <v>19</v>
      </c>
      <c r="B691" s="242">
        <f t="shared" si="313"/>
        <v>46204</v>
      </c>
      <c r="C691" s="243">
        <f t="shared" si="294"/>
        <v>46234</v>
      </c>
      <c r="D691" s="120">
        <f t="shared" si="295"/>
        <v>31</v>
      </c>
      <c r="E691" s="120">
        <f t="shared" si="296"/>
        <v>7</v>
      </c>
      <c r="F691" s="275">
        <f t="shared" si="297"/>
        <v>46219.5</v>
      </c>
      <c r="G691" s="120">
        <f t="shared" si="298"/>
        <v>24318</v>
      </c>
      <c r="H691" s="245">
        <f t="shared" si="299"/>
        <v>1</v>
      </c>
      <c r="I691" s="121">
        <f t="shared" si="300"/>
        <v>1</v>
      </c>
      <c r="J691" s="121">
        <f t="shared" si="301"/>
        <v>1</v>
      </c>
      <c r="K691" s="120">
        <f t="shared" si="302"/>
        <v>0</v>
      </c>
      <c r="L691" s="120">
        <f t="shared" si="303"/>
        <v>0</v>
      </c>
      <c r="M691" s="246">
        <f t="shared" si="304"/>
        <v>0</v>
      </c>
      <c r="N691" s="121">
        <f t="shared" si="305"/>
        <v>1</v>
      </c>
      <c r="O691" s="246">
        <f t="shared" si="306"/>
        <v>0.90748905908096278</v>
      </c>
      <c r="P691" s="121">
        <f t="shared" si="307"/>
        <v>0.91666666666666663</v>
      </c>
      <c r="Q691" s="121">
        <f t="shared" si="308"/>
        <v>8.333333333333337E-2</v>
      </c>
      <c r="R691" s="121">
        <f t="shared" si="309"/>
        <v>0</v>
      </c>
      <c r="S691" s="121" t="str">
        <f t="shared" si="310"/>
        <v/>
      </c>
      <c r="T691" s="121" t="str">
        <f t="shared" si="311"/>
        <v/>
      </c>
      <c r="U691" s="121">
        <f t="shared" si="312"/>
        <v>1</v>
      </c>
    </row>
    <row r="692" spans="1:21" x14ac:dyDescent="0.3">
      <c r="A692" s="187">
        <v>20</v>
      </c>
      <c r="B692" s="242">
        <f t="shared" si="313"/>
        <v>46235</v>
      </c>
      <c r="C692" s="243">
        <f t="shared" si="294"/>
        <v>46265</v>
      </c>
      <c r="D692" s="120">
        <f t="shared" si="295"/>
        <v>31</v>
      </c>
      <c r="E692" s="120">
        <f t="shared" si="296"/>
        <v>8</v>
      </c>
      <c r="F692" s="275">
        <f t="shared" si="297"/>
        <v>46250.5</v>
      </c>
      <c r="G692" s="120">
        <f t="shared" si="298"/>
        <v>24319</v>
      </c>
      <c r="H692" s="245">
        <f t="shared" si="299"/>
        <v>1</v>
      </c>
      <c r="I692" s="121">
        <f t="shared" si="300"/>
        <v>1</v>
      </c>
      <c r="J692" s="121">
        <f t="shared" si="301"/>
        <v>1</v>
      </c>
      <c r="K692" s="120">
        <f t="shared" si="302"/>
        <v>0</v>
      </c>
      <c r="L692" s="120">
        <f t="shared" si="303"/>
        <v>0</v>
      </c>
      <c r="M692" s="246">
        <f t="shared" si="304"/>
        <v>0</v>
      </c>
      <c r="N692" s="121">
        <f t="shared" si="305"/>
        <v>1</v>
      </c>
      <c r="O692" s="246">
        <f t="shared" si="306"/>
        <v>0.90850656455142231</v>
      </c>
      <c r="P692" s="121">
        <f t="shared" si="307"/>
        <v>0.75</v>
      </c>
      <c r="Q692" s="121">
        <f t="shared" si="308"/>
        <v>0.25</v>
      </c>
      <c r="R692" s="121">
        <f t="shared" si="309"/>
        <v>0</v>
      </c>
      <c r="S692" s="121" t="str">
        <f t="shared" si="310"/>
        <v/>
      </c>
      <c r="T692" s="121" t="str">
        <f t="shared" si="311"/>
        <v/>
      </c>
      <c r="U692" s="121">
        <f t="shared" si="312"/>
        <v>1</v>
      </c>
    </row>
    <row r="693" spans="1:21" x14ac:dyDescent="0.3">
      <c r="A693" s="187">
        <v>21</v>
      </c>
      <c r="B693" s="242">
        <f t="shared" si="313"/>
        <v>46266</v>
      </c>
      <c r="C693" s="243">
        <f t="shared" si="294"/>
        <v>46295</v>
      </c>
      <c r="D693" s="120">
        <f t="shared" si="295"/>
        <v>30</v>
      </c>
      <c r="E693" s="120">
        <f t="shared" si="296"/>
        <v>9</v>
      </c>
      <c r="F693" s="275">
        <f t="shared" si="297"/>
        <v>46281</v>
      </c>
      <c r="G693" s="120">
        <f t="shared" si="298"/>
        <v>24320</v>
      </c>
      <c r="H693" s="245">
        <f t="shared" si="299"/>
        <v>1</v>
      </c>
      <c r="I693" s="121">
        <f t="shared" si="300"/>
        <v>1</v>
      </c>
      <c r="J693" s="121">
        <f t="shared" si="301"/>
        <v>1</v>
      </c>
      <c r="K693" s="120">
        <f t="shared" si="302"/>
        <v>0</v>
      </c>
      <c r="L693" s="120">
        <f t="shared" si="303"/>
        <v>0</v>
      </c>
      <c r="M693" s="246">
        <f t="shared" si="304"/>
        <v>0</v>
      </c>
      <c r="N693" s="121">
        <f t="shared" si="305"/>
        <v>1</v>
      </c>
      <c r="O693" s="246">
        <f t="shared" si="306"/>
        <v>0.90950765864332606</v>
      </c>
      <c r="P693" s="121">
        <f t="shared" si="307"/>
        <v>0.58333333333333337</v>
      </c>
      <c r="Q693" s="121">
        <f t="shared" si="308"/>
        <v>0.41666666666666663</v>
      </c>
      <c r="R693" s="121">
        <f t="shared" si="309"/>
        <v>0</v>
      </c>
      <c r="S693" s="121" t="str">
        <f t="shared" si="310"/>
        <v/>
      </c>
      <c r="T693" s="121" t="str">
        <f t="shared" si="311"/>
        <v/>
      </c>
      <c r="U693" s="121">
        <f t="shared" si="312"/>
        <v>1</v>
      </c>
    </row>
    <row r="694" spans="1:21" x14ac:dyDescent="0.3">
      <c r="A694" s="187">
        <v>22</v>
      </c>
      <c r="B694" s="242">
        <f t="shared" si="313"/>
        <v>46296</v>
      </c>
      <c r="C694" s="243">
        <f t="shared" si="294"/>
        <v>46326</v>
      </c>
      <c r="D694" s="120">
        <f t="shared" si="295"/>
        <v>31</v>
      </c>
      <c r="E694" s="120">
        <f t="shared" si="296"/>
        <v>10</v>
      </c>
      <c r="F694" s="275">
        <f t="shared" si="297"/>
        <v>46311.5</v>
      </c>
      <c r="G694" s="120">
        <f t="shared" si="298"/>
        <v>24321</v>
      </c>
      <c r="H694" s="245">
        <f t="shared" si="299"/>
        <v>1</v>
      </c>
      <c r="I694" s="121">
        <f t="shared" si="300"/>
        <v>1</v>
      </c>
      <c r="J694" s="121">
        <f t="shared" si="301"/>
        <v>1</v>
      </c>
      <c r="K694" s="120">
        <f t="shared" si="302"/>
        <v>0</v>
      </c>
      <c r="L694" s="120">
        <f t="shared" si="303"/>
        <v>0</v>
      </c>
      <c r="M694" s="246">
        <f t="shared" si="304"/>
        <v>0</v>
      </c>
      <c r="N694" s="121">
        <f t="shared" si="305"/>
        <v>1</v>
      </c>
      <c r="O694" s="246">
        <f t="shared" si="306"/>
        <v>0.9105087527352298</v>
      </c>
      <c r="P694" s="121">
        <f t="shared" si="307"/>
        <v>0.41666666666666669</v>
      </c>
      <c r="Q694" s="121">
        <f t="shared" si="308"/>
        <v>0.58333333333333326</v>
      </c>
      <c r="R694" s="121">
        <f t="shared" si="309"/>
        <v>0</v>
      </c>
      <c r="S694" s="121" t="str">
        <f t="shared" si="310"/>
        <v/>
      </c>
      <c r="T694" s="121" t="str">
        <f t="shared" si="311"/>
        <v/>
      </c>
      <c r="U694" s="121">
        <f t="shared" si="312"/>
        <v>1</v>
      </c>
    </row>
    <row r="695" spans="1:21" x14ac:dyDescent="0.3">
      <c r="A695" s="187">
        <v>23</v>
      </c>
      <c r="B695" s="242">
        <f t="shared" si="313"/>
        <v>46327</v>
      </c>
      <c r="C695" s="243">
        <f t="shared" si="294"/>
        <v>46356</v>
      </c>
      <c r="D695" s="120">
        <f t="shared" si="295"/>
        <v>30</v>
      </c>
      <c r="E695" s="120">
        <f t="shared" si="296"/>
        <v>11</v>
      </c>
      <c r="F695" s="275">
        <f t="shared" si="297"/>
        <v>46342</v>
      </c>
      <c r="G695" s="120">
        <f t="shared" si="298"/>
        <v>24322</v>
      </c>
      <c r="H695" s="245">
        <f t="shared" si="299"/>
        <v>1</v>
      </c>
      <c r="I695" s="121">
        <f t="shared" si="300"/>
        <v>1</v>
      </c>
      <c r="J695" s="121">
        <f t="shared" si="301"/>
        <v>1</v>
      </c>
      <c r="K695" s="120">
        <f t="shared" si="302"/>
        <v>0</v>
      </c>
      <c r="L695" s="120">
        <f t="shared" si="303"/>
        <v>0</v>
      </c>
      <c r="M695" s="246">
        <f t="shared" si="304"/>
        <v>0</v>
      </c>
      <c r="N695" s="121">
        <f t="shared" si="305"/>
        <v>1</v>
      </c>
      <c r="O695" s="246">
        <f t="shared" si="306"/>
        <v>0.91150984682713354</v>
      </c>
      <c r="P695" s="121">
        <f t="shared" si="307"/>
        <v>0.25</v>
      </c>
      <c r="Q695" s="121">
        <f t="shared" si="308"/>
        <v>0.75</v>
      </c>
      <c r="R695" s="121">
        <f t="shared" si="309"/>
        <v>0</v>
      </c>
      <c r="S695" s="121" t="str">
        <f t="shared" si="310"/>
        <v/>
      </c>
      <c r="T695" s="121" t="str">
        <f t="shared" si="311"/>
        <v/>
      </c>
      <c r="U695" s="121">
        <f t="shared" si="312"/>
        <v>1</v>
      </c>
    </row>
    <row r="696" spans="1:21" x14ac:dyDescent="0.3">
      <c r="A696" s="187">
        <v>24</v>
      </c>
      <c r="B696" s="242">
        <f t="shared" si="313"/>
        <v>46357</v>
      </c>
      <c r="C696" s="243">
        <f t="shared" si="294"/>
        <v>46387</v>
      </c>
      <c r="D696" s="120">
        <f t="shared" si="295"/>
        <v>31</v>
      </c>
      <c r="E696" s="120">
        <f t="shared" si="296"/>
        <v>12</v>
      </c>
      <c r="F696" s="275">
        <f t="shared" si="297"/>
        <v>46372.5</v>
      </c>
      <c r="G696" s="120">
        <f t="shared" si="298"/>
        <v>24323</v>
      </c>
      <c r="H696" s="245">
        <f t="shared" si="299"/>
        <v>1</v>
      </c>
      <c r="I696" s="121">
        <f t="shared" si="300"/>
        <v>1</v>
      </c>
      <c r="J696" s="121">
        <f t="shared" si="301"/>
        <v>1</v>
      </c>
      <c r="K696" s="120">
        <f t="shared" si="302"/>
        <v>0</v>
      </c>
      <c r="L696" s="120">
        <f t="shared" si="303"/>
        <v>0</v>
      </c>
      <c r="M696" s="246">
        <f t="shared" si="304"/>
        <v>0</v>
      </c>
      <c r="N696" s="121">
        <f t="shared" si="305"/>
        <v>1</v>
      </c>
      <c r="O696" s="246">
        <f t="shared" si="306"/>
        <v>0.91251094091903728</v>
      </c>
      <c r="P696" s="121">
        <f t="shared" si="307"/>
        <v>8.3333333333333329E-2</v>
      </c>
      <c r="Q696" s="121">
        <f t="shared" si="308"/>
        <v>0.91666666666666663</v>
      </c>
      <c r="R696" s="121">
        <f t="shared" si="309"/>
        <v>0</v>
      </c>
      <c r="S696" s="121" t="str">
        <f t="shared" si="310"/>
        <v/>
      </c>
      <c r="T696" s="121" t="str">
        <f t="shared" si="311"/>
        <v/>
      </c>
      <c r="U696" s="121">
        <f t="shared" si="312"/>
        <v>1</v>
      </c>
    </row>
    <row r="697" spans="1:21" x14ac:dyDescent="0.3">
      <c r="A697" s="187">
        <v>25</v>
      </c>
      <c r="B697" s="242">
        <f t="shared" si="313"/>
        <v>46388</v>
      </c>
      <c r="C697" s="243">
        <f t="shared" si="294"/>
        <v>46418</v>
      </c>
      <c r="D697" s="120">
        <f t="shared" si="295"/>
        <v>31</v>
      </c>
      <c r="E697" s="120">
        <f t="shared" si="296"/>
        <v>1</v>
      </c>
      <c r="F697" s="275">
        <f t="shared" si="297"/>
        <v>46403.5</v>
      </c>
      <c r="G697" s="120">
        <f t="shared" si="298"/>
        <v>24324</v>
      </c>
      <c r="H697" s="245">
        <f t="shared" si="299"/>
        <v>1</v>
      </c>
      <c r="I697" s="121">
        <f t="shared" si="300"/>
        <v>1</v>
      </c>
      <c r="J697" s="121">
        <f t="shared" si="301"/>
        <v>1</v>
      </c>
      <c r="K697" s="120">
        <f t="shared" si="302"/>
        <v>0</v>
      </c>
      <c r="L697" s="120">
        <f t="shared" si="303"/>
        <v>0</v>
      </c>
      <c r="M697" s="246">
        <f t="shared" si="304"/>
        <v>0</v>
      </c>
      <c r="N697" s="121">
        <f t="shared" si="305"/>
        <v>1</v>
      </c>
      <c r="O697" s="246">
        <f t="shared" si="306"/>
        <v>0.91352844638949671</v>
      </c>
      <c r="P697" s="121">
        <f t="shared" si="307"/>
        <v>0</v>
      </c>
      <c r="Q697" s="121">
        <f t="shared" si="308"/>
        <v>1</v>
      </c>
      <c r="R697" s="121">
        <f t="shared" si="309"/>
        <v>0</v>
      </c>
      <c r="S697" s="121" t="str">
        <f t="shared" si="310"/>
        <v/>
      </c>
      <c r="T697" s="121" t="str">
        <f t="shared" si="311"/>
        <v/>
      </c>
      <c r="U697" s="121">
        <f t="shared" si="312"/>
        <v>1</v>
      </c>
    </row>
    <row r="698" spans="1:21" x14ac:dyDescent="0.3">
      <c r="A698" s="187">
        <v>26</v>
      </c>
      <c r="B698" s="242">
        <f t="shared" si="313"/>
        <v>46419</v>
      </c>
      <c r="C698" s="243">
        <f t="shared" si="294"/>
        <v>46446</v>
      </c>
      <c r="D698" s="120">
        <f t="shared" si="295"/>
        <v>28</v>
      </c>
      <c r="E698" s="120">
        <f t="shared" si="296"/>
        <v>2</v>
      </c>
      <c r="F698" s="275">
        <f t="shared" si="297"/>
        <v>46433</v>
      </c>
      <c r="G698" s="120">
        <f t="shared" si="298"/>
        <v>24325</v>
      </c>
      <c r="H698" s="245">
        <f t="shared" si="299"/>
        <v>1</v>
      </c>
      <c r="I698" s="121">
        <f t="shared" si="300"/>
        <v>1</v>
      </c>
      <c r="J698" s="121">
        <f t="shared" si="301"/>
        <v>1</v>
      </c>
      <c r="K698" s="120">
        <f t="shared" si="302"/>
        <v>0</v>
      </c>
      <c r="L698" s="120">
        <f t="shared" si="303"/>
        <v>0</v>
      </c>
      <c r="M698" s="246">
        <f t="shared" si="304"/>
        <v>0</v>
      </c>
      <c r="N698" s="121">
        <f t="shared" si="305"/>
        <v>1</v>
      </c>
      <c r="O698" s="246">
        <f t="shared" si="306"/>
        <v>0.91449671772428887</v>
      </c>
      <c r="P698" s="121">
        <f t="shared" si="307"/>
        <v>0</v>
      </c>
      <c r="Q698" s="121">
        <f t="shared" si="308"/>
        <v>1</v>
      </c>
      <c r="R698" s="121">
        <f t="shared" si="309"/>
        <v>0</v>
      </c>
      <c r="S698" s="121" t="str">
        <f t="shared" si="310"/>
        <v/>
      </c>
      <c r="T698" s="121" t="str">
        <f t="shared" si="311"/>
        <v/>
      </c>
      <c r="U698" s="121">
        <f t="shared" si="312"/>
        <v>1</v>
      </c>
    </row>
    <row r="699" spans="1:21" x14ac:dyDescent="0.3">
      <c r="A699" s="187">
        <v>27</v>
      </c>
      <c r="B699" s="242">
        <f t="shared" si="313"/>
        <v>46447</v>
      </c>
      <c r="C699" s="243">
        <f t="shared" si="294"/>
        <v>46477</v>
      </c>
      <c r="D699" s="120">
        <f t="shared" si="295"/>
        <v>31</v>
      </c>
      <c r="E699" s="120">
        <f t="shared" si="296"/>
        <v>3</v>
      </c>
      <c r="F699" s="275">
        <f t="shared" si="297"/>
        <v>46462.5</v>
      </c>
      <c r="G699" s="120">
        <f t="shared" si="298"/>
        <v>24326</v>
      </c>
      <c r="H699" s="245">
        <f t="shared" si="299"/>
        <v>1</v>
      </c>
      <c r="I699" s="121">
        <f t="shared" si="300"/>
        <v>1</v>
      </c>
      <c r="J699" s="121">
        <f t="shared" si="301"/>
        <v>1</v>
      </c>
      <c r="K699" s="120">
        <f t="shared" si="302"/>
        <v>0</v>
      </c>
      <c r="L699" s="120">
        <f t="shared" si="303"/>
        <v>0</v>
      </c>
      <c r="M699" s="246">
        <f t="shared" si="304"/>
        <v>0</v>
      </c>
      <c r="N699" s="121">
        <f t="shared" si="305"/>
        <v>1</v>
      </c>
      <c r="O699" s="246">
        <f t="shared" si="306"/>
        <v>0.91546498905908102</v>
      </c>
      <c r="P699" s="121">
        <f t="shared" si="307"/>
        <v>0</v>
      </c>
      <c r="Q699" s="121">
        <f t="shared" si="308"/>
        <v>1</v>
      </c>
      <c r="R699" s="121">
        <f t="shared" si="309"/>
        <v>0</v>
      </c>
      <c r="S699" s="121" t="str">
        <f t="shared" si="310"/>
        <v/>
      </c>
      <c r="T699" s="121" t="str">
        <f t="shared" si="311"/>
        <v/>
      </c>
      <c r="U699" s="121">
        <f t="shared" si="312"/>
        <v>1</v>
      </c>
    </row>
    <row r="700" spans="1:21" x14ac:dyDescent="0.3">
      <c r="A700" s="187">
        <v>28</v>
      </c>
      <c r="B700" s="242">
        <f t="shared" si="313"/>
        <v>46478</v>
      </c>
      <c r="C700" s="243">
        <f t="shared" si="294"/>
        <v>46507</v>
      </c>
      <c r="D700" s="120">
        <f t="shared" si="295"/>
        <v>30</v>
      </c>
      <c r="E700" s="120">
        <f t="shared" si="296"/>
        <v>4</v>
      </c>
      <c r="F700" s="275">
        <f t="shared" si="297"/>
        <v>46493</v>
      </c>
      <c r="G700" s="120">
        <f t="shared" si="298"/>
        <v>24327</v>
      </c>
      <c r="H700" s="245">
        <f t="shared" si="299"/>
        <v>1</v>
      </c>
      <c r="I700" s="121">
        <f t="shared" si="300"/>
        <v>1</v>
      </c>
      <c r="J700" s="121">
        <f t="shared" si="301"/>
        <v>1</v>
      </c>
      <c r="K700" s="120">
        <f t="shared" si="302"/>
        <v>0</v>
      </c>
      <c r="L700" s="120">
        <f t="shared" si="303"/>
        <v>0</v>
      </c>
      <c r="M700" s="246">
        <f t="shared" si="304"/>
        <v>0</v>
      </c>
      <c r="N700" s="121">
        <f t="shared" si="305"/>
        <v>1</v>
      </c>
      <c r="O700" s="246">
        <f t="shared" si="306"/>
        <v>0.91646608315098477</v>
      </c>
      <c r="P700" s="121">
        <f t="shared" si="307"/>
        <v>0</v>
      </c>
      <c r="Q700" s="121">
        <f t="shared" si="308"/>
        <v>1</v>
      </c>
      <c r="R700" s="121">
        <f t="shared" si="309"/>
        <v>0</v>
      </c>
      <c r="S700" s="121" t="str">
        <f t="shared" si="310"/>
        <v/>
      </c>
      <c r="T700" s="121" t="str">
        <f t="shared" si="311"/>
        <v/>
      </c>
      <c r="U700" s="121">
        <f t="shared" si="312"/>
        <v>1</v>
      </c>
    </row>
    <row r="701" spans="1:21" x14ac:dyDescent="0.3">
      <c r="A701" s="187">
        <v>29</v>
      </c>
      <c r="B701" s="242">
        <f t="shared" si="313"/>
        <v>46508</v>
      </c>
      <c r="C701" s="243">
        <f t="shared" si="294"/>
        <v>46538</v>
      </c>
      <c r="D701" s="120">
        <f t="shared" si="295"/>
        <v>31</v>
      </c>
      <c r="E701" s="120">
        <f t="shared" si="296"/>
        <v>5</v>
      </c>
      <c r="F701" s="275">
        <f t="shared" si="297"/>
        <v>46523.5</v>
      </c>
      <c r="G701" s="120">
        <f t="shared" si="298"/>
        <v>24328</v>
      </c>
      <c r="H701" s="245">
        <f t="shared" si="299"/>
        <v>1</v>
      </c>
      <c r="I701" s="121">
        <f t="shared" si="300"/>
        <v>1</v>
      </c>
      <c r="J701" s="121">
        <f t="shared" si="301"/>
        <v>1</v>
      </c>
      <c r="K701" s="120">
        <f t="shared" si="302"/>
        <v>0</v>
      </c>
      <c r="L701" s="120">
        <f t="shared" si="303"/>
        <v>0</v>
      </c>
      <c r="M701" s="246">
        <f t="shared" si="304"/>
        <v>0</v>
      </c>
      <c r="N701" s="121">
        <f t="shared" si="305"/>
        <v>1</v>
      </c>
      <c r="O701" s="246">
        <f t="shared" si="306"/>
        <v>0.9174671772428884</v>
      </c>
      <c r="P701" s="121">
        <f t="shared" si="307"/>
        <v>0</v>
      </c>
      <c r="Q701" s="121">
        <f t="shared" si="308"/>
        <v>1</v>
      </c>
      <c r="R701" s="121">
        <f t="shared" si="309"/>
        <v>0</v>
      </c>
      <c r="S701" s="121" t="str">
        <f t="shared" si="310"/>
        <v/>
      </c>
      <c r="T701" s="121" t="str">
        <f t="shared" si="311"/>
        <v/>
      </c>
      <c r="U701" s="121">
        <f t="shared" si="312"/>
        <v>1</v>
      </c>
    </row>
    <row r="702" spans="1:21" x14ac:dyDescent="0.3">
      <c r="A702" s="187">
        <v>30</v>
      </c>
      <c r="B702" s="242">
        <f t="shared" si="313"/>
        <v>46539</v>
      </c>
      <c r="C702" s="243">
        <f t="shared" si="294"/>
        <v>46568</v>
      </c>
      <c r="D702" s="120">
        <f t="shared" si="295"/>
        <v>30</v>
      </c>
      <c r="E702" s="120">
        <f t="shared" si="296"/>
        <v>6</v>
      </c>
      <c r="F702" s="275">
        <f t="shared" si="297"/>
        <v>46554</v>
      </c>
      <c r="G702" s="120">
        <f t="shared" si="298"/>
        <v>24329</v>
      </c>
      <c r="H702" s="245">
        <f t="shared" si="299"/>
        <v>1</v>
      </c>
      <c r="I702" s="121">
        <f t="shared" si="300"/>
        <v>1</v>
      </c>
      <c r="J702" s="121">
        <f t="shared" si="301"/>
        <v>1</v>
      </c>
      <c r="K702" s="120">
        <f t="shared" si="302"/>
        <v>0</v>
      </c>
      <c r="L702" s="120">
        <f t="shared" si="303"/>
        <v>0</v>
      </c>
      <c r="M702" s="246">
        <f t="shared" si="304"/>
        <v>0</v>
      </c>
      <c r="N702" s="121">
        <f t="shared" si="305"/>
        <v>1</v>
      </c>
      <c r="O702" s="246">
        <f t="shared" si="306"/>
        <v>0.91846827133479214</v>
      </c>
      <c r="P702" s="121">
        <f t="shared" si="307"/>
        <v>0</v>
      </c>
      <c r="Q702" s="121">
        <f t="shared" si="308"/>
        <v>1</v>
      </c>
      <c r="R702" s="121">
        <f t="shared" si="309"/>
        <v>0</v>
      </c>
      <c r="S702" s="121" t="str">
        <f t="shared" si="310"/>
        <v/>
      </c>
      <c r="T702" s="121" t="str">
        <f t="shared" si="311"/>
        <v/>
      </c>
      <c r="U702" s="121">
        <f t="shared" si="312"/>
        <v>1</v>
      </c>
    </row>
    <row r="703" spans="1:21" x14ac:dyDescent="0.3">
      <c r="A703" s="187">
        <v>31</v>
      </c>
      <c r="B703" s="242">
        <f t="shared" si="313"/>
        <v>46569</v>
      </c>
      <c r="C703" s="243">
        <f t="shared" si="294"/>
        <v>46599</v>
      </c>
      <c r="D703" s="120">
        <f t="shared" si="295"/>
        <v>31</v>
      </c>
      <c r="E703" s="120">
        <f t="shared" si="296"/>
        <v>7</v>
      </c>
      <c r="F703" s="275">
        <f t="shared" si="297"/>
        <v>46584.5</v>
      </c>
      <c r="G703" s="120">
        <f t="shared" si="298"/>
        <v>24330</v>
      </c>
      <c r="H703" s="245">
        <f t="shared" si="299"/>
        <v>1</v>
      </c>
      <c r="I703" s="121">
        <f t="shared" si="300"/>
        <v>1</v>
      </c>
      <c r="J703" s="121">
        <f t="shared" si="301"/>
        <v>1</v>
      </c>
      <c r="K703" s="120">
        <f t="shared" si="302"/>
        <v>0</v>
      </c>
      <c r="L703" s="120">
        <f t="shared" si="303"/>
        <v>0</v>
      </c>
      <c r="M703" s="246">
        <f t="shared" si="304"/>
        <v>0</v>
      </c>
      <c r="N703" s="121">
        <f t="shared" si="305"/>
        <v>1</v>
      </c>
      <c r="O703" s="246">
        <f t="shared" si="306"/>
        <v>0.91946936542669588</v>
      </c>
      <c r="P703" s="121">
        <f t="shared" si="307"/>
        <v>0</v>
      </c>
      <c r="Q703" s="121">
        <f t="shared" si="308"/>
        <v>0.91666666666666663</v>
      </c>
      <c r="R703" s="121">
        <f t="shared" si="309"/>
        <v>8.333333333333337E-2</v>
      </c>
      <c r="S703" s="121" t="str">
        <f t="shared" si="310"/>
        <v/>
      </c>
      <c r="T703" s="121" t="str">
        <f t="shared" si="311"/>
        <v/>
      </c>
      <c r="U703" s="121">
        <f t="shared" si="312"/>
        <v>1</v>
      </c>
    </row>
    <row r="704" spans="1:21" x14ac:dyDescent="0.3">
      <c r="A704" s="187">
        <v>32</v>
      </c>
      <c r="B704" s="242">
        <f t="shared" si="313"/>
        <v>46600</v>
      </c>
      <c r="C704" s="243">
        <f t="shared" si="294"/>
        <v>46630</v>
      </c>
      <c r="D704" s="120">
        <f t="shared" si="295"/>
        <v>31</v>
      </c>
      <c r="E704" s="120">
        <f t="shared" si="296"/>
        <v>8</v>
      </c>
      <c r="F704" s="275">
        <f t="shared" si="297"/>
        <v>46615.5</v>
      </c>
      <c r="G704" s="120">
        <f t="shared" si="298"/>
        <v>24331</v>
      </c>
      <c r="H704" s="245">
        <f t="shared" si="299"/>
        <v>1</v>
      </c>
      <c r="I704" s="121">
        <f t="shared" si="300"/>
        <v>1</v>
      </c>
      <c r="J704" s="121">
        <f t="shared" si="301"/>
        <v>1</v>
      </c>
      <c r="K704" s="120">
        <f t="shared" si="302"/>
        <v>0</v>
      </c>
      <c r="L704" s="120">
        <f t="shared" si="303"/>
        <v>0</v>
      </c>
      <c r="M704" s="246">
        <f t="shared" si="304"/>
        <v>0</v>
      </c>
      <c r="N704" s="121">
        <f t="shared" si="305"/>
        <v>1</v>
      </c>
      <c r="O704" s="246">
        <f t="shared" si="306"/>
        <v>0.92048687089715542</v>
      </c>
      <c r="P704" s="121">
        <f t="shared" si="307"/>
        <v>0</v>
      </c>
      <c r="Q704" s="121">
        <f t="shared" si="308"/>
        <v>0.75</v>
      </c>
      <c r="R704" s="121">
        <f t="shared" si="309"/>
        <v>0.25</v>
      </c>
      <c r="S704" s="121" t="str">
        <f t="shared" si="310"/>
        <v/>
      </c>
      <c r="T704" s="121" t="str">
        <f t="shared" si="311"/>
        <v/>
      </c>
      <c r="U704" s="121">
        <f t="shared" si="312"/>
        <v>1</v>
      </c>
    </row>
    <row r="705" spans="1:21" x14ac:dyDescent="0.3">
      <c r="A705" s="187">
        <v>33</v>
      </c>
      <c r="B705" s="242">
        <f t="shared" si="313"/>
        <v>46631</v>
      </c>
      <c r="C705" s="243">
        <f t="shared" si="294"/>
        <v>46660</v>
      </c>
      <c r="D705" s="120">
        <f t="shared" si="295"/>
        <v>30</v>
      </c>
      <c r="E705" s="120">
        <f t="shared" si="296"/>
        <v>9</v>
      </c>
      <c r="F705" s="275">
        <f t="shared" si="297"/>
        <v>46646</v>
      </c>
      <c r="G705" s="120">
        <f t="shared" si="298"/>
        <v>24332</v>
      </c>
      <c r="H705" s="245">
        <f t="shared" si="299"/>
        <v>1</v>
      </c>
      <c r="I705" s="121">
        <f t="shared" si="300"/>
        <v>1</v>
      </c>
      <c r="J705" s="121">
        <f t="shared" si="301"/>
        <v>1</v>
      </c>
      <c r="K705" s="120">
        <f t="shared" si="302"/>
        <v>0</v>
      </c>
      <c r="L705" s="120">
        <f t="shared" si="303"/>
        <v>0</v>
      </c>
      <c r="M705" s="246">
        <f t="shared" si="304"/>
        <v>0</v>
      </c>
      <c r="N705" s="121">
        <f t="shared" si="305"/>
        <v>1</v>
      </c>
      <c r="O705" s="246">
        <f t="shared" si="306"/>
        <v>0.92148796498905916</v>
      </c>
      <c r="P705" s="121">
        <f t="shared" si="307"/>
        <v>0</v>
      </c>
      <c r="Q705" s="121">
        <f t="shared" si="308"/>
        <v>0.58333333333333337</v>
      </c>
      <c r="R705" s="121">
        <f t="shared" si="309"/>
        <v>0.41666666666666663</v>
      </c>
      <c r="S705" s="121" t="str">
        <f t="shared" si="310"/>
        <v/>
      </c>
      <c r="T705" s="121" t="str">
        <f t="shared" si="311"/>
        <v/>
      </c>
      <c r="U705" s="121">
        <f t="shared" si="312"/>
        <v>1</v>
      </c>
    </row>
    <row r="706" spans="1:21" x14ac:dyDescent="0.3">
      <c r="A706" s="187">
        <v>34</v>
      </c>
      <c r="B706" s="242">
        <f t="shared" si="313"/>
        <v>46661</v>
      </c>
      <c r="C706" s="243">
        <f t="shared" si="294"/>
        <v>46691</v>
      </c>
      <c r="D706" s="120">
        <f t="shared" si="295"/>
        <v>31</v>
      </c>
      <c r="E706" s="120">
        <f t="shared" si="296"/>
        <v>10</v>
      </c>
      <c r="F706" s="275">
        <f t="shared" si="297"/>
        <v>46676.5</v>
      </c>
      <c r="G706" s="120">
        <f t="shared" si="298"/>
        <v>24333</v>
      </c>
      <c r="H706" s="245">
        <f t="shared" si="299"/>
        <v>1</v>
      </c>
      <c r="I706" s="121">
        <f t="shared" si="300"/>
        <v>1</v>
      </c>
      <c r="J706" s="121">
        <f t="shared" si="301"/>
        <v>1</v>
      </c>
      <c r="K706" s="120">
        <f t="shared" si="302"/>
        <v>0</v>
      </c>
      <c r="L706" s="120">
        <f t="shared" si="303"/>
        <v>0</v>
      </c>
      <c r="M706" s="246">
        <f t="shared" si="304"/>
        <v>0</v>
      </c>
      <c r="N706" s="121">
        <f t="shared" si="305"/>
        <v>1</v>
      </c>
      <c r="O706" s="246">
        <f t="shared" si="306"/>
        <v>0.92248905908096279</v>
      </c>
      <c r="P706" s="121">
        <f t="shared" si="307"/>
        <v>0</v>
      </c>
      <c r="Q706" s="121">
        <f t="shared" si="308"/>
        <v>0.41666666666666669</v>
      </c>
      <c r="R706" s="121">
        <f t="shared" si="309"/>
        <v>0.58333333333333326</v>
      </c>
      <c r="S706" s="121" t="str">
        <f t="shared" si="310"/>
        <v/>
      </c>
      <c r="T706" s="121" t="str">
        <f t="shared" si="311"/>
        <v/>
      </c>
      <c r="U706" s="121">
        <f t="shared" si="312"/>
        <v>1</v>
      </c>
    </row>
    <row r="707" spans="1:21" x14ac:dyDescent="0.3">
      <c r="A707" s="187">
        <v>35</v>
      </c>
      <c r="B707" s="242">
        <f t="shared" si="313"/>
        <v>46692</v>
      </c>
      <c r="C707" s="243">
        <f t="shared" si="294"/>
        <v>46721</v>
      </c>
      <c r="D707" s="120">
        <f t="shared" si="295"/>
        <v>30</v>
      </c>
      <c r="E707" s="120">
        <f t="shared" si="296"/>
        <v>11</v>
      </c>
      <c r="F707" s="275">
        <f t="shared" si="297"/>
        <v>46707</v>
      </c>
      <c r="G707" s="120">
        <f t="shared" si="298"/>
        <v>24334</v>
      </c>
      <c r="H707" s="245">
        <f t="shared" si="299"/>
        <v>1</v>
      </c>
      <c r="I707" s="121">
        <f t="shared" si="300"/>
        <v>1</v>
      </c>
      <c r="J707" s="121">
        <f t="shared" si="301"/>
        <v>1</v>
      </c>
      <c r="K707" s="120">
        <f t="shared" si="302"/>
        <v>0</v>
      </c>
      <c r="L707" s="120">
        <f t="shared" si="303"/>
        <v>0</v>
      </c>
      <c r="M707" s="246">
        <f t="shared" si="304"/>
        <v>0</v>
      </c>
      <c r="N707" s="121">
        <f t="shared" si="305"/>
        <v>1</v>
      </c>
      <c r="O707" s="246">
        <f t="shared" si="306"/>
        <v>0.92349015317286653</v>
      </c>
      <c r="P707" s="121">
        <f t="shared" si="307"/>
        <v>0</v>
      </c>
      <c r="Q707" s="121">
        <f t="shared" si="308"/>
        <v>0.25</v>
      </c>
      <c r="R707" s="121">
        <f t="shared" si="309"/>
        <v>0.75</v>
      </c>
      <c r="S707" s="121" t="str">
        <f t="shared" si="310"/>
        <v/>
      </c>
      <c r="T707" s="121" t="str">
        <f t="shared" si="311"/>
        <v/>
      </c>
      <c r="U707" s="121">
        <f t="shared" si="312"/>
        <v>1</v>
      </c>
    </row>
    <row r="708" spans="1:21" x14ac:dyDescent="0.3">
      <c r="A708" s="187">
        <v>36</v>
      </c>
      <c r="B708" s="242">
        <f t="shared" si="313"/>
        <v>46722</v>
      </c>
      <c r="C708" s="243">
        <f t="shared" si="294"/>
        <v>46752</v>
      </c>
      <c r="D708" s="120">
        <f t="shared" si="295"/>
        <v>31</v>
      </c>
      <c r="E708" s="120">
        <f t="shared" si="296"/>
        <v>12</v>
      </c>
      <c r="F708" s="275">
        <f t="shared" si="297"/>
        <v>46737.5</v>
      </c>
      <c r="G708" s="120">
        <f t="shared" si="298"/>
        <v>24335</v>
      </c>
      <c r="H708" s="245">
        <f t="shared" si="299"/>
        <v>1</v>
      </c>
      <c r="I708" s="121">
        <f t="shared" si="300"/>
        <v>1</v>
      </c>
      <c r="J708" s="121">
        <f t="shared" si="301"/>
        <v>1</v>
      </c>
      <c r="K708" s="120">
        <f t="shared" si="302"/>
        <v>0</v>
      </c>
      <c r="L708" s="120">
        <f t="shared" si="303"/>
        <v>0</v>
      </c>
      <c r="M708" s="246">
        <f t="shared" si="304"/>
        <v>0</v>
      </c>
      <c r="N708" s="121">
        <f t="shared" si="305"/>
        <v>1</v>
      </c>
      <c r="O708" s="246">
        <f t="shared" si="306"/>
        <v>0.92449124726477028</v>
      </c>
      <c r="P708" s="121">
        <f t="shared" si="307"/>
        <v>0</v>
      </c>
      <c r="Q708" s="121">
        <f t="shared" si="308"/>
        <v>8.3333333333333329E-2</v>
      </c>
      <c r="R708" s="121">
        <f t="shared" si="309"/>
        <v>0.91666666666666663</v>
      </c>
      <c r="S708" s="121" t="str">
        <f t="shared" si="310"/>
        <v/>
      </c>
      <c r="T708" s="121" t="str">
        <f t="shared" si="311"/>
        <v/>
      </c>
      <c r="U708" s="121">
        <f t="shared" si="312"/>
        <v>1</v>
      </c>
    </row>
    <row r="709" spans="1:21" x14ac:dyDescent="0.3">
      <c r="A709" s="187">
        <v>37</v>
      </c>
      <c r="B709" s="242">
        <f t="shared" si="313"/>
        <v>46753</v>
      </c>
      <c r="C709" s="243">
        <f t="shared" si="294"/>
        <v>46783</v>
      </c>
      <c r="D709" s="120">
        <f t="shared" si="295"/>
        <v>31</v>
      </c>
      <c r="E709" s="120">
        <f t="shared" si="296"/>
        <v>1</v>
      </c>
      <c r="F709" s="275">
        <f t="shared" si="297"/>
        <v>46768.5</v>
      </c>
      <c r="G709" s="120">
        <f t="shared" si="298"/>
        <v>24336</v>
      </c>
      <c r="H709" s="245">
        <f t="shared" si="299"/>
        <v>1</v>
      </c>
      <c r="I709" s="121">
        <f t="shared" si="300"/>
        <v>1</v>
      </c>
      <c r="J709" s="121">
        <f t="shared" si="301"/>
        <v>1</v>
      </c>
      <c r="K709" s="120">
        <f t="shared" si="302"/>
        <v>0</v>
      </c>
      <c r="L709" s="120">
        <f t="shared" si="303"/>
        <v>0</v>
      </c>
      <c r="M709" s="246">
        <f t="shared" si="304"/>
        <v>0</v>
      </c>
      <c r="N709" s="121">
        <f t="shared" si="305"/>
        <v>1</v>
      </c>
      <c r="O709" s="246">
        <f t="shared" si="306"/>
        <v>0.92500000000000004</v>
      </c>
      <c r="P709" s="121">
        <f t="shared" si="307"/>
        <v>0</v>
      </c>
      <c r="Q709" s="121">
        <f t="shared" si="308"/>
        <v>0</v>
      </c>
      <c r="R709" s="121">
        <f t="shared" si="309"/>
        <v>1</v>
      </c>
      <c r="S709" s="121" t="str">
        <f t="shared" si="310"/>
        <v/>
      </c>
      <c r="T709" s="121" t="str">
        <f t="shared" si="311"/>
        <v/>
      </c>
      <c r="U709" s="121">
        <f t="shared" si="312"/>
        <v>1</v>
      </c>
    </row>
    <row r="710" spans="1:21" x14ac:dyDescent="0.3">
      <c r="A710" s="187">
        <v>38</v>
      </c>
      <c r="B710" s="242">
        <f t="shared" si="313"/>
        <v>46784</v>
      </c>
      <c r="C710" s="243">
        <f t="shared" si="294"/>
        <v>46812</v>
      </c>
      <c r="D710" s="120">
        <f t="shared" si="295"/>
        <v>29</v>
      </c>
      <c r="E710" s="120">
        <f t="shared" si="296"/>
        <v>2</v>
      </c>
      <c r="F710" s="275">
        <f t="shared" si="297"/>
        <v>46798.5</v>
      </c>
      <c r="G710" s="120">
        <f t="shared" si="298"/>
        <v>24337</v>
      </c>
      <c r="H710" s="245">
        <f t="shared" si="299"/>
        <v>1</v>
      </c>
      <c r="I710" s="121">
        <f t="shared" si="300"/>
        <v>1</v>
      </c>
      <c r="J710" s="121">
        <f t="shared" si="301"/>
        <v>1</v>
      </c>
      <c r="K710" s="120">
        <f t="shared" si="302"/>
        <v>0</v>
      </c>
      <c r="L710" s="120">
        <f t="shared" si="303"/>
        <v>0</v>
      </c>
      <c r="M710" s="246">
        <f t="shared" si="304"/>
        <v>0</v>
      </c>
      <c r="N710" s="121">
        <f t="shared" si="305"/>
        <v>1</v>
      </c>
      <c r="O710" s="246">
        <f t="shared" si="306"/>
        <v>0.92500000000000004</v>
      </c>
      <c r="P710" s="121">
        <f t="shared" si="307"/>
        <v>0</v>
      </c>
      <c r="Q710" s="121">
        <f t="shared" si="308"/>
        <v>0</v>
      </c>
      <c r="R710" s="121">
        <f t="shared" si="309"/>
        <v>1</v>
      </c>
      <c r="S710" s="121" t="str">
        <f t="shared" si="310"/>
        <v/>
      </c>
      <c r="T710" s="121" t="str">
        <f t="shared" si="311"/>
        <v/>
      </c>
      <c r="U710" s="121">
        <f t="shared" si="312"/>
        <v>1</v>
      </c>
    </row>
    <row r="711" spans="1:21" x14ac:dyDescent="0.3">
      <c r="A711" s="187">
        <v>39</v>
      </c>
      <c r="B711" s="242">
        <f t="shared" si="313"/>
        <v>46813</v>
      </c>
      <c r="C711" s="243">
        <f t="shared" si="294"/>
        <v>46843</v>
      </c>
      <c r="D711" s="120">
        <f t="shared" si="295"/>
        <v>31</v>
      </c>
      <c r="E711" s="120">
        <f t="shared" si="296"/>
        <v>3</v>
      </c>
      <c r="F711" s="275">
        <f t="shared" si="297"/>
        <v>46828.5</v>
      </c>
      <c r="G711" s="120">
        <f t="shared" si="298"/>
        <v>24338</v>
      </c>
      <c r="H711" s="245">
        <f t="shared" si="299"/>
        <v>1</v>
      </c>
      <c r="I711" s="121">
        <f t="shared" si="300"/>
        <v>1</v>
      </c>
      <c r="J711" s="121">
        <f t="shared" si="301"/>
        <v>1</v>
      </c>
      <c r="K711" s="120">
        <f t="shared" si="302"/>
        <v>0</v>
      </c>
      <c r="L711" s="120">
        <f t="shared" si="303"/>
        <v>0</v>
      </c>
      <c r="M711" s="246">
        <f t="shared" si="304"/>
        <v>0</v>
      </c>
      <c r="N711" s="121">
        <f t="shared" si="305"/>
        <v>1</v>
      </c>
      <c r="O711" s="246">
        <f t="shared" si="306"/>
        <v>0.92500000000000004</v>
      </c>
      <c r="P711" s="121">
        <f t="shared" si="307"/>
        <v>0</v>
      </c>
      <c r="Q711" s="121">
        <f t="shared" si="308"/>
        <v>0</v>
      </c>
      <c r="R711" s="121">
        <f t="shared" si="309"/>
        <v>1</v>
      </c>
      <c r="S711" s="121" t="str">
        <f t="shared" si="310"/>
        <v/>
      </c>
      <c r="T711" s="121" t="str">
        <f t="shared" si="311"/>
        <v/>
      </c>
      <c r="U711" s="121">
        <f t="shared" si="312"/>
        <v>1</v>
      </c>
    </row>
    <row r="712" spans="1:21" x14ac:dyDescent="0.3">
      <c r="A712" s="187">
        <v>40</v>
      </c>
      <c r="B712" s="242">
        <f t="shared" si="313"/>
        <v>46844</v>
      </c>
      <c r="C712" s="243">
        <f t="shared" si="294"/>
        <v>46873</v>
      </c>
      <c r="D712" s="120">
        <f t="shared" si="295"/>
        <v>30</v>
      </c>
      <c r="E712" s="120">
        <f t="shared" si="296"/>
        <v>4</v>
      </c>
      <c r="F712" s="275">
        <f t="shared" si="297"/>
        <v>46859</v>
      </c>
      <c r="G712" s="120">
        <f t="shared" si="298"/>
        <v>24339</v>
      </c>
      <c r="H712" s="245">
        <f t="shared" si="299"/>
        <v>1</v>
      </c>
      <c r="I712" s="121">
        <f t="shared" si="300"/>
        <v>1</v>
      </c>
      <c r="J712" s="121">
        <f t="shared" si="301"/>
        <v>1</v>
      </c>
      <c r="K712" s="120">
        <f t="shared" si="302"/>
        <v>0</v>
      </c>
      <c r="L712" s="120">
        <f t="shared" si="303"/>
        <v>0</v>
      </c>
      <c r="M712" s="246">
        <f t="shared" si="304"/>
        <v>0</v>
      </c>
      <c r="N712" s="121">
        <f t="shared" si="305"/>
        <v>1</v>
      </c>
      <c r="O712" s="246">
        <f t="shared" si="306"/>
        <v>0.92500000000000004</v>
      </c>
      <c r="P712" s="121">
        <f t="shared" si="307"/>
        <v>0</v>
      </c>
      <c r="Q712" s="121">
        <f t="shared" si="308"/>
        <v>0</v>
      </c>
      <c r="R712" s="121">
        <f t="shared" si="309"/>
        <v>1</v>
      </c>
      <c r="S712" s="121" t="str">
        <f t="shared" si="310"/>
        <v/>
      </c>
      <c r="T712" s="121" t="str">
        <f t="shared" si="311"/>
        <v/>
      </c>
      <c r="U712" s="121">
        <f t="shared" si="312"/>
        <v>1</v>
      </c>
    </row>
    <row r="713" spans="1:21" x14ac:dyDescent="0.3">
      <c r="A713" s="187">
        <v>41</v>
      </c>
      <c r="B713" s="242">
        <f t="shared" si="313"/>
        <v>46874</v>
      </c>
      <c r="C713" s="243">
        <f t="shared" si="294"/>
        <v>46904</v>
      </c>
      <c r="D713" s="120">
        <f t="shared" si="295"/>
        <v>31</v>
      </c>
      <c r="E713" s="120">
        <f t="shared" si="296"/>
        <v>5</v>
      </c>
      <c r="F713" s="275">
        <f t="shared" si="297"/>
        <v>46889.5</v>
      </c>
      <c r="G713" s="120">
        <f t="shared" si="298"/>
        <v>24340</v>
      </c>
      <c r="H713" s="245">
        <f t="shared" si="299"/>
        <v>1</v>
      </c>
      <c r="I713" s="121">
        <f t="shared" si="300"/>
        <v>1</v>
      </c>
      <c r="J713" s="121">
        <f t="shared" si="301"/>
        <v>1</v>
      </c>
      <c r="K713" s="120">
        <f t="shared" si="302"/>
        <v>0</v>
      </c>
      <c r="L713" s="120">
        <f t="shared" si="303"/>
        <v>0</v>
      </c>
      <c r="M713" s="246">
        <f t="shared" si="304"/>
        <v>0</v>
      </c>
      <c r="N713" s="121">
        <f t="shared" si="305"/>
        <v>1</v>
      </c>
      <c r="O713" s="246">
        <f t="shared" si="306"/>
        <v>0.92500000000000004</v>
      </c>
      <c r="P713" s="121">
        <f t="shared" si="307"/>
        <v>0</v>
      </c>
      <c r="Q713" s="121">
        <f t="shared" si="308"/>
        <v>0</v>
      </c>
      <c r="R713" s="121">
        <f t="shared" si="309"/>
        <v>1</v>
      </c>
      <c r="S713" s="121" t="str">
        <f t="shared" si="310"/>
        <v/>
      </c>
      <c r="T713" s="121" t="str">
        <f t="shared" si="311"/>
        <v/>
      </c>
      <c r="U713" s="121">
        <f t="shared" si="312"/>
        <v>1</v>
      </c>
    </row>
    <row r="714" spans="1:21" x14ac:dyDescent="0.3">
      <c r="A714" s="187">
        <v>42</v>
      </c>
      <c r="B714" s="242">
        <f t="shared" si="313"/>
        <v>46905</v>
      </c>
      <c r="C714" s="243">
        <f t="shared" si="294"/>
        <v>46934</v>
      </c>
      <c r="D714" s="120">
        <f t="shared" si="295"/>
        <v>30</v>
      </c>
      <c r="E714" s="120">
        <f t="shared" si="296"/>
        <v>6</v>
      </c>
      <c r="F714" s="275">
        <f t="shared" si="297"/>
        <v>46920</v>
      </c>
      <c r="G714" s="120">
        <f t="shared" si="298"/>
        <v>24341</v>
      </c>
      <c r="H714" s="245">
        <f t="shared" si="299"/>
        <v>1</v>
      </c>
      <c r="I714" s="121">
        <f t="shared" si="300"/>
        <v>1</v>
      </c>
      <c r="J714" s="121">
        <f t="shared" si="301"/>
        <v>1</v>
      </c>
      <c r="K714" s="120">
        <f t="shared" si="302"/>
        <v>0</v>
      </c>
      <c r="L714" s="120">
        <f t="shared" si="303"/>
        <v>0</v>
      </c>
      <c r="M714" s="246">
        <f t="shared" si="304"/>
        <v>0</v>
      </c>
      <c r="N714" s="121">
        <f t="shared" si="305"/>
        <v>1</v>
      </c>
      <c r="O714" s="246">
        <f t="shared" si="306"/>
        <v>0.92500000000000004</v>
      </c>
      <c r="P714" s="121">
        <f t="shared" si="307"/>
        <v>0</v>
      </c>
      <c r="Q714" s="121">
        <f t="shared" si="308"/>
        <v>0</v>
      </c>
      <c r="R714" s="121">
        <f t="shared" si="309"/>
        <v>1</v>
      </c>
      <c r="S714" s="121" t="str">
        <f t="shared" si="310"/>
        <v/>
      </c>
      <c r="T714" s="121" t="str">
        <f t="shared" si="311"/>
        <v/>
      </c>
      <c r="U714" s="121">
        <f t="shared" si="312"/>
        <v>1</v>
      </c>
    </row>
    <row r="715" spans="1:21" x14ac:dyDescent="0.3">
      <c r="A715" s="187">
        <v>43</v>
      </c>
      <c r="B715" s="242">
        <f t="shared" si="313"/>
        <v>46935</v>
      </c>
      <c r="C715" s="243">
        <f t="shared" si="294"/>
        <v>46965</v>
      </c>
      <c r="D715" s="120">
        <f t="shared" si="295"/>
        <v>31</v>
      </c>
      <c r="E715" s="120">
        <f t="shared" si="296"/>
        <v>7</v>
      </c>
      <c r="F715" s="275">
        <f t="shared" si="297"/>
        <v>46950.5</v>
      </c>
      <c r="G715" s="120">
        <f t="shared" si="298"/>
        <v>24342</v>
      </c>
      <c r="H715" s="245">
        <f t="shared" si="299"/>
        <v>1</v>
      </c>
      <c r="I715" s="121">
        <f t="shared" si="300"/>
        <v>1</v>
      </c>
      <c r="J715" s="121">
        <f t="shared" si="301"/>
        <v>1</v>
      </c>
      <c r="K715" s="120">
        <f t="shared" si="302"/>
        <v>0</v>
      </c>
      <c r="L715" s="120">
        <f t="shared" si="303"/>
        <v>0</v>
      </c>
      <c r="M715" s="246">
        <f t="shared" si="304"/>
        <v>0</v>
      </c>
      <c r="N715" s="121">
        <f t="shared" si="305"/>
        <v>1</v>
      </c>
      <c r="O715" s="246">
        <f t="shared" si="306"/>
        <v>0.92500000000000004</v>
      </c>
      <c r="P715" s="121">
        <f t="shared" si="307"/>
        <v>0</v>
      </c>
      <c r="Q715" s="121">
        <f t="shared" si="308"/>
        <v>0</v>
      </c>
      <c r="R715" s="121">
        <f t="shared" si="309"/>
        <v>0.91666666666666663</v>
      </c>
      <c r="S715" s="121" t="str">
        <f t="shared" si="310"/>
        <v/>
      </c>
      <c r="T715" s="121" t="str">
        <f t="shared" si="311"/>
        <v/>
      </c>
      <c r="U715" s="121">
        <f t="shared" si="312"/>
        <v>1</v>
      </c>
    </row>
    <row r="716" spans="1:21" x14ac:dyDescent="0.3">
      <c r="A716" s="187">
        <v>44</v>
      </c>
      <c r="B716" s="242">
        <f t="shared" si="313"/>
        <v>46966</v>
      </c>
      <c r="C716" s="243">
        <f t="shared" si="294"/>
        <v>46996</v>
      </c>
      <c r="D716" s="120">
        <f t="shared" si="295"/>
        <v>31</v>
      </c>
      <c r="E716" s="120">
        <f t="shared" si="296"/>
        <v>8</v>
      </c>
      <c r="F716" s="275">
        <f t="shared" si="297"/>
        <v>46981.5</v>
      </c>
      <c r="G716" s="120">
        <f t="shared" si="298"/>
        <v>24343</v>
      </c>
      <c r="H716" s="245">
        <f t="shared" si="299"/>
        <v>1</v>
      </c>
      <c r="I716" s="121">
        <f t="shared" si="300"/>
        <v>1</v>
      </c>
      <c r="J716" s="121">
        <f t="shared" si="301"/>
        <v>1</v>
      </c>
      <c r="K716" s="120">
        <f t="shared" si="302"/>
        <v>0</v>
      </c>
      <c r="L716" s="120">
        <f t="shared" si="303"/>
        <v>0</v>
      </c>
      <c r="M716" s="246">
        <f t="shared" si="304"/>
        <v>0</v>
      </c>
      <c r="N716" s="121">
        <f t="shared" si="305"/>
        <v>1</v>
      </c>
      <c r="O716" s="246">
        <f t="shared" si="306"/>
        <v>0.92500000000000004</v>
      </c>
      <c r="P716" s="121">
        <f t="shared" si="307"/>
        <v>0</v>
      </c>
      <c r="Q716" s="121">
        <f t="shared" si="308"/>
        <v>0</v>
      </c>
      <c r="R716" s="121">
        <f t="shared" si="309"/>
        <v>0.75</v>
      </c>
      <c r="S716" s="121" t="str">
        <f t="shared" si="310"/>
        <v/>
      </c>
      <c r="T716" s="121" t="str">
        <f t="shared" si="311"/>
        <v/>
      </c>
      <c r="U716" s="121">
        <f t="shared" si="312"/>
        <v>1</v>
      </c>
    </row>
    <row r="717" spans="1:21" x14ac:dyDescent="0.3">
      <c r="A717" s="187">
        <v>45</v>
      </c>
      <c r="B717" s="242">
        <f t="shared" si="313"/>
        <v>46997</v>
      </c>
      <c r="C717" s="243">
        <f t="shared" si="294"/>
        <v>47026</v>
      </c>
      <c r="D717" s="120">
        <f t="shared" si="295"/>
        <v>30</v>
      </c>
      <c r="E717" s="120">
        <f t="shared" si="296"/>
        <v>9</v>
      </c>
      <c r="F717" s="275">
        <f t="shared" si="297"/>
        <v>47012</v>
      </c>
      <c r="G717" s="120">
        <f t="shared" si="298"/>
        <v>24344</v>
      </c>
      <c r="H717" s="245">
        <f t="shared" si="299"/>
        <v>1</v>
      </c>
      <c r="I717" s="121">
        <f t="shared" si="300"/>
        <v>1</v>
      </c>
      <c r="J717" s="121">
        <f t="shared" si="301"/>
        <v>1</v>
      </c>
      <c r="K717" s="120">
        <f t="shared" si="302"/>
        <v>0</v>
      </c>
      <c r="L717" s="120">
        <f t="shared" si="303"/>
        <v>0</v>
      </c>
      <c r="M717" s="246">
        <f t="shared" si="304"/>
        <v>0</v>
      </c>
      <c r="N717" s="121">
        <f t="shared" si="305"/>
        <v>1</v>
      </c>
      <c r="O717" s="246">
        <f t="shared" si="306"/>
        <v>0.92500000000000004</v>
      </c>
      <c r="P717" s="121">
        <f t="shared" si="307"/>
        <v>0</v>
      </c>
      <c r="Q717" s="121">
        <f t="shared" si="308"/>
        <v>0</v>
      </c>
      <c r="R717" s="121">
        <f t="shared" si="309"/>
        <v>0.58333333333333337</v>
      </c>
      <c r="S717" s="121" t="str">
        <f t="shared" si="310"/>
        <v/>
      </c>
      <c r="T717" s="121" t="str">
        <f t="shared" si="311"/>
        <v/>
      </c>
      <c r="U717" s="121">
        <f t="shared" si="312"/>
        <v>1</v>
      </c>
    </row>
    <row r="718" spans="1:21" x14ac:dyDescent="0.3">
      <c r="A718" s="187">
        <v>46</v>
      </c>
      <c r="B718" s="242">
        <f t="shared" si="313"/>
        <v>47027</v>
      </c>
      <c r="C718" s="243">
        <f t="shared" si="294"/>
        <v>47057</v>
      </c>
      <c r="D718" s="120">
        <f t="shared" si="295"/>
        <v>31</v>
      </c>
      <c r="E718" s="120">
        <f t="shared" si="296"/>
        <v>10</v>
      </c>
      <c r="F718" s="275">
        <f t="shared" si="297"/>
        <v>47042.5</v>
      </c>
      <c r="G718" s="120">
        <f t="shared" si="298"/>
        <v>24345</v>
      </c>
      <c r="H718" s="245">
        <f t="shared" si="299"/>
        <v>1</v>
      </c>
      <c r="I718" s="121">
        <f t="shared" si="300"/>
        <v>1</v>
      </c>
      <c r="J718" s="121">
        <f t="shared" si="301"/>
        <v>1</v>
      </c>
      <c r="K718" s="120">
        <f t="shared" si="302"/>
        <v>0</v>
      </c>
      <c r="L718" s="120">
        <f t="shared" si="303"/>
        <v>0</v>
      </c>
      <c r="M718" s="246">
        <f t="shared" si="304"/>
        <v>0</v>
      </c>
      <c r="N718" s="121">
        <f t="shared" si="305"/>
        <v>1</v>
      </c>
      <c r="O718" s="246">
        <f t="shared" si="306"/>
        <v>0.92500000000000004</v>
      </c>
      <c r="P718" s="121">
        <f t="shared" si="307"/>
        <v>0</v>
      </c>
      <c r="Q718" s="121">
        <f t="shared" si="308"/>
        <v>0</v>
      </c>
      <c r="R718" s="121">
        <f t="shared" si="309"/>
        <v>0.41666666666666669</v>
      </c>
      <c r="S718" s="121" t="str">
        <f t="shared" si="310"/>
        <v/>
      </c>
      <c r="T718" s="121" t="str">
        <f t="shared" si="311"/>
        <v/>
      </c>
      <c r="U718" s="121">
        <f t="shared" si="312"/>
        <v>1</v>
      </c>
    </row>
    <row r="719" spans="1:21" x14ac:dyDescent="0.3">
      <c r="A719" s="187">
        <v>47</v>
      </c>
      <c r="B719" s="242">
        <f t="shared" si="313"/>
        <v>47058</v>
      </c>
      <c r="C719" s="243">
        <f t="shared" si="294"/>
        <v>47087</v>
      </c>
      <c r="D719" s="120">
        <f t="shared" si="295"/>
        <v>30</v>
      </c>
      <c r="E719" s="120">
        <f t="shared" si="296"/>
        <v>11</v>
      </c>
      <c r="F719" s="275">
        <f t="shared" si="297"/>
        <v>47073</v>
      </c>
      <c r="G719" s="120">
        <f t="shared" si="298"/>
        <v>24346</v>
      </c>
      <c r="H719" s="245">
        <f t="shared" si="299"/>
        <v>1</v>
      </c>
      <c r="I719" s="121">
        <f t="shared" si="300"/>
        <v>1</v>
      </c>
      <c r="J719" s="121">
        <f t="shared" si="301"/>
        <v>1</v>
      </c>
      <c r="K719" s="120">
        <f t="shared" si="302"/>
        <v>0</v>
      </c>
      <c r="L719" s="120">
        <f t="shared" si="303"/>
        <v>0</v>
      </c>
      <c r="M719" s="246">
        <f t="shared" si="304"/>
        <v>0</v>
      </c>
      <c r="N719" s="121">
        <f t="shared" si="305"/>
        <v>1</v>
      </c>
      <c r="O719" s="246">
        <f t="shared" si="306"/>
        <v>0.92500000000000004</v>
      </c>
      <c r="P719" s="121">
        <f t="shared" si="307"/>
        <v>0</v>
      </c>
      <c r="Q719" s="121">
        <f t="shared" si="308"/>
        <v>0</v>
      </c>
      <c r="R719" s="121">
        <f t="shared" si="309"/>
        <v>0.25</v>
      </c>
      <c r="S719" s="121" t="str">
        <f t="shared" si="310"/>
        <v/>
      </c>
      <c r="T719" s="121" t="str">
        <f t="shared" si="311"/>
        <v/>
      </c>
      <c r="U719" s="121">
        <f t="shared" si="312"/>
        <v>1</v>
      </c>
    </row>
    <row r="720" spans="1:21" x14ac:dyDescent="0.3">
      <c r="A720" s="187">
        <v>48</v>
      </c>
      <c r="B720" s="242">
        <f t="shared" si="313"/>
        <v>47088</v>
      </c>
      <c r="C720" s="243">
        <f t="shared" si="294"/>
        <v>47118</v>
      </c>
      <c r="D720" s="120">
        <f t="shared" si="295"/>
        <v>31</v>
      </c>
      <c r="E720" s="120">
        <f t="shared" si="296"/>
        <v>12</v>
      </c>
      <c r="F720" s="275">
        <f t="shared" si="297"/>
        <v>47103.5</v>
      </c>
      <c r="G720" s="120">
        <f t="shared" si="298"/>
        <v>24347</v>
      </c>
      <c r="H720" s="245">
        <f t="shared" si="299"/>
        <v>1</v>
      </c>
      <c r="I720" s="121">
        <f t="shared" si="300"/>
        <v>1</v>
      </c>
      <c r="J720" s="121">
        <f t="shared" si="301"/>
        <v>1</v>
      </c>
      <c r="K720" s="120">
        <f t="shared" si="302"/>
        <v>0</v>
      </c>
      <c r="L720" s="120">
        <f t="shared" si="303"/>
        <v>0</v>
      </c>
      <c r="M720" s="246">
        <f t="shared" si="304"/>
        <v>0</v>
      </c>
      <c r="N720" s="121">
        <f t="shared" si="305"/>
        <v>1</v>
      </c>
      <c r="O720" s="246">
        <f t="shared" si="306"/>
        <v>0.92500000000000004</v>
      </c>
      <c r="P720" s="121">
        <f t="shared" si="307"/>
        <v>0</v>
      </c>
      <c r="Q720" s="121">
        <f t="shared" si="308"/>
        <v>0</v>
      </c>
      <c r="R720" s="121">
        <f t="shared" si="309"/>
        <v>8.3333333333333329E-2</v>
      </c>
      <c r="S720" s="121" t="str">
        <f t="shared" si="310"/>
        <v/>
      </c>
      <c r="T720" s="121" t="str">
        <f t="shared" si="311"/>
        <v/>
      </c>
      <c r="U720" s="121">
        <f t="shared" si="312"/>
        <v>1</v>
      </c>
    </row>
    <row r="721" spans="1:21" x14ac:dyDescent="0.3">
      <c r="A721" s="6" t="s">
        <v>1651</v>
      </c>
      <c r="B721" s="73">
        <f>EXP(SUMPRODUCT((rl_key=$A$670)*(rl_cons="Y")*rl_ln1p))</f>
        <v>1</v>
      </c>
      <c r="C721" s="73">
        <f>SUMPRODUCT($H$673:$H$720,$P$673:$P$720,$U$673:$U$720)/SUMPRODUCT($H$673:$H$720,$P$673:$P$720)</f>
        <v>1</v>
      </c>
      <c r="D721" s="73">
        <f>SUMPRODUCT($H$673:$H$720,$Q$673:$Q$720,$U$673:$U$720)/SUMPRODUCT($H$673:$H$720,$Q$673:$Q$720)</f>
        <v>1</v>
      </c>
      <c r="E721" s="73">
        <f>SUMPRODUCT($H$673:$H$720,$R$673:$R$720,$U$673:$U$720)/SUMPRODUCT($H$673:$H$720,$R$673:$R$720)</f>
        <v>1</v>
      </c>
      <c r="F721" s="224">
        <f>SUMPRODUCT($H$673:$H$720,$Q$673:$Q$720,$O$673:$O$720)/SUMPRODUCT($H$673:$H$720,$Q$673:$Q$720)</f>
        <v>0.91598878555798668</v>
      </c>
      <c r="G721" s="224">
        <f>SUMPRODUCT($H$673:$H$720,$R$673:$R$720,$O$673:$O$720)/SUMPRODUCT($H$673:$H$720,$R$673:$R$720)</f>
        <v>0.92449033552151683</v>
      </c>
      <c r="H721" s="73">
        <f>SUMPRODUCT($H$697:$H$708,$N$697:$N$708/$N$685:$N$696)/SUM($H$697:$H$708)</f>
        <v>1</v>
      </c>
      <c r="I721" s="73">
        <f>SUMPRODUCT($H$697:$H$708,$O$697:$O$708/$O$685:$O$696)/SUM($H$697:$H$708)</f>
        <v>1.0132088564102013</v>
      </c>
      <c r="J721" s="73">
        <f>IF($O$670=1,SUMPRODUCT($H$697:$H$708,$N$697:$N$708/$N$685:$N$696*$O$697:$O$708/$O$685:$O$696)/SUM($H$697:$H$708),$H721)</f>
        <v>1.0132088564102013</v>
      </c>
      <c r="K721" s="73">
        <f>SUMPRODUCT($H$673:$H$720,$Q$673:$Q$720,$N$673:$N$720)/SUMPRODUCT($H$673:$H$720,$Q$673:$Q$720)</f>
        <v>1</v>
      </c>
      <c r="L721" s="73">
        <f>SUMPRODUCT($H$673:$H$720,$R$673:$R$720,$N$673:$N$720)/SUMPRODUCT($H$673:$H$720,$R$673:$R$720)</f>
        <v>1</v>
      </c>
    </row>
    <row r="724" spans="1:21" x14ac:dyDescent="0.3">
      <c r="A724" s="6" t="str">
        <f>INDEX(lr_key,13)</f>
        <v>ABD|NM</v>
      </c>
      <c r="B724" s="6" t="str">
        <f>INDEX(lr_state,13)</f>
        <v>NM</v>
      </c>
      <c r="C724" s="75">
        <f>nr_TermMonths</f>
        <v>6</v>
      </c>
      <c r="D724" s="75">
        <f>IF(COUNTIF(se_state,$B724)=0,0,MATCH($B724,se_state,0))</f>
        <v>0</v>
      </c>
      <c r="E724" s="70">
        <f>IF($D724=0,0,INDEX(se_sum,$D724))</f>
        <v>0</v>
      </c>
      <c r="F724" s="224">
        <f>IF(N(INDEX(lr_mind,13))=0,1,INDEX(lr_mind,13))</f>
        <v>0.92</v>
      </c>
      <c r="G724" s="224">
        <f>IF(N(INDEX(lr_m0,13))=0,1,INDEX(lr_m0,13))</f>
        <v>0.91</v>
      </c>
      <c r="H724" s="74">
        <f>IF(N(INDEX(lr_m0asof,13))=0,DATE(nr_PlanYear-1,10,1),INDEX(lr_m0asof,13))</f>
        <v>46295</v>
      </c>
      <c r="I724" s="224">
        <f>IF(N(INDEX(lr_m1,13))=0,1,INDEX(lr_m1,13))</f>
        <v>0.90500000000000003</v>
      </c>
      <c r="J724" s="224">
        <f>INDEX(lr_mprior,13)</f>
        <v>0</v>
      </c>
      <c r="K724" s="224">
        <f>INDEX(lr_m2,13)</f>
        <v>0</v>
      </c>
      <c r="L724" s="6" t="b">
        <f>NOT(ISBLANK(INDEX(lr_netp,13)))</f>
        <v>0</v>
      </c>
      <c r="M724" s="72">
        <f>N(INDEX(lr_netp,13))</f>
        <v>0</v>
      </c>
      <c r="N724" s="72">
        <f>IF(ISBLANK(INDEX(lr_netp1,13)),$M$724,N(INDEX(lr_netp1,13)))</f>
        <v>0</v>
      </c>
      <c r="O724" s="75">
        <f>IF(AND(nr_ModAdjMaster="ON",INDEX(lr_modadj,13)="ON"),1,0)</f>
        <v>1</v>
      </c>
    </row>
    <row r="725" spans="1:21" x14ac:dyDescent="0.3">
      <c r="A725" s="6">
        <f>EDATE($H$724,-12)+1</f>
        <v>45931</v>
      </c>
      <c r="B725" s="6">
        <f>$H$724+1</f>
        <v>46296</v>
      </c>
      <c r="C725" s="6">
        <f>DATE(nr_PlanYear,12,31)+1</f>
        <v>46753</v>
      </c>
      <c r="D725" s="6">
        <f>DATE(nr_PlanYear+1,12,31)+1</f>
        <v>47119</v>
      </c>
      <c r="E725" s="6">
        <f>IF(N($J$724)=0,$F$725-($G$725-$F$725)/($C$725-$B$725)*($B$725-$A$725),$J$724)</f>
        <v>0.9139934354485777</v>
      </c>
      <c r="F725" s="6">
        <f>$G$724</f>
        <v>0.91</v>
      </c>
      <c r="G725" s="6">
        <f>$I$724</f>
        <v>0.90500000000000003</v>
      </c>
      <c r="H725" s="6">
        <f>IF(N($K$724)=0,$I$724,$K$724)</f>
        <v>0.90500000000000003</v>
      </c>
      <c r="I725" s="6">
        <f>($F$725-$E$725)/($B$725-$A$725)</f>
        <v>-1.0940919037199081E-5</v>
      </c>
      <c r="J725" s="6">
        <f>($G$725-$F$725)/($C$725-$B$725)</f>
        <v>-1.0940919037199135E-5</v>
      </c>
      <c r="K725" s="6">
        <f>($H$725-$G$725)/($D$725-$C$725)</f>
        <v>0</v>
      </c>
    </row>
    <row r="726" spans="1:21" ht="36" x14ac:dyDescent="0.3">
      <c r="A726" s="58" t="s">
        <v>390</v>
      </c>
      <c r="B726" s="58" t="s">
        <v>449</v>
      </c>
      <c r="C726" s="58" t="s">
        <v>685</v>
      </c>
      <c r="D726" s="58" t="s">
        <v>686</v>
      </c>
      <c r="E726" s="58" t="s">
        <v>687</v>
      </c>
      <c r="F726" s="58" t="s">
        <v>688</v>
      </c>
      <c r="G726" s="58" t="s">
        <v>689</v>
      </c>
      <c r="H726" s="58" t="s">
        <v>452</v>
      </c>
      <c r="I726" s="58" t="s">
        <v>690</v>
      </c>
      <c r="J726" s="58" t="s">
        <v>691</v>
      </c>
      <c r="K726" s="58" t="s">
        <v>692</v>
      </c>
      <c r="L726" s="58" t="s">
        <v>693</v>
      </c>
      <c r="M726" s="58" t="s">
        <v>694</v>
      </c>
      <c r="N726" s="58" t="s">
        <v>695</v>
      </c>
      <c r="O726" s="58" t="s">
        <v>696</v>
      </c>
      <c r="P726" s="58" t="s">
        <v>697</v>
      </c>
      <c r="Q726" s="58" t="s">
        <v>698</v>
      </c>
      <c r="R726" s="58" t="s">
        <v>699</v>
      </c>
      <c r="S726" s="58" t="s">
        <v>700</v>
      </c>
      <c r="T726" s="58" t="s">
        <v>701</v>
      </c>
      <c r="U726" s="58" t="s">
        <v>702</v>
      </c>
    </row>
    <row r="727" spans="1:21" x14ac:dyDescent="0.3">
      <c r="A727" s="187">
        <v>1</v>
      </c>
      <c r="B727" s="242">
        <f>DATE(nr_PlanYear-2,1,1)</f>
        <v>45658</v>
      </c>
      <c r="C727" s="243">
        <f t="shared" ref="C727:C774" si="314">EOMONTH($B727,0)</f>
        <v>45688</v>
      </c>
      <c r="D727" s="120">
        <f t="shared" ref="D727:D774" si="315">$C727-$B727+1</f>
        <v>31</v>
      </c>
      <c r="E727" s="120">
        <f t="shared" ref="E727:E774" si="316">MONTH($B727)</f>
        <v>1</v>
      </c>
      <c r="F727" s="275">
        <f t="shared" ref="F727:F774" si="317">($B727+$C727+1)/2</f>
        <v>45673.5</v>
      </c>
      <c r="G727" s="120">
        <f t="shared" ref="G727:G774" si="318">YEAR($B727)*12+MONTH($B727)-1</f>
        <v>24300</v>
      </c>
      <c r="H727" s="245">
        <f t="shared" ref="H727:H774" si="319">IF(OR(nr_SeasonOn="OFF",$D$724=0,$E$724=0),1,12*INDEX(se_block,$D$724,$E727)/$E$724)</f>
        <v>1</v>
      </c>
      <c r="I727" s="121">
        <f t="shared" ref="I727:I774" si="320">EXP(SUMPRODUCT((rl_eff&lt;$B727)*(rl_key=$A$724)*rl_ln1p))</f>
        <v>1</v>
      </c>
      <c r="J727" s="121">
        <f t="shared" ref="J727:J774" si="321">EXP(SUMPRODUCT((rl_eff&lt;=$C727)*(rl_key=$A$724)*rl_ln1p))</f>
        <v>1</v>
      </c>
      <c r="K727" s="120">
        <f t="shared" ref="K727:K774" si="322">COUNTIFS(rl_key,$A$724,rl_eff,"&gt;="&amp;$B727,rl_eff,"&lt;="&amp;$C727)</f>
        <v>0</v>
      </c>
      <c r="L727" s="120">
        <f t="shared" ref="L727:L774" si="323">SUMIFS(rl_daysafter,rl_key,$A$724,rl_effmonth,$B727,rl_first,1)</f>
        <v>0</v>
      </c>
      <c r="M727" s="246">
        <f t="shared" ref="M727:M774" si="324">IF($K727=0,0,MIN(1,$L727/$D727))</f>
        <v>0</v>
      </c>
      <c r="N727" s="121">
        <f t="shared" ref="N727:N774" si="325">IF($K727=0,$J727,(1-$M727)*$I727+$M727*$J727)</f>
        <v>1</v>
      </c>
      <c r="O727" s="246">
        <f t="shared" ref="O727:O774" si="326">IF($F727&lt;$B$725,$E$725+$I$725*($F727-$A$725),IF($F727&lt;$C$725,$F$725+$J$725*($F727-$B$725),$G$725+$K$725*($F727-$C$725)))</f>
        <v>0.91681072210065651</v>
      </c>
      <c r="P727" s="121">
        <f t="shared" ref="P727:P774" si="327">MIN(1,MAX(0,(nr_MEndPm1-$G727+0.5)/$C$724))-MIN(1,MAX(0,(nr_MStartPm1-1-$G727+0.5)/$C$724))</f>
        <v>0</v>
      </c>
      <c r="Q727" s="121">
        <f t="shared" ref="Q727:Q774" si="328">MIN(1,MAX(0,(nr_MEndP-$G727+0.5)/$C$724))-MIN(1,MAX(0,(nr_MStartP-1-$G727+0.5)/$C$724))</f>
        <v>0</v>
      </c>
      <c r="R727" s="121">
        <f t="shared" ref="R727:R774" si="329">MIN(1,MAX(0,(nr_MEndP1-$G727+0.5)/$C$724))-MIN(1,MAX(0,(nr_MStartP1-1-$G727+0.5)/$C$724))</f>
        <v>0</v>
      </c>
      <c r="S727" s="121" t="str">
        <f t="shared" ref="S727:S774" si="330">IF($L$724,$N727*IF($O$724=1,$O727/$F$724,1),"")</f>
        <v/>
      </c>
      <c r="T727" s="121" t="str">
        <f t="shared" ref="T727:T774" si="331">IF(NOT($L$724),"",IF($G727&lt;nr_MStartP,$S727,$T715*(1+IF($G727&lt;nr_MStartP1,$M$724,$N$724))))</f>
        <v/>
      </c>
      <c r="U727" s="121">
        <f t="shared" ref="U727:U774" si="332">IF($L$724,$T727,$N727)</f>
        <v>1</v>
      </c>
    </row>
    <row r="728" spans="1:21" x14ac:dyDescent="0.3">
      <c r="A728" s="187">
        <v>2</v>
      </c>
      <c r="B728" s="242">
        <f t="shared" ref="B728:B774" si="333">EDATE($B727,1)</f>
        <v>45689</v>
      </c>
      <c r="C728" s="243">
        <f t="shared" si="314"/>
        <v>45716</v>
      </c>
      <c r="D728" s="120">
        <f t="shared" si="315"/>
        <v>28</v>
      </c>
      <c r="E728" s="120">
        <f t="shared" si="316"/>
        <v>2</v>
      </c>
      <c r="F728" s="275">
        <f t="shared" si="317"/>
        <v>45703</v>
      </c>
      <c r="G728" s="120">
        <f t="shared" si="318"/>
        <v>24301</v>
      </c>
      <c r="H728" s="245">
        <f t="shared" si="319"/>
        <v>1</v>
      </c>
      <c r="I728" s="121">
        <f t="shared" si="320"/>
        <v>1</v>
      </c>
      <c r="J728" s="121">
        <f t="shared" si="321"/>
        <v>1</v>
      </c>
      <c r="K728" s="120">
        <f t="shared" si="322"/>
        <v>0</v>
      </c>
      <c r="L728" s="120">
        <f t="shared" si="323"/>
        <v>0</v>
      </c>
      <c r="M728" s="246">
        <f t="shared" si="324"/>
        <v>0</v>
      </c>
      <c r="N728" s="121">
        <f t="shared" si="325"/>
        <v>1</v>
      </c>
      <c r="O728" s="246">
        <f t="shared" si="326"/>
        <v>0.91648796498905905</v>
      </c>
      <c r="P728" s="121">
        <f t="shared" si="327"/>
        <v>0</v>
      </c>
      <c r="Q728" s="121">
        <f t="shared" si="328"/>
        <v>0</v>
      </c>
      <c r="R728" s="121">
        <f t="shared" si="329"/>
        <v>0</v>
      </c>
      <c r="S728" s="121" t="str">
        <f t="shared" si="330"/>
        <v/>
      </c>
      <c r="T728" s="121" t="str">
        <f t="shared" si="331"/>
        <v/>
      </c>
      <c r="U728" s="121">
        <f t="shared" si="332"/>
        <v>1</v>
      </c>
    </row>
    <row r="729" spans="1:21" x14ac:dyDescent="0.3">
      <c r="A729" s="187">
        <v>3</v>
      </c>
      <c r="B729" s="242">
        <f t="shared" si="333"/>
        <v>45717</v>
      </c>
      <c r="C729" s="243">
        <f t="shared" si="314"/>
        <v>45747</v>
      </c>
      <c r="D729" s="120">
        <f t="shared" si="315"/>
        <v>31</v>
      </c>
      <c r="E729" s="120">
        <f t="shared" si="316"/>
        <v>3</v>
      </c>
      <c r="F729" s="275">
        <f t="shared" si="317"/>
        <v>45732.5</v>
      </c>
      <c r="G729" s="120">
        <f t="shared" si="318"/>
        <v>24302</v>
      </c>
      <c r="H729" s="245">
        <f t="shared" si="319"/>
        <v>1</v>
      </c>
      <c r="I729" s="121">
        <f t="shared" si="320"/>
        <v>1</v>
      </c>
      <c r="J729" s="121">
        <f t="shared" si="321"/>
        <v>1</v>
      </c>
      <c r="K729" s="120">
        <f t="shared" si="322"/>
        <v>0</v>
      </c>
      <c r="L729" s="120">
        <f t="shared" si="323"/>
        <v>0</v>
      </c>
      <c r="M729" s="246">
        <f t="shared" si="324"/>
        <v>0</v>
      </c>
      <c r="N729" s="121">
        <f t="shared" si="325"/>
        <v>1</v>
      </c>
      <c r="O729" s="246">
        <f t="shared" si="326"/>
        <v>0.9161652078774617</v>
      </c>
      <c r="P729" s="121">
        <f t="shared" si="327"/>
        <v>0</v>
      </c>
      <c r="Q729" s="121">
        <f t="shared" si="328"/>
        <v>0</v>
      </c>
      <c r="R729" s="121">
        <f t="shared" si="329"/>
        <v>0</v>
      </c>
      <c r="S729" s="121" t="str">
        <f t="shared" si="330"/>
        <v/>
      </c>
      <c r="T729" s="121" t="str">
        <f t="shared" si="331"/>
        <v/>
      </c>
      <c r="U729" s="121">
        <f t="shared" si="332"/>
        <v>1</v>
      </c>
    </row>
    <row r="730" spans="1:21" x14ac:dyDescent="0.3">
      <c r="A730" s="187">
        <v>4</v>
      </c>
      <c r="B730" s="242">
        <f t="shared" si="333"/>
        <v>45748</v>
      </c>
      <c r="C730" s="243">
        <f t="shared" si="314"/>
        <v>45777</v>
      </c>
      <c r="D730" s="120">
        <f t="shared" si="315"/>
        <v>30</v>
      </c>
      <c r="E730" s="120">
        <f t="shared" si="316"/>
        <v>4</v>
      </c>
      <c r="F730" s="275">
        <f t="shared" si="317"/>
        <v>45763</v>
      </c>
      <c r="G730" s="120">
        <f t="shared" si="318"/>
        <v>24303</v>
      </c>
      <c r="H730" s="245">
        <f t="shared" si="319"/>
        <v>1</v>
      </c>
      <c r="I730" s="121">
        <f t="shared" si="320"/>
        <v>1</v>
      </c>
      <c r="J730" s="121">
        <f t="shared" si="321"/>
        <v>1</v>
      </c>
      <c r="K730" s="120">
        <f t="shared" si="322"/>
        <v>0</v>
      </c>
      <c r="L730" s="120">
        <f t="shared" si="323"/>
        <v>0</v>
      </c>
      <c r="M730" s="246">
        <f t="shared" si="324"/>
        <v>0</v>
      </c>
      <c r="N730" s="121">
        <f t="shared" si="325"/>
        <v>1</v>
      </c>
      <c r="O730" s="246">
        <f t="shared" si="326"/>
        <v>0.91583150984682715</v>
      </c>
      <c r="P730" s="121">
        <f t="shared" si="327"/>
        <v>0</v>
      </c>
      <c r="Q730" s="121">
        <f t="shared" si="328"/>
        <v>0</v>
      </c>
      <c r="R730" s="121">
        <f t="shared" si="329"/>
        <v>0</v>
      </c>
      <c r="S730" s="121" t="str">
        <f t="shared" si="330"/>
        <v/>
      </c>
      <c r="T730" s="121" t="str">
        <f t="shared" si="331"/>
        <v/>
      </c>
      <c r="U730" s="121">
        <f t="shared" si="332"/>
        <v>1</v>
      </c>
    </row>
    <row r="731" spans="1:21" x14ac:dyDescent="0.3">
      <c r="A731" s="187">
        <v>5</v>
      </c>
      <c r="B731" s="242">
        <f t="shared" si="333"/>
        <v>45778</v>
      </c>
      <c r="C731" s="243">
        <f t="shared" si="314"/>
        <v>45808</v>
      </c>
      <c r="D731" s="120">
        <f t="shared" si="315"/>
        <v>31</v>
      </c>
      <c r="E731" s="120">
        <f t="shared" si="316"/>
        <v>5</v>
      </c>
      <c r="F731" s="275">
        <f t="shared" si="317"/>
        <v>45793.5</v>
      </c>
      <c r="G731" s="120">
        <f t="shared" si="318"/>
        <v>24304</v>
      </c>
      <c r="H731" s="245">
        <f t="shared" si="319"/>
        <v>1</v>
      </c>
      <c r="I731" s="121">
        <f t="shared" si="320"/>
        <v>1</v>
      </c>
      <c r="J731" s="121">
        <f t="shared" si="321"/>
        <v>1</v>
      </c>
      <c r="K731" s="120">
        <f t="shared" si="322"/>
        <v>0</v>
      </c>
      <c r="L731" s="120">
        <f t="shared" si="323"/>
        <v>0</v>
      </c>
      <c r="M731" s="246">
        <f t="shared" si="324"/>
        <v>0</v>
      </c>
      <c r="N731" s="121">
        <f t="shared" si="325"/>
        <v>1</v>
      </c>
      <c r="O731" s="246">
        <f t="shared" si="326"/>
        <v>0.91549781181619261</v>
      </c>
      <c r="P731" s="121">
        <f t="shared" si="327"/>
        <v>0</v>
      </c>
      <c r="Q731" s="121">
        <f t="shared" si="328"/>
        <v>0</v>
      </c>
      <c r="R731" s="121">
        <f t="shared" si="329"/>
        <v>0</v>
      </c>
      <c r="S731" s="121" t="str">
        <f t="shared" si="330"/>
        <v/>
      </c>
      <c r="T731" s="121" t="str">
        <f t="shared" si="331"/>
        <v/>
      </c>
      <c r="U731" s="121">
        <f t="shared" si="332"/>
        <v>1</v>
      </c>
    </row>
    <row r="732" spans="1:21" x14ac:dyDescent="0.3">
      <c r="A732" s="187">
        <v>6</v>
      </c>
      <c r="B732" s="242">
        <f t="shared" si="333"/>
        <v>45809</v>
      </c>
      <c r="C732" s="243">
        <f t="shared" si="314"/>
        <v>45838</v>
      </c>
      <c r="D732" s="120">
        <f t="shared" si="315"/>
        <v>30</v>
      </c>
      <c r="E732" s="120">
        <f t="shared" si="316"/>
        <v>6</v>
      </c>
      <c r="F732" s="275">
        <f t="shared" si="317"/>
        <v>45824</v>
      </c>
      <c r="G732" s="120">
        <f t="shared" si="318"/>
        <v>24305</v>
      </c>
      <c r="H732" s="245">
        <f t="shared" si="319"/>
        <v>1</v>
      </c>
      <c r="I732" s="121">
        <f t="shared" si="320"/>
        <v>1</v>
      </c>
      <c r="J732" s="121">
        <f t="shared" si="321"/>
        <v>1</v>
      </c>
      <c r="K732" s="120">
        <f t="shared" si="322"/>
        <v>0</v>
      </c>
      <c r="L732" s="120">
        <f t="shared" si="323"/>
        <v>0</v>
      </c>
      <c r="M732" s="246">
        <f t="shared" si="324"/>
        <v>0</v>
      </c>
      <c r="N732" s="121">
        <f t="shared" si="325"/>
        <v>1</v>
      </c>
      <c r="O732" s="246">
        <f t="shared" si="326"/>
        <v>0.91516411378555795</v>
      </c>
      <c r="P732" s="121">
        <f t="shared" si="327"/>
        <v>0</v>
      </c>
      <c r="Q732" s="121">
        <f t="shared" si="328"/>
        <v>0</v>
      </c>
      <c r="R732" s="121">
        <f t="shared" si="329"/>
        <v>0</v>
      </c>
      <c r="S732" s="121" t="str">
        <f t="shared" si="330"/>
        <v/>
      </c>
      <c r="T732" s="121" t="str">
        <f t="shared" si="331"/>
        <v/>
      </c>
      <c r="U732" s="121">
        <f t="shared" si="332"/>
        <v>1</v>
      </c>
    </row>
    <row r="733" spans="1:21" x14ac:dyDescent="0.3">
      <c r="A733" s="187">
        <v>7</v>
      </c>
      <c r="B733" s="242">
        <f t="shared" si="333"/>
        <v>45839</v>
      </c>
      <c r="C733" s="243">
        <f t="shared" si="314"/>
        <v>45869</v>
      </c>
      <c r="D733" s="120">
        <f t="shared" si="315"/>
        <v>31</v>
      </c>
      <c r="E733" s="120">
        <f t="shared" si="316"/>
        <v>7</v>
      </c>
      <c r="F733" s="275">
        <f t="shared" si="317"/>
        <v>45854.5</v>
      </c>
      <c r="G733" s="120">
        <f t="shared" si="318"/>
        <v>24306</v>
      </c>
      <c r="H733" s="245">
        <f t="shared" si="319"/>
        <v>1</v>
      </c>
      <c r="I733" s="121">
        <f t="shared" si="320"/>
        <v>1</v>
      </c>
      <c r="J733" s="121">
        <f t="shared" si="321"/>
        <v>1</v>
      </c>
      <c r="K733" s="120">
        <f t="shared" si="322"/>
        <v>0</v>
      </c>
      <c r="L733" s="120">
        <f t="shared" si="323"/>
        <v>0</v>
      </c>
      <c r="M733" s="246">
        <f t="shared" si="324"/>
        <v>0</v>
      </c>
      <c r="N733" s="121">
        <f t="shared" si="325"/>
        <v>1</v>
      </c>
      <c r="O733" s="246">
        <f t="shared" si="326"/>
        <v>0.91483041575492341</v>
      </c>
      <c r="P733" s="121">
        <f t="shared" si="327"/>
        <v>8.333333333333337E-2</v>
      </c>
      <c r="Q733" s="121">
        <f t="shared" si="328"/>
        <v>0</v>
      </c>
      <c r="R733" s="121">
        <f t="shared" si="329"/>
        <v>0</v>
      </c>
      <c r="S733" s="121" t="str">
        <f t="shared" si="330"/>
        <v/>
      </c>
      <c r="T733" s="121" t="str">
        <f t="shared" si="331"/>
        <v/>
      </c>
      <c r="U733" s="121">
        <f t="shared" si="332"/>
        <v>1</v>
      </c>
    </row>
    <row r="734" spans="1:21" x14ac:dyDescent="0.3">
      <c r="A734" s="187">
        <v>8</v>
      </c>
      <c r="B734" s="242">
        <f t="shared" si="333"/>
        <v>45870</v>
      </c>
      <c r="C734" s="243">
        <f t="shared" si="314"/>
        <v>45900</v>
      </c>
      <c r="D734" s="120">
        <f t="shared" si="315"/>
        <v>31</v>
      </c>
      <c r="E734" s="120">
        <f t="shared" si="316"/>
        <v>8</v>
      </c>
      <c r="F734" s="275">
        <f t="shared" si="317"/>
        <v>45885.5</v>
      </c>
      <c r="G734" s="120">
        <f t="shared" si="318"/>
        <v>24307</v>
      </c>
      <c r="H734" s="245">
        <f t="shared" si="319"/>
        <v>1</v>
      </c>
      <c r="I734" s="121">
        <f t="shared" si="320"/>
        <v>1</v>
      </c>
      <c r="J734" s="121">
        <f t="shared" si="321"/>
        <v>1</v>
      </c>
      <c r="K734" s="120">
        <f t="shared" si="322"/>
        <v>0</v>
      </c>
      <c r="L734" s="120">
        <f t="shared" si="323"/>
        <v>0</v>
      </c>
      <c r="M734" s="246">
        <f t="shared" si="324"/>
        <v>0</v>
      </c>
      <c r="N734" s="121">
        <f t="shared" si="325"/>
        <v>1</v>
      </c>
      <c r="O734" s="246">
        <f t="shared" si="326"/>
        <v>0.91449124726477027</v>
      </c>
      <c r="P734" s="121">
        <f t="shared" si="327"/>
        <v>0.25</v>
      </c>
      <c r="Q734" s="121">
        <f t="shared" si="328"/>
        <v>0</v>
      </c>
      <c r="R734" s="121">
        <f t="shared" si="329"/>
        <v>0</v>
      </c>
      <c r="S734" s="121" t="str">
        <f t="shared" si="330"/>
        <v/>
      </c>
      <c r="T734" s="121" t="str">
        <f t="shared" si="331"/>
        <v/>
      </c>
      <c r="U734" s="121">
        <f t="shared" si="332"/>
        <v>1</v>
      </c>
    </row>
    <row r="735" spans="1:21" x14ac:dyDescent="0.3">
      <c r="A735" s="187">
        <v>9</v>
      </c>
      <c r="B735" s="242">
        <f t="shared" si="333"/>
        <v>45901</v>
      </c>
      <c r="C735" s="243">
        <f t="shared" si="314"/>
        <v>45930</v>
      </c>
      <c r="D735" s="120">
        <f t="shared" si="315"/>
        <v>30</v>
      </c>
      <c r="E735" s="120">
        <f t="shared" si="316"/>
        <v>9</v>
      </c>
      <c r="F735" s="275">
        <f t="shared" si="317"/>
        <v>45916</v>
      </c>
      <c r="G735" s="120">
        <f t="shared" si="318"/>
        <v>24308</v>
      </c>
      <c r="H735" s="245">
        <f t="shared" si="319"/>
        <v>1</v>
      </c>
      <c r="I735" s="121">
        <f t="shared" si="320"/>
        <v>1</v>
      </c>
      <c r="J735" s="121">
        <f t="shared" si="321"/>
        <v>1</v>
      </c>
      <c r="K735" s="120">
        <f t="shared" si="322"/>
        <v>0</v>
      </c>
      <c r="L735" s="120">
        <f t="shared" si="323"/>
        <v>0</v>
      </c>
      <c r="M735" s="246">
        <f t="shared" si="324"/>
        <v>0</v>
      </c>
      <c r="N735" s="121">
        <f t="shared" si="325"/>
        <v>1</v>
      </c>
      <c r="O735" s="246">
        <f t="shared" si="326"/>
        <v>0.91415754923413572</v>
      </c>
      <c r="P735" s="121">
        <f t="shared" si="327"/>
        <v>0.41666666666666663</v>
      </c>
      <c r="Q735" s="121">
        <f t="shared" si="328"/>
        <v>0</v>
      </c>
      <c r="R735" s="121">
        <f t="shared" si="329"/>
        <v>0</v>
      </c>
      <c r="S735" s="121" t="str">
        <f t="shared" si="330"/>
        <v/>
      </c>
      <c r="T735" s="121" t="str">
        <f t="shared" si="331"/>
        <v/>
      </c>
      <c r="U735" s="121">
        <f t="shared" si="332"/>
        <v>1</v>
      </c>
    </row>
    <row r="736" spans="1:21" x14ac:dyDescent="0.3">
      <c r="A736" s="187">
        <v>10</v>
      </c>
      <c r="B736" s="242">
        <f t="shared" si="333"/>
        <v>45931</v>
      </c>
      <c r="C736" s="243">
        <f t="shared" si="314"/>
        <v>45961</v>
      </c>
      <c r="D736" s="120">
        <f t="shared" si="315"/>
        <v>31</v>
      </c>
      <c r="E736" s="120">
        <f t="shared" si="316"/>
        <v>10</v>
      </c>
      <c r="F736" s="275">
        <f t="shared" si="317"/>
        <v>45946.5</v>
      </c>
      <c r="G736" s="120">
        <f t="shared" si="318"/>
        <v>24309</v>
      </c>
      <c r="H736" s="245">
        <f t="shared" si="319"/>
        <v>1</v>
      </c>
      <c r="I736" s="121">
        <f t="shared" si="320"/>
        <v>1</v>
      </c>
      <c r="J736" s="121">
        <f t="shared" si="321"/>
        <v>1</v>
      </c>
      <c r="K736" s="120">
        <f t="shared" si="322"/>
        <v>0</v>
      </c>
      <c r="L736" s="120">
        <f t="shared" si="323"/>
        <v>0</v>
      </c>
      <c r="M736" s="246">
        <f t="shared" si="324"/>
        <v>0</v>
      </c>
      <c r="N736" s="121">
        <f t="shared" si="325"/>
        <v>1</v>
      </c>
      <c r="O736" s="246">
        <f t="shared" si="326"/>
        <v>0.91382385120350107</v>
      </c>
      <c r="P736" s="121">
        <f t="shared" si="327"/>
        <v>0.58333333333333326</v>
      </c>
      <c r="Q736" s="121">
        <f t="shared" si="328"/>
        <v>0</v>
      </c>
      <c r="R736" s="121">
        <f t="shared" si="329"/>
        <v>0</v>
      </c>
      <c r="S736" s="121" t="str">
        <f t="shared" si="330"/>
        <v/>
      </c>
      <c r="T736" s="121" t="str">
        <f t="shared" si="331"/>
        <v/>
      </c>
      <c r="U736" s="121">
        <f t="shared" si="332"/>
        <v>1</v>
      </c>
    </row>
    <row r="737" spans="1:21" x14ac:dyDescent="0.3">
      <c r="A737" s="187">
        <v>11</v>
      </c>
      <c r="B737" s="242">
        <f t="shared" si="333"/>
        <v>45962</v>
      </c>
      <c r="C737" s="243">
        <f t="shared" si="314"/>
        <v>45991</v>
      </c>
      <c r="D737" s="120">
        <f t="shared" si="315"/>
        <v>30</v>
      </c>
      <c r="E737" s="120">
        <f t="shared" si="316"/>
        <v>11</v>
      </c>
      <c r="F737" s="275">
        <f t="shared" si="317"/>
        <v>45977</v>
      </c>
      <c r="G737" s="120">
        <f t="shared" si="318"/>
        <v>24310</v>
      </c>
      <c r="H737" s="245">
        <f t="shared" si="319"/>
        <v>1</v>
      </c>
      <c r="I737" s="121">
        <f t="shared" si="320"/>
        <v>1</v>
      </c>
      <c r="J737" s="121">
        <f t="shared" si="321"/>
        <v>1</v>
      </c>
      <c r="K737" s="120">
        <f t="shared" si="322"/>
        <v>0</v>
      </c>
      <c r="L737" s="120">
        <f t="shared" si="323"/>
        <v>0</v>
      </c>
      <c r="M737" s="246">
        <f t="shared" si="324"/>
        <v>0</v>
      </c>
      <c r="N737" s="121">
        <f t="shared" si="325"/>
        <v>1</v>
      </c>
      <c r="O737" s="246">
        <f t="shared" si="326"/>
        <v>0.91349015317286653</v>
      </c>
      <c r="P737" s="121">
        <f t="shared" si="327"/>
        <v>0.75</v>
      </c>
      <c r="Q737" s="121">
        <f t="shared" si="328"/>
        <v>0</v>
      </c>
      <c r="R737" s="121">
        <f t="shared" si="329"/>
        <v>0</v>
      </c>
      <c r="S737" s="121" t="str">
        <f t="shared" si="330"/>
        <v/>
      </c>
      <c r="T737" s="121" t="str">
        <f t="shared" si="331"/>
        <v/>
      </c>
      <c r="U737" s="121">
        <f t="shared" si="332"/>
        <v>1</v>
      </c>
    </row>
    <row r="738" spans="1:21" x14ac:dyDescent="0.3">
      <c r="A738" s="187">
        <v>12</v>
      </c>
      <c r="B738" s="242">
        <f t="shared" si="333"/>
        <v>45992</v>
      </c>
      <c r="C738" s="243">
        <f t="shared" si="314"/>
        <v>46022</v>
      </c>
      <c r="D738" s="120">
        <f t="shared" si="315"/>
        <v>31</v>
      </c>
      <c r="E738" s="120">
        <f t="shared" si="316"/>
        <v>12</v>
      </c>
      <c r="F738" s="275">
        <f t="shared" si="317"/>
        <v>46007.5</v>
      </c>
      <c r="G738" s="120">
        <f t="shared" si="318"/>
        <v>24311</v>
      </c>
      <c r="H738" s="245">
        <f t="shared" si="319"/>
        <v>1</v>
      </c>
      <c r="I738" s="121">
        <f t="shared" si="320"/>
        <v>1</v>
      </c>
      <c r="J738" s="121">
        <f t="shared" si="321"/>
        <v>1</v>
      </c>
      <c r="K738" s="120">
        <f t="shared" si="322"/>
        <v>0</v>
      </c>
      <c r="L738" s="120">
        <f t="shared" si="323"/>
        <v>0</v>
      </c>
      <c r="M738" s="246">
        <f t="shared" si="324"/>
        <v>0</v>
      </c>
      <c r="N738" s="121">
        <f t="shared" si="325"/>
        <v>1</v>
      </c>
      <c r="O738" s="246">
        <f t="shared" si="326"/>
        <v>0.91315645514223198</v>
      </c>
      <c r="P738" s="121">
        <f t="shared" si="327"/>
        <v>0.91666666666666663</v>
      </c>
      <c r="Q738" s="121">
        <f t="shared" si="328"/>
        <v>0</v>
      </c>
      <c r="R738" s="121">
        <f t="shared" si="329"/>
        <v>0</v>
      </c>
      <c r="S738" s="121" t="str">
        <f t="shared" si="330"/>
        <v/>
      </c>
      <c r="T738" s="121" t="str">
        <f t="shared" si="331"/>
        <v/>
      </c>
      <c r="U738" s="121">
        <f t="shared" si="332"/>
        <v>1</v>
      </c>
    </row>
    <row r="739" spans="1:21" x14ac:dyDescent="0.3">
      <c r="A739" s="187">
        <v>13</v>
      </c>
      <c r="B739" s="242">
        <f t="shared" si="333"/>
        <v>46023</v>
      </c>
      <c r="C739" s="243">
        <f t="shared" si="314"/>
        <v>46053</v>
      </c>
      <c r="D739" s="120">
        <f t="shared" si="315"/>
        <v>31</v>
      </c>
      <c r="E739" s="120">
        <f t="shared" si="316"/>
        <v>1</v>
      </c>
      <c r="F739" s="275">
        <f t="shared" si="317"/>
        <v>46038.5</v>
      </c>
      <c r="G739" s="120">
        <f t="shared" si="318"/>
        <v>24312</v>
      </c>
      <c r="H739" s="245">
        <f t="shared" si="319"/>
        <v>1</v>
      </c>
      <c r="I739" s="121">
        <f t="shared" si="320"/>
        <v>1</v>
      </c>
      <c r="J739" s="121">
        <f t="shared" si="321"/>
        <v>1.04</v>
      </c>
      <c r="K739" s="120">
        <f t="shared" si="322"/>
        <v>1</v>
      </c>
      <c r="L739" s="120">
        <f t="shared" si="323"/>
        <v>31</v>
      </c>
      <c r="M739" s="246">
        <f t="shared" si="324"/>
        <v>1</v>
      </c>
      <c r="N739" s="121">
        <f t="shared" si="325"/>
        <v>1.04</v>
      </c>
      <c r="O739" s="246">
        <f t="shared" si="326"/>
        <v>0.91281728665207884</v>
      </c>
      <c r="P739" s="121">
        <f t="shared" si="327"/>
        <v>1</v>
      </c>
      <c r="Q739" s="121">
        <f t="shared" si="328"/>
        <v>0</v>
      </c>
      <c r="R739" s="121">
        <f t="shared" si="329"/>
        <v>0</v>
      </c>
      <c r="S739" s="121" t="str">
        <f t="shared" si="330"/>
        <v/>
      </c>
      <c r="T739" s="121" t="str">
        <f t="shared" si="331"/>
        <v/>
      </c>
      <c r="U739" s="121">
        <f t="shared" si="332"/>
        <v>1.04</v>
      </c>
    </row>
    <row r="740" spans="1:21" x14ac:dyDescent="0.3">
      <c r="A740" s="187">
        <v>14</v>
      </c>
      <c r="B740" s="242">
        <f t="shared" si="333"/>
        <v>46054</v>
      </c>
      <c r="C740" s="243">
        <f t="shared" si="314"/>
        <v>46081</v>
      </c>
      <c r="D740" s="120">
        <f t="shared" si="315"/>
        <v>28</v>
      </c>
      <c r="E740" s="120">
        <f t="shared" si="316"/>
        <v>2</v>
      </c>
      <c r="F740" s="275">
        <f t="shared" si="317"/>
        <v>46068</v>
      </c>
      <c r="G740" s="120">
        <f t="shared" si="318"/>
        <v>24313</v>
      </c>
      <c r="H740" s="245">
        <f t="shared" si="319"/>
        <v>1</v>
      </c>
      <c r="I740" s="121">
        <f t="shared" si="320"/>
        <v>1.04</v>
      </c>
      <c r="J740" s="121">
        <f t="shared" si="321"/>
        <v>1.04</v>
      </c>
      <c r="K740" s="120">
        <f t="shared" si="322"/>
        <v>0</v>
      </c>
      <c r="L740" s="120">
        <f t="shared" si="323"/>
        <v>0</v>
      </c>
      <c r="M740" s="246">
        <f t="shared" si="324"/>
        <v>0</v>
      </c>
      <c r="N740" s="121">
        <f t="shared" si="325"/>
        <v>1.04</v>
      </c>
      <c r="O740" s="246">
        <f t="shared" si="326"/>
        <v>0.91249452954048138</v>
      </c>
      <c r="P740" s="121">
        <f t="shared" si="327"/>
        <v>1</v>
      </c>
      <c r="Q740" s="121">
        <f t="shared" si="328"/>
        <v>0</v>
      </c>
      <c r="R740" s="121">
        <f t="shared" si="329"/>
        <v>0</v>
      </c>
      <c r="S740" s="121" t="str">
        <f t="shared" si="330"/>
        <v/>
      </c>
      <c r="T740" s="121" t="str">
        <f t="shared" si="331"/>
        <v/>
      </c>
      <c r="U740" s="121">
        <f t="shared" si="332"/>
        <v>1.04</v>
      </c>
    </row>
    <row r="741" spans="1:21" x14ac:dyDescent="0.3">
      <c r="A741" s="187">
        <v>15</v>
      </c>
      <c r="B741" s="242">
        <f t="shared" si="333"/>
        <v>46082</v>
      </c>
      <c r="C741" s="243">
        <f t="shared" si="314"/>
        <v>46112</v>
      </c>
      <c r="D741" s="120">
        <f t="shared" si="315"/>
        <v>31</v>
      </c>
      <c r="E741" s="120">
        <f t="shared" si="316"/>
        <v>3</v>
      </c>
      <c r="F741" s="275">
        <f t="shared" si="317"/>
        <v>46097.5</v>
      </c>
      <c r="G741" s="120">
        <f t="shared" si="318"/>
        <v>24314</v>
      </c>
      <c r="H741" s="245">
        <f t="shared" si="319"/>
        <v>1</v>
      </c>
      <c r="I741" s="121">
        <f t="shared" si="320"/>
        <v>1.04</v>
      </c>
      <c r="J741" s="121">
        <f t="shared" si="321"/>
        <v>1.04</v>
      </c>
      <c r="K741" s="120">
        <f t="shared" si="322"/>
        <v>0</v>
      </c>
      <c r="L741" s="120">
        <f t="shared" si="323"/>
        <v>0</v>
      </c>
      <c r="M741" s="246">
        <f t="shared" si="324"/>
        <v>0</v>
      </c>
      <c r="N741" s="121">
        <f t="shared" si="325"/>
        <v>1.04</v>
      </c>
      <c r="O741" s="246">
        <f t="shared" si="326"/>
        <v>0.91217177242888403</v>
      </c>
      <c r="P741" s="121">
        <f t="shared" si="327"/>
        <v>1</v>
      </c>
      <c r="Q741" s="121">
        <f t="shared" si="328"/>
        <v>0</v>
      </c>
      <c r="R741" s="121">
        <f t="shared" si="329"/>
        <v>0</v>
      </c>
      <c r="S741" s="121" t="str">
        <f t="shared" si="330"/>
        <v/>
      </c>
      <c r="T741" s="121" t="str">
        <f t="shared" si="331"/>
        <v/>
      </c>
      <c r="U741" s="121">
        <f t="shared" si="332"/>
        <v>1.04</v>
      </c>
    </row>
    <row r="742" spans="1:21" x14ac:dyDescent="0.3">
      <c r="A742" s="187">
        <v>16</v>
      </c>
      <c r="B742" s="242">
        <f t="shared" si="333"/>
        <v>46113</v>
      </c>
      <c r="C742" s="243">
        <f t="shared" si="314"/>
        <v>46142</v>
      </c>
      <c r="D742" s="120">
        <f t="shared" si="315"/>
        <v>30</v>
      </c>
      <c r="E742" s="120">
        <f t="shared" si="316"/>
        <v>4</v>
      </c>
      <c r="F742" s="275">
        <f t="shared" si="317"/>
        <v>46128</v>
      </c>
      <c r="G742" s="120">
        <f t="shared" si="318"/>
        <v>24315</v>
      </c>
      <c r="H742" s="245">
        <f t="shared" si="319"/>
        <v>1</v>
      </c>
      <c r="I742" s="121">
        <f t="shared" si="320"/>
        <v>1.04</v>
      </c>
      <c r="J742" s="121">
        <f t="shared" si="321"/>
        <v>1.04</v>
      </c>
      <c r="K742" s="120">
        <f t="shared" si="322"/>
        <v>0</v>
      </c>
      <c r="L742" s="120">
        <f t="shared" si="323"/>
        <v>0</v>
      </c>
      <c r="M742" s="246">
        <f t="shared" si="324"/>
        <v>0</v>
      </c>
      <c r="N742" s="121">
        <f t="shared" si="325"/>
        <v>1.04</v>
      </c>
      <c r="O742" s="246">
        <f t="shared" si="326"/>
        <v>0.91183807439824949</v>
      </c>
      <c r="P742" s="121">
        <f t="shared" si="327"/>
        <v>1</v>
      </c>
      <c r="Q742" s="121">
        <f t="shared" si="328"/>
        <v>0</v>
      </c>
      <c r="R742" s="121">
        <f t="shared" si="329"/>
        <v>0</v>
      </c>
      <c r="S742" s="121" t="str">
        <f t="shared" si="330"/>
        <v/>
      </c>
      <c r="T742" s="121" t="str">
        <f t="shared" si="331"/>
        <v/>
      </c>
      <c r="U742" s="121">
        <f t="shared" si="332"/>
        <v>1.04</v>
      </c>
    </row>
    <row r="743" spans="1:21" x14ac:dyDescent="0.3">
      <c r="A743" s="187">
        <v>17</v>
      </c>
      <c r="B743" s="242">
        <f t="shared" si="333"/>
        <v>46143</v>
      </c>
      <c r="C743" s="243">
        <f t="shared" si="314"/>
        <v>46173</v>
      </c>
      <c r="D743" s="120">
        <f t="shared" si="315"/>
        <v>31</v>
      </c>
      <c r="E743" s="120">
        <f t="shared" si="316"/>
        <v>5</v>
      </c>
      <c r="F743" s="275">
        <f t="shared" si="317"/>
        <v>46158.5</v>
      </c>
      <c r="G743" s="120">
        <f t="shared" si="318"/>
        <v>24316</v>
      </c>
      <c r="H743" s="245">
        <f t="shared" si="319"/>
        <v>1</v>
      </c>
      <c r="I743" s="121">
        <f t="shared" si="320"/>
        <v>1.04</v>
      </c>
      <c r="J743" s="121">
        <f t="shared" si="321"/>
        <v>1.04</v>
      </c>
      <c r="K743" s="120">
        <f t="shared" si="322"/>
        <v>0</v>
      </c>
      <c r="L743" s="120">
        <f t="shared" si="323"/>
        <v>0</v>
      </c>
      <c r="M743" s="246">
        <f t="shared" si="324"/>
        <v>0</v>
      </c>
      <c r="N743" s="121">
        <f t="shared" si="325"/>
        <v>1.04</v>
      </c>
      <c r="O743" s="246">
        <f t="shared" si="326"/>
        <v>0.91150437636761494</v>
      </c>
      <c r="P743" s="121">
        <f t="shared" si="327"/>
        <v>1</v>
      </c>
      <c r="Q743" s="121">
        <f t="shared" si="328"/>
        <v>0</v>
      </c>
      <c r="R743" s="121">
        <f t="shared" si="329"/>
        <v>0</v>
      </c>
      <c r="S743" s="121" t="str">
        <f t="shared" si="330"/>
        <v/>
      </c>
      <c r="T743" s="121" t="str">
        <f t="shared" si="331"/>
        <v/>
      </c>
      <c r="U743" s="121">
        <f t="shared" si="332"/>
        <v>1.04</v>
      </c>
    </row>
    <row r="744" spans="1:21" x14ac:dyDescent="0.3">
      <c r="A744" s="187">
        <v>18</v>
      </c>
      <c r="B744" s="242">
        <f t="shared" si="333"/>
        <v>46174</v>
      </c>
      <c r="C744" s="243">
        <f t="shared" si="314"/>
        <v>46203</v>
      </c>
      <c r="D744" s="120">
        <f t="shared" si="315"/>
        <v>30</v>
      </c>
      <c r="E744" s="120">
        <f t="shared" si="316"/>
        <v>6</v>
      </c>
      <c r="F744" s="275">
        <f t="shared" si="317"/>
        <v>46189</v>
      </c>
      <c r="G744" s="120">
        <f t="shared" si="318"/>
        <v>24317</v>
      </c>
      <c r="H744" s="245">
        <f t="shared" si="319"/>
        <v>1</v>
      </c>
      <c r="I744" s="121">
        <f t="shared" si="320"/>
        <v>1.04</v>
      </c>
      <c r="J744" s="121">
        <f t="shared" si="321"/>
        <v>1.04</v>
      </c>
      <c r="K744" s="120">
        <f t="shared" si="322"/>
        <v>0</v>
      </c>
      <c r="L744" s="120">
        <f t="shared" si="323"/>
        <v>0</v>
      </c>
      <c r="M744" s="246">
        <f t="shared" si="324"/>
        <v>0</v>
      </c>
      <c r="N744" s="121">
        <f t="shared" si="325"/>
        <v>1.04</v>
      </c>
      <c r="O744" s="246">
        <f t="shared" si="326"/>
        <v>0.91117067833698029</v>
      </c>
      <c r="P744" s="121">
        <f t="shared" si="327"/>
        <v>1</v>
      </c>
      <c r="Q744" s="121">
        <f t="shared" si="328"/>
        <v>0</v>
      </c>
      <c r="R744" s="121">
        <f t="shared" si="329"/>
        <v>0</v>
      </c>
      <c r="S744" s="121" t="str">
        <f t="shared" si="330"/>
        <v/>
      </c>
      <c r="T744" s="121" t="str">
        <f t="shared" si="331"/>
        <v/>
      </c>
      <c r="U744" s="121">
        <f t="shared" si="332"/>
        <v>1.04</v>
      </c>
    </row>
    <row r="745" spans="1:21" x14ac:dyDescent="0.3">
      <c r="A745" s="187">
        <v>19</v>
      </c>
      <c r="B745" s="242">
        <f t="shared" si="333"/>
        <v>46204</v>
      </c>
      <c r="C745" s="243">
        <f t="shared" si="314"/>
        <v>46234</v>
      </c>
      <c r="D745" s="120">
        <f t="shared" si="315"/>
        <v>31</v>
      </c>
      <c r="E745" s="120">
        <f t="shared" si="316"/>
        <v>7</v>
      </c>
      <c r="F745" s="275">
        <f t="shared" si="317"/>
        <v>46219.5</v>
      </c>
      <c r="G745" s="120">
        <f t="shared" si="318"/>
        <v>24318</v>
      </c>
      <c r="H745" s="245">
        <f t="shared" si="319"/>
        <v>1</v>
      </c>
      <c r="I745" s="121">
        <f t="shared" si="320"/>
        <v>1.04</v>
      </c>
      <c r="J745" s="121">
        <f t="shared" si="321"/>
        <v>1.04</v>
      </c>
      <c r="K745" s="120">
        <f t="shared" si="322"/>
        <v>0</v>
      </c>
      <c r="L745" s="120">
        <f t="shared" si="323"/>
        <v>0</v>
      </c>
      <c r="M745" s="246">
        <f t="shared" si="324"/>
        <v>0</v>
      </c>
      <c r="N745" s="121">
        <f t="shared" si="325"/>
        <v>1.04</v>
      </c>
      <c r="O745" s="246">
        <f t="shared" si="326"/>
        <v>0.91083698030634574</v>
      </c>
      <c r="P745" s="121">
        <f t="shared" si="327"/>
        <v>0.91666666666666663</v>
      </c>
      <c r="Q745" s="121">
        <f t="shared" si="328"/>
        <v>8.333333333333337E-2</v>
      </c>
      <c r="R745" s="121">
        <f t="shared" si="329"/>
        <v>0</v>
      </c>
      <c r="S745" s="121" t="str">
        <f t="shared" si="330"/>
        <v/>
      </c>
      <c r="T745" s="121" t="str">
        <f t="shared" si="331"/>
        <v/>
      </c>
      <c r="U745" s="121">
        <f t="shared" si="332"/>
        <v>1.04</v>
      </c>
    </row>
    <row r="746" spans="1:21" x14ac:dyDescent="0.3">
      <c r="A746" s="187">
        <v>20</v>
      </c>
      <c r="B746" s="242">
        <f t="shared" si="333"/>
        <v>46235</v>
      </c>
      <c r="C746" s="243">
        <f t="shared" si="314"/>
        <v>46265</v>
      </c>
      <c r="D746" s="120">
        <f t="shared" si="315"/>
        <v>31</v>
      </c>
      <c r="E746" s="120">
        <f t="shared" si="316"/>
        <v>8</v>
      </c>
      <c r="F746" s="275">
        <f t="shared" si="317"/>
        <v>46250.5</v>
      </c>
      <c r="G746" s="120">
        <f t="shared" si="318"/>
        <v>24319</v>
      </c>
      <c r="H746" s="245">
        <f t="shared" si="319"/>
        <v>1</v>
      </c>
      <c r="I746" s="121">
        <f t="shared" si="320"/>
        <v>1.04</v>
      </c>
      <c r="J746" s="121">
        <f t="shared" si="321"/>
        <v>1.04</v>
      </c>
      <c r="K746" s="120">
        <f t="shared" si="322"/>
        <v>0</v>
      </c>
      <c r="L746" s="120">
        <f t="shared" si="323"/>
        <v>0</v>
      </c>
      <c r="M746" s="246">
        <f t="shared" si="324"/>
        <v>0</v>
      </c>
      <c r="N746" s="121">
        <f t="shared" si="325"/>
        <v>1.04</v>
      </c>
      <c r="O746" s="246">
        <f t="shared" si="326"/>
        <v>0.9104978118161926</v>
      </c>
      <c r="P746" s="121">
        <f t="shared" si="327"/>
        <v>0.75</v>
      </c>
      <c r="Q746" s="121">
        <f t="shared" si="328"/>
        <v>0.25</v>
      </c>
      <c r="R746" s="121">
        <f t="shared" si="329"/>
        <v>0</v>
      </c>
      <c r="S746" s="121" t="str">
        <f t="shared" si="330"/>
        <v/>
      </c>
      <c r="T746" s="121" t="str">
        <f t="shared" si="331"/>
        <v/>
      </c>
      <c r="U746" s="121">
        <f t="shared" si="332"/>
        <v>1.04</v>
      </c>
    </row>
    <row r="747" spans="1:21" x14ac:dyDescent="0.3">
      <c r="A747" s="187">
        <v>21</v>
      </c>
      <c r="B747" s="242">
        <f t="shared" si="333"/>
        <v>46266</v>
      </c>
      <c r="C747" s="243">
        <f t="shared" si="314"/>
        <v>46295</v>
      </c>
      <c r="D747" s="120">
        <f t="shared" si="315"/>
        <v>30</v>
      </c>
      <c r="E747" s="120">
        <f t="shared" si="316"/>
        <v>9</v>
      </c>
      <c r="F747" s="275">
        <f t="shared" si="317"/>
        <v>46281</v>
      </c>
      <c r="G747" s="120">
        <f t="shared" si="318"/>
        <v>24320</v>
      </c>
      <c r="H747" s="245">
        <f t="shared" si="319"/>
        <v>1</v>
      </c>
      <c r="I747" s="121">
        <f t="shared" si="320"/>
        <v>1.04</v>
      </c>
      <c r="J747" s="121">
        <f t="shared" si="321"/>
        <v>1.04</v>
      </c>
      <c r="K747" s="120">
        <f t="shared" si="322"/>
        <v>0</v>
      </c>
      <c r="L747" s="120">
        <f t="shared" si="323"/>
        <v>0</v>
      </c>
      <c r="M747" s="246">
        <f t="shared" si="324"/>
        <v>0</v>
      </c>
      <c r="N747" s="121">
        <f t="shared" si="325"/>
        <v>1.04</v>
      </c>
      <c r="O747" s="246">
        <f t="shared" si="326"/>
        <v>0.91016411378555806</v>
      </c>
      <c r="P747" s="121">
        <f t="shared" si="327"/>
        <v>0.58333333333333337</v>
      </c>
      <c r="Q747" s="121">
        <f t="shared" si="328"/>
        <v>0.41666666666666663</v>
      </c>
      <c r="R747" s="121">
        <f t="shared" si="329"/>
        <v>0</v>
      </c>
      <c r="S747" s="121" t="str">
        <f t="shared" si="330"/>
        <v/>
      </c>
      <c r="T747" s="121" t="str">
        <f t="shared" si="331"/>
        <v/>
      </c>
      <c r="U747" s="121">
        <f t="shared" si="332"/>
        <v>1.04</v>
      </c>
    </row>
    <row r="748" spans="1:21" x14ac:dyDescent="0.3">
      <c r="A748" s="187">
        <v>22</v>
      </c>
      <c r="B748" s="242">
        <f t="shared" si="333"/>
        <v>46296</v>
      </c>
      <c r="C748" s="243">
        <f t="shared" si="314"/>
        <v>46326</v>
      </c>
      <c r="D748" s="120">
        <f t="shared" si="315"/>
        <v>31</v>
      </c>
      <c r="E748" s="120">
        <f t="shared" si="316"/>
        <v>10</v>
      </c>
      <c r="F748" s="275">
        <f t="shared" si="317"/>
        <v>46311.5</v>
      </c>
      <c r="G748" s="120">
        <f t="shared" si="318"/>
        <v>24321</v>
      </c>
      <c r="H748" s="245">
        <f t="shared" si="319"/>
        <v>1</v>
      </c>
      <c r="I748" s="121">
        <f t="shared" si="320"/>
        <v>1.04</v>
      </c>
      <c r="J748" s="121">
        <f t="shared" si="321"/>
        <v>1.04</v>
      </c>
      <c r="K748" s="120">
        <f t="shared" si="322"/>
        <v>0</v>
      </c>
      <c r="L748" s="120">
        <f t="shared" si="323"/>
        <v>0</v>
      </c>
      <c r="M748" s="246">
        <f t="shared" si="324"/>
        <v>0</v>
      </c>
      <c r="N748" s="121">
        <f t="shared" si="325"/>
        <v>1.04</v>
      </c>
      <c r="O748" s="246">
        <f t="shared" si="326"/>
        <v>0.90983041575492341</v>
      </c>
      <c r="P748" s="121">
        <f t="shared" si="327"/>
        <v>0.41666666666666669</v>
      </c>
      <c r="Q748" s="121">
        <f t="shared" si="328"/>
        <v>0.58333333333333326</v>
      </c>
      <c r="R748" s="121">
        <f t="shared" si="329"/>
        <v>0</v>
      </c>
      <c r="S748" s="121" t="str">
        <f t="shared" si="330"/>
        <v/>
      </c>
      <c r="T748" s="121" t="str">
        <f t="shared" si="331"/>
        <v/>
      </c>
      <c r="U748" s="121">
        <f t="shared" si="332"/>
        <v>1.04</v>
      </c>
    </row>
    <row r="749" spans="1:21" x14ac:dyDescent="0.3">
      <c r="A749" s="187">
        <v>23</v>
      </c>
      <c r="B749" s="242">
        <f t="shared" si="333"/>
        <v>46327</v>
      </c>
      <c r="C749" s="243">
        <f t="shared" si="314"/>
        <v>46356</v>
      </c>
      <c r="D749" s="120">
        <f t="shared" si="315"/>
        <v>30</v>
      </c>
      <c r="E749" s="120">
        <f t="shared" si="316"/>
        <v>11</v>
      </c>
      <c r="F749" s="275">
        <f t="shared" si="317"/>
        <v>46342</v>
      </c>
      <c r="G749" s="120">
        <f t="shared" si="318"/>
        <v>24322</v>
      </c>
      <c r="H749" s="245">
        <f t="shared" si="319"/>
        <v>1</v>
      </c>
      <c r="I749" s="121">
        <f t="shared" si="320"/>
        <v>1.04</v>
      </c>
      <c r="J749" s="121">
        <f t="shared" si="321"/>
        <v>1.04</v>
      </c>
      <c r="K749" s="120">
        <f t="shared" si="322"/>
        <v>0</v>
      </c>
      <c r="L749" s="120">
        <f t="shared" si="323"/>
        <v>0</v>
      </c>
      <c r="M749" s="246">
        <f t="shared" si="324"/>
        <v>0</v>
      </c>
      <c r="N749" s="121">
        <f t="shared" si="325"/>
        <v>1.04</v>
      </c>
      <c r="O749" s="246">
        <f t="shared" si="326"/>
        <v>0.90949671772428886</v>
      </c>
      <c r="P749" s="121">
        <f t="shared" si="327"/>
        <v>0.25</v>
      </c>
      <c r="Q749" s="121">
        <f t="shared" si="328"/>
        <v>0.75</v>
      </c>
      <c r="R749" s="121">
        <f t="shared" si="329"/>
        <v>0</v>
      </c>
      <c r="S749" s="121" t="str">
        <f t="shared" si="330"/>
        <v/>
      </c>
      <c r="T749" s="121" t="str">
        <f t="shared" si="331"/>
        <v/>
      </c>
      <c r="U749" s="121">
        <f t="shared" si="332"/>
        <v>1.04</v>
      </c>
    </row>
    <row r="750" spans="1:21" x14ac:dyDescent="0.3">
      <c r="A750" s="187">
        <v>24</v>
      </c>
      <c r="B750" s="242">
        <f t="shared" si="333"/>
        <v>46357</v>
      </c>
      <c r="C750" s="243">
        <f t="shared" si="314"/>
        <v>46387</v>
      </c>
      <c r="D750" s="120">
        <f t="shared" si="315"/>
        <v>31</v>
      </c>
      <c r="E750" s="120">
        <f t="shared" si="316"/>
        <v>12</v>
      </c>
      <c r="F750" s="275">
        <f t="shared" si="317"/>
        <v>46372.5</v>
      </c>
      <c r="G750" s="120">
        <f t="shared" si="318"/>
        <v>24323</v>
      </c>
      <c r="H750" s="245">
        <f t="shared" si="319"/>
        <v>1</v>
      </c>
      <c r="I750" s="121">
        <f t="shared" si="320"/>
        <v>1.04</v>
      </c>
      <c r="J750" s="121">
        <f t="shared" si="321"/>
        <v>1.04</v>
      </c>
      <c r="K750" s="120">
        <f t="shared" si="322"/>
        <v>0</v>
      </c>
      <c r="L750" s="120">
        <f t="shared" si="323"/>
        <v>0</v>
      </c>
      <c r="M750" s="246">
        <f t="shared" si="324"/>
        <v>0</v>
      </c>
      <c r="N750" s="121">
        <f t="shared" si="325"/>
        <v>1.04</v>
      </c>
      <c r="O750" s="246">
        <f t="shared" si="326"/>
        <v>0.90916301969365432</v>
      </c>
      <c r="P750" s="121">
        <f t="shared" si="327"/>
        <v>8.3333333333333329E-2</v>
      </c>
      <c r="Q750" s="121">
        <f t="shared" si="328"/>
        <v>0.91666666666666663</v>
      </c>
      <c r="R750" s="121">
        <f t="shared" si="329"/>
        <v>0</v>
      </c>
      <c r="S750" s="121" t="str">
        <f t="shared" si="330"/>
        <v/>
      </c>
      <c r="T750" s="121" t="str">
        <f t="shared" si="331"/>
        <v/>
      </c>
      <c r="U750" s="121">
        <f t="shared" si="332"/>
        <v>1.04</v>
      </c>
    </row>
    <row r="751" spans="1:21" x14ac:dyDescent="0.3">
      <c r="A751" s="187">
        <v>25</v>
      </c>
      <c r="B751" s="242">
        <f t="shared" si="333"/>
        <v>46388</v>
      </c>
      <c r="C751" s="243">
        <f t="shared" si="314"/>
        <v>46418</v>
      </c>
      <c r="D751" s="120">
        <f t="shared" si="315"/>
        <v>31</v>
      </c>
      <c r="E751" s="120">
        <f t="shared" si="316"/>
        <v>1</v>
      </c>
      <c r="F751" s="275">
        <f t="shared" si="317"/>
        <v>46403.5</v>
      </c>
      <c r="G751" s="120">
        <f t="shared" si="318"/>
        <v>24324</v>
      </c>
      <c r="H751" s="245">
        <f t="shared" si="319"/>
        <v>1</v>
      </c>
      <c r="I751" s="121">
        <f t="shared" si="320"/>
        <v>1.04</v>
      </c>
      <c r="J751" s="121">
        <f t="shared" si="321"/>
        <v>1.04</v>
      </c>
      <c r="K751" s="120">
        <f t="shared" si="322"/>
        <v>0</v>
      </c>
      <c r="L751" s="120">
        <f t="shared" si="323"/>
        <v>0</v>
      </c>
      <c r="M751" s="246">
        <f t="shared" si="324"/>
        <v>0</v>
      </c>
      <c r="N751" s="121">
        <f t="shared" si="325"/>
        <v>1.04</v>
      </c>
      <c r="O751" s="246">
        <f t="shared" si="326"/>
        <v>0.90882385120350118</v>
      </c>
      <c r="P751" s="121">
        <f t="shared" si="327"/>
        <v>0</v>
      </c>
      <c r="Q751" s="121">
        <f t="shared" si="328"/>
        <v>1</v>
      </c>
      <c r="R751" s="121">
        <f t="shared" si="329"/>
        <v>0</v>
      </c>
      <c r="S751" s="121" t="str">
        <f t="shared" si="330"/>
        <v/>
      </c>
      <c r="T751" s="121" t="str">
        <f t="shared" si="331"/>
        <v/>
      </c>
      <c r="U751" s="121">
        <f t="shared" si="332"/>
        <v>1.04</v>
      </c>
    </row>
    <row r="752" spans="1:21" x14ac:dyDescent="0.3">
      <c r="A752" s="187">
        <v>26</v>
      </c>
      <c r="B752" s="242">
        <f t="shared" si="333"/>
        <v>46419</v>
      </c>
      <c r="C752" s="243">
        <f t="shared" si="314"/>
        <v>46446</v>
      </c>
      <c r="D752" s="120">
        <f t="shared" si="315"/>
        <v>28</v>
      </c>
      <c r="E752" s="120">
        <f t="shared" si="316"/>
        <v>2</v>
      </c>
      <c r="F752" s="275">
        <f t="shared" si="317"/>
        <v>46433</v>
      </c>
      <c r="G752" s="120">
        <f t="shared" si="318"/>
        <v>24325</v>
      </c>
      <c r="H752" s="245">
        <f t="shared" si="319"/>
        <v>1</v>
      </c>
      <c r="I752" s="121">
        <f t="shared" si="320"/>
        <v>1.04</v>
      </c>
      <c r="J752" s="121">
        <f t="shared" si="321"/>
        <v>1.04</v>
      </c>
      <c r="K752" s="120">
        <f t="shared" si="322"/>
        <v>0</v>
      </c>
      <c r="L752" s="120">
        <f t="shared" si="323"/>
        <v>0</v>
      </c>
      <c r="M752" s="246">
        <f t="shared" si="324"/>
        <v>0</v>
      </c>
      <c r="N752" s="121">
        <f t="shared" si="325"/>
        <v>1.04</v>
      </c>
      <c r="O752" s="246">
        <f t="shared" si="326"/>
        <v>0.90850109409190372</v>
      </c>
      <c r="P752" s="121">
        <f t="shared" si="327"/>
        <v>0</v>
      </c>
      <c r="Q752" s="121">
        <f t="shared" si="328"/>
        <v>1</v>
      </c>
      <c r="R752" s="121">
        <f t="shared" si="329"/>
        <v>0</v>
      </c>
      <c r="S752" s="121" t="str">
        <f t="shared" si="330"/>
        <v/>
      </c>
      <c r="T752" s="121" t="str">
        <f t="shared" si="331"/>
        <v/>
      </c>
      <c r="U752" s="121">
        <f t="shared" si="332"/>
        <v>1.04</v>
      </c>
    </row>
    <row r="753" spans="1:21" x14ac:dyDescent="0.3">
      <c r="A753" s="187">
        <v>27</v>
      </c>
      <c r="B753" s="242">
        <f t="shared" si="333"/>
        <v>46447</v>
      </c>
      <c r="C753" s="243">
        <f t="shared" si="314"/>
        <v>46477</v>
      </c>
      <c r="D753" s="120">
        <f t="shared" si="315"/>
        <v>31</v>
      </c>
      <c r="E753" s="120">
        <f t="shared" si="316"/>
        <v>3</v>
      </c>
      <c r="F753" s="275">
        <f t="shared" si="317"/>
        <v>46462.5</v>
      </c>
      <c r="G753" s="120">
        <f t="shared" si="318"/>
        <v>24326</v>
      </c>
      <c r="H753" s="245">
        <f t="shared" si="319"/>
        <v>1</v>
      </c>
      <c r="I753" s="121">
        <f t="shared" si="320"/>
        <v>1.04</v>
      </c>
      <c r="J753" s="121">
        <f t="shared" si="321"/>
        <v>1.04</v>
      </c>
      <c r="K753" s="120">
        <f t="shared" si="322"/>
        <v>0</v>
      </c>
      <c r="L753" s="120">
        <f t="shared" si="323"/>
        <v>0</v>
      </c>
      <c r="M753" s="246">
        <f t="shared" si="324"/>
        <v>0</v>
      </c>
      <c r="N753" s="121">
        <f t="shared" si="325"/>
        <v>1.04</v>
      </c>
      <c r="O753" s="246">
        <f t="shared" si="326"/>
        <v>0.90817833698030637</v>
      </c>
      <c r="P753" s="121">
        <f t="shared" si="327"/>
        <v>0</v>
      </c>
      <c r="Q753" s="121">
        <f t="shared" si="328"/>
        <v>1</v>
      </c>
      <c r="R753" s="121">
        <f t="shared" si="329"/>
        <v>0</v>
      </c>
      <c r="S753" s="121" t="str">
        <f t="shared" si="330"/>
        <v/>
      </c>
      <c r="T753" s="121" t="str">
        <f t="shared" si="331"/>
        <v/>
      </c>
      <c r="U753" s="121">
        <f t="shared" si="332"/>
        <v>1.04</v>
      </c>
    </row>
    <row r="754" spans="1:21" x14ac:dyDescent="0.3">
      <c r="A754" s="187">
        <v>28</v>
      </c>
      <c r="B754" s="242">
        <f t="shared" si="333"/>
        <v>46478</v>
      </c>
      <c r="C754" s="243">
        <f t="shared" si="314"/>
        <v>46507</v>
      </c>
      <c r="D754" s="120">
        <f t="shared" si="315"/>
        <v>30</v>
      </c>
      <c r="E754" s="120">
        <f t="shared" si="316"/>
        <v>4</v>
      </c>
      <c r="F754" s="275">
        <f t="shared" si="317"/>
        <v>46493</v>
      </c>
      <c r="G754" s="120">
        <f t="shared" si="318"/>
        <v>24327</v>
      </c>
      <c r="H754" s="245">
        <f t="shared" si="319"/>
        <v>1</v>
      </c>
      <c r="I754" s="121">
        <f t="shared" si="320"/>
        <v>1.04</v>
      </c>
      <c r="J754" s="121">
        <f t="shared" si="321"/>
        <v>1.04</v>
      </c>
      <c r="K754" s="120">
        <f t="shared" si="322"/>
        <v>0</v>
      </c>
      <c r="L754" s="120">
        <f t="shared" si="323"/>
        <v>0</v>
      </c>
      <c r="M754" s="246">
        <f t="shared" si="324"/>
        <v>0</v>
      </c>
      <c r="N754" s="121">
        <f t="shared" si="325"/>
        <v>1.04</v>
      </c>
      <c r="O754" s="246">
        <f t="shared" si="326"/>
        <v>0.90784463894967182</v>
      </c>
      <c r="P754" s="121">
        <f t="shared" si="327"/>
        <v>0</v>
      </c>
      <c r="Q754" s="121">
        <f t="shared" si="328"/>
        <v>1</v>
      </c>
      <c r="R754" s="121">
        <f t="shared" si="329"/>
        <v>0</v>
      </c>
      <c r="S754" s="121" t="str">
        <f t="shared" si="330"/>
        <v/>
      </c>
      <c r="T754" s="121" t="str">
        <f t="shared" si="331"/>
        <v/>
      </c>
      <c r="U754" s="121">
        <f t="shared" si="332"/>
        <v>1.04</v>
      </c>
    </row>
    <row r="755" spans="1:21" x14ac:dyDescent="0.3">
      <c r="A755" s="187">
        <v>29</v>
      </c>
      <c r="B755" s="242">
        <f t="shared" si="333"/>
        <v>46508</v>
      </c>
      <c r="C755" s="243">
        <f t="shared" si="314"/>
        <v>46538</v>
      </c>
      <c r="D755" s="120">
        <f t="shared" si="315"/>
        <v>31</v>
      </c>
      <c r="E755" s="120">
        <f t="shared" si="316"/>
        <v>5</v>
      </c>
      <c r="F755" s="275">
        <f t="shared" si="317"/>
        <v>46523.5</v>
      </c>
      <c r="G755" s="120">
        <f t="shared" si="318"/>
        <v>24328</v>
      </c>
      <c r="H755" s="245">
        <f t="shared" si="319"/>
        <v>1</v>
      </c>
      <c r="I755" s="121">
        <f t="shared" si="320"/>
        <v>1.04</v>
      </c>
      <c r="J755" s="121">
        <f t="shared" si="321"/>
        <v>1.04</v>
      </c>
      <c r="K755" s="120">
        <f t="shared" si="322"/>
        <v>0</v>
      </c>
      <c r="L755" s="120">
        <f t="shared" si="323"/>
        <v>0</v>
      </c>
      <c r="M755" s="246">
        <f t="shared" si="324"/>
        <v>0</v>
      </c>
      <c r="N755" s="121">
        <f t="shared" si="325"/>
        <v>1.04</v>
      </c>
      <c r="O755" s="246">
        <f t="shared" si="326"/>
        <v>0.90751094091903728</v>
      </c>
      <c r="P755" s="121">
        <f t="shared" si="327"/>
        <v>0</v>
      </c>
      <c r="Q755" s="121">
        <f t="shared" si="328"/>
        <v>1</v>
      </c>
      <c r="R755" s="121">
        <f t="shared" si="329"/>
        <v>0</v>
      </c>
      <c r="S755" s="121" t="str">
        <f t="shared" si="330"/>
        <v/>
      </c>
      <c r="T755" s="121" t="str">
        <f t="shared" si="331"/>
        <v/>
      </c>
      <c r="U755" s="121">
        <f t="shared" si="332"/>
        <v>1.04</v>
      </c>
    </row>
    <row r="756" spans="1:21" x14ac:dyDescent="0.3">
      <c r="A756" s="187">
        <v>30</v>
      </c>
      <c r="B756" s="242">
        <f t="shared" si="333"/>
        <v>46539</v>
      </c>
      <c r="C756" s="243">
        <f t="shared" si="314"/>
        <v>46568</v>
      </c>
      <c r="D756" s="120">
        <f t="shared" si="315"/>
        <v>30</v>
      </c>
      <c r="E756" s="120">
        <f t="shared" si="316"/>
        <v>6</v>
      </c>
      <c r="F756" s="275">
        <f t="shared" si="317"/>
        <v>46554</v>
      </c>
      <c r="G756" s="120">
        <f t="shared" si="318"/>
        <v>24329</v>
      </c>
      <c r="H756" s="245">
        <f t="shared" si="319"/>
        <v>1</v>
      </c>
      <c r="I756" s="121">
        <f t="shared" si="320"/>
        <v>1.04</v>
      </c>
      <c r="J756" s="121">
        <f t="shared" si="321"/>
        <v>1.04</v>
      </c>
      <c r="K756" s="120">
        <f t="shared" si="322"/>
        <v>0</v>
      </c>
      <c r="L756" s="120">
        <f t="shared" si="323"/>
        <v>0</v>
      </c>
      <c r="M756" s="246">
        <f t="shared" si="324"/>
        <v>0</v>
      </c>
      <c r="N756" s="121">
        <f t="shared" si="325"/>
        <v>1.04</v>
      </c>
      <c r="O756" s="246">
        <f t="shared" si="326"/>
        <v>0.90717724288840262</v>
      </c>
      <c r="P756" s="121">
        <f t="shared" si="327"/>
        <v>0</v>
      </c>
      <c r="Q756" s="121">
        <f t="shared" si="328"/>
        <v>1</v>
      </c>
      <c r="R756" s="121">
        <f t="shared" si="329"/>
        <v>0</v>
      </c>
      <c r="S756" s="121" t="str">
        <f t="shared" si="330"/>
        <v/>
      </c>
      <c r="T756" s="121" t="str">
        <f t="shared" si="331"/>
        <v/>
      </c>
      <c r="U756" s="121">
        <f t="shared" si="332"/>
        <v>1.04</v>
      </c>
    </row>
    <row r="757" spans="1:21" x14ac:dyDescent="0.3">
      <c r="A757" s="187">
        <v>31</v>
      </c>
      <c r="B757" s="242">
        <f t="shared" si="333"/>
        <v>46569</v>
      </c>
      <c r="C757" s="243">
        <f t="shared" si="314"/>
        <v>46599</v>
      </c>
      <c r="D757" s="120">
        <f t="shared" si="315"/>
        <v>31</v>
      </c>
      <c r="E757" s="120">
        <f t="shared" si="316"/>
        <v>7</v>
      </c>
      <c r="F757" s="275">
        <f t="shared" si="317"/>
        <v>46584.5</v>
      </c>
      <c r="G757" s="120">
        <f t="shared" si="318"/>
        <v>24330</v>
      </c>
      <c r="H757" s="245">
        <f t="shared" si="319"/>
        <v>1</v>
      </c>
      <c r="I757" s="121">
        <f t="shared" si="320"/>
        <v>1.04</v>
      </c>
      <c r="J757" s="121">
        <f t="shared" si="321"/>
        <v>1.04</v>
      </c>
      <c r="K757" s="120">
        <f t="shared" si="322"/>
        <v>0</v>
      </c>
      <c r="L757" s="120">
        <f t="shared" si="323"/>
        <v>0</v>
      </c>
      <c r="M757" s="246">
        <f t="shared" si="324"/>
        <v>0</v>
      </c>
      <c r="N757" s="121">
        <f t="shared" si="325"/>
        <v>1.04</v>
      </c>
      <c r="O757" s="246">
        <f t="shared" si="326"/>
        <v>0.90684354485776808</v>
      </c>
      <c r="P757" s="121">
        <f t="shared" si="327"/>
        <v>0</v>
      </c>
      <c r="Q757" s="121">
        <f t="shared" si="328"/>
        <v>0.91666666666666663</v>
      </c>
      <c r="R757" s="121">
        <f t="shared" si="329"/>
        <v>8.333333333333337E-2</v>
      </c>
      <c r="S757" s="121" t="str">
        <f t="shared" si="330"/>
        <v/>
      </c>
      <c r="T757" s="121" t="str">
        <f t="shared" si="331"/>
        <v/>
      </c>
      <c r="U757" s="121">
        <f t="shared" si="332"/>
        <v>1.04</v>
      </c>
    </row>
    <row r="758" spans="1:21" x14ac:dyDescent="0.3">
      <c r="A758" s="187">
        <v>32</v>
      </c>
      <c r="B758" s="242">
        <f t="shared" si="333"/>
        <v>46600</v>
      </c>
      <c r="C758" s="243">
        <f t="shared" si="314"/>
        <v>46630</v>
      </c>
      <c r="D758" s="120">
        <f t="shared" si="315"/>
        <v>31</v>
      </c>
      <c r="E758" s="120">
        <f t="shared" si="316"/>
        <v>8</v>
      </c>
      <c r="F758" s="275">
        <f t="shared" si="317"/>
        <v>46615.5</v>
      </c>
      <c r="G758" s="120">
        <f t="shared" si="318"/>
        <v>24331</v>
      </c>
      <c r="H758" s="245">
        <f t="shared" si="319"/>
        <v>1</v>
      </c>
      <c r="I758" s="121">
        <f t="shared" si="320"/>
        <v>1.04</v>
      </c>
      <c r="J758" s="121">
        <f t="shared" si="321"/>
        <v>1.04</v>
      </c>
      <c r="K758" s="120">
        <f t="shared" si="322"/>
        <v>0</v>
      </c>
      <c r="L758" s="120">
        <f t="shared" si="323"/>
        <v>0</v>
      </c>
      <c r="M758" s="246">
        <f t="shared" si="324"/>
        <v>0</v>
      </c>
      <c r="N758" s="121">
        <f t="shared" si="325"/>
        <v>1.04</v>
      </c>
      <c r="O758" s="246">
        <f t="shared" si="326"/>
        <v>0.90650437636761494</v>
      </c>
      <c r="P758" s="121">
        <f t="shared" si="327"/>
        <v>0</v>
      </c>
      <c r="Q758" s="121">
        <f t="shared" si="328"/>
        <v>0.75</v>
      </c>
      <c r="R758" s="121">
        <f t="shared" si="329"/>
        <v>0.25</v>
      </c>
      <c r="S758" s="121" t="str">
        <f t="shared" si="330"/>
        <v/>
      </c>
      <c r="T758" s="121" t="str">
        <f t="shared" si="331"/>
        <v/>
      </c>
      <c r="U758" s="121">
        <f t="shared" si="332"/>
        <v>1.04</v>
      </c>
    </row>
    <row r="759" spans="1:21" x14ac:dyDescent="0.3">
      <c r="A759" s="187">
        <v>33</v>
      </c>
      <c r="B759" s="242">
        <f t="shared" si="333"/>
        <v>46631</v>
      </c>
      <c r="C759" s="243">
        <f t="shared" si="314"/>
        <v>46660</v>
      </c>
      <c r="D759" s="120">
        <f t="shared" si="315"/>
        <v>30</v>
      </c>
      <c r="E759" s="120">
        <f t="shared" si="316"/>
        <v>9</v>
      </c>
      <c r="F759" s="275">
        <f t="shared" si="317"/>
        <v>46646</v>
      </c>
      <c r="G759" s="120">
        <f t="shared" si="318"/>
        <v>24332</v>
      </c>
      <c r="H759" s="245">
        <f t="shared" si="319"/>
        <v>1</v>
      </c>
      <c r="I759" s="121">
        <f t="shared" si="320"/>
        <v>1.04</v>
      </c>
      <c r="J759" s="121">
        <f t="shared" si="321"/>
        <v>1.04</v>
      </c>
      <c r="K759" s="120">
        <f t="shared" si="322"/>
        <v>0</v>
      </c>
      <c r="L759" s="120">
        <f t="shared" si="323"/>
        <v>0</v>
      </c>
      <c r="M759" s="246">
        <f t="shared" si="324"/>
        <v>0</v>
      </c>
      <c r="N759" s="121">
        <f t="shared" si="325"/>
        <v>1.04</v>
      </c>
      <c r="O759" s="246">
        <f t="shared" si="326"/>
        <v>0.90617067833698028</v>
      </c>
      <c r="P759" s="121">
        <f t="shared" si="327"/>
        <v>0</v>
      </c>
      <c r="Q759" s="121">
        <f t="shared" si="328"/>
        <v>0.58333333333333337</v>
      </c>
      <c r="R759" s="121">
        <f t="shared" si="329"/>
        <v>0.41666666666666663</v>
      </c>
      <c r="S759" s="121" t="str">
        <f t="shared" si="330"/>
        <v/>
      </c>
      <c r="T759" s="121" t="str">
        <f t="shared" si="331"/>
        <v/>
      </c>
      <c r="U759" s="121">
        <f t="shared" si="332"/>
        <v>1.04</v>
      </c>
    </row>
    <row r="760" spans="1:21" x14ac:dyDescent="0.3">
      <c r="A760" s="187">
        <v>34</v>
      </c>
      <c r="B760" s="242">
        <f t="shared" si="333"/>
        <v>46661</v>
      </c>
      <c r="C760" s="243">
        <f t="shared" si="314"/>
        <v>46691</v>
      </c>
      <c r="D760" s="120">
        <f t="shared" si="315"/>
        <v>31</v>
      </c>
      <c r="E760" s="120">
        <f t="shared" si="316"/>
        <v>10</v>
      </c>
      <c r="F760" s="275">
        <f t="shared" si="317"/>
        <v>46676.5</v>
      </c>
      <c r="G760" s="120">
        <f t="shared" si="318"/>
        <v>24333</v>
      </c>
      <c r="H760" s="245">
        <f t="shared" si="319"/>
        <v>1</v>
      </c>
      <c r="I760" s="121">
        <f t="shared" si="320"/>
        <v>1.04</v>
      </c>
      <c r="J760" s="121">
        <f t="shared" si="321"/>
        <v>1.04</v>
      </c>
      <c r="K760" s="120">
        <f t="shared" si="322"/>
        <v>0</v>
      </c>
      <c r="L760" s="120">
        <f t="shared" si="323"/>
        <v>0</v>
      </c>
      <c r="M760" s="246">
        <f t="shared" si="324"/>
        <v>0</v>
      </c>
      <c r="N760" s="121">
        <f t="shared" si="325"/>
        <v>1.04</v>
      </c>
      <c r="O760" s="246">
        <f t="shared" si="326"/>
        <v>0.90583698030634574</v>
      </c>
      <c r="P760" s="121">
        <f t="shared" si="327"/>
        <v>0</v>
      </c>
      <c r="Q760" s="121">
        <f t="shared" si="328"/>
        <v>0.41666666666666669</v>
      </c>
      <c r="R760" s="121">
        <f t="shared" si="329"/>
        <v>0.58333333333333326</v>
      </c>
      <c r="S760" s="121" t="str">
        <f t="shared" si="330"/>
        <v/>
      </c>
      <c r="T760" s="121" t="str">
        <f t="shared" si="331"/>
        <v/>
      </c>
      <c r="U760" s="121">
        <f t="shared" si="332"/>
        <v>1.04</v>
      </c>
    </row>
    <row r="761" spans="1:21" x14ac:dyDescent="0.3">
      <c r="A761" s="187">
        <v>35</v>
      </c>
      <c r="B761" s="242">
        <f t="shared" si="333"/>
        <v>46692</v>
      </c>
      <c r="C761" s="243">
        <f t="shared" si="314"/>
        <v>46721</v>
      </c>
      <c r="D761" s="120">
        <f t="shared" si="315"/>
        <v>30</v>
      </c>
      <c r="E761" s="120">
        <f t="shared" si="316"/>
        <v>11</v>
      </c>
      <c r="F761" s="275">
        <f t="shared" si="317"/>
        <v>46707</v>
      </c>
      <c r="G761" s="120">
        <f t="shared" si="318"/>
        <v>24334</v>
      </c>
      <c r="H761" s="245">
        <f t="shared" si="319"/>
        <v>1</v>
      </c>
      <c r="I761" s="121">
        <f t="shared" si="320"/>
        <v>1.04</v>
      </c>
      <c r="J761" s="121">
        <f t="shared" si="321"/>
        <v>1.04</v>
      </c>
      <c r="K761" s="120">
        <f t="shared" si="322"/>
        <v>0</v>
      </c>
      <c r="L761" s="120">
        <f t="shared" si="323"/>
        <v>0</v>
      </c>
      <c r="M761" s="246">
        <f t="shared" si="324"/>
        <v>0</v>
      </c>
      <c r="N761" s="121">
        <f t="shared" si="325"/>
        <v>1.04</v>
      </c>
      <c r="O761" s="246">
        <f t="shared" si="326"/>
        <v>0.9055032822757112</v>
      </c>
      <c r="P761" s="121">
        <f t="shared" si="327"/>
        <v>0</v>
      </c>
      <c r="Q761" s="121">
        <f t="shared" si="328"/>
        <v>0.25</v>
      </c>
      <c r="R761" s="121">
        <f t="shared" si="329"/>
        <v>0.75</v>
      </c>
      <c r="S761" s="121" t="str">
        <f t="shared" si="330"/>
        <v/>
      </c>
      <c r="T761" s="121" t="str">
        <f t="shared" si="331"/>
        <v/>
      </c>
      <c r="U761" s="121">
        <f t="shared" si="332"/>
        <v>1.04</v>
      </c>
    </row>
    <row r="762" spans="1:21" x14ac:dyDescent="0.3">
      <c r="A762" s="187">
        <v>36</v>
      </c>
      <c r="B762" s="242">
        <f t="shared" si="333"/>
        <v>46722</v>
      </c>
      <c r="C762" s="243">
        <f t="shared" si="314"/>
        <v>46752</v>
      </c>
      <c r="D762" s="120">
        <f t="shared" si="315"/>
        <v>31</v>
      </c>
      <c r="E762" s="120">
        <f t="shared" si="316"/>
        <v>12</v>
      </c>
      <c r="F762" s="275">
        <f t="shared" si="317"/>
        <v>46737.5</v>
      </c>
      <c r="G762" s="120">
        <f t="shared" si="318"/>
        <v>24335</v>
      </c>
      <c r="H762" s="245">
        <f t="shared" si="319"/>
        <v>1</v>
      </c>
      <c r="I762" s="121">
        <f t="shared" si="320"/>
        <v>1.04</v>
      </c>
      <c r="J762" s="121">
        <f t="shared" si="321"/>
        <v>1.04</v>
      </c>
      <c r="K762" s="120">
        <f t="shared" si="322"/>
        <v>0</v>
      </c>
      <c r="L762" s="120">
        <f t="shared" si="323"/>
        <v>0</v>
      </c>
      <c r="M762" s="246">
        <f t="shared" si="324"/>
        <v>0</v>
      </c>
      <c r="N762" s="121">
        <f t="shared" si="325"/>
        <v>1.04</v>
      </c>
      <c r="O762" s="246">
        <f t="shared" si="326"/>
        <v>0.90516958424507665</v>
      </c>
      <c r="P762" s="121">
        <f t="shared" si="327"/>
        <v>0</v>
      </c>
      <c r="Q762" s="121">
        <f t="shared" si="328"/>
        <v>8.3333333333333329E-2</v>
      </c>
      <c r="R762" s="121">
        <f t="shared" si="329"/>
        <v>0.91666666666666663</v>
      </c>
      <c r="S762" s="121" t="str">
        <f t="shared" si="330"/>
        <v/>
      </c>
      <c r="T762" s="121" t="str">
        <f t="shared" si="331"/>
        <v/>
      </c>
      <c r="U762" s="121">
        <f t="shared" si="332"/>
        <v>1.04</v>
      </c>
    </row>
    <row r="763" spans="1:21" x14ac:dyDescent="0.3">
      <c r="A763" s="187">
        <v>37</v>
      </c>
      <c r="B763" s="242">
        <f t="shared" si="333"/>
        <v>46753</v>
      </c>
      <c r="C763" s="243">
        <f t="shared" si="314"/>
        <v>46783</v>
      </c>
      <c r="D763" s="120">
        <f t="shared" si="315"/>
        <v>31</v>
      </c>
      <c r="E763" s="120">
        <f t="shared" si="316"/>
        <v>1</v>
      </c>
      <c r="F763" s="275">
        <f t="shared" si="317"/>
        <v>46768.5</v>
      </c>
      <c r="G763" s="120">
        <f t="shared" si="318"/>
        <v>24336</v>
      </c>
      <c r="H763" s="245">
        <f t="shared" si="319"/>
        <v>1</v>
      </c>
      <c r="I763" s="121">
        <f t="shared" si="320"/>
        <v>1.04</v>
      </c>
      <c r="J763" s="121">
        <f t="shared" si="321"/>
        <v>1.04</v>
      </c>
      <c r="K763" s="120">
        <f t="shared" si="322"/>
        <v>0</v>
      </c>
      <c r="L763" s="120">
        <f t="shared" si="323"/>
        <v>0</v>
      </c>
      <c r="M763" s="246">
        <f t="shared" si="324"/>
        <v>0</v>
      </c>
      <c r="N763" s="121">
        <f t="shared" si="325"/>
        <v>1.04</v>
      </c>
      <c r="O763" s="246">
        <f t="shared" si="326"/>
        <v>0.90500000000000003</v>
      </c>
      <c r="P763" s="121">
        <f t="shared" si="327"/>
        <v>0</v>
      </c>
      <c r="Q763" s="121">
        <f t="shared" si="328"/>
        <v>0</v>
      </c>
      <c r="R763" s="121">
        <f t="shared" si="329"/>
        <v>1</v>
      </c>
      <c r="S763" s="121" t="str">
        <f t="shared" si="330"/>
        <v/>
      </c>
      <c r="T763" s="121" t="str">
        <f t="shared" si="331"/>
        <v/>
      </c>
      <c r="U763" s="121">
        <f t="shared" si="332"/>
        <v>1.04</v>
      </c>
    </row>
    <row r="764" spans="1:21" x14ac:dyDescent="0.3">
      <c r="A764" s="187">
        <v>38</v>
      </c>
      <c r="B764" s="242">
        <f t="shared" si="333"/>
        <v>46784</v>
      </c>
      <c r="C764" s="243">
        <f t="shared" si="314"/>
        <v>46812</v>
      </c>
      <c r="D764" s="120">
        <f t="shared" si="315"/>
        <v>29</v>
      </c>
      <c r="E764" s="120">
        <f t="shared" si="316"/>
        <v>2</v>
      </c>
      <c r="F764" s="275">
        <f t="shared" si="317"/>
        <v>46798.5</v>
      </c>
      <c r="G764" s="120">
        <f t="shared" si="318"/>
        <v>24337</v>
      </c>
      <c r="H764" s="245">
        <f t="shared" si="319"/>
        <v>1</v>
      </c>
      <c r="I764" s="121">
        <f t="shared" si="320"/>
        <v>1.04</v>
      </c>
      <c r="J764" s="121">
        <f t="shared" si="321"/>
        <v>1.04</v>
      </c>
      <c r="K764" s="120">
        <f t="shared" si="322"/>
        <v>0</v>
      </c>
      <c r="L764" s="120">
        <f t="shared" si="323"/>
        <v>0</v>
      </c>
      <c r="M764" s="246">
        <f t="shared" si="324"/>
        <v>0</v>
      </c>
      <c r="N764" s="121">
        <f t="shared" si="325"/>
        <v>1.04</v>
      </c>
      <c r="O764" s="246">
        <f t="shared" si="326"/>
        <v>0.90500000000000003</v>
      </c>
      <c r="P764" s="121">
        <f t="shared" si="327"/>
        <v>0</v>
      </c>
      <c r="Q764" s="121">
        <f t="shared" si="328"/>
        <v>0</v>
      </c>
      <c r="R764" s="121">
        <f t="shared" si="329"/>
        <v>1</v>
      </c>
      <c r="S764" s="121" t="str">
        <f t="shared" si="330"/>
        <v/>
      </c>
      <c r="T764" s="121" t="str">
        <f t="shared" si="331"/>
        <v/>
      </c>
      <c r="U764" s="121">
        <f t="shared" si="332"/>
        <v>1.04</v>
      </c>
    </row>
    <row r="765" spans="1:21" x14ac:dyDescent="0.3">
      <c r="A765" s="187">
        <v>39</v>
      </c>
      <c r="B765" s="242">
        <f t="shared" si="333"/>
        <v>46813</v>
      </c>
      <c r="C765" s="243">
        <f t="shared" si="314"/>
        <v>46843</v>
      </c>
      <c r="D765" s="120">
        <f t="shared" si="315"/>
        <v>31</v>
      </c>
      <c r="E765" s="120">
        <f t="shared" si="316"/>
        <v>3</v>
      </c>
      <c r="F765" s="275">
        <f t="shared" si="317"/>
        <v>46828.5</v>
      </c>
      <c r="G765" s="120">
        <f t="shared" si="318"/>
        <v>24338</v>
      </c>
      <c r="H765" s="245">
        <f t="shared" si="319"/>
        <v>1</v>
      </c>
      <c r="I765" s="121">
        <f t="shared" si="320"/>
        <v>1.04</v>
      </c>
      <c r="J765" s="121">
        <f t="shared" si="321"/>
        <v>1.04</v>
      </c>
      <c r="K765" s="120">
        <f t="shared" si="322"/>
        <v>0</v>
      </c>
      <c r="L765" s="120">
        <f t="shared" si="323"/>
        <v>0</v>
      </c>
      <c r="M765" s="246">
        <f t="shared" si="324"/>
        <v>0</v>
      </c>
      <c r="N765" s="121">
        <f t="shared" si="325"/>
        <v>1.04</v>
      </c>
      <c r="O765" s="246">
        <f t="shared" si="326"/>
        <v>0.90500000000000003</v>
      </c>
      <c r="P765" s="121">
        <f t="shared" si="327"/>
        <v>0</v>
      </c>
      <c r="Q765" s="121">
        <f t="shared" si="328"/>
        <v>0</v>
      </c>
      <c r="R765" s="121">
        <f t="shared" si="329"/>
        <v>1</v>
      </c>
      <c r="S765" s="121" t="str">
        <f t="shared" si="330"/>
        <v/>
      </c>
      <c r="T765" s="121" t="str">
        <f t="shared" si="331"/>
        <v/>
      </c>
      <c r="U765" s="121">
        <f t="shared" si="332"/>
        <v>1.04</v>
      </c>
    </row>
    <row r="766" spans="1:21" x14ac:dyDescent="0.3">
      <c r="A766" s="187">
        <v>40</v>
      </c>
      <c r="B766" s="242">
        <f t="shared" si="333"/>
        <v>46844</v>
      </c>
      <c r="C766" s="243">
        <f t="shared" si="314"/>
        <v>46873</v>
      </c>
      <c r="D766" s="120">
        <f t="shared" si="315"/>
        <v>30</v>
      </c>
      <c r="E766" s="120">
        <f t="shared" si="316"/>
        <v>4</v>
      </c>
      <c r="F766" s="275">
        <f t="shared" si="317"/>
        <v>46859</v>
      </c>
      <c r="G766" s="120">
        <f t="shared" si="318"/>
        <v>24339</v>
      </c>
      <c r="H766" s="245">
        <f t="shared" si="319"/>
        <v>1</v>
      </c>
      <c r="I766" s="121">
        <f t="shared" si="320"/>
        <v>1.04</v>
      </c>
      <c r="J766" s="121">
        <f t="shared" si="321"/>
        <v>1.04</v>
      </c>
      <c r="K766" s="120">
        <f t="shared" si="322"/>
        <v>0</v>
      </c>
      <c r="L766" s="120">
        <f t="shared" si="323"/>
        <v>0</v>
      </c>
      <c r="M766" s="246">
        <f t="shared" si="324"/>
        <v>0</v>
      </c>
      <c r="N766" s="121">
        <f t="shared" si="325"/>
        <v>1.04</v>
      </c>
      <c r="O766" s="246">
        <f t="shared" si="326"/>
        <v>0.90500000000000003</v>
      </c>
      <c r="P766" s="121">
        <f t="shared" si="327"/>
        <v>0</v>
      </c>
      <c r="Q766" s="121">
        <f t="shared" si="328"/>
        <v>0</v>
      </c>
      <c r="R766" s="121">
        <f t="shared" si="329"/>
        <v>1</v>
      </c>
      <c r="S766" s="121" t="str">
        <f t="shared" si="330"/>
        <v/>
      </c>
      <c r="T766" s="121" t="str">
        <f t="shared" si="331"/>
        <v/>
      </c>
      <c r="U766" s="121">
        <f t="shared" si="332"/>
        <v>1.04</v>
      </c>
    </row>
    <row r="767" spans="1:21" x14ac:dyDescent="0.3">
      <c r="A767" s="187">
        <v>41</v>
      </c>
      <c r="B767" s="242">
        <f t="shared" si="333"/>
        <v>46874</v>
      </c>
      <c r="C767" s="243">
        <f t="shared" si="314"/>
        <v>46904</v>
      </c>
      <c r="D767" s="120">
        <f t="shared" si="315"/>
        <v>31</v>
      </c>
      <c r="E767" s="120">
        <f t="shared" si="316"/>
        <v>5</v>
      </c>
      <c r="F767" s="275">
        <f t="shared" si="317"/>
        <v>46889.5</v>
      </c>
      <c r="G767" s="120">
        <f t="shared" si="318"/>
        <v>24340</v>
      </c>
      <c r="H767" s="245">
        <f t="shared" si="319"/>
        <v>1</v>
      </c>
      <c r="I767" s="121">
        <f t="shared" si="320"/>
        <v>1.04</v>
      </c>
      <c r="J767" s="121">
        <f t="shared" si="321"/>
        <v>1.04</v>
      </c>
      <c r="K767" s="120">
        <f t="shared" si="322"/>
        <v>0</v>
      </c>
      <c r="L767" s="120">
        <f t="shared" si="323"/>
        <v>0</v>
      </c>
      <c r="M767" s="246">
        <f t="shared" si="324"/>
        <v>0</v>
      </c>
      <c r="N767" s="121">
        <f t="shared" si="325"/>
        <v>1.04</v>
      </c>
      <c r="O767" s="246">
        <f t="shared" si="326"/>
        <v>0.90500000000000003</v>
      </c>
      <c r="P767" s="121">
        <f t="shared" si="327"/>
        <v>0</v>
      </c>
      <c r="Q767" s="121">
        <f t="shared" si="328"/>
        <v>0</v>
      </c>
      <c r="R767" s="121">
        <f t="shared" si="329"/>
        <v>1</v>
      </c>
      <c r="S767" s="121" t="str">
        <f t="shared" si="330"/>
        <v/>
      </c>
      <c r="T767" s="121" t="str">
        <f t="shared" si="331"/>
        <v/>
      </c>
      <c r="U767" s="121">
        <f t="shared" si="332"/>
        <v>1.04</v>
      </c>
    </row>
    <row r="768" spans="1:21" x14ac:dyDescent="0.3">
      <c r="A768" s="187">
        <v>42</v>
      </c>
      <c r="B768" s="242">
        <f t="shared" si="333"/>
        <v>46905</v>
      </c>
      <c r="C768" s="243">
        <f t="shared" si="314"/>
        <v>46934</v>
      </c>
      <c r="D768" s="120">
        <f t="shared" si="315"/>
        <v>30</v>
      </c>
      <c r="E768" s="120">
        <f t="shared" si="316"/>
        <v>6</v>
      </c>
      <c r="F768" s="275">
        <f t="shared" si="317"/>
        <v>46920</v>
      </c>
      <c r="G768" s="120">
        <f t="shared" si="318"/>
        <v>24341</v>
      </c>
      <c r="H768" s="245">
        <f t="shared" si="319"/>
        <v>1</v>
      </c>
      <c r="I768" s="121">
        <f t="shared" si="320"/>
        <v>1.04</v>
      </c>
      <c r="J768" s="121">
        <f t="shared" si="321"/>
        <v>1.04</v>
      </c>
      <c r="K768" s="120">
        <f t="shared" si="322"/>
        <v>0</v>
      </c>
      <c r="L768" s="120">
        <f t="shared" si="323"/>
        <v>0</v>
      </c>
      <c r="M768" s="246">
        <f t="shared" si="324"/>
        <v>0</v>
      </c>
      <c r="N768" s="121">
        <f t="shared" si="325"/>
        <v>1.04</v>
      </c>
      <c r="O768" s="246">
        <f t="shared" si="326"/>
        <v>0.90500000000000003</v>
      </c>
      <c r="P768" s="121">
        <f t="shared" si="327"/>
        <v>0</v>
      </c>
      <c r="Q768" s="121">
        <f t="shared" si="328"/>
        <v>0</v>
      </c>
      <c r="R768" s="121">
        <f t="shared" si="329"/>
        <v>1</v>
      </c>
      <c r="S768" s="121" t="str">
        <f t="shared" si="330"/>
        <v/>
      </c>
      <c r="T768" s="121" t="str">
        <f t="shared" si="331"/>
        <v/>
      </c>
      <c r="U768" s="121">
        <f t="shared" si="332"/>
        <v>1.04</v>
      </c>
    </row>
    <row r="769" spans="1:21" x14ac:dyDescent="0.3">
      <c r="A769" s="187">
        <v>43</v>
      </c>
      <c r="B769" s="242">
        <f t="shared" si="333"/>
        <v>46935</v>
      </c>
      <c r="C769" s="243">
        <f t="shared" si="314"/>
        <v>46965</v>
      </c>
      <c r="D769" s="120">
        <f t="shared" si="315"/>
        <v>31</v>
      </c>
      <c r="E769" s="120">
        <f t="shared" si="316"/>
        <v>7</v>
      </c>
      <c r="F769" s="275">
        <f t="shared" si="317"/>
        <v>46950.5</v>
      </c>
      <c r="G769" s="120">
        <f t="shared" si="318"/>
        <v>24342</v>
      </c>
      <c r="H769" s="245">
        <f t="shared" si="319"/>
        <v>1</v>
      </c>
      <c r="I769" s="121">
        <f t="shared" si="320"/>
        <v>1.04</v>
      </c>
      <c r="J769" s="121">
        <f t="shared" si="321"/>
        <v>1.04</v>
      </c>
      <c r="K769" s="120">
        <f t="shared" si="322"/>
        <v>0</v>
      </c>
      <c r="L769" s="120">
        <f t="shared" si="323"/>
        <v>0</v>
      </c>
      <c r="M769" s="246">
        <f t="shared" si="324"/>
        <v>0</v>
      </c>
      <c r="N769" s="121">
        <f t="shared" si="325"/>
        <v>1.04</v>
      </c>
      <c r="O769" s="246">
        <f t="shared" si="326"/>
        <v>0.90500000000000003</v>
      </c>
      <c r="P769" s="121">
        <f t="shared" si="327"/>
        <v>0</v>
      </c>
      <c r="Q769" s="121">
        <f t="shared" si="328"/>
        <v>0</v>
      </c>
      <c r="R769" s="121">
        <f t="shared" si="329"/>
        <v>0.91666666666666663</v>
      </c>
      <c r="S769" s="121" t="str">
        <f t="shared" si="330"/>
        <v/>
      </c>
      <c r="T769" s="121" t="str">
        <f t="shared" si="331"/>
        <v/>
      </c>
      <c r="U769" s="121">
        <f t="shared" si="332"/>
        <v>1.04</v>
      </c>
    </row>
    <row r="770" spans="1:21" x14ac:dyDescent="0.3">
      <c r="A770" s="187">
        <v>44</v>
      </c>
      <c r="B770" s="242">
        <f t="shared" si="333"/>
        <v>46966</v>
      </c>
      <c r="C770" s="243">
        <f t="shared" si="314"/>
        <v>46996</v>
      </c>
      <c r="D770" s="120">
        <f t="shared" si="315"/>
        <v>31</v>
      </c>
      <c r="E770" s="120">
        <f t="shared" si="316"/>
        <v>8</v>
      </c>
      <c r="F770" s="275">
        <f t="shared" si="317"/>
        <v>46981.5</v>
      </c>
      <c r="G770" s="120">
        <f t="shared" si="318"/>
        <v>24343</v>
      </c>
      <c r="H770" s="245">
        <f t="shared" si="319"/>
        <v>1</v>
      </c>
      <c r="I770" s="121">
        <f t="shared" si="320"/>
        <v>1.04</v>
      </c>
      <c r="J770" s="121">
        <f t="shared" si="321"/>
        <v>1.04</v>
      </c>
      <c r="K770" s="120">
        <f t="shared" si="322"/>
        <v>0</v>
      </c>
      <c r="L770" s="120">
        <f t="shared" si="323"/>
        <v>0</v>
      </c>
      <c r="M770" s="246">
        <f t="shared" si="324"/>
        <v>0</v>
      </c>
      <c r="N770" s="121">
        <f t="shared" si="325"/>
        <v>1.04</v>
      </c>
      <c r="O770" s="246">
        <f t="shared" si="326"/>
        <v>0.90500000000000003</v>
      </c>
      <c r="P770" s="121">
        <f t="shared" si="327"/>
        <v>0</v>
      </c>
      <c r="Q770" s="121">
        <f t="shared" si="328"/>
        <v>0</v>
      </c>
      <c r="R770" s="121">
        <f t="shared" si="329"/>
        <v>0.75</v>
      </c>
      <c r="S770" s="121" t="str">
        <f t="shared" si="330"/>
        <v/>
      </c>
      <c r="T770" s="121" t="str">
        <f t="shared" si="331"/>
        <v/>
      </c>
      <c r="U770" s="121">
        <f t="shared" si="332"/>
        <v>1.04</v>
      </c>
    </row>
    <row r="771" spans="1:21" x14ac:dyDescent="0.3">
      <c r="A771" s="187">
        <v>45</v>
      </c>
      <c r="B771" s="242">
        <f t="shared" si="333"/>
        <v>46997</v>
      </c>
      <c r="C771" s="243">
        <f t="shared" si="314"/>
        <v>47026</v>
      </c>
      <c r="D771" s="120">
        <f t="shared" si="315"/>
        <v>30</v>
      </c>
      <c r="E771" s="120">
        <f t="shared" si="316"/>
        <v>9</v>
      </c>
      <c r="F771" s="275">
        <f t="shared" si="317"/>
        <v>47012</v>
      </c>
      <c r="G771" s="120">
        <f t="shared" si="318"/>
        <v>24344</v>
      </c>
      <c r="H771" s="245">
        <f t="shared" si="319"/>
        <v>1</v>
      </c>
      <c r="I771" s="121">
        <f t="shared" si="320"/>
        <v>1.04</v>
      </c>
      <c r="J771" s="121">
        <f t="shared" si="321"/>
        <v>1.04</v>
      </c>
      <c r="K771" s="120">
        <f t="shared" si="322"/>
        <v>0</v>
      </c>
      <c r="L771" s="120">
        <f t="shared" si="323"/>
        <v>0</v>
      </c>
      <c r="M771" s="246">
        <f t="shared" si="324"/>
        <v>0</v>
      </c>
      <c r="N771" s="121">
        <f t="shared" si="325"/>
        <v>1.04</v>
      </c>
      <c r="O771" s="246">
        <f t="shared" si="326"/>
        <v>0.90500000000000003</v>
      </c>
      <c r="P771" s="121">
        <f t="shared" si="327"/>
        <v>0</v>
      </c>
      <c r="Q771" s="121">
        <f t="shared" si="328"/>
        <v>0</v>
      </c>
      <c r="R771" s="121">
        <f t="shared" si="329"/>
        <v>0.58333333333333337</v>
      </c>
      <c r="S771" s="121" t="str">
        <f t="shared" si="330"/>
        <v/>
      </c>
      <c r="T771" s="121" t="str">
        <f t="shared" si="331"/>
        <v/>
      </c>
      <c r="U771" s="121">
        <f t="shared" si="332"/>
        <v>1.04</v>
      </c>
    </row>
    <row r="772" spans="1:21" x14ac:dyDescent="0.3">
      <c r="A772" s="187">
        <v>46</v>
      </c>
      <c r="B772" s="242">
        <f t="shared" si="333"/>
        <v>47027</v>
      </c>
      <c r="C772" s="243">
        <f t="shared" si="314"/>
        <v>47057</v>
      </c>
      <c r="D772" s="120">
        <f t="shared" si="315"/>
        <v>31</v>
      </c>
      <c r="E772" s="120">
        <f t="shared" si="316"/>
        <v>10</v>
      </c>
      <c r="F772" s="275">
        <f t="shared" si="317"/>
        <v>47042.5</v>
      </c>
      <c r="G772" s="120">
        <f t="shared" si="318"/>
        <v>24345</v>
      </c>
      <c r="H772" s="245">
        <f t="shared" si="319"/>
        <v>1</v>
      </c>
      <c r="I772" s="121">
        <f t="shared" si="320"/>
        <v>1.04</v>
      </c>
      <c r="J772" s="121">
        <f t="shared" si="321"/>
        <v>1.04</v>
      </c>
      <c r="K772" s="120">
        <f t="shared" si="322"/>
        <v>0</v>
      </c>
      <c r="L772" s="120">
        <f t="shared" si="323"/>
        <v>0</v>
      </c>
      <c r="M772" s="246">
        <f t="shared" si="324"/>
        <v>0</v>
      </c>
      <c r="N772" s="121">
        <f t="shared" si="325"/>
        <v>1.04</v>
      </c>
      <c r="O772" s="246">
        <f t="shared" si="326"/>
        <v>0.90500000000000003</v>
      </c>
      <c r="P772" s="121">
        <f t="shared" si="327"/>
        <v>0</v>
      </c>
      <c r="Q772" s="121">
        <f t="shared" si="328"/>
        <v>0</v>
      </c>
      <c r="R772" s="121">
        <f t="shared" si="329"/>
        <v>0.41666666666666669</v>
      </c>
      <c r="S772" s="121" t="str">
        <f t="shared" si="330"/>
        <v/>
      </c>
      <c r="T772" s="121" t="str">
        <f t="shared" si="331"/>
        <v/>
      </c>
      <c r="U772" s="121">
        <f t="shared" si="332"/>
        <v>1.04</v>
      </c>
    </row>
    <row r="773" spans="1:21" x14ac:dyDescent="0.3">
      <c r="A773" s="187">
        <v>47</v>
      </c>
      <c r="B773" s="242">
        <f t="shared" si="333"/>
        <v>47058</v>
      </c>
      <c r="C773" s="243">
        <f t="shared" si="314"/>
        <v>47087</v>
      </c>
      <c r="D773" s="120">
        <f t="shared" si="315"/>
        <v>30</v>
      </c>
      <c r="E773" s="120">
        <f t="shared" si="316"/>
        <v>11</v>
      </c>
      <c r="F773" s="275">
        <f t="shared" si="317"/>
        <v>47073</v>
      </c>
      <c r="G773" s="120">
        <f t="shared" si="318"/>
        <v>24346</v>
      </c>
      <c r="H773" s="245">
        <f t="shared" si="319"/>
        <v>1</v>
      </c>
      <c r="I773" s="121">
        <f t="shared" si="320"/>
        <v>1.04</v>
      </c>
      <c r="J773" s="121">
        <f t="shared" si="321"/>
        <v>1.04</v>
      </c>
      <c r="K773" s="120">
        <f t="shared" si="322"/>
        <v>0</v>
      </c>
      <c r="L773" s="120">
        <f t="shared" si="323"/>
        <v>0</v>
      </c>
      <c r="M773" s="246">
        <f t="shared" si="324"/>
        <v>0</v>
      </c>
      <c r="N773" s="121">
        <f t="shared" si="325"/>
        <v>1.04</v>
      </c>
      <c r="O773" s="246">
        <f t="shared" si="326"/>
        <v>0.90500000000000003</v>
      </c>
      <c r="P773" s="121">
        <f t="shared" si="327"/>
        <v>0</v>
      </c>
      <c r="Q773" s="121">
        <f t="shared" si="328"/>
        <v>0</v>
      </c>
      <c r="R773" s="121">
        <f t="shared" si="329"/>
        <v>0.25</v>
      </c>
      <c r="S773" s="121" t="str">
        <f t="shared" si="330"/>
        <v/>
      </c>
      <c r="T773" s="121" t="str">
        <f t="shared" si="331"/>
        <v/>
      </c>
      <c r="U773" s="121">
        <f t="shared" si="332"/>
        <v>1.04</v>
      </c>
    </row>
    <row r="774" spans="1:21" x14ac:dyDescent="0.3">
      <c r="A774" s="187">
        <v>48</v>
      </c>
      <c r="B774" s="242">
        <f t="shared" si="333"/>
        <v>47088</v>
      </c>
      <c r="C774" s="243">
        <f t="shared" si="314"/>
        <v>47118</v>
      </c>
      <c r="D774" s="120">
        <f t="shared" si="315"/>
        <v>31</v>
      </c>
      <c r="E774" s="120">
        <f t="shared" si="316"/>
        <v>12</v>
      </c>
      <c r="F774" s="275">
        <f t="shared" si="317"/>
        <v>47103.5</v>
      </c>
      <c r="G774" s="120">
        <f t="shared" si="318"/>
        <v>24347</v>
      </c>
      <c r="H774" s="245">
        <f t="shared" si="319"/>
        <v>1</v>
      </c>
      <c r="I774" s="121">
        <f t="shared" si="320"/>
        <v>1.04</v>
      </c>
      <c r="J774" s="121">
        <f t="shared" si="321"/>
        <v>1.04</v>
      </c>
      <c r="K774" s="120">
        <f t="shared" si="322"/>
        <v>0</v>
      </c>
      <c r="L774" s="120">
        <f t="shared" si="323"/>
        <v>0</v>
      </c>
      <c r="M774" s="246">
        <f t="shared" si="324"/>
        <v>0</v>
      </c>
      <c r="N774" s="121">
        <f t="shared" si="325"/>
        <v>1.04</v>
      </c>
      <c r="O774" s="246">
        <f t="shared" si="326"/>
        <v>0.90500000000000003</v>
      </c>
      <c r="P774" s="121">
        <f t="shared" si="327"/>
        <v>0</v>
      </c>
      <c r="Q774" s="121">
        <f t="shared" si="328"/>
        <v>0</v>
      </c>
      <c r="R774" s="121">
        <f t="shared" si="329"/>
        <v>8.3333333333333329E-2</v>
      </c>
      <c r="S774" s="121" t="str">
        <f t="shared" si="330"/>
        <v/>
      </c>
      <c r="T774" s="121" t="str">
        <f t="shared" si="331"/>
        <v/>
      </c>
      <c r="U774" s="121">
        <f t="shared" si="332"/>
        <v>1.04</v>
      </c>
    </row>
    <row r="775" spans="1:21" x14ac:dyDescent="0.3">
      <c r="A775" s="6" t="s">
        <v>1651</v>
      </c>
      <c r="B775" s="73">
        <f>EXP(SUMPRODUCT((rl_key=$A$724)*(rl_cons="Y")*rl_ln1p))</f>
        <v>1.04</v>
      </c>
      <c r="C775" s="73">
        <f>SUMPRODUCT($H$727:$H$774,$P$727:$P$774,$U$727:$U$774)/SUMPRODUCT($H$727:$H$774,$P$727:$P$774)</f>
        <v>1.0299999999999998</v>
      </c>
      <c r="D775" s="73">
        <f>SUMPRODUCT($H$727:$H$774,$Q$727:$Q$774,$U$727:$U$774)/SUMPRODUCT($H$727:$H$774,$Q$727:$Q$774)</f>
        <v>1.0399999999999998</v>
      </c>
      <c r="E775" s="73">
        <f>SUMPRODUCT($H$727:$H$774,$R$727:$R$774,$U$727:$U$774)/SUMPRODUCT($H$727:$H$774,$R$727:$R$774)</f>
        <v>1.0399999999999998</v>
      </c>
      <c r="F775" s="224">
        <f>SUMPRODUCT($H$727:$H$774,$Q$727:$Q$774,$O$727:$O$774)/SUMPRODUCT($H$727:$H$774,$Q$727:$Q$774)</f>
        <v>0.9080037381473377</v>
      </c>
      <c r="G775" s="224">
        <f>SUMPRODUCT($H$727:$H$774,$R$727:$R$774,$O$727:$O$774)/SUMPRODUCT($H$727:$H$774,$R$727:$R$774)</f>
        <v>0.90516988815949428</v>
      </c>
      <c r="H775" s="73">
        <f>SUMPRODUCT($H$751:$H$762,$N$751:$N$762/$N$739:$N$750)/SUM($H$751:$H$762)</f>
        <v>1</v>
      </c>
      <c r="I775" s="73">
        <f>SUMPRODUCT($H$751:$H$762,$O$751:$O$762/$O$739:$O$750)/SUM($H$751:$H$762)</f>
        <v>0.99561641381999111</v>
      </c>
      <c r="J775" s="73">
        <f>IF($O$724=1,SUMPRODUCT($H$751:$H$762,$N$751:$N$762/$N$739:$N$750*$O$751:$O$762/$O$739:$O$750)/SUM($H$751:$H$762),$H775)</f>
        <v>0.99561641381999111</v>
      </c>
      <c r="K775" s="73">
        <f>SUMPRODUCT($H$727:$H$774,$Q$727:$Q$774,$N$727:$N$774)/SUMPRODUCT($H$727:$H$774,$Q$727:$Q$774)</f>
        <v>1.0399999999999998</v>
      </c>
      <c r="L775" s="73">
        <f>SUMPRODUCT($H$727:$H$774,$R$727:$R$774,$N$727:$N$774)/SUMPRODUCT($H$727:$H$774,$R$727:$R$774)</f>
        <v>1.0399999999999998</v>
      </c>
    </row>
    <row r="778" spans="1:21" x14ac:dyDescent="0.3">
      <c r="A778" s="6" t="str">
        <f>INDEX(lr_key,14)</f>
        <v>ABD|NC</v>
      </c>
      <c r="B778" s="6" t="str">
        <f>INDEX(lr_state,14)</f>
        <v>NC</v>
      </c>
      <c r="C778" s="75">
        <f>nr_TermMonths</f>
        <v>6</v>
      </c>
      <c r="D778" s="75">
        <f>IF(COUNTIF(se_state,$B778)=0,0,MATCH($B778,se_state,0))</f>
        <v>0</v>
      </c>
      <c r="E778" s="70">
        <f>IF($D778=0,0,INDEX(se_sum,$D778))</f>
        <v>0</v>
      </c>
      <c r="F778" s="224">
        <f>IF(N(INDEX(lr_mind,14))=0,1,INDEX(lr_mind,14))</f>
        <v>0.92</v>
      </c>
      <c r="G778" s="224">
        <f>IF(N(INDEX(lr_m0,14))=0,1,INDEX(lr_m0,14))</f>
        <v>0.91</v>
      </c>
      <c r="H778" s="74">
        <f>IF(N(INDEX(lr_m0asof,14))=0,DATE(nr_PlanYear-1,10,1),INDEX(lr_m0asof,14))</f>
        <v>46295</v>
      </c>
      <c r="I778" s="224">
        <f>IF(N(INDEX(lr_m1,14))=0,1,INDEX(lr_m1,14))</f>
        <v>0.92</v>
      </c>
      <c r="J778" s="224">
        <f>INDEX(lr_mprior,14)</f>
        <v>0</v>
      </c>
      <c r="K778" s="224">
        <f>INDEX(lr_m2,14)</f>
        <v>0</v>
      </c>
      <c r="L778" s="6" t="b">
        <f>NOT(ISBLANK(INDEX(lr_netp,14)))</f>
        <v>0</v>
      </c>
      <c r="M778" s="72">
        <f>N(INDEX(lr_netp,14))</f>
        <v>0</v>
      </c>
      <c r="N778" s="72">
        <f>IF(ISBLANK(INDEX(lr_netp1,14)),$M$778,N(INDEX(lr_netp1,14)))</f>
        <v>0</v>
      </c>
      <c r="O778" s="75">
        <f>IF(AND(nr_ModAdjMaster="ON",INDEX(lr_modadj,14)="ON"),1,0)</f>
        <v>1</v>
      </c>
    </row>
    <row r="779" spans="1:21" x14ac:dyDescent="0.3">
      <c r="A779" s="6">
        <f>EDATE($H$778,-12)+1</f>
        <v>45931</v>
      </c>
      <c r="B779" s="6">
        <f>$H$778+1</f>
        <v>46296</v>
      </c>
      <c r="C779" s="6">
        <f>DATE(nr_PlanYear,12,31)+1</f>
        <v>46753</v>
      </c>
      <c r="D779" s="6">
        <f>DATE(nr_PlanYear+1,12,31)+1</f>
        <v>47119</v>
      </c>
      <c r="E779" s="6">
        <f>IF(N($J$778)=0,$F$779-($G$779-$F$779)/($C$779-$B$779)*($B$779-$A$779),$J$778)</f>
        <v>0.9020131291028447</v>
      </c>
      <c r="F779" s="6">
        <f>$G$778</f>
        <v>0.91</v>
      </c>
      <c r="G779" s="6">
        <f>$I$778</f>
        <v>0.92</v>
      </c>
      <c r="H779" s="6">
        <f>IF(N($K$778)=0,$I$778,$K$778)</f>
        <v>0.92</v>
      </c>
      <c r="I779" s="6">
        <f>($F$779-$E$779)/($B$779-$A$779)</f>
        <v>2.1881838074398162E-5</v>
      </c>
      <c r="J779" s="6">
        <f>($G$779-$F$779)/($C$779-$B$779)</f>
        <v>2.188183807439827E-5</v>
      </c>
      <c r="K779" s="6">
        <f>($H$779-$G$779)/($D$779-$C$779)</f>
        <v>0</v>
      </c>
    </row>
    <row r="780" spans="1:21" ht="36" x14ac:dyDescent="0.3">
      <c r="A780" s="58" t="s">
        <v>390</v>
      </c>
      <c r="B780" s="58" t="s">
        <v>449</v>
      </c>
      <c r="C780" s="58" t="s">
        <v>685</v>
      </c>
      <c r="D780" s="58" t="s">
        <v>686</v>
      </c>
      <c r="E780" s="58" t="s">
        <v>687</v>
      </c>
      <c r="F780" s="58" t="s">
        <v>688</v>
      </c>
      <c r="G780" s="58" t="s">
        <v>689</v>
      </c>
      <c r="H780" s="58" t="s">
        <v>452</v>
      </c>
      <c r="I780" s="58" t="s">
        <v>690</v>
      </c>
      <c r="J780" s="58" t="s">
        <v>691</v>
      </c>
      <c r="K780" s="58" t="s">
        <v>692</v>
      </c>
      <c r="L780" s="58" t="s">
        <v>693</v>
      </c>
      <c r="M780" s="58" t="s">
        <v>694</v>
      </c>
      <c r="N780" s="58" t="s">
        <v>695</v>
      </c>
      <c r="O780" s="58" t="s">
        <v>696</v>
      </c>
      <c r="P780" s="58" t="s">
        <v>697</v>
      </c>
      <c r="Q780" s="58" t="s">
        <v>698</v>
      </c>
      <c r="R780" s="58" t="s">
        <v>699</v>
      </c>
      <c r="S780" s="58" t="s">
        <v>700</v>
      </c>
      <c r="T780" s="58" t="s">
        <v>701</v>
      </c>
      <c r="U780" s="58" t="s">
        <v>702</v>
      </c>
    </row>
    <row r="781" spans="1:21" x14ac:dyDescent="0.3">
      <c r="A781" s="187">
        <v>1</v>
      </c>
      <c r="B781" s="242">
        <f>DATE(nr_PlanYear-2,1,1)</f>
        <v>45658</v>
      </c>
      <c r="C781" s="243">
        <f t="shared" ref="C781:C828" si="334">EOMONTH($B781,0)</f>
        <v>45688</v>
      </c>
      <c r="D781" s="120">
        <f t="shared" ref="D781:D828" si="335">$C781-$B781+1</f>
        <v>31</v>
      </c>
      <c r="E781" s="120">
        <f t="shared" ref="E781:E828" si="336">MONTH($B781)</f>
        <v>1</v>
      </c>
      <c r="F781" s="275">
        <f t="shared" ref="F781:F828" si="337">($B781+$C781+1)/2</f>
        <v>45673.5</v>
      </c>
      <c r="G781" s="120">
        <f t="shared" ref="G781:G828" si="338">YEAR($B781)*12+MONTH($B781)-1</f>
        <v>24300</v>
      </c>
      <c r="H781" s="245">
        <f t="shared" ref="H781:H828" si="339">IF(OR(nr_SeasonOn="OFF",$D$778=0,$E$778=0),1,12*INDEX(se_block,$D$778,$E781)/$E$778)</f>
        <v>1</v>
      </c>
      <c r="I781" s="121">
        <f t="shared" ref="I781:I828" si="340">EXP(SUMPRODUCT((rl_eff&lt;$B781)*(rl_key=$A$778)*rl_ln1p))</f>
        <v>1</v>
      </c>
      <c r="J781" s="121">
        <f t="shared" ref="J781:J828" si="341">EXP(SUMPRODUCT((rl_eff&lt;=$C781)*(rl_key=$A$778)*rl_ln1p))</f>
        <v>1</v>
      </c>
      <c r="K781" s="120">
        <f t="shared" ref="K781:K828" si="342">COUNTIFS(rl_key,$A$778,rl_eff,"&gt;="&amp;$B781,rl_eff,"&lt;="&amp;$C781)</f>
        <v>0</v>
      </c>
      <c r="L781" s="120">
        <f t="shared" ref="L781:L828" si="343">SUMIFS(rl_daysafter,rl_key,$A$778,rl_effmonth,$B781,rl_first,1)</f>
        <v>0</v>
      </c>
      <c r="M781" s="246">
        <f t="shared" ref="M781:M828" si="344">IF($K781=0,0,MIN(1,$L781/$D781))</f>
        <v>0</v>
      </c>
      <c r="N781" s="121">
        <f t="shared" ref="N781:N828" si="345">IF($K781=0,$J781,(1-$M781)*$I781+$M781*$J781)</f>
        <v>1</v>
      </c>
      <c r="O781" s="246">
        <f t="shared" ref="O781:O828" si="346">IF($F781&lt;$B$779,$E$779+$I$779*($F781-$A$779),IF($F781&lt;$C$779,$F$779+$J$779*($F781-$B$779),$G$779+$K$779*($F781-$C$779)))</f>
        <v>0.89637855579868719</v>
      </c>
      <c r="P781" s="121">
        <f t="shared" ref="P781:P828" si="347">MIN(1,MAX(0,(nr_MEndPm1-$G781+0.5)/$C$778))-MIN(1,MAX(0,(nr_MStartPm1-1-$G781+0.5)/$C$778))</f>
        <v>0</v>
      </c>
      <c r="Q781" s="121">
        <f t="shared" ref="Q781:Q828" si="348">MIN(1,MAX(0,(nr_MEndP-$G781+0.5)/$C$778))-MIN(1,MAX(0,(nr_MStartP-1-$G781+0.5)/$C$778))</f>
        <v>0</v>
      </c>
      <c r="R781" s="121">
        <f t="shared" ref="R781:R828" si="349">MIN(1,MAX(0,(nr_MEndP1-$G781+0.5)/$C$778))-MIN(1,MAX(0,(nr_MStartP1-1-$G781+0.5)/$C$778))</f>
        <v>0</v>
      </c>
      <c r="S781" s="121" t="str">
        <f t="shared" ref="S781:S828" si="350">IF($L$778,$N781*IF($O$778=1,$O781/$F$778,1),"")</f>
        <v/>
      </c>
      <c r="T781" s="121" t="str">
        <f t="shared" ref="T781:T828" si="351">IF(NOT($L$778),"",IF($G781&lt;nr_MStartP,$S781,$T769*(1+IF($G781&lt;nr_MStartP1,$M$778,$N$778))))</f>
        <v/>
      </c>
      <c r="U781" s="121">
        <f t="shared" ref="U781:U828" si="352">IF($L$778,$T781,$N781)</f>
        <v>1</v>
      </c>
    </row>
    <row r="782" spans="1:21" x14ac:dyDescent="0.3">
      <c r="A782" s="187">
        <v>2</v>
      </c>
      <c r="B782" s="242">
        <f t="shared" ref="B782:B828" si="353">EDATE($B781,1)</f>
        <v>45689</v>
      </c>
      <c r="C782" s="243">
        <f t="shared" si="334"/>
        <v>45716</v>
      </c>
      <c r="D782" s="120">
        <f t="shared" si="335"/>
        <v>28</v>
      </c>
      <c r="E782" s="120">
        <f t="shared" si="336"/>
        <v>2</v>
      </c>
      <c r="F782" s="275">
        <f t="shared" si="337"/>
        <v>45703</v>
      </c>
      <c r="G782" s="120">
        <f t="shared" si="338"/>
        <v>24301</v>
      </c>
      <c r="H782" s="245">
        <f t="shared" si="339"/>
        <v>1</v>
      </c>
      <c r="I782" s="121">
        <f t="shared" si="340"/>
        <v>1</v>
      </c>
      <c r="J782" s="121">
        <f t="shared" si="341"/>
        <v>1</v>
      </c>
      <c r="K782" s="120">
        <f t="shared" si="342"/>
        <v>0</v>
      </c>
      <c r="L782" s="120">
        <f t="shared" si="343"/>
        <v>0</v>
      </c>
      <c r="M782" s="246">
        <f t="shared" si="344"/>
        <v>0</v>
      </c>
      <c r="N782" s="121">
        <f t="shared" si="345"/>
        <v>1</v>
      </c>
      <c r="O782" s="246">
        <f t="shared" si="346"/>
        <v>0.89702407002188189</v>
      </c>
      <c r="P782" s="121">
        <f t="shared" si="347"/>
        <v>0</v>
      </c>
      <c r="Q782" s="121">
        <f t="shared" si="348"/>
        <v>0</v>
      </c>
      <c r="R782" s="121">
        <f t="shared" si="349"/>
        <v>0</v>
      </c>
      <c r="S782" s="121" t="str">
        <f t="shared" si="350"/>
        <v/>
      </c>
      <c r="T782" s="121" t="str">
        <f t="shared" si="351"/>
        <v/>
      </c>
      <c r="U782" s="121">
        <f t="shared" si="352"/>
        <v>1</v>
      </c>
    </row>
    <row r="783" spans="1:21" x14ac:dyDescent="0.3">
      <c r="A783" s="187">
        <v>3</v>
      </c>
      <c r="B783" s="242">
        <f t="shared" si="353"/>
        <v>45717</v>
      </c>
      <c r="C783" s="243">
        <f t="shared" si="334"/>
        <v>45747</v>
      </c>
      <c r="D783" s="120">
        <f t="shared" si="335"/>
        <v>31</v>
      </c>
      <c r="E783" s="120">
        <f t="shared" si="336"/>
        <v>3</v>
      </c>
      <c r="F783" s="275">
        <f t="shared" si="337"/>
        <v>45732.5</v>
      </c>
      <c r="G783" s="120">
        <f t="shared" si="338"/>
        <v>24302</v>
      </c>
      <c r="H783" s="245">
        <f t="shared" si="339"/>
        <v>1</v>
      </c>
      <c r="I783" s="121">
        <f t="shared" si="340"/>
        <v>1</v>
      </c>
      <c r="J783" s="121">
        <f t="shared" si="341"/>
        <v>1</v>
      </c>
      <c r="K783" s="120">
        <f t="shared" si="342"/>
        <v>0</v>
      </c>
      <c r="L783" s="120">
        <f t="shared" si="343"/>
        <v>0</v>
      </c>
      <c r="M783" s="246">
        <f t="shared" si="344"/>
        <v>0</v>
      </c>
      <c r="N783" s="121">
        <f t="shared" si="345"/>
        <v>1</v>
      </c>
      <c r="O783" s="246">
        <f t="shared" si="346"/>
        <v>0.8976695842450767</v>
      </c>
      <c r="P783" s="121">
        <f t="shared" si="347"/>
        <v>0</v>
      </c>
      <c r="Q783" s="121">
        <f t="shared" si="348"/>
        <v>0</v>
      </c>
      <c r="R783" s="121">
        <f t="shared" si="349"/>
        <v>0</v>
      </c>
      <c r="S783" s="121" t="str">
        <f t="shared" si="350"/>
        <v/>
      </c>
      <c r="T783" s="121" t="str">
        <f t="shared" si="351"/>
        <v/>
      </c>
      <c r="U783" s="121">
        <f t="shared" si="352"/>
        <v>1</v>
      </c>
    </row>
    <row r="784" spans="1:21" x14ac:dyDescent="0.3">
      <c r="A784" s="187">
        <v>4</v>
      </c>
      <c r="B784" s="242">
        <f t="shared" si="353"/>
        <v>45748</v>
      </c>
      <c r="C784" s="243">
        <f t="shared" si="334"/>
        <v>45777</v>
      </c>
      <c r="D784" s="120">
        <f t="shared" si="335"/>
        <v>30</v>
      </c>
      <c r="E784" s="120">
        <f t="shared" si="336"/>
        <v>4</v>
      </c>
      <c r="F784" s="275">
        <f t="shared" si="337"/>
        <v>45763</v>
      </c>
      <c r="G784" s="120">
        <f t="shared" si="338"/>
        <v>24303</v>
      </c>
      <c r="H784" s="245">
        <f t="shared" si="339"/>
        <v>1</v>
      </c>
      <c r="I784" s="121">
        <f t="shared" si="340"/>
        <v>1</v>
      </c>
      <c r="J784" s="121">
        <f t="shared" si="341"/>
        <v>1</v>
      </c>
      <c r="K784" s="120">
        <f t="shared" si="342"/>
        <v>0</v>
      </c>
      <c r="L784" s="120">
        <f t="shared" si="343"/>
        <v>0</v>
      </c>
      <c r="M784" s="246">
        <f t="shared" si="344"/>
        <v>0</v>
      </c>
      <c r="N784" s="121">
        <f t="shared" si="345"/>
        <v>1</v>
      </c>
      <c r="O784" s="246">
        <f t="shared" si="346"/>
        <v>0.89833698030634579</v>
      </c>
      <c r="P784" s="121">
        <f t="shared" si="347"/>
        <v>0</v>
      </c>
      <c r="Q784" s="121">
        <f t="shared" si="348"/>
        <v>0</v>
      </c>
      <c r="R784" s="121">
        <f t="shared" si="349"/>
        <v>0</v>
      </c>
      <c r="S784" s="121" t="str">
        <f t="shared" si="350"/>
        <v/>
      </c>
      <c r="T784" s="121" t="str">
        <f t="shared" si="351"/>
        <v/>
      </c>
      <c r="U784" s="121">
        <f t="shared" si="352"/>
        <v>1</v>
      </c>
    </row>
    <row r="785" spans="1:21" x14ac:dyDescent="0.3">
      <c r="A785" s="187">
        <v>5</v>
      </c>
      <c r="B785" s="242">
        <f t="shared" si="353"/>
        <v>45778</v>
      </c>
      <c r="C785" s="243">
        <f t="shared" si="334"/>
        <v>45808</v>
      </c>
      <c r="D785" s="120">
        <f t="shared" si="335"/>
        <v>31</v>
      </c>
      <c r="E785" s="120">
        <f t="shared" si="336"/>
        <v>5</v>
      </c>
      <c r="F785" s="275">
        <f t="shared" si="337"/>
        <v>45793.5</v>
      </c>
      <c r="G785" s="120">
        <f t="shared" si="338"/>
        <v>24304</v>
      </c>
      <c r="H785" s="245">
        <f t="shared" si="339"/>
        <v>1</v>
      </c>
      <c r="I785" s="121">
        <f t="shared" si="340"/>
        <v>1</v>
      </c>
      <c r="J785" s="121">
        <f t="shared" si="341"/>
        <v>1</v>
      </c>
      <c r="K785" s="120">
        <f t="shared" si="342"/>
        <v>0</v>
      </c>
      <c r="L785" s="120">
        <f t="shared" si="343"/>
        <v>0</v>
      </c>
      <c r="M785" s="246">
        <f t="shared" si="344"/>
        <v>0</v>
      </c>
      <c r="N785" s="121">
        <f t="shared" si="345"/>
        <v>1</v>
      </c>
      <c r="O785" s="246">
        <f t="shared" si="346"/>
        <v>0.89900437636761499</v>
      </c>
      <c r="P785" s="121">
        <f t="shared" si="347"/>
        <v>0</v>
      </c>
      <c r="Q785" s="121">
        <f t="shared" si="348"/>
        <v>0</v>
      </c>
      <c r="R785" s="121">
        <f t="shared" si="349"/>
        <v>0</v>
      </c>
      <c r="S785" s="121" t="str">
        <f t="shared" si="350"/>
        <v/>
      </c>
      <c r="T785" s="121" t="str">
        <f t="shared" si="351"/>
        <v/>
      </c>
      <c r="U785" s="121">
        <f t="shared" si="352"/>
        <v>1</v>
      </c>
    </row>
    <row r="786" spans="1:21" x14ac:dyDescent="0.3">
      <c r="A786" s="187">
        <v>6</v>
      </c>
      <c r="B786" s="242">
        <f t="shared" si="353"/>
        <v>45809</v>
      </c>
      <c r="C786" s="243">
        <f t="shared" si="334"/>
        <v>45838</v>
      </c>
      <c r="D786" s="120">
        <f t="shared" si="335"/>
        <v>30</v>
      </c>
      <c r="E786" s="120">
        <f t="shared" si="336"/>
        <v>6</v>
      </c>
      <c r="F786" s="275">
        <f t="shared" si="337"/>
        <v>45824</v>
      </c>
      <c r="G786" s="120">
        <f t="shared" si="338"/>
        <v>24305</v>
      </c>
      <c r="H786" s="245">
        <f t="shared" si="339"/>
        <v>1</v>
      </c>
      <c r="I786" s="121">
        <f t="shared" si="340"/>
        <v>1</v>
      </c>
      <c r="J786" s="121">
        <f t="shared" si="341"/>
        <v>1</v>
      </c>
      <c r="K786" s="120">
        <f t="shared" si="342"/>
        <v>0</v>
      </c>
      <c r="L786" s="120">
        <f t="shared" si="343"/>
        <v>0</v>
      </c>
      <c r="M786" s="246">
        <f t="shared" si="344"/>
        <v>0</v>
      </c>
      <c r="N786" s="121">
        <f t="shared" si="345"/>
        <v>1</v>
      </c>
      <c r="O786" s="246">
        <f t="shared" si="346"/>
        <v>0.89967177242888408</v>
      </c>
      <c r="P786" s="121">
        <f t="shared" si="347"/>
        <v>0</v>
      </c>
      <c r="Q786" s="121">
        <f t="shared" si="348"/>
        <v>0</v>
      </c>
      <c r="R786" s="121">
        <f t="shared" si="349"/>
        <v>0</v>
      </c>
      <c r="S786" s="121" t="str">
        <f t="shared" si="350"/>
        <v/>
      </c>
      <c r="T786" s="121" t="str">
        <f t="shared" si="351"/>
        <v/>
      </c>
      <c r="U786" s="121">
        <f t="shared" si="352"/>
        <v>1</v>
      </c>
    </row>
    <row r="787" spans="1:21" x14ac:dyDescent="0.3">
      <c r="A787" s="187">
        <v>7</v>
      </c>
      <c r="B787" s="242">
        <f t="shared" si="353"/>
        <v>45839</v>
      </c>
      <c r="C787" s="243">
        <f t="shared" si="334"/>
        <v>45869</v>
      </c>
      <c r="D787" s="120">
        <f t="shared" si="335"/>
        <v>31</v>
      </c>
      <c r="E787" s="120">
        <f t="shared" si="336"/>
        <v>7</v>
      </c>
      <c r="F787" s="275">
        <f t="shared" si="337"/>
        <v>45854.5</v>
      </c>
      <c r="G787" s="120">
        <f t="shared" si="338"/>
        <v>24306</v>
      </c>
      <c r="H787" s="245">
        <f t="shared" si="339"/>
        <v>1</v>
      </c>
      <c r="I787" s="121">
        <f t="shared" si="340"/>
        <v>1</v>
      </c>
      <c r="J787" s="121">
        <f t="shared" si="341"/>
        <v>1</v>
      </c>
      <c r="K787" s="120">
        <f t="shared" si="342"/>
        <v>0</v>
      </c>
      <c r="L787" s="120">
        <f t="shared" si="343"/>
        <v>0</v>
      </c>
      <c r="M787" s="246">
        <f t="shared" si="344"/>
        <v>0</v>
      </c>
      <c r="N787" s="121">
        <f t="shared" si="345"/>
        <v>1</v>
      </c>
      <c r="O787" s="246">
        <f t="shared" si="346"/>
        <v>0.90033916849015327</v>
      </c>
      <c r="P787" s="121">
        <f t="shared" si="347"/>
        <v>8.333333333333337E-2</v>
      </c>
      <c r="Q787" s="121">
        <f t="shared" si="348"/>
        <v>0</v>
      </c>
      <c r="R787" s="121">
        <f t="shared" si="349"/>
        <v>0</v>
      </c>
      <c r="S787" s="121" t="str">
        <f t="shared" si="350"/>
        <v/>
      </c>
      <c r="T787" s="121" t="str">
        <f t="shared" si="351"/>
        <v/>
      </c>
      <c r="U787" s="121">
        <f t="shared" si="352"/>
        <v>1</v>
      </c>
    </row>
    <row r="788" spans="1:21" x14ac:dyDescent="0.3">
      <c r="A788" s="187">
        <v>8</v>
      </c>
      <c r="B788" s="242">
        <f t="shared" si="353"/>
        <v>45870</v>
      </c>
      <c r="C788" s="243">
        <f t="shared" si="334"/>
        <v>45900</v>
      </c>
      <c r="D788" s="120">
        <f t="shared" si="335"/>
        <v>31</v>
      </c>
      <c r="E788" s="120">
        <f t="shared" si="336"/>
        <v>8</v>
      </c>
      <c r="F788" s="275">
        <f t="shared" si="337"/>
        <v>45885.5</v>
      </c>
      <c r="G788" s="120">
        <f t="shared" si="338"/>
        <v>24307</v>
      </c>
      <c r="H788" s="245">
        <f t="shared" si="339"/>
        <v>1</v>
      </c>
      <c r="I788" s="121">
        <f t="shared" si="340"/>
        <v>1</v>
      </c>
      <c r="J788" s="121">
        <f t="shared" si="341"/>
        <v>1</v>
      </c>
      <c r="K788" s="120">
        <f t="shared" si="342"/>
        <v>0</v>
      </c>
      <c r="L788" s="120">
        <f t="shared" si="343"/>
        <v>0</v>
      </c>
      <c r="M788" s="246">
        <f t="shared" si="344"/>
        <v>0</v>
      </c>
      <c r="N788" s="121">
        <f t="shared" si="345"/>
        <v>1</v>
      </c>
      <c r="O788" s="246">
        <f t="shared" si="346"/>
        <v>0.90101750547045956</v>
      </c>
      <c r="P788" s="121">
        <f t="shared" si="347"/>
        <v>0.25</v>
      </c>
      <c r="Q788" s="121">
        <f t="shared" si="348"/>
        <v>0</v>
      </c>
      <c r="R788" s="121">
        <f t="shared" si="349"/>
        <v>0</v>
      </c>
      <c r="S788" s="121" t="str">
        <f t="shared" si="350"/>
        <v/>
      </c>
      <c r="T788" s="121" t="str">
        <f t="shared" si="351"/>
        <v/>
      </c>
      <c r="U788" s="121">
        <f t="shared" si="352"/>
        <v>1</v>
      </c>
    </row>
    <row r="789" spans="1:21" x14ac:dyDescent="0.3">
      <c r="A789" s="187">
        <v>9</v>
      </c>
      <c r="B789" s="242">
        <f t="shared" si="353"/>
        <v>45901</v>
      </c>
      <c r="C789" s="243">
        <f t="shared" si="334"/>
        <v>45930</v>
      </c>
      <c r="D789" s="120">
        <f t="shared" si="335"/>
        <v>30</v>
      </c>
      <c r="E789" s="120">
        <f t="shared" si="336"/>
        <v>9</v>
      </c>
      <c r="F789" s="275">
        <f t="shared" si="337"/>
        <v>45916</v>
      </c>
      <c r="G789" s="120">
        <f t="shared" si="338"/>
        <v>24308</v>
      </c>
      <c r="H789" s="245">
        <f t="shared" si="339"/>
        <v>1</v>
      </c>
      <c r="I789" s="121">
        <f t="shared" si="340"/>
        <v>1</v>
      </c>
      <c r="J789" s="121">
        <f t="shared" si="341"/>
        <v>1</v>
      </c>
      <c r="K789" s="120">
        <f t="shared" si="342"/>
        <v>0</v>
      </c>
      <c r="L789" s="120">
        <f t="shared" si="343"/>
        <v>0</v>
      </c>
      <c r="M789" s="246">
        <f t="shared" si="344"/>
        <v>0</v>
      </c>
      <c r="N789" s="121">
        <f t="shared" si="345"/>
        <v>1</v>
      </c>
      <c r="O789" s="246">
        <f t="shared" si="346"/>
        <v>0.90168490153172876</v>
      </c>
      <c r="P789" s="121">
        <f t="shared" si="347"/>
        <v>0.41666666666666663</v>
      </c>
      <c r="Q789" s="121">
        <f t="shared" si="348"/>
        <v>0</v>
      </c>
      <c r="R789" s="121">
        <f t="shared" si="349"/>
        <v>0</v>
      </c>
      <c r="S789" s="121" t="str">
        <f t="shared" si="350"/>
        <v/>
      </c>
      <c r="T789" s="121" t="str">
        <f t="shared" si="351"/>
        <v/>
      </c>
      <c r="U789" s="121">
        <f t="shared" si="352"/>
        <v>1</v>
      </c>
    </row>
    <row r="790" spans="1:21" x14ac:dyDescent="0.3">
      <c r="A790" s="187">
        <v>10</v>
      </c>
      <c r="B790" s="242">
        <f t="shared" si="353"/>
        <v>45931</v>
      </c>
      <c r="C790" s="243">
        <f t="shared" si="334"/>
        <v>45961</v>
      </c>
      <c r="D790" s="120">
        <f t="shared" si="335"/>
        <v>31</v>
      </c>
      <c r="E790" s="120">
        <f t="shared" si="336"/>
        <v>10</v>
      </c>
      <c r="F790" s="275">
        <f t="shared" si="337"/>
        <v>45946.5</v>
      </c>
      <c r="G790" s="120">
        <f t="shared" si="338"/>
        <v>24309</v>
      </c>
      <c r="H790" s="245">
        <f t="shared" si="339"/>
        <v>1</v>
      </c>
      <c r="I790" s="121">
        <f t="shared" si="340"/>
        <v>1</v>
      </c>
      <c r="J790" s="121">
        <f t="shared" si="341"/>
        <v>1</v>
      </c>
      <c r="K790" s="120">
        <f t="shared" si="342"/>
        <v>0</v>
      </c>
      <c r="L790" s="120">
        <f t="shared" si="343"/>
        <v>0</v>
      </c>
      <c r="M790" s="246">
        <f t="shared" si="344"/>
        <v>0</v>
      </c>
      <c r="N790" s="121">
        <f t="shared" si="345"/>
        <v>1</v>
      </c>
      <c r="O790" s="246">
        <f t="shared" si="346"/>
        <v>0.90235229759299784</v>
      </c>
      <c r="P790" s="121">
        <f t="shared" si="347"/>
        <v>0.58333333333333326</v>
      </c>
      <c r="Q790" s="121">
        <f t="shared" si="348"/>
        <v>0</v>
      </c>
      <c r="R790" s="121">
        <f t="shared" si="349"/>
        <v>0</v>
      </c>
      <c r="S790" s="121" t="str">
        <f t="shared" si="350"/>
        <v/>
      </c>
      <c r="T790" s="121" t="str">
        <f t="shared" si="351"/>
        <v/>
      </c>
      <c r="U790" s="121">
        <f t="shared" si="352"/>
        <v>1</v>
      </c>
    </row>
    <row r="791" spans="1:21" x14ac:dyDescent="0.3">
      <c r="A791" s="187">
        <v>11</v>
      </c>
      <c r="B791" s="242">
        <f t="shared" si="353"/>
        <v>45962</v>
      </c>
      <c r="C791" s="243">
        <f t="shared" si="334"/>
        <v>45991</v>
      </c>
      <c r="D791" s="120">
        <f t="shared" si="335"/>
        <v>30</v>
      </c>
      <c r="E791" s="120">
        <f t="shared" si="336"/>
        <v>11</v>
      </c>
      <c r="F791" s="275">
        <f t="shared" si="337"/>
        <v>45977</v>
      </c>
      <c r="G791" s="120">
        <f t="shared" si="338"/>
        <v>24310</v>
      </c>
      <c r="H791" s="245">
        <f t="shared" si="339"/>
        <v>1</v>
      </c>
      <c r="I791" s="121">
        <f t="shared" si="340"/>
        <v>1</v>
      </c>
      <c r="J791" s="121">
        <f t="shared" si="341"/>
        <v>1</v>
      </c>
      <c r="K791" s="120">
        <f t="shared" si="342"/>
        <v>0</v>
      </c>
      <c r="L791" s="120">
        <f t="shared" si="343"/>
        <v>0</v>
      </c>
      <c r="M791" s="246">
        <f t="shared" si="344"/>
        <v>0</v>
      </c>
      <c r="N791" s="121">
        <f t="shared" si="345"/>
        <v>1</v>
      </c>
      <c r="O791" s="246">
        <f t="shared" si="346"/>
        <v>0.90301969365426704</v>
      </c>
      <c r="P791" s="121">
        <f t="shared" si="347"/>
        <v>0.75</v>
      </c>
      <c r="Q791" s="121">
        <f t="shared" si="348"/>
        <v>0</v>
      </c>
      <c r="R791" s="121">
        <f t="shared" si="349"/>
        <v>0</v>
      </c>
      <c r="S791" s="121" t="str">
        <f t="shared" si="350"/>
        <v/>
      </c>
      <c r="T791" s="121" t="str">
        <f t="shared" si="351"/>
        <v/>
      </c>
      <c r="U791" s="121">
        <f t="shared" si="352"/>
        <v>1</v>
      </c>
    </row>
    <row r="792" spans="1:21" x14ac:dyDescent="0.3">
      <c r="A792" s="187">
        <v>12</v>
      </c>
      <c r="B792" s="242">
        <f t="shared" si="353"/>
        <v>45992</v>
      </c>
      <c r="C792" s="243">
        <f t="shared" si="334"/>
        <v>46022</v>
      </c>
      <c r="D792" s="120">
        <f t="shared" si="335"/>
        <v>31</v>
      </c>
      <c r="E792" s="120">
        <f t="shared" si="336"/>
        <v>12</v>
      </c>
      <c r="F792" s="275">
        <f t="shared" si="337"/>
        <v>46007.5</v>
      </c>
      <c r="G792" s="120">
        <f t="shared" si="338"/>
        <v>24311</v>
      </c>
      <c r="H792" s="245">
        <f t="shared" si="339"/>
        <v>1</v>
      </c>
      <c r="I792" s="121">
        <f t="shared" si="340"/>
        <v>1</v>
      </c>
      <c r="J792" s="121">
        <f t="shared" si="341"/>
        <v>1</v>
      </c>
      <c r="K792" s="120">
        <f t="shared" si="342"/>
        <v>0</v>
      </c>
      <c r="L792" s="120">
        <f t="shared" si="343"/>
        <v>0</v>
      </c>
      <c r="M792" s="246">
        <f t="shared" si="344"/>
        <v>0</v>
      </c>
      <c r="N792" s="121">
        <f t="shared" si="345"/>
        <v>1</v>
      </c>
      <c r="O792" s="246">
        <f t="shared" si="346"/>
        <v>0.90368708971553613</v>
      </c>
      <c r="P792" s="121">
        <f t="shared" si="347"/>
        <v>0.91666666666666663</v>
      </c>
      <c r="Q792" s="121">
        <f t="shared" si="348"/>
        <v>0</v>
      </c>
      <c r="R792" s="121">
        <f t="shared" si="349"/>
        <v>0</v>
      </c>
      <c r="S792" s="121" t="str">
        <f t="shared" si="350"/>
        <v/>
      </c>
      <c r="T792" s="121" t="str">
        <f t="shared" si="351"/>
        <v/>
      </c>
      <c r="U792" s="121">
        <f t="shared" si="352"/>
        <v>1</v>
      </c>
    </row>
    <row r="793" spans="1:21" x14ac:dyDescent="0.3">
      <c r="A793" s="187">
        <v>13</v>
      </c>
      <c r="B793" s="242">
        <f t="shared" si="353"/>
        <v>46023</v>
      </c>
      <c r="C793" s="243">
        <f t="shared" si="334"/>
        <v>46053</v>
      </c>
      <c r="D793" s="120">
        <f t="shared" si="335"/>
        <v>31</v>
      </c>
      <c r="E793" s="120">
        <f t="shared" si="336"/>
        <v>1</v>
      </c>
      <c r="F793" s="275">
        <f t="shared" si="337"/>
        <v>46038.5</v>
      </c>
      <c r="G793" s="120">
        <f t="shared" si="338"/>
        <v>24312</v>
      </c>
      <c r="H793" s="245">
        <f t="shared" si="339"/>
        <v>1</v>
      </c>
      <c r="I793" s="121">
        <f t="shared" si="340"/>
        <v>1</v>
      </c>
      <c r="J793" s="121">
        <f t="shared" si="341"/>
        <v>1</v>
      </c>
      <c r="K793" s="120">
        <f t="shared" si="342"/>
        <v>0</v>
      </c>
      <c r="L793" s="120">
        <f t="shared" si="343"/>
        <v>0</v>
      </c>
      <c r="M793" s="246">
        <f t="shared" si="344"/>
        <v>0</v>
      </c>
      <c r="N793" s="121">
        <f t="shared" si="345"/>
        <v>1</v>
      </c>
      <c r="O793" s="246">
        <f t="shared" si="346"/>
        <v>0.90436542669584252</v>
      </c>
      <c r="P793" s="121">
        <f t="shared" si="347"/>
        <v>1</v>
      </c>
      <c r="Q793" s="121">
        <f t="shared" si="348"/>
        <v>0</v>
      </c>
      <c r="R793" s="121">
        <f t="shared" si="349"/>
        <v>0</v>
      </c>
      <c r="S793" s="121" t="str">
        <f t="shared" si="350"/>
        <v/>
      </c>
      <c r="T793" s="121" t="str">
        <f t="shared" si="351"/>
        <v/>
      </c>
      <c r="U793" s="121">
        <f t="shared" si="352"/>
        <v>1</v>
      </c>
    </row>
    <row r="794" spans="1:21" x14ac:dyDescent="0.3">
      <c r="A794" s="187">
        <v>14</v>
      </c>
      <c r="B794" s="242">
        <f t="shared" si="353"/>
        <v>46054</v>
      </c>
      <c r="C794" s="243">
        <f t="shared" si="334"/>
        <v>46081</v>
      </c>
      <c r="D794" s="120">
        <f t="shared" si="335"/>
        <v>28</v>
      </c>
      <c r="E794" s="120">
        <f t="shared" si="336"/>
        <v>2</v>
      </c>
      <c r="F794" s="275">
        <f t="shared" si="337"/>
        <v>46068</v>
      </c>
      <c r="G794" s="120">
        <f t="shared" si="338"/>
        <v>24313</v>
      </c>
      <c r="H794" s="245">
        <f t="shared" si="339"/>
        <v>1</v>
      </c>
      <c r="I794" s="121">
        <f t="shared" si="340"/>
        <v>1</v>
      </c>
      <c r="J794" s="121">
        <f t="shared" si="341"/>
        <v>1.05</v>
      </c>
      <c r="K794" s="120">
        <f t="shared" si="342"/>
        <v>1</v>
      </c>
      <c r="L794" s="120">
        <f t="shared" si="343"/>
        <v>28</v>
      </c>
      <c r="M794" s="246">
        <f t="shared" si="344"/>
        <v>1</v>
      </c>
      <c r="N794" s="121">
        <f t="shared" si="345"/>
        <v>1.05</v>
      </c>
      <c r="O794" s="246">
        <f t="shared" si="346"/>
        <v>0.90501094091903722</v>
      </c>
      <c r="P794" s="121">
        <f t="shared" si="347"/>
        <v>1</v>
      </c>
      <c r="Q794" s="121">
        <f t="shared" si="348"/>
        <v>0</v>
      </c>
      <c r="R794" s="121">
        <f t="shared" si="349"/>
        <v>0</v>
      </c>
      <c r="S794" s="121" t="str">
        <f t="shared" si="350"/>
        <v/>
      </c>
      <c r="T794" s="121" t="str">
        <f t="shared" si="351"/>
        <v/>
      </c>
      <c r="U794" s="121">
        <f t="shared" si="352"/>
        <v>1.05</v>
      </c>
    </row>
    <row r="795" spans="1:21" x14ac:dyDescent="0.3">
      <c r="A795" s="187">
        <v>15</v>
      </c>
      <c r="B795" s="242">
        <f t="shared" si="353"/>
        <v>46082</v>
      </c>
      <c r="C795" s="243">
        <f t="shared" si="334"/>
        <v>46112</v>
      </c>
      <c r="D795" s="120">
        <f t="shared" si="335"/>
        <v>31</v>
      </c>
      <c r="E795" s="120">
        <f t="shared" si="336"/>
        <v>3</v>
      </c>
      <c r="F795" s="275">
        <f t="shared" si="337"/>
        <v>46097.5</v>
      </c>
      <c r="G795" s="120">
        <f t="shared" si="338"/>
        <v>24314</v>
      </c>
      <c r="H795" s="245">
        <f t="shared" si="339"/>
        <v>1</v>
      </c>
      <c r="I795" s="121">
        <f t="shared" si="340"/>
        <v>1.05</v>
      </c>
      <c r="J795" s="121">
        <f t="shared" si="341"/>
        <v>1.05</v>
      </c>
      <c r="K795" s="120">
        <f t="shared" si="342"/>
        <v>0</v>
      </c>
      <c r="L795" s="120">
        <f t="shared" si="343"/>
        <v>0</v>
      </c>
      <c r="M795" s="246">
        <f t="shared" si="344"/>
        <v>0</v>
      </c>
      <c r="N795" s="121">
        <f t="shared" si="345"/>
        <v>1.05</v>
      </c>
      <c r="O795" s="246">
        <f t="shared" si="346"/>
        <v>0.90565645514223203</v>
      </c>
      <c r="P795" s="121">
        <f t="shared" si="347"/>
        <v>1</v>
      </c>
      <c r="Q795" s="121">
        <f t="shared" si="348"/>
        <v>0</v>
      </c>
      <c r="R795" s="121">
        <f t="shared" si="349"/>
        <v>0</v>
      </c>
      <c r="S795" s="121" t="str">
        <f t="shared" si="350"/>
        <v/>
      </c>
      <c r="T795" s="121" t="str">
        <f t="shared" si="351"/>
        <v/>
      </c>
      <c r="U795" s="121">
        <f t="shared" si="352"/>
        <v>1.05</v>
      </c>
    </row>
    <row r="796" spans="1:21" x14ac:dyDescent="0.3">
      <c r="A796" s="187">
        <v>16</v>
      </c>
      <c r="B796" s="242">
        <f t="shared" si="353"/>
        <v>46113</v>
      </c>
      <c r="C796" s="243">
        <f t="shared" si="334"/>
        <v>46142</v>
      </c>
      <c r="D796" s="120">
        <f t="shared" si="335"/>
        <v>30</v>
      </c>
      <c r="E796" s="120">
        <f t="shared" si="336"/>
        <v>4</v>
      </c>
      <c r="F796" s="275">
        <f t="shared" si="337"/>
        <v>46128</v>
      </c>
      <c r="G796" s="120">
        <f t="shared" si="338"/>
        <v>24315</v>
      </c>
      <c r="H796" s="245">
        <f t="shared" si="339"/>
        <v>1</v>
      </c>
      <c r="I796" s="121">
        <f t="shared" si="340"/>
        <v>1.05</v>
      </c>
      <c r="J796" s="121">
        <f t="shared" si="341"/>
        <v>1.05</v>
      </c>
      <c r="K796" s="120">
        <f t="shared" si="342"/>
        <v>0</v>
      </c>
      <c r="L796" s="120">
        <f t="shared" si="343"/>
        <v>0</v>
      </c>
      <c r="M796" s="246">
        <f t="shared" si="344"/>
        <v>0</v>
      </c>
      <c r="N796" s="121">
        <f t="shared" si="345"/>
        <v>1.05</v>
      </c>
      <c r="O796" s="246">
        <f t="shared" si="346"/>
        <v>0.90632385120350112</v>
      </c>
      <c r="P796" s="121">
        <f t="shared" si="347"/>
        <v>1</v>
      </c>
      <c r="Q796" s="121">
        <f t="shared" si="348"/>
        <v>0</v>
      </c>
      <c r="R796" s="121">
        <f t="shared" si="349"/>
        <v>0</v>
      </c>
      <c r="S796" s="121" t="str">
        <f t="shared" si="350"/>
        <v/>
      </c>
      <c r="T796" s="121" t="str">
        <f t="shared" si="351"/>
        <v/>
      </c>
      <c r="U796" s="121">
        <f t="shared" si="352"/>
        <v>1.05</v>
      </c>
    </row>
    <row r="797" spans="1:21" x14ac:dyDescent="0.3">
      <c r="A797" s="187">
        <v>17</v>
      </c>
      <c r="B797" s="242">
        <f t="shared" si="353"/>
        <v>46143</v>
      </c>
      <c r="C797" s="243">
        <f t="shared" si="334"/>
        <v>46173</v>
      </c>
      <c r="D797" s="120">
        <f t="shared" si="335"/>
        <v>31</v>
      </c>
      <c r="E797" s="120">
        <f t="shared" si="336"/>
        <v>5</v>
      </c>
      <c r="F797" s="275">
        <f t="shared" si="337"/>
        <v>46158.5</v>
      </c>
      <c r="G797" s="120">
        <f t="shared" si="338"/>
        <v>24316</v>
      </c>
      <c r="H797" s="245">
        <f t="shared" si="339"/>
        <v>1</v>
      </c>
      <c r="I797" s="121">
        <f t="shared" si="340"/>
        <v>1.05</v>
      </c>
      <c r="J797" s="121">
        <f t="shared" si="341"/>
        <v>1.05</v>
      </c>
      <c r="K797" s="120">
        <f t="shared" si="342"/>
        <v>0</v>
      </c>
      <c r="L797" s="120">
        <f t="shared" si="343"/>
        <v>0</v>
      </c>
      <c r="M797" s="246">
        <f t="shared" si="344"/>
        <v>0</v>
      </c>
      <c r="N797" s="121">
        <f t="shared" si="345"/>
        <v>1.05</v>
      </c>
      <c r="O797" s="246">
        <f t="shared" si="346"/>
        <v>0.90699124726477032</v>
      </c>
      <c r="P797" s="121">
        <f t="shared" si="347"/>
        <v>1</v>
      </c>
      <c r="Q797" s="121">
        <f t="shared" si="348"/>
        <v>0</v>
      </c>
      <c r="R797" s="121">
        <f t="shared" si="349"/>
        <v>0</v>
      </c>
      <c r="S797" s="121" t="str">
        <f t="shared" si="350"/>
        <v/>
      </c>
      <c r="T797" s="121" t="str">
        <f t="shared" si="351"/>
        <v/>
      </c>
      <c r="U797" s="121">
        <f t="shared" si="352"/>
        <v>1.05</v>
      </c>
    </row>
    <row r="798" spans="1:21" x14ac:dyDescent="0.3">
      <c r="A798" s="187">
        <v>18</v>
      </c>
      <c r="B798" s="242">
        <f t="shared" si="353"/>
        <v>46174</v>
      </c>
      <c r="C798" s="243">
        <f t="shared" si="334"/>
        <v>46203</v>
      </c>
      <c r="D798" s="120">
        <f t="shared" si="335"/>
        <v>30</v>
      </c>
      <c r="E798" s="120">
        <f t="shared" si="336"/>
        <v>6</v>
      </c>
      <c r="F798" s="275">
        <f t="shared" si="337"/>
        <v>46189</v>
      </c>
      <c r="G798" s="120">
        <f t="shared" si="338"/>
        <v>24317</v>
      </c>
      <c r="H798" s="245">
        <f t="shared" si="339"/>
        <v>1</v>
      </c>
      <c r="I798" s="121">
        <f t="shared" si="340"/>
        <v>1.05</v>
      </c>
      <c r="J798" s="121">
        <f t="shared" si="341"/>
        <v>1.05</v>
      </c>
      <c r="K798" s="120">
        <f t="shared" si="342"/>
        <v>0</v>
      </c>
      <c r="L798" s="120">
        <f t="shared" si="343"/>
        <v>0</v>
      </c>
      <c r="M798" s="246">
        <f t="shared" si="344"/>
        <v>0</v>
      </c>
      <c r="N798" s="121">
        <f t="shared" si="345"/>
        <v>1.05</v>
      </c>
      <c r="O798" s="246">
        <f t="shared" si="346"/>
        <v>0.9076586433260394</v>
      </c>
      <c r="P798" s="121">
        <f t="shared" si="347"/>
        <v>1</v>
      </c>
      <c r="Q798" s="121">
        <f t="shared" si="348"/>
        <v>0</v>
      </c>
      <c r="R798" s="121">
        <f t="shared" si="349"/>
        <v>0</v>
      </c>
      <c r="S798" s="121" t="str">
        <f t="shared" si="350"/>
        <v/>
      </c>
      <c r="T798" s="121" t="str">
        <f t="shared" si="351"/>
        <v/>
      </c>
      <c r="U798" s="121">
        <f t="shared" si="352"/>
        <v>1.05</v>
      </c>
    </row>
    <row r="799" spans="1:21" x14ac:dyDescent="0.3">
      <c r="A799" s="187">
        <v>19</v>
      </c>
      <c r="B799" s="242">
        <f t="shared" si="353"/>
        <v>46204</v>
      </c>
      <c r="C799" s="243">
        <f t="shared" si="334"/>
        <v>46234</v>
      </c>
      <c r="D799" s="120">
        <f t="shared" si="335"/>
        <v>31</v>
      </c>
      <c r="E799" s="120">
        <f t="shared" si="336"/>
        <v>7</v>
      </c>
      <c r="F799" s="275">
        <f t="shared" si="337"/>
        <v>46219.5</v>
      </c>
      <c r="G799" s="120">
        <f t="shared" si="338"/>
        <v>24318</v>
      </c>
      <c r="H799" s="245">
        <f t="shared" si="339"/>
        <v>1</v>
      </c>
      <c r="I799" s="121">
        <f t="shared" si="340"/>
        <v>1.05</v>
      </c>
      <c r="J799" s="121">
        <f t="shared" si="341"/>
        <v>1.05</v>
      </c>
      <c r="K799" s="120">
        <f t="shared" si="342"/>
        <v>0</v>
      </c>
      <c r="L799" s="120">
        <f t="shared" si="343"/>
        <v>0</v>
      </c>
      <c r="M799" s="246">
        <f t="shared" si="344"/>
        <v>0</v>
      </c>
      <c r="N799" s="121">
        <f t="shared" si="345"/>
        <v>1.05</v>
      </c>
      <c r="O799" s="246">
        <f t="shared" si="346"/>
        <v>0.9083260393873086</v>
      </c>
      <c r="P799" s="121">
        <f t="shared" si="347"/>
        <v>0.91666666666666663</v>
      </c>
      <c r="Q799" s="121">
        <f t="shared" si="348"/>
        <v>8.333333333333337E-2</v>
      </c>
      <c r="R799" s="121">
        <f t="shared" si="349"/>
        <v>0</v>
      </c>
      <c r="S799" s="121" t="str">
        <f t="shared" si="350"/>
        <v/>
      </c>
      <c r="T799" s="121" t="str">
        <f t="shared" si="351"/>
        <v/>
      </c>
      <c r="U799" s="121">
        <f t="shared" si="352"/>
        <v>1.05</v>
      </c>
    </row>
    <row r="800" spans="1:21" x14ac:dyDescent="0.3">
      <c r="A800" s="187">
        <v>20</v>
      </c>
      <c r="B800" s="242">
        <f t="shared" si="353"/>
        <v>46235</v>
      </c>
      <c r="C800" s="243">
        <f t="shared" si="334"/>
        <v>46265</v>
      </c>
      <c r="D800" s="120">
        <f t="shared" si="335"/>
        <v>31</v>
      </c>
      <c r="E800" s="120">
        <f t="shared" si="336"/>
        <v>8</v>
      </c>
      <c r="F800" s="275">
        <f t="shared" si="337"/>
        <v>46250.5</v>
      </c>
      <c r="G800" s="120">
        <f t="shared" si="338"/>
        <v>24319</v>
      </c>
      <c r="H800" s="245">
        <f t="shared" si="339"/>
        <v>1</v>
      </c>
      <c r="I800" s="121">
        <f t="shared" si="340"/>
        <v>1.05</v>
      </c>
      <c r="J800" s="121">
        <f t="shared" si="341"/>
        <v>1.05</v>
      </c>
      <c r="K800" s="120">
        <f t="shared" si="342"/>
        <v>0</v>
      </c>
      <c r="L800" s="120">
        <f t="shared" si="343"/>
        <v>0</v>
      </c>
      <c r="M800" s="246">
        <f t="shared" si="344"/>
        <v>0</v>
      </c>
      <c r="N800" s="121">
        <f t="shared" si="345"/>
        <v>1.05</v>
      </c>
      <c r="O800" s="246">
        <f t="shared" si="346"/>
        <v>0.90900437636761489</v>
      </c>
      <c r="P800" s="121">
        <f t="shared" si="347"/>
        <v>0.75</v>
      </c>
      <c r="Q800" s="121">
        <f t="shared" si="348"/>
        <v>0.25</v>
      </c>
      <c r="R800" s="121">
        <f t="shared" si="349"/>
        <v>0</v>
      </c>
      <c r="S800" s="121" t="str">
        <f t="shared" si="350"/>
        <v/>
      </c>
      <c r="T800" s="121" t="str">
        <f t="shared" si="351"/>
        <v/>
      </c>
      <c r="U800" s="121">
        <f t="shared" si="352"/>
        <v>1.05</v>
      </c>
    </row>
    <row r="801" spans="1:21" x14ac:dyDescent="0.3">
      <c r="A801" s="187">
        <v>21</v>
      </c>
      <c r="B801" s="242">
        <f t="shared" si="353"/>
        <v>46266</v>
      </c>
      <c r="C801" s="243">
        <f t="shared" si="334"/>
        <v>46295</v>
      </c>
      <c r="D801" s="120">
        <f t="shared" si="335"/>
        <v>30</v>
      </c>
      <c r="E801" s="120">
        <f t="shared" si="336"/>
        <v>9</v>
      </c>
      <c r="F801" s="275">
        <f t="shared" si="337"/>
        <v>46281</v>
      </c>
      <c r="G801" s="120">
        <f t="shared" si="338"/>
        <v>24320</v>
      </c>
      <c r="H801" s="245">
        <f t="shared" si="339"/>
        <v>1</v>
      </c>
      <c r="I801" s="121">
        <f t="shared" si="340"/>
        <v>1.05</v>
      </c>
      <c r="J801" s="121">
        <f t="shared" si="341"/>
        <v>1.05</v>
      </c>
      <c r="K801" s="120">
        <f t="shared" si="342"/>
        <v>0</v>
      </c>
      <c r="L801" s="120">
        <f t="shared" si="343"/>
        <v>0</v>
      </c>
      <c r="M801" s="246">
        <f t="shared" si="344"/>
        <v>0</v>
      </c>
      <c r="N801" s="121">
        <f t="shared" si="345"/>
        <v>1.05</v>
      </c>
      <c r="O801" s="246">
        <f t="shared" si="346"/>
        <v>0.90967177242888408</v>
      </c>
      <c r="P801" s="121">
        <f t="shared" si="347"/>
        <v>0.58333333333333337</v>
      </c>
      <c r="Q801" s="121">
        <f t="shared" si="348"/>
        <v>0.41666666666666663</v>
      </c>
      <c r="R801" s="121">
        <f t="shared" si="349"/>
        <v>0</v>
      </c>
      <c r="S801" s="121" t="str">
        <f t="shared" si="350"/>
        <v/>
      </c>
      <c r="T801" s="121" t="str">
        <f t="shared" si="351"/>
        <v/>
      </c>
      <c r="U801" s="121">
        <f t="shared" si="352"/>
        <v>1.05</v>
      </c>
    </row>
    <row r="802" spans="1:21" x14ac:dyDescent="0.3">
      <c r="A802" s="187">
        <v>22</v>
      </c>
      <c r="B802" s="242">
        <f t="shared" si="353"/>
        <v>46296</v>
      </c>
      <c r="C802" s="243">
        <f t="shared" si="334"/>
        <v>46326</v>
      </c>
      <c r="D802" s="120">
        <f t="shared" si="335"/>
        <v>31</v>
      </c>
      <c r="E802" s="120">
        <f t="shared" si="336"/>
        <v>10</v>
      </c>
      <c r="F802" s="275">
        <f t="shared" si="337"/>
        <v>46311.5</v>
      </c>
      <c r="G802" s="120">
        <f t="shared" si="338"/>
        <v>24321</v>
      </c>
      <c r="H802" s="245">
        <f t="shared" si="339"/>
        <v>1</v>
      </c>
      <c r="I802" s="121">
        <f t="shared" si="340"/>
        <v>1.05</v>
      </c>
      <c r="J802" s="121">
        <f t="shared" si="341"/>
        <v>1.05</v>
      </c>
      <c r="K802" s="120">
        <f t="shared" si="342"/>
        <v>0</v>
      </c>
      <c r="L802" s="120">
        <f t="shared" si="343"/>
        <v>0</v>
      </c>
      <c r="M802" s="246">
        <f t="shared" si="344"/>
        <v>0</v>
      </c>
      <c r="N802" s="121">
        <f t="shared" si="345"/>
        <v>1.05</v>
      </c>
      <c r="O802" s="246">
        <f t="shared" si="346"/>
        <v>0.91033916849015317</v>
      </c>
      <c r="P802" s="121">
        <f t="shared" si="347"/>
        <v>0.41666666666666669</v>
      </c>
      <c r="Q802" s="121">
        <f t="shared" si="348"/>
        <v>0.58333333333333326</v>
      </c>
      <c r="R802" s="121">
        <f t="shared" si="349"/>
        <v>0</v>
      </c>
      <c r="S802" s="121" t="str">
        <f t="shared" si="350"/>
        <v/>
      </c>
      <c r="T802" s="121" t="str">
        <f t="shared" si="351"/>
        <v/>
      </c>
      <c r="U802" s="121">
        <f t="shared" si="352"/>
        <v>1.05</v>
      </c>
    </row>
    <row r="803" spans="1:21" x14ac:dyDescent="0.3">
      <c r="A803" s="187">
        <v>23</v>
      </c>
      <c r="B803" s="242">
        <f t="shared" si="353"/>
        <v>46327</v>
      </c>
      <c r="C803" s="243">
        <f t="shared" si="334"/>
        <v>46356</v>
      </c>
      <c r="D803" s="120">
        <f t="shared" si="335"/>
        <v>30</v>
      </c>
      <c r="E803" s="120">
        <f t="shared" si="336"/>
        <v>11</v>
      </c>
      <c r="F803" s="275">
        <f t="shared" si="337"/>
        <v>46342</v>
      </c>
      <c r="G803" s="120">
        <f t="shared" si="338"/>
        <v>24322</v>
      </c>
      <c r="H803" s="245">
        <f t="shared" si="339"/>
        <v>1</v>
      </c>
      <c r="I803" s="121">
        <f t="shared" si="340"/>
        <v>1.05</v>
      </c>
      <c r="J803" s="121">
        <f t="shared" si="341"/>
        <v>1.05</v>
      </c>
      <c r="K803" s="120">
        <f t="shared" si="342"/>
        <v>0</v>
      </c>
      <c r="L803" s="120">
        <f t="shared" si="343"/>
        <v>0</v>
      </c>
      <c r="M803" s="246">
        <f t="shared" si="344"/>
        <v>0</v>
      </c>
      <c r="N803" s="121">
        <f t="shared" si="345"/>
        <v>1.05</v>
      </c>
      <c r="O803" s="246">
        <f t="shared" si="346"/>
        <v>0.91100656455142237</v>
      </c>
      <c r="P803" s="121">
        <f t="shared" si="347"/>
        <v>0.25</v>
      </c>
      <c r="Q803" s="121">
        <f t="shared" si="348"/>
        <v>0.75</v>
      </c>
      <c r="R803" s="121">
        <f t="shared" si="349"/>
        <v>0</v>
      </c>
      <c r="S803" s="121" t="str">
        <f t="shared" si="350"/>
        <v/>
      </c>
      <c r="T803" s="121" t="str">
        <f t="shared" si="351"/>
        <v/>
      </c>
      <c r="U803" s="121">
        <f t="shared" si="352"/>
        <v>1.05</v>
      </c>
    </row>
    <row r="804" spans="1:21" x14ac:dyDescent="0.3">
      <c r="A804" s="187">
        <v>24</v>
      </c>
      <c r="B804" s="242">
        <f t="shared" si="353"/>
        <v>46357</v>
      </c>
      <c r="C804" s="243">
        <f t="shared" si="334"/>
        <v>46387</v>
      </c>
      <c r="D804" s="120">
        <f t="shared" si="335"/>
        <v>31</v>
      </c>
      <c r="E804" s="120">
        <f t="shared" si="336"/>
        <v>12</v>
      </c>
      <c r="F804" s="275">
        <f t="shared" si="337"/>
        <v>46372.5</v>
      </c>
      <c r="G804" s="120">
        <f t="shared" si="338"/>
        <v>24323</v>
      </c>
      <c r="H804" s="245">
        <f t="shared" si="339"/>
        <v>1</v>
      </c>
      <c r="I804" s="121">
        <f t="shared" si="340"/>
        <v>1.05</v>
      </c>
      <c r="J804" s="121">
        <f t="shared" si="341"/>
        <v>1.05</v>
      </c>
      <c r="K804" s="120">
        <f t="shared" si="342"/>
        <v>0</v>
      </c>
      <c r="L804" s="120">
        <f t="shared" si="343"/>
        <v>0</v>
      </c>
      <c r="M804" s="246">
        <f t="shared" si="344"/>
        <v>0</v>
      </c>
      <c r="N804" s="121">
        <f t="shared" si="345"/>
        <v>1.05</v>
      </c>
      <c r="O804" s="246">
        <f t="shared" si="346"/>
        <v>0.91167396061269146</v>
      </c>
      <c r="P804" s="121">
        <f t="shared" si="347"/>
        <v>8.3333333333333329E-2</v>
      </c>
      <c r="Q804" s="121">
        <f t="shared" si="348"/>
        <v>0.91666666666666663</v>
      </c>
      <c r="R804" s="121">
        <f t="shared" si="349"/>
        <v>0</v>
      </c>
      <c r="S804" s="121" t="str">
        <f t="shared" si="350"/>
        <v/>
      </c>
      <c r="T804" s="121" t="str">
        <f t="shared" si="351"/>
        <v/>
      </c>
      <c r="U804" s="121">
        <f t="shared" si="352"/>
        <v>1.05</v>
      </c>
    </row>
    <row r="805" spans="1:21" x14ac:dyDescent="0.3">
      <c r="A805" s="187">
        <v>25</v>
      </c>
      <c r="B805" s="242">
        <f t="shared" si="353"/>
        <v>46388</v>
      </c>
      <c r="C805" s="243">
        <f t="shared" si="334"/>
        <v>46418</v>
      </c>
      <c r="D805" s="120">
        <f t="shared" si="335"/>
        <v>31</v>
      </c>
      <c r="E805" s="120">
        <f t="shared" si="336"/>
        <v>1</v>
      </c>
      <c r="F805" s="275">
        <f t="shared" si="337"/>
        <v>46403.5</v>
      </c>
      <c r="G805" s="120">
        <f t="shared" si="338"/>
        <v>24324</v>
      </c>
      <c r="H805" s="245">
        <f t="shared" si="339"/>
        <v>1</v>
      </c>
      <c r="I805" s="121">
        <f t="shared" si="340"/>
        <v>1.05</v>
      </c>
      <c r="J805" s="121">
        <f t="shared" si="341"/>
        <v>1.05</v>
      </c>
      <c r="K805" s="120">
        <f t="shared" si="342"/>
        <v>0</v>
      </c>
      <c r="L805" s="120">
        <f t="shared" si="343"/>
        <v>0</v>
      </c>
      <c r="M805" s="246">
        <f t="shared" si="344"/>
        <v>0</v>
      </c>
      <c r="N805" s="121">
        <f t="shared" si="345"/>
        <v>1.05</v>
      </c>
      <c r="O805" s="246">
        <f t="shared" si="346"/>
        <v>0.91235229759299785</v>
      </c>
      <c r="P805" s="121">
        <f t="shared" si="347"/>
        <v>0</v>
      </c>
      <c r="Q805" s="121">
        <f t="shared" si="348"/>
        <v>1</v>
      </c>
      <c r="R805" s="121">
        <f t="shared" si="349"/>
        <v>0</v>
      </c>
      <c r="S805" s="121" t="str">
        <f t="shared" si="350"/>
        <v/>
      </c>
      <c r="T805" s="121" t="str">
        <f t="shared" si="351"/>
        <v/>
      </c>
      <c r="U805" s="121">
        <f t="shared" si="352"/>
        <v>1.05</v>
      </c>
    </row>
    <row r="806" spans="1:21" x14ac:dyDescent="0.3">
      <c r="A806" s="187">
        <v>26</v>
      </c>
      <c r="B806" s="242">
        <f t="shared" si="353"/>
        <v>46419</v>
      </c>
      <c r="C806" s="243">
        <f t="shared" si="334"/>
        <v>46446</v>
      </c>
      <c r="D806" s="120">
        <f t="shared" si="335"/>
        <v>28</v>
      </c>
      <c r="E806" s="120">
        <f t="shared" si="336"/>
        <v>2</v>
      </c>
      <c r="F806" s="275">
        <f t="shared" si="337"/>
        <v>46433</v>
      </c>
      <c r="G806" s="120">
        <f t="shared" si="338"/>
        <v>24325</v>
      </c>
      <c r="H806" s="245">
        <f t="shared" si="339"/>
        <v>1</v>
      </c>
      <c r="I806" s="121">
        <f t="shared" si="340"/>
        <v>1.05</v>
      </c>
      <c r="J806" s="121">
        <f t="shared" si="341"/>
        <v>1.05</v>
      </c>
      <c r="K806" s="120">
        <f t="shared" si="342"/>
        <v>0</v>
      </c>
      <c r="L806" s="120">
        <f t="shared" si="343"/>
        <v>0</v>
      </c>
      <c r="M806" s="246">
        <f t="shared" si="344"/>
        <v>0</v>
      </c>
      <c r="N806" s="121">
        <f t="shared" si="345"/>
        <v>1.05</v>
      </c>
      <c r="O806" s="246">
        <f t="shared" si="346"/>
        <v>0.91299781181619255</v>
      </c>
      <c r="P806" s="121">
        <f t="shared" si="347"/>
        <v>0</v>
      </c>
      <c r="Q806" s="121">
        <f t="shared" si="348"/>
        <v>1</v>
      </c>
      <c r="R806" s="121">
        <f t="shared" si="349"/>
        <v>0</v>
      </c>
      <c r="S806" s="121" t="str">
        <f t="shared" si="350"/>
        <v/>
      </c>
      <c r="T806" s="121" t="str">
        <f t="shared" si="351"/>
        <v/>
      </c>
      <c r="U806" s="121">
        <f t="shared" si="352"/>
        <v>1.05</v>
      </c>
    </row>
    <row r="807" spans="1:21" x14ac:dyDescent="0.3">
      <c r="A807" s="187">
        <v>27</v>
      </c>
      <c r="B807" s="242">
        <f t="shared" si="353"/>
        <v>46447</v>
      </c>
      <c r="C807" s="243">
        <f t="shared" si="334"/>
        <v>46477</v>
      </c>
      <c r="D807" s="120">
        <f t="shared" si="335"/>
        <v>31</v>
      </c>
      <c r="E807" s="120">
        <f t="shared" si="336"/>
        <v>3</v>
      </c>
      <c r="F807" s="275">
        <f t="shared" si="337"/>
        <v>46462.5</v>
      </c>
      <c r="G807" s="120">
        <f t="shared" si="338"/>
        <v>24326</v>
      </c>
      <c r="H807" s="245">
        <f t="shared" si="339"/>
        <v>1</v>
      </c>
      <c r="I807" s="121">
        <f t="shared" si="340"/>
        <v>1.05</v>
      </c>
      <c r="J807" s="121">
        <f t="shared" si="341"/>
        <v>1.05</v>
      </c>
      <c r="K807" s="120">
        <f t="shared" si="342"/>
        <v>0</v>
      </c>
      <c r="L807" s="120">
        <f t="shared" si="343"/>
        <v>0</v>
      </c>
      <c r="M807" s="246">
        <f t="shared" si="344"/>
        <v>0</v>
      </c>
      <c r="N807" s="121">
        <f t="shared" si="345"/>
        <v>1.05</v>
      </c>
      <c r="O807" s="246">
        <f t="shared" si="346"/>
        <v>0.91364332603938736</v>
      </c>
      <c r="P807" s="121">
        <f t="shared" si="347"/>
        <v>0</v>
      </c>
      <c r="Q807" s="121">
        <f t="shared" si="348"/>
        <v>1</v>
      </c>
      <c r="R807" s="121">
        <f t="shared" si="349"/>
        <v>0</v>
      </c>
      <c r="S807" s="121" t="str">
        <f t="shared" si="350"/>
        <v/>
      </c>
      <c r="T807" s="121" t="str">
        <f t="shared" si="351"/>
        <v/>
      </c>
      <c r="U807" s="121">
        <f t="shared" si="352"/>
        <v>1.05</v>
      </c>
    </row>
    <row r="808" spans="1:21" x14ac:dyDescent="0.3">
      <c r="A808" s="187">
        <v>28</v>
      </c>
      <c r="B808" s="242">
        <f t="shared" si="353"/>
        <v>46478</v>
      </c>
      <c r="C808" s="243">
        <f t="shared" si="334"/>
        <v>46507</v>
      </c>
      <c r="D808" s="120">
        <f t="shared" si="335"/>
        <v>30</v>
      </c>
      <c r="E808" s="120">
        <f t="shared" si="336"/>
        <v>4</v>
      </c>
      <c r="F808" s="275">
        <f t="shared" si="337"/>
        <v>46493</v>
      </c>
      <c r="G808" s="120">
        <f t="shared" si="338"/>
        <v>24327</v>
      </c>
      <c r="H808" s="245">
        <f t="shared" si="339"/>
        <v>1</v>
      </c>
      <c r="I808" s="121">
        <f t="shared" si="340"/>
        <v>1.05</v>
      </c>
      <c r="J808" s="121">
        <f t="shared" si="341"/>
        <v>1.0920000000000001</v>
      </c>
      <c r="K808" s="120">
        <f t="shared" si="342"/>
        <v>1</v>
      </c>
      <c r="L808" s="120">
        <f t="shared" si="343"/>
        <v>30</v>
      </c>
      <c r="M808" s="246">
        <f t="shared" si="344"/>
        <v>1</v>
      </c>
      <c r="N808" s="121">
        <f t="shared" si="345"/>
        <v>1.0920000000000001</v>
      </c>
      <c r="O808" s="246">
        <f t="shared" si="346"/>
        <v>0.91431072210065645</v>
      </c>
      <c r="P808" s="121">
        <f t="shared" si="347"/>
        <v>0</v>
      </c>
      <c r="Q808" s="121">
        <f t="shared" si="348"/>
        <v>1</v>
      </c>
      <c r="R808" s="121">
        <f t="shared" si="349"/>
        <v>0</v>
      </c>
      <c r="S808" s="121" t="str">
        <f t="shared" si="350"/>
        <v/>
      </c>
      <c r="T808" s="121" t="str">
        <f t="shared" si="351"/>
        <v/>
      </c>
      <c r="U808" s="121">
        <f t="shared" si="352"/>
        <v>1.0920000000000001</v>
      </c>
    </row>
    <row r="809" spans="1:21" x14ac:dyDescent="0.3">
      <c r="A809" s="187">
        <v>29</v>
      </c>
      <c r="B809" s="242">
        <f t="shared" si="353"/>
        <v>46508</v>
      </c>
      <c r="C809" s="243">
        <f t="shared" si="334"/>
        <v>46538</v>
      </c>
      <c r="D809" s="120">
        <f t="shared" si="335"/>
        <v>31</v>
      </c>
      <c r="E809" s="120">
        <f t="shared" si="336"/>
        <v>5</v>
      </c>
      <c r="F809" s="275">
        <f t="shared" si="337"/>
        <v>46523.5</v>
      </c>
      <c r="G809" s="120">
        <f t="shared" si="338"/>
        <v>24328</v>
      </c>
      <c r="H809" s="245">
        <f t="shared" si="339"/>
        <v>1</v>
      </c>
      <c r="I809" s="121">
        <f t="shared" si="340"/>
        <v>1.0920000000000001</v>
      </c>
      <c r="J809" s="121">
        <f t="shared" si="341"/>
        <v>1.0920000000000001</v>
      </c>
      <c r="K809" s="120">
        <f t="shared" si="342"/>
        <v>0</v>
      </c>
      <c r="L809" s="120">
        <f t="shared" si="343"/>
        <v>0</v>
      </c>
      <c r="M809" s="246">
        <f t="shared" si="344"/>
        <v>0</v>
      </c>
      <c r="N809" s="121">
        <f t="shared" si="345"/>
        <v>1.0920000000000001</v>
      </c>
      <c r="O809" s="246">
        <f t="shared" si="346"/>
        <v>0.91497811816192565</v>
      </c>
      <c r="P809" s="121">
        <f t="shared" si="347"/>
        <v>0</v>
      </c>
      <c r="Q809" s="121">
        <f t="shared" si="348"/>
        <v>1</v>
      </c>
      <c r="R809" s="121">
        <f t="shared" si="349"/>
        <v>0</v>
      </c>
      <c r="S809" s="121" t="str">
        <f t="shared" si="350"/>
        <v/>
      </c>
      <c r="T809" s="121" t="str">
        <f t="shared" si="351"/>
        <v/>
      </c>
      <c r="U809" s="121">
        <f t="shared" si="352"/>
        <v>1.0920000000000001</v>
      </c>
    </row>
    <row r="810" spans="1:21" x14ac:dyDescent="0.3">
      <c r="A810" s="187">
        <v>30</v>
      </c>
      <c r="B810" s="242">
        <f t="shared" si="353"/>
        <v>46539</v>
      </c>
      <c r="C810" s="243">
        <f t="shared" si="334"/>
        <v>46568</v>
      </c>
      <c r="D810" s="120">
        <f t="shared" si="335"/>
        <v>30</v>
      </c>
      <c r="E810" s="120">
        <f t="shared" si="336"/>
        <v>6</v>
      </c>
      <c r="F810" s="275">
        <f t="shared" si="337"/>
        <v>46554</v>
      </c>
      <c r="G810" s="120">
        <f t="shared" si="338"/>
        <v>24329</v>
      </c>
      <c r="H810" s="245">
        <f t="shared" si="339"/>
        <v>1</v>
      </c>
      <c r="I810" s="121">
        <f t="shared" si="340"/>
        <v>1.0920000000000001</v>
      </c>
      <c r="J810" s="121">
        <f t="shared" si="341"/>
        <v>1.0920000000000001</v>
      </c>
      <c r="K810" s="120">
        <f t="shared" si="342"/>
        <v>0</v>
      </c>
      <c r="L810" s="120">
        <f t="shared" si="343"/>
        <v>0</v>
      </c>
      <c r="M810" s="246">
        <f t="shared" si="344"/>
        <v>0</v>
      </c>
      <c r="N810" s="121">
        <f t="shared" si="345"/>
        <v>1.0920000000000001</v>
      </c>
      <c r="O810" s="246">
        <f t="shared" si="346"/>
        <v>0.91564551422319473</v>
      </c>
      <c r="P810" s="121">
        <f t="shared" si="347"/>
        <v>0</v>
      </c>
      <c r="Q810" s="121">
        <f t="shared" si="348"/>
        <v>1</v>
      </c>
      <c r="R810" s="121">
        <f t="shared" si="349"/>
        <v>0</v>
      </c>
      <c r="S810" s="121" t="str">
        <f t="shared" si="350"/>
        <v/>
      </c>
      <c r="T810" s="121" t="str">
        <f t="shared" si="351"/>
        <v/>
      </c>
      <c r="U810" s="121">
        <f t="shared" si="352"/>
        <v>1.0920000000000001</v>
      </c>
    </row>
    <row r="811" spans="1:21" x14ac:dyDescent="0.3">
      <c r="A811" s="187">
        <v>31</v>
      </c>
      <c r="B811" s="242">
        <f t="shared" si="353"/>
        <v>46569</v>
      </c>
      <c r="C811" s="243">
        <f t="shared" si="334"/>
        <v>46599</v>
      </c>
      <c r="D811" s="120">
        <f t="shared" si="335"/>
        <v>31</v>
      </c>
      <c r="E811" s="120">
        <f t="shared" si="336"/>
        <v>7</v>
      </c>
      <c r="F811" s="275">
        <f t="shared" si="337"/>
        <v>46584.5</v>
      </c>
      <c r="G811" s="120">
        <f t="shared" si="338"/>
        <v>24330</v>
      </c>
      <c r="H811" s="245">
        <f t="shared" si="339"/>
        <v>1</v>
      </c>
      <c r="I811" s="121">
        <f t="shared" si="340"/>
        <v>1.0920000000000001</v>
      </c>
      <c r="J811" s="121">
        <f t="shared" si="341"/>
        <v>1.0920000000000001</v>
      </c>
      <c r="K811" s="120">
        <f t="shared" si="342"/>
        <v>0</v>
      </c>
      <c r="L811" s="120">
        <f t="shared" si="343"/>
        <v>0</v>
      </c>
      <c r="M811" s="246">
        <f t="shared" si="344"/>
        <v>0</v>
      </c>
      <c r="N811" s="121">
        <f t="shared" si="345"/>
        <v>1.0920000000000001</v>
      </c>
      <c r="O811" s="246">
        <f t="shared" si="346"/>
        <v>0.91631291028446393</v>
      </c>
      <c r="P811" s="121">
        <f t="shared" si="347"/>
        <v>0</v>
      </c>
      <c r="Q811" s="121">
        <f t="shared" si="348"/>
        <v>0.91666666666666663</v>
      </c>
      <c r="R811" s="121">
        <f t="shared" si="349"/>
        <v>8.333333333333337E-2</v>
      </c>
      <c r="S811" s="121" t="str">
        <f t="shared" si="350"/>
        <v/>
      </c>
      <c r="T811" s="121" t="str">
        <f t="shared" si="351"/>
        <v/>
      </c>
      <c r="U811" s="121">
        <f t="shared" si="352"/>
        <v>1.0920000000000001</v>
      </c>
    </row>
    <row r="812" spans="1:21" x14ac:dyDescent="0.3">
      <c r="A812" s="187">
        <v>32</v>
      </c>
      <c r="B812" s="242">
        <f t="shared" si="353"/>
        <v>46600</v>
      </c>
      <c r="C812" s="243">
        <f t="shared" si="334"/>
        <v>46630</v>
      </c>
      <c r="D812" s="120">
        <f t="shared" si="335"/>
        <v>31</v>
      </c>
      <c r="E812" s="120">
        <f t="shared" si="336"/>
        <v>8</v>
      </c>
      <c r="F812" s="275">
        <f t="shared" si="337"/>
        <v>46615.5</v>
      </c>
      <c r="G812" s="120">
        <f t="shared" si="338"/>
        <v>24331</v>
      </c>
      <c r="H812" s="245">
        <f t="shared" si="339"/>
        <v>1</v>
      </c>
      <c r="I812" s="121">
        <f t="shared" si="340"/>
        <v>1.0920000000000001</v>
      </c>
      <c r="J812" s="121">
        <f t="shared" si="341"/>
        <v>1.0920000000000001</v>
      </c>
      <c r="K812" s="120">
        <f t="shared" si="342"/>
        <v>0</v>
      </c>
      <c r="L812" s="120">
        <f t="shared" si="343"/>
        <v>0</v>
      </c>
      <c r="M812" s="246">
        <f t="shared" si="344"/>
        <v>0</v>
      </c>
      <c r="N812" s="121">
        <f t="shared" si="345"/>
        <v>1.0920000000000001</v>
      </c>
      <c r="O812" s="246">
        <f t="shared" si="346"/>
        <v>0.91699124726477033</v>
      </c>
      <c r="P812" s="121">
        <f t="shared" si="347"/>
        <v>0</v>
      </c>
      <c r="Q812" s="121">
        <f t="shared" si="348"/>
        <v>0.75</v>
      </c>
      <c r="R812" s="121">
        <f t="shared" si="349"/>
        <v>0.25</v>
      </c>
      <c r="S812" s="121" t="str">
        <f t="shared" si="350"/>
        <v/>
      </c>
      <c r="T812" s="121" t="str">
        <f t="shared" si="351"/>
        <v/>
      </c>
      <c r="U812" s="121">
        <f t="shared" si="352"/>
        <v>1.0920000000000001</v>
      </c>
    </row>
    <row r="813" spans="1:21" x14ac:dyDescent="0.3">
      <c r="A813" s="187">
        <v>33</v>
      </c>
      <c r="B813" s="242">
        <f t="shared" si="353"/>
        <v>46631</v>
      </c>
      <c r="C813" s="243">
        <f t="shared" si="334"/>
        <v>46660</v>
      </c>
      <c r="D813" s="120">
        <f t="shared" si="335"/>
        <v>30</v>
      </c>
      <c r="E813" s="120">
        <f t="shared" si="336"/>
        <v>9</v>
      </c>
      <c r="F813" s="275">
        <f t="shared" si="337"/>
        <v>46646</v>
      </c>
      <c r="G813" s="120">
        <f t="shared" si="338"/>
        <v>24332</v>
      </c>
      <c r="H813" s="245">
        <f t="shared" si="339"/>
        <v>1</v>
      </c>
      <c r="I813" s="121">
        <f t="shared" si="340"/>
        <v>1.0920000000000001</v>
      </c>
      <c r="J813" s="121">
        <f t="shared" si="341"/>
        <v>1.0920000000000001</v>
      </c>
      <c r="K813" s="120">
        <f t="shared" si="342"/>
        <v>0</v>
      </c>
      <c r="L813" s="120">
        <f t="shared" si="343"/>
        <v>0</v>
      </c>
      <c r="M813" s="246">
        <f t="shared" si="344"/>
        <v>0</v>
      </c>
      <c r="N813" s="121">
        <f t="shared" si="345"/>
        <v>1.0920000000000001</v>
      </c>
      <c r="O813" s="246">
        <f t="shared" si="346"/>
        <v>0.91765864332603941</v>
      </c>
      <c r="P813" s="121">
        <f t="shared" si="347"/>
        <v>0</v>
      </c>
      <c r="Q813" s="121">
        <f t="shared" si="348"/>
        <v>0.58333333333333337</v>
      </c>
      <c r="R813" s="121">
        <f t="shared" si="349"/>
        <v>0.41666666666666663</v>
      </c>
      <c r="S813" s="121" t="str">
        <f t="shared" si="350"/>
        <v/>
      </c>
      <c r="T813" s="121" t="str">
        <f t="shared" si="351"/>
        <v/>
      </c>
      <c r="U813" s="121">
        <f t="shared" si="352"/>
        <v>1.0920000000000001</v>
      </c>
    </row>
    <row r="814" spans="1:21" x14ac:dyDescent="0.3">
      <c r="A814" s="187">
        <v>34</v>
      </c>
      <c r="B814" s="242">
        <f t="shared" si="353"/>
        <v>46661</v>
      </c>
      <c r="C814" s="243">
        <f t="shared" si="334"/>
        <v>46691</v>
      </c>
      <c r="D814" s="120">
        <f t="shared" si="335"/>
        <v>31</v>
      </c>
      <c r="E814" s="120">
        <f t="shared" si="336"/>
        <v>10</v>
      </c>
      <c r="F814" s="275">
        <f t="shared" si="337"/>
        <v>46676.5</v>
      </c>
      <c r="G814" s="120">
        <f t="shared" si="338"/>
        <v>24333</v>
      </c>
      <c r="H814" s="245">
        <f t="shared" si="339"/>
        <v>1</v>
      </c>
      <c r="I814" s="121">
        <f t="shared" si="340"/>
        <v>1.0920000000000001</v>
      </c>
      <c r="J814" s="121">
        <f t="shared" si="341"/>
        <v>1.0920000000000001</v>
      </c>
      <c r="K814" s="120">
        <f t="shared" si="342"/>
        <v>0</v>
      </c>
      <c r="L814" s="120">
        <f t="shared" si="343"/>
        <v>0</v>
      </c>
      <c r="M814" s="246">
        <f t="shared" si="344"/>
        <v>0</v>
      </c>
      <c r="N814" s="121">
        <f t="shared" si="345"/>
        <v>1.0920000000000001</v>
      </c>
      <c r="O814" s="246">
        <f t="shared" si="346"/>
        <v>0.91832603938730861</v>
      </c>
      <c r="P814" s="121">
        <f t="shared" si="347"/>
        <v>0</v>
      </c>
      <c r="Q814" s="121">
        <f t="shared" si="348"/>
        <v>0.41666666666666669</v>
      </c>
      <c r="R814" s="121">
        <f t="shared" si="349"/>
        <v>0.58333333333333326</v>
      </c>
      <c r="S814" s="121" t="str">
        <f t="shared" si="350"/>
        <v/>
      </c>
      <c r="T814" s="121" t="str">
        <f t="shared" si="351"/>
        <v/>
      </c>
      <c r="U814" s="121">
        <f t="shared" si="352"/>
        <v>1.0920000000000001</v>
      </c>
    </row>
    <row r="815" spans="1:21" x14ac:dyDescent="0.3">
      <c r="A815" s="187">
        <v>35</v>
      </c>
      <c r="B815" s="242">
        <f t="shared" si="353"/>
        <v>46692</v>
      </c>
      <c r="C815" s="243">
        <f t="shared" si="334"/>
        <v>46721</v>
      </c>
      <c r="D815" s="120">
        <f t="shared" si="335"/>
        <v>30</v>
      </c>
      <c r="E815" s="120">
        <f t="shared" si="336"/>
        <v>11</v>
      </c>
      <c r="F815" s="275">
        <f t="shared" si="337"/>
        <v>46707</v>
      </c>
      <c r="G815" s="120">
        <f t="shared" si="338"/>
        <v>24334</v>
      </c>
      <c r="H815" s="245">
        <f t="shared" si="339"/>
        <v>1</v>
      </c>
      <c r="I815" s="121">
        <f t="shared" si="340"/>
        <v>1.0920000000000001</v>
      </c>
      <c r="J815" s="121">
        <f t="shared" si="341"/>
        <v>1.0920000000000001</v>
      </c>
      <c r="K815" s="120">
        <f t="shared" si="342"/>
        <v>0</v>
      </c>
      <c r="L815" s="120">
        <f t="shared" si="343"/>
        <v>0</v>
      </c>
      <c r="M815" s="246">
        <f t="shared" si="344"/>
        <v>0</v>
      </c>
      <c r="N815" s="121">
        <f t="shared" si="345"/>
        <v>1.0920000000000001</v>
      </c>
      <c r="O815" s="246">
        <f t="shared" si="346"/>
        <v>0.9189934354485777</v>
      </c>
      <c r="P815" s="121">
        <f t="shared" si="347"/>
        <v>0</v>
      </c>
      <c r="Q815" s="121">
        <f t="shared" si="348"/>
        <v>0.25</v>
      </c>
      <c r="R815" s="121">
        <f t="shared" si="349"/>
        <v>0.75</v>
      </c>
      <c r="S815" s="121" t="str">
        <f t="shared" si="350"/>
        <v/>
      </c>
      <c r="T815" s="121" t="str">
        <f t="shared" si="351"/>
        <v/>
      </c>
      <c r="U815" s="121">
        <f t="shared" si="352"/>
        <v>1.0920000000000001</v>
      </c>
    </row>
    <row r="816" spans="1:21" x14ac:dyDescent="0.3">
      <c r="A816" s="187">
        <v>36</v>
      </c>
      <c r="B816" s="242">
        <f t="shared" si="353"/>
        <v>46722</v>
      </c>
      <c r="C816" s="243">
        <f t="shared" si="334"/>
        <v>46752</v>
      </c>
      <c r="D816" s="120">
        <f t="shared" si="335"/>
        <v>31</v>
      </c>
      <c r="E816" s="120">
        <f t="shared" si="336"/>
        <v>12</v>
      </c>
      <c r="F816" s="275">
        <f t="shared" si="337"/>
        <v>46737.5</v>
      </c>
      <c r="G816" s="120">
        <f t="shared" si="338"/>
        <v>24335</v>
      </c>
      <c r="H816" s="245">
        <f t="shared" si="339"/>
        <v>1</v>
      </c>
      <c r="I816" s="121">
        <f t="shared" si="340"/>
        <v>1.0920000000000001</v>
      </c>
      <c r="J816" s="121">
        <f t="shared" si="341"/>
        <v>1.0920000000000001</v>
      </c>
      <c r="K816" s="120">
        <f t="shared" si="342"/>
        <v>0</v>
      </c>
      <c r="L816" s="120">
        <f t="shared" si="343"/>
        <v>0</v>
      </c>
      <c r="M816" s="246">
        <f t="shared" si="344"/>
        <v>0</v>
      </c>
      <c r="N816" s="121">
        <f t="shared" si="345"/>
        <v>1.0920000000000001</v>
      </c>
      <c r="O816" s="246">
        <f t="shared" si="346"/>
        <v>0.9196608315098469</v>
      </c>
      <c r="P816" s="121">
        <f t="shared" si="347"/>
        <v>0</v>
      </c>
      <c r="Q816" s="121">
        <f t="shared" si="348"/>
        <v>8.3333333333333329E-2</v>
      </c>
      <c r="R816" s="121">
        <f t="shared" si="349"/>
        <v>0.91666666666666663</v>
      </c>
      <c r="S816" s="121" t="str">
        <f t="shared" si="350"/>
        <v/>
      </c>
      <c r="T816" s="121" t="str">
        <f t="shared" si="351"/>
        <v/>
      </c>
      <c r="U816" s="121">
        <f t="shared" si="352"/>
        <v>1.0920000000000001</v>
      </c>
    </row>
    <row r="817" spans="1:21" x14ac:dyDescent="0.3">
      <c r="A817" s="187">
        <v>37</v>
      </c>
      <c r="B817" s="242">
        <f t="shared" si="353"/>
        <v>46753</v>
      </c>
      <c r="C817" s="243">
        <f t="shared" si="334"/>
        <v>46783</v>
      </c>
      <c r="D817" s="120">
        <f t="shared" si="335"/>
        <v>31</v>
      </c>
      <c r="E817" s="120">
        <f t="shared" si="336"/>
        <v>1</v>
      </c>
      <c r="F817" s="275">
        <f t="shared" si="337"/>
        <v>46768.5</v>
      </c>
      <c r="G817" s="120">
        <f t="shared" si="338"/>
        <v>24336</v>
      </c>
      <c r="H817" s="245">
        <f t="shared" si="339"/>
        <v>1</v>
      </c>
      <c r="I817" s="121">
        <f t="shared" si="340"/>
        <v>1.0920000000000001</v>
      </c>
      <c r="J817" s="121">
        <f t="shared" si="341"/>
        <v>1.0920000000000001</v>
      </c>
      <c r="K817" s="120">
        <f t="shared" si="342"/>
        <v>0</v>
      </c>
      <c r="L817" s="120">
        <f t="shared" si="343"/>
        <v>0</v>
      </c>
      <c r="M817" s="246">
        <f t="shared" si="344"/>
        <v>0</v>
      </c>
      <c r="N817" s="121">
        <f t="shared" si="345"/>
        <v>1.0920000000000001</v>
      </c>
      <c r="O817" s="246">
        <f t="shared" si="346"/>
        <v>0.92</v>
      </c>
      <c r="P817" s="121">
        <f t="shared" si="347"/>
        <v>0</v>
      </c>
      <c r="Q817" s="121">
        <f t="shared" si="348"/>
        <v>0</v>
      </c>
      <c r="R817" s="121">
        <f t="shared" si="349"/>
        <v>1</v>
      </c>
      <c r="S817" s="121" t="str">
        <f t="shared" si="350"/>
        <v/>
      </c>
      <c r="T817" s="121" t="str">
        <f t="shared" si="351"/>
        <v/>
      </c>
      <c r="U817" s="121">
        <f t="shared" si="352"/>
        <v>1.0920000000000001</v>
      </c>
    </row>
    <row r="818" spans="1:21" x14ac:dyDescent="0.3">
      <c r="A818" s="187">
        <v>38</v>
      </c>
      <c r="B818" s="242">
        <f t="shared" si="353"/>
        <v>46784</v>
      </c>
      <c r="C818" s="243">
        <f t="shared" si="334"/>
        <v>46812</v>
      </c>
      <c r="D818" s="120">
        <f t="shared" si="335"/>
        <v>29</v>
      </c>
      <c r="E818" s="120">
        <f t="shared" si="336"/>
        <v>2</v>
      </c>
      <c r="F818" s="275">
        <f t="shared" si="337"/>
        <v>46798.5</v>
      </c>
      <c r="G818" s="120">
        <f t="shared" si="338"/>
        <v>24337</v>
      </c>
      <c r="H818" s="245">
        <f t="shared" si="339"/>
        <v>1</v>
      </c>
      <c r="I818" s="121">
        <f t="shared" si="340"/>
        <v>1.0920000000000001</v>
      </c>
      <c r="J818" s="121">
        <f t="shared" si="341"/>
        <v>1.0920000000000001</v>
      </c>
      <c r="K818" s="120">
        <f t="shared" si="342"/>
        <v>0</v>
      </c>
      <c r="L818" s="120">
        <f t="shared" si="343"/>
        <v>0</v>
      </c>
      <c r="M818" s="246">
        <f t="shared" si="344"/>
        <v>0</v>
      </c>
      <c r="N818" s="121">
        <f t="shared" si="345"/>
        <v>1.0920000000000001</v>
      </c>
      <c r="O818" s="246">
        <f t="shared" si="346"/>
        <v>0.92</v>
      </c>
      <c r="P818" s="121">
        <f t="shared" si="347"/>
        <v>0</v>
      </c>
      <c r="Q818" s="121">
        <f t="shared" si="348"/>
        <v>0</v>
      </c>
      <c r="R818" s="121">
        <f t="shared" si="349"/>
        <v>1</v>
      </c>
      <c r="S818" s="121" t="str">
        <f t="shared" si="350"/>
        <v/>
      </c>
      <c r="T818" s="121" t="str">
        <f t="shared" si="351"/>
        <v/>
      </c>
      <c r="U818" s="121">
        <f t="shared" si="352"/>
        <v>1.0920000000000001</v>
      </c>
    </row>
    <row r="819" spans="1:21" x14ac:dyDescent="0.3">
      <c r="A819" s="187">
        <v>39</v>
      </c>
      <c r="B819" s="242">
        <f t="shared" si="353"/>
        <v>46813</v>
      </c>
      <c r="C819" s="243">
        <f t="shared" si="334"/>
        <v>46843</v>
      </c>
      <c r="D819" s="120">
        <f t="shared" si="335"/>
        <v>31</v>
      </c>
      <c r="E819" s="120">
        <f t="shared" si="336"/>
        <v>3</v>
      </c>
      <c r="F819" s="275">
        <f t="shared" si="337"/>
        <v>46828.5</v>
      </c>
      <c r="G819" s="120">
        <f t="shared" si="338"/>
        <v>24338</v>
      </c>
      <c r="H819" s="245">
        <f t="shared" si="339"/>
        <v>1</v>
      </c>
      <c r="I819" s="121">
        <f t="shared" si="340"/>
        <v>1.0920000000000001</v>
      </c>
      <c r="J819" s="121">
        <f t="shared" si="341"/>
        <v>1.0920000000000001</v>
      </c>
      <c r="K819" s="120">
        <f t="shared" si="342"/>
        <v>0</v>
      </c>
      <c r="L819" s="120">
        <f t="shared" si="343"/>
        <v>0</v>
      </c>
      <c r="M819" s="246">
        <f t="shared" si="344"/>
        <v>0</v>
      </c>
      <c r="N819" s="121">
        <f t="shared" si="345"/>
        <v>1.0920000000000001</v>
      </c>
      <c r="O819" s="246">
        <f t="shared" si="346"/>
        <v>0.92</v>
      </c>
      <c r="P819" s="121">
        <f t="shared" si="347"/>
        <v>0</v>
      </c>
      <c r="Q819" s="121">
        <f t="shared" si="348"/>
        <v>0</v>
      </c>
      <c r="R819" s="121">
        <f t="shared" si="349"/>
        <v>1</v>
      </c>
      <c r="S819" s="121" t="str">
        <f t="shared" si="350"/>
        <v/>
      </c>
      <c r="T819" s="121" t="str">
        <f t="shared" si="351"/>
        <v/>
      </c>
      <c r="U819" s="121">
        <f t="shared" si="352"/>
        <v>1.0920000000000001</v>
      </c>
    </row>
    <row r="820" spans="1:21" x14ac:dyDescent="0.3">
      <c r="A820" s="187">
        <v>40</v>
      </c>
      <c r="B820" s="242">
        <f t="shared" si="353"/>
        <v>46844</v>
      </c>
      <c r="C820" s="243">
        <f t="shared" si="334"/>
        <v>46873</v>
      </c>
      <c r="D820" s="120">
        <f t="shared" si="335"/>
        <v>30</v>
      </c>
      <c r="E820" s="120">
        <f t="shared" si="336"/>
        <v>4</v>
      </c>
      <c r="F820" s="275">
        <f t="shared" si="337"/>
        <v>46859</v>
      </c>
      <c r="G820" s="120">
        <f t="shared" si="338"/>
        <v>24339</v>
      </c>
      <c r="H820" s="245">
        <f t="shared" si="339"/>
        <v>1</v>
      </c>
      <c r="I820" s="121">
        <f t="shared" si="340"/>
        <v>1.0920000000000001</v>
      </c>
      <c r="J820" s="121">
        <f t="shared" si="341"/>
        <v>1.0920000000000001</v>
      </c>
      <c r="K820" s="120">
        <f t="shared" si="342"/>
        <v>0</v>
      </c>
      <c r="L820" s="120">
        <f t="shared" si="343"/>
        <v>0</v>
      </c>
      <c r="M820" s="246">
        <f t="shared" si="344"/>
        <v>0</v>
      </c>
      <c r="N820" s="121">
        <f t="shared" si="345"/>
        <v>1.0920000000000001</v>
      </c>
      <c r="O820" s="246">
        <f t="shared" si="346"/>
        <v>0.92</v>
      </c>
      <c r="P820" s="121">
        <f t="shared" si="347"/>
        <v>0</v>
      </c>
      <c r="Q820" s="121">
        <f t="shared" si="348"/>
        <v>0</v>
      </c>
      <c r="R820" s="121">
        <f t="shared" si="349"/>
        <v>1</v>
      </c>
      <c r="S820" s="121" t="str">
        <f t="shared" si="350"/>
        <v/>
      </c>
      <c r="T820" s="121" t="str">
        <f t="shared" si="351"/>
        <v/>
      </c>
      <c r="U820" s="121">
        <f t="shared" si="352"/>
        <v>1.0920000000000001</v>
      </c>
    </row>
    <row r="821" spans="1:21" x14ac:dyDescent="0.3">
      <c r="A821" s="187">
        <v>41</v>
      </c>
      <c r="B821" s="242">
        <f t="shared" si="353"/>
        <v>46874</v>
      </c>
      <c r="C821" s="243">
        <f t="shared" si="334"/>
        <v>46904</v>
      </c>
      <c r="D821" s="120">
        <f t="shared" si="335"/>
        <v>31</v>
      </c>
      <c r="E821" s="120">
        <f t="shared" si="336"/>
        <v>5</v>
      </c>
      <c r="F821" s="275">
        <f t="shared" si="337"/>
        <v>46889.5</v>
      </c>
      <c r="G821" s="120">
        <f t="shared" si="338"/>
        <v>24340</v>
      </c>
      <c r="H821" s="245">
        <f t="shared" si="339"/>
        <v>1</v>
      </c>
      <c r="I821" s="121">
        <f t="shared" si="340"/>
        <v>1.0920000000000001</v>
      </c>
      <c r="J821" s="121">
        <f t="shared" si="341"/>
        <v>1.0920000000000001</v>
      </c>
      <c r="K821" s="120">
        <f t="shared" si="342"/>
        <v>0</v>
      </c>
      <c r="L821" s="120">
        <f t="shared" si="343"/>
        <v>0</v>
      </c>
      <c r="M821" s="246">
        <f t="shared" si="344"/>
        <v>0</v>
      </c>
      <c r="N821" s="121">
        <f t="shared" si="345"/>
        <v>1.0920000000000001</v>
      </c>
      <c r="O821" s="246">
        <f t="shared" si="346"/>
        <v>0.92</v>
      </c>
      <c r="P821" s="121">
        <f t="shared" si="347"/>
        <v>0</v>
      </c>
      <c r="Q821" s="121">
        <f t="shared" si="348"/>
        <v>0</v>
      </c>
      <c r="R821" s="121">
        <f t="shared" si="349"/>
        <v>1</v>
      </c>
      <c r="S821" s="121" t="str">
        <f t="shared" si="350"/>
        <v/>
      </c>
      <c r="T821" s="121" t="str">
        <f t="shared" si="351"/>
        <v/>
      </c>
      <c r="U821" s="121">
        <f t="shared" si="352"/>
        <v>1.0920000000000001</v>
      </c>
    </row>
    <row r="822" spans="1:21" x14ac:dyDescent="0.3">
      <c r="A822" s="187">
        <v>42</v>
      </c>
      <c r="B822" s="242">
        <f t="shared" si="353"/>
        <v>46905</v>
      </c>
      <c r="C822" s="243">
        <f t="shared" si="334"/>
        <v>46934</v>
      </c>
      <c r="D822" s="120">
        <f t="shared" si="335"/>
        <v>30</v>
      </c>
      <c r="E822" s="120">
        <f t="shared" si="336"/>
        <v>6</v>
      </c>
      <c r="F822" s="275">
        <f t="shared" si="337"/>
        <v>46920</v>
      </c>
      <c r="G822" s="120">
        <f t="shared" si="338"/>
        <v>24341</v>
      </c>
      <c r="H822" s="245">
        <f t="shared" si="339"/>
        <v>1</v>
      </c>
      <c r="I822" s="121">
        <f t="shared" si="340"/>
        <v>1.0920000000000001</v>
      </c>
      <c r="J822" s="121">
        <f t="shared" si="341"/>
        <v>1.0920000000000001</v>
      </c>
      <c r="K822" s="120">
        <f t="shared" si="342"/>
        <v>0</v>
      </c>
      <c r="L822" s="120">
        <f t="shared" si="343"/>
        <v>0</v>
      </c>
      <c r="M822" s="246">
        <f t="shared" si="344"/>
        <v>0</v>
      </c>
      <c r="N822" s="121">
        <f t="shared" si="345"/>
        <v>1.0920000000000001</v>
      </c>
      <c r="O822" s="246">
        <f t="shared" si="346"/>
        <v>0.92</v>
      </c>
      <c r="P822" s="121">
        <f t="shared" si="347"/>
        <v>0</v>
      </c>
      <c r="Q822" s="121">
        <f t="shared" si="348"/>
        <v>0</v>
      </c>
      <c r="R822" s="121">
        <f t="shared" si="349"/>
        <v>1</v>
      </c>
      <c r="S822" s="121" t="str">
        <f t="shared" si="350"/>
        <v/>
      </c>
      <c r="T822" s="121" t="str">
        <f t="shared" si="351"/>
        <v/>
      </c>
      <c r="U822" s="121">
        <f t="shared" si="352"/>
        <v>1.0920000000000001</v>
      </c>
    </row>
    <row r="823" spans="1:21" x14ac:dyDescent="0.3">
      <c r="A823" s="187">
        <v>43</v>
      </c>
      <c r="B823" s="242">
        <f t="shared" si="353"/>
        <v>46935</v>
      </c>
      <c r="C823" s="243">
        <f t="shared" si="334"/>
        <v>46965</v>
      </c>
      <c r="D823" s="120">
        <f t="shared" si="335"/>
        <v>31</v>
      </c>
      <c r="E823" s="120">
        <f t="shared" si="336"/>
        <v>7</v>
      </c>
      <c r="F823" s="275">
        <f t="shared" si="337"/>
        <v>46950.5</v>
      </c>
      <c r="G823" s="120">
        <f t="shared" si="338"/>
        <v>24342</v>
      </c>
      <c r="H823" s="245">
        <f t="shared" si="339"/>
        <v>1</v>
      </c>
      <c r="I823" s="121">
        <f t="shared" si="340"/>
        <v>1.0920000000000001</v>
      </c>
      <c r="J823" s="121">
        <f t="shared" si="341"/>
        <v>1.0920000000000001</v>
      </c>
      <c r="K823" s="120">
        <f t="shared" si="342"/>
        <v>0</v>
      </c>
      <c r="L823" s="120">
        <f t="shared" si="343"/>
        <v>0</v>
      </c>
      <c r="M823" s="246">
        <f t="shared" si="344"/>
        <v>0</v>
      </c>
      <c r="N823" s="121">
        <f t="shared" si="345"/>
        <v>1.0920000000000001</v>
      </c>
      <c r="O823" s="246">
        <f t="shared" si="346"/>
        <v>0.92</v>
      </c>
      <c r="P823" s="121">
        <f t="shared" si="347"/>
        <v>0</v>
      </c>
      <c r="Q823" s="121">
        <f t="shared" si="348"/>
        <v>0</v>
      </c>
      <c r="R823" s="121">
        <f t="shared" si="349"/>
        <v>0.91666666666666663</v>
      </c>
      <c r="S823" s="121" t="str">
        <f t="shared" si="350"/>
        <v/>
      </c>
      <c r="T823" s="121" t="str">
        <f t="shared" si="351"/>
        <v/>
      </c>
      <c r="U823" s="121">
        <f t="shared" si="352"/>
        <v>1.0920000000000001</v>
      </c>
    </row>
    <row r="824" spans="1:21" x14ac:dyDescent="0.3">
      <c r="A824" s="187">
        <v>44</v>
      </c>
      <c r="B824" s="242">
        <f t="shared" si="353"/>
        <v>46966</v>
      </c>
      <c r="C824" s="243">
        <f t="shared" si="334"/>
        <v>46996</v>
      </c>
      <c r="D824" s="120">
        <f t="shared" si="335"/>
        <v>31</v>
      </c>
      <c r="E824" s="120">
        <f t="shared" si="336"/>
        <v>8</v>
      </c>
      <c r="F824" s="275">
        <f t="shared" si="337"/>
        <v>46981.5</v>
      </c>
      <c r="G824" s="120">
        <f t="shared" si="338"/>
        <v>24343</v>
      </c>
      <c r="H824" s="245">
        <f t="shared" si="339"/>
        <v>1</v>
      </c>
      <c r="I824" s="121">
        <f t="shared" si="340"/>
        <v>1.0920000000000001</v>
      </c>
      <c r="J824" s="121">
        <f t="shared" si="341"/>
        <v>1.0920000000000001</v>
      </c>
      <c r="K824" s="120">
        <f t="shared" si="342"/>
        <v>0</v>
      </c>
      <c r="L824" s="120">
        <f t="shared" si="343"/>
        <v>0</v>
      </c>
      <c r="M824" s="246">
        <f t="shared" si="344"/>
        <v>0</v>
      </c>
      <c r="N824" s="121">
        <f t="shared" si="345"/>
        <v>1.0920000000000001</v>
      </c>
      <c r="O824" s="246">
        <f t="shared" si="346"/>
        <v>0.92</v>
      </c>
      <c r="P824" s="121">
        <f t="shared" si="347"/>
        <v>0</v>
      </c>
      <c r="Q824" s="121">
        <f t="shared" si="348"/>
        <v>0</v>
      </c>
      <c r="R824" s="121">
        <f t="shared" si="349"/>
        <v>0.75</v>
      </c>
      <c r="S824" s="121" t="str">
        <f t="shared" si="350"/>
        <v/>
      </c>
      <c r="T824" s="121" t="str">
        <f t="shared" si="351"/>
        <v/>
      </c>
      <c r="U824" s="121">
        <f t="shared" si="352"/>
        <v>1.0920000000000001</v>
      </c>
    </row>
    <row r="825" spans="1:21" x14ac:dyDescent="0.3">
      <c r="A825" s="187">
        <v>45</v>
      </c>
      <c r="B825" s="242">
        <f t="shared" si="353"/>
        <v>46997</v>
      </c>
      <c r="C825" s="243">
        <f t="shared" si="334"/>
        <v>47026</v>
      </c>
      <c r="D825" s="120">
        <f t="shared" si="335"/>
        <v>30</v>
      </c>
      <c r="E825" s="120">
        <f t="shared" si="336"/>
        <v>9</v>
      </c>
      <c r="F825" s="275">
        <f t="shared" si="337"/>
        <v>47012</v>
      </c>
      <c r="G825" s="120">
        <f t="shared" si="338"/>
        <v>24344</v>
      </c>
      <c r="H825" s="245">
        <f t="shared" si="339"/>
        <v>1</v>
      </c>
      <c r="I825" s="121">
        <f t="shared" si="340"/>
        <v>1.0920000000000001</v>
      </c>
      <c r="J825" s="121">
        <f t="shared" si="341"/>
        <v>1.0920000000000001</v>
      </c>
      <c r="K825" s="120">
        <f t="shared" si="342"/>
        <v>0</v>
      </c>
      <c r="L825" s="120">
        <f t="shared" si="343"/>
        <v>0</v>
      </c>
      <c r="M825" s="246">
        <f t="shared" si="344"/>
        <v>0</v>
      </c>
      <c r="N825" s="121">
        <f t="shared" si="345"/>
        <v>1.0920000000000001</v>
      </c>
      <c r="O825" s="246">
        <f t="shared" si="346"/>
        <v>0.92</v>
      </c>
      <c r="P825" s="121">
        <f t="shared" si="347"/>
        <v>0</v>
      </c>
      <c r="Q825" s="121">
        <f t="shared" si="348"/>
        <v>0</v>
      </c>
      <c r="R825" s="121">
        <f t="shared" si="349"/>
        <v>0.58333333333333337</v>
      </c>
      <c r="S825" s="121" t="str">
        <f t="shared" si="350"/>
        <v/>
      </c>
      <c r="T825" s="121" t="str">
        <f t="shared" si="351"/>
        <v/>
      </c>
      <c r="U825" s="121">
        <f t="shared" si="352"/>
        <v>1.0920000000000001</v>
      </c>
    </row>
    <row r="826" spans="1:21" x14ac:dyDescent="0.3">
      <c r="A826" s="187">
        <v>46</v>
      </c>
      <c r="B826" s="242">
        <f t="shared" si="353"/>
        <v>47027</v>
      </c>
      <c r="C826" s="243">
        <f t="shared" si="334"/>
        <v>47057</v>
      </c>
      <c r="D826" s="120">
        <f t="shared" si="335"/>
        <v>31</v>
      </c>
      <c r="E826" s="120">
        <f t="shared" si="336"/>
        <v>10</v>
      </c>
      <c r="F826" s="275">
        <f t="shared" si="337"/>
        <v>47042.5</v>
      </c>
      <c r="G826" s="120">
        <f t="shared" si="338"/>
        <v>24345</v>
      </c>
      <c r="H826" s="245">
        <f t="shared" si="339"/>
        <v>1</v>
      </c>
      <c r="I826" s="121">
        <f t="shared" si="340"/>
        <v>1.0920000000000001</v>
      </c>
      <c r="J826" s="121">
        <f t="shared" si="341"/>
        <v>1.0920000000000001</v>
      </c>
      <c r="K826" s="120">
        <f t="shared" si="342"/>
        <v>0</v>
      </c>
      <c r="L826" s="120">
        <f t="shared" si="343"/>
        <v>0</v>
      </c>
      <c r="M826" s="246">
        <f t="shared" si="344"/>
        <v>0</v>
      </c>
      <c r="N826" s="121">
        <f t="shared" si="345"/>
        <v>1.0920000000000001</v>
      </c>
      <c r="O826" s="246">
        <f t="shared" si="346"/>
        <v>0.92</v>
      </c>
      <c r="P826" s="121">
        <f t="shared" si="347"/>
        <v>0</v>
      </c>
      <c r="Q826" s="121">
        <f t="shared" si="348"/>
        <v>0</v>
      </c>
      <c r="R826" s="121">
        <f t="shared" si="349"/>
        <v>0.41666666666666669</v>
      </c>
      <c r="S826" s="121" t="str">
        <f t="shared" si="350"/>
        <v/>
      </c>
      <c r="T826" s="121" t="str">
        <f t="shared" si="351"/>
        <v/>
      </c>
      <c r="U826" s="121">
        <f t="shared" si="352"/>
        <v>1.0920000000000001</v>
      </c>
    </row>
    <row r="827" spans="1:21" x14ac:dyDescent="0.3">
      <c r="A827" s="187">
        <v>47</v>
      </c>
      <c r="B827" s="242">
        <f t="shared" si="353"/>
        <v>47058</v>
      </c>
      <c r="C827" s="243">
        <f t="shared" si="334"/>
        <v>47087</v>
      </c>
      <c r="D827" s="120">
        <f t="shared" si="335"/>
        <v>30</v>
      </c>
      <c r="E827" s="120">
        <f t="shared" si="336"/>
        <v>11</v>
      </c>
      <c r="F827" s="275">
        <f t="shared" si="337"/>
        <v>47073</v>
      </c>
      <c r="G827" s="120">
        <f t="shared" si="338"/>
        <v>24346</v>
      </c>
      <c r="H827" s="245">
        <f t="shared" si="339"/>
        <v>1</v>
      </c>
      <c r="I827" s="121">
        <f t="shared" si="340"/>
        <v>1.0920000000000001</v>
      </c>
      <c r="J827" s="121">
        <f t="shared" si="341"/>
        <v>1.0920000000000001</v>
      </c>
      <c r="K827" s="120">
        <f t="shared" si="342"/>
        <v>0</v>
      </c>
      <c r="L827" s="120">
        <f t="shared" si="343"/>
        <v>0</v>
      </c>
      <c r="M827" s="246">
        <f t="shared" si="344"/>
        <v>0</v>
      </c>
      <c r="N827" s="121">
        <f t="shared" si="345"/>
        <v>1.0920000000000001</v>
      </c>
      <c r="O827" s="246">
        <f t="shared" si="346"/>
        <v>0.92</v>
      </c>
      <c r="P827" s="121">
        <f t="shared" si="347"/>
        <v>0</v>
      </c>
      <c r="Q827" s="121">
        <f t="shared" si="348"/>
        <v>0</v>
      </c>
      <c r="R827" s="121">
        <f t="shared" si="349"/>
        <v>0.25</v>
      </c>
      <c r="S827" s="121" t="str">
        <f t="shared" si="350"/>
        <v/>
      </c>
      <c r="T827" s="121" t="str">
        <f t="shared" si="351"/>
        <v/>
      </c>
      <c r="U827" s="121">
        <f t="shared" si="352"/>
        <v>1.0920000000000001</v>
      </c>
    </row>
    <row r="828" spans="1:21" x14ac:dyDescent="0.3">
      <c r="A828" s="187">
        <v>48</v>
      </c>
      <c r="B828" s="242">
        <f t="shared" si="353"/>
        <v>47088</v>
      </c>
      <c r="C828" s="243">
        <f t="shared" si="334"/>
        <v>47118</v>
      </c>
      <c r="D828" s="120">
        <f t="shared" si="335"/>
        <v>31</v>
      </c>
      <c r="E828" s="120">
        <f t="shared" si="336"/>
        <v>12</v>
      </c>
      <c r="F828" s="275">
        <f t="shared" si="337"/>
        <v>47103.5</v>
      </c>
      <c r="G828" s="120">
        <f t="shared" si="338"/>
        <v>24347</v>
      </c>
      <c r="H828" s="245">
        <f t="shared" si="339"/>
        <v>1</v>
      </c>
      <c r="I828" s="121">
        <f t="shared" si="340"/>
        <v>1.0920000000000001</v>
      </c>
      <c r="J828" s="121">
        <f t="shared" si="341"/>
        <v>1.0920000000000001</v>
      </c>
      <c r="K828" s="120">
        <f t="shared" si="342"/>
        <v>0</v>
      </c>
      <c r="L828" s="120">
        <f t="shared" si="343"/>
        <v>0</v>
      </c>
      <c r="M828" s="246">
        <f t="shared" si="344"/>
        <v>0</v>
      </c>
      <c r="N828" s="121">
        <f t="shared" si="345"/>
        <v>1.0920000000000001</v>
      </c>
      <c r="O828" s="246">
        <f t="shared" si="346"/>
        <v>0.92</v>
      </c>
      <c r="P828" s="121">
        <f t="shared" si="347"/>
        <v>0</v>
      </c>
      <c r="Q828" s="121">
        <f t="shared" si="348"/>
        <v>0</v>
      </c>
      <c r="R828" s="121">
        <f t="shared" si="349"/>
        <v>8.3333333333333329E-2</v>
      </c>
      <c r="S828" s="121" t="str">
        <f t="shared" si="350"/>
        <v/>
      </c>
      <c r="T828" s="121" t="str">
        <f t="shared" si="351"/>
        <v/>
      </c>
      <c r="U828" s="121">
        <f t="shared" si="352"/>
        <v>1.0920000000000001</v>
      </c>
    </row>
    <row r="829" spans="1:21" x14ac:dyDescent="0.3">
      <c r="A829" s="6" t="s">
        <v>1651</v>
      </c>
      <c r="B829" s="73">
        <f>EXP(SUMPRODUCT((rl_key=$A$778)*(rl_cons="Y")*rl_ln1p))</f>
        <v>1.05</v>
      </c>
      <c r="C829" s="73">
        <f>SUMPRODUCT($H$781:$H$828,$P$781:$P$828,$U$781:$U$828)/SUMPRODUCT($H$781:$H$828,$P$781:$P$828)</f>
        <v>1.0333333333333334</v>
      </c>
      <c r="D829" s="73">
        <f>SUMPRODUCT($H$781:$H$828,$Q$781:$Q$828,$U$781:$U$828)/SUMPRODUCT($H$781:$H$828,$Q$781:$Q$828)</f>
        <v>1.071</v>
      </c>
      <c r="E829" s="73">
        <f>SUMPRODUCT($H$781:$H$828,$R$781:$R$828,$U$781:$U$828)/SUMPRODUCT($H$781:$H$828,$R$781:$R$828)</f>
        <v>1.0920000000000003</v>
      </c>
      <c r="F829" s="224">
        <f>SUMPRODUCT($H$781:$H$828,$Q$781:$Q$828,$O$781:$O$828)/SUMPRODUCT($H$781:$H$828,$Q$781:$Q$828)</f>
        <v>0.91399252370532447</v>
      </c>
      <c r="G829" s="224">
        <f>SUMPRODUCT($H$781:$H$828,$R$781:$R$828,$O$781:$O$828)/SUMPRODUCT($H$781:$H$828,$R$781:$R$828)</f>
        <v>0.91966022368101141</v>
      </c>
      <c r="H829" s="73">
        <f>SUMPRODUCT($H$805:$H$816,$N$805:$N$816/$N$793:$N$804)/SUM($H$805:$H$816)</f>
        <v>1.0341666666666665</v>
      </c>
      <c r="I829" s="73">
        <f>SUMPRODUCT($H$805:$H$816,$O$805:$O$816/$O$793:$O$804)/SUM($H$805:$H$816)</f>
        <v>1.0087961468131064</v>
      </c>
      <c r="J829" s="73">
        <f>IF($O$778=1,SUMPRODUCT($H$805:$H$816,$N$805:$N$816/$N$793:$N$804*$O$805:$O$816/$O$793:$O$804)/SUM($H$805:$H$816),$H829)</f>
        <v>1.0432632054397151</v>
      </c>
      <c r="K829" s="73">
        <f>SUMPRODUCT($H$781:$H$828,$Q$781:$Q$828,$N$781:$N$828)/SUMPRODUCT($H$781:$H$828,$Q$781:$Q$828)</f>
        <v>1.071</v>
      </c>
      <c r="L829" s="73">
        <f>SUMPRODUCT($H$781:$H$828,$R$781:$R$828,$N$781:$N$828)/SUMPRODUCT($H$781:$H$828,$R$781:$R$828)</f>
        <v>1.0920000000000003</v>
      </c>
    </row>
    <row r="832" spans="1:21" x14ac:dyDescent="0.3">
      <c r="A832" s="6" t="str">
        <f>INDEX(lr_key,15)</f>
        <v>ABD|OH</v>
      </c>
      <c r="B832" s="6" t="str">
        <f>INDEX(lr_state,15)</f>
        <v>OH</v>
      </c>
      <c r="C832" s="75">
        <f>nr_TermMonths</f>
        <v>6</v>
      </c>
      <c r="D832" s="75">
        <f>IF(COUNTIF(se_state,$B832)=0,0,MATCH($B832,se_state,0))</f>
        <v>0</v>
      </c>
      <c r="E832" s="70">
        <f>IF($D832=0,0,INDEX(se_sum,$D832))</f>
        <v>0</v>
      </c>
      <c r="F832" s="224">
        <f>IF(N(INDEX(lr_mind,15))=0,1,INDEX(lr_mind,15))</f>
        <v>0.92</v>
      </c>
      <c r="G832" s="224">
        <f>IF(N(INDEX(lr_m0,15))=0,1,INDEX(lr_m0,15))</f>
        <v>0.91</v>
      </c>
      <c r="H832" s="74">
        <f>IF(N(INDEX(lr_m0asof,15))=0,DATE(nr_PlanYear-1,10,1),INDEX(lr_m0asof,15))</f>
        <v>46295</v>
      </c>
      <c r="I832" s="224">
        <f>IF(N(INDEX(lr_m1,15))=0,1,INDEX(lr_m1,15))</f>
        <v>0.9</v>
      </c>
      <c r="J832" s="224">
        <f>INDEX(lr_mprior,15)</f>
        <v>0</v>
      </c>
      <c r="K832" s="224">
        <f>INDEX(lr_m2,15)</f>
        <v>0</v>
      </c>
      <c r="L832" s="6" t="b">
        <f>NOT(ISBLANK(INDEX(lr_netp,15)))</f>
        <v>0</v>
      </c>
      <c r="M832" s="72">
        <f>N(INDEX(lr_netp,15))</f>
        <v>0</v>
      </c>
      <c r="N832" s="72">
        <f>IF(ISBLANK(INDEX(lr_netp1,15)),$M$832,N(INDEX(lr_netp1,15)))</f>
        <v>0</v>
      </c>
      <c r="O832" s="75">
        <f>IF(AND(nr_ModAdjMaster="ON",INDEX(lr_modadj,15)="ON"),1,0)</f>
        <v>1</v>
      </c>
    </row>
    <row r="833" spans="1:21" x14ac:dyDescent="0.3">
      <c r="A833" s="6">
        <f>EDATE($H$832,-12)+1</f>
        <v>45931</v>
      </c>
      <c r="B833" s="6">
        <f>$H$832+1</f>
        <v>46296</v>
      </c>
      <c r="C833" s="6">
        <f>DATE(nr_PlanYear,12,31)+1</f>
        <v>46753</v>
      </c>
      <c r="D833" s="6">
        <f>DATE(nr_PlanYear+1,12,31)+1</f>
        <v>47119</v>
      </c>
      <c r="E833" s="6">
        <f>IF(N($J$832)=0,$F$833-($G$833-$F$833)/($C$833-$B$833)*($B$833-$A$833),$J$832)</f>
        <v>0.91798687089715536</v>
      </c>
      <c r="F833" s="6">
        <f>$G$832</f>
        <v>0.91</v>
      </c>
      <c r="G833" s="6">
        <f>$I$832</f>
        <v>0.9</v>
      </c>
      <c r="H833" s="6">
        <f>IF(N($K$832)=0,$I$832,$K$832)</f>
        <v>0.9</v>
      </c>
      <c r="I833" s="6">
        <f>($F$833-$E$833)/($B$833-$A$833)</f>
        <v>-2.1881838074398162E-5</v>
      </c>
      <c r="J833" s="6">
        <f>($G$833-$F$833)/($C$833-$B$833)</f>
        <v>-2.188183807439827E-5</v>
      </c>
      <c r="K833" s="6">
        <f>($H$833-$G$833)/($D$833-$C$833)</f>
        <v>0</v>
      </c>
    </row>
    <row r="834" spans="1:21" ht="36" x14ac:dyDescent="0.3">
      <c r="A834" s="58" t="s">
        <v>390</v>
      </c>
      <c r="B834" s="58" t="s">
        <v>449</v>
      </c>
      <c r="C834" s="58" t="s">
        <v>685</v>
      </c>
      <c r="D834" s="58" t="s">
        <v>686</v>
      </c>
      <c r="E834" s="58" t="s">
        <v>687</v>
      </c>
      <c r="F834" s="58" t="s">
        <v>688</v>
      </c>
      <c r="G834" s="58" t="s">
        <v>689</v>
      </c>
      <c r="H834" s="58" t="s">
        <v>452</v>
      </c>
      <c r="I834" s="58" t="s">
        <v>690</v>
      </c>
      <c r="J834" s="58" t="s">
        <v>691</v>
      </c>
      <c r="K834" s="58" t="s">
        <v>692</v>
      </c>
      <c r="L834" s="58" t="s">
        <v>693</v>
      </c>
      <c r="M834" s="58" t="s">
        <v>694</v>
      </c>
      <c r="N834" s="58" t="s">
        <v>695</v>
      </c>
      <c r="O834" s="58" t="s">
        <v>696</v>
      </c>
      <c r="P834" s="58" t="s">
        <v>697</v>
      </c>
      <c r="Q834" s="58" t="s">
        <v>698</v>
      </c>
      <c r="R834" s="58" t="s">
        <v>699</v>
      </c>
      <c r="S834" s="58" t="s">
        <v>700</v>
      </c>
      <c r="T834" s="58" t="s">
        <v>701</v>
      </c>
      <c r="U834" s="58" t="s">
        <v>702</v>
      </c>
    </row>
    <row r="835" spans="1:21" x14ac:dyDescent="0.3">
      <c r="A835" s="187">
        <v>1</v>
      </c>
      <c r="B835" s="242">
        <f>DATE(nr_PlanYear-2,1,1)</f>
        <v>45658</v>
      </c>
      <c r="C835" s="243">
        <f t="shared" ref="C835:C882" si="354">EOMONTH($B835,0)</f>
        <v>45688</v>
      </c>
      <c r="D835" s="120">
        <f t="shared" ref="D835:D882" si="355">$C835-$B835+1</f>
        <v>31</v>
      </c>
      <c r="E835" s="120">
        <f t="shared" ref="E835:E882" si="356">MONTH($B835)</f>
        <v>1</v>
      </c>
      <c r="F835" s="275">
        <f t="shared" ref="F835:F882" si="357">($B835+$C835+1)/2</f>
        <v>45673.5</v>
      </c>
      <c r="G835" s="120">
        <f t="shared" ref="G835:G882" si="358">YEAR($B835)*12+MONTH($B835)-1</f>
        <v>24300</v>
      </c>
      <c r="H835" s="245">
        <f t="shared" ref="H835:H882" si="359">IF(OR(nr_SeasonOn="OFF",$D$832=0,$E$832=0),1,12*INDEX(se_block,$D$832,$E835)/$E$832)</f>
        <v>1</v>
      </c>
      <c r="I835" s="121">
        <f t="shared" ref="I835:I882" si="360">EXP(SUMPRODUCT((rl_eff&lt;$B835)*(rl_key=$A$832)*rl_ln1p))</f>
        <v>1</v>
      </c>
      <c r="J835" s="121">
        <f t="shared" ref="J835:J882" si="361">EXP(SUMPRODUCT((rl_eff&lt;=$C835)*(rl_key=$A$832)*rl_ln1p))</f>
        <v>1</v>
      </c>
      <c r="K835" s="120">
        <f t="shared" ref="K835:K882" si="362">COUNTIFS(rl_key,$A$832,rl_eff,"&gt;="&amp;$B835,rl_eff,"&lt;="&amp;$C835)</f>
        <v>0</v>
      </c>
      <c r="L835" s="120">
        <f t="shared" ref="L835:L882" si="363">SUMIFS(rl_daysafter,rl_key,$A$832,rl_effmonth,$B835,rl_first,1)</f>
        <v>0</v>
      </c>
      <c r="M835" s="246">
        <f t="shared" ref="M835:M882" si="364">IF($K835=0,0,MIN(1,$L835/$D835))</f>
        <v>0</v>
      </c>
      <c r="N835" s="121">
        <f t="shared" ref="N835:N882" si="365">IF($K835=0,$J835,(1-$M835)*$I835+$M835*$J835)</f>
        <v>1</v>
      </c>
      <c r="O835" s="246">
        <f t="shared" ref="O835:O882" si="366">IF($F835&lt;$B$833,$E$833+$I$833*($F835-$A$833),IF($F835&lt;$C$833,$F$833+$J$833*($F835-$B$833),$G$833+$K$833*($F835-$C$833)))</f>
        <v>0.92362144420131287</v>
      </c>
      <c r="P835" s="121">
        <f t="shared" ref="P835:P882" si="367">MIN(1,MAX(0,(nr_MEndPm1-$G835+0.5)/$C$832))-MIN(1,MAX(0,(nr_MStartPm1-1-$G835+0.5)/$C$832))</f>
        <v>0</v>
      </c>
      <c r="Q835" s="121">
        <f t="shared" ref="Q835:Q882" si="368">MIN(1,MAX(0,(nr_MEndP-$G835+0.5)/$C$832))-MIN(1,MAX(0,(nr_MStartP-1-$G835+0.5)/$C$832))</f>
        <v>0</v>
      </c>
      <c r="R835" s="121">
        <f t="shared" ref="R835:R882" si="369">MIN(1,MAX(0,(nr_MEndP1-$G835+0.5)/$C$832))-MIN(1,MAX(0,(nr_MStartP1-1-$G835+0.5)/$C$832))</f>
        <v>0</v>
      </c>
      <c r="S835" s="121" t="str">
        <f t="shared" ref="S835:S882" si="370">IF($L$832,$N835*IF($O$832=1,$O835/$F$832,1),"")</f>
        <v/>
      </c>
      <c r="T835" s="121" t="str">
        <f t="shared" ref="T835:T882" si="371">IF(NOT($L$832),"",IF($G835&lt;nr_MStartP,$S835,$T823*(1+IF($G835&lt;nr_MStartP1,$M$832,$N$832))))</f>
        <v/>
      </c>
      <c r="U835" s="121">
        <f t="shared" ref="U835:U882" si="372">IF($L$832,$T835,$N835)</f>
        <v>1</v>
      </c>
    </row>
    <row r="836" spans="1:21" x14ac:dyDescent="0.3">
      <c r="A836" s="187">
        <v>2</v>
      </c>
      <c r="B836" s="242">
        <f t="shared" ref="B836:B882" si="373">EDATE($B835,1)</f>
        <v>45689</v>
      </c>
      <c r="C836" s="243">
        <f t="shared" si="354"/>
        <v>45716</v>
      </c>
      <c r="D836" s="120">
        <f t="shared" si="355"/>
        <v>28</v>
      </c>
      <c r="E836" s="120">
        <f t="shared" si="356"/>
        <v>2</v>
      </c>
      <c r="F836" s="275">
        <f t="shared" si="357"/>
        <v>45703</v>
      </c>
      <c r="G836" s="120">
        <f t="shared" si="358"/>
        <v>24301</v>
      </c>
      <c r="H836" s="245">
        <f t="shared" si="359"/>
        <v>1</v>
      </c>
      <c r="I836" s="121">
        <f t="shared" si="360"/>
        <v>1</v>
      </c>
      <c r="J836" s="121">
        <f t="shared" si="361"/>
        <v>1</v>
      </c>
      <c r="K836" s="120">
        <f t="shared" si="362"/>
        <v>0</v>
      </c>
      <c r="L836" s="120">
        <f t="shared" si="363"/>
        <v>0</v>
      </c>
      <c r="M836" s="246">
        <f t="shared" si="364"/>
        <v>0</v>
      </c>
      <c r="N836" s="121">
        <f t="shared" si="365"/>
        <v>1</v>
      </c>
      <c r="O836" s="246">
        <f t="shared" si="366"/>
        <v>0.92297592997811817</v>
      </c>
      <c r="P836" s="121">
        <f t="shared" si="367"/>
        <v>0</v>
      </c>
      <c r="Q836" s="121">
        <f t="shared" si="368"/>
        <v>0</v>
      </c>
      <c r="R836" s="121">
        <f t="shared" si="369"/>
        <v>0</v>
      </c>
      <c r="S836" s="121" t="str">
        <f t="shared" si="370"/>
        <v/>
      </c>
      <c r="T836" s="121" t="str">
        <f t="shared" si="371"/>
        <v/>
      </c>
      <c r="U836" s="121">
        <f t="shared" si="372"/>
        <v>1</v>
      </c>
    </row>
    <row r="837" spans="1:21" x14ac:dyDescent="0.3">
      <c r="A837" s="187">
        <v>3</v>
      </c>
      <c r="B837" s="242">
        <f t="shared" si="373"/>
        <v>45717</v>
      </c>
      <c r="C837" s="243">
        <f t="shared" si="354"/>
        <v>45747</v>
      </c>
      <c r="D837" s="120">
        <f t="shared" si="355"/>
        <v>31</v>
      </c>
      <c r="E837" s="120">
        <f t="shared" si="356"/>
        <v>3</v>
      </c>
      <c r="F837" s="275">
        <f t="shared" si="357"/>
        <v>45732.5</v>
      </c>
      <c r="G837" s="120">
        <f t="shared" si="358"/>
        <v>24302</v>
      </c>
      <c r="H837" s="245">
        <f t="shared" si="359"/>
        <v>1</v>
      </c>
      <c r="I837" s="121">
        <f t="shared" si="360"/>
        <v>1</v>
      </c>
      <c r="J837" s="121">
        <f t="shared" si="361"/>
        <v>1</v>
      </c>
      <c r="K837" s="120">
        <f t="shared" si="362"/>
        <v>0</v>
      </c>
      <c r="L837" s="120">
        <f t="shared" si="363"/>
        <v>0</v>
      </c>
      <c r="M837" s="246">
        <f t="shared" si="364"/>
        <v>0</v>
      </c>
      <c r="N837" s="121">
        <f t="shared" si="365"/>
        <v>1</v>
      </c>
      <c r="O837" s="246">
        <f t="shared" si="366"/>
        <v>0.92233041575492336</v>
      </c>
      <c r="P837" s="121">
        <f t="shared" si="367"/>
        <v>0</v>
      </c>
      <c r="Q837" s="121">
        <f t="shared" si="368"/>
        <v>0</v>
      </c>
      <c r="R837" s="121">
        <f t="shared" si="369"/>
        <v>0</v>
      </c>
      <c r="S837" s="121" t="str">
        <f t="shared" si="370"/>
        <v/>
      </c>
      <c r="T837" s="121" t="str">
        <f t="shared" si="371"/>
        <v/>
      </c>
      <c r="U837" s="121">
        <f t="shared" si="372"/>
        <v>1</v>
      </c>
    </row>
    <row r="838" spans="1:21" x14ac:dyDescent="0.3">
      <c r="A838" s="187">
        <v>4</v>
      </c>
      <c r="B838" s="242">
        <f t="shared" si="373"/>
        <v>45748</v>
      </c>
      <c r="C838" s="243">
        <f t="shared" si="354"/>
        <v>45777</v>
      </c>
      <c r="D838" s="120">
        <f t="shared" si="355"/>
        <v>30</v>
      </c>
      <c r="E838" s="120">
        <f t="shared" si="356"/>
        <v>4</v>
      </c>
      <c r="F838" s="275">
        <f t="shared" si="357"/>
        <v>45763</v>
      </c>
      <c r="G838" s="120">
        <f t="shared" si="358"/>
        <v>24303</v>
      </c>
      <c r="H838" s="245">
        <f t="shared" si="359"/>
        <v>1</v>
      </c>
      <c r="I838" s="121">
        <f t="shared" si="360"/>
        <v>1</v>
      </c>
      <c r="J838" s="121">
        <f t="shared" si="361"/>
        <v>1</v>
      </c>
      <c r="K838" s="120">
        <f t="shared" si="362"/>
        <v>0</v>
      </c>
      <c r="L838" s="120">
        <f t="shared" si="363"/>
        <v>0</v>
      </c>
      <c r="M838" s="246">
        <f t="shared" si="364"/>
        <v>0</v>
      </c>
      <c r="N838" s="121">
        <f t="shared" si="365"/>
        <v>1</v>
      </c>
      <c r="O838" s="246">
        <f t="shared" si="366"/>
        <v>0.92166301969365427</v>
      </c>
      <c r="P838" s="121">
        <f t="shared" si="367"/>
        <v>0</v>
      </c>
      <c r="Q838" s="121">
        <f t="shared" si="368"/>
        <v>0</v>
      </c>
      <c r="R838" s="121">
        <f t="shared" si="369"/>
        <v>0</v>
      </c>
      <c r="S838" s="121" t="str">
        <f t="shared" si="370"/>
        <v/>
      </c>
      <c r="T838" s="121" t="str">
        <f t="shared" si="371"/>
        <v/>
      </c>
      <c r="U838" s="121">
        <f t="shared" si="372"/>
        <v>1</v>
      </c>
    </row>
    <row r="839" spans="1:21" x14ac:dyDescent="0.3">
      <c r="A839" s="187">
        <v>5</v>
      </c>
      <c r="B839" s="242">
        <f t="shared" si="373"/>
        <v>45778</v>
      </c>
      <c r="C839" s="243">
        <f t="shared" si="354"/>
        <v>45808</v>
      </c>
      <c r="D839" s="120">
        <f t="shared" si="355"/>
        <v>31</v>
      </c>
      <c r="E839" s="120">
        <f t="shared" si="356"/>
        <v>5</v>
      </c>
      <c r="F839" s="275">
        <f t="shared" si="357"/>
        <v>45793.5</v>
      </c>
      <c r="G839" s="120">
        <f t="shared" si="358"/>
        <v>24304</v>
      </c>
      <c r="H839" s="245">
        <f t="shared" si="359"/>
        <v>1</v>
      </c>
      <c r="I839" s="121">
        <f t="shared" si="360"/>
        <v>1</v>
      </c>
      <c r="J839" s="121">
        <f t="shared" si="361"/>
        <v>1</v>
      </c>
      <c r="K839" s="120">
        <f t="shared" si="362"/>
        <v>0</v>
      </c>
      <c r="L839" s="120">
        <f t="shared" si="363"/>
        <v>0</v>
      </c>
      <c r="M839" s="246">
        <f t="shared" si="364"/>
        <v>0</v>
      </c>
      <c r="N839" s="121">
        <f t="shared" si="365"/>
        <v>1</v>
      </c>
      <c r="O839" s="246">
        <f t="shared" si="366"/>
        <v>0.92099562363238507</v>
      </c>
      <c r="P839" s="121">
        <f t="shared" si="367"/>
        <v>0</v>
      </c>
      <c r="Q839" s="121">
        <f t="shared" si="368"/>
        <v>0</v>
      </c>
      <c r="R839" s="121">
        <f t="shared" si="369"/>
        <v>0</v>
      </c>
      <c r="S839" s="121" t="str">
        <f t="shared" si="370"/>
        <v/>
      </c>
      <c r="T839" s="121" t="str">
        <f t="shared" si="371"/>
        <v/>
      </c>
      <c r="U839" s="121">
        <f t="shared" si="372"/>
        <v>1</v>
      </c>
    </row>
    <row r="840" spans="1:21" x14ac:dyDescent="0.3">
      <c r="A840" s="187">
        <v>6</v>
      </c>
      <c r="B840" s="242">
        <f t="shared" si="373"/>
        <v>45809</v>
      </c>
      <c r="C840" s="243">
        <f t="shared" si="354"/>
        <v>45838</v>
      </c>
      <c r="D840" s="120">
        <f t="shared" si="355"/>
        <v>30</v>
      </c>
      <c r="E840" s="120">
        <f t="shared" si="356"/>
        <v>6</v>
      </c>
      <c r="F840" s="275">
        <f t="shared" si="357"/>
        <v>45824</v>
      </c>
      <c r="G840" s="120">
        <f t="shared" si="358"/>
        <v>24305</v>
      </c>
      <c r="H840" s="245">
        <f t="shared" si="359"/>
        <v>1</v>
      </c>
      <c r="I840" s="121">
        <f t="shared" si="360"/>
        <v>1</v>
      </c>
      <c r="J840" s="121">
        <f t="shared" si="361"/>
        <v>1</v>
      </c>
      <c r="K840" s="120">
        <f t="shared" si="362"/>
        <v>0</v>
      </c>
      <c r="L840" s="120">
        <f t="shared" si="363"/>
        <v>0</v>
      </c>
      <c r="M840" s="246">
        <f t="shared" si="364"/>
        <v>0</v>
      </c>
      <c r="N840" s="121">
        <f t="shared" si="365"/>
        <v>1</v>
      </c>
      <c r="O840" s="246">
        <f t="shared" si="366"/>
        <v>0.92032822757111599</v>
      </c>
      <c r="P840" s="121">
        <f t="shared" si="367"/>
        <v>0</v>
      </c>
      <c r="Q840" s="121">
        <f t="shared" si="368"/>
        <v>0</v>
      </c>
      <c r="R840" s="121">
        <f t="shared" si="369"/>
        <v>0</v>
      </c>
      <c r="S840" s="121" t="str">
        <f t="shared" si="370"/>
        <v/>
      </c>
      <c r="T840" s="121" t="str">
        <f t="shared" si="371"/>
        <v/>
      </c>
      <c r="U840" s="121">
        <f t="shared" si="372"/>
        <v>1</v>
      </c>
    </row>
    <row r="841" spans="1:21" x14ac:dyDescent="0.3">
      <c r="A841" s="187">
        <v>7</v>
      </c>
      <c r="B841" s="242">
        <f t="shared" si="373"/>
        <v>45839</v>
      </c>
      <c r="C841" s="243">
        <f t="shared" si="354"/>
        <v>45869</v>
      </c>
      <c r="D841" s="120">
        <f t="shared" si="355"/>
        <v>31</v>
      </c>
      <c r="E841" s="120">
        <f t="shared" si="356"/>
        <v>7</v>
      </c>
      <c r="F841" s="275">
        <f t="shared" si="357"/>
        <v>45854.5</v>
      </c>
      <c r="G841" s="120">
        <f t="shared" si="358"/>
        <v>24306</v>
      </c>
      <c r="H841" s="245">
        <f t="shared" si="359"/>
        <v>1</v>
      </c>
      <c r="I841" s="121">
        <f t="shared" si="360"/>
        <v>1</v>
      </c>
      <c r="J841" s="121">
        <f t="shared" si="361"/>
        <v>1</v>
      </c>
      <c r="K841" s="120">
        <f t="shared" si="362"/>
        <v>0</v>
      </c>
      <c r="L841" s="120">
        <f t="shared" si="363"/>
        <v>0</v>
      </c>
      <c r="M841" s="246">
        <f t="shared" si="364"/>
        <v>0</v>
      </c>
      <c r="N841" s="121">
        <f t="shared" si="365"/>
        <v>1</v>
      </c>
      <c r="O841" s="246">
        <f t="shared" si="366"/>
        <v>0.91966083150984679</v>
      </c>
      <c r="P841" s="121">
        <f t="shared" si="367"/>
        <v>8.333333333333337E-2</v>
      </c>
      <c r="Q841" s="121">
        <f t="shared" si="368"/>
        <v>0</v>
      </c>
      <c r="R841" s="121">
        <f t="shared" si="369"/>
        <v>0</v>
      </c>
      <c r="S841" s="121" t="str">
        <f t="shared" si="370"/>
        <v/>
      </c>
      <c r="T841" s="121" t="str">
        <f t="shared" si="371"/>
        <v/>
      </c>
      <c r="U841" s="121">
        <f t="shared" si="372"/>
        <v>1</v>
      </c>
    </row>
    <row r="842" spans="1:21" x14ac:dyDescent="0.3">
      <c r="A842" s="187">
        <v>8</v>
      </c>
      <c r="B842" s="242">
        <f t="shared" si="373"/>
        <v>45870</v>
      </c>
      <c r="C842" s="243">
        <f t="shared" si="354"/>
        <v>45900</v>
      </c>
      <c r="D842" s="120">
        <f t="shared" si="355"/>
        <v>31</v>
      </c>
      <c r="E842" s="120">
        <f t="shared" si="356"/>
        <v>8</v>
      </c>
      <c r="F842" s="275">
        <f t="shared" si="357"/>
        <v>45885.5</v>
      </c>
      <c r="G842" s="120">
        <f t="shared" si="358"/>
        <v>24307</v>
      </c>
      <c r="H842" s="245">
        <f t="shared" si="359"/>
        <v>1</v>
      </c>
      <c r="I842" s="121">
        <f t="shared" si="360"/>
        <v>1</v>
      </c>
      <c r="J842" s="121">
        <f t="shared" si="361"/>
        <v>1</v>
      </c>
      <c r="K842" s="120">
        <f t="shared" si="362"/>
        <v>0</v>
      </c>
      <c r="L842" s="120">
        <f t="shared" si="363"/>
        <v>0</v>
      </c>
      <c r="M842" s="246">
        <f t="shared" si="364"/>
        <v>0</v>
      </c>
      <c r="N842" s="121">
        <f t="shared" si="365"/>
        <v>1</v>
      </c>
      <c r="O842" s="246">
        <f t="shared" si="366"/>
        <v>0.91898249452954051</v>
      </c>
      <c r="P842" s="121">
        <f t="shared" si="367"/>
        <v>0.25</v>
      </c>
      <c r="Q842" s="121">
        <f t="shared" si="368"/>
        <v>0</v>
      </c>
      <c r="R842" s="121">
        <f t="shared" si="369"/>
        <v>0</v>
      </c>
      <c r="S842" s="121" t="str">
        <f t="shared" si="370"/>
        <v/>
      </c>
      <c r="T842" s="121" t="str">
        <f t="shared" si="371"/>
        <v/>
      </c>
      <c r="U842" s="121">
        <f t="shared" si="372"/>
        <v>1</v>
      </c>
    </row>
    <row r="843" spans="1:21" x14ac:dyDescent="0.3">
      <c r="A843" s="187">
        <v>9</v>
      </c>
      <c r="B843" s="242">
        <f t="shared" si="373"/>
        <v>45901</v>
      </c>
      <c r="C843" s="243">
        <f t="shared" si="354"/>
        <v>45930</v>
      </c>
      <c r="D843" s="120">
        <f t="shared" si="355"/>
        <v>30</v>
      </c>
      <c r="E843" s="120">
        <f t="shared" si="356"/>
        <v>9</v>
      </c>
      <c r="F843" s="275">
        <f t="shared" si="357"/>
        <v>45916</v>
      </c>
      <c r="G843" s="120">
        <f t="shared" si="358"/>
        <v>24308</v>
      </c>
      <c r="H843" s="245">
        <f t="shared" si="359"/>
        <v>1</v>
      </c>
      <c r="I843" s="121">
        <f t="shared" si="360"/>
        <v>1</v>
      </c>
      <c r="J843" s="121">
        <f t="shared" si="361"/>
        <v>1</v>
      </c>
      <c r="K843" s="120">
        <f t="shared" si="362"/>
        <v>0</v>
      </c>
      <c r="L843" s="120">
        <f t="shared" si="363"/>
        <v>0</v>
      </c>
      <c r="M843" s="246">
        <f t="shared" si="364"/>
        <v>0</v>
      </c>
      <c r="N843" s="121">
        <f t="shared" si="365"/>
        <v>1</v>
      </c>
      <c r="O843" s="246">
        <f t="shared" si="366"/>
        <v>0.91831509846827131</v>
      </c>
      <c r="P843" s="121">
        <f t="shared" si="367"/>
        <v>0.41666666666666663</v>
      </c>
      <c r="Q843" s="121">
        <f t="shared" si="368"/>
        <v>0</v>
      </c>
      <c r="R843" s="121">
        <f t="shared" si="369"/>
        <v>0</v>
      </c>
      <c r="S843" s="121" t="str">
        <f t="shared" si="370"/>
        <v/>
      </c>
      <c r="T843" s="121" t="str">
        <f t="shared" si="371"/>
        <v/>
      </c>
      <c r="U843" s="121">
        <f t="shared" si="372"/>
        <v>1</v>
      </c>
    </row>
    <row r="844" spans="1:21" x14ac:dyDescent="0.3">
      <c r="A844" s="187">
        <v>10</v>
      </c>
      <c r="B844" s="242">
        <f t="shared" si="373"/>
        <v>45931</v>
      </c>
      <c r="C844" s="243">
        <f t="shared" si="354"/>
        <v>45961</v>
      </c>
      <c r="D844" s="120">
        <f t="shared" si="355"/>
        <v>31</v>
      </c>
      <c r="E844" s="120">
        <f t="shared" si="356"/>
        <v>10</v>
      </c>
      <c r="F844" s="275">
        <f t="shared" si="357"/>
        <v>45946.5</v>
      </c>
      <c r="G844" s="120">
        <f t="shared" si="358"/>
        <v>24309</v>
      </c>
      <c r="H844" s="245">
        <f t="shared" si="359"/>
        <v>1</v>
      </c>
      <c r="I844" s="121">
        <f t="shared" si="360"/>
        <v>1</v>
      </c>
      <c r="J844" s="121">
        <f t="shared" si="361"/>
        <v>1</v>
      </c>
      <c r="K844" s="120">
        <f t="shared" si="362"/>
        <v>0</v>
      </c>
      <c r="L844" s="120">
        <f t="shared" si="363"/>
        <v>0</v>
      </c>
      <c r="M844" s="246">
        <f t="shared" si="364"/>
        <v>0</v>
      </c>
      <c r="N844" s="121">
        <f t="shared" si="365"/>
        <v>1</v>
      </c>
      <c r="O844" s="246">
        <f t="shared" si="366"/>
        <v>0.91764770240700222</v>
      </c>
      <c r="P844" s="121">
        <f t="shared" si="367"/>
        <v>0.58333333333333326</v>
      </c>
      <c r="Q844" s="121">
        <f t="shared" si="368"/>
        <v>0</v>
      </c>
      <c r="R844" s="121">
        <f t="shared" si="369"/>
        <v>0</v>
      </c>
      <c r="S844" s="121" t="str">
        <f t="shared" si="370"/>
        <v/>
      </c>
      <c r="T844" s="121" t="str">
        <f t="shared" si="371"/>
        <v/>
      </c>
      <c r="U844" s="121">
        <f t="shared" si="372"/>
        <v>1</v>
      </c>
    </row>
    <row r="845" spans="1:21" x14ac:dyDescent="0.3">
      <c r="A845" s="187">
        <v>11</v>
      </c>
      <c r="B845" s="242">
        <f t="shared" si="373"/>
        <v>45962</v>
      </c>
      <c r="C845" s="243">
        <f t="shared" si="354"/>
        <v>45991</v>
      </c>
      <c r="D845" s="120">
        <f t="shared" si="355"/>
        <v>30</v>
      </c>
      <c r="E845" s="120">
        <f t="shared" si="356"/>
        <v>11</v>
      </c>
      <c r="F845" s="275">
        <f t="shared" si="357"/>
        <v>45977</v>
      </c>
      <c r="G845" s="120">
        <f t="shared" si="358"/>
        <v>24310</v>
      </c>
      <c r="H845" s="245">
        <f t="shared" si="359"/>
        <v>1</v>
      </c>
      <c r="I845" s="121">
        <f t="shared" si="360"/>
        <v>1</v>
      </c>
      <c r="J845" s="121">
        <f t="shared" si="361"/>
        <v>1</v>
      </c>
      <c r="K845" s="120">
        <f t="shared" si="362"/>
        <v>0</v>
      </c>
      <c r="L845" s="120">
        <f t="shared" si="363"/>
        <v>0</v>
      </c>
      <c r="M845" s="246">
        <f t="shared" si="364"/>
        <v>0</v>
      </c>
      <c r="N845" s="121">
        <f t="shared" si="365"/>
        <v>1</v>
      </c>
      <c r="O845" s="246">
        <f t="shared" si="366"/>
        <v>0.91698030634573302</v>
      </c>
      <c r="P845" s="121">
        <f t="shared" si="367"/>
        <v>0.75</v>
      </c>
      <c r="Q845" s="121">
        <f t="shared" si="368"/>
        <v>0</v>
      </c>
      <c r="R845" s="121">
        <f t="shared" si="369"/>
        <v>0</v>
      </c>
      <c r="S845" s="121" t="str">
        <f t="shared" si="370"/>
        <v/>
      </c>
      <c r="T845" s="121" t="str">
        <f t="shared" si="371"/>
        <v/>
      </c>
      <c r="U845" s="121">
        <f t="shared" si="372"/>
        <v>1</v>
      </c>
    </row>
    <row r="846" spans="1:21" x14ac:dyDescent="0.3">
      <c r="A846" s="187">
        <v>12</v>
      </c>
      <c r="B846" s="242">
        <f t="shared" si="373"/>
        <v>45992</v>
      </c>
      <c r="C846" s="243">
        <f t="shared" si="354"/>
        <v>46022</v>
      </c>
      <c r="D846" s="120">
        <f t="shared" si="355"/>
        <v>31</v>
      </c>
      <c r="E846" s="120">
        <f t="shared" si="356"/>
        <v>12</v>
      </c>
      <c r="F846" s="275">
        <f t="shared" si="357"/>
        <v>46007.5</v>
      </c>
      <c r="G846" s="120">
        <f t="shared" si="358"/>
        <v>24311</v>
      </c>
      <c r="H846" s="245">
        <f t="shared" si="359"/>
        <v>1</v>
      </c>
      <c r="I846" s="121">
        <f t="shared" si="360"/>
        <v>1</v>
      </c>
      <c r="J846" s="121">
        <f t="shared" si="361"/>
        <v>1</v>
      </c>
      <c r="K846" s="120">
        <f t="shared" si="362"/>
        <v>0</v>
      </c>
      <c r="L846" s="120">
        <f t="shared" si="363"/>
        <v>0</v>
      </c>
      <c r="M846" s="246">
        <f t="shared" si="364"/>
        <v>0</v>
      </c>
      <c r="N846" s="121">
        <f t="shared" si="365"/>
        <v>1</v>
      </c>
      <c r="O846" s="246">
        <f t="shared" si="366"/>
        <v>0.91631291028446393</v>
      </c>
      <c r="P846" s="121">
        <f t="shared" si="367"/>
        <v>0.91666666666666663</v>
      </c>
      <c r="Q846" s="121">
        <f t="shared" si="368"/>
        <v>0</v>
      </c>
      <c r="R846" s="121">
        <f t="shared" si="369"/>
        <v>0</v>
      </c>
      <c r="S846" s="121" t="str">
        <f t="shared" si="370"/>
        <v/>
      </c>
      <c r="T846" s="121" t="str">
        <f t="shared" si="371"/>
        <v/>
      </c>
      <c r="U846" s="121">
        <f t="shared" si="372"/>
        <v>1</v>
      </c>
    </row>
    <row r="847" spans="1:21" x14ac:dyDescent="0.3">
      <c r="A847" s="187">
        <v>13</v>
      </c>
      <c r="B847" s="242">
        <f t="shared" si="373"/>
        <v>46023</v>
      </c>
      <c r="C847" s="243">
        <f t="shared" si="354"/>
        <v>46053</v>
      </c>
      <c r="D847" s="120">
        <f t="shared" si="355"/>
        <v>31</v>
      </c>
      <c r="E847" s="120">
        <f t="shared" si="356"/>
        <v>1</v>
      </c>
      <c r="F847" s="275">
        <f t="shared" si="357"/>
        <v>46038.5</v>
      </c>
      <c r="G847" s="120">
        <f t="shared" si="358"/>
        <v>24312</v>
      </c>
      <c r="H847" s="245">
        <f t="shared" si="359"/>
        <v>1</v>
      </c>
      <c r="I847" s="121">
        <f t="shared" si="360"/>
        <v>1</v>
      </c>
      <c r="J847" s="121">
        <f t="shared" si="361"/>
        <v>1</v>
      </c>
      <c r="K847" s="120">
        <f t="shared" si="362"/>
        <v>0</v>
      </c>
      <c r="L847" s="120">
        <f t="shared" si="363"/>
        <v>0</v>
      </c>
      <c r="M847" s="246">
        <f t="shared" si="364"/>
        <v>0</v>
      </c>
      <c r="N847" s="121">
        <f t="shared" si="365"/>
        <v>1</v>
      </c>
      <c r="O847" s="246">
        <f t="shared" si="366"/>
        <v>0.91563457330415754</v>
      </c>
      <c r="P847" s="121">
        <f t="shared" si="367"/>
        <v>1</v>
      </c>
      <c r="Q847" s="121">
        <f t="shared" si="368"/>
        <v>0</v>
      </c>
      <c r="R847" s="121">
        <f t="shared" si="369"/>
        <v>0</v>
      </c>
      <c r="S847" s="121" t="str">
        <f t="shared" si="370"/>
        <v/>
      </c>
      <c r="T847" s="121" t="str">
        <f t="shared" si="371"/>
        <v/>
      </c>
      <c r="U847" s="121">
        <f t="shared" si="372"/>
        <v>1</v>
      </c>
    </row>
    <row r="848" spans="1:21" x14ac:dyDescent="0.3">
      <c r="A848" s="187">
        <v>14</v>
      </c>
      <c r="B848" s="242">
        <f t="shared" si="373"/>
        <v>46054</v>
      </c>
      <c r="C848" s="243">
        <f t="shared" si="354"/>
        <v>46081</v>
      </c>
      <c r="D848" s="120">
        <f t="shared" si="355"/>
        <v>28</v>
      </c>
      <c r="E848" s="120">
        <f t="shared" si="356"/>
        <v>2</v>
      </c>
      <c r="F848" s="275">
        <f t="shared" si="357"/>
        <v>46068</v>
      </c>
      <c r="G848" s="120">
        <f t="shared" si="358"/>
        <v>24313</v>
      </c>
      <c r="H848" s="245">
        <f t="shared" si="359"/>
        <v>1</v>
      </c>
      <c r="I848" s="121">
        <f t="shared" si="360"/>
        <v>1</v>
      </c>
      <c r="J848" s="121">
        <f t="shared" si="361"/>
        <v>1</v>
      </c>
      <c r="K848" s="120">
        <f t="shared" si="362"/>
        <v>0</v>
      </c>
      <c r="L848" s="120">
        <f t="shared" si="363"/>
        <v>0</v>
      </c>
      <c r="M848" s="246">
        <f t="shared" si="364"/>
        <v>0</v>
      </c>
      <c r="N848" s="121">
        <f t="shared" si="365"/>
        <v>1</v>
      </c>
      <c r="O848" s="246">
        <f t="shared" si="366"/>
        <v>0.91498905908096284</v>
      </c>
      <c r="P848" s="121">
        <f t="shared" si="367"/>
        <v>1</v>
      </c>
      <c r="Q848" s="121">
        <f t="shared" si="368"/>
        <v>0</v>
      </c>
      <c r="R848" s="121">
        <f t="shared" si="369"/>
        <v>0</v>
      </c>
      <c r="S848" s="121" t="str">
        <f t="shared" si="370"/>
        <v/>
      </c>
      <c r="T848" s="121" t="str">
        <f t="shared" si="371"/>
        <v/>
      </c>
      <c r="U848" s="121">
        <f t="shared" si="372"/>
        <v>1</v>
      </c>
    </row>
    <row r="849" spans="1:21" x14ac:dyDescent="0.3">
      <c r="A849" s="187">
        <v>15</v>
      </c>
      <c r="B849" s="242">
        <f t="shared" si="373"/>
        <v>46082</v>
      </c>
      <c r="C849" s="243">
        <f t="shared" si="354"/>
        <v>46112</v>
      </c>
      <c r="D849" s="120">
        <f t="shared" si="355"/>
        <v>31</v>
      </c>
      <c r="E849" s="120">
        <f t="shared" si="356"/>
        <v>3</v>
      </c>
      <c r="F849" s="275">
        <f t="shared" si="357"/>
        <v>46097.5</v>
      </c>
      <c r="G849" s="120">
        <f t="shared" si="358"/>
        <v>24314</v>
      </c>
      <c r="H849" s="245">
        <f t="shared" si="359"/>
        <v>1</v>
      </c>
      <c r="I849" s="121">
        <f t="shared" si="360"/>
        <v>1</v>
      </c>
      <c r="J849" s="121">
        <f t="shared" si="361"/>
        <v>1</v>
      </c>
      <c r="K849" s="120">
        <f t="shared" si="362"/>
        <v>0</v>
      </c>
      <c r="L849" s="120">
        <f t="shared" si="363"/>
        <v>0</v>
      </c>
      <c r="M849" s="246">
        <f t="shared" si="364"/>
        <v>0</v>
      </c>
      <c r="N849" s="121">
        <f t="shared" si="365"/>
        <v>1</v>
      </c>
      <c r="O849" s="246">
        <f t="shared" si="366"/>
        <v>0.91434354485776803</v>
      </c>
      <c r="P849" s="121">
        <f t="shared" si="367"/>
        <v>1</v>
      </c>
      <c r="Q849" s="121">
        <f t="shared" si="368"/>
        <v>0</v>
      </c>
      <c r="R849" s="121">
        <f t="shared" si="369"/>
        <v>0</v>
      </c>
      <c r="S849" s="121" t="str">
        <f t="shared" si="370"/>
        <v/>
      </c>
      <c r="T849" s="121" t="str">
        <f t="shared" si="371"/>
        <v/>
      </c>
      <c r="U849" s="121">
        <f t="shared" si="372"/>
        <v>1</v>
      </c>
    </row>
    <row r="850" spans="1:21" x14ac:dyDescent="0.3">
      <c r="A850" s="187">
        <v>16</v>
      </c>
      <c r="B850" s="242">
        <f t="shared" si="373"/>
        <v>46113</v>
      </c>
      <c r="C850" s="243">
        <f t="shared" si="354"/>
        <v>46142</v>
      </c>
      <c r="D850" s="120">
        <f t="shared" si="355"/>
        <v>30</v>
      </c>
      <c r="E850" s="120">
        <f t="shared" si="356"/>
        <v>4</v>
      </c>
      <c r="F850" s="275">
        <f t="shared" si="357"/>
        <v>46128</v>
      </c>
      <c r="G850" s="120">
        <f t="shared" si="358"/>
        <v>24315</v>
      </c>
      <c r="H850" s="245">
        <f t="shared" si="359"/>
        <v>1</v>
      </c>
      <c r="I850" s="121">
        <f t="shared" si="360"/>
        <v>1</v>
      </c>
      <c r="J850" s="121">
        <f t="shared" si="361"/>
        <v>1</v>
      </c>
      <c r="K850" s="120">
        <f t="shared" si="362"/>
        <v>0</v>
      </c>
      <c r="L850" s="120">
        <f t="shared" si="363"/>
        <v>0</v>
      </c>
      <c r="M850" s="246">
        <f t="shared" si="364"/>
        <v>0</v>
      </c>
      <c r="N850" s="121">
        <f t="shared" si="365"/>
        <v>1</v>
      </c>
      <c r="O850" s="246">
        <f t="shared" si="366"/>
        <v>0.91367614879649894</v>
      </c>
      <c r="P850" s="121">
        <f t="shared" si="367"/>
        <v>1</v>
      </c>
      <c r="Q850" s="121">
        <f t="shared" si="368"/>
        <v>0</v>
      </c>
      <c r="R850" s="121">
        <f t="shared" si="369"/>
        <v>0</v>
      </c>
      <c r="S850" s="121" t="str">
        <f t="shared" si="370"/>
        <v/>
      </c>
      <c r="T850" s="121" t="str">
        <f t="shared" si="371"/>
        <v/>
      </c>
      <c r="U850" s="121">
        <f t="shared" si="372"/>
        <v>1</v>
      </c>
    </row>
    <row r="851" spans="1:21" x14ac:dyDescent="0.3">
      <c r="A851" s="187">
        <v>17</v>
      </c>
      <c r="B851" s="242">
        <f t="shared" si="373"/>
        <v>46143</v>
      </c>
      <c r="C851" s="243">
        <f t="shared" si="354"/>
        <v>46173</v>
      </c>
      <c r="D851" s="120">
        <f t="shared" si="355"/>
        <v>31</v>
      </c>
      <c r="E851" s="120">
        <f t="shared" si="356"/>
        <v>5</v>
      </c>
      <c r="F851" s="275">
        <f t="shared" si="357"/>
        <v>46158.5</v>
      </c>
      <c r="G851" s="120">
        <f t="shared" si="358"/>
        <v>24316</v>
      </c>
      <c r="H851" s="245">
        <f t="shared" si="359"/>
        <v>1</v>
      </c>
      <c r="I851" s="121">
        <f t="shared" si="360"/>
        <v>1</v>
      </c>
      <c r="J851" s="121">
        <f t="shared" si="361"/>
        <v>1</v>
      </c>
      <c r="K851" s="120">
        <f t="shared" si="362"/>
        <v>0</v>
      </c>
      <c r="L851" s="120">
        <f t="shared" si="363"/>
        <v>0</v>
      </c>
      <c r="M851" s="246">
        <f t="shared" si="364"/>
        <v>0</v>
      </c>
      <c r="N851" s="121">
        <f t="shared" si="365"/>
        <v>1</v>
      </c>
      <c r="O851" s="246">
        <f t="shared" si="366"/>
        <v>0.91300875273522974</v>
      </c>
      <c r="P851" s="121">
        <f t="shared" si="367"/>
        <v>1</v>
      </c>
      <c r="Q851" s="121">
        <f t="shared" si="368"/>
        <v>0</v>
      </c>
      <c r="R851" s="121">
        <f t="shared" si="369"/>
        <v>0</v>
      </c>
      <c r="S851" s="121" t="str">
        <f t="shared" si="370"/>
        <v/>
      </c>
      <c r="T851" s="121" t="str">
        <f t="shared" si="371"/>
        <v/>
      </c>
      <c r="U851" s="121">
        <f t="shared" si="372"/>
        <v>1</v>
      </c>
    </row>
    <row r="852" spans="1:21" x14ac:dyDescent="0.3">
      <c r="A852" s="187">
        <v>18</v>
      </c>
      <c r="B852" s="242">
        <f t="shared" si="373"/>
        <v>46174</v>
      </c>
      <c r="C852" s="243">
        <f t="shared" si="354"/>
        <v>46203</v>
      </c>
      <c r="D852" s="120">
        <f t="shared" si="355"/>
        <v>30</v>
      </c>
      <c r="E852" s="120">
        <f t="shared" si="356"/>
        <v>6</v>
      </c>
      <c r="F852" s="275">
        <f t="shared" si="357"/>
        <v>46189</v>
      </c>
      <c r="G852" s="120">
        <f t="shared" si="358"/>
        <v>24317</v>
      </c>
      <c r="H852" s="245">
        <f t="shared" si="359"/>
        <v>1</v>
      </c>
      <c r="I852" s="121">
        <f t="shared" si="360"/>
        <v>1</v>
      </c>
      <c r="J852" s="121">
        <f t="shared" si="361"/>
        <v>1</v>
      </c>
      <c r="K852" s="120">
        <f t="shared" si="362"/>
        <v>0</v>
      </c>
      <c r="L852" s="120">
        <f t="shared" si="363"/>
        <v>0</v>
      </c>
      <c r="M852" s="246">
        <f t="shared" si="364"/>
        <v>0</v>
      </c>
      <c r="N852" s="121">
        <f t="shared" si="365"/>
        <v>1</v>
      </c>
      <c r="O852" s="246">
        <f t="shared" si="366"/>
        <v>0.91234135667396066</v>
      </c>
      <c r="P852" s="121">
        <f t="shared" si="367"/>
        <v>1</v>
      </c>
      <c r="Q852" s="121">
        <f t="shared" si="368"/>
        <v>0</v>
      </c>
      <c r="R852" s="121">
        <f t="shared" si="369"/>
        <v>0</v>
      </c>
      <c r="S852" s="121" t="str">
        <f t="shared" si="370"/>
        <v/>
      </c>
      <c r="T852" s="121" t="str">
        <f t="shared" si="371"/>
        <v/>
      </c>
      <c r="U852" s="121">
        <f t="shared" si="372"/>
        <v>1</v>
      </c>
    </row>
    <row r="853" spans="1:21" x14ac:dyDescent="0.3">
      <c r="A853" s="187">
        <v>19</v>
      </c>
      <c r="B853" s="242">
        <f t="shared" si="373"/>
        <v>46204</v>
      </c>
      <c r="C853" s="243">
        <f t="shared" si="354"/>
        <v>46234</v>
      </c>
      <c r="D853" s="120">
        <f t="shared" si="355"/>
        <v>31</v>
      </c>
      <c r="E853" s="120">
        <f t="shared" si="356"/>
        <v>7</v>
      </c>
      <c r="F853" s="275">
        <f t="shared" si="357"/>
        <v>46219.5</v>
      </c>
      <c r="G853" s="120">
        <f t="shared" si="358"/>
        <v>24318</v>
      </c>
      <c r="H853" s="245">
        <f t="shared" si="359"/>
        <v>1</v>
      </c>
      <c r="I853" s="121">
        <f t="shared" si="360"/>
        <v>1</v>
      </c>
      <c r="J853" s="121">
        <f t="shared" si="361"/>
        <v>1</v>
      </c>
      <c r="K853" s="120">
        <f t="shared" si="362"/>
        <v>0</v>
      </c>
      <c r="L853" s="120">
        <f t="shared" si="363"/>
        <v>0</v>
      </c>
      <c r="M853" s="246">
        <f t="shared" si="364"/>
        <v>0</v>
      </c>
      <c r="N853" s="121">
        <f t="shared" si="365"/>
        <v>1</v>
      </c>
      <c r="O853" s="246">
        <f t="shared" si="366"/>
        <v>0.91167396061269146</v>
      </c>
      <c r="P853" s="121">
        <f t="shared" si="367"/>
        <v>0.91666666666666663</v>
      </c>
      <c r="Q853" s="121">
        <f t="shared" si="368"/>
        <v>8.333333333333337E-2</v>
      </c>
      <c r="R853" s="121">
        <f t="shared" si="369"/>
        <v>0</v>
      </c>
      <c r="S853" s="121" t="str">
        <f t="shared" si="370"/>
        <v/>
      </c>
      <c r="T853" s="121" t="str">
        <f t="shared" si="371"/>
        <v/>
      </c>
      <c r="U853" s="121">
        <f t="shared" si="372"/>
        <v>1</v>
      </c>
    </row>
    <row r="854" spans="1:21" x14ac:dyDescent="0.3">
      <c r="A854" s="187">
        <v>20</v>
      </c>
      <c r="B854" s="242">
        <f t="shared" si="373"/>
        <v>46235</v>
      </c>
      <c r="C854" s="243">
        <f t="shared" si="354"/>
        <v>46265</v>
      </c>
      <c r="D854" s="120">
        <f t="shared" si="355"/>
        <v>31</v>
      </c>
      <c r="E854" s="120">
        <f t="shared" si="356"/>
        <v>8</v>
      </c>
      <c r="F854" s="275">
        <f t="shared" si="357"/>
        <v>46250.5</v>
      </c>
      <c r="G854" s="120">
        <f t="shared" si="358"/>
        <v>24319</v>
      </c>
      <c r="H854" s="245">
        <f t="shared" si="359"/>
        <v>1</v>
      </c>
      <c r="I854" s="121">
        <f t="shared" si="360"/>
        <v>1</v>
      </c>
      <c r="J854" s="121">
        <f t="shared" si="361"/>
        <v>1</v>
      </c>
      <c r="K854" s="120">
        <f t="shared" si="362"/>
        <v>0</v>
      </c>
      <c r="L854" s="120">
        <f t="shared" si="363"/>
        <v>0</v>
      </c>
      <c r="M854" s="246">
        <f t="shared" si="364"/>
        <v>0</v>
      </c>
      <c r="N854" s="121">
        <f t="shared" si="365"/>
        <v>1</v>
      </c>
      <c r="O854" s="246">
        <f t="shared" si="366"/>
        <v>0.91099562363238518</v>
      </c>
      <c r="P854" s="121">
        <f t="shared" si="367"/>
        <v>0.75</v>
      </c>
      <c r="Q854" s="121">
        <f t="shared" si="368"/>
        <v>0.25</v>
      </c>
      <c r="R854" s="121">
        <f t="shared" si="369"/>
        <v>0</v>
      </c>
      <c r="S854" s="121" t="str">
        <f t="shared" si="370"/>
        <v/>
      </c>
      <c r="T854" s="121" t="str">
        <f t="shared" si="371"/>
        <v/>
      </c>
      <c r="U854" s="121">
        <f t="shared" si="372"/>
        <v>1</v>
      </c>
    </row>
    <row r="855" spans="1:21" x14ac:dyDescent="0.3">
      <c r="A855" s="187">
        <v>21</v>
      </c>
      <c r="B855" s="242">
        <f t="shared" si="373"/>
        <v>46266</v>
      </c>
      <c r="C855" s="243">
        <f t="shared" si="354"/>
        <v>46295</v>
      </c>
      <c r="D855" s="120">
        <f t="shared" si="355"/>
        <v>30</v>
      </c>
      <c r="E855" s="120">
        <f t="shared" si="356"/>
        <v>9</v>
      </c>
      <c r="F855" s="275">
        <f t="shared" si="357"/>
        <v>46281</v>
      </c>
      <c r="G855" s="120">
        <f t="shared" si="358"/>
        <v>24320</v>
      </c>
      <c r="H855" s="245">
        <f t="shared" si="359"/>
        <v>1</v>
      </c>
      <c r="I855" s="121">
        <f t="shared" si="360"/>
        <v>1</v>
      </c>
      <c r="J855" s="121">
        <f t="shared" si="361"/>
        <v>1</v>
      </c>
      <c r="K855" s="120">
        <f t="shared" si="362"/>
        <v>0</v>
      </c>
      <c r="L855" s="120">
        <f t="shared" si="363"/>
        <v>0</v>
      </c>
      <c r="M855" s="246">
        <f t="shared" si="364"/>
        <v>0</v>
      </c>
      <c r="N855" s="121">
        <f t="shared" si="365"/>
        <v>1</v>
      </c>
      <c r="O855" s="246">
        <f t="shared" si="366"/>
        <v>0.91032822757111598</v>
      </c>
      <c r="P855" s="121">
        <f t="shared" si="367"/>
        <v>0.58333333333333337</v>
      </c>
      <c r="Q855" s="121">
        <f t="shared" si="368"/>
        <v>0.41666666666666663</v>
      </c>
      <c r="R855" s="121">
        <f t="shared" si="369"/>
        <v>0</v>
      </c>
      <c r="S855" s="121" t="str">
        <f t="shared" si="370"/>
        <v/>
      </c>
      <c r="T855" s="121" t="str">
        <f t="shared" si="371"/>
        <v/>
      </c>
      <c r="U855" s="121">
        <f t="shared" si="372"/>
        <v>1</v>
      </c>
    </row>
    <row r="856" spans="1:21" x14ac:dyDescent="0.3">
      <c r="A856" s="187">
        <v>22</v>
      </c>
      <c r="B856" s="242">
        <f t="shared" si="373"/>
        <v>46296</v>
      </c>
      <c r="C856" s="243">
        <f t="shared" si="354"/>
        <v>46326</v>
      </c>
      <c r="D856" s="120">
        <f t="shared" si="355"/>
        <v>31</v>
      </c>
      <c r="E856" s="120">
        <f t="shared" si="356"/>
        <v>10</v>
      </c>
      <c r="F856" s="275">
        <f t="shared" si="357"/>
        <v>46311.5</v>
      </c>
      <c r="G856" s="120">
        <f t="shared" si="358"/>
        <v>24321</v>
      </c>
      <c r="H856" s="245">
        <f t="shared" si="359"/>
        <v>1</v>
      </c>
      <c r="I856" s="121">
        <f t="shared" si="360"/>
        <v>1</v>
      </c>
      <c r="J856" s="121">
        <f t="shared" si="361"/>
        <v>1</v>
      </c>
      <c r="K856" s="120">
        <f t="shared" si="362"/>
        <v>0</v>
      </c>
      <c r="L856" s="120">
        <f t="shared" si="363"/>
        <v>0</v>
      </c>
      <c r="M856" s="246">
        <f t="shared" si="364"/>
        <v>0</v>
      </c>
      <c r="N856" s="121">
        <f t="shared" si="365"/>
        <v>1</v>
      </c>
      <c r="O856" s="246">
        <f t="shared" si="366"/>
        <v>0.90966083150984689</v>
      </c>
      <c r="P856" s="121">
        <f t="shared" si="367"/>
        <v>0.41666666666666669</v>
      </c>
      <c r="Q856" s="121">
        <f t="shared" si="368"/>
        <v>0.58333333333333326</v>
      </c>
      <c r="R856" s="121">
        <f t="shared" si="369"/>
        <v>0</v>
      </c>
      <c r="S856" s="121" t="str">
        <f t="shared" si="370"/>
        <v/>
      </c>
      <c r="T856" s="121" t="str">
        <f t="shared" si="371"/>
        <v/>
      </c>
      <c r="U856" s="121">
        <f t="shared" si="372"/>
        <v>1</v>
      </c>
    </row>
    <row r="857" spans="1:21" x14ac:dyDescent="0.3">
      <c r="A857" s="187">
        <v>23</v>
      </c>
      <c r="B857" s="242">
        <f t="shared" si="373"/>
        <v>46327</v>
      </c>
      <c r="C857" s="243">
        <f t="shared" si="354"/>
        <v>46356</v>
      </c>
      <c r="D857" s="120">
        <f t="shared" si="355"/>
        <v>30</v>
      </c>
      <c r="E857" s="120">
        <f t="shared" si="356"/>
        <v>11</v>
      </c>
      <c r="F857" s="275">
        <f t="shared" si="357"/>
        <v>46342</v>
      </c>
      <c r="G857" s="120">
        <f t="shared" si="358"/>
        <v>24322</v>
      </c>
      <c r="H857" s="245">
        <f t="shared" si="359"/>
        <v>1</v>
      </c>
      <c r="I857" s="121">
        <f t="shared" si="360"/>
        <v>1</v>
      </c>
      <c r="J857" s="121">
        <f t="shared" si="361"/>
        <v>1</v>
      </c>
      <c r="K857" s="120">
        <f t="shared" si="362"/>
        <v>0</v>
      </c>
      <c r="L857" s="120">
        <f t="shared" si="363"/>
        <v>0</v>
      </c>
      <c r="M857" s="246">
        <f t="shared" si="364"/>
        <v>0</v>
      </c>
      <c r="N857" s="121">
        <f t="shared" si="365"/>
        <v>1</v>
      </c>
      <c r="O857" s="246">
        <f t="shared" si="366"/>
        <v>0.90899343544857769</v>
      </c>
      <c r="P857" s="121">
        <f t="shared" si="367"/>
        <v>0.25</v>
      </c>
      <c r="Q857" s="121">
        <f t="shared" si="368"/>
        <v>0.75</v>
      </c>
      <c r="R857" s="121">
        <f t="shared" si="369"/>
        <v>0</v>
      </c>
      <c r="S857" s="121" t="str">
        <f t="shared" si="370"/>
        <v/>
      </c>
      <c r="T857" s="121" t="str">
        <f t="shared" si="371"/>
        <v/>
      </c>
      <c r="U857" s="121">
        <f t="shared" si="372"/>
        <v>1</v>
      </c>
    </row>
    <row r="858" spans="1:21" x14ac:dyDescent="0.3">
      <c r="A858" s="187">
        <v>24</v>
      </c>
      <c r="B858" s="242">
        <f t="shared" si="373"/>
        <v>46357</v>
      </c>
      <c r="C858" s="243">
        <f t="shared" si="354"/>
        <v>46387</v>
      </c>
      <c r="D858" s="120">
        <f t="shared" si="355"/>
        <v>31</v>
      </c>
      <c r="E858" s="120">
        <f t="shared" si="356"/>
        <v>12</v>
      </c>
      <c r="F858" s="275">
        <f t="shared" si="357"/>
        <v>46372.5</v>
      </c>
      <c r="G858" s="120">
        <f t="shared" si="358"/>
        <v>24323</v>
      </c>
      <c r="H858" s="245">
        <f t="shared" si="359"/>
        <v>1</v>
      </c>
      <c r="I858" s="121">
        <f t="shared" si="360"/>
        <v>1</v>
      </c>
      <c r="J858" s="121">
        <f t="shared" si="361"/>
        <v>1</v>
      </c>
      <c r="K858" s="120">
        <f t="shared" si="362"/>
        <v>0</v>
      </c>
      <c r="L858" s="120">
        <f t="shared" si="363"/>
        <v>0</v>
      </c>
      <c r="M858" s="246">
        <f t="shared" si="364"/>
        <v>0</v>
      </c>
      <c r="N858" s="121">
        <f t="shared" si="365"/>
        <v>1</v>
      </c>
      <c r="O858" s="246">
        <f t="shared" si="366"/>
        <v>0.9083260393873086</v>
      </c>
      <c r="P858" s="121">
        <f t="shared" si="367"/>
        <v>8.3333333333333329E-2</v>
      </c>
      <c r="Q858" s="121">
        <f t="shared" si="368"/>
        <v>0.91666666666666663</v>
      </c>
      <c r="R858" s="121">
        <f t="shared" si="369"/>
        <v>0</v>
      </c>
      <c r="S858" s="121" t="str">
        <f t="shared" si="370"/>
        <v/>
      </c>
      <c r="T858" s="121" t="str">
        <f t="shared" si="371"/>
        <v/>
      </c>
      <c r="U858" s="121">
        <f t="shared" si="372"/>
        <v>1</v>
      </c>
    </row>
    <row r="859" spans="1:21" x14ac:dyDescent="0.3">
      <c r="A859" s="187">
        <v>25</v>
      </c>
      <c r="B859" s="242">
        <f t="shared" si="373"/>
        <v>46388</v>
      </c>
      <c r="C859" s="243">
        <f t="shared" si="354"/>
        <v>46418</v>
      </c>
      <c r="D859" s="120">
        <f t="shared" si="355"/>
        <v>31</v>
      </c>
      <c r="E859" s="120">
        <f t="shared" si="356"/>
        <v>1</v>
      </c>
      <c r="F859" s="275">
        <f t="shared" si="357"/>
        <v>46403.5</v>
      </c>
      <c r="G859" s="120">
        <f t="shared" si="358"/>
        <v>24324</v>
      </c>
      <c r="H859" s="245">
        <f t="shared" si="359"/>
        <v>1</v>
      </c>
      <c r="I859" s="121">
        <f t="shared" si="360"/>
        <v>1</v>
      </c>
      <c r="J859" s="121">
        <f t="shared" si="361"/>
        <v>1</v>
      </c>
      <c r="K859" s="120">
        <f t="shared" si="362"/>
        <v>0</v>
      </c>
      <c r="L859" s="120">
        <f t="shared" si="363"/>
        <v>0</v>
      </c>
      <c r="M859" s="246">
        <f t="shared" si="364"/>
        <v>0</v>
      </c>
      <c r="N859" s="121">
        <f t="shared" si="365"/>
        <v>1</v>
      </c>
      <c r="O859" s="246">
        <f t="shared" si="366"/>
        <v>0.90764770240700221</v>
      </c>
      <c r="P859" s="121">
        <f t="shared" si="367"/>
        <v>0</v>
      </c>
      <c r="Q859" s="121">
        <f t="shared" si="368"/>
        <v>1</v>
      </c>
      <c r="R859" s="121">
        <f t="shared" si="369"/>
        <v>0</v>
      </c>
      <c r="S859" s="121" t="str">
        <f t="shared" si="370"/>
        <v/>
      </c>
      <c r="T859" s="121" t="str">
        <f t="shared" si="371"/>
        <v/>
      </c>
      <c r="U859" s="121">
        <f t="shared" si="372"/>
        <v>1</v>
      </c>
    </row>
    <row r="860" spans="1:21" x14ac:dyDescent="0.3">
      <c r="A860" s="187">
        <v>26</v>
      </c>
      <c r="B860" s="242">
        <f t="shared" si="373"/>
        <v>46419</v>
      </c>
      <c r="C860" s="243">
        <f t="shared" si="354"/>
        <v>46446</v>
      </c>
      <c r="D860" s="120">
        <f t="shared" si="355"/>
        <v>28</v>
      </c>
      <c r="E860" s="120">
        <f t="shared" si="356"/>
        <v>2</v>
      </c>
      <c r="F860" s="275">
        <f t="shared" si="357"/>
        <v>46433</v>
      </c>
      <c r="G860" s="120">
        <f t="shared" si="358"/>
        <v>24325</v>
      </c>
      <c r="H860" s="245">
        <f t="shared" si="359"/>
        <v>1</v>
      </c>
      <c r="I860" s="121">
        <f t="shared" si="360"/>
        <v>1</v>
      </c>
      <c r="J860" s="121">
        <f t="shared" si="361"/>
        <v>1</v>
      </c>
      <c r="K860" s="120">
        <f t="shared" si="362"/>
        <v>0</v>
      </c>
      <c r="L860" s="120">
        <f t="shared" si="363"/>
        <v>0</v>
      </c>
      <c r="M860" s="246">
        <f t="shared" si="364"/>
        <v>0</v>
      </c>
      <c r="N860" s="121">
        <f t="shared" si="365"/>
        <v>1</v>
      </c>
      <c r="O860" s="246">
        <f t="shared" si="366"/>
        <v>0.90700218818380751</v>
      </c>
      <c r="P860" s="121">
        <f t="shared" si="367"/>
        <v>0</v>
      </c>
      <c r="Q860" s="121">
        <f t="shared" si="368"/>
        <v>1</v>
      </c>
      <c r="R860" s="121">
        <f t="shared" si="369"/>
        <v>0</v>
      </c>
      <c r="S860" s="121" t="str">
        <f t="shared" si="370"/>
        <v/>
      </c>
      <c r="T860" s="121" t="str">
        <f t="shared" si="371"/>
        <v/>
      </c>
      <c r="U860" s="121">
        <f t="shared" si="372"/>
        <v>1</v>
      </c>
    </row>
    <row r="861" spans="1:21" x14ac:dyDescent="0.3">
      <c r="A861" s="187">
        <v>27</v>
      </c>
      <c r="B861" s="242">
        <f t="shared" si="373"/>
        <v>46447</v>
      </c>
      <c r="C861" s="243">
        <f t="shared" si="354"/>
        <v>46477</v>
      </c>
      <c r="D861" s="120">
        <f t="shared" si="355"/>
        <v>31</v>
      </c>
      <c r="E861" s="120">
        <f t="shared" si="356"/>
        <v>3</v>
      </c>
      <c r="F861" s="275">
        <f t="shared" si="357"/>
        <v>46462.5</v>
      </c>
      <c r="G861" s="120">
        <f t="shared" si="358"/>
        <v>24326</v>
      </c>
      <c r="H861" s="245">
        <f t="shared" si="359"/>
        <v>1</v>
      </c>
      <c r="I861" s="121">
        <f t="shared" si="360"/>
        <v>1</v>
      </c>
      <c r="J861" s="121">
        <f t="shared" si="361"/>
        <v>1</v>
      </c>
      <c r="K861" s="120">
        <f t="shared" si="362"/>
        <v>0</v>
      </c>
      <c r="L861" s="120">
        <f t="shared" si="363"/>
        <v>0</v>
      </c>
      <c r="M861" s="246">
        <f t="shared" si="364"/>
        <v>0</v>
      </c>
      <c r="N861" s="121">
        <f t="shared" si="365"/>
        <v>1</v>
      </c>
      <c r="O861" s="246">
        <f t="shared" si="366"/>
        <v>0.9063566739606127</v>
      </c>
      <c r="P861" s="121">
        <f t="shared" si="367"/>
        <v>0</v>
      </c>
      <c r="Q861" s="121">
        <f t="shared" si="368"/>
        <v>1</v>
      </c>
      <c r="R861" s="121">
        <f t="shared" si="369"/>
        <v>0</v>
      </c>
      <c r="S861" s="121" t="str">
        <f t="shared" si="370"/>
        <v/>
      </c>
      <c r="T861" s="121" t="str">
        <f t="shared" si="371"/>
        <v/>
      </c>
      <c r="U861" s="121">
        <f t="shared" si="372"/>
        <v>1</v>
      </c>
    </row>
    <row r="862" spans="1:21" x14ac:dyDescent="0.3">
      <c r="A862" s="187">
        <v>28</v>
      </c>
      <c r="B862" s="242">
        <f t="shared" si="373"/>
        <v>46478</v>
      </c>
      <c r="C862" s="243">
        <f t="shared" si="354"/>
        <v>46507</v>
      </c>
      <c r="D862" s="120">
        <f t="shared" si="355"/>
        <v>30</v>
      </c>
      <c r="E862" s="120">
        <f t="shared" si="356"/>
        <v>4</v>
      </c>
      <c r="F862" s="275">
        <f t="shared" si="357"/>
        <v>46493</v>
      </c>
      <c r="G862" s="120">
        <f t="shared" si="358"/>
        <v>24327</v>
      </c>
      <c r="H862" s="245">
        <f t="shared" si="359"/>
        <v>1</v>
      </c>
      <c r="I862" s="121">
        <f t="shared" si="360"/>
        <v>1</v>
      </c>
      <c r="J862" s="121">
        <f t="shared" si="361"/>
        <v>1</v>
      </c>
      <c r="K862" s="120">
        <f t="shared" si="362"/>
        <v>0</v>
      </c>
      <c r="L862" s="120">
        <f t="shared" si="363"/>
        <v>0</v>
      </c>
      <c r="M862" s="246">
        <f t="shared" si="364"/>
        <v>0</v>
      </c>
      <c r="N862" s="121">
        <f t="shared" si="365"/>
        <v>1</v>
      </c>
      <c r="O862" s="246">
        <f t="shared" si="366"/>
        <v>0.90568927789934361</v>
      </c>
      <c r="P862" s="121">
        <f t="shared" si="367"/>
        <v>0</v>
      </c>
      <c r="Q862" s="121">
        <f t="shared" si="368"/>
        <v>1</v>
      </c>
      <c r="R862" s="121">
        <f t="shared" si="369"/>
        <v>0</v>
      </c>
      <c r="S862" s="121" t="str">
        <f t="shared" si="370"/>
        <v/>
      </c>
      <c r="T862" s="121" t="str">
        <f t="shared" si="371"/>
        <v/>
      </c>
      <c r="U862" s="121">
        <f t="shared" si="372"/>
        <v>1</v>
      </c>
    </row>
    <row r="863" spans="1:21" x14ac:dyDescent="0.3">
      <c r="A863" s="187">
        <v>29</v>
      </c>
      <c r="B863" s="242">
        <f t="shared" si="373"/>
        <v>46508</v>
      </c>
      <c r="C863" s="243">
        <f t="shared" si="354"/>
        <v>46538</v>
      </c>
      <c r="D863" s="120">
        <f t="shared" si="355"/>
        <v>31</v>
      </c>
      <c r="E863" s="120">
        <f t="shared" si="356"/>
        <v>5</v>
      </c>
      <c r="F863" s="275">
        <f t="shared" si="357"/>
        <v>46523.5</v>
      </c>
      <c r="G863" s="120">
        <f t="shared" si="358"/>
        <v>24328</v>
      </c>
      <c r="H863" s="245">
        <f t="shared" si="359"/>
        <v>1</v>
      </c>
      <c r="I863" s="121">
        <f t="shared" si="360"/>
        <v>1</v>
      </c>
      <c r="J863" s="121">
        <f t="shared" si="361"/>
        <v>1</v>
      </c>
      <c r="K863" s="120">
        <f t="shared" si="362"/>
        <v>0</v>
      </c>
      <c r="L863" s="120">
        <f t="shared" si="363"/>
        <v>0</v>
      </c>
      <c r="M863" s="246">
        <f t="shared" si="364"/>
        <v>0</v>
      </c>
      <c r="N863" s="121">
        <f t="shared" si="365"/>
        <v>1</v>
      </c>
      <c r="O863" s="246">
        <f t="shared" si="366"/>
        <v>0.90502188183807442</v>
      </c>
      <c r="P863" s="121">
        <f t="shared" si="367"/>
        <v>0</v>
      </c>
      <c r="Q863" s="121">
        <f t="shared" si="368"/>
        <v>1</v>
      </c>
      <c r="R863" s="121">
        <f t="shared" si="369"/>
        <v>0</v>
      </c>
      <c r="S863" s="121" t="str">
        <f t="shared" si="370"/>
        <v/>
      </c>
      <c r="T863" s="121" t="str">
        <f t="shared" si="371"/>
        <v/>
      </c>
      <c r="U863" s="121">
        <f t="shared" si="372"/>
        <v>1</v>
      </c>
    </row>
    <row r="864" spans="1:21" x14ac:dyDescent="0.3">
      <c r="A864" s="187">
        <v>30</v>
      </c>
      <c r="B864" s="242">
        <f t="shared" si="373"/>
        <v>46539</v>
      </c>
      <c r="C864" s="243">
        <f t="shared" si="354"/>
        <v>46568</v>
      </c>
      <c r="D864" s="120">
        <f t="shared" si="355"/>
        <v>30</v>
      </c>
      <c r="E864" s="120">
        <f t="shared" si="356"/>
        <v>6</v>
      </c>
      <c r="F864" s="275">
        <f t="shared" si="357"/>
        <v>46554</v>
      </c>
      <c r="G864" s="120">
        <f t="shared" si="358"/>
        <v>24329</v>
      </c>
      <c r="H864" s="245">
        <f t="shared" si="359"/>
        <v>1</v>
      </c>
      <c r="I864" s="121">
        <f t="shared" si="360"/>
        <v>1</v>
      </c>
      <c r="J864" s="121">
        <f t="shared" si="361"/>
        <v>1</v>
      </c>
      <c r="K864" s="120">
        <f t="shared" si="362"/>
        <v>0</v>
      </c>
      <c r="L864" s="120">
        <f t="shared" si="363"/>
        <v>0</v>
      </c>
      <c r="M864" s="246">
        <f t="shared" si="364"/>
        <v>0</v>
      </c>
      <c r="N864" s="121">
        <f t="shared" si="365"/>
        <v>1</v>
      </c>
      <c r="O864" s="246">
        <f t="shared" si="366"/>
        <v>0.90435448577680533</v>
      </c>
      <c r="P864" s="121">
        <f t="shared" si="367"/>
        <v>0</v>
      </c>
      <c r="Q864" s="121">
        <f t="shared" si="368"/>
        <v>1</v>
      </c>
      <c r="R864" s="121">
        <f t="shared" si="369"/>
        <v>0</v>
      </c>
      <c r="S864" s="121" t="str">
        <f t="shared" si="370"/>
        <v/>
      </c>
      <c r="T864" s="121" t="str">
        <f t="shared" si="371"/>
        <v/>
      </c>
      <c r="U864" s="121">
        <f t="shared" si="372"/>
        <v>1</v>
      </c>
    </row>
    <row r="865" spans="1:21" x14ac:dyDescent="0.3">
      <c r="A865" s="187">
        <v>31</v>
      </c>
      <c r="B865" s="242">
        <f t="shared" si="373"/>
        <v>46569</v>
      </c>
      <c r="C865" s="243">
        <f t="shared" si="354"/>
        <v>46599</v>
      </c>
      <c r="D865" s="120">
        <f t="shared" si="355"/>
        <v>31</v>
      </c>
      <c r="E865" s="120">
        <f t="shared" si="356"/>
        <v>7</v>
      </c>
      <c r="F865" s="275">
        <f t="shared" si="357"/>
        <v>46584.5</v>
      </c>
      <c r="G865" s="120">
        <f t="shared" si="358"/>
        <v>24330</v>
      </c>
      <c r="H865" s="245">
        <f t="shared" si="359"/>
        <v>1</v>
      </c>
      <c r="I865" s="121">
        <f t="shared" si="360"/>
        <v>1</v>
      </c>
      <c r="J865" s="121">
        <f t="shared" si="361"/>
        <v>1</v>
      </c>
      <c r="K865" s="120">
        <f t="shared" si="362"/>
        <v>0</v>
      </c>
      <c r="L865" s="120">
        <f t="shared" si="363"/>
        <v>0</v>
      </c>
      <c r="M865" s="246">
        <f t="shared" si="364"/>
        <v>0</v>
      </c>
      <c r="N865" s="121">
        <f t="shared" si="365"/>
        <v>1</v>
      </c>
      <c r="O865" s="246">
        <f t="shared" si="366"/>
        <v>0.90368708971553613</v>
      </c>
      <c r="P865" s="121">
        <f t="shared" si="367"/>
        <v>0</v>
      </c>
      <c r="Q865" s="121">
        <f t="shared" si="368"/>
        <v>0.91666666666666663</v>
      </c>
      <c r="R865" s="121">
        <f t="shared" si="369"/>
        <v>8.333333333333337E-2</v>
      </c>
      <c r="S865" s="121" t="str">
        <f t="shared" si="370"/>
        <v/>
      </c>
      <c r="T865" s="121" t="str">
        <f t="shared" si="371"/>
        <v/>
      </c>
      <c r="U865" s="121">
        <f t="shared" si="372"/>
        <v>1</v>
      </c>
    </row>
    <row r="866" spans="1:21" x14ac:dyDescent="0.3">
      <c r="A866" s="187">
        <v>32</v>
      </c>
      <c r="B866" s="242">
        <f t="shared" si="373"/>
        <v>46600</v>
      </c>
      <c r="C866" s="243">
        <f t="shared" si="354"/>
        <v>46630</v>
      </c>
      <c r="D866" s="120">
        <f t="shared" si="355"/>
        <v>31</v>
      </c>
      <c r="E866" s="120">
        <f t="shared" si="356"/>
        <v>8</v>
      </c>
      <c r="F866" s="275">
        <f t="shared" si="357"/>
        <v>46615.5</v>
      </c>
      <c r="G866" s="120">
        <f t="shared" si="358"/>
        <v>24331</v>
      </c>
      <c r="H866" s="245">
        <f t="shared" si="359"/>
        <v>1</v>
      </c>
      <c r="I866" s="121">
        <f t="shared" si="360"/>
        <v>1</v>
      </c>
      <c r="J866" s="121">
        <f t="shared" si="361"/>
        <v>1</v>
      </c>
      <c r="K866" s="120">
        <f t="shared" si="362"/>
        <v>0</v>
      </c>
      <c r="L866" s="120">
        <f t="shared" si="363"/>
        <v>0</v>
      </c>
      <c r="M866" s="246">
        <f t="shared" si="364"/>
        <v>0</v>
      </c>
      <c r="N866" s="121">
        <f t="shared" si="365"/>
        <v>1</v>
      </c>
      <c r="O866" s="246">
        <f t="shared" si="366"/>
        <v>0.90300875273522974</v>
      </c>
      <c r="P866" s="121">
        <f t="shared" si="367"/>
        <v>0</v>
      </c>
      <c r="Q866" s="121">
        <f t="shared" si="368"/>
        <v>0.75</v>
      </c>
      <c r="R866" s="121">
        <f t="shared" si="369"/>
        <v>0.25</v>
      </c>
      <c r="S866" s="121" t="str">
        <f t="shared" si="370"/>
        <v/>
      </c>
      <c r="T866" s="121" t="str">
        <f t="shared" si="371"/>
        <v/>
      </c>
      <c r="U866" s="121">
        <f t="shared" si="372"/>
        <v>1</v>
      </c>
    </row>
    <row r="867" spans="1:21" x14ac:dyDescent="0.3">
      <c r="A867" s="187">
        <v>33</v>
      </c>
      <c r="B867" s="242">
        <f t="shared" si="373"/>
        <v>46631</v>
      </c>
      <c r="C867" s="243">
        <f t="shared" si="354"/>
        <v>46660</v>
      </c>
      <c r="D867" s="120">
        <f t="shared" si="355"/>
        <v>30</v>
      </c>
      <c r="E867" s="120">
        <f t="shared" si="356"/>
        <v>9</v>
      </c>
      <c r="F867" s="275">
        <f t="shared" si="357"/>
        <v>46646</v>
      </c>
      <c r="G867" s="120">
        <f t="shared" si="358"/>
        <v>24332</v>
      </c>
      <c r="H867" s="245">
        <f t="shared" si="359"/>
        <v>1</v>
      </c>
      <c r="I867" s="121">
        <f t="shared" si="360"/>
        <v>1</v>
      </c>
      <c r="J867" s="121">
        <f t="shared" si="361"/>
        <v>1</v>
      </c>
      <c r="K867" s="120">
        <f t="shared" si="362"/>
        <v>0</v>
      </c>
      <c r="L867" s="120">
        <f t="shared" si="363"/>
        <v>0</v>
      </c>
      <c r="M867" s="246">
        <f t="shared" si="364"/>
        <v>0</v>
      </c>
      <c r="N867" s="121">
        <f t="shared" si="365"/>
        <v>1</v>
      </c>
      <c r="O867" s="246">
        <f t="shared" si="366"/>
        <v>0.90234135667396065</v>
      </c>
      <c r="P867" s="121">
        <f t="shared" si="367"/>
        <v>0</v>
      </c>
      <c r="Q867" s="121">
        <f t="shared" si="368"/>
        <v>0.58333333333333337</v>
      </c>
      <c r="R867" s="121">
        <f t="shared" si="369"/>
        <v>0.41666666666666663</v>
      </c>
      <c r="S867" s="121" t="str">
        <f t="shared" si="370"/>
        <v/>
      </c>
      <c r="T867" s="121" t="str">
        <f t="shared" si="371"/>
        <v/>
      </c>
      <c r="U867" s="121">
        <f t="shared" si="372"/>
        <v>1</v>
      </c>
    </row>
    <row r="868" spans="1:21" x14ac:dyDescent="0.3">
      <c r="A868" s="187">
        <v>34</v>
      </c>
      <c r="B868" s="242">
        <f t="shared" si="373"/>
        <v>46661</v>
      </c>
      <c r="C868" s="243">
        <f t="shared" si="354"/>
        <v>46691</v>
      </c>
      <c r="D868" s="120">
        <f t="shared" si="355"/>
        <v>31</v>
      </c>
      <c r="E868" s="120">
        <f t="shared" si="356"/>
        <v>10</v>
      </c>
      <c r="F868" s="275">
        <f t="shared" si="357"/>
        <v>46676.5</v>
      </c>
      <c r="G868" s="120">
        <f t="shared" si="358"/>
        <v>24333</v>
      </c>
      <c r="H868" s="245">
        <f t="shared" si="359"/>
        <v>1</v>
      </c>
      <c r="I868" s="121">
        <f t="shared" si="360"/>
        <v>1</v>
      </c>
      <c r="J868" s="121">
        <f t="shared" si="361"/>
        <v>1</v>
      </c>
      <c r="K868" s="120">
        <f t="shared" si="362"/>
        <v>0</v>
      </c>
      <c r="L868" s="120">
        <f t="shared" si="363"/>
        <v>0</v>
      </c>
      <c r="M868" s="246">
        <f t="shared" si="364"/>
        <v>0</v>
      </c>
      <c r="N868" s="121">
        <f t="shared" si="365"/>
        <v>1</v>
      </c>
      <c r="O868" s="246">
        <f t="shared" si="366"/>
        <v>0.90167396061269145</v>
      </c>
      <c r="P868" s="121">
        <f t="shared" si="367"/>
        <v>0</v>
      </c>
      <c r="Q868" s="121">
        <f t="shared" si="368"/>
        <v>0.41666666666666669</v>
      </c>
      <c r="R868" s="121">
        <f t="shared" si="369"/>
        <v>0.58333333333333326</v>
      </c>
      <c r="S868" s="121" t="str">
        <f t="shared" si="370"/>
        <v/>
      </c>
      <c r="T868" s="121" t="str">
        <f t="shared" si="371"/>
        <v/>
      </c>
      <c r="U868" s="121">
        <f t="shared" si="372"/>
        <v>1</v>
      </c>
    </row>
    <row r="869" spans="1:21" x14ac:dyDescent="0.3">
      <c r="A869" s="187">
        <v>35</v>
      </c>
      <c r="B869" s="242">
        <f t="shared" si="373"/>
        <v>46692</v>
      </c>
      <c r="C869" s="243">
        <f t="shared" si="354"/>
        <v>46721</v>
      </c>
      <c r="D869" s="120">
        <f t="shared" si="355"/>
        <v>30</v>
      </c>
      <c r="E869" s="120">
        <f t="shared" si="356"/>
        <v>11</v>
      </c>
      <c r="F869" s="275">
        <f t="shared" si="357"/>
        <v>46707</v>
      </c>
      <c r="G869" s="120">
        <f t="shared" si="358"/>
        <v>24334</v>
      </c>
      <c r="H869" s="245">
        <f t="shared" si="359"/>
        <v>1</v>
      </c>
      <c r="I869" s="121">
        <f t="shared" si="360"/>
        <v>1</v>
      </c>
      <c r="J869" s="121">
        <f t="shared" si="361"/>
        <v>1</v>
      </c>
      <c r="K869" s="120">
        <f t="shared" si="362"/>
        <v>0</v>
      </c>
      <c r="L869" s="120">
        <f t="shared" si="363"/>
        <v>0</v>
      </c>
      <c r="M869" s="246">
        <f t="shared" si="364"/>
        <v>0</v>
      </c>
      <c r="N869" s="121">
        <f t="shared" si="365"/>
        <v>1</v>
      </c>
      <c r="O869" s="246">
        <f t="shared" si="366"/>
        <v>0.90100656455142236</v>
      </c>
      <c r="P869" s="121">
        <f t="shared" si="367"/>
        <v>0</v>
      </c>
      <c r="Q869" s="121">
        <f t="shared" si="368"/>
        <v>0.25</v>
      </c>
      <c r="R869" s="121">
        <f t="shared" si="369"/>
        <v>0.75</v>
      </c>
      <c r="S869" s="121" t="str">
        <f t="shared" si="370"/>
        <v/>
      </c>
      <c r="T869" s="121" t="str">
        <f t="shared" si="371"/>
        <v/>
      </c>
      <c r="U869" s="121">
        <f t="shared" si="372"/>
        <v>1</v>
      </c>
    </row>
    <row r="870" spans="1:21" x14ac:dyDescent="0.3">
      <c r="A870" s="187">
        <v>36</v>
      </c>
      <c r="B870" s="242">
        <f t="shared" si="373"/>
        <v>46722</v>
      </c>
      <c r="C870" s="243">
        <f t="shared" si="354"/>
        <v>46752</v>
      </c>
      <c r="D870" s="120">
        <f t="shared" si="355"/>
        <v>31</v>
      </c>
      <c r="E870" s="120">
        <f t="shared" si="356"/>
        <v>12</v>
      </c>
      <c r="F870" s="275">
        <f t="shared" si="357"/>
        <v>46737.5</v>
      </c>
      <c r="G870" s="120">
        <f t="shared" si="358"/>
        <v>24335</v>
      </c>
      <c r="H870" s="245">
        <f t="shared" si="359"/>
        <v>1</v>
      </c>
      <c r="I870" s="121">
        <f t="shared" si="360"/>
        <v>1</v>
      </c>
      <c r="J870" s="121">
        <f t="shared" si="361"/>
        <v>1</v>
      </c>
      <c r="K870" s="120">
        <f t="shared" si="362"/>
        <v>0</v>
      </c>
      <c r="L870" s="120">
        <f t="shared" si="363"/>
        <v>0</v>
      </c>
      <c r="M870" s="246">
        <f t="shared" si="364"/>
        <v>0</v>
      </c>
      <c r="N870" s="121">
        <f t="shared" si="365"/>
        <v>1</v>
      </c>
      <c r="O870" s="246">
        <f t="shared" si="366"/>
        <v>0.90033916849015316</v>
      </c>
      <c r="P870" s="121">
        <f t="shared" si="367"/>
        <v>0</v>
      </c>
      <c r="Q870" s="121">
        <f t="shared" si="368"/>
        <v>8.3333333333333329E-2</v>
      </c>
      <c r="R870" s="121">
        <f t="shared" si="369"/>
        <v>0.91666666666666663</v>
      </c>
      <c r="S870" s="121" t="str">
        <f t="shared" si="370"/>
        <v/>
      </c>
      <c r="T870" s="121" t="str">
        <f t="shared" si="371"/>
        <v/>
      </c>
      <c r="U870" s="121">
        <f t="shared" si="372"/>
        <v>1</v>
      </c>
    </row>
    <row r="871" spans="1:21" x14ac:dyDescent="0.3">
      <c r="A871" s="187">
        <v>37</v>
      </c>
      <c r="B871" s="242">
        <f t="shared" si="373"/>
        <v>46753</v>
      </c>
      <c r="C871" s="243">
        <f t="shared" si="354"/>
        <v>46783</v>
      </c>
      <c r="D871" s="120">
        <f t="shared" si="355"/>
        <v>31</v>
      </c>
      <c r="E871" s="120">
        <f t="shared" si="356"/>
        <v>1</v>
      </c>
      <c r="F871" s="275">
        <f t="shared" si="357"/>
        <v>46768.5</v>
      </c>
      <c r="G871" s="120">
        <f t="shared" si="358"/>
        <v>24336</v>
      </c>
      <c r="H871" s="245">
        <f t="shared" si="359"/>
        <v>1</v>
      </c>
      <c r="I871" s="121">
        <f t="shared" si="360"/>
        <v>1</v>
      </c>
      <c r="J871" s="121">
        <f t="shared" si="361"/>
        <v>1</v>
      </c>
      <c r="K871" s="120">
        <f t="shared" si="362"/>
        <v>0</v>
      </c>
      <c r="L871" s="120">
        <f t="shared" si="363"/>
        <v>0</v>
      </c>
      <c r="M871" s="246">
        <f t="shared" si="364"/>
        <v>0</v>
      </c>
      <c r="N871" s="121">
        <f t="shared" si="365"/>
        <v>1</v>
      </c>
      <c r="O871" s="246">
        <f t="shared" si="366"/>
        <v>0.9</v>
      </c>
      <c r="P871" s="121">
        <f t="shared" si="367"/>
        <v>0</v>
      </c>
      <c r="Q871" s="121">
        <f t="shared" si="368"/>
        <v>0</v>
      </c>
      <c r="R871" s="121">
        <f t="shared" si="369"/>
        <v>1</v>
      </c>
      <c r="S871" s="121" t="str">
        <f t="shared" si="370"/>
        <v/>
      </c>
      <c r="T871" s="121" t="str">
        <f t="shared" si="371"/>
        <v/>
      </c>
      <c r="U871" s="121">
        <f t="shared" si="372"/>
        <v>1</v>
      </c>
    </row>
    <row r="872" spans="1:21" x14ac:dyDescent="0.3">
      <c r="A872" s="187">
        <v>38</v>
      </c>
      <c r="B872" s="242">
        <f t="shared" si="373"/>
        <v>46784</v>
      </c>
      <c r="C872" s="243">
        <f t="shared" si="354"/>
        <v>46812</v>
      </c>
      <c r="D872" s="120">
        <f t="shared" si="355"/>
        <v>29</v>
      </c>
      <c r="E872" s="120">
        <f t="shared" si="356"/>
        <v>2</v>
      </c>
      <c r="F872" s="275">
        <f t="shared" si="357"/>
        <v>46798.5</v>
      </c>
      <c r="G872" s="120">
        <f t="shared" si="358"/>
        <v>24337</v>
      </c>
      <c r="H872" s="245">
        <f t="shared" si="359"/>
        <v>1</v>
      </c>
      <c r="I872" s="121">
        <f t="shared" si="360"/>
        <v>1</v>
      </c>
      <c r="J872" s="121">
        <f t="shared" si="361"/>
        <v>1</v>
      </c>
      <c r="K872" s="120">
        <f t="shared" si="362"/>
        <v>0</v>
      </c>
      <c r="L872" s="120">
        <f t="shared" si="363"/>
        <v>0</v>
      </c>
      <c r="M872" s="246">
        <f t="shared" si="364"/>
        <v>0</v>
      </c>
      <c r="N872" s="121">
        <f t="shared" si="365"/>
        <v>1</v>
      </c>
      <c r="O872" s="246">
        <f t="shared" si="366"/>
        <v>0.9</v>
      </c>
      <c r="P872" s="121">
        <f t="shared" si="367"/>
        <v>0</v>
      </c>
      <c r="Q872" s="121">
        <f t="shared" si="368"/>
        <v>0</v>
      </c>
      <c r="R872" s="121">
        <f t="shared" si="369"/>
        <v>1</v>
      </c>
      <c r="S872" s="121" t="str">
        <f t="shared" si="370"/>
        <v/>
      </c>
      <c r="T872" s="121" t="str">
        <f t="shared" si="371"/>
        <v/>
      </c>
      <c r="U872" s="121">
        <f t="shared" si="372"/>
        <v>1</v>
      </c>
    </row>
    <row r="873" spans="1:21" x14ac:dyDescent="0.3">
      <c r="A873" s="187">
        <v>39</v>
      </c>
      <c r="B873" s="242">
        <f t="shared" si="373"/>
        <v>46813</v>
      </c>
      <c r="C873" s="243">
        <f t="shared" si="354"/>
        <v>46843</v>
      </c>
      <c r="D873" s="120">
        <f t="shared" si="355"/>
        <v>31</v>
      </c>
      <c r="E873" s="120">
        <f t="shared" si="356"/>
        <v>3</v>
      </c>
      <c r="F873" s="275">
        <f t="shared" si="357"/>
        <v>46828.5</v>
      </c>
      <c r="G873" s="120">
        <f t="shared" si="358"/>
        <v>24338</v>
      </c>
      <c r="H873" s="245">
        <f t="shared" si="359"/>
        <v>1</v>
      </c>
      <c r="I873" s="121">
        <f t="shared" si="360"/>
        <v>1</v>
      </c>
      <c r="J873" s="121">
        <f t="shared" si="361"/>
        <v>1</v>
      </c>
      <c r="K873" s="120">
        <f t="shared" si="362"/>
        <v>0</v>
      </c>
      <c r="L873" s="120">
        <f t="shared" si="363"/>
        <v>0</v>
      </c>
      <c r="M873" s="246">
        <f t="shared" si="364"/>
        <v>0</v>
      </c>
      <c r="N873" s="121">
        <f t="shared" si="365"/>
        <v>1</v>
      </c>
      <c r="O873" s="246">
        <f t="shared" si="366"/>
        <v>0.9</v>
      </c>
      <c r="P873" s="121">
        <f t="shared" si="367"/>
        <v>0</v>
      </c>
      <c r="Q873" s="121">
        <f t="shared" si="368"/>
        <v>0</v>
      </c>
      <c r="R873" s="121">
        <f t="shared" si="369"/>
        <v>1</v>
      </c>
      <c r="S873" s="121" t="str">
        <f t="shared" si="370"/>
        <v/>
      </c>
      <c r="T873" s="121" t="str">
        <f t="shared" si="371"/>
        <v/>
      </c>
      <c r="U873" s="121">
        <f t="shared" si="372"/>
        <v>1</v>
      </c>
    </row>
    <row r="874" spans="1:21" x14ac:dyDescent="0.3">
      <c r="A874" s="187">
        <v>40</v>
      </c>
      <c r="B874" s="242">
        <f t="shared" si="373"/>
        <v>46844</v>
      </c>
      <c r="C874" s="243">
        <f t="shared" si="354"/>
        <v>46873</v>
      </c>
      <c r="D874" s="120">
        <f t="shared" si="355"/>
        <v>30</v>
      </c>
      <c r="E874" s="120">
        <f t="shared" si="356"/>
        <v>4</v>
      </c>
      <c r="F874" s="275">
        <f t="shared" si="357"/>
        <v>46859</v>
      </c>
      <c r="G874" s="120">
        <f t="shared" si="358"/>
        <v>24339</v>
      </c>
      <c r="H874" s="245">
        <f t="shared" si="359"/>
        <v>1</v>
      </c>
      <c r="I874" s="121">
        <f t="shared" si="360"/>
        <v>1</v>
      </c>
      <c r="J874" s="121">
        <f t="shared" si="361"/>
        <v>1</v>
      </c>
      <c r="K874" s="120">
        <f t="shared" si="362"/>
        <v>0</v>
      </c>
      <c r="L874" s="120">
        <f t="shared" si="363"/>
        <v>0</v>
      </c>
      <c r="M874" s="246">
        <f t="shared" si="364"/>
        <v>0</v>
      </c>
      <c r="N874" s="121">
        <f t="shared" si="365"/>
        <v>1</v>
      </c>
      <c r="O874" s="246">
        <f t="shared" si="366"/>
        <v>0.9</v>
      </c>
      <c r="P874" s="121">
        <f t="shared" si="367"/>
        <v>0</v>
      </c>
      <c r="Q874" s="121">
        <f t="shared" si="368"/>
        <v>0</v>
      </c>
      <c r="R874" s="121">
        <f t="shared" si="369"/>
        <v>1</v>
      </c>
      <c r="S874" s="121" t="str">
        <f t="shared" si="370"/>
        <v/>
      </c>
      <c r="T874" s="121" t="str">
        <f t="shared" si="371"/>
        <v/>
      </c>
      <c r="U874" s="121">
        <f t="shared" si="372"/>
        <v>1</v>
      </c>
    </row>
    <row r="875" spans="1:21" x14ac:dyDescent="0.3">
      <c r="A875" s="187">
        <v>41</v>
      </c>
      <c r="B875" s="242">
        <f t="shared" si="373"/>
        <v>46874</v>
      </c>
      <c r="C875" s="243">
        <f t="shared" si="354"/>
        <v>46904</v>
      </c>
      <c r="D875" s="120">
        <f t="shared" si="355"/>
        <v>31</v>
      </c>
      <c r="E875" s="120">
        <f t="shared" si="356"/>
        <v>5</v>
      </c>
      <c r="F875" s="275">
        <f t="shared" si="357"/>
        <v>46889.5</v>
      </c>
      <c r="G875" s="120">
        <f t="shared" si="358"/>
        <v>24340</v>
      </c>
      <c r="H875" s="245">
        <f t="shared" si="359"/>
        <v>1</v>
      </c>
      <c r="I875" s="121">
        <f t="shared" si="360"/>
        <v>1</v>
      </c>
      <c r="J875" s="121">
        <f t="shared" si="361"/>
        <v>1</v>
      </c>
      <c r="K875" s="120">
        <f t="shared" si="362"/>
        <v>0</v>
      </c>
      <c r="L875" s="120">
        <f t="shared" si="363"/>
        <v>0</v>
      </c>
      <c r="M875" s="246">
        <f t="shared" si="364"/>
        <v>0</v>
      </c>
      <c r="N875" s="121">
        <f t="shared" si="365"/>
        <v>1</v>
      </c>
      <c r="O875" s="246">
        <f t="shared" si="366"/>
        <v>0.9</v>
      </c>
      <c r="P875" s="121">
        <f t="shared" si="367"/>
        <v>0</v>
      </c>
      <c r="Q875" s="121">
        <f t="shared" si="368"/>
        <v>0</v>
      </c>
      <c r="R875" s="121">
        <f t="shared" si="369"/>
        <v>1</v>
      </c>
      <c r="S875" s="121" t="str">
        <f t="shared" si="370"/>
        <v/>
      </c>
      <c r="T875" s="121" t="str">
        <f t="shared" si="371"/>
        <v/>
      </c>
      <c r="U875" s="121">
        <f t="shared" si="372"/>
        <v>1</v>
      </c>
    </row>
    <row r="876" spans="1:21" x14ac:dyDescent="0.3">
      <c r="A876" s="187">
        <v>42</v>
      </c>
      <c r="B876" s="242">
        <f t="shared" si="373"/>
        <v>46905</v>
      </c>
      <c r="C876" s="243">
        <f t="shared" si="354"/>
        <v>46934</v>
      </c>
      <c r="D876" s="120">
        <f t="shared" si="355"/>
        <v>30</v>
      </c>
      <c r="E876" s="120">
        <f t="shared" si="356"/>
        <v>6</v>
      </c>
      <c r="F876" s="275">
        <f t="shared" si="357"/>
        <v>46920</v>
      </c>
      <c r="G876" s="120">
        <f t="shared" si="358"/>
        <v>24341</v>
      </c>
      <c r="H876" s="245">
        <f t="shared" si="359"/>
        <v>1</v>
      </c>
      <c r="I876" s="121">
        <f t="shared" si="360"/>
        <v>1</v>
      </c>
      <c r="J876" s="121">
        <f t="shared" si="361"/>
        <v>1</v>
      </c>
      <c r="K876" s="120">
        <f t="shared" si="362"/>
        <v>0</v>
      </c>
      <c r="L876" s="120">
        <f t="shared" si="363"/>
        <v>0</v>
      </c>
      <c r="M876" s="246">
        <f t="shared" si="364"/>
        <v>0</v>
      </c>
      <c r="N876" s="121">
        <f t="shared" si="365"/>
        <v>1</v>
      </c>
      <c r="O876" s="246">
        <f t="shared" si="366"/>
        <v>0.9</v>
      </c>
      <c r="P876" s="121">
        <f t="shared" si="367"/>
        <v>0</v>
      </c>
      <c r="Q876" s="121">
        <f t="shared" si="368"/>
        <v>0</v>
      </c>
      <c r="R876" s="121">
        <f t="shared" si="369"/>
        <v>1</v>
      </c>
      <c r="S876" s="121" t="str">
        <f t="shared" si="370"/>
        <v/>
      </c>
      <c r="T876" s="121" t="str">
        <f t="shared" si="371"/>
        <v/>
      </c>
      <c r="U876" s="121">
        <f t="shared" si="372"/>
        <v>1</v>
      </c>
    </row>
    <row r="877" spans="1:21" x14ac:dyDescent="0.3">
      <c r="A877" s="187">
        <v>43</v>
      </c>
      <c r="B877" s="242">
        <f t="shared" si="373"/>
        <v>46935</v>
      </c>
      <c r="C877" s="243">
        <f t="shared" si="354"/>
        <v>46965</v>
      </c>
      <c r="D877" s="120">
        <f t="shared" si="355"/>
        <v>31</v>
      </c>
      <c r="E877" s="120">
        <f t="shared" si="356"/>
        <v>7</v>
      </c>
      <c r="F877" s="275">
        <f t="shared" si="357"/>
        <v>46950.5</v>
      </c>
      <c r="G877" s="120">
        <f t="shared" si="358"/>
        <v>24342</v>
      </c>
      <c r="H877" s="245">
        <f t="shared" si="359"/>
        <v>1</v>
      </c>
      <c r="I877" s="121">
        <f t="shared" si="360"/>
        <v>1</v>
      </c>
      <c r="J877" s="121">
        <f t="shared" si="361"/>
        <v>1</v>
      </c>
      <c r="K877" s="120">
        <f t="shared" si="362"/>
        <v>0</v>
      </c>
      <c r="L877" s="120">
        <f t="shared" si="363"/>
        <v>0</v>
      </c>
      <c r="M877" s="246">
        <f t="shared" si="364"/>
        <v>0</v>
      </c>
      <c r="N877" s="121">
        <f t="shared" si="365"/>
        <v>1</v>
      </c>
      <c r="O877" s="246">
        <f t="shared" si="366"/>
        <v>0.9</v>
      </c>
      <c r="P877" s="121">
        <f t="shared" si="367"/>
        <v>0</v>
      </c>
      <c r="Q877" s="121">
        <f t="shared" si="368"/>
        <v>0</v>
      </c>
      <c r="R877" s="121">
        <f t="shared" si="369"/>
        <v>0.91666666666666663</v>
      </c>
      <c r="S877" s="121" t="str">
        <f t="shared" si="370"/>
        <v/>
      </c>
      <c r="T877" s="121" t="str">
        <f t="shared" si="371"/>
        <v/>
      </c>
      <c r="U877" s="121">
        <f t="shared" si="372"/>
        <v>1</v>
      </c>
    </row>
    <row r="878" spans="1:21" x14ac:dyDescent="0.3">
      <c r="A878" s="187">
        <v>44</v>
      </c>
      <c r="B878" s="242">
        <f t="shared" si="373"/>
        <v>46966</v>
      </c>
      <c r="C878" s="243">
        <f t="shared" si="354"/>
        <v>46996</v>
      </c>
      <c r="D878" s="120">
        <f t="shared" si="355"/>
        <v>31</v>
      </c>
      <c r="E878" s="120">
        <f t="shared" si="356"/>
        <v>8</v>
      </c>
      <c r="F878" s="275">
        <f t="shared" si="357"/>
        <v>46981.5</v>
      </c>
      <c r="G878" s="120">
        <f t="shared" si="358"/>
        <v>24343</v>
      </c>
      <c r="H878" s="245">
        <f t="shared" si="359"/>
        <v>1</v>
      </c>
      <c r="I878" s="121">
        <f t="shared" si="360"/>
        <v>1</v>
      </c>
      <c r="J878" s="121">
        <f t="shared" si="361"/>
        <v>1</v>
      </c>
      <c r="K878" s="120">
        <f t="shared" si="362"/>
        <v>0</v>
      </c>
      <c r="L878" s="120">
        <f t="shared" si="363"/>
        <v>0</v>
      </c>
      <c r="M878" s="246">
        <f t="shared" si="364"/>
        <v>0</v>
      </c>
      <c r="N878" s="121">
        <f t="shared" si="365"/>
        <v>1</v>
      </c>
      <c r="O878" s="246">
        <f t="shared" si="366"/>
        <v>0.9</v>
      </c>
      <c r="P878" s="121">
        <f t="shared" si="367"/>
        <v>0</v>
      </c>
      <c r="Q878" s="121">
        <f t="shared" si="368"/>
        <v>0</v>
      </c>
      <c r="R878" s="121">
        <f t="shared" si="369"/>
        <v>0.75</v>
      </c>
      <c r="S878" s="121" t="str">
        <f t="shared" si="370"/>
        <v/>
      </c>
      <c r="T878" s="121" t="str">
        <f t="shared" si="371"/>
        <v/>
      </c>
      <c r="U878" s="121">
        <f t="shared" si="372"/>
        <v>1</v>
      </c>
    </row>
    <row r="879" spans="1:21" x14ac:dyDescent="0.3">
      <c r="A879" s="187">
        <v>45</v>
      </c>
      <c r="B879" s="242">
        <f t="shared" si="373"/>
        <v>46997</v>
      </c>
      <c r="C879" s="243">
        <f t="shared" si="354"/>
        <v>47026</v>
      </c>
      <c r="D879" s="120">
        <f t="shared" si="355"/>
        <v>30</v>
      </c>
      <c r="E879" s="120">
        <f t="shared" si="356"/>
        <v>9</v>
      </c>
      <c r="F879" s="275">
        <f t="shared" si="357"/>
        <v>47012</v>
      </c>
      <c r="G879" s="120">
        <f t="shared" si="358"/>
        <v>24344</v>
      </c>
      <c r="H879" s="245">
        <f t="shared" si="359"/>
        <v>1</v>
      </c>
      <c r="I879" s="121">
        <f t="shared" si="360"/>
        <v>1</v>
      </c>
      <c r="J879" s="121">
        <f t="shared" si="361"/>
        <v>1</v>
      </c>
      <c r="K879" s="120">
        <f t="shared" si="362"/>
        <v>0</v>
      </c>
      <c r="L879" s="120">
        <f t="shared" si="363"/>
        <v>0</v>
      </c>
      <c r="M879" s="246">
        <f t="shared" si="364"/>
        <v>0</v>
      </c>
      <c r="N879" s="121">
        <f t="shared" si="365"/>
        <v>1</v>
      </c>
      <c r="O879" s="246">
        <f t="shared" si="366"/>
        <v>0.9</v>
      </c>
      <c r="P879" s="121">
        <f t="shared" si="367"/>
        <v>0</v>
      </c>
      <c r="Q879" s="121">
        <f t="shared" si="368"/>
        <v>0</v>
      </c>
      <c r="R879" s="121">
        <f t="shared" si="369"/>
        <v>0.58333333333333337</v>
      </c>
      <c r="S879" s="121" t="str">
        <f t="shared" si="370"/>
        <v/>
      </c>
      <c r="T879" s="121" t="str">
        <f t="shared" si="371"/>
        <v/>
      </c>
      <c r="U879" s="121">
        <f t="shared" si="372"/>
        <v>1</v>
      </c>
    </row>
    <row r="880" spans="1:21" x14ac:dyDescent="0.3">
      <c r="A880" s="187">
        <v>46</v>
      </c>
      <c r="B880" s="242">
        <f t="shared" si="373"/>
        <v>47027</v>
      </c>
      <c r="C880" s="243">
        <f t="shared" si="354"/>
        <v>47057</v>
      </c>
      <c r="D880" s="120">
        <f t="shared" si="355"/>
        <v>31</v>
      </c>
      <c r="E880" s="120">
        <f t="shared" si="356"/>
        <v>10</v>
      </c>
      <c r="F880" s="275">
        <f t="shared" si="357"/>
        <v>47042.5</v>
      </c>
      <c r="G880" s="120">
        <f t="shared" si="358"/>
        <v>24345</v>
      </c>
      <c r="H880" s="245">
        <f t="shared" si="359"/>
        <v>1</v>
      </c>
      <c r="I880" s="121">
        <f t="shared" si="360"/>
        <v>1</v>
      </c>
      <c r="J880" s="121">
        <f t="shared" si="361"/>
        <v>1</v>
      </c>
      <c r="K880" s="120">
        <f t="shared" si="362"/>
        <v>0</v>
      </c>
      <c r="L880" s="120">
        <f t="shared" si="363"/>
        <v>0</v>
      </c>
      <c r="M880" s="246">
        <f t="shared" si="364"/>
        <v>0</v>
      </c>
      <c r="N880" s="121">
        <f t="shared" si="365"/>
        <v>1</v>
      </c>
      <c r="O880" s="246">
        <f t="shared" si="366"/>
        <v>0.9</v>
      </c>
      <c r="P880" s="121">
        <f t="shared" si="367"/>
        <v>0</v>
      </c>
      <c r="Q880" s="121">
        <f t="shared" si="368"/>
        <v>0</v>
      </c>
      <c r="R880" s="121">
        <f t="shared" si="369"/>
        <v>0.41666666666666669</v>
      </c>
      <c r="S880" s="121" t="str">
        <f t="shared" si="370"/>
        <v/>
      </c>
      <c r="T880" s="121" t="str">
        <f t="shared" si="371"/>
        <v/>
      </c>
      <c r="U880" s="121">
        <f t="shared" si="372"/>
        <v>1</v>
      </c>
    </row>
    <row r="881" spans="1:21" x14ac:dyDescent="0.3">
      <c r="A881" s="187">
        <v>47</v>
      </c>
      <c r="B881" s="242">
        <f t="shared" si="373"/>
        <v>47058</v>
      </c>
      <c r="C881" s="243">
        <f t="shared" si="354"/>
        <v>47087</v>
      </c>
      <c r="D881" s="120">
        <f t="shared" si="355"/>
        <v>30</v>
      </c>
      <c r="E881" s="120">
        <f t="shared" si="356"/>
        <v>11</v>
      </c>
      <c r="F881" s="275">
        <f t="shared" si="357"/>
        <v>47073</v>
      </c>
      <c r="G881" s="120">
        <f t="shared" si="358"/>
        <v>24346</v>
      </c>
      <c r="H881" s="245">
        <f t="shared" si="359"/>
        <v>1</v>
      </c>
      <c r="I881" s="121">
        <f t="shared" si="360"/>
        <v>1</v>
      </c>
      <c r="J881" s="121">
        <f t="shared" si="361"/>
        <v>1</v>
      </c>
      <c r="K881" s="120">
        <f t="shared" si="362"/>
        <v>0</v>
      </c>
      <c r="L881" s="120">
        <f t="shared" si="363"/>
        <v>0</v>
      </c>
      <c r="M881" s="246">
        <f t="shared" si="364"/>
        <v>0</v>
      </c>
      <c r="N881" s="121">
        <f t="shared" si="365"/>
        <v>1</v>
      </c>
      <c r="O881" s="246">
        <f t="shared" si="366"/>
        <v>0.9</v>
      </c>
      <c r="P881" s="121">
        <f t="shared" si="367"/>
        <v>0</v>
      </c>
      <c r="Q881" s="121">
        <f t="shared" si="368"/>
        <v>0</v>
      </c>
      <c r="R881" s="121">
        <f t="shared" si="369"/>
        <v>0.25</v>
      </c>
      <c r="S881" s="121" t="str">
        <f t="shared" si="370"/>
        <v/>
      </c>
      <c r="T881" s="121" t="str">
        <f t="shared" si="371"/>
        <v/>
      </c>
      <c r="U881" s="121">
        <f t="shared" si="372"/>
        <v>1</v>
      </c>
    </row>
    <row r="882" spans="1:21" x14ac:dyDescent="0.3">
      <c r="A882" s="187">
        <v>48</v>
      </c>
      <c r="B882" s="242">
        <f t="shared" si="373"/>
        <v>47088</v>
      </c>
      <c r="C882" s="243">
        <f t="shared" si="354"/>
        <v>47118</v>
      </c>
      <c r="D882" s="120">
        <f t="shared" si="355"/>
        <v>31</v>
      </c>
      <c r="E882" s="120">
        <f t="shared" si="356"/>
        <v>12</v>
      </c>
      <c r="F882" s="275">
        <f t="shared" si="357"/>
        <v>47103.5</v>
      </c>
      <c r="G882" s="120">
        <f t="shared" si="358"/>
        <v>24347</v>
      </c>
      <c r="H882" s="245">
        <f t="shared" si="359"/>
        <v>1</v>
      </c>
      <c r="I882" s="121">
        <f t="shared" si="360"/>
        <v>1</v>
      </c>
      <c r="J882" s="121">
        <f t="shared" si="361"/>
        <v>1</v>
      </c>
      <c r="K882" s="120">
        <f t="shared" si="362"/>
        <v>0</v>
      </c>
      <c r="L882" s="120">
        <f t="shared" si="363"/>
        <v>0</v>
      </c>
      <c r="M882" s="246">
        <f t="shared" si="364"/>
        <v>0</v>
      </c>
      <c r="N882" s="121">
        <f t="shared" si="365"/>
        <v>1</v>
      </c>
      <c r="O882" s="246">
        <f t="shared" si="366"/>
        <v>0.9</v>
      </c>
      <c r="P882" s="121">
        <f t="shared" si="367"/>
        <v>0</v>
      </c>
      <c r="Q882" s="121">
        <f t="shared" si="368"/>
        <v>0</v>
      </c>
      <c r="R882" s="121">
        <f t="shared" si="369"/>
        <v>8.3333333333333329E-2</v>
      </c>
      <c r="S882" s="121" t="str">
        <f t="shared" si="370"/>
        <v/>
      </c>
      <c r="T882" s="121" t="str">
        <f t="shared" si="371"/>
        <v/>
      </c>
      <c r="U882" s="121">
        <f t="shared" si="372"/>
        <v>1</v>
      </c>
    </row>
    <row r="883" spans="1:21" x14ac:dyDescent="0.3">
      <c r="A883" s="6" t="s">
        <v>1651</v>
      </c>
      <c r="B883" s="73">
        <f>EXP(SUMPRODUCT((rl_key=$A$832)*(rl_cons="Y")*rl_ln1p))</f>
        <v>1</v>
      </c>
      <c r="C883" s="73">
        <f>SUMPRODUCT($H$835:$H$882,$P$835:$P$882,$U$835:$U$882)/SUMPRODUCT($H$835:$H$882,$P$835:$P$882)</f>
        <v>1</v>
      </c>
      <c r="D883" s="73">
        <f>SUMPRODUCT($H$835:$H$882,$Q$835:$Q$882,$U$835:$U$882)/SUMPRODUCT($H$835:$H$882,$Q$835:$Q$882)</f>
        <v>1</v>
      </c>
      <c r="E883" s="73">
        <f>SUMPRODUCT($H$835:$H$882,$R$835:$R$882,$U$835:$U$882)/SUMPRODUCT($H$835:$H$882,$R$835:$R$882)</f>
        <v>1</v>
      </c>
      <c r="F883" s="224">
        <f>SUMPRODUCT($H$835:$H$882,$Q$835:$Q$882,$O$835:$O$882)/SUMPRODUCT($H$835:$H$882,$Q$835:$Q$882)</f>
        <v>0.90600747629467537</v>
      </c>
      <c r="G883" s="224">
        <f>SUMPRODUCT($H$835:$H$882,$R$835:$R$882,$O$835:$O$882)/SUMPRODUCT($H$835:$H$882,$R$835:$R$882)</f>
        <v>0.90033977631898854</v>
      </c>
      <c r="H883" s="73">
        <f>SUMPRODUCT($H$859:$H$870,$N$859:$N$870/$N$847:$N$858)/SUM($H$859:$H$870)</f>
        <v>1</v>
      </c>
      <c r="I883" s="73">
        <f>SUMPRODUCT($H$859:$H$870,$O$859:$O$870/$O$847:$O$858)/SUM($H$859:$H$870)</f>
        <v>0.99124238763980388</v>
      </c>
      <c r="J883" s="73">
        <f>IF($O$832=1,SUMPRODUCT($H$859:$H$870,$N$859:$N$870/$N$847:$N$858*$O$859:$O$870/$O$847:$O$858)/SUM($H$859:$H$870),$H883)</f>
        <v>0.99124238763980388</v>
      </c>
      <c r="K883" s="73">
        <f>SUMPRODUCT($H$835:$H$882,$Q$835:$Q$882,$N$835:$N$882)/SUMPRODUCT($H$835:$H$882,$Q$835:$Q$882)</f>
        <v>1</v>
      </c>
      <c r="L883" s="73">
        <f>SUMPRODUCT($H$835:$H$882,$R$835:$R$882,$N$835:$N$882)/SUMPRODUCT($H$835:$H$882,$R$835:$R$882)</f>
        <v>1</v>
      </c>
    </row>
    <row r="886" spans="1:21" x14ac:dyDescent="0.3">
      <c r="A886" s="6" t="str">
        <f>INDEX(lr_key,16)</f>
        <v>ABD|PA</v>
      </c>
      <c r="B886" s="6" t="str">
        <f>INDEX(lr_state,16)</f>
        <v>PA</v>
      </c>
      <c r="C886" s="75">
        <f>nr_TermMonths</f>
        <v>6</v>
      </c>
      <c r="D886" s="75">
        <f>IF(COUNTIF(se_state,$B886)=0,0,MATCH($B886,se_state,0))</f>
        <v>0</v>
      </c>
      <c r="E886" s="70">
        <f>IF($D886=0,0,INDEX(se_sum,$D886))</f>
        <v>0</v>
      </c>
      <c r="F886" s="224">
        <f>IF(N(INDEX(lr_mind,16))=0,1,INDEX(lr_mind,16))</f>
        <v>0.92</v>
      </c>
      <c r="G886" s="224">
        <f>IF(N(INDEX(lr_m0,16))=0,1,INDEX(lr_m0,16))</f>
        <v>0.91</v>
      </c>
      <c r="H886" s="74">
        <f>IF(N(INDEX(lr_m0asof,16))=0,DATE(nr_PlanYear-1,10,1),INDEX(lr_m0asof,16))</f>
        <v>46295</v>
      </c>
      <c r="I886" s="224">
        <f>IF(N(INDEX(lr_m1,16))=0,1,INDEX(lr_m1,16))</f>
        <v>0.91500000000000004</v>
      </c>
      <c r="J886" s="224">
        <f>INDEX(lr_mprior,16)</f>
        <v>0</v>
      </c>
      <c r="K886" s="224">
        <f>INDEX(lr_m2,16)</f>
        <v>0</v>
      </c>
      <c r="L886" s="6" t="b">
        <f>NOT(ISBLANK(INDEX(lr_netp,16)))</f>
        <v>0</v>
      </c>
      <c r="M886" s="72">
        <f>N(INDEX(lr_netp,16))</f>
        <v>0</v>
      </c>
      <c r="N886" s="72">
        <f>IF(ISBLANK(INDEX(lr_netp1,16)),$M$886,N(INDEX(lr_netp1,16)))</f>
        <v>0</v>
      </c>
      <c r="O886" s="75">
        <f>IF(AND(nr_ModAdjMaster="ON",INDEX(lr_modadj,16)="ON"),1,0)</f>
        <v>1</v>
      </c>
    </row>
    <row r="887" spans="1:21" x14ac:dyDescent="0.3">
      <c r="A887" s="6">
        <f>EDATE($H$886,-12)+1</f>
        <v>45931</v>
      </c>
      <c r="B887" s="6">
        <f>$H$886+1</f>
        <v>46296</v>
      </c>
      <c r="C887" s="6">
        <f>DATE(nr_PlanYear,12,31)+1</f>
        <v>46753</v>
      </c>
      <c r="D887" s="6">
        <f>DATE(nr_PlanYear+1,12,31)+1</f>
        <v>47119</v>
      </c>
      <c r="E887" s="6">
        <f>IF(N($J$886)=0,$F$887-($G$887-$F$887)/($C$887-$B$887)*($B$887-$A$887),$J$886)</f>
        <v>0.90600656455142237</v>
      </c>
      <c r="F887" s="6">
        <f>$G$886</f>
        <v>0.91</v>
      </c>
      <c r="G887" s="6">
        <f>$I$886</f>
        <v>0.91500000000000004</v>
      </c>
      <c r="H887" s="6">
        <f>IF(N($K$886)=0,$I$886,$K$886)</f>
        <v>0.91500000000000004</v>
      </c>
      <c r="I887" s="6">
        <f>($F$887-$E$887)/($B$887-$A$887)</f>
        <v>1.0940919037199081E-5</v>
      </c>
      <c r="J887" s="6">
        <f>($G$887-$F$887)/($C$887-$B$887)</f>
        <v>1.0940919037199135E-5</v>
      </c>
      <c r="K887" s="6">
        <f>($H$887-$G$887)/($D$887-$C$887)</f>
        <v>0</v>
      </c>
    </row>
    <row r="888" spans="1:21" ht="36" x14ac:dyDescent="0.3">
      <c r="A888" s="58" t="s">
        <v>390</v>
      </c>
      <c r="B888" s="58" t="s">
        <v>449</v>
      </c>
      <c r="C888" s="58" t="s">
        <v>685</v>
      </c>
      <c r="D888" s="58" t="s">
        <v>686</v>
      </c>
      <c r="E888" s="58" t="s">
        <v>687</v>
      </c>
      <c r="F888" s="58" t="s">
        <v>688</v>
      </c>
      <c r="G888" s="58" t="s">
        <v>689</v>
      </c>
      <c r="H888" s="58" t="s">
        <v>452</v>
      </c>
      <c r="I888" s="58" t="s">
        <v>690</v>
      </c>
      <c r="J888" s="58" t="s">
        <v>691</v>
      </c>
      <c r="K888" s="58" t="s">
        <v>692</v>
      </c>
      <c r="L888" s="58" t="s">
        <v>693</v>
      </c>
      <c r="M888" s="58" t="s">
        <v>694</v>
      </c>
      <c r="N888" s="58" t="s">
        <v>695</v>
      </c>
      <c r="O888" s="58" t="s">
        <v>696</v>
      </c>
      <c r="P888" s="58" t="s">
        <v>697</v>
      </c>
      <c r="Q888" s="58" t="s">
        <v>698</v>
      </c>
      <c r="R888" s="58" t="s">
        <v>699</v>
      </c>
      <c r="S888" s="58" t="s">
        <v>700</v>
      </c>
      <c r="T888" s="58" t="s">
        <v>701</v>
      </c>
      <c r="U888" s="58" t="s">
        <v>702</v>
      </c>
    </row>
    <row r="889" spans="1:21" x14ac:dyDescent="0.3">
      <c r="A889" s="187">
        <v>1</v>
      </c>
      <c r="B889" s="242">
        <f>DATE(nr_PlanYear-2,1,1)</f>
        <v>45658</v>
      </c>
      <c r="C889" s="243">
        <f t="shared" ref="C889:C936" si="374">EOMONTH($B889,0)</f>
        <v>45688</v>
      </c>
      <c r="D889" s="120">
        <f t="shared" ref="D889:D936" si="375">$C889-$B889+1</f>
        <v>31</v>
      </c>
      <c r="E889" s="120">
        <f t="shared" ref="E889:E936" si="376">MONTH($B889)</f>
        <v>1</v>
      </c>
      <c r="F889" s="275">
        <f t="shared" ref="F889:F936" si="377">($B889+$C889+1)/2</f>
        <v>45673.5</v>
      </c>
      <c r="G889" s="120">
        <f t="shared" ref="G889:G936" si="378">YEAR($B889)*12+MONTH($B889)-1</f>
        <v>24300</v>
      </c>
      <c r="H889" s="245">
        <f t="shared" ref="H889:H936" si="379">IF(OR(nr_SeasonOn="OFF",$D$886=0,$E$886=0),1,12*INDEX(se_block,$D$886,$E889)/$E$886)</f>
        <v>1</v>
      </c>
      <c r="I889" s="121">
        <f t="shared" ref="I889:I936" si="380">EXP(SUMPRODUCT((rl_eff&lt;$B889)*(rl_key=$A$886)*rl_ln1p))</f>
        <v>1</v>
      </c>
      <c r="J889" s="121">
        <f t="shared" ref="J889:J936" si="381">EXP(SUMPRODUCT((rl_eff&lt;=$C889)*(rl_key=$A$886)*rl_ln1p))</f>
        <v>1</v>
      </c>
      <c r="K889" s="120">
        <f t="shared" ref="K889:K936" si="382">COUNTIFS(rl_key,$A$886,rl_eff,"&gt;="&amp;$B889,rl_eff,"&lt;="&amp;$C889)</f>
        <v>0</v>
      </c>
      <c r="L889" s="120">
        <f t="shared" ref="L889:L936" si="383">SUMIFS(rl_daysafter,rl_key,$A$886,rl_effmonth,$B889,rl_first,1)</f>
        <v>0</v>
      </c>
      <c r="M889" s="246">
        <f t="shared" ref="M889:M936" si="384">IF($K889=0,0,MIN(1,$L889/$D889))</f>
        <v>0</v>
      </c>
      <c r="N889" s="121">
        <f t="shared" ref="N889:N936" si="385">IF($K889=0,$J889,(1-$M889)*$I889+$M889*$J889)</f>
        <v>1</v>
      </c>
      <c r="O889" s="246">
        <f t="shared" ref="O889:O936" si="386">IF($F889&lt;$B$887,$E$887+$I$887*($F889-$A$887),IF($F889&lt;$C$887,$F$887+$J$887*($F889-$B$887),$G$887+$K$887*($F889-$C$887)))</f>
        <v>0.90318927789934356</v>
      </c>
      <c r="P889" s="121">
        <f t="shared" ref="P889:P936" si="387">MIN(1,MAX(0,(nr_MEndPm1-$G889+0.5)/$C$886))-MIN(1,MAX(0,(nr_MStartPm1-1-$G889+0.5)/$C$886))</f>
        <v>0</v>
      </c>
      <c r="Q889" s="121">
        <f t="shared" ref="Q889:Q936" si="388">MIN(1,MAX(0,(nr_MEndP-$G889+0.5)/$C$886))-MIN(1,MAX(0,(nr_MStartP-1-$G889+0.5)/$C$886))</f>
        <v>0</v>
      </c>
      <c r="R889" s="121">
        <f t="shared" ref="R889:R936" si="389">MIN(1,MAX(0,(nr_MEndP1-$G889+0.5)/$C$886))-MIN(1,MAX(0,(nr_MStartP1-1-$G889+0.5)/$C$886))</f>
        <v>0</v>
      </c>
      <c r="S889" s="121" t="str">
        <f t="shared" ref="S889:S936" si="390">IF($L$886,$N889*IF($O$886=1,$O889/$F$886,1),"")</f>
        <v/>
      </c>
      <c r="T889" s="121" t="str">
        <f t="shared" ref="T889:T936" si="391">IF(NOT($L$886),"",IF($G889&lt;nr_MStartP,$S889,$T877*(1+IF($G889&lt;nr_MStartP1,$M$886,$N$886))))</f>
        <v/>
      </c>
      <c r="U889" s="121">
        <f t="shared" ref="U889:U936" si="392">IF($L$886,$T889,$N889)</f>
        <v>1</v>
      </c>
    </row>
    <row r="890" spans="1:21" x14ac:dyDescent="0.3">
      <c r="A890" s="187">
        <v>2</v>
      </c>
      <c r="B890" s="242">
        <f t="shared" ref="B890:B936" si="393">EDATE($B889,1)</f>
        <v>45689</v>
      </c>
      <c r="C890" s="243">
        <f t="shared" si="374"/>
        <v>45716</v>
      </c>
      <c r="D890" s="120">
        <f t="shared" si="375"/>
        <v>28</v>
      </c>
      <c r="E890" s="120">
        <f t="shared" si="376"/>
        <v>2</v>
      </c>
      <c r="F890" s="275">
        <f t="shared" si="377"/>
        <v>45703</v>
      </c>
      <c r="G890" s="120">
        <f t="shared" si="378"/>
        <v>24301</v>
      </c>
      <c r="H890" s="245">
        <f t="shared" si="379"/>
        <v>1</v>
      </c>
      <c r="I890" s="121">
        <f t="shared" si="380"/>
        <v>1</v>
      </c>
      <c r="J890" s="121">
        <f t="shared" si="381"/>
        <v>1</v>
      </c>
      <c r="K890" s="120">
        <f t="shared" si="382"/>
        <v>0</v>
      </c>
      <c r="L890" s="120">
        <f t="shared" si="383"/>
        <v>0</v>
      </c>
      <c r="M890" s="246">
        <f t="shared" si="384"/>
        <v>0</v>
      </c>
      <c r="N890" s="121">
        <f t="shared" si="385"/>
        <v>1</v>
      </c>
      <c r="O890" s="246">
        <f t="shared" si="386"/>
        <v>0.90351203501094102</v>
      </c>
      <c r="P890" s="121">
        <f t="shared" si="387"/>
        <v>0</v>
      </c>
      <c r="Q890" s="121">
        <f t="shared" si="388"/>
        <v>0</v>
      </c>
      <c r="R890" s="121">
        <f t="shared" si="389"/>
        <v>0</v>
      </c>
      <c r="S890" s="121" t="str">
        <f t="shared" si="390"/>
        <v/>
      </c>
      <c r="T890" s="121" t="str">
        <f t="shared" si="391"/>
        <v/>
      </c>
      <c r="U890" s="121">
        <f t="shared" si="392"/>
        <v>1</v>
      </c>
    </row>
    <row r="891" spans="1:21" x14ac:dyDescent="0.3">
      <c r="A891" s="187">
        <v>3</v>
      </c>
      <c r="B891" s="242">
        <f t="shared" si="393"/>
        <v>45717</v>
      </c>
      <c r="C891" s="243">
        <f t="shared" si="374"/>
        <v>45747</v>
      </c>
      <c r="D891" s="120">
        <f t="shared" si="375"/>
        <v>31</v>
      </c>
      <c r="E891" s="120">
        <f t="shared" si="376"/>
        <v>3</v>
      </c>
      <c r="F891" s="275">
        <f t="shared" si="377"/>
        <v>45732.5</v>
      </c>
      <c r="G891" s="120">
        <f t="shared" si="378"/>
        <v>24302</v>
      </c>
      <c r="H891" s="245">
        <f t="shared" si="379"/>
        <v>1</v>
      </c>
      <c r="I891" s="121">
        <f t="shared" si="380"/>
        <v>1</v>
      </c>
      <c r="J891" s="121">
        <f t="shared" si="381"/>
        <v>1</v>
      </c>
      <c r="K891" s="120">
        <f t="shared" si="382"/>
        <v>0</v>
      </c>
      <c r="L891" s="120">
        <f t="shared" si="383"/>
        <v>0</v>
      </c>
      <c r="M891" s="246">
        <f t="shared" si="384"/>
        <v>0</v>
      </c>
      <c r="N891" s="121">
        <f t="shared" si="385"/>
        <v>1</v>
      </c>
      <c r="O891" s="246">
        <f t="shared" si="386"/>
        <v>0.90383479212253837</v>
      </c>
      <c r="P891" s="121">
        <f t="shared" si="387"/>
        <v>0</v>
      </c>
      <c r="Q891" s="121">
        <f t="shared" si="388"/>
        <v>0</v>
      </c>
      <c r="R891" s="121">
        <f t="shared" si="389"/>
        <v>0</v>
      </c>
      <c r="S891" s="121" t="str">
        <f t="shared" si="390"/>
        <v/>
      </c>
      <c r="T891" s="121" t="str">
        <f t="shared" si="391"/>
        <v/>
      </c>
      <c r="U891" s="121">
        <f t="shared" si="392"/>
        <v>1</v>
      </c>
    </row>
    <row r="892" spans="1:21" x14ac:dyDescent="0.3">
      <c r="A892" s="187">
        <v>4</v>
      </c>
      <c r="B892" s="242">
        <f t="shared" si="393"/>
        <v>45748</v>
      </c>
      <c r="C892" s="243">
        <f t="shared" si="374"/>
        <v>45777</v>
      </c>
      <c r="D892" s="120">
        <f t="shared" si="375"/>
        <v>30</v>
      </c>
      <c r="E892" s="120">
        <f t="shared" si="376"/>
        <v>4</v>
      </c>
      <c r="F892" s="275">
        <f t="shared" si="377"/>
        <v>45763</v>
      </c>
      <c r="G892" s="120">
        <f t="shared" si="378"/>
        <v>24303</v>
      </c>
      <c r="H892" s="245">
        <f t="shared" si="379"/>
        <v>1</v>
      </c>
      <c r="I892" s="121">
        <f t="shared" si="380"/>
        <v>1</v>
      </c>
      <c r="J892" s="121">
        <f t="shared" si="381"/>
        <v>1</v>
      </c>
      <c r="K892" s="120">
        <f t="shared" si="382"/>
        <v>0</v>
      </c>
      <c r="L892" s="120">
        <f t="shared" si="383"/>
        <v>0</v>
      </c>
      <c r="M892" s="246">
        <f t="shared" si="384"/>
        <v>0</v>
      </c>
      <c r="N892" s="121">
        <f t="shared" si="385"/>
        <v>1</v>
      </c>
      <c r="O892" s="246">
        <f t="shared" si="386"/>
        <v>0.90416849015317291</v>
      </c>
      <c r="P892" s="121">
        <f t="shared" si="387"/>
        <v>0</v>
      </c>
      <c r="Q892" s="121">
        <f t="shared" si="388"/>
        <v>0</v>
      </c>
      <c r="R892" s="121">
        <f t="shared" si="389"/>
        <v>0</v>
      </c>
      <c r="S892" s="121" t="str">
        <f t="shared" si="390"/>
        <v/>
      </c>
      <c r="T892" s="121" t="str">
        <f t="shared" si="391"/>
        <v/>
      </c>
      <c r="U892" s="121">
        <f t="shared" si="392"/>
        <v>1</v>
      </c>
    </row>
    <row r="893" spans="1:21" x14ac:dyDescent="0.3">
      <c r="A893" s="187">
        <v>5</v>
      </c>
      <c r="B893" s="242">
        <f t="shared" si="393"/>
        <v>45778</v>
      </c>
      <c r="C893" s="243">
        <f t="shared" si="374"/>
        <v>45808</v>
      </c>
      <c r="D893" s="120">
        <f t="shared" si="375"/>
        <v>31</v>
      </c>
      <c r="E893" s="120">
        <f t="shared" si="376"/>
        <v>5</v>
      </c>
      <c r="F893" s="275">
        <f t="shared" si="377"/>
        <v>45793.5</v>
      </c>
      <c r="G893" s="120">
        <f t="shared" si="378"/>
        <v>24304</v>
      </c>
      <c r="H893" s="245">
        <f t="shared" si="379"/>
        <v>1</v>
      </c>
      <c r="I893" s="121">
        <f t="shared" si="380"/>
        <v>1</v>
      </c>
      <c r="J893" s="121">
        <f t="shared" si="381"/>
        <v>1</v>
      </c>
      <c r="K893" s="120">
        <f t="shared" si="382"/>
        <v>0</v>
      </c>
      <c r="L893" s="120">
        <f t="shared" si="383"/>
        <v>0</v>
      </c>
      <c r="M893" s="246">
        <f t="shared" si="384"/>
        <v>0</v>
      </c>
      <c r="N893" s="121">
        <f t="shared" si="385"/>
        <v>1</v>
      </c>
      <c r="O893" s="246">
        <f t="shared" si="386"/>
        <v>0.90450218818380745</v>
      </c>
      <c r="P893" s="121">
        <f t="shared" si="387"/>
        <v>0</v>
      </c>
      <c r="Q893" s="121">
        <f t="shared" si="388"/>
        <v>0</v>
      </c>
      <c r="R893" s="121">
        <f t="shared" si="389"/>
        <v>0</v>
      </c>
      <c r="S893" s="121" t="str">
        <f t="shared" si="390"/>
        <v/>
      </c>
      <c r="T893" s="121" t="str">
        <f t="shared" si="391"/>
        <v/>
      </c>
      <c r="U893" s="121">
        <f t="shared" si="392"/>
        <v>1</v>
      </c>
    </row>
    <row r="894" spans="1:21" x14ac:dyDescent="0.3">
      <c r="A894" s="187">
        <v>6</v>
      </c>
      <c r="B894" s="242">
        <f t="shared" si="393"/>
        <v>45809</v>
      </c>
      <c r="C894" s="243">
        <f t="shared" si="374"/>
        <v>45838</v>
      </c>
      <c r="D894" s="120">
        <f t="shared" si="375"/>
        <v>30</v>
      </c>
      <c r="E894" s="120">
        <f t="shared" si="376"/>
        <v>6</v>
      </c>
      <c r="F894" s="275">
        <f t="shared" si="377"/>
        <v>45824</v>
      </c>
      <c r="G894" s="120">
        <f t="shared" si="378"/>
        <v>24305</v>
      </c>
      <c r="H894" s="245">
        <f t="shared" si="379"/>
        <v>1</v>
      </c>
      <c r="I894" s="121">
        <f t="shared" si="380"/>
        <v>1</v>
      </c>
      <c r="J894" s="121">
        <f t="shared" si="381"/>
        <v>1</v>
      </c>
      <c r="K894" s="120">
        <f t="shared" si="382"/>
        <v>0</v>
      </c>
      <c r="L894" s="120">
        <f t="shared" si="383"/>
        <v>0</v>
      </c>
      <c r="M894" s="246">
        <f t="shared" si="384"/>
        <v>0</v>
      </c>
      <c r="N894" s="121">
        <f t="shared" si="385"/>
        <v>1</v>
      </c>
      <c r="O894" s="246">
        <f t="shared" si="386"/>
        <v>0.90483588621444211</v>
      </c>
      <c r="P894" s="121">
        <f t="shared" si="387"/>
        <v>0</v>
      </c>
      <c r="Q894" s="121">
        <f t="shared" si="388"/>
        <v>0</v>
      </c>
      <c r="R894" s="121">
        <f t="shared" si="389"/>
        <v>0</v>
      </c>
      <c r="S894" s="121" t="str">
        <f t="shared" si="390"/>
        <v/>
      </c>
      <c r="T894" s="121" t="str">
        <f t="shared" si="391"/>
        <v/>
      </c>
      <c r="U894" s="121">
        <f t="shared" si="392"/>
        <v>1</v>
      </c>
    </row>
    <row r="895" spans="1:21" x14ac:dyDescent="0.3">
      <c r="A895" s="187">
        <v>7</v>
      </c>
      <c r="B895" s="242">
        <f t="shared" si="393"/>
        <v>45839</v>
      </c>
      <c r="C895" s="243">
        <f t="shared" si="374"/>
        <v>45869</v>
      </c>
      <c r="D895" s="120">
        <f t="shared" si="375"/>
        <v>31</v>
      </c>
      <c r="E895" s="120">
        <f t="shared" si="376"/>
        <v>7</v>
      </c>
      <c r="F895" s="275">
        <f t="shared" si="377"/>
        <v>45854.5</v>
      </c>
      <c r="G895" s="120">
        <f t="shared" si="378"/>
        <v>24306</v>
      </c>
      <c r="H895" s="245">
        <f t="shared" si="379"/>
        <v>1</v>
      </c>
      <c r="I895" s="121">
        <f t="shared" si="380"/>
        <v>1</v>
      </c>
      <c r="J895" s="121">
        <f t="shared" si="381"/>
        <v>1</v>
      </c>
      <c r="K895" s="120">
        <f t="shared" si="382"/>
        <v>0</v>
      </c>
      <c r="L895" s="120">
        <f t="shared" si="383"/>
        <v>0</v>
      </c>
      <c r="M895" s="246">
        <f t="shared" si="384"/>
        <v>0</v>
      </c>
      <c r="N895" s="121">
        <f t="shared" si="385"/>
        <v>1</v>
      </c>
      <c r="O895" s="246">
        <f t="shared" si="386"/>
        <v>0.90516958424507665</v>
      </c>
      <c r="P895" s="121">
        <f t="shared" si="387"/>
        <v>8.333333333333337E-2</v>
      </c>
      <c r="Q895" s="121">
        <f t="shared" si="388"/>
        <v>0</v>
      </c>
      <c r="R895" s="121">
        <f t="shared" si="389"/>
        <v>0</v>
      </c>
      <c r="S895" s="121" t="str">
        <f t="shared" si="390"/>
        <v/>
      </c>
      <c r="T895" s="121" t="str">
        <f t="shared" si="391"/>
        <v/>
      </c>
      <c r="U895" s="121">
        <f t="shared" si="392"/>
        <v>1</v>
      </c>
    </row>
    <row r="896" spans="1:21" x14ac:dyDescent="0.3">
      <c r="A896" s="187">
        <v>8</v>
      </c>
      <c r="B896" s="242">
        <f t="shared" si="393"/>
        <v>45870</v>
      </c>
      <c r="C896" s="243">
        <f t="shared" si="374"/>
        <v>45900</v>
      </c>
      <c r="D896" s="120">
        <f t="shared" si="375"/>
        <v>31</v>
      </c>
      <c r="E896" s="120">
        <f t="shared" si="376"/>
        <v>8</v>
      </c>
      <c r="F896" s="275">
        <f t="shared" si="377"/>
        <v>45885.5</v>
      </c>
      <c r="G896" s="120">
        <f t="shared" si="378"/>
        <v>24307</v>
      </c>
      <c r="H896" s="245">
        <f t="shared" si="379"/>
        <v>1</v>
      </c>
      <c r="I896" s="121">
        <f t="shared" si="380"/>
        <v>1</v>
      </c>
      <c r="J896" s="121">
        <f t="shared" si="381"/>
        <v>1</v>
      </c>
      <c r="K896" s="120">
        <f t="shared" si="382"/>
        <v>0</v>
      </c>
      <c r="L896" s="120">
        <f t="shared" si="383"/>
        <v>0</v>
      </c>
      <c r="M896" s="246">
        <f t="shared" si="384"/>
        <v>0</v>
      </c>
      <c r="N896" s="121">
        <f t="shared" si="385"/>
        <v>1</v>
      </c>
      <c r="O896" s="246">
        <f t="shared" si="386"/>
        <v>0.90550875273522979</v>
      </c>
      <c r="P896" s="121">
        <f t="shared" si="387"/>
        <v>0.25</v>
      </c>
      <c r="Q896" s="121">
        <f t="shared" si="388"/>
        <v>0</v>
      </c>
      <c r="R896" s="121">
        <f t="shared" si="389"/>
        <v>0</v>
      </c>
      <c r="S896" s="121" t="str">
        <f t="shared" si="390"/>
        <v/>
      </c>
      <c r="T896" s="121" t="str">
        <f t="shared" si="391"/>
        <v/>
      </c>
      <c r="U896" s="121">
        <f t="shared" si="392"/>
        <v>1</v>
      </c>
    </row>
    <row r="897" spans="1:21" x14ac:dyDescent="0.3">
      <c r="A897" s="187">
        <v>9</v>
      </c>
      <c r="B897" s="242">
        <f t="shared" si="393"/>
        <v>45901</v>
      </c>
      <c r="C897" s="243">
        <f t="shared" si="374"/>
        <v>45930</v>
      </c>
      <c r="D897" s="120">
        <f t="shared" si="375"/>
        <v>30</v>
      </c>
      <c r="E897" s="120">
        <f t="shared" si="376"/>
        <v>9</v>
      </c>
      <c r="F897" s="275">
        <f t="shared" si="377"/>
        <v>45916</v>
      </c>
      <c r="G897" s="120">
        <f t="shared" si="378"/>
        <v>24308</v>
      </c>
      <c r="H897" s="245">
        <f t="shared" si="379"/>
        <v>1</v>
      </c>
      <c r="I897" s="121">
        <f t="shared" si="380"/>
        <v>1</v>
      </c>
      <c r="J897" s="121">
        <f t="shared" si="381"/>
        <v>1</v>
      </c>
      <c r="K897" s="120">
        <f t="shared" si="382"/>
        <v>0</v>
      </c>
      <c r="L897" s="120">
        <f t="shared" si="383"/>
        <v>0</v>
      </c>
      <c r="M897" s="246">
        <f t="shared" si="384"/>
        <v>0</v>
      </c>
      <c r="N897" s="121">
        <f t="shared" si="385"/>
        <v>1</v>
      </c>
      <c r="O897" s="246">
        <f t="shared" si="386"/>
        <v>0.90584245076586434</v>
      </c>
      <c r="P897" s="121">
        <f t="shared" si="387"/>
        <v>0.41666666666666663</v>
      </c>
      <c r="Q897" s="121">
        <f t="shared" si="388"/>
        <v>0</v>
      </c>
      <c r="R897" s="121">
        <f t="shared" si="389"/>
        <v>0</v>
      </c>
      <c r="S897" s="121" t="str">
        <f t="shared" si="390"/>
        <v/>
      </c>
      <c r="T897" s="121" t="str">
        <f t="shared" si="391"/>
        <v/>
      </c>
      <c r="U897" s="121">
        <f t="shared" si="392"/>
        <v>1</v>
      </c>
    </row>
    <row r="898" spans="1:21" x14ac:dyDescent="0.3">
      <c r="A898" s="187">
        <v>10</v>
      </c>
      <c r="B898" s="242">
        <f t="shared" si="393"/>
        <v>45931</v>
      </c>
      <c r="C898" s="243">
        <f t="shared" si="374"/>
        <v>45961</v>
      </c>
      <c r="D898" s="120">
        <f t="shared" si="375"/>
        <v>31</v>
      </c>
      <c r="E898" s="120">
        <f t="shared" si="376"/>
        <v>10</v>
      </c>
      <c r="F898" s="275">
        <f t="shared" si="377"/>
        <v>45946.5</v>
      </c>
      <c r="G898" s="120">
        <f t="shared" si="378"/>
        <v>24309</v>
      </c>
      <c r="H898" s="245">
        <f t="shared" si="379"/>
        <v>1</v>
      </c>
      <c r="I898" s="121">
        <f t="shared" si="380"/>
        <v>1</v>
      </c>
      <c r="J898" s="121">
        <f t="shared" si="381"/>
        <v>1</v>
      </c>
      <c r="K898" s="120">
        <f t="shared" si="382"/>
        <v>0</v>
      </c>
      <c r="L898" s="120">
        <f t="shared" si="383"/>
        <v>0</v>
      </c>
      <c r="M898" s="246">
        <f t="shared" si="384"/>
        <v>0</v>
      </c>
      <c r="N898" s="121">
        <f t="shared" si="385"/>
        <v>1</v>
      </c>
      <c r="O898" s="246">
        <f t="shared" si="386"/>
        <v>0.90617614879649899</v>
      </c>
      <c r="P898" s="121">
        <f t="shared" si="387"/>
        <v>0.58333333333333326</v>
      </c>
      <c r="Q898" s="121">
        <f t="shared" si="388"/>
        <v>0</v>
      </c>
      <c r="R898" s="121">
        <f t="shared" si="389"/>
        <v>0</v>
      </c>
      <c r="S898" s="121" t="str">
        <f t="shared" si="390"/>
        <v/>
      </c>
      <c r="T898" s="121" t="str">
        <f t="shared" si="391"/>
        <v/>
      </c>
      <c r="U898" s="121">
        <f t="shared" si="392"/>
        <v>1</v>
      </c>
    </row>
    <row r="899" spans="1:21" x14ac:dyDescent="0.3">
      <c r="A899" s="187">
        <v>11</v>
      </c>
      <c r="B899" s="242">
        <f t="shared" si="393"/>
        <v>45962</v>
      </c>
      <c r="C899" s="243">
        <f t="shared" si="374"/>
        <v>45991</v>
      </c>
      <c r="D899" s="120">
        <f t="shared" si="375"/>
        <v>30</v>
      </c>
      <c r="E899" s="120">
        <f t="shared" si="376"/>
        <v>11</v>
      </c>
      <c r="F899" s="275">
        <f t="shared" si="377"/>
        <v>45977</v>
      </c>
      <c r="G899" s="120">
        <f t="shared" si="378"/>
        <v>24310</v>
      </c>
      <c r="H899" s="245">
        <f t="shared" si="379"/>
        <v>1</v>
      </c>
      <c r="I899" s="121">
        <f t="shared" si="380"/>
        <v>1</v>
      </c>
      <c r="J899" s="121">
        <f t="shared" si="381"/>
        <v>1</v>
      </c>
      <c r="K899" s="120">
        <f t="shared" si="382"/>
        <v>0</v>
      </c>
      <c r="L899" s="120">
        <f t="shared" si="383"/>
        <v>0</v>
      </c>
      <c r="M899" s="246">
        <f t="shared" si="384"/>
        <v>0</v>
      </c>
      <c r="N899" s="121">
        <f t="shared" si="385"/>
        <v>1</v>
      </c>
      <c r="O899" s="246">
        <f t="shared" si="386"/>
        <v>0.90650984682713354</v>
      </c>
      <c r="P899" s="121">
        <f t="shared" si="387"/>
        <v>0.75</v>
      </c>
      <c r="Q899" s="121">
        <f t="shared" si="388"/>
        <v>0</v>
      </c>
      <c r="R899" s="121">
        <f t="shared" si="389"/>
        <v>0</v>
      </c>
      <c r="S899" s="121" t="str">
        <f t="shared" si="390"/>
        <v/>
      </c>
      <c r="T899" s="121" t="str">
        <f t="shared" si="391"/>
        <v/>
      </c>
      <c r="U899" s="121">
        <f t="shared" si="392"/>
        <v>1</v>
      </c>
    </row>
    <row r="900" spans="1:21" x14ac:dyDescent="0.3">
      <c r="A900" s="187">
        <v>12</v>
      </c>
      <c r="B900" s="242">
        <f t="shared" si="393"/>
        <v>45992</v>
      </c>
      <c r="C900" s="243">
        <f t="shared" si="374"/>
        <v>46022</v>
      </c>
      <c r="D900" s="120">
        <f t="shared" si="375"/>
        <v>31</v>
      </c>
      <c r="E900" s="120">
        <f t="shared" si="376"/>
        <v>12</v>
      </c>
      <c r="F900" s="275">
        <f t="shared" si="377"/>
        <v>46007.5</v>
      </c>
      <c r="G900" s="120">
        <f t="shared" si="378"/>
        <v>24311</v>
      </c>
      <c r="H900" s="245">
        <f t="shared" si="379"/>
        <v>1</v>
      </c>
      <c r="I900" s="121">
        <f t="shared" si="380"/>
        <v>1</v>
      </c>
      <c r="J900" s="121">
        <f t="shared" si="381"/>
        <v>1</v>
      </c>
      <c r="K900" s="120">
        <f t="shared" si="382"/>
        <v>0</v>
      </c>
      <c r="L900" s="120">
        <f t="shared" si="383"/>
        <v>0</v>
      </c>
      <c r="M900" s="246">
        <f t="shared" si="384"/>
        <v>0</v>
      </c>
      <c r="N900" s="121">
        <f t="shared" si="385"/>
        <v>1</v>
      </c>
      <c r="O900" s="246">
        <f t="shared" si="386"/>
        <v>0.90684354485776808</v>
      </c>
      <c r="P900" s="121">
        <f t="shared" si="387"/>
        <v>0.91666666666666663</v>
      </c>
      <c r="Q900" s="121">
        <f t="shared" si="388"/>
        <v>0</v>
      </c>
      <c r="R900" s="121">
        <f t="shared" si="389"/>
        <v>0</v>
      </c>
      <c r="S900" s="121" t="str">
        <f t="shared" si="390"/>
        <v/>
      </c>
      <c r="T900" s="121" t="str">
        <f t="shared" si="391"/>
        <v/>
      </c>
      <c r="U900" s="121">
        <f t="shared" si="392"/>
        <v>1</v>
      </c>
    </row>
    <row r="901" spans="1:21" x14ac:dyDescent="0.3">
      <c r="A901" s="187">
        <v>13</v>
      </c>
      <c r="B901" s="242">
        <f t="shared" si="393"/>
        <v>46023</v>
      </c>
      <c r="C901" s="243">
        <f t="shared" si="374"/>
        <v>46053</v>
      </c>
      <c r="D901" s="120">
        <f t="shared" si="375"/>
        <v>31</v>
      </c>
      <c r="E901" s="120">
        <f t="shared" si="376"/>
        <v>1</v>
      </c>
      <c r="F901" s="275">
        <f t="shared" si="377"/>
        <v>46038.5</v>
      </c>
      <c r="G901" s="120">
        <f t="shared" si="378"/>
        <v>24312</v>
      </c>
      <c r="H901" s="245">
        <f t="shared" si="379"/>
        <v>1</v>
      </c>
      <c r="I901" s="121">
        <f t="shared" si="380"/>
        <v>1</v>
      </c>
      <c r="J901" s="121">
        <f t="shared" si="381"/>
        <v>1</v>
      </c>
      <c r="K901" s="120">
        <f t="shared" si="382"/>
        <v>0</v>
      </c>
      <c r="L901" s="120">
        <f t="shared" si="383"/>
        <v>0</v>
      </c>
      <c r="M901" s="246">
        <f t="shared" si="384"/>
        <v>0</v>
      </c>
      <c r="N901" s="121">
        <f t="shared" si="385"/>
        <v>1</v>
      </c>
      <c r="O901" s="246">
        <f t="shared" si="386"/>
        <v>0.90718271334792122</v>
      </c>
      <c r="P901" s="121">
        <f t="shared" si="387"/>
        <v>1</v>
      </c>
      <c r="Q901" s="121">
        <f t="shared" si="388"/>
        <v>0</v>
      </c>
      <c r="R901" s="121">
        <f t="shared" si="389"/>
        <v>0</v>
      </c>
      <c r="S901" s="121" t="str">
        <f t="shared" si="390"/>
        <v/>
      </c>
      <c r="T901" s="121" t="str">
        <f t="shared" si="391"/>
        <v/>
      </c>
      <c r="U901" s="121">
        <f t="shared" si="392"/>
        <v>1</v>
      </c>
    </row>
    <row r="902" spans="1:21" x14ac:dyDescent="0.3">
      <c r="A902" s="187">
        <v>14</v>
      </c>
      <c r="B902" s="242">
        <f t="shared" si="393"/>
        <v>46054</v>
      </c>
      <c r="C902" s="243">
        <f t="shared" si="374"/>
        <v>46081</v>
      </c>
      <c r="D902" s="120">
        <f t="shared" si="375"/>
        <v>28</v>
      </c>
      <c r="E902" s="120">
        <f t="shared" si="376"/>
        <v>2</v>
      </c>
      <c r="F902" s="275">
        <f t="shared" si="377"/>
        <v>46068</v>
      </c>
      <c r="G902" s="120">
        <f t="shared" si="378"/>
        <v>24313</v>
      </c>
      <c r="H902" s="245">
        <f t="shared" si="379"/>
        <v>1</v>
      </c>
      <c r="I902" s="121">
        <f t="shared" si="380"/>
        <v>1</v>
      </c>
      <c r="J902" s="121">
        <f t="shared" si="381"/>
        <v>1</v>
      </c>
      <c r="K902" s="120">
        <f t="shared" si="382"/>
        <v>0</v>
      </c>
      <c r="L902" s="120">
        <f t="shared" si="383"/>
        <v>0</v>
      </c>
      <c r="M902" s="246">
        <f t="shared" si="384"/>
        <v>0</v>
      </c>
      <c r="N902" s="121">
        <f t="shared" si="385"/>
        <v>1</v>
      </c>
      <c r="O902" s="246">
        <f t="shared" si="386"/>
        <v>0.90750547045951868</v>
      </c>
      <c r="P902" s="121">
        <f t="shared" si="387"/>
        <v>1</v>
      </c>
      <c r="Q902" s="121">
        <f t="shared" si="388"/>
        <v>0</v>
      </c>
      <c r="R902" s="121">
        <f t="shared" si="389"/>
        <v>0</v>
      </c>
      <c r="S902" s="121" t="str">
        <f t="shared" si="390"/>
        <v/>
      </c>
      <c r="T902" s="121" t="str">
        <f t="shared" si="391"/>
        <v/>
      </c>
      <c r="U902" s="121">
        <f t="shared" si="392"/>
        <v>1</v>
      </c>
    </row>
    <row r="903" spans="1:21" x14ac:dyDescent="0.3">
      <c r="A903" s="187">
        <v>15</v>
      </c>
      <c r="B903" s="242">
        <f t="shared" si="393"/>
        <v>46082</v>
      </c>
      <c r="C903" s="243">
        <f t="shared" si="374"/>
        <v>46112</v>
      </c>
      <c r="D903" s="120">
        <f t="shared" si="375"/>
        <v>31</v>
      </c>
      <c r="E903" s="120">
        <f t="shared" si="376"/>
        <v>3</v>
      </c>
      <c r="F903" s="275">
        <f t="shared" si="377"/>
        <v>46097.5</v>
      </c>
      <c r="G903" s="120">
        <f t="shared" si="378"/>
        <v>24314</v>
      </c>
      <c r="H903" s="245">
        <f t="shared" si="379"/>
        <v>1</v>
      </c>
      <c r="I903" s="121">
        <f t="shared" si="380"/>
        <v>1</v>
      </c>
      <c r="J903" s="121">
        <f t="shared" si="381"/>
        <v>1</v>
      </c>
      <c r="K903" s="120">
        <f t="shared" si="382"/>
        <v>0</v>
      </c>
      <c r="L903" s="120">
        <f t="shared" si="383"/>
        <v>0</v>
      </c>
      <c r="M903" s="246">
        <f t="shared" si="384"/>
        <v>0</v>
      </c>
      <c r="N903" s="121">
        <f t="shared" si="385"/>
        <v>1</v>
      </c>
      <c r="O903" s="246">
        <f t="shared" si="386"/>
        <v>0.90782822757111603</v>
      </c>
      <c r="P903" s="121">
        <f t="shared" si="387"/>
        <v>1</v>
      </c>
      <c r="Q903" s="121">
        <f t="shared" si="388"/>
        <v>0</v>
      </c>
      <c r="R903" s="121">
        <f t="shared" si="389"/>
        <v>0</v>
      </c>
      <c r="S903" s="121" t="str">
        <f t="shared" si="390"/>
        <v/>
      </c>
      <c r="T903" s="121" t="str">
        <f t="shared" si="391"/>
        <v/>
      </c>
      <c r="U903" s="121">
        <f t="shared" si="392"/>
        <v>1</v>
      </c>
    </row>
    <row r="904" spans="1:21" x14ac:dyDescent="0.3">
      <c r="A904" s="187">
        <v>16</v>
      </c>
      <c r="B904" s="242">
        <f t="shared" si="393"/>
        <v>46113</v>
      </c>
      <c r="C904" s="243">
        <f t="shared" si="374"/>
        <v>46142</v>
      </c>
      <c r="D904" s="120">
        <f t="shared" si="375"/>
        <v>30</v>
      </c>
      <c r="E904" s="120">
        <f t="shared" si="376"/>
        <v>4</v>
      </c>
      <c r="F904" s="275">
        <f t="shared" si="377"/>
        <v>46128</v>
      </c>
      <c r="G904" s="120">
        <f t="shared" si="378"/>
        <v>24315</v>
      </c>
      <c r="H904" s="245">
        <f t="shared" si="379"/>
        <v>1</v>
      </c>
      <c r="I904" s="121">
        <f t="shared" si="380"/>
        <v>1</v>
      </c>
      <c r="J904" s="121">
        <f t="shared" si="381"/>
        <v>1.02</v>
      </c>
      <c r="K904" s="120">
        <f t="shared" si="382"/>
        <v>1</v>
      </c>
      <c r="L904" s="120">
        <f t="shared" si="383"/>
        <v>30</v>
      </c>
      <c r="M904" s="246">
        <f t="shared" si="384"/>
        <v>1</v>
      </c>
      <c r="N904" s="121">
        <f t="shared" si="385"/>
        <v>1.02</v>
      </c>
      <c r="O904" s="246">
        <f t="shared" si="386"/>
        <v>0.90816192560175057</v>
      </c>
      <c r="P904" s="121">
        <f t="shared" si="387"/>
        <v>1</v>
      </c>
      <c r="Q904" s="121">
        <f t="shared" si="388"/>
        <v>0</v>
      </c>
      <c r="R904" s="121">
        <f t="shared" si="389"/>
        <v>0</v>
      </c>
      <c r="S904" s="121" t="str">
        <f t="shared" si="390"/>
        <v/>
      </c>
      <c r="T904" s="121" t="str">
        <f t="shared" si="391"/>
        <v/>
      </c>
      <c r="U904" s="121">
        <f t="shared" si="392"/>
        <v>1.02</v>
      </c>
    </row>
    <row r="905" spans="1:21" x14ac:dyDescent="0.3">
      <c r="A905" s="187">
        <v>17</v>
      </c>
      <c r="B905" s="242">
        <f t="shared" si="393"/>
        <v>46143</v>
      </c>
      <c r="C905" s="243">
        <f t="shared" si="374"/>
        <v>46173</v>
      </c>
      <c r="D905" s="120">
        <f t="shared" si="375"/>
        <v>31</v>
      </c>
      <c r="E905" s="120">
        <f t="shared" si="376"/>
        <v>5</v>
      </c>
      <c r="F905" s="275">
        <f t="shared" si="377"/>
        <v>46158.5</v>
      </c>
      <c r="G905" s="120">
        <f t="shared" si="378"/>
        <v>24316</v>
      </c>
      <c r="H905" s="245">
        <f t="shared" si="379"/>
        <v>1</v>
      </c>
      <c r="I905" s="121">
        <f t="shared" si="380"/>
        <v>1.02</v>
      </c>
      <c r="J905" s="121">
        <f t="shared" si="381"/>
        <v>1.02</v>
      </c>
      <c r="K905" s="120">
        <f t="shared" si="382"/>
        <v>0</v>
      </c>
      <c r="L905" s="120">
        <f t="shared" si="383"/>
        <v>0</v>
      </c>
      <c r="M905" s="246">
        <f t="shared" si="384"/>
        <v>0</v>
      </c>
      <c r="N905" s="121">
        <f t="shared" si="385"/>
        <v>1.02</v>
      </c>
      <c r="O905" s="246">
        <f t="shared" si="386"/>
        <v>0.90849562363238512</v>
      </c>
      <c r="P905" s="121">
        <f t="shared" si="387"/>
        <v>1</v>
      </c>
      <c r="Q905" s="121">
        <f t="shared" si="388"/>
        <v>0</v>
      </c>
      <c r="R905" s="121">
        <f t="shared" si="389"/>
        <v>0</v>
      </c>
      <c r="S905" s="121" t="str">
        <f t="shared" si="390"/>
        <v/>
      </c>
      <c r="T905" s="121" t="str">
        <f t="shared" si="391"/>
        <v/>
      </c>
      <c r="U905" s="121">
        <f t="shared" si="392"/>
        <v>1.02</v>
      </c>
    </row>
    <row r="906" spans="1:21" x14ac:dyDescent="0.3">
      <c r="A906" s="187">
        <v>18</v>
      </c>
      <c r="B906" s="242">
        <f t="shared" si="393"/>
        <v>46174</v>
      </c>
      <c r="C906" s="243">
        <f t="shared" si="374"/>
        <v>46203</v>
      </c>
      <c r="D906" s="120">
        <f t="shared" si="375"/>
        <v>30</v>
      </c>
      <c r="E906" s="120">
        <f t="shared" si="376"/>
        <v>6</v>
      </c>
      <c r="F906" s="275">
        <f t="shared" si="377"/>
        <v>46189</v>
      </c>
      <c r="G906" s="120">
        <f t="shared" si="378"/>
        <v>24317</v>
      </c>
      <c r="H906" s="245">
        <f t="shared" si="379"/>
        <v>1</v>
      </c>
      <c r="I906" s="121">
        <f t="shared" si="380"/>
        <v>1.02</v>
      </c>
      <c r="J906" s="121">
        <f t="shared" si="381"/>
        <v>1.02</v>
      </c>
      <c r="K906" s="120">
        <f t="shared" si="382"/>
        <v>0</v>
      </c>
      <c r="L906" s="120">
        <f t="shared" si="383"/>
        <v>0</v>
      </c>
      <c r="M906" s="246">
        <f t="shared" si="384"/>
        <v>0</v>
      </c>
      <c r="N906" s="121">
        <f t="shared" si="385"/>
        <v>1.02</v>
      </c>
      <c r="O906" s="246">
        <f t="shared" si="386"/>
        <v>0.90882932166301977</v>
      </c>
      <c r="P906" s="121">
        <f t="shared" si="387"/>
        <v>1</v>
      </c>
      <c r="Q906" s="121">
        <f t="shared" si="388"/>
        <v>0</v>
      </c>
      <c r="R906" s="121">
        <f t="shared" si="389"/>
        <v>0</v>
      </c>
      <c r="S906" s="121" t="str">
        <f t="shared" si="390"/>
        <v/>
      </c>
      <c r="T906" s="121" t="str">
        <f t="shared" si="391"/>
        <v/>
      </c>
      <c r="U906" s="121">
        <f t="shared" si="392"/>
        <v>1.02</v>
      </c>
    </row>
    <row r="907" spans="1:21" x14ac:dyDescent="0.3">
      <c r="A907" s="187">
        <v>19</v>
      </c>
      <c r="B907" s="242">
        <f t="shared" si="393"/>
        <v>46204</v>
      </c>
      <c r="C907" s="243">
        <f t="shared" si="374"/>
        <v>46234</v>
      </c>
      <c r="D907" s="120">
        <f t="shared" si="375"/>
        <v>31</v>
      </c>
      <c r="E907" s="120">
        <f t="shared" si="376"/>
        <v>7</v>
      </c>
      <c r="F907" s="275">
        <f t="shared" si="377"/>
        <v>46219.5</v>
      </c>
      <c r="G907" s="120">
        <f t="shared" si="378"/>
        <v>24318</v>
      </c>
      <c r="H907" s="245">
        <f t="shared" si="379"/>
        <v>1</v>
      </c>
      <c r="I907" s="121">
        <f t="shared" si="380"/>
        <v>1.02</v>
      </c>
      <c r="J907" s="121">
        <f t="shared" si="381"/>
        <v>1.02</v>
      </c>
      <c r="K907" s="120">
        <f t="shared" si="382"/>
        <v>0</v>
      </c>
      <c r="L907" s="120">
        <f t="shared" si="383"/>
        <v>0</v>
      </c>
      <c r="M907" s="246">
        <f t="shared" si="384"/>
        <v>0</v>
      </c>
      <c r="N907" s="121">
        <f t="shared" si="385"/>
        <v>1.02</v>
      </c>
      <c r="O907" s="246">
        <f t="shared" si="386"/>
        <v>0.90916301969365432</v>
      </c>
      <c r="P907" s="121">
        <f t="shared" si="387"/>
        <v>0.91666666666666663</v>
      </c>
      <c r="Q907" s="121">
        <f t="shared" si="388"/>
        <v>8.333333333333337E-2</v>
      </c>
      <c r="R907" s="121">
        <f t="shared" si="389"/>
        <v>0</v>
      </c>
      <c r="S907" s="121" t="str">
        <f t="shared" si="390"/>
        <v/>
      </c>
      <c r="T907" s="121" t="str">
        <f t="shared" si="391"/>
        <v/>
      </c>
      <c r="U907" s="121">
        <f t="shared" si="392"/>
        <v>1.02</v>
      </c>
    </row>
    <row r="908" spans="1:21" x14ac:dyDescent="0.3">
      <c r="A908" s="187">
        <v>20</v>
      </c>
      <c r="B908" s="242">
        <f t="shared" si="393"/>
        <v>46235</v>
      </c>
      <c r="C908" s="243">
        <f t="shared" si="374"/>
        <v>46265</v>
      </c>
      <c r="D908" s="120">
        <f t="shared" si="375"/>
        <v>31</v>
      </c>
      <c r="E908" s="120">
        <f t="shared" si="376"/>
        <v>8</v>
      </c>
      <c r="F908" s="275">
        <f t="shared" si="377"/>
        <v>46250.5</v>
      </c>
      <c r="G908" s="120">
        <f t="shared" si="378"/>
        <v>24319</v>
      </c>
      <c r="H908" s="245">
        <f t="shared" si="379"/>
        <v>1</v>
      </c>
      <c r="I908" s="121">
        <f t="shared" si="380"/>
        <v>1.02</v>
      </c>
      <c r="J908" s="121">
        <f t="shared" si="381"/>
        <v>1.02</v>
      </c>
      <c r="K908" s="120">
        <f t="shared" si="382"/>
        <v>0</v>
      </c>
      <c r="L908" s="120">
        <f t="shared" si="383"/>
        <v>0</v>
      </c>
      <c r="M908" s="246">
        <f t="shared" si="384"/>
        <v>0</v>
      </c>
      <c r="N908" s="121">
        <f t="shared" si="385"/>
        <v>1.02</v>
      </c>
      <c r="O908" s="246">
        <f t="shared" si="386"/>
        <v>0.90950218818380746</v>
      </c>
      <c r="P908" s="121">
        <f t="shared" si="387"/>
        <v>0.75</v>
      </c>
      <c r="Q908" s="121">
        <f t="shared" si="388"/>
        <v>0.25</v>
      </c>
      <c r="R908" s="121">
        <f t="shared" si="389"/>
        <v>0</v>
      </c>
      <c r="S908" s="121" t="str">
        <f t="shared" si="390"/>
        <v/>
      </c>
      <c r="T908" s="121" t="str">
        <f t="shared" si="391"/>
        <v/>
      </c>
      <c r="U908" s="121">
        <f t="shared" si="392"/>
        <v>1.02</v>
      </c>
    </row>
    <row r="909" spans="1:21" x14ac:dyDescent="0.3">
      <c r="A909" s="187">
        <v>21</v>
      </c>
      <c r="B909" s="242">
        <f t="shared" si="393"/>
        <v>46266</v>
      </c>
      <c r="C909" s="243">
        <f t="shared" si="374"/>
        <v>46295</v>
      </c>
      <c r="D909" s="120">
        <f t="shared" si="375"/>
        <v>30</v>
      </c>
      <c r="E909" s="120">
        <f t="shared" si="376"/>
        <v>9</v>
      </c>
      <c r="F909" s="275">
        <f t="shared" si="377"/>
        <v>46281</v>
      </c>
      <c r="G909" s="120">
        <f t="shared" si="378"/>
        <v>24320</v>
      </c>
      <c r="H909" s="245">
        <f t="shared" si="379"/>
        <v>1</v>
      </c>
      <c r="I909" s="121">
        <f t="shared" si="380"/>
        <v>1.02</v>
      </c>
      <c r="J909" s="121">
        <f t="shared" si="381"/>
        <v>1.02</v>
      </c>
      <c r="K909" s="120">
        <f t="shared" si="382"/>
        <v>0</v>
      </c>
      <c r="L909" s="120">
        <f t="shared" si="383"/>
        <v>0</v>
      </c>
      <c r="M909" s="246">
        <f t="shared" si="384"/>
        <v>0</v>
      </c>
      <c r="N909" s="121">
        <f t="shared" si="385"/>
        <v>1.02</v>
      </c>
      <c r="O909" s="246">
        <f t="shared" si="386"/>
        <v>0.909835886214442</v>
      </c>
      <c r="P909" s="121">
        <f t="shared" si="387"/>
        <v>0.58333333333333337</v>
      </c>
      <c r="Q909" s="121">
        <f t="shared" si="388"/>
        <v>0.41666666666666663</v>
      </c>
      <c r="R909" s="121">
        <f t="shared" si="389"/>
        <v>0</v>
      </c>
      <c r="S909" s="121" t="str">
        <f t="shared" si="390"/>
        <v/>
      </c>
      <c r="T909" s="121" t="str">
        <f t="shared" si="391"/>
        <v/>
      </c>
      <c r="U909" s="121">
        <f t="shared" si="392"/>
        <v>1.02</v>
      </c>
    </row>
    <row r="910" spans="1:21" x14ac:dyDescent="0.3">
      <c r="A910" s="187">
        <v>22</v>
      </c>
      <c r="B910" s="242">
        <f t="shared" si="393"/>
        <v>46296</v>
      </c>
      <c r="C910" s="243">
        <f t="shared" si="374"/>
        <v>46326</v>
      </c>
      <c r="D910" s="120">
        <f t="shared" si="375"/>
        <v>31</v>
      </c>
      <c r="E910" s="120">
        <f t="shared" si="376"/>
        <v>10</v>
      </c>
      <c r="F910" s="275">
        <f t="shared" si="377"/>
        <v>46311.5</v>
      </c>
      <c r="G910" s="120">
        <f t="shared" si="378"/>
        <v>24321</v>
      </c>
      <c r="H910" s="245">
        <f t="shared" si="379"/>
        <v>1</v>
      </c>
      <c r="I910" s="121">
        <f t="shared" si="380"/>
        <v>1.02</v>
      </c>
      <c r="J910" s="121">
        <f t="shared" si="381"/>
        <v>1.02</v>
      </c>
      <c r="K910" s="120">
        <f t="shared" si="382"/>
        <v>0</v>
      </c>
      <c r="L910" s="120">
        <f t="shared" si="383"/>
        <v>0</v>
      </c>
      <c r="M910" s="246">
        <f t="shared" si="384"/>
        <v>0</v>
      </c>
      <c r="N910" s="121">
        <f t="shared" si="385"/>
        <v>1.02</v>
      </c>
      <c r="O910" s="246">
        <f t="shared" si="386"/>
        <v>0.91016958424507666</v>
      </c>
      <c r="P910" s="121">
        <f t="shared" si="387"/>
        <v>0.41666666666666669</v>
      </c>
      <c r="Q910" s="121">
        <f t="shared" si="388"/>
        <v>0.58333333333333326</v>
      </c>
      <c r="R910" s="121">
        <f t="shared" si="389"/>
        <v>0</v>
      </c>
      <c r="S910" s="121" t="str">
        <f t="shared" si="390"/>
        <v/>
      </c>
      <c r="T910" s="121" t="str">
        <f t="shared" si="391"/>
        <v/>
      </c>
      <c r="U910" s="121">
        <f t="shared" si="392"/>
        <v>1.02</v>
      </c>
    </row>
    <row r="911" spans="1:21" x14ac:dyDescent="0.3">
      <c r="A911" s="187">
        <v>23</v>
      </c>
      <c r="B911" s="242">
        <f t="shared" si="393"/>
        <v>46327</v>
      </c>
      <c r="C911" s="243">
        <f t="shared" si="374"/>
        <v>46356</v>
      </c>
      <c r="D911" s="120">
        <f t="shared" si="375"/>
        <v>30</v>
      </c>
      <c r="E911" s="120">
        <f t="shared" si="376"/>
        <v>11</v>
      </c>
      <c r="F911" s="275">
        <f t="shared" si="377"/>
        <v>46342</v>
      </c>
      <c r="G911" s="120">
        <f t="shared" si="378"/>
        <v>24322</v>
      </c>
      <c r="H911" s="245">
        <f t="shared" si="379"/>
        <v>1</v>
      </c>
      <c r="I911" s="121">
        <f t="shared" si="380"/>
        <v>1.02</v>
      </c>
      <c r="J911" s="121">
        <f t="shared" si="381"/>
        <v>1.02</v>
      </c>
      <c r="K911" s="120">
        <f t="shared" si="382"/>
        <v>0</v>
      </c>
      <c r="L911" s="120">
        <f t="shared" si="383"/>
        <v>0</v>
      </c>
      <c r="M911" s="246">
        <f t="shared" si="384"/>
        <v>0</v>
      </c>
      <c r="N911" s="121">
        <f t="shared" si="385"/>
        <v>1.02</v>
      </c>
      <c r="O911" s="246">
        <f t="shared" si="386"/>
        <v>0.9105032822757112</v>
      </c>
      <c r="P911" s="121">
        <f t="shared" si="387"/>
        <v>0.25</v>
      </c>
      <c r="Q911" s="121">
        <f t="shared" si="388"/>
        <v>0.75</v>
      </c>
      <c r="R911" s="121">
        <f t="shared" si="389"/>
        <v>0</v>
      </c>
      <c r="S911" s="121" t="str">
        <f t="shared" si="390"/>
        <v/>
      </c>
      <c r="T911" s="121" t="str">
        <f t="shared" si="391"/>
        <v/>
      </c>
      <c r="U911" s="121">
        <f t="shared" si="392"/>
        <v>1.02</v>
      </c>
    </row>
    <row r="912" spans="1:21" x14ac:dyDescent="0.3">
      <c r="A912" s="187">
        <v>24</v>
      </c>
      <c r="B912" s="242">
        <f t="shared" si="393"/>
        <v>46357</v>
      </c>
      <c r="C912" s="243">
        <f t="shared" si="374"/>
        <v>46387</v>
      </c>
      <c r="D912" s="120">
        <f t="shared" si="375"/>
        <v>31</v>
      </c>
      <c r="E912" s="120">
        <f t="shared" si="376"/>
        <v>12</v>
      </c>
      <c r="F912" s="275">
        <f t="shared" si="377"/>
        <v>46372.5</v>
      </c>
      <c r="G912" s="120">
        <f t="shared" si="378"/>
        <v>24323</v>
      </c>
      <c r="H912" s="245">
        <f t="shared" si="379"/>
        <v>1</v>
      </c>
      <c r="I912" s="121">
        <f t="shared" si="380"/>
        <v>1.02</v>
      </c>
      <c r="J912" s="121">
        <f t="shared" si="381"/>
        <v>1.02</v>
      </c>
      <c r="K912" s="120">
        <f t="shared" si="382"/>
        <v>0</v>
      </c>
      <c r="L912" s="120">
        <f t="shared" si="383"/>
        <v>0</v>
      </c>
      <c r="M912" s="246">
        <f t="shared" si="384"/>
        <v>0</v>
      </c>
      <c r="N912" s="121">
        <f t="shared" si="385"/>
        <v>1.02</v>
      </c>
      <c r="O912" s="246">
        <f t="shared" si="386"/>
        <v>0.91083698030634574</v>
      </c>
      <c r="P912" s="121">
        <f t="shared" si="387"/>
        <v>8.3333333333333329E-2</v>
      </c>
      <c r="Q912" s="121">
        <f t="shared" si="388"/>
        <v>0.91666666666666663</v>
      </c>
      <c r="R912" s="121">
        <f t="shared" si="389"/>
        <v>0</v>
      </c>
      <c r="S912" s="121" t="str">
        <f t="shared" si="390"/>
        <v/>
      </c>
      <c r="T912" s="121" t="str">
        <f t="shared" si="391"/>
        <v/>
      </c>
      <c r="U912" s="121">
        <f t="shared" si="392"/>
        <v>1.02</v>
      </c>
    </row>
    <row r="913" spans="1:21" x14ac:dyDescent="0.3">
      <c r="A913" s="187">
        <v>25</v>
      </c>
      <c r="B913" s="242">
        <f t="shared" si="393"/>
        <v>46388</v>
      </c>
      <c r="C913" s="243">
        <f t="shared" si="374"/>
        <v>46418</v>
      </c>
      <c r="D913" s="120">
        <f t="shared" si="375"/>
        <v>31</v>
      </c>
      <c r="E913" s="120">
        <f t="shared" si="376"/>
        <v>1</v>
      </c>
      <c r="F913" s="275">
        <f t="shared" si="377"/>
        <v>46403.5</v>
      </c>
      <c r="G913" s="120">
        <f t="shared" si="378"/>
        <v>24324</v>
      </c>
      <c r="H913" s="245">
        <f t="shared" si="379"/>
        <v>1</v>
      </c>
      <c r="I913" s="121">
        <f t="shared" si="380"/>
        <v>1.02</v>
      </c>
      <c r="J913" s="121">
        <f t="shared" si="381"/>
        <v>1.02</v>
      </c>
      <c r="K913" s="120">
        <f t="shared" si="382"/>
        <v>0</v>
      </c>
      <c r="L913" s="120">
        <f t="shared" si="383"/>
        <v>0</v>
      </c>
      <c r="M913" s="246">
        <f t="shared" si="384"/>
        <v>0</v>
      </c>
      <c r="N913" s="121">
        <f t="shared" si="385"/>
        <v>1.02</v>
      </c>
      <c r="O913" s="246">
        <f t="shared" si="386"/>
        <v>0.91117614879649889</v>
      </c>
      <c r="P913" s="121">
        <f t="shared" si="387"/>
        <v>0</v>
      </c>
      <c r="Q913" s="121">
        <f t="shared" si="388"/>
        <v>1</v>
      </c>
      <c r="R913" s="121">
        <f t="shared" si="389"/>
        <v>0</v>
      </c>
      <c r="S913" s="121" t="str">
        <f t="shared" si="390"/>
        <v/>
      </c>
      <c r="T913" s="121" t="str">
        <f t="shared" si="391"/>
        <v/>
      </c>
      <c r="U913" s="121">
        <f t="shared" si="392"/>
        <v>1.02</v>
      </c>
    </row>
    <row r="914" spans="1:21" x14ac:dyDescent="0.3">
      <c r="A914" s="187">
        <v>26</v>
      </c>
      <c r="B914" s="242">
        <f t="shared" si="393"/>
        <v>46419</v>
      </c>
      <c r="C914" s="243">
        <f t="shared" si="374"/>
        <v>46446</v>
      </c>
      <c r="D914" s="120">
        <f t="shared" si="375"/>
        <v>28</v>
      </c>
      <c r="E914" s="120">
        <f t="shared" si="376"/>
        <v>2</v>
      </c>
      <c r="F914" s="275">
        <f t="shared" si="377"/>
        <v>46433</v>
      </c>
      <c r="G914" s="120">
        <f t="shared" si="378"/>
        <v>24325</v>
      </c>
      <c r="H914" s="245">
        <f t="shared" si="379"/>
        <v>1</v>
      </c>
      <c r="I914" s="121">
        <f t="shared" si="380"/>
        <v>1.02</v>
      </c>
      <c r="J914" s="121">
        <f t="shared" si="381"/>
        <v>1.02</v>
      </c>
      <c r="K914" s="120">
        <f t="shared" si="382"/>
        <v>0</v>
      </c>
      <c r="L914" s="120">
        <f t="shared" si="383"/>
        <v>0</v>
      </c>
      <c r="M914" s="246">
        <f t="shared" si="384"/>
        <v>0</v>
      </c>
      <c r="N914" s="121">
        <f t="shared" si="385"/>
        <v>1.02</v>
      </c>
      <c r="O914" s="246">
        <f t="shared" si="386"/>
        <v>0.91149890590809635</v>
      </c>
      <c r="P914" s="121">
        <f t="shared" si="387"/>
        <v>0</v>
      </c>
      <c r="Q914" s="121">
        <f t="shared" si="388"/>
        <v>1</v>
      </c>
      <c r="R914" s="121">
        <f t="shared" si="389"/>
        <v>0</v>
      </c>
      <c r="S914" s="121" t="str">
        <f t="shared" si="390"/>
        <v/>
      </c>
      <c r="T914" s="121" t="str">
        <f t="shared" si="391"/>
        <v/>
      </c>
      <c r="U914" s="121">
        <f t="shared" si="392"/>
        <v>1.02</v>
      </c>
    </row>
    <row r="915" spans="1:21" x14ac:dyDescent="0.3">
      <c r="A915" s="187">
        <v>27</v>
      </c>
      <c r="B915" s="242">
        <f t="shared" si="393"/>
        <v>46447</v>
      </c>
      <c r="C915" s="243">
        <f t="shared" si="374"/>
        <v>46477</v>
      </c>
      <c r="D915" s="120">
        <f t="shared" si="375"/>
        <v>31</v>
      </c>
      <c r="E915" s="120">
        <f t="shared" si="376"/>
        <v>3</v>
      </c>
      <c r="F915" s="275">
        <f t="shared" si="377"/>
        <v>46462.5</v>
      </c>
      <c r="G915" s="120">
        <f t="shared" si="378"/>
        <v>24326</v>
      </c>
      <c r="H915" s="245">
        <f t="shared" si="379"/>
        <v>1</v>
      </c>
      <c r="I915" s="121">
        <f t="shared" si="380"/>
        <v>1.02</v>
      </c>
      <c r="J915" s="121">
        <f t="shared" si="381"/>
        <v>1.02</v>
      </c>
      <c r="K915" s="120">
        <f t="shared" si="382"/>
        <v>0</v>
      </c>
      <c r="L915" s="120">
        <f t="shared" si="383"/>
        <v>0</v>
      </c>
      <c r="M915" s="246">
        <f t="shared" si="384"/>
        <v>0</v>
      </c>
      <c r="N915" s="121">
        <f t="shared" si="385"/>
        <v>1.02</v>
      </c>
      <c r="O915" s="246">
        <f t="shared" si="386"/>
        <v>0.9118216630196937</v>
      </c>
      <c r="P915" s="121">
        <f t="shared" si="387"/>
        <v>0</v>
      </c>
      <c r="Q915" s="121">
        <f t="shared" si="388"/>
        <v>1</v>
      </c>
      <c r="R915" s="121">
        <f t="shared" si="389"/>
        <v>0</v>
      </c>
      <c r="S915" s="121" t="str">
        <f t="shared" si="390"/>
        <v/>
      </c>
      <c r="T915" s="121" t="str">
        <f t="shared" si="391"/>
        <v/>
      </c>
      <c r="U915" s="121">
        <f t="shared" si="392"/>
        <v>1.02</v>
      </c>
    </row>
    <row r="916" spans="1:21" x14ac:dyDescent="0.3">
      <c r="A916" s="187">
        <v>28</v>
      </c>
      <c r="B916" s="242">
        <f t="shared" si="393"/>
        <v>46478</v>
      </c>
      <c r="C916" s="243">
        <f t="shared" si="374"/>
        <v>46507</v>
      </c>
      <c r="D916" s="120">
        <f t="shared" si="375"/>
        <v>30</v>
      </c>
      <c r="E916" s="120">
        <f t="shared" si="376"/>
        <v>4</v>
      </c>
      <c r="F916" s="275">
        <f t="shared" si="377"/>
        <v>46493</v>
      </c>
      <c r="G916" s="120">
        <f t="shared" si="378"/>
        <v>24327</v>
      </c>
      <c r="H916" s="245">
        <f t="shared" si="379"/>
        <v>1</v>
      </c>
      <c r="I916" s="121">
        <f t="shared" si="380"/>
        <v>1.02</v>
      </c>
      <c r="J916" s="121">
        <f t="shared" si="381"/>
        <v>1.02</v>
      </c>
      <c r="K916" s="120">
        <f t="shared" si="382"/>
        <v>0</v>
      </c>
      <c r="L916" s="120">
        <f t="shared" si="383"/>
        <v>0</v>
      </c>
      <c r="M916" s="246">
        <f t="shared" si="384"/>
        <v>0</v>
      </c>
      <c r="N916" s="121">
        <f t="shared" si="385"/>
        <v>1.02</v>
      </c>
      <c r="O916" s="246">
        <f t="shared" si="386"/>
        <v>0.91215536105032824</v>
      </c>
      <c r="P916" s="121">
        <f t="shared" si="387"/>
        <v>0</v>
      </c>
      <c r="Q916" s="121">
        <f t="shared" si="388"/>
        <v>1</v>
      </c>
      <c r="R916" s="121">
        <f t="shared" si="389"/>
        <v>0</v>
      </c>
      <c r="S916" s="121" t="str">
        <f t="shared" si="390"/>
        <v/>
      </c>
      <c r="T916" s="121" t="str">
        <f t="shared" si="391"/>
        <v/>
      </c>
      <c r="U916" s="121">
        <f t="shared" si="392"/>
        <v>1.02</v>
      </c>
    </row>
    <row r="917" spans="1:21" x14ac:dyDescent="0.3">
      <c r="A917" s="187">
        <v>29</v>
      </c>
      <c r="B917" s="242">
        <f t="shared" si="393"/>
        <v>46508</v>
      </c>
      <c r="C917" s="243">
        <f t="shared" si="374"/>
        <v>46538</v>
      </c>
      <c r="D917" s="120">
        <f t="shared" si="375"/>
        <v>31</v>
      </c>
      <c r="E917" s="120">
        <f t="shared" si="376"/>
        <v>5</v>
      </c>
      <c r="F917" s="275">
        <f t="shared" si="377"/>
        <v>46523.5</v>
      </c>
      <c r="G917" s="120">
        <f t="shared" si="378"/>
        <v>24328</v>
      </c>
      <c r="H917" s="245">
        <f t="shared" si="379"/>
        <v>1</v>
      </c>
      <c r="I917" s="121">
        <f t="shared" si="380"/>
        <v>1.02</v>
      </c>
      <c r="J917" s="121">
        <f t="shared" si="381"/>
        <v>1.02</v>
      </c>
      <c r="K917" s="120">
        <f t="shared" si="382"/>
        <v>0</v>
      </c>
      <c r="L917" s="120">
        <f t="shared" si="383"/>
        <v>0</v>
      </c>
      <c r="M917" s="246">
        <f t="shared" si="384"/>
        <v>0</v>
      </c>
      <c r="N917" s="121">
        <f t="shared" si="385"/>
        <v>1.02</v>
      </c>
      <c r="O917" s="246">
        <f t="shared" si="386"/>
        <v>0.91248905908096278</v>
      </c>
      <c r="P917" s="121">
        <f t="shared" si="387"/>
        <v>0</v>
      </c>
      <c r="Q917" s="121">
        <f t="shared" si="388"/>
        <v>1</v>
      </c>
      <c r="R917" s="121">
        <f t="shared" si="389"/>
        <v>0</v>
      </c>
      <c r="S917" s="121" t="str">
        <f t="shared" si="390"/>
        <v/>
      </c>
      <c r="T917" s="121" t="str">
        <f t="shared" si="391"/>
        <v/>
      </c>
      <c r="U917" s="121">
        <f t="shared" si="392"/>
        <v>1.02</v>
      </c>
    </row>
    <row r="918" spans="1:21" x14ac:dyDescent="0.3">
      <c r="A918" s="187">
        <v>30</v>
      </c>
      <c r="B918" s="242">
        <f t="shared" si="393"/>
        <v>46539</v>
      </c>
      <c r="C918" s="243">
        <f t="shared" si="374"/>
        <v>46568</v>
      </c>
      <c r="D918" s="120">
        <f t="shared" si="375"/>
        <v>30</v>
      </c>
      <c r="E918" s="120">
        <f t="shared" si="376"/>
        <v>6</v>
      </c>
      <c r="F918" s="275">
        <f t="shared" si="377"/>
        <v>46554</v>
      </c>
      <c r="G918" s="120">
        <f t="shared" si="378"/>
        <v>24329</v>
      </c>
      <c r="H918" s="245">
        <f t="shared" si="379"/>
        <v>1</v>
      </c>
      <c r="I918" s="121">
        <f t="shared" si="380"/>
        <v>1.02</v>
      </c>
      <c r="J918" s="121">
        <f t="shared" si="381"/>
        <v>1.02</v>
      </c>
      <c r="K918" s="120">
        <f t="shared" si="382"/>
        <v>0</v>
      </c>
      <c r="L918" s="120">
        <f t="shared" si="383"/>
        <v>0</v>
      </c>
      <c r="M918" s="246">
        <f t="shared" si="384"/>
        <v>0</v>
      </c>
      <c r="N918" s="121">
        <f t="shared" si="385"/>
        <v>1.02</v>
      </c>
      <c r="O918" s="246">
        <f t="shared" si="386"/>
        <v>0.91282275711159744</v>
      </c>
      <c r="P918" s="121">
        <f t="shared" si="387"/>
        <v>0</v>
      </c>
      <c r="Q918" s="121">
        <f t="shared" si="388"/>
        <v>1</v>
      </c>
      <c r="R918" s="121">
        <f t="shared" si="389"/>
        <v>0</v>
      </c>
      <c r="S918" s="121" t="str">
        <f t="shared" si="390"/>
        <v/>
      </c>
      <c r="T918" s="121" t="str">
        <f t="shared" si="391"/>
        <v/>
      </c>
      <c r="U918" s="121">
        <f t="shared" si="392"/>
        <v>1.02</v>
      </c>
    </row>
    <row r="919" spans="1:21" x14ac:dyDescent="0.3">
      <c r="A919" s="187">
        <v>31</v>
      </c>
      <c r="B919" s="242">
        <f t="shared" si="393"/>
        <v>46569</v>
      </c>
      <c r="C919" s="243">
        <f t="shared" si="374"/>
        <v>46599</v>
      </c>
      <c r="D919" s="120">
        <f t="shared" si="375"/>
        <v>31</v>
      </c>
      <c r="E919" s="120">
        <f t="shared" si="376"/>
        <v>7</v>
      </c>
      <c r="F919" s="275">
        <f t="shared" si="377"/>
        <v>46584.5</v>
      </c>
      <c r="G919" s="120">
        <f t="shared" si="378"/>
        <v>24330</v>
      </c>
      <c r="H919" s="245">
        <f t="shared" si="379"/>
        <v>1</v>
      </c>
      <c r="I919" s="121">
        <f t="shared" si="380"/>
        <v>1.02</v>
      </c>
      <c r="J919" s="121">
        <f t="shared" si="381"/>
        <v>1.02</v>
      </c>
      <c r="K919" s="120">
        <f t="shared" si="382"/>
        <v>0</v>
      </c>
      <c r="L919" s="120">
        <f t="shared" si="383"/>
        <v>0</v>
      </c>
      <c r="M919" s="246">
        <f t="shared" si="384"/>
        <v>0</v>
      </c>
      <c r="N919" s="121">
        <f t="shared" si="385"/>
        <v>1.02</v>
      </c>
      <c r="O919" s="246">
        <f t="shared" si="386"/>
        <v>0.91315645514223198</v>
      </c>
      <c r="P919" s="121">
        <f t="shared" si="387"/>
        <v>0</v>
      </c>
      <c r="Q919" s="121">
        <f t="shared" si="388"/>
        <v>0.91666666666666663</v>
      </c>
      <c r="R919" s="121">
        <f t="shared" si="389"/>
        <v>8.333333333333337E-2</v>
      </c>
      <c r="S919" s="121" t="str">
        <f t="shared" si="390"/>
        <v/>
      </c>
      <c r="T919" s="121" t="str">
        <f t="shared" si="391"/>
        <v/>
      </c>
      <c r="U919" s="121">
        <f t="shared" si="392"/>
        <v>1.02</v>
      </c>
    </row>
    <row r="920" spans="1:21" x14ac:dyDescent="0.3">
      <c r="A920" s="187">
        <v>32</v>
      </c>
      <c r="B920" s="242">
        <f t="shared" si="393"/>
        <v>46600</v>
      </c>
      <c r="C920" s="243">
        <f t="shared" si="374"/>
        <v>46630</v>
      </c>
      <c r="D920" s="120">
        <f t="shared" si="375"/>
        <v>31</v>
      </c>
      <c r="E920" s="120">
        <f t="shared" si="376"/>
        <v>8</v>
      </c>
      <c r="F920" s="275">
        <f t="shared" si="377"/>
        <v>46615.5</v>
      </c>
      <c r="G920" s="120">
        <f t="shared" si="378"/>
        <v>24331</v>
      </c>
      <c r="H920" s="245">
        <f t="shared" si="379"/>
        <v>1</v>
      </c>
      <c r="I920" s="121">
        <f t="shared" si="380"/>
        <v>1.02</v>
      </c>
      <c r="J920" s="121">
        <f t="shared" si="381"/>
        <v>1.02</v>
      </c>
      <c r="K920" s="120">
        <f t="shared" si="382"/>
        <v>0</v>
      </c>
      <c r="L920" s="120">
        <f t="shared" si="383"/>
        <v>0</v>
      </c>
      <c r="M920" s="246">
        <f t="shared" si="384"/>
        <v>0</v>
      </c>
      <c r="N920" s="121">
        <f t="shared" si="385"/>
        <v>1.02</v>
      </c>
      <c r="O920" s="246">
        <f t="shared" si="386"/>
        <v>0.91349562363238512</v>
      </c>
      <c r="P920" s="121">
        <f t="shared" si="387"/>
        <v>0</v>
      </c>
      <c r="Q920" s="121">
        <f t="shared" si="388"/>
        <v>0.75</v>
      </c>
      <c r="R920" s="121">
        <f t="shared" si="389"/>
        <v>0.25</v>
      </c>
      <c r="S920" s="121" t="str">
        <f t="shared" si="390"/>
        <v/>
      </c>
      <c r="T920" s="121" t="str">
        <f t="shared" si="391"/>
        <v/>
      </c>
      <c r="U920" s="121">
        <f t="shared" si="392"/>
        <v>1.02</v>
      </c>
    </row>
    <row r="921" spans="1:21" x14ac:dyDescent="0.3">
      <c r="A921" s="187">
        <v>33</v>
      </c>
      <c r="B921" s="242">
        <f t="shared" si="393"/>
        <v>46631</v>
      </c>
      <c r="C921" s="243">
        <f t="shared" si="374"/>
        <v>46660</v>
      </c>
      <c r="D921" s="120">
        <f t="shared" si="375"/>
        <v>30</v>
      </c>
      <c r="E921" s="120">
        <f t="shared" si="376"/>
        <v>9</v>
      </c>
      <c r="F921" s="275">
        <f t="shared" si="377"/>
        <v>46646</v>
      </c>
      <c r="G921" s="120">
        <f t="shared" si="378"/>
        <v>24332</v>
      </c>
      <c r="H921" s="245">
        <f t="shared" si="379"/>
        <v>1</v>
      </c>
      <c r="I921" s="121">
        <f t="shared" si="380"/>
        <v>1.02</v>
      </c>
      <c r="J921" s="121">
        <f t="shared" si="381"/>
        <v>1.02</v>
      </c>
      <c r="K921" s="120">
        <f t="shared" si="382"/>
        <v>0</v>
      </c>
      <c r="L921" s="120">
        <f t="shared" si="383"/>
        <v>0</v>
      </c>
      <c r="M921" s="246">
        <f t="shared" si="384"/>
        <v>0</v>
      </c>
      <c r="N921" s="121">
        <f t="shared" si="385"/>
        <v>1.02</v>
      </c>
      <c r="O921" s="246">
        <f t="shared" si="386"/>
        <v>0.91382932166301978</v>
      </c>
      <c r="P921" s="121">
        <f t="shared" si="387"/>
        <v>0</v>
      </c>
      <c r="Q921" s="121">
        <f t="shared" si="388"/>
        <v>0.58333333333333337</v>
      </c>
      <c r="R921" s="121">
        <f t="shared" si="389"/>
        <v>0.41666666666666663</v>
      </c>
      <c r="S921" s="121" t="str">
        <f t="shared" si="390"/>
        <v/>
      </c>
      <c r="T921" s="121" t="str">
        <f t="shared" si="391"/>
        <v/>
      </c>
      <c r="U921" s="121">
        <f t="shared" si="392"/>
        <v>1.02</v>
      </c>
    </row>
    <row r="922" spans="1:21" x14ac:dyDescent="0.3">
      <c r="A922" s="187">
        <v>34</v>
      </c>
      <c r="B922" s="242">
        <f t="shared" si="393"/>
        <v>46661</v>
      </c>
      <c r="C922" s="243">
        <f t="shared" si="374"/>
        <v>46691</v>
      </c>
      <c r="D922" s="120">
        <f t="shared" si="375"/>
        <v>31</v>
      </c>
      <c r="E922" s="120">
        <f t="shared" si="376"/>
        <v>10</v>
      </c>
      <c r="F922" s="275">
        <f t="shared" si="377"/>
        <v>46676.5</v>
      </c>
      <c r="G922" s="120">
        <f t="shared" si="378"/>
        <v>24333</v>
      </c>
      <c r="H922" s="245">
        <f t="shared" si="379"/>
        <v>1</v>
      </c>
      <c r="I922" s="121">
        <f t="shared" si="380"/>
        <v>1.02</v>
      </c>
      <c r="J922" s="121">
        <f t="shared" si="381"/>
        <v>1.02</v>
      </c>
      <c r="K922" s="120">
        <f t="shared" si="382"/>
        <v>0</v>
      </c>
      <c r="L922" s="120">
        <f t="shared" si="383"/>
        <v>0</v>
      </c>
      <c r="M922" s="246">
        <f t="shared" si="384"/>
        <v>0</v>
      </c>
      <c r="N922" s="121">
        <f t="shared" si="385"/>
        <v>1.02</v>
      </c>
      <c r="O922" s="246">
        <f t="shared" si="386"/>
        <v>0.91416301969365432</v>
      </c>
      <c r="P922" s="121">
        <f t="shared" si="387"/>
        <v>0</v>
      </c>
      <c r="Q922" s="121">
        <f t="shared" si="388"/>
        <v>0.41666666666666669</v>
      </c>
      <c r="R922" s="121">
        <f t="shared" si="389"/>
        <v>0.58333333333333326</v>
      </c>
      <c r="S922" s="121" t="str">
        <f t="shared" si="390"/>
        <v/>
      </c>
      <c r="T922" s="121" t="str">
        <f t="shared" si="391"/>
        <v/>
      </c>
      <c r="U922" s="121">
        <f t="shared" si="392"/>
        <v>1.02</v>
      </c>
    </row>
    <row r="923" spans="1:21" x14ac:dyDescent="0.3">
      <c r="A923" s="187">
        <v>35</v>
      </c>
      <c r="B923" s="242">
        <f t="shared" si="393"/>
        <v>46692</v>
      </c>
      <c r="C923" s="243">
        <f t="shared" si="374"/>
        <v>46721</v>
      </c>
      <c r="D923" s="120">
        <f t="shared" si="375"/>
        <v>30</v>
      </c>
      <c r="E923" s="120">
        <f t="shared" si="376"/>
        <v>11</v>
      </c>
      <c r="F923" s="275">
        <f t="shared" si="377"/>
        <v>46707</v>
      </c>
      <c r="G923" s="120">
        <f t="shared" si="378"/>
        <v>24334</v>
      </c>
      <c r="H923" s="245">
        <f t="shared" si="379"/>
        <v>1</v>
      </c>
      <c r="I923" s="121">
        <f t="shared" si="380"/>
        <v>1.02</v>
      </c>
      <c r="J923" s="121">
        <f t="shared" si="381"/>
        <v>1.02</v>
      </c>
      <c r="K923" s="120">
        <f t="shared" si="382"/>
        <v>0</v>
      </c>
      <c r="L923" s="120">
        <f t="shared" si="383"/>
        <v>0</v>
      </c>
      <c r="M923" s="246">
        <f t="shared" si="384"/>
        <v>0</v>
      </c>
      <c r="N923" s="121">
        <f t="shared" si="385"/>
        <v>1.02</v>
      </c>
      <c r="O923" s="246">
        <f t="shared" si="386"/>
        <v>0.91449671772428887</v>
      </c>
      <c r="P923" s="121">
        <f t="shared" si="387"/>
        <v>0</v>
      </c>
      <c r="Q923" s="121">
        <f t="shared" si="388"/>
        <v>0.25</v>
      </c>
      <c r="R923" s="121">
        <f t="shared" si="389"/>
        <v>0.75</v>
      </c>
      <c r="S923" s="121" t="str">
        <f t="shared" si="390"/>
        <v/>
      </c>
      <c r="T923" s="121" t="str">
        <f t="shared" si="391"/>
        <v/>
      </c>
      <c r="U923" s="121">
        <f t="shared" si="392"/>
        <v>1.02</v>
      </c>
    </row>
    <row r="924" spans="1:21" x14ac:dyDescent="0.3">
      <c r="A924" s="187">
        <v>36</v>
      </c>
      <c r="B924" s="242">
        <f t="shared" si="393"/>
        <v>46722</v>
      </c>
      <c r="C924" s="243">
        <f t="shared" si="374"/>
        <v>46752</v>
      </c>
      <c r="D924" s="120">
        <f t="shared" si="375"/>
        <v>31</v>
      </c>
      <c r="E924" s="120">
        <f t="shared" si="376"/>
        <v>12</v>
      </c>
      <c r="F924" s="275">
        <f t="shared" si="377"/>
        <v>46737.5</v>
      </c>
      <c r="G924" s="120">
        <f t="shared" si="378"/>
        <v>24335</v>
      </c>
      <c r="H924" s="245">
        <f t="shared" si="379"/>
        <v>1</v>
      </c>
      <c r="I924" s="121">
        <f t="shared" si="380"/>
        <v>1.02</v>
      </c>
      <c r="J924" s="121">
        <f t="shared" si="381"/>
        <v>1.02</v>
      </c>
      <c r="K924" s="120">
        <f t="shared" si="382"/>
        <v>0</v>
      </c>
      <c r="L924" s="120">
        <f t="shared" si="383"/>
        <v>0</v>
      </c>
      <c r="M924" s="246">
        <f t="shared" si="384"/>
        <v>0</v>
      </c>
      <c r="N924" s="121">
        <f t="shared" si="385"/>
        <v>1.02</v>
      </c>
      <c r="O924" s="246">
        <f t="shared" si="386"/>
        <v>0.91483041575492341</v>
      </c>
      <c r="P924" s="121">
        <f t="shared" si="387"/>
        <v>0</v>
      </c>
      <c r="Q924" s="121">
        <f t="shared" si="388"/>
        <v>8.3333333333333329E-2</v>
      </c>
      <c r="R924" s="121">
        <f t="shared" si="389"/>
        <v>0.91666666666666663</v>
      </c>
      <c r="S924" s="121" t="str">
        <f t="shared" si="390"/>
        <v/>
      </c>
      <c r="T924" s="121" t="str">
        <f t="shared" si="391"/>
        <v/>
      </c>
      <c r="U924" s="121">
        <f t="shared" si="392"/>
        <v>1.02</v>
      </c>
    </row>
    <row r="925" spans="1:21" x14ac:dyDescent="0.3">
      <c r="A925" s="187">
        <v>37</v>
      </c>
      <c r="B925" s="242">
        <f t="shared" si="393"/>
        <v>46753</v>
      </c>
      <c r="C925" s="243">
        <f t="shared" si="374"/>
        <v>46783</v>
      </c>
      <c r="D925" s="120">
        <f t="shared" si="375"/>
        <v>31</v>
      </c>
      <c r="E925" s="120">
        <f t="shared" si="376"/>
        <v>1</v>
      </c>
      <c r="F925" s="275">
        <f t="shared" si="377"/>
        <v>46768.5</v>
      </c>
      <c r="G925" s="120">
        <f t="shared" si="378"/>
        <v>24336</v>
      </c>
      <c r="H925" s="245">
        <f t="shared" si="379"/>
        <v>1</v>
      </c>
      <c r="I925" s="121">
        <f t="shared" si="380"/>
        <v>1.02</v>
      </c>
      <c r="J925" s="121">
        <f t="shared" si="381"/>
        <v>1.02</v>
      </c>
      <c r="K925" s="120">
        <f t="shared" si="382"/>
        <v>0</v>
      </c>
      <c r="L925" s="120">
        <f t="shared" si="383"/>
        <v>0</v>
      </c>
      <c r="M925" s="246">
        <f t="shared" si="384"/>
        <v>0</v>
      </c>
      <c r="N925" s="121">
        <f t="shared" si="385"/>
        <v>1.02</v>
      </c>
      <c r="O925" s="246">
        <f t="shared" si="386"/>
        <v>0.91500000000000004</v>
      </c>
      <c r="P925" s="121">
        <f t="shared" si="387"/>
        <v>0</v>
      </c>
      <c r="Q925" s="121">
        <f t="shared" si="388"/>
        <v>0</v>
      </c>
      <c r="R925" s="121">
        <f t="shared" si="389"/>
        <v>1</v>
      </c>
      <c r="S925" s="121" t="str">
        <f t="shared" si="390"/>
        <v/>
      </c>
      <c r="T925" s="121" t="str">
        <f t="shared" si="391"/>
        <v/>
      </c>
      <c r="U925" s="121">
        <f t="shared" si="392"/>
        <v>1.02</v>
      </c>
    </row>
    <row r="926" spans="1:21" x14ac:dyDescent="0.3">
      <c r="A926" s="187">
        <v>38</v>
      </c>
      <c r="B926" s="242">
        <f t="shared" si="393"/>
        <v>46784</v>
      </c>
      <c r="C926" s="243">
        <f t="shared" si="374"/>
        <v>46812</v>
      </c>
      <c r="D926" s="120">
        <f t="shared" si="375"/>
        <v>29</v>
      </c>
      <c r="E926" s="120">
        <f t="shared" si="376"/>
        <v>2</v>
      </c>
      <c r="F926" s="275">
        <f t="shared" si="377"/>
        <v>46798.5</v>
      </c>
      <c r="G926" s="120">
        <f t="shared" si="378"/>
        <v>24337</v>
      </c>
      <c r="H926" s="245">
        <f t="shared" si="379"/>
        <v>1</v>
      </c>
      <c r="I926" s="121">
        <f t="shared" si="380"/>
        <v>1.02</v>
      </c>
      <c r="J926" s="121">
        <f t="shared" si="381"/>
        <v>1.02</v>
      </c>
      <c r="K926" s="120">
        <f t="shared" si="382"/>
        <v>0</v>
      </c>
      <c r="L926" s="120">
        <f t="shared" si="383"/>
        <v>0</v>
      </c>
      <c r="M926" s="246">
        <f t="shared" si="384"/>
        <v>0</v>
      </c>
      <c r="N926" s="121">
        <f t="shared" si="385"/>
        <v>1.02</v>
      </c>
      <c r="O926" s="246">
        <f t="shared" si="386"/>
        <v>0.91500000000000004</v>
      </c>
      <c r="P926" s="121">
        <f t="shared" si="387"/>
        <v>0</v>
      </c>
      <c r="Q926" s="121">
        <f t="shared" si="388"/>
        <v>0</v>
      </c>
      <c r="R926" s="121">
        <f t="shared" si="389"/>
        <v>1</v>
      </c>
      <c r="S926" s="121" t="str">
        <f t="shared" si="390"/>
        <v/>
      </c>
      <c r="T926" s="121" t="str">
        <f t="shared" si="391"/>
        <v/>
      </c>
      <c r="U926" s="121">
        <f t="shared" si="392"/>
        <v>1.02</v>
      </c>
    </row>
    <row r="927" spans="1:21" x14ac:dyDescent="0.3">
      <c r="A927" s="187">
        <v>39</v>
      </c>
      <c r="B927" s="242">
        <f t="shared" si="393"/>
        <v>46813</v>
      </c>
      <c r="C927" s="243">
        <f t="shared" si="374"/>
        <v>46843</v>
      </c>
      <c r="D927" s="120">
        <f t="shared" si="375"/>
        <v>31</v>
      </c>
      <c r="E927" s="120">
        <f t="shared" si="376"/>
        <v>3</v>
      </c>
      <c r="F927" s="275">
        <f t="shared" si="377"/>
        <v>46828.5</v>
      </c>
      <c r="G927" s="120">
        <f t="shared" si="378"/>
        <v>24338</v>
      </c>
      <c r="H927" s="245">
        <f t="shared" si="379"/>
        <v>1</v>
      </c>
      <c r="I927" s="121">
        <f t="shared" si="380"/>
        <v>1.02</v>
      </c>
      <c r="J927" s="121">
        <f t="shared" si="381"/>
        <v>1.02</v>
      </c>
      <c r="K927" s="120">
        <f t="shared" si="382"/>
        <v>0</v>
      </c>
      <c r="L927" s="120">
        <f t="shared" si="383"/>
        <v>0</v>
      </c>
      <c r="M927" s="246">
        <f t="shared" si="384"/>
        <v>0</v>
      </c>
      <c r="N927" s="121">
        <f t="shared" si="385"/>
        <v>1.02</v>
      </c>
      <c r="O927" s="246">
        <f t="shared" si="386"/>
        <v>0.91500000000000004</v>
      </c>
      <c r="P927" s="121">
        <f t="shared" si="387"/>
        <v>0</v>
      </c>
      <c r="Q927" s="121">
        <f t="shared" si="388"/>
        <v>0</v>
      </c>
      <c r="R927" s="121">
        <f t="shared" si="389"/>
        <v>1</v>
      </c>
      <c r="S927" s="121" t="str">
        <f t="shared" si="390"/>
        <v/>
      </c>
      <c r="T927" s="121" t="str">
        <f t="shared" si="391"/>
        <v/>
      </c>
      <c r="U927" s="121">
        <f t="shared" si="392"/>
        <v>1.02</v>
      </c>
    </row>
    <row r="928" spans="1:21" x14ac:dyDescent="0.3">
      <c r="A928" s="187">
        <v>40</v>
      </c>
      <c r="B928" s="242">
        <f t="shared" si="393"/>
        <v>46844</v>
      </c>
      <c r="C928" s="243">
        <f t="shared" si="374"/>
        <v>46873</v>
      </c>
      <c r="D928" s="120">
        <f t="shared" si="375"/>
        <v>30</v>
      </c>
      <c r="E928" s="120">
        <f t="shared" si="376"/>
        <v>4</v>
      </c>
      <c r="F928" s="275">
        <f t="shared" si="377"/>
        <v>46859</v>
      </c>
      <c r="G928" s="120">
        <f t="shared" si="378"/>
        <v>24339</v>
      </c>
      <c r="H928" s="245">
        <f t="shared" si="379"/>
        <v>1</v>
      </c>
      <c r="I928" s="121">
        <f t="shared" si="380"/>
        <v>1.02</v>
      </c>
      <c r="J928" s="121">
        <f t="shared" si="381"/>
        <v>1.02</v>
      </c>
      <c r="K928" s="120">
        <f t="shared" si="382"/>
        <v>0</v>
      </c>
      <c r="L928" s="120">
        <f t="shared" si="383"/>
        <v>0</v>
      </c>
      <c r="M928" s="246">
        <f t="shared" si="384"/>
        <v>0</v>
      </c>
      <c r="N928" s="121">
        <f t="shared" si="385"/>
        <v>1.02</v>
      </c>
      <c r="O928" s="246">
        <f t="shared" si="386"/>
        <v>0.91500000000000004</v>
      </c>
      <c r="P928" s="121">
        <f t="shared" si="387"/>
        <v>0</v>
      </c>
      <c r="Q928" s="121">
        <f t="shared" si="388"/>
        <v>0</v>
      </c>
      <c r="R928" s="121">
        <f t="shared" si="389"/>
        <v>1</v>
      </c>
      <c r="S928" s="121" t="str">
        <f t="shared" si="390"/>
        <v/>
      </c>
      <c r="T928" s="121" t="str">
        <f t="shared" si="391"/>
        <v/>
      </c>
      <c r="U928" s="121">
        <f t="shared" si="392"/>
        <v>1.02</v>
      </c>
    </row>
    <row r="929" spans="1:21" x14ac:dyDescent="0.3">
      <c r="A929" s="187">
        <v>41</v>
      </c>
      <c r="B929" s="242">
        <f t="shared" si="393"/>
        <v>46874</v>
      </c>
      <c r="C929" s="243">
        <f t="shared" si="374"/>
        <v>46904</v>
      </c>
      <c r="D929" s="120">
        <f t="shared" si="375"/>
        <v>31</v>
      </c>
      <c r="E929" s="120">
        <f t="shared" si="376"/>
        <v>5</v>
      </c>
      <c r="F929" s="275">
        <f t="shared" si="377"/>
        <v>46889.5</v>
      </c>
      <c r="G929" s="120">
        <f t="shared" si="378"/>
        <v>24340</v>
      </c>
      <c r="H929" s="245">
        <f t="shared" si="379"/>
        <v>1</v>
      </c>
      <c r="I929" s="121">
        <f t="shared" si="380"/>
        <v>1.02</v>
      </c>
      <c r="J929" s="121">
        <f t="shared" si="381"/>
        <v>1.02</v>
      </c>
      <c r="K929" s="120">
        <f t="shared" si="382"/>
        <v>0</v>
      </c>
      <c r="L929" s="120">
        <f t="shared" si="383"/>
        <v>0</v>
      </c>
      <c r="M929" s="246">
        <f t="shared" si="384"/>
        <v>0</v>
      </c>
      <c r="N929" s="121">
        <f t="shared" si="385"/>
        <v>1.02</v>
      </c>
      <c r="O929" s="246">
        <f t="shared" si="386"/>
        <v>0.91500000000000004</v>
      </c>
      <c r="P929" s="121">
        <f t="shared" si="387"/>
        <v>0</v>
      </c>
      <c r="Q929" s="121">
        <f t="shared" si="388"/>
        <v>0</v>
      </c>
      <c r="R929" s="121">
        <f t="shared" si="389"/>
        <v>1</v>
      </c>
      <c r="S929" s="121" t="str">
        <f t="shared" si="390"/>
        <v/>
      </c>
      <c r="T929" s="121" t="str">
        <f t="shared" si="391"/>
        <v/>
      </c>
      <c r="U929" s="121">
        <f t="shared" si="392"/>
        <v>1.02</v>
      </c>
    </row>
    <row r="930" spans="1:21" x14ac:dyDescent="0.3">
      <c r="A930" s="187">
        <v>42</v>
      </c>
      <c r="B930" s="242">
        <f t="shared" si="393"/>
        <v>46905</v>
      </c>
      <c r="C930" s="243">
        <f t="shared" si="374"/>
        <v>46934</v>
      </c>
      <c r="D930" s="120">
        <f t="shared" si="375"/>
        <v>30</v>
      </c>
      <c r="E930" s="120">
        <f t="shared" si="376"/>
        <v>6</v>
      </c>
      <c r="F930" s="275">
        <f t="shared" si="377"/>
        <v>46920</v>
      </c>
      <c r="G930" s="120">
        <f t="shared" si="378"/>
        <v>24341</v>
      </c>
      <c r="H930" s="245">
        <f t="shared" si="379"/>
        <v>1</v>
      </c>
      <c r="I930" s="121">
        <f t="shared" si="380"/>
        <v>1.02</v>
      </c>
      <c r="J930" s="121">
        <f t="shared" si="381"/>
        <v>1.02</v>
      </c>
      <c r="K930" s="120">
        <f t="shared" si="382"/>
        <v>0</v>
      </c>
      <c r="L930" s="120">
        <f t="shared" si="383"/>
        <v>0</v>
      </c>
      <c r="M930" s="246">
        <f t="shared" si="384"/>
        <v>0</v>
      </c>
      <c r="N930" s="121">
        <f t="shared" si="385"/>
        <v>1.02</v>
      </c>
      <c r="O930" s="246">
        <f t="shared" si="386"/>
        <v>0.91500000000000004</v>
      </c>
      <c r="P930" s="121">
        <f t="shared" si="387"/>
        <v>0</v>
      </c>
      <c r="Q930" s="121">
        <f t="shared" si="388"/>
        <v>0</v>
      </c>
      <c r="R930" s="121">
        <f t="shared" si="389"/>
        <v>1</v>
      </c>
      <c r="S930" s="121" t="str">
        <f t="shared" si="390"/>
        <v/>
      </c>
      <c r="T930" s="121" t="str">
        <f t="shared" si="391"/>
        <v/>
      </c>
      <c r="U930" s="121">
        <f t="shared" si="392"/>
        <v>1.02</v>
      </c>
    </row>
    <row r="931" spans="1:21" x14ac:dyDescent="0.3">
      <c r="A931" s="187">
        <v>43</v>
      </c>
      <c r="B931" s="242">
        <f t="shared" si="393"/>
        <v>46935</v>
      </c>
      <c r="C931" s="243">
        <f t="shared" si="374"/>
        <v>46965</v>
      </c>
      <c r="D931" s="120">
        <f t="shared" si="375"/>
        <v>31</v>
      </c>
      <c r="E931" s="120">
        <f t="shared" si="376"/>
        <v>7</v>
      </c>
      <c r="F931" s="275">
        <f t="shared" si="377"/>
        <v>46950.5</v>
      </c>
      <c r="G931" s="120">
        <f t="shared" si="378"/>
        <v>24342</v>
      </c>
      <c r="H931" s="245">
        <f t="shared" si="379"/>
        <v>1</v>
      </c>
      <c r="I931" s="121">
        <f t="shared" si="380"/>
        <v>1.02</v>
      </c>
      <c r="J931" s="121">
        <f t="shared" si="381"/>
        <v>1.02</v>
      </c>
      <c r="K931" s="120">
        <f t="shared" si="382"/>
        <v>0</v>
      </c>
      <c r="L931" s="120">
        <f t="shared" si="383"/>
        <v>0</v>
      </c>
      <c r="M931" s="246">
        <f t="shared" si="384"/>
        <v>0</v>
      </c>
      <c r="N931" s="121">
        <f t="shared" si="385"/>
        <v>1.02</v>
      </c>
      <c r="O931" s="246">
        <f t="shared" si="386"/>
        <v>0.91500000000000004</v>
      </c>
      <c r="P931" s="121">
        <f t="shared" si="387"/>
        <v>0</v>
      </c>
      <c r="Q931" s="121">
        <f t="shared" si="388"/>
        <v>0</v>
      </c>
      <c r="R931" s="121">
        <f t="shared" si="389"/>
        <v>0.91666666666666663</v>
      </c>
      <c r="S931" s="121" t="str">
        <f t="shared" si="390"/>
        <v/>
      </c>
      <c r="T931" s="121" t="str">
        <f t="shared" si="391"/>
        <v/>
      </c>
      <c r="U931" s="121">
        <f t="shared" si="392"/>
        <v>1.02</v>
      </c>
    </row>
    <row r="932" spans="1:21" x14ac:dyDescent="0.3">
      <c r="A932" s="187">
        <v>44</v>
      </c>
      <c r="B932" s="242">
        <f t="shared" si="393"/>
        <v>46966</v>
      </c>
      <c r="C932" s="243">
        <f t="shared" si="374"/>
        <v>46996</v>
      </c>
      <c r="D932" s="120">
        <f t="shared" si="375"/>
        <v>31</v>
      </c>
      <c r="E932" s="120">
        <f t="shared" si="376"/>
        <v>8</v>
      </c>
      <c r="F932" s="275">
        <f t="shared" si="377"/>
        <v>46981.5</v>
      </c>
      <c r="G932" s="120">
        <f t="shared" si="378"/>
        <v>24343</v>
      </c>
      <c r="H932" s="245">
        <f t="shared" si="379"/>
        <v>1</v>
      </c>
      <c r="I932" s="121">
        <f t="shared" si="380"/>
        <v>1.02</v>
      </c>
      <c r="J932" s="121">
        <f t="shared" si="381"/>
        <v>1.02</v>
      </c>
      <c r="K932" s="120">
        <f t="shared" si="382"/>
        <v>0</v>
      </c>
      <c r="L932" s="120">
        <f t="shared" si="383"/>
        <v>0</v>
      </c>
      <c r="M932" s="246">
        <f t="shared" si="384"/>
        <v>0</v>
      </c>
      <c r="N932" s="121">
        <f t="shared" si="385"/>
        <v>1.02</v>
      </c>
      <c r="O932" s="246">
        <f t="shared" si="386"/>
        <v>0.91500000000000004</v>
      </c>
      <c r="P932" s="121">
        <f t="shared" si="387"/>
        <v>0</v>
      </c>
      <c r="Q932" s="121">
        <f t="shared" si="388"/>
        <v>0</v>
      </c>
      <c r="R932" s="121">
        <f t="shared" si="389"/>
        <v>0.75</v>
      </c>
      <c r="S932" s="121" t="str">
        <f t="shared" si="390"/>
        <v/>
      </c>
      <c r="T932" s="121" t="str">
        <f t="shared" si="391"/>
        <v/>
      </c>
      <c r="U932" s="121">
        <f t="shared" si="392"/>
        <v>1.02</v>
      </c>
    </row>
    <row r="933" spans="1:21" x14ac:dyDescent="0.3">
      <c r="A933" s="187">
        <v>45</v>
      </c>
      <c r="B933" s="242">
        <f t="shared" si="393"/>
        <v>46997</v>
      </c>
      <c r="C933" s="243">
        <f t="shared" si="374"/>
        <v>47026</v>
      </c>
      <c r="D933" s="120">
        <f t="shared" si="375"/>
        <v>30</v>
      </c>
      <c r="E933" s="120">
        <f t="shared" si="376"/>
        <v>9</v>
      </c>
      <c r="F933" s="275">
        <f t="shared" si="377"/>
        <v>47012</v>
      </c>
      <c r="G933" s="120">
        <f t="shared" si="378"/>
        <v>24344</v>
      </c>
      <c r="H933" s="245">
        <f t="shared" si="379"/>
        <v>1</v>
      </c>
      <c r="I933" s="121">
        <f t="shared" si="380"/>
        <v>1.02</v>
      </c>
      <c r="J933" s="121">
        <f t="shared" si="381"/>
        <v>1.02</v>
      </c>
      <c r="K933" s="120">
        <f t="shared" si="382"/>
        <v>0</v>
      </c>
      <c r="L933" s="120">
        <f t="shared" si="383"/>
        <v>0</v>
      </c>
      <c r="M933" s="246">
        <f t="shared" si="384"/>
        <v>0</v>
      </c>
      <c r="N933" s="121">
        <f t="shared" si="385"/>
        <v>1.02</v>
      </c>
      <c r="O933" s="246">
        <f t="shared" si="386"/>
        <v>0.91500000000000004</v>
      </c>
      <c r="P933" s="121">
        <f t="shared" si="387"/>
        <v>0</v>
      </c>
      <c r="Q933" s="121">
        <f t="shared" si="388"/>
        <v>0</v>
      </c>
      <c r="R933" s="121">
        <f t="shared" si="389"/>
        <v>0.58333333333333337</v>
      </c>
      <c r="S933" s="121" t="str">
        <f t="shared" si="390"/>
        <v/>
      </c>
      <c r="T933" s="121" t="str">
        <f t="shared" si="391"/>
        <v/>
      </c>
      <c r="U933" s="121">
        <f t="shared" si="392"/>
        <v>1.02</v>
      </c>
    </row>
    <row r="934" spans="1:21" x14ac:dyDescent="0.3">
      <c r="A934" s="187">
        <v>46</v>
      </c>
      <c r="B934" s="242">
        <f t="shared" si="393"/>
        <v>47027</v>
      </c>
      <c r="C934" s="243">
        <f t="shared" si="374"/>
        <v>47057</v>
      </c>
      <c r="D934" s="120">
        <f t="shared" si="375"/>
        <v>31</v>
      </c>
      <c r="E934" s="120">
        <f t="shared" si="376"/>
        <v>10</v>
      </c>
      <c r="F934" s="275">
        <f t="shared" si="377"/>
        <v>47042.5</v>
      </c>
      <c r="G934" s="120">
        <f t="shared" si="378"/>
        <v>24345</v>
      </c>
      <c r="H934" s="245">
        <f t="shared" si="379"/>
        <v>1</v>
      </c>
      <c r="I934" s="121">
        <f t="shared" si="380"/>
        <v>1.02</v>
      </c>
      <c r="J934" s="121">
        <f t="shared" si="381"/>
        <v>1.02</v>
      </c>
      <c r="K934" s="120">
        <f t="shared" si="382"/>
        <v>0</v>
      </c>
      <c r="L934" s="120">
        <f t="shared" si="383"/>
        <v>0</v>
      </c>
      <c r="M934" s="246">
        <f t="shared" si="384"/>
        <v>0</v>
      </c>
      <c r="N934" s="121">
        <f t="shared" si="385"/>
        <v>1.02</v>
      </c>
      <c r="O934" s="246">
        <f t="shared" si="386"/>
        <v>0.91500000000000004</v>
      </c>
      <c r="P934" s="121">
        <f t="shared" si="387"/>
        <v>0</v>
      </c>
      <c r="Q934" s="121">
        <f t="shared" si="388"/>
        <v>0</v>
      </c>
      <c r="R934" s="121">
        <f t="shared" si="389"/>
        <v>0.41666666666666669</v>
      </c>
      <c r="S934" s="121" t="str">
        <f t="shared" si="390"/>
        <v/>
      </c>
      <c r="T934" s="121" t="str">
        <f t="shared" si="391"/>
        <v/>
      </c>
      <c r="U934" s="121">
        <f t="shared" si="392"/>
        <v>1.02</v>
      </c>
    </row>
    <row r="935" spans="1:21" x14ac:dyDescent="0.3">
      <c r="A935" s="187">
        <v>47</v>
      </c>
      <c r="B935" s="242">
        <f t="shared" si="393"/>
        <v>47058</v>
      </c>
      <c r="C935" s="243">
        <f t="shared" si="374"/>
        <v>47087</v>
      </c>
      <c r="D935" s="120">
        <f t="shared" si="375"/>
        <v>30</v>
      </c>
      <c r="E935" s="120">
        <f t="shared" si="376"/>
        <v>11</v>
      </c>
      <c r="F935" s="275">
        <f t="shared" si="377"/>
        <v>47073</v>
      </c>
      <c r="G935" s="120">
        <f t="shared" si="378"/>
        <v>24346</v>
      </c>
      <c r="H935" s="245">
        <f t="shared" si="379"/>
        <v>1</v>
      </c>
      <c r="I935" s="121">
        <f t="shared" si="380"/>
        <v>1.02</v>
      </c>
      <c r="J935" s="121">
        <f t="shared" si="381"/>
        <v>1.02</v>
      </c>
      <c r="K935" s="120">
        <f t="shared" si="382"/>
        <v>0</v>
      </c>
      <c r="L935" s="120">
        <f t="shared" si="383"/>
        <v>0</v>
      </c>
      <c r="M935" s="246">
        <f t="shared" si="384"/>
        <v>0</v>
      </c>
      <c r="N935" s="121">
        <f t="shared" si="385"/>
        <v>1.02</v>
      </c>
      <c r="O935" s="246">
        <f t="shared" si="386"/>
        <v>0.91500000000000004</v>
      </c>
      <c r="P935" s="121">
        <f t="shared" si="387"/>
        <v>0</v>
      </c>
      <c r="Q935" s="121">
        <f t="shared" si="388"/>
        <v>0</v>
      </c>
      <c r="R935" s="121">
        <f t="shared" si="389"/>
        <v>0.25</v>
      </c>
      <c r="S935" s="121" t="str">
        <f t="shared" si="390"/>
        <v/>
      </c>
      <c r="T935" s="121" t="str">
        <f t="shared" si="391"/>
        <v/>
      </c>
      <c r="U935" s="121">
        <f t="shared" si="392"/>
        <v>1.02</v>
      </c>
    </row>
    <row r="936" spans="1:21" x14ac:dyDescent="0.3">
      <c r="A936" s="187">
        <v>48</v>
      </c>
      <c r="B936" s="242">
        <f t="shared" si="393"/>
        <v>47088</v>
      </c>
      <c r="C936" s="243">
        <f t="shared" si="374"/>
        <v>47118</v>
      </c>
      <c r="D936" s="120">
        <f t="shared" si="375"/>
        <v>31</v>
      </c>
      <c r="E936" s="120">
        <f t="shared" si="376"/>
        <v>12</v>
      </c>
      <c r="F936" s="275">
        <f t="shared" si="377"/>
        <v>47103.5</v>
      </c>
      <c r="G936" s="120">
        <f t="shared" si="378"/>
        <v>24347</v>
      </c>
      <c r="H936" s="245">
        <f t="shared" si="379"/>
        <v>1</v>
      </c>
      <c r="I936" s="121">
        <f t="shared" si="380"/>
        <v>1.02</v>
      </c>
      <c r="J936" s="121">
        <f t="shared" si="381"/>
        <v>1.02</v>
      </c>
      <c r="K936" s="120">
        <f t="shared" si="382"/>
        <v>0</v>
      </c>
      <c r="L936" s="120">
        <f t="shared" si="383"/>
        <v>0</v>
      </c>
      <c r="M936" s="246">
        <f t="shared" si="384"/>
        <v>0</v>
      </c>
      <c r="N936" s="121">
        <f t="shared" si="385"/>
        <v>1.02</v>
      </c>
      <c r="O936" s="246">
        <f t="shared" si="386"/>
        <v>0.91500000000000004</v>
      </c>
      <c r="P936" s="121">
        <f t="shared" si="387"/>
        <v>0</v>
      </c>
      <c r="Q936" s="121">
        <f t="shared" si="388"/>
        <v>0</v>
      </c>
      <c r="R936" s="121">
        <f t="shared" si="389"/>
        <v>8.3333333333333329E-2</v>
      </c>
      <c r="S936" s="121" t="str">
        <f t="shared" si="390"/>
        <v/>
      </c>
      <c r="T936" s="121" t="str">
        <f t="shared" si="391"/>
        <v/>
      </c>
      <c r="U936" s="121">
        <f t="shared" si="392"/>
        <v>1.02</v>
      </c>
    </row>
    <row r="937" spans="1:21" x14ac:dyDescent="0.3">
      <c r="A937" s="6" t="s">
        <v>1651</v>
      </c>
      <c r="B937" s="73">
        <f>EXP(SUMPRODUCT((rl_key=$A$886)*(rl_cons="Y")*rl_ln1p))</f>
        <v>1.02</v>
      </c>
      <c r="C937" s="73">
        <f>SUMPRODUCT($H$889:$H$936,$P$889:$P$936,$U$889:$U$936)/SUMPRODUCT($H$889:$H$936,$P$889:$P$936)</f>
        <v>1.0100000000000002</v>
      </c>
      <c r="D937" s="73">
        <f>SUMPRODUCT($H$889:$H$936,$Q$889:$Q$936,$U$889:$U$936)/SUMPRODUCT($H$889:$H$936,$Q$889:$Q$936)</f>
        <v>1.0200000000000002</v>
      </c>
      <c r="E937" s="73">
        <f>SUMPRODUCT($H$889:$H$936,$R$889:$R$936,$U$889:$U$936)/SUMPRODUCT($H$889:$H$936,$R$889:$R$936)</f>
        <v>1.0200000000000002</v>
      </c>
      <c r="F937" s="224">
        <f>SUMPRODUCT($H$889:$H$936,$Q$889:$Q$936,$O$889:$O$936)/SUMPRODUCT($H$889:$H$936,$Q$889:$Q$936)</f>
        <v>0.91199626185266247</v>
      </c>
      <c r="G937" s="224">
        <f>SUMPRODUCT($H$889:$H$936,$R$889:$R$936,$O$889:$O$936)/SUMPRODUCT($H$889:$H$936,$R$889:$R$936)</f>
        <v>0.91483011184050556</v>
      </c>
      <c r="H937" s="73">
        <f>SUMPRODUCT($H$913:$H$924,$N$913:$N$924/$N$901:$N$912)/SUM($H$913:$H$924)</f>
        <v>1.0050000000000001</v>
      </c>
      <c r="I937" s="73">
        <f>SUMPRODUCT($H$913:$H$924,$O$913:$O$924/$O$901:$O$912)/SUM($H$913:$H$924)</f>
        <v>1.0043932196204437</v>
      </c>
      <c r="J937" s="73">
        <f>IF($O$886=1,SUMPRODUCT($H$913:$H$924,$N$913:$N$924/$N$901:$N$912*$O$913:$O$924/$O$901:$O$912)/SUM($H$913:$H$924),$H937)</f>
        <v>1.0094152218888339</v>
      </c>
      <c r="K937" s="73">
        <f>SUMPRODUCT($H$889:$H$936,$Q$889:$Q$936,$N$889:$N$936)/SUMPRODUCT($H$889:$H$936,$Q$889:$Q$936)</f>
        <v>1.0200000000000002</v>
      </c>
      <c r="L937" s="73">
        <f>SUMPRODUCT($H$889:$H$936,$R$889:$R$936,$N$889:$N$936)/SUMPRODUCT($H$889:$H$936,$R$889:$R$936)</f>
        <v>1.0200000000000002</v>
      </c>
    </row>
    <row r="940" spans="1:21" x14ac:dyDescent="0.3">
      <c r="A940" s="6" t="str">
        <f>INDEX(lr_key,17)</f>
        <v>ABD|SC</v>
      </c>
      <c r="B940" s="6" t="str">
        <f>INDEX(lr_state,17)</f>
        <v>SC</v>
      </c>
      <c r="C940" s="75">
        <f>nr_TermMonths</f>
        <v>6</v>
      </c>
      <c r="D940" s="75">
        <f>IF(COUNTIF(se_state,$B940)=0,0,MATCH($B940,se_state,0))</f>
        <v>0</v>
      </c>
      <c r="E940" s="70">
        <f>IF($D940=0,0,INDEX(se_sum,$D940))</f>
        <v>0</v>
      </c>
      <c r="F940" s="224">
        <f>IF(N(INDEX(lr_mind,17))=0,1,INDEX(lr_mind,17))</f>
        <v>0.92</v>
      </c>
      <c r="G940" s="224">
        <f>IF(N(INDEX(lr_m0,17))=0,1,INDEX(lr_m0,17))</f>
        <v>0.91</v>
      </c>
      <c r="H940" s="74">
        <f>IF(N(INDEX(lr_m0asof,17))=0,DATE(nr_PlanYear-1,10,1),INDEX(lr_m0asof,17))</f>
        <v>46295</v>
      </c>
      <c r="I940" s="224">
        <f>IF(N(INDEX(lr_m1,17))=0,1,INDEX(lr_m1,17))</f>
        <v>0.93</v>
      </c>
      <c r="J940" s="224">
        <f>INDEX(lr_mprior,17)</f>
        <v>0</v>
      </c>
      <c r="K940" s="224">
        <f>INDEX(lr_m2,17)</f>
        <v>0</v>
      </c>
      <c r="L940" s="6" t="b">
        <f>NOT(ISBLANK(INDEX(lr_netp,17)))</f>
        <v>0</v>
      </c>
      <c r="M940" s="72">
        <f>N(INDEX(lr_netp,17))</f>
        <v>0</v>
      </c>
      <c r="N940" s="72">
        <f>IF(ISBLANK(INDEX(lr_netp1,17)),$M$940,N(INDEX(lr_netp1,17)))</f>
        <v>0</v>
      </c>
      <c r="O940" s="75">
        <f>IF(AND(nr_ModAdjMaster="ON",INDEX(lr_modadj,17)="ON"),1,0)</f>
        <v>1</v>
      </c>
    </row>
    <row r="941" spans="1:21" x14ac:dyDescent="0.3">
      <c r="A941" s="6">
        <f>EDATE($H$940,-12)+1</f>
        <v>45931</v>
      </c>
      <c r="B941" s="6">
        <f>$H$940+1</f>
        <v>46296</v>
      </c>
      <c r="C941" s="6">
        <f>DATE(nr_PlanYear,12,31)+1</f>
        <v>46753</v>
      </c>
      <c r="D941" s="6">
        <f>DATE(nr_PlanYear+1,12,31)+1</f>
        <v>47119</v>
      </c>
      <c r="E941" s="6">
        <f>IF(N($J$940)=0,$F$941-($G$941-$F$941)/($C$941-$B$941)*($B$941-$A$941),$J$940)</f>
        <v>0.89402625820568926</v>
      </c>
      <c r="F941" s="6">
        <f>$G$940</f>
        <v>0.91</v>
      </c>
      <c r="G941" s="6">
        <f>$I$940</f>
        <v>0.93</v>
      </c>
      <c r="H941" s="6">
        <f>IF(N($K$940)=0,$I$940,$K$940)</f>
        <v>0.93</v>
      </c>
      <c r="I941" s="6">
        <f>($F$941-$E$941)/($B$941-$A$941)</f>
        <v>4.3763676148796628E-5</v>
      </c>
      <c r="J941" s="6">
        <f>($G$941-$F$941)/($C$941-$B$941)</f>
        <v>4.376367614879654E-5</v>
      </c>
      <c r="K941" s="6">
        <f>($H$941-$G$941)/($D$941-$C$941)</f>
        <v>0</v>
      </c>
    </row>
    <row r="942" spans="1:21" ht="36" x14ac:dyDescent="0.3">
      <c r="A942" s="58" t="s">
        <v>390</v>
      </c>
      <c r="B942" s="58" t="s">
        <v>449</v>
      </c>
      <c r="C942" s="58" t="s">
        <v>685</v>
      </c>
      <c r="D942" s="58" t="s">
        <v>686</v>
      </c>
      <c r="E942" s="58" t="s">
        <v>687</v>
      </c>
      <c r="F942" s="58" t="s">
        <v>688</v>
      </c>
      <c r="G942" s="58" t="s">
        <v>689</v>
      </c>
      <c r="H942" s="58" t="s">
        <v>452</v>
      </c>
      <c r="I942" s="58" t="s">
        <v>690</v>
      </c>
      <c r="J942" s="58" t="s">
        <v>691</v>
      </c>
      <c r="K942" s="58" t="s">
        <v>692</v>
      </c>
      <c r="L942" s="58" t="s">
        <v>693</v>
      </c>
      <c r="M942" s="58" t="s">
        <v>694</v>
      </c>
      <c r="N942" s="58" t="s">
        <v>695</v>
      </c>
      <c r="O942" s="58" t="s">
        <v>696</v>
      </c>
      <c r="P942" s="58" t="s">
        <v>697</v>
      </c>
      <c r="Q942" s="58" t="s">
        <v>698</v>
      </c>
      <c r="R942" s="58" t="s">
        <v>699</v>
      </c>
      <c r="S942" s="58" t="s">
        <v>700</v>
      </c>
      <c r="T942" s="58" t="s">
        <v>701</v>
      </c>
      <c r="U942" s="58" t="s">
        <v>702</v>
      </c>
    </row>
    <row r="943" spans="1:21" x14ac:dyDescent="0.3">
      <c r="A943" s="187">
        <v>1</v>
      </c>
      <c r="B943" s="242">
        <f>DATE(nr_PlanYear-2,1,1)</f>
        <v>45658</v>
      </c>
      <c r="C943" s="243">
        <f t="shared" ref="C943:C990" si="394">EOMONTH($B943,0)</f>
        <v>45688</v>
      </c>
      <c r="D943" s="120">
        <f t="shared" ref="D943:D990" si="395">$C943-$B943+1</f>
        <v>31</v>
      </c>
      <c r="E943" s="120">
        <f t="shared" ref="E943:E990" si="396">MONTH($B943)</f>
        <v>1</v>
      </c>
      <c r="F943" s="275">
        <f t="shared" ref="F943:F990" si="397">($B943+$C943+1)/2</f>
        <v>45673.5</v>
      </c>
      <c r="G943" s="120">
        <f t="shared" ref="G943:G990" si="398">YEAR($B943)*12+MONTH($B943)-1</f>
        <v>24300</v>
      </c>
      <c r="H943" s="245">
        <f t="shared" ref="H943:H990" si="399">IF(OR(nr_SeasonOn="OFF",$D$940=0,$E$940=0),1,12*INDEX(se_block,$D$940,$E943)/$E$940)</f>
        <v>1</v>
      </c>
      <c r="I943" s="121">
        <f t="shared" ref="I943:I990" si="400">EXP(SUMPRODUCT((rl_eff&lt;$B943)*(rl_key=$A$940)*rl_ln1p))</f>
        <v>1</v>
      </c>
      <c r="J943" s="121">
        <f t="shared" ref="J943:J990" si="401">EXP(SUMPRODUCT((rl_eff&lt;=$C943)*(rl_key=$A$940)*rl_ln1p))</f>
        <v>1</v>
      </c>
      <c r="K943" s="120">
        <f t="shared" ref="K943:K990" si="402">COUNTIFS(rl_key,$A$940,rl_eff,"&gt;="&amp;$B943,rl_eff,"&lt;="&amp;$C943)</f>
        <v>0</v>
      </c>
      <c r="L943" s="120">
        <f t="shared" ref="L943:L990" si="403">SUMIFS(rl_daysafter,rl_key,$A$940,rl_effmonth,$B943,rl_first,1)</f>
        <v>0</v>
      </c>
      <c r="M943" s="246">
        <f t="shared" ref="M943:M990" si="404">IF($K943=0,0,MIN(1,$L943/$D943))</f>
        <v>0</v>
      </c>
      <c r="N943" s="121">
        <f t="shared" ref="N943:N990" si="405">IF($K943=0,$J943,(1-$M943)*$I943+$M943*$J943)</f>
        <v>1</v>
      </c>
      <c r="O943" s="246">
        <f t="shared" ref="O943:O990" si="406">IF($F943&lt;$B$941,$E$941+$I$941*($F943-$A$941),IF($F943&lt;$C$941,$F$941+$J$941*($F943-$B$941),$G$941+$K$941*($F943-$C$941)))</f>
        <v>0.88275711159737413</v>
      </c>
      <c r="P943" s="121">
        <f t="shared" ref="P943:P990" si="407">MIN(1,MAX(0,(nr_MEndPm1-$G943+0.5)/$C$940))-MIN(1,MAX(0,(nr_MStartPm1-1-$G943+0.5)/$C$940))</f>
        <v>0</v>
      </c>
      <c r="Q943" s="121">
        <f t="shared" ref="Q943:Q990" si="408">MIN(1,MAX(0,(nr_MEndP-$G943+0.5)/$C$940))-MIN(1,MAX(0,(nr_MStartP-1-$G943+0.5)/$C$940))</f>
        <v>0</v>
      </c>
      <c r="R943" s="121">
        <f t="shared" ref="R943:R990" si="409">MIN(1,MAX(0,(nr_MEndP1-$G943+0.5)/$C$940))-MIN(1,MAX(0,(nr_MStartP1-1-$G943+0.5)/$C$940))</f>
        <v>0</v>
      </c>
      <c r="S943" s="121" t="str">
        <f t="shared" ref="S943:S990" si="410">IF($L$940,$N943*IF($O$940=1,$O943/$F$940,1),"")</f>
        <v/>
      </c>
      <c r="T943" s="121" t="str">
        <f t="shared" ref="T943:T990" si="411">IF(NOT($L$940),"",IF($G943&lt;nr_MStartP,$S943,$T931*(1+IF($G943&lt;nr_MStartP1,$M$940,$N$940))))</f>
        <v/>
      </c>
      <c r="U943" s="121">
        <f t="shared" ref="U943:U990" si="412">IF($L$940,$T943,$N943)</f>
        <v>1</v>
      </c>
    </row>
    <row r="944" spans="1:21" x14ac:dyDescent="0.3">
      <c r="A944" s="187">
        <v>2</v>
      </c>
      <c r="B944" s="242">
        <f t="shared" ref="B944:B990" si="413">EDATE($B943,1)</f>
        <v>45689</v>
      </c>
      <c r="C944" s="243">
        <f t="shared" si="394"/>
        <v>45716</v>
      </c>
      <c r="D944" s="120">
        <f t="shared" si="395"/>
        <v>28</v>
      </c>
      <c r="E944" s="120">
        <f t="shared" si="396"/>
        <v>2</v>
      </c>
      <c r="F944" s="275">
        <f t="shared" si="397"/>
        <v>45703</v>
      </c>
      <c r="G944" s="120">
        <f t="shared" si="398"/>
        <v>24301</v>
      </c>
      <c r="H944" s="245">
        <f t="shared" si="399"/>
        <v>1</v>
      </c>
      <c r="I944" s="121">
        <f t="shared" si="400"/>
        <v>1</v>
      </c>
      <c r="J944" s="121">
        <f t="shared" si="401"/>
        <v>1</v>
      </c>
      <c r="K944" s="120">
        <f t="shared" si="402"/>
        <v>0</v>
      </c>
      <c r="L944" s="120">
        <f t="shared" si="403"/>
        <v>0</v>
      </c>
      <c r="M944" s="246">
        <f t="shared" si="404"/>
        <v>0</v>
      </c>
      <c r="N944" s="121">
        <f t="shared" si="405"/>
        <v>1</v>
      </c>
      <c r="O944" s="246">
        <f t="shared" si="406"/>
        <v>0.88404814004376364</v>
      </c>
      <c r="P944" s="121">
        <f t="shared" si="407"/>
        <v>0</v>
      </c>
      <c r="Q944" s="121">
        <f t="shared" si="408"/>
        <v>0</v>
      </c>
      <c r="R944" s="121">
        <f t="shared" si="409"/>
        <v>0</v>
      </c>
      <c r="S944" s="121" t="str">
        <f t="shared" si="410"/>
        <v/>
      </c>
      <c r="T944" s="121" t="str">
        <f t="shared" si="411"/>
        <v/>
      </c>
      <c r="U944" s="121">
        <f t="shared" si="412"/>
        <v>1</v>
      </c>
    </row>
    <row r="945" spans="1:21" x14ac:dyDescent="0.3">
      <c r="A945" s="187">
        <v>3</v>
      </c>
      <c r="B945" s="242">
        <f t="shared" si="413"/>
        <v>45717</v>
      </c>
      <c r="C945" s="243">
        <f t="shared" si="394"/>
        <v>45747</v>
      </c>
      <c r="D945" s="120">
        <f t="shared" si="395"/>
        <v>31</v>
      </c>
      <c r="E945" s="120">
        <f t="shared" si="396"/>
        <v>3</v>
      </c>
      <c r="F945" s="275">
        <f t="shared" si="397"/>
        <v>45732.5</v>
      </c>
      <c r="G945" s="120">
        <f t="shared" si="398"/>
        <v>24302</v>
      </c>
      <c r="H945" s="245">
        <f t="shared" si="399"/>
        <v>1</v>
      </c>
      <c r="I945" s="121">
        <f t="shared" si="400"/>
        <v>1</v>
      </c>
      <c r="J945" s="121">
        <f t="shared" si="401"/>
        <v>1</v>
      </c>
      <c r="K945" s="120">
        <f t="shared" si="402"/>
        <v>0</v>
      </c>
      <c r="L945" s="120">
        <f t="shared" si="403"/>
        <v>0</v>
      </c>
      <c r="M945" s="246">
        <f t="shared" si="404"/>
        <v>0</v>
      </c>
      <c r="N945" s="121">
        <f t="shared" si="405"/>
        <v>1</v>
      </c>
      <c r="O945" s="246">
        <f t="shared" si="406"/>
        <v>0.88533916849015315</v>
      </c>
      <c r="P945" s="121">
        <f t="shared" si="407"/>
        <v>0</v>
      </c>
      <c r="Q945" s="121">
        <f t="shared" si="408"/>
        <v>0</v>
      </c>
      <c r="R945" s="121">
        <f t="shared" si="409"/>
        <v>0</v>
      </c>
      <c r="S945" s="121" t="str">
        <f t="shared" si="410"/>
        <v/>
      </c>
      <c r="T945" s="121" t="str">
        <f t="shared" si="411"/>
        <v/>
      </c>
      <c r="U945" s="121">
        <f t="shared" si="412"/>
        <v>1</v>
      </c>
    </row>
    <row r="946" spans="1:21" x14ac:dyDescent="0.3">
      <c r="A946" s="187">
        <v>4</v>
      </c>
      <c r="B946" s="242">
        <f t="shared" si="413"/>
        <v>45748</v>
      </c>
      <c r="C946" s="243">
        <f t="shared" si="394"/>
        <v>45777</v>
      </c>
      <c r="D946" s="120">
        <f t="shared" si="395"/>
        <v>30</v>
      </c>
      <c r="E946" s="120">
        <f t="shared" si="396"/>
        <v>4</v>
      </c>
      <c r="F946" s="275">
        <f t="shared" si="397"/>
        <v>45763</v>
      </c>
      <c r="G946" s="120">
        <f t="shared" si="398"/>
        <v>24303</v>
      </c>
      <c r="H946" s="245">
        <f t="shared" si="399"/>
        <v>1</v>
      </c>
      <c r="I946" s="121">
        <f t="shared" si="400"/>
        <v>1</v>
      </c>
      <c r="J946" s="121">
        <f t="shared" si="401"/>
        <v>1</v>
      </c>
      <c r="K946" s="120">
        <f t="shared" si="402"/>
        <v>0</v>
      </c>
      <c r="L946" s="120">
        <f t="shared" si="403"/>
        <v>0</v>
      </c>
      <c r="M946" s="246">
        <f t="shared" si="404"/>
        <v>0</v>
      </c>
      <c r="N946" s="121">
        <f t="shared" si="405"/>
        <v>1</v>
      </c>
      <c r="O946" s="246">
        <f t="shared" si="406"/>
        <v>0.88667396061269144</v>
      </c>
      <c r="P946" s="121">
        <f t="shared" si="407"/>
        <v>0</v>
      </c>
      <c r="Q946" s="121">
        <f t="shared" si="408"/>
        <v>0</v>
      </c>
      <c r="R946" s="121">
        <f t="shared" si="409"/>
        <v>0</v>
      </c>
      <c r="S946" s="121" t="str">
        <f t="shared" si="410"/>
        <v/>
      </c>
      <c r="T946" s="121" t="str">
        <f t="shared" si="411"/>
        <v/>
      </c>
      <c r="U946" s="121">
        <f t="shared" si="412"/>
        <v>1</v>
      </c>
    </row>
    <row r="947" spans="1:21" x14ac:dyDescent="0.3">
      <c r="A947" s="187">
        <v>5</v>
      </c>
      <c r="B947" s="242">
        <f t="shared" si="413"/>
        <v>45778</v>
      </c>
      <c r="C947" s="243">
        <f t="shared" si="394"/>
        <v>45808</v>
      </c>
      <c r="D947" s="120">
        <f t="shared" si="395"/>
        <v>31</v>
      </c>
      <c r="E947" s="120">
        <f t="shared" si="396"/>
        <v>5</v>
      </c>
      <c r="F947" s="275">
        <f t="shared" si="397"/>
        <v>45793.5</v>
      </c>
      <c r="G947" s="120">
        <f t="shared" si="398"/>
        <v>24304</v>
      </c>
      <c r="H947" s="245">
        <f t="shared" si="399"/>
        <v>1</v>
      </c>
      <c r="I947" s="121">
        <f t="shared" si="400"/>
        <v>1</v>
      </c>
      <c r="J947" s="121">
        <f t="shared" si="401"/>
        <v>1</v>
      </c>
      <c r="K947" s="120">
        <f t="shared" si="402"/>
        <v>0</v>
      </c>
      <c r="L947" s="120">
        <f t="shared" si="403"/>
        <v>0</v>
      </c>
      <c r="M947" s="246">
        <f t="shared" si="404"/>
        <v>0</v>
      </c>
      <c r="N947" s="121">
        <f t="shared" si="405"/>
        <v>1</v>
      </c>
      <c r="O947" s="246">
        <f t="shared" si="406"/>
        <v>0.88800875273522972</v>
      </c>
      <c r="P947" s="121">
        <f t="shared" si="407"/>
        <v>0</v>
      </c>
      <c r="Q947" s="121">
        <f t="shared" si="408"/>
        <v>0</v>
      </c>
      <c r="R947" s="121">
        <f t="shared" si="409"/>
        <v>0</v>
      </c>
      <c r="S947" s="121" t="str">
        <f t="shared" si="410"/>
        <v/>
      </c>
      <c r="T947" s="121" t="str">
        <f t="shared" si="411"/>
        <v/>
      </c>
      <c r="U947" s="121">
        <f t="shared" si="412"/>
        <v>1</v>
      </c>
    </row>
    <row r="948" spans="1:21" x14ac:dyDescent="0.3">
      <c r="A948" s="187">
        <v>6</v>
      </c>
      <c r="B948" s="242">
        <f t="shared" si="413"/>
        <v>45809</v>
      </c>
      <c r="C948" s="243">
        <f t="shared" si="394"/>
        <v>45838</v>
      </c>
      <c r="D948" s="120">
        <f t="shared" si="395"/>
        <v>30</v>
      </c>
      <c r="E948" s="120">
        <f t="shared" si="396"/>
        <v>6</v>
      </c>
      <c r="F948" s="275">
        <f t="shared" si="397"/>
        <v>45824</v>
      </c>
      <c r="G948" s="120">
        <f t="shared" si="398"/>
        <v>24305</v>
      </c>
      <c r="H948" s="245">
        <f t="shared" si="399"/>
        <v>1</v>
      </c>
      <c r="I948" s="121">
        <f t="shared" si="400"/>
        <v>1</v>
      </c>
      <c r="J948" s="121">
        <f t="shared" si="401"/>
        <v>1</v>
      </c>
      <c r="K948" s="120">
        <f t="shared" si="402"/>
        <v>0</v>
      </c>
      <c r="L948" s="120">
        <f t="shared" si="403"/>
        <v>0</v>
      </c>
      <c r="M948" s="246">
        <f t="shared" si="404"/>
        <v>0</v>
      </c>
      <c r="N948" s="121">
        <f t="shared" si="405"/>
        <v>1</v>
      </c>
      <c r="O948" s="246">
        <f t="shared" si="406"/>
        <v>0.88934354485776801</v>
      </c>
      <c r="P948" s="121">
        <f t="shared" si="407"/>
        <v>0</v>
      </c>
      <c r="Q948" s="121">
        <f t="shared" si="408"/>
        <v>0</v>
      </c>
      <c r="R948" s="121">
        <f t="shared" si="409"/>
        <v>0</v>
      </c>
      <c r="S948" s="121" t="str">
        <f t="shared" si="410"/>
        <v/>
      </c>
      <c r="T948" s="121" t="str">
        <f t="shared" si="411"/>
        <v/>
      </c>
      <c r="U948" s="121">
        <f t="shared" si="412"/>
        <v>1</v>
      </c>
    </row>
    <row r="949" spans="1:21" x14ac:dyDescent="0.3">
      <c r="A949" s="187">
        <v>7</v>
      </c>
      <c r="B949" s="242">
        <f t="shared" si="413"/>
        <v>45839</v>
      </c>
      <c r="C949" s="243">
        <f t="shared" si="394"/>
        <v>45869</v>
      </c>
      <c r="D949" s="120">
        <f t="shared" si="395"/>
        <v>31</v>
      </c>
      <c r="E949" s="120">
        <f t="shared" si="396"/>
        <v>7</v>
      </c>
      <c r="F949" s="275">
        <f t="shared" si="397"/>
        <v>45854.5</v>
      </c>
      <c r="G949" s="120">
        <f t="shared" si="398"/>
        <v>24306</v>
      </c>
      <c r="H949" s="245">
        <f t="shared" si="399"/>
        <v>1</v>
      </c>
      <c r="I949" s="121">
        <f t="shared" si="400"/>
        <v>1</v>
      </c>
      <c r="J949" s="121">
        <f t="shared" si="401"/>
        <v>1</v>
      </c>
      <c r="K949" s="120">
        <f t="shared" si="402"/>
        <v>0</v>
      </c>
      <c r="L949" s="120">
        <f t="shared" si="403"/>
        <v>0</v>
      </c>
      <c r="M949" s="246">
        <f t="shared" si="404"/>
        <v>0</v>
      </c>
      <c r="N949" s="121">
        <f t="shared" si="405"/>
        <v>1</v>
      </c>
      <c r="O949" s="246">
        <f t="shared" si="406"/>
        <v>0.8906783369803063</v>
      </c>
      <c r="P949" s="121">
        <f t="shared" si="407"/>
        <v>8.333333333333337E-2</v>
      </c>
      <c r="Q949" s="121">
        <f t="shared" si="408"/>
        <v>0</v>
      </c>
      <c r="R949" s="121">
        <f t="shared" si="409"/>
        <v>0</v>
      </c>
      <c r="S949" s="121" t="str">
        <f t="shared" si="410"/>
        <v/>
      </c>
      <c r="T949" s="121" t="str">
        <f t="shared" si="411"/>
        <v/>
      </c>
      <c r="U949" s="121">
        <f t="shared" si="412"/>
        <v>1</v>
      </c>
    </row>
    <row r="950" spans="1:21" x14ac:dyDescent="0.3">
      <c r="A950" s="187">
        <v>8</v>
      </c>
      <c r="B950" s="242">
        <f t="shared" si="413"/>
        <v>45870</v>
      </c>
      <c r="C950" s="243">
        <f t="shared" si="394"/>
        <v>45900</v>
      </c>
      <c r="D950" s="120">
        <f t="shared" si="395"/>
        <v>31</v>
      </c>
      <c r="E950" s="120">
        <f t="shared" si="396"/>
        <v>8</v>
      </c>
      <c r="F950" s="275">
        <f t="shared" si="397"/>
        <v>45885.5</v>
      </c>
      <c r="G950" s="120">
        <f t="shared" si="398"/>
        <v>24307</v>
      </c>
      <c r="H950" s="245">
        <f t="shared" si="399"/>
        <v>1</v>
      </c>
      <c r="I950" s="121">
        <f t="shared" si="400"/>
        <v>1</v>
      </c>
      <c r="J950" s="121">
        <f t="shared" si="401"/>
        <v>1</v>
      </c>
      <c r="K950" s="120">
        <f t="shared" si="402"/>
        <v>0</v>
      </c>
      <c r="L950" s="120">
        <f t="shared" si="403"/>
        <v>0</v>
      </c>
      <c r="M950" s="246">
        <f t="shared" si="404"/>
        <v>0</v>
      </c>
      <c r="N950" s="121">
        <f t="shared" si="405"/>
        <v>1</v>
      </c>
      <c r="O950" s="246">
        <f t="shared" si="406"/>
        <v>0.89203501094091897</v>
      </c>
      <c r="P950" s="121">
        <f t="shared" si="407"/>
        <v>0.25</v>
      </c>
      <c r="Q950" s="121">
        <f t="shared" si="408"/>
        <v>0</v>
      </c>
      <c r="R950" s="121">
        <f t="shared" si="409"/>
        <v>0</v>
      </c>
      <c r="S950" s="121" t="str">
        <f t="shared" si="410"/>
        <v/>
      </c>
      <c r="T950" s="121" t="str">
        <f t="shared" si="411"/>
        <v/>
      </c>
      <c r="U950" s="121">
        <f t="shared" si="412"/>
        <v>1</v>
      </c>
    </row>
    <row r="951" spans="1:21" x14ac:dyDescent="0.3">
      <c r="A951" s="187">
        <v>9</v>
      </c>
      <c r="B951" s="242">
        <f t="shared" si="413"/>
        <v>45901</v>
      </c>
      <c r="C951" s="243">
        <f t="shared" si="394"/>
        <v>45930</v>
      </c>
      <c r="D951" s="120">
        <f t="shared" si="395"/>
        <v>30</v>
      </c>
      <c r="E951" s="120">
        <f t="shared" si="396"/>
        <v>9</v>
      </c>
      <c r="F951" s="275">
        <f t="shared" si="397"/>
        <v>45916</v>
      </c>
      <c r="G951" s="120">
        <f t="shared" si="398"/>
        <v>24308</v>
      </c>
      <c r="H951" s="245">
        <f t="shared" si="399"/>
        <v>1</v>
      </c>
      <c r="I951" s="121">
        <f t="shared" si="400"/>
        <v>1</v>
      </c>
      <c r="J951" s="121">
        <f t="shared" si="401"/>
        <v>1</v>
      </c>
      <c r="K951" s="120">
        <f t="shared" si="402"/>
        <v>0</v>
      </c>
      <c r="L951" s="120">
        <f t="shared" si="403"/>
        <v>0</v>
      </c>
      <c r="M951" s="246">
        <f t="shared" si="404"/>
        <v>0</v>
      </c>
      <c r="N951" s="121">
        <f t="shared" si="405"/>
        <v>1</v>
      </c>
      <c r="O951" s="246">
        <f t="shared" si="406"/>
        <v>0.89336980306345726</v>
      </c>
      <c r="P951" s="121">
        <f t="shared" si="407"/>
        <v>0.41666666666666663</v>
      </c>
      <c r="Q951" s="121">
        <f t="shared" si="408"/>
        <v>0</v>
      </c>
      <c r="R951" s="121">
        <f t="shared" si="409"/>
        <v>0</v>
      </c>
      <c r="S951" s="121" t="str">
        <f t="shared" si="410"/>
        <v/>
      </c>
      <c r="T951" s="121" t="str">
        <f t="shared" si="411"/>
        <v/>
      </c>
      <c r="U951" s="121">
        <f t="shared" si="412"/>
        <v>1</v>
      </c>
    </row>
    <row r="952" spans="1:21" x14ac:dyDescent="0.3">
      <c r="A952" s="187">
        <v>10</v>
      </c>
      <c r="B952" s="242">
        <f t="shared" si="413"/>
        <v>45931</v>
      </c>
      <c r="C952" s="243">
        <f t="shared" si="394"/>
        <v>45961</v>
      </c>
      <c r="D952" s="120">
        <f t="shared" si="395"/>
        <v>31</v>
      </c>
      <c r="E952" s="120">
        <f t="shared" si="396"/>
        <v>10</v>
      </c>
      <c r="F952" s="275">
        <f t="shared" si="397"/>
        <v>45946.5</v>
      </c>
      <c r="G952" s="120">
        <f t="shared" si="398"/>
        <v>24309</v>
      </c>
      <c r="H952" s="245">
        <f t="shared" si="399"/>
        <v>1</v>
      </c>
      <c r="I952" s="121">
        <f t="shared" si="400"/>
        <v>1</v>
      </c>
      <c r="J952" s="121">
        <f t="shared" si="401"/>
        <v>1</v>
      </c>
      <c r="K952" s="120">
        <f t="shared" si="402"/>
        <v>0</v>
      </c>
      <c r="L952" s="120">
        <f t="shared" si="403"/>
        <v>0</v>
      </c>
      <c r="M952" s="246">
        <f t="shared" si="404"/>
        <v>0</v>
      </c>
      <c r="N952" s="121">
        <f t="shared" si="405"/>
        <v>1</v>
      </c>
      <c r="O952" s="246">
        <f t="shared" si="406"/>
        <v>0.89470459518599565</v>
      </c>
      <c r="P952" s="121">
        <f t="shared" si="407"/>
        <v>0.58333333333333326</v>
      </c>
      <c r="Q952" s="121">
        <f t="shared" si="408"/>
        <v>0</v>
      </c>
      <c r="R952" s="121">
        <f t="shared" si="409"/>
        <v>0</v>
      </c>
      <c r="S952" s="121" t="str">
        <f t="shared" si="410"/>
        <v/>
      </c>
      <c r="T952" s="121" t="str">
        <f t="shared" si="411"/>
        <v/>
      </c>
      <c r="U952" s="121">
        <f t="shared" si="412"/>
        <v>1</v>
      </c>
    </row>
    <row r="953" spans="1:21" x14ac:dyDescent="0.3">
      <c r="A953" s="187">
        <v>11</v>
      </c>
      <c r="B953" s="242">
        <f t="shared" si="413"/>
        <v>45962</v>
      </c>
      <c r="C953" s="243">
        <f t="shared" si="394"/>
        <v>45991</v>
      </c>
      <c r="D953" s="120">
        <f t="shared" si="395"/>
        <v>30</v>
      </c>
      <c r="E953" s="120">
        <f t="shared" si="396"/>
        <v>11</v>
      </c>
      <c r="F953" s="275">
        <f t="shared" si="397"/>
        <v>45977</v>
      </c>
      <c r="G953" s="120">
        <f t="shared" si="398"/>
        <v>24310</v>
      </c>
      <c r="H953" s="245">
        <f t="shared" si="399"/>
        <v>1</v>
      </c>
      <c r="I953" s="121">
        <f t="shared" si="400"/>
        <v>1</v>
      </c>
      <c r="J953" s="121">
        <f t="shared" si="401"/>
        <v>1</v>
      </c>
      <c r="K953" s="120">
        <f t="shared" si="402"/>
        <v>0</v>
      </c>
      <c r="L953" s="120">
        <f t="shared" si="403"/>
        <v>0</v>
      </c>
      <c r="M953" s="246">
        <f t="shared" si="404"/>
        <v>0</v>
      </c>
      <c r="N953" s="121">
        <f t="shared" si="405"/>
        <v>1</v>
      </c>
      <c r="O953" s="246">
        <f t="shared" si="406"/>
        <v>0.89603938730853394</v>
      </c>
      <c r="P953" s="121">
        <f t="shared" si="407"/>
        <v>0.75</v>
      </c>
      <c r="Q953" s="121">
        <f t="shared" si="408"/>
        <v>0</v>
      </c>
      <c r="R953" s="121">
        <f t="shared" si="409"/>
        <v>0</v>
      </c>
      <c r="S953" s="121" t="str">
        <f t="shared" si="410"/>
        <v/>
      </c>
      <c r="T953" s="121" t="str">
        <f t="shared" si="411"/>
        <v/>
      </c>
      <c r="U953" s="121">
        <f t="shared" si="412"/>
        <v>1</v>
      </c>
    </row>
    <row r="954" spans="1:21" x14ac:dyDescent="0.3">
      <c r="A954" s="187">
        <v>12</v>
      </c>
      <c r="B954" s="242">
        <f t="shared" si="413"/>
        <v>45992</v>
      </c>
      <c r="C954" s="243">
        <f t="shared" si="394"/>
        <v>46022</v>
      </c>
      <c r="D954" s="120">
        <f t="shared" si="395"/>
        <v>31</v>
      </c>
      <c r="E954" s="120">
        <f t="shared" si="396"/>
        <v>12</v>
      </c>
      <c r="F954" s="275">
        <f t="shared" si="397"/>
        <v>46007.5</v>
      </c>
      <c r="G954" s="120">
        <f t="shared" si="398"/>
        <v>24311</v>
      </c>
      <c r="H954" s="245">
        <f t="shared" si="399"/>
        <v>1</v>
      </c>
      <c r="I954" s="121">
        <f t="shared" si="400"/>
        <v>1</v>
      </c>
      <c r="J954" s="121">
        <f t="shared" si="401"/>
        <v>1</v>
      </c>
      <c r="K954" s="120">
        <f t="shared" si="402"/>
        <v>0</v>
      </c>
      <c r="L954" s="120">
        <f t="shared" si="403"/>
        <v>0</v>
      </c>
      <c r="M954" s="246">
        <f t="shared" si="404"/>
        <v>0</v>
      </c>
      <c r="N954" s="121">
        <f t="shared" si="405"/>
        <v>1</v>
      </c>
      <c r="O954" s="246">
        <f t="shared" si="406"/>
        <v>0.89737417943107223</v>
      </c>
      <c r="P954" s="121">
        <f t="shared" si="407"/>
        <v>0.91666666666666663</v>
      </c>
      <c r="Q954" s="121">
        <f t="shared" si="408"/>
        <v>0</v>
      </c>
      <c r="R954" s="121">
        <f t="shared" si="409"/>
        <v>0</v>
      </c>
      <c r="S954" s="121" t="str">
        <f t="shared" si="410"/>
        <v/>
      </c>
      <c r="T954" s="121" t="str">
        <f t="shared" si="411"/>
        <v/>
      </c>
      <c r="U954" s="121">
        <f t="shared" si="412"/>
        <v>1</v>
      </c>
    </row>
    <row r="955" spans="1:21" x14ac:dyDescent="0.3">
      <c r="A955" s="187">
        <v>13</v>
      </c>
      <c r="B955" s="242">
        <f t="shared" si="413"/>
        <v>46023</v>
      </c>
      <c r="C955" s="243">
        <f t="shared" si="394"/>
        <v>46053</v>
      </c>
      <c r="D955" s="120">
        <f t="shared" si="395"/>
        <v>31</v>
      </c>
      <c r="E955" s="120">
        <f t="shared" si="396"/>
        <v>1</v>
      </c>
      <c r="F955" s="275">
        <f t="shared" si="397"/>
        <v>46038.5</v>
      </c>
      <c r="G955" s="120">
        <f t="shared" si="398"/>
        <v>24312</v>
      </c>
      <c r="H955" s="245">
        <f t="shared" si="399"/>
        <v>1</v>
      </c>
      <c r="I955" s="121">
        <f t="shared" si="400"/>
        <v>1</v>
      </c>
      <c r="J955" s="121">
        <f t="shared" si="401"/>
        <v>1</v>
      </c>
      <c r="K955" s="120">
        <f t="shared" si="402"/>
        <v>0</v>
      </c>
      <c r="L955" s="120">
        <f t="shared" si="403"/>
        <v>0</v>
      </c>
      <c r="M955" s="246">
        <f t="shared" si="404"/>
        <v>0</v>
      </c>
      <c r="N955" s="121">
        <f t="shared" si="405"/>
        <v>1</v>
      </c>
      <c r="O955" s="246">
        <f t="shared" si="406"/>
        <v>0.8987308533916849</v>
      </c>
      <c r="P955" s="121">
        <f t="shared" si="407"/>
        <v>1</v>
      </c>
      <c r="Q955" s="121">
        <f t="shared" si="408"/>
        <v>0</v>
      </c>
      <c r="R955" s="121">
        <f t="shared" si="409"/>
        <v>0</v>
      </c>
      <c r="S955" s="121" t="str">
        <f t="shared" si="410"/>
        <v/>
      </c>
      <c r="T955" s="121" t="str">
        <f t="shared" si="411"/>
        <v/>
      </c>
      <c r="U955" s="121">
        <f t="shared" si="412"/>
        <v>1</v>
      </c>
    </row>
    <row r="956" spans="1:21" x14ac:dyDescent="0.3">
      <c r="A956" s="187">
        <v>14</v>
      </c>
      <c r="B956" s="242">
        <f t="shared" si="413"/>
        <v>46054</v>
      </c>
      <c r="C956" s="243">
        <f t="shared" si="394"/>
        <v>46081</v>
      </c>
      <c r="D956" s="120">
        <f t="shared" si="395"/>
        <v>28</v>
      </c>
      <c r="E956" s="120">
        <f t="shared" si="396"/>
        <v>2</v>
      </c>
      <c r="F956" s="275">
        <f t="shared" si="397"/>
        <v>46068</v>
      </c>
      <c r="G956" s="120">
        <f t="shared" si="398"/>
        <v>24313</v>
      </c>
      <c r="H956" s="245">
        <f t="shared" si="399"/>
        <v>1</v>
      </c>
      <c r="I956" s="121">
        <f t="shared" si="400"/>
        <v>1</v>
      </c>
      <c r="J956" s="121">
        <f t="shared" si="401"/>
        <v>1</v>
      </c>
      <c r="K956" s="120">
        <f t="shared" si="402"/>
        <v>0</v>
      </c>
      <c r="L956" s="120">
        <f t="shared" si="403"/>
        <v>0</v>
      </c>
      <c r="M956" s="246">
        <f t="shared" si="404"/>
        <v>0</v>
      </c>
      <c r="N956" s="121">
        <f t="shared" si="405"/>
        <v>1</v>
      </c>
      <c r="O956" s="246">
        <f t="shared" si="406"/>
        <v>0.90002188183807441</v>
      </c>
      <c r="P956" s="121">
        <f t="shared" si="407"/>
        <v>1</v>
      </c>
      <c r="Q956" s="121">
        <f t="shared" si="408"/>
        <v>0</v>
      </c>
      <c r="R956" s="121">
        <f t="shared" si="409"/>
        <v>0</v>
      </c>
      <c r="S956" s="121" t="str">
        <f t="shared" si="410"/>
        <v/>
      </c>
      <c r="T956" s="121" t="str">
        <f t="shared" si="411"/>
        <v/>
      </c>
      <c r="U956" s="121">
        <f t="shared" si="412"/>
        <v>1</v>
      </c>
    </row>
    <row r="957" spans="1:21" x14ac:dyDescent="0.3">
      <c r="A957" s="187">
        <v>15</v>
      </c>
      <c r="B957" s="242">
        <f t="shared" si="413"/>
        <v>46082</v>
      </c>
      <c r="C957" s="243">
        <f t="shared" si="394"/>
        <v>46112</v>
      </c>
      <c r="D957" s="120">
        <f t="shared" si="395"/>
        <v>31</v>
      </c>
      <c r="E957" s="120">
        <f t="shared" si="396"/>
        <v>3</v>
      </c>
      <c r="F957" s="275">
        <f t="shared" si="397"/>
        <v>46097.5</v>
      </c>
      <c r="G957" s="120">
        <f t="shared" si="398"/>
        <v>24314</v>
      </c>
      <c r="H957" s="245">
        <f t="shared" si="399"/>
        <v>1</v>
      </c>
      <c r="I957" s="121">
        <f t="shared" si="400"/>
        <v>1</v>
      </c>
      <c r="J957" s="121">
        <f t="shared" si="401"/>
        <v>1</v>
      </c>
      <c r="K957" s="120">
        <f t="shared" si="402"/>
        <v>0</v>
      </c>
      <c r="L957" s="120">
        <f t="shared" si="403"/>
        <v>0</v>
      </c>
      <c r="M957" s="246">
        <f t="shared" si="404"/>
        <v>0</v>
      </c>
      <c r="N957" s="121">
        <f t="shared" si="405"/>
        <v>1</v>
      </c>
      <c r="O957" s="246">
        <f t="shared" si="406"/>
        <v>0.90131291028446392</v>
      </c>
      <c r="P957" s="121">
        <f t="shared" si="407"/>
        <v>1</v>
      </c>
      <c r="Q957" s="121">
        <f t="shared" si="408"/>
        <v>0</v>
      </c>
      <c r="R957" s="121">
        <f t="shared" si="409"/>
        <v>0</v>
      </c>
      <c r="S957" s="121" t="str">
        <f t="shared" si="410"/>
        <v/>
      </c>
      <c r="T957" s="121" t="str">
        <f t="shared" si="411"/>
        <v/>
      </c>
      <c r="U957" s="121">
        <f t="shared" si="412"/>
        <v>1</v>
      </c>
    </row>
    <row r="958" spans="1:21" x14ac:dyDescent="0.3">
      <c r="A958" s="187">
        <v>16</v>
      </c>
      <c r="B958" s="242">
        <f t="shared" si="413"/>
        <v>46113</v>
      </c>
      <c r="C958" s="243">
        <f t="shared" si="394"/>
        <v>46142</v>
      </c>
      <c r="D958" s="120">
        <f t="shared" si="395"/>
        <v>30</v>
      </c>
      <c r="E958" s="120">
        <f t="shared" si="396"/>
        <v>4</v>
      </c>
      <c r="F958" s="275">
        <f t="shared" si="397"/>
        <v>46128</v>
      </c>
      <c r="G958" s="120">
        <f t="shared" si="398"/>
        <v>24315</v>
      </c>
      <c r="H958" s="245">
        <f t="shared" si="399"/>
        <v>1</v>
      </c>
      <c r="I958" s="121">
        <f t="shared" si="400"/>
        <v>1</v>
      </c>
      <c r="J958" s="121">
        <f t="shared" si="401"/>
        <v>1</v>
      </c>
      <c r="K958" s="120">
        <f t="shared" si="402"/>
        <v>0</v>
      </c>
      <c r="L958" s="120">
        <f t="shared" si="403"/>
        <v>0</v>
      </c>
      <c r="M958" s="246">
        <f t="shared" si="404"/>
        <v>0</v>
      </c>
      <c r="N958" s="121">
        <f t="shared" si="405"/>
        <v>1</v>
      </c>
      <c r="O958" s="246">
        <f t="shared" si="406"/>
        <v>0.90264770240700221</v>
      </c>
      <c r="P958" s="121">
        <f t="shared" si="407"/>
        <v>1</v>
      </c>
      <c r="Q958" s="121">
        <f t="shared" si="408"/>
        <v>0</v>
      </c>
      <c r="R958" s="121">
        <f t="shared" si="409"/>
        <v>0</v>
      </c>
      <c r="S958" s="121" t="str">
        <f t="shared" si="410"/>
        <v/>
      </c>
      <c r="T958" s="121" t="str">
        <f t="shared" si="411"/>
        <v/>
      </c>
      <c r="U958" s="121">
        <f t="shared" si="412"/>
        <v>1</v>
      </c>
    </row>
    <row r="959" spans="1:21" x14ac:dyDescent="0.3">
      <c r="A959" s="187">
        <v>17</v>
      </c>
      <c r="B959" s="242">
        <f t="shared" si="413"/>
        <v>46143</v>
      </c>
      <c r="C959" s="243">
        <f t="shared" si="394"/>
        <v>46173</v>
      </c>
      <c r="D959" s="120">
        <f t="shared" si="395"/>
        <v>31</v>
      </c>
      <c r="E959" s="120">
        <f t="shared" si="396"/>
        <v>5</v>
      </c>
      <c r="F959" s="275">
        <f t="shared" si="397"/>
        <v>46158.5</v>
      </c>
      <c r="G959" s="120">
        <f t="shared" si="398"/>
        <v>24316</v>
      </c>
      <c r="H959" s="245">
        <f t="shared" si="399"/>
        <v>1</v>
      </c>
      <c r="I959" s="121">
        <f t="shared" si="400"/>
        <v>1</v>
      </c>
      <c r="J959" s="121">
        <f t="shared" si="401"/>
        <v>1.03</v>
      </c>
      <c r="K959" s="120">
        <f t="shared" si="402"/>
        <v>1</v>
      </c>
      <c r="L959" s="120">
        <f t="shared" si="403"/>
        <v>31</v>
      </c>
      <c r="M959" s="246">
        <f t="shared" si="404"/>
        <v>1</v>
      </c>
      <c r="N959" s="121">
        <f t="shared" si="405"/>
        <v>1.03</v>
      </c>
      <c r="O959" s="246">
        <f t="shared" si="406"/>
        <v>0.90398249452954049</v>
      </c>
      <c r="P959" s="121">
        <f t="shared" si="407"/>
        <v>1</v>
      </c>
      <c r="Q959" s="121">
        <f t="shared" si="408"/>
        <v>0</v>
      </c>
      <c r="R959" s="121">
        <f t="shared" si="409"/>
        <v>0</v>
      </c>
      <c r="S959" s="121" t="str">
        <f t="shared" si="410"/>
        <v/>
      </c>
      <c r="T959" s="121" t="str">
        <f t="shared" si="411"/>
        <v/>
      </c>
      <c r="U959" s="121">
        <f t="shared" si="412"/>
        <v>1.03</v>
      </c>
    </row>
    <row r="960" spans="1:21" x14ac:dyDescent="0.3">
      <c r="A960" s="187">
        <v>18</v>
      </c>
      <c r="B960" s="242">
        <f t="shared" si="413"/>
        <v>46174</v>
      </c>
      <c r="C960" s="243">
        <f t="shared" si="394"/>
        <v>46203</v>
      </c>
      <c r="D960" s="120">
        <f t="shared" si="395"/>
        <v>30</v>
      </c>
      <c r="E960" s="120">
        <f t="shared" si="396"/>
        <v>6</v>
      </c>
      <c r="F960" s="275">
        <f t="shared" si="397"/>
        <v>46189</v>
      </c>
      <c r="G960" s="120">
        <f t="shared" si="398"/>
        <v>24317</v>
      </c>
      <c r="H960" s="245">
        <f t="shared" si="399"/>
        <v>1</v>
      </c>
      <c r="I960" s="121">
        <f t="shared" si="400"/>
        <v>1.03</v>
      </c>
      <c r="J960" s="121">
        <f t="shared" si="401"/>
        <v>1.03</v>
      </c>
      <c r="K960" s="120">
        <f t="shared" si="402"/>
        <v>0</v>
      </c>
      <c r="L960" s="120">
        <f t="shared" si="403"/>
        <v>0</v>
      </c>
      <c r="M960" s="246">
        <f t="shared" si="404"/>
        <v>0</v>
      </c>
      <c r="N960" s="121">
        <f t="shared" si="405"/>
        <v>1.03</v>
      </c>
      <c r="O960" s="246">
        <f t="shared" si="406"/>
        <v>0.90531728665207878</v>
      </c>
      <c r="P960" s="121">
        <f t="shared" si="407"/>
        <v>1</v>
      </c>
      <c r="Q960" s="121">
        <f t="shared" si="408"/>
        <v>0</v>
      </c>
      <c r="R960" s="121">
        <f t="shared" si="409"/>
        <v>0</v>
      </c>
      <c r="S960" s="121" t="str">
        <f t="shared" si="410"/>
        <v/>
      </c>
      <c r="T960" s="121" t="str">
        <f t="shared" si="411"/>
        <v/>
      </c>
      <c r="U960" s="121">
        <f t="shared" si="412"/>
        <v>1.03</v>
      </c>
    </row>
    <row r="961" spans="1:21" x14ac:dyDescent="0.3">
      <c r="A961" s="187">
        <v>19</v>
      </c>
      <c r="B961" s="242">
        <f t="shared" si="413"/>
        <v>46204</v>
      </c>
      <c r="C961" s="243">
        <f t="shared" si="394"/>
        <v>46234</v>
      </c>
      <c r="D961" s="120">
        <f t="shared" si="395"/>
        <v>31</v>
      </c>
      <c r="E961" s="120">
        <f t="shared" si="396"/>
        <v>7</v>
      </c>
      <c r="F961" s="275">
        <f t="shared" si="397"/>
        <v>46219.5</v>
      </c>
      <c r="G961" s="120">
        <f t="shared" si="398"/>
        <v>24318</v>
      </c>
      <c r="H961" s="245">
        <f t="shared" si="399"/>
        <v>1</v>
      </c>
      <c r="I961" s="121">
        <f t="shared" si="400"/>
        <v>1.03</v>
      </c>
      <c r="J961" s="121">
        <f t="shared" si="401"/>
        <v>1.03</v>
      </c>
      <c r="K961" s="120">
        <f t="shared" si="402"/>
        <v>0</v>
      </c>
      <c r="L961" s="120">
        <f t="shared" si="403"/>
        <v>0</v>
      </c>
      <c r="M961" s="246">
        <f t="shared" si="404"/>
        <v>0</v>
      </c>
      <c r="N961" s="121">
        <f t="shared" si="405"/>
        <v>1.03</v>
      </c>
      <c r="O961" s="246">
        <f t="shared" si="406"/>
        <v>0.90665207877461707</v>
      </c>
      <c r="P961" s="121">
        <f t="shared" si="407"/>
        <v>0.91666666666666663</v>
      </c>
      <c r="Q961" s="121">
        <f t="shared" si="408"/>
        <v>8.333333333333337E-2</v>
      </c>
      <c r="R961" s="121">
        <f t="shared" si="409"/>
        <v>0</v>
      </c>
      <c r="S961" s="121" t="str">
        <f t="shared" si="410"/>
        <v/>
      </c>
      <c r="T961" s="121" t="str">
        <f t="shared" si="411"/>
        <v/>
      </c>
      <c r="U961" s="121">
        <f t="shared" si="412"/>
        <v>1.03</v>
      </c>
    </row>
    <row r="962" spans="1:21" x14ac:dyDescent="0.3">
      <c r="A962" s="187">
        <v>20</v>
      </c>
      <c r="B962" s="242">
        <f t="shared" si="413"/>
        <v>46235</v>
      </c>
      <c r="C962" s="243">
        <f t="shared" si="394"/>
        <v>46265</v>
      </c>
      <c r="D962" s="120">
        <f t="shared" si="395"/>
        <v>31</v>
      </c>
      <c r="E962" s="120">
        <f t="shared" si="396"/>
        <v>8</v>
      </c>
      <c r="F962" s="275">
        <f t="shared" si="397"/>
        <v>46250.5</v>
      </c>
      <c r="G962" s="120">
        <f t="shared" si="398"/>
        <v>24319</v>
      </c>
      <c r="H962" s="245">
        <f t="shared" si="399"/>
        <v>1</v>
      </c>
      <c r="I962" s="121">
        <f t="shared" si="400"/>
        <v>1.03</v>
      </c>
      <c r="J962" s="121">
        <f t="shared" si="401"/>
        <v>1.03</v>
      </c>
      <c r="K962" s="120">
        <f t="shared" si="402"/>
        <v>0</v>
      </c>
      <c r="L962" s="120">
        <f t="shared" si="403"/>
        <v>0</v>
      </c>
      <c r="M962" s="246">
        <f t="shared" si="404"/>
        <v>0</v>
      </c>
      <c r="N962" s="121">
        <f t="shared" si="405"/>
        <v>1.03</v>
      </c>
      <c r="O962" s="246">
        <f t="shared" si="406"/>
        <v>0.90800875273522974</v>
      </c>
      <c r="P962" s="121">
        <f t="shared" si="407"/>
        <v>0.75</v>
      </c>
      <c r="Q962" s="121">
        <f t="shared" si="408"/>
        <v>0.25</v>
      </c>
      <c r="R962" s="121">
        <f t="shared" si="409"/>
        <v>0</v>
      </c>
      <c r="S962" s="121" t="str">
        <f t="shared" si="410"/>
        <v/>
      </c>
      <c r="T962" s="121" t="str">
        <f t="shared" si="411"/>
        <v/>
      </c>
      <c r="U962" s="121">
        <f t="shared" si="412"/>
        <v>1.03</v>
      </c>
    </row>
    <row r="963" spans="1:21" x14ac:dyDescent="0.3">
      <c r="A963" s="187">
        <v>21</v>
      </c>
      <c r="B963" s="242">
        <f t="shared" si="413"/>
        <v>46266</v>
      </c>
      <c r="C963" s="243">
        <f t="shared" si="394"/>
        <v>46295</v>
      </c>
      <c r="D963" s="120">
        <f t="shared" si="395"/>
        <v>30</v>
      </c>
      <c r="E963" s="120">
        <f t="shared" si="396"/>
        <v>9</v>
      </c>
      <c r="F963" s="275">
        <f t="shared" si="397"/>
        <v>46281</v>
      </c>
      <c r="G963" s="120">
        <f t="shared" si="398"/>
        <v>24320</v>
      </c>
      <c r="H963" s="245">
        <f t="shared" si="399"/>
        <v>1</v>
      </c>
      <c r="I963" s="121">
        <f t="shared" si="400"/>
        <v>1.03</v>
      </c>
      <c r="J963" s="121">
        <f t="shared" si="401"/>
        <v>1.03</v>
      </c>
      <c r="K963" s="120">
        <f t="shared" si="402"/>
        <v>0</v>
      </c>
      <c r="L963" s="120">
        <f t="shared" si="403"/>
        <v>0</v>
      </c>
      <c r="M963" s="246">
        <f t="shared" si="404"/>
        <v>0</v>
      </c>
      <c r="N963" s="121">
        <f t="shared" si="405"/>
        <v>1.03</v>
      </c>
      <c r="O963" s="246">
        <f t="shared" si="406"/>
        <v>0.90934354485776803</v>
      </c>
      <c r="P963" s="121">
        <f t="shared" si="407"/>
        <v>0.58333333333333337</v>
      </c>
      <c r="Q963" s="121">
        <f t="shared" si="408"/>
        <v>0.41666666666666663</v>
      </c>
      <c r="R963" s="121">
        <f t="shared" si="409"/>
        <v>0</v>
      </c>
      <c r="S963" s="121" t="str">
        <f t="shared" si="410"/>
        <v/>
      </c>
      <c r="T963" s="121" t="str">
        <f t="shared" si="411"/>
        <v/>
      </c>
      <c r="U963" s="121">
        <f t="shared" si="412"/>
        <v>1.03</v>
      </c>
    </row>
    <row r="964" spans="1:21" x14ac:dyDescent="0.3">
      <c r="A964" s="187">
        <v>22</v>
      </c>
      <c r="B964" s="242">
        <f t="shared" si="413"/>
        <v>46296</v>
      </c>
      <c r="C964" s="243">
        <f t="shared" si="394"/>
        <v>46326</v>
      </c>
      <c r="D964" s="120">
        <f t="shared" si="395"/>
        <v>31</v>
      </c>
      <c r="E964" s="120">
        <f t="shared" si="396"/>
        <v>10</v>
      </c>
      <c r="F964" s="275">
        <f t="shared" si="397"/>
        <v>46311.5</v>
      </c>
      <c r="G964" s="120">
        <f t="shared" si="398"/>
        <v>24321</v>
      </c>
      <c r="H964" s="245">
        <f t="shared" si="399"/>
        <v>1</v>
      </c>
      <c r="I964" s="121">
        <f t="shared" si="400"/>
        <v>1.03</v>
      </c>
      <c r="J964" s="121">
        <f t="shared" si="401"/>
        <v>1.03</v>
      </c>
      <c r="K964" s="120">
        <f t="shared" si="402"/>
        <v>0</v>
      </c>
      <c r="L964" s="120">
        <f t="shared" si="403"/>
        <v>0</v>
      </c>
      <c r="M964" s="246">
        <f t="shared" si="404"/>
        <v>0</v>
      </c>
      <c r="N964" s="121">
        <f t="shared" si="405"/>
        <v>1.03</v>
      </c>
      <c r="O964" s="246">
        <f t="shared" si="406"/>
        <v>0.91067833698030642</v>
      </c>
      <c r="P964" s="121">
        <f t="shared" si="407"/>
        <v>0.41666666666666669</v>
      </c>
      <c r="Q964" s="121">
        <f t="shared" si="408"/>
        <v>0.58333333333333326</v>
      </c>
      <c r="R964" s="121">
        <f t="shared" si="409"/>
        <v>0</v>
      </c>
      <c r="S964" s="121" t="str">
        <f t="shared" si="410"/>
        <v/>
      </c>
      <c r="T964" s="121" t="str">
        <f t="shared" si="411"/>
        <v/>
      </c>
      <c r="U964" s="121">
        <f t="shared" si="412"/>
        <v>1.03</v>
      </c>
    </row>
    <row r="965" spans="1:21" x14ac:dyDescent="0.3">
      <c r="A965" s="187">
        <v>23</v>
      </c>
      <c r="B965" s="242">
        <f t="shared" si="413"/>
        <v>46327</v>
      </c>
      <c r="C965" s="243">
        <f t="shared" si="394"/>
        <v>46356</v>
      </c>
      <c r="D965" s="120">
        <f t="shared" si="395"/>
        <v>30</v>
      </c>
      <c r="E965" s="120">
        <f t="shared" si="396"/>
        <v>11</v>
      </c>
      <c r="F965" s="275">
        <f t="shared" si="397"/>
        <v>46342</v>
      </c>
      <c r="G965" s="120">
        <f t="shared" si="398"/>
        <v>24322</v>
      </c>
      <c r="H965" s="245">
        <f t="shared" si="399"/>
        <v>1</v>
      </c>
      <c r="I965" s="121">
        <f t="shared" si="400"/>
        <v>1.03</v>
      </c>
      <c r="J965" s="121">
        <f t="shared" si="401"/>
        <v>1.03</v>
      </c>
      <c r="K965" s="120">
        <f t="shared" si="402"/>
        <v>0</v>
      </c>
      <c r="L965" s="120">
        <f t="shared" si="403"/>
        <v>0</v>
      </c>
      <c r="M965" s="246">
        <f t="shared" si="404"/>
        <v>0</v>
      </c>
      <c r="N965" s="121">
        <f t="shared" si="405"/>
        <v>1.03</v>
      </c>
      <c r="O965" s="246">
        <f t="shared" si="406"/>
        <v>0.91201312910284471</v>
      </c>
      <c r="P965" s="121">
        <f t="shared" si="407"/>
        <v>0.25</v>
      </c>
      <c r="Q965" s="121">
        <f t="shared" si="408"/>
        <v>0.75</v>
      </c>
      <c r="R965" s="121">
        <f t="shared" si="409"/>
        <v>0</v>
      </c>
      <c r="S965" s="121" t="str">
        <f t="shared" si="410"/>
        <v/>
      </c>
      <c r="T965" s="121" t="str">
        <f t="shared" si="411"/>
        <v/>
      </c>
      <c r="U965" s="121">
        <f t="shared" si="412"/>
        <v>1.03</v>
      </c>
    </row>
    <row r="966" spans="1:21" x14ac:dyDescent="0.3">
      <c r="A966" s="187">
        <v>24</v>
      </c>
      <c r="B966" s="242">
        <f t="shared" si="413"/>
        <v>46357</v>
      </c>
      <c r="C966" s="243">
        <f t="shared" si="394"/>
        <v>46387</v>
      </c>
      <c r="D966" s="120">
        <f t="shared" si="395"/>
        <v>31</v>
      </c>
      <c r="E966" s="120">
        <f t="shared" si="396"/>
        <v>12</v>
      </c>
      <c r="F966" s="275">
        <f t="shared" si="397"/>
        <v>46372.5</v>
      </c>
      <c r="G966" s="120">
        <f t="shared" si="398"/>
        <v>24323</v>
      </c>
      <c r="H966" s="245">
        <f t="shared" si="399"/>
        <v>1</v>
      </c>
      <c r="I966" s="121">
        <f t="shared" si="400"/>
        <v>1.03</v>
      </c>
      <c r="J966" s="121">
        <f t="shared" si="401"/>
        <v>1.03</v>
      </c>
      <c r="K966" s="120">
        <f t="shared" si="402"/>
        <v>0</v>
      </c>
      <c r="L966" s="120">
        <f t="shared" si="403"/>
        <v>0</v>
      </c>
      <c r="M966" s="246">
        <f t="shared" si="404"/>
        <v>0</v>
      </c>
      <c r="N966" s="121">
        <f t="shared" si="405"/>
        <v>1.03</v>
      </c>
      <c r="O966" s="246">
        <f t="shared" si="406"/>
        <v>0.913347921225383</v>
      </c>
      <c r="P966" s="121">
        <f t="shared" si="407"/>
        <v>8.3333333333333329E-2</v>
      </c>
      <c r="Q966" s="121">
        <f t="shared" si="408"/>
        <v>0.91666666666666663</v>
      </c>
      <c r="R966" s="121">
        <f t="shared" si="409"/>
        <v>0</v>
      </c>
      <c r="S966" s="121" t="str">
        <f t="shared" si="410"/>
        <v/>
      </c>
      <c r="T966" s="121" t="str">
        <f t="shared" si="411"/>
        <v/>
      </c>
      <c r="U966" s="121">
        <f t="shared" si="412"/>
        <v>1.03</v>
      </c>
    </row>
    <row r="967" spans="1:21" x14ac:dyDescent="0.3">
      <c r="A967" s="187">
        <v>25</v>
      </c>
      <c r="B967" s="242">
        <f t="shared" si="413"/>
        <v>46388</v>
      </c>
      <c r="C967" s="243">
        <f t="shared" si="394"/>
        <v>46418</v>
      </c>
      <c r="D967" s="120">
        <f t="shared" si="395"/>
        <v>31</v>
      </c>
      <c r="E967" s="120">
        <f t="shared" si="396"/>
        <v>1</v>
      </c>
      <c r="F967" s="275">
        <f t="shared" si="397"/>
        <v>46403.5</v>
      </c>
      <c r="G967" s="120">
        <f t="shared" si="398"/>
        <v>24324</v>
      </c>
      <c r="H967" s="245">
        <f t="shared" si="399"/>
        <v>1</v>
      </c>
      <c r="I967" s="121">
        <f t="shared" si="400"/>
        <v>1.03</v>
      </c>
      <c r="J967" s="121">
        <f t="shared" si="401"/>
        <v>1.03</v>
      </c>
      <c r="K967" s="120">
        <f t="shared" si="402"/>
        <v>0</v>
      </c>
      <c r="L967" s="120">
        <f t="shared" si="403"/>
        <v>0</v>
      </c>
      <c r="M967" s="246">
        <f t="shared" si="404"/>
        <v>0</v>
      </c>
      <c r="N967" s="121">
        <f t="shared" si="405"/>
        <v>1.03</v>
      </c>
      <c r="O967" s="246">
        <f t="shared" si="406"/>
        <v>0.91470459518599567</v>
      </c>
      <c r="P967" s="121">
        <f t="shared" si="407"/>
        <v>0</v>
      </c>
      <c r="Q967" s="121">
        <f t="shared" si="408"/>
        <v>1</v>
      </c>
      <c r="R967" s="121">
        <f t="shared" si="409"/>
        <v>0</v>
      </c>
      <c r="S967" s="121" t="str">
        <f t="shared" si="410"/>
        <v/>
      </c>
      <c r="T967" s="121" t="str">
        <f t="shared" si="411"/>
        <v/>
      </c>
      <c r="U967" s="121">
        <f t="shared" si="412"/>
        <v>1.03</v>
      </c>
    </row>
    <row r="968" spans="1:21" x14ac:dyDescent="0.3">
      <c r="A968" s="187">
        <v>26</v>
      </c>
      <c r="B968" s="242">
        <f t="shared" si="413"/>
        <v>46419</v>
      </c>
      <c r="C968" s="243">
        <f t="shared" si="394"/>
        <v>46446</v>
      </c>
      <c r="D968" s="120">
        <f t="shared" si="395"/>
        <v>28</v>
      </c>
      <c r="E968" s="120">
        <f t="shared" si="396"/>
        <v>2</v>
      </c>
      <c r="F968" s="275">
        <f t="shared" si="397"/>
        <v>46433</v>
      </c>
      <c r="G968" s="120">
        <f t="shared" si="398"/>
        <v>24325</v>
      </c>
      <c r="H968" s="245">
        <f t="shared" si="399"/>
        <v>1</v>
      </c>
      <c r="I968" s="121">
        <f t="shared" si="400"/>
        <v>1.03</v>
      </c>
      <c r="J968" s="121">
        <f t="shared" si="401"/>
        <v>1.03</v>
      </c>
      <c r="K968" s="120">
        <f t="shared" si="402"/>
        <v>0</v>
      </c>
      <c r="L968" s="120">
        <f t="shared" si="403"/>
        <v>0</v>
      </c>
      <c r="M968" s="246">
        <f t="shared" si="404"/>
        <v>0</v>
      </c>
      <c r="N968" s="121">
        <f t="shared" si="405"/>
        <v>1.03</v>
      </c>
      <c r="O968" s="246">
        <f t="shared" si="406"/>
        <v>0.91599562363238518</v>
      </c>
      <c r="P968" s="121">
        <f t="shared" si="407"/>
        <v>0</v>
      </c>
      <c r="Q968" s="121">
        <f t="shared" si="408"/>
        <v>1</v>
      </c>
      <c r="R968" s="121">
        <f t="shared" si="409"/>
        <v>0</v>
      </c>
      <c r="S968" s="121" t="str">
        <f t="shared" si="410"/>
        <v/>
      </c>
      <c r="T968" s="121" t="str">
        <f t="shared" si="411"/>
        <v/>
      </c>
      <c r="U968" s="121">
        <f t="shared" si="412"/>
        <v>1.03</v>
      </c>
    </row>
    <row r="969" spans="1:21" x14ac:dyDescent="0.3">
      <c r="A969" s="187">
        <v>27</v>
      </c>
      <c r="B969" s="242">
        <f t="shared" si="413"/>
        <v>46447</v>
      </c>
      <c r="C969" s="243">
        <f t="shared" si="394"/>
        <v>46477</v>
      </c>
      <c r="D969" s="120">
        <f t="shared" si="395"/>
        <v>31</v>
      </c>
      <c r="E969" s="120">
        <f t="shared" si="396"/>
        <v>3</v>
      </c>
      <c r="F969" s="275">
        <f t="shared" si="397"/>
        <v>46462.5</v>
      </c>
      <c r="G969" s="120">
        <f t="shared" si="398"/>
        <v>24326</v>
      </c>
      <c r="H969" s="245">
        <f t="shared" si="399"/>
        <v>1</v>
      </c>
      <c r="I969" s="121">
        <f t="shared" si="400"/>
        <v>1.03</v>
      </c>
      <c r="J969" s="121">
        <f t="shared" si="401"/>
        <v>1.03</v>
      </c>
      <c r="K969" s="120">
        <f t="shared" si="402"/>
        <v>0</v>
      </c>
      <c r="L969" s="120">
        <f t="shared" si="403"/>
        <v>0</v>
      </c>
      <c r="M969" s="246">
        <f t="shared" si="404"/>
        <v>0</v>
      </c>
      <c r="N969" s="121">
        <f t="shared" si="405"/>
        <v>1.03</v>
      </c>
      <c r="O969" s="246">
        <f t="shared" si="406"/>
        <v>0.91728665207877469</v>
      </c>
      <c r="P969" s="121">
        <f t="shared" si="407"/>
        <v>0</v>
      </c>
      <c r="Q969" s="121">
        <f t="shared" si="408"/>
        <v>1</v>
      </c>
      <c r="R969" s="121">
        <f t="shared" si="409"/>
        <v>0</v>
      </c>
      <c r="S969" s="121" t="str">
        <f t="shared" si="410"/>
        <v/>
      </c>
      <c r="T969" s="121" t="str">
        <f t="shared" si="411"/>
        <v/>
      </c>
      <c r="U969" s="121">
        <f t="shared" si="412"/>
        <v>1.03</v>
      </c>
    </row>
    <row r="970" spans="1:21" x14ac:dyDescent="0.3">
      <c r="A970" s="187">
        <v>28</v>
      </c>
      <c r="B970" s="242">
        <f t="shared" si="413"/>
        <v>46478</v>
      </c>
      <c r="C970" s="243">
        <f t="shared" si="394"/>
        <v>46507</v>
      </c>
      <c r="D970" s="120">
        <f t="shared" si="395"/>
        <v>30</v>
      </c>
      <c r="E970" s="120">
        <f t="shared" si="396"/>
        <v>4</v>
      </c>
      <c r="F970" s="275">
        <f t="shared" si="397"/>
        <v>46493</v>
      </c>
      <c r="G970" s="120">
        <f t="shared" si="398"/>
        <v>24327</v>
      </c>
      <c r="H970" s="245">
        <f t="shared" si="399"/>
        <v>1</v>
      </c>
      <c r="I970" s="121">
        <f t="shared" si="400"/>
        <v>1.03</v>
      </c>
      <c r="J970" s="121">
        <f t="shared" si="401"/>
        <v>1.03</v>
      </c>
      <c r="K970" s="120">
        <f t="shared" si="402"/>
        <v>0</v>
      </c>
      <c r="L970" s="120">
        <f t="shared" si="403"/>
        <v>0</v>
      </c>
      <c r="M970" s="246">
        <f t="shared" si="404"/>
        <v>0</v>
      </c>
      <c r="N970" s="121">
        <f t="shared" si="405"/>
        <v>1.03</v>
      </c>
      <c r="O970" s="246">
        <f t="shared" si="406"/>
        <v>0.91862144420131298</v>
      </c>
      <c r="P970" s="121">
        <f t="shared" si="407"/>
        <v>0</v>
      </c>
      <c r="Q970" s="121">
        <f t="shared" si="408"/>
        <v>1</v>
      </c>
      <c r="R970" s="121">
        <f t="shared" si="409"/>
        <v>0</v>
      </c>
      <c r="S970" s="121" t="str">
        <f t="shared" si="410"/>
        <v/>
      </c>
      <c r="T970" s="121" t="str">
        <f t="shared" si="411"/>
        <v/>
      </c>
      <c r="U970" s="121">
        <f t="shared" si="412"/>
        <v>1.03</v>
      </c>
    </row>
    <row r="971" spans="1:21" x14ac:dyDescent="0.3">
      <c r="A971" s="187">
        <v>29</v>
      </c>
      <c r="B971" s="242">
        <f t="shared" si="413"/>
        <v>46508</v>
      </c>
      <c r="C971" s="243">
        <f t="shared" si="394"/>
        <v>46538</v>
      </c>
      <c r="D971" s="120">
        <f t="shared" si="395"/>
        <v>31</v>
      </c>
      <c r="E971" s="120">
        <f t="shared" si="396"/>
        <v>5</v>
      </c>
      <c r="F971" s="275">
        <f t="shared" si="397"/>
        <v>46523.5</v>
      </c>
      <c r="G971" s="120">
        <f t="shared" si="398"/>
        <v>24328</v>
      </c>
      <c r="H971" s="245">
        <f t="shared" si="399"/>
        <v>1</v>
      </c>
      <c r="I971" s="121">
        <f t="shared" si="400"/>
        <v>1.03</v>
      </c>
      <c r="J971" s="121">
        <f t="shared" si="401"/>
        <v>1.03</v>
      </c>
      <c r="K971" s="120">
        <f t="shared" si="402"/>
        <v>0</v>
      </c>
      <c r="L971" s="120">
        <f t="shared" si="403"/>
        <v>0</v>
      </c>
      <c r="M971" s="246">
        <f t="shared" si="404"/>
        <v>0</v>
      </c>
      <c r="N971" s="121">
        <f t="shared" si="405"/>
        <v>1.03</v>
      </c>
      <c r="O971" s="246">
        <f t="shared" si="406"/>
        <v>0.91995623632385126</v>
      </c>
      <c r="P971" s="121">
        <f t="shared" si="407"/>
        <v>0</v>
      </c>
      <c r="Q971" s="121">
        <f t="shared" si="408"/>
        <v>1</v>
      </c>
      <c r="R971" s="121">
        <f t="shared" si="409"/>
        <v>0</v>
      </c>
      <c r="S971" s="121" t="str">
        <f t="shared" si="410"/>
        <v/>
      </c>
      <c r="T971" s="121" t="str">
        <f t="shared" si="411"/>
        <v/>
      </c>
      <c r="U971" s="121">
        <f t="shared" si="412"/>
        <v>1.03</v>
      </c>
    </row>
    <row r="972" spans="1:21" x14ac:dyDescent="0.3">
      <c r="A972" s="187">
        <v>30</v>
      </c>
      <c r="B972" s="242">
        <f t="shared" si="413"/>
        <v>46539</v>
      </c>
      <c r="C972" s="243">
        <f t="shared" si="394"/>
        <v>46568</v>
      </c>
      <c r="D972" s="120">
        <f t="shared" si="395"/>
        <v>30</v>
      </c>
      <c r="E972" s="120">
        <f t="shared" si="396"/>
        <v>6</v>
      </c>
      <c r="F972" s="275">
        <f t="shared" si="397"/>
        <v>46554</v>
      </c>
      <c r="G972" s="120">
        <f t="shared" si="398"/>
        <v>24329</v>
      </c>
      <c r="H972" s="245">
        <f t="shared" si="399"/>
        <v>1</v>
      </c>
      <c r="I972" s="121">
        <f t="shared" si="400"/>
        <v>1.03</v>
      </c>
      <c r="J972" s="121">
        <f t="shared" si="401"/>
        <v>1.03</v>
      </c>
      <c r="K972" s="120">
        <f t="shared" si="402"/>
        <v>0</v>
      </c>
      <c r="L972" s="120">
        <f t="shared" si="403"/>
        <v>0</v>
      </c>
      <c r="M972" s="246">
        <f t="shared" si="404"/>
        <v>0</v>
      </c>
      <c r="N972" s="121">
        <f t="shared" si="405"/>
        <v>1.03</v>
      </c>
      <c r="O972" s="246">
        <f t="shared" si="406"/>
        <v>0.92129102844638955</v>
      </c>
      <c r="P972" s="121">
        <f t="shared" si="407"/>
        <v>0</v>
      </c>
      <c r="Q972" s="121">
        <f t="shared" si="408"/>
        <v>1</v>
      </c>
      <c r="R972" s="121">
        <f t="shared" si="409"/>
        <v>0</v>
      </c>
      <c r="S972" s="121" t="str">
        <f t="shared" si="410"/>
        <v/>
      </c>
      <c r="T972" s="121" t="str">
        <f t="shared" si="411"/>
        <v/>
      </c>
      <c r="U972" s="121">
        <f t="shared" si="412"/>
        <v>1.03</v>
      </c>
    </row>
    <row r="973" spans="1:21" x14ac:dyDescent="0.3">
      <c r="A973" s="187">
        <v>31</v>
      </c>
      <c r="B973" s="242">
        <f t="shared" si="413"/>
        <v>46569</v>
      </c>
      <c r="C973" s="243">
        <f t="shared" si="394"/>
        <v>46599</v>
      </c>
      <c r="D973" s="120">
        <f t="shared" si="395"/>
        <v>31</v>
      </c>
      <c r="E973" s="120">
        <f t="shared" si="396"/>
        <v>7</v>
      </c>
      <c r="F973" s="275">
        <f t="shared" si="397"/>
        <v>46584.5</v>
      </c>
      <c r="G973" s="120">
        <f t="shared" si="398"/>
        <v>24330</v>
      </c>
      <c r="H973" s="245">
        <f t="shared" si="399"/>
        <v>1</v>
      </c>
      <c r="I973" s="121">
        <f t="shared" si="400"/>
        <v>1.03</v>
      </c>
      <c r="J973" s="121">
        <f t="shared" si="401"/>
        <v>1.03</v>
      </c>
      <c r="K973" s="120">
        <f t="shared" si="402"/>
        <v>0</v>
      </c>
      <c r="L973" s="120">
        <f t="shared" si="403"/>
        <v>0</v>
      </c>
      <c r="M973" s="246">
        <f t="shared" si="404"/>
        <v>0</v>
      </c>
      <c r="N973" s="121">
        <f t="shared" si="405"/>
        <v>1.03</v>
      </c>
      <c r="O973" s="246">
        <f t="shared" si="406"/>
        <v>0.92262582056892783</v>
      </c>
      <c r="P973" s="121">
        <f t="shared" si="407"/>
        <v>0</v>
      </c>
      <c r="Q973" s="121">
        <f t="shared" si="408"/>
        <v>0.91666666666666663</v>
      </c>
      <c r="R973" s="121">
        <f t="shared" si="409"/>
        <v>8.333333333333337E-2</v>
      </c>
      <c r="S973" s="121" t="str">
        <f t="shared" si="410"/>
        <v/>
      </c>
      <c r="T973" s="121" t="str">
        <f t="shared" si="411"/>
        <v/>
      </c>
      <c r="U973" s="121">
        <f t="shared" si="412"/>
        <v>1.03</v>
      </c>
    </row>
    <row r="974" spans="1:21" x14ac:dyDescent="0.3">
      <c r="A974" s="187">
        <v>32</v>
      </c>
      <c r="B974" s="242">
        <f t="shared" si="413"/>
        <v>46600</v>
      </c>
      <c r="C974" s="243">
        <f t="shared" si="394"/>
        <v>46630</v>
      </c>
      <c r="D974" s="120">
        <f t="shared" si="395"/>
        <v>31</v>
      </c>
      <c r="E974" s="120">
        <f t="shared" si="396"/>
        <v>8</v>
      </c>
      <c r="F974" s="275">
        <f t="shared" si="397"/>
        <v>46615.5</v>
      </c>
      <c r="G974" s="120">
        <f t="shared" si="398"/>
        <v>24331</v>
      </c>
      <c r="H974" s="245">
        <f t="shared" si="399"/>
        <v>1</v>
      </c>
      <c r="I974" s="121">
        <f t="shared" si="400"/>
        <v>1.03</v>
      </c>
      <c r="J974" s="121">
        <f t="shared" si="401"/>
        <v>1.03</v>
      </c>
      <c r="K974" s="120">
        <f t="shared" si="402"/>
        <v>0</v>
      </c>
      <c r="L974" s="120">
        <f t="shared" si="403"/>
        <v>0</v>
      </c>
      <c r="M974" s="246">
        <f t="shared" si="404"/>
        <v>0</v>
      </c>
      <c r="N974" s="121">
        <f t="shared" si="405"/>
        <v>1.03</v>
      </c>
      <c r="O974" s="246">
        <f t="shared" si="406"/>
        <v>0.92398249452954051</v>
      </c>
      <c r="P974" s="121">
        <f t="shared" si="407"/>
        <v>0</v>
      </c>
      <c r="Q974" s="121">
        <f t="shared" si="408"/>
        <v>0.75</v>
      </c>
      <c r="R974" s="121">
        <f t="shared" si="409"/>
        <v>0.25</v>
      </c>
      <c r="S974" s="121" t="str">
        <f t="shared" si="410"/>
        <v/>
      </c>
      <c r="T974" s="121" t="str">
        <f t="shared" si="411"/>
        <v/>
      </c>
      <c r="U974" s="121">
        <f t="shared" si="412"/>
        <v>1.03</v>
      </c>
    </row>
    <row r="975" spans="1:21" x14ac:dyDescent="0.3">
      <c r="A975" s="187">
        <v>33</v>
      </c>
      <c r="B975" s="242">
        <f t="shared" si="413"/>
        <v>46631</v>
      </c>
      <c r="C975" s="243">
        <f t="shared" si="394"/>
        <v>46660</v>
      </c>
      <c r="D975" s="120">
        <f t="shared" si="395"/>
        <v>30</v>
      </c>
      <c r="E975" s="120">
        <f t="shared" si="396"/>
        <v>9</v>
      </c>
      <c r="F975" s="275">
        <f t="shared" si="397"/>
        <v>46646</v>
      </c>
      <c r="G975" s="120">
        <f t="shared" si="398"/>
        <v>24332</v>
      </c>
      <c r="H975" s="245">
        <f t="shared" si="399"/>
        <v>1</v>
      </c>
      <c r="I975" s="121">
        <f t="shared" si="400"/>
        <v>1.03</v>
      </c>
      <c r="J975" s="121">
        <f t="shared" si="401"/>
        <v>1.03</v>
      </c>
      <c r="K975" s="120">
        <f t="shared" si="402"/>
        <v>0</v>
      </c>
      <c r="L975" s="120">
        <f t="shared" si="403"/>
        <v>0</v>
      </c>
      <c r="M975" s="246">
        <f t="shared" si="404"/>
        <v>0</v>
      </c>
      <c r="N975" s="121">
        <f t="shared" si="405"/>
        <v>1.03</v>
      </c>
      <c r="O975" s="246">
        <f t="shared" si="406"/>
        <v>0.9253172866520788</v>
      </c>
      <c r="P975" s="121">
        <f t="shared" si="407"/>
        <v>0</v>
      </c>
      <c r="Q975" s="121">
        <f t="shared" si="408"/>
        <v>0.58333333333333337</v>
      </c>
      <c r="R975" s="121">
        <f t="shared" si="409"/>
        <v>0.41666666666666663</v>
      </c>
      <c r="S975" s="121" t="str">
        <f t="shared" si="410"/>
        <v/>
      </c>
      <c r="T975" s="121" t="str">
        <f t="shared" si="411"/>
        <v/>
      </c>
      <c r="U975" s="121">
        <f t="shared" si="412"/>
        <v>1.03</v>
      </c>
    </row>
    <row r="976" spans="1:21" x14ac:dyDescent="0.3">
      <c r="A976" s="187">
        <v>34</v>
      </c>
      <c r="B976" s="242">
        <f t="shared" si="413"/>
        <v>46661</v>
      </c>
      <c r="C976" s="243">
        <f t="shared" si="394"/>
        <v>46691</v>
      </c>
      <c r="D976" s="120">
        <f t="shared" si="395"/>
        <v>31</v>
      </c>
      <c r="E976" s="120">
        <f t="shared" si="396"/>
        <v>10</v>
      </c>
      <c r="F976" s="275">
        <f t="shared" si="397"/>
        <v>46676.5</v>
      </c>
      <c r="G976" s="120">
        <f t="shared" si="398"/>
        <v>24333</v>
      </c>
      <c r="H976" s="245">
        <f t="shared" si="399"/>
        <v>1</v>
      </c>
      <c r="I976" s="121">
        <f t="shared" si="400"/>
        <v>1.03</v>
      </c>
      <c r="J976" s="121">
        <f t="shared" si="401"/>
        <v>1.03</v>
      </c>
      <c r="K976" s="120">
        <f t="shared" si="402"/>
        <v>0</v>
      </c>
      <c r="L976" s="120">
        <f t="shared" si="403"/>
        <v>0</v>
      </c>
      <c r="M976" s="246">
        <f t="shared" si="404"/>
        <v>0</v>
      </c>
      <c r="N976" s="121">
        <f t="shared" si="405"/>
        <v>1.03</v>
      </c>
      <c r="O976" s="246">
        <f t="shared" si="406"/>
        <v>0.92665207877461708</v>
      </c>
      <c r="P976" s="121">
        <f t="shared" si="407"/>
        <v>0</v>
      </c>
      <c r="Q976" s="121">
        <f t="shared" si="408"/>
        <v>0.41666666666666669</v>
      </c>
      <c r="R976" s="121">
        <f t="shared" si="409"/>
        <v>0.58333333333333326</v>
      </c>
      <c r="S976" s="121" t="str">
        <f t="shared" si="410"/>
        <v/>
      </c>
      <c r="T976" s="121" t="str">
        <f t="shared" si="411"/>
        <v/>
      </c>
      <c r="U976" s="121">
        <f t="shared" si="412"/>
        <v>1.03</v>
      </c>
    </row>
    <row r="977" spans="1:21" x14ac:dyDescent="0.3">
      <c r="A977" s="187">
        <v>35</v>
      </c>
      <c r="B977" s="242">
        <f t="shared" si="413"/>
        <v>46692</v>
      </c>
      <c r="C977" s="243">
        <f t="shared" si="394"/>
        <v>46721</v>
      </c>
      <c r="D977" s="120">
        <f t="shared" si="395"/>
        <v>30</v>
      </c>
      <c r="E977" s="120">
        <f t="shared" si="396"/>
        <v>11</v>
      </c>
      <c r="F977" s="275">
        <f t="shared" si="397"/>
        <v>46707</v>
      </c>
      <c r="G977" s="120">
        <f t="shared" si="398"/>
        <v>24334</v>
      </c>
      <c r="H977" s="245">
        <f t="shared" si="399"/>
        <v>1</v>
      </c>
      <c r="I977" s="121">
        <f t="shared" si="400"/>
        <v>1.03</v>
      </c>
      <c r="J977" s="121">
        <f t="shared" si="401"/>
        <v>1.03</v>
      </c>
      <c r="K977" s="120">
        <f t="shared" si="402"/>
        <v>0</v>
      </c>
      <c r="L977" s="120">
        <f t="shared" si="403"/>
        <v>0</v>
      </c>
      <c r="M977" s="246">
        <f t="shared" si="404"/>
        <v>0</v>
      </c>
      <c r="N977" s="121">
        <f t="shared" si="405"/>
        <v>1.03</v>
      </c>
      <c r="O977" s="246">
        <f t="shared" si="406"/>
        <v>0.92798687089715537</v>
      </c>
      <c r="P977" s="121">
        <f t="shared" si="407"/>
        <v>0</v>
      </c>
      <c r="Q977" s="121">
        <f t="shared" si="408"/>
        <v>0.25</v>
      </c>
      <c r="R977" s="121">
        <f t="shared" si="409"/>
        <v>0.75</v>
      </c>
      <c r="S977" s="121" t="str">
        <f t="shared" si="410"/>
        <v/>
      </c>
      <c r="T977" s="121" t="str">
        <f t="shared" si="411"/>
        <v/>
      </c>
      <c r="U977" s="121">
        <f t="shared" si="412"/>
        <v>1.03</v>
      </c>
    </row>
    <row r="978" spans="1:21" x14ac:dyDescent="0.3">
      <c r="A978" s="187">
        <v>36</v>
      </c>
      <c r="B978" s="242">
        <f t="shared" si="413"/>
        <v>46722</v>
      </c>
      <c r="C978" s="243">
        <f t="shared" si="394"/>
        <v>46752</v>
      </c>
      <c r="D978" s="120">
        <f t="shared" si="395"/>
        <v>31</v>
      </c>
      <c r="E978" s="120">
        <f t="shared" si="396"/>
        <v>12</v>
      </c>
      <c r="F978" s="275">
        <f t="shared" si="397"/>
        <v>46737.5</v>
      </c>
      <c r="G978" s="120">
        <f t="shared" si="398"/>
        <v>24335</v>
      </c>
      <c r="H978" s="245">
        <f t="shared" si="399"/>
        <v>1</v>
      </c>
      <c r="I978" s="121">
        <f t="shared" si="400"/>
        <v>1.03</v>
      </c>
      <c r="J978" s="121">
        <f t="shared" si="401"/>
        <v>1.03</v>
      </c>
      <c r="K978" s="120">
        <f t="shared" si="402"/>
        <v>0</v>
      </c>
      <c r="L978" s="120">
        <f t="shared" si="403"/>
        <v>0</v>
      </c>
      <c r="M978" s="246">
        <f t="shared" si="404"/>
        <v>0</v>
      </c>
      <c r="N978" s="121">
        <f t="shared" si="405"/>
        <v>1.03</v>
      </c>
      <c r="O978" s="246">
        <f t="shared" si="406"/>
        <v>0.92932166301969366</v>
      </c>
      <c r="P978" s="121">
        <f t="shared" si="407"/>
        <v>0</v>
      </c>
      <c r="Q978" s="121">
        <f t="shared" si="408"/>
        <v>8.3333333333333329E-2</v>
      </c>
      <c r="R978" s="121">
        <f t="shared" si="409"/>
        <v>0.91666666666666663</v>
      </c>
      <c r="S978" s="121" t="str">
        <f t="shared" si="410"/>
        <v/>
      </c>
      <c r="T978" s="121" t="str">
        <f t="shared" si="411"/>
        <v/>
      </c>
      <c r="U978" s="121">
        <f t="shared" si="412"/>
        <v>1.03</v>
      </c>
    </row>
    <row r="979" spans="1:21" x14ac:dyDescent="0.3">
      <c r="A979" s="187">
        <v>37</v>
      </c>
      <c r="B979" s="242">
        <f t="shared" si="413"/>
        <v>46753</v>
      </c>
      <c r="C979" s="243">
        <f t="shared" si="394"/>
        <v>46783</v>
      </c>
      <c r="D979" s="120">
        <f t="shared" si="395"/>
        <v>31</v>
      </c>
      <c r="E979" s="120">
        <f t="shared" si="396"/>
        <v>1</v>
      </c>
      <c r="F979" s="275">
        <f t="shared" si="397"/>
        <v>46768.5</v>
      </c>
      <c r="G979" s="120">
        <f t="shared" si="398"/>
        <v>24336</v>
      </c>
      <c r="H979" s="245">
        <f t="shared" si="399"/>
        <v>1</v>
      </c>
      <c r="I979" s="121">
        <f t="shared" si="400"/>
        <v>1.03</v>
      </c>
      <c r="J979" s="121">
        <f t="shared" si="401"/>
        <v>1.03</v>
      </c>
      <c r="K979" s="120">
        <f t="shared" si="402"/>
        <v>0</v>
      </c>
      <c r="L979" s="120">
        <f t="shared" si="403"/>
        <v>0</v>
      </c>
      <c r="M979" s="246">
        <f t="shared" si="404"/>
        <v>0</v>
      </c>
      <c r="N979" s="121">
        <f t="shared" si="405"/>
        <v>1.03</v>
      </c>
      <c r="O979" s="246">
        <f t="shared" si="406"/>
        <v>0.93</v>
      </c>
      <c r="P979" s="121">
        <f t="shared" si="407"/>
        <v>0</v>
      </c>
      <c r="Q979" s="121">
        <f t="shared" si="408"/>
        <v>0</v>
      </c>
      <c r="R979" s="121">
        <f t="shared" si="409"/>
        <v>1</v>
      </c>
      <c r="S979" s="121" t="str">
        <f t="shared" si="410"/>
        <v/>
      </c>
      <c r="T979" s="121" t="str">
        <f t="shared" si="411"/>
        <v/>
      </c>
      <c r="U979" s="121">
        <f t="shared" si="412"/>
        <v>1.03</v>
      </c>
    </row>
    <row r="980" spans="1:21" x14ac:dyDescent="0.3">
      <c r="A980" s="187">
        <v>38</v>
      </c>
      <c r="B980" s="242">
        <f t="shared" si="413"/>
        <v>46784</v>
      </c>
      <c r="C980" s="243">
        <f t="shared" si="394"/>
        <v>46812</v>
      </c>
      <c r="D980" s="120">
        <f t="shared" si="395"/>
        <v>29</v>
      </c>
      <c r="E980" s="120">
        <f t="shared" si="396"/>
        <v>2</v>
      </c>
      <c r="F980" s="275">
        <f t="shared" si="397"/>
        <v>46798.5</v>
      </c>
      <c r="G980" s="120">
        <f t="shared" si="398"/>
        <v>24337</v>
      </c>
      <c r="H980" s="245">
        <f t="shared" si="399"/>
        <v>1</v>
      </c>
      <c r="I980" s="121">
        <f t="shared" si="400"/>
        <v>1.03</v>
      </c>
      <c r="J980" s="121">
        <f t="shared" si="401"/>
        <v>1.03</v>
      </c>
      <c r="K980" s="120">
        <f t="shared" si="402"/>
        <v>0</v>
      </c>
      <c r="L980" s="120">
        <f t="shared" si="403"/>
        <v>0</v>
      </c>
      <c r="M980" s="246">
        <f t="shared" si="404"/>
        <v>0</v>
      </c>
      <c r="N980" s="121">
        <f t="shared" si="405"/>
        <v>1.03</v>
      </c>
      <c r="O980" s="246">
        <f t="shared" si="406"/>
        <v>0.93</v>
      </c>
      <c r="P980" s="121">
        <f t="shared" si="407"/>
        <v>0</v>
      </c>
      <c r="Q980" s="121">
        <f t="shared" si="408"/>
        <v>0</v>
      </c>
      <c r="R980" s="121">
        <f t="shared" si="409"/>
        <v>1</v>
      </c>
      <c r="S980" s="121" t="str">
        <f t="shared" si="410"/>
        <v/>
      </c>
      <c r="T980" s="121" t="str">
        <f t="shared" si="411"/>
        <v/>
      </c>
      <c r="U980" s="121">
        <f t="shared" si="412"/>
        <v>1.03</v>
      </c>
    </row>
    <row r="981" spans="1:21" x14ac:dyDescent="0.3">
      <c r="A981" s="187">
        <v>39</v>
      </c>
      <c r="B981" s="242">
        <f t="shared" si="413"/>
        <v>46813</v>
      </c>
      <c r="C981" s="243">
        <f t="shared" si="394"/>
        <v>46843</v>
      </c>
      <c r="D981" s="120">
        <f t="shared" si="395"/>
        <v>31</v>
      </c>
      <c r="E981" s="120">
        <f t="shared" si="396"/>
        <v>3</v>
      </c>
      <c r="F981" s="275">
        <f t="shared" si="397"/>
        <v>46828.5</v>
      </c>
      <c r="G981" s="120">
        <f t="shared" si="398"/>
        <v>24338</v>
      </c>
      <c r="H981" s="245">
        <f t="shared" si="399"/>
        <v>1</v>
      </c>
      <c r="I981" s="121">
        <f t="shared" si="400"/>
        <v>1.03</v>
      </c>
      <c r="J981" s="121">
        <f t="shared" si="401"/>
        <v>1.03</v>
      </c>
      <c r="K981" s="120">
        <f t="shared" si="402"/>
        <v>0</v>
      </c>
      <c r="L981" s="120">
        <f t="shared" si="403"/>
        <v>0</v>
      </c>
      <c r="M981" s="246">
        <f t="shared" si="404"/>
        <v>0</v>
      </c>
      <c r="N981" s="121">
        <f t="shared" si="405"/>
        <v>1.03</v>
      </c>
      <c r="O981" s="246">
        <f t="shared" si="406"/>
        <v>0.93</v>
      </c>
      <c r="P981" s="121">
        <f t="shared" si="407"/>
        <v>0</v>
      </c>
      <c r="Q981" s="121">
        <f t="shared" si="408"/>
        <v>0</v>
      </c>
      <c r="R981" s="121">
        <f t="shared" si="409"/>
        <v>1</v>
      </c>
      <c r="S981" s="121" t="str">
        <f t="shared" si="410"/>
        <v/>
      </c>
      <c r="T981" s="121" t="str">
        <f t="shared" si="411"/>
        <v/>
      </c>
      <c r="U981" s="121">
        <f t="shared" si="412"/>
        <v>1.03</v>
      </c>
    </row>
    <row r="982" spans="1:21" x14ac:dyDescent="0.3">
      <c r="A982" s="187">
        <v>40</v>
      </c>
      <c r="B982" s="242">
        <f t="shared" si="413"/>
        <v>46844</v>
      </c>
      <c r="C982" s="243">
        <f t="shared" si="394"/>
        <v>46873</v>
      </c>
      <c r="D982" s="120">
        <f t="shared" si="395"/>
        <v>30</v>
      </c>
      <c r="E982" s="120">
        <f t="shared" si="396"/>
        <v>4</v>
      </c>
      <c r="F982" s="275">
        <f t="shared" si="397"/>
        <v>46859</v>
      </c>
      <c r="G982" s="120">
        <f t="shared" si="398"/>
        <v>24339</v>
      </c>
      <c r="H982" s="245">
        <f t="shared" si="399"/>
        <v>1</v>
      </c>
      <c r="I982" s="121">
        <f t="shared" si="400"/>
        <v>1.03</v>
      </c>
      <c r="J982" s="121">
        <f t="shared" si="401"/>
        <v>1.03</v>
      </c>
      <c r="K982" s="120">
        <f t="shared" si="402"/>
        <v>0</v>
      </c>
      <c r="L982" s="120">
        <f t="shared" si="403"/>
        <v>0</v>
      </c>
      <c r="M982" s="246">
        <f t="shared" si="404"/>
        <v>0</v>
      </c>
      <c r="N982" s="121">
        <f t="shared" si="405"/>
        <v>1.03</v>
      </c>
      <c r="O982" s="246">
        <f t="shared" si="406"/>
        <v>0.93</v>
      </c>
      <c r="P982" s="121">
        <f t="shared" si="407"/>
        <v>0</v>
      </c>
      <c r="Q982" s="121">
        <f t="shared" si="408"/>
        <v>0</v>
      </c>
      <c r="R982" s="121">
        <f t="shared" si="409"/>
        <v>1</v>
      </c>
      <c r="S982" s="121" t="str">
        <f t="shared" si="410"/>
        <v/>
      </c>
      <c r="T982" s="121" t="str">
        <f t="shared" si="411"/>
        <v/>
      </c>
      <c r="U982" s="121">
        <f t="shared" si="412"/>
        <v>1.03</v>
      </c>
    </row>
    <row r="983" spans="1:21" x14ac:dyDescent="0.3">
      <c r="A983" s="187">
        <v>41</v>
      </c>
      <c r="B983" s="242">
        <f t="shared" si="413"/>
        <v>46874</v>
      </c>
      <c r="C983" s="243">
        <f t="shared" si="394"/>
        <v>46904</v>
      </c>
      <c r="D983" s="120">
        <f t="shared" si="395"/>
        <v>31</v>
      </c>
      <c r="E983" s="120">
        <f t="shared" si="396"/>
        <v>5</v>
      </c>
      <c r="F983" s="275">
        <f t="shared" si="397"/>
        <v>46889.5</v>
      </c>
      <c r="G983" s="120">
        <f t="shared" si="398"/>
        <v>24340</v>
      </c>
      <c r="H983" s="245">
        <f t="shared" si="399"/>
        <v>1</v>
      </c>
      <c r="I983" s="121">
        <f t="shared" si="400"/>
        <v>1.03</v>
      </c>
      <c r="J983" s="121">
        <f t="shared" si="401"/>
        <v>1.03</v>
      </c>
      <c r="K983" s="120">
        <f t="shared" si="402"/>
        <v>0</v>
      </c>
      <c r="L983" s="120">
        <f t="shared" si="403"/>
        <v>0</v>
      </c>
      <c r="M983" s="246">
        <f t="shared" si="404"/>
        <v>0</v>
      </c>
      <c r="N983" s="121">
        <f t="shared" si="405"/>
        <v>1.03</v>
      </c>
      <c r="O983" s="246">
        <f t="shared" si="406"/>
        <v>0.93</v>
      </c>
      <c r="P983" s="121">
        <f t="shared" si="407"/>
        <v>0</v>
      </c>
      <c r="Q983" s="121">
        <f t="shared" si="408"/>
        <v>0</v>
      </c>
      <c r="R983" s="121">
        <f t="shared" si="409"/>
        <v>1</v>
      </c>
      <c r="S983" s="121" t="str">
        <f t="shared" si="410"/>
        <v/>
      </c>
      <c r="T983" s="121" t="str">
        <f t="shared" si="411"/>
        <v/>
      </c>
      <c r="U983" s="121">
        <f t="shared" si="412"/>
        <v>1.03</v>
      </c>
    </row>
    <row r="984" spans="1:21" x14ac:dyDescent="0.3">
      <c r="A984" s="187">
        <v>42</v>
      </c>
      <c r="B984" s="242">
        <f t="shared" si="413"/>
        <v>46905</v>
      </c>
      <c r="C984" s="243">
        <f t="shared" si="394"/>
        <v>46934</v>
      </c>
      <c r="D984" s="120">
        <f t="shared" si="395"/>
        <v>30</v>
      </c>
      <c r="E984" s="120">
        <f t="shared" si="396"/>
        <v>6</v>
      </c>
      <c r="F984" s="275">
        <f t="shared" si="397"/>
        <v>46920</v>
      </c>
      <c r="G984" s="120">
        <f t="shared" si="398"/>
        <v>24341</v>
      </c>
      <c r="H984" s="245">
        <f t="shared" si="399"/>
        <v>1</v>
      </c>
      <c r="I984" s="121">
        <f t="shared" si="400"/>
        <v>1.03</v>
      </c>
      <c r="J984" s="121">
        <f t="shared" si="401"/>
        <v>1.03</v>
      </c>
      <c r="K984" s="120">
        <f t="shared" si="402"/>
        <v>0</v>
      </c>
      <c r="L984" s="120">
        <f t="shared" si="403"/>
        <v>0</v>
      </c>
      <c r="M984" s="246">
        <f t="shared" si="404"/>
        <v>0</v>
      </c>
      <c r="N984" s="121">
        <f t="shared" si="405"/>
        <v>1.03</v>
      </c>
      <c r="O984" s="246">
        <f t="shared" si="406"/>
        <v>0.93</v>
      </c>
      <c r="P984" s="121">
        <f t="shared" si="407"/>
        <v>0</v>
      </c>
      <c r="Q984" s="121">
        <f t="shared" si="408"/>
        <v>0</v>
      </c>
      <c r="R984" s="121">
        <f t="shared" si="409"/>
        <v>1</v>
      </c>
      <c r="S984" s="121" t="str">
        <f t="shared" si="410"/>
        <v/>
      </c>
      <c r="T984" s="121" t="str">
        <f t="shared" si="411"/>
        <v/>
      </c>
      <c r="U984" s="121">
        <f t="shared" si="412"/>
        <v>1.03</v>
      </c>
    </row>
    <row r="985" spans="1:21" x14ac:dyDescent="0.3">
      <c r="A985" s="187">
        <v>43</v>
      </c>
      <c r="B985" s="242">
        <f t="shared" si="413"/>
        <v>46935</v>
      </c>
      <c r="C985" s="243">
        <f t="shared" si="394"/>
        <v>46965</v>
      </c>
      <c r="D985" s="120">
        <f t="shared" si="395"/>
        <v>31</v>
      </c>
      <c r="E985" s="120">
        <f t="shared" si="396"/>
        <v>7</v>
      </c>
      <c r="F985" s="275">
        <f t="shared" si="397"/>
        <v>46950.5</v>
      </c>
      <c r="G985" s="120">
        <f t="shared" si="398"/>
        <v>24342</v>
      </c>
      <c r="H985" s="245">
        <f t="shared" si="399"/>
        <v>1</v>
      </c>
      <c r="I985" s="121">
        <f t="shared" si="400"/>
        <v>1.03</v>
      </c>
      <c r="J985" s="121">
        <f t="shared" si="401"/>
        <v>1.03</v>
      </c>
      <c r="K985" s="120">
        <f t="shared" si="402"/>
        <v>0</v>
      </c>
      <c r="L985" s="120">
        <f t="shared" si="403"/>
        <v>0</v>
      </c>
      <c r="M985" s="246">
        <f t="shared" si="404"/>
        <v>0</v>
      </c>
      <c r="N985" s="121">
        <f t="shared" si="405"/>
        <v>1.03</v>
      </c>
      <c r="O985" s="246">
        <f t="shared" si="406"/>
        <v>0.93</v>
      </c>
      <c r="P985" s="121">
        <f t="shared" si="407"/>
        <v>0</v>
      </c>
      <c r="Q985" s="121">
        <f t="shared" si="408"/>
        <v>0</v>
      </c>
      <c r="R985" s="121">
        <f t="shared" si="409"/>
        <v>0.91666666666666663</v>
      </c>
      <c r="S985" s="121" t="str">
        <f t="shared" si="410"/>
        <v/>
      </c>
      <c r="T985" s="121" t="str">
        <f t="shared" si="411"/>
        <v/>
      </c>
      <c r="U985" s="121">
        <f t="shared" si="412"/>
        <v>1.03</v>
      </c>
    </row>
    <row r="986" spans="1:21" x14ac:dyDescent="0.3">
      <c r="A986" s="187">
        <v>44</v>
      </c>
      <c r="B986" s="242">
        <f t="shared" si="413"/>
        <v>46966</v>
      </c>
      <c r="C986" s="243">
        <f t="shared" si="394"/>
        <v>46996</v>
      </c>
      <c r="D986" s="120">
        <f t="shared" si="395"/>
        <v>31</v>
      </c>
      <c r="E986" s="120">
        <f t="shared" si="396"/>
        <v>8</v>
      </c>
      <c r="F986" s="275">
        <f t="shared" si="397"/>
        <v>46981.5</v>
      </c>
      <c r="G986" s="120">
        <f t="shared" si="398"/>
        <v>24343</v>
      </c>
      <c r="H986" s="245">
        <f t="shared" si="399"/>
        <v>1</v>
      </c>
      <c r="I986" s="121">
        <f t="shared" si="400"/>
        <v>1.03</v>
      </c>
      <c r="J986" s="121">
        <f t="shared" si="401"/>
        <v>1.03</v>
      </c>
      <c r="K986" s="120">
        <f t="shared" si="402"/>
        <v>0</v>
      </c>
      <c r="L986" s="120">
        <f t="shared" si="403"/>
        <v>0</v>
      </c>
      <c r="M986" s="246">
        <f t="shared" si="404"/>
        <v>0</v>
      </c>
      <c r="N986" s="121">
        <f t="shared" si="405"/>
        <v>1.03</v>
      </c>
      <c r="O986" s="246">
        <f t="shared" si="406"/>
        <v>0.93</v>
      </c>
      <c r="P986" s="121">
        <f t="shared" si="407"/>
        <v>0</v>
      </c>
      <c r="Q986" s="121">
        <f t="shared" si="408"/>
        <v>0</v>
      </c>
      <c r="R986" s="121">
        <f t="shared" si="409"/>
        <v>0.75</v>
      </c>
      <c r="S986" s="121" t="str">
        <f t="shared" si="410"/>
        <v/>
      </c>
      <c r="T986" s="121" t="str">
        <f t="shared" si="411"/>
        <v/>
      </c>
      <c r="U986" s="121">
        <f t="shared" si="412"/>
        <v>1.03</v>
      </c>
    </row>
    <row r="987" spans="1:21" x14ac:dyDescent="0.3">
      <c r="A987" s="187">
        <v>45</v>
      </c>
      <c r="B987" s="242">
        <f t="shared" si="413"/>
        <v>46997</v>
      </c>
      <c r="C987" s="243">
        <f t="shared" si="394"/>
        <v>47026</v>
      </c>
      <c r="D987" s="120">
        <f t="shared" si="395"/>
        <v>30</v>
      </c>
      <c r="E987" s="120">
        <f t="shared" si="396"/>
        <v>9</v>
      </c>
      <c r="F987" s="275">
        <f t="shared" si="397"/>
        <v>47012</v>
      </c>
      <c r="G987" s="120">
        <f t="shared" si="398"/>
        <v>24344</v>
      </c>
      <c r="H987" s="245">
        <f t="shared" si="399"/>
        <v>1</v>
      </c>
      <c r="I987" s="121">
        <f t="shared" si="400"/>
        <v>1.03</v>
      </c>
      <c r="J987" s="121">
        <f t="shared" si="401"/>
        <v>1.03</v>
      </c>
      <c r="K987" s="120">
        <f t="shared" si="402"/>
        <v>0</v>
      </c>
      <c r="L987" s="120">
        <f t="shared" si="403"/>
        <v>0</v>
      </c>
      <c r="M987" s="246">
        <f t="shared" si="404"/>
        <v>0</v>
      </c>
      <c r="N987" s="121">
        <f t="shared" si="405"/>
        <v>1.03</v>
      </c>
      <c r="O987" s="246">
        <f t="shared" si="406"/>
        <v>0.93</v>
      </c>
      <c r="P987" s="121">
        <f t="shared" si="407"/>
        <v>0</v>
      </c>
      <c r="Q987" s="121">
        <f t="shared" si="408"/>
        <v>0</v>
      </c>
      <c r="R987" s="121">
        <f t="shared" si="409"/>
        <v>0.58333333333333337</v>
      </c>
      <c r="S987" s="121" t="str">
        <f t="shared" si="410"/>
        <v/>
      </c>
      <c r="T987" s="121" t="str">
        <f t="shared" si="411"/>
        <v/>
      </c>
      <c r="U987" s="121">
        <f t="shared" si="412"/>
        <v>1.03</v>
      </c>
    </row>
    <row r="988" spans="1:21" x14ac:dyDescent="0.3">
      <c r="A988" s="187">
        <v>46</v>
      </c>
      <c r="B988" s="242">
        <f t="shared" si="413"/>
        <v>47027</v>
      </c>
      <c r="C988" s="243">
        <f t="shared" si="394"/>
        <v>47057</v>
      </c>
      <c r="D988" s="120">
        <f t="shared" si="395"/>
        <v>31</v>
      </c>
      <c r="E988" s="120">
        <f t="shared" si="396"/>
        <v>10</v>
      </c>
      <c r="F988" s="275">
        <f t="shared" si="397"/>
        <v>47042.5</v>
      </c>
      <c r="G988" s="120">
        <f t="shared" si="398"/>
        <v>24345</v>
      </c>
      <c r="H988" s="245">
        <f t="shared" si="399"/>
        <v>1</v>
      </c>
      <c r="I988" s="121">
        <f t="shared" si="400"/>
        <v>1.03</v>
      </c>
      <c r="J988" s="121">
        <f t="shared" si="401"/>
        <v>1.03</v>
      </c>
      <c r="K988" s="120">
        <f t="shared" si="402"/>
        <v>0</v>
      </c>
      <c r="L988" s="120">
        <f t="shared" si="403"/>
        <v>0</v>
      </c>
      <c r="M988" s="246">
        <f t="shared" si="404"/>
        <v>0</v>
      </c>
      <c r="N988" s="121">
        <f t="shared" si="405"/>
        <v>1.03</v>
      </c>
      <c r="O988" s="246">
        <f t="shared" si="406"/>
        <v>0.93</v>
      </c>
      <c r="P988" s="121">
        <f t="shared" si="407"/>
        <v>0</v>
      </c>
      <c r="Q988" s="121">
        <f t="shared" si="408"/>
        <v>0</v>
      </c>
      <c r="R988" s="121">
        <f t="shared" si="409"/>
        <v>0.41666666666666669</v>
      </c>
      <c r="S988" s="121" t="str">
        <f t="shared" si="410"/>
        <v/>
      </c>
      <c r="T988" s="121" t="str">
        <f t="shared" si="411"/>
        <v/>
      </c>
      <c r="U988" s="121">
        <f t="shared" si="412"/>
        <v>1.03</v>
      </c>
    </row>
    <row r="989" spans="1:21" x14ac:dyDescent="0.3">
      <c r="A989" s="187">
        <v>47</v>
      </c>
      <c r="B989" s="242">
        <f t="shared" si="413"/>
        <v>47058</v>
      </c>
      <c r="C989" s="243">
        <f t="shared" si="394"/>
        <v>47087</v>
      </c>
      <c r="D989" s="120">
        <f t="shared" si="395"/>
        <v>30</v>
      </c>
      <c r="E989" s="120">
        <f t="shared" si="396"/>
        <v>11</v>
      </c>
      <c r="F989" s="275">
        <f t="shared" si="397"/>
        <v>47073</v>
      </c>
      <c r="G989" s="120">
        <f t="shared" si="398"/>
        <v>24346</v>
      </c>
      <c r="H989" s="245">
        <f t="shared" si="399"/>
        <v>1</v>
      </c>
      <c r="I989" s="121">
        <f t="shared" si="400"/>
        <v>1.03</v>
      </c>
      <c r="J989" s="121">
        <f t="shared" si="401"/>
        <v>1.03</v>
      </c>
      <c r="K989" s="120">
        <f t="shared" si="402"/>
        <v>0</v>
      </c>
      <c r="L989" s="120">
        <f t="shared" si="403"/>
        <v>0</v>
      </c>
      <c r="M989" s="246">
        <f t="shared" si="404"/>
        <v>0</v>
      </c>
      <c r="N989" s="121">
        <f t="shared" si="405"/>
        <v>1.03</v>
      </c>
      <c r="O989" s="246">
        <f t="shared" si="406"/>
        <v>0.93</v>
      </c>
      <c r="P989" s="121">
        <f t="shared" si="407"/>
        <v>0</v>
      </c>
      <c r="Q989" s="121">
        <f t="shared" si="408"/>
        <v>0</v>
      </c>
      <c r="R989" s="121">
        <f t="shared" si="409"/>
        <v>0.25</v>
      </c>
      <c r="S989" s="121" t="str">
        <f t="shared" si="410"/>
        <v/>
      </c>
      <c r="T989" s="121" t="str">
        <f t="shared" si="411"/>
        <v/>
      </c>
      <c r="U989" s="121">
        <f t="shared" si="412"/>
        <v>1.03</v>
      </c>
    </row>
    <row r="990" spans="1:21" x14ac:dyDescent="0.3">
      <c r="A990" s="187">
        <v>48</v>
      </c>
      <c r="B990" s="242">
        <f t="shared" si="413"/>
        <v>47088</v>
      </c>
      <c r="C990" s="243">
        <f t="shared" si="394"/>
        <v>47118</v>
      </c>
      <c r="D990" s="120">
        <f t="shared" si="395"/>
        <v>31</v>
      </c>
      <c r="E990" s="120">
        <f t="shared" si="396"/>
        <v>12</v>
      </c>
      <c r="F990" s="275">
        <f t="shared" si="397"/>
        <v>47103.5</v>
      </c>
      <c r="G990" s="120">
        <f t="shared" si="398"/>
        <v>24347</v>
      </c>
      <c r="H990" s="245">
        <f t="shared" si="399"/>
        <v>1</v>
      </c>
      <c r="I990" s="121">
        <f t="shared" si="400"/>
        <v>1.03</v>
      </c>
      <c r="J990" s="121">
        <f t="shared" si="401"/>
        <v>1.03</v>
      </c>
      <c r="K990" s="120">
        <f t="shared" si="402"/>
        <v>0</v>
      </c>
      <c r="L990" s="120">
        <f t="shared" si="403"/>
        <v>0</v>
      </c>
      <c r="M990" s="246">
        <f t="shared" si="404"/>
        <v>0</v>
      </c>
      <c r="N990" s="121">
        <f t="shared" si="405"/>
        <v>1.03</v>
      </c>
      <c r="O990" s="246">
        <f t="shared" si="406"/>
        <v>0.93</v>
      </c>
      <c r="P990" s="121">
        <f t="shared" si="407"/>
        <v>0</v>
      </c>
      <c r="Q990" s="121">
        <f t="shared" si="408"/>
        <v>0</v>
      </c>
      <c r="R990" s="121">
        <f t="shared" si="409"/>
        <v>8.3333333333333329E-2</v>
      </c>
      <c r="S990" s="121" t="str">
        <f t="shared" si="410"/>
        <v/>
      </c>
      <c r="T990" s="121" t="str">
        <f t="shared" si="411"/>
        <v/>
      </c>
      <c r="U990" s="121">
        <f t="shared" si="412"/>
        <v>1.03</v>
      </c>
    </row>
    <row r="991" spans="1:21" x14ac:dyDescent="0.3">
      <c r="A991" s="6" t="s">
        <v>1651</v>
      </c>
      <c r="B991" s="73">
        <f>EXP(SUMPRODUCT((rl_key=$A$940)*(rl_cons="Y")*rl_ln1p))</f>
        <v>1.03</v>
      </c>
      <c r="C991" s="73">
        <f>SUMPRODUCT($H$943:$H$990,$P$943:$P$990,$U$943:$U$990)/SUMPRODUCT($H$943:$H$990,$P$943:$P$990)</f>
        <v>1.0125</v>
      </c>
      <c r="D991" s="73">
        <f>SUMPRODUCT($H$943:$H$990,$Q$943:$Q$990,$U$943:$U$990)/SUMPRODUCT($H$943:$H$990,$Q$943:$Q$990)</f>
        <v>1.03</v>
      </c>
      <c r="E991" s="73">
        <f>SUMPRODUCT($H$943:$H$990,$R$943:$R$990,$U$943:$U$990)/SUMPRODUCT($H$943:$H$990,$R$943:$R$990)</f>
        <v>1.03</v>
      </c>
      <c r="F991" s="224">
        <f>SUMPRODUCT($H$943:$H$990,$Q$943:$Q$990,$O$943:$O$990)/SUMPRODUCT($H$943:$H$990,$Q$943:$Q$990)</f>
        <v>0.91798504741064912</v>
      </c>
      <c r="G991" s="224">
        <f>SUMPRODUCT($H$943:$H$990,$R$943:$R$990,$O$943:$O$990)/SUMPRODUCT($H$943:$H$990,$R$943:$R$990)</f>
        <v>0.92932044736202268</v>
      </c>
      <c r="H991" s="73">
        <f>SUMPRODUCT($H$967:$H$978,$N$967:$N$978/$N$955:$N$966)/SUM($H$967:$H$978)</f>
        <v>1.01</v>
      </c>
      <c r="I991" s="73">
        <f>SUMPRODUCT($H$967:$H$978,$O$967:$O$978/$O$955:$O$966)/SUM($H$967:$H$978)</f>
        <v>1.0176314239537807</v>
      </c>
      <c r="J991" s="73">
        <f>IF($O$940=1,SUMPRODUCT($H$967:$H$978,$N$967:$N$978/$N$955:$N$966*$O$967:$O$978/$O$955:$O$966)/SUM($H$967:$H$978),$H991)</f>
        <v>1.0278087767666988</v>
      </c>
      <c r="K991" s="73">
        <f>SUMPRODUCT($H$943:$H$990,$Q$943:$Q$990,$N$943:$N$990)/SUMPRODUCT($H$943:$H$990,$Q$943:$Q$990)</f>
        <v>1.03</v>
      </c>
      <c r="L991" s="73">
        <f>SUMPRODUCT($H$943:$H$990,$R$943:$R$990,$N$943:$N$990)/SUMPRODUCT($H$943:$H$990,$R$943:$R$990)</f>
        <v>1.03</v>
      </c>
    </row>
    <row r="994" spans="1:21" x14ac:dyDescent="0.3">
      <c r="A994" s="6" t="str">
        <f>INDEX(lr_key,18)</f>
        <v>ABD|TN</v>
      </c>
      <c r="B994" s="6" t="str">
        <f>INDEX(lr_state,18)</f>
        <v>TN</v>
      </c>
      <c r="C994" s="75">
        <f>nr_TermMonths</f>
        <v>6</v>
      </c>
      <c r="D994" s="75">
        <f>IF(COUNTIF(se_state,$B994)=0,0,MATCH($B994,se_state,0))</f>
        <v>0</v>
      </c>
      <c r="E994" s="70">
        <f>IF($D994=0,0,INDEX(se_sum,$D994))</f>
        <v>0</v>
      </c>
      <c r="F994" s="224">
        <f>IF(N(INDEX(lr_mind,18))=0,1,INDEX(lr_mind,18))</f>
        <v>0.92</v>
      </c>
      <c r="G994" s="224">
        <f>IF(N(INDEX(lr_m0,18))=0,1,INDEX(lr_m0,18))</f>
        <v>0.91</v>
      </c>
      <c r="H994" s="74">
        <f>IF(N(INDEX(lr_m0asof,18))=0,DATE(nr_PlanYear-1,10,1),INDEX(lr_m0asof,18))</f>
        <v>46295</v>
      </c>
      <c r="I994" s="224">
        <f>IF(N(INDEX(lr_m1,18))=0,1,INDEX(lr_m1,18))</f>
        <v>0.91</v>
      </c>
      <c r="J994" s="224">
        <f>INDEX(lr_mprior,18)</f>
        <v>0</v>
      </c>
      <c r="K994" s="224">
        <f>INDEX(lr_m2,18)</f>
        <v>0</v>
      </c>
      <c r="L994" s="6" t="b">
        <f>NOT(ISBLANK(INDEX(lr_netp,18)))</f>
        <v>0</v>
      </c>
      <c r="M994" s="72">
        <f>N(INDEX(lr_netp,18))</f>
        <v>0</v>
      </c>
      <c r="N994" s="72">
        <f>IF(ISBLANK(INDEX(lr_netp1,18)),$M$994,N(INDEX(lr_netp1,18)))</f>
        <v>0</v>
      </c>
      <c r="O994" s="75">
        <f>IF(AND(nr_ModAdjMaster="ON",INDEX(lr_modadj,18)="ON"),1,0)</f>
        <v>1</v>
      </c>
    </row>
    <row r="995" spans="1:21" x14ac:dyDescent="0.3">
      <c r="A995" s="6">
        <f>EDATE($H$994,-12)+1</f>
        <v>45931</v>
      </c>
      <c r="B995" s="6">
        <f>$H$994+1</f>
        <v>46296</v>
      </c>
      <c r="C995" s="6">
        <f>DATE(nr_PlanYear,12,31)+1</f>
        <v>46753</v>
      </c>
      <c r="D995" s="6">
        <f>DATE(nr_PlanYear+1,12,31)+1</f>
        <v>47119</v>
      </c>
      <c r="E995" s="6">
        <f>IF(N($J$994)=0,$F$995-($G$995-$F$995)/($C$995-$B$995)*($B$995-$A$995),$J$994)</f>
        <v>0.91</v>
      </c>
      <c r="F995" s="6">
        <f>$G$994</f>
        <v>0.91</v>
      </c>
      <c r="G995" s="6">
        <f>$I$994</f>
        <v>0.91</v>
      </c>
      <c r="H995" s="6">
        <f>IF(N($K$994)=0,$I$994,$K$994)</f>
        <v>0.91</v>
      </c>
      <c r="I995" s="6">
        <f>($F$995-$E$995)/($B$995-$A$995)</f>
        <v>0</v>
      </c>
      <c r="J995" s="6">
        <f>($G$995-$F$995)/($C$995-$B$995)</f>
        <v>0</v>
      </c>
      <c r="K995" s="6">
        <f>($H$995-$G$995)/($D$995-$C$995)</f>
        <v>0</v>
      </c>
    </row>
    <row r="996" spans="1:21" ht="36" x14ac:dyDescent="0.3">
      <c r="A996" s="58" t="s">
        <v>390</v>
      </c>
      <c r="B996" s="58" t="s">
        <v>449</v>
      </c>
      <c r="C996" s="58" t="s">
        <v>685</v>
      </c>
      <c r="D996" s="58" t="s">
        <v>686</v>
      </c>
      <c r="E996" s="58" t="s">
        <v>687</v>
      </c>
      <c r="F996" s="58" t="s">
        <v>688</v>
      </c>
      <c r="G996" s="58" t="s">
        <v>689</v>
      </c>
      <c r="H996" s="58" t="s">
        <v>452</v>
      </c>
      <c r="I996" s="58" t="s">
        <v>690</v>
      </c>
      <c r="J996" s="58" t="s">
        <v>691</v>
      </c>
      <c r="K996" s="58" t="s">
        <v>692</v>
      </c>
      <c r="L996" s="58" t="s">
        <v>693</v>
      </c>
      <c r="M996" s="58" t="s">
        <v>694</v>
      </c>
      <c r="N996" s="58" t="s">
        <v>695</v>
      </c>
      <c r="O996" s="58" t="s">
        <v>696</v>
      </c>
      <c r="P996" s="58" t="s">
        <v>697</v>
      </c>
      <c r="Q996" s="58" t="s">
        <v>698</v>
      </c>
      <c r="R996" s="58" t="s">
        <v>699</v>
      </c>
      <c r="S996" s="58" t="s">
        <v>700</v>
      </c>
      <c r="T996" s="58" t="s">
        <v>701</v>
      </c>
      <c r="U996" s="58" t="s">
        <v>702</v>
      </c>
    </row>
    <row r="997" spans="1:21" x14ac:dyDescent="0.3">
      <c r="A997" s="187">
        <v>1</v>
      </c>
      <c r="B997" s="242">
        <f>DATE(nr_PlanYear-2,1,1)</f>
        <v>45658</v>
      </c>
      <c r="C997" s="243">
        <f t="shared" ref="C997:C1044" si="414">EOMONTH($B997,0)</f>
        <v>45688</v>
      </c>
      <c r="D997" s="120">
        <f t="shared" ref="D997:D1044" si="415">$C997-$B997+1</f>
        <v>31</v>
      </c>
      <c r="E997" s="120">
        <f t="shared" ref="E997:E1044" si="416">MONTH($B997)</f>
        <v>1</v>
      </c>
      <c r="F997" s="275">
        <f t="shared" ref="F997:F1044" si="417">($B997+$C997+1)/2</f>
        <v>45673.5</v>
      </c>
      <c r="G997" s="120">
        <f t="shared" ref="G997:G1044" si="418">YEAR($B997)*12+MONTH($B997)-1</f>
        <v>24300</v>
      </c>
      <c r="H997" s="245">
        <f t="shared" ref="H997:H1044" si="419">IF(OR(nr_SeasonOn="OFF",$D$994=0,$E$994=0),1,12*INDEX(se_block,$D$994,$E997)/$E$994)</f>
        <v>1</v>
      </c>
      <c r="I997" s="121">
        <f t="shared" ref="I997:I1044" si="420">EXP(SUMPRODUCT((rl_eff&lt;$B997)*(rl_key=$A$994)*rl_ln1p))</f>
        <v>1</v>
      </c>
      <c r="J997" s="121">
        <f t="shared" ref="J997:J1044" si="421">EXP(SUMPRODUCT((rl_eff&lt;=$C997)*(rl_key=$A$994)*rl_ln1p))</f>
        <v>1</v>
      </c>
      <c r="K997" s="120">
        <f t="shared" ref="K997:K1044" si="422">COUNTIFS(rl_key,$A$994,rl_eff,"&gt;="&amp;$B997,rl_eff,"&lt;="&amp;$C997)</f>
        <v>0</v>
      </c>
      <c r="L997" s="120">
        <f t="shared" ref="L997:L1044" si="423">SUMIFS(rl_daysafter,rl_key,$A$994,rl_effmonth,$B997,rl_first,1)</f>
        <v>0</v>
      </c>
      <c r="M997" s="246">
        <f t="shared" ref="M997:M1044" si="424">IF($K997=0,0,MIN(1,$L997/$D997))</f>
        <v>0</v>
      </c>
      <c r="N997" s="121">
        <f t="shared" ref="N997:N1044" si="425">IF($K997=0,$J997,(1-$M997)*$I997+$M997*$J997)</f>
        <v>1</v>
      </c>
      <c r="O997" s="246">
        <f t="shared" ref="O997:O1044" si="426">IF($F997&lt;$B$995,$E$995+$I$995*($F997-$A$995),IF($F997&lt;$C$995,$F$995+$J$995*($F997-$B$995),$G$995+$K$995*($F997-$C$995)))</f>
        <v>0.91</v>
      </c>
      <c r="P997" s="121">
        <f t="shared" ref="P997:P1044" si="427">MIN(1,MAX(0,(nr_MEndPm1-$G997+0.5)/$C$994))-MIN(1,MAX(0,(nr_MStartPm1-1-$G997+0.5)/$C$994))</f>
        <v>0</v>
      </c>
      <c r="Q997" s="121">
        <f t="shared" ref="Q997:Q1044" si="428">MIN(1,MAX(0,(nr_MEndP-$G997+0.5)/$C$994))-MIN(1,MAX(0,(nr_MStartP-1-$G997+0.5)/$C$994))</f>
        <v>0</v>
      </c>
      <c r="R997" s="121">
        <f t="shared" ref="R997:R1044" si="429">MIN(1,MAX(0,(nr_MEndP1-$G997+0.5)/$C$994))-MIN(1,MAX(0,(nr_MStartP1-1-$G997+0.5)/$C$994))</f>
        <v>0</v>
      </c>
      <c r="S997" s="121" t="str">
        <f t="shared" ref="S997:S1044" si="430">IF($L$994,$N997*IF($O$994=1,$O997/$F$994,1),"")</f>
        <v/>
      </c>
      <c r="T997" s="121" t="str">
        <f t="shared" ref="T997:T1044" si="431">IF(NOT($L$994),"",IF($G997&lt;nr_MStartP,$S997,$T985*(1+IF($G997&lt;nr_MStartP1,$M$994,$N$994))))</f>
        <v/>
      </c>
      <c r="U997" s="121">
        <f t="shared" ref="U997:U1044" si="432">IF($L$994,$T997,$N997)</f>
        <v>1</v>
      </c>
    </row>
    <row r="998" spans="1:21" x14ac:dyDescent="0.3">
      <c r="A998" s="187">
        <v>2</v>
      </c>
      <c r="B998" s="242">
        <f t="shared" ref="B998:B1044" si="433">EDATE($B997,1)</f>
        <v>45689</v>
      </c>
      <c r="C998" s="243">
        <f t="shared" si="414"/>
        <v>45716</v>
      </c>
      <c r="D998" s="120">
        <f t="shared" si="415"/>
        <v>28</v>
      </c>
      <c r="E998" s="120">
        <f t="shared" si="416"/>
        <v>2</v>
      </c>
      <c r="F998" s="275">
        <f t="shared" si="417"/>
        <v>45703</v>
      </c>
      <c r="G998" s="120">
        <f t="shared" si="418"/>
        <v>24301</v>
      </c>
      <c r="H998" s="245">
        <f t="shared" si="419"/>
        <v>1</v>
      </c>
      <c r="I998" s="121">
        <f t="shared" si="420"/>
        <v>1</v>
      </c>
      <c r="J998" s="121">
        <f t="shared" si="421"/>
        <v>1</v>
      </c>
      <c r="K998" s="120">
        <f t="shared" si="422"/>
        <v>0</v>
      </c>
      <c r="L998" s="120">
        <f t="shared" si="423"/>
        <v>0</v>
      </c>
      <c r="M998" s="246">
        <f t="shared" si="424"/>
        <v>0</v>
      </c>
      <c r="N998" s="121">
        <f t="shared" si="425"/>
        <v>1</v>
      </c>
      <c r="O998" s="246">
        <f t="shared" si="426"/>
        <v>0.91</v>
      </c>
      <c r="P998" s="121">
        <f t="shared" si="427"/>
        <v>0</v>
      </c>
      <c r="Q998" s="121">
        <f t="shared" si="428"/>
        <v>0</v>
      </c>
      <c r="R998" s="121">
        <f t="shared" si="429"/>
        <v>0</v>
      </c>
      <c r="S998" s="121" t="str">
        <f t="shared" si="430"/>
        <v/>
      </c>
      <c r="T998" s="121" t="str">
        <f t="shared" si="431"/>
        <v/>
      </c>
      <c r="U998" s="121">
        <f t="shared" si="432"/>
        <v>1</v>
      </c>
    </row>
    <row r="999" spans="1:21" x14ac:dyDescent="0.3">
      <c r="A999" s="187">
        <v>3</v>
      </c>
      <c r="B999" s="242">
        <f t="shared" si="433"/>
        <v>45717</v>
      </c>
      <c r="C999" s="243">
        <f t="shared" si="414"/>
        <v>45747</v>
      </c>
      <c r="D999" s="120">
        <f t="shared" si="415"/>
        <v>31</v>
      </c>
      <c r="E999" s="120">
        <f t="shared" si="416"/>
        <v>3</v>
      </c>
      <c r="F999" s="275">
        <f t="shared" si="417"/>
        <v>45732.5</v>
      </c>
      <c r="G999" s="120">
        <f t="shared" si="418"/>
        <v>24302</v>
      </c>
      <c r="H999" s="245">
        <f t="shared" si="419"/>
        <v>1</v>
      </c>
      <c r="I999" s="121">
        <f t="shared" si="420"/>
        <v>1</v>
      </c>
      <c r="J999" s="121">
        <f t="shared" si="421"/>
        <v>1</v>
      </c>
      <c r="K999" s="120">
        <f t="shared" si="422"/>
        <v>0</v>
      </c>
      <c r="L999" s="120">
        <f t="shared" si="423"/>
        <v>0</v>
      </c>
      <c r="M999" s="246">
        <f t="shared" si="424"/>
        <v>0</v>
      </c>
      <c r="N999" s="121">
        <f t="shared" si="425"/>
        <v>1</v>
      </c>
      <c r="O999" s="246">
        <f t="shared" si="426"/>
        <v>0.91</v>
      </c>
      <c r="P999" s="121">
        <f t="shared" si="427"/>
        <v>0</v>
      </c>
      <c r="Q999" s="121">
        <f t="shared" si="428"/>
        <v>0</v>
      </c>
      <c r="R999" s="121">
        <f t="shared" si="429"/>
        <v>0</v>
      </c>
      <c r="S999" s="121" t="str">
        <f t="shared" si="430"/>
        <v/>
      </c>
      <c r="T999" s="121" t="str">
        <f t="shared" si="431"/>
        <v/>
      </c>
      <c r="U999" s="121">
        <f t="shared" si="432"/>
        <v>1</v>
      </c>
    </row>
    <row r="1000" spans="1:21" x14ac:dyDescent="0.3">
      <c r="A1000" s="187">
        <v>4</v>
      </c>
      <c r="B1000" s="242">
        <f t="shared" si="433"/>
        <v>45748</v>
      </c>
      <c r="C1000" s="243">
        <f t="shared" si="414"/>
        <v>45777</v>
      </c>
      <c r="D1000" s="120">
        <f t="shared" si="415"/>
        <v>30</v>
      </c>
      <c r="E1000" s="120">
        <f t="shared" si="416"/>
        <v>4</v>
      </c>
      <c r="F1000" s="275">
        <f t="shared" si="417"/>
        <v>45763</v>
      </c>
      <c r="G1000" s="120">
        <f t="shared" si="418"/>
        <v>24303</v>
      </c>
      <c r="H1000" s="245">
        <f t="shared" si="419"/>
        <v>1</v>
      </c>
      <c r="I1000" s="121">
        <f t="shared" si="420"/>
        <v>1</v>
      </c>
      <c r="J1000" s="121">
        <f t="shared" si="421"/>
        <v>1</v>
      </c>
      <c r="K1000" s="120">
        <f t="shared" si="422"/>
        <v>0</v>
      </c>
      <c r="L1000" s="120">
        <f t="shared" si="423"/>
        <v>0</v>
      </c>
      <c r="M1000" s="246">
        <f t="shared" si="424"/>
        <v>0</v>
      </c>
      <c r="N1000" s="121">
        <f t="shared" si="425"/>
        <v>1</v>
      </c>
      <c r="O1000" s="246">
        <f t="shared" si="426"/>
        <v>0.91</v>
      </c>
      <c r="P1000" s="121">
        <f t="shared" si="427"/>
        <v>0</v>
      </c>
      <c r="Q1000" s="121">
        <f t="shared" si="428"/>
        <v>0</v>
      </c>
      <c r="R1000" s="121">
        <f t="shared" si="429"/>
        <v>0</v>
      </c>
      <c r="S1000" s="121" t="str">
        <f t="shared" si="430"/>
        <v/>
      </c>
      <c r="T1000" s="121" t="str">
        <f t="shared" si="431"/>
        <v/>
      </c>
      <c r="U1000" s="121">
        <f t="shared" si="432"/>
        <v>1</v>
      </c>
    </row>
    <row r="1001" spans="1:21" x14ac:dyDescent="0.3">
      <c r="A1001" s="187">
        <v>5</v>
      </c>
      <c r="B1001" s="242">
        <f t="shared" si="433"/>
        <v>45778</v>
      </c>
      <c r="C1001" s="243">
        <f t="shared" si="414"/>
        <v>45808</v>
      </c>
      <c r="D1001" s="120">
        <f t="shared" si="415"/>
        <v>31</v>
      </c>
      <c r="E1001" s="120">
        <f t="shared" si="416"/>
        <v>5</v>
      </c>
      <c r="F1001" s="275">
        <f t="shared" si="417"/>
        <v>45793.5</v>
      </c>
      <c r="G1001" s="120">
        <f t="shared" si="418"/>
        <v>24304</v>
      </c>
      <c r="H1001" s="245">
        <f t="shared" si="419"/>
        <v>1</v>
      </c>
      <c r="I1001" s="121">
        <f t="shared" si="420"/>
        <v>1</v>
      </c>
      <c r="J1001" s="121">
        <f t="shared" si="421"/>
        <v>1</v>
      </c>
      <c r="K1001" s="120">
        <f t="shared" si="422"/>
        <v>0</v>
      </c>
      <c r="L1001" s="120">
        <f t="shared" si="423"/>
        <v>0</v>
      </c>
      <c r="M1001" s="246">
        <f t="shared" si="424"/>
        <v>0</v>
      </c>
      <c r="N1001" s="121">
        <f t="shared" si="425"/>
        <v>1</v>
      </c>
      <c r="O1001" s="246">
        <f t="shared" si="426"/>
        <v>0.91</v>
      </c>
      <c r="P1001" s="121">
        <f t="shared" si="427"/>
        <v>0</v>
      </c>
      <c r="Q1001" s="121">
        <f t="shared" si="428"/>
        <v>0</v>
      </c>
      <c r="R1001" s="121">
        <f t="shared" si="429"/>
        <v>0</v>
      </c>
      <c r="S1001" s="121" t="str">
        <f t="shared" si="430"/>
        <v/>
      </c>
      <c r="T1001" s="121" t="str">
        <f t="shared" si="431"/>
        <v/>
      </c>
      <c r="U1001" s="121">
        <f t="shared" si="432"/>
        <v>1</v>
      </c>
    </row>
    <row r="1002" spans="1:21" x14ac:dyDescent="0.3">
      <c r="A1002" s="187">
        <v>6</v>
      </c>
      <c r="B1002" s="242">
        <f t="shared" si="433"/>
        <v>45809</v>
      </c>
      <c r="C1002" s="243">
        <f t="shared" si="414"/>
        <v>45838</v>
      </c>
      <c r="D1002" s="120">
        <f t="shared" si="415"/>
        <v>30</v>
      </c>
      <c r="E1002" s="120">
        <f t="shared" si="416"/>
        <v>6</v>
      </c>
      <c r="F1002" s="275">
        <f t="shared" si="417"/>
        <v>45824</v>
      </c>
      <c r="G1002" s="120">
        <f t="shared" si="418"/>
        <v>24305</v>
      </c>
      <c r="H1002" s="245">
        <f t="shared" si="419"/>
        <v>1</v>
      </c>
      <c r="I1002" s="121">
        <f t="shared" si="420"/>
        <v>1</v>
      </c>
      <c r="J1002" s="121">
        <f t="shared" si="421"/>
        <v>1</v>
      </c>
      <c r="K1002" s="120">
        <f t="shared" si="422"/>
        <v>0</v>
      </c>
      <c r="L1002" s="120">
        <f t="shared" si="423"/>
        <v>0</v>
      </c>
      <c r="M1002" s="246">
        <f t="shared" si="424"/>
        <v>0</v>
      </c>
      <c r="N1002" s="121">
        <f t="shared" si="425"/>
        <v>1</v>
      </c>
      <c r="O1002" s="246">
        <f t="shared" si="426"/>
        <v>0.91</v>
      </c>
      <c r="P1002" s="121">
        <f t="shared" si="427"/>
        <v>0</v>
      </c>
      <c r="Q1002" s="121">
        <f t="shared" si="428"/>
        <v>0</v>
      </c>
      <c r="R1002" s="121">
        <f t="shared" si="429"/>
        <v>0</v>
      </c>
      <c r="S1002" s="121" t="str">
        <f t="shared" si="430"/>
        <v/>
      </c>
      <c r="T1002" s="121" t="str">
        <f t="shared" si="431"/>
        <v/>
      </c>
      <c r="U1002" s="121">
        <f t="shared" si="432"/>
        <v>1</v>
      </c>
    </row>
    <row r="1003" spans="1:21" x14ac:dyDescent="0.3">
      <c r="A1003" s="187">
        <v>7</v>
      </c>
      <c r="B1003" s="242">
        <f t="shared" si="433"/>
        <v>45839</v>
      </c>
      <c r="C1003" s="243">
        <f t="shared" si="414"/>
        <v>45869</v>
      </c>
      <c r="D1003" s="120">
        <f t="shared" si="415"/>
        <v>31</v>
      </c>
      <c r="E1003" s="120">
        <f t="shared" si="416"/>
        <v>7</v>
      </c>
      <c r="F1003" s="275">
        <f t="shared" si="417"/>
        <v>45854.5</v>
      </c>
      <c r="G1003" s="120">
        <f t="shared" si="418"/>
        <v>24306</v>
      </c>
      <c r="H1003" s="245">
        <f t="shared" si="419"/>
        <v>1</v>
      </c>
      <c r="I1003" s="121">
        <f t="shared" si="420"/>
        <v>1</v>
      </c>
      <c r="J1003" s="121">
        <f t="shared" si="421"/>
        <v>1</v>
      </c>
      <c r="K1003" s="120">
        <f t="shared" si="422"/>
        <v>0</v>
      </c>
      <c r="L1003" s="120">
        <f t="shared" si="423"/>
        <v>0</v>
      </c>
      <c r="M1003" s="246">
        <f t="shared" si="424"/>
        <v>0</v>
      </c>
      <c r="N1003" s="121">
        <f t="shared" si="425"/>
        <v>1</v>
      </c>
      <c r="O1003" s="246">
        <f t="shared" si="426"/>
        <v>0.91</v>
      </c>
      <c r="P1003" s="121">
        <f t="shared" si="427"/>
        <v>8.333333333333337E-2</v>
      </c>
      <c r="Q1003" s="121">
        <f t="shared" si="428"/>
        <v>0</v>
      </c>
      <c r="R1003" s="121">
        <f t="shared" si="429"/>
        <v>0</v>
      </c>
      <c r="S1003" s="121" t="str">
        <f t="shared" si="430"/>
        <v/>
      </c>
      <c r="T1003" s="121" t="str">
        <f t="shared" si="431"/>
        <v/>
      </c>
      <c r="U1003" s="121">
        <f t="shared" si="432"/>
        <v>1</v>
      </c>
    </row>
    <row r="1004" spans="1:21" x14ac:dyDescent="0.3">
      <c r="A1004" s="187">
        <v>8</v>
      </c>
      <c r="B1004" s="242">
        <f t="shared" si="433"/>
        <v>45870</v>
      </c>
      <c r="C1004" s="243">
        <f t="shared" si="414"/>
        <v>45900</v>
      </c>
      <c r="D1004" s="120">
        <f t="shared" si="415"/>
        <v>31</v>
      </c>
      <c r="E1004" s="120">
        <f t="shared" si="416"/>
        <v>8</v>
      </c>
      <c r="F1004" s="275">
        <f t="shared" si="417"/>
        <v>45885.5</v>
      </c>
      <c r="G1004" s="120">
        <f t="shared" si="418"/>
        <v>24307</v>
      </c>
      <c r="H1004" s="245">
        <f t="shared" si="419"/>
        <v>1</v>
      </c>
      <c r="I1004" s="121">
        <f t="shared" si="420"/>
        <v>1</v>
      </c>
      <c r="J1004" s="121">
        <f t="shared" si="421"/>
        <v>1</v>
      </c>
      <c r="K1004" s="120">
        <f t="shared" si="422"/>
        <v>0</v>
      </c>
      <c r="L1004" s="120">
        <f t="shared" si="423"/>
        <v>0</v>
      </c>
      <c r="M1004" s="246">
        <f t="shared" si="424"/>
        <v>0</v>
      </c>
      <c r="N1004" s="121">
        <f t="shared" si="425"/>
        <v>1</v>
      </c>
      <c r="O1004" s="246">
        <f t="shared" si="426"/>
        <v>0.91</v>
      </c>
      <c r="P1004" s="121">
        <f t="shared" si="427"/>
        <v>0.25</v>
      </c>
      <c r="Q1004" s="121">
        <f t="shared" si="428"/>
        <v>0</v>
      </c>
      <c r="R1004" s="121">
        <f t="shared" si="429"/>
        <v>0</v>
      </c>
      <c r="S1004" s="121" t="str">
        <f t="shared" si="430"/>
        <v/>
      </c>
      <c r="T1004" s="121" t="str">
        <f t="shared" si="431"/>
        <v/>
      </c>
      <c r="U1004" s="121">
        <f t="shared" si="432"/>
        <v>1</v>
      </c>
    </row>
    <row r="1005" spans="1:21" x14ac:dyDescent="0.3">
      <c r="A1005" s="187">
        <v>9</v>
      </c>
      <c r="B1005" s="242">
        <f t="shared" si="433"/>
        <v>45901</v>
      </c>
      <c r="C1005" s="243">
        <f t="shared" si="414"/>
        <v>45930</v>
      </c>
      <c r="D1005" s="120">
        <f t="shared" si="415"/>
        <v>30</v>
      </c>
      <c r="E1005" s="120">
        <f t="shared" si="416"/>
        <v>9</v>
      </c>
      <c r="F1005" s="275">
        <f t="shared" si="417"/>
        <v>45916</v>
      </c>
      <c r="G1005" s="120">
        <f t="shared" si="418"/>
        <v>24308</v>
      </c>
      <c r="H1005" s="245">
        <f t="shared" si="419"/>
        <v>1</v>
      </c>
      <c r="I1005" s="121">
        <f t="shared" si="420"/>
        <v>1</v>
      </c>
      <c r="J1005" s="121">
        <f t="shared" si="421"/>
        <v>1</v>
      </c>
      <c r="K1005" s="120">
        <f t="shared" si="422"/>
        <v>0</v>
      </c>
      <c r="L1005" s="120">
        <f t="shared" si="423"/>
        <v>0</v>
      </c>
      <c r="M1005" s="246">
        <f t="shared" si="424"/>
        <v>0</v>
      </c>
      <c r="N1005" s="121">
        <f t="shared" si="425"/>
        <v>1</v>
      </c>
      <c r="O1005" s="246">
        <f t="shared" si="426"/>
        <v>0.91</v>
      </c>
      <c r="P1005" s="121">
        <f t="shared" si="427"/>
        <v>0.41666666666666663</v>
      </c>
      <c r="Q1005" s="121">
        <f t="shared" si="428"/>
        <v>0</v>
      </c>
      <c r="R1005" s="121">
        <f t="shared" si="429"/>
        <v>0</v>
      </c>
      <c r="S1005" s="121" t="str">
        <f t="shared" si="430"/>
        <v/>
      </c>
      <c r="T1005" s="121" t="str">
        <f t="shared" si="431"/>
        <v/>
      </c>
      <c r="U1005" s="121">
        <f t="shared" si="432"/>
        <v>1</v>
      </c>
    </row>
    <row r="1006" spans="1:21" x14ac:dyDescent="0.3">
      <c r="A1006" s="187">
        <v>10</v>
      </c>
      <c r="B1006" s="242">
        <f t="shared" si="433"/>
        <v>45931</v>
      </c>
      <c r="C1006" s="243">
        <f t="shared" si="414"/>
        <v>45961</v>
      </c>
      <c r="D1006" s="120">
        <f t="shared" si="415"/>
        <v>31</v>
      </c>
      <c r="E1006" s="120">
        <f t="shared" si="416"/>
        <v>10</v>
      </c>
      <c r="F1006" s="275">
        <f t="shared" si="417"/>
        <v>45946.5</v>
      </c>
      <c r="G1006" s="120">
        <f t="shared" si="418"/>
        <v>24309</v>
      </c>
      <c r="H1006" s="245">
        <f t="shared" si="419"/>
        <v>1</v>
      </c>
      <c r="I1006" s="121">
        <f t="shared" si="420"/>
        <v>1</v>
      </c>
      <c r="J1006" s="121">
        <f t="shared" si="421"/>
        <v>1</v>
      </c>
      <c r="K1006" s="120">
        <f t="shared" si="422"/>
        <v>0</v>
      </c>
      <c r="L1006" s="120">
        <f t="shared" si="423"/>
        <v>0</v>
      </c>
      <c r="M1006" s="246">
        <f t="shared" si="424"/>
        <v>0</v>
      </c>
      <c r="N1006" s="121">
        <f t="shared" si="425"/>
        <v>1</v>
      </c>
      <c r="O1006" s="246">
        <f t="shared" si="426"/>
        <v>0.91</v>
      </c>
      <c r="P1006" s="121">
        <f t="shared" si="427"/>
        <v>0.58333333333333326</v>
      </c>
      <c r="Q1006" s="121">
        <f t="shared" si="428"/>
        <v>0</v>
      </c>
      <c r="R1006" s="121">
        <f t="shared" si="429"/>
        <v>0</v>
      </c>
      <c r="S1006" s="121" t="str">
        <f t="shared" si="430"/>
        <v/>
      </c>
      <c r="T1006" s="121" t="str">
        <f t="shared" si="431"/>
        <v/>
      </c>
      <c r="U1006" s="121">
        <f t="shared" si="432"/>
        <v>1</v>
      </c>
    </row>
    <row r="1007" spans="1:21" x14ac:dyDescent="0.3">
      <c r="A1007" s="187">
        <v>11</v>
      </c>
      <c r="B1007" s="242">
        <f t="shared" si="433"/>
        <v>45962</v>
      </c>
      <c r="C1007" s="243">
        <f t="shared" si="414"/>
        <v>45991</v>
      </c>
      <c r="D1007" s="120">
        <f t="shared" si="415"/>
        <v>30</v>
      </c>
      <c r="E1007" s="120">
        <f t="shared" si="416"/>
        <v>11</v>
      </c>
      <c r="F1007" s="275">
        <f t="shared" si="417"/>
        <v>45977</v>
      </c>
      <c r="G1007" s="120">
        <f t="shared" si="418"/>
        <v>24310</v>
      </c>
      <c r="H1007" s="245">
        <f t="shared" si="419"/>
        <v>1</v>
      </c>
      <c r="I1007" s="121">
        <f t="shared" si="420"/>
        <v>1</v>
      </c>
      <c r="J1007" s="121">
        <f t="shared" si="421"/>
        <v>1</v>
      </c>
      <c r="K1007" s="120">
        <f t="shared" si="422"/>
        <v>0</v>
      </c>
      <c r="L1007" s="120">
        <f t="shared" si="423"/>
        <v>0</v>
      </c>
      <c r="M1007" s="246">
        <f t="shared" si="424"/>
        <v>0</v>
      </c>
      <c r="N1007" s="121">
        <f t="shared" si="425"/>
        <v>1</v>
      </c>
      <c r="O1007" s="246">
        <f t="shared" si="426"/>
        <v>0.91</v>
      </c>
      <c r="P1007" s="121">
        <f t="shared" si="427"/>
        <v>0.75</v>
      </c>
      <c r="Q1007" s="121">
        <f t="shared" si="428"/>
        <v>0</v>
      </c>
      <c r="R1007" s="121">
        <f t="shared" si="429"/>
        <v>0</v>
      </c>
      <c r="S1007" s="121" t="str">
        <f t="shared" si="430"/>
        <v/>
      </c>
      <c r="T1007" s="121" t="str">
        <f t="shared" si="431"/>
        <v/>
      </c>
      <c r="U1007" s="121">
        <f t="shared" si="432"/>
        <v>1</v>
      </c>
    </row>
    <row r="1008" spans="1:21" x14ac:dyDescent="0.3">
      <c r="A1008" s="187">
        <v>12</v>
      </c>
      <c r="B1008" s="242">
        <f t="shared" si="433"/>
        <v>45992</v>
      </c>
      <c r="C1008" s="243">
        <f t="shared" si="414"/>
        <v>46022</v>
      </c>
      <c r="D1008" s="120">
        <f t="shared" si="415"/>
        <v>31</v>
      </c>
      <c r="E1008" s="120">
        <f t="shared" si="416"/>
        <v>12</v>
      </c>
      <c r="F1008" s="275">
        <f t="shared" si="417"/>
        <v>46007.5</v>
      </c>
      <c r="G1008" s="120">
        <f t="shared" si="418"/>
        <v>24311</v>
      </c>
      <c r="H1008" s="245">
        <f t="shared" si="419"/>
        <v>1</v>
      </c>
      <c r="I1008" s="121">
        <f t="shared" si="420"/>
        <v>1</v>
      </c>
      <c r="J1008" s="121">
        <f t="shared" si="421"/>
        <v>1</v>
      </c>
      <c r="K1008" s="120">
        <f t="shared" si="422"/>
        <v>0</v>
      </c>
      <c r="L1008" s="120">
        <f t="shared" si="423"/>
        <v>0</v>
      </c>
      <c r="M1008" s="246">
        <f t="shared" si="424"/>
        <v>0</v>
      </c>
      <c r="N1008" s="121">
        <f t="shared" si="425"/>
        <v>1</v>
      </c>
      <c r="O1008" s="246">
        <f t="shared" si="426"/>
        <v>0.91</v>
      </c>
      <c r="P1008" s="121">
        <f t="shared" si="427"/>
        <v>0.91666666666666663</v>
      </c>
      <c r="Q1008" s="121">
        <f t="shared" si="428"/>
        <v>0</v>
      </c>
      <c r="R1008" s="121">
        <f t="shared" si="429"/>
        <v>0</v>
      </c>
      <c r="S1008" s="121" t="str">
        <f t="shared" si="430"/>
        <v/>
      </c>
      <c r="T1008" s="121" t="str">
        <f t="shared" si="431"/>
        <v/>
      </c>
      <c r="U1008" s="121">
        <f t="shared" si="432"/>
        <v>1</v>
      </c>
    </row>
    <row r="1009" spans="1:21" x14ac:dyDescent="0.3">
      <c r="A1009" s="187">
        <v>13</v>
      </c>
      <c r="B1009" s="242">
        <f t="shared" si="433"/>
        <v>46023</v>
      </c>
      <c r="C1009" s="243">
        <f t="shared" si="414"/>
        <v>46053</v>
      </c>
      <c r="D1009" s="120">
        <f t="shared" si="415"/>
        <v>31</v>
      </c>
      <c r="E1009" s="120">
        <f t="shared" si="416"/>
        <v>1</v>
      </c>
      <c r="F1009" s="275">
        <f t="shared" si="417"/>
        <v>46038.5</v>
      </c>
      <c r="G1009" s="120">
        <f t="shared" si="418"/>
        <v>24312</v>
      </c>
      <c r="H1009" s="245">
        <f t="shared" si="419"/>
        <v>1</v>
      </c>
      <c r="I1009" s="121">
        <f t="shared" si="420"/>
        <v>1</v>
      </c>
      <c r="J1009" s="121">
        <f t="shared" si="421"/>
        <v>1</v>
      </c>
      <c r="K1009" s="120">
        <f t="shared" si="422"/>
        <v>0</v>
      </c>
      <c r="L1009" s="120">
        <f t="shared" si="423"/>
        <v>0</v>
      </c>
      <c r="M1009" s="246">
        <f t="shared" si="424"/>
        <v>0</v>
      </c>
      <c r="N1009" s="121">
        <f t="shared" si="425"/>
        <v>1</v>
      </c>
      <c r="O1009" s="246">
        <f t="shared" si="426"/>
        <v>0.91</v>
      </c>
      <c r="P1009" s="121">
        <f t="shared" si="427"/>
        <v>1</v>
      </c>
      <c r="Q1009" s="121">
        <f t="shared" si="428"/>
        <v>0</v>
      </c>
      <c r="R1009" s="121">
        <f t="shared" si="429"/>
        <v>0</v>
      </c>
      <c r="S1009" s="121" t="str">
        <f t="shared" si="430"/>
        <v/>
      </c>
      <c r="T1009" s="121" t="str">
        <f t="shared" si="431"/>
        <v/>
      </c>
      <c r="U1009" s="121">
        <f t="shared" si="432"/>
        <v>1</v>
      </c>
    </row>
    <row r="1010" spans="1:21" x14ac:dyDescent="0.3">
      <c r="A1010" s="187">
        <v>14</v>
      </c>
      <c r="B1010" s="242">
        <f t="shared" si="433"/>
        <v>46054</v>
      </c>
      <c r="C1010" s="243">
        <f t="shared" si="414"/>
        <v>46081</v>
      </c>
      <c r="D1010" s="120">
        <f t="shared" si="415"/>
        <v>28</v>
      </c>
      <c r="E1010" s="120">
        <f t="shared" si="416"/>
        <v>2</v>
      </c>
      <c r="F1010" s="275">
        <f t="shared" si="417"/>
        <v>46068</v>
      </c>
      <c r="G1010" s="120">
        <f t="shared" si="418"/>
        <v>24313</v>
      </c>
      <c r="H1010" s="245">
        <f t="shared" si="419"/>
        <v>1</v>
      </c>
      <c r="I1010" s="121">
        <f t="shared" si="420"/>
        <v>1</v>
      </c>
      <c r="J1010" s="121">
        <f t="shared" si="421"/>
        <v>1</v>
      </c>
      <c r="K1010" s="120">
        <f t="shared" si="422"/>
        <v>0</v>
      </c>
      <c r="L1010" s="120">
        <f t="shared" si="423"/>
        <v>0</v>
      </c>
      <c r="M1010" s="246">
        <f t="shared" si="424"/>
        <v>0</v>
      </c>
      <c r="N1010" s="121">
        <f t="shared" si="425"/>
        <v>1</v>
      </c>
      <c r="O1010" s="246">
        <f t="shared" si="426"/>
        <v>0.91</v>
      </c>
      <c r="P1010" s="121">
        <f t="shared" si="427"/>
        <v>1</v>
      </c>
      <c r="Q1010" s="121">
        <f t="shared" si="428"/>
        <v>0</v>
      </c>
      <c r="R1010" s="121">
        <f t="shared" si="429"/>
        <v>0</v>
      </c>
      <c r="S1010" s="121" t="str">
        <f t="shared" si="430"/>
        <v/>
      </c>
      <c r="T1010" s="121" t="str">
        <f t="shared" si="431"/>
        <v/>
      </c>
      <c r="U1010" s="121">
        <f t="shared" si="432"/>
        <v>1</v>
      </c>
    </row>
    <row r="1011" spans="1:21" x14ac:dyDescent="0.3">
      <c r="A1011" s="187">
        <v>15</v>
      </c>
      <c r="B1011" s="242">
        <f t="shared" si="433"/>
        <v>46082</v>
      </c>
      <c r="C1011" s="243">
        <f t="shared" si="414"/>
        <v>46112</v>
      </c>
      <c r="D1011" s="120">
        <f t="shared" si="415"/>
        <v>31</v>
      </c>
      <c r="E1011" s="120">
        <f t="shared" si="416"/>
        <v>3</v>
      </c>
      <c r="F1011" s="275">
        <f t="shared" si="417"/>
        <v>46097.5</v>
      </c>
      <c r="G1011" s="120">
        <f t="shared" si="418"/>
        <v>24314</v>
      </c>
      <c r="H1011" s="245">
        <f t="shared" si="419"/>
        <v>1</v>
      </c>
      <c r="I1011" s="121">
        <f t="shared" si="420"/>
        <v>1</v>
      </c>
      <c r="J1011" s="121">
        <f t="shared" si="421"/>
        <v>1</v>
      </c>
      <c r="K1011" s="120">
        <f t="shared" si="422"/>
        <v>0</v>
      </c>
      <c r="L1011" s="120">
        <f t="shared" si="423"/>
        <v>0</v>
      </c>
      <c r="M1011" s="246">
        <f t="shared" si="424"/>
        <v>0</v>
      </c>
      <c r="N1011" s="121">
        <f t="shared" si="425"/>
        <v>1</v>
      </c>
      <c r="O1011" s="246">
        <f t="shared" si="426"/>
        <v>0.91</v>
      </c>
      <c r="P1011" s="121">
        <f t="shared" si="427"/>
        <v>1</v>
      </c>
      <c r="Q1011" s="121">
        <f t="shared" si="428"/>
        <v>0</v>
      </c>
      <c r="R1011" s="121">
        <f t="shared" si="429"/>
        <v>0</v>
      </c>
      <c r="S1011" s="121" t="str">
        <f t="shared" si="430"/>
        <v/>
      </c>
      <c r="T1011" s="121" t="str">
        <f t="shared" si="431"/>
        <v/>
      </c>
      <c r="U1011" s="121">
        <f t="shared" si="432"/>
        <v>1</v>
      </c>
    </row>
    <row r="1012" spans="1:21" x14ac:dyDescent="0.3">
      <c r="A1012" s="187">
        <v>16</v>
      </c>
      <c r="B1012" s="242">
        <f t="shared" si="433"/>
        <v>46113</v>
      </c>
      <c r="C1012" s="243">
        <f t="shared" si="414"/>
        <v>46142</v>
      </c>
      <c r="D1012" s="120">
        <f t="shared" si="415"/>
        <v>30</v>
      </c>
      <c r="E1012" s="120">
        <f t="shared" si="416"/>
        <v>4</v>
      </c>
      <c r="F1012" s="275">
        <f t="shared" si="417"/>
        <v>46128</v>
      </c>
      <c r="G1012" s="120">
        <f t="shared" si="418"/>
        <v>24315</v>
      </c>
      <c r="H1012" s="245">
        <f t="shared" si="419"/>
        <v>1</v>
      </c>
      <c r="I1012" s="121">
        <f t="shared" si="420"/>
        <v>1</v>
      </c>
      <c r="J1012" s="121">
        <f t="shared" si="421"/>
        <v>1</v>
      </c>
      <c r="K1012" s="120">
        <f t="shared" si="422"/>
        <v>0</v>
      </c>
      <c r="L1012" s="120">
        <f t="shared" si="423"/>
        <v>0</v>
      </c>
      <c r="M1012" s="246">
        <f t="shared" si="424"/>
        <v>0</v>
      </c>
      <c r="N1012" s="121">
        <f t="shared" si="425"/>
        <v>1</v>
      </c>
      <c r="O1012" s="246">
        <f t="shared" si="426"/>
        <v>0.91</v>
      </c>
      <c r="P1012" s="121">
        <f t="shared" si="427"/>
        <v>1</v>
      </c>
      <c r="Q1012" s="121">
        <f t="shared" si="428"/>
        <v>0</v>
      </c>
      <c r="R1012" s="121">
        <f t="shared" si="429"/>
        <v>0</v>
      </c>
      <c r="S1012" s="121" t="str">
        <f t="shared" si="430"/>
        <v/>
      </c>
      <c r="T1012" s="121" t="str">
        <f t="shared" si="431"/>
        <v/>
      </c>
      <c r="U1012" s="121">
        <f t="shared" si="432"/>
        <v>1</v>
      </c>
    </row>
    <row r="1013" spans="1:21" x14ac:dyDescent="0.3">
      <c r="A1013" s="187">
        <v>17</v>
      </c>
      <c r="B1013" s="242">
        <f t="shared" si="433"/>
        <v>46143</v>
      </c>
      <c r="C1013" s="243">
        <f t="shared" si="414"/>
        <v>46173</v>
      </c>
      <c r="D1013" s="120">
        <f t="shared" si="415"/>
        <v>31</v>
      </c>
      <c r="E1013" s="120">
        <f t="shared" si="416"/>
        <v>5</v>
      </c>
      <c r="F1013" s="275">
        <f t="shared" si="417"/>
        <v>46158.5</v>
      </c>
      <c r="G1013" s="120">
        <f t="shared" si="418"/>
        <v>24316</v>
      </c>
      <c r="H1013" s="245">
        <f t="shared" si="419"/>
        <v>1</v>
      </c>
      <c r="I1013" s="121">
        <f t="shared" si="420"/>
        <v>1</v>
      </c>
      <c r="J1013" s="121">
        <f t="shared" si="421"/>
        <v>1</v>
      </c>
      <c r="K1013" s="120">
        <f t="shared" si="422"/>
        <v>0</v>
      </c>
      <c r="L1013" s="120">
        <f t="shared" si="423"/>
        <v>0</v>
      </c>
      <c r="M1013" s="246">
        <f t="shared" si="424"/>
        <v>0</v>
      </c>
      <c r="N1013" s="121">
        <f t="shared" si="425"/>
        <v>1</v>
      </c>
      <c r="O1013" s="246">
        <f t="shared" si="426"/>
        <v>0.91</v>
      </c>
      <c r="P1013" s="121">
        <f t="shared" si="427"/>
        <v>1</v>
      </c>
      <c r="Q1013" s="121">
        <f t="shared" si="428"/>
        <v>0</v>
      </c>
      <c r="R1013" s="121">
        <f t="shared" si="429"/>
        <v>0</v>
      </c>
      <c r="S1013" s="121" t="str">
        <f t="shared" si="430"/>
        <v/>
      </c>
      <c r="T1013" s="121" t="str">
        <f t="shared" si="431"/>
        <v/>
      </c>
      <c r="U1013" s="121">
        <f t="shared" si="432"/>
        <v>1</v>
      </c>
    </row>
    <row r="1014" spans="1:21" x14ac:dyDescent="0.3">
      <c r="A1014" s="187">
        <v>18</v>
      </c>
      <c r="B1014" s="242">
        <f t="shared" si="433"/>
        <v>46174</v>
      </c>
      <c r="C1014" s="243">
        <f t="shared" si="414"/>
        <v>46203</v>
      </c>
      <c r="D1014" s="120">
        <f t="shared" si="415"/>
        <v>30</v>
      </c>
      <c r="E1014" s="120">
        <f t="shared" si="416"/>
        <v>6</v>
      </c>
      <c r="F1014" s="275">
        <f t="shared" si="417"/>
        <v>46189</v>
      </c>
      <c r="G1014" s="120">
        <f t="shared" si="418"/>
        <v>24317</v>
      </c>
      <c r="H1014" s="245">
        <f t="shared" si="419"/>
        <v>1</v>
      </c>
      <c r="I1014" s="121">
        <f t="shared" si="420"/>
        <v>1</v>
      </c>
      <c r="J1014" s="121">
        <f t="shared" si="421"/>
        <v>1</v>
      </c>
      <c r="K1014" s="120">
        <f t="shared" si="422"/>
        <v>0</v>
      </c>
      <c r="L1014" s="120">
        <f t="shared" si="423"/>
        <v>0</v>
      </c>
      <c r="M1014" s="246">
        <f t="shared" si="424"/>
        <v>0</v>
      </c>
      <c r="N1014" s="121">
        <f t="shared" si="425"/>
        <v>1</v>
      </c>
      <c r="O1014" s="246">
        <f t="shared" si="426"/>
        <v>0.91</v>
      </c>
      <c r="P1014" s="121">
        <f t="shared" si="427"/>
        <v>1</v>
      </c>
      <c r="Q1014" s="121">
        <f t="shared" si="428"/>
        <v>0</v>
      </c>
      <c r="R1014" s="121">
        <f t="shared" si="429"/>
        <v>0</v>
      </c>
      <c r="S1014" s="121" t="str">
        <f t="shared" si="430"/>
        <v/>
      </c>
      <c r="T1014" s="121" t="str">
        <f t="shared" si="431"/>
        <v/>
      </c>
      <c r="U1014" s="121">
        <f t="shared" si="432"/>
        <v>1</v>
      </c>
    </row>
    <row r="1015" spans="1:21" x14ac:dyDescent="0.3">
      <c r="A1015" s="187">
        <v>19</v>
      </c>
      <c r="B1015" s="242">
        <f t="shared" si="433"/>
        <v>46204</v>
      </c>
      <c r="C1015" s="243">
        <f t="shared" si="414"/>
        <v>46234</v>
      </c>
      <c r="D1015" s="120">
        <f t="shared" si="415"/>
        <v>31</v>
      </c>
      <c r="E1015" s="120">
        <f t="shared" si="416"/>
        <v>7</v>
      </c>
      <c r="F1015" s="275">
        <f t="shared" si="417"/>
        <v>46219.5</v>
      </c>
      <c r="G1015" s="120">
        <f t="shared" si="418"/>
        <v>24318</v>
      </c>
      <c r="H1015" s="245">
        <f t="shared" si="419"/>
        <v>1</v>
      </c>
      <c r="I1015" s="121">
        <f t="shared" si="420"/>
        <v>1</v>
      </c>
      <c r="J1015" s="121">
        <f t="shared" si="421"/>
        <v>1</v>
      </c>
      <c r="K1015" s="120">
        <f t="shared" si="422"/>
        <v>0</v>
      </c>
      <c r="L1015" s="120">
        <f t="shared" si="423"/>
        <v>0</v>
      </c>
      <c r="M1015" s="246">
        <f t="shared" si="424"/>
        <v>0</v>
      </c>
      <c r="N1015" s="121">
        <f t="shared" si="425"/>
        <v>1</v>
      </c>
      <c r="O1015" s="246">
        <f t="shared" si="426"/>
        <v>0.91</v>
      </c>
      <c r="P1015" s="121">
        <f t="shared" si="427"/>
        <v>0.91666666666666663</v>
      </c>
      <c r="Q1015" s="121">
        <f t="shared" si="428"/>
        <v>8.333333333333337E-2</v>
      </c>
      <c r="R1015" s="121">
        <f t="shared" si="429"/>
        <v>0</v>
      </c>
      <c r="S1015" s="121" t="str">
        <f t="shared" si="430"/>
        <v/>
      </c>
      <c r="T1015" s="121" t="str">
        <f t="shared" si="431"/>
        <v/>
      </c>
      <c r="U1015" s="121">
        <f t="shared" si="432"/>
        <v>1</v>
      </c>
    </row>
    <row r="1016" spans="1:21" x14ac:dyDescent="0.3">
      <c r="A1016" s="187">
        <v>20</v>
      </c>
      <c r="B1016" s="242">
        <f t="shared" si="433"/>
        <v>46235</v>
      </c>
      <c r="C1016" s="243">
        <f t="shared" si="414"/>
        <v>46265</v>
      </c>
      <c r="D1016" s="120">
        <f t="shared" si="415"/>
        <v>31</v>
      </c>
      <c r="E1016" s="120">
        <f t="shared" si="416"/>
        <v>8</v>
      </c>
      <c r="F1016" s="275">
        <f t="shared" si="417"/>
        <v>46250.5</v>
      </c>
      <c r="G1016" s="120">
        <f t="shared" si="418"/>
        <v>24319</v>
      </c>
      <c r="H1016" s="245">
        <f t="shared" si="419"/>
        <v>1</v>
      </c>
      <c r="I1016" s="121">
        <f t="shared" si="420"/>
        <v>1</v>
      </c>
      <c r="J1016" s="121">
        <f t="shared" si="421"/>
        <v>1</v>
      </c>
      <c r="K1016" s="120">
        <f t="shared" si="422"/>
        <v>0</v>
      </c>
      <c r="L1016" s="120">
        <f t="shared" si="423"/>
        <v>0</v>
      </c>
      <c r="M1016" s="246">
        <f t="shared" si="424"/>
        <v>0</v>
      </c>
      <c r="N1016" s="121">
        <f t="shared" si="425"/>
        <v>1</v>
      </c>
      <c r="O1016" s="246">
        <f t="shared" si="426"/>
        <v>0.91</v>
      </c>
      <c r="P1016" s="121">
        <f t="shared" si="427"/>
        <v>0.75</v>
      </c>
      <c r="Q1016" s="121">
        <f t="shared" si="428"/>
        <v>0.25</v>
      </c>
      <c r="R1016" s="121">
        <f t="shared" si="429"/>
        <v>0</v>
      </c>
      <c r="S1016" s="121" t="str">
        <f t="shared" si="430"/>
        <v/>
      </c>
      <c r="T1016" s="121" t="str">
        <f t="shared" si="431"/>
        <v/>
      </c>
      <c r="U1016" s="121">
        <f t="shared" si="432"/>
        <v>1</v>
      </c>
    </row>
    <row r="1017" spans="1:21" x14ac:dyDescent="0.3">
      <c r="A1017" s="187">
        <v>21</v>
      </c>
      <c r="B1017" s="242">
        <f t="shared" si="433"/>
        <v>46266</v>
      </c>
      <c r="C1017" s="243">
        <f t="shared" si="414"/>
        <v>46295</v>
      </c>
      <c r="D1017" s="120">
        <f t="shared" si="415"/>
        <v>30</v>
      </c>
      <c r="E1017" s="120">
        <f t="shared" si="416"/>
        <v>9</v>
      </c>
      <c r="F1017" s="275">
        <f t="shared" si="417"/>
        <v>46281</v>
      </c>
      <c r="G1017" s="120">
        <f t="shared" si="418"/>
        <v>24320</v>
      </c>
      <c r="H1017" s="245">
        <f t="shared" si="419"/>
        <v>1</v>
      </c>
      <c r="I1017" s="121">
        <f t="shared" si="420"/>
        <v>1</v>
      </c>
      <c r="J1017" s="121">
        <f t="shared" si="421"/>
        <v>1</v>
      </c>
      <c r="K1017" s="120">
        <f t="shared" si="422"/>
        <v>0</v>
      </c>
      <c r="L1017" s="120">
        <f t="shared" si="423"/>
        <v>0</v>
      </c>
      <c r="M1017" s="246">
        <f t="shared" si="424"/>
        <v>0</v>
      </c>
      <c r="N1017" s="121">
        <f t="shared" si="425"/>
        <v>1</v>
      </c>
      <c r="O1017" s="246">
        <f t="shared" si="426"/>
        <v>0.91</v>
      </c>
      <c r="P1017" s="121">
        <f t="shared" si="427"/>
        <v>0.58333333333333337</v>
      </c>
      <c r="Q1017" s="121">
        <f t="shared" si="428"/>
        <v>0.41666666666666663</v>
      </c>
      <c r="R1017" s="121">
        <f t="shared" si="429"/>
        <v>0</v>
      </c>
      <c r="S1017" s="121" t="str">
        <f t="shared" si="430"/>
        <v/>
      </c>
      <c r="T1017" s="121" t="str">
        <f t="shared" si="431"/>
        <v/>
      </c>
      <c r="U1017" s="121">
        <f t="shared" si="432"/>
        <v>1</v>
      </c>
    </row>
    <row r="1018" spans="1:21" x14ac:dyDescent="0.3">
      <c r="A1018" s="187">
        <v>22</v>
      </c>
      <c r="B1018" s="242">
        <f t="shared" si="433"/>
        <v>46296</v>
      </c>
      <c r="C1018" s="243">
        <f t="shared" si="414"/>
        <v>46326</v>
      </c>
      <c r="D1018" s="120">
        <f t="shared" si="415"/>
        <v>31</v>
      </c>
      <c r="E1018" s="120">
        <f t="shared" si="416"/>
        <v>10</v>
      </c>
      <c r="F1018" s="275">
        <f t="shared" si="417"/>
        <v>46311.5</v>
      </c>
      <c r="G1018" s="120">
        <f t="shared" si="418"/>
        <v>24321</v>
      </c>
      <c r="H1018" s="245">
        <f t="shared" si="419"/>
        <v>1</v>
      </c>
      <c r="I1018" s="121">
        <f t="shared" si="420"/>
        <v>1</v>
      </c>
      <c r="J1018" s="121">
        <f t="shared" si="421"/>
        <v>1</v>
      </c>
      <c r="K1018" s="120">
        <f t="shared" si="422"/>
        <v>0</v>
      </c>
      <c r="L1018" s="120">
        <f t="shared" si="423"/>
        <v>0</v>
      </c>
      <c r="M1018" s="246">
        <f t="shared" si="424"/>
        <v>0</v>
      </c>
      <c r="N1018" s="121">
        <f t="shared" si="425"/>
        <v>1</v>
      </c>
      <c r="O1018" s="246">
        <f t="shared" si="426"/>
        <v>0.91</v>
      </c>
      <c r="P1018" s="121">
        <f t="shared" si="427"/>
        <v>0.41666666666666669</v>
      </c>
      <c r="Q1018" s="121">
        <f t="shared" si="428"/>
        <v>0.58333333333333326</v>
      </c>
      <c r="R1018" s="121">
        <f t="shared" si="429"/>
        <v>0</v>
      </c>
      <c r="S1018" s="121" t="str">
        <f t="shared" si="430"/>
        <v/>
      </c>
      <c r="T1018" s="121" t="str">
        <f t="shared" si="431"/>
        <v/>
      </c>
      <c r="U1018" s="121">
        <f t="shared" si="432"/>
        <v>1</v>
      </c>
    </row>
    <row r="1019" spans="1:21" x14ac:dyDescent="0.3">
      <c r="A1019" s="187">
        <v>23</v>
      </c>
      <c r="B1019" s="242">
        <f t="shared" si="433"/>
        <v>46327</v>
      </c>
      <c r="C1019" s="243">
        <f t="shared" si="414"/>
        <v>46356</v>
      </c>
      <c r="D1019" s="120">
        <f t="shared" si="415"/>
        <v>30</v>
      </c>
      <c r="E1019" s="120">
        <f t="shared" si="416"/>
        <v>11</v>
      </c>
      <c r="F1019" s="275">
        <f t="shared" si="417"/>
        <v>46342</v>
      </c>
      <c r="G1019" s="120">
        <f t="shared" si="418"/>
        <v>24322</v>
      </c>
      <c r="H1019" s="245">
        <f t="shared" si="419"/>
        <v>1</v>
      </c>
      <c r="I1019" s="121">
        <f t="shared" si="420"/>
        <v>1</v>
      </c>
      <c r="J1019" s="121">
        <f t="shared" si="421"/>
        <v>1</v>
      </c>
      <c r="K1019" s="120">
        <f t="shared" si="422"/>
        <v>0</v>
      </c>
      <c r="L1019" s="120">
        <f t="shared" si="423"/>
        <v>0</v>
      </c>
      <c r="M1019" s="246">
        <f t="shared" si="424"/>
        <v>0</v>
      </c>
      <c r="N1019" s="121">
        <f t="shared" si="425"/>
        <v>1</v>
      </c>
      <c r="O1019" s="246">
        <f t="shared" si="426"/>
        <v>0.91</v>
      </c>
      <c r="P1019" s="121">
        <f t="shared" si="427"/>
        <v>0.25</v>
      </c>
      <c r="Q1019" s="121">
        <f t="shared" si="428"/>
        <v>0.75</v>
      </c>
      <c r="R1019" s="121">
        <f t="shared" si="429"/>
        <v>0</v>
      </c>
      <c r="S1019" s="121" t="str">
        <f t="shared" si="430"/>
        <v/>
      </c>
      <c r="T1019" s="121" t="str">
        <f t="shared" si="431"/>
        <v/>
      </c>
      <c r="U1019" s="121">
        <f t="shared" si="432"/>
        <v>1</v>
      </c>
    </row>
    <row r="1020" spans="1:21" x14ac:dyDescent="0.3">
      <c r="A1020" s="187">
        <v>24</v>
      </c>
      <c r="B1020" s="242">
        <f t="shared" si="433"/>
        <v>46357</v>
      </c>
      <c r="C1020" s="243">
        <f t="shared" si="414"/>
        <v>46387</v>
      </c>
      <c r="D1020" s="120">
        <f t="shared" si="415"/>
        <v>31</v>
      </c>
      <c r="E1020" s="120">
        <f t="shared" si="416"/>
        <v>12</v>
      </c>
      <c r="F1020" s="275">
        <f t="shared" si="417"/>
        <v>46372.5</v>
      </c>
      <c r="G1020" s="120">
        <f t="shared" si="418"/>
        <v>24323</v>
      </c>
      <c r="H1020" s="245">
        <f t="shared" si="419"/>
        <v>1</v>
      </c>
      <c r="I1020" s="121">
        <f t="shared" si="420"/>
        <v>1</v>
      </c>
      <c r="J1020" s="121">
        <f t="shared" si="421"/>
        <v>1</v>
      </c>
      <c r="K1020" s="120">
        <f t="shared" si="422"/>
        <v>0</v>
      </c>
      <c r="L1020" s="120">
        <f t="shared" si="423"/>
        <v>0</v>
      </c>
      <c r="M1020" s="246">
        <f t="shared" si="424"/>
        <v>0</v>
      </c>
      <c r="N1020" s="121">
        <f t="shared" si="425"/>
        <v>1</v>
      </c>
      <c r="O1020" s="246">
        <f t="shared" si="426"/>
        <v>0.91</v>
      </c>
      <c r="P1020" s="121">
        <f t="shared" si="427"/>
        <v>8.3333333333333329E-2</v>
      </c>
      <c r="Q1020" s="121">
        <f t="shared" si="428"/>
        <v>0.91666666666666663</v>
      </c>
      <c r="R1020" s="121">
        <f t="shared" si="429"/>
        <v>0</v>
      </c>
      <c r="S1020" s="121" t="str">
        <f t="shared" si="430"/>
        <v/>
      </c>
      <c r="T1020" s="121" t="str">
        <f t="shared" si="431"/>
        <v/>
      </c>
      <c r="U1020" s="121">
        <f t="shared" si="432"/>
        <v>1</v>
      </c>
    </row>
    <row r="1021" spans="1:21" x14ac:dyDescent="0.3">
      <c r="A1021" s="187">
        <v>25</v>
      </c>
      <c r="B1021" s="242">
        <f t="shared" si="433"/>
        <v>46388</v>
      </c>
      <c r="C1021" s="243">
        <f t="shared" si="414"/>
        <v>46418</v>
      </c>
      <c r="D1021" s="120">
        <f t="shared" si="415"/>
        <v>31</v>
      </c>
      <c r="E1021" s="120">
        <f t="shared" si="416"/>
        <v>1</v>
      </c>
      <c r="F1021" s="275">
        <f t="shared" si="417"/>
        <v>46403.5</v>
      </c>
      <c r="G1021" s="120">
        <f t="shared" si="418"/>
        <v>24324</v>
      </c>
      <c r="H1021" s="245">
        <f t="shared" si="419"/>
        <v>1</v>
      </c>
      <c r="I1021" s="121">
        <f t="shared" si="420"/>
        <v>1</v>
      </c>
      <c r="J1021" s="121">
        <f t="shared" si="421"/>
        <v>1</v>
      </c>
      <c r="K1021" s="120">
        <f t="shared" si="422"/>
        <v>0</v>
      </c>
      <c r="L1021" s="120">
        <f t="shared" si="423"/>
        <v>0</v>
      </c>
      <c r="M1021" s="246">
        <f t="shared" si="424"/>
        <v>0</v>
      </c>
      <c r="N1021" s="121">
        <f t="shared" si="425"/>
        <v>1</v>
      </c>
      <c r="O1021" s="246">
        <f t="shared" si="426"/>
        <v>0.91</v>
      </c>
      <c r="P1021" s="121">
        <f t="shared" si="427"/>
        <v>0</v>
      </c>
      <c r="Q1021" s="121">
        <f t="shared" si="428"/>
        <v>1</v>
      </c>
      <c r="R1021" s="121">
        <f t="shared" si="429"/>
        <v>0</v>
      </c>
      <c r="S1021" s="121" t="str">
        <f t="shared" si="430"/>
        <v/>
      </c>
      <c r="T1021" s="121" t="str">
        <f t="shared" si="431"/>
        <v/>
      </c>
      <c r="U1021" s="121">
        <f t="shared" si="432"/>
        <v>1</v>
      </c>
    </row>
    <row r="1022" spans="1:21" x14ac:dyDescent="0.3">
      <c r="A1022" s="187">
        <v>26</v>
      </c>
      <c r="B1022" s="242">
        <f t="shared" si="433"/>
        <v>46419</v>
      </c>
      <c r="C1022" s="243">
        <f t="shared" si="414"/>
        <v>46446</v>
      </c>
      <c r="D1022" s="120">
        <f t="shared" si="415"/>
        <v>28</v>
      </c>
      <c r="E1022" s="120">
        <f t="shared" si="416"/>
        <v>2</v>
      </c>
      <c r="F1022" s="275">
        <f t="shared" si="417"/>
        <v>46433</v>
      </c>
      <c r="G1022" s="120">
        <f t="shared" si="418"/>
        <v>24325</v>
      </c>
      <c r="H1022" s="245">
        <f t="shared" si="419"/>
        <v>1</v>
      </c>
      <c r="I1022" s="121">
        <f t="shared" si="420"/>
        <v>1</v>
      </c>
      <c r="J1022" s="121">
        <f t="shared" si="421"/>
        <v>1</v>
      </c>
      <c r="K1022" s="120">
        <f t="shared" si="422"/>
        <v>0</v>
      </c>
      <c r="L1022" s="120">
        <f t="shared" si="423"/>
        <v>0</v>
      </c>
      <c r="M1022" s="246">
        <f t="shared" si="424"/>
        <v>0</v>
      </c>
      <c r="N1022" s="121">
        <f t="shared" si="425"/>
        <v>1</v>
      </c>
      <c r="O1022" s="246">
        <f t="shared" si="426"/>
        <v>0.91</v>
      </c>
      <c r="P1022" s="121">
        <f t="shared" si="427"/>
        <v>0</v>
      </c>
      <c r="Q1022" s="121">
        <f t="shared" si="428"/>
        <v>1</v>
      </c>
      <c r="R1022" s="121">
        <f t="shared" si="429"/>
        <v>0</v>
      </c>
      <c r="S1022" s="121" t="str">
        <f t="shared" si="430"/>
        <v/>
      </c>
      <c r="T1022" s="121" t="str">
        <f t="shared" si="431"/>
        <v/>
      </c>
      <c r="U1022" s="121">
        <f t="shared" si="432"/>
        <v>1</v>
      </c>
    </row>
    <row r="1023" spans="1:21" x14ac:dyDescent="0.3">
      <c r="A1023" s="187">
        <v>27</v>
      </c>
      <c r="B1023" s="242">
        <f t="shared" si="433"/>
        <v>46447</v>
      </c>
      <c r="C1023" s="243">
        <f t="shared" si="414"/>
        <v>46477</v>
      </c>
      <c r="D1023" s="120">
        <f t="shared" si="415"/>
        <v>31</v>
      </c>
      <c r="E1023" s="120">
        <f t="shared" si="416"/>
        <v>3</v>
      </c>
      <c r="F1023" s="275">
        <f t="shared" si="417"/>
        <v>46462.5</v>
      </c>
      <c r="G1023" s="120">
        <f t="shared" si="418"/>
        <v>24326</v>
      </c>
      <c r="H1023" s="245">
        <f t="shared" si="419"/>
        <v>1</v>
      </c>
      <c r="I1023" s="121">
        <f t="shared" si="420"/>
        <v>1</v>
      </c>
      <c r="J1023" s="121">
        <f t="shared" si="421"/>
        <v>1</v>
      </c>
      <c r="K1023" s="120">
        <f t="shared" si="422"/>
        <v>0</v>
      </c>
      <c r="L1023" s="120">
        <f t="shared" si="423"/>
        <v>0</v>
      </c>
      <c r="M1023" s="246">
        <f t="shared" si="424"/>
        <v>0</v>
      </c>
      <c r="N1023" s="121">
        <f t="shared" si="425"/>
        <v>1</v>
      </c>
      <c r="O1023" s="246">
        <f t="shared" si="426"/>
        <v>0.91</v>
      </c>
      <c r="P1023" s="121">
        <f t="shared" si="427"/>
        <v>0</v>
      </c>
      <c r="Q1023" s="121">
        <f t="shared" si="428"/>
        <v>1</v>
      </c>
      <c r="R1023" s="121">
        <f t="shared" si="429"/>
        <v>0</v>
      </c>
      <c r="S1023" s="121" t="str">
        <f t="shared" si="430"/>
        <v/>
      </c>
      <c r="T1023" s="121" t="str">
        <f t="shared" si="431"/>
        <v/>
      </c>
      <c r="U1023" s="121">
        <f t="shared" si="432"/>
        <v>1</v>
      </c>
    </row>
    <row r="1024" spans="1:21" x14ac:dyDescent="0.3">
      <c r="A1024" s="187">
        <v>28</v>
      </c>
      <c r="B1024" s="242">
        <f t="shared" si="433"/>
        <v>46478</v>
      </c>
      <c r="C1024" s="243">
        <f t="shared" si="414"/>
        <v>46507</v>
      </c>
      <c r="D1024" s="120">
        <f t="shared" si="415"/>
        <v>30</v>
      </c>
      <c r="E1024" s="120">
        <f t="shared" si="416"/>
        <v>4</v>
      </c>
      <c r="F1024" s="275">
        <f t="shared" si="417"/>
        <v>46493</v>
      </c>
      <c r="G1024" s="120">
        <f t="shared" si="418"/>
        <v>24327</v>
      </c>
      <c r="H1024" s="245">
        <f t="shared" si="419"/>
        <v>1</v>
      </c>
      <c r="I1024" s="121">
        <f t="shared" si="420"/>
        <v>1</v>
      </c>
      <c r="J1024" s="121">
        <f t="shared" si="421"/>
        <v>1</v>
      </c>
      <c r="K1024" s="120">
        <f t="shared" si="422"/>
        <v>0</v>
      </c>
      <c r="L1024" s="120">
        <f t="shared" si="423"/>
        <v>0</v>
      </c>
      <c r="M1024" s="246">
        <f t="shared" si="424"/>
        <v>0</v>
      </c>
      <c r="N1024" s="121">
        <f t="shared" si="425"/>
        <v>1</v>
      </c>
      <c r="O1024" s="246">
        <f t="shared" si="426"/>
        <v>0.91</v>
      </c>
      <c r="P1024" s="121">
        <f t="shared" si="427"/>
        <v>0</v>
      </c>
      <c r="Q1024" s="121">
        <f t="shared" si="428"/>
        <v>1</v>
      </c>
      <c r="R1024" s="121">
        <f t="shared" si="429"/>
        <v>0</v>
      </c>
      <c r="S1024" s="121" t="str">
        <f t="shared" si="430"/>
        <v/>
      </c>
      <c r="T1024" s="121" t="str">
        <f t="shared" si="431"/>
        <v/>
      </c>
      <c r="U1024" s="121">
        <f t="shared" si="432"/>
        <v>1</v>
      </c>
    </row>
    <row r="1025" spans="1:21" x14ac:dyDescent="0.3">
      <c r="A1025" s="187">
        <v>29</v>
      </c>
      <c r="B1025" s="242">
        <f t="shared" si="433"/>
        <v>46508</v>
      </c>
      <c r="C1025" s="243">
        <f t="shared" si="414"/>
        <v>46538</v>
      </c>
      <c r="D1025" s="120">
        <f t="shared" si="415"/>
        <v>31</v>
      </c>
      <c r="E1025" s="120">
        <f t="shared" si="416"/>
        <v>5</v>
      </c>
      <c r="F1025" s="275">
        <f t="shared" si="417"/>
        <v>46523.5</v>
      </c>
      <c r="G1025" s="120">
        <f t="shared" si="418"/>
        <v>24328</v>
      </c>
      <c r="H1025" s="245">
        <f t="shared" si="419"/>
        <v>1</v>
      </c>
      <c r="I1025" s="121">
        <f t="shared" si="420"/>
        <v>1</v>
      </c>
      <c r="J1025" s="121">
        <f t="shared" si="421"/>
        <v>1</v>
      </c>
      <c r="K1025" s="120">
        <f t="shared" si="422"/>
        <v>0</v>
      </c>
      <c r="L1025" s="120">
        <f t="shared" si="423"/>
        <v>0</v>
      </c>
      <c r="M1025" s="246">
        <f t="shared" si="424"/>
        <v>0</v>
      </c>
      <c r="N1025" s="121">
        <f t="shared" si="425"/>
        <v>1</v>
      </c>
      <c r="O1025" s="246">
        <f t="shared" si="426"/>
        <v>0.91</v>
      </c>
      <c r="P1025" s="121">
        <f t="shared" si="427"/>
        <v>0</v>
      </c>
      <c r="Q1025" s="121">
        <f t="shared" si="428"/>
        <v>1</v>
      </c>
      <c r="R1025" s="121">
        <f t="shared" si="429"/>
        <v>0</v>
      </c>
      <c r="S1025" s="121" t="str">
        <f t="shared" si="430"/>
        <v/>
      </c>
      <c r="T1025" s="121" t="str">
        <f t="shared" si="431"/>
        <v/>
      </c>
      <c r="U1025" s="121">
        <f t="shared" si="432"/>
        <v>1</v>
      </c>
    </row>
    <row r="1026" spans="1:21" x14ac:dyDescent="0.3">
      <c r="A1026" s="187">
        <v>30</v>
      </c>
      <c r="B1026" s="242">
        <f t="shared" si="433"/>
        <v>46539</v>
      </c>
      <c r="C1026" s="243">
        <f t="shared" si="414"/>
        <v>46568</v>
      </c>
      <c r="D1026" s="120">
        <f t="shared" si="415"/>
        <v>30</v>
      </c>
      <c r="E1026" s="120">
        <f t="shared" si="416"/>
        <v>6</v>
      </c>
      <c r="F1026" s="275">
        <f t="shared" si="417"/>
        <v>46554</v>
      </c>
      <c r="G1026" s="120">
        <f t="shared" si="418"/>
        <v>24329</v>
      </c>
      <c r="H1026" s="245">
        <f t="shared" si="419"/>
        <v>1</v>
      </c>
      <c r="I1026" s="121">
        <f t="shared" si="420"/>
        <v>1</v>
      </c>
      <c r="J1026" s="121">
        <f t="shared" si="421"/>
        <v>1</v>
      </c>
      <c r="K1026" s="120">
        <f t="shared" si="422"/>
        <v>0</v>
      </c>
      <c r="L1026" s="120">
        <f t="shared" si="423"/>
        <v>0</v>
      </c>
      <c r="M1026" s="246">
        <f t="shared" si="424"/>
        <v>0</v>
      </c>
      <c r="N1026" s="121">
        <f t="shared" si="425"/>
        <v>1</v>
      </c>
      <c r="O1026" s="246">
        <f t="shared" si="426"/>
        <v>0.91</v>
      </c>
      <c r="P1026" s="121">
        <f t="shared" si="427"/>
        <v>0</v>
      </c>
      <c r="Q1026" s="121">
        <f t="shared" si="428"/>
        <v>1</v>
      </c>
      <c r="R1026" s="121">
        <f t="shared" si="429"/>
        <v>0</v>
      </c>
      <c r="S1026" s="121" t="str">
        <f t="shared" si="430"/>
        <v/>
      </c>
      <c r="T1026" s="121" t="str">
        <f t="shared" si="431"/>
        <v/>
      </c>
      <c r="U1026" s="121">
        <f t="shared" si="432"/>
        <v>1</v>
      </c>
    </row>
    <row r="1027" spans="1:21" x14ac:dyDescent="0.3">
      <c r="A1027" s="187">
        <v>31</v>
      </c>
      <c r="B1027" s="242">
        <f t="shared" si="433"/>
        <v>46569</v>
      </c>
      <c r="C1027" s="243">
        <f t="shared" si="414"/>
        <v>46599</v>
      </c>
      <c r="D1027" s="120">
        <f t="shared" si="415"/>
        <v>31</v>
      </c>
      <c r="E1027" s="120">
        <f t="shared" si="416"/>
        <v>7</v>
      </c>
      <c r="F1027" s="275">
        <f t="shared" si="417"/>
        <v>46584.5</v>
      </c>
      <c r="G1027" s="120">
        <f t="shared" si="418"/>
        <v>24330</v>
      </c>
      <c r="H1027" s="245">
        <f t="shared" si="419"/>
        <v>1</v>
      </c>
      <c r="I1027" s="121">
        <f t="shared" si="420"/>
        <v>1</v>
      </c>
      <c r="J1027" s="121">
        <f t="shared" si="421"/>
        <v>1</v>
      </c>
      <c r="K1027" s="120">
        <f t="shared" si="422"/>
        <v>0</v>
      </c>
      <c r="L1027" s="120">
        <f t="shared" si="423"/>
        <v>0</v>
      </c>
      <c r="M1027" s="246">
        <f t="shared" si="424"/>
        <v>0</v>
      </c>
      <c r="N1027" s="121">
        <f t="shared" si="425"/>
        <v>1</v>
      </c>
      <c r="O1027" s="246">
        <f t="shared" si="426"/>
        <v>0.91</v>
      </c>
      <c r="P1027" s="121">
        <f t="shared" si="427"/>
        <v>0</v>
      </c>
      <c r="Q1027" s="121">
        <f t="shared" si="428"/>
        <v>0.91666666666666663</v>
      </c>
      <c r="R1027" s="121">
        <f t="shared" si="429"/>
        <v>8.333333333333337E-2</v>
      </c>
      <c r="S1027" s="121" t="str">
        <f t="shared" si="430"/>
        <v/>
      </c>
      <c r="T1027" s="121" t="str">
        <f t="shared" si="431"/>
        <v/>
      </c>
      <c r="U1027" s="121">
        <f t="shared" si="432"/>
        <v>1</v>
      </c>
    </row>
    <row r="1028" spans="1:21" x14ac:dyDescent="0.3">
      <c r="A1028" s="187">
        <v>32</v>
      </c>
      <c r="B1028" s="242">
        <f t="shared" si="433"/>
        <v>46600</v>
      </c>
      <c r="C1028" s="243">
        <f t="shared" si="414"/>
        <v>46630</v>
      </c>
      <c r="D1028" s="120">
        <f t="shared" si="415"/>
        <v>31</v>
      </c>
      <c r="E1028" s="120">
        <f t="shared" si="416"/>
        <v>8</v>
      </c>
      <c r="F1028" s="275">
        <f t="shared" si="417"/>
        <v>46615.5</v>
      </c>
      <c r="G1028" s="120">
        <f t="shared" si="418"/>
        <v>24331</v>
      </c>
      <c r="H1028" s="245">
        <f t="shared" si="419"/>
        <v>1</v>
      </c>
      <c r="I1028" s="121">
        <f t="shared" si="420"/>
        <v>1</v>
      </c>
      <c r="J1028" s="121">
        <f t="shared" si="421"/>
        <v>1.04</v>
      </c>
      <c r="K1028" s="120">
        <f t="shared" si="422"/>
        <v>1</v>
      </c>
      <c r="L1028" s="120">
        <f t="shared" si="423"/>
        <v>31</v>
      </c>
      <c r="M1028" s="246">
        <f t="shared" si="424"/>
        <v>1</v>
      </c>
      <c r="N1028" s="121">
        <f t="shared" si="425"/>
        <v>1.04</v>
      </c>
      <c r="O1028" s="246">
        <f t="shared" si="426"/>
        <v>0.91</v>
      </c>
      <c r="P1028" s="121">
        <f t="shared" si="427"/>
        <v>0</v>
      </c>
      <c r="Q1028" s="121">
        <f t="shared" si="428"/>
        <v>0.75</v>
      </c>
      <c r="R1028" s="121">
        <f t="shared" si="429"/>
        <v>0.25</v>
      </c>
      <c r="S1028" s="121" t="str">
        <f t="shared" si="430"/>
        <v/>
      </c>
      <c r="T1028" s="121" t="str">
        <f t="shared" si="431"/>
        <v/>
      </c>
      <c r="U1028" s="121">
        <f t="shared" si="432"/>
        <v>1.04</v>
      </c>
    </row>
    <row r="1029" spans="1:21" x14ac:dyDescent="0.3">
      <c r="A1029" s="187">
        <v>33</v>
      </c>
      <c r="B1029" s="242">
        <f t="shared" si="433"/>
        <v>46631</v>
      </c>
      <c r="C1029" s="243">
        <f t="shared" si="414"/>
        <v>46660</v>
      </c>
      <c r="D1029" s="120">
        <f t="shared" si="415"/>
        <v>30</v>
      </c>
      <c r="E1029" s="120">
        <f t="shared" si="416"/>
        <v>9</v>
      </c>
      <c r="F1029" s="275">
        <f t="shared" si="417"/>
        <v>46646</v>
      </c>
      <c r="G1029" s="120">
        <f t="shared" si="418"/>
        <v>24332</v>
      </c>
      <c r="H1029" s="245">
        <f t="shared" si="419"/>
        <v>1</v>
      </c>
      <c r="I1029" s="121">
        <f t="shared" si="420"/>
        <v>1.04</v>
      </c>
      <c r="J1029" s="121">
        <f t="shared" si="421"/>
        <v>1.04</v>
      </c>
      <c r="K1029" s="120">
        <f t="shared" si="422"/>
        <v>0</v>
      </c>
      <c r="L1029" s="120">
        <f t="shared" si="423"/>
        <v>0</v>
      </c>
      <c r="M1029" s="246">
        <f t="shared" si="424"/>
        <v>0</v>
      </c>
      <c r="N1029" s="121">
        <f t="shared" si="425"/>
        <v>1.04</v>
      </c>
      <c r="O1029" s="246">
        <f t="shared" si="426"/>
        <v>0.91</v>
      </c>
      <c r="P1029" s="121">
        <f t="shared" si="427"/>
        <v>0</v>
      </c>
      <c r="Q1029" s="121">
        <f t="shared" si="428"/>
        <v>0.58333333333333337</v>
      </c>
      <c r="R1029" s="121">
        <f t="shared" si="429"/>
        <v>0.41666666666666663</v>
      </c>
      <c r="S1029" s="121" t="str">
        <f t="shared" si="430"/>
        <v/>
      </c>
      <c r="T1029" s="121" t="str">
        <f t="shared" si="431"/>
        <v/>
      </c>
      <c r="U1029" s="121">
        <f t="shared" si="432"/>
        <v>1.04</v>
      </c>
    </row>
    <row r="1030" spans="1:21" x14ac:dyDescent="0.3">
      <c r="A1030" s="187">
        <v>34</v>
      </c>
      <c r="B1030" s="242">
        <f t="shared" si="433"/>
        <v>46661</v>
      </c>
      <c r="C1030" s="243">
        <f t="shared" si="414"/>
        <v>46691</v>
      </c>
      <c r="D1030" s="120">
        <f t="shared" si="415"/>
        <v>31</v>
      </c>
      <c r="E1030" s="120">
        <f t="shared" si="416"/>
        <v>10</v>
      </c>
      <c r="F1030" s="275">
        <f t="shared" si="417"/>
        <v>46676.5</v>
      </c>
      <c r="G1030" s="120">
        <f t="shared" si="418"/>
        <v>24333</v>
      </c>
      <c r="H1030" s="245">
        <f t="shared" si="419"/>
        <v>1</v>
      </c>
      <c r="I1030" s="121">
        <f t="shared" si="420"/>
        <v>1.04</v>
      </c>
      <c r="J1030" s="121">
        <f t="shared" si="421"/>
        <v>1.04</v>
      </c>
      <c r="K1030" s="120">
        <f t="shared" si="422"/>
        <v>0</v>
      </c>
      <c r="L1030" s="120">
        <f t="shared" si="423"/>
        <v>0</v>
      </c>
      <c r="M1030" s="246">
        <f t="shared" si="424"/>
        <v>0</v>
      </c>
      <c r="N1030" s="121">
        <f t="shared" si="425"/>
        <v>1.04</v>
      </c>
      <c r="O1030" s="246">
        <f t="shared" si="426"/>
        <v>0.91</v>
      </c>
      <c r="P1030" s="121">
        <f t="shared" si="427"/>
        <v>0</v>
      </c>
      <c r="Q1030" s="121">
        <f t="shared" si="428"/>
        <v>0.41666666666666669</v>
      </c>
      <c r="R1030" s="121">
        <f t="shared" si="429"/>
        <v>0.58333333333333326</v>
      </c>
      <c r="S1030" s="121" t="str">
        <f t="shared" si="430"/>
        <v/>
      </c>
      <c r="T1030" s="121" t="str">
        <f t="shared" si="431"/>
        <v/>
      </c>
      <c r="U1030" s="121">
        <f t="shared" si="432"/>
        <v>1.04</v>
      </c>
    </row>
    <row r="1031" spans="1:21" x14ac:dyDescent="0.3">
      <c r="A1031" s="187">
        <v>35</v>
      </c>
      <c r="B1031" s="242">
        <f t="shared" si="433"/>
        <v>46692</v>
      </c>
      <c r="C1031" s="243">
        <f t="shared" si="414"/>
        <v>46721</v>
      </c>
      <c r="D1031" s="120">
        <f t="shared" si="415"/>
        <v>30</v>
      </c>
      <c r="E1031" s="120">
        <f t="shared" si="416"/>
        <v>11</v>
      </c>
      <c r="F1031" s="275">
        <f t="shared" si="417"/>
        <v>46707</v>
      </c>
      <c r="G1031" s="120">
        <f t="shared" si="418"/>
        <v>24334</v>
      </c>
      <c r="H1031" s="245">
        <f t="shared" si="419"/>
        <v>1</v>
      </c>
      <c r="I1031" s="121">
        <f t="shared" si="420"/>
        <v>1.04</v>
      </c>
      <c r="J1031" s="121">
        <f t="shared" si="421"/>
        <v>1.04</v>
      </c>
      <c r="K1031" s="120">
        <f t="shared" si="422"/>
        <v>0</v>
      </c>
      <c r="L1031" s="120">
        <f t="shared" si="423"/>
        <v>0</v>
      </c>
      <c r="M1031" s="246">
        <f t="shared" si="424"/>
        <v>0</v>
      </c>
      <c r="N1031" s="121">
        <f t="shared" si="425"/>
        <v>1.04</v>
      </c>
      <c r="O1031" s="246">
        <f t="shared" si="426"/>
        <v>0.91</v>
      </c>
      <c r="P1031" s="121">
        <f t="shared" si="427"/>
        <v>0</v>
      </c>
      <c r="Q1031" s="121">
        <f t="shared" si="428"/>
        <v>0.25</v>
      </c>
      <c r="R1031" s="121">
        <f t="shared" si="429"/>
        <v>0.75</v>
      </c>
      <c r="S1031" s="121" t="str">
        <f t="shared" si="430"/>
        <v/>
      </c>
      <c r="T1031" s="121" t="str">
        <f t="shared" si="431"/>
        <v/>
      </c>
      <c r="U1031" s="121">
        <f t="shared" si="432"/>
        <v>1.04</v>
      </c>
    </row>
    <row r="1032" spans="1:21" x14ac:dyDescent="0.3">
      <c r="A1032" s="187">
        <v>36</v>
      </c>
      <c r="B1032" s="242">
        <f t="shared" si="433"/>
        <v>46722</v>
      </c>
      <c r="C1032" s="243">
        <f t="shared" si="414"/>
        <v>46752</v>
      </c>
      <c r="D1032" s="120">
        <f t="shared" si="415"/>
        <v>31</v>
      </c>
      <c r="E1032" s="120">
        <f t="shared" si="416"/>
        <v>12</v>
      </c>
      <c r="F1032" s="275">
        <f t="shared" si="417"/>
        <v>46737.5</v>
      </c>
      <c r="G1032" s="120">
        <f t="shared" si="418"/>
        <v>24335</v>
      </c>
      <c r="H1032" s="245">
        <f t="shared" si="419"/>
        <v>1</v>
      </c>
      <c r="I1032" s="121">
        <f t="shared" si="420"/>
        <v>1.04</v>
      </c>
      <c r="J1032" s="121">
        <f t="shared" si="421"/>
        <v>1.04</v>
      </c>
      <c r="K1032" s="120">
        <f t="shared" si="422"/>
        <v>0</v>
      </c>
      <c r="L1032" s="120">
        <f t="shared" si="423"/>
        <v>0</v>
      </c>
      <c r="M1032" s="246">
        <f t="shared" si="424"/>
        <v>0</v>
      </c>
      <c r="N1032" s="121">
        <f t="shared" si="425"/>
        <v>1.04</v>
      </c>
      <c r="O1032" s="246">
        <f t="shared" si="426"/>
        <v>0.91</v>
      </c>
      <c r="P1032" s="121">
        <f t="shared" si="427"/>
        <v>0</v>
      </c>
      <c r="Q1032" s="121">
        <f t="shared" si="428"/>
        <v>8.3333333333333329E-2</v>
      </c>
      <c r="R1032" s="121">
        <f t="shared" si="429"/>
        <v>0.91666666666666663</v>
      </c>
      <c r="S1032" s="121" t="str">
        <f t="shared" si="430"/>
        <v/>
      </c>
      <c r="T1032" s="121" t="str">
        <f t="shared" si="431"/>
        <v/>
      </c>
      <c r="U1032" s="121">
        <f t="shared" si="432"/>
        <v>1.04</v>
      </c>
    </row>
    <row r="1033" spans="1:21" x14ac:dyDescent="0.3">
      <c r="A1033" s="187">
        <v>37</v>
      </c>
      <c r="B1033" s="242">
        <f t="shared" si="433"/>
        <v>46753</v>
      </c>
      <c r="C1033" s="243">
        <f t="shared" si="414"/>
        <v>46783</v>
      </c>
      <c r="D1033" s="120">
        <f t="shared" si="415"/>
        <v>31</v>
      </c>
      <c r="E1033" s="120">
        <f t="shared" si="416"/>
        <v>1</v>
      </c>
      <c r="F1033" s="275">
        <f t="shared" si="417"/>
        <v>46768.5</v>
      </c>
      <c r="G1033" s="120">
        <f t="shared" si="418"/>
        <v>24336</v>
      </c>
      <c r="H1033" s="245">
        <f t="shared" si="419"/>
        <v>1</v>
      </c>
      <c r="I1033" s="121">
        <f t="shared" si="420"/>
        <v>1.04</v>
      </c>
      <c r="J1033" s="121">
        <f t="shared" si="421"/>
        <v>1.04</v>
      </c>
      <c r="K1033" s="120">
        <f t="shared" si="422"/>
        <v>0</v>
      </c>
      <c r="L1033" s="120">
        <f t="shared" si="423"/>
        <v>0</v>
      </c>
      <c r="M1033" s="246">
        <f t="shared" si="424"/>
        <v>0</v>
      </c>
      <c r="N1033" s="121">
        <f t="shared" si="425"/>
        <v>1.04</v>
      </c>
      <c r="O1033" s="246">
        <f t="shared" si="426"/>
        <v>0.91</v>
      </c>
      <c r="P1033" s="121">
        <f t="shared" si="427"/>
        <v>0</v>
      </c>
      <c r="Q1033" s="121">
        <f t="shared" si="428"/>
        <v>0</v>
      </c>
      <c r="R1033" s="121">
        <f t="shared" si="429"/>
        <v>1</v>
      </c>
      <c r="S1033" s="121" t="str">
        <f t="shared" si="430"/>
        <v/>
      </c>
      <c r="T1033" s="121" t="str">
        <f t="shared" si="431"/>
        <v/>
      </c>
      <c r="U1033" s="121">
        <f t="shared" si="432"/>
        <v>1.04</v>
      </c>
    </row>
    <row r="1034" spans="1:21" x14ac:dyDescent="0.3">
      <c r="A1034" s="187">
        <v>38</v>
      </c>
      <c r="B1034" s="242">
        <f t="shared" si="433"/>
        <v>46784</v>
      </c>
      <c r="C1034" s="243">
        <f t="shared" si="414"/>
        <v>46812</v>
      </c>
      <c r="D1034" s="120">
        <f t="shared" si="415"/>
        <v>29</v>
      </c>
      <c r="E1034" s="120">
        <f t="shared" si="416"/>
        <v>2</v>
      </c>
      <c r="F1034" s="275">
        <f t="shared" si="417"/>
        <v>46798.5</v>
      </c>
      <c r="G1034" s="120">
        <f t="shared" si="418"/>
        <v>24337</v>
      </c>
      <c r="H1034" s="245">
        <f t="shared" si="419"/>
        <v>1</v>
      </c>
      <c r="I1034" s="121">
        <f t="shared" si="420"/>
        <v>1.04</v>
      </c>
      <c r="J1034" s="121">
        <f t="shared" si="421"/>
        <v>1.04</v>
      </c>
      <c r="K1034" s="120">
        <f t="shared" si="422"/>
        <v>0</v>
      </c>
      <c r="L1034" s="120">
        <f t="shared" si="423"/>
        <v>0</v>
      </c>
      <c r="M1034" s="246">
        <f t="shared" si="424"/>
        <v>0</v>
      </c>
      <c r="N1034" s="121">
        <f t="shared" si="425"/>
        <v>1.04</v>
      </c>
      <c r="O1034" s="246">
        <f t="shared" si="426"/>
        <v>0.91</v>
      </c>
      <c r="P1034" s="121">
        <f t="shared" si="427"/>
        <v>0</v>
      </c>
      <c r="Q1034" s="121">
        <f t="shared" si="428"/>
        <v>0</v>
      </c>
      <c r="R1034" s="121">
        <f t="shared" si="429"/>
        <v>1</v>
      </c>
      <c r="S1034" s="121" t="str">
        <f t="shared" si="430"/>
        <v/>
      </c>
      <c r="T1034" s="121" t="str">
        <f t="shared" si="431"/>
        <v/>
      </c>
      <c r="U1034" s="121">
        <f t="shared" si="432"/>
        <v>1.04</v>
      </c>
    </row>
    <row r="1035" spans="1:21" x14ac:dyDescent="0.3">
      <c r="A1035" s="187">
        <v>39</v>
      </c>
      <c r="B1035" s="242">
        <f t="shared" si="433"/>
        <v>46813</v>
      </c>
      <c r="C1035" s="243">
        <f t="shared" si="414"/>
        <v>46843</v>
      </c>
      <c r="D1035" s="120">
        <f t="shared" si="415"/>
        <v>31</v>
      </c>
      <c r="E1035" s="120">
        <f t="shared" si="416"/>
        <v>3</v>
      </c>
      <c r="F1035" s="275">
        <f t="shared" si="417"/>
        <v>46828.5</v>
      </c>
      <c r="G1035" s="120">
        <f t="shared" si="418"/>
        <v>24338</v>
      </c>
      <c r="H1035" s="245">
        <f t="shared" si="419"/>
        <v>1</v>
      </c>
      <c r="I1035" s="121">
        <f t="shared" si="420"/>
        <v>1.04</v>
      </c>
      <c r="J1035" s="121">
        <f t="shared" si="421"/>
        <v>1.04</v>
      </c>
      <c r="K1035" s="120">
        <f t="shared" si="422"/>
        <v>0</v>
      </c>
      <c r="L1035" s="120">
        <f t="shared" si="423"/>
        <v>0</v>
      </c>
      <c r="M1035" s="246">
        <f t="shared" si="424"/>
        <v>0</v>
      </c>
      <c r="N1035" s="121">
        <f t="shared" si="425"/>
        <v>1.04</v>
      </c>
      <c r="O1035" s="246">
        <f t="shared" si="426"/>
        <v>0.91</v>
      </c>
      <c r="P1035" s="121">
        <f t="shared" si="427"/>
        <v>0</v>
      </c>
      <c r="Q1035" s="121">
        <f t="shared" si="428"/>
        <v>0</v>
      </c>
      <c r="R1035" s="121">
        <f t="shared" si="429"/>
        <v>1</v>
      </c>
      <c r="S1035" s="121" t="str">
        <f t="shared" si="430"/>
        <v/>
      </c>
      <c r="T1035" s="121" t="str">
        <f t="shared" si="431"/>
        <v/>
      </c>
      <c r="U1035" s="121">
        <f t="shared" si="432"/>
        <v>1.04</v>
      </c>
    </row>
    <row r="1036" spans="1:21" x14ac:dyDescent="0.3">
      <c r="A1036" s="187">
        <v>40</v>
      </c>
      <c r="B1036" s="242">
        <f t="shared" si="433"/>
        <v>46844</v>
      </c>
      <c r="C1036" s="243">
        <f t="shared" si="414"/>
        <v>46873</v>
      </c>
      <c r="D1036" s="120">
        <f t="shared" si="415"/>
        <v>30</v>
      </c>
      <c r="E1036" s="120">
        <f t="shared" si="416"/>
        <v>4</v>
      </c>
      <c r="F1036" s="275">
        <f t="shared" si="417"/>
        <v>46859</v>
      </c>
      <c r="G1036" s="120">
        <f t="shared" si="418"/>
        <v>24339</v>
      </c>
      <c r="H1036" s="245">
        <f t="shared" si="419"/>
        <v>1</v>
      </c>
      <c r="I1036" s="121">
        <f t="shared" si="420"/>
        <v>1.04</v>
      </c>
      <c r="J1036" s="121">
        <f t="shared" si="421"/>
        <v>1.04</v>
      </c>
      <c r="K1036" s="120">
        <f t="shared" si="422"/>
        <v>0</v>
      </c>
      <c r="L1036" s="120">
        <f t="shared" si="423"/>
        <v>0</v>
      </c>
      <c r="M1036" s="246">
        <f t="shared" si="424"/>
        <v>0</v>
      </c>
      <c r="N1036" s="121">
        <f t="shared" si="425"/>
        <v>1.04</v>
      </c>
      <c r="O1036" s="246">
        <f t="shared" si="426"/>
        <v>0.91</v>
      </c>
      <c r="P1036" s="121">
        <f t="shared" si="427"/>
        <v>0</v>
      </c>
      <c r="Q1036" s="121">
        <f t="shared" si="428"/>
        <v>0</v>
      </c>
      <c r="R1036" s="121">
        <f t="shared" si="429"/>
        <v>1</v>
      </c>
      <c r="S1036" s="121" t="str">
        <f t="shared" si="430"/>
        <v/>
      </c>
      <c r="T1036" s="121" t="str">
        <f t="shared" si="431"/>
        <v/>
      </c>
      <c r="U1036" s="121">
        <f t="shared" si="432"/>
        <v>1.04</v>
      </c>
    </row>
    <row r="1037" spans="1:21" x14ac:dyDescent="0.3">
      <c r="A1037" s="187">
        <v>41</v>
      </c>
      <c r="B1037" s="242">
        <f t="shared" si="433"/>
        <v>46874</v>
      </c>
      <c r="C1037" s="243">
        <f t="shared" si="414"/>
        <v>46904</v>
      </c>
      <c r="D1037" s="120">
        <f t="shared" si="415"/>
        <v>31</v>
      </c>
      <c r="E1037" s="120">
        <f t="shared" si="416"/>
        <v>5</v>
      </c>
      <c r="F1037" s="275">
        <f t="shared" si="417"/>
        <v>46889.5</v>
      </c>
      <c r="G1037" s="120">
        <f t="shared" si="418"/>
        <v>24340</v>
      </c>
      <c r="H1037" s="245">
        <f t="shared" si="419"/>
        <v>1</v>
      </c>
      <c r="I1037" s="121">
        <f t="shared" si="420"/>
        <v>1.04</v>
      </c>
      <c r="J1037" s="121">
        <f t="shared" si="421"/>
        <v>1.04</v>
      </c>
      <c r="K1037" s="120">
        <f t="shared" si="422"/>
        <v>0</v>
      </c>
      <c r="L1037" s="120">
        <f t="shared" si="423"/>
        <v>0</v>
      </c>
      <c r="M1037" s="246">
        <f t="shared" si="424"/>
        <v>0</v>
      </c>
      <c r="N1037" s="121">
        <f t="shared" si="425"/>
        <v>1.04</v>
      </c>
      <c r="O1037" s="246">
        <f t="shared" si="426"/>
        <v>0.91</v>
      </c>
      <c r="P1037" s="121">
        <f t="shared" si="427"/>
        <v>0</v>
      </c>
      <c r="Q1037" s="121">
        <f t="shared" si="428"/>
        <v>0</v>
      </c>
      <c r="R1037" s="121">
        <f t="shared" si="429"/>
        <v>1</v>
      </c>
      <c r="S1037" s="121" t="str">
        <f t="shared" si="430"/>
        <v/>
      </c>
      <c r="T1037" s="121" t="str">
        <f t="shared" si="431"/>
        <v/>
      </c>
      <c r="U1037" s="121">
        <f t="shared" si="432"/>
        <v>1.04</v>
      </c>
    </row>
    <row r="1038" spans="1:21" x14ac:dyDescent="0.3">
      <c r="A1038" s="187">
        <v>42</v>
      </c>
      <c r="B1038" s="242">
        <f t="shared" si="433"/>
        <v>46905</v>
      </c>
      <c r="C1038" s="243">
        <f t="shared" si="414"/>
        <v>46934</v>
      </c>
      <c r="D1038" s="120">
        <f t="shared" si="415"/>
        <v>30</v>
      </c>
      <c r="E1038" s="120">
        <f t="shared" si="416"/>
        <v>6</v>
      </c>
      <c r="F1038" s="275">
        <f t="shared" si="417"/>
        <v>46920</v>
      </c>
      <c r="G1038" s="120">
        <f t="shared" si="418"/>
        <v>24341</v>
      </c>
      <c r="H1038" s="245">
        <f t="shared" si="419"/>
        <v>1</v>
      </c>
      <c r="I1038" s="121">
        <f t="shared" si="420"/>
        <v>1.04</v>
      </c>
      <c r="J1038" s="121">
        <f t="shared" si="421"/>
        <v>1.04</v>
      </c>
      <c r="K1038" s="120">
        <f t="shared" si="422"/>
        <v>0</v>
      </c>
      <c r="L1038" s="120">
        <f t="shared" si="423"/>
        <v>0</v>
      </c>
      <c r="M1038" s="246">
        <f t="shared" si="424"/>
        <v>0</v>
      </c>
      <c r="N1038" s="121">
        <f t="shared" si="425"/>
        <v>1.04</v>
      </c>
      <c r="O1038" s="246">
        <f t="shared" si="426"/>
        <v>0.91</v>
      </c>
      <c r="P1038" s="121">
        <f t="shared" si="427"/>
        <v>0</v>
      </c>
      <c r="Q1038" s="121">
        <f t="shared" si="428"/>
        <v>0</v>
      </c>
      <c r="R1038" s="121">
        <f t="shared" si="429"/>
        <v>1</v>
      </c>
      <c r="S1038" s="121" t="str">
        <f t="shared" si="430"/>
        <v/>
      </c>
      <c r="T1038" s="121" t="str">
        <f t="shared" si="431"/>
        <v/>
      </c>
      <c r="U1038" s="121">
        <f t="shared" si="432"/>
        <v>1.04</v>
      </c>
    </row>
    <row r="1039" spans="1:21" x14ac:dyDescent="0.3">
      <c r="A1039" s="187">
        <v>43</v>
      </c>
      <c r="B1039" s="242">
        <f t="shared" si="433"/>
        <v>46935</v>
      </c>
      <c r="C1039" s="243">
        <f t="shared" si="414"/>
        <v>46965</v>
      </c>
      <c r="D1039" s="120">
        <f t="shared" si="415"/>
        <v>31</v>
      </c>
      <c r="E1039" s="120">
        <f t="shared" si="416"/>
        <v>7</v>
      </c>
      <c r="F1039" s="275">
        <f t="shared" si="417"/>
        <v>46950.5</v>
      </c>
      <c r="G1039" s="120">
        <f t="shared" si="418"/>
        <v>24342</v>
      </c>
      <c r="H1039" s="245">
        <f t="shared" si="419"/>
        <v>1</v>
      </c>
      <c r="I1039" s="121">
        <f t="shared" si="420"/>
        <v>1.04</v>
      </c>
      <c r="J1039" s="121">
        <f t="shared" si="421"/>
        <v>1.04</v>
      </c>
      <c r="K1039" s="120">
        <f t="shared" si="422"/>
        <v>0</v>
      </c>
      <c r="L1039" s="120">
        <f t="shared" si="423"/>
        <v>0</v>
      </c>
      <c r="M1039" s="246">
        <f t="shared" si="424"/>
        <v>0</v>
      </c>
      <c r="N1039" s="121">
        <f t="shared" si="425"/>
        <v>1.04</v>
      </c>
      <c r="O1039" s="246">
        <f t="shared" si="426"/>
        <v>0.91</v>
      </c>
      <c r="P1039" s="121">
        <f t="shared" si="427"/>
        <v>0</v>
      </c>
      <c r="Q1039" s="121">
        <f t="shared" si="428"/>
        <v>0</v>
      </c>
      <c r="R1039" s="121">
        <f t="shared" si="429"/>
        <v>0.91666666666666663</v>
      </c>
      <c r="S1039" s="121" t="str">
        <f t="shared" si="430"/>
        <v/>
      </c>
      <c r="T1039" s="121" t="str">
        <f t="shared" si="431"/>
        <v/>
      </c>
      <c r="U1039" s="121">
        <f t="shared" si="432"/>
        <v>1.04</v>
      </c>
    </row>
    <row r="1040" spans="1:21" x14ac:dyDescent="0.3">
      <c r="A1040" s="187">
        <v>44</v>
      </c>
      <c r="B1040" s="242">
        <f t="shared" si="433"/>
        <v>46966</v>
      </c>
      <c r="C1040" s="243">
        <f t="shared" si="414"/>
        <v>46996</v>
      </c>
      <c r="D1040" s="120">
        <f t="shared" si="415"/>
        <v>31</v>
      </c>
      <c r="E1040" s="120">
        <f t="shared" si="416"/>
        <v>8</v>
      </c>
      <c r="F1040" s="275">
        <f t="shared" si="417"/>
        <v>46981.5</v>
      </c>
      <c r="G1040" s="120">
        <f t="shared" si="418"/>
        <v>24343</v>
      </c>
      <c r="H1040" s="245">
        <f t="shared" si="419"/>
        <v>1</v>
      </c>
      <c r="I1040" s="121">
        <f t="shared" si="420"/>
        <v>1.04</v>
      </c>
      <c r="J1040" s="121">
        <f t="shared" si="421"/>
        <v>1.04</v>
      </c>
      <c r="K1040" s="120">
        <f t="shared" si="422"/>
        <v>0</v>
      </c>
      <c r="L1040" s="120">
        <f t="shared" si="423"/>
        <v>0</v>
      </c>
      <c r="M1040" s="246">
        <f t="shared" si="424"/>
        <v>0</v>
      </c>
      <c r="N1040" s="121">
        <f t="shared" si="425"/>
        <v>1.04</v>
      </c>
      <c r="O1040" s="246">
        <f t="shared" si="426"/>
        <v>0.91</v>
      </c>
      <c r="P1040" s="121">
        <f t="shared" si="427"/>
        <v>0</v>
      </c>
      <c r="Q1040" s="121">
        <f t="shared" si="428"/>
        <v>0</v>
      </c>
      <c r="R1040" s="121">
        <f t="shared" si="429"/>
        <v>0.75</v>
      </c>
      <c r="S1040" s="121" t="str">
        <f t="shared" si="430"/>
        <v/>
      </c>
      <c r="T1040" s="121" t="str">
        <f t="shared" si="431"/>
        <v/>
      </c>
      <c r="U1040" s="121">
        <f t="shared" si="432"/>
        <v>1.04</v>
      </c>
    </row>
    <row r="1041" spans="1:21" x14ac:dyDescent="0.3">
      <c r="A1041" s="187">
        <v>45</v>
      </c>
      <c r="B1041" s="242">
        <f t="shared" si="433"/>
        <v>46997</v>
      </c>
      <c r="C1041" s="243">
        <f t="shared" si="414"/>
        <v>47026</v>
      </c>
      <c r="D1041" s="120">
        <f t="shared" si="415"/>
        <v>30</v>
      </c>
      <c r="E1041" s="120">
        <f t="shared" si="416"/>
        <v>9</v>
      </c>
      <c r="F1041" s="275">
        <f t="shared" si="417"/>
        <v>47012</v>
      </c>
      <c r="G1041" s="120">
        <f t="shared" si="418"/>
        <v>24344</v>
      </c>
      <c r="H1041" s="245">
        <f t="shared" si="419"/>
        <v>1</v>
      </c>
      <c r="I1041" s="121">
        <f t="shared" si="420"/>
        <v>1.04</v>
      </c>
      <c r="J1041" s="121">
        <f t="shared" si="421"/>
        <v>1.04</v>
      </c>
      <c r="K1041" s="120">
        <f t="shared" si="422"/>
        <v>0</v>
      </c>
      <c r="L1041" s="120">
        <f t="shared" si="423"/>
        <v>0</v>
      </c>
      <c r="M1041" s="246">
        <f t="shared" si="424"/>
        <v>0</v>
      </c>
      <c r="N1041" s="121">
        <f t="shared" si="425"/>
        <v>1.04</v>
      </c>
      <c r="O1041" s="246">
        <f t="shared" si="426"/>
        <v>0.91</v>
      </c>
      <c r="P1041" s="121">
        <f t="shared" si="427"/>
        <v>0</v>
      </c>
      <c r="Q1041" s="121">
        <f t="shared" si="428"/>
        <v>0</v>
      </c>
      <c r="R1041" s="121">
        <f t="shared" si="429"/>
        <v>0.58333333333333337</v>
      </c>
      <c r="S1041" s="121" t="str">
        <f t="shared" si="430"/>
        <v/>
      </c>
      <c r="T1041" s="121" t="str">
        <f t="shared" si="431"/>
        <v/>
      </c>
      <c r="U1041" s="121">
        <f t="shared" si="432"/>
        <v>1.04</v>
      </c>
    </row>
    <row r="1042" spans="1:21" x14ac:dyDescent="0.3">
      <c r="A1042" s="187">
        <v>46</v>
      </c>
      <c r="B1042" s="242">
        <f t="shared" si="433"/>
        <v>47027</v>
      </c>
      <c r="C1042" s="243">
        <f t="shared" si="414"/>
        <v>47057</v>
      </c>
      <c r="D1042" s="120">
        <f t="shared" si="415"/>
        <v>31</v>
      </c>
      <c r="E1042" s="120">
        <f t="shared" si="416"/>
        <v>10</v>
      </c>
      <c r="F1042" s="275">
        <f t="shared" si="417"/>
        <v>47042.5</v>
      </c>
      <c r="G1042" s="120">
        <f t="shared" si="418"/>
        <v>24345</v>
      </c>
      <c r="H1042" s="245">
        <f t="shared" si="419"/>
        <v>1</v>
      </c>
      <c r="I1042" s="121">
        <f t="shared" si="420"/>
        <v>1.04</v>
      </c>
      <c r="J1042" s="121">
        <f t="shared" si="421"/>
        <v>1.04</v>
      </c>
      <c r="K1042" s="120">
        <f t="shared" si="422"/>
        <v>0</v>
      </c>
      <c r="L1042" s="120">
        <f t="shared" si="423"/>
        <v>0</v>
      </c>
      <c r="M1042" s="246">
        <f t="shared" si="424"/>
        <v>0</v>
      </c>
      <c r="N1042" s="121">
        <f t="shared" si="425"/>
        <v>1.04</v>
      </c>
      <c r="O1042" s="246">
        <f t="shared" si="426"/>
        <v>0.91</v>
      </c>
      <c r="P1042" s="121">
        <f t="shared" si="427"/>
        <v>0</v>
      </c>
      <c r="Q1042" s="121">
        <f t="shared" si="428"/>
        <v>0</v>
      </c>
      <c r="R1042" s="121">
        <f t="shared" si="429"/>
        <v>0.41666666666666669</v>
      </c>
      <c r="S1042" s="121" t="str">
        <f t="shared" si="430"/>
        <v/>
      </c>
      <c r="T1042" s="121" t="str">
        <f t="shared" si="431"/>
        <v/>
      </c>
      <c r="U1042" s="121">
        <f t="shared" si="432"/>
        <v>1.04</v>
      </c>
    </row>
    <row r="1043" spans="1:21" x14ac:dyDescent="0.3">
      <c r="A1043" s="187">
        <v>47</v>
      </c>
      <c r="B1043" s="242">
        <f t="shared" si="433"/>
        <v>47058</v>
      </c>
      <c r="C1043" s="243">
        <f t="shared" si="414"/>
        <v>47087</v>
      </c>
      <c r="D1043" s="120">
        <f t="shared" si="415"/>
        <v>30</v>
      </c>
      <c r="E1043" s="120">
        <f t="shared" si="416"/>
        <v>11</v>
      </c>
      <c r="F1043" s="275">
        <f t="shared" si="417"/>
        <v>47073</v>
      </c>
      <c r="G1043" s="120">
        <f t="shared" si="418"/>
        <v>24346</v>
      </c>
      <c r="H1043" s="245">
        <f t="shared" si="419"/>
        <v>1</v>
      </c>
      <c r="I1043" s="121">
        <f t="shared" si="420"/>
        <v>1.04</v>
      </c>
      <c r="J1043" s="121">
        <f t="shared" si="421"/>
        <v>1.04</v>
      </c>
      <c r="K1043" s="120">
        <f t="shared" si="422"/>
        <v>0</v>
      </c>
      <c r="L1043" s="120">
        <f t="shared" si="423"/>
        <v>0</v>
      </c>
      <c r="M1043" s="246">
        <f t="shared" si="424"/>
        <v>0</v>
      </c>
      <c r="N1043" s="121">
        <f t="shared" si="425"/>
        <v>1.04</v>
      </c>
      <c r="O1043" s="246">
        <f t="shared" si="426"/>
        <v>0.91</v>
      </c>
      <c r="P1043" s="121">
        <f t="shared" si="427"/>
        <v>0</v>
      </c>
      <c r="Q1043" s="121">
        <f t="shared" si="428"/>
        <v>0</v>
      </c>
      <c r="R1043" s="121">
        <f t="shared" si="429"/>
        <v>0.25</v>
      </c>
      <c r="S1043" s="121" t="str">
        <f t="shared" si="430"/>
        <v/>
      </c>
      <c r="T1043" s="121" t="str">
        <f t="shared" si="431"/>
        <v/>
      </c>
      <c r="U1043" s="121">
        <f t="shared" si="432"/>
        <v>1.04</v>
      </c>
    </row>
    <row r="1044" spans="1:21" x14ac:dyDescent="0.3">
      <c r="A1044" s="187">
        <v>48</v>
      </c>
      <c r="B1044" s="242">
        <f t="shared" si="433"/>
        <v>47088</v>
      </c>
      <c r="C1044" s="243">
        <f t="shared" si="414"/>
        <v>47118</v>
      </c>
      <c r="D1044" s="120">
        <f t="shared" si="415"/>
        <v>31</v>
      </c>
      <c r="E1044" s="120">
        <f t="shared" si="416"/>
        <v>12</v>
      </c>
      <c r="F1044" s="275">
        <f t="shared" si="417"/>
        <v>47103.5</v>
      </c>
      <c r="G1044" s="120">
        <f t="shared" si="418"/>
        <v>24347</v>
      </c>
      <c r="H1044" s="245">
        <f t="shared" si="419"/>
        <v>1</v>
      </c>
      <c r="I1044" s="121">
        <f t="shared" si="420"/>
        <v>1.04</v>
      </c>
      <c r="J1044" s="121">
        <f t="shared" si="421"/>
        <v>1.04</v>
      </c>
      <c r="K1044" s="120">
        <f t="shared" si="422"/>
        <v>0</v>
      </c>
      <c r="L1044" s="120">
        <f t="shared" si="423"/>
        <v>0</v>
      </c>
      <c r="M1044" s="246">
        <f t="shared" si="424"/>
        <v>0</v>
      </c>
      <c r="N1044" s="121">
        <f t="shared" si="425"/>
        <v>1.04</v>
      </c>
      <c r="O1044" s="246">
        <f t="shared" si="426"/>
        <v>0.91</v>
      </c>
      <c r="P1044" s="121">
        <f t="shared" si="427"/>
        <v>0</v>
      </c>
      <c r="Q1044" s="121">
        <f t="shared" si="428"/>
        <v>0</v>
      </c>
      <c r="R1044" s="121">
        <f t="shared" si="429"/>
        <v>8.3333333333333329E-2</v>
      </c>
      <c r="S1044" s="121" t="str">
        <f t="shared" si="430"/>
        <v/>
      </c>
      <c r="T1044" s="121" t="str">
        <f t="shared" si="431"/>
        <v/>
      </c>
      <c r="U1044" s="121">
        <f t="shared" si="432"/>
        <v>1.04</v>
      </c>
    </row>
    <row r="1045" spans="1:21" x14ac:dyDescent="0.3">
      <c r="A1045" s="6" t="s">
        <v>1651</v>
      </c>
      <c r="B1045" s="73">
        <f>EXP(SUMPRODUCT((rl_key=$A$994)*(rl_cons="Y")*rl_ln1p))</f>
        <v>1</v>
      </c>
      <c r="C1045" s="73">
        <f>SUMPRODUCT($H$997:$H$1044,$P$997:$P$1044,$U$997:$U$1044)/SUMPRODUCT($H$997:$H$1044,$P$997:$P$1044)</f>
        <v>1</v>
      </c>
      <c r="D1045" s="73">
        <f>SUMPRODUCT($H$997:$H$1044,$Q$997:$Q$1044,$U$997:$U$1044)/SUMPRODUCT($H$997:$H$1044,$Q$997:$Q$1044)</f>
        <v>1.0069444444444444</v>
      </c>
      <c r="E1045" s="73">
        <f>SUMPRODUCT($H$997:$H$1044,$R$997:$R$1044,$U$997:$U$1044)/SUMPRODUCT($H$997:$H$1044,$R$997:$R$1044)</f>
        <v>1.039722222222222</v>
      </c>
      <c r="F1045" s="224">
        <f>SUMPRODUCT($H$997:$H$1044,$Q$997:$Q$1044,$O$997:$O$1044)/SUMPRODUCT($H$997:$H$1044,$Q$997:$Q$1044)</f>
        <v>0.90999999999999981</v>
      </c>
      <c r="G1045" s="224">
        <f>SUMPRODUCT($H$997:$H$1044,$R$997:$R$1044,$O$997:$O$1044)/SUMPRODUCT($H$997:$H$1044,$R$997:$R$1044)</f>
        <v>0.90999999999999981</v>
      </c>
      <c r="H1045" s="73">
        <f>SUMPRODUCT($H$1021:$H$1032,$N$1021:$N$1032/$N$1009:$N$1020)/SUM($H$1021:$H$1032)</f>
        <v>1.0166666666666664</v>
      </c>
      <c r="I1045" s="73">
        <f>SUMPRODUCT($H$1021:$H$1032,$O$1021:$O$1032/$O$1009:$O$1020)/SUM($H$1021:$H$1032)</f>
        <v>1</v>
      </c>
      <c r="J1045" s="73">
        <f>IF($O$994=1,SUMPRODUCT($H$1021:$H$1032,$N$1021:$N$1032/$N$1009:$N$1020*$O$1021:$O$1032/$O$1009:$O$1020)/SUM($H$1021:$H$1032),$H1045)</f>
        <v>1.0166666666666664</v>
      </c>
      <c r="K1045" s="73">
        <f>SUMPRODUCT($H$997:$H$1044,$Q$997:$Q$1044,$N$997:$N$1044)/SUMPRODUCT($H$997:$H$1044,$Q$997:$Q$1044)</f>
        <v>1.0069444444444444</v>
      </c>
      <c r="L1045" s="73">
        <f>SUMPRODUCT($H$997:$H$1044,$R$997:$R$1044,$N$997:$N$1044)/SUMPRODUCT($H$997:$H$1044,$R$997:$R$1044)</f>
        <v>1.039722222222222</v>
      </c>
    </row>
    <row r="1048" spans="1:21" x14ac:dyDescent="0.3">
      <c r="A1048" s="6" t="str">
        <f>INDEX(lr_key,19)</f>
        <v>ABD|VA</v>
      </c>
      <c r="B1048" s="6" t="str">
        <f>INDEX(lr_state,19)</f>
        <v>VA</v>
      </c>
      <c r="C1048" s="75">
        <f>nr_TermMonths</f>
        <v>6</v>
      </c>
      <c r="D1048" s="75">
        <f>IF(COUNTIF(se_state,$B1048)=0,0,MATCH($B1048,se_state,0))</f>
        <v>0</v>
      </c>
      <c r="E1048" s="70">
        <f>IF($D1048=0,0,INDEX(se_sum,$D1048))</f>
        <v>0</v>
      </c>
      <c r="F1048" s="224">
        <f>IF(N(INDEX(lr_mind,19))=0,1,INDEX(lr_mind,19))</f>
        <v>0.92</v>
      </c>
      <c r="G1048" s="224">
        <f>IF(N(INDEX(lr_m0,19))=0,1,INDEX(lr_m0,19))</f>
        <v>0.91</v>
      </c>
      <c r="H1048" s="74">
        <f>IF(N(INDEX(lr_m0asof,19))=0,DATE(nr_PlanYear-1,10,1),INDEX(lr_m0asof,19))</f>
        <v>46295</v>
      </c>
      <c r="I1048" s="224">
        <f>IF(N(INDEX(lr_m1,19))=0,1,INDEX(lr_m1,19))</f>
        <v>0.92500000000000004</v>
      </c>
      <c r="J1048" s="224">
        <f>INDEX(lr_mprior,19)</f>
        <v>0</v>
      </c>
      <c r="K1048" s="224">
        <f>INDEX(lr_m2,19)</f>
        <v>0</v>
      </c>
      <c r="L1048" s="6" t="b">
        <f>NOT(ISBLANK(INDEX(lr_netp,19)))</f>
        <v>0</v>
      </c>
      <c r="M1048" s="72">
        <f>N(INDEX(lr_netp,19))</f>
        <v>0</v>
      </c>
      <c r="N1048" s="72">
        <f>IF(ISBLANK(INDEX(lr_netp1,19)),$M$1048,N(INDEX(lr_netp1,19)))</f>
        <v>0</v>
      </c>
      <c r="O1048" s="75">
        <f>IF(AND(nr_ModAdjMaster="ON",INDEX(lr_modadj,19)="ON"),1,0)</f>
        <v>1</v>
      </c>
    </row>
    <row r="1049" spans="1:21" x14ac:dyDescent="0.3">
      <c r="A1049" s="6">
        <f>EDATE($H$1048,-12)+1</f>
        <v>45931</v>
      </c>
      <c r="B1049" s="6">
        <f>$H$1048+1</f>
        <v>46296</v>
      </c>
      <c r="C1049" s="6">
        <f>DATE(nr_PlanYear,12,31)+1</f>
        <v>46753</v>
      </c>
      <c r="D1049" s="6">
        <f>DATE(nr_PlanYear+1,12,31)+1</f>
        <v>47119</v>
      </c>
      <c r="E1049" s="6">
        <f>IF(N($J$1048)=0,$F$1049-($G$1049-$F$1049)/($C$1049-$B$1049)*($B$1049-$A$1049),$J$1048)</f>
        <v>0.89801969365426693</v>
      </c>
      <c r="F1049" s="6">
        <f>$G$1048</f>
        <v>0.91</v>
      </c>
      <c r="G1049" s="6">
        <f>$I$1048</f>
        <v>0.92500000000000004</v>
      </c>
      <c r="H1049" s="6">
        <f>IF(N($K$1048)=0,$I$1048,$K$1048)</f>
        <v>0.92500000000000004</v>
      </c>
      <c r="I1049" s="6">
        <f>($F$1049-$E$1049)/($B$1049-$A$1049)</f>
        <v>3.2822757111597549E-5</v>
      </c>
      <c r="J1049" s="6">
        <f>($G$1049-$F$1049)/($C$1049-$B$1049)</f>
        <v>3.2822757111597407E-5</v>
      </c>
      <c r="K1049" s="6">
        <f>($H$1049-$G$1049)/($D$1049-$C$1049)</f>
        <v>0</v>
      </c>
    </row>
    <row r="1050" spans="1:21" ht="36" x14ac:dyDescent="0.3">
      <c r="A1050" s="58" t="s">
        <v>390</v>
      </c>
      <c r="B1050" s="58" t="s">
        <v>449</v>
      </c>
      <c r="C1050" s="58" t="s">
        <v>685</v>
      </c>
      <c r="D1050" s="58" t="s">
        <v>686</v>
      </c>
      <c r="E1050" s="58" t="s">
        <v>687</v>
      </c>
      <c r="F1050" s="58" t="s">
        <v>688</v>
      </c>
      <c r="G1050" s="58" t="s">
        <v>689</v>
      </c>
      <c r="H1050" s="58" t="s">
        <v>452</v>
      </c>
      <c r="I1050" s="58" t="s">
        <v>690</v>
      </c>
      <c r="J1050" s="58" t="s">
        <v>691</v>
      </c>
      <c r="K1050" s="58" t="s">
        <v>692</v>
      </c>
      <c r="L1050" s="58" t="s">
        <v>693</v>
      </c>
      <c r="M1050" s="58" t="s">
        <v>694</v>
      </c>
      <c r="N1050" s="58" t="s">
        <v>695</v>
      </c>
      <c r="O1050" s="58" t="s">
        <v>696</v>
      </c>
      <c r="P1050" s="58" t="s">
        <v>697</v>
      </c>
      <c r="Q1050" s="58" t="s">
        <v>698</v>
      </c>
      <c r="R1050" s="58" t="s">
        <v>699</v>
      </c>
      <c r="S1050" s="58" t="s">
        <v>700</v>
      </c>
      <c r="T1050" s="58" t="s">
        <v>701</v>
      </c>
      <c r="U1050" s="58" t="s">
        <v>702</v>
      </c>
    </row>
    <row r="1051" spans="1:21" x14ac:dyDescent="0.3">
      <c r="A1051" s="187">
        <v>1</v>
      </c>
      <c r="B1051" s="242">
        <f>DATE(nr_PlanYear-2,1,1)</f>
        <v>45658</v>
      </c>
      <c r="C1051" s="243">
        <f t="shared" ref="C1051:C1098" si="434">EOMONTH($B1051,0)</f>
        <v>45688</v>
      </c>
      <c r="D1051" s="120">
        <f t="shared" ref="D1051:D1098" si="435">$C1051-$B1051+1</f>
        <v>31</v>
      </c>
      <c r="E1051" s="120">
        <f t="shared" ref="E1051:E1098" si="436">MONTH($B1051)</f>
        <v>1</v>
      </c>
      <c r="F1051" s="275">
        <f t="shared" ref="F1051:F1098" si="437">($B1051+$C1051+1)/2</f>
        <v>45673.5</v>
      </c>
      <c r="G1051" s="120">
        <f t="shared" ref="G1051:G1098" si="438">YEAR($B1051)*12+MONTH($B1051)-1</f>
        <v>24300</v>
      </c>
      <c r="H1051" s="245">
        <f t="shared" ref="H1051:H1098" si="439">IF(OR(nr_SeasonOn="OFF",$D$1048=0,$E$1048=0),1,12*INDEX(se_block,$D$1048,$E1051)/$E$1048)</f>
        <v>1</v>
      </c>
      <c r="I1051" s="121">
        <f t="shared" ref="I1051:I1098" si="440">EXP(SUMPRODUCT((rl_eff&lt;$B1051)*(rl_key=$A$1048)*rl_ln1p))</f>
        <v>1</v>
      </c>
      <c r="J1051" s="121">
        <f t="shared" ref="J1051:J1098" si="441">EXP(SUMPRODUCT((rl_eff&lt;=$C1051)*(rl_key=$A$1048)*rl_ln1p))</f>
        <v>1</v>
      </c>
      <c r="K1051" s="120">
        <f t="shared" ref="K1051:K1098" si="442">COUNTIFS(rl_key,$A$1048,rl_eff,"&gt;="&amp;$B1051,rl_eff,"&lt;="&amp;$C1051)</f>
        <v>0</v>
      </c>
      <c r="L1051" s="120">
        <f t="shared" ref="L1051:L1098" si="443">SUMIFS(rl_daysafter,rl_key,$A$1048,rl_effmonth,$B1051,rl_first,1)</f>
        <v>0</v>
      </c>
      <c r="M1051" s="246">
        <f t="shared" ref="M1051:M1098" si="444">IF($K1051=0,0,MIN(1,$L1051/$D1051))</f>
        <v>0</v>
      </c>
      <c r="N1051" s="121">
        <f t="shared" ref="N1051:N1098" si="445">IF($K1051=0,$J1051,(1-$M1051)*$I1051+$M1051*$J1051)</f>
        <v>1</v>
      </c>
      <c r="O1051" s="246">
        <f t="shared" ref="O1051:O1098" si="446">IF($F1051&lt;$B$1049,$E$1049+$I$1049*($F1051-$A$1049),IF($F1051&lt;$C$1049,$F$1049+$J$1049*($F1051-$B$1049),$G$1049+$K$1049*($F1051-$C$1049)))</f>
        <v>0.88956783369803061</v>
      </c>
      <c r="P1051" s="121">
        <f t="shared" ref="P1051:P1098" si="447">MIN(1,MAX(0,(nr_MEndPm1-$G1051+0.5)/$C$1048))-MIN(1,MAX(0,(nr_MStartPm1-1-$G1051+0.5)/$C$1048))</f>
        <v>0</v>
      </c>
      <c r="Q1051" s="121">
        <f t="shared" ref="Q1051:Q1098" si="448">MIN(1,MAX(0,(nr_MEndP-$G1051+0.5)/$C$1048))-MIN(1,MAX(0,(nr_MStartP-1-$G1051+0.5)/$C$1048))</f>
        <v>0</v>
      </c>
      <c r="R1051" s="121">
        <f t="shared" ref="R1051:R1098" si="449">MIN(1,MAX(0,(nr_MEndP1-$G1051+0.5)/$C$1048))-MIN(1,MAX(0,(nr_MStartP1-1-$G1051+0.5)/$C$1048))</f>
        <v>0</v>
      </c>
      <c r="S1051" s="121" t="str">
        <f t="shared" ref="S1051:S1098" si="450">IF($L$1048,$N1051*IF($O$1048=1,$O1051/$F$1048,1),"")</f>
        <v/>
      </c>
      <c r="T1051" s="121" t="str">
        <f t="shared" ref="T1051:T1098" si="451">IF(NOT($L$1048),"",IF($G1051&lt;nr_MStartP,$S1051,$T1039*(1+IF($G1051&lt;nr_MStartP1,$M$1048,$N$1048))))</f>
        <v/>
      </c>
      <c r="U1051" s="121">
        <f t="shared" ref="U1051:U1098" si="452">IF($L$1048,$T1051,$N1051)</f>
        <v>1</v>
      </c>
    </row>
    <row r="1052" spans="1:21" x14ac:dyDescent="0.3">
      <c r="A1052" s="187">
        <v>2</v>
      </c>
      <c r="B1052" s="242">
        <f t="shared" ref="B1052:B1098" si="453">EDATE($B1051,1)</f>
        <v>45689</v>
      </c>
      <c r="C1052" s="243">
        <f t="shared" si="434"/>
        <v>45716</v>
      </c>
      <c r="D1052" s="120">
        <f t="shared" si="435"/>
        <v>28</v>
      </c>
      <c r="E1052" s="120">
        <f t="shared" si="436"/>
        <v>2</v>
      </c>
      <c r="F1052" s="275">
        <f t="shared" si="437"/>
        <v>45703</v>
      </c>
      <c r="G1052" s="120">
        <f t="shared" si="438"/>
        <v>24301</v>
      </c>
      <c r="H1052" s="245">
        <f t="shared" si="439"/>
        <v>1</v>
      </c>
      <c r="I1052" s="121">
        <f t="shared" si="440"/>
        <v>1</v>
      </c>
      <c r="J1052" s="121">
        <f t="shared" si="441"/>
        <v>1</v>
      </c>
      <c r="K1052" s="120">
        <f t="shared" si="442"/>
        <v>0</v>
      </c>
      <c r="L1052" s="120">
        <f t="shared" si="443"/>
        <v>0</v>
      </c>
      <c r="M1052" s="246">
        <f t="shared" si="444"/>
        <v>0</v>
      </c>
      <c r="N1052" s="121">
        <f t="shared" si="445"/>
        <v>1</v>
      </c>
      <c r="O1052" s="246">
        <f t="shared" si="446"/>
        <v>0.89053610503282266</v>
      </c>
      <c r="P1052" s="121">
        <f t="shared" si="447"/>
        <v>0</v>
      </c>
      <c r="Q1052" s="121">
        <f t="shared" si="448"/>
        <v>0</v>
      </c>
      <c r="R1052" s="121">
        <f t="shared" si="449"/>
        <v>0</v>
      </c>
      <c r="S1052" s="121" t="str">
        <f t="shared" si="450"/>
        <v/>
      </c>
      <c r="T1052" s="121" t="str">
        <f t="shared" si="451"/>
        <v/>
      </c>
      <c r="U1052" s="121">
        <f t="shared" si="452"/>
        <v>1</v>
      </c>
    </row>
    <row r="1053" spans="1:21" x14ac:dyDescent="0.3">
      <c r="A1053" s="187">
        <v>3</v>
      </c>
      <c r="B1053" s="242">
        <f t="shared" si="453"/>
        <v>45717</v>
      </c>
      <c r="C1053" s="243">
        <f t="shared" si="434"/>
        <v>45747</v>
      </c>
      <c r="D1053" s="120">
        <f t="shared" si="435"/>
        <v>31</v>
      </c>
      <c r="E1053" s="120">
        <f t="shared" si="436"/>
        <v>3</v>
      </c>
      <c r="F1053" s="275">
        <f t="shared" si="437"/>
        <v>45732.5</v>
      </c>
      <c r="G1053" s="120">
        <f t="shared" si="438"/>
        <v>24302</v>
      </c>
      <c r="H1053" s="245">
        <f t="shared" si="439"/>
        <v>1</v>
      </c>
      <c r="I1053" s="121">
        <f t="shared" si="440"/>
        <v>1</v>
      </c>
      <c r="J1053" s="121">
        <f t="shared" si="441"/>
        <v>1</v>
      </c>
      <c r="K1053" s="120">
        <f t="shared" si="442"/>
        <v>0</v>
      </c>
      <c r="L1053" s="120">
        <f t="shared" si="443"/>
        <v>0</v>
      </c>
      <c r="M1053" s="246">
        <f t="shared" si="444"/>
        <v>0</v>
      </c>
      <c r="N1053" s="121">
        <f t="shared" si="445"/>
        <v>1</v>
      </c>
      <c r="O1053" s="246">
        <f t="shared" si="446"/>
        <v>0.89150437636761481</v>
      </c>
      <c r="P1053" s="121">
        <f t="shared" si="447"/>
        <v>0</v>
      </c>
      <c r="Q1053" s="121">
        <f t="shared" si="448"/>
        <v>0</v>
      </c>
      <c r="R1053" s="121">
        <f t="shared" si="449"/>
        <v>0</v>
      </c>
      <c r="S1053" s="121" t="str">
        <f t="shared" si="450"/>
        <v/>
      </c>
      <c r="T1053" s="121" t="str">
        <f t="shared" si="451"/>
        <v/>
      </c>
      <c r="U1053" s="121">
        <f t="shared" si="452"/>
        <v>1</v>
      </c>
    </row>
    <row r="1054" spans="1:21" x14ac:dyDescent="0.3">
      <c r="A1054" s="187">
        <v>4</v>
      </c>
      <c r="B1054" s="242">
        <f t="shared" si="453"/>
        <v>45748</v>
      </c>
      <c r="C1054" s="243">
        <f t="shared" si="434"/>
        <v>45777</v>
      </c>
      <c r="D1054" s="120">
        <f t="shared" si="435"/>
        <v>30</v>
      </c>
      <c r="E1054" s="120">
        <f t="shared" si="436"/>
        <v>4</v>
      </c>
      <c r="F1054" s="275">
        <f t="shared" si="437"/>
        <v>45763</v>
      </c>
      <c r="G1054" s="120">
        <f t="shared" si="438"/>
        <v>24303</v>
      </c>
      <c r="H1054" s="245">
        <f t="shared" si="439"/>
        <v>1</v>
      </c>
      <c r="I1054" s="121">
        <f t="shared" si="440"/>
        <v>1</v>
      </c>
      <c r="J1054" s="121">
        <f t="shared" si="441"/>
        <v>1</v>
      </c>
      <c r="K1054" s="120">
        <f t="shared" si="442"/>
        <v>0</v>
      </c>
      <c r="L1054" s="120">
        <f t="shared" si="443"/>
        <v>0</v>
      </c>
      <c r="M1054" s="246">
        <f t="shared" si="444"/>
        <v>0</v>
      </c>
      <c r="N1054" s="121">
        <f t="shared" si="445"/>
        <v>1</v>
      </c>
      <c r="O1054" s="246">
        <f t="shared" si="446"/>
        <v>0.89250547045951856</v>
      </c>
      <c r="P1054" s="121">
        <f t="shared" si="447"/>
        <v>0</v>
      </c>
      <c r="Q1054" s="121">
        <f t="shared" si="448"/>
        <v>0</v>
      </c>
      <c r="R1054" s="121">
        <f t="shared" si="449"/>
        <v>0</v>
      </c>
      <c r="S1054" s="121" t="str">
        <f t="shared" si="450"/>
        <v/>
      </c>
      <c r="T1054" s="121" t="str">
        <f t="shared" si="451"/>
        <v/>
      </c>
      <c r="U1054" s="121">
        <f t="shared" si="452"/>
        <v>1</v>
      </c>
    </row>
    <row r="1055" spans="1:21" x14ac:dyDescent="0.3">
      <c r="A1055" s="187">
        <v>5</v>
      </c>
      <c r="B1055" s="242">
        <f t="shared" si="453"/>
        <v>45778</v>
      </c>
      <c r="C1055" s="243">
        <f t="shared" si="434"/>
        <v>45808</v>
      </c>
      <c r="D1055" s="120">
        <f t="shared" si="435"/>
        <v>31</v>
      </c>
      <c r="E1055" s="120">
        <f t="shared" si="436"/>
        <v>5</v>
      </c>
      <c r="F1055" s="275">
        <f t="shared" si="437"/>
        <v>45793.5</v>
      </c>
      <c r="G1055" s="120">
        <f t="shared" si="438"/>
        <v>24304</v>
      </c>
      <c r="H1055" s="245">
        <f t="shared" si="439"/>
        <v>1</v>
      </c>
      <c r="I1055" s="121">
        <f t="shared" si="440"/>
        <v>1</v>
      </c>
      <c r="J1055" s="121">
        <f t="shared" si="441"/>
        <v>1</v>
      </c>
      <c r="K1055" s="120">
        <f t="shared" si="442"/>
        <v>0</v>
      </c>
      <c r="L1055" s="120">
        <f t="shared" si="443"/>
        <v>0</v>
      </c>
      <c r="M1055" s="246">
        <f t="shared" si="444"/>
        <v>0</v>
      </c>
      <c r="N1055" s="121">
        <f t="shared" si="445"/>
        <v>1</v>
      </c>
      <c r="O1055" s="246">
        <f t="shared" si="446"/>
        <v>0.8935065645514223</v>
      </c>
      <c r="P1055" s="121">
        <f t="shared" si="447"/>
        <v>0</v>
      </c>
      <c r="Q1055" s="121">
        <f t="shared" si="448"/>
        <v>0</v>
      </c>
      <c r="R1055" s="121">
        <f t="shared" si="449"/>
        <v>0</v>
      </c>
      <c r="S1055" s="121" t="str">
        <f t="shared" si="450"/>
        <v/>
      </c>
      <c r="T1055" s="121" t="str">
        <f t="shared" si="451"/>
        <v/>
      </c>
      <c r="U1055" s="121">
        <f t="shared" si="452"/>
        <v>1</v>
      </c>
    </row>
    <row r="1056" spans="1:21" x14ac:dyDescent="0.3">
      <c r="A1056" s="187">
        <v>6</v>
      </c>
      <c r="B1056" s="242">
        <f t="shared" si="453"/>
        <v>45809</v>
      </c>
      <c r="C1056" s="243">
        <f t="shared" si="434"/>
        <v>45838</v>
      </c>
      <c r="D1056" s="120">
        <f t="shared" si="435"/>
        <v>30</v>
      </c>
      <c r="E1056" s="120">
        <f t="shared" si="436"/>
        <v>6</v>
      </c>
      <c r="F1056" s="275">
        <f t="shared" si="437"/>
        <v>45824</v>
      </c>
      <c r="G1056" s="120">
        <f t="shared" si="438"/>
        <v>24305</v>
      </c>
      <c r="H1056" s="245">
        <f t="shared" si="439"/>
        <v>1</v>
      </c>
      <c r="I1056" s="121">
        <f t="shared" si="440"/>
        <v>1</v>
      </c>
      <c r="J1056" s="121">
        <f t="shared" si="441"/>
        <v>1</v>
      </c>
      <c r="K1056" s="120">
        <f t="shared" si="442"/>
        <v>0</v>
      </c>
      <c r="L1056" s="120">
        <f t="shared" si="443"/>
        <v>0</v>
      </c>
      <c r="M1056" s="246">
        <f t="shared" si="444"/>
        <v>0</v>
      </c>
      <c r="N1056" s="121">
        <f t="shared" si="445"/>
        <v>1</v>
      </c>
      <c r="O1056" s="246">
        <f t="shared" si="446"/>
        <v>0.89450765864332604</v>
      </c>
      <c r="P1056" s="121">
        <f t="shared" si="447"/>
        <v>0</v>
      </c>
      <c r="Q1056" s="121">
        <f t="shared" si="448"/>
        <v>0</v>
      </c>
      <c r="R1056" s="121">
        <f t="shared" si="449"/>
        <v>0</v>
      </c>
      <c r="S1056" s="121" t="str">
        <f t="shared" si="450"/>
        <v/>
      </c>
      <c r="T1056" s="121" t="str">
        <f t="shared" si="451"/>
        <v/>
      </c>
      <c r="U1056" s="121">
        <f t="shared" si="452"/>
        <v>1</v>
      </c>
    </row>
    <row r="1057" spans="1:21" x14ac:dyDescent="0.3">
      <c r="A1057" s="187">
        <v>7</v>
      </c>
      <c r="B1057" s="242">
        <f t="shared" si="453"/>
        <v>45839</v>
      </c>
      <c r="C1057" s="243">
        <f t="shared" si="434"/>
        <v>45869</v>
      </c>
      <c r="D1057" s="120">
        <f t="shared" si="435"/>
        <v>31</v>
      </c>
      <c r="E1057" s="120">
        <f t="shared" si="436"/>
        <v>7</v>
      </c>
      <c r="F1057" s="275">
        <f t="shared" si="437"/>
        <v>45854.5</v>
      </c>
      <c r="G1057" s="120">
        <f t="shared" si="438"/>
        <v>24306</v>
      </c>
      <c r="H1057" s="245">
        <f t="shared" si="439"/>
        <v>1</v>
      </c>
      <c r="I1057" s="121">
        <f t="shared" si="440"/>
        <v>1</v>
      </c>
      <c r="J1057" s="121">
        <f t="shared" si="441"/>
        <v>1</v>
      </c>
      <c r="K1057" s="120">
        <f t="shared" si="442"/>
        <v>0</v>
      </c>
      <c r="L1057" s="120">
        <f t="shared" si="443"/>
        <v>0</v>
      </c>
      <c r="M1057" s="246">
        <f t="shared" si="444"/>
        <v>0</v>
      </c>
      <c r="N1057" s="121">
        <f t="shared" si="445"/>
        <v>1</v>
      </c>
      <c r="O1057" s="246">
        <f t="shared" si="446"/>
        <v>0.89550875273522967</v>
      </c>
      <c r="P1057" s="121">
        <f t="shared" si="447"/>
        <v>8.333333333333337E-2</v>
      </c>
      <c r="Q1057" s="121">
        <f t="shared" si="448"/>
        <v>0</v>
      </c>
      <c r="R1057" s="121">
        <f t="shared" si="449"/>
        <v>0</v>
      </c>
      <c r="S1057" s="121" t="str">
        <f t="shared" si="450"/>
        <v/>
      </c>
      <c r="T1057" s="121" t="str">
        <f t="shared" si="451"/>
        <v/>
      </c>
      <c r="U1057" s="121">
        <f t="shared" si="452"/>
        <v>1</v>
      </c>
    </row>
    <row r="1058" spans="1:21" x14ac:dyDescent="0.3">
      <c r="A1058" s="187">
        <v>8</v>
      </c>
      <c r="B1058" s="242">
        <f t="shared" si="453"/>
        <v>45870</v>
      </c>
      <c r="C1058" s="243">
        <f t="shared" si="434"/>
        <v>45900</v>
      </c>
      <c r="D1058" s="120">
        <f t="shared" si="435"/>
        <v>31</v>
      </c>
      <c r="E1058" s="120">
        <f t="shared" si="436"/>
        <v>8</v>
      </c>
      <c r="F1058" s="275">
        <f t="shared" si="437"/>
        <v>45885.5</v>
      </c>
      <c r="G1058" s="120">
        <f t="shared" si="438"/>
        <v>24307</v>
      </c>
      <c r="H1058" s="245">
        <f t="shared" si="439"/>
        <v>1</v>
      </c>
      <c r="I1058" s="121">
        <f t="shared" si="440"/>
        <v>1</v>
      </c>
      <c r="J1058" s="121">
        <f t="shared" si="441"/>
        <v>1</v>
      </c>
      <c r="K1058" s="120">
        <f t="shared" si="442"/>
        <v>0</v>
      </c>
      <c r="L1058" s="120">
        <f t="shared" si="443"/>
        <v>0</v>
      </c>
      <c r="M1058" s="246">
        <f t="shared" si="444"/>
        <v>0</v>
      </c>
      <c r="N1058" s="121">
        <f t="shared" si="445"/>
        <v>1</v>
      </c>
      <c r="O1058" s="246">
        <f t="shared" si="446"/>
        <v>0.89652625820568921</v>
      </c>
      <c r="P1058" s="121">
        <f t="shared" si="447"/>
        <v>0.25</v>
      </c>
      <c r="Q1058" s="121">
        <f t="shared" si="448"/>
        <v>0</v>
      </c>
      <c r="R1058" s="121">
        <f t="shared" si="449"/>
        <v>0</v>
      </c>
      <c r="S1058" s="121" t="str">
        <f t="shared" si="450"/>
        <v/>
      </c>
      <c r="T1058" s="121" t="str">
        <f t="shared" si="451"/>
        <v/>
      </c>
      <c r="U1058" s="121">
        <f t="shared" si="452"/>
        <v>1</v>
      </c>
    </row>
    <row r="1059" spans="1:21" x14ac:dyDescent="0.3">
      <c r="A1059" s="187">
        <v>9</v>
      </c>
      <c r="B1059" s="242">
        <f t="shared" si="453"/>
        <v>45901</v>
      </c>
      <c r="C1059" s="243">
        <f t="shared" si="434"/>
        <v>45930</v>
      </c>
      <c r="D1059" s="120">
        <f t="shared" si="435"/>
        <v>30</v>
      </c>
      <c r="E1059" s="120">
        <f t="shared" si="436"/>
        <v>9</v>
      </c>
      <c r="F1059" s="275">
        <f t="shared" si="437"/>
        <v>45916</v>
      </c>
      <c r="G1059" s="120">
        <f t="shared" si="438"/>
        <v>24308</v>
      </c>
      <c r="H1059" s="245">
        <f t="shared" si="439"/>
        <v>1</v>
      </c>
      <c r="I1059" s="121">
        <f t="shared" si="440"/>
        <v>1</v>
      </c>
      <c r="J1059" s="121">
        <f t="shared" si="441"/>
        <v>1</v>
      </c>
      <c r="K1059" s="120">
        <f t="shared" si="442"/>
        <v>0</v>
      </c>
      <c r="L1059" s="120">
        <f t="shared" si="443"/>
        <v>0</v>
      </c>
      <c r="M1059" s="246">
        <f t="shared" si="444"/>
        <v>0</v>
      </c>
      <c r="N1059" s="121">
        <f t="shared" si="445"/>
        <v>1</v>
      </c>
      <c r="O1059" s="246">
        <f t="shared" si="446"/>
        <v>0.89752735229759295</v>
      </c>
      <c r="P1059" s="121">
        <f t="shared" si="447"/>
        <v>0.41666666666666663</v>
      </c>
      <c r="Q1059" s="121">
        <f t="shared" si="448"/>
        <v>0</v>
      </c>
      <c r="R1059" s="121">
        <f t="shared" si="449"/>
        <v>0</v>
      </c>
      <c r="S1059" s="121" t="str">
        <f t="shared" si="450"/>
        <v/>
      </c>
      <c r="T1059" s="121" t="str">
        <f t="shared" si="451"/>
        <v/>
      </c>
      <c r="U1059" s="121">
        <f t="shared" si="452"/>
        <v>1</v>
      </c>
    </row>
    <row r="1060" spans="1:21" x14ac:dyDescent="0.3">
      <c r="A1060" s="187">
        <v>10</v>
      </c>
      <c r="B1060" s="242">
        <f t="shared" si="453"/>
        <v>45931</v>
      </c>
      <c r="C1060" s="243">
        <f t="shared" si="434"/>
        <v>45961</v>
      </c>
      <c r="D1060" s="120">
        <f t="shared" si="435"/>
        <v>31</v>
      </c>
      <c r="E1060" s="120">
        <f t="shared" si="436"/>
        <v>10</v>
      </c>
      <c r="F1060" s="275">
        <f t="shared" si="437"/>
        <v>45946.5</v>
      </c>
      <c r="G1060" s="120">
        <f t="shared" si="438"/>
        <v>24309</v>
      </c>
      <c r="H1060" s="245">
        <f t="shared" si="439"/>
        <v>1</v>
      </c>
      <c r="I1060" s="121">
        <f t="shared" si="440"/>
        <v>1</v>
      </c>
      <c r="J1060" s="121">
        <f t="shared" si="441"/>
        <v>1</v>
      </c>
      <c r="K1060" s="120">
        <f t="shared" si="442"/>
        <v>0</v>
      </c>
      <c r="L1060" s="120">
        <f t="shared" si="443"/>
        <v>0</v>
      </c>
      <c r="M1060" s="246">
        <f t="shared" si="444"/>
        <v>0</v>
      </c>
      <c r="N1060" s="121">
        <f t="shared" si="445"/>
        <v>1</v>
      </c>
      <c r="O1060" s="246">
        <f t="shared" si="446"/>
        <v>0.89852844638949669</v>
      </c>
      <c r="P1060" s="121">
        <f t="shared" si="447"/>
        <v>0.58333333333333326</v>
      </c>
      <c r="Q1060" s="121">
        <f t="shared" si="448"/>
        <v>0</v>
      </c>
      <c r="R1060" s="121">
        <f t="shared" si="449"/>
        <v>0</v>
      </c>
      <c r="S1060" s="121" t="str">
        <f t="shared" si="450"/>
        <v/>
      </c>
      <c r="T1060" s="121" t="str">
        <f t="shared" si="451"/>
        <v/>
      </c>
      <c r="U1060" s="121">
        <f t="shared" si="452"/>
        <v>1</v>
      </c>
    </row>
    <row r="1061" spans="1:21" x14ac:dyDescent="0.3">
      <c r="A1061" s="187">
        <v>11</v>
      </c>
      <c r="B1061" s="242">
        <f t="shared" si="453"/>
        <v>45962</v>
      </c>
      <c r="C1061" s="243">
        <f t="shared" si="434"/>
        <v>45991</v>
      </c>
      <c r="D1061" s="120">
        <f t="shared" si="435"/>
        <v>30</v>
      </c>
      <c r="E1061" s="120">
        <f t="shared" si="436"/>
        <v>11</v>
      </c>
      <c r="F1061" s="275">
        <f t="shared" si="437"/>
        <v>45977</v>
      </c>
      <c r="G1061" s="120">
        <f t="shared" si="438"/>
        <v>24310</v>
      </c>
      <c r="H1061" s="245">
        <f t="shared" si="439"/>
        <v>1</v>
      </c>
      <c r="I1061" s="121">
        <f t="shared" si="440"/>
        <v>1</v>
      </c>
      <c r="J1061" s="121">
        <f t="shared" si="441"/>
        <v>1</v>
      </c>
      <c r="K1061" s="120">
        <f t="shared" si="442"/>
        <v>0</v>
      </c>
      <c r="L1061" s="120">
        <f t="shared" si="443"/>
        <v>0</v>
      </c>
      <c r="M1061" s="246">
        <f t="shared" si="444"/>
        <v>0</v>
      </c>
      <c r="N1061" s="121">
        <f t="shared" si="445"/>
        <v>1</v>
      </c>
      <c r="O1061" s="246">
        <f t="shared" si="446"/>
        <v>0.89952954048140044</v>
      </c>
      <c r="P1061" s="121">
        <f t="shared" si="447"/>
        <v>0.75</v>
      </c>
      <c r="Q1061" s="121">
        <f t="shared" si="448"/>
        <v>0</v>
      </c>
      <c r="R1061" s="121">
        <f t="shared" si="449"/>
        <v>0</v>
      </c>
      <c r="S1061" s="121" t="str">
        <f t="shared" si="450"/>
        <v/>
      </c>
      <c r="T1061" s="121" t="str">
        <f t="shared" si="451"/>
        <v/>
      </c>
      <c r="U1061" s="121">
        <f t="shared" si="452"/>
        <v>1</v>
      </c>
    </row>
    <row r="1062" spans="1:21" x14ac:dyDescent="0.3">
      <c r="A1062" s="187">
        <v>12</v>
      </c>
      <c r="B1062" s="242">
        <f t="shared" si="453"/>
        <v>45992</v>
      </c>
      <c r="C1062" s="243">
        <f t="shared" si="434"/>
        <v>46022</v>
      </c>
      <c r="D1062" s="120">
        <f t="shared" si="435"/>
        <v>31</v>
      </c>
      <c r="E1062" s="120">
        <f t="shared" si="436"/>
        <v>12</v>
      </c>
      <c r="F1062" s="275">
        <f t="shared" si="437"/>
        <v>46007.5</v>
      </c>
      <c r="G1062" s="120">
        <f t="shared" si="438"/>
        <v>24311</v>
      </c>
      <c r="H1062" s="245">
        <f t="shared" si="439"/>
        <v>1</v>
      </c>
      <c r="I1062" s="121">
        <f t="shared" si="440"/>
        <v>1</v>
      </c>
      <c r="J1062" s="121">
        <f t="shared" si="441"/>
        <v>1</v>
      </c>
      <c r="K1062" s="120">
        <f t="shared" si="442"/>
        <v>0</v>
      </c>
      <c r="L1062" s="120">
        <f t="shared" si="443"/>
        <v>0</v>
      </c>
      <c r="M1062" s="246">
        <f t="shared" si="444"/>
        <v>0</v>
      </c>
      <c r="N1062" s="121">
        <f t="shared" si="445"/>
        <v>1</v>
      </c>
      <c r="O1062" s="246">
        <f t="shared" si="446"/>
        <v>0.90053063457330418</v>
      </c>
      <c r="P1062" s="121">
        <f t="shared" si="447"/>
        <v>0.91666666666666663</v>
      </c>
      <c r="Q1062" s="121">
        <f t="shared" si="448"/>
        <v>0</v>
      </c>
      <c r="R1062" s="121">
        <f t="shared" si="449"/>
        <v>0</v>
      </c>
      <c r="S1062" s="121" t="str">
        <f t="shared" si="450"/>
        <v/>
      </c>
      <c r="T1062" s="121" t="str">
        <f t="shared" si="451"/>
        <v/>
      </c>
      <c r="U1062" s="121">
        <f t="shared" si="452"/>
        <v>1</v>
      </c>
    </row>
    <row r="1063" spans="1:21" x14ac:dyDescent="0.3">
      <c r="A1063" s="187">
        <v>13</v>
      </c>
      <c r="B1063" s="242">
        <f t="shared" si="453"/>
        <v>46023</v>
      </c>
      <c r="C1063" s="243">
        <f t="shared" si="434"/>
        <v>46053</v>
      </c>
      <c r="D1063" s="120">
        <f t="shared" si="435"/>
        <v>31</v>
      </c>
      <c r="E1063" s="120">
        <f t="shared" si="436"/>
        <v>1</v>
      </c>
      <c r="F1063" s="275">
        <f t="shared" si="437"/>
        <v>46038.5</v>
      </c>
      <c r="G1063" s="120">
        <f t="shared" si="438"/>
        <v>24312</v>
      </c>
      <c r="H1063" s="245">
        <f t="shared" si="439"/>
        <v>1</v>
      </c>
      <c r="I1063" s="121">
        <f t="shared" si="440"/>
        <v>1</v>
      </c>
      <c r="J1063" s="121">
        <f t="shared" si="441"/>
        <v>1</v>
      </c>
      <c r="K1063" s="120">
        <f t="shared" si="442"/>
        <v>0</v>
      </c>
      <c r="L1063" s="120">
        <f t="shared" si="443"/>
        <v>0</v>
      </c>
      <c r="M1063" s="246">
        <f t="shared" si="444"/>
        <v>0</v>
      </c>
      <c r="N1063" s="121">
        <f t="shared" si="445"/>
        <v>1</v>
      </c>
      <c r="O1063" s="246">
        <f t="shared" si="446"/>
        <v>0.90154814004376371</v>
      </c>
      <c r="P1063" s="121">
        <f t="shared" si="447"/>
        <v>1</v>
      </c>
      <c r="Q1063" s="121">
        <f t="shared" si="448"/>
        <v>0</v>
      </c>
      <c r="R1063" s="121">
        <f t="shared" si="449"/>
        <v>0</v>
      </c>
      <c r="S1063" s="121" t="str">
        <f t="shared" si="450"/>
        <v/>
      </c>
      <c r="T1063" s="121" t="str">
        <f t="shared" si="451"/>
        <v/>
      </c>
      <c r="U1063" s="121">
        <f t="shared" si="452"/>
        <v>1</v>
      </c>
    </row>
    <row r="1064" spans="1:21" x14ac:dyDescent="0.3">
      <c r="A1064" s="187">
        <v>14</v>
      </c>
      <c r="B1064" s="242">
        <f t="shared" si="453"/>
        <v>46054</v>
      </c>
      <c r="C1064" s="243">
        <f t="shared" si="434"/>
        <v>46081</v>
      </c>
      <c r="D1064" s="120">
        <f t="shared" si="435"/>
        <v>28</v>
      </c>
      <c r="E1064" s="120">
        <f t="shared" si="436"/>
        <v>2</v>
      </c>
      <c r="F1064" s="275">
        <f t="shared" si="437"/>
        <v>46068</v>
      </c>
      <c r="G1064" s="120">
        <f t="shared" si="438"/>
        <v>24313</v>
      </c>
      <c r="H1064" s="245">
        <f t="shared" si="439"/>
        <v>1</v>
      </c>
      <c r="I1064" s="121">
        <f t="shared" si="440"/>
        <v>1</v>
      </c>
      <c r="J1064" s="121">
        <f t="shared" si="441"/>
        <v>1</v>
      </c>
      <c r="K1064" s="120">
        <f t="shared" si="442"/>
        <v>0</v>
      </c>
      <c r="L1064" s="120">
        <f t="shared" si="443"/>
        <v>0</v>
      </c>
      <c r="M1064" s="246">
        <f t="shared" si="444"/>
        <v>0</v>
      </c>
      <c r="N1064" s="121">
        <f t="shared" si="445"/>
        <v>1</v>
      </c>
      <c r="O1064" s="246">
        <f t="shared" si="446"/>
        <v>0.90251641137855576</v>
      </c>
      <c r="P1064" s="121">
        <f t="shared" si="447"/>
        <v>1</v>
      </c>
      <c r="Q1064" s="121">
        <f t="shared" si="448"/>
        <v>0</v>
      </c>
      <c r="R1064" s="121">
        <f t="shared" si="449"/>
        <v>0</v>
      </c>
      <c r="S1064" s="121" t="str">
        <f t="shared" si="450"/>
        <v/>
      </c>
      <c r="T1064" s="121" t="str">
        <f t="shared" si="451"/>
        <v/>
      </c>
      <c r="U1064" s="121">
        <f t="shared" si="452"/>
        <v>1</v>
      </c>
    </row>
    <row r="1065" spans="1:21" x14ac:dyDescent="0.3">
      <c r="A1065" s="187">
        <v>15</v>
      </c>
      <c r="B1065" s="242">
        <f t="shared" si="453"/>
        <v>46082</v>
      </c>
      <c r="C1065" s="243">
        <f t="shared" si="434"/>
        <v>46112</v>
      </c>
      <c r="D1065" s="120">
        <f t="shared" si="435"/>
        <v>31</v>
      </c>
      <c r="E1065" s="120">
        <f t="shared" si="436"/>
        <v>3</v>
      </c>
      <c r="F1065" s="275">
        <f t="shared" si="437"/>
        <v>46097.5</v>
      </c>
      <c r="G1065" s="120">
        <f t="shared" si="438"/>
        <v>24314</v>
      </c>
      <c r="H1065" s="245">
        <f t="shared" si="439"/>
        <v>1</v>
      </c>
      <c r="I1065" s="121">
        <f t="shared" si="440"/>
        <v>1</v>
      </c>
      <c r="J1065" s="121">
        <f t="shared" si="441"/>
        <v>1</v>
      </c>
      <c r="K1065" s="120">
        <f t="shared" si="442"/>
        <v>0</v>
      </c>
      <c r="L1065" s="120">
        <f t="shared" si="443"/>
        <v>0</v>
      </c>
      <c r="M1065" s="246">
        <f t="shared" si="444"/>
        <v>0</v>
      </c>
      <c r="N1065" s="121">
        <f t="shared" si="445"/>
        <v>1</v>
      </c>
      <c r="O1065" s="246">
        <f t="shared" si="446"/>
        <v>0.90348468271334792</v>
      </c>
      <c r="P1065" s="121">
        <f t="shared" si="447"/>
        <v>1</v>
      </c>
      <c r="Q1065" s="121">
        <f t="shared" si="448"/>
        <v>0</v>
      </c>
      <c r="R1065" s="121">
        <f t="shared" si="449"/>
        <v>0</v>
      </c>
      <c r="S1065" s="121" t="str">
        <f t="shared" si="450"/>
        <v/>
      </c>
      <c r="T1065" s="121" t="str">
        <f t="shared" si="451"/>
        <v/>
      </c>
      <c r="U1065" s="121">
        <f t="shared" si="452"/>
        <v>1</v>
      </c>
    </row>
    <row r="1066" spans="1:21" x14ac:dyDescent="0.3">
      <c r="A1066" s="187">
        <v>16</v>
      </c>
      <c r="B1066" s="242">
        <f t="shared" si="453"/>
        <v>46113</v>
      </c>
      <c r="C1066" s="243">
        <f t="shared" si="434"/>
        <v>46142</v>
      </c>
      <c r="D1066" s="120">
        <f t="shared" si="435"/>
        <v>30</v>
      </c>
      <c r="E1066" s="120">
        <f t="shared" si="436"/>
        <v>4</v>
      </c>
      <c r="F1066" s="275">
        <f t="shared" si="437"/>
        <v>46128</v>
      </c>
      <c r="G1066" s="120">
        <f t="shared" si="438"/>
        <v>24315</v>
      </c>
      <c r="H1066" s="245">
        <f t="shared" si="439"/>
        <v>1</v>
      </c>
      <c r="I1066" s="121">
        <f t="shared" si="440"/>
        <v>1</v>
      </c>
      <c r="J1066" s="121">
        <f t="shared" si="441"/>
        <v>1</v>
      </c>
      <c r="K1066" s="120">
        <f t="shared" si="442"/>
        <v>0</v>
      </c>
      <c r="L1066" s="120">
        <f t="shared" si="443"/>
        <v>0</v>
      </c>
      <c r="M1066" s="246">
        <f t="shared" si="444"/>
        <v>0</v>
      </c>
      <c r="N1066" s="121">
        <f t="shared" si="445"/>
        <v>1</v>
      </c>
      <c r="O1066" s="246">
        <f t="shared" si="446"/>
        <v>0.90448577680525166</v>
      </c>
      <c r="P1066" s="121">
        <f t="shared" si="447"/>
        <v>1</v>
      </c>
      <c r="Q1066" s="121">
        <f t="shared" si="448"/>
        <v>0</v>
      </c>
      <c r="R1066" s="121">
        <f t="shared" si="449"/>
        <v>0</v>
      </c>
      <c r="S1066" s="121" t="str">
        <f t="shared" si="450"/>
        <v/>
      </c>
      <c r="T1066" s="121" t="str">
        <f t="shared" si="451"/>
        <v/>
      </c>
      <c r="U1066" s="121">
        <f t="shared" si="452"/>
        <v>1</v>
      </c>
    </row>
    <row r="1067" spans="1:21" x14ac:dyDescent="0.3">
      <c r="A1067" s="187">
        <v>17</v>
      </c>
      <c r="B1067" s="242">
        <f t="shared" si="453"/>
        <v>46143</v>
      </c>
      <c r="C1067" s="243">
        <f t="shared" si="434"/>
        <v>46173</v>
      </c>
      <c r="D1067" s="120">
        <f t="shared" si="435"/>
        <v>31</v>
      </c>
      <c r="E1067" s="120">
        <f t="shared" si="436"/>
        <v>5</v>
      </c>
      <c r="F1067" s="275">
        <f t="shared" si="437"/>
        <v>46158.5</v>
      </c>
      <c r="G1067" s="120">
        <f t="shared" si="438"/>
        <v>24316</v>
      </c>
      <c r="H1067" s="245">
        <f t="shared" si="439"/>
        <v>1</v>
      </c>
      <c r="I1067" s="121">
        <f t="shared" si="440"/>
        <v>1</v>
      </c>
      <c r="J1067" s="121">
        <f t="shared" si="441"/>
        <v>1</v>
      </c>
      <c r="K1067" s="120">
        <f t="shared" si="442"/>
        <v>0</v>
      </c>
      <c r="L1067" s="120">
        <f t="shared" si="443"/>
        <v>0</v>
      </c>
      <c r="M1067" s="246">
        <f t="shared" si="444"/>
        <v>0</v>
      </c>
      <c r="N1067" s="121">
        <f t="shared" si="445"/>
        <v>1</v>
      </c>
      <c r="O1067" s="246">
        <f t="shared" si="446"/>
        <v>0.9054868708971554</v>
      </c>
      <c r="P1067" s="121">
        <f t="shared" si="447"/>
        <v>1</v>
      </c>
      <c r="Q1067" s="121">
        <f t="shared" si="448"/>
        <v>0</v>
      </c>
      <c r="R1067" s="121">
        <f t="shared" si="449"/>
        <v>0</v>
      </c>
      <c r="S1067" s="121" t="str">
        <f t="shared" si="450"/>
        <v/>
      </c>
      <c r="T1067" s="121" t="str">
        <f t="shared" si="451"/>
        <v/>
      </c>
      <c r="U1067" s="121">
        <f t="shared" si="452"/>
        <v>1</v>
      </c>
    </row>
    <row r="1068" spans="1:21" x14ac:dyDescent="0.3">
      <c r="A1068" s="187">
        <v>18</v>
      </c>
      <c r="B1068" s="242">
        <f t="shared" si="453"/>
        <v>46174</v>
      </c>
      <c r="C1068" s="243">
        <f t="shared" si="434"/>
        <v>46203</v>
      </c>
      <c r="D1068" s="120">
        <f t="shared" si="435"/>
        <v>30</v>
      </c>
      <c r="E1068" s="120">
        <f t="shared" si="436"/>
        <v>6</v>
      </c>
      <c r="F1068" s="275">
        <f t="shared" si="437"/>
        <v>46189</v>
      </c>
      <c r="G1068" s="120">
        <f t="shared" si="438"/>
        <v>24317</v>
      </c>
      <c r="H1068" s="245">
        <f t="shared" si="439"/>
        <v>1</v>
      </c>
      <c r="I1068" s="121">
        <f t="shared" si="440"/>
        <v>1</v>
      </c>
      <c r="J1068" s="121">
        <f t="shared" si="441"/>
        <v>1</v>
      </c>
      <c r="K1068" s="120">
        <f t="shared" si="442"/>
        <v>0</v>
      </c>
      <c r="L1068" s="120">
        <f t="shared" si="443"/>
        <v>0</v>
      </c>
      <c r="M1068" s="246">
        <f t="shared" si="444"/>
        <v>0</v>
      </c>
      <c r="N1068" s="121">
        <f t="shared" si="445"/>
        <v>1</v>
      </c>
      <c r="O1068" s="246">
        <f t="shared" si="446"/>
        <v>0.90648796498905915</v>
      </c>
      <c r="P1068" s="121">
        <f t="shared" si="447"/>
        <v>1</v>
      </c>
      <c r="Q1068" s="121">
        <f t="shared" si="448"/>
        <v>0</v>
      </c>
      <c r="R1068" s="121">
        <f t="shared" si="449"/>
        <v>0</v>
      </c>
      <c r="S1068" s="121" t="str">
        <f t="shared" si="450"/>
        <v/>
      </c>
      <c r="T1068" s="121" t="str">
        <f t="shared" si="451"/>
        <v/>
      </c>
      <c r="U1068" s="121">
        <f t="shared" si="452"/>
        <v>1</v>
      </c>
    </row>
    <row r="1069" spans="1:21" x14ac:dyDescent="0.3">
      <c r="A1069" s="187">
        <v>19</v>
      </c>
      <c r="B1069" s="242">
        <f t="shared" si="453"/>
        <v>46204</v>
      </c>
      <c r="C1069" s="243">
        <f t="shared" si="434"/>
        <v>46234</v>
      </c>
      <c r="D1069" s="120">
        <f t="shared" si="435"/>
        <v>31</v>
      </c>
      <c r="E1069" s="120">
        <f t="shared" si="436"/>
        <v>7</v>
      </c>
      <c r="F1069" s="275">
        <f t="shared" si="437"/>
        <v>46219.5</v>
      </c>
      <c r="G1069" s="120">
        <f t="shared" si="438"/>
        <v>24318</v>
      </c>
      <c r="H1069" s="245">
        <f t="shared" si="439"/>
        <v>1</v>
      </c>
      <c r="I1069" s="121">
        <f t="shared" si="440"/>
        <v>1</v>
      </c>
      <c r="J1069" s="121">
        <f t="shared" si="441"/>
        <v>1.05</v>
      </c>
      <c r="K1069" s="120">
        <f t="shared" si="442"/>
        <v>1</v>
      </c>
      <c r="L1069" s="120">
        <f t="shared" si="443"/>
        <v>31</v>
      </c>
      <c r="M1069" s="246">
        <f t="shared" si="444"/>
        <v>1</v>
      </c>
      <c r="N1069" s="121">
        <f t="shared" si="445"/>
        <v>1.05</v>
      </c>
      <c r="O1069" s="246">
        <f t="shared" si="446"/>
        <v>0.90748905908096278</v>
      </c>
      <c r="P1069" s="121">
        <f t="shared" si="447"/>
        <v>0.91666666666666663</v>
      </c>
      <c r="Q1069" s="121">
        <f t="shared" si="448"/>
        <v>8.333333333333337E-2</v>
      </c>
      <c r="R1069" s="121">
        <f t="shared" si="449"/>
        <v>0</v>
      </c>
      <c r="S1069" s="121" t="str">
        <f t="shared" si="450"/>
        <v/>
      </c>
      <c r="T1069" s="121" t="str">
        <f t="shared" si="451"/>
        <v/>
      </c>
      <c r="U1069" s="121">
        <f t="shared" si="452"/>
        <v>1.05</v>
      </c>
    </row>
    <row r="1070" spans="1:21" x14ac:dyDescent="0.3">
      <c r="A1070" s="187">
        <v>20</v>
      </c>
      <c r="B1070" s="242">
        <f t="shared" si="453"/>
        <v>46235</v>
      </c>
      <c r="C1070" s="243">
        <f t="shared" si="434"/>
        <v>46265</v>
      </c>
      <c r="D1070" s="120">
        <f t="shared" si="435"/>
        <v>31</v>
      </c>
      <c r="E1070" s="120">
        <f t="shared" si="436"/>
        <v>8</v>
      </c>
      <c r="F1070" s="275">
        <f t="shared" si="437"/>
        <v>46250.5</v>
      </c>
      <c r="G1070" s="120">
        <f t="shared" si="438"/>
        <v>24319</v>
      </c>
      <c r="H1070" s="245">
        <f t="shared" si="439"/>
        <v>1</v>
      </c>
      <c r="I1070" s="121">
        <f t="shared" si="440"/>
        <v>1.05</v>
      </c>
      <c r="J1070" s="121">
        <f t="shared" si="441"/>
        <v>1.05</v>
      </c>
      <c r="K1070" s="120">
        <f t="shared" si="442"/>
        <v>0</v>
      </c>
      <c r="L1070" s="120">
        <f t="shared" si="443"/>
        <v>0</v>
      </c>
      <c r="M1070" s="246">
        <f t="shared" si="444"/>
        <v>0</v>
      </c>
      <c r="N1070" s="121">
        <f t="shared" si="445"/>
        <v>1.05</v>
      </c>
      <c r="O1070" s="246">
        <f t="shared" si="446"/>
        <v>0.90850656455142231</v>
      </c>
      <c r="P1070" s="121">
        <f t="shared" si="447"/>
        <v>0.75</v>
      </c>
      <c r="Q1070" s="121">
        <f t="shared" si="448"/>
        <v>0.25</v>
      </c>
      <c r="R1070" s="121">
        <f t="shared" si="449"/>
        <v>0</v>
      </c>
      <c r="S1070" s="121" t="str">
        <f t="shared" si="450"/>
        <v/>
      </c>
      <c r="T1070" s="121" t="str">
        <f t="shared" si="451"/>
        <v/>
      </c>
      <c r="U1070" s="121">
        <f t="shared" si="452"/>
        <v>1.05</v>
      </c>
    </row>
    <row r="1071" spans="1:21" x14ac:dyDescent="0.3">
      <c r="A1071" s="187">
        <v>21</v>
      </c>
      <c r="B1071" s="242">
        <f t="shared" si="453"/>
        <v>46266</v>
      </c>
      <c r="C1071" s="243">
        <f t="shared" si="434"/>
        <v>46295</v>
      </c>
      <c r="D1071" s="120">
        <f t="shared" si="435"/>
        <v>30</v>
      </c>
      <c r="E1071" s="120">
        <f t="shared" si="436"/>
        <v>9</v>
      </c>
      <c r="F1071" s="275">
        <f t="shared" si="437"/>
        <v>46281</v>
      </c>
      <c r="G1071" s="120">
        <f t="shared" si="438"/>
        <v>24320</v>
      </c>
      <c r="H1071" s="245">
        <f t="shared" si="439"/>
        <v>1</v>
      </c>
      <c r="I1071" s="121">
        <f t="shared" si="440"/>
        <v>1.05</v>
      </c>
      <c r="J1071" s="121">
        <f t="shared" si="441"/>
        <v>1.05</v>
      </c>
      <c r="K1071" s="120">
        <f t="shared" si="442"/>
        <v>0</v>
      </c>
      <c r="L1071" s="120">
        <f t="shared" si="443"/>
        <v>0</v>
      </c>
      <c r="M1071" s="246">
        <f t="shared" si="444"/>
        <v>0</v>
      </c>
      <c r="N1071" s="121">
        <f t="shared" si="445"/>
        <v>1.05</v>
      </c>
      <c r="O1071" s="246">
        <f t="shared" si="446"/>
        <v>0.90950765864332606</v>
      </c>
      <c r="P1071" s="121">
        <f t="shared" si="447"/>
        <v>0.58333333333333337</v>
      </c>
      <c r="Q1071" s="121">
        <f t="shared" si="448"/>
        <v>0.41666666666666663</v>
      </c>
      <c r="R1071" s="121">
        <f t="shared" si="449"/>
        <v>0</v>
      </c>
      <c r="S1071" s="121" t="str">
        <f t="shared" si="450"/>
        <v/>
      </c>
      <c r="T1071" s="121" t="str">
        <f t="shared" si="451"/>
        <v/>
      </c>
      <c r="U1071" s="121">
        <f t="shared" si="452"/>
        <v>1.05</v>
      </c>
    </row>
    <row r="1072" spans="1:21" x14ac:dyDescent="0.3">
      <c r="A1072" s="187">
        <v>22</v>
      </c>
      <c r="B1072" s="242">
        <f t="shared" si="453"/>
        <v>46296</v>
      </c>
      <c r="C1072" s="243">
        <f t="shared" si="434"/>
        <v>46326</v>
      </c>
      <c r="D1072" s="120">
        <f t="shared" si="435"/>
        <v>31</v>
      </c>
      <c r="E1072" s="120">
        <f t="shared" si="436"/>
        <v>10</v>
      </c>
      <c r="F1072" s="275">
        <f t="shared" si="437"/>
        <v>46311.5</v>
      </c>
      <c r="G1072" s="120">
        <f t="shared" si="438"/>
        <v>24321</v>
      </c>
      <c r="H1072" s="245">
        <f t="shared" si="439"/>
        <v>1</v>
      </c>
      <c r="I1072" s="121">
        <f t="shared" si="440"/>
        <v>1.05</v>
      </c>
      <c r="J1072" s="121">
        <f t="shared" si="441"/>
        <v>1.05</v>
      </c>
      <c r="K1072" s="120">
        <f t="shared" si="442"/>
        <v>0</v>
      </c>
      <c r="L1072" s="120">
        <f t="shared" si="443"/>
        <v>0</v>
      </c>
      <c r="M1072" s="246">
        <f t="shared" si="444"/>
        <v>0</v>
      </c>
      <c r="N1072" s="121">
        <f t="shared" si="445"/>
        <v>1.05</v>
      </c>
      <c r="O1072" s="246">
        <f t="shared" si="446"/>
        <v>0.9105087527352298</v>
      </c>
      <c r="P1072" s="121">
        <f t="shared" si="447"/>
        <v>0.41666666666666669</v>
      </c>
      <c r="Q1072" s="121">
        <f t="shared" si="448"/>
        <v>0.58333333333333326</v>
      </c>
      <c r="R1072" s="121">
        <f t="shared" si="449"/>
        <v>0</v>
      </c>
      <c r="S1072" s="121" t="str">
        <f t="shared" si="450"/>
        <v/>
      </c>
      <c r="T1072" s="121" t="str">
        <f t="shared" si="451"/>
        <v/>
      </c>
      <c r="U1072" s="121">
        <f t="shared" si="452"/>
        <v>1.05</v>
      </c>
    </row>
    <row r="1073" spans="1:21" x14ac:dyDescent="0.3">
      <c r="A1073" s="187">
        <v>23</v>
      </c>
      <c r="B1073" s="242">
        <f t="shared" si="453"/>
        <v>46327</v>
      </c>
      <c r="C1073" s="243">
        <f t="shared" si="434"/>
        <v>46356</v>
      </c>
      <c r="D1073" s="120">
        <f t="shared" si="435"/>
        <v>30</v>
      </c>
      <c r="E1073" s="120">
        <f t="shared" si="436"/>
        <v>11</v>
      </c>
      <c r="F1073" s="275">
        <f t="shared" si="437"/>
        <v>46342</v>
      </c>
      <c r="G1073" s="120">
        <f t="shared" si="438"/>
        <v>24322</v>
      </c>
      <c r="H1073" s="245">
        <f t="shared" si="439"/>
        <v>1</v>
      </c>
      <c r="I1073" s="121">
        <f t="shared" si="440"/>
        <v>1.05</v>
      </c>
      <c r="J1073" s="121">
        <f t="shared" si="441"/>
        <v>1.05</v>
      </c>
      <c r="K1073" s="120">
        <f t="shared" si="442"/>
        <v>0</v>
      </c>
      <c r="L1073" s="120">
        <f t="shared" si="443"/>
        <v>0</v>
      </c>
      <c r="M1073" s="246">
        <f t="shared" si="444"/>
        <v>0</v>
      </c>
      <c r="N1073" s="121">
        <f t="shared" si="445"/>
        <v>1.05</v>
      </c>
      <c r="O1073" s="246">
        <f t="shared" si="446"/>
        <v>0.91150984682713354</v>
      </c>
      <c r="P1073" s="121">
        <f t="shared" si="447"/>
        <v>0.25</v>
      </c>
      <c r="Q1073" s="121">
        <f t="shared" si="448"/>
        <v>0.75</v>
      </c>
      <c r="R1073" s="121">
        <f t="shared" si="449"/>
        <v>0</v>
      </c>
      <c r="S1073" s="121" t="str">
        <f t="shared" si="450"/>
        <v/>
      </c>
      <c r="T1073" s="121" t="str">
        <f t="shared" si="451"/>
        <v/>
      </c>
      <c r="U1073" s="121">
        <f t="shared" si="452"/>
        <v>1.05</v>
      </c>
    </row>
    <row r="1074" spans="1:21" x14ac:dyDescent="0.3">
      <c r="A1074" s="187">
        <v>24</v>
      </c>
      <c r="B1074" s="242">
        <f t="shared" si="453"/>
        <v>46357</v>
      </c>
      <c r="C1074" s="243">
        <f t="shared" si="434"/>
        <v>46387</v>
      </c>
      <c r="D1074" s="120">
        <f t="shared" si="435"/>
        <v>31</v>
      </c>
      <c r="E1074" s="120">
        <f t="shared" si="436"/>
        <v>12</v>
      </c>
      <c r="F1074" s="275">
        <f t="shared" si="437"/>
        <v>46372.5</v>
      </c>
      <c r="G1074" s="120">
        <f t="shared" si="438"/>
        <v>24323</v>
      </c>
      <c r="H1074" s="245">
        <f t="shared" si="439"/>
        <v>1</v>
      </c>
      <c r="I1074" s="121">
        <f t="shared" si="440"/>
        <v>1.05</v>
      </c>
      <c r="J1074" s="121">
        <f t="shared" si="441"/>
        <v>1.05</v>
      </c>
      <c r="K1074" s="120">
        <f t="shared" si="442"/>
        <v>0</v>
      </c>
      <c r="L1074" s="120">
        <f t="shared" si="443"/>
        <v>0</v>
      </c>
      <c r="M1074" s="246">
        <f t="shared" si="444"/>
        <v>0</v>
      </c>
      <c r="N1074" s="121">
        <f t="shared" si="445"/>
        <v>1.05</v>
      </c>
      <c r="O1074" s="246">
        <f t="shared" si="446"/>
        <v>0.91251094091903728</v>
      </c>
      <c r="P1074" s="121">
        <f t="shared" si="447"/>
        <v>8.3333333333333329E-2</v>
      </c>
      <c r="Q1074" s="121">
        <f t="shared" si="448"/>
        <v>0.91666666666666663</v>
      </c>
      <c r="R1074" s="121">
        <f t="shared" si="449"/>
        <v>0</v>
      </c>
      <c r="S1074" s="121" t="str">
        <f t="shared" si="450"/>
        <v/>
      </c>
      <c r="T1074" s="121" t="str">
        <f t="shared" si="451"/>
        <v/>
      </c>
      <c r="U1074" s="121">
        <f t="shared" si="452"/>
        <v>1.05</v>
      </c>
    </row>
    <row r="1075" spans="1:21" x14ac:dyDescent="0.3">
      <c r="A1075" s="187">
        <v>25</v>
      </c>
      <c r="B1075" s="242">
        <f t="shared" si="453"/>
        <v>46388</v>
      </c>
      <c r="C1075" s="243">
        <f t="shared" si="434"/>
        <v>46418</v>
      </c>
      <c r="D1075" s="120">
        <f t="shared" si="435"/>
        <v>31</v>
      </c>
      <c r="E1075" s="120">
        <f t="shared" si="436"/>
        <v>1</v>
      </c>
      <c r="F1075" s="275">
        <f t="shared" si="437"/>
        <v>46403.5</v>
      </c>
      <c r="G1075" s="120">
        <f t="shared" si="438"/>
        <v>24324</v>
      </c>
      <c r="H1075" s="245">
        <f t="shared" si="439"/>
        <v>1</v>
      </c>
      <c r="I1075" s="121">
        <f t="shared" si="440"/>
        <v>1.05</v>
      </c>
      <c r="J1075" s="121">
        <f t="shared" si="441"/>
        <v>1.05</v>
      </c>
      <c r="K1075" s="120">
        <f t="shared" si="442"/>
        <v>0</v>
      </c>
      <c r="L1075" s="120">
        <f t="shared" si="443"/>
        <v>0</v>
      </c>
      <c r="M1075" s="246">
        <f t="shared" si="444"/>
        <v>0</v>
      </c>
      <c r="N1075" s="121">
        <f t="shared" si="445"/>
        <v>1.05</v>
      </c>
      <c r="O1075" s="246">
        <f t="shared" si="446"/>
        <v>0.91352844638949671</v>
      </c>
      <c r="P1075" s="121">
        <f t="shared" si="447"/>
        <v>0</v>
      </c>
      <c r="Q1075" s="121">
        <f t="shared" si="448"/>
        <v>1</v>
      </c>
      <c r="R1075" s="121">
        <f t="shared" si="449"/>
        <v>0</v>
      </c>
      <c r="S1075" s="121" t="str">
        <f t="shared" si="450"/>
        <v/>
      </c>
      <c r="T1075" s="121" t="str">
        <f t="shared" si="451"/>
        <v/>
      </c>
      <c r="U1075" s="121">
        <f t="shared" si="452"/>
        <v>1.05</v>
      </c>
    </row>
    <row r="1076" spans="1:21" x14ac:dyDescent="0.3">
      <c r="A1076" s="187">
        <v>26</v>
      </c>
      <c r="B1076" s="242">
        <f t="shared" si="453"/>
        <v>46419</v>
      </c>
      <c r="C1076" s="243">
        <f t="shared" si="434"/>
        <v>46446</v>
      </c>
      <c r="D1076" s="120">
        <f t="shared" si="435"/>
        <v>28</v>
      </c>
      <c r="E1076" s="120">
        <f t="shared" si="436"/>
        <v>2</v>
      </c>
      <c r="F1076" s="275">
        <f t="shared" si="437"/>
        <v>46433</v>
      </c>
      <c r="G1076" s="120">
        <f t="shared" si="438"/>
        <v>24325</v>
      </c>
      <c r="H1076" s="245">
        <f t="shared" si="439"/>
        <v>1</v>
      </c>
      <c r="I1076" s="121">
        <f t="shared" si="440"/>
        <v>1.05</v>
      </c>
      <c r="J1076" s="121">
        <f t="shared" si="441"/>
        <v>1.05</v>
      </c>
      <c r="K1076" s="120">
        <f t="shared" si="442"/>
        <v>0</v>
      </c>
      <c r="L1076" s="120">
        <f t="shared" si="443"/>
        <v>0</v>
      </c>
      <c r="M1076" s="246">
        <f t="shared" si="444"/>
        <v>0</v>
      </c>
      <c r="N1076" s="121">
        <f t="shared" si="445"/>
        <v>1.05</v>
      </c>
      <c r="O1076" s="246">
        <f t="shared" si="446"/>
        <v>0.91449671772428887</v>
      </c>
      <c r="P1076" s="121">
        <f t="shared" si="447"/>
        <v>0</v>
      </c>
      <c r="Q1076" s="121">
        <f t="shared" si="448"/>
        <v>1</v>
      </c>
      <c r="R1076" s="121">
        <f t="shared" si="449"/>
        <v>0</v>
      </c>
      <c r="S1076" s="121" t="str">
        <f t="shared" si="450"/>
        <v/>
      </c>
      <c r="T1076" s="121" t="str">
        <f t="shared" si="451"/>
        <v/>
      </c>
      <c r="U1076" s="121">
        <f t="shared" si="452"/>
        <v>1.05</v>
      </c>
    </row>
    <row r="1077" spans="1:21" x14ac:dyDescent="0.3">
      <c r="A1077" s="187">
        <v>27</v>
      </c>
      <c r="B1077" s="242">
        <f t="shared" si="453"/>
        <v>46447</v>
      </c>
      <c r="C1077" s="243">
        <f t="shared" si="434"/>
        <v>46477</v>
      </c>
      <c r="D1077" s="120">
        <f t="shared" si="435"/>
        <v>31</v>
      </c>
      <c r="E1077" s="120">
        <f t="shared" si="436"/>
        <v>3</v>
      </c>
      <c r="F1077" s="275">
        <f t="shared" si="437"/>
        <v>46462.5</v>
      </c>
      <c r="G1077" s="120">
        <f t="shared" si="438"/>
        <v>24326</v>
      </c>
      <c r="H1077" s="245">
        <f t="shared" si="439"/>
        <v>1</v>
      </c>
      <c r="I1077" s="121">
        <f t="shared" si="440"/>
        <v>1.05</v>
      </c>
      <c r="J1077" s="121">
        <f t="shared" si="441"/>
        <v>1.05</v>
      </c>
      <c r="K1077" s="120">
        <f t="shared" si="442"/>
        <v>0</v>
      </c>
      <c r="L1077" s="120">
        <f t="shared" si="443"/>
        <v>0</v>
      </c>
      <c r="M1077" s="246">
        <f t="shared" si="444"/>
        <v>0</v>
      </c>
      <c r="N1077" s="121">
        <f t="shared" si="445"/>
        <v>1.05</v>
      </c>
      <c r="O1077" s="246">
        <f t="shared" si="446"/>
        <v>0.91546498905908102</v>
      </c>
      <c r="P1077" s="121">
        <f t="shared" si="447"/>
        <v>0</v>
      </c>
      <c r="Q1077" s="121">
        <f t="shared" si="448"/>
        <v>1</v>
      </c>
      <c r="R1077" s="121">
        <f t="shared" si="449"/>
        <v>0</v>
      </c>
      <c r="S1077" s="121" t="str">
        <f t="shared" si="450"/>
        <v/>
      </c>
      <c r="T1077" s="121" t="str">
        <f t="shared" si="451"/>
        <v/>
      </c>
      <c r="U1077" s="121">
        <f t="shared" si="452"/>
        <v>1.05</v>
      </c>
    </row>
    <row r="1078" spans="1:21" x14ac:dyDescent="0.3">
      <c r="A1078" s="187">
        <v>28</v>
      </c>
      <c r="B1078" s="242">
        <f t="shared" si="453"/>
        <v>46478</v>
      </c>
      <c r="C1078" s="243">
        <f t="shared" si="434"/>
        <v>46507</v>
      </c>
      <c r="D1078" s="120">
        <f t="shared" si="435"/>
        <v>30</v>
      </c>
      <c r="E1078" s="120">
        <f t="shared" si="436"/>
        <v>4</v>
      </c>
      <c r="F1078" s="275">
        <f t="shared" si="437"/>
        <v>46493</v>
      </c>
      <c r="G1078" s="120">
        <f t="shared" si="438"/>
        <v>24327</v>
      </c>
      <c r="H1078" s="245">
        <f t="shared" si="439"/>
        <v>1</v>
      </c>
      <c r="I1078" s="121">
        <f t="shared" si="440"/>
        <v>1.05</v>
      </c>
      <c r="J1078" s="121">
        <f t="shared" si="441"/>
        <v>1.05</v>
      </c>
      <c r="K1078" s="120">
        <f t="shared" si="442"/>
        <v>0</v>
      </c>
      <c r="L1078" s="120">
        <f t="shared" si="443"/>
        <v>0</v>
      </c>
      <c r="M1078" s="246">
        <f t="shared" si="444"/>
        <v>0</v>
      </c>
      <c r="N1078" s="121">
        <f t="shared" si="445"/>
        <v>1.05</v>
      </c>
      <c r="O1078" s="246">
        <f t="shared" si="446"/>
        <v>0.91646608315098477</v>
      </c>
      <c r="P1078" s="121">
        <f t="shared" si="447"/>
        <v>0</v>
      </c>
      <c r="Q1078" s="121">
        <f t="shared" si="448"/>
        <v>1</v>
      </c>
      <c r="R1078" s="121">
        <f t="shared" si="449"/>
        <v>0</v>
      </c>
      <c r="S1078" s="121" t="str">
        <f t="shared" si="450"/>
        <v/>
      </c>
      <c r="T1078" s="121" t="str">
        <f t="shared" si="451"/>
        <v/>
      </c>
      <c r="U1078" s="121">
        <f t="shared" si="452"/>
        <v>1.05</v>
      </c>
    </row>
    <row r="1079" spans="1:21" x14ac:dyDescent="0.3">
      <c r="A1079" s="187">
        <v>29</v>
      </c>
      <c r="B1079" s="242">
        <f t="shared" si="453"/>
        <v>46508</v>
      </c>
      <c r="C1079" s="243">
        <f t="shared" si="434"/>
        <v>46538</v>
      </c>
      <c r="D1079" s="120">
        <f t="shared" si="435"/>
        <v>31</v>
      </c>
      <c r="E1079" s="120">
        <f t="shared" si="436"/>
        <v>5</v>
      </c>
      <c r="F1079" s="275">
        <f t="shared" si="437"/>
        <v>46523.5</v>
      </c>
      <c r="G1079" s="120">
        <f t="shared" si="438"/>
        <v>24328</v>
      </c>
      <c r="H1079" s="245">
        <f t="shared" si="439"/>
        <v>1</v>
      </c>
      <c r="I1079" s="121">
        <f t="shared" si="440"/>
        <v>1.05</v>
      </c>
      <c r="J1079" s="121">
        <f t="shared" si="441"/>
        <v>1.05</v>
      </c>
      <c r="K1079" s="120">
        <f t="shared" si="442"/>
        <v>0</v>
      </c>
      <c r="L1079" s="120">
        <f t="shared" si="443"/>
        <v>0</v>
      </c>
      <c r="M1079" s="246">
        <f t="shared" si="444"/>
        <v>0</v>
      </c>
      <c r="N1079" s="121">
        <f t="shared" si="445"/>
        <v>1.05</v>
      </c>
      <c r="O1079" s="246">
        <f t="shared" si="446"/>
        <v>0.9174671772428884</v>
      </c>
      <c r="P1079" s="121">
        <f t="shared" si="447"/>
        <v>0</v>
      </c>
      <c r="Q1079" s="121">
        <f t="shared" si="448"/>
        <v>1</v>
      </c>
      <c r="R1079" s="121">
        <f t="shared" si="449"/>
        <v>0</v>
      </c>
      <c r="S1079" s="121" t="str">
        <f t="shared" si="450"/>
        <v/>
      </c>
      <c r="T1079" s="121" t="str">
        <f t="shared" si="451"/>
        <v/>
      </c>
      <c r="U1079" s="121">
        <f t="shared" si="452"/>
        <v>1.05</v>
      </c>
    </row>
    <row r="1080" spans="1:21" x14ac:dyDescent="0.3">
      <c r="A1080" s="187">
        <v>30</v>
      </c>
      <c r="B1080" s="242">
        <f t="shared" si="453"/>
        <v>46539</v>
      </c>
      <c r="C1080" s="243">
        <f t="shared" si="434"/>
        <v>46568</v>
      </c>
      <c r="D1080" s="120">
        <f t="shared" si="435"/>
        <v>30</v>
      </c>
      <c r="E1080" s="120">
        <f t="shared" si="436"/>
        <v>6</v>
      </c>
      <c r="F1080" s="275">
        <f t="shared" si="437"/>
        <v>46554</v>
      </c>
      <c r="G1080" s="120">
        <f t="shared" si="438"/>
        <v>24329</v>
      </c>
      <c r="H1080" s="245">
        <f t="shared" si="439"/>
        <v>1</v>
      </c>
      <c r="I1080" s="121">
        <f t="shared" si="440"/>
        <v>1.05</v>
      </c>
      <c r="J1080" s="121">
        <f t="shared" si="441"/>
        <v>1.05</v>
      </c>
      <c r="K1080" s="120">
        <f t="shared" si="442"/>
        <v>0</v>
      </c>
      <c r="L1080" s="120">
        <f t="shared" si="443"/>
        <v>0</v>
      </c>
      <c r="M1080" s="246">
        <f t="shared" si="444"/>
        <v>0</v>
      </c>
      <c r="N1080" s="121">
        <f t="shared" si="445"/>
        <v>1.05</v>
      </c>
      <c r="O1080" s="246">
        <f t="shared" si="446"/>
        <v>0.91846827133479214</v>
      </c>
      <c r="P1080" s="121">
        <f t="shared" si="447"/>
        <v>0</v>
      </c>
      <c r="Q1080" s="121">
        <f t="shared" si="448"/>
        <v>1</v>
      </c>
      <c r="R1080" s="121">
        <f t="shared" si="449"/>
        <v>0</v>
      </c>
      <c r="S1080" s="121" t="str">
        <f t="shared" si="450"/>
        <v/>
      </c>
      <c r="T1080" s="121" t="str">
        <f t="shared" si="451"/>
        <v/>
      </c>
      <c r="U1080" s="121">
        <f t="shared" si="452"/>
        <v>1.05</v>
      </c>
    </row>
    <row r="1081" spans="1:21" x14ac:dyDescent="0.3">
      <c r="A1081" s="187">
        <v>31</v>
      </c>
      <c r="B1081" s="242">
        <f t="shared" si="453"/>
        <v>46569</v>
      </c>
      <c r="C1081" s="243">
        <f t="shared" si="434"/>
        <v>46599</v>
      </c>
      <c r="D1081" s="120">
        <f t="shared" si="435"/>
        <v>31</v>
      </c>
      <c r="E1081" s="120">
        <f t="shared" si="436"/>
        <v>7</v>
      </c>
      <c r="F1081" s="275">
        <f t="shared" si="437"/>
        <v>46584.5</v>
      </c>
      <c r="G1081" s="120">
        <f t="shared" si="438"/>
        <v>24330</v>
      </c>
      <c r="H1081" s="245">
        <f t="shared" si="439"/>
        <v>1</v>
      </c>
      <c r="I1081" s="121">
        <f t="shared" si="440"/>
        <v>1.05</v>
      </c>
      <c r="J1081" s="121">
        <f t="shared" si="441"/>
        <v>1.05</v>
      </c>
      <c r="K1081" s="120">
        <f t="shared" si="442"/>
        <v>0</v>
      </c>
      <c r="L1081" s="120">
        <f t="shared" si="443"/>
        <v>0</v>
      </c>
      <c r="M1081" s="246">
        <f t="shared" si="444"/>
        <v>0</v>
      </c>
      <c r="N1081" s="121">
        <f t="shared" si="445"/>
        <v>1.05</v>
      </c>
      <c r="O1081" s="246">
        <f t="shared" si="446"/>
        <v>0.91946936542669588</v>
      </c>
      <c r="P1081" s="121">
        <f t="shared" si="447"/>
        <v>0</v>
      </c>
      <c r="Q1081" s="121">
        <f t="shared" si="448"/>
        <v>0.91666666666666663</v>
      </c>
      <c r="R1081" s="121">
        <f t="shared" si="449"/>
        <v>8.333333333333337E-2</v>
      </c>
      <c r="S1081" s="121" t="str">
        <f t="shared" si="450"/>
        <v/>
      </c>
      <c r="T1081" s="121" t="str">
        <f t="shared" si="451"/>
        <v/>
      </c>
      <c r="U1081" s="121">
        <f t="shared" si="452"/>
        <v>1.05</v>
      </c>
    </row>
    <row r="1082" spans="1:21" x14ac:dyDescent="0.3">
      <c r="A1082" s="187">
        <v>32</v>
      </c>
      <c r="B1082" s="242">
        <f t="shared" si="453"/>
        <v>46600</v>
      </c>
      <c r="C1082" s="243">
        <f t="shared" si="434"/>
        <v>46630</v>
      </c>
      <c r="D1082" s="120">
        <f t="shared" si="435"/>
        <v>31</v>
      </c>
      <c r="E1082" s="120">
        <f t="shared" si="436"/>
        <v>8</v>
      </c>
      <c r="F1082" s="275">
        <f t="shared" si="437"/>
        <v>46615.5</v>
      </c>
      <c r="G1082" s="120">
        <f t="shared" si="438"/>
        <v>24331</v>
      </c>
      <c r="H1082" s="245">
        <f t="shared" si="439"/>
        <v>1</v>
      </c>
      <c r="I1082" s="121">
        <f t="shared" si="440"/>
        <v>1.05</v>
      </c>
      <c r="J1082" s="121">
        <f t="shared" si="441"/>
        <v>1.05</v>
      </c>
      <c r="K1082" s="120">
        <f t="shared" si="442"/>
        <v>0</v>
      </c>
      <c r="L1082" s="120">
        <f t="shared" si="443"/>
        <v>0</v>
      </c>
      <c r="M1082" s="246">
        <f t="shared" si="444"/>
        <v>0</v>
      </c>
      <c r="N1082" s="121">
        <f t="shared" si="445"/>
        <v>1.05</v>
      </c>
      <c r="O1082" s="246">
        <f t="shared" si="446"/>
        <v>0.92048687089715542</v>
      </c>
      <c r="P1082" s="121">
        <f t="shared" si="447"/>
        <v>0</v>
      </c>
      <c r="Q1082" s="121">
        <f t="shared" si="448"/>
        <v>0.75</v>
      </c>
      <c r="R1082" s="121">
        <f t="shared" si="449"/>
        <v>0.25</v>
      </c>
      <c r="S1082" s="121" t="str">
        <f t="shared" si="450"/>
        <v/>
      </c>
      <c r="T1082" s="121" t="str">
        <f t="shared" si="451"/>
        <v/>
      </c>
      <c r="U1082" s="121">
        <f t="shared" si="452"/>
        <v>1.05</v>
      </c>
    </row>
    <row r="1083" spans="1:21" x14ac:dyDescent="0.3">
      <c r="A1083" s="187">
        <v>33</v>
      </c>
      <c r="B1083" s="242">
        <f t="shared" si="453"/>
        <v>46631</v>
      </c>
      <c r="C1083" s="243">
        <f t="shared" si="434"/>
        <v>46660</v>
      </c>
      <c r="D1083" s="120">
        <f t="shared" si="435"/>
        <v>30</v>
      </c>
      <c r="E1083" s="120">
        <f t="shared" si="436"/>
        <v>9</v>
      </c>
      <c r="F1083" s="275">
        <f t="shared" si="437"/>
        <v>46646</v>
      </c>
      <c r="G1083" s="120">
        <f t="shared" si="438"/>
        <v>24332</v>
      </c>
      <c r="H1083" s="245">
        <f t="shared" si="439"/>
        <v>1</v>
      </c>
      <c r="I1083" s="121">
        <f t="shared" si="440"/>
        <v>1.05</v>
      </c>
      <c r="J1083" s="121">
        <f t="shared" si="441"/>
        <v>1.05</v>
      </c>
      <c r="K1083" s="120">
        <f t="shared" si="442"/>
        <v>0</v>
      </c>
      <c r="L1083" s="120">
        <f t="shared" si="443"/>
        <v>0</v>
      </c>
      <c r="M1083" s="246">
        <f t="shared" si="444"/>
        <v>0</v>
      </c>
      <c r="N1083" s="121">
        <f t="shared" si="445"/>
        <v>1.05</v>
      </c>
      <c r="O1083" s="246">
        <f t="shared" si="446"/>
        <v>0.92148796498905916</v>
      </c>
      <c r="P1083" s="121">
        <f t="shared" si="447"/>
        <v>0</v>
      </c>
      <c r="Q1083" s="121">
        <f t="shared" si="448"/>
        <v>0.58333333333333337</v>
      </c>
      <c r="R1083" s="121">
        <f t="shared" si="449"/>
        <v>0.41666666666666663</v>
      </c>
      <c r="S1083" s="121" t="str">
        <f t="shared" si="450"/>
        <v/>
      </c>
      <c r="T1083" s="121" t="str">
        <f t="shared" si="451"/>
        <v/>
      </c>
      <c r="U1083" s="121">
        <f t="shared" si="452"/>
        <v>1.05</v>
      </c>
    </row>
    <row r="1084" spans="1:21" x14ac:dyDescent="0.3">
      <c r="A1084" s="187">
        <v>34</v>
      </c>
      <c r="B1084" s="242">
        <f t="shared" si="453"/>
        <v>46661</v>
      </c>
      <c r="C1084" s="243">
        <f t="shared" si="434"/>
        <v>46691</v>
      </c>
      <c r="D1084" s="120">
        <f t="shared" si="435"/>
        <v>31</v>
      </c>
      <c r="E1084" s="120">
        <f t="shared" si="436"/>
        <v>10</v>
      </c>
      <c r="F1084" s="275">
        <f t="shared" si="437"/>
        <v>46676.5</v>
      </c>
      <c r="G1084" s="120">
        <f t="shared" si="438"/>
        <v>24333</v>
      </c>
      <c r="H1084" s="245">
        <f t="shared" si="439"/>
        <v>1</v>
      </c>
      <c r="I1084" s="121">
        <f t="shared" si="440"/>
        <v>1.05</v>
      </c>
      <c r="J1084" s="121">
        <f t="shared" si="441"/>
        <v>1.05</v>
      </c>
      <c r="K1084" s="120">
        <f t="shared" si="442"/>
        <v>0</v>
      </c>
      <c r="L1084" s="120">
        <f t="shared" si="443"/>
        <v>0</v>
      </c>
      <c r="M1084" s="246">
        <f t="shared" si="444"/>
        <v>0</v>
      </c>
      <c r="N1084" s="121">
        <f t="shared" si="445"/>
        <v>1.05</v>
      </c>
      <c r="O1084" s="246">
        <f t="shared" si="446"/>
        <v>0.92248905908096279</v>
      </c>
      <c r="P1084" s="121">
        <f t="shared" si="447"/>
        <v>0</v>
      </c>
      <c r="Q1084" s="121">
        <f t="shared" si="448"/>
        <v>0.41666666666666669</v>
      </c>
      <c r="R1084" s="121">
        <f t="shared" si="449"/>
        <v>0.58333333333333326</v>
      </c>
      <c r="S1084" s="121" t="str">
        <f t="shared" si="450"/>
        <v/>
      </c>
      <c r="T1084" s="121" t="str">
        <f t="shared" si="451"/>
        <v/>
      </c>
      <c r="U1084" s="121">
        <f t="shared" si="452"/>
        <v>1.05</v>
      </c>
    </row>
    <row r="1085" spans="1:21" x14ac:dyDescent="0.3">
      <c r="A1085" s="187">
        <v>35</v>
      </c>
      <c r="B1085" s="242">
        <f t="shared" si="453"/>
        <v>46692</v>
      </c>
      <c r="C1085" s="243">
        <f t="shared" si="434"/>
        <v>46721</v>
      </c>
      <c r="D1085" s="120">
        <f t="shared" si="435"/>
        <v>30</v>
      </c>
      <c r="E1085" s="120">
        <f t="shared" si="436"/>
        <v>11</v>
      </c>
      <c r="F1085" s="275">
        <f t="shared" si="437"/>
        <v>46707</v>
      </c>
      <c r="G1085" s="120">
        <f t="shared" si="438"/>
        <v>24334</v>
      </c>
      <c r="H1085" s="245">
        <f t="shared" si="439"/>
        <v>1</v>
      </c>
      <c r="I1085" s="121">
        <f t="shared" si="440"/>
        <v>1.05</v>
      </c>
      <c r="J1085" s="121">
        <f t="shared" si="441"/>
        <v>1.05</v>
      </c>
      <c r="K1085" s="120">
        <f t="shared" si="442"/>
        <v>0</v>
      </c>
      <c r="L1085" s="120">
        <f t="shared" si="443"/>
        <v>0</v>
      </c>
      <c r="M1085" s="246">
        <f t="shared" si="444"/>
        <v>0</v>
      </c>
      <c r="N1085" s="121">
        <f t="shared" si="445"/>
        <v>1.05</v>
      </c>
      <c r="O1085" s="246">
        <f t="shared" si="446"/>
        <v>0.92349015317286653</v>
      </c>
      <c r="P1085" s="121">
        <f t="shared" si="447"/>
        <v>0</v>
      </c>
      <c r="Q1085" s="121">
        <f t="shared" si="448"/>
        <v>0.25</v>
      </c>
      <c r="R1085" s="121">
        <f t="shared" si="449"/>
        <v>0.75</v>
      </c>
      <c r="S1085" s="121" t="str">
        <f t="shared" si="450"/>
        <v/>
      </c>
      <c r="T1085" s="121" t="str">
        <f t="shared" si="451"/>
        <v/>
      </c>
      <c r="U1085" s="121">
        <f t="shared" si="452"/>
        <v>1.05</v>
      </c>
    </row>
    <row r="1086" spans="1:21" x14ac:dyDescent="0.3">
      <c r="A1086" s="187">
        <v>36</v>
      </c>
      <c r="B1086" s="242">
        <f t="shared" si="453"/>
        <v>46722</v>
      </c>
      <c r="C1086" s="243">
        <f t="shared" si="434"/>
        <v>46752</v>
      </c>
      <c r="D1086" s="120">
        <f t="shared" si="435"/>
        <v>31</v>
      </c>
      <c r="E1086" s="120">
        <f t="shared" si="436"/>
        <v>12</v>
      </c>
      <c r="F1086" s="275">
        <f t="shared" si="437"/>
        <v>46737.5</v>
      </c>
      <c r="G1086" s="120">
        <f t="shared" si="438"/>
        <v>24335</v>
      </c>
      <c r="H1086" s="245">
        <f t="shared" si="439"/>
        <v>1</v>
      </c>
      <c r="I1086" s="121">
        <f t="shared" si="440"/>
        <v>1.05</v>
      </c>
      <c r="J1086" s="121">
        <f t="shared" si="441"/>
        <v>1.05</v>
      </c>
      <c r="K1086" s="120">
        <f t="shared" si="442"/>
        <v>0</v>
      </c>
      <c r="L1086" s="120">
        <f t="shared" si="443"/>
        <v>0</v>
      </c>
      <c r="M1086" s="246">
        <f t="shared" si="444"/>
        <v>0</v>
      </c>
      <c r="N1086" s="121">
        <f t="shared" si="445"/>
        <v>1.05</v>
      </c>
      <c r="O1086" s="246">
        <f t="shared" si="446"/>
        <v>0.92449124726477028</v>
      </c>
      <c r="P1086" s="121">
        <f t="shared" si="447"/>
        <v>0</v>
      </c>
      <c r="Q1086" s="121">
        <f t="shared" si="448"/>
        <v>8.3333333333333329E-2</v>
      </c>
      <c r="R1086" s="121">
        <f t="shared" si="449"/>
        <v>0.91666666666666663</v>
      </c>
      <c r="S1086" s="121" t="str">
        <f t="shared" si="450"/>
        <v/>
      </c>
      <c r="T1086" s="121" t="str">
        <f t="shared" si="451"/>
        <v/>
      </c>
      <c r="U1086" s="121">
        <f t="shared" si="452"/>
        <v>1.05</v>
      </c>
    </row>
    <row r="1087" spans="1:21" x14ac:dyDescent="0.3">
      <c r="A1087" s="187">
        <v>37</v>
      </c>
      <c r="B1087" s="242">
        <f t="shared" si="453"/>
        <v>46753</v>
      </c>
      <c r="C1087" s="243">
        <f t="shared" si="434"/>
        <v>46783</v>
      </c>
      <c r="D1087" s="120">
        <f t="shared" si="435"/>
        <v>31</v>
      </c>
      <c r="E1087" s="120">
        <f t="shared" si="436"/>
        <v>1</v>
      </c>
      <c r="F1087" s="275">
        <f t="shared" si="437"/>
        <v>46768.5</v>
      </c>
      <c r="G1087" s="120">
        <f t="shared" si="438"/>
        <v>24336</v>
      </c>
      <c r="H1087" s="245">
        <f t="shared" si="439"/>
        <v>1</v>
      </c>
      <c r="I1087" s="121">
        <f t="shared" si="440"/>
        <v>1.05</v>
      </c>
      <c r="J1087" s="121">
        <f t="shared" si="441"/>
        <v>1.05</v>
      </c>
      <c r="K1087" s="120">
        <f t="shared" si="442"/>
        <v>0</v>
      </c>
      <c r="L1087" s="120">
        <f t="shared" si="443"/>
        <v>0</v>
      </c>
      <c r="M1087" s="246">
        <f t="shared" si="444"/>
        <v>0</v>
      </c>
      <c r="N1087" s="121">
        <f t="shared" si="445"/>
        <v>1.05</v>
      </c>
      <c r="O1087" s="246">
        <f t="shared" si="446"/>
        <v>0.92500000000000004</v>
      </c>
      <c r="P1087" s="121">
        <f t="shared" si="447"/>
        <v>0</v>
      </c>
      <c r="Q1087" s="121">
        <f t="shared" si="448"/>
        <v>0</v>
      </c>
      <c r="R1087" s="121">
        <f t="shared" si="449"/>
        <v>1</v>
      </c>
      <c r="S1087" s="121" t="str">
        <f t="shared" si="450"/>
        <v/>
      </c>
      <c r="T1087" s="121" t="str">
        <f t="shared" si="451"/>
        <v/>
      </c>
      <c r="U1087" s="121">
        <f t="shared" si="452"/>
        <v>1.05</v>
      </c>
    </row>
    <row r="1088" spans="1:21" x14ac:dyDescent="0.3">
      <c r="A1088" s="187">
        <v>38</v>
      </c>
      <c r="B1088" s="242">
        <f t="shared" si="453"/>
        <v>46784</v>
      </c>
      <c r="C1088" s="243">
        <f t="shared" si="434"/>
        <v>46812</v>
      </c>
      <c r="D1088" s="120">
        <f t="shared" si="435"/>
        <v>29</v>
      </c>
      <c r="E1088" s="120">
        <f t="shared" si="436"/>
        <v>2</v>
      </c>
      <c r="F1088" s="275">
        <f t="shared" si="437"/>
        <v>46798.5</v>
      </c>
      <c r="G1088" s="120">
        <f t="shared" si="438"/>
        <v>24337</v>
      </c>
      <c r="H1088" s="245">
        <f t="shared" si="439"/>
        <v>1</v>
      </c>
      <c r="I1088" s="121">
        <f t="shared" si="440"/>
        <v>1.05</v>
      </c>
      <c r="J1088" s="121">
        <f t="shared" si="441"/>
        <v>1.05</v>
      </c>
      <c r="K1088" s="120">
        <f t="shared" si="442"/>
        <v>0</v>
      </c>
      <c r="L1088" s="120">
        <f t="shared" si="443"/>
        <v>0</v>
      </c>
      <c r="M1088" s="246">
        <f t="shared" si="444"/>
        <v>0</v>
      </c>
      <c r="N1088" s="121">
        <f t="shared" si="445"/>
        <v>1.05</v>
      </c>
      <c r="O1088" s="246">
        <f t="shared" si="446"/>
        <v>0.92500000000000004</v>
      </c>
      <c r="P1088" s="121">
        <f t="shared" si="447"/>
        <v>0</v>
      </c>
      <c r="Q1088" s="121">
        <f t="shared" si="448"/>
        <v>0</v>
      </c>
      <c r="R1088" s="121">
        <f t="shared" si="449"/>
        <v>1</v>
      </c>
      <c r="S1088" s="121" t="str">
        <f t="shared" si="450"/>
        <v/>
      </c>
      <c r="T1088" s="121" t="str">
        <f t="shared" si="451"/>
        <v/>
      </c>
      <c r="U1088" s="121">
        <f t="shared" si="452"/>
        <v>1.05</v>
      </c>
    </row>
    <row r="1089" spans="1:21" x14ac:dyDescent="0.3">
      <c r="A1089" s="187">
        <v>39</v>
      </c>
      <c r="B1089" s="242">
        <f t="shared" si="453"/>
        <v>46813</v>
      </c>
      <c r="C1089" s="243">
        <f t="shared" si="434"/>
        <v>46843</v>
      </c>
      <c r="D1089" s="120">
        <f t="shared" si="435"/>
        <v>31</v>
      </c>
      <c r="E1089" s="120">
        <f t="shared" si="436"/>
        <v>3</v>
      </c>
      <c r="F1089" s="275">
        <f t="shared" si="437"/>
        <v>46828.5</v>
      </c>
      <c r="G1089" s="120">
        <f t="shared" si="438"/>
        <v>24338</v>
      </c>
      <c r="H1089" s="245">
        <f t="shared" si="439"/>
        <v>1</v>
      </c>
      <c r="I1089" s="121">
        <f t="shared" si="440"/>
        <v>1.05</v>
      </c>
      <c r="J1089" s="121">
        <f t="shared" si="441"/>
        <v>1.05</v>
      </c>
      <c r="K1089" s="120">
        <f t="shared" si="442"/>
        <v>0</v>
      </c>
      <c r="L1089" s="120">
        <f t="shared" si="443"/>
        <v>0</v>
      </c>
      <c r="M1089" s="246">
        <f t="shared" si="444"/>
        <v>0</v>
      </c>
      <c r="N1089" s="121">
        <f t="shared" si="445"/>
        <v>1.05</v>
      </c>
      <c r="O1089" s="246">
        <f t="shared" si="446"/>
        <v>0.92500000000000004</v>
      </c>
      <c r="P1089" s="121">
        <f t="shared" si="447"/>
        <v>0</v>
      </c>
      <c r="Q1089" s="121">
        <f t="shared" si="448"/>
        <v>0</v>
      </c>
      <c r="R1089" s="121">
        <f t="shared" si="449"/>
        <v>1</v>
      </c>
      <c r="S1089" s="121" t="str">
        <f t="shared" si="450"/>
        <v/>
      </c>
      <c r="T1089" s="121" t="str">
        <f t="shared" si="451"/>
        <v/>
      </c>
      <c r="U1089" s="121">
        <f t="shared" si="452"/>
        <v>1.05</v>
      </c>
    </row>
    <row r="1090" spans="1:21" x14ac:dyDescent="0.3">
      <c r="A1090" s="187">
        <v>40</v>
      </c>
      <c r="B1090" s="242">
        <f t="shared" si="453"/>
        <v>46844</v>
      </c>
      <c r="C1090" s="243">
        <f t="shared" si="434"/>
        <v>46873</v>
      </c>
      <c r="D1090" s="120">
        <f t="shared" si="435"/>
        <v>30</v>
      </c>
      <c r="E1090" s="120">
        <f t="shared" si="436"/>
        <v>4</v>
      </c>
      <c r="F1090" s="275">
        <f t="shared" si="437"/>
        <v>46859</v>
      </c>
      <c r="G1090" s="120">
        <f t="shared" si="438"/>
        <v>24339</v>
      </c>
      <c r="H1090" s="245">
        <f t="shared" si="439"/>
        <v>1</v>
      </c>
      <c r="I1090" s="121">
        <f t="shared" si="440"/>
        <v>1.05</v>
      </c>
      <c r="J1090" s="121">
        <f t="shared" si="441"/>
        <v>1.05</v>
      </c>
      <c r="K1090" s="120">
        <f t="shared" si="442"/>
        <v>0</v>
      </c>
      <c r="L1090" s="120">
        <f t="shared" si="443"/>
        <v>0</v>
      </c>
      <c r="M1090" s="246">
        <f t="shared" si="444"/>
        <v>0</v>
      </c>
      <c r="N1090" s="121">
        <f t="shared" si="445"/>
        <v>1.05</v>
      </c>
      <c r="O1090" s="246">
        <f t="shared" si="446"/>
        <v>0.92500000000000004</v>
      </c>
      <c r="P1090" s="121">
        <f t="shared" si="447"/>
        <v>0</v>
      </c>
      <c r="Q1090" s="121">
        <f t="shared" si="448"/>
        <v>0</v>
      </c>
      <c r="R1090" s="121">
        <f t="shared" si="449"/>
        <v>1</v>
      </c>
      <c r="S1090" s="121" t="str">
        <f t="shared" si="450"/>
        <v/>
      </c>
      <c r="T1090" s="121" t="str">
        <f t="shared" si="451"/>
        <v/>
      </c>
      <c r="U1090" s="121">
        <f t="shared" si="452"/>
        <v>1.05</v>
      </c>
    </row>
    <row r="1091" spans="1:21" x14ac:dyDescent="0.3">
      <c r="A1091" s="187">
        <v>41</v>
      </c>
      <c r="B1091" s="242">
        <f t="shared" si="453"/>
        <v>46874</v>
      </c>
      <c r="C1091" s="243">
        <f t="shared" si="434"/>
        <v>46904</v>
      </c>
      <c r="D1091" s="120">
        <f t="shared" si="435"/>
        <v>31</v>
      </c>
      <c r="E1091" s="120">
        <f t="shared" si="436"/>
        <v>5</v>
      </c>
      <c r="F1091" s="275">
        <f t="shared" si="437"/>
        <v>46889.5</v>
      </c>
      <c r="G1091" s="120">
        <f t="shared" si="438"/>
        <v>24340</v>
      </c>
      <c r="H1091" s="245">
        <f t="shared" si="439"/>
        <v>1</v>
      </c>
      <c r="I1091" s="121">
        <f t="shared" si="440"/>
        <v>1.05</v>
      </c>
      <c r="J1091" s="121">
        <f t="shared" si="441"/>
        <v>1.05</v>
      </c>
      <c r="K1091" s="120">
        <f t="shared" si="442"/>
        <v>0</v>
      </c>
      <c r="L1091" s="120">
        <f t="shared" si="443"/>
        <v>0</v>
      </c>
      <c r="M1091" s="246">
        <f t="shared" si="444"/>
        <v>0</v>
      </c>
      <c r="N1091" s="121">
        <f t="shared" si="445"/>
        <v>1.05</v>
      </c>
      <c r="O1091" s="246">
        <f t="shared" si="446"/>
        <v>0.92500000000000004</v>
      </c>
      <c r="P1091" s="121">
        <f t="shared" si="447"/>
        <v>0</v>
      </c>
      <c r="Q1091" s="121">
        <f t="shared" si="448"/>
        <v>0</v>
      </c>
      <c r="R1091" s="121">
        <f t="shared" si="449"/>
        <v>1</v>
      </c>
      <c r="S1091" s="121" t="str">
        <f t="shared" si="450"/>
        <v/>
      </c>
      <c r="T1091" s="121" t="str">
        <f t="shared" si="451"/>
        <v/>
      </c>
      <c r="U1091" s="121">
        <f t="shared" si="452"/>
        <v>1.05</v>
      </c>
    </row>
    <row r="1092" spans="1:21" x14ac:dyDescent="0.3">
      <c r="A1092" s="187">
        <v>42</v>
      </c>
      <c r="B1092" s="242">
        <f t="shared" si="453"/>
        <v>46905</v>
      </c>
      <c r="C1092" s="243">
        <f t="shared" si="434"/>
        <v>46934</v>
      </c>
      <c r="D1092" s="120">
        <f t="shared" si="435"/>
        <v>30</v>
      </c>
      <c r="E1092" s="120">
        <f t="shared" si="436"/>
        <v>6</v>
      </c>
      <c r="F1092" s="275">
        <f t="shared" si="437"/>
        <v>46920</v>
      </c>
      <c r="G1092" s="120">
        <f t="shared" si="438"/>
        <v>24341</v>
      </c>
      <c r="H1092" s="245">
        <f t="shared" si="439"/>
        <v>1</v>
      </c>
      <c r="I1092" s="121">
        <f t="shared" si="440"/>
        <v>1.05</v>
      </c>
      <c r="J1092" s="121">
        <f t="shared" si="441"/>
        <v>1.05</v>
      </c>
      <c r="K1092" s="120">
        <f t="shared" si="442"/>
        <v>0</v>
      </c>
      <c r="L1092" s="120">
        <f t="shared" si="443"/>
        <v>0</v>
      </c>
      <c r="M1092" s="246">
        <f t="shared" si="444"/>
        <v>0</v>
      </c>
      <c r="N1092" s="121">
        <f t="shared" si="445"/>
        <v>1.05</v>
      </c>
      <c r="O1092" s="246">
        <f t="shared" si="446"/>
        <v>0.92500000000000004</v>
      </c>
      <c r="P1092" s="121">
        <f t="shared" si="447"/>
        <v>0</v>
      </c>
      <c r="Q1092" s="121">
        <f t="shared" si="448"/>
        <v>0</v>
      </c>
      <c r="R1092" s="121">
        <f t="shared" si="449"/>
        <v>1</v>
      </c>
      <c r="S1092" s="121" t="str">
        <f t="shared" si="450"/>
        <v/>
      </c>
      <c r="T1092" s="121" t="str">
        <f t="shared" si="451"/>
        <v/>
      </c>
      <c r="U1092" s="121">
        <f t="shared" si="452"/>
        <v>1.05</v>
      </c>
    </row>
    <row r="1093" spans="1:21" x14ac:dyDescent="0.3">
      <c r="A1093" s="187">
        <v>43</v>
      </c>
      <c r="B1093" s="242">
        <f t="shared" si="453"/>
        <v>46935</v>
      </c>
      <c r="C1093" s="243">
        <f t="shared" si="434"/>
        <v>46965</v>
      </c>
      <c r="D1093" s="120">
        <f t="shared" si="435"/>
        <v>31</v>
      </c>
      <c r="E1093" s="120">
        <f t="shared" si="436"/>
        <v>7</v>
      </c>
      <c r="F1093" s="275">
        <f t="shared" si="437"/>
        <v>46950.5</v>
      </c>
      <c r="G1093" s="120">
        <f t="shared" si="438"/>
        <v>24342</v>
      </c>
      <c r="H1093" s="245">
        <f t="shared" si="439"/>
        <v>1</v>
      </c>
      <c r="I1093" s="121">
        <f t="shared" si="440"/>
        <v>1.05</v>
      </c>
      <c r="J1093" s="121">
        <f t="shared" si="441"/>
        <v>1.05</v>
      </c>
      <c r="K1093" s="120">
        <f t="shared" si="442"/>
        <v>0</v>
      </c>
      <c r="L1093" s="120">
        <f t="shared" si="443"/>
        <v>0</v>
      </c>
      <c r="M1093" s="246">
        <f t="shared" si="444"/>
        <v>0</v>
      </c>
      <c r="N1093" s="121">
        <f t="shared" si="445"/>
        <v>1.05</v>
      </c>
      <c r="O1093" s="246">
        <f t="shared" si="446"/>
        <v>0.92500000000000004</v>
      </c>
      <c r="P1093" s="121">
        <f t="shared" si="447"/>
        <v>0</v>
      </c>
      <c r="Q1093" s="121">
        <f t="shared" si="448"/>
        <v>0</v>
      </c>
      <c r="R1093" s="121">
        <f t="shared" si="449"/>
        <v>0.91666666666666663</v>
      </c>
      <c r="S1093" s="121" t="str">
        <f t="shared" si="450"/>
        <v/>
      </c>
      <c r="T1093" s="121" t="str">
        <f t="shared" si="451"/>
        <v/>
      </c>
      <c r="U1093" s="121">
        <f t="shared" si="452"/>
        <v>1.05</v>
      </c>
    </row>
    <row r="1094" spans="1:21" x14ac:dyDescent="0.3">
      <c r="A1094" s="187">
        <v>44</v>
      </c>
      <c r="B1094" s="242">
        <f t="shared" si="453"/>
        <v>46966</v>
      </c>
      <c r="C1094" s="243">
        <f t="shared" si="434"/>
        <v>46996</v>
      </c>
      <c r="D1094" s="120">
        <f t="shared" si="435"/>
        <v>31</v>
      </c>
      <c r="E1094" s="120">
        <f t="shared" si="436"/>
        <v>8</v>
      </c>
      <c r="F1094" s="275">
        <f t="shared" si="437"/>
        <v>46981.5</v>
      </c>
      <c r="G1094" s="120">
        <f t="shared" si="438"/>
        <v>24343</v>
      </c>
      <c r="H1094" s="245">
        <f t="shared" si="439"/>
        <v>1</v>
      </c>
      <c r="I1094" s="121">
        <f t="shared" si="440"/>
        <v>1.05</v>
      </c>
      <c r="J1094" s="121">
        <f t="shared" si="441"/>
        <v>1.05</v>
      </c>
      <c r="K1094" s="120">
        <f t="shared" si="442"/>
        <v>0</v>
      </c>
      <c r="L1094" s="120">
        <f t="shared" si="443"/>
        <v>0</v>
      </c>
      <c r="M1094" s="246">
        <f t="shared" si="444"/>
        <v>0</v>
      </c>
      <c r="N1094" s="121">
        <f t="shared" si="445"/>
        <v>1.05</v>
      </c>
      <c r="O1094" s="246">
        <f t="shared" si="446"/>
        <v>0.92500000000000004</v>
      </c>
      <c r="P1094" s="121">
        <f t="shared" si="447"/>
        <v>0</v>
      </c>
      <c r="Q1094" s="121">
        <f t="shared" si="448"/>
        <v>0</v>
      </c>
      <c r="R1094" s="121">
        <f t="shared" si="449"/>
        <v>0.75</v>
      </c>
      <c r="S1094" s="121" t="str">
        <f t="shared" si="450"/>
        <v/>
      </c>
      <c r="T1094" s="121" t="str">
        <f t="shared" si="451"/>
        <v/>
      </c>
      <c r="U1094" s="121">
        <f t="shared" si="452"/>
        <v>1.05</v>
      </c>
    </row>
    <row r="1095" spans="1:21" x14ac:dyDescent="0.3">
      <c r="A1095" s="187">
        <v>45</v>
      </c>
      <c r="B1095" s="242">
        <f t="shared" si="453"/>
        <v>46997</v>
      </c>
      <c r="C1095" s="243">
        <f t="shared" si="434"/>
        <v>47026</v>
      </c>
      <c r="D1095" s="120">
        <f t="shared" si="435"/>
        <v>30</v>
      </c>
      <c r="E1095" s="120">
        <f t="shared" si="436"/>
        <v>9</v>
      </c>
      <c r="F1095" s="275">
        <f t="shared" si="437"/>
        <v>47012</v>
      </c>
      <c r="G1095" s="120">
        <f t="shared" si="438"/>
        <v>24344</v>
      </c>
      <c r="H1095" s="245">
        <f t="shared" si="439"/>
        <v>1</v>
      </c>
      <c r="I1095" s="121">
        <f t="shared" si="440"/>
        <v>1.05</v>
      </c>
      <c r="J1095" s="121">
        <f t="shared" si="441"/>
        <v>1.05</v>
      </c>
      <c r="K1095" s="120">
        <f t="shared" si="442"/>
        <v>0</v>
      </c>
      <c r="L1095" s="120">
        <f t="shared" si="443"/>
        <v>0</v>
      </c>
      <c r="M1095" s="246">
        <f t="shared" si="444"/>
        <v>0</v>
      </c>
      <c r="N1095" s="121">
        <f t="shared" si="445"/>
        <v>1.05</v>
      </c>
      <c r="O1095" s="246">
        <f t="shared" si="446"/>
        <v>0.92500000000000004</v>
      </c>
      <c r="P1095" s="121">
        <f t="shared" si="447"/>
        <v>0</v>
      </c>
      <c r="Q1095" s="121">
        <f t="shared" si="448"/>
        <v>0</v>
      </c>
      <c r="R1095" s="121">
        <f t="shared" si="449"/>
        <v>0.58333333333333337</v>
      </c>
      <c r="S1095" s="121" t="str">
        <f t="shared" si="450"/>
        <v/>
      </c>
      <c r="T1095" s="121" t="str">
        <f t="shared" si="451"/>
        <v/>
      </c>
      <c r="U1095" s="121">
        <f t="shared" si="452"/>
        <v>1.05</v>
      </c>
    </row>
    <row r="1096" spans="1:21" x14ac:dyDescent="0.3">
      <c r="A1096" s="187">
        <v>46</v>
      </c>
      <c r="B1096" s="242">
        <f t="shared" si="453"/>
        <v>47027</v>
      </c>
      <c r="C1096" s="243">
        <f t="shared" si="434"/>
        <v>47057</v>
      </c>
      <c r="D1096" s="120">
        <f t="shared" si="435"/>
        <v>31</v>
      </c>
      <c r="E1096" s="120">
        <f t="shared" si="436"/>
        <v>10</v>
      </c>
      <c r="F1096" s="275">
        <f t="shared" si="437"/>
        <v>47042.5</v>
      </c>
      <c r="G1096" s="120">
        <f t="shared" si="438"/>
        <v>24345</v>
      </c>
      <c r="H1096" s="245">
        <f t="shared" si="439"/>
        <v>1</v>
      </c>
      <c r="I1096" s="121">
        <f t="shared" si="440"/>
        <v>1.05</v>
      </c>
      <c r="J1096" s="121">
        <f t="shared" si="441"/>
        <v>1.05</v>
      </c>
      <c r="K1096" s="120">
        <f t="shared" si="442"/>
        <v>0</v>
      </c>
      <c r="L1096" s="120">
        <f t="shared" si="443"/>
        <v>0</v>
      </c>
      <c r="M1096" s="246">
        <f t="shared" si="444"/>
        <v>0</v>
      </c>
      <c r="N1096" s="121">
        <f t="shared" si="445"/>
        <v>1.05</v>
      </c>
      <c r="O1096" s="246">
        <f t="shared" si="446"/>
        <v>0.92500000000000004</v>
      </c>
      <c r="P1096" s="121">
        <f t="shared" si="447"/>
        <v>0</v>
      </c>
      <c r="Q1096" s="121">
        <f t="shared" si="448"/>
        <v>0</v>
      </c>
      <c r="R1096" s="121">
        <f t="shared" si="449"/>
        <v>0.41666666666666669</v>
      </c>
      <c r="S1096" s="121" t="str">
        <f t="shared" si="450"/>
        <v/>
      </c>
      <c r="T1096" s="121" t="str">
        <f t="shared" si="451"/>
        <v/>
      </c>
      <c r="U1096" s="121">
        <f t="shared" si="452"/>
        <v>1.05</v>
      </c>
    </row>
    <row r="1097" spans="1:21" x14ac:dyDescent="0.3">
      <c r="A1097" s="187">
        <v>47</v>
      </c>
      <c r="B1097" s="242">
        <f t="shared" si="453"/>
        <v>47058</v>
      </c>
      <c r="C1097" s="243">
        <f t="shared" si="434"/>
        <v>47087</v>
      </c>
      <c r="D1097" s="120">
        <f t="shared" si="435"/>
        <v>30</v>
      </c>
      <c r="E1097" s="120">
        <f t="shared" si="436"/>
        <v>11</v>
      </c>
      <c r="F1097" s="275">
        <f t="shared" si="437"/>
        <v>47073</v>
      </c>
      <c r="G1097" s="120">
        <f t="shared" si="438"/>
        <v>24346</v>
      </c>
      <c r="H1097" s="245">
        <f t="shared" si="439"/>
        <v>1</v>
      </c>
      <c r="I1097" s="121">
        <f t="shared" si="440"/>
        <v>1.05</v>
      </c>
      <c r="J1097" s="121">
        <f t="shared" si="441"/>
        <v>1.05</v>
      </c>
      <c r="K1097" s="120">
        <f t="shared" si="442"/>
        <v>0</v>
      </c>
      <c r="L1097" s="120">
        <f t="shared" si="443"/>
        <v>0</v>
      </c>
      <c r="M1097" s="246">
        <f t="shared" si="444"/>
        <v>0</v>
      </c>
      <c r="N1097" s="121">
        <f t="shared" si="445"/>
        <v>1.05</v>
      </c>
      <c r="O1097" s="246">
        <f t="shared" si="446"/>
        <v>0.92500000000000004</v>
      </c>
      <c r="P1097" s="121">
        <f t="shared" si="447"/>
        <v>0</v>
      </c>
      <c r="Q1097" s="121">
        <f t="shared" si="448"/>
        <v>0</v>
      </c>
      <c r="R1097" s="121">
        <f t="shared" si="449"/>
        <v>0.25</v>
      </c>
      <c r="S1097" s="121" t="str">
        <f t="shared" si="450"/>
        <v/>
      </c>
      <c r="T1097" s="121" t="str">
        <f t="shared" si="451"/>
        <v/>
      </c>
      <c r="U1097" s="121">
        <f t="shared" si="452"/>
        <v>1.05</v>
      </c>
    </row>
    <row r="1098" spans="1:21" x14ac:dyDescent="0.3">
      <c r="A1098" s="187">
        <v>48</v>
      </c>
      <c r="B1098" s="242">
        <f t="shared" si="453"/>
        <v>47088</v>
      </c>
      <c r="C1098" s="243">
        <f t="shared" si="434"/>
        <v>47118</v>
      </c>
      <c r="D1098" s="120">
        <f t="shared" si="435"/>
        <v>31</v>
      </c>
      <c r="E1098" s="120">
        <f t="shared" si="436"/>
        <v>12</v>
      </c>
      <c r="F1098" s="275">
        <f t="shared" si="437"/>
        <v>47103.5</v>
      </c>
      <c r="G1098" s="120">
        <f t="shared" si="438"/>
        <v>24347</v>
      </c>
      <c r="H1098" s="245">
        <f t="shared" si="439"/>
        <v>1</v>
      </c>
      <c r="I1098" s="121">
        <f t="shared" si="440"/>
        <v>1.05</v>
      </c>
      <c r="J1098" s="121">
        <f t="shared" si="441"/>
        <v>1.05</v>
      </c>
      <c r="K1098" s="120">
        <f t="shared" si="442"/>
        <v>0</v>
      </c>
      <c r="L1098" s="120">
        <f t="shared" si="443"/>
        <v>0</v>
      </c>
      <c r="M1098" s="246">
        <f t="shared" si="444"/>
        <v>0</v>
      </c>
      <c r="N1098" s="121">
        <f t="shared" si="445"/>
        <v>1.05</v>
      </c>
      <c r="O1098" s="246">
        <f t="shared" si="446"/>
        <v>0.92500000000000004</v>
      </c>
      <c r="P1098" s="121">
        <f t="shared" si="447"/>
        <v>0</v>
      </c>
      <c r="Q1098" s="121">
        <f t="shared" si="448"/>
        <v>0</v>
      </c>
      <c r="R1098" s="121">
        <f t="shared" si="449"/>
        <v>8.3333333333333329E-2</v>
      </c>
      <c r="S1098" s="121" t="str">
        <f t="shared" si="450"/>
        <v/>
      </c>
      <c r="T1098" s="121" t="str">
        <f t="shared" si="451"/>
        <v/>
      </c>
      <c r="U1098" s="121">
        <f t="shared" si="452"/>
        <v>1.05</v>
      </c>
    </row>
    <row r="1099" spans="1:21" x14ac:dyDescent="0.3">
      <c r="A1099" s="6" t="s">
        <v>1651</v>
      </c>
      <c r="B1099" s="73">
        <f>EXP(SUMPRODUCT((rl_key=$A$1048)*(rl_cons="Y")*rl_ln1p))</f>
        <v>1.05</v>
      </c>
      <c r="C1099" s="73">
        <f>SUMPRODUCT($H$1051:$H$1098,$P$1051:$P$1098,$U$1051:$U$1098)/SUMPRODUCT($H$1051:$H$1098,$P$1051:$P$1098)</f>
        <v>1.0125</v>
      </c>
      <c r="D1099" s="73">
        <f>SUMPRODUCT($H$1051:$H$1098,$Q$1051:$Q$1098,$U$1051:$U$1098)/SUMPRODUCT($H$1051:$H$1098,$Q$1051:$Q$1098)</f>
        <v>1.05</v>
      </c>
      <c r="E1099" s="73">
        <f>SUMPRODUCT($H$1051:$H$1098,$R$1051:$R$1098,$U$1051:$U$1098)/SUMPRODUCT($H$1051:$H$1098,$R$1051:$R$1098)</f>
        <v>1.05</v>
      </c>
      <c r="F1099" s="224">
        <f>SUMPRODUCT($H$1051:$H$1098,$Q$1051:$Q$1098,$O$1051:$O$1098)/SUMPRODUCT($H$1051:$H$1098,$Q$1051:$Q$1098)</f>
        <v>0.91598878555798668</v>
      </c>
      <c r="G1099" s="224">
        <f>SUMPRODUCT($H$1051:$H$1098,$R$1051:$R$1098,$O$1051:$O$1098)/SUMPRODUCT($H$1051:$H$1098,$R$1051:$R$1098)</f>
        <v>0.92449033552151683</v>
      </c>
      <c r="H1099" s="73">
        <f>SUMPRODUCT($H$1075:$H$1086,$N$1075:$N$1086/$N$1063:$N$1074)/SUM($H$1075:$H$1086)</f>
        <v>1.0250000000000001</v>
      </c>
      <c r="I1099" s="73">
        <f>SUMPRODUCT($H$1075:$H$1086,$O$1075:$O$1086/$O$1063:$O$1074)/SUM($H$1075:$H$1086)</f>
        <v>1.0132088564102013</v>
      </c>
      <c r="J1099" s="73">
        <f>IF($O$1048=1,SUMPRODUCT($H$1075:$H$1086,$N$1075:$N$1086/$N$1063:$N$1074*$O$1075:$O$1086/$O$1063:$O$1074)/SUM($H$1075:$H$1086),$H1099)</f>
        <v>1.0385401707468207</v>
      </c>
      <c r="K1099" s="73">
        <f>SUMPRODUCT($H$1051:$H$1098,$Q$1051:$Q$1098,$N$1051:$N$1098)/SUMPRODUCT($H$1051:$H$1098,$Q$1051:$Q$1098)</f>
        <v>1.05</v>
      </c>
      <c r="L1099" s="73">
        <f>SUMPRODUCT($H$1051:$H$1098,$R$1051:$R$1098,$N$1051:$N$1098)/SUMPRODUCT($H$1051:$H$1098,$R$1051:$R$1098)</f>
        <v>1.05</v>
      </c>
    </row>
    <row r="1102" spans="1:21" x14ac:dyDescent="0.3">
      <c r="A1102" s="6" t="str">
        <f>INDEX(lr_key,20)</f>
        <v>ABD|WV</v>
      </c>
      <c r="B1102" s="6" t="str">
        <f>INDEX(lr_state,20)</f>
        <v>WV</v>
      </c>
      <c r="C1102" s="75">
        <f>nr_TermMonths</f>
        <v>6</v>
      </c>
      <c r="D1102" s="75">
        <f>IF(COUNTIF(se_state,$B1102)=0,0,MATCH($B1102,se_state,0))</f>
        <v>0</v>
      </c>
      <c r="E1102" s="70">
        <f>IF($D1102=0,0,INDEX(se_sum,$D1102))</f>
        <v>0</v>
      </c>
      <c r="F1102" s="224">
        <f>IF(N(INDEX(lr_mind,20))=0,1,INDEX(lr_mind,20))</f>
        <v>0.92</v>
      </c>
      <c r="G1102" s="224">
        <f>IF(N(INDEX(lr_m0,20))=0,1,INDEX(lr_m0,20))</f>
        <v>0.91</v>
      </c>
      <c r="H1102" s="74">
        <f>IF(N(INDEX(lr_m0asof,20))=0,DATE(nr_PlanYear-1,10,1),INDEX(lr_m0asof,20))</f>
        <v>46295</v>
      </c>
      <c r="I1102" s="224">
        <f>IF(N(INDEX(lr_m1,20))=0,1,INDEX(lr_m1,20))</f>
        <v>0.90500000000000003</v>
      </c>
      <c r="J1102" s="224">
        <f>INDEX(lr_mprior,20)</f>
        <v>0</v>
      </c>
      <c r="K1102" s="224">
        <f>INDEX(lr_m2,20)</f>
        <v>0</v>
      </c>
      <c r="L1102" s="6" t="b">
        <f>NOT(ISBLANK(INDEX(lr_netp,20)))</f>
        <v>0</v>
      </c>
      <c r="M1102" s="72">
        <f>N(INDEX(lr_netp,20))</f>
        <v>0</v>
      </c>
      <c r="N1102" s="72">
        <f>IF(ISBLANK(INDEX(lr_netp1,20)),$M$1102,N(INDEX(lr_netp1,20)))</f>
        <v>0</v>
      </c>
      <c r="O1102" s="75">
        <f>IF(AND(nr_ModAdjMaster="ON",INDEX(lr_modadj,20)="ON"),1,0)</f>
        <v>1</v>
      </c>
    </row>
    <row r="1103" spans="1:21" x14ac:dyDescent="0.3">
      <c r="A1103" s="6">
        <f>EDATE($H$1102,-12)+1</f>
        <v>45931</v>
      </c>
      <c r="B1103" s="6">
        <f>$H$1102+1</f>
        <v>46296</v>
      </c>
      <c r="C1103" s="6">
        <f>DATE(nr_PlanYear,12,31)+1</f>
        <v>46753</v>
      </c>
      <c r="D1103" s="6">
        <f>DATE(nr_PlanYear+1,12,31)+1</f>
        <v>47119</v>
      </c>
      <c r="E1103" s="6">
        <f>IF(N($J$1102)=0,$F$1103-($G$1103-$F$1103)/($C$1103-$B$1103)*($B$1103-$A$1103),$J$1102)</f>
        <v>0.9139934354485777</v>
      </c>
      <c r="F1103" s="6">
        <f>$G$1102</f>
        <v>0.91</v>
      </c>
      <c r="G1103" s="6">
        <f>$I$1102</f>
        <v>0.90500000000000003</v>
      </c>
      <c r="H1103" s="6">
        <f>IF(N($K$1102)=0,$I$1102,$K$1102)</f>
        <v>0.90500000000000003</v>
      </c>
      <c r="I1103" s="6">
        <f>($F$1103-$E$1103)/($B$1103-$A$1103)</f>
        <v>-1.0940919037199081E-5</v>
      </c>
      <c r="J1103" s="6">
        <f>($G$1103-$F$1103)/($C$1103-$B$1103)</f>
        <v>-1.0940919037199135E-5</v>
      </c>
      <c r="K1103" s="6">
        <f>($H$1103-$G$1103)/($D$1103-$C$1103)</f>
        <v>0</v>
      </c>
    </row>
    <row r="1104" spans="1:21" ht="36" x14ac:dyDescent="0.3">
      <c r="A1104" s="58" t="s">
        <v>390</v>
      </c>
      <c r="B1104" s="58" t="s">
        <v>449</v>
      </c>
      <c r="C1104" s="58" t="s">
        <v>685</v>
      </c>
      <c r="D1104" s="58" t="s">
        <v>686</v>
      </c>
      <c r="E1104" s="58" t="s">
        <v>687</v>
      </c>
      <c r="F1104" s="58" t="s">
        <v>688</v>
      </c>
      <c r="G1104" s="58" t="s">
        <v>689</v>
      </c>
      <c r="H1104" s="58" t="s">
        <v>452</v>
      </c>
      <c r="I1104" s="58" t="s">
        <v>690</v>
      </c>
      <c r="J1104" s="58" t="s">
        <v>691</v>
      </c>
      <c r="K1104" s="58" t="s">
        <v>692</v>
      </c>
      <c r="L1104" s="58" t="s">
        <v>693</v>
      </c>
      <c r="M1104" s="58" t="s">
        <v>694</v>
      </c>
      <c r="N1104" s="58" t="s">
        <v>695</v>
      </c>
      <c r="O1104" s="58" t="s">
        <v>696</v>
      </c>
      <c r="P1104" s="58" t="s">
        <v>697</v>
      </c>
      <c r="Q1104" s="58" t="s">
        <v>698</v>
      </c>
      <c r="R1104" s="58" t="s">
        <v>699</v>
      </c>
      <c r="S1104" s="58" t="s">
        <v>700</v>
      </c>
      <c r="T1104" s="58" t="s">
        <v>701</v>
      </c>
      <c r="U1104" s="58" t="s">
        <v>702</v>
      </c>
    </row>
    <row r="1105" spans="1:21" x14ac:dyDescent="0.3">
      <c r="A1105" s="187">
        <v>1</v>
      </c>
      <c r="B1105" s="242">
        <f>DATE(nr_PlanYear-2,1,1)</f>
        <v>45658</v>
      </c>
      <c r="C1105" s="243">
        <f t="shared" ref="C1105:C1152" si="454">EOMONTH($B1105,0)</f>
        <v>45688</v>
      </c>
      <c r="D1105" s="120">
        <f t="shared" ref="D1105:D1152" si="455">$C1105-$B1105+1</f>
        <v>31</v>
      </c>
      <c r="E1105" s="120">
        <f t="shared" ref="E1105:E1152" si="456">MONTH($B1105)</f>
        <v>1</v>
      </c>
      <c r="F1105" s="275">
        <f t="shared" ref="F1105:F1152" si="457">($B1105+$C1105+1)/2</f>
        <v>45673.5</v>
      </c>
      <c r="G1105" s="120">
        <f t="shared" ref="G1105:G1152" si="458">YEAR($B1105)*12+MONTH($B1105)-1</f>
        <v>24300</v>
      </c>
      <c r="H1105" s="245">
        <f t="shared" ref="H1105:H1152" si="459">IF(OR(nr_SeasonOn="OFF",$D$1102=0,$E$1102=0),1,12*INDEX(se_block,$D$1102,$E1105)/$E$1102)</f>
        <v>1</v>
      </c>
      <c r="I1105" s="121">
        <f t="shared" ref="I1105:I1152" si="460">EXP(SUMPRODUCT((rl_eff&lt;$B1105)*(rl_key=$A$1102)*rl_ln1p))</f>
        <v>1</v>
      </c>
      <c r="J1105" s="121">
        <f t="shared" ref="J1105:J1152" si="461">EXP(SUMPRODUCT((rl_eff&lt;=$C1105)*(rl_key=$A$1102)*rl_ln1p))</f>
        <v>1</v>
      </c>
      <c r="K1105" s="120">
        <f t="shared" ref="K1105:K1152" si="462">COUNTIFS(rl_key,$A$1102,rl_eff,"&gt;="&amp;$B1105,rl_eff,"&lt;="&amp;$C1105)</f>
        <v>0</v>
      </c>
      <c r="L1105" s="120">
        <f t="shared" ref="L1105:L1152" si="463">SUMIFS(rl_daysafter,rl_key,$A$1102,rl_effmonth,$B1105,rl_first,1)</f>
        <v>0</v>
      </c>
      <c r="M1105" s="246">
        <f t="shared" ref="M1105:M1152" si="464">IF($K1105=0,0,MIN(1,$L1105/$D1105))</f>
        <v>0</v>
      </c>
      <c r="N1105" s="121">
        <f t="shared" ref="N1105:N1152" si="465">IF($K1105=0,$J1105,(1-$M1105)*$I1105+$M1105*$J1105)</f>
        <v>1</v>
      </c>
      <c r="O1105" s="246">
        <f t="shared" ref="O1105:O1152" si="466">IF($F1105&lt;$B$1103,$E$1103+$I$1103*($F1105-$A$1103),IF($F1105&lt;$C$1103,$F$1103+$J$1103*($F1105-$B$1103),$G$1103+$K$1103*($F1105-$C$1103)))</f>
        <v>0.91681072210065651</v>
      </c>
      <c r="P1105" s="121">
        <f t="shared" ref="P1105:P1152" si="467">MIN(1,MAX(0,(nr_MEndPm1-$G1105+0.5)/$C$1102))-MIN(1,MAX(0,(nr_MStartPm1-1-$G1105+0.5)/$C$1102))</f>
        <v>0</v>
      </c>
      <c r="Q1105" s="121">
        <f t="shared" ref="Q1105:Q1152" si="468">MIN(1,MAX(0,(nr_MEndP-$G1105+0.5)/$C$1102))-MIN(1,MAX(0,(nr_MStartP-1-$G1105+0.5)/$C$1102))</f>
        <v>0</v>
      </c>
      <c r="R1105" s="121">
        <f t="shared" ref="R1105:R1152" si="469">MIN(1,MAX(0,(nr_MEndP1-$G1105+0.5)/$C$1102))-MIN(1,MAX(0,(nr_MStartP1-1-$G1105+0.5)/$C$1102))</f>
        <v>0</v>
      </c>
      <c r="S1105" s="121" t="str">
        <f t="shared" ref="S1105:S1152" si="470">IF($L$1102,$N1105*IF($O$1102=1,$O1105/$F$1102,1),"")</f>
        <v/>
      </c>
      <c r="T1105" s="121" t="str">
        <f t="shared" ref="T1105:T1152" si="471">IF(NOT($L$1102),"",IF($G1105&lt;nr_MStartP,$S1105,$T1093*(1+IF($G1105&lt;nr_MStartP1,$M$1102,$N$1102))))</f>
        <v/>
      </c>
      <c r="U1105" s="121">
        <f t="shared" ref="U1105:U1152" si="472">IF($L$1102,$T1105,$N1105)</f>
        <v>1</v>
      </c>
    </row>
    <row r="1106" spans="1:21" x14ac:dyDescent="0.3">
      <c r="A1106" s="187">
        <v>2</v>
      </c>
      <c r="B1106" s="242">
        <f t="shared" ref="B1106:B1152" si="473">EDATE($B1105,1)</f>
        <v>45689</v>
      </c>
      <c r="C1106" s="243">
        <f t="shared" si="454"/>
        <v>45716</v>
      </c>
      <c r="D1106" s="120">
        <f t="shared" si="455"/>
        <v>28</v>
      </c>
      <c r="E1106" s="120">
        <f t="shared" si="456"/>
        <v>2</v>
      </c>
      <c r="F1106" s="275">
        <f t="shared" si="457"/>
        <v>45703</v>
      </c>
      <c r="G1106" s="120">
        <f t="shared" si="458"/>
        <v>24301</v>
      </c>
      <c r="H1106" s="245">
        <f t="shared" si="459"/>
        <v>1</v>
      </c>
      <c r="I1106" s="121">
        <f t="shared" si="460"/>
        <v>1</v>
      </c>
      <c r="J1106" s="121">
        <f t="shared" si="461"/>
        <v>1</v>
      </c>
      <c r="K1106" s="120">
        <f t="shared" si="462"/>
        <v>0</v>
      </c>
      <c r="L1106" s="120">
        <f t="shared" si="463"/>
        <v>0</v>
      </c>
      <c r="M1106" s="246">
        <f t="shared" si="464"/>
        <v>0</v>
      </c>
      <c r="N1106" s="121">
        <f t="shared" si="465"/>
        <v>1</v>
      </c>
      <c r="O1106" s="246">
        <f t="shared" si="466"/>
        <v>0.91648796498905905</v>
      </c>
      <c r="P1106" s="121">
        <f t="shared" si="467"/>
        <v>0</v>
      </c>
      <c r="Q1106" s="121">
        <f t="shared" si="468"/>
        <v>0</v>
      </c>
      <c r="R1106" s="121">
        <f t="shared" si="469"/>
        <v>0</v>
      </c>
      <c r="S1106" s="121" t="str">
        <f t="shared" si="470"/>
        <v/>
      </c>
      <c r="T1106" s="121" t="str">
        <f t="shared" si="471"/>
        <v/>
      </c>
      <c r="U1106" s="121">
        <f t="shared" si="472"/>
        <v>1</v>
      </c>
    </row>
    <row r="1107" spans="1:21" x14ac:dyDescent="0.3">
      <c r="A1107" s="187">
        <v>3</v>
      </c>
      <c r="B1107" s="242">
        <f t="shared" si="473"/>
        <v>45717</v>
      </c>
      <c r="C1107" s="243">
        <f t="shared" si="454"/>
        <v>45747</v>
      </c>
      <c r="D1107" s="120">
        <f t="shared" si="455"/>
        <v>31</v>
      </c>
      <c r="E1107" s="120">
        <f t="shared" si="456"/>
        <v>3</v>
      </c>
      <c r="F1107" s="275">
        <f t="shared" si="457"/>
        <v>45732.5</v>
      </c>
      <c r="G1107" s="120">
        <f t="shared" si="458"/>
        <v>24302</v>
      </c>
      <c r="H1107" s="245">
        <f t="shared" si="459"/>
        <v>1</v>
      </c>
      <c r="I1107" s="121">
        <f t="shared" si="460"/>
        <v>1</v>
      </c>
      <c r="J1107" s="121">
        <f t="shared" si="461"/>
        <v>1</v>
      </c>
      <c r="K1107" s="120">
        <f t="shared" si="462"/>
        <v>0</v>
      </c>
      <c r="L1107" s="120">
        <f t="shared" si="463"/>
        <v>0</v>
      </c>
      <c r="M1107" s="246">
        <f t="shared" si="464"/>
        <v>0</v>
      </c>
      <c r="N1107" s="121">
        <f t="shared" si="465"/>
        <v>1</v>
      </c>
      <c r="O1107" s="246">
        <f t="shared" si="466"/>
        <v>0.9161652078774617</v>
      </c>
      <c r="P1107" s="121">
        <f t="shared" si="467"/>
        <v>0</v>
      </c>
      <c r="Q1107" s="121">
        <f t="shared" si="468"/>
        <v>0</v>
      </c>
      <c r="R1107" s="121">
        <f t="shared" si="469"/>
        <v>0</v>
      </c>
      <c r="S1107" s="121" t="str">
        <f t="shared" si="470"/>
        <v/>
      </c>
      <c r="T1107" s="121" t="str">
        <f t="shared" si="471"/>
        <v/>
      </c>
      <c r="U1107" s="121">
        <f t="shared" si="472"/>
        <v>1</v>
      </c>
    </row>
    <row r="1108" spans="1:21" x14ac:dyDescent="0.3">
      <c r="A1108" s="187">
        <v>4</v>
      </c>
      <c r="B1108" s="242">
        <f t="shared" si="473"/>
        <v>45748</v>
      </c>
      <c r="C1108" s="243">
        <f t="shared" si="454"/>
        <v>45777</v>
      </c>
      <c r="D1108" s="120">
        <f t="shared" si="455"/>
        <v>30</v>
      </c>
      <c r="E1108" s="120">
        <f t="shared" si="456"/>
        <v>4</v>
      </c>
      <c r="F1108" s="275">
        <f t="shared" si="457"/>
        <v>45763</v>
      </c>
      <c r="G1108" s="120">
        <f t="shared" si="458"/>
        <v>24303</v>
      </c>
      <c r="H1108" s="245">
        <f t="shared" si="459"/>
        <v>1</v>
      </c>
      <c r="I1108" s="121">
        <f t="shared" si="460"/>
        <v>1</v>
      </c>
      <c r="J1108" s="121">
        <f t="shared" si="461"/>
        <v>1</v>
      </c>
      <c r="K1108" s="120">
        <f t="shared" si="462"/>
        <v>0</v>
      </c>
      <c r="L1108" s="120">
        <f t="shared" si="463"/>
        <v>0</v>
      </c>
      <c r="M1108" s="246">
        <f t="shared" si="464"/>
        <v>0</v>
      </c>
      <c r="N1108" s="121">
        <f t="shared" si="465"/>
        <v>1</v>
      </c>
      <c r="O1108" s="246">
        <f t="shared" si="466"/>
        <v>0.91583150984682715</v>
      </c>
      <c r="P1108" s="121">
        <f t="shared" si="467"/>
        <v>0</v>
      </c>
      <c r="Q1108" s="121">
        <f t="shared" si="468"/>
        <v>0</v>
      </c>
      <c r="R1108" s="121">
        <f t="shared" si="469"/>
        <v>0</v>
      </c>
      <c r="S1108" s="121" t="str">
        <f t="shared" si="470"/>
        <v/>
      </c>
      <c r="T1108" s="121" t="str">
        <f t="shared" si="471"/>
        <v/>
      </c>
      <c r="U1108" s="121">
        <f t="shared" si="472"/>
        <v>1</v>
      </c>
    </row>
    <row r="1109" spans="1:21" x14ac:dyDescent="0.3">
      <c r="A1109" s="187">
        <v>5</v>
      </c>
      <c r="B1109" s="242">
        <f t="shared" si="473"/>
        <v>45778</v>
      </c>
      <c r="C1109" s="243">
        <f t="shared" si="454"/>
        <v>45808</v>
      </c>
      <c r="D1109" s="120">
        <f t="shared" si="455"/>
        <v>31</v>
      </c>
      <c r="E1109" s="120">
        <f t="shared" si="456"/>
        <v>5</v>
      </c>
      <c r="F1109" s="275">
        <f t="shared" si="457"/>
        <v>45793.5</v>
      </c>
      <c r="G1109" s="120">
        <f t="shared" si="458"/>
        <v>24304</v>
      </c>
      <c r="H1109" s="245">
        <f t="shared" si="459"/>
        <v>1</v>
      </c>
      <c r="I1109" s="121">
        <f t="shared" si="460"/>
        <v>1</v>
      </c>
      <c r="J1109" s="121">
        <f t="shared" si="461"/>
        <v>1</v>
      </c>
      <c r="K1109" s="120">
        <f t="shared" si="462"/>
        <v>0</v>
      </c>
      <c r="L1109" s="120">
        <f t="shared" si="463"/>
        <v>0</v>
      </c>
      <c r="M1109" s="246">
        <f t="shared" si="464"/>
        <v>0</v>
      </c>
      <c r="N1109" s="121">
        <f t="shared" si="465"/>
        <v>1</v>
      </c>
      <c r="O1109" s="246">
        <f t="shared" si="466"/>
        <v>0.91549781181619261</v>
      </c>
      <c r="P1109" s="121">
        <f t="shared" si="467"/>
        <v>0</v>
      </c>
      <c r="Q1109" s="121">
        <f t="shared" si="468"/>
        <v>0</v>
      </c>
      <c r="R1109" s="121">
        <f t="shared" si="469"/>
        <v>0</v>
      </c>
      <c r="S1109" s="121" t="str">
        <f t="shared" si="470"/>
        <v/>
      </c>
      <c r="T1109" s="121" t="str">
        <f t="shared" si="471"/>
        <v/>
      </c>
      <c r="U1109" s="121">
        <f t="shared" si="472"/>
        <v>1</v>
      </c>
    </row>
    <row r="1110" spans="1:21" x14ac:dyDescent="0.3">
      <c r="A1110" s="187">
        <v>6</v>
      </c>
      <c r="B1110" s="242">
        <f t="shared" si="473"/>
        <v>45809</v>
      </c>
      <c r="C1110" s="243">
        <f t="shared" si="454"/>
        <v>45838</v>
      </c>
      <c r="D1110" s="120">
        <f t="shared" si="455"/>
        <v>30</v>
      </c>
      <c r="E1110" s="120">
        <f t="shared" si="456"/>
        <v>6</v>
      </c>
      <c r="F1110" s="275">
        <f t="shared" si="457"/>
        <v>45824</v>
      </c>
      <c r="G1110" s="120">
        <f t="shared" si="458"/>
        <v>24305</v>
      </c>
      <c r="H1110" s="245">
        <f t="shared" si="459"/>
        <v>1</v>
      </c>
      <c r="I1110" s="121">
        <f t="shared" si="460"/>
        <v>1</v>
      </c>
      <c r="J1110" s="121">
        <f t="shared" si="461"/>
        <v>1</v>
      </c>
      <c r="K1110" s="120">
        <f t="shared" si="462"/>
        <v>0</v>
      </c>
      <c r="L1110" s="120">
        <f t="shared" si="463"/>
        <v>0</v>
      </c>
      <c r="M1110" s="246">
        <f t="shared" si="464"/>
        <v>0</v>
      </c>
      <c r="N1110" s="121">
        <f t="shared" si="465"/>
        <v>1</v>
      </c>
      <c r="O1110" s="246">
        <f t="shared" si="466"/>
        <v>0.91516411378555795</v>
      </c>
      <c r="P1110" s="121">
        <f t="shared" si="467"/>
        <v>0</v>
      </c>
      <c r="Q1110" s="121">
        <f t="shared" si="468"/>
        <v>0</v>
      </c>
      <c r="R1110" s="121">
        <f t="shared" si="469"/>
        <v>0</v>
      </c>
      <c r="S1110" s="121" t="str">
        <f t="shared" si="470"/>
        <v/>
      </c>
      <c r="T1110" s="121" t="str">
        <f t="shared" si="471"/>
        <v/>
      </c>
      <c r="U1110" s="121">
        <f t="shared" si="472"/>
        <v>1</v>
      </c>
    </row>
    <row r="1111" spans="1:21" x14ac:dyDescent="0.3">
      <c r="A1111" s="187">
        <v>7</v>
      </c>
      <c r="B1111" s="242">
        <f t="shared" si="473"/>
        <v>45839</v>
      </c>
      <c r="C1111" s="243">
        <f t="shared" si="454"/>
        <v>45869</v>
      </c>
      <c r="D1111" s="120">
        <f t="shared" si="455"/>
        <v>31</v>
      </c>
      <c r="E1111" s="120">
        <f t="shared" si="456"/>
        <v>7</v>
      </c>
      <c r="F1111" s="275">
        <f t="shared" si="457"/>
        <v>45854.5</v>
      </c>
      <c r="G1111" s="120">
        <f t="shared" si="458"/>
        <v>24306</v>
      </c>
      <c r="H1111" s="245">
        <f t="shared" si="459"/>
        <v>1</v>
      </c>
      <c r="I1111" s="121">
        <f t="shared" si="460"/>
        <v>1</v>
      </c>
      <c r="J1111" s="121">
        <f t="shared" si="461"/>
        <v>1</v>
      </c>
      <c r="K1111" s="120">
        <f t="shared" si="462"/>
        <v>0</v>
      </c>
      <c r="L1111" s="120">
        <f t="shared" si="463"/>
        <v>0</v>
      </c>
      <c r="M1111" s="246">
        <f t="shared" si="464"/>
        <v>0</v>
      </c>
      <c r="N1111" s="121">
        <f t="shared" si="465"/>
        <v>1</v>
      </c>
      <c r="O1111" s="246">
        <f t="shared" si="466"/>
        <v>0.91483041575492341</v>
      </c>
      <c r="P1111" s="121">
        <f t="shared" si="467"/>
        <v>8.333333333333337E-2</v>
      </c>
      <c r="Q1111" s="121">
        <f t="shared" si="468"/>
        <v>0</v>
      </c>
      <c r="R1111" s="121">
        <f t="shared" si="469"/>
        <v>0</v>
      </c>
      <c r="S1111" s="121" t="str">
        <f t="shared" si="470"/>
        <v/>
      </c>
      <c r="T1111" s="121" t="str">
        <f t="shared" si="471"/>
        <v/>
      </c>
      <c r="U1111" s="121">
        <f t="shared" si="472"/>
        <v>1</v>
      </c>
    </row>
    <row r="1112" spans="1:21" x14ac:dyDescent="0.3">
      <c r="A1112" s="187">
        <v>8</v>
      </c>
      <c r="B1112" s="242">
        <f t="shared" si="473"/>
        <v>45870</v>
      </c>
      <c r="C1112" s="243">
        <f t="shared" si="454"/>
        <v>45900</v>
      </c>
      <c r="D1112" s="120">
        <f t="shared" si="455"/>
        <v>31</v>
      </c>
      <c r="E1112" s="120">
        <f t="shared" si="456"/>
        <v>8</v>
      </c>
      <c r="F1112" s="275">
        <f t="shared" si="457"/>
        <v>45885.5</v>
      </c>
      <c r="G1112" s="120">
        <f t="shared" si="458"/>
        <v>24307</v>
      </c>
      <c r="H1112" s="245">
        <f t="shared" si="459"/>
        <v>1</v>
      </c>
      <c r="I1112" s="121">
        <f t="shared" si="460"/>
        <v>1</v>
      </c>
      <c r="J1112" s="121">
        <f t="shared" si="461"/>
        <v>1</v>
      </c>
      <c r="K1112" s="120">
        <f t="shared" si="462"/>
        <v>0</v>
      </c>
      <c r="L1112" s="120">
        <f t="shared" si="463"/>
        <v>0</v>
      </c>
      <c r="M1112" s="246">
        <f t="shared" si="464"/>
        <v>0</v>
      </c>
      <c r="N1112" s="121">
        <f t="shared" si="465"/>
        <v>1</v>
      </c>
      <c r="O1112" s="246">
        <f t="shared" si="466"/>
        <v>0.91449124726477027</v>
      </c>
      <c r="P1112" s="121">
        <f t="shared" si="467"/>
        <v>0.25</v>
      </c>
      <c r="Q1112" s="121">
        <f t="shared" si="468"/>
        <v>0</v>
      </c>
      <c r="R1112" s="121">
        <f t="shared" si="469"/>
        <v>0</v>
      </c>
      <c r="S1112" s="121" t="str">
        <f t="shared" si="470"/>
        <v/>
      </c>
      <c r="T1112" s="121" t="str">
        <f t="shared" si="471"/>
        <v/>
      </c>
      <c r="U1112" s="121">
        <f t="shared" si="472"/>
        <v>1</v>
      </c>
    </row>
    <row r="1113" spans="1:21" x14ac:dyDescent="0.3">
      <c r="A1113" s="187">
        <v>9</v>
      </c>
      <c r="B1113" s="242">
        <f t="shared" si="473"/>
        <v>45901</v>
      </c>
      <c r="C1113" s="243">
        <f t="shared" si="454"/>
        <v>45930</v>
      </c>
      <c r="D1113" s="120">
        <f t="shared" si="455"/>
        <v>30</v>
      </c>
      <c r="E1113" s="120">
        <f t="shared" si="456"/>
        <v>9</v>
      </c>
      <c r="F1113" s="275">
        <f t="shared" si="457"/>
        <v>45916</v>
      </c>
      <c r="G1113" s="120">
        <f t="shared" si="458"/>
        <v>24308</v>
      </c>
      <c r="H1113" s="245">
        <f t="shared" si="459"/>
        <v>1</v>
      </c>
      <c r="I1113" s="121">
        <f t="shared" si="460"/>
        <v>1</v>
      </c>
      <c r="J1113" s="121">
        <f t="shared" si="461"/>
        <v>1</v>
      </c>
      <c r="K1113" s="120">
        <f t="shared" si="462"/>
        <v>0</v>
      </c>
      <c r="L1113" s="120">
        <f t="shared" si="463"/>
        <v>0</v>
      </c>
      <c r="M1113" s="246">
        <f t="shared" si="464"/>
        <v>0</v>
      </c>
      <c r="N1113" s="121">
        <f t="shared" si="465"/>
        <v>1</v>
      </c>
      <c r="O1113" s="246">
        <f t="shared" si="466"/>
        <v>0.91415754923413572</v>
      </c>
      <c r="P1113" s="121">
        <f t="shared" si="467"/>
        <v>0.41666666666666663</v>
      </c>
      <c r="Q1113" s="121">
        <f t="shared" si="468"/>
        <v>0</v>
      </c>
      <c r="R1113" s="121">
        <f t="shared" si="469"/>
        <v>0</v>
      </c>
      <c r="S1113" s="121" t="str">
        <f t="shared" si="470"/>
        <v/>
      </c>
      <c r="T1113" s="121" t="str">
        <f t="shared" si="471"/>
        <v/>
      </c>
      <c r="U1113" s="121">
        <f t="shared" si="472"/>
        <v>1</v>
      </c>
    </row>
    <row r="1114" spans="1:21" x14ac:dyDescent="0.3">
      <c r="A1114" s="187">
        <v>10</v>
      </c>
      <c r="B1114" s="242">
        <f t="shared" si="473"/>
        <v>45931</v>
      </c>
      <c r="C1114" s="243">
        <f t="shared" si="454"/>
        <v>45961</v>
      </c>
      <c r="D1114" s="120">
        <f t="shared" si="455"/>
        <v>31</v>
      </c>
      <c r="E1114" s="120">
        <f t="shared" si="456"/>
        <v>10</v>
      </c>
      <c r="F1114" s="275">
        <f t="shared" si="457"/>
        <v>45946.5</v>
      </c>
      <c r="G1114" s="120">
        <f t="shared" si="458"/>
        <v>24309</v>
      </c>
      <c r="H1114" s="245">
        <f t="shared" si="459"/>
        <v>1</v>
      </c>
      <c r="I1114" s="121">
        <f t="shared" si="460"/>
        <v>1</v>
      </c>
      <c r="J1114" s="121">
        <f t="shared" si="461"/>
        <v>1</v>
      </c>
      <c r="K1114" s="120">
        <f t="shared" si="462"/>
        <v>0</v>
      </c>
      <c r="L1114" s="120">
        <f t="shared" si="463"/>
        <v>0</v>
      </c>
      <c r="M1114" s="246">
        <f t="shared" si="464"/>
        <v>0</v>
      </c>
      <c r="N1114" s="121">
        <f t="shared" si="465"/>
        <v>1</v>
      </c>
      <c r="O1114" s="246">
        <f t="shared" si="466"/>
        <v>0.91382385120350107</v>
      </c>
      <c r="P1114" s="121">
        <f t="shared" si="467"/>
        <v>0.58333333333333326</v>
      </c>
      <c r="Q1114" s="121">
        <f t="shared" si="468"/>
        <v>0</v>
      </c>
      <c r="R1114" s="121">
        <f t="shared" si="469"/>
        <v>0</v>
      </c>
      <c r="S1114" s="121" t="str">
        <f t="shared" si="470"/>
        <v/>
      </c>
      <c r="T1114" s="121" t="str">
        <f t="shared" si="471"/>
        <v/>
      </c>
      <c r="U1114" s="121">
        <f t="shared" si="472"/>
        <v>1</v>
      </c>
    </row>
    <row r="1115" spans="1:21" x14ac:dyDescent="0.3">
      <c r="A1115" s="187">
        <v>11</v>
      </c>
      <c r="B1115" s="242">
        <f t="shared" si="473"/>
        <v>45962</v>
      </c>
      <c r="C1115" s="243">
        <f t="shared" si="454"/>
        <v>45991</v>
      </c>
      <c r="D1115" s="120">
        <f t="shared" si="455"/>
        <v>30</v>
      </c>
      <c r="E1115" s="120">
        <f t="shared" si="456"/>
        <v>11</v>
      </c>
      <c r="F1115" s="275">
        <f t="shared" si="457"/>
        <v>45977</v>
      </c>
      <c r="G1115" s="120">
        <f t="shared" si="458"/>
        <v>24310</v>
      </c>
      <c r="H1115" s="245">
        <f t="shared" si="459"/>
        <v>1</v>
      </c>
      <c r="I1115" s="121">
        <f t="shared" si="460"/>
        <v>1</v>
      </c>
      <c r="J1115" s="121">
        <f t="shared" si="461"/>
        <v>1</v>
      </c>
      <c r="K1115" s="120">
        <f t="shared" si="462"/>
        <v>0</v>
      </c>
      <c r="L1115" s="120">
        <f t="shared" si="463"/>
        <v>0</v>
      </c>
      <c r="M1115" s="246">
        <f t="shared" si="464"/>
        <v>0</v>
      </c>
      <c r="N1115" s="121">
        <f t="shared" si="465"/>
        <v>1</v>
      </c>
      <c r="O1115" s="246">
        <f t="shared" si="466"/>
        <v>0.91349015317286653</v>
      </c>
      <c r="P1115" s="121">
        <f t="shared" si="467"/>
        <v>0.75</v>
      </c>
      <c r="Q1115" s="121">
        <f t="shared" si="468"/>
        <v>0</v>
      </c>
      <c r="R1115" s="121">
        <f t="shared" si="469"/>
        <v>0</v>
      </c>
      <c r="S1115" s="121" t="str">
        <f t="shared" si="470"/>
        <v/>
      </c>
      <c r="T1115" s="121" t="str">
        <f t="shared" si="471"/>
        <v/>
      </c>
      <c r="U1115" s="121">
        <f t="shared" si="472"/>
        <v>1</v>
      </c>
    </row>
    <row r="1116" spans="1:21" x14ac:dyDescent="0.3">
      <c r="A1116" s="187">
        <v>12</v>
      </c>
      <c r="B1116" s="242">
        <f t="shared" si="473"/>
        <v>45992</v>
      </c>
      <c r="C1116" s="243">
        <f t="shared" si="454"/>
        <v>46022</v>
      </c>
      <c r="D1116" s="120">
        <f t="shared" si="455"/>
        <v>31</v>
      </c>
      <c r="E1116" s="120">
        <f t="shared" si="456"/>
        <v>12</v>
      </c>
      <c r="F1116" s="275">
        <f t="shared" si="457"/>
        <v>46007.5</v>
      </c>
      <c r="G1116" s="120">
        <f t="shared" si="458"/>
        <v>24311</v>
      </c>
      <c r="H1116" s="245">
        <f t="shared" si="459"/>
        <v>1</v>
      </c>
      <c r="I1116" s="121">
        <f t="shared" si="460"/>
        <v>1</v>
      </c>
      <c r="J1116" s="121">
        <f t="shared" si="461"/>
        <v>1</v>
      </c>
      <c r="K1116" s="120">
        <f t="shared" si="462"/>
        <v>0</v>
      </c>
      <c r="L1116" s="120">
        <f t="shared" si="463"/>
        <v>0</v>
      </c>
      <c r="M1116" s="246">
        <f t="shared" si="464"/>
        <v>0</v>
      </c>
      <c r="N1116" s="121">
        <f t="shared" si="465"/>
        <v>1</v>
      </c>
      <c r="O1116" s="246">
        <f t="shared" si="466"/>
        <v>0.91315645514223198</v>
      </c>
      <c r="P1116" s="121">
        <f t="shared" si="467"/>
        <v>0.91666666666666663</v>
      </c>
      <c r="Q1116" s="121">
        <f t="shared" si="468"/>
        <v>0</v>
      </c>
      <c r="R1116" s="121">
        <f t="shared" si="469"/>
        <v>0</v>
      </c>
      <c r="S1116" s="121" t="str">
        <f t="shared" si="470"/>
        <v/>
      </c>
      <c r="T1116" s="121" t="str">
        <f t="shared" si="471"/>
        <v/>
      </c>
      <c r="U1116" s="121">
        <f t="shared" si="472"/>
        <v>1</v>
      </c>
    </row>
    <row r="1117" spans="1:21" x14ac:dyDescent="0.3">
      <c r="A1117" s="187">
        <v>13</v>
      </c>
      <c r="B1117" s="242">
        <f t="shared" si="473"/>
        <v>46023</v>
      </c>
      <c r="C1117" s="243">
        <f t="shared" si="454"/>
        <v>46053</v>
      </c>
      <c r="D1117" s="120">
        <f t="shared" si="455"/>
        <v>31</v>
      </c>
      <c r="E1117" s="120">
        <f t="shared" si="456"/>
        <v>1</v>
      </c>
      <c r="F1117" s="275">
        <f t="shared" si="457"/>
        <v>46038.5</v>
      </c>
      <c r="G1117" s="120">
        <f t="shared" si="458"/>
        <v>24312</v>
      </c>
      <c r="H1117" s="245">
        <f t="shared" si="459"/>
        <v>1</v>
      </c>
      <c r="I1117" s="121">
        <f t="shared" si="460"/>
        <v>1</v>
      </c>
      <c r="J1117" s="121">
        <f t="shared" si="461"/>
        <v>1</v>
      </c>
      <c r="K1117" s="120">
        <f t="shared" si="462"/>
        <v>0</v>
      </c>
      <c r="L1117" s="120">
        <f t="shared" si="463"/>
        <v>0</v>
      </c>
      <c r="M1117" s="246">
        <f t="shared" si="464"/>
        <v>0</v>
      </c>
      <c r="N1117" s="121">
        <f t="shared" si="465"/>
        <v>1</v>
      </c>
      <c r="O1117" s="246">
        <f t="shared" si="466"/>
        <v>0.91281728665207884</v>
      </c>
      <c r="P1117" s="121">
        <f t="shared" si="467"/>
        <v>1</v>
      </c>
      <c r="Q1117" s="121">
        <f t="shared" si="468"/>
        <v>0</v>
      </c>
      <c r="R1117" s="121">
        <f t="shared" si="469"/>
        <v>0</v>
      </c>
      <c r="S1117" s="121" t="str">
        <f t="shared" si="470"/>
        <v/>
      </c>
      <c r="T1117" s="121" t="str">
        <f t="shared" si="471"/>
        <v/>
      </c>
      <c r="U1117" s="121">
        <f t="shared" si="472"/>
        <v>1</v>
      </c>
    </row>
    <row r="1118" spans="1:21" x14ac:dyDescent="0.3">
      <c r="A1118" s="187">
        <v>14</v>
      </c>
      <c r="B1118" s="242">
        <f t="shared" si="473"/>
        <v>46054</v>
      </c>
      <c r="C1118" s="243">
        <f t="shared" si="454"/>
        <v>46081</v>
      </c>
      <c r="D1118" s="120">
        <f t="shared" si="455"/>
        <v>28</v>
      </c>
      <c r="E1118" s="120">
        <f t="shared" si="456"/>
        <v>2</v>
      </c>
      <c r="F1118" s="275">
        <f t="shared" si="457"/>
        <v>46068</v>
      </c>
      <c r="G1118" s="120">
        <f t="shared" si="458"/>
        <v>24313</v>
      </c>
      <c r="H1118" s="245">
        <f t="shared" si="459"/>
        <v>1</v>
      </c>
      <c r="I1118" s="121">
        <f t="shared" si="460"/>
        <v>1</v>
      </c>
      <c r="J1118" s="121">
        <f t="shared" si="461"/>
        <v>1</v>
      </c>
      <c r="K1118" s="120">
        <f t="shared" si="462"/>
        <v>0</v>
      </c>
      <c r="L1118" s="120">
        <f t="shared" si="463"/>
        <v>0</v>
      </c>
      <c r="M1118" s="246">
        <f t="shared" si="464"/>
        <v>0</v>
      </c>
      <c r="N1118" s="121">
        <f t="shared" si="465"/>
        <v>1</v>
      </c>
      <c r="O1118" s="246">
        <f t="shared" si="466"/>
        <v>0.91249452954048138</v>
      </c>
      <c r="P1118" s="121">
        <f t="shared" si="467"/>
        <v>1</v>
      </c>
      <c r="Q1118" s="121">
        <f t="shared" si="468"/>
        <v>0</v>
      </c>
      <c r="R1118" s="121">
        <f t="shared" si="469"/>
        <v>0</v>
      </c>
      <c r="S1118" s="121" t="str">
        <f t="shared" si="470"/>
        <v/>
      </c>
      <c r="T1118" s="121" t="str">
        <f t="shared" si="471"/>
        <v/>
      </c>
      <c r="U1118" s="121">
        <f t="shared" si="472"/>
        <v>1</v>
      </c>
    </row>
    <row r="1119" spans="1:21" x14ac:dyDescent="0.3">
      <c r="A1119" s="187">
        <v>15</v>
      </c>
      <c r="B1119" s="242">
        <f t="shared" si="473"/>
        <v>46082</v>
      </c>
      <c r="C1119" s="243">
        <f t="shared" si="454"/>
        <v>46112</v>
      </c>
      <c r="D1119" s="120">
        <f t="shared" si="455"/>
        <v>31</v>
      </c>
      <c r="E1119" s="120">
        <f t="shared" si="456"/>
        <v>3</v>
      </c>
      <c r="F1119" s="275">
        <f t="shared" si="457"/>
        <v>46097.5</v>
      </c>
      <c r="G1119" s="120">
        <f t="shared" si="458"/>
        <v>24314</v>
      </c>
      <c r="H1119" s="245">
        <f t="shared" si="459"/>
        <v>1</v>
      </c>
      <c r="I1119" s="121">
        <f t="shared" si="460"/>
        <v>1</v>
      </c>
      <c r="J1119" s="121">
        <f t="shared" si="461"/>
        <v>1</v>
      </c>
      <c r="K1119" s="120">
        <f t="shared" si="462"/>
        <v>0</v>
      </c>
      <c r="L1119" s="120">
        <f t="shared" si="463"/>
        <v>0</v>
      </c>
      <c r="M1119" s="246">
        <f t="shared" si="464"/>
        <v>0</v>
      </c>
      <c r="N1119" s="121">
        <f t="shared" si="465"/>
        <v>1</v>
      </c>
      <c r="O1119" s="246">
        <f t="shared" si="466"/>
        <v>0.91217177242888403</v>
      </c>
      <c r="P1119" s="121">
        <f t="shared" si="467"/>
        <v>1</v>
      </c>
      <c r="Q1119" s="121">
        <f t="shared" si="468"/>
        <v>0</v>
      </c>
      <c r="R1119" s="121">
        <f t="shared" si="469"/>
        <v>0</v>
      </c>
      <c r="S1119" s="121" t="str">
        <f t="shared" si="470"/>
        <v/>
      </c>
      <c r="T1119" s="121" t="str">
        <f t="shared" si="471"/>
        <v/>
      </c>
      <c r="U1119" s="121">
        <f t="shared" si="472"/>
        <v>1</v>
      </c>
    </row>
    <row r="1120" spans="1:21" x14ac:dyDescent="0.3">
      <c r="A1120" s="187">
        <v>16</v>
      </c>
      <c r="B1120" s="242">
        <f t="shared" si="473"/>
        <v>46113</v>
      </c>
      <c r="C1120" s="243">
        <f t="shared" si="454"/>
        <v>46142</v>
      </c>
      <c r="D1120" s="120">
        <f t="shared" si="455"/>
        <v>30</v>
      </c>
      <c r="E1120" s="120">
        <f t="shared" si="456"/>
        <v>4</v>
      </c>
      <c r="F1120" s="275">
        <f t="shared" si="457"/>
        <v>46128</v>
      </c>
      <c r="G1120" s="120">
        <f t="shared" si="458"/>
        <v>24315</v>
      </c>
      <c r="H1120" s="245">
        <f t="shared" si="459"/>
        <v>1</v>
      </c>
      <c r="I1120" s="121">
        <f t="shared" si="460"/>
        <v>1</v>
      </c>
      <c r="J1120" s="121">
        <f t="shared" si="461"/>
        <v>1</v>
      </c>
      <c r="K1120" s="120">
        <f t="shared" si="462"/>
        <v>0</v>
      </c>
      <c r="L1120" s="120">
        <f t="shared" si="463"/>
        <v>0</v>
      </c>
      <c r="M1120" s="246">
        <f t="shared" si="464"/>
        <v>0</v>
      </c>
      <c r="N1120" s="121">
        <f t="shared" si="465"/>
        <v>1</v>
      </c>
      <c r="O1120" s="246">
        <f t="shared" si="466"/>
        <v>0.91183807439824949</v>
      </c>
      <c r="P1120" s="121">
        <f t="shared" si="467"/>
        <v>1</v>
      </c>
      <c r="Q1120" s="121">
        <f t="shared" si="468"/>
        <v>0</v>
      </c>
      <c r="R1120" s="121">
        <f t="shared" si="469"/>
        <v>0</v>
      </c>
      <c r="S1120" s="121" t="str">
        <f t="shared" si="470"/>
        <v/>
      </c>
      <c r="T1120" s="121" t="str">
        <f t="shared" si="471"/>
        <v/>
      </c>
      <c r="U1120" s="121">
        <f t="shared" si="472"/>
        <v>1</v>
      </c>
    </row>
    <row r="1121" spans="1:21" x14ac:dyDescent="0.3">
      <c r="A1121" s="187">
        <v>17</v>
      </c>
      <c r="B1121" s="242">
        <f t="shared" si="473"/>
        <v>46143</v>
      </c>
      <c r="C1121" s="243">
        <f t="shared" si="454"/>
        <v>46173</v>
      </c>
      <c r="D1121" s="120">
        <f t="shared" si="455"/>
        <v>31</v>
      </c>
      <c r="E1121" s="120">
        <f t="shared" si="456"/>
        <v>5</v>
      </c>
      <c r="F1121" s="275">
        <f t="shared" si="457"/>
        <v>46158.5</v>
      </c>
      <c r="G1121" s="120">
        <f t="shared" si="458"/>
        <v>24316</v>
      </c>
      <c r="H1121" s="245">
        <f t="shared" si="459"/>
        <v>1</v>
      </c>
      <c r="I1121" s="121">
        <f t="shared" si="460"/>
        <v>1</v>
      </c>
      <c r="J1121" s="121">
        <f t="shared" si="461"/>
        <v>1</v>
      </c>
      <c r="K1121" s="120">
        <f t="shared" si="462"/>
        <v>0</v>
      </c>
      <c r="L1121" s="120">
        <f t="shared" si="463"/>
        <v>0</v>
      </c>
      <c r="M1121" s="246">
        <f t="shared" si="464"/>
        <v>0</v>
      </c>
      <c r="N1121" s="121">
        <f t="shared" si="465"/>
        <v>1</v>
      </c>
      <c r="O1121" s="246">
        <f t="shared" si="466"/>
        <v>0.91150437636761494</v>
      </c>
      <c r="P1121" s="121">
        <f t="shared" si="467"/>
        <v>1</v>
      </c>
      <c r="Q1121" s="121">
        <f t="shared" si="468"/>
        <v>0</v>
      </c>
      <c r="R1121" s="121">
        <f t="shared" si="469"/>
        <v>0</v>
      </c>
      <c r="S1121" s="121" t="str">
        <f t="shared" si="470"/>
        <v/>
      </c>
      <c r="T1121" s="121" t="str">
        <f t="shared" si="471"/>
        <v/>
      </c>
      <c r="U1121" s="121">
        <f t="shared" si="472"/>
        <v>1</v>
      </c>
    </row>
    <row r="1122" spans="1:21" x14ac:dyDescent="0.3">
      <c r="A1122" s="187">
        <v>18</v>
      </c>
      <c r="B1122" s="242">
        <f t="shared" si="473"/>
        <v>46174</v>
      </c>
      <c r="C1122" s="243">
        <f t="shared" si="454"/>
        <v>46203</v>
      </c>
      <c r="D1122" s="120">
        <f t="shared" si="455"/>
        <v>30</v>
      </c>
      <c r="E1122" s="120">
        <f t="shared" si="456"/>
        <v>6</v>
      </c>
      <c r="F1122" s="275">
        <f t="shared" si="457"/>
        <v>46189</v>
      </c>
      <c r="G1122" s="120">
        <f t="shared" si="458"/>
        <v>24317</v>
      </c>
      <c r="H1122" s="245">
        <f t="shared" si="459"/>
        <v>1</v>
      </c>
      <c r="I1122" s="121">
        <f t="shared" si="460"/>
        <v>1</v>
      </c>
      <c r="J1122" s="121">
        <f t="shared" si="461"/>
        <v>1</v>
      </c>
      <c r="K1122" s="120">
        <f t="shared" si="462"/>
        <v>0</v>
      </c>
      <c r="L1122" s="120">
        <f t="shared" si="463"/>
        <v>0</v>
      </c>
      <c r="M1122" s="246">
        <f t="shared" si="464"/>
        <v>0</v>
      </c>
      <c r="N1122" s="121">
        <f t="shared" si="465"/>
        <v>1</v>
      </c>
      <c r="O1122" s="246">
        <f t="shared" si="466"/>
        <v>0.91117067833698029</v>
      </c>
      <c r="P1122" s="121">
        <f t="shared" si="467"/>
        <v>1</v>
      </c>
      <c r="Q1122" s="121">
        <f t="shared" si="468"/>
        <v>0</v>
      </c>
      <c r="R1122" s="121">
        <f t="shared" si="469"/>
        <v>0</v>
      </c>
      <c r="S1122" s="121" t="str">
        <f t="shared" si="470"/>
        <v/>
      </c>
      <c r="T1122" s="121" t="str">
        <f t="shared" si="471"/>
        <v/>
      </c>
      <c r="U1122" s="121">
        <f t="shared" si="472"/>
        <v>1</v>
      </c>
    </row>
    <row r="1123" spans="1:21" x14ac:dyDescent="0.3">
      <c r="A1123" s="187">
        <v>19</v>
      </c>
      <c r="B1123" s="242">
        <f t="shared" si="473"/>
        <v>46204</v>
      </c>
      <c r="C1123" s="243">
        <f t="shared" si="454"/>
        <v>46234</v>
      </c>
      <c r="D1123" s="120">
        <f t="shared" si="455"/>
        <v>31</v>
      </c>
      <c r="E1123" s="120">
        <f t="shared" si="456"/>
        <v>7</v>
      </c>
      <c r="F1123" s="275">
        <f t="shared" si="457"/>
        <v>46219.5</v>
      </c>
      <c r="G1123" s="120">
        <f t="shared" si="458"/>
        <v>24318</v>
      </c>
      <c r="H1123" s="245">
        <f t="shared" si="459"/>
        <v>1</v>
      </c>
      <c r="I1123" s="121">
        <f t="shared" si="460"/>
        <v>1</v>
      </c>
      <c r="J1123" s="121">
        <f t="shared" si="461"/>
        <v>1</v>
      </c>
      <c r="K1123" s="120">
        <f t="shared" si="462"/>
        <v>0</v>
      </c>
      <c r="L1123" s="120">
        <f t="shared" si="463"/>
        <v>0</v>
      </c>
      <c r="M1123" s="246">
        <f t="shared" si="464"/>
        <v>0</v>
      </c>
      <c r="N1123" s="121">
        <f t="shared" si="465"/>
        <v>1</v>
      </c>
      <c r="O1123" s="246">
        <f t="shared" si="466"/>
        <v>0.91083698030634574</v>
      </c>
      <c r="P1123" s="121">
        <f t="shared" si="467"/>
        <v>0.91666666666666663</v>
      </c>
      <c r="Q1123" s="121">
        <f t="shared" si="468"/>
        <v>8.333333333333337E-2</v>
      </c>
      <c r="R1123" s="121">
        <f t="shared" si="469"/>
        <v>0</v>
      </c>
      <c r="S1123" s="121" t="str">
        <f t="shared" si="470"/>
        <v/>
      </c>
      <c r="T1123" s="121" t="str">
        <f t="shared" si="471"/>
        <v/>
      </c>
      <c r="U1123" s="121">
        <f t="shared" si="472"/>
        <v>1</v>
      </c>
    </row>
    <row r="1124" spans="1:21" x14ac:dyDescent="0.3">
      <c r="A1124" s="187">
        <v>20</v>
      </c>
      <c r="B1124" s="242">
        <f t="shared" si="473"/>
        <v>46235</v>
      </c>
      <c r="C1124" s="243">
        <f t="shared" si="454"/>
        <v>46265</v>
      </c>
      <c r="D1124" s="120">
        <f t="shared" si="455"/>
        <v>31</v>
      </c>
      <c r="E1124" s="120">
        <f t="shared" si="456"/>
        <v>8</v>
      </c>
      <c r="F1124" s="275">
        <f t="shared" si="457"/>
        <v>46250.5</v>
      </c>
      <c r="G1124" s="120">
        <f t="shared" si="458"/>
        <v>24319</v>
      </c>
      <c r="H1124" s="245">
        <f t="shared" si="459"/>
        <v>1</v>
      </c>
      <c r="I1124" s="121">
        <f t="shared" si="460"/>
        <v>1</v>
      </c>
      <c r="J1124" s="121">
        <f t="shared" si="461"/>
        <v>1.06</v>
      </c>
      <c r="K1124" s="120">
        <f t="shared" si="462"/>
        <v>1</v>
      </c>
      <c r="L1124" s="120">
        <f t="shared" si="463"/>
        <v>31</v>
      </c>
      <c r="M1124" s="246">
        <f t="shared" si="464"/>
        <v>1</v>
      </c>
      <c r="N1124" s="121">
        <f t="shared" si="465"/>
        <v>1.06</v>
      </c>
      <c r="O1124" s="246">
        <f t="shared" si="466"/>
        <v>0.9104978118161926</v>
      </c>
      <c r="P1124" s="121">
        <f t="shared" si="467"/>
        <v>0.75</v>
      </c>
      <c r="Q1124" s="121">
        <f t="shared" si="468"/>
        <v>0.25</v>
      </c>
      <c r="R1124" s="121">
        <f t="shared" si="469"/>
        <v>0</v>
      </c>
      <c r="S1124" s="121" t="str">
        <f t="shared" si="470"/>
        <v/>
      </c>
      <c r="T1124" s="121" t="str">
        <f t="shared" si="471"/>
        <v/>
      </c>
      <c r="U1124" s="121">
        <f t="shared" si="472"/>
        <v>1.06</v>
      </c>
    </row>
    <row r="1125" spans="1:21" x14ac:dyDescent="0.3">
      <c r="A1125" s="187">
        <v>21</v>
      </c>
      <c r="B1125" s="242">
        <f t="shared" si="473"/>
        <v>46266</v>
      </c>
      <c r="C1125" s="243">
        <f t="shared" si="454"/>
        <v>46295</v>
      </c>
      <c r="D1125" s="120">
        <f t="shared" si="455"/>
        <v>30</v>
      </c>
      <c r="E1125" s="120">
        <f t="shared" si="456"/>
        <v>9</v>
      </c>
      <c r="F1125" s="275">
        <f t="shared" si="457"/>
        <v>46281</v>
      </c>
      <c r="G1125" s="120">
        <f t="shared" si="458"/>
        <v>24320</v>
      </c>
      <c r="H1125" s="245">
        <f t="shared" si="459"/>
        <v>1</v>
      </c>
      <c r="I1125" s="121">
        <f t="shared" si="460"/>
        <v>1.06</v>
      </c>
      <c r="J1125" s="121">
        <f t="shared" si="461"/>
        <v>1.06</v>
      </c>
      <c r="K1125" s="120">
        <f t="shared" si="462"/>
        <v>0</v>
      </c>
      <c r="L1125" s="120">
        <f t="shared" si="463"/>
        <v>0</v>
      </c>
      <c r="M1125" s="246">
        <f t="shared" si="464"/>
        <v>0</v>
      </c>
      <c r="N1125" s="121">
        <f t="shared" si="465"/>
        <v>1.06</v>
      </c>
      <c r="O1125" s="246">
        <f t="shared" si="466"/>
        <v>0.91016411378555806</v>
      </c>
      <c r="P1125" s="121">
        <f t="shared" si="467"/>
        <v>0.58333333333333337</v>
      </c>
      <c r="Q1125" s="121">
        <f t="shared" si="468"/>
        <v>0.41666666666666663</v>
      </c>
      <c r="R1125" s="121">
        <f t="shared" si="469"/>
        <v>0</v>
      </c>
      <c r="S1125" s="121" t="str">
        <f t="shared" si="470"/>
        <v/>
      </c>
      <c r="T1125" s="121" t="str">
        <f t="shared" si="471"/>
        <v/>
      </c>
      <c r="U1125" s="121">
        <f t="shared" si="472"/>
        <v>1.06</v>
      </c>
    </row>
    <row r="1126" spans="1:21" x14ac:dyDescent="0.3">
      <c r="A1126" s="187">
        <v>22</v>
      </c>
      <c r="B1126" s="242">
        <f t="shared" si="473"/>
        <v>46296</v>
      </c>
      <c r="C1126" s="243">
        <f t="shared" si="454"/>
        <v>46326</v>
      </c>
      <c r="D1126" s="120">
        <f t="shared" si="455"/>
        <v>31</v>
      </c>
      <c r="E1126" s="120">
        <f t="shared" si="456"/>
        <v>10</v>
      </c>
      <c r="F1126" s="275">
        <f t="shared" si="457"/>
        <v>46311.5</v>
      </c>
      <c r="G1126" s="120">
        <f t="shared" si="458"/>
        <v>24321</v>
      </c>
      <c r="H1126" s="245">
        <f t="shared" si="459"/>
        <v>1</v>
      </c>
      <c r="I1126" s="121">
        <f t="shared" si="460"/>
        <v>1.06</v>
      </c>
      <c r="J1126" s="121">
        <f t="shared" si="461"/>
        <v>1.06</v>
      </c>
      <c r="K1126" s="120">
        <f t="shared" si="462"/>
        <v>0</v>
      </c>
      <c r="L1126" s="120">
        <f t="shared" si="463"/>
        <v>0</v>
      </c>
      <c r="M1126" s="246">
        <f t="shared" si="464"/>
        <v>0</v>
      </c>
      <c r="N1126" s="121">
        <f t="shared" si="465"/>
        <v>1.06</v>
      </c>
      <c r="O1126" s="246">
        <f t="shared" si="466"/>
        <v>0.90983041575492341</v>
      </c>
      <c r="P1126" s="121">
        <f t="shared" si="467"/>
        <v>0.41666666666666669</v>
      </c>
      <c r="Q1126" s="121">
        <f t="shared" si="468"/>
        <v>0.58333333333333326</v>
      </c>
      <c r="R1126" s="121">
        <f t="shared" si="469"/>
        <v>0</v>
      </c>
      <c r="S1126" s="121" t="str">
        <f t="shared" si="470"/>
        <v/>
      </c>
      <c r="T1126" s="121" t="str">
        <f t="shared" si="471"/>
        <v/>
      </c>
      <c r="U1126" s="121">
        <f t="shared" si="472"/>
        <v>1.06</v>
      </c>
    </row>
    <row r="1127" spans="1:21" x14ac:dyDescent="0.3">
      <c r="A1127" s="187">
        <v>23</v>
      </c>
      <c r="B1127" s="242">
        <f t="shared" si="473"/>
        <v>46327</v>
      </c>
      <c r="C1127" s="243">
        <f t="shared" si="454"/>
        <v>46356</v>
      </c>
      <c r="D1127" s="120">
        <f t="shared" si="455"/>
        <v>30</v>
      </c>
      <c r="E1127" s="120">
        <f t="shared" si="456"/>
        <v>11</v>
      </c>
      <c r="F1127" s="275">
        <f t="shared" si="457"/>
        <v>46342</v>
      </c>
      <c r="G1127" s="120">
        <f t="shared" si="458"/>
        <v>24322</v>
      </c>
      <c r="H1127" s="245">
        <f t="shared" si="459"/>
        <v>1</v>
      </c>
      <c r="I1127" s="121">
        <f t="shared" si="460"/>
        <v>1.06</v>
      </c>
      <c r="J1127" s="121">
        <f t="shared" si="461"/>
        <v>1.06</v>
      </c>
      <c r="K1127" s="120">
        <f t="shared" si="462"/>
        <v>0</v>
      </c>
      <c r="L1127" s="120">
        <f t="shared" si="463"/>
        <v>0</v>
      </c>
      <c r="M1127" s="246">
        <f t="shared" si="464"/>
        <v>0</v>
      </c>
      <c r="N1127" s="121">
        <f t="shared" si="465"/>
        <v>1.06</v>
      </c>
      <c r="O1127" s="246">
        <f t="shared" si="466"/>
        <v>0.90949671772428886</v>
      </c>
      <c r="P1127" s="121">
        <f t="shared" si="467"/>
        <v>0.25</v>
      </c>
      <c r="Q1127" s="121">
        <f t="shared" si="468"/>
        <v>0.75</v>
      </c>
      <c r="R1127" s="121">
        <f t="shared" si="469"/>
        <v>0</v>
      </c>
      <c r="S1127" s="121" t="str">
        <f t="shared" si="470"/>
        <v/>
      </c>
      <c r="T1127" s="121" t="str">
        <f t="shared" si="471"/>
        <v/>
      </c>
      <c r="U1127" s="121">
        <f t="shared" si="472"/>
        <v>1.06</v>
      </c>
    </row>
    <row r="1128" spans="1:21" x14ac:dyDescent="0.3">
      <c r="A1128" s="187">
        <v>24</v>
      </c>
      <c r="B1128" s="242">
        <f t="shared" si="473"/>
        <v>46357</v>
      </c>
      <c r="C1128" s="243">
        <f t="shared" si="454"/>
        <v>46387</v>
      </c>
      <c r="D1128" s="120">
        <f t="shared" si="455"/>
        <v>31</v>
      </c>
      <c r="E1128" s="120">
        <f t="shared" si="456"/>
        <v>12</v>
      </c>
      <c r="F1128" s="275">
        <f t="shared" si="457"/>
        <v>46372.5</v>
      </c>
      <c r="G1128" s="120">
        <f t="shared" si="458"/>
        <v>24323</v>
      </c>
      <c r="H1128" s="245">
        <f t="shared" si="459"/>
        <v>1</v>
      </c>
      <c r="I1128" s="121">
        <f t="shared" si="460"/>
        <v>1.06</v>
      </c>
      <c r="J1128" s="121">
        <f t="shared" si="461"/>
        <v>1.06</v>
      </c>
      <c r="K1128" s="120">
        <f t="shared" si="462"/>
        <v>0</v>
      </c>
      <c r="L1128" s="120">
        <f t="shared" si="463"/>
        <v>0</v>
      </c>
      <c r="M1128" s="246">
        <f t="shared" si="464"/>
        <v>0</v>
      </c>
      <c r="N1128" s="121">
        <f t="shared" si="465"/>
        <v>1.06</v>
      </c>
      <c r="O1128" s="246">
        <f t="shared" si="466"/>
        <v>0.90916301969365432</v>
      </c>
      <c r="P1128" s="121">
        <f t="shared" si="467"/>
        <v>8.3333333333333329E-2</v>
      </c>
      <c r="Q1128" s="121">
        <f t="shared" si="468"/>
        <v>0.91666666666666663</v>
      </c>
      <c r="R1128" s="121">
        <f t="shared" si="469"/>
        <v>0</v>
      </c>
      <c r="S1128" s="121" t="str">
        <f t="shared" si="470"/>
        <v/>
      </c>
      <c r="T1128" s="121" t="str">
        <f t="shared" si="471"/>
        <v/>
      </c>
      <c r="U1128" s="121">
        <f t="shared" si="472"/>
        <v>1.06</v>
      </c>
    </row>
    <row r="1129" spans="1:21" x14ac:dyDescent="0.3">
      <c r="A1129" s="187">
        <v>25</v>
      </c>
      <c r="B1129" s="242">
        <f t="shared" si="473"/>
        <v>46388</v>
      </c>
      <c r="C1129" s="243">
        <f t="shared" si="454"/>
        <v>46418</v>
      </c>
      <c r="D1129" s="120">
        <f t="shared" si="455"/>
        <v>31</v>
      </c>
      <c r="E1129" s="120">
        <f t="shared" si="456"/>
        <v>1</v>
      </c>
      <c r="F1129" s="275">
        <f t="shared" si="457"/>
        <v>46403.5</v>
      </c>
      <c r="G1129" s="120">
        <f t="shared" si="458"/>
        <v>24324</v>
      </c>
      <c r="H1129" s="245">
        <f t="shared" si="459"/>
        <v>1</v>
      </c>
      <c r="I1129" s="121">
        <f t="shared" si="460"/>
        <v>1.06</v>
      </c>
      <c r="J1129" s="121">
        <f t="shared" si="461"/>
        <v>1.06</v>
      </c>
      <c r="K1129" s="120">
        <f t="shared" si="462"/>
        <v>0</v>
      </c>
      <c r="L1129" s="120">
        <f t="shared" si="463"/>
        <v>0</v>
      </c>
      <c r="M1129" s="246">
        <f t="shared" si="464"/>
        <v>0</v>
      </c>
      <c r="N1129" s="121">
        <f t="shared" si="465"/>
        <v>1.06</v>
      </c>
      <c r="O1129" s="246">
        <f t="shared" si="466"/>
        <v>0.90882385120350118</v>
      </c>
      <c r="P1129" s="121">
        <f t="shared" si="467"/>
        <v>0</v>
      </c>
      <c r="Q1129" s="121">
        <f t="shared" si="468"/>
        <v>1</v>
      </c>
      <c r="R1129" s="121">
        <f t="shared" si="469"/>
        <v>0</v>
      </c>
      <c r="S1129" s="121" t="str">
        <f t="shared" si="470"/>
        <v/>
      </c>
      <c r="T1129" s="121" t="str">
        <f t="shared" si="471"/>
        <v/>
      </c>
      <c r="U1129" s="121">
        <f t="shared" si="472"/>
        <v>1.06</v>
      </c>
    </row>
    <row r="1130" spans="1:21" x14ac:dyDescent="0.3">
      <c r="A1130" s="187">
        <v>26</v>
      </c>
      <c r="B1130" s="242">
        <f t="shared" si="473"/>
        <v>46419</v>
      </c>
      <c r="C1130" s="243">
        <f t="shared" si="454"/>
        <v>46446</v>
      </c>
      <c r="D1130" s="120">
        <f t="shared" si="455"/>
        <v>28</v>
      </c>
      <c r="E1130" s="120">
        <f t="shared" si="456"/>
        <v>2</v>
      </c>
      <c r="F1130" s="275">
        <f t="shared" si="457"/>
        <v>46433</v>
      </c>
      <c r="G1130" s="120">
        <f t="shared" si="458"/>
        <v>24325</v>
      </c>
      <c r="H1130" s="245">
        <f t="shared" si="459"/>
        <v>1</v>
      </c>
      <c r="I1130" s="121">
        <f t="shared" si="460"/>
        <v>1.06</v>
      </c>
      <c r="J1130" s="121">
        <f t="shared" si="461"/>
        <v>1.06</v>
      </c>
      <c r="K1130" s="120">
        <f t="shared" si="462"/>
        <v>0</v>
      </c>
      <c r="L1130" s="120">
        <f t="shared" si="463"/>
        <v>0</v>
      </c>
      <c r="M1130" s="246">
        <f t="shared" si="464"/>
        <v>0</v>
      </c>
      <c r="N1130" s="121">
        <f t="shared" si="465"/>
        <v>1.06</v>
      </c>
      <c r="O1130" s="246">
        <f t="shared" si="466"/>
        <v>0.90850109409190372</v>
      </c>
      <c r="P1130" s="121">
        <f t="shared" si="467"/>
        <v>0</v>
      </c>
      <c r="Q1130" s="121">
        <f t="shared" si="468"/>
        <v>1</v>
      </c>
      <c r="R1130" s="121">
        <f t="shared" si="469"/>
        <v>0</v>
      </c>
      <c r="S1130" s="121" t="str">
        <f t="shared" si="470"/>
        <v/>
      </c>
      <c r="T1130" s="121" t="str">
        <f t="shared" si="471"/>
        <v/>
      </c>
      <c r="U1130" s="121">
        <f t="shared" si="472"/>
        <v>1.06</v>
      </c>
    </row>
    <row r="1131" spans="1:21" x14ac:dyDescent="0.3">
      <c r="A1131" s="187">
        <v>27</v>
      </c>
      <c r="B1131" s="242">
        <f t="shared" si="473"/>
        <v>46447</v>
      </c>
      <c r="C1131" s="243">
        <f t="shared" si="454"/>
        <v>46477</v>
      </c>
      <c r="D1131" s="120">
        <f t="shared" si="455"/>
        <v>31</v>
      </c>
      <c r="E1131" s="120">
        <f t="shared" si="456"/>
        <v>3</v>
      </c>
      <c r="F1131" s="275">
        <f t="shared" si="457"/>
        <v>46462.5</v>
      </c>
      <c r="G1131" s="120">
        <f t="shared" si="458"/>
        <v>24326</v>
      </c>
      <c r="H1131" s="245">
        <f t="shared" si="459"/>
        <v>1</v>
      </c>
      <c r="I1131" s="121">
        <f t="shared" si="460"/>
        <v>1.06</v>
      </c>
      <c r="J1131" s="121">
        <f t="shared" si="461"/>
        <v>1.06</v>
      </c>
      <c r="K1131" s="120">
        <f t="shared" si="462"/>
        <v>0</v>
      </c>
      <c r="L1131" s="120">
        <f t="shared" si="463"/>
        <v>0</v>
      </c>
      <c r="M1131" s="246">
        <f t="shared" si="464"/>
        <v>0</v>
      </c>
      <c r="N1131" s="121">
        <f t="shared" si="465"/>
        <v>1.06</v>
      </c>
      <c r="O1131" s="246">
        <f t="shared" si="466"/>
        <v>0.90817833698030637</v>
      </c>
      <c r="P1131" s="121">
        <f t="shared" si="467"/>
        <v>0</v>
      </c>
      <c r="Q1131" s="121">
        <f t="shared" si="468"/>
        <v>1</v>
      </c>
      <c r="R1131" s="121">
        <f t="shared" si="469"/>
        <v>0</v>
      </c>
      <c r="S1131" s="121" t="str">
        <f t="shared" si="470"/>
        <v/>
      </c>
      <c r="T1131" s="121" t="str">
        <f t="shared" si="471"/>
        <v/>
      </c>
      <c r="U1131" s="121">
        <f t="shared" si="472"/>
        <v>1.06</v>
      </c>
    </row>
    <row r="1132" spans="1:21" x14ac:dyDescent="0.3">
      <c r="A1132" s="187">
        <v>28</v>
      </c>
      <c r="B1132" s="242">
        <f t="shared" si="473"/>
        <v>46478</v>
      </c>
      <c r="C1132" s="243">
        <f t="shared" si="454"/>
        <v>46507</v>
      </c>
      <c r="D1132" s="120">
        <f t="shared" si="455"/>
        <v>30</v>
      </c>
      <c r="E1132" s="120">
        <f t="shared" si="456"/>
        <v>4</v>
      </c>
      <c r="F1132" s="275">
        <f t="shared" si="457"/>
        <v>46493</v>
      </c>
      <c r="G1132" s="120">
        <f t="shared" si="458"/>
        <v>24327</v>
      </c>
      <c r="H1132" s="245">
        <f t="shared" si="459"/>
        <v>1</v>
      </c>
      <c r="I1132" s="121">
        <f t="shared" si="460"/>
        <v>1.06</v>
      </c>
      <c r="J1132" s="121">
        <f t="shared" si="461"/>
        <v>1.06</v>
      </c>
      <c r="K1132" s="120">
        <f t="shared" si="462"/>
        <v>0</v>
      </c>
      <c r="L1132" s="120">
        <f t="shared" si="463"/>
        <v>0</v>
      </c>
      <c r="M1132" s="246">
        <f t="shared" si="464"/>
        <v>0</v>
      </c>
      <c r="N1132" s="121">
        <f t="shared" si="465"/>
        <v>1.06</v>
      </c>
      <c r="O1132" s="246">
        <f t="shared" si="466"/>
        <v>0.90784463894967182</v>
      </c>
      <c r="P1132" s="121">
        <f t="shared" si="467"/>
        <v>0</v>
      </c>
      <c r="Q1132" s="121">
        <f t="shared" si="468"/>
        <v>1</v>
      </c>
      <c r="R1132" s="121">
        <f t="shared" si="469"/>
        <v>0</v>
      </c>
      <c r="S1132" s="121" t="str">
        <f t="shared" si="470"/>
        <v/>
      </c>
      <c r="T1132" s="121" t="str">
        <f t="shared" si="471"/>
        <v/>
      </c>
      <c r="U1132" s="121">
        <f t="shared" si="472"/>
        <v>1.06</v>
      </c>
    </row>
    <row r="1133" spans="1:21" x14ac:dyDescent="0.3">
      <c r="A1133" s="187">
        <v>29</v>
      </c>
      <c r="B1133" s="242">
        <f t="shared" si="473"/>
        <v>46508</v>
      </c>
      <c r="C1133" s="243">
        <f t="shared" si="454"/>
        <v>46538</v>
      </c>
      <c r="D1133" s="120">
        <f t="shared" si="455"/>
        <v>31</v>
      </c>
      <c r="E1133" s="120">
        <f t="shared" si="456"/>
        <v>5</v>
      </c>
      <c r="F1133" s="275">
        <f t="shared" si="457"/>
        <v>46523.5</v>
      </c>
      <c r="G1133" s="120">
        <f t="shared" si="458"/>
        <v>24328</v>
      </c>
      <c r="H1133" s="245">
        <f t="shared" si="459"/>
        <v>1</v>
      </c>
      <c r="I1133" s="121">
        <f t="shared" si="460"/>
        <v>1.06</v>
      </c>
      <c r="J1133" s="121">
        <f t="shared" si="461"/>
        <v>1.06</v>
      </c>
      <c r="K1133" s="120">
        <f t="shared" si="462"/>
        <v>0</v>
      </c>
      <c r="L1133" s="120">
        <f t="shared" si="463"/>
        <v>0</v>
      </c>
      <c r="M1133" s="246">
        <f t="shared" si="464"/>
        <v>0</v>
      </c>
      <c r="N1133" s="121">
        <f t="shared" si="465"/>
        <v>1.06</v>
      </c>
      <c r="O1133" s="246">
        <f t="shared" si="466"/>
        <v>0.90751094091903728</v>
      </c>
      <c r="P1133" s="121">
        <f t="shared" si="467"/>
        <v>0</v>
      </c>
      <c r="Q1133" s="121">
        <f t="shared" si="468"/>
        <v>1</v>
      </c>
      <c r="R1133" s="121">
        <f t="shared" si="469"/>
        <v>0</v>
      </c>
      <c r="S1133" s="121" t="str">
        <f t="shared" si="470"/>
        <v/>
      </c>
      <c r="T1133" s="121" t="str">
        <f t="shared" si="471"/>
        <v/>
      </c>
      <c r="U1133" s="121">
        <f t="shared" si="472"/>
        <v>1.06</v>
      </c>
    </row>
    <row r="1134" spans="1:21" x14ac:dyDescent="0.3">
      <c r="A1134" s="187">
        <v>30</v>
      </c>
      <c r="B1134" s="242">
        <f t="shared" si="473"/>
        <v>46539</v>
      </c>
      <c r="C1134" s="243">
        <f t="shared" si="454"/>
        <v>46568</v>
      </c>
      <c r="D1134" s="120">
        <f t="shared" si="455"/>
        <v>30</v>
      </c>
      <c r="E1134" s="120">
        <f t="shared" si="456"/>
        <v>6</v>
      </c>
      <c r="F1134" s="275">
        <f t="shared" si="457"/>
        <v>46554</v>
      </c>
      <c r="G1134" s="120">
        <f t="shared" si="458"/>
        <v>24329</v>
      </c>
      <c r="H1134" s="245">
        <f t="shared" si="459"/>
        <v>1</v>
      </c>
      <c r="I1134" s="121">
        <f t="shared" si="460"/>
        <v>1.06</v>
      </c>
      <c r="J1134" s="121">
        <f t="shared" si="461"/>
        <v>1.06</v>
      </c>
      <c r="K1134" s="120">
        <f t="shared" si="462"/>
        <v>0</v>
      </c>
      <c r="L1134" s="120">
        <f t="shared" si="463"/>
        <v>0</v>
      </c>
      <c r="M1134" s="246">
        <f t="shared" si="464"/>
        <v>0</v>
      </c>
      <c r="N1134" s="121">
        <f t="shared" si="465"/>
        <v>1.06</v>
      </c>
      <c r="O1134" s="246">
        <f t="shared" si="466"/>
        <v>0.90717724288840262</v>
      </c>
      <c r="P1134" s="121">
        <f t="shared" si="467"/>
        <v>0</v>
      </c>
      <c r="Q1134" s="121">
        <f t="shared" si="468"/>
        <v>1</v>
      </c>
      <c r="R1134" s="121">
        <f t="shared" si="469"/>
        <v>0</v>
      </c>
      <c r="S1134" s="121" t="str">
        <f t="shared" si="470"/>
        <v/>
      </c>
      <c r="T1134" s="121" t="str">
        <f t="shared" si="471"/>
        <v/>
      </c>
      <c r="U1134" s="121">
        <f t="shared" si="472"/>
        <v>1.06</v>
      </c>
    </row>
    <row r="1135" spans="1:21" x14ac:dyDescent="0.3">
      <c r="A1135" s="187">
        <v>31</v>
      </c>
      <c r="B1135" s="242">
        <f t="shared" si="473"/>
        <v>46569</v>
      </c>
      <c r="C1135" s="243">
        <f t="shared" si="454"/>
        <v>46599</v>
      </c>
      <c r="D1135" s="120">
        <f t="shared" si="455"/>
        <v>31</v>
      </c>
      <c r="E1135" s="120">
        <f t="shared" si="456"/>
        <v>7</v>
      </c>
      <c r="F1135" s="275">
        <f t="shared" si="457"/>
        <v>46584.5</v>
      </c>
      <c r="G1135" s="120">
        <f t="shared" si="458"/>
        <v>24330</v>
      </c>
      <c r="H1135" s="245">
        <f t="shared" si="459"/>
        <v>1</v>
      </c>
      <c r="I1135" s="121">
        <f t="shared" si="460"/>
        <v>1.06</v>
      </c>
      <c r="J1135" s="121">
        <f t="shared" si="461"/>
        <v>1.06</v>
      </c>
      <c r="K1135" s="120">
        <f t="shared" si="462"/>
        <v>0</v>
      </c>
      <c r="L1135" s="120">
        <f t="shared" si="463"/>
        <v>0</v>
      </c>
      <c r="M1135" s="246">
        <f t="shared" si="464"/>
        <v>0</v>
      </c>
      <c r="N1135" s="121">
        <f t="shared" si="465"/>
        <v>1.06</v>
      </c>
      <c r="O1135" s="246">
        <f t="shared" si="466"/>
        <v>0.90684354485776808</v>
      </c>
      <c r="P1135" s="121">
        <f t="shared" si="467"/>
        <v>0</v>
      </c>
      <c r="Q1135" s="121">
        <f t="shared" si="468"/>
        <v>0.91666666666666663</v>
      </c>
      <c r="R1135" s="121">
        <f t="shared" si="469"/>
        <v>8.333333333333337E-2</v>
      </c>
      <c r="S1135" s="121" t="str">
        <f t="shared" si="470"/>
        <v/>
      </c>
      <c r="T1135" s="121" t="str">
        <f t="shared" si="471"/>
        <v/>
      </c>
      <c r="U1135" s="121">
        <f t="shared" si="472"/>
        <v>1.06</v>
      </c>
    </row>
    <row r="1136" spans="1:21" x14ac:dyDescent="0.3">
      <c r="A1136" s="187">
        <v>32</v>
      </c>
      <c r="B1136" s="242">
        <f t="shared" si="473"/>
        <v>46600</v>
      </c>
      <c r="C1136" s="243">
        <f t="shared" si="454"/>
        <v>46630</v>
      </c>
      <c r="D1136" s="120">
        <f t="shared" si="455"/>
        <v>31</v>
      </c>
      <c r="E1136" s="120">
        <f t="shared" si="456"/>
        <v>8</v>
      </c>
      <c r="F1136" s="275">
        <f t="shared" si="457"/>
        <v>46615.5</v>
      </c>
      <c r="G1136" s="120">
        <f t="shared" si="458"/>
        <v>24331</v>
      </c>
      <c r="H1136" s="245">
        <f t="shared" si="459"/>
        <v>1</v>
      </c>
      <c r="I1136" s="121">
        <f t="shared" si="460"/>
        <v>1.06</v>
      </c>
      <c r="J1136" s="121">
        <f t="shared" si="461"/>
        <v>1.06</v>
      </c>
      <c r="K1136" s="120">
        <f t="shared" si="462"/>
        <v>0</v>
      </c>
      <c r="L1136" s="120">
        <f t="shared" si="463"/>
        <v>0</v>
      </c>
      <c r="M1136" s="246">
        <f t="shared" si="464"/>
        <v>0</v>
      </c>
      <c r="N1136" s="121">
        <f t="shared" si="465"/>
        <v>1.06</v>
      </c>
      <c r="O1136" s="246">
        <f t="shared" si="466"/>
        <v>0.90650437636761494</v>
      </c>
      <c r="P1136" s="121">
        <f t="shared" si="467"/>
        <v>0</v>
      </c>
      <c r="Q1136" s="121">
        <f t="shared" si="468"/>
        <v>0.75</v>
      </c>
      <c r="R1136" s="121">
        <f t="shared" si="469"/>
        <v>0.25</v>
      </c>
      <c r="S1136" s="121" t="str">
        <f t="shared" si="470"/>
        <v/>
      </c>
      <c r="T1136" s="121" t="str">
        <f t="shared" si="471"/>
        <v/>
      </c>
      <c r="U1136" s="121">
        <f t="shared" si="472"/>
        <v>1.06</v>
      </c>
    </row>
    <row r="1137" spans="1:21" x14ac:dyDescent="0.3">
      <c r="A1137" s="187">
        <v>33</v>
      </c>
      <c r="B1137" s="242">
        <f t="shared" si="473"/>
        <v>46631</v>
      </c>
      <c r="C1137" s="243">
        <f t="shared" si="454"/>
        <v>46660</v>
      </c>
      <c r="D1137" s="120">
        <f t="shared" si="455"/>
        <v>30</v>
      </c>
      <c r="E1137" s="120">
        <f t="shared" si="456"/>
        <v>9</v>
      </c>
      <c r="F1137" s="275">
        <f t="shared" si="457"/>
        <v>46646</v>
      </c>
      <c r="G1137" s="120">
        <f t="shared" si="458"/>
        <v>24332</v>
      </c>
      <c r="H1137" s="245">
        <f t="shared" si="459"/>
        <v>1</v>
      </c>
      <c r="I1137" s="121">
        <f t="shared" si="460"/>
        <v>1.06</v>
      </c>
      <c r="J1137" s="121">
        <f t="shared" si="461"/>
        <v>1.06</v>
      </c>
      <c r="K1137" s="120">
        <f t="shared" si="462"/>
        <v>0</v>
      </c>
      <c r="L1137" s="120">
        <f t="shared" si="463"/>
        <v>0</v>
      </c>
      <c r="M1137" s="246">
        <f t="shared" si="464"/>
        <v>0</v>
      </c>
      <c r="N1137" s="121">
        <f t="shared" si="465"/>
        <v>1.06</v>
      </c>
      <c r="O1137" s="246">
        <f t="shared" si="466"/>
        <v>0.90617067833698028</v>
      </c>
      <c r="P1137" s="121">
        <f t="shared" si="467"/>
        <v>0</v>
      </c>
      <c r="Q1137" s="121">
        <f t="shared" si="468"/>
        <v>0.58333333333333337</v>
      </c>
      <c r="R1137" s="121">
        <f t="shared" si="469"/>
        <v>0.41666666666666663</v>
      </c>
      <c r="S1137" s="121" t="str">
        <f t="shared" si="470"/>
        <v/>
      </c>
      <c r="T1137" s="121" t="str">
        <f t="shared" si="471"/>
        <v/>
      </c>
      <c r="U1137" s="121">
        <f t="shared" si="472"/>
        <v>1.06</v>
      </c>
    </row>
    <row r="1138" spans="1:21" x14ac:dyDescent="0.3">
      <c r="A1138" s="187">
        <v>34</v>
      </c>
      <c r="B1138" s="242">
        <f t="shared" si="473"/>
        <v>46661</v>
      </c>
      <c r="C1138" s="243">
        <f t="shared" si="454"/>
        <v>46691</v>
      </c>
      <c r="D1138" s="120">
        <f t="shared" si="455"/>
        <v>31</v>
      </c>
      <c r="E1138" s="120">
        <f t="shared" si="456"/>
        <v>10</v>
      </c>
      <c r="F1138" s="275">
        <f t="shared" si="457"/>
        <v>46676.5</v>
      </c>
      <c r="G1138" s="120">
        <f t="shared" si="458"/>
        <v>24333</v>
      </c>
      <c r="H1138" s="245">
        <f t="shared" si="459"/>
        <v>1</v>
      </c>
      <c r="I1138" s="121">
        <f t="shared" si="460"/>
        <v>1.06</v>
      </c>
      <c r="J1138" s="121">
        <f t="shared" si="461"/>
        <v>1.06</v>
      </c>
      <c r="K1138" s="120">
        <f t="shared" si="462"/>
        <v>0</v>
      </c>
      <c r="L1138" s="120">
        <f t="shared" si="463"/>
        <v>0</v>
      </c>
      <c r="M1138" s="246">
        <f t="shared" si="464"/>
        <v>0</v>
      </c>
      <c r="N1138" s="121">
        <f t="shared" si="465"/>
        <v>1.06</v>
      </c>
      <c r="O1138" s="246">
        <f t="shared" si="466"/>
        <v>0.90583698030634574</v>
      </c>
      <c r="P1138" s="121">
        <f t="shared" si="467"/>
        <v>0</v>
      </c>
      <c r="Q1138" s="121">
        <f t="shared" si="468"/>
        <v>0.41666666666666669</v>
      </c>
      <c r="R1138" s="121">
        <f t="shared" si="469"/>
        <v>0.58333333333333326</v>
      </c>
      <c r="S1138" s="121" t="str">
        <f t="shared" si="470"/>
        <v/>
      </c>
      <c r="T1138" s="121" t="str">
        <f t="shared" si="471"/>
        <v/>
      </c>
      <c r="U1138" s="121">
        <f t="shared" si="472"/>
        <v>1.06</v>
      </c>
    </row>
    <row r="1139" spans="1:21" x14ac:dyDescent="0.3">
      <c r="A1139" s="187">
        <v>35</v>
      </c>
      <c r="B1139" s="242">
        <f t="shared" si="473"/>
        <v>46692</v>
      </c>
      <c r="C1139" s="243">
        <f t="shared" si="454"/>
        <v>46721</v>
      </c>
      <c r="D1139" s="120">
        <f t="shared" si="455"/>
        <v>30</v>
      </c>
      <c r="E1139" s="120">
        <f t="shared" si="456"/>
        <v>11</v>
      </c>
      <c r="F1139" s="275">
        <f t="shared" si="457"/>
        <v>46707</v>
      </c>
      <c r="G1139" s="120">
        <f t="shared" si="458"/>
        <v>24334</v>
      </c>
      <c r="H1139" s="245">
        <f t="shared" si="459"/>
        <v>1</v>
      </c>
      <c r="I1139" s="121">
        <f t="shared" si="460"/>
        <v>1.06</v>
      </c>
      <c r="J1139" s="121">
        <f t="shared" si="461"/>
        <v>1.06</v>
      </c>
      <c r="K1139" s="120">
        <f t="shared" si="462"/>
        <v>0</v>
      </c>
      <c r="L1139" s="120">
        <f t="shared" si="463"/>
        <v>0</v>
      </c>
      <c r="M1139" s="246">
        <f t="shared" si="464"/>
        <v>0</v>
      </c>
      <c r="N1139" s="121">
        <f t="shared" si="465"/>
        <v>1.06</v>
      </c>
      <c r="O1139" s="246">
        <f t="shared" si="466"/>
        <v>0.9055032822757112</v>
      </c>
      <c r="P1139" s="121">
        <f t="shared" si="467"/>
        <v>0</v>
      </c>
      <c r="Q1139" s="121">
        <f t="shared" si="468"/>
        <v>0.25</v>
      </c>
      <c r="R1139" s="121">
        <f t="shared" si="469"/>
        <v>0.75</v>
      </c>
      <c r="S1139" s="121" t="str">
        <f t="shared" si="470"/>
        <v/>
      </c>
      <c r="T1139" s="121" t="str">
        <f t="shared" si="471"/>
        <v/>
      </c>
      <c r="U1139" s="121">
        <f t="shared" si="472"/>
        <v>1.06</v>
      </c>
    </row>
    <row r="1140" spans="1:21" x14ac:dyDescent="0.3">
      <c r="A1140" s="187">
        <v>36</v>
      </c>
      <c r="B1140" s="242">
        <f t="shared" si="473"/>
        <v>46722</v>
      </c>
      <c r="C1140" s="243">
        <f t="shared" si="454"/>
        <v>46752</v>
      </c>
      <c r="D1140" s="120">
        <f t="shared" si="455"/>
        <v>31</v>
      </c>
      <c r="E1140" s="120">
        <f t="shared" si="456"/>
        <v>12</v>
      </c>
      <c r="F1140" s="275">
        <f t="shared" si="457"/>
        <v>46737.5</v>
      </c>
      <c r="G1140" s="120">
        <f t="shared" si="458"/>
        <v>24335</v>
      </c>
      <c r="H1140" s="245">
        <f t="shared" si="459"/>
        <v>1</v>
      </c>
      <c r="I1140" s="121">
        <f t="shared" si="460"/>
        <v>1.06</v>
      </c>
      <c r="J1140" s="121">
        <f t="shared" si="461"/>
        <v>1.06</v>
      </c>
      <c r="K1140" s="120">
        <f t="shared" si="462"/>
        <v>0</v>
      </c>
      <c r="L1140" s="120">
        <f t="shared" si="463"/>
        <v>0</v>
      </c>
      <c r="M1140" s="246">
        <f t="shared" si="464"/>
        <v>0</v>
      </c>
      <c r="N1140" s="121">
        <f t="shared" si="465"/>
        <v>1.06</v>
      </c>
      <c r="O1140" s="246">
        <f t="shared" si="466"/>
        <v>0.90516958424507665</v>
      </c>
      <c r="P1140" s="121">
        <f t="shared" si="467"/>
        <v>0</v>
      </c>
      <c r="Q1140" s="121">
        <f t="shared" si="468"/>
        <v>8.3333333333333329E-2</v>
      </c>
      <c r="R1140" s="121">
        <f t="shared" si="469"/>
        <v>0.91666666666666663</v>
      </c>
      <c r="S1140" s="121" t="str">
        <f t="shared" si="470"/>
        <v/>
      </c>
      <c r="T1140" s="121" t="str">
        <f t="shared" si="471"/>
        <v/>
      </c>
      <c r="U1140" s="121">
        <f t="shared" si="472"/>
        <v>1.06</v>
      </c>
    </row>
    <row r="1141" spans="1:21" x14ac:dyDescent="0.3">
      <c r="A1141" s="187">
        <v>37</v>
      </c>
      <c r="B1141" s="242">
        <f t="shared" si="473"/>
        <v>46753</v>
      </c>
      <c r="C1141" s="243">
        <f t="shared" si="454"/>
        <v>46783</v>
      </c>
      <c r="D1141" s="120">
        <f t="shared" si="455"/>
        <v>31</v>
      </c>
      <c r="E1141" s="120">
        <f t="shared" si="456"/>
        <v>1</v>
      </c>
      <c r="F1141" s="275">
        <f t="shared" si="457"/>
        <v>46768.5</v>
      </c>
      <c r="G1141" s="120">
        <f t="shared" si="458"/>
        <v>24336</v>
      </c>
      <c r="H1141" s="245">
        <f t="shared" si="459"/>
        <v>1</v>
      </c>
      <c r="I1141" s="121">
        <f t="shared" si="460"/>
        <v>1.06</v>
      </c>
      <c r="J1141" s="121">
        <f t="shared" si="461"/>
        <v>1.06</v>
      </c>
      <c r="K1141" s="120">
        <f t="shared" si="462"/>
        <v>0</v>
      </c>
      <c r="L1141" s="120">
        <f t="shared" si="463"/>
        <v>0</v>
      </c>
      <c r="M1141" s="246">
        <f t="shared" si="464"/>
        <v>0</v>
      </c>
      <c r="N1141" s="121">
        <f t="shared" si="465"/>
        <v>1.06</v>
      </c>
      <c r="O1141" s="246">
        <f t="shared" si="466"/>
        <v>0.90500000000000003</v>
      </c>
      <c r="P1141" s="121">
        <f t="shared" si="467"/>
        <v>0</v>
      </c>
      <c r="Q1141" s="121">
        <f t="shared" si="468"/>
        <v>0</v>
      </c>
      <c r="R1141" s="121">
        <f t="shared" si="469"/>
        <v>1</v>
      </c>
      <c r="S1141" s="121" t="str">
        <f t="shared" si="470"/>
        <v/>
      </c>
      <c r="T1141" s="121" t="str">
        <f t="shared" si="471"/>
        <v/>
      </c>
      <c r="U1141" s="121">
        <f t="shared" si="472"/>
        <v>1.06</v>
      </c>
    </row>
    <row r="1142" spans="1:21" x14ac:dyDescent="0.3">
      <c r="A1142" s="187">
        <v>38</v>
      </c>
      <c r="B1142" s="242">
        <f t="shared" si="473"/>
        <v>46784</v>
      </c>
      <c r="C1142" s="243">
        <f t="shared" si="454"/>
        <v>46812</v>
      </c>
      <c r="D1142" s="120">
        <f t="shared" si="455"/>
        <v>29</v>
      </c>
      <c r="E1142" s="120">
        <f t="shared" si="456"/>
        <v>2</v>
      </c>
      <c r="F1142" s="275">
        <f t="shared" si="457"/>
        <v>46798.5</v>
      </c>
      <c r="G1142" s="120">
        <f t="shared" si="458"/>
        <v>24337</v>
      </c>
      <c r="H1142" s="245">
        <f t="shared" si="459"/>
        <v>1</v>
      </c>
      <c r="I1142" s="121">
        <f t="shared" si="460"/>
        <v>1.06</v>
      </c>
      <c r="J1142" s="121">
        <f t="shared" si="461"/>
        <v>1.06</v>
      </c>
      <c r="K1142" s="120">
        <f t="shared" si="462"/>
        <v>0</v>
      </c>
      <c r="L1142" s="120">
        <f t="shared" si="463"/>
        <v>0</v>
      </c>
      <c r="M1142" s="246">
        <f t="shared" si="464"/>
        <v>0</v>
      </c>
      <c r="N1142" s="121">
        <f t="shared" si="465"/>
        <v>1.06</v>
      </c>
      <c r="O1142" s="246">
        <f t="shared" si="466"/>
        <v>0.90500000000000003</v>
      </c>
      <c r="P1142" s="121">
        <f t="shared" si="467"/>
        <v>0</v>
      </c>
      <c r="Q1142" s="121">
        <f t="shared" si="468"/>
        <v>0</v>
      </c>
      <c r="R1142" s="121">
        <f t="shared" si="469"/>
        <v>1</v>
      </c>
      <c r="S1142" s="121" t="str">
        <f t="shared" si="470"/>
        <v/>
      </c>
      <c r="T1142" s="121" t="str">
        <f t="shared" si="471"/>
        <v/>
      </c>
      <c r="U1142" s="121">
        <f t="shared" si="472"/>
        <v>1.06</v>
      </c>
    </row>
    <row r="1143" spans="1:21" x14ac:dyDescent="0.3">
      <c r="A1143" s="187">
        <v>39</v>
      </c>
      <c r="B1143" s="242">
        <f t="shared" si="473"/>
        <v>46813</v>
      </c>
      <c r="C1143" s="243">
        <f t="shared" si="454"/>
        <v>46843</v>
      </c>
      <c r="D1143" s="120">
        <f t="shared" si="455"/>
        <v>31</v>
      </c>
      <c r="E1143" s="120">
        <f t="shared" si="456"/>
        <v>3</v>
      </c>
      <c r="F1143" s="275">
        <f t="shared" si="457"/>
        <v>46828.5</v>
      </c>
      <c r="G1143" s="120">
        <f t="shared" si="458"/>
        <v>24338</v>
      </c>
      <c r="H1143" s="245">
        <f t="shared" si="459"/>
        <v>1</v>
      </c>
      <c r="I1143" s="121">
        <f t="shared" si="460"/>
        <v>1.06</v>
      </c>
      <c r="J1143" s="121">
        <f t="shared" si="461"/>
        <v>1.06</v>
      </c>
      <c r="K1143" s="120">
        <f t="shared" si="462"/>
        <v>0</v>
      </c>
      <c r="L1143" s="120">
        <f t="shared" si="463"/>
        <v>0</v>
      </c>
      <c r="M1143" s="246">
        <f t="shared" si="464"/>
        <v>0</v>
      </c>
      <c r="N1143" s="121">
        <f t="shared" si="465"/>
        <v>1.06</v>
      </c>
      <c r="O1143" s="246">
        <f t="shared" si="466"/>
        <v>0.90500000000000003</v>
      </c>
      <c r="P1143" s="121">
        <f t="shared" si="467"/>
        <v>0</v>
      </c>
      <c r="Q1143" s="121">
        <f t="shared" si="468"/>
        <v>0</v>
      </c>
      <c r="R1143" s="121">
        <f t="shared" si="469"/>
        <v>1</v>
      </c>
      <c r="S1143" s="121" t="str">
        <f t="shared" si="470"/>
        <v/>
      </c>
      <c r="T1143" s="121" t="str">
        <f t="shared" si="471"/>
        <v/>
      </c>
      <c r="U1143" s="121">
        <f t="shared" si="472"/>
        <v>1.06</v>
      </c>
    </row>
    <row r="1144" spans="1:21" x14ac:dyDescent="0.3">
      <c r="A1144" s="187">
        <v>40</v>
      </c>
      <c r="B1144" s="242">
        <f t="shared" si="473"/>
        <v>46844</v>
      </c>
      <c r="C1144" s="243">
        <f t="shared" si="454"/>
        <v>46873</v>
      </c>
      <c r="D1144" s="120">
        <f t="shared" si="455"/>
        <v>30</v>
      </c>
      <c r="E1144" s="120">
        <f t="shared" si="456"/>
        <v>4</v>
      </c>
      <c r="F1144" s="275">
        <f t="shared" si="457"/>
        <v>46859</v>
      </c>
      <c r="G1144" s="120">
        <f t="shared" si="458"/>
        <v>24339</v>
      </c>
      <c r="H1144" s="245">
        <f t="shared" si="459"/>
        <v>1</v>
      </c>
      <c r="I1144" s="121">
        <f t="shared" si="460"/>
        <v>1.06</v>
      </c>
      <c r="J1144" s="121">
        <f t="shared" si="461"/>
        <v>1.06</v>
      </c>
      <c r="K1144" s="120">
        <f t="shared" si="462"/>
        <v>0</v>
      </c>
      <c r="L1144" s="120">
        <f t="shared" si="463"/>
        <v>0</v>
      </c>
      <c r="M1144" s="246">
        <f t="shared" si="464"/>
        <v>0</v>
      </c>
      <c r="N1144" s="121">
        <f t="shared" si="465"/>
        <v>1.06</v>
      </c>
      <c r="O1144" s="246">
        <f t="shared" si="466"/>
        <v>0.90500000000000003</v>
      </c>
      <c r="P1144" s="121">
        <f t="shared" si="467"/>
        <v>0</v>
      </c>
      <c r="Q1144" s="121">
        <f t="shared" si="468"/>
        <v>0</v>
      </c>
      <c r="R1144" s="121">
        <f t="shared" si="469"/>
        <v>1</v>
      </c>
      <c r="S1144" s="121" t="str">
        <f t="shared" si="470"/>
        <v/>
      </c>
      <c r="T1144" s="121" t="str">
        <f t="shared" si="471"/>
        <v/>
      </c>
      <c r="U1144" s="121">
        <f t="shared" si="472"/>
        <v>1.06</v>
      </c>
    </row>
    <row r="1145" spans="1:21" x14ac:dyDescent="0.3">
      <c r="A1145" s="187">
        <v>41</v>
      </c>
      <c r="B1145" s="242">
        <f t="shared" si="473"/>
        <v>46874</v>
      </c>
      <c r="C1145" s="243">
        <f t="shared" si="454"/>
        <v>46904</v>
      </c>
      <c r="D1145" s="120">
        <f t="shared" si="455"/>
        <v>31</v>
      </c>
      <c r="E1145" s="120">
        <f t="shared" si="456"/>
        <v>5</v>
      </c>
      <c r="F1145" s="275">
        <f t="shared" si="457"/>
        <v>46889.5</v>
      </c>
      <c r="G1145" s="120">
        <f t="shared" si="458"/>
        <v>24340</v>
      </c>
      <c r="H1145" s="245">
        <f t="shared" si="459"/>
        <v>1</v>
      </c>
      <c r="I1145" s="121">
        <f t="shared" si="460"/>
        <v>1.06</v>
      </c>
      <c r="J1145" s="121">
        <f t="shared" si="461"/>
        <v>1.06</v>
      </c>
      <c r="K1145" s="120">
        <f t="shared" si="462"/>
        <v>0</v>
      </c>
      <c r="L1145" s="120">
        <f t="shared" si="463"/>
        <v>0</v>
      </c>
      <c r="M1145" s="246">
        <f t="shared" si="464"/>
        <v>0</v>
      </c>
      <c r="N1145" s="121">
        <f t="shared" si="465"/>
        <v>1.06</v>
      </c>
      <c r="O1145" s="246">
        <f t="shared" si="466"/>
        <v>0.90500000000000003</v>
      </c>
      <c r="P1145" s="121">
        <f t="shared" si="467"/>
        <v>0</v>
      </c>
      <c r="Q1145" s="121">
        <f t="shared" si="468"/>
        <v>0</v>
      </c>
      <c r="R1145" s="121">
        <f t="shared" si="469"/>
        <v>1</v>
      </c>
      <c r="S1145" s="121" t="str">
        <f t="shared" si="470"/>
        <v/>
      </c>
      <c r="T1145" s="121" t="str">
        <f t="shared" si="471"/>
        <v/>
      </c>
      <c r="U1145" s="121">
        <f t="shared" si="472"/>
        <v>1.06</v>
      </c>
    </row>
    <row r="1146" spans="1:21" x14ac:dyDescent="0.3">
      <c r="A1146" s="187">
        <v>42</v>
      </c>
      <c r="B1146" s="242">
        <f t="shared" si="473"/>
        <v>46905</v>
      </c>
      <c r="C1146" s="243">
        <f t="shared" si="454"/>
        <v>46934</v>
      </c>
      <c r="D1146" s="120">
        <f t="shared" si="455"/>
        <v>30</v>
      </c>
      <c r="E1146" s="120">
        <f t="shared" si="456"/>
        <v>6</v>
      </c>
      <c r="F1146" s="275">
        <f t="shared" si="457"/>
        <v>46920</v>
      </c>
      <c r="G1146" s="120">
        <f t="shared" si="458"/>
        <v>24341</v>
      </c>
      <c r="H1146" s="245">
        <f t="shared" si="459"/>
        <v>1</v>
      </c>
      <c r="I1146" s="121">
        <f t="shared" si="460"/>
        <v>1.06</v>
      </c>
      <c r="J1146" s="121">
        <f t="shared" si="461"/>
        <v>1.06</v>
      </c>
      <c r="K1146" s="120">
        <f t="shared" si="462"/>
        <v>0</v>
      </c>
      <c r="L1146" s="120">
        <f t="shared" si="463"/>
        <v>0</v>
      </c>
      <c r="M1146" s="246">
        <f t="shared" si="464"/>
        <v>0</v>
      </c>
      <c r="N1146" s="121">
        <f t="shared" si="465"/>
        <v>1.06</v>
      </c>
      <c r="O1146" s="246">
        <f t="shared" si="466"/>
        <v>0.90500000000000003</v>
      </c>
      <c r="P1146" s="121">
        <f t="shared" si="467"/>
        <v>0</v>
      </c>
      <c r="Q1146" s="121">
        <f t="shared" si="468"/>
        <v>0</v>
      </c>
      <c r="R1146" s="121">
        <f t="shared" si="469"/>
        <v>1</v>
      </c>
      <c r="S1146" s="121" t="str">
        <f t="shared" si="470"/>
        <v/>
      </c>
      <c r="T1146" s="121" t="str">
        <f t="shared" si="471"/>
        <v/>
      </c>
      <c r="U1146" s="121">
        <f t="shared" si="472"/>
        <v>1.06</v>
      </c>
    </row>
    <row r="1147" spans="1:21" x14ac:dyDescent="0.3">
      <c r="A1147" s="187">
        <v>43</v>
      </c>
      <c r="B1147" s="242">
        <f t="shared" si="473"/>
        <v>46935</v>
      </c>
      <c r="C1147" s="243">
        <f t="shared" si="454"/>
        <v>46965</v>
      </c>
      <c r="D1147" s="120">
        <f t="shared" si="455"/>
        <v>31</v>
      </c>
      <c r="E1147" s="120">
        <f t="shared" si="456"/>
        <v>7</v>
      </c>
      <c r="F1147" s="275">
        <f t="shared" si="457"/>
        <v>46950.5</v>
      </c>
      <c r="G1147" s="120">
        <f t="shared" si="458"/>
        <v>24342</v>
      </c>
      <c r="H1147" s="245">
        <f t="shared" si="459"/>
        <v>1</v>
      </c>
      <c r="I1147" s="121">
        <f t="shared" si="460"/>
        <v>1.06</v>
      </c>
      <c r="J1147" s="121">
        <f t="shared" si="461"/>
        <v>1.06</v>
      </c>
      <c r="K1147" s="120">
        <f t="shared" si="462"/>
        <v>0</v>
      </c>
      <c r="L1147" s="120">
        <f t="shared" si="463"/>
        <v>0</v>
      </c>
      <c r="M1147" s="246">
        <f t="shared" si="464"/>
        <v>0</v>
      </c>
      <c r="N1147" s="121">
        <f t="shared" si="465"/>
        <v>1.06</v>
      </c>
      <c r="O1147" s="246">
        <f t="shared" si="466"/>
        <v>0.90500000000000003</v>
      </c>
      <c r="P1147" s="121">
        <f t="shared" si="467"/>
        <v>0</v>
      </c>
      <c r="Q1147" s="121">
        <f t="shared" si="468"/>
        <v>0</v>
      </c>
      <c r="R1147" s="121">
        <f t="shared" si="469"/>
        <v>0.91666666666666663</v>
      </c>
      <c r="S1147" s="121" t="str">
        <f t="shared" si="470"/>
        <v/>
      </c>
      <c r="T1147" s="121" t="str">
        <f t="shared" si="471"/>
        <v/>
      </c>
      <c r="U1147" s="121">
        <f t="shared" si="472"/>
        <v>1.06</v>
      </c>
    </row>
    <row r="1148" spans="1:21" x14ac:dyDescent="0.3">
      <c r="A1148" s="187">
        <v>44</v>
      </c>
      <c r="B1148" s="242">
        <f t="shared" si="473"/>
        <v>46966</v>
      </c>
      <c r="C1148" s="243">
        <f t="shared" si="454"/>
        <v>46996</v>
      </c>
      <c r="D1148" s="120">
        <f t="shared" si="455"/>
        <v>31</v>
      </c>
      <c r="E1148" s="120">
        <f t="shared" si="456"/>
        <v>8</v>
      </c>
      <c r="F1148" s="275">
        <f t="shared" si="457"/>
        <v>46981.5</v>
      </c>
      <c r="G1148" s="120">
        <f t="shared" si="458"/>
        <v>24343</v>
      </c>
      <c r="H1148" s="245">
        <f t="shared" si="459"/>
        <v>1</v>
      </c>
      <c r="I1148" s="121">
        <f t="shared" si="460"/>
        <v>1.06</v>
      </c>
      <c r="J1148" s="121">
        <f t="shared" si="461"/>
        <v>1.06</v>
      </c>
      <c r="K1148" s="120">
        <f t="shared" si="462"/>
        <v>0</v>
      </c>
      <c r="L1148" s="120">
        <f t="shared" si="463"/>
        <v>0</v>
      </c>
      <c r="M1148" s="246">
        <f t="shared" si="464"/>
        <v>0</v>
      </c>
      <c r="N1148" s="121">
        <f t="shared" si="465"/>
        <v>1.06</v>
      </c>
      <c r="O1148" s="246">
        <f t="shared" si="466"/>
        <v>0.90500000000000003</v>
      </c>
      <c r="P1148" s="121">
        <f t="shared" si="467"/>
        <v>0</v>
      </c>
      <c r="Q1148" s="121">
        <f t="shared" si="468"/>
        <v>0</v>
      </c>
      <c r="R1148" s="121">
        <f t="shared" si="469"/>
        <v>0.75</v>
      </c>
      <c r="S1148" s="121" t="str">
        <f t="shared" si="470"/>
        <v/>
      </c>
      <c r="T1148" s="121" t="str">
        <f t="shared" si="471"/>
        <v/>
      </c>
      <c r="U1148" s="121">
        <f t="shared" si="472"/>
        <v>1.06</v>
      </c>
    </row>
    <row r="1149" spans="1:21" x14ac:dyDescent="0.3">
      <c r="A1149" s="187">
        <v>45</v>
      </c>
      <c r="B1149" s="242">
        <f t="shared" si="473"/>
        <v>46997</v>
      </c>
      <c r="C1149" s="243">
        <f t="shared" si="454"/>
        <v>47026</v>
      </c>
      <c r="D1149" s="120">
        <f t="shared" si="455"/>
        <v>30</v>
      </c>
      <c r="E1149" s="120">
        <f t="shared" si="456"/>
        <v>9</v>
      </c>
      <c r="F1149" s="275">
        <f t="shared" si="457"/>
        <v>47012</v>
      </c>
      <c r="G1149" s="120">
        <f t="shared" si="458"/>
        <v>24344</v>
      </c>
      <c r="H1149" s="245">
        <f t="shared" si="459"/>
        <v>1</v>
      </c>
      <c r="I1149" s="121">
        <f t="shared" si="460"/>
        <v>1.06</v>
      </c>
      <c r="J1149" s="121">
        <f t="shared" si="461"/>
        <v>1.06</v>
      </c>
      <c r="K1149" s="120">
        <f t="shared" si="462"/>
        <v>0</v>
      </c>
      <c r="L1149" s="120">
        <f t="shared" si="463"/>
        <v>0</v>
      </c>
      <c r="M1149" s="246">
        <f t="shared" si="464"/>
        <v>0</v>
      </c>
      <c r="N1149" s="121">
        <f t="shared" si="465"/>
        <v>1.06</v>
      </c>
      <c r="O1149" s="246">
        <f t="shared" si="466"/>
        <v>0.90500000000000003</v>
      </c>
      <c r="P1149" s="121">
        <f t="shared" si="467"/>
        <v>0</v>
      </c>
      <c r="Q1149" s="121">
        <f t="shared" si="468"/>
        <v>0</v>
      </c>
      <c r="R1149" s="121">
        <f t="shared" si="469"/>
        <v>0.58333333333333337</v>
      </c>
      <c r="S1149" s="121" t="str">
        <f t="shared" si="470"/>
        <v/>
      </c>
      <c r="T1149" s="121" t="str">
        <f t="shared" si="471"/>
        <v/>
      </c>
      <c r="U1149" s="121">
        <f t="shared" si="472"/>
        <v>1.06</v>
      </c>
    </row>
    <row r="1150" spans="1:21" x14ac:dyDescent="0.3">
      <c r="A1150" s="187">
        <v>46</v>
      </c>
      <c r="B1150" s="242">
        <f t="shared" si="473"/>
        <v>47027</v>
      </c>
      <c r="C1150" s="243">
        <f t="shared" si="454"/>
        <v>47057</v>
      </c>
      <c r="D1150" s="120">
        <f t="shared" si="455"/>
        <v>31</v>
      </c>
      <c r="E1150" s="120">
        <f t="shared" si="456"/>
        <v>10</v>
      </c>
      <c r="F1150" s="275">
        <f t="shared" si="457"/>
        <v>47042.5</v>
      </c>
      <c r="G1150" s="120">
        <f t="shared" si="458"/>
        <v>24345</v>
      </c>
      <c r="H1150" s="245">
        <f t="shared" si="459"/>
        <v>1</v>
      </c>
      <c r="I1150" s="121">
        <f t="shared" si="460"/>
        <v>1.06</v>
      </c>
      <c r="J1150" s="121">
        <f t="shared" si="461"/>
        <v>1.06</v>
      </c>
      <c r="K1150" s="120">
        <f t="shared" si="462"/>
        <v>0</v>
      </c>
      <c r="L1150" s="120">
        <f t="shared" si="463"/>
        <v>0</v>
      </c>
      <c r="M1150" s="246">
        <f t="shared" si="464"/>
        <v>0</v>
      </c>
      <c r="N1150" s="121">
        <f t="shared" si="465"/>
        <v>1.06</v>
      </c>
      <c r="O1150" s="246">
        <f t="shared" si="466"/>
        <v>0.90500000000000003</v>
      </c>
      <c r="P1150" s="121">
        <f t="shared" si="467"/>
        <v>0</v>
      </c>
      <c r="Q1150" s="121">
        <f t="shared" si="468"/>
        <v>0</v>
      </c>
      <c r="R1150" s="121">
        <f t="shared" si="469"/>
        <v>0.41666666666666669</v>
      </c>
      <c r="S1150" s="121" t="str">
        <f t="shared" si="470"/>
        <v/>
      </c>
      <c r="T1150" s="121" t="str">
        <f t="shared" si="471"/>
        <v/>
      </c>
      <c r="U1150" s="121">
        <f t="shared" si="472"/>
        <v>1.06</v>
      </c>
    </row>
    <row r="1151" spans="1:21" x14ac:dyDescent="0.3">
      <c r="A1151" s="187">
        <v>47</v>
      </c>
      <c r="B1151" s="242">
        <f t="shared" si="473"/>
        <v>47058</v>
      </c>
      <c r="C1151" s="243">
        <f t="shared" si="454"/>
        <v>47087</v>
      </c>
      <c r="D1151" s="120">
        <f t="shared" si="455"/>
        <v>30</v>
      </c>
      <c r="E1151" s="120">
        <f t="shared" si="456"/>
        <v>11</v>
      </c>
      <c r="F1151" s="275">
        <f t="shared" si="457"/>
        <v>47073</v>
      </c>
      <c r="G1151" s="120">
        <f t="shared" si="458"/>
        <v>24346</v>
      </c>
      <c r="H1151" s="245">
        <f t="shared" si="459"/>
        <v>1</v>
      </c>
      <c r="I1151" s="121">
        <f t="shared" si="460"/>
        <v>1.06</v>
      </c>
      <c r="J1151" s="121">
        <f t="shared" si="461"/>
        <v>1.06</v>
      </c>
      <c r="K1151" s="120">
        <f t="shared" si="462"/>
        <v>0</v>
      </c>
      <c r="L1151" s="120">
        <f t="shared" si="463"/>
        <v>0</v>
      </c>
      <c r="M1151" s="246">
        <f t="shared" si="464"/>
        <v>0</v>
      </c>
      <c r="N1151" s="121">
        <f t="shared" si="465"/>
        <v>1.06</v>
      </c>
      <c r="O1151" s="246">
        <f t="shared" si="466"/>
        <v>0.90500000000000003</v>
      </c>
      <c r="P1151" s="121">
        <f t="shared" si="467"/>
        <v>0</v>
      </c>
      <c r="Q1151" s="121">
        <f t="shared" si="468"/>
        <v>0</v>
      </c>
      <c r="R1151" s="121">
        <f t="shared" si="469"/>
        <v>0.25</v>
      </c>
      <c r="S1151" s="121" t="str">
        <f t="shared" si="470"/>
        <v/>
      </c>
      <c r="T1151" s="121" t="str">
        <f t="shared" si="471"/>
        <v/>
      </c>
      <c r="U1151" s="121">
        <f t="shared" si="472"/>
        <v>1.06</v>
      </c>
    </row>
    <row r="1152" spans="1:21" x14ac:dyDescent="0.3">
      <c r="A1152" s="187">
        <v>48</v>
      </c>
      <c r="B1152" s="242">
        <f t="shared" si="473"/>
        <v>47088</v>
      </c>
      <c r="C1152" s="243">
        <f t="shared" si="454"/>
        <v>47118</v>
      </c>
      <c r="D1152" s="120">
        <f t="shared" si="455"/>
        <v>31</v>
      </c>
      <c r="E1152" s="120">
        <f t="shared" si="456"/>
        <v>12</v>
      </c>
      <c r="F1152" s="275">
        <f t="shared" si="457"/>
        <v>47103.5</v>
      </c>
      <c r="G1152" s="120">
        <f t="shared" si="458"/>
        <v>24347</v>
      </c>
      <c r="H1152" s="245">
        <f t="shared" si="459"/>
        <v>1</v>
      </c>
      <c r="I1152" s="121">
        <f t="shared" si="460"/>
        <v>1.06</v>
      </c>
      <c r="J1152" s="121">
        <f t="shared" si="461"/>
        <v>1.06</v>
      </c>
      <c r="K1152" s="120">
        <f t="shared" si="462"/>
        <v>0</v>
      </c>
      <c r="L1152" s="120">
        <f t="shared" si="463"/>
        <v>0</v>
      </c>
      <c r="M1152" s="246">
        <f t="shared" si="464"/>
        <v>0</v>
      </c>
      <c r="N1152" s="121">
        <f t="shared" si="465"/>
        <v>1.06</v>
      </c>
      <c r="O1152" s="246">
        <f t="shared" si="466"/>
        <v>0.90500000000000003</v>
      </c>
      <c r="P1152" s="121">
        <f t="shared" si="467"/>
        <v>0</v>
      </c>
      <c r="Q1152" s="121">
        <f t="shared" si="468"/>
        <v>0</v>
      </c>
      <c r="R1152" s="121">
        <f t="shared" si="469"/>
        <v>8.3333333333333329E-2</v>
      </c>
      <c r="S1152" s="121" t="str">
        <f t="shared" si="470"/>
        <v/>
      </c>
      <c r="T1152" s="121" t="str">
        <f t="shared" si="471"/>
        <v/>
      </c>
      <c r="U1152" s="121">
        <f t="shared" si="472"/>
        <v>1.06</v>
      </c>
    </row>
    <row r="1153" spans="1:21" x14ac:dyDescent="0.3">
      <c r="A1153" s="6" t="s">
        <v>1651</v>
      </c>
      <c r="B1153" s="73">
        <f>EXP(SUMPRODUCT((rl_key=$A$1102)*(rl_cons="Y")*rl_ln1p))</f>
        <v>1.06</v>
      </c>
      <c r="C1153" s="73">
        <f>SUMPRODUCT($H$1105:$H$1152,$P$1105:$P$1152,$U$1105:$U$1152)/SUMPRODUCT($H$1105:$H$1152,$P$1105:$P$1152)</f>
        <v>1.0104166666666667</v>
      </c>
      <c r="D1153" s="73">
        <f>SUMPRODUCT($H$1105:$H$1152,$Q$1105:$Q$1152,$U$1105:$U$1152)/SUMPRODUCT($H$1105:$H$1152,$Q$1105:$Q$1152)</f>
        <v>1.0595833333333335</v>
      </c>
      <c r="E1153" s="73">
        <f>SUMPRODUCT($H$1105:$H$1152,$R$1105:$R$1152,$U$1105:$U$1152)/SUMPRODUCT($H$1105:$H$1152,$R$1105:$R$1152)</f>
        <v>1.0600000000000003</v>
      </c>
      <c r="F1153" s="224">
        <f>SUMPRODUCT($H$1105:$H$1152,$Q$1105:$Q$1152,$O$1105:$O$1152)/SUMPRODUCT($H$1105:$H$1152,$Q$1105:$Q$1152)</f>
        <v>0.9080037381473377</v>
      </c>
      <c r="G1153" s="224">
        <f>SUMPRODUCT($H$1105:$H$1152,$R$1105:$R$1152,$O$1105:$O$1152)/SUMPRODUCT($H$1105:$H$1152,$R$1105:$R$1152)</f>
        <v>0.90516988815949428</v>
      </c>
      <c r="H1153" s="73">
        <f>SUMPRODUCT($H$1129:$H$1140,$N$1129:$N$1140/$N$1117:$N$1128)/SUM($H$1129:$H$1140)</f>
        <v>1.0350000000000001</v>
      </c>
      <c r="I1153" s="73">
        <f>SUMPRODUCT($H$1129:$H$1140,$O$1129:$O$1140/$O$1117:$O$1128)/SUM($H$1129:$H$1140)</f>
        <v>0.99561641381999111</v>
      </c>
      <c r="J1153" s="73">
        <f>IF($O$1102=1,SUMPRODUCT($H$1129:$H$1140,$N$1129:$N$1140/$N$1117:$N$1128*$O$1129:$O$1140/$O$1117:$O$1128)/SUM($H$1129:$H$1140),$H1153)</f>
        <v>1.0304631288927011</v>
      </c>
      <c r="K1153" s="73">
        <f>SUMPRODUCT($H$1105:$H$1152,$Q$1105:$Q$1152,$N$1105:$N$1152)/SUMPRODUCT($H$1105:$H$1152,$Q$1105:$Q$1152)</f>
        <v>1.0595833333333335</v>
      </c>
      <c r="L1153" s="73">
        <f>SUMPRODUCT($H$1105:$H$1152,$R$1105:$R$1152,$N$1105:$N$1152)/SUMPRODUCT($H$1105:$H$1152,$R$1105:$R$1152)</f>
        <v>1.0600000000000003</v>
      </c>
    </row>
    <row r="1156" spans="1:21" x14ac:dyDescent="0.3">
      <c r="A1156" s="6" t="str">
        <f>INDEX(lr_key,21)</f>
        <v>ABD|WI</v>
      </c>
      <c r="B1156" s="6" t="str">
        <f>INDEX(lr_state,21)</f>
        <v>WI</v>
      </c>
      <c r="C1156" s="75">
        <f>nr_TermMonths</f>
        <v>6</v>
      </c>
      <c r="D1156" s="75">
        <f>IF(COUNTIF(se_state,$B1156)=0,0,MATCH($B1156,se_state,0))</f>
        <v>0</v>
      </c>
      <c r="E1156" s="70">
        <f>IF($D1156=0,0,INDEX(se_sum,$D1156))</f>
        <v>0</v>
      </c>
      <c r="F1156" s="224">
        <f>IF(N(INDEX(lr_mind,21))=0,1,INDEX(lr_mind,21))</f>
        <v>0.92</v>
      </c>
      <c r="G1156" s="224">
        <f>IF(N(INDEX(lr_m0,21))=0,1,INDEX(lr_m0,21))</f>
        <v>0.91</v>
      </c>
      <c r="H1156" s="74">
        <f>IF(N(INDEX(lr_m0asof,21))=0,DATE(nr_PlanYear-1,10,1),INDEX(lr_m0asof,21))</f>
        <v>46295</v>
      </c>
      <c r="I1156" s="224">
        <f>IF(N(INDEX(lr_m1,21))=0,1,INDEX(lr_m1,21))</f>
        <v>0.92</v>
      </c>
      <c r="J1156" s="224">
        <f>INDEX(lr_mprior,21)</f>
        <v>0</v>
      </c>
      <c r="K1156" s="224">
        <f>INDEX(lr_m2,21)</f>
        <v>0</v>
      </c>
      <c r="L1156" s="6" t="b">
        <f>NOT(ISBLANK(INDEX(lr_netp,21)))</f>
        <v>0</v>
      </c>
      <c r="M1156" s="72">
        <f>N(INDEX(lr_netp,21))</f>
        <v>0</v>
      </c>
      <c r="N1156" s="72">
        <f>IF(ISBLANK(INDEX(lr_netp1,21)),$M$1156,N(INDEX(lr_netp1,21)))</f>
        <v>0</v>
      </c>
      <c r="O1156" s="75">
        <f>IF(AND(nr_ModAdjMaster="ON",INDEX(lr_modadj,21)="ON"),1,0)</f>
        <v>1</v>
      </c>
    </row>
    <row r="1157" spans="1:21" x14ac:dyDescent="0.3">
      <c r="A1157" s="6">
        <f>EDATE($H$1156,-12)+1</f>
        <v>45931</v>
      </c>
      <c r="B1157" s="6">
        <f>$H$1156+1</f>
        <v>46296</v>
      </c>
      <c r="C1157" s="6">
        <f>DATE(nr_PlanYear,12,31)+1</f>
        <v>46753</v>
      </c>
      <c r="D1157" s="6">
        <f>DATE(nr_PlanYear+1,12,31)+1</f>
        <v>47119</v>
      </c>
      <c r="E1157" s="6">
        <f>IF(N($J$1156)=0,$F$1157-($G$1157-$F$1157)/($C$1157-$B$1157)*($B$1157-$A$1157),$J$1156)</f>
        <v>0.9020131291028447</v>
      </c>
      <c r="F1157" s="6">
        <f>$G$1156</f>
        <v>0.91</v>
      </c>
      <c r="G1157" s="6">
        <f>$I$1156</f>
        <v>0.92</v>
      </c>
      <c r="H1157" s="6">
        <f>IF(N($K$1156)=0,$I$1156,$K$1156)</f>
        <v>0.92</v>
      </c>
      <c r="I1157" s="6">
        <f>($F$1157-$E$1157)/($B$1157-$A$1157)</f>
        <v>2.1881838074398162E-5</v>
      </c>
      <c r="J1157" s="6">
        <f>($G$1157-$F$1157)/($C$1157-$B$1157)</f>
        <v>2.188183807439827E-5</v>
      </c>
      <c r="K1157" s="6">
        <f>($H$1157-$G$1157)/($D$1157-$C$1157)</f>
        <v>0</v>
      </c>
    </row>
    <row r="1158" spans="1:21" ht="36" x14ac:dyDescent="0.3">
      <c r="A1158" s="58" t="s">
        <v>390</v>
      </c>
      <c r="B1158" s="58" t="s">
        <v>449</v>
      </c>
      <c r="C1158" s="58" t="s">
        <v>685</v>
      </c>
      <c r="D1158" s="58" t="s">
        <v>686</v>
      </c>
      <c r="E1158" s="58" t="s">
        <v>687</v>
      </c>
      <c r="F1158" s="58" t="s">
        <v>688</v>
      </c>
      <c r="G1158" s="58" t="s">
        <v>689</v>
      </c>
      <c r="H1158" s="58" t="s">
        <v>452</v>
      </c>
      <c r="I1158" s="58" t="s">
        <v>690</v>
      </c>
      <c r="J1158" s="58" t="s">
        <v>691</v>
      </c>
      <c r="K1158" s="58" t="s">
        <v>692</v>
      </c>
      <c r="L1158" s="58" t="s">
        <v>693</v>
      </c>
      <c r="M1158" s="58" t="s">
        <v>694</v>
      </c>
      <c r="N1158" s="58" t="s">
        <v>695</v>
      </c>
      <c r="O1158" s="58" t="s">
        <v>696</v>
      </c>
      <c r="P1158" s="58" t="s">
        <v>697</v>
      </c>
      <c r="Q1158" s="58" t="s">
        <v>698</v>
      </c>
      <c r="R1158" s="58" t="s">
        <v>699</v>
      </c>
      <c r="S1158" s="58" t="s">
        <v>700</v>
      </c>
      <c r="T1158" s="58" t="s">
        <v>701</v>
      </c>
      <c r="U1158" s="58" t="s">
        <v>702</v>
      </c>
    </row>
    <row r="1159" spans="1:21" x14ac:dyDescent="0.3">
      <c r="A1159" s="187">
        <v>1</v>
      </c>
      <c r="B1159" s="242">
        <f>DATE(nr_PlanYear-2,1,1)</f>
        <v>45658</v>
      </c>
      <c r="C1159" s="243">
        <f t="shared" ref="C1159:C1206" si="474">EOMONTH($B1159,0)</f>
        <v>45688</v>
      </c>
      <c r="D1159" s="120">
        <f t="shared" ref="D1159:D1206" si="475">$C1159-$B1159+1</f>
        <v>31</v>
      </c>
      <c r="E1159" s="120">
        <f t="shared" ref="E1159:E1206" si="476">MONTH($B1159)</f>
        <v>1</v>
      </c>
      <c r="F1159" s="275">
        <f t="shared" ref="F1159:F1206" si="477">($B1159+$C1159+1)/2</f>
        <v>45673.5</v>
      </c>
      <c r="G1159" s="120">
        <f t="shared" ref="G1159:G1206" si="478">YEAR($B1159)*12+MONTH($B1159)-1</f>
        <v>24300</v>
      </c>
      <c r="H1159" s="245">
        <f t="shared" ref="H1159:H1206" si="479">IF(OR(nr_SeasonOn="OFF",$D$1156=0,$E$1156=0),1,12*INDEX(se_block,$D$1156,$E1159)/$E$1156)</f>
        <v>1</v>
      </c>
      <c r="I1159" s="121">
        <f t="shared" ref="I1159:I1206" si="480">EXP(SUMPRODUCT((rl_eff&lt;$B1159)*(rl_key=$A$1156)*rl_ln1p))</f>
        <v>1</v>
      </c>
      <c r="J1159" s="121">
        <f t="shared" ref="J1159:J1206" si="481">EXP(SUMPRODUCT((rl_eff&lt;=$C1159)*(rl_key=$A$1156)*rl_ln1p))</f>
        <v>1</v>
      </c>
      <c r="K1159" s="120">
        <f t="shared" ref="K1159:K1206" si="482">COUNTIFS(rl_key,$A$1156,rl_eff,"&gt;="&amp;$B1159,rl_eff,"&lt;="&amp;$C1159)</f>
        <v>0</v>
      </c>
      <c r="L1159" s="120">
        <f t="shared" ref="L1159:L1206" si="483">SUMIFS(rl_daysafter,rl_key,$A$1156,rl_effmonth,$B1159,rl_first,1)</f>
        <v>0</v>
      </c>
      <c r="M1159" s="246">
        <f t="shared" ref="M1159:M1206" si="484">IF($K1159=0,0,MIN(1,$L1159/$D1159))</f>
        <v>0</v>
      </c>
      <c r="N1159" s="121">
        <f t="shared" ref="N1159:N1206" si="485">IF($K1159=0,$J1159,(1-$M1159)*$I1159+$M1159*$J1159)</f>
        <v>1</v>
      </c>
      <c r="O1159" s="246">
        <f t="shared" ref="O1159:O1206" si="486">IF($F1159&lt;$B$1157,$E$1157+$I$1157*($F1159-$A$1157),IF($F1159&lt;$C$1157,$F$1157+$J$1157*($F1159-$B$1157),$G$1157+$K$1157*($F1159-$C$1157)))</f>
        <v>0.89637855579868719</v>
      </c>
      <c r="P1159" s="121">
        <f t="shared" ref="P1159:P1206" si="487">MIN(1,MAX(0,(nr_MEndPm1-$G1159+0.5)/$C$1156))-MIN(1,MAX(0,(nr_MStartPm1-1-$G1159+0.5)/$C$1156))</f>
        <v>0</v>
      </c>
      <c r="Q1159" s="121">
        <f t="shared" ref="Q1159:Q1206" si="488">MIN(1,MAX(0,(nr_MEndP-$G1159+0.5)/$C$1156))-MIN(1,MAX(0,(nr_MStartP-1-$G1159+0.5)/$C$1156))</f>
        <v>0</v>
      </c>
      <c r="R1159" s="121">
        <f t="shared" ref="R1159:R1206" si="489">MIN(1,MAX(0,(nr_MEndP1-$G1159+0.5)/$C$1156))-MIN(1,MAX(0,(nr_MStartP1-1-$G1159+0.5)/$C$1156))</f>
        <v>0</v>
      </c>
      <c r="S1159" s="121" t="str">
        <f t="shared" ref="S1159:S1206" si="490">IF($L$1156,$N1159*IF($O$1156=1,$O1159/$F$1156,1),"")</f>
        <v/>
      </c>
      <c r="T1159" s="121" t="str">
        <f t="shared" ref="T1159:T1206" si="491">IF(NOT($L$1156),"",IF($G1159&lt;nr_MStartP,$S1159,$T1147*(1+IF($G1159&lt;nr_MStartP1,$M$1156,$N$1156))))</f>
        <v/>
      </c>
      <c r="U1159" s="121">
        <f t="shared" ref="U1159:U1206" si="492">IF($L$1156,$T1159,$N1159)</f>
        <v>1</v>
      </c>
    </row>
    <row r="1160" spans="1:21" x14ac:dyDescent="0.3">
      <c r="A1160" s="187">
        <v>2</v>
      </c>
      <c r="B1160" s="242">
        <f t="shared" ref="B1160:B1206" si="493">EDATE($B1159,1)</f>
        <v>45689</v>
      </c>
      <c r="C1160" s="243">
        <f t="shared" si="474"/>
        <v>45716</v>
      </c>
      <c r="D1160" s="120">
        <f t="shared" si="475"/>
        <v>28</v>
      </c>
      <c r="E1160" s="120">
        <f t="shared" si="476"/>
        <v>2</v>
      </c>
      <c r="F1160" s="275">
        <f t="shared" si="477"/>
        <v>45703</v>
      </c>
      <c r="G1160" s="120">
        <f t="shared" si="478"/>
        <v>24301</v>
      </c>
      <c r="H1160" s="245">
        <f t="shared" si="479"/>
        <v>1</v>
      </c>
      <c r="I1160" s="121">
        <f t="shared" si="480"/>
        <v>1</v>
      </c>
      <c r="J1160" s="121">
        <f t="shared" si="481"/>
        <v>1</v>
      </c>
      <c r="K1160" s="120">
        <f t="shared" si="482"/>
        <v>0</v>
      </c>
      <c r="L1160" s="120">
        <f t="shared" si="483"/>
        <v>0</v>
      </c>
      <c r="M1160" s="246">
        <f t="shared" si="484"/>
        <v>0</v>
      </c>
      <c r="N1160" s="121">
        <f t="shared" si="485"/>
        <v>1</v>
      </c>
      <c r="O1160" s="246">
        <f t="shared" si="486"/>
        <v>0.89702407002188189</v>
      </c>
      <c r="P1160" s="121">
        <f t="shared" si="487"/>
        <v>0</v>
      </c>
      <c r="Q1160" s="121">
        <f t="shared" si="488"/>
        <v>0</v>
      </c>
      <c r="R1160" s="121">
        <f t="shared" si="489"/>
        <v>0</v>
      </c>
      <c r="S1160" s="121" t="str">
        <f t="shared" si="490"/>
        <v/>
      </c>
      <c r="T1160" s="121" t="str">
        <f t="shared" si="491"/>
        <v/>
      </c>
      <c r="U1160" s="121">
        <f t="shared" si="492"/>
        <v>1</v>
      </c>
    </row>
    <row r="1161" spans="1:21" x14ac:dyDescent="0.3">
      <c r="A1161" s="187">
        <v>3</v>
      </c>
      <c r="B1161" s="242">
        <f t="shared" si="493"/>
        <v>45717</v>
      </c>
      <c r="C1161" s="243">
        <f t="shared" si="474"/>
        <v>45747</v>
      </c>
      <c r="D1161" s="120">
        <f t="shared" si="475"/>
        <v>31</v>
      </c>
      <c r="E1161" s="120">
        <f t="shared" si="476"/>
        <v>3</v>
      </c>
      <c r="F1161" s="275">
        <f t="shared" si="477"/>
        <v>45732.5</v>
      </c>
      <c r="G1161" s="120">
        <f t="shared" si="478"/>
        <v>24302</v>
      </c>
      <c r="H1161" s="245">
        <f t="shared" si="479"/>
        <v>1</v>
      </c>
      <c r="I1161" s="121">
        <f t="shared" si="480"/>
        <v>1</v>
      </c>
      <c r="J1161" s="121">
        <f t="shared" si="481"/>
        <v>1</v>
      </c>
      <c r="K1161" s="120">
        <f t="shared" si="482"/>
        <v>0</v>
      </c>
      <c r="L1161" s="120">
        <f t="shared" si="483"/>
        <v>0</v>
      </c>
      <c r="M1161" s="246">
        <f t="shared" si="484"/>
        <v>0</v>
      </c>
      <c r="N1161" s="121">
        <f t="shared" si="485"/>
        <v>1</v>
      </c>
      <c r="O1161" s="246">
        <f t="shared" si="486"/>
        <v>0.8976695842450767</v>
      </c>
      <c r="P1161" s="121">
        <f t="shared" si="487"/>
        <v>0</v>
      </c>
      <c r="Q1161" s="121">
        <f t="shared" si="488"/>
        <v>0</v>
      </c>
      <c r="R1161" s="121">
        <f t="shared" si="489"/>
        <v>0</v>
      </c>
      <c r="S1161" s="121" t="str">
        <f t="shared" si="490"/>
        <v/>
      </c>
      <c r="T1161" s="121" t="str">
        <f t="shared" si="491"/>
        <v/>
      </c>
      <c r="U1161" s="121">
        <f t="shared" si="492"/>
        <v>1</v>
      </c>
    </row>
    <row r="1162" spans="1:21" x14ac:dyDescent="0.3">
      <c r="A1162" s="187">
        <v>4</v>
      </c>
      <c r="B1162" s="242">
        <f t="shared" si="493"/>
        <v>45748</v>
      </c>
      <c r="C1162" s="243">
        <f t="shared" si="474"/>
        <v>45777</v>
      </c>
      <c r="D1162" s="120">
        <f t="shared" si="475"/>
        <v>30</v>
      </c>
      <c r="E1162" s="120">
        <f t="shared" si="476"/>
        <v>4</v>
      </c>
      <c r="F1162" s="275">
        <f t="shared" si="477"/>
        <v>45763</v>
      </c>
      <c r="G1162" s="120">
        <f t="shared" si="478"/>
        <v>24303</v>
      </c>
      <c r="H1162" s="245">
        <f t="shared" si="479"/>
        <v>1</v>
      </c>
      <c r="I1162" s="121">
        <f t="shared" si="480"/>
        <v>1</v>
      </c>
      <c r="J1162" s="121">
        <f t="shared" si="481"/>
        <v>1</v>
      </c>
      <c r="K1162" s="120">
        <f t="shared" si="482"/>
        <v>0</v>
      </c>
      <c r="L1162" s="120">
        <f t="shared" si="483"/>
        <v>0</v>
      </c>
      <c r="M1162" s="246">
        <f t="shared" si="484"/>
        <v>0</v>
      </c>
      <c r="N1162" s="121">
        <f t="shared" si="485"/>
        <v>1</v>
      </c>
      <c r="O1162" s="246">
        <f t="shared" si="486"/>
        <v>0.89833698030634579</v>
      </c>
      <c r="P1162" s="121">
        <f t="shared" si="487"/>
        <v>0</v>
      </c>
      <c r="Q1162" s="121">
        <f t="shared" si="488"/>
        <v>0</v>
      </c>
      <c r="R1162" s="121">
        <f t="shared" si="489"/>
        <v>0</v>
      </c>
      <c r="S1162" s="121" t="str">
        <f t="shared" si="490"/>
        <v/>
      </c>
      <c r="T1162" s="121" t="str">
        <f t="shared" si="491"/>
        <v/>
      </c>
      <c r="U1162" s="121">
        <f t="shared" si="492"/>
        <v>1</v>
      </c>
    </row>
    <row r="1163" spans="1:21" x14ac:dyDescent="0.3">
      <c r="A1163" s="187">
        <v>5</v>
      </c>
      <c r="B1163" s="242">
        <f t="shared" si="493"/>
        <v>45778</v>
      </c>
      <c r="C1163" s="243">
        <f t="shared" si="474"/>
        <v>45808</v>
      </c>
      <c r="D1163" s="120">
        <f t="shared" si="475"/>
        <v>31</v>
      </c>
      <c r="E1163" s="120">
        <f t="shared" si="476"/>
        <v>5</v>
      </c>
      <c r="F1163" s="275">
        <f t="shared" si="477"/>
        <v>45793.5</v>
      </c>
      <c r="G1163" s="120">
        <f t="shared" si="478"/>
        <v>24304</v>
      </c>
      <c r="H1163" s="245">
        <f t="shared" si="479"/>
        <v>1</v>
      </c>
      <c r="I1163" s="121">
        <f t="shared" si="480"/>
        <v>1</v>
      </c>
      <c r="J1163" s="121">
        <f t="shared" si="481"/>
        <v>1</v>
      </c>
      <c r="K1163" s="120">
        <f t="shared" si="482"/>
        <v>0</v>
      </c>
      <c r="L1163" s="120">
        <f t="shared" si="483"/>
        <v>0</v>
      </c>
      <c r="M1163" s="246">
        <f t="shared" si="484"/>
        <v>0</v>
      </c>
      <c r="N1163" s="121">
        <f t="shared" si="485"/>
        <v>1</v>
      </c>
      <c r="O1163" s="246">
        <f t="shared" si="486"/>
        <v>0.89900437636761499</v>
      </c>
      <c r="P1163" s="121">
        <f t="shared" si="487"/>
        <v>0</v>
      </c>
      <c r="Q1163" s="121">
        <f t="shared" si="488"/>
        <v>0</v>
      </c>
      <c r="R1163" s="121">
        <f t="shared" si="489"/>
        <v>0</v>
      </c>
      <c r="S1163" s="121" t="str">
        <f t="shared" si="490"/>
        <v/>
      </c>
      <c r="T1163" s="121" t="str">
        <f t="shared" si="491"/>
        <v/>
      </c>
      <c r="U1163" s="121">
        <f t="shared" si="492"/>
        <v>1</v>
      </c>
    </row>
    <row r="1164" spans="1:21" x14ac:dyDescent="0.3">
      <c r="A1164" s="187">
        <v>6</v>
      </c>
      <c r="B1164" s="242">
        <f t="shared" si="493"/>
        <v>45809</v>
      </c>
      <c r="C1164" s="243">
        <f t="shared" si="474"/>
        <v>45838</v>
      </c>
      <c r="D1164" s="120">
        <f t="shared" si="475"/>
        <v>30</v>
      </c>
      <c r="E1164" s="120">
        <f t="shared" si="476"/>
        <v>6</v>
      </c>
      <c r="F1164" s="275">
        <f t="shared" si="477"/>
        <v>45824</v>
      </c>
      <c r="G1164" s="120">
        <f t="shared" si="478"/>
        <v>24305</v>
      </c>
      <c r="H1164" s="245">
        <f t="shared" si="479"/>
        <v>1</v>
      </c>
      <c r="I1164" s="121">
        <f t="shared" si="480"/>
        <v>1</v>
      </c>
      <c r="J1164" s="121">
        <f t="shared" si="481"/>
        <v>1</v>
      </c>
      <c r="K1164" s="120">
        <f t="shared" si="482"/>
        <v>0</v>
      </c>
      <c r="L1164" s="120">
        <f t="shared" si="483"/>
        <v>0</v>
      </c>
      <c r="M1164" s="246">
        <f t="shared" si="484"/>
        <v>0</v>
      </c>
      <c r="N1164" s="121">
        <f t="shared" si="485"/>
        <v>1</v>
      </c>
      <c r="O1164" s="246">
        <f t="shared" si="486"/>
        <v>0.89967177242888408</v>
      </c>
      <c r="P1164" s="121">
        <f t="shared" si="487"/>
        <v>0</v>
      </c>
      <c r="Q1164" s="121">
        <f t="shared" si="488"/>
        <v>0</v>
      </c>
      <c r="R1164" s="121">
        <f t="shared" si="489"/>
        <v>0</v>
      </c>
      <c r="S1164" s="121" t="str">
        <f t="shared" si="490"/>
        <v/>
      </c>
      <c r="T1164" s="121" t="str">
        <f t="shared" si="491"/>
        <v/>
      </c>
      <c r="U1164" s="121">
        <f t="shared" si="492"/>
        <v>1</v>
      </c>
    </row>
    <row r="1165" spans="1:21" x14ac:dyDescent="0.3">
      <c r="A1165" s="187">
        <v>7</v>
      </c>
      <c r="B1165" s="242">
        <f t="shared" si="493"/>
        <v>45839</v>
      </c>
      <c r="C1165" s="243">
        <f t="shared" si="474"/>
        <v>45869</v>
      </c>
      <c r="D1165" s="120">
        <f t="shared" si="475"/>
        <v>31</v>
      </c>
      <c r="E1165" s="120">
        <f t="shared" si="476"/>
        <v>7</v>
      </c>
      <c r="F1165" s="275">
        <f t="shared" si="477"/>
        <v>45854.5</v>
      </c>
      <c r="G1165" s="120">
        <f t="shared" si="478"/>
        <v>24306</v>
      </c>
      <c r="H1165" s="245">
        <f t="shared" si="479"/>
        <v>1</v>
      </c>
      <c r="I1165" s="121">
        <f t="shared" si="480"/>
        <v>1</v>
      </c>
      <c r="J1165" s="121">
        <f t="shared" si="481"/>
        <v>1</v>
      </c>
      <c r="K1165" s="120">
        <f t="shared" si="482"/>
        <v>0</v>
      </c>
      <c r="L1165" s="120">
        <f t="shared" si="483"/>
        <v>0</v>
      </c>
      <c r="M1165" s="246">
        <f t="shared" si="484"/>
        <v>0</v>
      </c>
      <c r="N1165" s="121">
        <f t="shared" si="485"/>
        <v>1</v>
      </c>
      <c r="O1165" s="246">
        <f t="shared" si="486"/>
        <v>0.90033916849015327</v>
      </c>
      <c r="P1165" s="121">
        <f t="shared" si="487"/>
        <v>8.333333333333337E-2</v>
      </c>
      <c r="Q1165" s="121">
        <f t="shared" si="488"/>
        <v>0</v>
      </c>
      <c r="R1165" s="121">
        <f t="shared" si="489"/>
        <v>0</v>
      </c>
      <c r="S1165" s="121" t="str">
        <f t="shared" si="490"/>
        <v/>
      </c>
      <c r="T1165" s="121" t="str">
        <f t="shared" si="491"/>
        <v/>
      </c>
      <c r="U1165" s="121">
        <f t="shared" si="492"/>
        <v>1</v>
      </c>
    </row>
    <row r="1166" spans="1:21" x14ac:dyDescent="0.3">
      <c r="A1166" s="187">
        <v>8</v>
      </c>
      <c r="B1166" s="242">
        <f t="shared" si="493"/>
        <v>45870</v>
      </c>
      <c r="C1166" s="243">
        <f t="shared" si="474"/>
        <v>45900</v>
      </c>
      <c r="D1166" s="120">
        <f t="shared" si="475"/>
        <v>31</v>
      </c>
      <c r="E1166" s="120">
        <f t="shared" si="476"/>
        <v>8</v>
      </c>
      <c r="F1166" s="275">
        <f t="shared" si="477"/>
        <v>45885.5</v>
      </c>
      <c r="G1166" s="120">
        <f t="shared" si="478"/>
        <v>24307</v>
      </c>
      <c r="H1166" s="245">
        <f t="shared" si="479"/>
        <v>1</v>
      </c>
      <c r="I1166" s="121">
        <f t="shared" si="480"/>
        <v>1</v>
      </c>
      <c r="J1166" s="121">
        <f t="shared" si="481"/>
        <v>1</v>
      </c>
      <c r="K1166" s="120">
        <f t="shared" si="482"/>
        <v>0</v>
      </c>
      <c r="L1166" s="120">
        <f t="shared" si="483"/>
        <v>0</v>
      </c>
      <c r="M1166" s="246">
        <f t="shared" si="484"/>
        <v>0</v>
      </c>
      <c r="N1166" s="121">
        <f t="shared" si="485"/>
        <v>1</v>
      </c>
      <c r="O1166" s="246">
        <f t="shared" si="486"/>
        <v>0.90101750547045956</v>
      </c>
      <c r="P1166" s="121">
        <f t="shared" si="487"/>
        <v>0.25</v>
      </c>
      <c r="Q1166" s="121">
        <f t="shared" si="488"/>
        <v>0</v>
      </c>
      <c r="R1166" s="121">
        <f t="shared" si="489"/>
        <v>0</v>
      </c>
      <c r="S1166" s="121" t="str">
        <f t="shared" si="490"/>
        <v/>
      </c>
      <c r="T1166" s="121" t="str">
        <f t="shared" si="491"/>
        <v/>
      </c>
      <c r="U1166" s="121">
        <f t="shared" si="492"/>
        <v>1</v>
      </c>
    </row>
    <row r="1167" spans="1:21" x14ac:dyDescent="0.3">
      <c r="A1167" s="187">
        <v>9</v>
      </c>
      <c r="B1167" s="242">
        <f t="shared" si="493"/>
        <v>45901</v>
      </c>
      <c r="C1167" s="243">
        <f t="shared" si="474"/>
        <v>45930</v>
      </c>
      <c r="D1167" s="120">
        <f t="shared" si="475"/>
        <v>30</v>
      </c>
      <c r="E1167" s="120">
        <f t="shared" si="476"/>
        <v>9</v>
      </c>
      <c r="F1167" s="275">
        <f t="shared" si="477"/>
        <v>45916</v>
      </c>
      <c r="G1167" s="120">
        <f t="shared" si="478"/>
        <v>24308</v>
      </c>
      <c r="H1167" s="245">
        <f t="shared" si="479"/>
        <v>1</v>
      </c>
      <c r="I1167" s="121">
        <f t="shared" si="480"/>
        <v>1</v>
      </c>
      <c r="J1167" s="121">
        <f t="shared" si="481"/>
        <v>1</v>
      </c>
      <c r="K1167" s="120">
        <f t="shared" si="482"/>
        <v>0</v>
      </c>
      <c r="L1167" s="120">
        <f t="shared" si="483"/>
        <v>0</v>
      </c>
      <c r="M1167" s="246">
        <f t="shared" si="484"/>
        <v>0</v>
      </c>
      <c r="N1167" s="121">
        <f t="shared" si="485"/>
        <v>1</v>
      </c>
      <c r="O1167" s="246">
        <f t="shared" si="486"/>
        <v>0.90168490153172876</v>
      </c>
      <c r="P1167" s="121">
        <f t="shared" si="487"/>
        <v>0.41666666666666663</v>
      </c>
      <c r="Q1167" s="121">
        <f t="shared" si="488"/>
        <v>0</v>
      </c>
      <c r="R1167" s="121">
        <f t="shared" si="489"/>
        <v>0</v>
      </c>
      <c r="S1167" s="121" t="str">
        <f t="shared" si="490"/>
        <v/>
      </c>
      <c r="T1167" s="121" t="str">
        <f t="shared" si="491"/>
        <v/>
      </c>
      <c r="U1167" s="121">
        <f t="shared" si="492"/>
        <v>1</v>
      </c>
    </row>
    <row r="1168" spans="1:21" x14ac:dyDescent="0.3">
      <c r="A1168" s="187">
        <v>10</v>
      </c>
      <c r="B1168" s="242">
        <f t="shared" si="493"/>
        <v>45931</v>
      </c>
      <c r="C1168" s="243">
        <f t="shared" si="474"/>
        <v>45961</v>
      </c>
      <c r="D1168" s="120">
        <f t="shared" si="475"/>
        <v>31</v>
      </c>
      <c r="E1168" s="120">
        <f t="shared" si="476"/>
        <v>10</v>
      </c>
      <c r="F1168" s="275">
        <f t="shared" si="477"/>
        <v>45946.5</v>
      </c>
      <c r="G1168" s="120">
        <f t="shared" si="478"/>
        <v>24309</v>
      </c>
      <c r="H1168" s="245">
        <f t="shared" si="479"/>
        <v>1</v>
      </c>
      <c r="I1168" s="121">
        <f t="shared" si="480"/>
        <v>1</v>
      </c>
      <c r="J1168" s="121">
        <f t="shared" si="481"/>
        <v>1</v>
      </c>
      <c r="K1168" s="120">
        <f t="shared" si="482"/>
        <v>0</v>
      </c>
      <c r="L1168" s="120">
        <f t="shared" si="483"/>
        <v>0</v>
      </c>
      <c r="M1168" s="246">
        <f t="shared" si="484"/>
        <v>0</v>
      </c>
      <c r="N1168" s="121">
        <f t="shared" si="485"/>
        <v>1</v>
      </c>
      <c r="O1168" s="246">
        <f t="shared" si="486"/>
        <v>0.90235229759299784</v>
      </c>
      <c r="P1168" s="121">
        <f t="shared" si="487"/>
        <v>0.58333333333333326</v>
      </c>
      <c r="Q1168" s="121">
        <f t="shared" si="488"/>
        <v>0</v>
      </c>
      <c r="R1168" s="121">
        <f t="shared" si="489"/>
        <v>0</v>
      </c>
      <c r="S1168" s="121" t="str">
        <f t="shared" si="490"/>
        <v/>
      </c>
      <c r="T1168" s="121" t="str">
        <f t="shared" si="491"/>
        <v/>
      </c>
      <c r="U1168" s="121">
        <f t="shared" si="492"/>
        <v>1</v>
      </c>
    </row>
    <row r="1169" spans="1:21" x14ac:dyDescent="0.3">
      <c r="A1169" s="187">
        <v>11</v>
      </c>
      <c r="B1169" s="242">
        <f t="shared" si="493"/>
        <v>45962</v>
      </c>
      <c r="C1169" s="243">
        <f t="shared" si="474"/>
        <v>45991</v>
      </c>
      <c r="D1169" s="120">
        <f t="shared" si="475"/>
        <v>30</v>
      </c>
      <c r="E1169" s="120">
        <f t="shared" si="476"/>
        <v>11</v>
      </c>
      <c r="F1169" s="275">
        <f t="shared" si="477"/>
        <v>45977</v>
      </c>
      <c r="G1169" s="120">
        <f t="shared" si="478"/>
        <v>24310</v>
      </c>
      <c r="H1169" s="245">
        <f t="shared" si="479"/>
        <v>1</v>
      </c>
      <c r="I1169" s="121">
        <f t="shared" si="480"/>
        <v>1</v>
      </c>
      <c r="J1169" s="121">
        <f t="shared" si="481"/>
        <v>1</v>
      </c>
      <c r="K1169" s="120">
        <f t="shared" si="482"/>
        <v>0</v>
      </c>
      <c r="L1169" s="120">
        <f t="shared" si="483"/>
        <v>0</v>
      </c>
      <c r="M1169" s="246">
        <f t="shared" si="484"/>
        <v>0</v>
      </c>
      <c r="N1169" s="121">
        <f t="shared" si="485"/>
        <v>1</v>
      </c>
      <c r="O1169" s="246">
        <f t="shared" si="486"/>
        <v>0.90301969365426704</v>
      </c>
      <c r="P1169" s="121">
        <f t="shared" si="487"/>
        <v>0.75</v>
      </c>
      <c r="Q1169" s="121">
        <f t="shared" si="488"/>
        <v>0</v>
      </c>
      <c r="R1169" s="121">
        <f t="shared" si="489"/>
        <v>0</v>
      </c>
      <c r="S1169" s="121" t="str">
        <f t="shared" si="490"/>
        <v/>
      </c>
      <c r="T1169" s="121" t="str">
        <f t="shared" si="491"/>
        <v/>
      </c>
      <c r="U1169" s="121">
        <f t="shared" si="492"/>
        <v>1</v>
      </c>
    </row>
    <row r="1170" spans="1:21" x14ac:dyDescent="0.3">
      <c r="A1170" s="187">
        <v>12</v>
      </c>
      <c r="B1170" s="242">
        <f t="shared" si="493"/>
        <v>45992</v>
      </c>
      <c r="C1170" s="243">
        <f t="shared" si="474"/>
        <v>46022</v>
      </c>
      <c r="D1170" s="120">
        <f t="shared" si="475"/>
        <v>31</v>
      </c>
      <c r="E1170" s="120">
        <f t="shared" si="476"/>
        <v>12</v>
      </c>
      <c r="F1170" s="275">
        <f t="shared" si="477"/>
        <v>46007.5</v>
      </c>
      <c r="G1170" s="120">
        <f t="shared" si="478"/>
        <v>24311</v>
      </c>
      <c r="H1170" s="245">
        <f t="shared" si="479"/>
        <v>1</v>
      </c>
      <c r="I1170" s="121">
        <f t="shared" si="480"/>
        <v>1</v>
      </c>
      <c r="J1170" s="121">
        <f t="shared" si="481"/>
        <v>1</v>
      </c>
      <c r="K1170" s="120">
        <f t="shared" si="482"/>
        <v>0</v>
      </c>
      <c r="L1170" s="120">
        <f t="shared" si="483"/>
        <v>0</v>
      </c>
      <c r="M1170" s="246">
        <f t="shared" si="484"/>
        <v>0</v>
      </c>
      <c r="N1170" s="121">
        <f t="shared" si="485"/>
        <v>1</v>
      </c>
      <c r="O1170" s="246">
        <f t="shared" si="486"/>
        <v>0.90368708971553613</v>
      </c>
      <c r="P1170" s="121">
        <f t="shared" si="487"/>
        <v>0.91666666666666663</v>
      </c>
      <c r="Q1170" s="121">
        <f t="shared" si="488"/>
        <v>0</v>
      </c>
      <c r="R1170" s="121">
        <f t="shared" si="489"/>
        <v>0</v>
      </c>
      <c r="S1170" s="121" t="str">
        <f t="shared" si="490"/>
        <v/>
      </c>
      <c r="T1170" s="121" t="str">
        <f t="shared" si="491"/>
        <v/>
      </c>
      <c r="U1170" s="121">
        <f t="shared" si="492"/>
        <v>1</v>
      </c>
    </row>
    <row r="1171" spans="1:21" x14ac:dyDescent="0.3">
      <c r="A1171" s="187">
        <v>13</v>
      </c>
      <c r="B1171" s="242">
        <f t="shared" si="493"/>
        <v>46023</v>
      </c>
      <c r="C1171" s="243">
        <f t="shared" si="474"/>
        <v>46053</v>
      </c>
      <c r="D1171" s="120">
        <f t="shared" si="475"/>
        <v>31</v>
      </c>
      <c r="E1171" s="120">
        <f t="shared" si="476"/>
        <v>1</v>
      </c>
      <c r="F1171" s="275">
        <f t="shared" si="477"/>
        <v>46038.5</v>
      </c>
      <c r="G1171" s="120">
        <f t="shared" si="478"/>
        <v>24312</v>
      </c>
      <c r="H1171" s="245">
        <f t="shared" si="479"/>
        <v>1</v>
      </c>
      <c r="I1171" s="121">
        <f t="shared" si="480"/>
        <v>1</v>
      </c>
      <c r="J1171" s="121">
        <f t="shared" si="481"/>
        <v>1</v>
      </c>
      <c r="K1171" s="120">
        <f t="shared" si="482"/>
        <v>0</v>
      </c>
      <c r="L1171" s="120">
        <f t="shared" si="483"/>
        <v>0</v>
      </c>
      <c r="M1171" s="246">
        <f t="shared" si="484"/>
        <v>0</v>
      </c>
      <c r="N1171" s="121">
        <f t="shared" si="485"/>
        <v>1</v>
      </c>
      <c r="O1171" s="246">
        <f t="shared" si="486"/>
        <v>0.90436542669584252</v>
      </c>
      <c r="P1171" s="121">
        <f t="shared" si="487"/>
        <v>1</v>
      </c>
      <c r="Q1171" s="121">
        <f t="shared" si="488"/>
        <v>0</v>
      </c>
      <c r="R1171" s="121">
        <f t="shared" si="489"/>
        <v>0</v>
      </c>
      <c r="S1171" s="121" t="str">
        <f t="shared" si="490"/>
        <v/>
      </c>
      <c r="T1171" s="121" t="str">
        <f t="shared" si="491"/>
        <v/>
      </c>
      <c r="U1171" s="121">
        <f t="shared" si="492"/>
        <v>1</v>
      </c>
    </row>
    <row r="1172" spans="1:21" x14ac:dyDescent="0.3">
      <c r="A1172" s="187">
        <v>14</v>
      </c>
      <c r="B1172" s="242">
        <f t="shared" si="493"/>
        <v>46054</v>
      </c>
      <c r="C1172" s="243">
        <f t="shared" si="474"/>
        <v>46081</v>
      </c>
      <c r="D1172" s="120">
        <f t="shared" si="475"/>
        <v>28</v>
      </c>
      <c r="E1172" s="120">
        <f t="shared" si="476"/>
        <v>2</v>
      </c>
      <c r="F1172" s="275">
        <f t="shared" si="477"/>
        <v>46068</v>
      </c>
      <c r="G1172" s="120">
        <f t="shared" si="478"/>
        <v>24313</v>
      </c>
      <c r="H1172" s="245">
        <f t="shared" si="479"/>
        <v>1</v>
      </c>
      <c r="I1172" s="121">
        <f t="shared" si="480"/>
        <v>1</v>
      </c>
      <c r="J1172" s="121">
        <f t="shared" si="481"/>
        <v>1</v>
      </c>
      <c r="K1172" s="120">
        <f t="shared" si="482"/>
        <v>0</v>
      </c>
      <c r="L1172" s="120">
        <f t="shared" si="483"/>
        <v>0</v>
      </c>
      <c r="M1172" s="246">
        <f t="shared" si="484"/>
        <v>0</v>
      </c>
      <c r="N1172" s="121">
        <f t="shared" si="485"/>
        <v>1</v>
      </c>
      <c r="O1172" s="246">
        <f t="shared" si="486"/>
        <v>0.90501094091903722</v>
      </c>
      <c r="P1172" s="121">
        <f t="shared" si="487"/>
        <v>1</v>
      </c>
      <c r="Q1172" s="121">
        <f t="shared" si="488"/>
        <v>0</v>
      </c>
      <c r="R1172" s="121">
        <f t="shared" si="489"/>
        <v>0</v>
      </c>
      <c r="S1172" s="121" t="str">
        <f t="shared" si="490"/>
        <v/>
      </c>
      <c r="T1172" s="121" t="str">
        <f t="shared" si="491"/>
        <v/>
      </c>
      <c r="U1172" s="121">
        <f t="shared" si="492"/>
        <v>1</v>
      </c>
    </row>
    <row r="1173" spans="1:21" x14ac:dyDescent="0.3">
      <c r="A1173" s="187">
        <v>15</v>
      </c>
      <c r="B1173" s="242">
        <f t="shared" si="493"/>
        <v>46082</v>
      </c>
      <c r="C1173" s="243">
        <f t="shared" si="474"/>
        <v>46112</v>
      </c>
      <c r="D1173" s="120">
        <f t="shared" si="475"/>
        <v>31</v>
      </c>
      <c r="E1173" s="120">
        <f t="shared" si="476"/>
        <v>3</v>
      </c>
      <c r="F1173" s="275">
        <f t="shared" si="477"/>
        <v>46097.5</v>
      </c>
      <c r="G1173" s="120">
        <f t="shared" si="478"/>
        <v>24314</v>
      </c>
      <c r="H1173" s="245">
        <f t="shared" si="479"/>
        <v>1</v>
      </c>
      <c r="I1173" s="121">
        <f t="shared" si="480"/>
        <v>1</v>
      </c>
      <c r="J1173" s="121">
        <f t="shared" si="481"/>
        <v>1</v>
      </c>
      <c r="K1173" s="120">
        <f t="shared" si="482"/>
        <v>0</v>
      </c>
      <c r="L1173" s="120">
        <f t="shared" si="483"/>
        <v>0</v>
      </c>
      <c r="M1173" s="246">
        <f t="shared" si="484"/>
        <v>0</v>
      </c>
      <c r="N1173" s="121">
        <f t="shared" si="485"/>
        <v>1</v>
      </c>
      <c r="O1173" s="246">
        <f t="shared" si="486"/>
        <v>0.90565645514223203</v>
      </c>
      <c r="P1173" s="121">
        <f t="shared" si="487"/>
        <v>1</v>
      </c>
      <c r="Q1173" s="121">
        <f t="shared" si="488"/>
        <v>0</v>
      </c>
      <c r="R1173" s="121">
        <f t="shared" si="489"/>
        <v>0</v>
      </c>
      <c r="S1173" s="121" t="str">
        <f t="shared" si="490"/>
        <v/>
      </c>
      <c r="T1173" s="121" t="str">
        <f t="shared" si="491"/>
        <v/>
      </c>
      <c r="U1173" s="121">
        <f t="shared" si="492"/>
        <v>1</v>
      </c>
    </row>
    <row r="1174" spans="1:21" x14ac:dyDescent="0.3">
      <c r="A1174" s="187">
        <v>16</v>
      </c>
      <c r="B1174" s="242">
        <f t="shared" si="493"/>
        <v>46113</v>
      </c>
      <c r="C1174" s="243">
        <f t="shared" si="474"/>
        <v>46142</v>
      </c>
      <c r="D1174" s="120">
        <f t="shared" si="475"/>
        <v>30</v>
      </c>
      <c r="E1174" s="120">
        <f t="shared" si="476"/>
        <v>4</v>
      </c>
      <c r="F1174" s="275">
        <f t="shared" si="477"/>
        <v>46128</v>
      </c>
      <c r="G1174" s="120">
        <f t="shared" si="478"/>
        <v>24315</v>
      </c>
      <c r="H1174" s="245">
        <f t="shared" si="479"/>
        <v>1</v>
      </c>
      <c r="I1174" s="121">
        <f t="shared" si="480"/>
        <v>1</v>
      </c>
      <c r="J1174" s="121">
        <f t="shared" si="481"/>
        <v>1</v>
      </c>
      <c r="K1174" s="120">
        <f t="shared" si="482"/>
        <v>0</v>
      </c>
      <c r="L1174" s="120">
        <f t="shared" si="483"/>
        <v>0</v>
      </c>
      <c r="M1174" s="246">
        <f t="shared" si="484"/>
        <v>0</v>
      </c>
      <c r="N1174" s="121">
        <f t="shared" si="485"/>
        <v>1</v>
      </c>
      <c r="O1174" s="246">
        <f t="shared" si="486"/>
        <v>0.90632385120350112</v>
      </c>
      <c r="P1174" s="121">
        <f t="shared" si="487"/>
        <v>1</v>
      </c>
      <c r="Q1174" s="121">
        <f t="shared" si="488"/>
        <v>0</v>
      </c>
      <c r="R1174" s="121">
        <f t="shared" si="489"/>
        <v>0</v>
      </c>
      <c r="S1174" s="121" t="str">
        <f t="shared" si="490"/>
        <v/>
      </c>
      <c r="T1174" s="121" t="str">
        <f t="shared" si="491"/>
        <v/>
      </c>
      <c r="U1174" s="121">
        <f t="shared" si="492"/>
        <v>1</v>
      </c>
    </row>
    <row r="1175" spans="1:21" x14ac:dyDescent="0.3">
      <c r="A1175" s="187">
        <v>17</v>
      </c>
      <c r="B1175" s="242">
        <f t="shared" si="493"/>
        <v>46143</v>
      </c>
      <c r="C1175" s="243">
        <f t="shared" si="474"/>
        <v>46173</v>
      </c>
      <c r="D1175" s="120">
        <f t="shared" si="475"/>
        <v>31</v>
      </c>
      <c r="E1175" s="120">
        <f t="shared" si="476"/>
        <v>5</v>
      </c>
      <c r="F1175" s="275">
        <f t="shared" si="477"/>
        <v>46158.5</v>
      </c>
      <c r="G1175" s="120">
        <f t="shared" si="478"/>
        <v>24316</v>
      </c>
      <c r="H1175" s="245">
        <f t="shared" si="479"/>
        <v>1</v>
      </c>
      <c r="I1175" s="121">
        <f t="shared" si="480"/>
        <v>1</v>
      </c>
      <c r="J1175" s="121">
        <f t="shared" si="481"/>
        <v>1</v>
      </c>
      <c r="K1175" s="120">
        <f t="shared" si="482"/>
        <v>0</v>
      </c>
      <c r="L1175" s="120">
        <f t="shared" si="483"/>
        <v>0</v>
      </c>
      <c r="M1175" s="246">
        <f t="shared" si="484"/>
        <v>0</v>
      </c>
      <c r="N1175" s="121">
        <f t="shared" si="485"/>
        <v>1</v>
      </c>
      <c r="O1175" s="246">
        <f t="shared" si="486"/>
        <v>0.90699124726477032</v>
      </c>
      <c r="P1175" s="121">
        <f t="shared" si="487"/>
        <v>1</v>
      </c>
      <c r="Q1175" s="121">
        <f t="shared" si="488"/>
        <v>0</v>
      </c>
      <c r="R1175" s="121">
        <f t="shared" si="489"/>
        <v>0</v>
      </c>
      <c r="S1175" s="121" t="str">
        <f t="shared" si="490"/>
        <v/>
      </c>
      <c r="T1175" s="121" t="str">
        <f t="shared" si="491"/>
        <v/>
      </c>
      <c r="U1175" s="121">
        <f t="shared" si="492"/>
        <v>1</v>
      </c>
    </row>
    <row r="1176" spans="1:21" x14ac:dyDescent="0.3">
      <c r="A1176" s="187">
        <v>18</v>
      </c>
      <c r="B1176" s="242">
        <f t="shared" si="493"/>
        <v>46174</v>
      </c>
      <c r="C1176" s="243">
        <f t="shared" si="474"/>
        <v>46203</v>
      </c>
      <c r="D1176" s="120">
        <f t="shared" si="475"/>
        <v>30</v>
      </c>
      <c r="E1176" s="120">
        <f t="shared" si="476"/>
        <v>6</v>
      </c>
      <c r="F1176" s="275">
        <f t="shared" si="477"/>
        <v>46189</v>
      </c>
      <c r="G1176" s="120">
        <f t="shared" si="478"/>
        <v>24317</v>
      </c>
      <c r="H1176" s="245">
        <f t="shared" si="479"/>
        <v>1</v>
      </c>
      <c r="I1176" s="121">
        <f t="shared" si="480"/>
        <v>1</v>
      </c>
      <c r="J1176" s="121">
        <f t="shared" si="481"/>
        <v>1</v>
      </c>
      <c r="K1176" s="120">
        <f t="shared" si="482"/>
        <v>0</v>
      </c>
      <c r="L1176" s="120">
        <f t="shared" si="483"/>
        <v>0</v>
      </c>
      <c r="M1176" s="246">
        <f t="shared" si="484"/>
        <v>0</v>
      </c>
      <c r="N1176" s="121">
        <f t="shared" si="485"/>
        <v>1</v>
      </c>
      <c r="O1176" s="246">
        <f t="shared" si="486"/>
        <v>0.9076586433260394</v>
      </c>
      <c r="P1176" s="121">
        <f t="shared" si="487"/>
        <v>1</v>
      </c>
      <c r="Q1176" s="121">
        <f t="shared" si="488"/>
        <v>0</v>
      </c>
      <c r="R1176" s="121">
        <f t="shared" si="489"/>
        <v>0</v>
      </c>
      <c r="S1176" s="121" t="str">
        <f t="shared" si="490"/>
        <v/>
      </c>
      <c r="T1176" s="121" t="str">
        <f t="shared" si="491"/>
        <v/>
      </c>
      <c r="U1176" s="121">
        <f t="shared" si="492"/>
        <v>1</v>
      </c>
    </row>
    <row r="1177" spans="1:21" x14ac:dyDescent="0.3">
      <c r="A1177" s="187">
        <v>19</v>
      </c>
      <c r="B1177" s="242">
        <f t="shared" si="493"/>
        <v>46204</v>
      </c>
      <c r="C1177" s="243">
        <f t="shared" si="474"/>
        <v>46234</v>
      </c>
      <c r="D1177" s="120">
        <f t="shared" si="475"/>
        <v>31</v>
      </c>
      <c r="E1177" s="120">
        <f t="shared" si="476"/>
        <v>7</v>
      </c>
      <c r="F1177" s="275">
        <f t="shared" si="477"/>
        <v>46219.5</v>
      </c>
      <c r="G1177" s="120">
        <f t="shared" si="478"/>
        <v>24318</v>
      </c>
      <c r="H1177" s="245">
        <f t="shared" si="479"/>
        <v>1</v>
      </c>
      <c r="I1177" s="121">
        <f t="shared" si="480"/>
        <v>1</v>
      </c>
      <c r="J1177" s="121">
        <f t="shared" si="481"/>
        <v>1</v>
      </c>
      <c r="K1177" s="120">
        <f t="shared" si="482"/>
        <v>0</v>
      </c>
      <c r="L1177" s="120">
        <f t="shared" si="483"/>
        <v>0</v>
      </c>
      <c r="M1177" s="246">
        <f t="shared" si="484"/>
        <v>0</v>
      </c>
      <c r="N1177" s="121">
        <f t="shared" si="485"/>
        <v>1</v>
      </c>
      <c r="O1177" s="246">
        <f t="shared" si="486"/>
        <v>0.9083260393873086</v>
      </c>
      <c r="P1177" s="121">
        <f t="shared" si="487"/>
        <v>0.91666666666666663</v>
      </c>
      <c r="Q1177" s="121">
        <f t="shared" si="488"/>
        <v>8.333333333333337E-2</v>
      </c>
      <c r="R1177" s="121">
        <f t="shared" si="489"/>
        <v>0</v>
      </c>
      <c r="S1177" s="121" t="str">
        <f t="shared" si="490"/>
        <v/>
      </c>
      <c r="T1177" s="121" t="str">
        <f t="shared" si="491"/>
        <v/>
      </c>
      <c r="U1177" s="121">
        <f t="shared" si="492"/>
        <v>1</v>
      </c>
    </row>
    <row r="1178" spans="1:21" x14ac:dyDescent="0.3">
      <c r="A1178" s="187">
        <v>20</v>
      </c>
      <c r="B1178" s="242">
        <f t="shared" si="493"/>
        <v>46235</v>
      </c>
      <c r="C1178" s="243">
        <f t="shared" si="474"/>
        <v>46265</v>
      </c>
      <c r="D1178" s="120">
        <f t="shared" si="475"/>
        <v>31</v>
      </c>
      <c r="E1178" s="120">
        <f t="shared" si="476"/>
        <v>8</v>
      </c>
      <c r="F1178" s="275">
        <f t="shared" si="477"/>
        <v>46250.5</v>
      </c>
      <c r="G1178" s="120">
        <f t="shared" si="478"/>
        <v>24319</v>
      </c>
      <c r="H1178" s="245">
        <f t="shared" si="479"/>
        <v>1</v>
      </c>
      <c r="I1178" s="121">
        <f t="shared" si="480"/>
        <v>1</v>
      </c>
      <c r="J1178" s="121">
        <f t="shared" si="481"/>
        <v>1</v>
      </c>
      <c r="K1178" s="120">
        <f t="shared" si="482"/>
        <v>0</v>
      </c>
      <c r="L1178" s="120">
        <f t="shared" si="483"/>
        <v>0</v>
      </c>
      <c r="M1178" s="246">
        <f t="shared" si="484"/>
        <v>0</v>
      </c>
      <c r="N1178" s="121">
        <f t="shared" si="485"/>
        <v>1</v>
      </c>
      <c r="O1178" s="246">
        <f t="shared" si="486"/>
        <v>0.90900437636761489</v>
      </c>
      <c r="P1178" s="121">
        <f t="shared" si="487"/>
        <v>0.75</v>
      </c>
      <c r="Q1178" s="121">
        <f t="shared" si="488"/>
        <v>0.25</v>
      </c>
      <c r="R1178" s="121">
        <f t="shared" si="489"/>
        <v>0</v>
      </c>
      <c r="S1178" s="121" t="str">
        <f t="shared" si="490"/>
        <v/>
      </c>
      <c r="T1178" s="121" t="str">
        <f t="shared" si="491"/>
        <v/>
      </c>
      <c r="U1178" s="121">
        <f t="shared" si="492"/>
        <v>1</v>
      </c>
    </row>
    <row r="1179" spans="1:21" x14ac:dyDescent="0.3">
      <c r="A1179" s="187">
        <v>21</v>
      </c>
      <c r="B1179" s="242">
        <f t="shared" si="493"/>
        <v>46266</v>
      </c>
      <c r="C1179" s="243">
        <f t="shared" si="474"/>
        <v>46295</v>
      </c>
      <c r="D1179" s="120">
        <f t="shared" si="475"/>
        <v>30</v>
      </c>
      <c r="E1179" s="120">
        <f t="shared" si="476"/>
        <v>9</v>
      </c>
      <c r="F1179" s="275">
        <f t="shared" si="477"/>
        <v>46281</v>
      </c>
      <c r="G1179" s="120">
        <f t="shared" si="478"/>
        <v>24320</v>
      </c>
      <c r="H1179" s="245">
        <f t="shared" si="479"/>
        <v>1</v>
      </c>
      <c r="I1179" s="121">
        <f t="shared" si="480"/>
        <v>1</v>
      </c>
      <c r="J1179" s="121">
        <f t="shared" si="481"/>
        <v>1</v>
      </c>
      <c r="K1179" s="120">
        <f t="shared" si="482"/>
        <v>0</v>
      </c>
      <c r="L1179" s="120">
        <f t="shared" si="483"/>
        <v>0</v>
      </c>
      <c r="M1179" s="246">
        <f t="shared" si="484"/>
        <v>0</v>
      </c>
      <c r="N1179" s="121">
        <f t="shared" si="485"/>
        <v>1</v>
      </c>
      <c r="O1179" s="246">
        <f t="shared" si="486"/>
        <v>0.90967177242888408</v>
      </c>
      <c r="P1179" s="121">
        <f t="shared" si="487"/>
        <v>0.58333333333333337</v>
      </c>
      <c r="Q1179" s="121">
        <f t="shared" si="488"/>
        <v>0.41666666666666663</v>
      </c>
      <c r="R1179" s="121">
        <f t="shared" si="489"/>
        <v>0</v>
      </c>
      <c r="S1179" s="121" t="str">
        <f t="shared" si="490"/>
        <v/>
      </c>
      <c r="T1179" s="121" t="str">
        <f t="shared" si="491"/>
        <v/>
      </c>
      <c r="U1179" s="121">
        <f t="shared" si="492"/>
        <v>1</v>
      </c>
    </row>
    <row r="1180" spans="1:21" x14ac:dyDescent="0.3">
      <c r="A1180" s="187">
        <v>22</v>
      </c>
      <c r="B1180" s="242">
        <f t="shared" si="493"/>
        <v>46296</v>
      </c>
      <c r="C1180" s="243">
        <f t="shared" si="474"/>
        <v>46326</v>
      </c>
      <c r="D1180" s="120">
        <f t="shared" si="475"/>
        <v>31</v>
      </c>
      <c r="E1180" s="120">
        <f t="shared" si="476"/>
        <v>10</v>
      </c>
      <c r="F1180" s="275">
        <f t="shared" si="477"/>
        <v>46311.5</v>
      </c>
      <c r="G1180" s="120">
        <f t="shared" si="478"/>
        <v>24321</v>
      </c>
      <c r="H1180" s="245">
        <f t="shared" si="479"/>
        <v>1</v>
      </c>
      <c r="I1180" s="121">
        <f t="shared" si="480"/>
        <v>1</v>
      </c>
      <c r="J1180" s="121">
        <f t="shared" si="481"/>
        <v>1</v>
      </c>
      <c r="K1180" s="120">
        <f t="shared" si="482"/>
        <v>0</v>
      </c>
      <c r="L1180" s="120">
        <f t="shared" si="483"/>
        <v>0</v>
      </c>
      <c r="M1180" s="246">
        <f t="shared" si="484"/>
        <v>0</v>
      </c>
      <c r="N1180" s="121">
        <f t="shared" si="485"/>
        <v>1</v>
      </c>
      <c r="O1180" s="246">
        <f t="shared" si="486"/>
        <v>0.91033916849015317</v>
      </c>
      <c r="P1180" s="121">
        <f t="shared" si="487"/>
        <v>0.41666666666666669</v>
      </c>
      <c r="Q1180" s="121">
        <f t="shared" si="488"/>
        <v>0.58333333333333326</v>
      </c>
      <c r="R1180" s="121">
        <f t="shared" si="489"/>
        <v>0</v>
      </c>
      <c r="S1180" s="121" t="str">
        <f t="shared" si="490"/>
        <v/>
      </c>
      <c r="T1180" s="121" t="str">
        <f t="shared" si="491"/>
        <v/>
      </c>
      <c r="U1180" s="121">
        <f t="shared" si="492"/>
        <v>1</v>
      </c>
    </row>
    <row r="1181" spans="1:21" x14ac:dyDescent="0.3">
      <c r="A1181" s="187">
        <v>23</v>
      </c>
      <c r="B1181" s="242">
        <f t="shared" si="493"/>
        <v>46327</v>
      </c>
      <c r="C1181" s="243">
        <f t="shared" si="474"/>
        <v>46356</v>
      </c>
      <c r="D1181" s="120">
        <f t="shared" si="475"/>
        <v>30</v>
      </c>
      <c r="E1181" s="120">
        <f t="shared" si="476"/>
        <v>11</v>
      </c>
      <c r="F1181" s="275">
        <f t="shared" si="477"/>
        <v>46342</v>
      </c>
      <c r="G1181" s="120">
        <f t="shared" si="478"/>
        <v>24322</v>
      </c>
      <c r="H1181" s="245">
        <f t="shared" si="479"/>
        <v>1</v>
      </c>
      <c r="I1181" s="121">
        <f t="shared" si="480"/>
        <v>1</v>
      </c>
      <c r="J1181" s="121">
        <f t="shared" si="481"/>
        <v>1</v>
      </c>
      <c r="K1181" s="120">
        <f t="shared" si="482"/>
        <v>0</v>
      </c>
      <c r="L1181" s="120">
        <f t="shared" si="483"/>
        <v>0</v>
      </c>
      <c r="M1181" s="246">
        <f t="shared" si="484"/>
        <v>0</v>
      </c>
      <c r="N1181" s="121">
        <f t="shared" si="485"/>
        <v>1</v>
      </c>
      <c r="O1181" s="246">
        <f t="shared" si="486"/>
        <v>0.91100656455142237</v>
      </c>
      <c r="P1181" s="121">
        <f t="shared" si="487"/>
        <v>0.25</v>
      </c>
      <c r="Q1181" s="121">
        <f t="shared" si="488"/>
        <v>0.75</v>
      </c>
      <c r="R1181" s="121">
        <f t="shared" si="489"/>
        <v>0</v>
      </c>
      <c r="S1181" s="121" t="str">
        <f t="shared" si="490"/>
        <v/>
      </c>
      <c r="T1181" s="121" t="str">
        <f t="shared" si="491"/>
        <v/>
      </c>
      <c r="U1181" s="121">
        <f t="shared" si="492"/>
        <v>1</v>
      </c>
    </row>
    <row r="1182" spans="1:21" x14ac:dyDescent="0.3">
      <c r="A1182" s="187">
        <v>24</v>
      </c>
      <c r="B1182" s="242">
        <f t="shared" si="493"/>
        <v>46357</v>
      </c>
      <c r="C1182" s="243">
        <f t="shared" si="474"/>
        <v>46387</v>
      </c>
      <c r="D1182" s="120">
        <f t="shared" si="475"/>
        <v>31</v>
      </c>
      <c r="E1182" s="120">
        <f t="shared" si="476"/>
        <v>12</v>
      </c>
      <c r="F1182" s="275">
        <f t="shared" si="477"/>
        <v>46372.5</v>
      </c>
      <c r="G1182" s="120">
        <f t="shared" si="478"/>
        <v>24323</v>
      </c>
      <c r="H1182" s="245">
        <f t="shared" si="479"/>
        <v>1</v>
      </c>
      <c r="I1182" s="121">
        <f t="shared" si="480"/>
        <v>1</v>
      </c>
      <c r="J1182" s="121">
        <f t="shared" si="481"/>
        <v>1</v>
      </c>
      <c r="K1182" s="120">
        <f t="shared" si="482"/>
        <v>0</v>
      </c>
      <c r="L1182" s="120">
        <f t="shared" si="483"/>
        <v>0</v>
      </c>
      <c r="M1182" s="246">
        <f t="shared" si="484"/>
        <v>0</v>
      </c>
      <c r="N1182" s="121">
        <f t="shared" si="485"/>
        <v>1</v>
      </c>
      <c r="O1182" s="246">
        <f t="shared" si="486"/>
        <v>0.91167396061269146</v>
      </c>
      <c r="P1182" s="121">
        <f t="shared" si="487"/>
        <v>8.3333333333333329E-2</v>
      </c>
      <c r="Q1182" s="121">
        <f t="shared" si="488"/>
        <v>0.91666666666666663</v>
      </c>
      <c r="R1182" s="121">
        <f t="shared" si="489"/>
        <v>0</v>
      </c>
      <c r="S1182" s="121" t="str">
        <f t="shared" si="490"/>
        <v/>
      </c>
      <c r="T1182" s="121" t="str">
        <f t="shared" si="491"/>
        <v/>
      </c>
      <c r="U1182" s="121">
        <f t="shared" si="492"/>
        <v>1</v>
      </c>
    </row>
    <row r="1183" spans="1:21" x14ac:dyDescent="0.3">
      <c r="A1183" s="187">
        <v>25</v>
      </c>
      <c r="B1183" s="242">
        <f t="shared" si="493"/>
        <v>46388</v>
      </c>
      <c r="C1183" s="243">
        <f t="shared" si="474"/>
        <v>46418</v>
      </c>
      <c r="D1183" s="120">
        <f t="shared" si="475"/>
        <v>31</v>
      </c>
      <c r="E1183" s="120">
        <f t="shared" si="476"/>
        <v>1</v>
      </c>
      <c r="F1183" s="275">
        <f t="shared" si="477"/>
        <v>46403.5</v>
      </c>
      <c r="G1183" s="120">
        <f t="shared" si="478"/>
        <v>24324</v>
      </c>
      <c r="H1183" s="245">
        <f t="shared" si="479"/>
        <v>1</v>
      </c>
      <c r="I1183" s="121">
        <f t="shared" si="480"/>
        <v>1</v>
      </c>
      <c r="J1183" s="121">
        <f t="shared" si="481"/>
        <v>1</v>
      </c>
      <c r="K1183" s="120">
        <f t="shared" si="482"/>
        <v>0</v>
      </c>
      <c r="L1183" s="120">
        <f t="shared" si="483"/>
        <v>0</v>
      </c>
      <c r="M1183" s="246">
        <f t="shared" si="484"/>
        <v>0</v>
      </c>
      <c r="N1183" s="121">
        <f t="shared" si="485"/>
        <v>1</v>
      </c>
      <c r="O1183" s="246">
        <f t="shared" si="486"/>
        <v>0.91235229759299785</v>
      </c>
      <c r="P1183" s="121">
        <f t="shared" si="487"/>
        <v>0</v>
      </c>
      <c r="Q1183" s="121">
        <f t="shared" si="488"/>
        <v>1</v>
      </c>
      <c r="R1183" s="121">
        <f t="shared" si="489"/>
        <v>0</v>
      </c>
      <c r="S1183" s="121" t="str">
        <f t="shared" si="490"/>
        <v/>
      </c>
      <c r="T1183" s="121" t="str">
        <f t="shared" si="491"/>
        <v/>
      </c>
      <c r="U1183" s="121">
        <f t="shared" si="492"/>
        <v>1</v>
      </c>
    </row>
    <row r="1184" spans="1:21" x14ac:dyDescent="0.3">
      <c r="A1184" s="187">
        <v>26</v>
      </c>
      <c r="B1184" s="242">
        <f t="shared" si="493"/>
        <v>46419</v>
      </c>
      <c r="C1184" s="243">
        <f t="shared" si="474"/>
        <v>46446</v>
      </c>
      <c r="D1184" s="120">
        <f t="shared" si="475"/>
        <v>28</v>
      </c>
      <c r="E1184" s="120">
        <f t="shared" si="476"/>
        <v>2</v>
      </c>
      <c r="F1184" s="275">
        <f t="shared" si="477"/>
        <v>46433</v>
      </c>
      <c r="G1184" s="120">
        <f t="shared" si="478"/>
        <v>24325</v>
      </c>
      <c r="H1184" s="245">
        <f t="shared" si="479"/>
        <v>1</v>
      </c>
      <c r="I1184" s="121">
        <f t="shared" si="480"/>
        <v>1</v>
      </c>
      <c r="J1184" s="121">
        <f t="shared" si="481"/>
        <v>1</v>
      </c>
      <c r="K1184" s="120">
        <f t="shared" si="482"/>
        <v>0</v>
      </c>
      <c r="L1184" s="120">
        <f t="shared" si="483"/>
        <v>0</v>
      </c>
      <c r="M1184" s="246">
        <f t="shared" si="484"/>
        <v>0</v>
      </c>
      <c r="N1184" s="121">
        <f t="shared" si="485"/>
        <v>1</v>
      </c>
      <c r="O1184" s="246">
        <f t="shared" si="486"/>
        <v>0.91299781181619255</v>
      </c>
      <c r="P1184" s="121">
        <f t="shared" si="487"/>
        <v>0</v>
      </c>
      <c r="Q1184" s="121">
        <f t="shared" si="488"/>
        <v>1</v>
      </c>
      <c r="R1184" s="121">
        <f t="shared" si="489"/>
        <v>0</v>
      </c>
      <c r="S1184" s="121" t="str">
        <f t="shared" si="490"/>
        <v/>
      </c>
      <c r="T1184" s="121" t="str">
        <f t="shared" si="491"/>
        <v/>
      </c>
      <c r="U1184" s="121">
        <f t="shared" si="492"/>
        <v>1</v>
      </c>
    </row>
    <row r="1185" spans="1:21" x14ac:dyDescent="0.3">
      <c r="A1185" s="187">
        <v>27</v>
      </c>
      <c r="B1185" s="242">
        <f t="shared" si="493"/>
        <v>46447</v>
      </c>
      <c r="C1185" s="243">
        <f t="shared" si="474"/>
        <v>46477</v>
      </c>
      <c r="D1185" s="120">
        <f t="shared" si="475"/>
        <v>31</v>
      </c>
      <c r="E1185" s="120">
        <f t="shared" si="476"/>
        <v>3</v>
      </c>
      <c r="F1185" s="275">
        <f t="shared" si="477"/>
        <v>46462.5</v>
      </c>
      <c r="G1185" s="120">
        <f t="shared" si="478"/>
        <v>24326</v>
      </c>
      <c r="H1185" s="245">
        <f t="shared" si="479"/>
        <v>1</v>
      </c>
      <c r="I1185" s="121">
        <f t="shared" si="480"/>
        <v>1</v>
      </c>
      <c r="J1185" s="121">
        <f t="shared" si="481"/>
        <v>1</v>
      </c>
      <c r="K1185" s="120">
        <f t="shared" si="482"/>
        <v>0</v>
      </c>
      <c r="L1185" s="120">
        <f t="shared" si="483"/>
        <v>0</v>
      </c>
      <c r="M1185" s="246">
        <f t="shared" si="484"/>
        <v>0</v>
      </c>
      <c r="N1185" s="121">
        <f t="shared" si="485"/>
        <v>1</v>
      </c>
      <c r="O1185" s="246">
        <f t="shared" si="486"/>
        <v>0.91364332603938736</v>
      </c>
      <c r="P1185" s="121">
        <f t="shared" si="487"/>
        <v>0</v>
      </c>
      <c r="Q1185" s="121">
        <f t="shared" si="488"/>
        <v>1</v>
      </c>
      <c r="R1185" s="121">
        <f t="shared" si="489"/>
        <v>0</v>
      </c>
      <c r="S1185" s="121" t="str">
        <f t="shared" si="490"/>
        <v/>
      </c>
      <c r="T1185" s="121" t="str">
        <f t="shared" si="491"/>
        <v/>
      </c>
      <c r="U1185" s="121">
        <f t="shared" si="492"/>
        <v>1</v>
      </c>
    </row>
    <row r="1186" spans="1:21" x14ac:dyDescent="0.3">
      <c r="A1186" s="187">
        <v>28</v>
      </c>
      <c r="B1186" s="242">
        <f t="shared" si="493"/>
        <v>46478</v>
      </c>
      <c r="C1186" s="243">
        <f t="shared" si="474"/>
        <v>46507</v>
      </c>
      <c r="D1186" s="120">
        <f t="shared" si="475"/>
        <v>30</v>
      </c>
      <c r="E1186" s="120">
        <f t="shared" si="476"/>
        <v>4</v>
      </c>
      <c r="F1186" s="275">
        <f t="shared" si="477"/>
        <v>46493</v>
      </c>
      <c r="G1186" s="120">
        <f t="shared" si="478"/>
        <v>24327</v>
      </c>
      <c r="H1186" s="245">
        <f t="shared" si="479"/>
        <v>1</v>
      </c>
      <c r="I1186" s="121">
        <f t="shared" si="480"/>
        <v>1</v>
      </c>
      <c r="J1186" s="121">
        <f t="shared" si="481"/>
        <v>1</v>
      </c>
      <c r="K1186" s="120">
        <f t="shared" si="482"/>
        <v>0</v>
      </c>
      <c r="L1186" s="120">
        <f t="shared" si="483"/>
        <v>0</v>
      </c>
      <c r="M1186" s="246">
        <f t="shared" si="484"/>
        <v>0</v>
      </c>
      <c r="N1186" s="121">
        <f t="shared" si="485"/>
        <v>1</v>
      </c>
      <c r="O1186" s="246">
        <f t="shared" si="486"/>
        <v>0.91431072210065645</v>
      </c>
      <c r="P1186" s="121">
        <f t="shared" si="487"/>
        <v>0</v>
      </c>
      <c r="Q1186" s="121">
        <f t="shared" si="488"/>
        <v>1</v>
      </c>
      <c r="R1186" s="121">
        <f t="shared" si="489"/>
        <v>0</v>
      </c>
      <c r="S1186" s="121" t="str">
        <f t="shared" si="490"/>
        <v/>
      </c>
      <c r="T1186" s="121" t="str">
        <f t="shared" si="491"/>
        <v/>
      </c>
      <c r="U1186" s="121">
        <f t="shared" si="492"/>
        <v>1</v>
      </c>
    </row>
    <row r="1187" spans="1:21" x14ac:dyDescent="0.3">
      <c r="A1187" s="187">
        <v>29</v>
      </c>
      <c r="B1187" s="242">
        <f t="shared" si="493"/>
        <v>46508</v>
      </c>
      <c r="C1187" s="243">
        <f t="shared" si="474"/>
        <v>46538</v>
      </c>
      <c r="D1187" s="120">
        <f t="shared" si="475"/>
        <v>31</v>
      </c>
      <c r="E1187" s="120">
        <f t="shared" si="476"/>
        <v>5</v>
      </c>
      <c r="F1187" s="275">
        <f t="shared" si="477"/>
        <v>46523.5</v>
      </c>
      <c r="G1187" s="120">
        <f t="shared" si="478"/>
        <v>24328</v>
      </c>
      <c r="H1187" s="245">
        <f t="shared" si="479"/>
        <v>1</v>
      </c>
      <c r="I1187" s="121">
        <f t="shared" si="480"/>
        <v>1</v>
      </c>
      <c r="J1187" s="121">
        <f t="shared" si="481"/>
        <v>1</v>
      </c>
      <c r="K1187" s="120">
        <f t="shared" si="482"/>
        <v>0</v>
      </c>
      <c r="L1187" s="120">
        <f t="shared" si="483"/>
        <v>0</v>
      </c>
      <c r="M1187" s="246">
        <f t="shared" si="484"/>
        <v>0</v>
      </c>
      <c r="N1187" s="121">
        <f t="shared" si="485"/>
        <v>1</v>
      </c>
      <c r="O1187" s="246">
        <f t="shared" si="486"/>
        <v>0.91497811816192565</v>
      </c>
      <c r="P1187" s="121">
        <f t="shared" si="487"/>
        <v>0</v>
      </c>
      <c r="Q1187" s="121">
        <f t="shared" si="488"/>
        <v>1</v>
      </c>
      <c r="R1187" s="121">
        <f t="shared" si="489"/>
        <v>0</v>
      </c>
      <c r="S1187" s="121" t="str">
        <f t="shared" si="490"/>
        <v/>
      </c>
      <c r="T1187" s="121" t="str">
        <f t="shared" si="491"/>
        <v/>
      </c>
      <c r="U1187" s="121">
        <f t="shared" si="492"/>
        <v>1</v>
      </c>
    </row>
    <row r="1188" spans="1:21" x14ac:dyDescent="0.3">
      <c r="A1188" s="187">
        <v>30</v>
      </c>
      <c r="B1188" s="242">
        <f t="shared" si="493"/>
        <v>46539</v>
      </c>
      <c r="C1188" s="243">
        <f t="shared" si="474"/>
        <v>46568</v>
      </c>
      <c r="D1188" s="120">
        <f t="shared" si="475"/>
        <v>30</v>
      </c>
      <c r="E1188" s="120">
        <f t="shared" si="476"/>
        <v>6</v>
      </c>
      <c r="F1188" s="275">
        <f t="shared" si="477"/>
        <v>46554</v>
      </c>
      <c r="G1188" s="120">
        <f t="shared" si="478"/>
        <v>24329</v>
      </c>
      <c r="H1188" s="245">
        <f t="shared" si="479"/>
        <v>1</v>
      </c>
      <c r="I1188" s="121">
        <f t="shared" si="480"/>
        <v>1</v>
      </c>
      <c r="J1188" s="121">
        <f t="shared" si="481"/>
        <v>1</v>
      </c>
      <c r="K1188" s="120">
        <f t="shared" si="482"/>
        <v>0</v>
      </c>
      <c r="L1188" s="120">
        <f t="shared" si="483"/>
        <v>0</v>
      </c>
      <c r="M1188" s="246">
        <f t="shared" si="484"/>
        <v>0</v>
      </c>
      <c r="N1188" s="121">
        <f t="shared" si="485"/>
        <v>1</v>
      </c>
      <c r="O1188" s="246">
        <f t="shared" si="486"/>
        <v>0.91564551422319473</v>
      </c>
      <c r="P1188" s="121">
        <f t="shared" si="487"/>
        <v>0</v>
      </c>
      <c r="Q1188" s="121">
        <f t="shared" si="488"/>
        <v>1</v>
      </c>
      <c r="R1188" s="121">
        <f t="shared" si="489"/>
        <v>0</v>
      </c>
      <c r="S1188" s="121" t="str">
        <f t="shared" si="490"/>
        <v/>
      </c>
      <c r="T1188" s="121" t="str">
        <f t="shared" si="491"/>
        <v/>
      </c>
      <c r="U1188" s="121">
        <f t="shared" si="492"/>
        <v>1</v>
      </c>
    </row>
    <row r="1189" spans="1:21" x14ac:dyDescent="0.3">
      <c r="A1189" s="187">
        <v>31</v>
      </c>
      <c r="B1189" s="242">
        <f t="shared" si="493"/>
        <v>46569</v>
      </c>
      <c r="C1189" s="243">
        <f t="shared" si="474"/>
        <v>46599</v>
      </c>
      <c r="D1189" s="120">
        <f t="shared" si="475"/>
        <v>31</v>
      </c>
      <c r="E1189" s="120">
        <f t="shared" si="476"/>
        <v>7</v>
      </c>
      <c r="F1189" s="275">
        <f t="shared" si="477"/>
        <v>46584.5</v>
      </c>
      <c r="G1189" s="120">
        <f t="shared" si="478"/>
        <v>24330</v>
      </c>
      <c r="H1189" s="245">
        <f t="shared" si="479"/>
        <v>1</v>
      </c>
      <c r="I1189" s="121">
        <f t="shared" si="480"/>
        <v>1</v>
      </c>
      <c r="J1189" s="121">
        <f t="shared" si="481"/>
        <v>1</v>
      </c>
      <c r="K1189" s="120">
        <f t="shared" si="482"/>
        <v>0</v>
      </c>
      <c r="L1189" s="120">
        <f t="shared" si="483"/>
        <v>0</v>
      </c>
      <c r="M1189" s="246">
        <f t="shared" si="484"/>
        <v>0</v>
      </c>
      <c r="N1189" s="121">
        <f t="shared" si="485"/>
        <v>1</v>
      </c>
      <c r="O1189" s="246">
        <f t="shared" si="486"/>
        <v>0.91631291028446393</v>
      </c>
      <c r="P1189" s="121">
        <f t="shared" si="487"/>
        <v>0</v>
      </c>
      <c r="Q1189" s="121">
        <f t="shared" si="488"/>
        <v>0.91666666666666663</v>
      </c>
      <c r="R1189" s="121">
        <f t="shared" si="489"/>
        <v>8.333333333333337E-2</v>
      </c>
      <c r="S1189" s="121" t="str">
        <f t="shared" si="490"/>
        <v/>
      </c>
      <c r="T1189" s="121" t="str">
        <f t="shared" si="491"/>
        <v/>
      </c>
      <c r="U1189" s="121">
        <f t="shared" si="492"/>
        <v>1</v>
      </c>
    </row>
    <row r="1190" spans="1:21" x14ac:dyDescent="0.3">
      <c r="A1190" s="187">
        <v>32</v>
      </c>
      <c r="B1190" s="242">
        <f t="shared" si="493"/>
        <v>46600</v>
      </c>
      <c r="C1190" s="243">
        <f t="shared" si="474"/>
        <v>46630</v>
      </c>
      <c r="D1190" s="120">
        <f t="shared" si="475"/>
        <v>31</v>
      </c>
      <c r="E1190" s="120">
        <f t="shared" si="476"/>
        <v>8</v>
      </c>
      <c r="F1190" s="275">
        <f t="shared" si="477"/>
        <v>46615.5</v>
      </c>
      <c r="G1190" s="120">
        <f t="shared" si="478"/>
        <v>24331</v>
      </c>
      <c r="H1190" s="245">
        <f t="shared" si="479"/>
        <v>1</v>
      </c>
      <c r="I1190" s="121">
        <f t="shared" si="480"/>
        <v>1</v>
      </c>
      <c r="J1190" s="121">
        <f t="shared" si="481"/>
        <v>1</v>
      </c>
      <c r="K1190" s="120">
        <f t="shared" si="482"/>
        <v>0</v>
      </c>
      <c r="L1190" s="120">
        <f t="shared" si="483"/>
        <v>0</v>
      </c>
      <c r="M1190" s="246">
        <f t="shared" si="484"/>
        <v>0</v>
      </c>
      <c r="N1190" s="121">
        <f t="shared" si="485"/>
        <v>1</v>
      </c>
      <c r="O1190" s="246">
        <f t="shared" si="486"/>
        <v>0.91699124726477033</v>
      </c>
      <c r="P1190" s="121">
        <f t="shared" si="487"/>
        <v>0</v>
      </c>
      <c r="Q1190" s="121">
        <f t="shared" si="488"/>
        <v>0.75</v>
      </c>
      <c r="R1190" s="121">
        <f t="shared" si="489"/>
        <v>0.25</v>
      </c>
      <c r="S1190" s="121" t="str">
        <f t="shared" si="490"/>
        <v/>
      </c>
      <c r="T1190" s="121" t="str">
        <f t="shared" si="491"/>
        <v/>
      </c>
      <c r="U1190" s="121">
        <f t="shared" si="492"/>
        <v>1</v>
      </c>
    </row>
    <row r="1191" spans="1:21" x14ac:dyDescent="0.3">
      <c r="A1191" s="187">
        <v>33</v>
      </c>
      <c r="B1191" s="242">
        <f t="shared" si="493"/>
        <v>46631</v>
      </c>
      <c r="C1191" s="243">
        <f t="shared" si="474"/>
        <v>46660</v>
      </c>
      <c r="D1191" s="120">
        <f t="shared" si="475"/>
        <v>30</v>
      </c>
      <c r="E1191" s="120">
        <f t="shared" si="476"/>
        <v>9</v>
      </c>
      <c r="F1191" s="275">
        <f t="shared" si="477"/>
        <v>46646</v>
      </c>
      <c r="G1191" s="120">
        <f t="shared" si="478"/>
        <v>24332</v>
      </c>
      <c r="H1191" s="245">
        <f t="shared" si="479"/>
        <v>1</v>
      </c>
      <c r="I1191" s="121">
        <f t="shared" si="480"/>
        <v>1</v>
      </c>
      <c r="J1191" s="121">
        <f t="shared" si="481"/>
        <v>1</v>
      </c>
      <c r="K1191" s="120">
        <f t="shared" si="482"/>
        <v>0</v>
      </c>
      <c r="L1191" s="120">
        <f t="shared" si="483"/>
        <v>0</v>
      </c>
      <c r="M1191" s="246">
        <f t="shared" si="484"/>
        <v>0</v>
      </c>
      <c r="N1191" s="121">
        <f t="shared" si="485"/>
        <v>1</v>
      </c>
      <c r="O1191" s="246">
        <f t="shared" si="486"/>
        <v>0.91765864332603941</v>
      </c>
      <c r="P1191" s="121">
        <f t="shared" si="487"/>
        <v>0</v>
      </c>
      <c r="Q1191" s="121">
        <f t="shared" si="488"/>
        <v>0.58333333333333337</v>
      </c>
      <c r="R1191" s="121">
        <f t="shared" si="489"/>
        <v>0.41666666666666663</v>
      </c>
      <c r="S1191" s="121" t="str">
        <f t="shared" si="490"/>
        <v/>
      </c>
      <c r="T1191" s="121" t="str">
        <f t="shared" si="491"/>
        <v/>
      </c>
      <c r="U1191" s="121">
        <f t="shared" si="492"/>
        <v>1</v>
      </c>
    </row>
    <row r="1192" spans="1:21" x14ac:dyDescent="0.3">
      <c r="A1192" s="187">
        <v>34</v>
      </c>
      <c r="B1192" s="242">
        <f t="shared" si="493"/>
        <v>46661</v>
      </c>
      <c r="C1192" s="243">
        <f t="shared" si="474"/>
        <v>46691</v>
      </c>
      <c r="D1192" s="120">
        <f t="shared" si="475"/>
        <v>31</v>
      </c>
      <c r="E1192" s="120">
        <f t="shared" si="476"/>
        <v>10</v>
      </c>
      <c r="F1192" s="275">
        <f t="shared" si="477"/>
        <v>46676.5</v>
      </c>
      <c r="G1192" s="120">
        <f t="shared" si="478"/>
        <v>24333</v>
      </c>
      <c r="H1192" s="245">
        <f t="shared" si="479"/>
        <v>1</v>
      </c>
      <c r="I1192" s="121">
        <f t="shared" si="480"/>
        <v>1</v>
      </c>
      <c r="J1192" s="121">
        <f t="shared" si="481"/>
        <v>1</v>
      </c>
      <c r="K1192" s="120">
        <f t="shared" si="482"/>
        <v>0</v>
      </c>
      <c r="L1192" s="120">
        <f t="shared" si="483"/>
        <v>0</v>
      </c>
      <c r="M1192" s="246">
        <f t="shared" si="484"/>
        <v>0</v>
      </c>
      <c r="N1192" s="121">
        <f t="shared" si="485"/>
        <v>1</v>
      </c>
      <c r="O1192" s="246">
        <f t="shared" si="486"/>
        <v>0.91832603938730861</v>
      </c>
      <c r="P1192" s="121">
        <f t="shared" si="487"/>
        <v>0</v>
      </c>
      <c r="Q1192" s="121">
        <f t="shared" si="488"/>
        <v>0.41666666666666669</v>
      </c>
      <c r="R1192" s="121">
        <f t="shared" si="489"/>
        <v>0.58333333333333326</v>
      </c>
      <c r="S1192" s="121" t="str">
        <f t="shared" si="490"/>
        <v/>
      </c>
      <c r="T1192" s="121" t="str">
        <f t="shared" si="491"/>
        <v/>
      </c>
      <c r="U1192" s="121">
        <f t="shared" si="492"/>
        <v>1</v>
      </c>
    </row>
    <row r="1193" spans="1:21" x14ac:dyDescent="0.3">
      <c r="A1193" s="187">
        <v>35</v>
      </c>
      <c r="B1193" s="242">
        <f t="shared" si="493"/>
        <v>46692</v>
      </c>
      <c r="C1193" s="243">
        <f t="shared" si="474"/>
        <v>46721</v>
      </c>
      <c r="D1193" s="120">
        <f t="shared" si="475"/>
        <v>30</v>
      </c>
      <c r="E1193" s="120">
        <f t="shared" si="476"/>
        <v>11</v>
      </c>
      <c r="F1193" s="275">
        <f t="shared" si="477"/>
        <v>46707</v>
      </c>
      <c r="G1193" s="120">
        <f t="shared" si="478"/>
        <v>24334</v>
      </c>
      <c r="H1193" s="245">
        <f t="shared" si="479"/>
        <v>1</v>
      </c>
      <c r="I1193" s="121">
        <f t="shared" si="480"/>
        <v>1</v>
      </c>
      <c r="J1193" s="121">
        <f t="shared" si="481"/>
        <v>1</v>
      </c>
      <c r="K1193" s="120">
        <f t="shared" si="482"/>
        <v>0</v>
      </c>
      <c r="L1193" s="120">
        <f t="shared" si="483"/>
        <v>0</v>
      </c>
      <c r="M1193" s="246">
        <f t="shared" si="484"/>
        <v>0</v>
      </c>
      <c r="N1193" s="121">
        <f t="shared" si="485"/>
        <v>1</v>
      </c>
      <c r="O1193" s="246">
        <f t="shared" si="486"/>
        <v>0.9189934354485777</v>
      </c>
      <c r="P1193" s="121">
        <f t="shared" si="487"/>
        <v>0</v>
      </c>
      <c r="Q1193" s="121">
        <f t="shared" si="488"/>
        <v>0.25</v>
      </c>
      <c r="R1193" s="121">
        <f t="shared" si="489"/>
        <v>0.75</v>
      </c>
      <c r="S1193" s="121" t="str">
        <f t="shared" si="490"/>
        <v/>
      </c>
      <c r="T1193" s="121" t="str">
        <f t="shared" si="491"/>
        <v/>
      </c>
      <c r="U1193" s="121">
        <f t="shared" si="492"/>
        <v>1</v>
      </c>
    </row>
    <row r="1194" spans="1:21" x14ac:dyDescent="0.3">
      <c r="A1194" s="187">
        <v>36</v>
      </c>
      <c r="B1194" s="242">
        <f t="shared" si="493"/>
        <v>46722</v>
      </c>
      <c r="C1194" s="243">
        <f t="shared" si="474"/>
        <v>46752</v>
      </c>
      <c r="D1194" s="120">
        <f t="shared" si="475"/>
        <v>31</v>
      </c>
      <c r="E1194" s="120">
        <f t="shared" si="476"/>
        <v>12</v>
      </c>
      <c r="F1194" s="275">
        <f t="shared" si="477"/>
        <v>46737.5</v>
      </c>
      <c r="G1194" s="120">
        <f t="shared" si="478"/>
        <v>24335</v>
      </c>
      <c r="H1194" s="245">
        <f t="shared" si="479"/>
        <v>1</v>
      </c>
      <c r="I1194" s="121">
        <f t="shared" si="480"/>
        <v>1</v>
      </c>
      <c r="J1194" s="121">
        <f t="shared" si="481"/>
        <v>1</v>
      </c>
      <c r="K1194" s="120">
        <f t="shared" si="482"/>
        <v>0</v>
      </c>
      <c r="L1194" s="120">
        <f t="shared" si="483"/>
        <v>0</v>
      </c>
      <c r="M1194" s="246">
        <f t="shared" si="484"/>
        <v>0</v>
      </c>
      <c r="N1194" s="121">
        <f t="shared" si="485"/>
        <v>1</v>
      </c>
      <c r="O1194" s="246">
        <f t="shared" si="486"/>
        <v>0.9196608315098469</v>
      </c>
      <c r="P1194" s="121">
        <f t="shared" si="487"/>
        <v>0</v>
      </c>
      <c r="Q1194" s="121">
        <f t="shared" si="488"/>
        <v>8.3333333333333329E-2</v>
      </c>
      <c r="R1194" s="121">
        <f t="shared" si="489"/>
        <v>0.91666666666666663</v>
      </c>
      <c r="S1194" s="121" t="str">
        <f t="shared" si="490"/>
        <v/>
      </c>
      <c r="T1194" s="121" t="str">
        <f t="shared" si="491"/>
        <v/>
      </c>
      <c r="U1194" s="121">
        <f t="shared" si="492"/>
        <v>1</v>
      </c>
    </row>
    <row r="1195" spans="1:21" x14ac:dyDescent="0.3">
      <c r="A1195" s="187">
        <v>37</v>
      </c>
      <c r="B1195" s="242">
        <f t="shared" si="493"/>
        <v>46753</v>
      </c>
      <c r="C1195" s="243">
        <f t="shared" si="474"/>
        <v>46783</v>
      </c>
      <c r="D1195" s="120">
        <f t="shared" si="475"/>
        <v>31</v>
      </c>
      <c r="E1195" s="120">
        <f t="shared" si="476"/>
        <v>1</v>
      </c>
      <c r="F1195" s="275">
        <f t="shared" si="477"/>
        <v>46768.5</v>
      </c>
      <c r="G1195" s="120">
        <f t="shared" si="478"/>
        <v>24336</v>
      </c>
      <c r="H1195" s="245">
        <f t="shared" si="479"/>
        <v>1</v>
      </c>
      <c r="I1195" s="121">
        <f t="shared" si="480"/>
        <v>1</v>
      </c>
      <c r="J1195" s="121">
        <f t="shared" si="481"/>
        <v>1</v>
      </c>
      <c r="K1195" s="120">
        <f t="shared" si="482"/>
        <v>0</v>
      </c>
      <c r="L1195" s="120">
        <f t="shared" si="483"/>
        <v>0</v>
      </c>
      <c r="M1195" s="246">
        <f t="shared" si="484"/>
        <v>0</v>
      </c>
      <c r="N1195" s="121">
        <f t="shared" si="485"/>
        <v>1</v>
      </c>
      <c r="O1195" s="246">
        <f t="shared" si="486"/>
        <v>0.92</v>
      </c>
      <c r="P1195" s="121">
        <f t="shared" si="487"/>
        <v>0</v>
      </c>
      <c r="Q1195" s="121">
        <f t="shared" si="488"/>
        <v>0</v>
      </c>
      <c r="R1195" s="121">
        <f t="shared" si="489"/>
        <v>1</v>
      </c>
      <c r="S1195" s="121" t="str">
        <f t="shared" si="490"/>
        <v/>
      </c>
      <c r="T1195" s="121" t="str">
        <f t="shared" si="491"/>
        <v/>
      </c>
      <c r="U1195" s="121">
        <f t="shared" si="492"/>
        <v>1</v>
      </c>
    </row>
    <row r="1196" spans="1:21" x14ac:dyDescent="0.3">
      <c r="A1196" s="187">
        <v>38</v>
      </c>
      <c r="B1196" s="242">
        <f t="shared" si="493"/>
        <v>46784</v>
      </c>
      <c r="C1196" s="243">
        <f t="shared" si="474"/>
        <v>46812</v>
      </c>
      <c r="D1196" s="120">
        <f t="shared" si="475"/>
        <v>29</v>
      </c>
      <c r="E1196" s="120">
        <f t="shared" si="476"/>
        <v>2</v>
      </c>
      <c r="F1196" s="275">
        <f t="shared" si="477"/>
        <v>46798.5</v>
      </c>
      <c r="G1196" s="120">
        <f t="shared" si="478"/>
        <v>24337</v>
      </c>
      <c r="H1196" s="245">
        <f t="shared" si="479"/>
        <v>1</v>
      </c>
      <c r="I1196" s="121">
        <f t="shared" si="480"/>
        <v>1</v>
      </c>
      <c r="J1196" s="121">
        <f t="shared" si="481"/>
        <v>1</v>
      </c>
      <c r="K1196" s="120">
        <f t="shared" si="482"/>
        <v>0</v>
      </c>
      <c r="L1196" s="120">
        <f t="shared" si="483"/>
        <v>0</v>
      </c>
      <c r="M1196" s="246">
        <f t="shared" si="484"/>
        <v>0</v>
      </c>
      <c r="N1196" s="121">
        <f t="shared" si="485"/>
        <v>1</v>
      </c>
      <c r="O1196" s="246">
        <f t="shared" si="486"/>
        <v>0.92</v>
      </c>
      <c r="P1196" s="121">
        <f t="shared" si="487"/>
        <v>0</v>
      </c>
      <c r="Q1196" s="121">
        <f t="shared" si="488"/>
        <v>0</v>
      </c>
      <c r="R1196" s="121">
        <f t="shared" si="489"/>
        <v>1</v>
      </c>
      <c r="S1196" s="121" t="str">
        <f t="shared" si="490"/>
        <v/>
      </c>
      <c r="T1196" s="121" t="str">
        <f t="shared" si="491"/>
        <v/>
      </c>
      <c r="U1196" s="121">
        <f t="shared" si="492"/>
        <v>1</v>
      </c>
    </row>
    <row r="1197" spans="1:21" x14ac:dyDescent="0.3">
      <c r="A1197" s="187">
        <v>39</v>
      </c>
      <c r="B1197" s="242">
        <f t="shared" si="493"/>
        <v>46813</v>
      </c>
      <c r="C1197" s="243">
        <f t="shared" si="474"/>
        <v>46843</v>
      </c>
      <c r="D1197" s="120">
        <f t="shared" si="475"/>
        <v>31</v>
      </c>
      <c r="E1197" s="120">
        <f t="shared" si="476"/>
        <v>3</v>
      </c>
      <c r="F1197" s="275">
        <f t="shared" si="477"/>
        <v>46828.5</v>
      </c>
      <c r="G1197" s="120">
        <f t="shared" si="478"/>
        <v>24338</v>
      </c>
      <c r="H1197" s="245">
        <f t="shared" si="479"/>
        <v>1</v>
      </c>
      <c r="I1197" s="121">
        <f t="shared" si="480"/>
        <v>1</v>
      </c>
      <c r="J1197" s="121">
        <f t="shared" si="481"/>
        <v>1</v>
      </c>
      <c r="K1197" s="120">
        <f t="shared" si="482"/>
        <v>0</v>
      </c>
      <c r="L1197" s="120">
        <f t="shared" si="483"/>
        <v>0</v>
      </c>
      <c r="M1197" s="246">
        <f t="shared" si="484"/>
        <v>0</v>
      </c>
      <c r="N1197" s="121">
        <f t="shared" si="485"/>
        <v>1</v>
      </c>
      <c r="O1197" s="246">
        <f t="shared" si="486"/>
        <v>0.92</v>
      </c>
      <c r="P1197" s="121">
        <f t="shared" si="487"/>
        <v>0</v>
      </c>
      <c r="Q1197" s="121">
        <f t="shared" si="488"/>
        <v>0</v>
      </c>
      <c r="R1197" s="121">
        <f t="shared" si="489"/>
        <v>1</v>
      </c>
      <c r="S1197" s="121" t="str">
        <f t="shared" si="490"/>
        <v/>
      </c>
      <c r="T1197" s="121" t="str">
        <f t="shared" si="491"/>
        <v/>
      </c>
      <c r="U1197" s="121">
        <f t="shared" si="492"/>
        <v>1</v>
      </c>
    </row>
    <row r="1198" spans="1:21" x14ac:dyDescent="0.3">
      <c r="A1198" s="187">
        <v>40</v>
      </c>
      <c r="B1198" s="242">
        <f t="shared" si="493"/>
        <v>46844</v>
      </c>
      <c r="C1198" s="243">
        <f t="shared" si="474"/>
        <v>46873</v>
      </c>
      <c r="D1198" s="120">
        <f t="shared" si="475"/>
        <v>30</v>
      </c>
      <c r="E1198" s="120">
        <f t="shared" si="476"/>
        <v>4</v>
      </c>
      <c r="F1198" s="275">
        <f t="shared" si="477"/>
        <v>46859</v>
      </c>
      <c r="G1198" s="120">
        <f t="shared" si="478"/>
        <v>24339</v>
      </c>
      <c r="H1198" s="245">
        <f t="shared" si="479"/>
        <v>1</v>
      </c>
      <c r="I1198" s="121">
        <f t="shared" si="480"/>
        <v>1</v>
      </c>
      <c r="J1198" s="121">
        <f t="shared" si="481"/>
        <v>1</v>
      </c>
      <c r="K1198" s="120">
        <f t="shared" si="482"/>
        <v>0</v>
      </c>
      <c r="L1198" s="120">
        <f t="shared" si="483"/>
        <v>0</v>
      </c>
      <c r="M1198" s="246">
        <f t="shared" si="484"/>
        <v>0</v>
      </c>
      <c r="N1198" s="121">
        <f t="shared" si="485"/>
        <v>1</v>
      </c>
      <c r="O1198" s="246">
        <f t="shared" si="486"/>
        <v>0.92</v>
      </c>
      <c r="P1198" s="121">
        <f t="shared" si="487"/>
        <v>0</v>
      </c>
      <c r="Q1198" s="121">
        <f t="shared" si="488"/>
        <v>0</v>
      </c>
      <c r="R1198" s="121">
        <f t="shared" si="489"/>
        <v>1</v>
      </c>
      <c r="S1198" s="121" t="str">
        <f t="shared" si="490"/>
        <v/>
      </c>
      <c r="T1198" s="121" t="str">
        <f t="shared" si="491"/>
        <v/>
      </c>
      <c r="U1198" s="121">
        <f t="shared" si="492"/>
        <v>1</v>
      </c>
    </row>
    <row r="1199" spans="1:21" x14ac:dyDescent="0.3">
      <c r="A1199" s="187">
        <v>41</v>
      </c>
      <c r="B1199" s="242">
        <f t="shared" si="493"/>
        <v>46874</v>
      </c>
      <c r="C1199" s="243">
        <f t="shared" si="474"/>
        <v>46904</v>
      </c>
      <c r="D1199" s="120">
        <f t="shared" si="475"/>
        <v>31</v>
      </c>
      <c r="E1199" s="120">
        <f t="shared" si="476"/>
        <v>5</v>
      </c>
      <c r="F1199" s="275">
        <f t="shared" si="477"/>
        <v>46889.5</v>
      </c>
      <c r="G1199" s="120">
        <f t="shared" si="478"/>
        <v>24340</v>
      </c>
      <c r="H1199" s="245">
        <f t="shared" si="479"/>
        <v>1</v>
      </c>
      <c r="I1199" s="121">
        <f t="shared" si="480"/>
        <v>1</v>
      </c>
      <c r="J1199" s="121">
        <f t="shared" si="481"/>
        <v>1</v>
      </c>
      <c r="K1199" s="120">
        <f t="shared" si="482"/>
        <v>0</v>
      </c>
      <c r="L1199" s="120">
        <f t="shared" si="483"/>
        <v>0</v>
      </c>
      <c r="M1199" s="246">
        <f t="shared" si="484"/>
        <v>0</v>
      </c>
      <c r="N1199" s="121">
        <f t="shared" si="485"/>
        <v>1</v>
      </c>
      <c r="O1199" s="246">
        <f t="shared" si="486"/>
        <v>0.92</v>
      </c>
      <c r="P1199" s="121">
        <f t="shared" si="487"/>
        <v>0</v>
      </c>
      <c r="Q1199" s="121">
        <f t="shared" si="488"/>
        <v>0</v>
      </c>
      <c r="R1199" s="121">
        <f t="shared" si="489"/>
        <v>1</v>
      </c>
      <c r="S1199" s="121" t="str">
        <f t="shared" si="490"/>
        <v/>
      </c>
      <c r="T1199" s="121" t="str">
        <f t="shared" si="491"/>
        <v/>
      </c>
      <c r="U1199" s="121">
        <f t="shared" si="492"/>
        <v>1</v>
      </c>
    </row>
    <row r="1200" spans="1:21" x14ac:dyDescent="0.3">
      <c r="A1200" s="187">
        <v>42</v>
      </c>
      <c r="B1200" s="242">
        <f t="shared" si="493"/>
        <v>46905</v>
      </c>
      <c r="C1200" s="243">
        <f t="shared" si="474"/>
        <v>46934</v>
      </c>
      <c r="D1200" s="120">
        <f t="shared" si="475"/>
        <v>30</v>
      </c>
      <c r="E1200" s="120">
        <f t="shared" si="476"/>
        <v>6</v>
      </c>
      <c r="F1200" s="275">
        <f t="shared" si="477"/>
        <v>46920</v>
      </c>
      <c r="G1200" s="120">
        <f t="shared" si="478"/>
        <v>24341</v>
      </c>
      <c r="H1200" s="245">
        <f t="shared" si="479"/>
        <v>1</v>
      </c>
      <c r="I1200" s="121">
        <f t="shared" si="480"/>
        <v>1</v>
      </c>
      <c r="J1200" s="121">
        <f t="shared" si="481"/>
        <v>1</v>
      </c>
      <c r="K1200" s="120">
        <f t="shared" si="482"/>
        <v>0</v>
      </c>
      <c r="L1200" s="120">
        <f t="shared" si="483"/>
        <v>0</v>
      </c>
      <c r="M1200" s="246">
        <f t="shared" si="484"/>
        <v>0</v>
      </c>
      <c r="N1200" s="121">
        <f t="shared" si="485"/>
        <v>1</v>
      </c>
      <c r="O1200" s="246">
        <f t="shared" si="486"/>
        <v>0.92</v>
      </c>
      <c r="P1200" s="121">
        <f t="shared" si="487"/>
        <v>0</v>
      </c>
      <c r="Q1200" s="121">
        <f t="shared" si="488"/>
        <v>0</v>
      </c>
      <c r="R1200" s="121">
        <f t="shared" si="489"/>
        <v>1</v>
      </c>
      <c r="S1200" s="121" t="str">
        <f t="shared" si="490"/>
        <v/>
      </c>
      <c r="T1200" s="121" t="str">
        <f t="shared" si="491"/>
        <v/>
      </c>
      <c r="U1200" s="121">
        <f t="shared" si="492"/>
        <v>1</v>
      </c>
    </row>
    <row r="1201" spans="1:21" x14ac:dyDescent="0.3">
      <c r="A1201" s="187">
        <v>43</v>
      </c>
      <c r="B1201" s="242">
        <f t="shared" si="493"/>
        <v>46935</v>
      </c>
      <c r="C1201" s="243">
        <f t="shared" si="474"/>
        <v>46965</v>
      </c>
      <c r="D1201" s="120">
        <f t="shared" si="475"/>
        <v>31</v>
      </c>
      <c r="E1201" s="120">
        <f t="shared" si="476"/>
        <v>7</v>
      </c>
      <c r="F1201" s="275">
        <f t="shared" si="477"/>
        <v>46950.5</v>
      </c>
      <c r="G1201" s="120">
        <f t="shared" si="478"/>
        <v>24342</v>
      </c>
      <c r="H1201" s="245">
        <f t="shared" si="479"/>
        <v>1</v>
      </c>
      <c r="I1201" s="121">
        <f t="shared" si="480"/>
        <v>1</v>
      </c>
      <c r="J1201" s="121">
        <f t="shared" si="481"/>
        <v>1</v>
      </c>
      <c r="K1201" s="120">
        <f t="shared" si="482"/>
        <v>0</v>
      </c>
      <c r="L1201" s="120">
        <f t="shared" si="483"/>
        <v>0</v>
      </c>
      <c r="M1201" s="246">
        <f t="shared" si="484"/>
        <v>0</v>
      </c>
      <c r="N1201" s="121">
        <f t="shared" si="485"/>
        <v>1</v>
      </c>
      <c r="O1201" s="246">
        <f t="shared" si="486"/>
        <v>0.92</v>
      </c>
      <c r="P1201" s="121">
        <f t="shared" si="487"/>
        <v>0</v>
      </c>
      <c r="Q1201" s="121">
        <f t="shared" si="488"/>
        <v>0</v>
      </c>
      <c r="R1201" s="121">
        <f t="shared" si="489"/>
        <v>0.91666666666666663</v>
      </c>
      <c r="S1201" s="121" t="str">
        <f t="shared" si="490"/>
        <v/>
      </c>
      <c r="T1201" s="121" t="str">
        <f t="shared" si="491"/>
        <v/>
      </c>
      <c r="U1201" s="121">
        <f t="shared" si="492"/>
        <v>1</v>
      </c>
    </row>
    <row r="1202" spans="1:21" x14ac:dyDescent="0.3">
      <c r="A1202" s="187">
        <v>44</v>
      </c>
      <c r="B1202" s="242">
        <f t="shared" si="493"/>
        <v>46966</v>
      </c>
      <c r="C1202" s="243">
        <f t="shared" si="474"/>
        <v>46996</v>
      </c>
      <c r="D1202" s="120">
        <f t="shared" si="475"/>
        <v>31</v>
      </c>
      <c r="E1202" s="120">
        <f t="shared" si="476"/>
        <v>8</v>
      </c>
      <c r="F1202" s="275">
        <f t="shared" si="477"/>
        <v>46981.5</v>
      </c>
      <c r="G1202" s="120">
        <f t="shared" si="478"/>
        <v>24343</v>
      </c>
      <c r="H1202" s="245">
        <f t="shared" si="479"/>
        <v>1</v>
      </c>
      <c r="I1202" s="121">
        <f t="shared" si="480"/>
        <v>1</v>
      </c>
      <c r="J1202" s="121">
        <f t="shared" si="481"/>
        <v>1</v>
      </c>
      <c r="K1202" s="120">
        <f t="shared" si="482"/>
        <v>0</v>
      </c>
      <c r="L1202" s="120">
        <f t="shared" si="483"/>
        <v>0</v>
      </c>
      <c r="M1202" s="246">
        <f t="shared" si="484"/>
        <v>0</v>
      </c>
      <c r="N1202" s="121">
        <f t="shared" si="485"/>
        <v>1</v>
      </c>
      <c r="O1202" s="246">
        <f t="shared" si="486"/>
        <v>0.92</v>
      </c>
      <c r="P1202" s="121">
        <f t="shared" si="487"/>
        <v>0</v>
      </c>
      <c r="Q1202" s="121">
        <f t="shared" si="488"/>
        <v>0</v>
      </c>
      <c r="R1202" s="121">
        <f t="shared" si="489"/>
        <v>0.75</v>
      </c>
      <c r="S1202" s="121" t="str">
        <f t="shared" si="490"/>
        <v/>
      </c>
      <c r="T1202" s="121" t="str">
        <f t="shared" si="491"/>
        <v/>
      </c>
      <c r="U1202" s="121">
        <f t="shared" si="492"/>
        <v>1</v>
      </c>
    </row>
    <row r="1203" spans="1:21" x14ac:dyDescent="0.3">
      <c r="A1203" s="187">
        <v>45</v>
      </c>
      <c r="B1203" s="242">
        <f t="shared" si="493"/>
        <v>46997</v>
      </c>
      <c r="C1203" s="243">
        <f t="shared" si="474"/>
        <v>47026</v>
      </c>
      <c r="D1203" s="120">
        <f t="shared" si="475"/>
        <v>30</v>
      </c>
      <c r="E1203" s="120">
        <f t="shared" si="476"/>
        <v>9</v>
      </c>
      <c r="F1203" s="275">
        <f t="shared" si="477"/>
        <v>47012</v>
      </c>
      <c r="G1203" s="120">
        <f t="shared" si="478"/>
        <v>24344</v>
      </c>
      <c r="H1203" s="245">
        <f t="shared" si="479"/>
        <v>1</v>
      </c>
      <c r="I1203" s="121">
        <f t="shared" si="480"/>
        <v>1</v>
      </c>
      <c r="J1203" s="121">
        <f t="shared" si="481"/>
        <v>1</v>
      </c>
      <c r="K1203" s="120">
        <f t="shared" si="482"/>
        <v>0</v>
      </c>
      <c r="L1203" s="120">
        <f t="shared" si="483"/>
        <v>0</v>
      </c>
      <c r="M1203" s="246">
        <f t="shared" si="484"/>
        <v>0</v>
      </c>
      <c r="N1203" s="121">
        <f t="shared" si="485"/>
        <v>1</v>
      </c>
      <c r="O1203" s="246">
        <f t="shared" si="486"/>
        <v>0.92</v>
      </c>
      <c r="P1203" s="121">
        <f t="shared" si="487"/>
        <v>0</v>
      </c>
      <c r="Q1203" s="121">
        <f t="shared" si="488"/>
        <v>0</v>
      </c>
      <c r="R1203" s="121">
        <f t="shared" si="489"/>
        <v>0.58333333333333337</v>
      </c>
      <c r="S1203" s="121" t="str">
        <f t="shared" si="490"/>
        <v/>
      </c>
      <c r="T1203" s="121" t="str">
        <f t="shared" si="491"/>
        <v/>
      </c>
      <c r="U1203" s="121">
        <f t="shared" si="492"/>
        <v>1</v>
      </c>
    </row>
    <row r="1204" spans="1:21" x14ac:dyDescent="0.3">
      <c r="A1204" s="187">
        <v>46</v>
      </c>
      <c r="B1204" s="242">
        <f t="shared" si="493"/>
        <v>47027</v>
      </c>
      <c r="C1204" s="243">
        <f t="shared" si="474"/>
        <v>47057</v>
      </c>
      <c r="D1204" s="120">
        <f t="shared" si="475"/>
        <v>31</v>
      </c>
      <c r="E1204" s="120">
        <f t="shared" si="476"/>
        <v>10</v>
      </c>
      <c r="F1204" s="275">
        <f t="shared" si="477"/>
        <v>47042.5</v>
      </c>
      <c r="G1204" s="120">
        <f t="shared" si="478"/>
        <v>24345</v>
      </c>
      <c r="H1204" s="245">
        <f t="shared" si="479"/>
        <v>1</v>
      </c>
      <c r="I1204" s="121">
        <f t="shared" si="480"/>
        <v>1</v>
      </c>
      <c r="J1204" s="121">
        <f t="shared" si="481"/>
        <v>1</v>
      </c>
      <c r="K1204" s="120">
        <f t="shared" si="482"/>
        <v>0</v>
      </c>
      <c r="L1204" s="120">
        <f t="shared" si="483"/>
        <v>0</v>
      </c>
      <c r="M1204" s="246">
        <f t="shared" si="484"/>
        <v>0</v>
      </c>
      <c r="N1204" s="121">
        <f t="shared" si="485"/>
        <v>1</v>
      </c>
      <c r="O1204" s="246">
        <f t="shared" si="486"/>
        <v>0.92</v>
      </c>
      <c r="P1204" s="121">
        <f t="shared" si="487"/>
        <v>0</v>
      </c>
      <c r="Q1204" s="121">
        <f t="shared" si="488"/>
        <v>0</v>
      </c>
      <c r="R1204" s="121">
        <f t="shared" si="489"/>
        <v>0.41666666666666669</v>
      </c>
      <c r="S1204" s="121" t="str">
        <f t="shared" si="490"/>
        <v/>
      </c>
      <c r="T1204" s="121" t="str">
        <f t="shared" si="491"/>
        <v/>
      </c>
      <c r="U1204" s="121">
        <f t="shared" si="492"/>
        <v>1</v>
      </c>
    </row>
    <row r="1205" spans="1:21" x14ac:dyDescent="0.3">
      <c r="A1205" s="187">
        <v>47</v>
      </c>
      <c r="B1205" s="242">
        <f t="shared" si="493"/>
        <v>47058</v>
      </c>
      <c r="C1205" s="243">
        <f t="shared" si="474"/>
        <v>47087</v>
      </c>
      <c r="D1205" s="120">
        <f t="shared" si="475"/>
        <v>30</v>
      </c>
      <c r="E1205" s="120">
        <f t="shared" si="476"/>
        <v>11</v>
      </c>
      <c r="F1205" s="275">
        <f t="shared" si="477"/>
        <v>47073</v>
      </c>
      <c r="G1205" s="120">
        <f t="shared" si="478"/>
        <v>24346</v>
      </c>
      <c r="H1205" s="245">
        <f t="shared" si="479"/>
        <v>1</v>
      </c>
      <c r="I1205" s="121">
        <f t="shared" si="480"/>
        <v>1</v>
      </c>
      <c r="J1205" s="121">
        <f t="shared" si="481"/>
        <v>1</v>
      </c>
      <c r="K1205" s="120">
        <f t="shared" si="482"/>
        <v>0</v>
      </c>
      <c r="L1205" s="120">
        <f t="shared" si="483"/>
        <v>0</v>
      </c>
      <c r="M1205" s="246">
        <f t="shared" si="484"/>
        <v>0</v>
      </c>
      <c r="N1205" s="121">
        <f t="shared" si="485"/>
        <v>1</v>
      </c>
      <c r="O1205" s="246">
        <f t="shared" si="486"/>
        <v>0.92</v>
      </c>
      <c r="P1205" s="121">
        <f t="shared" si="487"/>
        <v>0</v>
      </c>
      <c r="Q1205" s="121">
        <f t="shared" si="488"/>
        <v>0</v>
      </c>
      <c r="R1205" s="121">
        <f t="shared" si="489"/>
        <v>0.25</v>
      </c>
      <c r="S1205" s="121" t="str">
        <f t="shared" si="490"/>
        <v/>
      </c>
      <c r="T1205" s="121" t="str">
        <f t="shared" si="491"/>
        <v/>
      </c>
      <c r="U1205" s="121">
        <f t="shared" si="492"/>
        <v>1</v>
      </c>
    </row>
    <row r="1206" spans="1:21" x14ac:dyDescent="0.3">
      <c r="A1206" s="187">
        <v>48</v>
      </c>
      <c r="B1206" s="242">
        <f t="shared" si="493"/>
        <v>47088</v>
      </c>
      <c r="C1206" s="243">
        <f t="shared" si="474"/>
        <v>47118</v>
      </c>
      <c r="D1206" s="120">
        <f t="shared" si="475"/>
        <v>31</v>
      </c>
      <c r="E1206" s="120">
        <f t="shared" si="476"/>
        <v>12</v>
      </c>
      <c r="F1206" s="275">
        <f t="shared" si="477"/>
        <v>47103.5</v>
      </c>
      <c r="G1206" s="120">
        <f t="shared" si="478"/>
        <v>24347</v>
      </c>
      <c r="H1206" s="245">
        <f t="shared" si="479"/>
        <v>1</v>
      </c>
      <c r="I1206" s="121">
        <f t="shared" si="480"/>
        <v>1</v>
      </c>
      <c r="J1206" s="121">
        <f t="shared" si="481"/>
        <v>1</v>
      </c>
      <c r="K1206" s="120">
        <f t="shared" si="482"/>
        <v>0</v>
      </c>
      <c r="L1206" s="120">
        <f t="shared" si="483"/>
        <v>0</v>
      </c>
      <c r="M1206" s="246">
        <f t="shared" si="484"/>
        <v>0</v>
      </c>
      <c r="N1206" s="121">
        <f t="shared" si="485"/>
        <v>1</v>
      </c>
      <c r="O1206" s="246">
        <f t="shared" si="486"/>
        <v>0.92</v>
      </c>
      <c r="P1206" s="121">
        <f t="shared" si="487"/>
        <v>0</v>
      </c>
      <c r="Q1206" s="121">
        <f t="shared" si="488"/>
        <v>0</v>
      </c>
      <c r="R1206" s="121">
        <f t="shared" si="489"/>
        <v>8.3333333333333329E-2</v>
      </c>
      <c r="S1206" s="121" t="str">
        <f t="shared" si="490"/>
        <v/>
      </c>
      <c r="T1206" s="121" t="str">
        <f t="shared" si="491"/>
        <v/>
      </c>
      <c r="U1206" s="121">
        <f t="shared" si="492"/>
        <v>1</v>
      </c>
    </row>
    <row r="1207" spans="1:21" x14ac:dyDescent="0.3">
      <c r="A1207" s="6" t="s">
        <v>1651</v>
      </c>
      <c r="B1207" s="73">
        <f>EXP(SUMPRODUCT((rl_key=$A$1156)*(rl_cons="Y")*rl_ln1p))</f>
        <v>1</v>
      </c>
      <c r="C1207" s="73">
        <f>SUMPRODUCT($H$1159:$H$1206,$P$1159:$P$1206,$U$1159:$U$1206)/SUMPRODUCT($H$1159:$H$1206,$P$1159:$P$1206)</f>
        <v>1</v>
      </c>
      <c r="D1207" s="73">
        <f>SUMPRODUCT($H$1159:$H$1206,$Q$1159:$Q$1206,$U$1159:$U$1206)/SUMPRODUCT($H$1159:$H$1206,$Q$1159:$Q$1206)</f>
        <v>1</v>
      </c>
      <c r="E1207" s="73">
        <f>SUMPRODUCT($H$1159:$H$1206,$R$1159:$R$1206,$U$1159:$U$1206)/SUMPRODUCT($H$1159:$H$1206,$R$1159:$R$1206)</f>
        <v>1</v>
      </c>
      <c r="F1207" s="224">
        <f>SUMPRODUCT($H$1159:$H$1206,$Q$1159:$Q$1206,$O$1159:$O$1206)/SUMPRODUCT($H$1159:$H$1206,$Q$1159:$Q$1206)</f>
        <v>0.91399252370532447</v>
      </c>
      <c r="G1207" s="224">
        <f>SUMPRODUCT($H$1159:$H$1206,$R$1159:$R$1206,$O$1159:$O$1206)/SUMPRODUCT($H$1159:$H$1206,$R$1159:$R$1206)</f>
        <v>0.91966022368101141</v>
      </c>
      <c r="H1207" s="73">
        <f>SUMPRODUCT($H$1183:$H$1194,$N$1183:$N$1194/$N$1171:$N$1182)/SUM($H$1183:$H$1194)</f>
        <v>1</v>
      </c>
      <c r="I1207" s="73">
        <f>SUMPRODUCT($H$1183:$H$1194,$O$1183:$O$1194/$O$1171:$O$1182)/SUM($H$1183:$H$1194)</f>
        <v>1.0087961468131064</v>
      </c>
      <c r="J1207" s="73">
        <f>IF($O$1156=1,SUMPRODUCT($H$1183:$H$1194,$N$1183:$N$1194/$N$1171:$N$1182*$O$1183:$O$1194/$O$1171:$O$1182)/SUM($H$1183:$H$1194),$H1207)</f>
        <v>1.0087961468131064</v>
      </c>
      <c r="K1207" s="73">
        <f>SUMPRODUCT($H$1159:$H$1206,$Q$1159:$Q$1206,$N$1159:$N$1206)/SUMPRODUCT($H$1159:$H$1206,$Q$1159:$Q$1206)</f>
        <v>1</v>
      </c>
      <c r="L1207" s="73">
        <f>SUMPRODUCT($H$1159:$H$1206,$R$1159:$R$1206,$N$1159:$N$1206)/SUMPRODUCT($H$1159:$H$1206,$R$1159:$R$1206)</f>
        <v>1</v>
      </c>
    </row>
    <row r="1210" spans="1:21" x14ac:dyDescent="0.3">
      <c r="A1210" s="6" t="str">
        <f>INDEX(lr_key,22)</f>
        <v>MM|AZ</v>
      </c>
      <c r="B1210" s="6" t="str">
        <f>INDEX(lr_state,22)</f>
        <v>AZ</v>
      </c>
      <c r="C1210" s="75">
        <f>nr_TermMonths</f>
        <v>6</v>
      </c>
      <c r="D1210" s="75">
        <f>IF(COUNTIF(se_state,$B1210)=0,0,MATCH($B1210,se_state,0))</f>
        <v>0</v>
      </c>
      <c r="E1210" s="70">
        <f>IF($D1210=0,0,INDEX(se_sum,$D1210))</f>
        <v>0</v>
      </c>
      <c r="F1210" s="224">
        <f>IF(N(INDEX(lr_mind,22))=0,1,INDEX(lr_mind,22))</f>
        <v>0.92</v>
      </c>
      <c r="G1210" s="224">
        <f>IF(N(INDEX(lr_m0,22))=0,1,INDEX(lr_m0,22))</f>
        <v>0.91</v>
      </c>
      <c r="H1210" s="74">
        <f>IF(N(INDEX(lr_m0asof,22))=0,DATE(nr_PlanYear-1,10,1),INDEX(lr_m0asof,22))</f>
        <v>46295</v>
      </c>
      <c r="I1210" s="224">
        <f>IF(N(INDEX(lr_m1,22))=0,1,INDEX(lr_m1,22))</f>
        <v>0.9</v>
      </c>
      <c r="J1210" s="224">
        <f>INDEX(lr_mprior,22)</f>
        <v>0</v>
      </c>
      <c r="K1210" s="224">
        <f>INDEX(lr_m2,22)</f>
        <v>0</v>
      </c>
      <c r="L1210" s="6" t="b">
        <f>NOT(ISBLANK(INDEX(lr_netp,22)))</f>
        <v>0</v>
      </c>
      <c r="M1210" s="72">
        <f>N(INDEX(lr_netp,22))</f>
        <v>0</v>
      </c>
      <c r="N1210" s="72">
        <f>IF(ISBLANK(INDEX(lr_netp1,22)),$M$1210,N(INDEX(lr_netp1,22)))</f>
        <v>0</v>
      </c>
      <c r="O1210" s="75">
        <f>IF(AND(nr_ModAdjMaster="ON",INDEX(lr_modadj,22)="ON"),1,0)</f>
        <v>1</v>
      </c>
    </row>
    <row r="1211" spans="1:21" x14ac:dyDescent="0.3">
      <c r="A1211" s="6">
        <f>EDATE($H$1210,-12)+1</f>
        <v>45931</v>
      </c>
      <c r="B1211" s="6">
        <f>$H$1210+1</f>
        <v>46296</v>
      </c>
      <c r="C1211" s="6">
        <f>DATE(nr_PlanYear,12,31)+1</f>
        <v>46753</v>
      </c>
      <c r="D1211" s="6">
        <f>DATE(nr_PlanYear+1,12,31)+1</f>
        <v>47119</v>
      </c>
      <c r="E1211" s="6">
        <f>IF(N($J$1210)=0,$F$1211-($G$1211-$F$1211)/($C$1211-$B$1211)*($B$1211-$A$1211),$J$1210)</f>
        <v>0.91798687089715536</v>
      </c>
      <c r="F1211" s="6">
        <f>$G$1210</f>
        <v>0.91</v>
      </c>
      <c r="G1211" s="6">
        <f>$I$1210</f>
        <v>0.9</v>
      </c>
      <c r="H1211" s="6">
        <f>IF(N($K$1210)=0,$I$1210,$K$1210)</f>
        <v>0.9</v>
      </c>
      <c r="I1211" s="6">
        <f>($F$1211-$E$1211)/($B$1211-$A$1211)</f>
        <v>-2.1881838074398162E-5</v>
      </c>
      <c r="J1211" s="6">
        <f>($G$1211-$F$1211)/($C$1211-$B$1211)</f>
        <v>-2.188183807439827E-5</v>
      </c>
      <c r="K1211" s="6">
        <f>($H$1211-$G$1211)/($D$1211-$C$1211)</f>
        <v>0</v>
      </c>
    </row>
    <row r="1212" spans="1:21" ht="36" x14ac:dyDescent="0.3">
      <c r="A1212" s="58" t="s">
        <v>390</v>
      </c>
      <c r="B1212" s="58" t="s">
        <v>449</v>
      </c>
      <c r="C1212" s="58" t="s">
        <v>685</v>
      </c>
      <c r="D1212" s="58" t="s">
        <v>686</v>
      </c>
      <c r="E1212" s="58" t="s">
        <v>687</v>
      </c>
      <c r="F1212" s="58" t="s">
        <v>688</v>
      </c>
      <c r="G1212" s="58" t="s">
        <v>689</v>
      </c>
      <c r="H1212" s="58" t="s">
        <v>452</v>
      </c>
      <c r="I1212" s="58" t="s">
        <v>690</v>
      </c>
      <c r="J1212" s="58" t="s">
        <v>691</v>
      </c>
      <c r="K1212" s="58" t="s">
        <v>692</v>
      </c>
      <c r="L1212" s="58" t="s">
        <v>693</v>
      </c>
      <c r="M1212" s="58" t="s">
        <v>694</v>
      </c>
      <c r="N1212" s="58" t="s">
        <v>695</v>
      </c>
      <c r="O1212" s="58" t="s">
        <v>696</v>
      </c>
      <c r="P1212" s="58" t="s">
        <v>697</v>
      </c>
      <c r="Q1212" s="58" t="s">
        <v>698</v>
      </c>
      <c r="R1212" s="58" t="s">
        <v>699</v>
      </c>
      <c r="S1212" s="58" t="s">
        <v>700</v>
      </c>
      <c r="T1212" s="58" t="s">
        <v>701</v>
      </c>
      <c r="U1212" s="58" t="s">
        <v>702</v>
      </c>
    </row>
    <row r="1213" spans="1:21" x14ac:dyDescent="0.3">
      <c r="A1213" s="187">
        <v>1</v>
      </c>
      <c r="B1213" s="242">
        <f>DATE(nr_PlanYear-2,1,1)</f>
        <v>45658</v>
      </c>
      <c r="C1213" s="243">
        <f t="shared" ref="C1213:C1260" si="494">EOMONTH($B1213,0)</f>
        <v>45688</v>
      </c>
      <c r="D1213" s="120">
        <f t="shared" ref="D1213:D1260" si="495">$C1213-$B1213+1</f>
        <v>31</v>
      </c>
      <c r="E1213" s="120">
        <f t="shared" ref="E1213:E1260" si="496">MONTH($B1213)</f>
        <v>1</v>
      </c>
      <c r="F1213" s="275">
        <f t="shared" ref="F1213:F1260" si="497">($B1213+$C1213+1)/2</f>
        <v>45673.5</v>
      </c>
      <c r="G1213" s="120">
        <f t="shared" ref="G1213:G1260" si="498">YEAR($B1213)*12+MONTH($B1213)-1</f>
        <v>24300</v>
      </c>
      <c r="H1213" s="245">
        <f t="shared" ref="H1213:H1260" si="499">IF(OR(nr_SeasonOn="OFF",$D$1210=0,$E$1210=0),1,12*INDEX(se_block,$D$1210,$E1213)/$E$1210)</f>
        <v>1</v>
      </c>
      <c r="I1213" s="121">
        <f t="shared" ref="I1213:I1260" si="500">EXP(SUMPRODUCT((rl_eff&lt;$B1213)*(rl_key=$A$1210)*rl_ln1p))</f>
        <v>1</v>
      </c>
      <c r="J1213" s="121">
        <f t="shared" ref="J1213:J1260" si="501">EXP(SUMPRODUCT((rl_eff&lt;=$C1213)*(rl_key=$A$1210)*rl_ln1p))</f>
        <v>1</v>
      </c>
      <c r="K1213" s="120">
        <f t="shared" ref="K1213:K1260" si="502">COUNTIFS(rl_key,$A$1210,rl_eff,"&gt;="&amp;$B1213,rl_eff,"&lt;="&amp;$C1213)</f>
        <v>0</v>
      </c>
      <c r="L1213" s="120">
        <f t="shared" ref="L1213:L1260" si="503">SUMIFS(rl_daysafter,rl_key,$A$1210,rl_effmonth,$B1213,rl_first,1)</f>
        <v>0</v>
      </c>
      <c r="M1213" s="246">
        <f t="shared" ref="M1213:M1260" si="504">IF($K1213=0,0,MIN(1,$L1213/$D1213))</f>
        <v>0</v>
      </c>
      <c r="N1213" s="121">
        <f t="shared" ref="N1213:N1260" si="505">IF($K1213=0,$J1213,(1-$M1213)*$I1213+$M1213*$J1213)</f>
        <v>1</v>
      </c>
      <c r="O1213" s="246">
        <f t="shared" ref="O1213:O1260" si="506">IF($F1213&lt;$B$1211,$E$1211+$I$1211*($F1213-$A$1211),IF($F1213&lt;$C$1211,$F$1211+$J$1211*($F1213-$B$1211),$G$1211+$K$1211*($F1213-$C$1211)))</f>
        <v>0.92362144420131287</v>
      </c>
      <c r="P1213" s="121">
        <f t="shared" ref="P1213:P1260" si="507">MIN(1,MAX(0,(nr_MEndPm1-$G1213+0.5)/$C$1210))-MIN(1,MAX(0,(nr_MStartPm1-1-$G1213+0.5)/$C$1210))</f>
        <v>0</v>
      </c>
      <c r="Q1213" s="121">
        <f t="shared" ref="Q1213:Q1260" si="508">MIN(1,MAX(0,(nr_MEndP-$G1213+0.5)/$C$1210))-MIN(1,MAX(0,(nr_MStartP-1-$G1213+0.5)/$C$1210))</f>
        <v>0</v>
      </c>
      <c r="R1213" s="121">
        <f t="shared" ref="R1213:R1260" si="509">MIN(1,MAX(0,(nr_MEndP1-$G1213+0.5)/$C$1210))-MIN(1,MAX(0,(nr_MStartP1-1-$G1213+0.5)/$C$1210))</f>
        <v>0</v>
      </c>
      <c r="S1213" s="121" t="str">
        <f t="shared" ref="S1213:S1260" si="510">IF($L$1210,$N1213*IF($O$1210=1,$O1213/$F$1210,1),"")</f>
        <v/>
      </c>
      <c r="T1213" s="121" t="str">
        <f t="shared" ref="T1213:T1260" si="511">IF(NOT($L$1210),"",IF($G1213&lt;nr_MStartP,$S1213,$T1201*(1+IF($G1213&lt;nr_MStartP1,$M$1210,$N$1210))))</f>
        <v/>
      </c>
      <c r="U1213" s="121">
        <f t="shared" ref="U1213:U1260" si="512">IF($L$1210,$T1213,$N1213)</f>
        <v>1</v>
      </c>
    </row>
    <row r="1214" spans="1:21" x14ac:dyDescent="0.3">
      <c r="A1214" s="187">
        <v>2</v>
      </c>
      <c r="B1214" s="242">
        <f t="shared" ref="B1214:B1260" si="513">EDATE($B1213,1)</f>
        <v>45689</v>
      </c>
      <c r="C1214" s="243">
        <f t="shared" si="494"/>
        <v>45716</v>
      </c>
      <c r="D1214" s="120">
        <f t="shared" si="495"/>
        <v>28</v>
      </c>
      <c r="E1214" s="120">
        <f t="shared" si="496"/>
        <v>2</v>
      </c>
      <c r="F1214" s="275">
        <f t="shared" si="497"/>
        <v>45703</v>
      </c>
      <c r="G1214" s="120">
        <f t="shared" si="498"/>
        <v>24301</v>
      </c>
      <c r="H1214" s="245">
        <f t="shared" si="499"/>
        <v>1</v>
      </c>
      <c r="I1214" s="121">
        <f t="shared" si="500"/>
        <v>1</v>
      </c>
      <c r="J1214" s="121">
        <f t="shared" si="501"/>
        <v>1</v>
      </c>
      <c r="K1214" s="120">
        <f t="shared" si="502"/>
        <v>0</v>
      </c>
      <c r="L1214" s="120">
        <f t="shared" si="503"/>
        <v>0</v>
      </c>
      <c r="M1214" s="246">
        <f t="shared" si="504"/>
        <v>0</v>
      </c>
      <c r="N1214" s="121">
        <f t="shared" si="505"/>
        <v>1</v>
      </c>
      <c r="O1214" s="246">
        <f t="shared" si="506"/>
        <v>0.92297592997811817</v>
      </c>
      <c r="P1214" s="121">
        <f t="shared" si="507"/>
        <v>0</v>
      </c>
      <c r="Q1214" s="121">
        <f t="shared" si="508"/>
        <v>0</v>
      </c>
      <c r="R1214" s="121">
        <f t="shared" si="509"/>
        <v>0</v>
      </c>
      <c r="S1214" s="121" t="str">
        <f t="shared" si="510"/>
        <v/>
      </c>
      <c r="T1214" s="121" t="str">
        <f t="shared" si="511"/>
        <v/>
      </c>
      <c r="U1214" s="121">
        <f t="shared" si="512"/>
        <v>1</v>
      </c>
    </row>
    <row r="1215" spans="1:21" x14ac:dyDescent="0.3">
      <c r="A1215" s="187">
        <v>3</v>
      </c>
      <c r="B1215" s="242">
        <f t="shared" si="513"/>
        <v>45717</v>
      </c>
      <c r="C1215" s="243">
        <f t="shared" si="494"/>
        <v>45747</v>
      </c>
      <c r="D1215" s="120">
        <f t="shared" si="495"/>
        <v>31</v>
      </c>
      <c r="E1215" s="120">
        <f t="shared" si="496"/>
        <v>3</v>
      </c>
      <c r="F1215" s="275">
        <f t="shared" si="497"/>
        <v>45732.5</v>
      </c>
      <c r="G1215" s="120">
        <f t="shared" si="498"/>
        <v>24302</v>
      </c>
      <c r="H1215" s="245">
        <f t="shared" si="499"/>
        <v>1</v>
      </c>
      <c r="I1215" s="121">
        <f t="shared" si="500"/>
        <v>1</v>
      </c>
      <c r="J1215" s="121">
        <f t="shared" si="501"/>
        <v>1</v>
      </c>
      <c r="K1215" s="120">
        <f t="shared" si="502"/>
        <v>0</v>
      </c>
      <c r="L1215" s="120">
        <f t="shared" si="503"/>
        <v>0</v>
      </c>
      <c r="M1215" s="246">
        <f t="shared" si="504"/>
        <v>0</v>
      </c>
      <c r="N1215" s="121">
        <f t="shared" si="505"/>
        <v>1</v>
      </c>
      <c r="O1215" s="246">
        <f t="shared" si="506"/>
        <v>0.92233041575492336</v>
      </c>
      <c r="P1215" s="121">
        <f t="shared" si="507"/>
        <v>0</v>
      </c>
      <c r="Q1215" s="121">
        <f t="shared" si="508"/>
        <v>0</v>
      </c>
      <c r="R1215" s="121">
        <f t="shared" si="509"/>
        <v>0</v>
      </c>
      <c r="S1215" s="121" t="str">
        <f t="shared" si="510"/>
        <v/>
      </c>
      <c r="T1215" s="121" t="str">
        <f t="shared" si="511"/>
        <v/>
      </c>
      <c r="U1215" s="121">
        <f t="shared" si="512"/>
        <v>1</v>
      </c>
    </row>
    <row r="1216" spans="1:21" x14ac:dyDescent="0.3">
      <c r="A1216" s="187">
        <v>4</v>
      </c>
      <c r="B1216" s="242">
        <f t="shared" si="513"/>
        <v>45748</v>
      </c>
      <c r="C1216" s="243">
        <f t="shared" si="494"/>
        <v>45777</v>
      </c>
      <c r="D1216" s="120">
        <f t="shared" si="495"/>
        <v>30</v>
      </c>
      <c r="E1216" s="120">
        <f t="shared" si="496"/>
        <v>4</v>
      </c>
      <c r="F1216" s="275">
        <f t="shared" si="497"/>
        <v>45763</v>
      </c>
      <c r="G1216" s="120">
        <f t="shared" si="498"/>
        <v>24303</v>
      </c>
      <c r="H1216" s="245">
        <f t="shared" si="499"/>
        <v>1</v>
      </c>
      <c r="I1216" s="121">
        <f t="shared" si="500"/>
        <v>1</v>
      </c>
      <c r="J1216" s="121">
        <f t="shared" si="501"/>
        <v>1</v>
      </c>
      <c r="K1216" s="120">
        <f t="shared" si="502"/>
        <v>0</v>
      </c>
      <c r="L1216" s="120">
        <f t="shared" si="503"/>
        <v>0</v>
      </c>
      <c r="M1216" s="246">
        <f t="shared" si="504"/>
        <v>0</v>
      </c>
      <c r="N1216" s="121">
        <f t="shared" si="505"/>
        <v>1</v>
      </c>
      <c r="O1216" s="246">
        <f t="shared" si="506"/>
        <v>0.92166301969365427</v>
      </c>
      <c r="P1216" s="121">
        <f t="shared" si="507"/>
        <v>0</v>
      </c>
      <c r="Q1216" s="121">
        <f t="shared" si="508"/>
        <v>0</v>
      </c>
      <c r="R1216" s="121">
        <f t="shared" si="509"/>
        <v>0</v>
      </c>
      <c r="S1216" s="121" t="str">
        <f t="shared" si="510"/>
        <v/>
      </c>
      <c r="T1216" s="121" t="str">
        <f t="shared" si="511"/>
        <v/>
      </c>
      <c r="U1216" s="121">
        <f t="shared" si="512"/>
        <v>1</v>
      </c>
    </row>
    <row r="1217" spans="1:21" x14ac:dyDescent="0.3">
      <c r="A1217" s="187">
        <v>5</v>
      </c>
      <c r="B1217" s="242">
        <f t="shared" si="513"/>
        <v>45778</v>
      </c>
      <c r="C1217" s="243">
        <f t="shared" si="494"/>
        <v>45808</v>
      </c>
      <c r="D1217" s="120">
        <f t="shared" si="495"/>
        <v>31</v>
      </c>
      <c r="E1217" s="120">
        <f t="shared" si="496"/>
        <v>5</v>
      </c>
      <c r="F1217" s="275">
        <f t="shared" si="497"/>
        <v>45793.5</v>
      </c>
      <c r="G1217" s="120">
        <f t="shared" si="498"/>
        <v>24304</v>
      </c>
      <c r="H1217" s="245">
        <f t="shared" si="499"/>
        <v>1</v>
      </c>
      <c r="I1217" s="121">
        <f t="shared" si="500"/>
        <v>1</v>
      </c>
      <c r="J1217" s="121">
        <f t="shared" si="501"/>
        <v>1</v>
      </c>
      <c r="K1217" s="120">
        <f t="shared" si="502"/>
        <v>0</v>
      </c>
      <c r="L1217" s="120">
        <f t="shared" si="503"/>
        <v>0</v>
      </c>
      <c r="M1217" s="246">
        <f t="shared" si="504"/>
        <v>0</v>
      </c>
      <c r="N1217" s="121">
        <f t="shared" si="505"/>
        <v>1</v>
      </c>
      <c r="O1217" s="246">
        <f t="shared" si="506"/>
        <v>0.92099562363238507</v>
      </c>
      <c r="P1217" s="121">
        <f t="shared" si="507"/>
        <v>0</v>
      </c>
      <c r="Q1217" s="121">
        <f t="shared" si="508"/>
        <v>0</v>
      </c>
      <c r="R1217" s="121">
        <f t="shared" si="509"/>
        <v>0</v>
      </c>
      <c r="S1217" s="121" t="str">
        <f t="shared" si="510"/>
        <v/>
      </c>
      <c r="T1217" s="121" t="str">
        <f t="shared" si="511"/>
        <v/>
      </c>
      <c r="U1217" s="121">
        <f t="shared" si="512"/>
        <v>1</v>
      </c>
    </row>
    <row r="1218" spans="1:21" x14ac:dyDescent="0.3">
      <c r="A1218" s="187">
        <v>6</v>
      </c>
      <c r="B1218" s="242">
        <f t="shared" si="513"/>
        <v>45809</v>
      </c>
      <c r="C1218" s="243">
        <f t="shared" si="494"/>
        <v>45838</v>
      </c>
      <c r="D1218" s="120">
        <f t="shared" si="495"/>
        <v>30</v>
      </c>
      <c r="E1218" s="120">
        <f t="shared" si="496"/>
        <v>6</v>
      </c>
      <c r="F1218" s="275">
        <f t="shared" si="497"/>
        <v>45824</v>
      </c>
      <c r="G1218" s="120">
        <f t="shared" si="498"/>
        <v>24305</v>
      </c>
      <c r="H1218" s="245">
        <f t="shared" si="499"/>
        <v>1</v>
      </c>
      <c r="I1218" s="121">
        <f t="shared" si="500"/>
        <v>1</v>
      </c>
      <c r="J1218" s="121">
        <f t="shared" si="501"/>
        <v>1</v>
      </c>
      <c r="K1218" s="120">
        <f t="shared" si="502"/>
        <v>0</v>
      </c>
      <c r="L1218" s="120">
        <f t="shared" si="503"/>
        <v>0</v>
      </c>
      <c r="M1218" s="246">
        <f t="shared" si="504"/>
        <v>0</v>
      </c>
      <c r="N1218" s="121">
        <f t="shared" si="505"/>
        <v>1</v>
      </c>
      <c r="O1218" s="246">
        <f t="shared" si="506"/>
        <v>0.92032822757111599</v>
      </c>
      <c r="P1218" s="121">
        <f t="shared" si="507"/>
        <v>0</v>
      </c>
      <c r="Q1218" s="121">
        <f t="shared" si="508"/>
        <v>0</v>
      </c>
      <c r="R1218" s="121">
        <f t="shared" si="509"/>
        <v>0</v>
      </c>
      <c r="S1218" s="121" t="str">
        <f t="shared" si="510"/>
        <v/>
      </c>
      <c r="T1218" s="121" t="str">
        <f t="shared" si="511"/>
        <v/>
      </c>
      <c r="U1218" s="121">
        <f t="shared" si="512"/>
        <v>1</v>
      </c>
    </row>
    <row r="1219" spans="1:21" x14ac:dyDescent="0.3">
      <c r="A1219" s="187">
        <v>7</v>
      </c>
      <c r="B1219" s="242">
        <f t="shared" si="513"/>
        <v>45839</v>
      </c>
      <c r="C1219" s="243">
        <f t="shared" si="494"/>
        <v>45869</v>
      </c>
      <c r="D1219" s="120">
        <f t="shared" si="495"/>
        <v>31</v>
      </c>
      <c r="E1219" s="120">
        <f t="shared" si="496"/>
        <v>7</v>
      </c>
      <c r="F1219" s="275">
        <f t="shared" si="497"/>
        <v>45854.5</v>
      </c>
      <c r="G1219" s="120">
        <f t="shared" si="498"/>
        <v>24306</v>
      </c>
      <c r="H1219" s="245">
        <f t="shared" si="499"/>
        <v>1</v>
      </c>
      <c r="I1219" s="121">
        <f t="shared" si="500"/>
        <v>1</v>
      </c>
      <c r="J1219" s="121">
        <f t="shared" si="501"/>
        <v>1</v>
      </c>
      <c r="K1219" s="120">
        <f t="shared" si="502"/>
        <v>0</v>
      </c>
      <c r="L1219" s="120">
        <f t="shared" si="503"/>
        <v>0</v>
      </c>
      <c r="M1219" s="246">
        <f t="shared" si="504"/>
        <v>0</v>
      </c>
      <c r="N1219" s="121">
        <f t="shared" si="505"/>
        <v>1</v>
      </c>
      <c r="O1219" s="246">
        <f t="shared" si="506"/>
        <v>0.91966083150984679</v>
      </c>
      <c r="P1219" s="121">
        <f t="shared" si="507"/>
        <v>8.333333333333337E-2</v>
      </c>
      <c r="Q1219" s="121">
        <f t="shared" si="508"/>
        <v>0</v>
      </c>
      <c r="R1219" s="121">
        <f t="shared" si="509"/>
        <v>0</v>
      </c>
      <c r="S1219" s="121" t="str">
        <f t="shared" si="510"/>
        <v/>
      </c>
      <c r="T1219" s="121" t="str">
        <f t="shared" si="511"/>
        <v/>
      </c>
      <c r="U1219" s="121">
        <f t="shared" si="512"/>
        <v>1</v>
      </c>
    </row>
    <row r="1220" spans="1:21" x14ac:dyDescent="0.3">
      <c r="A1220" s="187">
        <v>8</v>
      </c>
      <c r="B1220" s="242">
        <f t="shared" si="513"/>
        <v>45870</v>
      </c>
      <c r="C1220" s="243">
        <f t="shared" si="494"/>
        <v>45900</v>
      </c>
      <c r="D1220" s="120">
        <f t="shared" si="495"/>
        <v>31</v>
      </c>
      <c r="E1220" s="120">
        <f t="shared" si="496"/>
        <v>8</v>
      </c>
      <c r="F1220" s="275">
        <f t="shared" si="497"/>
        <v>45885.5</v>
      </c>
      <c r="G1220" s="120">
        <f t="shared" si="498"/>
        <v>24307</v>
      </c>
      <c r="H1220" s="245">
        <f t="shared" si="499"/>
        <v>1</v>
      </c>
      <c r="I1220" s="121">
        <f t="shared" si="500"/>
        <v>1</v>
      </c>
      <c r="J1220" s="121">
        <f t="shared" si="501"/>
        <v>1</v>
      </c>
      <c r="K1220" s="120">
        <f t="shared" si="502"/>
        <v>0</v>
      </c>
      <c r="L1220" s="120">
        <f t="shared" si="503"/>
        <v>0</v>
      </c>
      <c r="M1220" s="246">
        <f t="shared" si="504"/>
        <v>0</v>
      </c>
      <c r="N1220" s="121">
        <f t="shared" si="505"/>
        <v>1</v>
      </c>
      <c r="O1220" s="246">
        <f t="shared" si="506"/>
        <v>0.91898249452954051</v>
      </c>
      <c r="P1220" s="121">
        <f t="shared" si="507"/>
        <v>0.25</v>
      </c>
      <c r="Q1220" s="121">
        <f t="shared" si="508"/>
        <v>0</v>
      </c>
      <c r="R1220" s="121">
        <f t="shared" si="509"/>
        <v>0</v>
      </c>
      <c r="S1220" s="121" t="str">
        <f t="shared" si="510"/>
        <v/>
      </c>
      <c r="T1220" s="121" t="str">
        <f t="shared" si="511"/>
        <v/>
      </c>
      <c r="U1220" s="121">
        <f t="shared" si="512"/>
        <v>1</v>
      </c>
    </row>
    <row r="1221" spans="1:21" x14ac:dyDescent="0.3">
      <c r="A1221" s="187">
        <v>9</v>
      </c>
      <c r="B1221" s="242">
        <f t="shared" si="513"/>
        <v>45901</v>
      </c>
      <c r="C1221" s="243">
        <f t="shared" si="494"/>
        <v>45930</v>
      </c>
      <c r="D1221" s="120">
        <f t="shared" si="495"/>
        <v>30</v>
      </c>
      <c r="E1221" s="120">
        <f t="shared" si="496"/>
        <v>9</v>
      </c>
      <c r="F1221" s="275">
        <f t="shared" si="497"/>
        <v>45916</v>
      </c>
      <c r="G1221" s="120">
        <f t="shared" si="498"/>
        <v>24308</v>
      </c>
      <c r="H1221" s="245">
        <f t="shared" si="499"/>
        <v>1</v>
      </c>
      <c r="I1221" s="121">
        <f t="shared" si="500"/>
        <v>1</v>
      </c>
      <c r="J1221" s="121">
        <f t="shared" si="501"/>
        <v>1</v>
      </c>
      <c r="K1221" s="120">
        <f t="shared" si="502"/>
        <v>0</v>
      </c>
      <c r="L1221" s="120">
        <f t="shared" si="503"/>
        <v>0</v>
      </c>
      <c r="M1221" s="246">
        <f t="shared" si="504"/>
        <v>0</v>
      </c>
      <c r="N1221" s="121">
        <f t="shared" si="505"/>
        <v>1</v>
      </c>
      <c r="O1221" s="246">
        <f t="shared" si="506"/>
        <v>0.91831509846827131</v>
      </c>
      <c r="P1221" s="121">
        <f t="shared" si="507"/>
        <v>0.41666666666666663</v>
      </c>
      <c r="Q1221" s="121">
        <f t="shared" si="508"/>
        <v>0</v>
      </c>
      <c r="R1221" s="121">
        <f t="shared" si="509"/>
        <v>0</v>
      </c>
      <c r="S1221" s="121" t="str">
        <f t="shared" si="510"/>
        <v/>
      </c>
      <c r="T1221" s="121" t="str">
        <f t="shared" si="511"/>
        <v/>
      </c>
      <c r="U1221" s="121">
        <f t="shared" si="512"/>
        <v>1</v>
      </c>
    </row>
    <row r="1222" spans="1:21" x14ac:dyDescent="0.3">
      <c r="A1222" s="187">
        <v>10</v>
      </c>
      <c r="B1222" s="242">
        <f t="shared" si="513"/>
        <v>45931</v>
      </c>
      <c r="C1222" s="243">
        <f t="shared" si="494"/>
        <v>45961</v>
      </c>
      <c r="D1222" s="120">
        <f t="shared" si="495"/>
        <v>31</v>
      </c>
      <c r="E1222" s="120">
        <f t="shared" si="496"/>
        <v>10</v>
      </c>
      <c r="F1222" s="275">
        <f t="shared" si="497"/>
        <v>45946.5</v>
      </c>
      <c r="G1222" s="120">
        <f t="shared" si="498"/>
        <v>24309</v>
      </c>
      <c r="H1222" s="245">
        <f t="shared" si="499"/>
        <v>1</v>
      </c>
      <c r="I1222" s="121">
        <f t="shared" si="500"/>
        <v>1</v>
      </c>
      <c r="J1222" s="121">
        <f t="shared" si="501"/>
        <v>1</v>
      </c>
      <c r="K1222" s="120">
        <f t="shared" si="502"/>
        <v>0</v>
      </c>
      <c r="L1222" s="120">
        <f t="shared" si="503"/>
        <v>0</v>
      </c>
      <c r="M1222" s="246">
        <f t="shared" si="504"/>
        <v>0</v>
      </c>
      <c r="N1222" s="121">
        <f t="shared" si="505"/>
        <v>1</v>
      </c>
      <c r="O1222" s="246">
        <f t="shared" si="506"/>
        <v>0.91764770240700222</v>
      </c>
      <c r="P1222" s="121">
        <f t="shared" si="507"/>
        <v>0.58333333333333326</v>
      </c>
      <c r="Q1222" s="121">
        <f t="shared" si="508"/>
        <v>0</v>
      </c>
      <c r="R1222" s="121">
        <f t="shared" si="509"/>
        <v>0</v>
      </c>
      <c r="S1222" s="121" t="str">
        <f t="shared" si="510"/>
        <v/>
      </c>
      <c r="T1222" s="121" t="str">
        <f t="shared" si="511"/>
        <v/>
      </c>
      <c r="U1222" s="121">
        <f t="shared" si="512"/>
        <v>1</v>
      </c>
    </row>
    <row r="1223" spans="1:21" x14ac:dyDescent="0.3">
      <c r="A1223" s="187">
        <v>11</v>
      </c>
      <c r="B1223" s="242">
        <f t="shared" si="513"/>
        <v>45962</v>
      </c>
      <c r="C1223" s="243">
        <f t="shared" si="494"/>
        <v>45991</v>
      </c>
      <c r="D1223" s="120">
        <f t="shared" si="495"/>
        <v>30</v>
      </c>
      <c r="E1223" s="120">
        <f t="shared" si="496"/>
        <v>11</v>
      </c>
      <c r="F1223" s="275">
        <f t="shared" si="497"/>
        <v>45977</v>
      </c>
      <c r="G1223" s="120">
        <f t="shared" si="498"/>
        <v>24310</v>
      </c>
      <c r="H1223" s="245">
        <f t="shared" si="499"/>
        <v>1</v>
      </c>
      <c r="I1223" s="121">
        <f t="shared" si="500"/>
        <v>1</v>
      </c>
      <c r="J1223" s="121">
        <f t="shared" si="501"/>
        <v>1</v>
      </c>
      <c r="K1223" s="120">
        <f t="shared" si="502"/>
        <v>0</v>
      </c>
      <c r="L1223" s="120">
        <f t="shared" si="503"/>
        <v>0</v>
      </c>
      <c r="M1223" s="246">
        <f t="shared" si="504"/>
        <v>0</v>
      </c>
      <c r="N1223" s="121">
        <f t="shared" si="505"/>
        <v>1</v>
      </c>
      <c r="O1223" s="246">
        <f t="shared" si="506"/>
        <v>0.91698030634573302</v>
      </c>
      <c r="P1223" s="121">
        <f t="shared" si="507"/>
        <v>0.75</v>
      </c>
      <c r="Q1223" s="121">
        <f t="shared" si="508"/>
        <v>0</v>
      </c>
      <c r="R1223" s="121">
        <f t="shared" si="509"/>
        <v>0</v>
      </c>
      <c r="S1223" s="121" t="str">
        <f t="shared" si="510"/>
        <v/>
      </c>
      <c r="T1223" s="121" t="str">
        <f t="shared" si="511"/>
        <v/>
      </c>
      <c r="U1223" s="121">
        <f t="shared" si="512"/>
        <v>1</v>
      </c>
    </row>
    <row r="1224" spans="1:21" x14ac:dyDescent="0.3">
      <c r="A1224" s="187">
        <v>12</v>
      </c>
      <c r="B1224" s="242">
        <f t="shared" si="513"/>
        <v>45992</v>
      </c>
      <c r="C1224" s="243">
        <f t="shared" si="494"/>
        <v>46022</v>
      </c>
      <c r="D1224" s="120">
        <f t="shared" si="495"/>
        <v>31</v>
      </c>
      <c r="E1224" s="120">
        <f t="shared" si="496"/>
        <v>12</v>
      </c>
      <c r="F1224" s="275">
        <f t="shared" si="497"/>
        <v>46007.5</v>
      </c>
      <c r="G1224" s="120">
        <f t="shared" si="498"/>
        <v>24311</v>
      </c>
      <c r="H1224" s="245">
        <f t="shared" si="499"/>
        <v>1</v>
      </c>
      <c r="I1224" s="121">
        <f t="shared" si="500"/>
        <v>1</v>
      </c>
      <c r="J1224" s="121">
        <f t="shared" si="501"/>
        <v>1</v>
      </c>
      <c r="K1224" s="120">
        <f t="shared" si="502"/>
        <v>0</v>
      </c>
      <c r="L1224" s="120">
        <f t="shared" si="503"/>
        <v>0</v>
      </c>
      <c r="M1224" s="246">
        <f t="shared" si="504"/>
        <v>0</v>
      </c>
      <c r="N1224" s="121">
        <f t="shared" si="505"/>
        <v>1</v>
      </c>
      <c r="O1224" s="246">
        <f t="shared" si="506"/>
        <v>0.91631291028446393</v>
      </c>
      <c r="P1224" s="121">
        <f t="shared" si="507"/>
        <v>0.91666666666666663</v>
      </c>
      <c r="Q1224" s="121">
        <f t="shared" si="508"/>
        <v>0</v>
      </c>
      <c r="R1224" s="121">
        <f t="shared" si="509"/>
        <v>0</v>
      </c>
      <c r="S1224" s="121" t="str">
        <f t="shared" si="510"/>
        <v/>
      </c>
      <c r="T1224" s="121" t="str">
        <f t="shared" si="511"/>
        <v/>
      </c>
      <c r="U1224" s="121">
        <f t="shared" si="512"/>
        <v>1</v>
      </c>
    </row>
    <row r="1225" spans="1:21" x14ac:dyDescent="0.3">
      <c r="A1225" s="187">
        <v>13</v>
      </c>
      <c r="B1225" s="242">
        <f t="shared" si="513"/>
        <v>46023</v>
      </c>
      <c r="C1225" s="243">
        <f t="shared" si="494"/>
        <v>46053</v>
      </c>
      <c r="D1225" s="120">
        <f t="shared" si="495"/>
        <v>31</v>
      </c>
      <c r="E1225" s="120">
        <f t="shared" si="496"/>
        <v>1</v>
      </c>
      <c r="F1225" s="275">
        <f t="shared" si="497"/>
        <v>46038.5</v>
      </c>
      <c r="G1225" s="120">
        <f t="shared" si="498"/>
        <v>24312</v>
      </c>
      <c r="H1225" s="245">
        <f t="shared" si="499"/>
        <v>1</v>
      </c>
      <c r="I1225" s="121">
        <f t="shared" si="500"/>
        <v>1</v>
      </c>
      <c r="J1225" s="121">
        <f t="shared" si="501"/>
        <v>1</v>
      </c>
      <c r="K1225" s="120">
        <f t="shared" si="502"/>
        <v>0</v>
      </c>
      <c r="L1225" s="120">
        <f t="shared" si="503"/>
        <v>0</v>
      </c>
      <c r="M1225" s="246">
        <f t="shared" si="504"/>
        <v>0</v>
      </c>
      <c r="N1225" s="121">
        <f t="shared" si="505"/>
        <v>1</v>
      </c>
      <c r="O1225" s="246">
        <f t="shared" si="506"/>
        <v>0.91563457330415754</v>
      </c>
      <c r="P1225" s="121">
        <f t="shared" si="507"/>
        <v>1</v>
      </c>
      <c r="Q1225" s="121">
        <f t="shared" si="508"/>
        <v>0</v>
      </c>
      <c r="R1225" s="121">
        <f t="shared" si="509"/>
        <v>0</v>
      </c>
      <c r="S1225" s="121" t="str">
        <f t="shared" si="510"/>
        <v/>
      </c>
      <c r="T1225" s="121" t="str">
        <f t="shared" si="511"/>
        <v/>
      </c>
      <c r="U1225" s="121">
        <f t="shared" si="512"/>
        <v>1</v>
      </c>
    </row>
    <row r="1226" spans="1:21" x14ac:dyDescent="0.3">
      <c r="A1226" s="187">
        <v>14</v>
      </c>
      <c r="B1226" s="242">
        <f t="shared" si="513"/>
        <v>46054</v>
      </c>
      <c r="C1226" s="243">
        <f t="shared" si="494"/>
        <v>46081</v>
      </c>
      <c r="D1226" s="120">
        <f t="shared" si="495"/>
        <v>28</v>
      </c>
      <c r="E1226" s="120">
        <f t="shared" si="496"/>
        <v>2</v>
      </c>
      <c r="F1226" s="275">
        <f t="shared" si="497"/>
        <v>46068</v>
      </c>
      <c r="G1226" s="120">
        <f t="shared" si="498"/>
        <v>24313</v>
      </c>
      <c r="H1226" s="245">
        <f t="shared" si="499"/>
        <v>1</v>
      </c>
      <c r="I1226" s="121">
        <f t="shared" si="500"/>
        <v>1</v>
      </c>
      <c r="J1226" s="121">
        <f t="shared" si="501"/>
        <v>1</v>
      </c>
      <c r="K1226" s="120">
        <f t="shared" si="502"/>
        <v>0</v>
      </c>
      <c r="L1226" s="120">
        <f t="shared" si="503"/>
        <v>0</v>
      </c>
      <c r="M1226" s="246">
        <f t="shared" si="504"/>
        <v>0</v>
      </c>
      <c r="N1226" s="121">
        <f t="shared" si="505"/>
        <v>1</v>
      </c>
      <c r="O1226" s="246">
        <f t="shared" si="506"/>
        <v>0.91498905908096284</v>
      </c>
      <c r="P1226" s="121">
        <f t="shared" si="507"/>
        <v>1</v>
      </c>
      <c r="Q1226" s="121">
        <f t="shared" si="508"/>
        <v>0</v>
      </c>
      <c r="R1226" s="121">
        <f t="shared" si="509"/>
        <v>0</v>
      </c>
      <c r="S1226" s="121" t="str">
        <f t="shared" si="510"/>
        <v/>
      </c>
      <c r="T1226" s="121" t="str">
        <f t="shared" si="511"/>
        <v/>
      </c>
      <c r="U1226" s="121">
        <f t="shared" si="512"/>
        <v>1</v>
      </c>
    </row>
    <row r="1227" spans="1:21" x14ac:dyDescent="0.3">
      <c r="A1227" s="187">
        <v>15</v>
      </c>
      <c r="B1227" s="242">
        <f t="shared" si="513"/>
        <v>46082</v>
      </c>
      <c r="C1227" s="243">
        <f t="shared" si="494"/>
        <v>46112</v>
      </c>
      <c r="D1227" s="120">
        <f t="shared" si="495"/>
        <v>31</v>
      </c>
      <c r="E1227" s="120">
        <f t="shared" si="496"/>
        <v>3</v>
      </c>
      <c r="F1227" s="275">
        <f t="shared" si="497"/>
        <v>46097.5</v>
      </c>
      <c r="G1227" s="120">
        <f t="shared" si="498"/>
        <v>24314</v>
      </c>
      <c r="H1227" s="245">
        <f t="shared" si="499"/>
        <v>1</v>
      </c>
      <c r="I1227" s="121">
        <f t="shared" si="500"/>
        <v>1</v>
      </c>
      <c r="J1227" s="121">
        <f t="shared" si="501"/>
        <v>1</v>
      </c>
      <c r="K1227" s="120">
        <f t="shared" si="502"/>
        <v>0</v>
      </c>
      <c r="L1227" s="120">
        <f t="shared" si="503"/>
        <v>0</v>
      </c>
      <c r="M1227" s="246">
        <f t="shared" si="504"/>
        <v>0</v>
      </c>
      <c r="N1227" s="121">
        <f t="shared" si="505"/>
        <v>1</v>
      </c>
      <c r="O1227" s="246">
        <f t="shared" si="506"/>
        <v>0.91434354485776803</v>
      </c>
      <c r="P1227" s="121">
        <f t="shared" si="507"/>
        <v>1</v>
      </c>
      <c r="Q1227" s="121">
        <f t="shared" si="508"/>
        <v>0</v>
      </c>
      <c r="R1227" s="121">
        <f t="shared" si="509"/>
        <v>0</v>
      </c>
      <c r="S1227" s="121" t="str">
        <f t="shared" si="510"/>
        <v/>
      </c>
      <c r="T1227" s="121" t="str">
        <f t="shared" si="511"/>
        <v/>
      </c>
      <c r="U1227" s="121">
        <f t="shared" si="512"/>
        <v>1</v>
      </c>
    </row>
    <row r="1228" spans="1:21" x14ac:dyDescent="0.3">
      <c r="A1228" s="187">
        <v>16</v>
      </c>
      <c r="B1228" s="242">
        <f t="shared" si="513"/>
        <v>46113</v>
      </c>
      <c r="C1228" s="243">
        <f t="shared" si="494"/>
        <v>46142</v>
      </c>
      <c r="D1228" s="120">
        <f t="shared" si="495"/>
        <v>30</v>
      </c>
      <c r="E1228" s="120">
        <f t="shared" si="496"/>
        <v>4</v>
      </c>
      <c r="F1228" s="275">
        <f t="shared" si="497"/>
        <v>46128</v>
      </c>
      <c r="G1228" s="120">
        <f t="shared" si="498"/>
        <v>24315</v>
      </c>
      <c r="H1228" s="245">
        <f t="shared" si="499"/>
        <v>1</v>
      </c>
      <c r="I1228" s="121">
        <f t="shared" si="500"/>
        <v>1</v>
      </c>
      <c r="J1228" s="121">
        <f t="shared" si="501"/>
        <v>1</v>
      </c>
      <c r="K1228" s="120">
        <f t="shared" si="502"/>
        <v>0</v>
      </c>
      <c r="L1228" s="120">
        <f t="shared" si="503"/>
        <v>0</v>
      </c>
      <c r="M1228" s="246">
        <f t="shared" si="504"/>
        <v>0</v>
      </c>
      <c r="N1228" s="121">
        <f t="shared" si="505"/>
        <v>1</v>
      </c>
      <c r="O1228" s="246">
        <f t="shared" si="506"/>
        <v>0.91367614879649894</v>
      </c>
      <c r="P1228" s="121">
        <f t="shared" si="507"/>
        <v>1</v>
      </c>
      <c r="Q1228" s="121">
        <f t="shared" si="508"/>
        <v>0</v>
      </c>
      <c r="R1228" s="121">
        <f t="shared" si="509"/>
        <v>0</v>
      </c>
      <c r="S1228" s="121" t="str">
        <f t="shared" si="510"/>
        <v/>
      </c>
      <c r="T1228" s="121" t="str">
        <f t="shared" si="511"/>
        <v/>
      </c>
      <c r="U1228" s="121">
        <f t="shared" si="512"/>
        <v>1</v>
      </c>
    </row>
    <row r="1229" spans="1:21" x14ac:dyDescent="0.3">
      <c r="A1229" s="187">
        <v>17</v>
      </c>
      <c r="B1229" s="242">
        <f t="shared" si="513"/>
        <v>46143</v>
      </c>
      <c r="C1229" s="243">
        <f t="shared" si="494"/>
        <v>46173</v>
      </c>
      <c r="D1229" s="120">
        <f t="shared" si="495"/>
        <v>31</v>
      </c>
      <c r="E1229" s="120">
        <f t="shared" si="496"/>
        <v>5</v>
      </c>
      <c r="F1229" s="275">
        <f t="shared" si="497"/>
        <v>46158.5</v>
      </c>
      <c r="G1229" s="120">
        <f t="shared" si="498"/>
        <v>24316</v>
      </c>
      <c r="H1229" s="245">
        <f t="shared" si="499"/>
        <v>1</v>
      </c>
      <c r="I1229" s="121">
        <f t="shared" si="500"/>
        <v>1</v>
      </c>
      <c r="J1229" s="121">
        <f t="shared" si="501"/>
        <v>1</v>
      </c>
      <c r="K1229" s="120">
        <f t="shared" si="502"/>
        <v>0</v>
      </c>
      <c r="L1229" s="120">
        <f t="shared" si="503"/>
        <v>0</v>
      </c>
      <c r="M1229" s="246">
        <f t="shared" si="504"/>
        <v>0</v>
      </c>
      <c r="N1229" s="121">
        <f t="shared" si="505"/>
        <v>1</v>
      </c>
      <c r="O1229" s="246">
        <f t="shared" si="506"/>
        <v>0.91300875273522974</v>
      </c>
      <c r="P1229" s="121">
        <f t="shared" si="507"/>
        <v>1</v>
      </c>
      <c r="Q1229" s="121">
        <f t="shared" si="508"/>
        <v>0</v>
      </c>
      <c r="R1229" s="121">
        <f t="shared" si="509"/>
        <v>0</v>
      </c>
      <c r="S1229" s="121" t="str">
        <f t="shared" si="510"/>
        <v/>
      </c>
      <c r="T1229" s="121" t="str">
        <f t="shared" si="511"/>
        <v/>
      </c>
      <c r="U1229" s="121">
        <f t="shared" si="512"/>
        <v>1</v>
      </c>
    </row>
    <row r="1230" spans="1:21" x14ac:dyDescent="0.3">
      <c r="A1230" s="187">
        <v>18</v>
      </c>
      <c r="B1230" s="242">
        <f t="shared" si="513"/>
        <v>46174</v>
      </c>
      <c r="C1230" s="243">
        <f t="shared" si="494"/>
        <v>46203</v>
      </c>
      <c r="D1230" s="120">
        <f t="shared" si="495"/>
        <v>30</v>
      </c>
      <c r="E1230" s="120">
        <f t="shared" si="496"/>
        <v>6</v>
      </c>
      <c r="F1230" s="275">
        <f t="shared" si="497"/>
        <v>46189</v>
      </c>
      <c r="G1230" s="120">
        <f t="shared" si="498"/>
        <v>24317</v>
      </c>
      <c r="H1230" s="245">
        <f t="shared" si="499"/>
        <v>1</v>
      </c>
      <c r="I1230" s="121">
        <f t="shared" si="500"/>
        <v>1</v>
      </c>
      <c r="J1230" s="121">
        <f t="shared" si="501"/>
        <v>1</v>
      </c>
      <c r="K1230" s="120">
        <f t="shared" si="502"/>
        <v>0</v>
      </c>
      <c r="L1230" s="120">
        <f t="shared" si="503"/>
        <v>0</v>
      </c>
      <c r="M1230" s="246">
        <f t="shared" si="504"/>
        <v>0</v>
      </c>
      <c r="N1230" s="121">
        <f t="shared" si="505"/>
        <v>1</v>
      </c>
      <c r="O1230" s="246">
        <f t="shared" si="506"/>
        <v>0.91234135667396066</v>
      </c>
      <c r="P1230" s="121">
        <f t="shared" si="507"/>
        <v>1</v>
      </c>
      <c r="Q1230" s="121">
        <f t="shared" si="508"/>
        <v>0</v>
      </c>
      <c r="R1230" s="121">
        <f t="shared" si="509"/>
        <v>0</v>
      </c>
      <c r="S1230" s="121" t="str">
        <f t="shared" si="510"/>
        <v/>
      </c>
      <c r="T1230" s="121" t="str">
        <f t="shared" si="511"/>
        <v/>
      </c>
      <c r="U1230" s="121">
        <f t="shared" si="512"/>
        <v>1</v>
      </c>
    </row>
    <row r="1231" spans="1:21" x14ac:dyDescent="0.3">
      <c r="A1231" s="187">
        <v>19</v>
      </c>
      <c r="B1231" s="242">
        <f t="shared" si="513"/>
        <v>46204</v>
      </c>
      <c r="C1231" s="243">
        <f t="shared" si="494"/>
        <v>46234</v>
      </c>
      <c r="D1231" s="120">
        <f t="shared" si="495"/>
        <v>31</v>
      </c>
      <c r="E1231" s="120">
        <f t="shared" si="496"/>
        <v>7</v>
      </c>
      <c r="F1231" s="275">
        <f t="shared" si="497"/>
        <v>46219.5</v>
      </c>
      <c r="G1231" s="120">
        <f t="shared" si="498"/>
        <v>24318</v>
      </c>
      <c r="H1231" s="245">
        <f t="shared" si="499"/>
        <v>1</v>
      </c>
      <c r="I1231" s="121">
        <f t="shared" si="500"/>
        <v>1</v>
      </c>
      <c r="J1231" s="121">
        <f t="shared" si="501"/>
        <v>1</v>
      </c>
      <c r="K1231" s="120">
        <f t="shared" si="502"/>
        <v>0</v>
      </c>
      <c r="L1231" s="120">
        <f t="shared" si="503"/>
        <v>0</v>
      </c>
      <c r="M1231" s="246">
        <f t="shared" si="504"/>
        <v>0</v>
      </c>
      <c r="N1231" s="121">
        <f t="shared" si="505"/>
        <v>1</v>
      </c>
      <c r="O1231" s="246">
        <f t="shared" si="506"/>
        <v>0.91167396061269146</v>
      </c>
      <c r="P1231" s="121">
        <f t="shared" si="507"/>
        <v>0.91666666666666663</v>
      </c>
      <c r="Q1231" s="121">
        <f t="shared" si="508"/>
        <v>8.333333333333337E-2</v>
      </c>
      <c r="R1231" s="121">
        <f t="shared" si="509"/>
        <v>0</v>
      </c>
      <c r="S1231" s="121" t="str">
        <f t="shared" si="510"/>
        <v/>
      </c>
      <c r="T1231" s="121" t="str">
        <f t="shared" si="511"/>
        <v/>
      </c>
      <c r="U1231" s="121">
        <f t="shared" si="512"/>
        <v>1</v>
      </c>
    </row>
    <row r="1232" spans="1:21" x14ac:dyDescent="0.3">
      <c r="A1232" s="187">
        <v>20</v>
      </c>
      <c r="B1232" s="242">
        <f t="shared" si="513"/>
        <v>46235</v>
      </c>
      <c r="C1232" s="243">
        <f t="shared" si="494"/>
        <v>46265</v>
      </c>
      <c r="D1232" s="120">
        <f t="shared" si="495"/>
        <v>31</v>
      </c>
      <c r="E1232" s="120">
        <f t="shared" si="496"/>
        <v>8</v>
      </c>
      <c r="F1232" s="275">
        <f t="shared" si="497"/>
        <v>46250.5</v>
      </c>
      <c r="G1232" s="120">
        <f t="shared" si="498"/>
        <v>24319</v>
      </c>
      <c r="H1232" s="245">
        <f t="shared" si="499"/>
        <v>1</v>
      </c>
      <c r="I1232" s="121">
        <f t="shared" si="500"/>
        <v>1</v>
      </c>
      <c r="J1232" s="121">
        <f t="shared" si="501"/>
        <v>1</v>
      </c>
      <c r="K1232" s="120">
        <f t="shared" si="502"/>
        <v>0</v>
      </c>
      <c r="L1232" s="120">
        <f t="shared" si="503"/>
        <v>0</v>
      </c>
      <c r="M1232" s="246">
        <f t="shared" si="504"/>
        <v>0</v>
      </c>
      <c r="N1232" s="121">
        <f t="shared" si="505"/>
        <v>1</v>
      </c>
      <c r="O1232" s="246">
        <f t="shared" si="506"/>
        <v>0.91099562363238518</v>
      </c>
      <c r="P1232" s="121">
        <f t="shared" si="507"/>
        <v>0.75</v>
      </c>
      <c r="Q1232" s="121">
        <f t="shared" si="508"/>
        <v>0.25</v>
      </c>
      <c r="R1232" s="121">
        <f t="shared" si="509"/>
        <v>0</v>
      </c>
      <c r="S1232" s="121" t="str">
        <f t="shared" si="510"/>
        <v/>
      </c>
      <c r="T1232" s="121" t="str">
        <f t="shared" si="511"/>
        <v/>
      </c>
      <c r="U1232" s="121">
        <f t="shared" si="512"/>
        <v>1</v>
      </c>
    </row>
    <row r="1233" spans="1:21" x14ac:dyDescent="0.3">
      <c r="A1233" s="187">
        <v>21</v>
      </c>
      <c r="B1233" s="242">
        <f t="shared" si="513"/>
        <v>46266</v>
      </c>
      <c r="C1233" s="243">
        <f t="shared" si="494"/>
        <v>46295</v>
      </c>
      <c r="D1233" s="120">
        <f t="shared" si="495"/>
        <v>30</v>
      </c>
      <c r="E1233" s="120">
        <f t="shared" si="496"/>
        <v>9</v>
      </c>
      <c r="F1233" s="275">
        <f t="shared" si="497"/>
        <v>46281</v>
      </c>
      <c r="G1233" s="120">
        <f t="shared" si="498"/>
        <v>24320</v>
      </c>
      <c r="H1233" s="245">
        <f t="shared" si="499"/>
        <v>1</v>
      </c>
      <c r="I1233" s="121">
        <f t="shared" si="500"/>
        <v>1</v>
      </c>
      <c r="J1233" s="121">
        <f t="shared" si="501"/>
        <v>1</v>
      </c>
      <c r="K1233" s="120">
        <f t="shared" si="502"/>
        <v>0</v>
      </c>
      <c r="L1233" s="120">
        <f t="shared" si="503"/>
        <v>0</v>
      </c>
      <c r="M1233" s="246">
        <f t="shared" si="504"/>
        <v>0</v>
      </c>
      <c r="N1233" s="121">
        <f t="shared" si="505"/>
        <v>1</v>
      </c>
      <c r="O1233" s="246">
        <f t="shared" si="506"/>
        <v>0.91032822757111598</v>
      </c>
      <c r="P1233" s="121">
        <f t="shared" si="507"/>
        <v>0.58333333333333337</v>
      </c>
      <c r="Q1233" s="121">
        <f t="shared" si="508"/>
        <v>0.41666666666666663</v>
      </c>
      <c r="R1233" s="121">
        <f t="shared" si="509"/>
        <v>0</v>
      </c>
      <c r="S1233" s="121" t="str">
        <f t="shared" si="510"/>
        <v/>
      </c>
      <c r="T1233" s="121" t="str">
        <f t="shared" si="511"/>
        <v/>
      </c>
      <c r="U1233" s="121">
        <f t="shared" si="512"/>
        <v>1</v>
      </c>
    </row>
    <row r="1234" spans="1:21" x14ac:dyDescent="0.3">
      <c r="A1234" s="187">
        <v>22</v>
      </c>
      <c r="B1234" s="242">
        <f t="shared" si="513"/>
        <v>46296</v>
      </c>
      <c r="C1234" s="243">
        <f t="shared" si="494"/>
        <v>46326</v>
      </c>
      <c r="D1234" s="120">
        <f t="shared" si="495"/>
        <v>31</v>
      </c>
      <c r="E1234" s="120">
        <f t="shared" si="496"/>
        <v>10</v>
      </c>
      <c r="F1234" s="275">
        <f t="shared" si="497"/>
        <v>46311.5</v>
      </c>
      <c r="G1234" s="120">
        <f t="shared" si="498"/>
        <v>24321</v>
      </c>
      <c r="H1234" s="245">
        <f t="shared" si="499"/>
        <v>1</v>
      </c>
      <c r="I1234" s="121">
        <f t="shared" si="500"/>
        <v>1</v>
      </c>
      <c r="J1234" s="121">
        <f t="shared" si="501"/>
        <v>1.03</v>
      </c>
      <c r="K1234" s="120">
        <f t="shared" si="502"/>
        <v>1</v>
      </c>
      <c r="L1234" s="120">
        <f t="shared" si="503"/>
        <v>31</v>
      </c>
      <c r="M1234" s="246">
        <f t="shared" si="504"/>
        <v>1</v>
      </c>
      <c r="N1234" s="121">
        <f t="shared" si="505"/>
        <v>1.03</v>
      </c>
      <c r="O1234" s="246">
        <f t="shared" si="506"/>
        <v>0.90966083150984689</v>
      </c>
      <c r="P1234" s="121">
        <f t="shared" si="507"/>
        <v>0.41666666666666669</v>
      </c>
      <c r="Q1234" s="121">
        <f t="shared" si="508"/>
        <v>0.58333333333333326</v>
      </c>
      <c r="R1234" s="121">
        <f t="shared" si="509"/>
        <v>0</v>
      </c>
      <c r="S1234" s="121" t="str">
        <f t="shared" si="510"/>
        <v/>
      </c>
      <c r="T1234" s="121" t="str">
        <f t="shared" si="511"/>
        <v/>
      </c>
      <c r="U1234" s="121">
        <f t="shared" si="512"/>
        <v>1.03</v>
      </c>
    </row>
    <row r="1235" spans="1:21" x14ac:dyDescent="0.3">
      <c r="A1235" s="187">
        <v>23</v>
      </c>
      <c r="B1235" s="242">
        <f t="shared" si="513"/>
        <v>46327</v>
      </c>
      <c r="C1235" s="243">
        <f t="shared" si="494"/>
        <v>46356</v>
      </c>
      <c r="D1235" s="120">
        <f t="shared" si="495"/>
        <v>30</v>
      </c>
      <c r="E1235" s="120">
        <f t="shared" si="496"/>
        <v>11</v>
      </c>
      <c r="F1235" s="275">
        <f t="shared" si="497"/>
        <v>46342</v>
      </c>
      <c r="G1235" s="120">
        <f t="shared" si="498"/>
        <v>24322</v>
      </c>
      <c r="H1235" s="245">
        <f t="shared" si="499"/>
        <v>1</v>
      </c>
      <c r="I1235" s="121">
        <f t="shared" si="500"/>
        <v>1.03</v>
      </c>
      <c r="J1235" s="121">
        <f t="shared" si="501"/>
        <v>1.03</v>
      </c>
      <c r="K1235" s="120">
        <f t="shared" si="502"/>
        <v>0</v>
      </c>
      <c r="L1235" s="120">
        <f t="shared" si="503"/>
        <v>0</v>
      </c>
      <c r="M1235" s="246">
        <f t="shared" si="504"/>
        <v>0</v>
      </c>
      <c r="N1235" s="121">
        <f t="shared" si="505"/>
        <v>1.03</v>
      </c>
      <c r="O1235" s="246">
        <f t="shared" si="506"/>
        <v>0.90899343544857769</v>
      </c>
      <c r="P1235" s="121">
        <f t="shared" si="507"/>
        <v>0.25</v>
      </c>
      <c r="Q1235" s="121">
        <f t="shared" si="508"/>
        <v>0.75</v>
      </c>
      <c r="R1235" s="121">
        <f t="shared" si="509"/>
        <v>0</v>
      </c>
      <c r="S1235" s="121" t="str">
        <f t="shared" si="510"/>
        <v/>
      </c>
      <c r="T1235" s="121" t="str">
        <f t="shared" si="511"/>
        <v/>
      </c>
      <c r="U1235" s="121">
        <f t="shared" si="512"/>
        <v>1.03</v>
      </c>
    </row>
    <row r="1236" spans="1:21" x14ac:dyDescent="0.3">
      <c r="A1236" s="187">
        <v>24</v>
      </c>
      <c r="B1236" s="242">
        <f t="shared" si="513"/>
        <v>46357</v>
      </c>
      <c r="C1236" s="243">
        <f t="shared" si="494"/>
        <v>46387</v>
      </c>
      <c r="D1236" s="120">
        <f t="shared" si="495"/>
        <v>31</v>
      </c>
      <c r="E1236" s="120">
        <f t="shared" si="496"/>
        <v>12</v>
      </c>
      <c r="F1236" s="275">
        <f t="shared" si="497"/>
        <v>46372.5</v>
      </c>
      <c r="G1236" s="120">
        <f t="shared" si="498"/>
        <v>24323</v>
      </c>
      <c r="H1236" s="245">
        <f t="shared" si="499"/>
        <v>1</v>
      </c>
      <c r="I1236" s="121">
        <f t="shared" si="500"/>
        <v>1.03</v>
      </c>
      <c r="J1236" s="121">
        <f t="shared" si="501"/>
        <v>1.03</v>
      </c>
      <c r="K1236" s="120">
        <f t="shared" si="502"/>
        <v>0</v>
      </c>
      <c r="L1236" s="120">
        <f t="shared" si="503"/>
        <v>0</v>
      </c>
      <c r="M1236" s="246">
        <f t="shared" si="504"/>
        <v>0</v>
      </c>
      <c r="N1236" s="121">
        <f t="shared" si="505"/>
        <v>1.03</v>
      </c>
      <c r="O1236" s="246">
        <f t="shared" si="506"/>
        <v>0.9083260393873086</v>
      </c>
      <c r="P1236" s="121">
        <f t="shared" si="507"/>
        <v>8.3333333333333329E-2</v>
      </c>
      <c r="Q1236" s="121">
        <f t="shared" si="508"/>
        <v>0.91666666666666663</v>
      </c>
      <c r="R1236" s="121">
        <f t="shared" si="509"/>
        <v>0</v>
      </c>
      <c r="S1236" s="121" t="str">
        <f t="shared" si="510"/>
        <v/>
      </c>
      <c r="T1236" s="121" t="str">
        <f t="shared" si="511"/>
        <v/>
      </c>
      <c r="U1236" s="121">
        <f t="shared" si="512"/>
        <v>1.03</v>
      </c>
    </row>
    <row r="1237" spans="1:21" x14ac:dyDescent="0.3">
      <c r="A1237" s="187">
        <v>25</v>
      </c>
      <c r="B1237" s="242">
        <f t="shared" si="513"/>
        <v>46388</v>
      </c>
      <c r="C1237" s="243">
        <f t="shared" si="494"/>
        <v>46418</v>
      </c>
      <c r="D1237" s="120">
        <f t="shared" si="495"/>
        <v>31</v>
      </c>
      <c r="E1237" s="120">
        <f t="shared" si="496"/>
        <v>1</v>
      </c>
      <c r="F1237" s="275">
        <f t="shared" si="497"/>
        <v>46403.5</v>
      </c>
      <c r="G1237" s="120">
        <f t="shared" si="498"/>
        <v>24324</v>
      </c>
      <c r="H1237" s="245">
        <f t="shared" si="499"/>
        <v>1</v>
      </c>
      <c r="I1237" s="121">
        <f t="shared" si="500"/>
        <v>1.03</v>
      </c>
      <c r="J1237" s="121">
        <f t="shared" si="501"/>
        <v>1.03</v>
      </c>
      <c r="K1237" s="120">
        <f t="shared" si="502"/>
        <v>0</v>
      </c>
      <c r="L1237" s="120">
        <f t="shared" si="503"/>
        <v>0</v>
      </c>
      <c r="M1237" s="246">
        <f t="shared" si="504"/>
        <v>0</v>
      </c>
      <c r="N1237" s="121">
        <f t="shared" si="505"/>
        <v>1.03</v>
      </c>
      <c r="O1237" s="246">
        <f t="shared" si="506"/>
        <v>0.90764770240700221</v>
      </c>
      <c r="P1237" s="121">
        <f t="shared" si="507"/>
        <v>0</v>
      </c>
      <c r="Q1237" s="121">
        <f t="shared" si="508"/>
        <v>1</v>
      </c>
      <c r="R1237" s="121">
        <f t="shared" si="509"/>
        <v>0</v>
      </c>
      <c r="S1237" s="121" t="str">
        <f t="shared" si="510"/>
        <v/>
      </c>
      <c r="T1237" s="121" t="str">
        <f t="shared" si="511"/>
        <v/>
      </c>
      <c r="U1237" s="121">
        <f t="shared" si="512"/>
        <v>1.03</v>
      </c>
    </row>
    <row r="1238" spans="1:21" x14ac:dyDescent="0.3">
      <c r="A1238" s="187">
        <v>26</v>
      </c>
      <c r="B1238" s="242">
        <f t="shared" si="513"/>
        <v>46419</v>
      </c>
      <c r="C1238" s="243">
        <f t="shared" si="494"/>
        <v>46446</v>
      </c>
      <c r="D1238" s="120">
        <f t="shared" si="495"/>
        <v>28</v>
      </c>
      <c r="E1238" s="120">
        <f t="shared" si="496"/>
        <v>2</v>
      </c>
      <c r="F1238" s="275">
        <f t="shared" si="497"/>
        <v>46433</v>
      </c>
      <c r="G1238" s="120">
        <f t="shared" si="498"/>
        <v>24325</v>
      </c>
      <c r="H1238" s="245">
        <f t="shared" si="499"/>
        <v>1</v>
      </c>
      <c r="I1238" s="121">
        <f t="shared" si="500"/>
        <v>1.03</v>
      </c>
      <c r="J1238" s="121">
        <f t="shared" si="501"/>
        <v>1.0712000000000002</v>
      </c>
      <c r="K1238" s="120">
        <f t="shared" si="502"/>
        <v>1</v>
      </c>
      <c r="L1238" s="120">
        <f t="shared" si="503"/>
        <v>28</v>
      </c>
      <c r="M1238" s="246">
        <f t="shared" si="504"/>
        <v>1</v>
      </c>
      <c r="N1238" s="121">
        <f t="shared" si="505"/>
        <v>1.0712000000000002</v>
      </c>
      <c r="O1238" s="246">
        <f t="shared" si="506"/>
        <v>0.90700218818380751</v>
      </c>
      <c r="P1238" s="121">
        <f t="shared" si="507"/>
        <v>0</v>
      </c>
      <c r="Q1238" s="121">
        <f t="shared" si="508"/>
        <v>1</v>
      </c>
      <c r="R1238" s="121">
        <f t="shared" si="509"/>
        <v>0</v>
      </c>
      <c r="S1238" s="121" t="str">
        <f t="shared" si="510"/>
        <v/>
      </c>
      <c r="T1238" s="121" t="str">
        <f t="shared" si="511"/>
        <v/>
      </c>
      <c r="U1238" s="121">
        <f t="shared" si="512"/>
        <v>1.0712000000000002</v>
      </c>
    </row>
    <row r="1239" spans="1:21" x14ac:dyDescent="0.3">
      <c r="A1239" s="187">
        <v>27</v>
      </c>
      <c r="B1239" s="242">
        <f t="shared" si="513"/>
        <v>46447</v>
      </c>
      <c r="C1239" s="243">
        <f t="shared" si="494"/>
        <v>46477</v>
      </c>
      <c r="D1239" s="120">
        <f t="shared" si="495"/>
        <v>31</v>
      </c>
      <c r="E1239" s="120">
        <f t="shared" si="496"/>
        <v>3</v>
      </c>
      <c r="F1239" s="275">
        <f t="shared" si="497"/>
        <v>46462.5</v>
      </c>
      <c r="G1239" s="120">
        <f t="shared" si="498"/>
        <v>24326</v>
      </c>
      <c r="H1239" s="245">
        <f t="shared" si="499"/>
        <v>1</v>
      </c>
      <c r="I1239" s="121">
        <f t="shared" si="500"/>
        <v>1.0712000000000002</v>
      </c>
      <c r="J1239" s="121">
        <f t="shared" si="501"/>
        <v>1.0712000000000002</v>
      </c>
      <c r="K1239" s="120">
        <f t="shared" si="502"/>
        <v>0</v>
      </c>
      <c r="L1239" s="120">
        <f t="shared" si="503"/>
        <v>0</v>
      </c>
      <c r="M1239" s="246">
        <f t="shared" si="504"/>
        <v>0</v>
      </c>
      <c r="N1239" s="121">
        <f t="shared" si="505"/>
        <v>1.0712000000000002</v>
      </c>
      <c r="O1239" s="246">
        <f t="shared" si="506"/>
        <v>0.9063566739606127</v>
      </c>
      <c r="P1239" s="121">
        <f t="shared" si="507"/>
        <v>0</v>
      </c>
      <c r="Q1239" s="121">
        <f t="shared" si="508"/>
        <v>1</v>
      </c>
      <c r="R1239" s="121">
        <f t="shared" si="509"/>
        <v>0</v>
      </c>
      <c r="S1239" s="121" t="str">
        <f t="shared" si="510"/>
        <v/>
      </c>
      <c r="T1239" s="121" t="str">
        <f t="shared" si="511"/>
        <v/>
      </c>
      <c r="U1239" s="121">
        <f t="shared" si="512"/>
        <v>1.0712000000000002</v>
      </c>
    </row>
    <row r="1240" spans="1:21" x14ac:dyDescent="0.3">
      <c r="A1240" s="187">
        <v>28</v>
      </c>
      <c r="B1240" s="242">
        <f t="shared" si="513"/>
        <v>46478</v>
      </c>
      <c r="C1240" s="243">
        <f t="shared" si="494"/>
        <v>46507</v>
      </c>
      <c r="D1240" s="120">
        <f t="shared" si="495"/>
        <v>30</v>
      </c>
      <c r="E1240" s="120">
        <f t="shared" si="496"/>
        <v>4</v>
      </c>
      <c r="F1240" s="275">
        <f t="shared" si="497"/>
        <v>46493</v>
      </c>
      <c r="G1240" s="120">
        <f t="shared" si="498"/>
        <v>24327</v>
      </c>
      <c r="H1240" s="245">
        <f t="shared" si="499"/>
        <v>1</v>
      </c>
      <c r="I1240" s="121">
        <f t="shared" si="500"/>
        <v>1.0712000000000002</v>
      </c>
      <c r="J1240" s="121">
        <f t="shared" si="501"/>
        <v>1.0712000000000002</v>
      </c>
      <c r="K1240" s="120">
        <f t="shared" si="502"/>
        <v>0</v>
      </c>
      <c r="L1240" s="120">
        <f t="shared" si="503"/>
        <v>0</v>
      </c>
      <c r="M1240" s="246">
        <f t="shared" si="504"/>
        <v>0</v>
      </c>
      <c r="N1240" s="121">
        <f t="shared" si="505"/>
        <v>1.0712000000000002</v>
      </c>
      <c r="O1240" s="246">
        <f t="shared" si="506"/>
        <v>0.90568927789934361</v>
      </c>
      <c r="P1240" s="121">
        <f t="shared" si="507"/>
        <v>0</v>
      </c>
      <c r="Q1240" s="121">
        <f t="shared" si="508"/>
        <v>1</v>
      </c>
      <c r="R1240" s="121">
        <f t="shared" si="509"/>
        <v>0</v>
      </c>
      <c r="S1240" s="121" t="str">
        <f t="shared" si="510"/>
        <v/>
      </c>
      <c r="T1240" s="121" t="str">
        <f t="shared" si="511"/>
        <v/>
      </c>
      <c r="U1240" s="121">
        <f t="shared" si="512"/>
        <v>1.0712000000000002</v>
      </c>
    </row>
    <row r="1241" spans="1:21" x14ac:dyDescent="0.3">
      <c r="A1241" s="187">
        <v>29</v>
      </c>
      <c r="B1241" s="242">
        <f t="shared" si="513"/>
        <v>46508</v>
      </c>
      <c r="C1241" s="243">
        <f t="shared" si="494"/>
        <v>46538</v>
      </c>
      <c r="D1241" s="120">
        <f t="shared" si="495"/>
        <v>31</v>
      </c>
      <c r="E1241" s="120">
        <f t="shared" si="496"/>
        <v>5</v>
      </c>
      <c r="F1241" s="275">
        <f t="shared" si="497"/>
        <v>46523.5</v>
      </c>
      <c r="G1241" s="120">
        <f t="shared" si="498"/>
        <v>24328</v>
      </c>
      <c r="H1241" s="245">
        <f t="shared" si="499"/>
        <v>1</v>
      </c>
      <c r="I1241" s="121">
        <f t="shared" si="500"/>
        <v>1.0712000000000002</v>
      </c>
      <c r="J1241" s="121">
        <f t="shared" si="501"/>
        <v>1.0712000000000002</v>
      </c>
      <c r="K1241" s="120">
        <f t="shared" si="502"/>
        <v>0</v>
      </c>
      <c r="L1241" s="120">
        <f t="shared" si="503"/>
        <v>0</v>
      </c>
      <c r="M1241" s="246">
        <f t="shared" si="504"/>
        <v>0</v>
      </c>
      <c r="N1241" s="121">
        <f t="shared" si="505"/>
        <v>1.0712000000000002</v>
      </c>
      <c r="O1241" s="246">
        <f t="shared" si="506"/>
        <v>0.90502188183807442</v>
      </c>
      <c r="P1241" s="121">
        <f t="shared" si="507"/>
        <v>0</v>
      </c>
      <c r="Q1241" s="121">
        <f t="shared" si="508"/>
        <v>1</v>
      </c>
      <c r="R1241" s="121">
        <f t="shared" si="509"/>
        <v>0</v>
      </c>
      <c r="S1241" s="121" t="str">
        <f t="shared" si="510"/>
        <v/>
      </c>
      <c r="T1241" s="121" t="str">
        <f t="shared" si="511"/>
        <v/>
      </c>
      <c r="U1241" s="121">
        <f t="shared" si="512"/>
        <v>1.0712000000000002</v>
      </c>
    </row>
    <row r="1242" spans="1:21" x14ac:dyDescent="0.3">
      <c r="A1242" s="187">
        <v>30</v>
      </c>
      <c r="B1242" s="242">
        <f t="shared" si="513"/>
        <v>46539</v>
      </c>
      <c r="C1242" s="243">
        <f t="shared" si="494"/>
        <v>46568</v>
      </c>
      <c r="D1242" s="120">
        <f t="shared" si="495"/>
        <v>30</v>
      </c>
      <c r="E1242" s="120">
        <f t="shared" si="496"/>
        <v>6</v>
      </c>
      <c r="F1242" s="275">
        <f t="shared" si="497"/>
        <v>46554</v>
      </c>
      <c r="G1242" s="120">
        <f t="shared" si="498"/>
        <v>24329</v>
      </c>
      <c r="H1242" s="245">
        <f t="shared" si="499"/>
        <v>1</v>
      </c>
      <c r="I1242" s="121">
        <f t="shared" si="500"/>
        <v>1.0712000000000002</v>
      </c>
      <c r="J1242" s="121">
        <f t="shared" si="501"/>
        <v>1.0712000000000002</v>
      </c>
      <c r="K1242" s="120">
        <f t="shared" si="502"/>
        <v>0</v>
      </c>
      <c r="L1242" s="120">
        <f t="shared" si="503"/>
        <v>0</v>
      </c>
      <c r="M1242" s="246">
        <f t="shared" si="504"/>
        <v>0</v>
      </c>
      <c r="N1242" s="121">
        <f t="shared" si="505"/>
        <v>1.0712000000000002</v>
      </c>
      <c r="O1242" s="246">
        <f t="shared" si="506"/>
        <v>0.90435448577680533</v>
      </c>
      <c r="P1242" s="121">
        <f t="shared" si="507"/>
        <v>0</v>
      </c>
      <c r="Q1242" s="121">
        <f t="shared" si="508"/>
        <v>1</v>
      </c>
      <c r="R1242" s="121">
        <f t="shared" si="509"/>
        <v>0</v>
      </c>
      <c r="S1242" s="121" t="str">
        <f t="shared" si="510"/>
        <v/>
      </c>
      <c r="T1242" s="121" t="str">
        <f t="shared" si="511"/>
        <v/>
      </c>
      <c r="U1242" s="121">
        <f t="shared" si="512"/>
        <v>1.0712000000000002</v>
      </c>
    </row>
    <row r="1243" spans="1:21" x14ac:dyDescent="0.3">
      <c r="A1243" s="187">
        <v>31</v>
      </c>
      <c r="B1243" s="242">
        <f t="shared" si="513"/>
        <v>46569</v>
      </c>
      <c r="C1243" s="243">
        <f t="shared" si="494"/>
        <v>46599</v>
      </c>
      <c r="D1243" s="120">
        <f t="shared" si="495"/>
        <v>31</v>
      </c>
      <c r="E1243" s="120">
        <f t="shared" si="496"/>
        <v>7</v>
      </c>
      <c r="F1243" s="275">
        <f t="shared" si="497"/>
        <v>46584.5</v>
      </c>
      <c r="G1243" s="120">
        <f t="shared" si="498"/>
        <v>24330</v>
      </c>
      <c r="H1243" s="245">
        <f t="shared" si="499"/>
        <v>1</v>
      </c>
      <c r="I1243" s="121">
        <f t="shared" si="500"/>
        <v>1.0712000000000002</v>
      </c>
      <c r="J1243" s="121">
        <f t="shared" si="501"/>
        <v>1.0712000000000002</v>
      </c>
      <c r="K1243" s="120">
        <f t="shared" si="502"/>
        <v>0</v>
      </c>
      <c r="L1243" s="120">
        <f t="shared" si="503"/>
        <v>0</v>
      </c>
      <c r="M1243" s="246">
        <f t="shared" si="504"/>
        <v>0</v>
      </c>
      <c r="N1243" s="121">
        <f t="shared" si="505"/>
        <v>1.0712000000000002</v>
      </c>
      <c r="O1243" s="246">
        <f t="shared" si="506"/>
        <v>0.90368708971553613</v>
      </c>
      <c r="P1243" s="121">
        <f t="shared" si="507"/>
        <v>0</v>
      </c>
      <c r="Q1243" s="121">
        <f t="shared" si="508"/>
        <v>0.91666666666666663</v>
      </c>
      <c r="R1243" s="121">
        <f t="shared" si="509"/>
        <v>8.333333333333337E-2</v>
      </c>
      <c r="S1243" s="121" t="str">
        <f t="shared" si="510"/>
        <v/>
      </c>
      <c r="T1243" s="121" t="str">
        <f t="shared" si="511"/>
        <v/>
      </c>
      <c r="U1243" s="121">
        <f t="shared" si="512"/>
        <v>1.0712000000000002</v>
      </c>
    </row>
    <row r="1244" spans="1:21" x14ac:dyDescent="0.3">
      <c r="A1244" s="187">
        <v>32</v>
      </c>
      <c r="B1244" s="242">
        <f t="shared" si="513"/>
        <v>46600</v>
      </c>
      <c r="C1244" s="243">
        <f t="shared" si="494"/>
        <v>46630</v>
      </c>
      <c r="D1244" s="120">
        <f t="shared" si="495"/>
        <v>31</v>
      </c>
      <c r="E1244" s="120">
        <f t="shared" si="496"/>
        <v>8</v>
      </c>
      <c r="F1244" s="275">
        <f t="shared" si="497"/>
        <v>46615.5</v>
      </c>
      <c r="G1244" s="120">
        <f t="shared" si="498"/>
        <v>24331</v>
      </c>
      <c r="H1244" s="245">
        <f t="shared" si="499"/>
        <v>1</v>
      </c>
      <c r="I1244" s="121">
        <f t="shared" si="500"/>
        <v>1.0712000000000002</v>
      </c>
      <c r="J1244" s="121">
        <f t="shared" si="501"/>
        <v>1.0712000000000002</v>
      </c>
      <c r="K1244" s="120">
        <f t="shared" si="502"/>
        <v>0</v>
      </c>
      <c r="L1244" s="120">
        <f t="shared" si="503"/>
        <v>0</v>
      </c>
      <c r="M1244" s="246">
        <f t="shared" si="504"/>
        <v>0</v>
      </c>
      <c r="N1244" s="121">
        <f t="shared" si="505"/>
        <v>1.0712000000000002</v>
      </c>
      <c r="O1244" s="246">
        <f t="shared" si="506"/>
        <v>0.90300875273522974</v>
      </c>
      <c r="P1244" s="121">
        <f t="shared" si="507"/>
        <v>0</v>
      </c>
      <c r="Q1244" s="121">
        <f t="shared" si="508"/>
        <v>0.75</v>
      </c>
      <c r="R1244" s="121">
        <f t="shared" si="509"/>
        <v>0.25</v>
      </c>
      <c r="S1244" s="121" t="str">
        <f t="shared" si="510"/>
        <v/>
      </c>
      <c r="T1244" s="121" t="str">
        <f t="shared" si="511"/>
        <v/>
      </c>
      <c r="U1244" s="121">
        <f t="shared" si="512"/>
        <v>1.0712000000000002</v>
      </c>
    </row>
    <row r="1245" spans="1:21" x14ac:dyDescent="0.3">
      <c r="A1245" s="187">
        <v>33</v>
      </c>
      <c r="B1245" s="242">
        <f t="shared" si="513"/>
        <v>46631</v>
      </c>
      <c r="C1245" s="243">
        <f t="shared" si="494"/>
        <v>46660</v>
      </c>
      <c r="D1245" s="120">
        <f t="shared" si="495"/>
        <v>30</v>
      </c>
      <c r="E1245" s="120">
        <f t="shared" si="496"/>
        <v>9</v>
      </c>
      <c r="F1245" s="275">
        <f t="shared" si="497"/>
        <v>46646</v>
      </c>
      <c r="G1245" s="120">
        <f t="shared" si="498"/>
        <v>24332</v>
      </c>
      <c r="H1245" s="245">
        <f t="shared" si="499"/>
        <v>1</v>
      </c>
      <c r="I1245" s="121">
        <f t="shared" si="500"/>
        <v>1.0712000000000002</v>
      </c>
      <c r="J1245" s="121">
        <f t="shared" si="501"/>
        <v>1.0712000000000002</v>
      </c>
      <c r="K1245" s="120">
        <f t="shared" si="502"/>
        <v>0</v>
      </c>
      <c r="L1245" s="120">
        <f t="shared" si="503"/>
        <v>0</v>
      </c>
      <c r="M1245" s="246">
        <f t="shared" si="504"/>
        <v>0</v>
      </c>
      <c r="N1245" s="121">
        <f t="shared" si="505"/>
        <v>1.0712000000000002</v>
      </c>
      <c r="O1245" s="246">
        <f t="shared" si="506"/>
        <v>0.90234135667396065</v>
      </c>
      <c r="P1245" s="121">
        <f t="shared" si="507"/>
        <v>0</v>
      </c>
      <c r="Q1245" s="121">
        <f t="shared" si="508"/>
        <v>0.58333333333333337</v>
      </c>
      <c r="R1245" s="121">
        <f t="shared" si="509"/>
        <v>0.41666666666666663</v>
      </c>
      <c r="S1245" s="121" t="str">
        <f t="shared" si="510"/>
        <v/>
      </c>
      <c r="T1245" s="121" t="str">
        <f t="shared" si="511"/>
        <v/>
      </c>
      <c r="U1245" s="121">
        <f t="shared" si="512"/>
        <v>1.0712000000000002</v>
      </c>
    </row>
    <row r="1246" spans="1:21" x14ac:dyDescent="0.3">
      <c r="A1246" s="187">
        <v>34</v>
      </c>
      <c r="B1246" s="242">
        <f t="shared" si="513"/>
        <v>46661</v>
      </c>
      <c r="C1246" s="243">
        <f t="shared" si="494"/>
        <v>46691</v>
      </c>
      <c r="D1246" s="120">
        <f t="shared" si="495"/>
        <v>31</v>
      </c>
      <c r="E1246" s="120">
        <f t="shared" si="496"/>
        <v>10</v>
      </c>
      <c r="F1246" s="275">
        <f t="shared" si="497"/>
        <v>46676.5</v>
      </c>
      <c r="G1246" s="120">
        <f t="shared" si="498"/>
        <v>24333</v>
      </c>
      <c r="H1246" s="245">
        <f t="shared" si="499"/>
        <v>1</v>
      </c>
      <c r="I1246" s="121">
        <f t="shared" si="500"/>
        <v>1.0712000000000002</v>
      </c>
      <c r="J1246" s="121">
        <f t="shared" si="501"/>
        <v>1.0712000000000002</v>
      </c>
      <c r="K1246" s="120">
        <f t="shared" si="502"/>
        <v>0</v>
      </c>
      <c r="L1246" s="120">
        <f t="shared" si="503"/>
        <v>0</v>
      </c>
      <c r="M1246" s="246">
        <f t="shared" si="504"/>
        <v>0</v>
      </c>
      <c r="N1246" s="121">
        <f t="shared" si="505"/>
        <v>1.0712000000000002</v>
      </c>
      <c r="O1246" s="246">
        <f t="shared" si="506"/>
        <v>0.90167396061269145</v>
      </c>
      <c r="P1246" s="121">
        <f t="shared" si="507"/>
        <v>0</v>
      </c>
      <c r="Q1246" s="121">
        <f t="shared" si="508"/>
        <v>0.41666666666666669</v>
      </c>
      <c r="R1246" s="121">
        <f t="shared" si="509"/>
        <v>0.58333333333333326</v>
      </c>
      <c r="S1246" s="121" t="str">
        <f t="shared" si="510"/>
        <v/>
      </c>
      <c r="T1246" s="121" t="str">
        <f t="shared" si="511"/>
        <v/>
      </c>
      <c r="U1246" s="121">
        <f t="shared" si="512"/>
        <v>1.0712000000000002</v>
      </c>
    </row>
    <row r="1247" spans="1:21" x14ac:dyDescent="0.3">
      <c r="A1247" s="187">
        <v>35</v>
      </c>
      <c r="B1247" s="242">
        <f t="shared" si="513"/>
        <v>46692</v>
      </c>
      <c r="C1247" s="243">
        <f t="shared" si="494"/>
        <v>46721</v>
      </c>
      <c r="D1247" s="120">
        <f t="shared" si="495"/>
        <v>30</v>
      </c>
      <c r="E1247" s="120">
        <f t="shared" si="496"/>
        <v>11</v>
      </c>
      <c r="F1247" s="275">
        <f t="shared" si="497"/>
        <v>46707</v>
      </c>
      <c r="G1247" s="120">
        <f t="shared" si="498"/>
        <v>24334</v>
      </c>
      <c r="H1247" s="245">
        <f t="shared" si="499"/>
        <v>1</v>
      </c>
      <c r="I1247" s="121">
        <f t="shared" si="500"/>
        <v>1.0712000000000002</v>
      </c>
      <c r="J1247" s="121">
        <f t="shared" si="501"/>
        <v>1.0712000000000002</v>
      </c>
      <c r="K1247" s="120">
        <f t="shared" si="502"/>
        <v>0</v>
      </c>
      <c r="L1247" s="120">
        <f t="shared" si="503"/>
        <v>0</v>
      </c>
      <c r="M1247" s="246">
        <f t="shared" si="504"/>
        <v>0</v>
      </c>
      <c r="N1247" s="121">
        <f t="shared" si="505"/>
        <v>1.0712000000000002</v>
      </c>
      <c r="O1247" s="246">
        <f t="shared" si="506"/>
        <v>0.90100656455142236</v>
      </c>
      <c r="P1247" s="121">
        <f t="shared" si="507"/>
        <v>0</v>
      </c>
      <c r="Q1247" s="121">
        <f t="shared" si="508"/>
        <v>0.25</v>
      </c>
      <c r="R1247" s="121">
        <f t="shared" si="509"/>
        <v>0.75</v>
      </c>
      <c r="S1247" s="121" t="str">
        <f t="shared" si="510"/>
        <v/>
      </c>
      <c r="T1247" s="121" t="str">
        <f t="shared" si="511"/>
        <v/>
      </c>
      <c r="U1247" s="121">
        <f t="shared" si="512"/>
        <v>1.0712000000000002</v>
      </c>
    </row>
    <row r="1248" spans="1:21" x14ac:dyDescent="0.3">
      <c r="A1248" s="187">
        <v>36</v>
      </c>
      <c r="B1248" s="242">
        <f t="shared" si="513"/>
        <v>46722</v>
      </c>
      <c r="C1248" s="243">
        <f t="shared" si="494"/>
        <v>46752</v>
      </c>
      <c r="D1248" s="120">
        <f t="shared" si="495"/>
        <v>31</v>
      </c>
      <c r="E1248" s="120">
        <f t="shared" si="496"/>
        <v>12</v>
      </c>
      <c r="F1248" s="275">
        <f t="shared" si="497"/>
        <v>46737.5</v>
      </c>
      <c r="G1248" s="120">
        <f t="shared" si="498"/>
        <v>24335</v>
      </c>
      <c r="H1248" s="245">
        <f t="shared" si="499"/>
        <v>1</v>
      </c>
      <c r="I1248" s="121">
        <f t="shared" si="500"/>
        <v>1.0712000000000002</v>
      </c>
      <c r="J1248" s="121">
        <f t="shared" si="501"/>
        <v>1.0712000000000002</v>
      </c>
      <c r="K1248" s="120">
        <f t="shared" si="502"/>
        <v>0</v>
      </c>
      <c r="L1248" s="120">
        <f t="shared" si="503"/>
        <v>0</v>
      </c>
      <c r="M1248" s="246">
        <f t="shared" si="504"/>
        <v>0</v>
      </c>
      <c r="N1248" s="121">
        <f t="shared" si="505"/>
        <v>1.0712000000000002</v>
      </c>
      <c r="O1248" s="246">
        <f t="shared" si="506"/>
        <v>0.90033916849015316</v>
      </c>
      <c r="P1248" s="121">
        <f t="shared" si="507"/>
        <v>0</v>
      </c>
      <c r="Q1248" s="121">
        <f t="shared" si="508"/>
        <v>8.3333333333333329E-2</v>
      </c>
      <c r="R1248" s="121">
        <f t="shared" si="509"/>
        <v>0.91666666666666663</v>
      </c>
      <c r="S1248" s="121" t="str">
        <f t="shared" si="510"/>
        <v/>
      </c>
      <c r="T1248" s="121" t="str">
        <f t="shared" si="511"/>
        <v/>
      </c>
      <c r="U1248" s="121">
        <f t="shared" si="512"/>
        <v>1.0712000000000002</v>
      </c>
    </row>
    <row r="1249" spans="1:21" x14ac:dyDescent="0.3">
      <c r="A1249" s="187">
        <v>37</v>
      </c>
      <c r="B1249" s="242">
        <f t="shared" si="513"/>
        <v>46753</v>
      </c>
      <c r="C1249" s="243">
        <f t="shared" si="494"/>
        <v>46783</v>
      </c>
      <c r="D1249" s="120">
        <f t="shared" si="495"/>
        <v>31</v>
      </c>
      <c r="E1249" s="120">
        <f t="shared" si="496"/>
        <v>1</v>
      </c>
      <c r="F1249" s="275">
        <f t="shared" si="497"/>
        <v>46768.5</v>
      </c>
      <c r="G1249" s="120">
        <f t="shared" si="498"/>
        <v>24336</v>
      </c>
      <c r="H1249" s="245">
        <f t="shared" si="499"/>
        <v>1</v>
      </c>
      <c r="I1249" s="121">
        <f t="shared" si="500"/>
        <v>1.0712000000000002</v>
      </c>
      <c r="J1249" s="121">
        <f t="shared" si="501"/>
        <v>1.0712000000000002</v>
      </c>
      <c r="K1249" s="120">
        <f t="shared" si="502"/>
        <v>0</v>
      </c>
      <c r="L1249" s="120">
        <f t="shared" si="503"/>
        <v>0</v>
      </c>
      <c r="M1249" s="246">
        <f t="shared" si="504"/>
        <v>0</v>
      </c>
      <c r="N1249" s="121">
        <f t="shared" si="505"/>
        <v>1.0712000000000002</v>
      </c>
      <c r="O1249" s="246">
        <f t="shared" si="506"/>
        <v>0.9</v>
      </c>
      <c r="P1249" s="121">
        <f t="shared" si="507"/>
        <v>0</v>
      </c>
      <c r="Q1249" s="121">
        <f t="shared" si="508"/>
        <v>0</v>
      </c>
      <c r="R1249" s="121">
        <f t="shared" si="509"/>
        <v>1</v>
      </c>
      <c r="S1249" s="121" t="str">
        <f t="shared" si="510"/>
        <v/>
      </c>
      <c r="T1249" s="121" t="str">
        <f t="shared" si="511"/>
        <v/>
      </c>
      <c r="U1249" s="121">
        <f t="shared" si="512"/>
        <v>1.0712000000000002</v>
      </c>
    </row>
    <row r="1250" spans="1:21" x14ac:dyDescent="0.3">
      <c r="A1250" s="187">
        <v>38</v>
      </c>
      <c r="B1250" s="242">
        <f t="shared" si="513"/>
        <v>46784</v>
      </c>
      <c r="C1250" s="243">
        <f t="shared" si="494"/>
        <v>46812</v>
      </c>
      <c r="D1250" s="120">
        <f t="shared" si="495"/>
        <v>29</v>
      </c>
      <c r="E1250" s="120">
        <f t="shared" si="496"/>
        <v>2</v>
      </c>
      <c r="F1250" s="275">
        <f t="shared" si="497"/>
        <v>46798.5</v>
      </c>
      <c r="G1250" s="120">
        <f t="shared" si="498"/>
        <v>24337</v>
      </c>
      <c r="H1250" s="245">
        <f t="shared" si="499"/>
        <v>1</v>
      </c>
      <c r="I1250" s="121">
        <f t="shared" si="500"/>
        <v>1.0712000000000002</v>
      </c>
      <c r="J1250" s="121">
        <f t="shared" si="501"/>
        <v>1.0712000000000002</v>
      </c>
      <c r="K1250" s="120">
        <f t="shared" si="502"/>
        <v>0</v>
      </c>
      <c r="L1250" s="120">
        <f t="shared" si="503"/>
        <v>0</v>
      </c>
      <c r="M1250" s="246">
        <f t="shared" si="504"/>
        <v>0</v>
      </c>
      <c r="N1250" s="121">
        <f t="shared" si="505"/>
        <v>1.0712000000000002</v>
      </c>
      <c r="O1250" s="246">
        <f t="shared" si="506"/>
        <v>0.9</v>
      </c>
      <c r="P1250" s="121">
        <f t="shared" si="507"/>
        <v>0</v>
      </c>
      <c r="Q1250" s="121">
        <f t="shared" si="508"/>
        <v>0</v>
      </c>
      <c r="R1250" s="121">
        <f t="shared" si="509"/>
        <v>1</v>
      </c>
      <c r="S1250" s="121" t="str">
        <f t="shared" si="510"/>
        <v/>
      </c>
      <c r="T1250" s="121" t="str">
        <f t="shared" si="511"/>
        <v/>
      </c>
      <c r="U1250" s="121">
        <f t="shared" si="512"/>
        <v>1.0712000000000002</v>
      </c>
    </row>
    <row r="1251" spans="1:21" x14ac:dyDescent="0.3">
      <c r="A1251" s="187">
        <v>39</v>
      </c>
      <c r="B1251" s="242">
        <f t="shared" si="513"/>
        <v>46813</v>
      </c>
      <c r="C1251" s="243">
        <f t="shared" si="494"/>
        <v>46843</v>
      </c>
      <c r="D1251" s="120">
        <f t="shared" si="495"/>
        <v>31</v>
      </c>
      <c r="E1251" s="120">
        <f t="shared" si="496"/>
        <v>3</v>
      </c>
      <c r="F1251" s="275">
        <f t="shared" si="497"/>
        <v>46828.5</v>
      </c>
      <c r="G1251" s="120">
        <f t="shared" si="498"/>
        <v>24338</v>
      </c>
      <c r="H1251" s="245">
        <f t="shared" si="499"/>
        <v>1</v>
      </c>
      <c r="I1251" s="121">
        <f t="shared" si="500"/>
        <v>1.0712000000000002</v>
      </c>
      <c r="J1251" s="121">
        <f t="shared" si="501"/>
        <v>1.0712000000000002</v>
      </c>
      <c r="K1251" s="120">
        <f t="shared" si="502"/>
        <v>0</v>
      </c>
      <c r="L1251" s="120">
        <f t="shared" si="503"/>
        <v>0</v>
      </c>
      <c r="M1251" s="246">
        <f t="shared" si="504"/>
        <v>0</v>
      </c>
      <c r="N1251" s="121">
        <f t="shared" si="505"/>
        <v>1.0712000000000002</v>
      </c>
      <c r="O1251" s="246">
        <f t="shared" si="506"/>
        <v>0.9</v>
      </c>
      <c r="P1251" s="121">
        <f t="shared" si="507"/>
        <v>0</v>
      </c>
      <c r="Q1251" s="121">
        <f t="shared" si="508"/>
        <v>0</v>
      </c>
      <c r="R1251" s="121">
        <f t="shared" si="509"/>
        <v>1</v>
      </c>
      <c r="S1251" s="121" t="str">
        <f t="shared" si="510"/>
        <v/>
      </c>
      <c r="T1251" s="121" t="str">
        <f t="shared" si="511"/>
        <v/>
      </c>
      <c r="U1251" s="121">
        <f t="shared" si="512"/>
        <v>1.0712000000000002</v>
      </c>
    </row>
    <row r="1252" spans="1:21" x14ac:dyDescent="0.3">
      <c r="A1252" s="187">
        <v>40</v>
      </c>
      <c r="B1252" s="242">
        <f t="shared" si="513"/>
        <v>46844</v>
      </c>
      <c r="C1252" s="243">
        <f t="shared" si="494"/>
        <v>46873</v>
      </c>
      <c r="D1252" s="120">
        <f t="shared" si="495"/>
        <v>30</v>
      </c>
      <c r="E1252" s="120">
        <f t="shared" si="496"/>
        <v>4</v>
      </c>
      <c r="F1252" s="275">
        <f t="shared" si="497"/>
        <v>46859</v>
      </c>
      <c r="G1252" s="120">
        <f t="shared" si="498"/>
        <v>24339</v>
      </c>
      <c r="H1252" s="245">
        <f t="shared" si="499"/>
        <v>1</v>
      </c>
      <c r="I1252" s="121">
        <f t="shared" si="500"/>
        <v>1.0712000000000002</v>
      </c>
      <c r="J1252" s="121">
        <f t="shared" si="501"/>
        <v>1.0712000000000002</v>
      </c>
      <c r="K1252" s="120">
        <f t="shared" si="502"/>
        <v>0</v>
      </c>
      <c r="L1252" s="120">
        <f t="shared" si="503"/>
        <v>0</v>
      </c>
      <c r="M1252" s="246">
        <f t="shared" si="504"/>
        <v>0</v>
      </c>
      <c r="N1252" s="121">
        <f t="shared" si="505"/>
        <v>1.0712000000000002</v>
      </c>
      <c r="O1252" s="246">
        <f t="shared" si="506"/>
        <v>0.9</v>
      </c>
      <c r="P1252" s="121">
        <f t="shared" si="507"/>
        <v>0</v>
      </c>
      <c r="Q1252" s="121">
        <f t="shared" si="508"/>
        <v>0</v>
      </c>
      <c r="R1252" s="121">
        <f t="shared" si="509"/>
        <v>1</v>
      </c>
      <c r="S1252" s="121" t="str">
        <f t="shared" si="510"/>
        <v/>
      </c>
      <c r="T1252" s="121" t="str">
        <f t="shared" si="511"/>
        <v/>
      </c>
      <c r="U1252" s="121">
        <f t="shared" si="512"/>
        <v>1.0712000000000002</v>
      </c>
    </row>
    <row r="1253" spans="1:21" x14ac:dyDescent="0.3">
      <c r="A1253" s="187">
        <v>41</v>
      </c>
      <c r="B1253" s="242">
        <f t="shared" si="513"/>
        <v>46874</v>
      </c>
      <c r="C1253" s="243">
        <f t="shared" si="494"/>
        <v>46904</v>
      </c>
      <c r="D1253" s="120">
        <f t="shared" si="495"/>
        <v>31</v>
      </c>
      <c r="E1253" s="120">
        <f t="shared" si="496"/>
        <v>5</v>
      </c>
      <c r="F1253" s="275">
        <f t="shared" si="497"/>
        <v>46889.5</v>
      </c>
      <c r="G1253" s="120">
        <f t="shared" si="498"/>
        <v>24340</v>
      </c>
      <c r="H1253" s="245">
        <f t="shared" si="499"/>
        <v>1</v>
      </c>
      <c r="I1253" s="121">
        <f t="shared" si="500"/>
        <v>1.0712000000000002</v>
      </c>
      <c r="J1253" s="121">
        <f t="shared" si="501"/>
        <v>1.0712000000000002</v>
      </c>
      <c r="K1253" s="120">
        <f t="shared" si="502"/>
        <v>0</v>
      </c>
      <c r="L1253" s="120">
        <f t="shared" si="503"/>
        <v>0</v>
      </c>
      <c r="M1253" s="246">
        <f t="shared" si="504"/>
        <v>0</v>
      </c>
      <c r="N1253" s="121">
        <f t="shared" si="505"/>
        <v>1.0712000000000002</v>
      </c>
      <c r="O1253" s="246">
        <f t="shared" si="506"/>
        <v>0.9</v>
      </c>
      <c r="P1253" s="121">
        <f t="shared" si="507"/>
        <v>0</v>
      </c>
      <c r="Q1253" s="121">
        <f t="shared" si="508"/>
        <v>0</v>
      </c>
      <c r="R1253" s="121">
        <f t="shared" si="509"/>
        <v>1</v>
      </c>
      <c r="S1253" s="121" t="str">
        <f t="shared" si="510"/>
        <v/>
      </c>
      <c r="T1253" s="121" t="str">
        <f t="shared" si="511"/>
        <v/>
      </c>
      <c r="U1253" s="121">
        <f t="shared" si="512"/>
        <v>1.0712000000000002</v>
      </c>
    </row>
    <row r="1254" spans="1:21" x14ac:dyDescent="0.3">
      <c r="A1254" s="187">
        <v>42</v>
      </c>
      <c r="B1254" s="242">
        <f t="shared" si="513"/>
        <v>46905</v>
      </c>
      <c r="C1254" s="243">
        <f t="shared" si="494"/>
        <v>46934</v>
      </c>
      <c r="D1254" s="120">
        <f t="shared" si="495"/>
        <v>30</v>
      </c>
      <c r="E1254" s="120">
        <f t="shared" si="496"/>
        <v>6</v>
      </c>
      <c r="F1254" s="275">
        <f t="shared" si="497"/>
        <v>46920</v>
      </c>
      <c r="G1254" s="120">
        <f t="shared" si="498"/>
        <v>24341</v>
      </c>
      <c r="H1254" s="245">
        <f t="shared" si="499"/>
        <v>1</v>
      </c>
      <c r="I1254" s="121">
        <f t="shared" si="500"/>
        <v>1.0712000000000002</v>
      </c>
      <c r="J1254" s="121">
        <f t="shared" si="501"/>
        <v>1.0712000000000002</v>
      </c>
      <c r="K1254" s="120">
        <f t="shared" si="502"/>
        <v>0</v>
      </c>
      <c r="L1254" s="120">
        <f t="shared" si="503"/>
        <v>0</v>
      </c>
      <c r="M1254" s="246">
        <f t="shared" si="504"/>
        <v>0</v>
      </c>
      <c r="N1254" s="121">
        <f t="shared" si="505"/>
        <v>1.0712000000000002</v>
      </c>
      <c r="O1254" s="246">
        <f t="shared" si="506"/>
        <v>0.9</v>
      </c>
      <c r="P1254" s="121">
        <f t="shared" si="507"/>
        <v>0</v>
      </c>
      <c r="Q1254" s="121">
        <f t="shared" si="508"/>
        <v>0</v>
      </c>
      <c r="R1254" s="121">
        <f t="shared" si="509"/>
        <v>1</v>
      </c>
      <c r="S1254" s="121" t="str">
        <f t="shared" si="510"/>
        <v/>
      </c>
      <c r="T1254" s="121" t="str">
        <f t="shared" si="511"/>
        <v/>
      </c>
      <c r="U1254" s="121">
        <f t="shared" si="512"/>
        <v>1.0712000000000002</v>
      </c>
    </row>
    <row r="1255" spans="1:21" x14ac:dyDescent="0.3">
      <c r="A1255" s="187">
        <v>43</v>
      </c>
      <c r="B1255" s="242">
        <f t="shared" si="513"/>
        <v>46935</v>
      </c>
      <c r="C1255" s="243">
        <f t="shared" si="494"/>
        <v>46965</v>
      </c>
      <c r="D1255" s="120">
        <f t="shared" si="495"/>
        <v>31</v>
      </c>
      <c r="E1255" s="120">
        <f t="shared" si="496"/>
        <v>7</v>
      </c>
      <c r="F1255" s="275">
        <f t="shared" si="497"/>
        <v>46950.5</v>
      </c>
      <c r="G1255" s="120">
        <f t="shared" si="498"/>
        <v>24342</v>
      </c>
      <c r="H1255" s="245">
        <f t="shared" si="499"/>
        <v>1</v>
      </c>
      <c r="I1255" s="121">
        <f t="shared" si="500"/>
        <v>1.0712000000000002</v>
      </c>
      <c r="J1255" s="121">
        <f t="shared" si="501"/>
        <v>1.0712000000000002</v>
      </c>
      <c r="K1255" s="120">
        <f t="shared" si="502"/>
        <v>0</v>
      </c>
      <c r="L1255" s="120">
        <f t="shared" si="503"/>
        <v>0</v>
      </c>
      <c r="M1255" s="246">
        <f t="shared" si="504"/>
        <v>0</v>
      </c>
      <c r="N1255" s="121">
        <f t="shared" si="505"/>
        <v>1.0712000000000002</v>
      </c>
      <c r="O1255" s="246">
        <f t="shared" si="506"/>
        <v>0.9</v>
      </c>
      <c r="P1255" s="121">
        <f t="shared" si="507"/>
        <v>0</v>
      </c>
      <c r="Q1255" s="121">
        <f t="shared" si="508"/>
        <v>0</v>
      </c>
      <c r="R1255" s="121">
        <f t="shared" si="509"/>
        <v>0.91666666666666663</v>
      </c>
      <c r="S1255" s="121" t="str">
        <f t="shared" si="510"/>
        <v/>
      </c>
      <c r="T1255" s="121" t="str">
        <f t="shared" si="511"/>
        <v/>
      </c>
      <c r="U1255" s="121">
        <f t="shared" si="512"/>
        <v>1.0712000000000002</v>
      </c>
    </row>
    <row r="1256" spans="1:21" x14ac:dyDescent="0.3">
      <c r="A1256" s="187">
        <v>44</v>
      </c>
      <c r="B1256" s="242">
        <f t="shared" si="513"/>
        <v>46966</v>
      </c>
      <c r="C1256" s="243">
        <f t="shared" si="494"/>
        <v>46996</v>
      </c>
      <c r="D1256" s="120">
        <f t="shared" si="495"/>
        <v>31</v>
      </c>
      <c r="E1256" s="120">
        <f t="shared" si="496"/>
        <v>8</v>
      </c>
      <c r="F1256" s="275">
        <f t="shared" si="497"/>
        <v>46981.5</v>
      </c>
      <c r="G1256" s="120">
        <f t="shared" si="498"/>
        <v>24343</v>
      </c>
      <c r="H1256" s="245">
        <f t="shared" si="499"/>
        <v>1</v>
      </c>
      <c r="I1256" s="121">
        <f t="shared" si="500"/>
        <v>1.0712000000000002</v>
      </c>
      <c r="J1256" s="121">
        <f t="shared" si="501"/>
        <v>1.0712000000000002</v>
      </c>
      <c r="K1256" s="120">
        <f t="shared" si="502"/>
        <v>0</v>
      </c>
      <c r="L1256" s="120">
        <f t="shared" si="503"/>
        <v>0</v>
      </c>
      <c r="M1256" s="246">
        <f t="shared" si="504"/>
        <v>0</v>
      </c>
      <c r="N1256" s="121">
        <f t="shared" si="505"/>
        <v>1.0712000000000002</v>
      </c>
      <c r="O1256" s="246">
        <f t="shared" si="506"/>
        <v>0.9</v>
      </c>
      <c r="P1256" s="121">
        <f t="shared" si="507"/>
        <v>0</v>
      </c>
      <c r="Q1256" s="121">
        <f t="shared" si="508"/>
        <v>0</v>
      </c>
      <c r="R1256" s="121">
        <f t="shared" si="509"/>
        <v>0.75</v>
      </c>
      <c r="S1256" s="121" t="str">
        <f t="shared" si="510"/>
        <v/>
      </c>
      <c r="T1256" s="121" t="str">
        <f t="shared" si="511"/>
        <v/>
      </c>
      <c r="U1256" s="121">
        <f t="shared" si="512"/>
        <v>1.0712000000000002</v>
      </c>
    </row>
    <row r="1257" spans="1:21" x14ac:dyDescent="0.3">
      <c r="A1257" s="187">
        <v>45</v>
      </c>
      <c r="B1257" s="242">
        <f t="shared" si="513"/>
        <v>46997</v>
      </c>
      <c r="C1257" s="243">
        <f t="shared" si="494"/>
        <v>47026</v>
      </c>
      <c r="D1257" s="120">
        <f t="shared" si="495"/>
        <v>30</v>
      </c>
      <c r="E1257" s="120">
        <f t="shared" si="496"/>
        <v>9</v>
      </c>
      <c r="F1257" s="275">
        <f t="shared" si="497"/>
        <v>47012</v>
      </c>
      <c r="G1257" s="120">
        <f t="shared" si="498"/>
        <v>24344</v>
      </c>
      <c r="H1257" s="245">
        <f t="shared" si="499"/>
        <v>1</v>
      </c>
      <c r="I1257" s="121">
        <f t="shared" si="500"/>
        <v>1.0712000000000002</v>
      </c>
      <c r="J1257" s="121">
        <f t="shared" si="501"/>
        <v>1.0712000000000002</v>
      </c>
      <c r="K1257" s="120">
        <f t="shared" si="502"/>
        <v>0</v>
      </c>
      <c r="L1257" s="120">
        <f t="shared" si="503"/>
        <v>0</v>
      </c>
      <c r="M1257" s="246">
        <f t="shared" si="504"/>
        <v>0</v>
      </c>
      <c r="N1257" s="121">
        <f t="shared" si="505"/>
        <v>1.0712000000000002</v>
      </c>
      <c r="O1257" s="246">
        <f t="shared" si="506"/>
        <v>0.9</v>
      </c>
      <c r="P1257" s="121">
        <f t="shared" si="507"/>
        <v>0</v>
      </c>
      <c r="Q1257" s="121">
        <f t="shared" si="508"/>
        <v>0</v>
      </c>
      <c r="R1257" s="121">
        <f t="shared" si="509"/>
        <v>0.58333333333333337</v>
      </c>
      <c r="S1257" s="121" t="str">
        <f t="shared" si="510"/>
        <v/>
      </c>
      <c r="T1257" s="121" t="str">
        <f t="shared" si="511"/>
        <v/>
      </c>
      <c r="U1257" s="121">
        <f t="shared" si="512"/>
        <v>1.0712000000000002</v>
      </c>
    </row>
    <row r="1258" spans="1:21" x14ac:dyDescent="0.3">
      <c r="A1258" s="187">
        <v>46</v>
      </c>
      <c r="B1258" s="242">
        <f t="shared" si="513"/>
        <v>47027</v>
      </c>
      <c r="C1258" s="243">
        <f t="shared" si="494"/>
        <v>47057</v>
      </c>
      <c r="D1258" s="120">
        <f t="shared" si="495"/>
        <v>31</v>
      </c>
      <c r="E1258" s="120">
        <f t="shared" si="496"/>
        <v>10</v>
      </c>
      <c r="F1258" s="275">
        <f t="shared" si="497"/>
        <v>47042.5</v>
      </c>
      <c r="G1258" s="120">
        <f t="shared" si="498"/>
        <v>24345</v>
      </c>
      <c r="H1258" s="245">
        <f t="shared" si="499"/>
        <v>1</v>
      </c>
      <c r="I1258" s="121">
        <f t="shared" si="500"/>
        <v>1.0712000000000002</v>
      </c>
      <c r="J1258" s="121">
        <f t="shared" si="501"/>
        <v>1.0712000000000002</v>
      </c>
      <c r="K1258" s="120">
        <f t="shared" si="502"/>
        <v>0</v>
      </c>
      <c r="L1258" s="120">
        <f t="shared" si="503"/>
        <v>0</v>
      </c>
      <c r="M1258" s="246">
        <f t="shared" si="504"/>
        <v>0</v>
      </c>
      <c r="N1258" s="121">
        <f t="shared" si="505"/>
        <v>1.0712000000000002</v>
      </c>
      <c r="O1258" s="246">
        <f t="shared" si="506"/>
        <v>0.9</v>
      </c>
      <c r="P1258" s="121">
        <f t="shared" si="507"/>
        <v>0</v>
      </c>
      <c r="Q1258" s="121">
        <f t="shared" si="508"/>
        <v>0</v>
      </c>
      <c r="R1258" s="121">
        <f t="shared" si="509"/>
        <v>0.41666666666666669</v>
      </c>
      <c r="S1258" s="121" t="str">
        <f t="shared" si="510"/>
        <v/>
      </c>
      <c r="T1258" s="121" t="str">
        <f t="shared" si="511"/>
        <v/>
      </c>
      <c r="U1258" s="121">
        <f t="shared" si="512"/>
        <v>1.0712000000000002</v>
      </c>
    </row>
    <row r="1259" spans="1:21" x14ac:dyDescent="0.3">
      <c r="A1259" s="187">
        <v>47</v>
      </c>
      <c r="B1259" s="242">
        <f t="shared" si="513"/>
        <v>47058</v>
      </c>
      <c r="C1259" s="243">
        <f t="shared" si="494"/>
        <v>47087</v>
      </c>
      <c r="D1259" s="120">
        <f t="shared" si="495"/>
        <v>30</v>
      </c>
      <c r="E1259" s="120">
        <f t="shared" si="496"/>
        <v>11</v>
      </c>
      <c r="F1259" s="275">
        <f t="shared" si="497"/>
        <v>47073</v>
      </c>
      <c r="G1259" s="120">
        <f t="shared" si="498"/>
        <v>24346</v>
      </c>
      <c r="H1259" s="245">
        <f t="shared" si="499"/>
        <v>1</v>
      </c>
      <c r="I1259" s="121">
        <f t="shared" si="500"/>
        <v>1.0712000000000002</v>
      </c>
      <c r="J1259" s="121">
        <f t="shared" si="501"/>
        <v>1.0712000000000002</v>
      </c>
      <c r="K1259" s="120">
        <f t="shared" si="502"/>
        <v>0</v>
      </c>
      <c r="L1259" s="120">
        <f t="shared" si="503"/>
        <v>0</v>
      </c>
      <c r="M1259" s="246">
        <f t="shared" si="504"/>
        <v>0</v>
      </c>
      <c r="N1259" s="121">
        <f t="shared" si="505"/>
        <v>1.0712000000000002</v>
      </c>
      <c r="O1259" s="246">
        <f t="shared" si="506"/>
        <v>0.9</v>
      </c>
      <c r="P1259" s="121">
        <f t="shared" si="507"/>
        <v>0</v>
      </c>
      <c r="Q1259" s="121">
        <f t="shared" si="508"/>
        <v>0</v>
      </c>
      <c r="R1259" s="121">
        <f t="shared" si="509"/>
        <v>0.25</v>
      </c>
      <c r="S1259" s="121" t="str">
        <f t="shared" si="510"/>
        <v/>
      </c>
      <c r="T1259" s="121" t="str">
        <f t="shared" si="511"/>
        <v/>
      </c>
      <c r="U1259" s="121">
        <f t="shared" si="512"/>
        <v>1.0712000000000002</v>
      </c>
    </row>
    <row r="1260" spans="1:21" x14ac:dyDescent="0.3">
      <c r="A1260" s="187">
        <v>48</v>
      </c>
      <c r="B1260" s="242">
        <f t="shared" si="513"/>
        <v>47088</v>
      </c>
      <c r="C1260" s="243">
        <f t="shared" si="494"/>
        <v>47118</v>
      </c>
      <c r="D1260" s="120">
        <f t="shared" si="495"/>
        <v>31</v>
      </c>
      <c r="E1260" s="120">
        <f t="shared" si="496"/>
        <v>12</v>
      </c>
      <c r="F1260" s="275">
        <f t="shared" si="497"/>
        <v>47103.5</v>
      </c>
      <c r="G1260" s="120">
        <f t="shared" si="498"/>
        <v>24347</v>
      </c>
      <c r="H1260" s="245">
        <f t="shared" si="499"/>
        <v>1</v>
      </c>
      <c r="I1260" s="121">
        <f t="shared" si="500"/>
        <v>1.0712000000000002</v>
      </c>
      <c r="J1260" s="121">
        <f t="shared" si="501"/>
        <v>1.0712000000000002</v>
      </c>
      <c r="K1260" s="120">
        <f t="shared" si="502"/>
        <v>0</v>
      </c>
      <c r="L1260" s="120">
        <f t="shared" si="503"/>
        <v>0</v>
      </c>
      <c r="M1260" s="246">
        <f t="shared" si="504"/>
        <v>0</v>
      </c>
      <c r="N1260" s="121">
        <f t="shared" si="505"/>
        <v>1.0712000000000002</v>
      </c>
      <c r="O1260" s="246">
        <f t="shared" si="506"/>
        <v>0.9</v>
      </c>
      <c r="P1260" s="121">
        <f t="shared" si="507"/>
        <v>0</v>
      </c>
      <c r="Q1260" s="121">
        <f t="shared" si="508"/>
        <v>0</v>
      </c>
      <c r="R1260" s="121">
        <f t="shared" si="509"/>
        <v>8.3333333333333329E-2</v>
      </c>
      <c r="S1260" s="121" t="str">
        <f t="shared" si="510"/>
        <v/>
      </c>
      <c r="T1260" s="121" t="str">
        <f t="shared" si="511"/>
        <v/>
      </c>
      <c r="U1260" s="121">
        <f t="shared" si="512"/>
        <v>1.0712000000000002</v>
      </c>
    </row>
    <row r="1261" spans="1:21" x14ac:dyDescent="0.3">
      <c r="A1261" s="6" t="s">
        <v>1651</v>
      </c>
      <c r="B1261" s="73">
        <f>EXP(SUMPRODUCT((rl_key=$A$1210)*(rl_cons="Y")*rl_ln1p))</f>
        <v>1.03</v>
      </c>
      <c r="C1261" s="73">
        <f>SUMPRODUCT($H$1213:$H$1260,$P$1213:$P$1260,$U$1213:$U$1260)/SUMPRODUCT($H$1213:$H$1260,$P$1213:$P$1260)</f>
        <v>1.0018750000000001</v>
      </c>
      <c r="D1261" s="73">
        <f>SUMPRODUCT($H$1213:$H$1260,$Q$1213:$Q$1260,$U$1213:$U$1260)/SUMPRODUCT($H$1213:$H$1260,$Q$1213:$Q$1260)</f>
        <v>1.0555916666666669</v>
      </c>
      <c r="E1261" s="73">
        <f>SUMPRODUCT($H$1213:$H$1260,$R$1213:$R$1260,$U$1213:$U$1260)/SUMPRODUCT($H$1213:$H$1260,$R$1213:$R$1260)</f>
        <v>1.0712000000000004</v>
      </c>
      <c r="F1261" s="224">
        <f>SUMPRODUCT($H$1213:$H$1260,$Q$1213:$Q$1260,$O$1213:$O$1260)/SUMPRODUCT($H$1213:$H$1260,$Q$1213:$Q$1260)</f>
        <v>0.90600747629467537</v>
      </c>
      <c r="G1261" s="224">
        <f>SUMPRODUCT($H$1213:$H$1260,$R$1213:$R$1260,$O$1213:$O$1260)/SUMPRODUCT($H$1213:$H$1260,$R$1213:$R$1260)</f>
        <v>0.90033977631898854</v>
      </c>
      <c r="H1261" s="73">
        <f>SUMPRODUCT($H$1237:$H$1248,$N$1237:$N$1248/$N$1225:$N$1236)/SUM($H$1237:$H$1248)</f>
        <v>1.0599666666666667</v>
      </c>
      <c r="I1261" s="73">
        <f>SUMPRODUCT($H$1237:$H$1248,$O$1237:$O$1248/$O$1225:$O$1236)/SUM($H$1237:$H$1248)</f>
        <v>0.99124238763980388</v>
      </c>
      <c r="J1261" s="73">
        <f>IF($O$1210=1,SUMPRODUCT($H$1237:$H$1248,$N$1237:$N$1248/$N$1225:$N$1236*$O$1237:$O$1248/$O$1225:$O$1236)/SUM($H$1237:$H$1248),$H1261)</f>
        <v>1.0506839952128748</v>
      </c>
      <c r="K1261" s="73">
        <f>SUMPRODUCT($H$1213:$H$1260,$Q$1213:$Q$1260,$N$1213:$N$1260)/SUMPRODUCT($H$1213:$H$1260,$Q$1213:$Q$1260)</f>
        <v>1.0555916666666669</v>
      </c>
      <c r="L1261" s="73">
        <f>SUMPRODUCT($H$1213:$H$1260,$R$1213:$R$1260,$N$1213:$N$1260)/SUMPRODUCT($H$1213:$H$1260,$R$1213:$R$1260)</f>
        <v>1.0712000000000004</v>
      </c>
    </row>
    <row r="1264" spans="1:21" x14ac:dyDescent="0.3">
      <c r="A1264" s="6" t="str">
        <f>INDEX(lr_key,23)</f>
        <v>MM|CO</v>
      </c>
      <c r="B1264" s="6" t="str">
        <f>INDEX(lr_state,23)</f>
        <v>CO</v>
      </c>
      <c r="C1264" s="75">
        <f>nr_TermMonths</f>
        <v>6</v>
      </c>
      <c r="D1264" s="75">
        <f>IF(COUNTIF(se_state,$B1264)=0,0,MATCH($B1264,se_state,0))</f>
        <v>0</v>
      </c>
      <c r="E1264" s="70">
        <f>IF($D1264=0,0,INDEX(se_sum,$D1264))</f>
        <v>0</v>
      </c>
      <c r="F1264" s="224">
        <f>IF(N(INDEX(lr_mind,23))=0,1,INDEX(lr_mind,23))</f>
        <v>0.92</v>
      </c>
      <c r="G1264" s="224">
        <f>IF(N(INDEX(lr_m0,23))=0,1,INDEX(lr_m0,23))</f>
        <v>0.91</v>
      </c>
      <c r="H1264" s="74">
        <f>IF(N(INDEX(lr_m0asof,23))=0,DATE(nr_PlanYear-1,10,1),INDEX(lr_m0asof,23))</f>
        <v>46295</v>
      </c>
      <c r="I1264" s="224">
        <f>IF(N(INDEX(lr_m1,23))=0,1,INDEX(lr_m1,23))</f>
        <v>0.91500000000000004</v>
      </c>
      <c r="J1264" s="224">
        <f>INDEX(lr_mprior,23)</f>
        <v>0</v>
      </c>
      <c r="K1264" s="224">
        <f>INDEX(lr_m2,23)</f>
        <v>0</v>
      </c>
      <c r="L1264" s="6" t="b">
        <f>NOT(ISBLANK(INDEX(lr_netp,23)))</f>
        <v>0</v>
      </c>
      <c r="M1264" s="72">
        <f>N(INDEX(lr_netp,23))</f>
        <v>0</v>
      </c>
      <c r="N1264" s="72">
        <f>IF(ISBLANK(INDEX(lr_netp1,23)),$M$1264,N(INDEX(lr_netp1,23)))</f>
        <v>0</v>
      </c>
      <c r="O1264" s="75">
        <f>IF(AND(nr_ModAdjMaster="ON",INDEX(lr_modadj,23)="ON"),1,0)</f>
        <v>1</v>
      </c>
    </row>
    <row r="1265" spans="1:21" x14ac:dyDescent="0.3">
      <c r="A1265" s="6">
        <f>EDATE($H$1264,-12)+1</f>
        <v>45931</v>
      </c>
      <c r="B1265" s="6">
        <f>$H$1264+1</f>
        <v>46296</v>
      </c>
      <c r="C1265" s="6">
        <f>DATE(nr_PlanYear,12,31)+1</f>
        <v>46753</v>
      </c>
      <c r="D1265" s="6">
        <f>DATE(nr_PlanYear+1,12,31)+1</f>
        <v>47119</v>
      </c>
      <c r="E1265" s="6">
        <f>IF(N($J$1264)=0,$F$1265-($G$1265-$F$1265)/($C$1265-$B$1265)*($B$1265-$A$1265),$J$1264)</f>
        <v>0.90600656455142237</v>
      </c>
      <c r="F1265" s="6">
        <f>$G$1264</f>
        <v>0.91</v>
      </c>
      <c r="G1265" s="6">
        <f>$I$1264</f>
        <v>0.91500000000000004</v>
      </c>
      <c r="H1265" s="6">
        <f>IF(N($K$1264)=0,$I$1264,$K$1264)</f>
        <v>0.91500000000000004</v>
      </c>
      <c r="I1265" s="6">
        <f>($F$1265-$E$1265)/($B$1265-$A$1265)</f>
        <v>1.0940919037199081E-5</v>
      </c>
      <c r="J1265" s="6">
        <f>($G$1265-$F$1265)/($C$1265-$B$1265)</f>
        <v>1.0940919037199135E-5</v>
      </c>
      <c r="K1265" s="6">
        <f>($H$1265-$G$1265)/($D$1265-$C$1265)</f>
        <v>0</v>
      </c>
    </row>
    <row r="1266" spans="1:21" ht="36" x14ac:dyDescent="0.3">
      <c r="A1266" s="58" t="s">
        <v>390</v>
      </c>
      <c r="B1266" s="58" t="s">
        <v>449</v>
      </c>
      <c r="C1266" s="58" t="s">
        <v>685</v>
      </c>
      <c r="D1266" s="58" t="s">
        <v>686</v>
      </c>
      <c r="E1266" s="58" t="s">
        <v>687</v>
      </c>
      <c r="F1266" s="58" t="s">
        <v>688</v>
      </c>
      <c r="G1266" s="58" t="s">
        <v>689</v>
      </c>
      <c r="H1266" s="58" t="s">
        <v>452</v>
      </c>
      <c r="I1266" s="58" t="s">
        <v>690</v>
      </c>
      <c r="J1266" s="58" t="s">
        <v>691</v>
      </c>
      <c r="K1266" s="58" t="s">
        <v>692</v>
      </c>
      <c r="L1266" s="58" t="s">
        <v>693</v>
      </c>
      <c r="M1266" s="58" t="s">
        <v>694</v>
      </c>
      <c r="N1266" s="58" t="s">
        <v>695</v>
      </c>
      <c r="O1266" s="58" t="s">
        <v>696</v>
      </c>
      <c r="P1266" s="58" t="s">
        <v>697</v>
      </c>
      <c r="Q1266" s="58" t="s">
        <v>698</v>
      </c>
      <c r="R1266" s="58" t="s">
        <v>699</v>
      </c>
      <c r="S1266" s="58" t="s">
        <v>700</v>
      </c>
      <c r="T1266" s="58" t="s">
        <v>701</v>
      </c>
      <c r="U1266" s="58" t="s">
        <v>702</v>
      </c>
    </row>
    <row r="1267" spans="1:21" x14ac:dyDescent="0.3">
      <c r="A1267" s="187">
        <v>1</v>
      </c>
      <c r="B1267" s="242">
        <f>DATE(nr_PlanYear-2,1,1)</f>
        <v>45658</v>
      </c>
      <c r="C1267" s="243">
        <f t="shared" ref="C1267:C1314" si="514">EOMONTH($B1267,0)</f>
        <v>45688</v>
      </c>
      <c r="D1267" s="120">
        <f t="shared" ref="D1267:D1314" si="515">$C1267-$B1267+1</f>
        <v>31</v>
      </c>
      <c r="E1267" s="120">
        <f t="shared" ref="E1267:E1314" si="516">MONTH($B1267)</f>
        <v>1</v>
      </c>
      <c r="F1267" s="275">
        <f t="shared" ref="F1267:F1314" si="517">($B1267+$C1267+1)/2</f>
        <v>45673.5</v>
      </c>
      <c r="G1267" s="120">
        <f t="shared" ref="G1267:G1314" si="518">YEAR($B1267)*12+MONTH($B1267)-1</f>
        <v>24300</v>
      </c>
      <c r="H1267" s="245">
        <f t="shared" ref="H1267:H1314" si="519">IF(OR(nr_SeasonOn="OFF",$D$1264=0,$E$1264=0),1,12*INDEX(se_block,$D$1264,$E1267)/$E$1264)</f>
        <v>1</v>
      </c>
      <c r="I1267" s="121">
        <f t="shared" ref="I1267:I1314" si="520">EXP(SUMPRODUCT((rl_eff&lt;$B1267)*(rl_key=$A$1264)*rl_ln1p))</f>
        <v>1</v>
      </c>
      <c r="J1267" s="121">
        <f t="shared" ref="J1267:J1314" si="521">EXP(SUMPRODUCT((rl_eff&lt;=$C1267)*(rl_key=$A$1264)*rl_ln1p))</f>
        <v>1</v>
      </c>
      <c r="K1267" s="120">
        <f t="shared" ref="K1267:K1314" si="522">COUNTIFS(rl_key,$A$1264,rl_eff,"&gt;="&amp;$B1267,rl_eff,"&lt;="&amp;$C1267)</f>
        <v>0</v>
      </c>
      <c r="L1267" s="120">
        <f t="shared" ref="L1267:L1314" si="523">SUMIFS(rl_daysafter,rl_key,$A$1264,rl_effmonth,$B1267,rl_first,1)</f>
        <v>0</v>
      </c>
      <c r="M1267" s="246">
        <f t="shared" ref="M1267:M1314" si="524">IF($K1267=0,0,MIN(1,$L1267/$D1267))</f>
        <v>0</v>
      </c>
      <c r="N1267" s="121">
        <f t="shared" ref="N1267:N1314" si="525">IF($K1267=0,$J1267,(1-$M1267)*$I1267+$M1267*$J1267)</f>
        <v>1</v>
      </c>
      <c r="O1267" s="246">
        <f t="shared" ref="O1267:O1314" si="526">IF($F1267&lt;$B$1265,$E$1265+$I$1265*($F1267-$A$1265),IF($F1267&lt;$C$1265,$F$1265+$J$1265*($F1267-$B$1265),$G$1265+$K$1265*($F1267-$C$1265)))</f>
        <v>0.90318927789934356</v>
      </c>
      <c r="P1267" s="121">
        <f t="shared" ref="P1267:P1314" si="527">MIN(1,MAX(0,(nr_MEndPm1-$G1267+0.5)/$C$1264))-MIN(1,MAX(0,(nr_MStartPm1-1-$G1267+0.5)/$C$1264))</f>
        <v>0</v>
      </c>
      <c r="Q1267" s="121">
        <f t="shared" ref="Q1267:Q1314" si="528">MIN(1,MAX(0,(nr_MEndP-$G1267+0.5)/$C$1264))-MIN(1,MAX(0,(nr_MStartP-1-$G1267+0.5)/$C$1264))</f>
        <v>0</v>
      </c>
      <c r="R1267" s="121">
        <f t="shared" ref="R1267:R1314" si="529">MIN(1,MAX(0,(nr_MEndP1-$G1267+0.5)/$C$1264))-MIN(1,MAX(0,(nr_MStartP1-1-$G1267+0.5)/$C$1264))</f>
        <v>0</v>
      </c>
      <c r="S1267" s="121" t="str">
        <f t="shared" ref="S1267:S1314" si="530">IF($L$1264,$N1267*IF($O$1264=1,$O1267/$F$1264,1),"")</f>
        <v/>
      </c>
      <c r="T1267" s="121" t="str">
        <f t="shared" ref="T1267:T1314" si="531">IF(NOT($L$1264),"",IF($G1267&lt;nr_MStartP,$S1267,$T1255*(1+IF($G1267&lt;nr_MStartP1,$M$1264,$N$1264))))</f>
        <v/>
      </c>
      <c r="U1267" s="121">
        <f t="shared" ref="U1267:U1314" si="532">IF($L$1264,$T1267,$N1267)</f>
        <v>1</v>
      </c>
    </row>
    <row r="1268" spans="1:21" x14ac:dyDescent="0.3">
      <c r="A1268" s="187">
        <v>2</v>
      </c>
      <c r="B1268" s="242">
        <f t="shared" ref="B1268:B1314" si="533">EDATE($B1267,1)</f>
        <v>45689</v>
      </c>
      <c r="C1268" s="243">
        <f t="shared" si="514"/>
        <v>45716</v>
      </c>
      <c r="D1268" s="120">
        <f t="shared" si="515"/>
        <v>28</v>
      </c>
      <c r="E1268" s="120">
        <f t="shared" si="516"/>
        <v>2</v>
      </c>
      <c r="F1268" s="275">
        <f t="shared" si="517"/>
        <v>45703</v>
      </c>
      <c r="G1268" s="120">
        <f t="shared" si="518"/>
        <v>24301</v>
      </c>
      <c r="H1268" s="245">
        <f t="shared" si="519"/>
        <v>1</v>
      </c>
      <c r="I1268" s="121">
        <f t="shared" si="520"/>
        <v>1</v>
      </c>
      <c r="J1268" s="121">
        <f t="shared" si="521"/>
        <v>1</v>
      </c>
      <c r="K1268" s="120">
        <f t="shared" si="522"/>
        <v>0</v>
      </c>
      <c r="L1268" s="120">
        <f t="shared" si="523"/>
        <v>0</v>
      </c>
      <c r="M1268" s="246">
        <f t="shared" si="524"/>
        <v>0</v>
      </c>
      <c r="N1268" s="121">
        <f t="shared" si="525"/>
        <v>1</v>
      </c>
      <c r="O1268" s="246">
        <f t="shared" si="526"/>
        <v>0.90351203501094102</v>
      </c>
      <c r="P1268" s="121">
        <f t="shared" si="527"/>
        <v>0</v>
      </c>
      <c r="Q1268" s="121">
        <f t="shared" si="528"/>
        <v>0</v>
      </c>
      <c r="R1268" s="121">
        <f t="shared" si="529"/>
        <v>0</v>
      </c>
      <c r="S1268" s="121" t="str">
        <f t="shared" si="530"/>
        <v/>
      </c>
      <c r="T1268" s="121" t="str">
        <f t="shared" si="531"/>
        <v/>
      </c>
      <c r="U1268" s="121">
        <f t="shared" si="532"/>
        <v>1</v>
      </c>
    </row>
    <row r="1269" spans="1:21" x14ac:dyDescent="0.3">
      <c r="A1269" s="187">
        <v>3</v>
      </c>
      <c r="B1269" s="242">
        <f t="shared" si="533"/>
        <v>45717</v>
      </c>
      <c r="C1269" s="243">
        <f t="shared" si="514"/>
        <v>45747</v>
      </c>
      <c r="D1269" s="120">
        <f t="shared" si="515"/>
        <v>31</v>
      </c>
      <c r="E1269" s="120">
        <f t="shared" si="516"/>
        <v>3</v>
      </c>
      <c r="F1269" s="275">
        <f t="shared" si="517"/>
        <v>45732.5</v>
      </c>
      <c r="G1269" s="120">
        <f t="shared" si="518"/>
        <v>24302</v>
      </c>
      <c r="H1269" s="245">
        <f t="shared" si="519"/>
        <v>1</v>
      </c>
      <c r="I1269" s="121">
        <f t="shared" si="520"/>
        <v>1</v>
      </c>
      <c r="J1269" s="121">
        <f t="shared" si="521"/>
        <v>1</v>
      </c>
      <c r="K1269" s="120">
        <f t="shared" si="522"/>
        <v>0</v>
      </c>
      <c r="L1269" s="120">
        <f t="shared" si="523"/>
        <v>0</v>
      </c>
      <c r="M1269" s="246">
        <f t="shared" si="524"/>
        <v>0</v>
      </c>
      <c r="N1269" s="121">
        <f t="shared" si="525"/>
        <v>1</v>
      </c>
      <c r="O1269" s="246">
        <f t="shared" si="526"/>
        <v>0.90383479212253837</v>
      </c>
      <c r="P1269" s="121">
        <f t="shared" si="527"/>
        <v>0</v>
      </c>
      <c r="Q1269" s="121">
        <f t="shared" si="528"/>
        <v>0</v>
      </c>
      <c r="R1269" s="121">
        <f t="shared" si="529"/>
        <v>0</v>
      </c>
      <c r="S1269" s="121" t="str">
        <f t="shared" si="530"/>
        <v/>
      </c>
      <c r="T1269" s="121" t="str">
        <f t="shared" si="531"/>
        <v/>
      </c>
      <c r="U1269" s="121">
        <f t="shared" si="532"/>
        <v>1</v>
      </c>
    </row>
    <row r="1270" spans="1:21" x14ac:dyDescent="0.3">
      <c r="A1270" s="187">
        <v>4</v>
      </c>
      <c r="B1270" s="242">
        <f t="shared" si="533"/>
        <v>45748</v>
      </c>
      <c r="C1270" s="243">
        <f t="shared" si="514"/>
        <v>45777</v>
      </c>
      <c r="D1270" s="120">
        <f t="shared" si="515"/>
        <v>30</v>
      </c>
      <c r="E1270" s="120">
        <f t="shared" si="516"/>
        <v>4</v>
      </c>
      <c r="F1270" s="275">
        <f t="shared" si="517"/>
        <v>45763</v>
      </c>
      <c r="G1270" s="120">
        <f t="shared" si="518"/>
        <v>24303</v>
      </c>
      <c r="H1270" s="245">
        <f t="shared" si="519"/>
        <v>1</v>
      </c>
      <c r="I1270" s="121">
        <f t="shared" si="520"/>
        <v>1</v>
      </c>
      <c r="J1270" s="121">
        <f t="shared" si="521"/>
        <v>1</v>
      </c>
      <c r="K1270" s="120">
        <f t="shared" si="522"/>
        <v>0</v>
      </c>
      <c r="L1270" s="120">
        <f t="shared" si="523"/>
        <v>0</v>
      </c>
      <c r="M1270" s="246">
        <f t="shared" si="524"/>
        <v>0</v>
      </c>
      <c r="N1270" s="121">
        <f t="shared" si="525"/>
        <v>1</v>
      </c>
      <c r="O1270" s="246">
        <f t="shared" si="526"/>
        <v>0.90416849015317291</v>
      </c>
      <c r="P1270" s="121">
        <f t="shared" si="527"/>
        <v>0</v>
      </c>
      <c r="Q1270" s="121">
        <f t="shared" si="528"/>
        <v>0</v>
      </c>
      <c r="R1270" s="121">
        <f t="shared" si="529"/>
        <v>0</v>
      </c>
      <c r="S1270" s="121" t="str">
        <f t="shared" si="530"/>
        <v/>
      </c>
      <c r="T1270" s="121" t="str">
        <f t="shared" si="531"/>
        <v/>
      </c>
      <c r="U1270" s="121">
        <f t="shared" si="532"/>
        <v>1</v>
      </c>
    </row>
    <row r="1271" spans="1:21" x14ac:dyDescent="0.3">
      <c r="A1271" s="187">
        <v>5</v>
      </c>
      <c r="B1271" s="242">
        <f t="shared" si="533"/>
        <v>45778</v>
      </c>
      <c r="C1271" s="243">
        <f t="shared" si="514"/>
        <v>45808</v>
      </c>
      <c r="D1271" s="120">
        <f t="shared" si="515"/>
        <v>31</v>
      </c>
      <c r="E1271" s="120">
        <f t="shared" si="516"/>
        <v>5</v>
      </c>
      <c r="F1271" s="275">
        <f t="shared" si="517"/>
        <v>45793.5</v>
      </c>
      <c r="G1271" s="120">
        <f t="shared" si="518"/>
        <v>24304</v>
      </c>
      <c r="H1271" s="245">
        <f t="shared" si="519"/>
        <v>1</v>
      </c>
      <c r="I1271" s="121">
        <f t="shared" si="520"/>
        <v>1</v>
      </c>
      <c r="J1271" s="121">
        <f t="shared" si="521"/>
        <v>1</v>
      </c>
      <c r="K1271" s="120">
        <f t="shared" si="522"/>
        <v>0</v>
      </c>
      <c r="L1271" s="120">
        <f t="shared" si="523"/>
        <v>0</v>
      </c>
      <c r="M1271" s="246">
        <f t="shared" si="524"/>
        <v>0</v>
      </c>
      <c r="N1271" s="121">
        <f t="shared" si="525"/>
        <v>1</v>
      </c>
      <c r="O1271" s="246">
        <f t="shared" si="526"/>
        <v>0.90450218818380745</v>
      </c>
      <c r="P1271" s="121">
        <f t="shared" si="527"/>
        <v>0</v>
      </c>
      <c r="Q1271" s="121">
        <f t="shared" si="528"/>
        <v>0</v>
      </c>
      <c r="R1271" s="121">
        <f t="shared" si="529"/>
        <v>0</v>
      </c>
      <c r="S1271" s="121" t="str">
        <f t="shared" si="530"/>
        <v/>
      </c>
      <c r="T1271" s="121" t="str">
        <f t="shared" si="531"/>
        <v/>
      </c>
      <c r="U1271" s="121">
        <f t="shared" si="532"/>
        <v>1</v>
      </c>
    </row>
    <row r="1272" spans="1:21" x14ac:dyDescent="0.3">
      <c r="A1272" s="187">
        <v>6</v>
      </c>
      <c r="B1272" s="242">
        <f t="shared" si="533"/>
        <v>45809</v>
      </c>
      <c r="C1272" s="243">
        <f t="shared" si="514"/>
        <v>45838</v>
      </c>
      <c r="D1272" s="120">
        <f t="shared" si="515"/>
        <v>30</v>
      </c>
      <c r="E1272" s="120">
        <f t="shared" si="516"/>
        <v>6</v>
      </c>
      <c r="F1272" s="275">
        <f t="shared" si="517"/>
        <v>45824</v>
      </c>
      <c r="G1272" s="120">
        <f t="shared" si="518"/>
        <v>24305</v>
      </c>
      <c r="H1272" s="245">
        <f t="shared" si="519"/>
        <v>1</v>
      </c>
      <c r="I1272" s="121">
        <f t="shared" si="520"/>
        <v>1</v>
      </c>
      <c r="J1272" s="121">
        <f t="shared" si="521"/>
        <v>1</v>
      </c>
      <c r="K1272" s="120">
        <f t="shared" si="522"/>
        <v>0</v>
      </c>
      <c r="L1272" s="120">
        <f t="shared" si="523"/>
        <v>0</v>
      </c>
      <c r="M1272" s="246">
        <f t="shared" si="524"/>
        <v>0</v>
      </c>
      <c r="N1272" s="121">
        <f t="shared" si="525"/>
        <v>1</v>
      </c>
      <c r="O1272" s="246">
        <f t="shared" si="526"/>
        <v>0.90483588621444211</v>
      </c>
      <c r="P1272" s="121">
        <f t="shared" si="527"/>
        <v>0</v>
      </c>
      <c r="Q1272" s="121">
        <f t="shared" si="528"/>
        <v>0</v>
      </c>
      <c r="R1272" s="121">
        <f t="shared" si="529"/>
        <v>0</v>
      </c>
      <c r="S1272" s="121" t="str">
        <f t="shared" si="530"/>
        <v/>
      </c>
      <c r="T1272" s="121" t="str">
        <f t="shared" si="531"/>
        <v/>
      </c>
      <c r="U1272" s="121">
        <f t="shared" si="532"/>
        <v>1</v>
      </c>
    </row>
    <row r="1273" spans="1:21" x14ac:dyDescent="0.3">
      <c r="A1273" s="187">
        <v>7</v>
      </c>
      <c r="B1273" s="242">
        <f t="shared" si="533"/>
        <v>45839</v>
      </c>
      <c r="C1273" s="243">
        <f t="shared" si="514"/>
        <v>45869</v>
      </c>
      <c r="D1273" s="120">
        <f t="shared" si="515"/>
        <v>31</v>
      </c>
      <c r="E1273" s="120">
        <f t="shared" si="516"/>
        <v>7</v>
      </c>
      <c r="F1273" s="275">
        <f t="shared" si="517"/>
        <v>45854.5</v>
      </c>
      <c r="G1273" s="120">
        <f t="shared" si="518"/>
        <v>24306</v>
      </c>
      <c r="H1273" s="245">
        <f t="shared" si="519"/>
        <v>1</v>
      </c>
      <c r="I1273" s="121">
        <f t="shared" si="520"/>
        <v>1</v>
      </c>
      <c r="J1273" s="121">
        <f t="shared" si="521"/>
        <v>1</v>
      </c>
      <c r="K1273" s="120">
        <f t="shared" si="522"/>
        <v>0</v>
      </c>
      <c r="L1273" s="120">
        <f t="shared" si="523"/>
        <v>0</v>
      </c>
      <c r="M1273" s="246">
        <f t="shared" si="524"/>
        <v>0</v>
      </c>
      <c r="N1273" s="121">
        <f t="shared" si="525"/>
        <v>1</v>
      </c>
      <c r="O1273" s="246">
        <f t="shared" si="526"/>
        <v>0.90516958424507665</v>
      </c>
      <c r="P1273" s="121">
        <f t="shared" si="527"/>
        <v>8.333333333333337E-2</v>
      </c>
      <c r="Q1273" s="121">
        <f t="shared" si="528"/>
        <v>0</v>
      </c>
      <c r="R1273" s="121">
        <f t="shared" si="529"/>
        <v>0</v>
      </c>
      <c r="S1273" s="121" t="str">
        <f t="shared" si="530"/>
        <v/>
      </c>
      <c r="T1273" s="121" t="str">
        <f t="shared" si="531"/>
        <v/>
      </c>
      <c r="U1273" s="121">
        <f t="shared" si="532"/>
        <v>1</v>
      </c>
    </row>
    <row r="1274" spans="1:21" x14ac:dyDescent="0.3">
      <c r="A1274" s="187">
        <v>8</v>
      </c>
      <c r="B1274" s="242">
        <f t="shared" si="533"/>
        <v>45870</v>
      </c>
      <c r="C1274" s="243">
        <f t="shared" si="514"/>
        <v>45900</v>
      </c>
      <c r="D1274" s="120">
        <f t="shared" si="515"/>
        <v>31</v>
      </c>
      <c r="E1274" s="120">
        <f t="shared" si="516"/>
        <v>8</v>
      </c>
      <c r="F1274" s="275">
        <f t="shared" si="517"/>
        <v>45885.5</v>
      </c>
      <c r="G1274" s="120">
        <f t="shared" si="518"/>
        <v>24307</v>
      </c>
      <c r="H1274" s="245">
        <f t="shared" si="519"/>
        <v>1</v>
      </c>
      <c r="I1274" s="121">
        <f t="shared" si="520"/>
        <v>1</v>
      </c>
      <c r="J1274" s="121">
        <f t="shared" si="521"/>
        <v>1</v>
      </c>
      <c r="K1274" s="120">
        <f t="shared" si="522"/>
        <v>0</v>
      </c>
      <c r="L1274" s="120">
        <f t="shared" si="523"/>
        <v>0</v>
      </c>
      <c r="M1274" s="246">
        <f t="shared" si="524"/>
        <v>0</v>
      </c>
      <c r="N1274" s="121">
        <f t="shared" si="525"/>
        <v>1</v>
      </c>
      <c r="O1274" s="246">
        <f t="shared" si="526"/>
        <v>0.90550875273522979</v>
      </c>
      <c r="P1274" s="121">
        <f t="shared" si="527"/>
        <v>0.25</v>
      </c>
      <c r="Q1274" s="121">
        <f t="shared" si="528"/>
        <v>0</v>
      </c>
      <c r="R1274" s="121">
        <f t="shared" si="529"/>
        <v>0</v>
      </c>
      <c r="S1274" s="121" t="str">
        <f t="shared" si="530"/>
        <v/>
      </c>
      <c r="T1274" s="121" t="str">
        <f t="shared" si="531"/>
        <v/>
      </c>
      <c r="U1274" s="121">
        <f t="shared" si="532"/>
        <v>1</v>
      </c>
    </row>
    <row r="1275" spans="1:21" x14ac:dyDescent="0.3">
      <c r="A1275" s="187">
        <v>9</v>
      </c>
      <c r="B1275" s="242">
        <f t="shared" si="533"/>
        <v>45901</v>
      </c>
      <c r="C1275" s="243">
        <f t="shared" si="514"/>
        <v>45930</v>
      </c>
      <c r="D1275" s="120">
        <f t="shared" si="515"/>
        <v>30</v>
      </c>
      <c r="E1275" s="120">
        <f t="shared" si="516"/>
        <v>9</v>
      </c>
      <c r="F1275" s="275">
        <f t="shared" si="517"/>
        <v>45916</v>
      </c>
      <c r="G1275" s="120">
        <f t="shared" si="518"/>
        <v>24308</v>
      </c>
      <c r="H1275" s="245">
        <f t="shared" si="519"/>
        <v>1</v>
      </c>
      <c r="I1275" s="121">
        <f t="shared" si="520"/>
        <v>1</v>
      </c>
      <c r="J1275" s="121">
        <f t="shared" si="521"/>
        <v>1</v>
      </c>
      <c r="K1275" s="120">
        <f t="shared" si="522"/>
        <v>0</v>
      </c>
      <c r="L1275" s="120">
        <f t="shared" si="523"/>
        <v>0</v>
      </c>
      <c r="M1275" s="246">
        <f t="shared" si="524"/>
        <v>0</v>
      </c>
      <c r="N1275" s="121">
        <f t="shared" si="525"/>
        <v>1</v>
      </c>
      <c r="O1275" s="246">
        <f t="shared" si="526"/>
        <v>0.90584245076586434</v>
      </c>
      <c r="P1275" s="121">
        <f t="shared" si="527"/>
        <v>0.41666666666666663</v>
      </c>
      <c r="Q1275" s="121">
        <f t="shared" si="528"/>
        <v>0</v>
      </c>
      <c r="R1275" s="121">
        <f t="shared" si="529"/>
        <v>0</v>
      </c>
      <c r="S1275" s="121" t="str">
        <f t="shared" si="530"/>
        <v/>
      </c>
      <c r="T1275" s="121" t="str">
        <f t="shared" si="531"/>
        <v/>
      </c>
      <c r="U1275" s="121">
        <f t="shared" si="532"/>
        <v>1</v>
      </c>
    </row>
    <row r="1276" spans="1:21" x14ac:dyDescent="0.3">
      <c r="A1276" s="187">
        <v>10</v>
      </c>
      <c r="B1276" s="242">
        <f t="shared" si="533"/>
        <v>45931</v>
      </c>
      <c r="C1276" s="243">
        <f t="shared" si="514"/>
        <v>45961</v>
      </c>
      <c r="D1276" s="120">
        <f t="shared" si="515"/>
        <v>31</v>
      </c>
      <c r="E1276" s="120">
        <f t="shared" si="516"/>
        <v>10</v>
      </c>
      <c r="F1276" s="275">
        <f t="shared" si="517"/>
        <v>45946.5</v>
      </c>
      <c r="G1276" s="120">
        <f t="shared" si="518"/>
        <v>24309</v>
      </c>
      <c r="H1276" s="245">
        <f t="shared" si="519"/>
        <v>1</v>
      </c>
      <c r="I1276" s="121">
        <f t="shared" si="520"/>
        <v>1</v>
      </c>
      <c r="J1276" s="121">
        <f t="shared" si="521"/>
        <v>1</v>
      </c>
      <c r="K1276" s="120">
        <f t="shared" si="522"/>
        <v>0</v>
      </c>
      <c r="L1276" s="120">
        <f t="shared" si="523"/>
        <v>0</v>
      </c>
      <c r="M1276" s="246">
        <f t="shared" si="524"/>
        <v>0</v>
      </c>
      <c r="N1276" s="121">
        <f t="shared" si="525"/>
        <v>1</v>
      </c>
      <c r="O1276" s="246">
        <f t="shared" si="526"/>
        <v>0.90617614879649899</v>
      </c>
      <c r="P1276" s="121">
        <f t="shared" si="527"/>
        <v>0.58333333333333326</v>
      </c>
      <c r="Q1276" s="121">
        <f t="shared" si="528"/>
        <v>0</v>
      </c>
      <c r="R1276" s="121">
        <f t="shared" si="529"/>
        <v>0</v>
      </c>
      <c r="S1276" s="121" t="str">
        <f t="shared" si="530"/>
        <v/>
      </c>
      <c r="T1276" s="121" t="str">
        <f t="shared" si="531"/>
        <v/>
      </c>
      <c r="U1276" s="121">
        <f t="shared" si="532"/>
        <v>1</v>
      </c>
    </row>
    <row r="1277" spans="1:21" x14ac:dyDescent="0.3">
      <c r="A1277" s="187">
        <v>11</v>
      </c>
      <c r="B1277" s="242">
        <f t="shared" si="533"/>
        <v>45962</v>
      </c>
      <c r="C1277" s="243">
        <f t="shared" si="514"/>
        <v>45991</v>
      </c>
      <c r="D1277" s="120">
        <f t="shared" si="515"/>
        <v>30</v>
      </c>
      <c r="E1277" s="120">
        <f t="shared" si="516"/>
        <v>11</v>
      </c>
      <c r="F1277" s="275">
        <f t="shared" si="517"/>
        <v>45977</v>
      </c>
      <c r="G1277" s="120">
        <f t="shared" si="518"/>
        <v>24310</v>
      </c>
      <c r="H1277" s="245">
        <f t="shared" si="519"/>
        <v>1</v>
      </c>
      <c r="I1277" s="121">
        <f t="shared" si="520"/>
        <v>1</v>
      </c>
      <c r="J1277" s="121">
        <f t="shared" si="521"/>
        <v>1</v>
      </c>
      <c r="K1277" s="120">
        <f t="shared" si="522"/>
        <v>0</v>
      </c>
      <c r="L1277" s="120">
        <f t="shared" si="523"/>
        <v>0</v>
      </c>
      <c r="M1277" s="246">
        <f t="shared" si="524"/>
        <v>0</v>
      </c>
      <c r="N1277" s="121">
        <f t="shared" si="525"/>
        <v>1</v>
      </c>
      <c r="O1277" s="246">
        <f t="shared" si="526"/>
        <v>0.90650984682713354</v>
      </c>
      <c r="P1277" s="121">
        <f t="shared" si="527"/>
        <v>0.75</v>
      </c>
      <c r="Q1277" s="121">
        <f t="shared" si="528"/>
        <v>0</v>
      </c>
      <c r="R1277" s="121">
        <f t="shared" si="529"/>
        <v>0</v>
      </c>
      <c r="S1277" s="121" t="str">
        <f t="shared" si="530"/>
        <v/>
      </c>
      <c r="T1277" s="121" t="str">
        <f t="shared" si="531"/>
        <v/>
      </c>
      <c r="U1277" s="121">
        <f t="shared" si="532"/>
        <v>1</v>
      </c>
    </row>
    <row r="1278" spans="1:21" x14ac:dyDescent="0.3">
      <c r="A1278" s="187">
        <v>12</v>
      </c>
      <c r="B1278" s="242">
        <f t="shared" si="533"/>
        <v>45992</v>
      </c>
      <c r="C1278" s="243">
        <f t="shared" si="514"/>
        <v>46022</v>
      </c>
      <c r="D1278" s="120">
        <f t="shared" si="515"/>
        <v>31</v>
      </c>
      <c r="E1278" s="120">
        <f t="shared" si="516"/>
        <v>12</v>
      </c>
      <c r="F1278" s="275">
        <f t="shared" si="517"/>
        <v>46007.5</v>
      </c>
      <c r="G1278" s="120">
        <f t="shared" si="518"/>
        <v>24311</v>
      </c>
      <c r="H1278" s="245">
        <f t="shared" si="519"/>
        <v>1</v>
      </c>
      <c r="I1278" s="121">
        <f t="shared" si="520"/>
        <v>1</v>
      </c>
      <c r="J1278" s="121">
        <f t="shared" si="521"/>
        <v>1</v>
      </c>
      <c r="K1278" s="120">
        <f t="shared" si="522"/>
        <v>0</v>
      </c>
      <c r="L1278" s="120">
        <f t="shared" si="523"/>
        <v>0</v>
      </c>
      <c r="M1278" s="246">
        <f t="shared" si="524"/>
        <v>0</v>
      </c>
      <c r="N1278" s="121">
        <f t="shared" si="525"/>
        <v>1</v>
      </c>
      <c r="O1278" s="246">
        <f t="shared" si="526"/>
        <v>0.90684354485776808</v>
      </c>
      <c r="P1278" s="121">
        <f t="shared" si="527"/>
        <v>0.91666666666666663</v>
      </c>
      <c r="Q1278" s="121">
        <f t="shared" si="528"/>
        <v>0</v>
      </c>
      <c r="R1278" s="121">
        <f t="shared" si="529"/>
        <v>0</v>
      </c>
      <c r="S1278" s="121" t="str">
        <f t="shared" si="530"/>
        <v/>
      </c>
      <c r="T1278" s="121" t="str">
        <f t="shared" si="531"/>
        <v/>
      </c>
      <c r="U1278" s="121">
        <f t="shared" si="532"/>
        <v>1</v>
      </c>
    </row>
    <row r="1279" spans="1:21" x14ac:dyDescent="0.3">
      <c r="A1279" s="187">
        <v>13</v>
      </c>
      <c r="B1279" s="242">
        <f t="shared" si="533"/>
        <v>46023</v>
      </c>
      <c r="C1279" s="243">
        <f t="shared" si="514"/>
        <v>46053</v>
      </c>
      <c r="D1279" s="120">
        <f t="shared" si="515"/>
        <v>31</v>
      </c>
      <c r="E1279" s="120">
        <f t="shared" si="516"/>
        <v>1</v>
      </c>
      <c r="F1279" s="275">
        <f t="shared" si="517"/>
        <v>46038.5</v>
      </c>
      <c r="G1279" s="120">
        <f t="shared" si="518"/>
        <v>24312</v>
      </c>
      <c r="H1279" s="245">
        <f t="shared" si="519"/>
        <v>1</v>
      </c>
      <c r="I1279" s="121">
        <f t="shared" si="520"/>
        <v>1</v>
      </c>
      <c r="J1279" s="121">
        <f t="shared" si="521"/>
        <v>1</v>
      </c>
      <c r="K1279" s="120">
        <f t="shared" si="522"/>
        <v>0</v>
      </c>
      <c r="L1279" s="120">
        <f t="shared" si="523"/>
        <v>0</v>
      </c>
      <c r="M1279" s="246">
        <f t="shared" si="524"/>
        <v>0</v>
      </c>
      <c r="N1279" s="121">
        <f t="shared" si="525"/>
        <v>1</v>
      </c>
      <c r="O1279" s="246">
        <f t="shared" si="526"/>
        <v>0.90718271334792122</v>
      </c>
      <c r="P1279" s="121">
        <f t="shared" si="527"/>
        <v>1</v>
      </c>
      <c r="Q1279" s="121">
        <f t="shared" si="528"/>
        <v>0</v>
      </c>
      <c r="R1279" s="121">
        <f t="shared" si="529"/>
        <v>0</v>
      </c>
      <c r="S1279" s="121" t="str">
        <f t="shared" si="530"/>
        <v/>
      </c>
      <c r="T1279" s="121" t="str">
        <f t="shared" si="531"/>
        <v/>
      </c>
      <c r="U1279" s="121">
        <f t="shared" si="532"/>
        <v>1</v>
      </c>
    </row>
    <row r="1280" spans="1:21" x14ac:dyDescent="0.3">
      <c r="A1280" s="187">
        <v>14</v>
      </c>
      <c r="B1280" s="242">
        <f t="shared" si="533"/>
        <v>46054</v>
      </c>
      <c r="C1280" s="243">
        <f t="shared" si="514"/>
        <v>46081</v>
      </c>
      <c r="D1280" s="120">
        <f t="shared" si="515"/>
        <v>28</v>
      </c>
      <c r="E1280" s="120">
        <f t="shared" si="516"/>
        <v>2</v>
      </c>
      <c r="F1280" s="275">
        <f t="shared" si="517"/>
        <v>46068</v>
      </c>
      <c r="G1280" s="120">
        <f t="shared" si="518"/>
        <v>24313</v>
      </c>
      <c r="H1280" s="245">
        <f t="shared" si="519"/>
        <v>1</v>
      </c>
      <c r="I1280" s="121">
        <f t="shared" si="520"/>
        <v>1</v>
      </c>
      <c r="J1280" s="121">
        <f t="shared" si="521"/>
        <v>1</v>
      </c>
      <c r="K1280" s="120">
        <f t="shared" si="522"/>
        <v>0</v>
      </c>
      <c r="L1280" s="120">
        <f t="shared" si="523"/>
        <v>0</v>
      </c>
      <c r="M1280" s="246">
        <f t="shared" si="524"/>
        <v>0</v>
      </c>
      <c r="N1280" s="121">
        <f t="shared" si="525"/>
        <v>1</v>
      </c>
      <c r="O1280" s="246">
        <f t="shared" si="526"/>
        <v>0.90750547045951868</v>
      </c>
      <c r="P1280" s="121">
        <f t="shared" si="527"/>
        <v>1</v>
      </c>
      <c r="Q1280" s="121">
        <f t="shared" si="528"/>
        <v>0</v>
      </c>
      <c r="R1280" s="121">
        <f t="shared" si="529"/>
        <v>0</v>
      </c>
      <c r="S1280" s="121" t="str">
        <f t="shared" si="530"/>
        <v/>
      </c>
      <c r="T1280" s="121" t="str">
        <f t="shared" si="531"/>
        <v/>
      </c>
      <c r="U1280" s="121">
        <f t="shared" si="532"/>
        <v>1</v>
      </c>
    </row>
    <row r="1281" spans="1:21" x14ac:dyDescent="0.3">
      <c r="A1281" s="187">
        <v>15</v>
      </c>
      <c r="B1281" s="242">
        <f t="shared" si="533"/>
        <v>46082</v>
      </c>
      <c r="C1281" s="243">
        <f t="shared" si="514"/>
        <v>46112</v>
      </c>
      <c r="D1281" s="120">
        <f t="shared" si="515"/>
        <v>31</v>
      </c>
      <c r="E1281" s="120">
        <f t="shared" si="516"/>
        <v>3</v>
      </c>
      <c r="F1281" s="275">
        <f t="shared" si="517"/>
        <v>46097.5</v>
      </c>
      <c r="G1281" s="120">
        <f t="shared" si="518"/>
        <v>24314</v>
      </c>
      <c r="H1281" s="245">
        <f t="shared" si="519"/>
        <v>1</v>
      </c>
      <c r="I1281" s="121">
        <f t="shared" si="520"/>
        <v>1</v>
      </c>
      <c r="J1281" s="121">
        <f t="shared" si="521"/>
        <v>1</v>
      </c>
      <c r="K1281" s="120">
        <f t="shared" si="522"/>
        <v>0</v>
      </c>
      <c r="L1281" s="120">
        <f t="shared" si="523"/>
        <v>0</v>
      </c>
      <c r="M1281" s="246">
        <f t="shared" si="524"/>
        <v>0</v>
      </c>
      <c r="N1281" s="121">
        <f t="shared" si="525"/>
        <v>1</v>
      </c>
      <c r="O1281" s="246">
        <f t="shared" si="526"/>
        <v>0.90782822757111603</v>
      </c>
      <c r="P1281" s="121">
        <f t="shared" si="527"/>
        <v>1</v>
      </c>
      <c r="Q1281" s="121">
        <f t="shared" si="528"/>
        <v>0</v>
      </c>
      <c r="R1281" s="121">
        <f t="shared" si="529"/>
        <v>0</v>
      </c>
      <c r="S1281" s="121" t="str">
        <f t="shared" si="530"/>
        <v/>
      </c>
      <c r="T1281" s="121" t="str">
        <f t="shared" si="531"/>
        <v/>
      </c>
      <c r="U1281" s="121">
        <f t="shared" si="532"/>
        <v>1</v>
      </c>
    </row>
    <row r="1282" spans="1:21" x14ac:dyDescent="0.3">
      <c r="A1282" s="187">
        <v>16</v>
      </c>
      <c r="B1282" s="242">
        <f t="shared" si="533"/>
        <v>46113</v>
      </c>
      <c r="C1282" s="243">
        <f t="shared" si="514"/>
        <v>46142</v>
      </c>
      <c r="D1282" s="120">
        <f t="shared" si="515"/>
        <v>30</v>
      </c>
      <c r="E1282" s="120">
        <f t="shared" si="516"/>
        <v>4</v>
      </c>
      <c r="F1282" s="275">
        <f t="shared" si="517"/>
        <v>46128</v>
      </c>
      <c r="G1282" s="120">
        <f t="shared" si="518"/>
        <v>24315</v>
      </c>
      <c r="H1282" s="245">
        <f t="shared" si="519"/>
        <v>1</v>
      </c>
      <c r="I1282" s="121">
        <f t="shared" si="520"/>
        <v>1</v>
      </c>
      <c r="J1282" s="121">
        <f t="shared" si="521"/>
        <v>1</v>
      </c>
      <c r="K1282" s="120">
        <f t="shared" si="522"/>
        <v>0</v>
      </c>
      <c r="L1282" s="120">
        <f t="shared" si="523"/>
        <v>0</v>
      </c>
      <c r="M1282" s="246">
        <f t="shared" si="524"/>
        <v>0</v>
      </c>
      <c r="N1282" s="121">
        <f t="shared" si="525"/>
        <v>1</v>
      </c>
      <c r="O1282" s="246">
        <f t="shared" si="526"/>
        <v>0.90816192560175057</v>
      </c>
      <c r="P1282" s="121">
        <f t="shared" si="527"/>
        <v>1</v>
      </c>
      <c r="Q1282" s="121">
        <f t="shared" si="528"/>
        <v>0</v>
      </c>
      <c r="R1282" s="121">
        <f t="shared" si="529"/>
        <v>0</v>
      </c>
      <c r="S1282" s="121" t="str">
        <f t="shared" si="530"/>
        <v/>
      </c>
      <c r="T1282" s="121" t="str">
        <f t="shared" si="531"/>
        <v/>
      </c>
      <c r="U1282" s="121">
        <f t="shared" si="532"/>
        <v>1</v>
      </c>
    </row>
    <row r="1283" spans="1:21" x14ac:dyDescent="0.3">
      <c r="A1283" s="187">
        <v>17</v>
      </c>
      <c r="B1283" s="242">
        <f t="shared" si="533"/>
        <v>46143</v>
      </c>
      <c r="C1283" s="243">
        <f t="shared" si="514"/>
        <v>46173</v>
      </c>
      <c r="D1283" s="120">
        <f t="shared" si="515"/>
        <v>31</v>
      </c>
      <c r="E1283" s="120">
        <f t="shared" si="516"/>
        <v>5</v>
      </c>
      <c r="F1283" s="275">
        <f t="shared" si="517"/>
        <v>46158.5</v>
      </c>
      <c r="G1283" s="120">
        <f t="shared" si="518"/>
        <v>24316</v>
      </c>
      <c r="H1283" s="245">
        <f t="shared" si="519"/>
        <v>1</v>
      </c>
      <c r="I1283" s="121">
        <f t="shared" si="520"/>
        <v>1</v>
      </c>
      <c r="J1283" s="121">
        <f t="shared" si="521"/>
        <v>1</v>
      </c>
      <c r="K1283" s="120">
        <f t="shared" si="522"/>
        <v>0</v>
      </c>
      <c r="L1283" s="120">
        <f t="shared" si="523"/>
        <v>0</v>
      </c>
      <c r="M1283" s="246">
        <f t="shared" si="524"/>
        <v>0</v>
      </c>
      <c r="N1283" s="121">
        <f t="shared" si="525"/>
        <v>1</v>
      </c>
      <c r="O1283" s="246">
        <f t="shared" si="526"/>
        <v>0.90849562363238512</v>
      </c>
      <c r="P1283" s="121">
        <f t="shared" si="527"/>
        <v>1</v>
      </c>
      <c r="Q1283" s="121">
        <f t="shared" si="528"/>
        <v>0</v>
      </c>
      <c r="R1283" s="121">
        <f t="shared" si="529"/>
        <v>0</v>
      </c>
      <c r="S1283" s="121" t="str">
        <f t="shared" si="530"/>
        <v/>
      </c>
      <c r="T1283" s="121" t="str">
        <f t="shared" si="531"/>
        <v/>
      </c>
      <c r="U1283" s="121">
        <f t="shared" si="532"/>
        <v>1</v>
      </c>
    </row>
    <row r="1284" spans="1:21" x14ac:dyDescent="0.3">
      <c r="A1284" s="187">
        <v>18</v>
      </c>
      <c r="B1284" s="242">
        <f t="shared" si="533"/>
        <v>46174</v>
      </c>
      <c r="C1284" s="243">
        <f t="shared" si="514"/>
        <v>46203</v>
      </c>
      <c r="D1284" s="120">
        <f t="shared" si="515"/>
        <v>30</v>
      </c>
      <c r="E1284" s="120">
        <f t="shared" si="516"/>
        <v>6</v>
      </c>
      <c r="F1284" s="275">
        <f t="shared" si="517"/>
        <v>46189</v>
      </c>
      <c r="G1284" s="120">
        <f t="shared" si="518"/>
        <v>24317</v>
      </c>
      <c r="H1284" s="245">
        <f t="shared" si="519"/>
        <v>1</v>
      </c>
      <c r="I1284" s="121">
        <f t="shared" si="520"/>
        <v>1</v>
      </c>
      <c r="J1284" s="121">
        <f t="shared" si="521"/>
        <v>1</v>
      </c>
      <c r="K1284" s="120">
        <f t="shared" si="522"/>
        <v>0</v>
      </c>
      <c r="L1284" s="120">
        <f t="shared" si="523"/>
        <v>0</v>
      </c>
      <c r="M1284" s="246">
        <f t="shared" si="524"/>
        <v>0</v>
      </c>
      <c r="N1284" s="121">
        <f t="shared" si="525"/>
        <v>1</v>
      </c>
      <c r="O1284" s="246">
        <f t="shared" si="526"/>
        <v>0.90882932166301977</v>
      </c>
      <c r="P1284" s="121">
        <f t="shared" si="527"/>
        <v>1</v>
      </c>
      <c r="Q1284" s="121">
        <f t="shared" si="528"/>
        <v>0</v>
      </c>
      <c r="R1284" s="121">
        <f t="shared" si="529"/>
        <v>0</v>
      </c>
      <c r="S1284" s="121" t="str">
        <f t="shared" si="530"/>
        <v/>
      </c>
      <c r="T1284" s="121" t="str">
        <f t="shared" si="531"/>
        <v/>
      </c>
      <c r="U1284" s="121">
        <f t="shared" si="532"/>
        <v>1</v>
      </c>
    </row>
    <row r="1285" spans="1:21" x14ac:dyDescent="0.3">
      <c r="A1285" s="187">
        <v>19</v>
      </c>
      <c r="B1285" s="242">
        <f t="shared" si="533"/>
        <v>46204</v>
      </c>
      <c r="C1285" s="243">
        <f t="shared" si="514"/>
        <v>46234</v>
      </c>
      <c r="D1285" s="120">
        <f t="shared" si="515"/>
        <v>31</v>
      </c>
      <c r="E1285" s="120">
        <f t="shared" si="516"/>
        <v>7</v>
      </c>
      <c r="F1285" s="275">
        <f t="shared" si="517"/>
        <v>46219.5</v>
      </c>
      <c r="G1285" s="120">
        <f t="shared" si="518"/>
        <v>24318</v>
      </c>
      <c r="H1285" s="245">
        <f t="shared" si="519"/>
        <v>1</v>
      </c>
      <c r="I1285" s="121">
        <f t="shared" si="520"/>
        <v>1</v>
      </c>
      <c r="J1285" s="121">
        <f t="shared" si="521"/>
        <v>1</v>
      </c>
      <c r="K1285" s="120">
        <f t="shared" si="522"/>
        <v>0</v>
      </c>
      <c r="L1285" s="120">
        <f t="shared" si="523"/>
        <v>0</v>
      </c>
      <c r="M1285" s="246">
        <f t="shared" si="524"/>
        <v>0</v>
      </c>
      <c r="N1285" s="121">
        <f t="shared" si="525"/>
        <v>1</v>
      </c>
      <c r="O1285" s="246">
        <f t="shared" si="526"/>
        <v>0.90916301969365432</v>
      </c>
      <c r="P1285" s="121">
        <f t="shared" si="527"/>
        <v>0.91666666666666663</v>
      </c>
      <c r="Q1285" s="121">
        <f t="shared" si="528"/>
        <v>8.333333333333337E-2</v>
      </c>
      <c r="R1285" s="121">
        <f t="shared" si="529"/>
        <v>0</v>
      </c>
      <c r="S1285" s="121" t="str">
        <f t="shared" si="530"/>
        <v/>
      </c>
      <c r="T1285" s="121" t="str">
        <f t="shared" si="531"/>
        <v/>
      </c>
      <c r="U1285" s="121">
        <f t="shared" si="532"/>
        <v>1</v>
      </c>
    </row>
    <row r="1286" spans="1:21" x14ac:dyDescent="0.3">
      <c r="A1286" s="187">
        <v>20</v>
      </c>
      <c r="B1286" s="242">
        <f t="shared" si="533"/>
        <v>46235</v>
      </c>
      <c r="C1286" s="243">
        <f t="shared" si="514"/>
        <v>46265</v>
      </c>
      <c r="D1286" s="120">
        <f t="shared" si="515"/>
        <v>31</v>
      </c>
      <c r="E1286" s="120">
        <f t="shared" si="516"/>
        <v>8</v>
      </c>
      <c r="F1286" s="275">
        <f t="shared" si="517"/>
        <v>46250.5</v>
      </c>
      <c r="G1286" s="120">
        <f t="shared" si="518"/>
        <v>24319</v>
      </c>
      <c r="H1286" s="245">
        <f t="shared" si="519"/>
        <v>1</v>
      </c>
      <c r="I1286" s="121">
        <f t="shared" si="520"/>
        <v>1</v>
      </c>
      <c r="J1286" s="121">
        <f t="shared" si="521"/>
        <v>1</v>
      </c>
      <c r="K1286" s="120">
        <f t="shared" si="522"/>
        <v>0</v>
      </c>
      <c r="L1286" s="120">
        <f t="shared" si="523"/>
        <v>0</v>
      </c>
      <c r="M1286" s="246">
        <f t="shared" si="524"/>
        <v>0</v>
      </c>
      <c r="N1286" s="121">
        <f t="shared" si="525"/>
        <v>1</v>
      </c>
      <c r="O1286" s="246">
        <f t="shared" si="526"/>
        <v>0.90950218818380746</v>
      </c>
      <c r="P1286" s="121">
        <f t="shared" si="527"/>
        <v>0.75</v>
      </c>
      <c r="Q1286" s="121">
        <f t="shared" si="528"/>
        <v>0.25</v>
      </c>
      <c r="R1286" s="121">
        <f t="shared" si="529"/>
        <v>0</v>
      </c>
      <c r="S1286" s="121" t="str">
        <f t="shared" si="530"/>
        <v/>
      </c>
      <c r="T1286" s="121" t="str">
        <f t="shared" si="531"/>
        <v/>
      </c>
      <c r="U1286" s="121">
        <f t="shared" si="532"/>
        <v>1</v>
      </c>
    </row>
    <row r="1287" spans="1:21" x14ac:dyDescent="0.3">
      <c r="A1287" s="187">
        <v>21</v>
      </c>
      <c r="B1287" s="242">
        <f t="shared" si="533"/>
        <v>46266</v>
      </c>
      <c r="C1287" s="243">
        <f t="shared" si="514"/>
        <v>46295</v>
      </c>
      <c r="D1287" s="120">
        <f t="shared" si="515"/>
        <v>30</v>
      </c>
      <c r="E1287" s="120">
        <f t="shared" si="516"/>
        <v>9</v>
      </c>
      <c r="F1287" s="275">
        <f t="shared" si="517"/>
        <v>46281</v>
      </c>
      <c r="G1287" s="120">
        <f t="shared" si="518"/>
        <v>24320</v>
      </c>
      <c r="H1287" s="245">
        <f t="shared" si="519"/>
        <v>1</v>
      </c>
      <c r="I1287" s="121">
        <f t="shared" si="520"/>
        <v>1</v>
      </c>
      <c r="J1287" s="121">
        <f t="shared" si="521"/>
        <v>1</v>
      </c>
      <c r="K1287" s="120">
        <f t="shared" si="522"/>
        <v>0</v>
      </c>
      <c r="L1287" s="120">
        <f t="shared" si="523"/>
        <v>0</v>
      </c>
      <c r="M1287" s="246">
        <f t="shared" si="524"/>
        <v>0</v>
      </c>
      <c r="N1287" s="121">
        <f t="shared" si="525"/>
        <v>1</v>
      </c>
      <c r="O1287" s="246">
        <f t="shared" si="526"/>
        <v>0.909835886214442</v>
      </c>
      <c r="P1287" s="121">
        <f t="shared" si="527"/>
        <v>0.58333333333333337</v>
      </c>
      <c r="Q1287" s="121">
        <f t="shared" si="528"/>
        <v>0.41666666666666663</v>
      </c>
      <c r="R1287" s="121">
        <f t="shared" si="529"/>
        <v>0</v>
      </c>
      <c r="S1287" s="121" t="str">
        <f t="shared" si="530"/>
        <v/>
      </c>
      <c r="T1287" s="121" t="str">
        <f t="shared" si="531"/>
        <v/>
      </c>
      <c r="U1287" s="121">
        <f t="shared" si="532"/>
        <v>1</v>
      </c>
    </row>
    <row r="1288" spans="1:21" x14ac:dyDescent="0.3">
      <c r="A1288" s="187">
        <v>22</v>
      </c>
      <c r="B1288" s="242">
        <f t="shared" si="533"/>
        <v>46296</v>
      </c>
      <c r="C1288" s="243">
        <f t="shared" si="514"/>
        <v>46326</v>
      </c>
      <c r="D1288" s="120">
        <f t="shared" si="515"/>
        <v>31</v>
      </c>
      <c r="E1288" s="120">
        <f t="shared" si="516"/>
        <v>10</v>
      </c>
      <c r="F1288" s="275">
        <f t="shared" si="517"/>
        <v>46311.5</v>
      </c>
      <c r="G1288" s="120">
        <f t="shared" si="518"/>
        <v>24321</v>
      </c>
      <c r="H1288" s="245">
        <f t="shared" si="519"/>
        <v>1</v>
      </c>
      <c r="I1288" s="121">
        <f t="shared" si="520"/>
        <v>1</v>
      </c>
      <c r="J1288" s="121">
        <f t="shared" si="521"/>
        <v>1</v>
      </c>
      <c r="K1288" s="120">
        <f t="shared" si="522"/>
        <v>0</v>
      </c>
      <c r="L1288" s="120">
        <f t="shared" si="523"/>
        <v>0</v>
      </c>
      <c r="M1288" s="246">
        <f t="shared" si="524"/>
        <v>0</v>
      </c>
      <c r="N1288" s="121">
        <f t="shared" si="525"/>
        <v>1</v>
      </c>
      <c r="O1288" s="246">
        <f t="shared" si="526"/>
        <v>0.91016958424507666</v>
      </c>
      <c r="P1288" s="121">
        <f t="shared" si="527"/>
        <v>0.41666666666666669</v>
      </c>
      <c r="Q1288" s="121">
        <f t="shared" si="528"/>
        <v>0.58333333333333326</v>
      </c>
      <c r="R1288" s="121">
        <f t="shared" si="529"/>
        <v>0</v>
      </c>
      <c r="S1288" s="121" t="str">
        <f t="shared" si="530"/>
        <v/>
      </c>
      <c r="T1288" s="121" t="str">
        <f t="shared" si="531"/>
        <v/>
      </c>
      <c r="U1288" s="121">
        <f t="shared" si="532"/>
        <v>1</v>
      </c>
    </row>
    <row r="1289" spans="1:21" x14ac:dyDescent="0.3">
      <c r="A1289" s="187">
        <v>23</v>
      </c>
      <c r="B1289" s="242">
        <f t="shared" si="533"/>
        <v>46327</v>
      </c>
      <c r="C1289" s="243">
        <f t="shared" si="514"/>
        <v>46356</v>
      </c>
      <c r="D1289" s="120">
        <f t="shared" si="515"/>
        <v>30</v>
      </c>
      <c r="E1289" s="120">
        <f t="shared" si="516"/>
        <v>11</v>
      </c>
      <c r="F1289" s="275">
        <f t="shared" si="517"/>
        <v>46342</v>
      </c>
      <c r="G1289" s="120">
        <f t="shared" si="518"/>
        <v>24322</v>
      </c>
      <c r="H1289" s="245">
        <f t="shared" si="519"/>
        <v>1</v>
      </c>
      <c r="I1289" s="121">
        <f t="shared" si="520"/>
        <v>1</v>
      </c>
      <c r="J1289" s="121">
        <f t="shared" si="521"/>
        <v>1.04</v>
      </c>
      <c r="K1289" s="120">
        <f t="shared" si="522"/>
        <v>1</v>
      </c>
      <c r="L1289" s="120">
        <f t="shared" si="523"/>
        <v>30</v>
      </c>
      <c r="M1289" s="246">
        <f t="shared" si="524"/>
        <v>1</v>
      </c>
      <c r="N1289" s="121">
        <f t="shared" si="525"/>
        <v>1.04</v>
      </c>
      <c r="O1289" s="246">
        <f t="shared" si="526"/>
        <v>0.9105032822757112</v>
      </c>
      <c r="P1289" s="121">
        <f t="shared" si="527"/>
        <v>0.25</v>
      </c>
      <c r="Q1289" s="121">
        <f t="shared" si="528"/>
        <v>0.75</v>
      </c>
      <c r="R1289" s="121">
        <f t="shared" si="529"/>
        <v>0</v>
      </c>
      <c r="S1289" s="121" t="str">
        <f t="shared" si="530"/>
        <v/>
      </c>
      <c r="T1289" s="121" t="str">
        <f t="shared" si="531"/>
        <v/>
      </c>
      <c r="U1289" s="121">
        <f t="shared" si="532"/>
        <v>1.04</v>
      </c>
    </row>
    <row r="1290" spans="1:21" x14ac:dyDescent="0.3">
      <c r="A1290" s="187">
        <v>24</v>
      </c>
      <c r="B1290" s="242">
        <f t="shared" si="533"/>
        <v>46357</v>
      </c>
      <c r="C1290" s="243">
        <f t="shared" si="514"/>
        <v>46387</v>
      </c>
      <c r="D1290" s="120">
        <f t="shared" si="515"/>
        <v>31</v>
      </c>
      <c r="E1290" s="120">
        <f t="shared" si="516"/>
        <v>12</v>
      </c>
      <c r="F1290" s="275">
        <f t="shared" si="517"/>
        <v>46372.5</v>
      </c>
      <c r="G1290" s="120">
        <f t="shared" si="518"/>
        <v>24323</v>
      </c>
      <c r="H1290" s="245">
        <f t="shared" si="519"/>
        <v>1</v>
      </c>
      <c r="I1290" s="121">
        <f t="shared" si="520"/>
        <v>1.04</v>
      </c>
      <c r="J1290" s="121">
        <f t="shared" si="521"/>
        <v>1.04</v>
      </c>
      <c r="K1290" s="120">
        <f t="shared" si="522"/>
        <v>0</v>
      </c>
      <c r="L1290" s="120">
        <f t="shared" si="523"/>
        <v>0</v>
      </c>
      <c r="M1290" s="246">
        <f t="shared" si="524"/>
        <v>0</v>
      </c>
      <c r="N1290" s="121">
        <f t="shared" si="525"/>
        <v>1.04</v>
      </c>
      <c r="O1290" s="246">
        <f t="shared" si="526"/>
        <v>0.91083698030634574</v>
      </c>
      <c r="P1290" s="121">
        <f t="shared" si="527"/>
        <v>8.3333333333333329E-2</v>
      </c>
      <c r="Q1290" s="121">
        <f t="shared" si="528"/>
        <v>0.91666666666666663</v>
      </c>
      <c r="R1290" s="121">
        <f t="shared" si="529"/>
        <v>0</v>
      </c>
      <c r="S1290" s="121" t="str">
        <f t="shared" si="530"/>
        <v/>
      </c>
      <c r="T1290" s="121" t="str">
        <f t="shared" si="531"/>
        <v/>
      </c>
      <c r="U1290" s="121">
        <f t="shared" si="532"/>
        <v>1.04</v>
      </c>
    </row>
    <row r="1291" spans="1:21" x14ac:dyDescent="0.3">
      <c r="A1291" s="187">
        <v>25</v>
      </c>
      <c r="B1291" s="242">
        <f t="shared" si="533"/>
        <v>46388</v>
      </c>
      <c r="C1291" s="243">
        <f t="shared" si="514"/>
        <v>46418</v>
      </c>
      <c r="D1291" s="120">
        <f t="shared" si="515"/>
        <v>31</v>
      </c>
      <c r="E1291" s="120">
        <f t="shared" si="516"/>
        <v>1</v>
      </c>
      <c r="F1291" s="275">
        <f t="shared" si="517"/>
        <v>46403.5</v>
      </c>
      <c r="G1291" s="120">
        <f t="shared" si="518"/>
        <v>24324</v>
      </c>
      <c r="H1291" s="245">
        <f t="shared" si="519"/>
        <v>1</v>
      </c>
      <c r="I1291" s="121">
        <f t="shared" si="520"/>
        <v>1.04</v>
      </c>
      <c r="J1291" s="121">
        <f t="shared" si="521"/>
        <v>1.04</v>
      </c>
      <c r="K1291" s="120">
        <f t="shared" si="522"/>
        <v>0</v>
      </c>
      <c r="L1291" s="120">
        <f t="shared" si="523"/>
        <v>0</v>
      </c>
      <c r="M1291" s="246">
        <f t="shared" si="524"/>
        <v>0</v>
      </c>
      <c r="N1291" s="121">
        <f t="shared" si="525"/>
        <v>1.04</v>
      </c>
      <c r="O1291" s="246">
        <f t="shared" si="526"/>
        <v>0.91117614879649889</v>
      </c>
      <c r="P1291" s="121">
        <f t="shared" si="527"/>
        <v>0</v>
      </c>
      <c r="Q1291" s="121">
        <f t="shared" si="528"/>
        <v>1</v>
      </c>
      <c r="R1291" s="121">
        <f t="shared" si="529"/>
        <v>0</v>
      </c>
      <c r="S1291" s="121" t="str">
        <f t="shared" si="530"/>
        <v/>
      </c>
      <c r="T1291" s="121" t="str">
        <f t="shared" si="531"/>
        <v/>
      </c>
      <c r="U1291" s="121">
        <f t="shared" si="532"/>
        <v>1.04</v>
      </c>
    </row>
    <row r="1292" spans="1:21" x14ac:dyDescent="0.3">
      <c r="A1292" s="187">
        <v>26</v>
      </c>
      <c r="B1292" s="242">
        <f t="shared" si="533"/>
        <v>46419</v>
      </c>
      <c r="C1292" s="243">
        <f t="shared" si="514"/>
        <v>46446</v>
      </c>
      <c r="D1292" s="120">
        <f t="shared" si="515"/>
        <v>28</v>
      </c>
      <c r="E1292" s="120">
        <f t="shared" si="516"/>
        <v>2</v>
      </c>
      <c r="F1292" s="275">
        <f t="shared" si="517"/>
        <v>46433</v>
      </c>
      <c r="G1292" s="120">
        <f t="shared" si="518"/>
        <v>24325</v>
      </c>
      <c r="H1292" s="245">
        <f t="shared" si="519"/>
        <v>1</v>
      </c>
      <c r="I1292" s="121">
        <f t="shared" si="520"/>
        <v>1.04</v>
      </c>
      <c r="J1292" s="121">
        <f t="shared" si="521"/>
        <v>1.04</v>
      </c>
      <c r="K1292" s="120">
        <f t="shared" si="522"/>
        <v>0</v>
      </c>
      <c r="L1292" s="120">
        <f t="shared" si="523"/>
        <v>0</v>
      </c>
      <c r="M1292" s="246">
        <f t="shared" si="524"/>
        <v>0</v>
      </c>
      <c r="N1292" s="121">
        <f t="shared" si="525"/>
        <v>1.04</v>
      </c>
      <c r="O1292" s="246">
        <f t="shared" si="526"/>
        <v>0.91149890590809635</v>
      </c>
      <c r="P1292" s="121">
        <f t="shared" si="527"/>
        <v>0</v>
      </c>
      <c r="Q1292" s="121">
        <f t="shared" si="528"/>
        <v>1</v>
      </c>
      <c r="R1292" s="121">
        <f t="shared" si="529"/>
        <v>0</v>
      </c>
      <c r="S1292" s="121" t="str">
        <f t="shared" si="530"/>
        <v/>
      </c>
      <c r="T1292" s="121" t="str">
        <f t="shared" si="531"/>
        <v/>
      </c>
      <c r="U1292" s="121">
        <f t="shared" si="532"/>
        <v>1.04</v>
      </c>
    </row>
    <row r="1293" spans="1:21" x14ac:dyDescent="0.3">
      <c r="A1293" s="187">
        <v>27</v>
      </c>
      <c r="B1293" s="242">
        <f t="shared" si="533"/>
        <v>46447</v>
      </c>
      <c r="C1293" s="243">
        <f t="shared" si="514"/>
        <v>46477</v>
      </c>
      <c r="D1293" s="120">
        <f t="shared" si="515"/>
        <v>31</v>
      </c>
      <c r="E1293" s="120">
        <f t="shared" si="516"/>
        <v>3</v>
      </c>
      <c r="F1293" s="275">
        <f t="shared" si="517"/>
        <v>46462.5</v>
      </c>
      <c r="G1293" s="120">
        <f t="shared" si="518"/>
        <v>24326</v>
      </c>
      <c r="H1293" s="245">
        <f t="shared" si="519"/>
        <v>1</v>
      </c>
      <c r="I1293" s="121">
        <f t="shared" si="520"/>
        <v>1.04</v>
      </c>
      <c r="J1293" s="121">
        <f t="shared" si="521"/>
        <v>1.04</v>
      </c>
      <c r="K1293" s="120">
        <f t="shared" si="522"/>
        <v>0</v>
      </c>
      <c r="L1293" s="120">
        <f t="shared" si="523"/>
        <v>0</v>
      </c>
      <c r="M1293" s="246">
        <f t="shared" si="524"/>
        <v>0</v>
      </c>
      <c r="N1293" s="121">
        <f t="shared" si="525"/>
        <v>1.04</v>
      </c>
      <c r="O1293" s="246">
        <f t="shared" si="526"/>
        <v>0.9118216630196937</v>
      </c>
      <c r="P1293" s="121">
        <f t="shared" si="527"/>
        <v>0</v>
      </c>
      <c r="Q1293" s="121">
        <f t="shared" si="528"/>
        <v>1</v>
      </c>
      <c r="R1293" s="121">
        <f t="shared" si="529"/>
        <v>0</v>
      </c>
      <c r="S1293" s="121" t="str">
        <f t="shared" si="530"/>
        <v/>
      </c>
      <c r="T1293" s="121" t="str">
        <f t="shared" si="531"/>
        <v/>
      </c>
      <c r="U1293" s="121">
        <f t="shared" si="532"/>
        <v>1.04</v>
      </c>
    </row>
    <row r="1294" spans="1:21" x14ac:dyDescent="0.3">
      <c r="A1294" s="187">
        <v>28</v>
      </c>
      <c r="B1294" s="242">
        <f t="shared" si="533"/>
        <v>46478</v>
      </c>
      <c r="C1294" s="243">
        <f t="shared" si="514"/>
        <v>46507</v>
      </c>
      <c r="D1294" s="120">
        <f t="shared" si="515"/>
        <v>30</v>
      </c>
      <c r="E1294" s="120">
        <f t="shared" si="516"/>
        <v>4</v>
      </c>
      <c r="F1294" s="275">
        <f t="shared" si="517"/>
        <v>46493</v>
      </c>
      <c r="G1294" s="120">
        <f t="shared" si="518"/>
        <v>24327</v>
      </c>
      <c r="H1294" s="245">
        <f t="shared" si="519"/>
        <v>1</v>
      </c>
      <c r="I1294" s="121">
        <f t="shared" si="520"/>
        <v>1.04</v>
      </c>
      <c r="J1294" s="121">
        <f t="shared" si="521"/>
        <v>1.04</v>
      </c>
      <c r="K1294" s="120">
        <f t="shared" si="522"/>
        <v>0</v>
      </c>
      <c r="L1294" s="120">
        <f t="shared" si="523"/>
        <v>0</v>
      </c>
      <c r="M1294" s="246">
        <f t="shared" si="524"/>
        <v>0</v>
      </c>
      <c r="N1294" s="121">
        <f t="shared" si="525"/>
        <v>1.04</v>
      </c>
      <c r="O1294" s="246">
        <f t="shared" si="526"/>
        <v>0.91215536105032824</v>
      </c>
      <c r="P1294" s="121">
        <f t="shared" si="527"/>
        <v>0</v>
      </c>
      <c r="Q1294" s="121">
        <f t="shared" si="528"/>
        <v>1</v>
      </c>
      <c r="R1294" s="121">
        <f t="shared" si="529"/>
        <v>0</v>
      </c>
      <c r="S1294" s="121" t="str">
        <f t="shared" si="530"/>
        <v/>
      </c>
      <c r="T1294" s="121" t="str">
        <f t="shared" si="531"/>
        <v/>
      </c>
      <c r="U1294" s="121">
        <f t="shared" si="532"/>
        <v>1.04</v>
      </c>
    </row>
    <row r="1295" spans="1:21" x14ac:dyDescent="0.3">
      <c r="A1295" s="187">
        <v>29</v>
      </c>
      <c r="B1295" s="242">
        <f t="shared" si="533"/>
        <v>46508</v>
      </c>
      <c r="C1295" s="243">
        <f t="shared" si="514"/>
        <v>46538</v>
      </c>
      <c r="D1295" s="120">
        <f t="shared" si="515"/>
        <v>31</v>
      </c>
      <c r="E1295" s="120">
        <f t="shared" si="516"/>
        <v>5</v>
      </c>
      <c r="F1295" s="275">
        <f t="shared" si="517"/>
        <v>46523.5</v>
      </c>
      <c r="G1295" s="120">
        <f t="shared" si="518"/>
        <v>24328</v>
      </c>
      <c r="H1295" s="245">
        <f t="shared" si="519"/>
        <v>1</v>
      </c>
      <c r="I1295" s="121">
        <f t="shared" si="520"/>
        <v>1.04</v>
      </c>
      <c r="J1295" s="121">
        <f t="shared" si="521"/>
        <v>1.04</v>
      </c>
      <c r="K1295" s="120">
        <f t="shared" si="522"/>
        <v>0</v>
      </c>
      <c r="L1295" s="120">
        <f t="shared" si="523"/>
        <v>0</v>
      </c>
      <c r="M1295" s="246">
        <f t="shared" si="524"/>
        <v>0</v>
      </c>
      <c r="N1295" s="121">
        <f t="shared" si="525"/>
        <v>1.04</v>
      </c>
      <c r="O1295" s="246">
        <f t="shared" si="526"/>
        <v>0.91248905908096278</v>
      </c>
      <c r="P1295" s="121">
        <f t="shared" si="527"/>
        <v>0</v>
      </c>
      <c r="Q1295" s="121">
        <f t="shared" si="528"/>
        <v>1</v>
      </c>
      <c r="R1295" s="121">
        <f t="shared" si="529"/>
        <v>0</v>
      </c>
      <c r="S1295" s="121" t="str">
        <f t="shared" si="530"/>
        <v/>
      </c>
      <c r="T1295" s="121" t="str">
        <f t="shared" si="531"/>
        <v/>
      </c>
      <c r="U1295" s="121">
        <f t="shared" si="532"/>
        <v>1.04</v>
      </c>
    </row>
    <row r="1296" spans="1:21" x14ac:dyDescent="0.3">
      <c r="A1296" s="187">
        <v>30</v>
      </c>
      <c r="B1296" s="242">
        <f t="shared" si="533"/>
        <v>46539</v>
      </c>
      <c r="C1296" s="243">
        <f t="shared" si="514"/>
        <v>46568</v>
      </c>
      <c r="D1296" s="120">
        <f t="shared" si="515"/>
        <v>30</v>
      </c>
      <c r="E1296" s="120">
        <f t="shared" si="516"/>
        <v>6</v>
      </c>
      <c r="F1296" s="275">
        <f t="shared" si="517"/>
        <v>46554</v>
      </c>
      <c r="G1296" s="120">
        <f t="shared" si="518"/>
        <v>24329</v>
      </c>
      <c r="H1296" s="245">
        <f t="shared" si="519"/>
        <v>1</v>
      </c>
      <c r="I1296" s="121">
        <f t="shared" si="520"/>
        <v>1.04</v>
      </c>
      <c r="J1296" s="121">
        <f t="shared" si="521"/>
        <v>1.04</v>
      </c>
      <c r="K1296" s="120">
        <f t="shared" si="522"/>
        <v>0</v>
      </c>
      <c r="L1296" s="120">
        <f t="shared" si="523"/>
        <v>0</v>
      </c>
      <c r="M1296" s="246">
        <f t="shared" si="524"/>
        <v>0</v>
      </c>
      <c r="N1296" s="121">
        <f t="shared" si="525"/>
        <v>1.04</v>
      </c>
      <c r="O1296" s="246">
        <f t="shared" si="526"/>
        <v>0.91282275711159744</v>
      </c>
      <c r="P1296" s="121">
        <f t="shared" si="527"/>
        <v>0</v>
      </c>
      <c r="Q1296" s="121">
        <f t="shared" si="528"/>
        <v>1</v>
      </c>
      <c r="R1296" s="121">
        <f t="shared" si="529"/>
        <v>0</v>
      </c>
      <c r="S1296" s="121" t="str">
        <f t="shared" si="530"/>
        <v/>
      </c>
      <c r="T1296" s="121" t="str">
        <f t="shared" si="531"/>
        <v/>
      </c>
      <c r="U1296" s="121">
        <f t="shared" si="532"/>
        <v>1.04</v>
      </c>
    </row>
    <row r="1297" spans="1:21" x14ac:dyDescent="0.3">
      <c r="A1297" s="187">
        <v>31</v>
      </c>
      <c r="B1297" s="242">
        <f t="shared" si="533"/>
        <v>46569</v>
      </c>
      <c r="C1297" s="243">
        <f t="shared" si="514"/>
        <v>46599</v>
      </c>
      <c r="D1297" s="120">
        <f t="shared" si="515"/>
        <v>31</v>
      </c>
      <c r="E1297" s="120">
        <f t="shared" si="516"/>
        <v>7</v>
      </c>
      <c r="F1297" s="275">
        <f t="shared" si="517"/>
        <v>46584.5</v>
      </c>
      <c r="G1297" s="120">
        <f t="shared" si="518"/>
        <v>24330</v>
      </c>
      <c r="H1297" s="245">
        <f t="shared" si="519"/>
        <v>1</v>
      </c>
      <c r="I1297" s="121">
        <f t="shared" si="520"/>
        <v>1.04</v>
      </c>
      <c r="J1297" s="121">
        <f t="shared" si="521"/>
        <v>1.04</v>
      </c>
      <c r="K1297" s="120">
        <f t="shared" si="522"/>
        <v>0</v>
      </c>
      <c r="L1297" s="120">
        <f t="shared" si="523"/>
        <v>0</v>
      </c>
      <c r="M1297" s="246">
        <f t="shared" si="524"/>
        <v>0</v>
      </c>
      <c r="N1297" s="121">
        <f t="shared" si="525"/>
        <v>1.04</v>
      </c>
      <c r="O1297" s="246">
        <f t="shared" si="526"/>
        <v>0.91315645514223198</v>
      </c>
      <c r="P1297" s="121">
        <f t="shared" si="527"/>
        <v>0</v>
      </c>
      <c r="Q1297" s="121">
        <f t="shared" si="528"/>
        <v>0.91666666666666663</v>
      </c>
      <c r="R1297" s="121">
        <f t="shared" si="529"/>
        <v>8.333333333333337E-2</v>
      </c>
      <c r="S1297" s="121" t="str">
        <f t="shared" si="530"/>
        <v/>
      </c>
      <c r="T1297" s="121" t="str">
        <f t="shared" si="531"/>
        <v/>
      </c>
      <c r="U1297" s="121">
        <f t="shared" si="532"/>
        <v>1.04</v>
      </c>
    </row>
    <row r="1298" spans="1:21" x14ac:dyDescent="0.3">
      <c r="A1298" s="187">
        <v>32</v>
      </c>
      <c r="B1298" s="242">
        <f t="shared" si="533"/>
        <v>46600</v>
      </c>
      <c r="C1298" s="243">
        <f t="shared" si="514"/>
        <v>46630</v>
      </c>
      <c r="D1298" s="120">
        <f t="shared" si="515"/>
        <v>31</v>
      </c>
      <c r="E1298" s="120">
        <f t="shared" si="516"/>
        <v>8</v>
      </c>
      <c r="F1298" s="275">
        <f t="shared" si="517"/>
        <v>46615.5</v>
      </c>
      <c r="G1298" s="120">
        <f t="shared" si="518"/>
        <v>24331</v>
      </c>
      <c r="H1298" s="245">
        <f t="shared" si="519"/>
        <v>1</v>
      </c>
      <c r="I1298" s="121">
        <f t="shared" si="520"/>
        <v>1.04</v>
      </c>
      <c r="J1298" s="121">
        <f t="shared" si="521"/>
        <v>1.04</v>
      </c>
      <c r="K1298" s="120">
        <f t="shared" si="522"/>
        <v>0</v>
      </c>
      <c r="L1298" s="120">
        <f t="shared" si="523"/>
        <v>0</v>
      </c>
      <c r="M1298" s="246">
        <f t="shared" si="524"/>
        <v>0</v>
      </c>
      <c r="N1298" s="121">
        <f t="shared" si="525"/>
        <v>1.04</v>
      </c>
      <c r="O1298" s="246">
        <f t="shared" si="526"/>
        <v>0.91349562363238512</v>
      </c>
      <c r="P1298" s="121">
        <f t="shared" si="527"/>
        <v>0</v>
      </c>
      <c r="Q1298" s="121">
        <f t="shared" si="528"/>
        <v>0.75</v>
      </c>
      <c r="R1298" s="121">
        <f t="shared" si="529"/>
        <v>0.25</v>
      </c>
      <c r="S1298" s="121" t="str">
        <f t="shared" si="530"/>
        <v/>
      </c>
      <c r="T1298" s="121" t="str">
        <f t="shared" si="531"/>
        <v/>
      </c>
      <c r="U1298" s="121">
        <f t="shared" si="532"/>
        <v>1.04</v>
      </c>
    </row>
    <row r="1299" spans="1:21" x14ac:dyDescent="0.3">
      <c r="A1299" s="187">
        <v>33</v>
      </c>
      <c r="B1299" s="242">
        <f t="shared" si="533"/>
        <v>46631</v>
      </c>
      <c r="C1299" s="243">
        <f t="shared" si="514"/>
        <v>46660</v>
      </c>
      <c r="D1299" s="120">
        <f t="shared" si="515"/>
        <v>30</v>
      </c>
      <c r="E1299" s="120">
        <f t="shared" si="516"/>
        <v>9</v>
      </c>
      <c r="F1299" s="275">
        <f t="shared" si="517"/>
        <v>46646</v>
      </c>
      <c r="G1299" s="120">
        <f t="shared" si="518"/>
        <v>24332</v>
      </c>
      <c r="H1299" s="245">
        <f t="shared" si="519"/>
        <v>1</v>
      </c>
      <c r="I1299" s="121">
        <f t="shared" si="520"/>
        <v>1.04</v>
      </c>
      <c r="J1299" s="121">
        <f t="shared" si="521"/>
        <v>1.04</v>
      </c>
      <c r="K1299" s="120">
        <f t="shared" si="522"/>
        <v>0</v>
      </c>
      <c r="L1299" s="120">
        <f t="shared" si="523"/>
        <v>0</v>
      </c>
      <c r="M1299" s="246">
        <f t="shared" si="524"/>
        <v>0</v>
      </c>
      <c r="N1299" s="121">
        <f t="shared" si="525"/>
        <v>1.04</v>
      </c>
      <c r="O1299" s="246">
        <f t="shared" si="526"/>
        <v>0.91382932166301978</v>
      </c>
      <c r="P1299" s="121">
        <f t="shared" si="527"/>
        <v>0</v>
      </c>
      <c r="Q1299" s="121">
        <f t="shared" si="528"/>
        <v>0.58333333333333337</v>
      </c>
      <c r="R1299" s="121">
        <f t="shared" si="529"/>
        <v>0.41666666666666663</v>
      </c>
      <c r="S1299" s="121" t="str">
        <f t="shared" si="530"/>
        <v/>
      </c>
      <c r="T1299" s="121" t="str">
        <f t="shared" si="531"/>
        <v/>
      </c>
      <c r="U1299" s="121">
        <f t="shared" si="532"/>
        <v>1.04</v>
      </c>
    </row>
    <row r="1300" spans="1:21" x14ac:dyDescent="0.3">
      <c r="A1300" s="187">
        <v>34</v>
      </c>
      <c r="B1300" s="242">
        <f t="shared" si="533"/>
        <v>46661</v>
      </c>
      <c r="C1300" s="243">
        <f t="shared" si="514"/>
        <v>46691</v>
      </c>
      <c r="D1300" s="120">
        <f t="shared" si="515"/>
        <v>31</v>
      </c>
      <c r="E1300" s="120">
        <f t="shared" si="516"/>
        <v>10</v>
      </c>
      <c r="F1300" s="275">
        <f t="shared" si="517"/>
        <v>46676.5</v>
      </c>
      <c r="G1300" s="120">
        <f t="shared" si="518"/>
        <v>24333</v>
      </c>
      <c r="H1300" s="245">
        <f t="shared" si="519"/>
        <v>1</v>
      </c>
      <c r="I1300" s="121">
        <f t="shared" si="520"/>
        <v>1.04</v>
      </c>
      <c r="J1300" s="121">
        <f t="shared" si="521"/>
        <v>1.04</v>
      </c>
      <c r="K1300" s="120">
        <f t="shared" si="522"/>
        <v>0</v>
      </c>
      <c r="L1300" s="120">
        <f t="shared" si="523"/>
        <v>0</v>
      </c>
      <c r="M1300" s="246">
        <f t="shared" si="524"/>
        <v>0</v>
      </c>
      <c r="N1300" s="121">
        <f t="shared" si="525"/>
        <v>1.04</v>
      </c>
      <c r="O1300" s="246">
        <f t="shared" si="526"/>
        <v>0.91416301969365432</v>
      </c>
      <c r="P1300" s="121">
        <f t="shared" si="527"/>
        <v>0</v>
      </c>
      <c r="Q1300" s="121">
        <f t="shared" si="528"/>
        <v>0.41666666666666669</v>
      </c>
      <c r="R1300" s="121">
        <f t="shared" si="529"/>
        <v>0.58333333333333326</v>
      </c>
      <c r="S1300" s="121" t="str">
        <f t="shared" si="530"/>
        <v/>
      </c>
      <c r="T1300" s="121" t="str">
        <f t="shared" si="531"/>
        <v/>
      </c>
      <c r="U1300" s="121">
        <f t="shared" si="532"/>
        <v>1.04</v>
      </c>
    </row>
    <row r="1301" spans="1:21" x14ac:dyDescent="0.3">
      <c r="A1301" s="187">
        <v>35</v>
      </c>
      <c r="B1301" s="242">
        <f t="shared" si="533"/>
        <v>46692</v>
      </c>
      <c r="C1301" s="243">
        <f t="shared" si="514"/>
        <v>46721</v>
      </c>
      <c r="D1301" s="120">
        <f t="shared" si="515"/>
        <v>30</v>
      </c>
      <c r="E1301" s="120">
        <f t="shared" si="516"/>
        <v>11</v>
      </c>
      <c r="F1301" s="275">
        <f t="shared" si="517"/>
        <v>46707</v>
      </c>
      <c r="G1301" s="120">
        <f t="shared" si="518"/>
        <v>24334</v>
      </c>
      <c r="H1301" s="245">
        <f t="shared" si="519"/>
        <v>1</v>
      </c>
      <c r="I1301" s="121">
        <f t="shared" si="520"/>
        <v>1.04</v>
      </c>
      <c r="J1301" s="121">
        <f t="shared" si="521"/>
        <v>1.04</v>
      </c>
      <c r="K1301" s="120">
        <f t="shared" si="522"/>
        <v>0</v>
      </c>
      <c r="L1301" s="120">
        <f t="shared" si="523"/>
        <v>0</v>
      </c>
      <c r="M1301" s="246">
        <f t="shared" si="524"/>
        <v>0</v>
      </c>
      <c r="N1301" s="121">
        <f t="shared" si="525"/>
        <v>1.04</v>
      </c>
      <c r="O1301" s="246">
        <f t="shared" si="526"/>
        <v>0.91449671772428887</v>
      </c>
      <c r="P1301" s="121">
        <f t="shared" si="527"/>
        <v>0</v>
      </c>
      <c r="Q1301" s="121">
        <f t="shared" si="528"/>
        <v>0.25</v>
      </c>
      <c r="R1301" s="121">
        <f t="shared" si="529"/>
        <v>0.75</v>
      </c>
      <c r="S1301" s="121" t="str">
        <f t="shared" si="530"/>
        <v/>
      </c>
      <c r="T1301" s="121" t="str">
        <f t="shared" si="531"/>
        <v/>
      </c>
      <c r="U1301" s="121">
        <f t="shared" si="532"/>
        <v>1.04</v>
      </c>
    </row>
    <row r="1302" spans="1:21" x14ac:dyDescent="0.3">
      <c r="A1302" s="187">
        <v>36</v>
      </c>
      <c r="B1302" s="242">
        <f t="shared" si="533"/>
        <v>46722</v>
      </c>
      <c r="C1302" s="243">
        <f t="shared" si="514"/>
        <v>46752</v>
      </c>
      <c r="D1302" s="120">
        <f t="shared" si="515"/>
        <v>31</v>
      </c>
      <c r="E1302" s="120">
        <f t="shared" si="516"/>
        <v>12</v>
      </c>
      <c r="F1302" s="275">
        <f t="shared" si="517"/>
        <v>46737.5</v>
      </c>
      <c r="G1302" s="120">
        <f t="shared" si="518"/>
        <v>24335</v>
      </c>
      <c r="H1302" s="245">
        <f t="shared" si="519"/>
        <v>1</v>
      </c>
      <c r="I1302" s="121">
        <f t="shared" si="520"/>
        <v>1.04</v>
      </c>
      <c r="J1302" s="121">
        <f t="shared" si="521"/>
        <v>1.04</v>
      </c>
      <c r="K1302" s="120">
        <f t="shared" si="522"/>
        <v>0</v>
      </c>
      <c r="L1302" s="120">
        <f t="shared" si="523"/>
        <v>0</v>
      </c>
      <c r="M1302" s="246">
        <f t="shared" si="524"/>
        <v>0</v>
      </c>
      <c r="N1302" s="121">
        <f t="shared" si="525"/>
        <v>1.04</v>
      </c>
      <c r="O1302" s="246">
        <f t="shared" si="526"/>
        <v>0.91483041575492341</v>
      </c>
      <c r="P1302" s="121">
        <f t="shared" si="527"/>
        <v>0</v>
      </c>
      <c r="Q1302" s="121">
        <f t="shared" si="528"/>
        <v>8.3333333333333329E-2</v>
      </c>
      <c r="R1302" s="121">
        <f t="shared" si="529"/>
        <v>0.91666666666666663</v>
      </c>
      <c r="S1302" s="121" t="str">
        <f t="shared" si="530"/>
        <v/>
      </c>
      <c r="T1302" s="121" t="str">
        <f t="shared" si="531"/>
        <v/>
      </c>
      <c r="U1302" s="121">
        <f t="shared" si="532"/>
        <v>1.04</v>
      </c>
    </row>
    <row r="1303" spans="1:21" x14ac:dyDescent="0.3">
      <c r="A1303" s="187">
        <v>37</v>
      </c>
      <c r="B1303" s="242">
        <f t="shared" si="533"/>
        <v>46753</v>
      </c>
      <c r="C1303" s="243">
        <f t="shared" si="514"/>
        <v>46783</v>
      </c>
      <c r="D1303" s="120">
        <f t="shared" si="515"/>
        <v>31</v>
      </c>
      <c r="E1303" s="120">
        <f t="shared" si="516"/>
        <v>1</v>
      </c>
      <c r="F1303" s="275">
        <f t="shared" si="517"/>
        <v>46768.5</v>
      </c>
      <c r="G1303" s="120">
        <f t="shared" si="518"/>
        <v>24336</v>
      </c>
      <c r="H1303" s="245">
        <f t="shared" si="519"/>
        <v>1</v>
      </c>
      <c r="I1303" s="121">
        <f t="shared" si="520"/>
        <v>1.04</v>
      </c>
      <c r="J1303" s="121">
        <f t="shared" si="521"/>
        <v>1.04</v>
      </c>
      <c r="K1303" s="120">
        <f t="shared" si="522"/>
        <v>0</v>
      </c>
      <c r="L1303" s="120">
        <f t="shared" si="523"/>
        <v>0</v>
      </c>
      <c r="M1303" s="246">
        <f t="shared" si="524"/>
        <v>0</v>
      </c>
      <c r="N1303" s="121">
        <f t="shared" si="525"/>
        <v>1.04</v>
      </c>
      <c r="O1303" s="246">
        <f t="shared" si="526"/>
        <v>0.91500000000000004</v>
      </c>
      <c r="P1303" s="121">
        <f t="shared" si="527"/>
        <v>0</v>
      </c>
      <c r="Q1303" s="121">
        <f t="shared" si="528"/>
        <v>0</v>
      </c>
      <c r="R1303" s="121">
        <f t="shared" si="529"/>
        <v>1</v>
      </c>
      <c r="S1303" s="121" t="str">
        <f t="shared" si="530"/>
        <v/>
      </c>
      <c r="T1303" s="121" t="str">
        <f t="shared" si="531"/>
        <v/>
      </c>
      <c r="U1303" s="121">
        <f t="shared" si="532"/>
        <v>1.04</v>
      </c>
    </row>
    <row r="1304" spans="1:21" x14ac:dyDescent="0.3">
      <c r="A1304" s="187">
        <v>38</v>
      </c>
      <c r="B1304" s="242">
        <f t="shared" si="533"/>
        <v>46784</v>
      </c>
      <c r="C1304" s="243">
        <f t="shared" si="514"/>
        <v>46812</v>
      </c>
      <c r="D1304" s="120">
        <f t="shared" si="515"/>
        <v>29</v>
      </c>
      <c r="E1304" s="120">
        <f t="shared" si="516"/>
        <v>2</v>
      </c>
      <c r="F1304" s="275">
        <f t="shared" si="517"/>
        <v>46798.5</v>
      </c>
      <c r="G1304" s="120">
        <f t="shared" si="518"/>
        <v>24337</v>
      </c>
      <c r="H1304" s="245">
        <f t="shared" si="519"/>
        <v>1</v>
      </c>
      <c r="I1304" s="121">
        <f t="shared" si="520"/>
        <v>1.04</v>
      </c>
      <c r="J1304" s="121">
        <f t="shared" si="521"/>
        <v>1.04</v>
      </c>
      <c r="K1304" s="120">
        <f t="shared" si="522"/>
        <v>0</v>
      </c>
      <c r="L1304" s="120">
        <f t="shared" si="523"/>
        <v>0</v>
      </c>
      <c r="M1304" s="246">
        <f t="shared" si="524"/>
        <v>0</v>
      </c>
      <c r="N1304" s="121">
        <f t="shared" si="525"/>
        <v>1.04</v>
      </c>
      <c r="O1304" s="246">
        <f t="shared" si="526"/>
        <v>0.91500000000000004</v>
      </c>
      <c r="P1304" s="121">
        <f t="shared" si="527"/>
        <v>0</v>
      </c>
      <c r="Q1304" s="121">
        <f t="shared" si="528"/>
        <v>0</v>
      </c>
      <c r="R1304" s="121">
        <f t="shared" si="529"/>
        <v>1</v>
      </c>
      <c r="S1304" s="121" t="str">
        <f t="shared" si="530"/>
        <v/>
      </c>
      <c r="T1304" s="121" t="str">
        <f t="shared" si="531"/>
        <v/>
      </c>
      <c r="U1304" s="121">
        <f t="shared" si="532"/>
        <v>1.04</v>
      </c>
    </row>
    <row r="1305" spans="1:21" x14ac:dyDescent="0.3">
      <c r="A1305" s="187">
        <v>39</v>
      </c>
      <c r="B1305" s="242">
        <f t="shared" si="533"/>
        <v>46813</v>
      </c>
      <c r="C1305" s="243">
        <f t="shared" si="514"/>
        <v>46843</v>
      </c>
      <c r="D1305" s="120">
        <f t="shared" si="515"/>
        <v>31</v>
      </c>
      <c r="E1305" s="120">
        <f t="shared" si="516"/>
        <v>3</v>
      </c>
      <c r="F1305" s="275">
        <f t="shared" si="517"/>
        <v>46828.5</v>
      </c>
      <c r="G1305" s="120">
        <f t="shared" si="518"/>
        <v>24338</v>
      </c>
      <c r="H1305" s="245">
        <f t="shared" si="519"/>
        <v>1</v>
      </c>
      <c r="I1305" s="121">
        <f t="shared" si="520"/>
        <v>1.04</v>
      </c>
      <c r="J1305" s="121">
        <f t="shared" si="521"/>
        <v>1.04</v>
      </c>
      <c r="K1305" s="120">
        <f t="shared" si="522"/>
        <v>0</v>
      </c>
      <c r="L1305" s="120">
        <f t="shared" si="523"/>
        <v>0</v>
      </c>
      <c r="M1305" s="246">
        <f t="shared" si="524"/>
        <v>0</v>
      </c>
      <c r="N1305" s="121">
        <f t="shared" si="525"/>
        <v>1.04</v>
      </c>
      <c r="O1305" s="246">
        <f t="shared" si="526"/>
        <v>0.91500000000000004</v>
      </c>
      <c r="P1305" s="121">
        <f t="shared" si="527"/>
        <v>0</v>
      </c>
      <c r="Q1305" s="121">
        <f t="shared" si="528"/>
        <v>0</v>
      </c>
      <c r="R1305" s="121">
        <f t="shared" si="529"/>
        <v>1</v>
      </c>
      <c r="S1305" s="121" t="str">
        <f t="shared" si="530"/>
        <v/>
      </c>
      <c r="T1305" s="121" t="str">
        <f t="shared" si="531"/>
        <v/>
      </c>
      <c r="U1305" s="121">
        <f t="shared" si="532"/>
        <v>1.04</v>
      </c>
    </row>
    <row r="1306" spans="1:21" x14ac:dyDescent="0.3">
      <c r="A1306" s="187">
        <v>40</v>
      </c>
      <c r="B1306" s="242">
        <f t="shared" si="533"/>
        <v>46844</v>
      </c>
      <c r="C1306" s="243">
        <f t="shared" si="514"/>
        <v>46873</v>
      </c>
      <c r="D1306" s="120">
        <f t="shared" si="515"/>
        <v>30</v>
      </c>
      <c r="E1306" s="120">
        <f t="shared" si="516"/>
        <v>4</v>
      </c>
      <c r="F1306" s="275">
        <f t="shared" si="517"/>
        <v>46859</v>
      </c>
      <c r="G1306" s="120">
        <f t="shared" si="518"/>
        <v>24339</v>
      </c>
      <c r="H1306" s="245">
        <f t="shared" si="519"/>
        <v>1</v>
      </c>
      <c r="I1306" s="121">
        <f t="shared" si="520"/>
        <v>1.04</v>
      </c>
      <c r="J1306" s="121">
        <f t="shared" si="521"/>
        <v>1.04</v>
      </c>
      <c r="K1306" s="120">
        <f t="shared" si="522"/>
        <v>0</v>
      </c>
      <c r="L1306" s="120">
        <f t="shared" si="523"/>
        <v>0</v>
      </c>
      <c r="M1306" s="246">
        <f t="shared" si="524"/>
        <v>0</v>
      </c>
      <c r="N1306" s="121">
        <f t="shared" si="525"/>
        <v>1.04</v>
      </c>
      <c r="O1306" s="246">
        <f t="shared" si="526"/>
        <v>0.91500000000000004</v>
      </c>
      <c r="P1306" s="121">
        <f t="shared" si="527"/>
        <v>0</v>
      </c>
      <c r="Q1306" s="121">
        <f t="shared" si="528"/>
        <v>0</v>
      </c>
      <c r="R1306" s="121">
        <f t="shared" si="529"/>
        <v>1</v>
      </c>
      <c r="S1306" s="121" t="str">
        <f t="shared" si="530"/>
        <v/>
      </c>
      <c r="T1306" s="121" t="str">
        <f t="shared" si="531"/>
        <v/>
      </c>
      <c r="U1306" s="121">
        <f t="shared" si="532"/>
        <v>1.04</v>
      </c>
    </row>
    <row r="1307" spans="1:21" x14ac:dyDescent="0.3">
      <c r="A1307" s="187">
        <v>41</v>
      </c>
      <c r="B1307" s="242">
        <f t="shared" si="533"/>
        <v>46874</v>
      </c>
      <c r="C1307" s="243">
        <f t="shared" si="514"/>
        <v>46904</v>
      </c>
      <c r="D1307" s="120">
        <f t="shared" si="515"/>
        <v>31</v>
      </c>
      <c r="E1307" s="120">
        <f t="shared" si="516"/>
        <v>5</v>
      </c>
      <c r="F1307" s="275">
        <f t="shared" si="517"/>
        <v>46889.5</v>
      </c>
      <c r="G1307" s="120">
        <f t="shared" si="518"/>
        <v>24340</v>
      </c>
      <c r="H1307" s="245">
        <f t="shared" si="519"/>
        <v>1</v>
      </c>
      <c r="I1307" s="121">
        <f t="shared" si="520"/>
        <v>1.04</v>
      </c>
      <c r="J1307" s="121">
        <f t="shared" si="521"/>
        <v>1.04</v>
      </c>
      <c r="K1307" s="120">
        <f t="shared" si="522"/>
        <v>0</v>
      </c>
      <c r="L1307" s="120">
        <f t="shared" si="523"/>
        <v>0</v>
      </c>
      <c r="M1307" s="246">
        <f t="shared" si="524"/>
        <v>0</v>
      </c>
      <c r="N1307" s="121">
        <f t="shared" si="525"/>
        <v>1.04</v>
      </c>
      <c r="O1307" s="246">
        <f t="shared" si="526"/>
        <v>0.91500000000000004</v>
      </c>
      <c r="P1307" s="121">
        <f t="shared" si="527"/>
        <v>0</v>
      </c>
      <c r="Q1307" s="121">
        <f t="shared" si="528"/>
        <v>0</v>
      </c>
      <c r="R1307" s="121">
        <f t="shared" si="529"/>
        <v>1</v>
      </c>
      <c r="S1307" s="121" t="str">
        <f t="shared" si="530"/>
        <v/>
      </c>
      <c r="T1307" s="121" t="str">
        <f t="shared" si="531"/>
        <v/>
      </c>
      <c r="U1307" s="121">
        <f t="shared" si="532"/>
        <v>1.04</v>
      </c>
    </row>
    <row r="1308" spans="1:21" x14ac:dyDescent="0.3">
      <c r="A1308" s="187">
        <v>42</v>
      </c>
      <c r="B1308" s="242">
        <f t="shared" si="533"/>
        <v>46905</v>
      </c>
      <c r="C1308" s="243">
        <f t="shared" si="514"/>
        <v>46934</v>
      </c>
      <c r="D1308" s="120">
        <f t="shared" si="515"/>
        <v>30</v>
      </c>
      <c r="E1308" s="120">
        <f t="shared" si="516"/>
        <v>6</v>
      </c>
      <c r="F1308" s="275">
        <f t="shared" si="517"/>
        <v>46920</v>
      </c>
      <c r="G1308" s="120">
        <f t="shared" si="518"/>
        <v>24341</v>
      </c>
      <c r="H1308" s="245">
        <f t="shared" si="519"/>
        <v>1</v>
      </c>
      <c r="I1308" s="121">
        <f t="shared" si="520"/>
        <v>1.04</v>
      </c>
      <c r="J1308" s="121">
        <f t="shared" si="521"/>
        <v>1.04</v>
      </c>
      <c r="K1308" s="120">
        <f t="shared" si="522"/>
        <v>0</v>
      </c>
      <c r="L1308" s="120">
        <f t="shared" si="523"/>
        <v>0</v>
      </c>
      <c r="M1308" s="246">
        <f t="shared" si="524"/>
        <v>0</v>
      </c>
      <c r="N1308" s="121">
        <f t="shared" si="525"/>
        <v>1.04</v>
      </c>
      <c r="O1308" s="246">
        <f t="shared" si="526"/>
        <v>0.91500000000000004</v>
      </c>
      <c r="P1308" s="121">
        <f t="shared" si="527"/>
        <v>0</v>
      </c>
      <c r="Q1308" s="121">
        <f t="shared" si="528"/>
        <v>0</v>
      </c>
      <c r="R1308" s="121">
        <f t="shared" si="529"/>
        <v>1</v>
      </c>
      <c r="S1308" s="121" t="str">
        <f t="shared" si="530"/>
        <v/>
      </c>
      <c r="T1308" s="121" t="str">
        <f t="shared" si="531"/>
        <v/>
      </c>
      <c r="U1308" s="121">
        <f t="shared" si="532"/>
        <v>1.04</v>
      </c>
    </row>
    <row r="1309" spans="1:21" x14ac:dyDescent="0.3">
      <c r="A1309" s="187">
        <v>43</v>
      </c>
      <c r="B1309" s="242">
        <f t="shared" si="533"/>
        <v>46935</v>
      </c>
      <c r="C1309" s="243">
        <f t="shared" si="514"/>
        <v>46965</v>
      </c>
      <c r="D1309" s="120">
        <f t="shared" si="515"/>
        <v>31</v>
      </c>
      <c r="E1309" s="120">
        <f t="shared" si="516"/>
        <v>7</v>
      </c>
      <c r="F1309" s="275">
        <f t="shared" si="517"/>
        <v>46950.5</v>
      </c>
      <c r="G1309" s="120">
        <f t="shared" si="518"/>
        <v>24342</v>
      </c>
      <c r="H1309" s="245">
        <f t="shared" si="519"/>
        <v>1</v>
      </c>
      <c r="I1309" s="121">
        <f t="shared" si="520"/>
        <v>1.04</v>
      </c>
      <c r="J1309" s="121">
        <f t="shared" si="521"/>
        <v>1.04</v>
      </c>
      <c r="K1309" s="120">
        <f t="shared" si="522"/>
        <v>0</v>
      </c>
      <c r="L1309" s="120">
        <f t="shared" si="523"/>
        <v>0</v>
      </c>
      <c r="M1309" s="246">
        <f t="shared" si="524"/>
        <v>0</v>
      </c>
      <c r="N1309" s="121">
        <f t="shared" si="525"/>
        <v>1.04</v>
      </c>
      <c r="O1309" s="246">
        <f t="shared" si="526"/>
        <v>0.91500000000000004</v>
      </c>
      <c r="P1309" s="121">
        <f t="shared" si="527"/>
        <v>0</v>
      </c>
      <c r="Q1309" s="121">
        <f t="shared" si="528"/>
        <v>0</v>
      </c>
      <c r="R1309" s="121">
        <f t="shared" si="529"/>
        <v>0.91666666666666663</v>
      </c>
      <c r="S1309" s="121" t="str">
        <f t="shared" si="530"/>
        <v/>
      </c>
      <c r="T1309" s="121" t="str">
        <f t="shared" si="531"/>
        <v/>
      </c>
      <c r="U1309" s="121">
        <f t="shared" si="532"/>
        <v>1.04</v>
      </c>
    </row>
    <row r="1310" spans="1:21" x14ac:dyDescent="0.3">
      <c r="A1310" s="187">
        <v>44</v>
      </c>
      <c r="B1310" s="242">
        <f t="shared" si="533"/>
        <v>46966</v>
      </c>
      <c r="C1310" s="243">
        <f t="shared" si="514"/>
        <v>46996</v>
      </c>
      <c r="D1310" s="120">
        <f t="shared" si="515"/>
        <v>31</v>
      </c>
      <c r="E1310" s="120">
        <f t="shared" si="516"/>
        <v>8</v>
      </c>
      <c r="F1310" s="275">
        <f t="shared" si="517"/>
        <v>46981.5</v>
      </c>
      <c r="G1310" s="120">
        <f t="shared" si="518"/>
        <v>24343</v>
      </c>
      <c r="H1310" s="245">
        <f t="shared" si="519"/>
        <v>1</v>
      </c>
      <c r="I1310" s="121">
        <f t="shared" si="520"/>
        <v>1.04</v>
      </c>
      <c r="J1310" s="121">
        <f t="shared" si="521"/>
        <v>1.04</v>
      </c>
      <c r="K1310" s="120">
        <f t="shared" si="522"/>
        <v>0</v>
      </c>
      <c r="L1310" s="120">
        <f t="shared" si="523"/>
        <v>0</v>
      </c>
      <c r="M1310" s="246">
        <f t="shared" si="524"/>
        <v>0</v>
      </c>
      <c r="N1310" s="121">
        <f t="shared" si="525"/>
        <v>1.04</v>
      </c>
      <c r="O1310" s="246">
        <f t="shared" si="526"/>
        <v>0.91500000000000004</v>
      </c>
      <c r="P1310" s="121">
        <f t="shared" si="527"/>
        <v>0</v>
      </c>
      <c r="Q1310" s="121">
        <f t="shared" si="528"/>
        <v>0</v>
      </c>
      <c r="R1310" s="121">
        <f t="shared" si="529"/>
        <v>0.75</v>
      </c>
      <c r="S1310" s="121" t="str">
        <f t="shared" si="530"/>
        <v/>
      </c>
      <c r="T1310" s="121" t="str">
        <f t="shared" si="531"/>
        <v/>
      </c>
      <c r="U1310" s="121">
        <f t="shared" si="532"/>
        <v>1.04</v>
      </c>
    </row>
    <row r="1311" spans="1:21" x14ac:dyDescent="0.3">
      <c r="A1311" s="187">
        <v>45</v>
      </c>
      <c r="B1311" s="242">
        <f t="shared" si="533"/>
        <v>46997</v>
      </c>
      <c r="C1311" s="243">
        <f t="shared" si="514"/>
        <v>47026</v>
      </c>
      <c r="D1311" s="120">
        <f t="shared" si="515"/>
        <v>30</v>
      </c>
      <c r="E1311" s="120">
        <f t="shared" si="516"/>
        <v>9</v>
      </c>
      <c r="F1311" s="275">
        <f t="shared" si="517"/>
        <v>47012</v>
      </c>
      <c r="G1311" s="120">
        <f t="shared" si="518"/>
        <v>24344</v>
      </c>
      <c r="H1311" s="245">
        <f t="shared" si="519"/>
        <v>1</v>
      </c>
      <c r="I1311" s="121">
        <f t="shared" si="520"/>
        <v>1.04</v>
      </c>
      <c r="J1311" s="121">
        <f t="shared" si="521"/>
        <v>1.04</v>
      </c>
      <c r="K1311" s="120">
        <f t="shared" si="522"/>
        <v>0</v>
      </c>
      <c r="L1311" s="120">
        <f t="shared" si="523"/>
        <v>0</v>
      </c>
      <c r="M1311" s="246">
        <f t="shared" si="524"/>
        <v>0</v>
      </c>
      <c r="N1311" s="121">
        <f t="shared" si="525"/>
        <v>1.04</v>
      </c>
      <c r="O1311" s="246">
        <f t="shared" si="526"/>
        <v>0.91500000000000004</v>
      </c>
      <c r="P1311" s="121">
        <f t="shared" si="527"/>
        <v>0</v>
      </c>
      <c r="Q1311" s="121">
        <f t="shared" si="528"/>
        <v>0</v>
      </c>
      <c r="R1311" s="121">
        <f t="shared" si="529"/>
        <v>0.58333333333333337</v>
      </c>
      <c r="S1311" s="121" t="str">
        <f t="shared" si="530"/>
        <v/>
      </c>
      <c r="T1311" s="121" t="str">
        <f t="shared" si="531"/>
        <v/>
      </c>
      <c r="U1311" s="121">
        <f t="shared" si="532"/>
        <v>1.04</v>
      </c>
    </row>
    <row r="1312" spans="1:21" x14ac:dyDescent="0.3">
      <c r="A1312" s="187">
        <v>46</v>
      </c>
      <c r="B1312" s="242">
        <f t="shared" si="533"/>
        <v>47027</v>
      </c>
      <c r="C1312" s="243">
        <f t="shared" si="514"/>
        <v>47057</v>
      </c>
      <c r="D1312" s="120">
        <f t="shared" si="515"/>
        <v>31</v>
      </c>
      <c r="E1312" s="120">
        <f t="shared" si="516"/>
        <v>10</v>
      </c>
      <c r="F1312" s="275">
        <f t="shared" si="517"/>
        <v>47042.5</v>
      </c>
      <c r="G1312" s="120">
        <f t="shared" si="518"/>
        <v>24345</v>
      </c>
      <c r="H1312" s="245">
        <f t="shared" si="519"/>
        <v>1</v>
      </c>
      <c r="I1312" s="121">
        <f t="shared" si="520"/>
        <v>1.04</v>
      </c>
      <c r="J1312" s="121">
        <f t="shared" si="521"/>
        <v>1.04</v>
      </c>
      <c r="K1312" s="120">
        <f t="shared" si="522"/>
        <v>0</v>
      </c>
      <c r="L1312" s="120">
        <f t="shared" si="523"/>
        <v>0</v>
      </c>
      <c r="M1312" s="246">
        <f t="shared" si="524"/>
        <v>0</v>
      </c>
      <c r="N1312" s="121">
        <f t="shared" si="525"/>
        <v>1.04</v>
      </c>
      <c r="O1312" s="246">
        <f t="shared" si="526"/>
        <v>0.91500000000000004</v>
      </c>
      <c r="P1312" s="121">
        <f t="shared" si="527"/>
        <v>0</v>
      </c>
      <c r="Q1312" s="121">
        <f t="shared" si="528"/>
        <v>0</v>
      </c>
      <c r="R1312" s="121">
        <f t="shared" si="529"/>
        <v>0.41666666666666669</v>
      </c>
      <c r="S1312" s="121" t="str">
        <f t="shared" si="530"/>
        <v/>
      </c>
      <c r="T1312" s="121" t="str">
        <f t="shared" si="531"/>
        <v/>
      </c>
      <c r="U1312" s="121">
        <f t="shared" si="532"/>
        <v>1.04</v>
      </c>
    </row>
    <row r="1313" spans="1:21" x14ac:dyDescent="0.3">
      <c r="A1313" s="187">
        <v>47</v>
      </c>
      <c r="B1313" s="242">
        <f t="shared" si="533"/>
        <v>47058</v>
      </c>
      <c r="C1313" s="243">
        <f t="shared" si="514"/>
        <v>47087</v>
      </c>
      <c r="D1313" s="120">
        <f t="shared" si="515"/>
        <v>30</v>
      </c>
      <c r="E1313" s="120">
        <f t="shared" si="516"/>
        <v>11</v>
      </c>
      <c r="F1313" s="275">
        <f t="shared" si="517"/>
        <v>47073</v>
      </c>
      <c r="G1313" s="120">
        <f t="shared" si="518"/>
        <v>24346</v>
      </c>
      <c r="H1313" s="245">
        <f t="shared" si="519"/>
        <v>1</v>
      </c>
      <c r="I1313" s="121">
        <f t="shared" si="520"/>
        <v>1.04</v>
      </c>
      <c r="J1313" s="121">
        <f t="shared" si="521"/>
        <v>1.04</v>
      </c>
      <c r="K1313" s="120">
        <f t="shared" si="522"/>
        <v>0</v>
      </c>
      <c r="L1313" s="120">
        <f t="shared" si="523"/>
        <v>0</v>
      </c>
      <c r="M1313" s="246">
        <f t="shared" si="524"/>
        <v>0</v>
      </c>
      <c r="N1313" s="121">
        <f t="shared" si="525"/>
        <v>1.04</v>
      </c>
      <c r="O1313" s="246">
        <f t="shared" si="526"/>
        <v>0.91500000000000004</v>
      </c>
      <c r="P1313" s="121">
        <f t="shared" si="527"/>
        <v>0</v>
      </c>
      <c r="Q1313" s="121">
        <f t="shared" si="528"/>
        <v>0</v>
      </c>
      <c r="R1313" s="121">
        <f t="shared" si="529"/>
        <v>0.25</v>
      </c>
      <c r="S1313" s="121" t="str">
        <f t="shared" si="530"/>
        <v/>
      </c>
      <c r="T1313" s="121" t="str">
        <f t="shared" si="531"/>
        <v/>
      </c>
      <c r="U1313" s="121">
        <f t="shared" si="532"/>
        <v>1.04</v>
      </c>
    </row>
    <row r="1314" spans="1:21" x14ac:dyDescent="0.3">
      <c r="A1314" s="187">
        <v>48</v>
      </c>
      <c r="B1314" s="242">
        <f t="shared" si="533"/>
        <v>47088</v>
      </c>
      <c r="C1314" s="243">
        <f t="shared" si="514"/>
        <v>47118</v>
      </c>
      <c r="D1314" s="120">
        <f t="shared" si="515"/>
        <v>31</v>
      </c>
      <c r="E1314" s="120">
        <f t="shared" si="516"/>
        <v>12</v>
      </c>
      <c r="F1314" s="275">
        <f t="shared" si="517"/>
        <v>47103.5</v>
      </c>
      <c r="G1314" s="120">
        <f t="shared" si="518"/>
        <v>24347</v>
      </c>
      <c r="H1314" s="245">
        <f t="shared" si="519"/>
        <v>1</v>
      </c>
      <c r="I1314" s="121">
        <f t="shared" si="520"/>
        <v>1.04</v>
      </c>
      <c r="J1314" s="121">
        <f t="shared" si="521"/>
        <v>1.04</v>
      </c>
      <c r="K1314" s="120">
        <f t="shared" si="522"/>
        <v>0</v>
      </c>
      <c r="L1314" s="120">
        <f t="shared" si="523"/>
        <v>0</v>
      </c>
      <c r="M1314" s="246">
        <f t="shared" si="524"/>
        <v>0</v>
      </c>
      <c r="N1314" s="121">
        <f t="shared" si="525"/>
        <v>1.04</v>
      </c>
      <c r="O1314" s="246">
        <f t="shared" si="526"/>
        <v>0.91500000000000004</v>
      </c>
      <c r="P1314" s="121">
        <f t="shared" si="527"/>
        <v>0</v>
      </c>
      <c r="Q1314" s="121">
        <f t="shared" si="528"/>
        <v>0</v>
      </c>
      <c r="R1314" s="121">
        <f t="shared" si="529"/>
        <v>8.3333333333333329E-2</v>
      </c>
      <c r="S1314" s="121" t="str">
        <f t="shared" si="530"/>
        <v/>
      </c>
      <c r="T1314" s="121" t="str">
        <f t="shared" si="531"/>
        <v/>
      </c>
      <c r="U1314" s="121">
        <f t="shared" si="532"/>
        <v>1.04</v>
      </c>
    </row>
    <row r="1315" spans="1:21" x14ac:dyDescent="0.3">
      <c r="A1315" s="6" t="s">
        <v>1651</v>
      </c>
      <c r="B1315" s="73">
        <f>EXP(SUMPRODUCT((rl_key=$A$1264)*(rl_cons="Y")*rl_ln1p))</f>
        <v>1.04</v>
      </c>
      <c r="C1315" s="73">
        <f>SUMPRODUCT($H$1267:$H$1314,$P$1267:$P$1314,$U$1267:$U$1314)/SUMPRODUCT($H$1267:$H$1314,$P$1267:$P$1314)</f>
        <v>1.0011111111111111</v>
      </c>
      <c r="D1315" s="73">
        <f>SUMPRODUCT($H$1267:$H$1314,$Q$1267:$Q$1314,$U$1267:$U$1314)/SUMPRODUCT($H$1267:$H$1314,$Q$1267:$Q$1314)</f>
        <v>1.0355555555555553</v>
      </c>
      <c r="E1315" s="73">
        <f>SUMPRODUCT($H$1267:$H$1314,$R$1267:$R$1314,$U$1267:$U$1314)/SUMPRODUCT($H$1267:$H$1314,$R$1267:$R$1314)</f>
        <v>1.0399999999999998</v>
      </c>
      <c r="F1315" s="224">
        <f>SUMPRODUCT($H$1267:$H$1314,$Q$1267:$Q$1314,$O$1267:$O$1314)/SUMPRODUCT($H$1267:$H$1314,$Q$1267:$Q$1314)</f>
        <v>0.91199626185266247</v>
      </c>
      <c r="G1315" s="224">
        <f>SUMPRODUCT($H$1267:$H$1314,$R$1267:$R$1314,$O$1267:$O$1314)/SUMPRODUCT($H$1267:$H$1314,$R$1267:$R$1314)</f>
        <v>0.91483011184050556</v>
      </c>
      <c r="H1315" s="73">
        <f>SUMPRODUCT($H$1291:$H$1302,$N$1291:$N$1302/$N$1279:$N$1290)/SUM($H$1291:$H$1302)</f>
        <v>1.0333333333333332</v>
      </c>
      <c r="I1315" s="73">
        <f>SUMPRODUCT($H$1291:$H$1302,$O$1291:$O$1302/$O$1279:$O$1290)/SUM($H$1291:$H$1302)</f>
        <v>1.0043932196204437</v>
      </c>
      <c r="J1315" s="73">
        <f>IF($O$1264=1,SUMPRODUCT($H$1291:$H$1302,$N$1291:$N$1302/$N$1279:$N$1290*$O$1291:$O$1302/$O$1279:$O$1290)/SUM($H$1291:$H$1302),$H1315)</f>
        <v>1.0378730473287143</v>
      </c>
      <c r="K1315" s="73">
        <f>SUMPRODUCT($H$1267:$H$1314,$Q$1267:$Q$1314,$N$1267:$N$1314)/SUMPRODUCT($H$1267:$H$1314,$Q$1267:$Q$1314)</f>
        <v>1.0355555555555553</v>
      </c>
      <c r="L1315" s="73">
        <f>SUMPRODUCT($H$1267:$H$1314,$R$1267:$R$1314,$N$1267:$N$1314)/SUMPRODUCT($H$1267:$H$1314,$R$1267:$R$1314)</f>
        <v>1.0399999999999998</v>
      </c>
    </row>
    <row r="1318" spans="1:21" x14ac:dyDescent="0.3">
      <c r="A1318" s="6" t="str">
        <f>INDEX(lr_key,24)</f>
        <v>MM|DE</v>
      </c>
      <c r="B1318" s="6" t="str">
        <f>INDEX(lr_state,24)</f>
        <v>DE</v>
      </c>
      <c r="C1318" s="75">
        <f>nr_TermMonths</f>
        <v>6</v>
      </c>
      <c r="D1318" s="75">
        <f>IF(COUNTIF(se_state,$B1318)=0,0,MATCH($B1318,se_state,0))</f>
        <v>0</v>
      </c>
      <c r="E1318" s="70">
        <f>IF($D1318=0,0,INDEX(se_sum,$D1318))</f>
        <v>0</v>
      </c>
      <c r="F1318" s="224">
        <f>IF(N(INDEX(lr_mind,24))=0,1,INDEX(lr_mind,24))</f>
        <v>0.92</v>
      </c>
      <c r="G1318" s="224">
        <f>IF(N(INDEX(lr_m0,24))=0,1,INDEX(lr_m0,24))</f>
        <v>0.91</v>
      </c>
      <c r="H1318" s="74">
        <f>IF(N(INDEX(lr_m0asof,24))=0,DATE(nr_PlanYear-1,10,1),INDEX(lr_m0asof,24))</f>
        <v>46295</v>
      </c>
      <c r="I1318" s="224">
        <f>IF(N(INDEX(lr_m1,24))=0,1,INDEX(lr_m1,24))</f>
        <v>0.93</v>
      </c>
      <c r="J1318" s="224">
        <f>INDEX(lr_mprior,24)</f>
        <v>0</v>
      </c>
      <c r="K1318" s="224">
        <f>INDEX(lr_m2,24)</f>
        <v>0</v>
      </c>
      <c r="L1318" s="6" t="b">
        <f>NOT(ISBLANK(INDEX(lr_netp,24)))</f>
        <v>0</v>
      </c>
      <c r="M1318" s="72">
        <f>N(INDEX(lr_netp,24))</f>
        <v>0</v>
      </c>
      <c r="N1318" s="72">
        <f>IF(ISBLANK(INDEX(lr_netp1,24)),$M$1318,N(INDEX(lr_netp1,24)))</f>
        <v>0</v>
      </c>
      <c r="O1318" s="75">
        <f>IF(AND(nr_ModAdjMaster="ON",INDEX(lr_modadj,24)="ON"),1,0)</f>
        <v>1</v>
      </c>
    </row>
    <row r="1319" spans="1:21" x14ac:dyDescent="0.3">
      <c r="A1319" s="6">
        <f>EDATE($H$1318,-12)+1</f>
        <v>45931</v>
      </c>
      <c r="B1319" s="6">
        <f>$H$1318+1</f>
        <v>46296</v>
      </c>
      <c r="C1319" s="6">
        <f>DATE(nr_PlanYear,12,31)+1</f>
        <v>46753</v>
      </c>
      <c r="D1319" s="6">
        <f>DATE(nr_PlanYear+1,12,31)+1</f>
        <v>47119</v>
      </c>
      <c r="E1319" s="6">
        <f>IF(N($J$1318)=0,$F$1319-($G$1319-$F$1319)/($C$1319-$B$1319)*($B$1319-$A$1319),$J$1318)</f>
        <v>0.89402625820568926</v>
      </c>
      <c r="F1319" s="6">
        <f>$G$1318</f>
        <v>0.91</v>
      </c>
      <c r="G1319" s="6">
        <f>$I$1318</f>
        <v>0.93</v>
      </c>
      <c r="H1319" s="6">
        <f>IF(N($K$1318)=0,$I$1318,$K$1318)</f>
        <v>0.93</v>
      </c>
      <c r="I1319" s="6">
        <f>($F$1319-$E$1319)/($B$1319-$A$1319)</f>
        <v>4.3763676148796628E-5</v>
      </c>
      <c r="J1319" s="6">
        <f>($G$1319-$F$1319)/($C$1319-$B$1319)</f>
        <v>4.376367614879654E-5</v>
      </c>
      <c r="K1319" s="6">
        <f>($H$1319-$G$1319)/($D$1319-$C$1319)</f>
        <v>0</v>
      </c>
    </row>
    <row r="1320" spans="1:21" ht="36" x14ac:dyDescent="0.3">
      <c r="A1320" s="58" t="s">
        <v>390</v>
      </c>
      <c r="B1320" s="58" t="s">
        <v>449</v>
      </c>
      <c r="C1320" s="58" t="s">
        <v>685</v>
      </c>
      <c r="D1320" s="58" t="s">
        <v>686</v>
      </c>
      <c r="E1320" s="58" t="s">
        <v>687</v>
      </c>
      <c r="F1320" s="58" t="s">
        <v>688</v>
      </c>
      <c r="G1320" s="58" t="s">
        <v>689</v>
      </c>
      <c r="H1320" s="58" t="s">
        <v>452</v>
      </c>
      <c r="I1320" s="58" t="s">
        <v>690</v>
      </c>
      <c r="J1320" s="58" t="s">
        <v>691</v>
      </c>
      <c r="K1320" s="58" t="s">
        <v>692</v>
      </c>
      <c r="L1320" s="58" t="s">
        <v>693</v>
      </c>
      <c r="M1320" s="58" t="s">
        <v>694</v>
      </c>
      <c r="N1320" s="58" t="s">
        <v>695</v>
      </c>
      <c r="O1320" s="58" t="s">
        <v>696</v>
      </c>
      <c r="P1320" s="58" t="s">
        <v>697</v>
      </c>
      <c r="Q1320" s="58" t="s">
        <v>698</v>
      </c>
      <c r="R1320" s="58" t="s">
        <v>699</v>
      </c>
      <c r="S1320" s="58" t="s">
        <v>700</v>
      </c>
      <c r="T1320" s="58" t="s">
        <v>701</v>
      </c>
      <c r="U1320" s="58" t="s">
        <v>702</v>
      </c>
    </row>
    <row r="1321" spans="1:21" x14ac:dyDescent="0.3">
      <c r="A1321" s="187">
        <v>1</v>
      </c>
      <c r="B1321" s="242">
        <f>DATE(nr_PlanYear-2,1,1)</f>
        <v>45658</v>
      </c>
      <c r="C1321" s="243">
        <f t="shared" ref="C1321:C1368" si="534">EOMONTH($B1321,0)</f>
        <v>45688</v>
      </c>
      <c r="D1321" s="120">
        <f t="shared" ref="D1321:D1368" si="535">$C1321-$B1321+1</f>
        <v>31</v>
      </c>
      <c r="E1321" s="120">
        <f t="shared" ref="E1321:E1368" si="536">MONTH($B1321)</f>
        <v>1</v>
      </c>
      <c r="F1321" s="275">
        <f t="shared" ref="F1321:F1368" si="537">($B1321+$C1321+1)/2</f>
        <v>45673.5</v>
      </c>
      <c r="G1321" s="120">
        <f t="shared" ref="G1321:G1368" si="538">YEAR($B1321)*12+MONTH($B1321)-1</f>
        <v>24300</v>
      </c>
      <c r="H1321" s="245">
        <f t="shared" ref="H1321:H1368" si="539">IF(OR(nr_SeasonOn="OFF",$D$1318=0,$E$1318=0),1,12*INDEX(se_block,$D$1318,$E1321)/$E$1318)</f>
        <v>1</v>
      </c>
      <c r="I1321" s="121">
        <f t="shared" ref="I1321:I1368" si="540">EXP(SUMPRODUCT((rl_eff&lt;$B1321)*(rl_key=$A$1318)*rl_ln1p))</f>
        <v>1</v>
      </c>
      <c r="J1321" s="121">
        <f t="shared" ref="J1321:J1368" si="541">EXP(SUMPRODUCT((rl_eff&lt;=$C1321)*(rl_key=$A$1318)*rl_ln1p))</f>
        <v>1</v>
      </c>
      <c r="K1321" s="120">
        <f t="shared" ref="K1321:K1368" si="542">COUNTIFS(rl_key,$A$1318,rl_eff,"&gt;="&amp;$B1321,rl_eff,"&lt;="&amp;$C1321)</f>
        <v>0</v>
      </c>
      <c r="L1321" s="120">
        <f t="shared" ref="L1321:L1368" si="543">SUMIFS(rl_daysafter,rl_key,$A$1318,rl_effmonth,$B1321,rl_first,1)</f>
        <v>0</v>
      </c>
      <c r="M1321" s="246">
        <f t="shared" ref="M1321:M1368" si="544">IF($K1321=0,0,MIN(1,$L1321/$D1321))</f>
        <v>0</v>
      </c>
      <c r="N1321" s="121">
        <f t="shared" ref="N1321:N1368" si="545">IF($K1321=0,$J1321,(1-$M1321)*$I1321+$M1321*$J1321)</f>
        <v>1</v>
      </c>
      <c r="O1321" s="246">
        <f t="shared" ref="O1321:O1368" si="546">IF($F1321&lt;$B$1319,$E$1319+$I$1319*($F1321-$A$1319),IF($F1321&lt;$C$1319,$F$1319+$J$1319*($F1321-$B$1319),$G$1319+$K$1319*($F1321-$C$1319)))</f>
        <v>0.88275711159737413</v>
      </c>
      <c r="P1321" s="121">
        <f t="shared" ref="P1321:P1368" si="547">MIN(1,MAX(0,(nr_MEndPm1-$G1321+0.5)/$C$1318))-MIN(1,MAX(0,(nr_MStartPm1-1-$G1321+0.5)/$C$1318))</f>
        <v>0</v>
      </c>
      <c r="Q1321" s="121">
        <f t="shared" ref="Q1321:Q1368" si="548">MIN(1,MAX(0,(nr_MEndP-$G1321+0.5)/$C$1318))-MIN(1,MAX(0,(nr_MStartP-1-$G1321+0.5)/$C$1318))</f>
        <v>0</v>
      </c>
      <c r="R1321" s="121">
        <f t="shared" ref="R1321:R1368" si="549">MIN(1,MAX(0,(nr_MEndP1-$G1321+0.5)/$C$1318))-MIN(1,MAX(0,(nr_MStartP1-1-$G1321+0.5)/$C$1318))</f>
        <v>0</v>
      </c>
      <c r="S1321" s="121" t="str">
        <f t="shared" ref="S1321:S1368" si="550">IF($L$1318,$N1321*IF($O$1318=1,$O1321/$F$1318,1),"")</f>
        <v/>
      </c>
      <c r="T1321" s="121" t="str">
        <f t="shared" ref="T1321:T1368" si="551">IF(NOT($L$1318),"",IF($G1321&lt;nr_MStartP,$S1321,$T1309*(1+IF($G1321&lt;nr_MStartP1,$M$1318,$N$1318))))</f>
        <v/>
      </c>
      <c r="U1321" s="121">
        <f t="shared" ref="U1321:U1368" si="552">IF($L$1318,$T1321,$N1321)</f>
        <v>1</v>
      </c>
    </row>
    <row r="1322" spans="1:21" x14ac:dyDescent="0.3">
      <c r="A1322" s="187">
        <v>2</v>
      </c>
      <c r="B1322" s="242">
        <f t="shared" ref="B1322:B1368" si="553">EDATE($B1321,1)</f>
        <v>45689</v>
      </c>
      <c r="C1322" s="243">
        <f t="shared" si="534"/>
        <v>45716</v>
      </c>
      <c r="D1322" s="120">
        <f t="shared" si="535"/>
        <v>28</v>
      </c>
      <c r="E1322" s="120">
        <f t="shared" si="536"/>
        <v>2</v>
      </c>
      <c r="F1322" s="275">
        <f t="shared" si="537"/>
        <v>45703</v>
      </c>
      <c r="G1322" s="120">
        <f t="shared" si="538"/>
        <v>24301</v>
      </c>
      <c r="H1322" s="245">
        <f t="shared" si="539"/>
        <v>1</v>
      </c>
      <c r="I1322" s="121">
        <f t="shared" si="540"/>
        <v>1</v>
      </c>
      <c r="J1322" s="121">
        <f t="shared" si="541"/>
        <v>1</v>
      </c>
      <c r="K1322" s="120">
        <f t="shared" si="542"/>
        <v>0</v>
      </c>
      <c r="L1322" s="120">
        <f t="shared" si="543"/>
        <v>0</v>
      </c>
      <c r="M1322" s="246">
        <f t="shared" si="544"/>
        <v>0</v>
      </c>
      <c r="N1322" s="121">
        <f t="shared" si="545"/>
        <v>1</v>
      </c>
      <c r="O1322" s="246">
        <f t="shared" si="546"/>
        <v>0.88404814004376364</v>
      </c>
      <c r="P1322" s="121">
        <f t="shared" si="547"/>
        <v>0</v>
      </c>
      <c r="Q1322" s="121">
        <f t="shared" si="548"/>
        <v>0</v>
      </c>
      <c r="R1322" s="121">
        <f t="shared" si="549"/>
        <v>0</v>
      </c>
      <c r="S1322" s="121" t="str">
        <f t="shared" si="550"/>
        <v/>
      </c>
      <c r="T1322" s="121" t="str">
        <f t="shared" si="551"/>
        <v/>
      </c>
      <c r="U1322" s="121">
        <f t="shared" si="552"/>
        <v>1</v>
      </c>
    </row>
    <row r="1323" spans="1:21" x14ac:dyDescent="0.3">
      <c r="A1323" s="187">
        <v>3</v>
      </c>
      <c r="B1323" s="242">
        <f t="shared" si="553"/>
        <v>45717</v>
      </c>
      <c r="C1323" s="243">
        <f t="shared" si="534"/>
        <v>45747</v>
      </c>
      <c r="D1323" s="120">
        <f t="shared" si="535"/>
        <v>31</v>
      </c>
      <c r="E1323" s="120">
        <f t="shared" si="536"/>
        <v>3</v>
      </c>
      <c r="F1323" s="275">
        <f t="shared" si="537"/>
        <v>45732.5</v>
      </c>
      <c r="G1323" s="120">
        <f t="shared" si="538"/>
        <v>24302</v>
      </c>
      <c r="H1323" s="245">
        <f t="shared" si="539"/>
        <v>1</v>
      </c>
      <c r="I1323" s="121">
        <f t="shared" si="540"/>
        <v>1</v>
      </c>
      <c r="J1323" s="121">
        <f t="shared" si="541"/>
        <v>1</v>
      </c>
      <c r="K1323" s="120">
        <f t="shared" si="542"/>
        <v>0</v>
      </c>
      <c r="L1323" s="120">
        <f t="shared" si="543"/>
        <v>0</v>
      </c>
      <c r="M1323" s="246">
        <f t="shared" si="544"/>
        <v>0</v>
      </c>
      <c r="N1323" s="121">
        <f t="shared" si="545"/>
        <v>1</v>
      </c>
      <c r="O1323" s="246">
        <f t="shared" si="546"/>
        <v>0.88533916849015315</v>
      </c>
      <c r="P1323" s="121">
        <f t="shared" si="547"/>
        <v>0</v>
      </c>
      <c r="Q1323" s="121">
        <f t="shared" si="548"/>
        <v>0</v>
      </c>
      <c r="R1323" s="121">
        <f t="shared" si="549"/>
        <v>0</v>
      </c>
      <c r="S1323" s="121" t="str">
        <f t="shared" si="550"/>
        <v/>
      </c>
      <c r="T1323" s="121" t="str">
        <f t="shared" si="551"/>
        <v/>
      </c>
      <c r="U1323" s="121">
        <f t="shared" si="552"/>
        <v>1</v>
      </c>
    </row>
    <row r="1324" spans="1:21" x14ac:dyDescent="0.3">
      <c r="A1324" s="187">
        <v>4</v>
      </c>
      <c r="B1324" s="242">
        <f t="shared" si="553"/>
        <v>45748</v>
      </c>
      <c r="C1324" s="243">
        <f t="shared" si="534"/>
        <v>45777</v>
      </c>
      <c r="D1324" s="120">
        <f t="shared" si="535"/>
        <v>30</v>
      </c>
      <c r="E1324" s="120">
        <f t="shared" si="536"/>
        <v>4</v>
      </c>
      <c r="F1324" s="275">
        <f t="shared" si="537"/>
        <v>45763</v>
      </c>
      <c r="G1324" s="120">
        <f t="shared" si="538"/>
        <v>24303</v>
      </c>
      <c r="H1324" s="245">
        <f t="shared" si="539"/>
        <v>1</v>
      </c>
      <c r="I1324" s="121">
        <f t="shared" si="540"/>
        <v>1</v>
      </c>
      <c r="J1324" s="121">
        <f t="shared" si="541"/>
        <v>1</v>
      </c>
      <c r="K1324" s="120">
        <f t="shared" si="542"/>
        <v>0</v>
      </c>
      <c r="L1324" s="120">
        <f t="shared" si="543"/>
        <v>0</v>
      </c>
      <c r="M1324" s="246">
        <f t="shared" si="544"/>
        <v>0</v>
      </c>
      <c r="N1324" s="121">
        <f t="shared" si="545"/>
        <v>1</v>
      </c>
      <c r="O1324" s="246">
        <f t="shared" si="546"/>
        <v>0.88667396061269144</v>
      </c>
      <c r="P1324" s="121">
        <f t="shared" si="547"/>
        <v>0</v>
      </c>
      <c r="Q1324" s="121">
        <f t="shared" si="548"/>
        <v>0</v>
      </c>
      <c r="R1324" s="121">
        <f t="shared" si="549"/>
        <v>0</v>
      </c>
      <c r="S1324" s="121" t="str">
        <f t="shared" si="550"/>
        <v/>
      </c>
      <c r="T1324" s="121" t="str">
        <f t="shared" si="551"/>
        <v/>
      </c>
      <c r="U1324" s="121">
        <f t="shared" si="552"/>
        <v>1</v>
      </c>
    </row>
    <row r="1325" spans="1:21" x14ac:dyDescent="0.3">
      <c r="A1325" s="187">
        <v>5</v>
      </c>
      <c r="B1325" s="242">
        <f t="shared" si="553"/>
        <v>45778</v>
      </c>
      <c r="C1325" s="243">
        <f t="shared" si="534"/>
        <v>45808</v>
      </c>
      <c r="D1325" s="120">
        <f t="shared" si="535"/>
        <v>31</v>
      </c>
      <c r="E1325" s="120">
        <f t="shared" si="536"/>
        <v>5</v>
      </c>
      <c r="F1325" s="275">
        <f t="shared" si="537"/>
        <v>45793.5</v>
      </c>
      <c r="G1325" s="120">
        <f t="shared" si="538"/>
        <v>24304</v>
      </c>
      <c r="H1325" s="245">
        <f t="shared" si="539"/>
        <v>1</v>
      </c>
      <c r="I1325" s="121">
        <f t="shared" si="540"/>
        <v>1</v>
      </c>
      <c r="J1325" s="121">
        <f t="shared" si="541"/>
        <v>1</v>
      </c>
      <c r="K1325" s="120">
        <f t="shared" si="542"/>
        <v>0</v>
      </c>
      <c r="L1325" s="120">
        <f t="shared" si="543"/>
        <v>0</v>
      </c>
      <c r="M1325" s="246">
        <f t="shared" si="544"/>
        <v>0</v>
      </c>
      <c r="N1325" s="121">
        <f t="shared" si="545"/>
        <v>1</v>
      </c>
      <c r="O1325" s="246">
        <f t="shared" si="546"/>
        <v>0.88800875273522972</v>
      </c>
      <c r="P1325" s="121">
        <f t="shared" si="547"/>
        <v>0</v>
      </c>
      <c r="Q1325" s="121">
        <f t="shared" si="548"/>
        <v>0</v>
      </c>
      <c r="R1325" s="121">
        <f t="shared" si="549"/>
        <v>0</v>
      </c>
      <c r="S1325" s="121" t="str">
        <f t="shared" si="550"/>
        <v/>
      </c>
      <c r="T1325" s="121" t="str">
        <f t="shared" si="551"/>
        <v/>
      </c>
      <c r="U1325" s="121">
        <f t="shared" si="552"/>
        <v>1</v>
      </c>
    </row>
    <row r="1326" spans="1:21" x14ac:dyDescent="0.3">
      <c r="A1326" s="187">
        <v>6</v>
      </c>
      <c r="B1326" s="242">
        <f t="shared" si="553"/>
        <v>45809</v>
      </c>
      <c r="C1326" s="243">
        <f t="shared" si="534"/>
        <v>45838</v>
      </c>
      <c r="D1326" s="120">
        <f t="shared" si="535"/>
        <v>30</v>
      </c>
      <c r="E1326" s="120">
        <f t="shared" si="536"/>
        <v>6</v>
      </c>
      <c r="F1326" s="275">
        <f t="shared" si="537"/>
        <v>45824</v>
      </c>
      <c r="G1326" s="120">
        <f t="shared" si="538"/>
        <v>24305</v>
      </c>
      <c r="H1326" s="245">
        <f t="shared" si="539"/>
        <v>1</v>
      </c>
      <c r="I1326" s="121">
        <f t="shared" si="540"/>
        <v>1</v>
      </c>
      <c r="J1326" s="121">
        <f t="shared" si="541"/>
        <v>1</v>
      </c>
      <c r="K1326" s="120">
        <f t="shared" si="542"/>
        <v>0</v>
      </c>
      <c r="L1326" s="120">
        <f t="shared" si="543"/>
        <v>0</v>
      </c>
      <c r="M1326" s="246">
        <f t="shared" si="544"/>
        <v>0</v>
      </c>
      <c r="N1326" s="121">
        <f t="shared" si="545"/>
        <v>1</v>
      </c>
      <c r="O1326" s="246">
        <f t="shared" si="546"/>
        <v>0.88934354485776801</v>
      </c>
      <c r="P1326" s="121">
        <f t="shared" si="547"/>
        <v>0</v>
      </c>
      <c r="Q1326" s="121">
        <f t="shared" si="548"/>
        <v>0</v>
      </c>
      <c r="R1326" s="121">
        <f t="shared" si="549"/>
        <v>0</v>
      </c>
      <c r="S1326" s="121" t="str">
        <f t="shared" si="550"/>
        <v/>
      </c>
      <c r="T1326" s="121" t="str">
        <f t="shared" si="551"/>
        <v/>
      </c>
      <c r="U1326" s="121">
        <f t="shared" si="552"/>
        <v>1</v>
      </c>
    </row>
    <row r="1327" spans="1:21" x14ac:dyDescent="0.3">
      <c r="A1327" s="187">
        <v>7</v>
      </c>
      <c r="B1327" s="242">
        <f t="shared" si="553"/>
        <v>45839</v>
      </c>
      <c r="C1327" s="243">
        <f t="shared" si="534"/>
        <v>45869</v>
      </c>
      <c r="D1327" s="120">
        <f t="shared" si="535"/>
        <v>31</v>
      </c>
      <c r="E1327" s="120">
        <f t="shared" si="536"/>
        <v>7</v>
      </c>
      <c r="F1327" s="275">
        <f t="shared" si="537"/>
        <v>45854.5</v>
      </c>
      <c r="G1327" s="120">
        <f t="shared" si="538"/>
        <v>24306</v>
      </c>
      <c r="H1327" s="245">
        <f t="shared" si="539"/>
        <v>1</v>
      </c>
      <c r="I1327" s="121">
        <f t="shared" si="540"/>
        <v>1</v>
      </c>
      <c r="J1327" s="121">
        <f t="shared" si="541"/>
        <v>1</v>
      </c>
      <c r="K1327" s="120">
        <f t="shared" si="542"/>
        <v>0</v>
      </c>
      <c r="L1327" s="120">
        <f t="shared" si="543"/>
        <v>0</v>
      </c>
      <c r="M1327" s="246">
        <f t="shared" si="544"/>
        <v>0</v>
      </c>
      <c r="N1327" s="121">
        <f t="shared" si="545"/>
        <v>1</v>
      </c>
      <c r="O1327" s="246">
        <f t="shared" si="546"/>
        <v>0.8906783369803063</v>
      </c>
      <c r="P1327" s="121">
        <f t="shared" si="547"/>
        <v>8.333333333333337E-2</v>
      </c>
      <c r="Q1327" s="121">
        <f t="shared" si="548"/>
        <v>0</v>
      </c>
      <c r="R1327" s="121">
        <f t="shared" si="549"/>
        <v>0</v>
      </c>
      <c r="S1327" s="121" t="str">
        <f t="shared" si="550"/>
        <v/>
      </c>
      <c r="T1327" s="121" t="str">
        <f t="shared" si="551"/>
        <v/>
      </c>
      <c r="U1327" s="121">
        <f t="shared" si="552"/>
        <v>1</v>
      </c>
    </row>
    <row r="1328" spans="1:21" x14ac:dyDescent="0.3">
      <c r="A1328" s="187">
        <v>8</v>
      </c>
      <c r="B1328" s="242">
        <f t="shared" si="553"/>
        <v>45870</v>
      </c>
      <c r="C1328" s="243">
        <f t="shared" si="534"/>
        <v>45900</v>
      </c>
      <c r="D1328" s="120">
        <f t="shared" si="535"/>
        <v>31</v>
      </c>
      <c r="E1328" s="120">
        <f t="shared" si="536"/>
        <v>8</v>
      </c>
      <c r="F1328" s="275">
        <f t="shared" si="537"/>
        <v>45885.5</v>
      </c>
      <c r="G1328" s="120">
        <f t="shared" si="538"/>
        <v>24307</v>
      </c>
      <c r="H1328" s="245">
        <f t="shared" si="539"/>
        <v>1</v>
      </c>
      <c r="I1328" s="121">
        <f t="shared" si="540"/>
        <v>1</v>
      </c>
      <c r="J1328" s="121">
        <f t="shared" si="541"/>
        <v>1</v>
      </c>
      <c r="K1328" s="120">
        <f t="shared" si="542"/>
        <v>0</v>
      </c>
      <c r="L1328" s="120">
        <f t="shared" si="543"/>
        <v>0</v>
      </c>
      <c r="M1328" s="246">
        <f t="shared" si="544"/>
        <v>0</v>
      </c>
      <c r="N1328" s="121">
        <f t="shared" si="545"/>
        <v>1</v>
      </c>
      <c r="O1328" s="246">
        <f t="shared" si="546"/>
        <v>0.89203501094091897</v>
      </c>
      <c r="P1328" s="121">
        <f t="shared" si="547"/>
        <v>0.25</v>
      </c>
      <c r="Q1328" s="121">
        <f t="shared" si="548"/>
        <v>0</v>
      </c>
      <c r="R1328" s="121">
        <f t="shared" si="549"/>
        <v>0</v>
      </c>
      <c r="S1328" s="121" t="str">
        <f t="shared" si="550"/>
        <v/>
      </c>
      <c r="T1328" s="121" t="str">
        <f t="shared" si="551"/>
        <v/>
      </c>
      <c r="U1328" s="121">
        <f t="shared" si="552"/>
        <v>1</v>
      </c>
    </row>
    <row r="1329" spans="1:21" x14ac:dyDescent="0.3">
      <c r="A1329" s="187">
        <v>9</v>
      </c>
      <c r="B1329" s="242">
        <f t="shared" si="553"/>
        <v>45901</v>
      </c>
      <c r="C1329" s="243">
        <f t="shared" si="534"/>
        <v>45930</v>
      </c>
      <c r="D1329" s="120">
        <f t="shared" si="535"/>
        <v>30</v>
      </c>
      <c r="E1329" s="120">
        <f t="shared" si="536"/>
        <v>9</v>
      </c>
      <c r="F1329" s="275">
        <f t="shared" si="537"/>
        <v>45916</v>
      </c>
      <c r="G1329" s="120">
        <f t="shared" si="538"/>
        <v>24308</v>
      </c>
      <c r="H1329" s="245">
        <f t="shared" si="539"/>
        <v>1</v>
      </c>
      <c r="I1329" s="121">
        <f t="shared" si="540"/>
        <v>1</v>
      </c>
      <c r="J1329" s="121">
        <f t="shared" si="541"/>
        <v>1</v>
      </c>
      <c r="K1329" s="120">
        <f t="shared" si="542"/>
        <v>0</v>
      </c>
      <c r="L1329" s="120">
        <f t="shared" si="543"/>
        <v>0</v>
      </c>
      <c r="M1329" s="246">
        <f t="shared" si="544"/>
        <v>0</v>
      </c>
      <c r="N1329" s="121">
        <f t="shared" si="545"/>
        <v>1</v>
      </c>
      <c r="O1329" s="246">
        <f t="shared" si="546"/>
        <v>0.89336980306345726</v>
      </c>
      <c r="P1329" s="121">
        <f t="shared" si="547"/>
        <v>0.41666666666666663</v>
      </c>
      <c r="Q1329" s="121">
        <f t="shared" si="548"/>
        <v>0</v>
      </c>
      <c r="R1329" s="121">
        <f t="shared" si="549"/>
        <v>0</v>
      </c>
      <c r="S1329" s="121" t="str">
        <f t="shared" si="550"/>
        <v/>
      </c>
      <c r="T1329" s="121" t="str">
        <f t="shared" si="551"/>
        <v/>
      </c>
      <c r="U1329" s="121">
        <f t="shared" si="552"/>
        <v>1</v>
      </c>
    </row>
    <row r="1330" spans="1:21" x14ac:dyDescent="0.3">
      <c r="A1330" s="187">
        <v>10</v>
      </c>
      <c r="B1330" s="242">
        <f t="shared" si="553"/>
        <v>45931</v>
      </c>
      <c r="C1330" s="243">
        <f t="shared" si="534"/>
        <v>45961</v>
      </c>
      <c r="D1330" s="120">
        <f t="shared" si="535"/>
        <v>31</v>
      </c>
      <c r="E1330" s="120">
        <f t="shared" si="536"/>
        <v>10</v>
      </c>
      <c r="F1330" s="275">
        <f t="shared" si="537"/>
        <v>45946.5</v>
      </c>
      <c r="G1330" s="120">
        <f t="shared" si="538"/>
        <v>24309</v>
      </c>
      <c r="H1330" s="245">
        <f t="shared" si="539"/>
        <v>1</v>
      </c>
      <c r="I1330" s="121">
        <f t="shared" si="540"/>
        <v>1</v>
      </c>
      <c r="J1330" s="121">
        <f t="shared" si="541"/>
        <v>1</v>
      </c>
      <c r="K1330" s="120">
        <f t="shared" si="542"/>
        <v>0</v>
      </c>
      <c r="L1330" s="120">
        <f t="shared" si="543"/>
        <v>0</v>
      </c>
      <c r="M1330" s="246">
        <f t="shared" si="544"/>
        <v>0</v>
      </c>
      <c r="N1330" s="121">
        <f t="shared" si="545"/>
        <v>1</v>
      </c>
      <c r="O1330" s="246">
        <f t="shared" si="546"/>
        <v>0.89470459518599565</v>
      </c>
      <c r="P1330" s="121">
        <f t="shared" si="547"/>
        <v>0.58333333333333326</v>
      </c>
      <c r="Q1330" s="121">
        <f t="shared" si="548"/>
        <v>0</v>
      </c>
      <c r="R1330" s="121">
        <f t="shared" si="549"/>
        <v>0</v>
      </c>
      <c r="S1330" s="121" t="str">
        <f t="shared" si="550"/>
        <v/>
      </c>
      <c r="T1330" s="121" t="str">
        <f t="shared" si="551"/>
        <v/>
      </c>
      <c r="U1330" s="121">
        <f t="shared" si="552"/>
        <v>1</v>
      </c>
    </row>
    <row r="1331" spans="1:21" x14ac:dyDescent="0.3">
      <c r="A1331" s="187">
        <v>11</v>
      </c>
      <c r="B1331" s="242">
        <f t="shared" si="553"/>
        <v>45962</v>
      </c>
      <c r="C1331" s="243">
        <f t="shared" si="534"/>
        <v>45991</v>
      </c>
      <c r="D1331" s="120">
        <f t="shared" si="535"/>
        <v>30</v>
      </c>
      <c r="E1331" s="120">
        <f t="shared" si="536"/>
        <v>11</v>
      </c>
      <c r="F1331" s="275">
        <f t="shared" si="537"/>
        <v>45977</v>
      </c>
      <c r="G1331" s="120">
        <f t="shared" si="538"/>
        <v>24310</v>
      </c>
      <c r="H1331" s="245">
        <f t="shared" si="539"/>
        <v>1</v>
      </c>
      <c r="I1331" s="121">
        <f t="shared" si="540"/>
        <v>1</v>
      </c>
      <c r="J1331" s="121">
        <f t="shared" si="541"/>
        <v>1</v>
      </c>
      <c r="K1331" s="120">
        <f t="shared" si="542"/>
        <v>0</v>
      </c>
      <c r="L1331" s="120">
        <f t="shared" si="543"/>
        <v>0</v>
      </c>
      <c r="M1331" s="246">
        <f t="shared" si="544"/>
        <v>0</v>
      </c>
      <c r="N1331" s="121">
        <f t="shared" si="545"/>
        <v>1</v>
      </c>
      <c r="O1331" s="246">
        <f t="shared" si="546"/>
        <v>0.89603938730853394</v>
      </c>
      <c r="P1331" s="121">
        <f t="shared" si="547"/>
        <v>0.75</v>
      </c>
      <c r="Q1331" s="121">
        <f t="shared" si="548"/>
        <v>0</v>
      </c>
      <c r="R1331" s="121">
        <f t="shared" si="549"/>
        <v>0</v>
      </c>
      <c r="S1331" s="121" t="str">
        <f t="shared" si="550"/>
        <v/>
      </c>
      <c r="T1331" s="121" t="str">
        <f t="shared" si="551"/>
        <v/>
      </c>
      <c r="U1331" s="121">
        <f t="shared" si="552"/>
        <v>1</v>
      </c>
    </row>
    <row r="1332" spans="1:21" x14ac:dyDescent="0.3">
      <c r="A1332" s="187">
        <v>12</v>
      </c>
      <c r="B1332" s="242">
        <f t="shared" si="553"/>
        <v>45992</v>
      </c>
      <c r="C1332" s="243">
        <f t="shared" si="534"/>
        <v>46022</v>
      </c>
      <c r="D1332" s="120">
        <f t="shared" si="535"/>
        <v>31</v>
      </c>
      <c r="E1332" s="120">
        <f t="shared" si="536"/>
        <v>12</v>
      </c>
      <c r="F1332" s="275">
        <f t="shared" si="537"/>
        <v>46007.5</v>
      </c>
      <c r="G1332" s="120">
        <f t="shared" si="538"/>
        <v>24311</v>
      </c>
      <c r="H1332" s="245">
        <f t="shared" si="539"/>
        <v>1</v>
      </c>
      <c r="I1332" s="121">
        <f t="shared" si="540"/>
        <v>1</v>
      </c>
      <c r="J1332" s="121">
        <f t="shared" si="541"/>
        <v>1</v>
      </c>
      <c r="K1332" s="120">
        <f t="shared" si="542"/>
        <v>0</v>
      </c>
      <c r="L1332" s="120">
        <f t="shared" si="543"/>
        <v>0</v>
      </c>
      <c r="M1332" s="246">
        <f t="shared" si="544"/>
        <v>0</v>
      </c>
      <c r="N1332" s="121">
        <f t="shared" si="545"/>
        <v>1</v>
      </c>
      <c r="O1332" s="246">
        <f t="shared" si="546"/>
        <v>0.89737417943107223</v>
      </c>
      <c r="P1332" s="121">
        <f t="shared" si="547"/>
        <v>0.91666666666666663</v>
      </c>
      <c r="Q1332" s="121">
        <f t="shared" si="548"/>
        <v>0</v>
      </c>
      <c r="R1332" s="121">
        <f t="shared" si="549"/>
        <v>0</v>
      </c>
      <c r="S1332" s="121" t="str">
        <f t="shared" si="550"/>
        <v/>
      </c>
      <c r="T1332" s="121" t="str">
        <f t="shared" si="551"/>
        <v/>
      </c>
      <c r="U1332" s="121">
        <f t="shared" si="552"/>
        <v>1</v>
      </c>
    </row>
    <row r="1333" spans="1:21" x14ac:dyDescent="0.3">
      <c r="A1333" s="187">
        <v>13</v>
      </c>
      <c r="B1333" s="242">
        <f t="shared" si="553"/>
        <v>46023</v>
      </c>
      <c r="C1333" s="243">
        <f t="shared" si="534"/>
        <v>46053</v>
      </c>
      <c r="D1333" s="120">
        <f t="shared" si="535"/>
        <v>31</v>
      </c>
      <c r="E1333" s="120">
        <f t="shared" si="536"/>
        <v>1</v>
      </c>
      <c r="F1333" s="275">
        <f t="shared" si="537"/>
        <v>46038.5</v>
      </c>
      <c r="G1333" s="120">
        <f t="shared" si="538"/>
        <v>24312</v>
      </c>
      <c r="H1333" s="245">
        <f t="shared" si="539"/>
        <v>1</v>
      </c>
      <c r="I1333" s="121">
        <f t="shared" si="540"/>
        <v>1</v>
      </c>
      <c r="J1333" s="121">
        <f t="shared" si="541"/>
        <v>1</v>
      </c>
      <c r="K1333" s="120">
        <f t="shared" si="542"/>
        <v>0</v>
      </c>
      <c r="L1333" s="120">
        <f t="shared" si="543"/>
        <v>0</v>
      </c>
      <c r="M1333" s="246">
        <f t="shared" si="544"/>
        <v>0</v>
      </c>
      <c r="N1333" s="121">
        <f t="shared" si="545"/>
        <v>1</v>
      </c>
      <c r="O1333" s="246">
        <f t="shared" si="546"/>
        <v>0.8987308533916849</v>
      </c>
      <c r="P1333" s="121">
        <f t="shared" si="547"/>
        <v>1</v>
      </c>
      <c r="Q1333" s="121">
        <f t="shared" si="548"/>
        <v>0</v>
      </c>
      <c r="R1333" s="121">
        <f t="shared" si="549"/>
        <v>0</v>
      </c>
      <c r="S1333" s="121" t="str">
        <f t="shared" si="550"/>
        <v/>
      </c>
      <c r="T1333" s="121" t="str">
        <f t="shared" si="551"/>
        <v/>
      </c>
      <c r="U1333" s="121">
        <f t="shared" si="552"/>
        <v>1</v>
      </c>
    </row>
    <row r="1334" spans="1:21" x14ac:dyDescent="0.3">
      <c r="A1334" s="187">
        <v>14</v>
      </c>
      <c r="B1334" s="242">
        <f t="shared" si="553"/>
        <v>46054</v>
      </c>
      <c r="C1334" s="243">
        <f t="shared" si="534"/>
        <v>46081</v>
      </c>
      <c r="D1334" s="120">
        <f t="shared" si="535"/>
        <v>28</v>
      </c>
      <c r="E1334" s="120">
        <f t="shared" si="536"/>
        <v>2</v>
      </c>
      <c r="F1334" s="275">
        <f t="shared" si="537"/>
        <v>46068</v>
      </c>
      <c r="G1334" s="120">
        <f t="shared" si="538"/>
        <v>24313</v>
      </c>
      <c r="H1334" s="245">
        <f t="shared" si="539"/>
        <v>1</v>
      </c>
      <c r="I1334" s="121">
        <f t="shared" si="540"/>
        <v>1</v>
      </c>
      <c r="J1334" s="121">
        <f t="shared" si="541"/>
        <v>1</v>
      </c>
      <c r="K1334" s="120">
        <f t="shared" si="542"/>
        <v>0</v>
      </c>
      <c r="L1334" s="120">
        <f t="shared" si="543"/>
        <v>0</v>
      </c>
      <c r="M1334" s="246">
        <f t="shared" si="544"/>
        <v>0</v>
      </c>
      <c r="N1334" s="121">
        <f t="shared" si="545"/>
        <v>1</v>
      </c>
      <c r="O1334" s="246">
        <f t="shared" si="546"/>
        <v>0.90002188183807441</v>
      </c>
      <c r="P1334" s="121">
        <f t="shared" si="547"/>
        <v>1</v>
      </c>
      <c r="Q1334" s="121">
        <f t="shared" si="548"/>
        <v>0</v>
      </c>
      <c r="R1334" s="121">
        <f t="shared" si="549"/>
        <v>0</v>
      </c>
      <c r="S1334" s="121" t="str">
        <f t="shared" si="550"/>
        <v/>
      </c>
      <c r="T1334" s="121" t="str">
        <f t="shared" si="551"/>
        <v/>
      </c>
      <c r="U1334" s="121">
        <f t="shared" si="552"/>
        <v>1</v>
      </c>
    </row>
    <row r="1335" spans="1:21" x14ac:dyDescent="0.3">
      <c r="A1335" s="187">
        <v>15</v>
      </c>
      <c r="B1335" s="242">
        <f t="shared" si="553"/>
        <v>46082</v>
      </c>
      <c r="C1335" s="243">
        <f t="shared" si="534"/>
        <v>46112</v>
      </c>
      <c r="D1335" s="120">
        <f t="shared" si="535"/>
        <v>31</v>
      </c>
      <c r="E1335" s="120">
        <f t="shared" si="536"/>
        <v>3</v>
      </c>
      <c r="F1335" s="275">
        <f t="shared" si="537"/>
        <v>46097.5</v>
      </c>
      <c r="G1335" s="120">
        <f t="shared" si="538"/>
        <v>24314</v>
      </c>
      <c r="H1335" s="245">
        <f t="shared" si="539"/>
        <v>1</v>
      </c>
      <c r="I1335" s="121">
        <f t="shared" si="540"/>
        <v>1</v>
      </c>
      <c r="J1335" s="121">
        <f t="shared" si="541"/>
        <v>1</v>
      </c>
      <c r="K1335" s="120">
        <f t="shared" si="542"/>
        <v>0</v>
      </c>
      <c r="L1335" s="120">
        <f t="shared" si="543"/>
        <v>0</v>
      </c>
      <c r="M1335" s="246">
        <f t="shared" si="544"/>
        <v>0</v>
      </c>
      <c r="N1335" s="121">
        <f t="shared" si="545"/>
        <v>1</v>
      </c>
      <c r="O1335" s="246">
        <f t="shared" si="546"/>
        <v>0.90131291028446392</v>
      </c>
      <c r="P1335" s="121">
        <f t="shared" si="547"/>
        <v>1</v>
      </c>
      <c r="Q1335" s="121">
        <f t="shared" si="548"/>
        <v>0</v>
      </c>
      <c r="R1335" s="121">
        <f t="shared" si="549"/>
        <v>0</v>
      </c>
      <c r="S1335" s="121" t="str">
        <f t="shared" si="550"/>
        <v/>
      </c>
      <c r="T1335" s="121" t="str">
        <f t="shared" si="551"/>
        <v/>
      </c>
      <c r="U1335" s="121">
        <f t="shared" si="552"/>
        <v>1</v>
      </c>
    </row>
    <row r="1336" spans="1:21" x14ac:dyDescent="0.3">
      <c r="A1336" s="187">
        <v>16</v>
      </c>
      <c r="B1336" s="242">
        <f t="shared" si="553"/>
        <v>46113</v>
      </c>
      <c r="C1336" s="243">
        <f t="shared" si="534"/>
        <v>46142</v>
      </c>
      <c r="D1336" s="120">
        <f t="shared" si="535"/>
        <v>30</v>
      </c>
      <c r="E1336" s="120">
        <f t="shared" si="536"/>
        <v>4</v>
      </c>
      <c r="F1336" s="275">
        <f t="shared" si="537"/>
        <v>46128</v>
      </c>
      <c r="G1336" s="120">
        <f t="shared" si="538"/>
        <v>24315</v>
      </c>
      <c r="H1336" s="245">
        <f t="shared" si="539"/>
        <v>1</v>
      </c>
      <c r="I1336" s="121">
        <f t="shared" si="540"/>
        <v>1</v>
      </c>
      <c r="J1336" s="121">
        <f t="shared" si="541"/>
        <v>1.05</v>
      </c>
      <c r="K1336" s="120">
        <f t="shared" si="542"/>
        <v>1</v>
      </c>
      <c r="L1336" s="120">
        <f t="shared" si="543"/>
        <v>30</v>
      </c>
      <c r="M1336" s="246">
        <f t="shared" si="544"/>
        <v>1</v>
      </c>
      <c r="N1336" s="121">
        <f t="shared" si="545"/>
        <v>1.05</v>
      </c>
      <c r="O1336" s="246">
        <f t="shared" si="546"/>
        <v>0.90264770240700221</v>
      </c>
      <c r="P1336" s="121">
        <f t="shared" si="547"/>
        <v>1</v>
      </c>
      <c r="Q1336" s="121">
        <f t="shared" si="548"/>
        <v>0</v>
      </c>
      <c r="R1336" s="121">
        <f t="shared" si="549"/>
        <v>0</v>
      </c>
      <c r="S1336" s="121" t="str">
        <f t="shared" si="550"/>
        <v/>
      </c>
      <c r="T1336" s="121" t="str">
        <f t="shared" si="551"/>
        <v/>
      </c>
      <c r="U1336" s="121">
        <f t="shared" si="552"/>
        <v>1.05</v>
      </c>
    </row>
    <row r="1337" spans="1:21" x14ac:dyDescent="0.3">
      <c r="A1337" s="187">
        <v>17</v>
      </c>
      <c r="B1337" s="242">
        <f t="shared" si="553"/>
        <v>46143</v>
      </c>
      <c r="C1337" s="243">
        <f t="shared" si="534"/>
        <v>46173</v>
      </c>
      <c r="D1337" s="120">
        <f t="shared" si="535"/>
        <v>31</v>
      </c>
      <c r="E1337" s="120">
        <f t="shared" si="536"/>
        <v>5</v>
      </c>
      <c r="F1337" s="275">
        <f t="shared" si="537"/>
        <v>46158.5</v>
      </c>
      <c r="G1337" s="120">
        <f t="shared" si="538"/>
        <v>24316</v>
      </c>
      <c r="H1337" s="245">
        <f t="shared" si="539"/>
        <v>1</v>
      </c>
      <c r="I1337" s="121">
        <f t="shared" si="540"/>
        <v>1.05</v>
      </c>
      <c r="J1337" s="121">
        <f t="shared" si="541"/>
        <v>1.05</v>
      </c>
      <c r="K1337" s="120">
        <f t="shared" si="542"/>
        <v>0</v>
      </c>
      <c r="L1337" s="120">
        <f t="shared" si="543"/>
        <v>0</v>
      </c>
      <c r="M1337" s="246">
        <f t="shared" si="544"/>
        <v>0</v>
      </c>
      <c r="N1337" s="121">
        <f t="shared" si="545"/>
        <v>1.05</v>
      </c>
      <c r="O1337" s="246">
        <f t="shared" si="546"/>
        <v>0.90398249452954049</v>
      </c>
      <c r="P1337" s="121">
        <f t="shared" si="547"/>
        <v>1</v>
      </c>
      <c r="Q1337" s="121">
        <f t="shared" si="548"/>
        <v>0</v>
      </c>
      <c r="R1337" s="121">
        <f t="shared" si="549"/>
        <v>0</v>
      </c>
      <c r="S1337" s="121" t="str">
        <f t="shared" si="550"/>
        <v/>
      </c>
      <c r="T1337" s="121" t="str">
        <f t="shared" si="551"/>
        <v/>
      </c>
      <c r="U1337" s="121">
        <f t="shared" si="552"/>
        <v>1.05</v>
      </c>
    </row>
    <row r="1338" spans="1:21" x14ac:dyDescent="0.3">
      <c r="A1338" s="187">
        <v>18</v>
      </c>
      <c r="B1338" s="242">
        <f t="shared" si="553"/>
        <v>46174</v>
      </c>
      <c r="C1338" s="243">
        <f t="shared" si="534"/>
        <v>46203</v>
      </c>
      <c r="D1338" s="120">
        <f t="shared" si="535"/>
        <v>30</v>
      </c>
      <c r="E1338" s="120">
        <f t="shared" si="536"/>
        <v>6</v>
      </c>
      <c r="F1338" s="275">
        <f t="shared" si="537"/>
        <v>46189</v>
      </c>
      <c r="G1338" s="120">
        <f t="shared" si="538"/>
        <v>24317</v>
      </c>
      <c r="H1338" s="245">
        <f t="shared" si="539"/>
        <v>1</v>
      </c>
      <c r="I1338" s="121">
        <f t="shared" si="540"/>
        <v>1.05</v>
      </c>
      <c r="J1338" s="121">
        <f t="shared" si="541"/>
        <v>1.05</v>
      </c>
      <c r="K1338" s="120">
        <f t="shared" si="542"/>
        <v>0</v>
      </c>
      <c r="L1338" s="120">
        <f t="shared" si="543"/>
        <v>0</v>
      </c>
      <c r="M1338" s="246">
        <f t="shared" si="544"/>
        <v>0</v>
      </c>
      <c r="N1338" s="121">
        <f t="shared" si="545"/>
        <v>1.05</v>
      </c>
      <c r="O1338" s="246">
        <f t="shared" si="546"/>
        <v>0.90531728665207878</v>
      </c>
      <c r="P1338" s="121">
        <f t="shared" si="547"/>
        <v>1</v>
      </c>
      <c r="Q1338" s="121">
        <f t="shared" si="548"/>
        <v>0</v>
      </c>
      <c r="R1338" s="121">
        <f t="shared" si="549"/>
        <v>0</v>
      </c>
      <c r="S1338" s="121" t="str">
        <f t="shared" si="550"/>
        <v/>
      </c>
      <c r="T1338" s="121" t="str">
        <f t="shared" si="551"/>
        <v/>
      </c>
      <c r="U1338" s="121">
        <f t="shared" si="552"/>
        <v>1.05</v>
      </c>
    </row>
    <row r="1339" spans="1:21" x14ac:dyDescent="0.3">
      <c r="A1339" s="187">
        <v>19</v>
      </c>
      <c r="B1339" s="242">
        <f t="shared" si="553"/>
        <v>46204</v>
      </c>
      <c r="C1339" s="243">
        <f t="shared" si="534"/>
        <v>46234</v>
      </c>
      <c r="D1339" s="120">
        <f t="shared" si="535"/>
        <v>31</v>
      </c>
      <c r="E1339" s="120">
        <f t="shared" si="536"/>
        <v>7</v>
      </c>
      <c r="F1339" s="275">
        <f t="shared" si="537"/>
        <v>46219.5</v>
      </c>
      <c r="G1339" s="120">
        <f t="shared" si="538"/>
        <v>24318</v>
      </c>
      <c r="H1339" s="245">
        <f t="shared" si="539"/>
        <v>1</v>
      </c>
      <c r="I1339" s="121">
        <f t="shared" si="540"/>
        <v>1.05</v>
      </c>
      <c r="J1339" s="121">
        <f t="shared" si="541"/>
        <v>1.05</v>
      </c>
      <c r="K1339" s="120">
        <f t="shared" si="542"/>
        <v>0</v>
      </c>
      <c r="L1339" s="120">
        <f t="shared" si="543"/>
        <v>0</v>
      </c>
      <c r="M1339" s="246">
        <f t="shared" si="544"/>
        <v>0</v>
      </c>
      <c r="N1339" s="121">
        <f t="shared" si="545"/>
        <v>1.05</v>
      </c>
      <c r="O1339" s="246">
        <f t="shared" si="546"/>
        <v>0.90665207877461707</v>
      </c>
      <c r="P1339" s="121">
        <f t="shared" si="547"/>
        <v>0.91666666666666663</v>
      </c>
      <c r="Q1339" s="121">
        <f t="shared" si="548"/>
        <v>8.333333333333337E-2</v>
      </c>
      <c r="R1339" s="121">
        <f t="shared" si="549"/>
        <v>0</v>
      </c>
      <c r="S1339" s="121" t="str">
        <f t="shared" si="550"/>
        <v/>
      </c>
      <c r="T1339" s="121" t="str">
        <f t="shared" si="551"/>
        <v/>
      </c>
      <c r="U1339" s="121">
        <f t="shared" si="552"/>
        <v>1.05</v>
      </c>
    </row>
    <row r="1340" spans="1:21" x14ac:dyDescent="0.3">
      <c r="A1340" s="187">
        <v>20</v>
      </c>
      <c r="B1340" s="242">
        <f t="shared" si="553"/>
        <v>46235</v>
      </c>
      <c r="C1340" s="243">
        <f t="shared" si="534"/>
        <v>46265</v>
      </c>
      <c r="D1340" s="120">
        <f t="shared" si="535"/>
        <v>31</v>
      </c>
      <c r="E1340" s="120">
        <f t="shared" si="536"/>
        <v>8</v>
      </c>
      <c r="F1340" s="275">
        <f t="shared" si="537"/>
        <v>46250.5</v>
      </c>
      <c r="G1340" s="120">
        <f t="shared" si="538"/>
        <v>24319</v>
      </c>
      <c r="H1340" s="245">
        <f t="shared" si="539"/>
        <v>1</v>
      </c>
      <c r="I1340" s="121">
        <f t="shared" si="540"/>
        <v>1.05</v>
      </c>
      <c r="J1340" s="121">
        <f t="shared" si="541"/>
        <v>1.05</v>
      </c>
      <c r="K1340" s="120">
        <f t="shared" si="542"/>
        <v>0</v>
      </c>
      <c r="L1340" s="120">
        <f t="shared" si="543"/>
        <v>0</v>
      </c>
      <c r="M1340" s="246">
        <f t="shared" si="544"/>
        <v>0</v>
      </c>
      <c r="N1340" s="121">
        <f t="shared" si="545"/>
        <v>1.05</v>
      </c>
      <c r="O1340" s="246">
        <f t="shared" si="546"/>
        <v>0.90800875273522974</v>
      </c>
      <c r="P1340" s="121">
        <f t="shared" si="547"/>
        <v>0.75</v>
      </c>
      <c r="Q1340" s="121">
        <f t="shared" si="548"/>
        <v>0.25</v>
      </c>
      <c r="R1340" s="121">
        <f t="shared" si="549"/>
        <v>0</v>
      </c>
      <c r="S1340" s="121" t="str">
        <f t="shared" si="550"/>
        <v/>
      </c>
      <c r="T1340" s="121" t="str">
        <f t="shared" si="551"/>
        <v/>
      </c>
      <c r="U1340" s="121">
        <f t="shared" si="552"/>
        <v>1.05</v>
      </c>
    </row>
    <row r="1341" spans="1:21" x14ac:dyDescent="0.3">
      <c r="A1341" s="187">
        <v>21</v>
      </c>
      <c r="B1341" s="242">
        <f t="shared" si="553"/>
        <v>46266</v>
      </c>
      <c r="C1341" s="243">
        <f t="shared" si="534"/>
        <v>46295</v>
      </c>
      <c r="D1341" s="120">
        <f t="shared" si="535"/>
        <v>30</v>
      </c>
      <c r="E1341" s="120">
        <f t="shared" si="536"/>
        <v>9</v>
      </c>
      <c r="F1341" s="275">
        <f t="shared" si="537"/>
        <v>46281</v>
      </c>
      <c r="G1341" s="120">
        <f t="shared" si="538"/>
        <v>24320</v>
      </c>
      <c r="H1341" s="245">
        <f t="shared" si="539"/>
        <v>1</v>
      </c>
      <c r="I1341" s="121">
        <f t="shared" si="540"/>
        <v>1.05</v>
      </c>
      <c r="J1341" s="121">
        <f t="shared" si="541"/>
        <v>1.05</v>
      </c>
      <c r="K1341" s="120">
        <f t="shared" si="542"/>
        <v>0</v>
      </c>
      <c r="L1341" s="120">
        <f t="shared" si="543"/>
        <v>0</v>
      </c>
      <c r="M1341" s="246">
        <f t="shared" si="544"/>
        <v>0</v>
      </c>
      <c r="N1341" s="121">
        <f t="shared" si="545"/>
        <v>1.05</v>
      </c>
      <c r="O1341" s="246">
        <f t="shared" si="546"/>
        <v>0.90934354485776803</v>
      </c>
      <c r="P1341" s="121">
        <f t="shared" si="547"/>
        <v>0.58333333333333337</v>
      </c>
      <c r="Q1341" s="121">
        <f t="shared" si="548"/>
        <v>0.41666666666666663</v>
      </c>
      <c r="R1341" s="121">
        <f t="shared" si="549"/>
        <v>0</v>
      </c>
      <c r="S1341" s="121" t="str">
        <f t="shared" si="550"/>
        <v/>
      </c>
      <c r="T1341" s="121" t="str">
        <f t="shared" si="551"/>
        <v/>
      </c>
      <c r="U1341" s="121">
        <f t="shared" si="552"/>
        <v>1.05</v>
      </c>
    </row>
    <row r="1342" spans="1:21" x14ac:dyDescent="0.3">
      <c r="A1342" s="187">
        <v>22</v>
      </c>
      <c r="B1342" s="242">
        <f t="shared" si="553"/>
        <v>46296</v>
      </c>
      <c r="C1342" s="243">
        <f t="shared" si="534"/>
        <v>46326</v>
      </c>
      <c r="D1342" s="120">
        <f t="shared" si="535"/>
        <v>31</v>
      </c>
      <c r="E1342" s="120">
        <f t="shared" si="536"/>
        <v>10</v>
      </c>
      <c r="F1342" s="275">
        <f t="shared" si="537"/>
        <v>46311.5</v>
      </c>
      <c r="G1342" s="120">
        <f t="shared" si="538"/>
        <v>24321</v>
      </c>
      <c r="H1342" s="245">
        <f t="shared" si="539"/>
        <v>1</v>
      </c>
      <c r="I1342" s="121">
        <f t="shared" si="540"/>
        <v>1.05</v>
      </c>
      <c r="J1342" s="121">
        <f t="shared" si="541"/>
        <v>1.05</v>
      </c>
      <c r="K1342" s="120">
        <f t="shared" si="542"/>
        <v>0</v>
      </c>
      <c r="L1342" s="120">
        <f t="shared" si="543"/>
        <v>0</v>
      </c>
      <c r="M1342" s="246">
        <f t="shared" si="544"/>
        <v>0</v>
      </c>
      <c r="N1342" s="121">
        <f t="shared" si="545"/>
        <v>1.05</v>
      </c>
      <c r="O1342" s="246">
        <f t="shared" si="546"/>
        <v>0.91067833698030642</v>
      </c>
      <c r="P1342" s="121">
        <f t="shared" si="547"/>
        <v>0.41666666666666669</v>
      </c>
      <c r="Q1342" s="121">
        <f t="shared" si="548"/>
        <v>0.58333333333333326</v>
      </c>
      <c r="R1342" s="121">
        <f t="shared" si="549"/>
        <v>0</v>
      </c>
      <c r="S1342" s="121" t="str">
        <f t="shared" si="550"/>
        <v/>
      </c>
      <c r="T1342" s="121" t="str">
        <f t="shared" si="551"/>
        <v/>
      </c>
      <c r="U1342" s="121">
        <f t="shared" si="552"/>
        <v>1.05</v>
      </c>
    </row>
    <row r="1343" spans="1:21" x14ac:dyDescent="0.3">
      <c r="A1343" s="187">
        <v>23</v>
      </c>
      <c r="B1343" s="242">
        <f t="shared" si="553"/>
        <v>46327</v>
      </c>
      <c r="C1343" s="243">
        <f t="shared" si="534"/>
        <v>46356</v>
      </c>
      <c r="D1343" s="120">
        <f t="shared" si="535"/>
        <v>30</v>
      </c>
      <c r="E1343" s="120">
        <f t="shared" si="536"/>
        <v>11</v>
      </c>
      <c r="F1343" s="275">
        <f t="shared" si="537"/>
        <v>46342</v>
      </c>
      <c r="G1343" s="120">
        <f t="shared" si="538"/>
        <v>24322</v>
      </c>
      <c r="H1343" s="245">
        <f t="shared" si="539"/>
        <v>1</v>
      </c>
      <c r="I1343" s="121">
        <f t="shared" si="540"/>
        <v>1.05</v>
      </c>
      <c r="J1343" s="121">
        <f t="shared" si="541"/>
        <v>1.05</v>
      </c>
      <c r="K1343" s="120">
        <f t="shared" si="542"/>
        <v>0</v>
      </c>
      <c r="L1343" s="120">
        <f t="shared" si="543"/>
        <v>0</v>
      </c>
      <c r="M1343" s="246">
        <f t="shared" si="544"/>
        <v>0</v>
      </c>
      <c r="N1343" s="121">
        <f t="shared" si="545"/>
        <v>1.05</v>
      </c>
      <c r="O1343" s="246">
        <f t="shared" si="546"/>
        <v>0.91201312910284471</v>
      </c>
      <c r="P1343" s="121">
        <f t="shared" si="547"/>
        <v>0.25</v>
      </c>
      <c r="Q1343" s="121">
        <f t="shared" si="548"/>
        <v>0.75</v>
      </c>
      <c r="R1343" s="121">
        <f t="shared" si="549"/>
        <v>0</v>
      </c>
      <c r="S1343" s="121" t="str">
        <f t="shared" si="550"/>
        <v/>
      </c>
      <c r="T1343" s="121" t="str">
        <f t="shared" si="551"/>
        <v/>
      </c>
      <c r="U1343" s="121">
        <f t="shared" si="552"/>
        <v>1.05</v>
      </c>
    </row>
    <row r="1344" spans="1:21" x14ac:dyDescent="0.3">
      <c r="A1344" s="187">
        <v>24</v>
      </c>
      <c r="B1344" s="242">
        <f t="shared" si="553"/>
        <v>46357</v>
      </c>
      <c r="C1344" s="243">
        <f t="shared" si="534"/>
        <v>46387</v>
      </c>
      <c r="D1344" s="120">
        <f t="shared" si="535"/>
        <v>31</v>
      </c>
      <c r="E1344" s="120">
        <f t="shared" si="536"/>
        <v>12</v>
      </c>
      <c r="F1344" s="275">
        <f t="shared" si="537"/>
        <v>46372.5</v>
      </c>
      <c r="G1344" s="120">
        <f t="shared" si="538"/>
        <v>24323</v>
      </c>
      <c r="H1344" s="245">
        <f t="shared" si="539"/>
        <v>1</v>
      </c>
      <c r="I1344" s="121">
        <f t="shared" si="540"/>
        <v>1.05</v>
      </c>
      <c r="J1344" s="121">
        <f t="shared" si="541"/>
        <v>1.05</v>
      </c>
      <c r="K1344" s="120">
        <f t="shared" si="542"/>
        <v>0</v>
      </c>
      <c r="L1344" s="120">
        <f t="shared" si="543"/>
        <v>0</v>
      </c>
      <c r="M1344" s="246">
        <f t="shared" si="544"/>
        <v>0</v>
      </c>
      <c r="N1344" s="121">
        <f t="shared" si="545"/>
        <v>1.05</v>
      </c>
      <c r="O1344" s="246">
        <f t="shared" si="546"/>
        <v>0.913347921225383</v>
      </c>
      <c r="P1344" s="121">
        <f t="shared" si="547"/>
        <v>8.3333333333333329E-2</v>
      </c>
      <c r="Q1344" s="121">
        <f t="shared" si="548"/>
        <v>0.91666666666666663</v>
      </c>
      <c r="R1344" s="121">
        <f t="shared" si="549"/>
        <v>0</v>
      </c>
      <c r="S1344" s="121" t="str">
        <f t="shared" si="550"/>
        <v/>
      </c>
      <c r="T1344" s="121" t="str">
        <f t="shared" si="551"/>
        <v/>
      </c>
      <c r="U1344" s="121">
        <f t="shared" si="552"/>
        <v>1.05</v>
      </c>
    </row>
    <row r="1345" spans="1:21" x14ac:dyDescent="0.3">
      <c r="A1345" s="187">
        <v>25</v>
      </c>
      <c r="B1345" s="242">
        <f t="shared" si="553"/>
        <v>46388</v>
      </c>
      <c r="C1345" s="243">
        <f t="shared" si="534"/>
        <v>46418</v>
      </c>
      <c r="D1345" s="120">
        <f t="shared" si="535"/>
        <v>31</v>
      </c>
      <c r="E1345" s="120">
        <f t="shared" si="536"/>
        <v>1</v>
      </c>
      <c r="F1345" s="275">
        <f t="shared" si="537"/>
        <v>46403.5</v>
      </c>
      <c r="G1345" s="120">
        <f t="shared" si="538"/>
        <v>24324</v>
      </c>
      <c r="H1345" s="245">
        <f t="shared" si="539"/>
        <v>1</v>
      </c>
      <c r="I1345" s="121">
        <f t="shared" si="540"/>
        <v>1.05</v>
      </c>
      <c r="J1345" s="121">
        <f t="shared" si="541"/>
        <v>1.05</v>
      </c>
      <c r="K1345" s="120">
        <f t="shared" si="542"/>
        <v>0</v>
      </c>
      <c r="L1345" s="120">
        <f t="shared" si="543"/>
        <v>0</v>
      </c>
      <c r="M1345" s="246">
        <f t="shared" si="544"/>
        <v>0</v>
      </c>
      <c r="N1345" s="121">
        <f t="shared" si="545"/>
        <v>1.05</v>
      </c>
      <c r="O1345" s="246">
        <f t="shared" si="546"/>
        <v>0.91470459518599567</v>
      </c>
      <c r="P1345" s="121">
        <f t="shared" si="547"/>
        <v>0</v>
      </c>
      <c r="Q1345" s="121">
        <f t="shared" si="548"/>
        <v>1</v>
      </c>
      <c r="R1345" s="121">
        <f t="shared" si="549"/>
        <v>0</v>
      </c>
      <c r="S1345" s="121" t="str">
        <f t="shared" si="550"/>
        <v/>
      </c>
      <c r="T1345" s="121" t="str">
        <f t="shared" si="551"/>
        <v/>
      </c>
      <c r="U1345" s="121">
        <f t="shared" si="552"/>
        <v>1.05</v>
      </c>
    </row>
    <row r="1346" spans="1:21" x14ac:dyDescent="0.3">
      <c r="A1346" s="187">
        <v>26</v>
      </c>
      <c r="B1346" s="242">
        <f t="shared" si="553"/>
        <v>46419</v>
      </c>
      <c r="C1346" s="243">
        <f t="shared" si="534"/>
        <v>46446</v>
      </c>
      <c r="D1346" s="120">
        <f t="shared" si="535"/>
        <v>28</v>
      </c>
      <c r="E1346" s="120">
        <f t="shared" si="536"/>
        <v>2</v>
      </c>
      <c r="F1346" s="275">
        <f t="shared" si="537"/>
        <v>46433</v>
      </c>
      <c r="G1346" s="120">
        <f t="shared" si="538"/>
        <v>24325</v>
      </c>
      <c r="H1346" s="245">
        <f t="shared" si="539"/>
        <v>1</v>
      </c>
      <c r="I1346" s="121">
        <f t="shared" si="540"/>
        <v>1.05</v>
      </c>
      <c r="J1346" s="121">
        <f t="shared" si="541"/>
        <v>1.05</v>
      </c>
      <c r="K1346" s="120">
        <f t="shared" si="542"/>
        <v>0</v>
      </c>
      <c r="L1346" s="120">
        <f t="shared" si="543"/>
        <v>0</v>
      </c>
      <c r="M1346" s="246">
        <f t="shared" si="544"/>
        <v>0</v>
      </c>
      <c r="N1346" s="121">
        <f t="shared" si="545"/>
        <v>1.05</v>
      </c>
      <c r="O1346" s="246">
        <f t="shared" si="546"/>
        <v>0.91599562363238518</v>
      </c>
      <c r="P1346" s="121">
        <f t="shared" si="547"/>
        <v>0</v>
      </c>
      <c r="Q1346" s="121">
        <f t="shared" si="548"/>
        <v>1</v>
      </c>
      <c r="R1346" s="121">
        <f t="shared" si="549"/>
        <v>0</v>
      </c>
      <c r="S1346" s="121" t="str">
        <f t="shared" si="550"/>
        <v/>
      </c>
      <c r="T1346" s="121" t="str">
        <f t="shared" si="551"/>
        <v/>
      </c>
      <c r="U1346" s="121">
        <f t="shared" si="552"/>
        <v>1.05</v>
      </c>
    </row>
    <row r="1347" spans="1:21" x14ac:dyDescent="0.3">
      <c r="A1347" s="187">
        <v>27</v>
      </c>
      <c r="B1347" s="242">
        <f t="shared" si="553"/>
        <v>46447</v>
      </c>
      <c r="C1347" s="243">
        <f t="shared" si="534"/>
        <v>46477</v>
      </c>
      <c r="D1347" s="120">
        <f t="shared" si="535"/>
        <v>31</v>
      </c>
      <c r="E1347" s="120">
        <f t="shared" si="536"/>
        <v>3</v>
      </c>
      <c r="F1347" s="275">
        <f t="shared" si="537"/>
        <v>46462.5</v>
      </c>
      <c r="G1347" s="120">
        <f t="shared" si="538"/>
        <v>24326</v>
      </c>
      <c r="H1347" s="245">
        <f t="shared" si="539"/>
        <v>1</v>
      </c>
      <c r="I1347" s="121">
        <f t="shared" si="540"/>
        <v>1.05</v>
      </c>
      <c r="J1347" s="121">
        <f t="shared" si="541"/>
        <v>1.05</v>
      </c>
      <c r="K1347" s="120">
        <f t="shared" si="542"/>
        <v>0</v>
      </c>
      <c r="L1347" s="120">
        <f t="shared" si="543"/>
        <v>0</v>
      </c>
      <c r="M1347" s="246">
        <f t="shared" si="544"/>
        <v>0</v>
      </c>
      <c r="N1347" s="121">
        <f t="shared" si="545"/>
        <v>1.05</v>
      </c>
      <c r="O1347" s="246">
        <f t="shared" si="546"/>
        <v>0.91728665207877469</v>
      </c>
      <c r="P1347" s="121">
        <f t="shared" si="547"/>
        <v>0</v>
      </c>
      <c r="Q1347" s="121">
        <f t="shared" si="548"/>
        <v>1</v>
      </c>
      <c r="R1347" s="121">
        <f t="shared" si="549"/>
        <v>0</v>
      </c>
      <c r="S1347" s="121" t="str">
        <f t="shared" si="550"/>
        <v/>
      </c>
      <c r="T1347" s="121" t="str">
        <f t="shared" si="551"/>
        <v/>
      </c>
      <c r="U1347" s="121">
        <f t="shared" si="552"/>
        <v>1.05</v>
      </c>
    </row>
    <row r="1348" spans="1:21" x14ac:dyDescent="0.3">
      <c r="A1348" s="187">
        <v>28</v>
      </c>
      <c r="B1348" s="242">
        <f t="shared" si="553"/>
        <v>46478</v>
      </c>
      <c r="C1348" s="243">
        <f t="shared" si="534"/>
        <v>46507</v>
      </c>
      <c r="D1348" s="120">
        <f t="shared" si="535"/>
        <v>30</v>
      </c>
      <c r="E1348" s="120">
        <f t="shared" si="536"/>
        <v>4</v>
      </c>
      <c r="F1348" s="275">
        <f t="shared" si="537"/>
        <v>46493</v>
      </c>
      <c r="G1348" s="120">
        <f t="shared" si="538"/>
        <v>24327</v>
      </c>
      <c r="H1348" s="245">
        <f t="shared" si="539"/>
        <v>1</v>
      </c>
      <c r="I1348" s="121">
        <f t="shared" si="540"/>
        <v>1.05</v>
      </c>
      <c r="J1348" s="121">
        <f t="shared" si="541"/>
        <v>1.05</v>
      </c>
      <c r="K1348" s="120">
        <f t="shared" si="542"/>
        <v>0</v>
      </c>
      <c r="L1348" s="120">
        <f t="shared" si="543"/>
        <v>0</v>
      </c>
      <c r="M1348" s="246">
        <f t="shared" si="544"/>
        <v>0</v>
      </c>
      <c r="N1348" s="121">
        <f t="shared" si="545"/>
        <v>1.05</v>
      </c>
      <c r="O1348" s="246">
        <f t="shared" si="546"/>
        <v>0.91862144420131298</v>
      </c>
      <c r="P1348" s="121">
        <f t="shared" si="547"/>
        <v>0</v>
      </c>
      <c r="Q1348" s="121">
        <f t="shared" si="548"/>
        <v>1</v>
      </c>
      <c r="R1348" s="121">
        <f t="shared" si="549"/>
        <v>0</v>
      </c>
      <c r="S1348" s="121" t="str">
        <f t="shared" si="550"/>
        <v/>
      </c>
      <c r="T1348" s="121" t="str">
        <f t="shared" si="551"/>
        <v/>
      </c>
      <c r="U1348" s="121">
        <f t="shared" si="552"/>
        <v>1.05</v>
      </c>
    </row>
    <row r="1349" spans="1:21" x14ac:dyDescent="0.3">
      <c r="A1349" s="187">
        <v>29</v>
      </c>
      <c r="B1349" s="242">
        <f t="shared" si="553"/>
        <v>46508</v>
      </c>
      <c r="C1349" s="243">
        <f t="shared" si="534"/>
        <v>46538</v>
      </c>
      <c r="D1349" s="120">
        <f t="shared" si="535"/>
        <v>31</v>
      </c>
      <c r="E1349" s="120">
        <f t="shared" si="536"/>
        <v>5</v>
      </c>
      <c r="F1349" s="275">
        <f t="shared" si="537"/>
        <v>46523.5</v>
      </c>
      <c r="G1349" s="120">
        <f t="shared" si="538"/>
        <v>24328</v>
      </c>
      <c r="H1349" s="245">
        <f t="shared" si="539"/>
        <v>1</v>
      </c>
      <c r="I1349" s="121">
        <f t="shared" si="540"/>
        <v>1.05</v>
      </c>
      <c r="J1349" s="121">
        <f t="shared" si="541"/>
        <v>1.0815000000000001</v>
      </c>
      <c r="K1349" s="120">
        <f t="shared" si="542"/>
        <v>1</v>
      </c>
      <c r="L1349" s="120">
        <f t="shared" si="543"/>
        <v>17</v>
      </c>
      <c r="M1349" s="246">
        <f t="shared" si="544"/>
        <v>0.54838709677419351</v>
      </c>
      <c r="N1349" s="121">
        <f t="shared" si="545"/>
        <v>1.0672741935483872</v>
      </c>
      <c r="O1349" s="246">
        <f t="shared" si="546"/>
        <v>0.91995623632385126</v>
      </c>
      <c r="P1349" s="121">
        <f t="shared" si="547"/>
        <v>0</v>
      </c>
      <c r="Q1349" s="121">
        <f t="shared" si="548"/>
        <v>1</v>
      </c>
      <c r="R1349" s="121">
        <f t="shared" si="549"/>
        <v>0</v>
      </c>
      <c r="S1349" s="121" t="str">
        <f t="shared" si="550"/>
        <v/>
      </c>
      <c r="T1349" s="121" t="str">
        <f t="shared" si="551"/>
        <v/>
      </c>
      <c r="U1349" s="121">
        <f t="shared" si="552"/>
        <v>1.0672741935483872</v>
      </c>
    </row>
    <row r="1350" spans="1:21" x14ac:dyDescent="0.3">
      <c r="A1350" s="187">
        <v>30</v>
      </c>
      <c r="B1350" s="242">
        <f t="shared" si="553"/>
        <v>46539</v>
      </c>
      <c r="C1350" s="243">
        <f t="shared" si="534"/>
        <v>46568</v>
      </c>
      <c r="D1350" s="120">
        <f t="shared" si="535"/>
        <v>30</v>
      </c>
      <c r="E1350" s="120">
        <f t="shared" si="536"/>
        <v>6</v>
      </c>
      <c r="F1350" s="275">
        <f t="shared" si="537"/>
        <v>46554</v>
      </c>
      <c r="G1350" s="120">
        <f t="shared" si="538"/>
        <v>24329</v>
      </c>
      <c r="H1350" s="245">
        <f t="shared" si="539"/>
        <v>1</v>
      </c>
      <c r="I1350" s="121">
        <f t="shared" si="540"/>
        <v>1.0815000000000001</v>
      </c>
      <c r="J1350" s="121">
        <f t="shared" si="541"/>
        <v>1.0815000000000001</v>
      </c>
      <c r="K1350" s="120">
        <f t="shared" si="542"/>
        <v>0</v>
      </c>
      <c r="L1350" s="120">
        <f t="shared" si="543"/>
        <v>0</v>
      </c>
      <c r="M1350" s="246">
        <f t="shared" si="544"/>
        <v>0</v>
      </c>
      <c r="N1350" s="121">
        <f t="shared" si="545"/>
        <v>1.0815000000000001</v>
      </c>
      <c r="O1350" s="246">
        <f t="shared" si="546"/>
        <v>0.92129102844638955</v>
      </c>
      <c r="P1350" s="121">
        <f t="shared" si="547"/>
        <v>0</v>
      </c>
      <c r="Q1350" s="121">
        <f t="shared" si="548"/>
        <v>1</v>
      </c>
      <c r="R1350" s="121">
        <f t="shared" si="549"/>
        <v>0</v>
      </c>
      <c r="S1350" s="121" t="str">
        <f t="shared" si="550"/>
        <v/>
      </c>
      <c r="T1350" s="121" t="str">
        <f t="shared" si="551"/>
        <v/>
      </c>
      <c r="U1350" s="121">
        <f t="shared" si="552"/>
        <v>1.0815000000000001</v>
      </c>
    </row>
    <row r="1351" spans="1:21" x14ac:dyDescent="0.3">
      <c r="A1351" s="187">
        <v>31</v>
      </c>
      <c r="B1351" s="242">
        <f t="shared" si="553"/>
        <v>46569</v>
      </c>
      <c r="C1351" s="243">
        <f t="shared" si="534"/>
        <v>46599</v>
      </c>
      <c r="D1351" s="120">
        <f t="shared" si="535"/>
        <v>31</v>
      </c>
      <c r="E1351" s="120">
        <f t="shared" si="536"/>
        <v>7</v>
      </c>
      <c r="F1351" s="275">
        <f t="shared" si="537"/>
        <v>46584.5</v>
      </c>
      <c r="G1351" s="120">
        <f t="shared" si="538"/>
        <v>24330</v>
      </c>
      <c r="H1351" s="245">
        <f t="shared" si="539"/>
        <v>1</v>
      </c>
      <c r="I1351" s="121">
        <f t="shared" si="540"/>
        <v>1.0815000000000001</v>
      </c>
      <c r="J1351" s="121">
        <f t="shared" si="541"/>
        <v>1.0815000000000001</v>
      </c>
      <c r="K1351" s="120">
        <f t="shared" si="542"/>
        <v>0</v>
      </c>
      <c r="L1351" s="120">
        <f t="shared" si="543"/>
        <v>0</v>
      </c>
      <c r="M1351" s="246">
        <f t="shared" si="544"/>
        <v>0</v>
      </c>
      <c r="N1351" s="121">
        <f t="shared" si="545"/>
        <v>1.0815000000000001</v>
      </c>
      <c r="O1351" s="246">
        <f t="shared" si="546"/>
        <v>0.92262582056892783</v>
      </c>
      <c r="P1351" s="121">
        <f t="shared" si="547"/>
        <v>0</v>
      </c>
      <c r="Q1351" s="121">
        <f t="shared" si="548"/>
        <v>0.91666666666666663</v>
      </c>
      <c r="R1351" s="121">
        <f t="shared" si="549"/>
        <v>8.333333333333337E-2</v>
      </c>
      <c r="S1351" s="121" t="str">
        <f t="shared" si="550"/>
        <v/>
      </c>
      <c r="T1351" s="121" t="str">
        <f t="shared" si="551"/>
        <v/>
      </c>
      <c r="U1351" s="121">
        <f t="shared" si="552"/>
        <v>1.0815000000000001</v>
      </c>
    </row>
    <row r="1352" spans="1:21" x14ac:dyDescent="0.3">
      <c r="A1352" s="187">
        <v>32</v>
      </c>
      <c r="B1352" s="242">
        <f t="shared" si="553"/>
        <v>46600</v>
      </c>
      <c r="C1352" s="243">
        <f t="shared" si="534"/>
        <v>46630</v>
      </c>
      <c r="D1352" s="120">
        <f t="shared" si="535"/>
        <v>31</v>
      </c>
      <c r="E1352" s="120">
        <f t="shared" si="536"/>
        <v>8</v>
      </c>
      <c r="F1352" s="275">
        <f t="shared" si="537"/>
        <v>46615.5</v>
      </c>
      <c r="G1352" s="120">
        <f t="shared" si="538"/>
        <v>24331</v>
      </c>
      <c r="H1352" s="245">
        <f t="shared" si="539"/>
        <v>1</v>
      </c>
      <c r="I1352" s="121">
        <f t="shared" si="540"/>
        <v>1.0815000000000001</v>
      </c>
      <c r="J1352" s="121">
        <f t="shared" si="541"/>
        <v>1.0815000000000001</v>
      </c>
      <c r="K1352" s="120">
        <f t="shared" si="542"/>
        <v>0</v>
      </c>
      <c r="L1352" s="120">
        <f t="shared" si="543"/>
        <v>0</v>
      </c>
      <c r="M1352" s="246">
        <f t="shared" si="544"/>
        <v>0</v>
      </c>
      <c r="N1352" s="121">
        <f t="shared" si="545"/>
        <v>1.0815000000000001</v>
      </c>
      <c r="O1352" s="246">
        <f t="shared" si="546"/>
        <v>0.92398249452954051</v>
      </c>
      <c r="P1352" s="121">
        <f t="shared" si="547"/>
        <v>0</v>
      </c>
      <c r="Q1352" s="121">
        <f t="shared" si="548"/>
        <v>0.75</v>
      </c>
      <c r="R1352" s="121">
        <f t="shared" si="549"/>
        <v>0.25</v>
      </c>
      <c r="S1352" s="121" t="str">
        <f t="shared" si="550"/>
        <v/>
      </c>
      <c r="T1352" s="121" t="str">
        <f t="shared" si="551"/>
        <v/>
      </c>
      <c r="U1352" s="121">
        <f t="shared" si="552"/>
        <v>1.0815000000000001</v>
      </c>
    </row>
    <row r="1353" spans="1:21" x14ac:dyDescent="0.3">
      <c r="A1353" s="187">
        <v>33</v>
      </c>
      <c r="B1353" s="242">
        <f t="shared" si="553"/>
        <v>46631</v>
      </c>
      <c r="C1353" s="243">
        <f t="shared" si="534"/>
        <v>46660</v>
      </c>
      <c r="D1353" s="120">
        <f t="shared" si="535"/>
        <v>30</v>
      </c>
      <c r="E1353" s="120">
        <f t="shared" si="536"/>
        <v>9</v>
      </c>
      <c r="F1353" s="275">
        <f t="shared" si="537"/>
        <v>46646</v>
      </c>
      <c r="G1353" s="120">
        <f t="shared" si="538"/>
        <v>24332</v>
      </c>
      <c r="H1353" s="245">
        <f t="shared" si="539"/>
        <v>1</v>
      </c>
      <c r="I1353" s="121">
        <f t="shared" si="540"/>
        <v>1.0815000000000001</v>
      </c>
      <c r="J1353" s="121">
        <f t="shared" si="541"/>
        <v>1.0815000000000001</v>
      </c>
      <c r="K1353" s="120">
        <f t="shared" si="542"/>
        <v>0</v>
      </c>
      <c r="L1353" s="120">
        <f t="shared" si="543"/>
        <v>0</v>
      </c>
      <c r="M1353" s="246">
        <f t="shared" si="544"/>
        <v>0</v>
      </c>
      <c r="N1353" s="121">
        <f t="shared" si="545"/>
        <v>1.0815000000000001</v>
      </c>
      <c r="O1353" s="246">
        <f t="shared" si="546"/>
        <v>0.9253172866520788</v>
      </c>
      <c r="P1353" s="121">
        <f t="shared" si="547"/>
        <v>0</v>
      </c>
      <c r="Q1353" s="121">
        <f t="shared" si="548"/>
        <v>0.58333333333333337</v>
      </c>
      <c r="R1353" s="121">
        <f t="shared" si="549"/>
        <v>0.41666666666666663</v>
      </c>
      <c r="S1353" s="121" t="str">
        <f t="shared" si="550"/>
        <v/>
      </c>
      <c r="T1353" s="121" t="str">
        <f t="shared" si="551"/>
        <v/>
      </c>
      <c r="U1353" s="121">
        <f t="shared" si="552"/>
        <v>1.0815000000000001</v>
      </c>
    </row>
    <row r="1354" spans="1:21" x14ac:dyDescent="0.3">
      <c r="A1354" s="187">
        <v>34</v>
      </c>
      <c r="B1354" s="242">
        <f t="shared" si="553"/>
        <v>46661</v>
      </c>
      <c r="C1354" s="243">
        <f t="shared" si="534"/>
        <v>46691</v>
      </c>
      <c r="D1354" s="120">
        <f t="shared" si="535"/>
        <v>31</v>
      </c>
      <c r="E1354" s="120">
        <f t="shared" si="536"/>
        <v>10</v>
      </c>
      <c r="F1354" s="275">
        <f t="shared" si="537"/>
        <v>46676.5</v>
      </c>
      <c r="G1354" s="120">
        <f t="shared" si="538"/>
        <v>24333</v>
      </c>
      <c r="H1354" s="245">
        <f t="shared" si="539"/>
        <v>1</v>
      </c>
      <c r="I1354" s="121">
        <f t="shared" si="540"/>
        <v>1.0815000000000001</v>
      </c>
      <c r="J1354" s="121">
        <f t="shared" si="541"/>
        <v>1.0815000000000001</v>
      </c>
      <c r="K1354" s="120">
        <f t="shared" si="542"/>
        <v>0</v>
      </c>
      <c r="L1354" s="120">
        <f t="shared" si="543"/>
        <v>0</v>
      </c>
      <c r="M1354" s="246">
        <f t="shared" si="544"/>
        <v>0</v>
      </c>
      <c r="N1354" s="121">
        <f t="shared" si="545"/>
        <v>1.0815000000000001</v>
      </c>
      <c r="O1354" s="246">
        <f t="shared" si="546"/>
        <v>0.92665207877461708</v>
      </c>
      <c r="P1354" s="121">
        <f t="shared" si="547"/>
        <v>0</v>
      </c>
      <c r="Q1354" s="121">
        <f t="shared" si="548"/>
        <v>0.41666666666666669</v>
      </c>
      <c r="R1354" s="121">
        <f t="shared" si="549"/>
        <v>0.58333333333333326</v>
      </c>
      <c r="S1354" s="121" t="str">
        <f t="shared" si="550"/>
        <v/>
      </c>
      <c r="T1354" s="121" t="str">
        <f t="shared" si="551"/>
        <v/>
      </c>
      <c r="U1354" s="121">
        <f t="shared" si="552"/>
        <v>1.0815000000000001</v>
      </c>
    </row>
    <row r="1355" spans="1:21" x14ac:dyDescent="0.3">
      <c r="A1355" s="187">
        <v>35</v>
      </c>
      <c r="B1355" s="242">
        <f t="shared" si="553"/>
        <v>46692</v>
      </c>
      <c r="C1355" s="243">
        <f t="shared" si="534"/>
        <v>46721</v>
      </c>
      <c r="D1355" s="120">
        <f t="shared" si="535"/>
        <v>30</v>
      </c>
      <c r="E1355" s="120">
        <f t="shared" si="536"/>
        <v>11</v>
      </c>
      <c r="F1355" s="275">
        <f t="shared" si="537"/>
        <v>46707</v>
      </c>
      <c r="G1355" s="120">
        <f t="shared" si="538"/>
        <v>24334</v>
      </c>
      <c r="H1355" s="245">
        <f t="shared" si="539"/>
        <v>1</v>
      </c>
      <c r="I1355" s="121">
        <f t="shared" si="540"/>
        <v>1.0815000000000001</v>
      </c>
      <c r="J1355" s="121">
        <f t="shared" si="541"/>
        <v>1.0815000000000001</v>
      </c>
      <c r="K1355" s="120">
        <f t="shared" si="542"/>
        <v>0</v>
      </c>
      <c r="L1355" s="120">
        <f t="shared" si="543"/>
        <v>0</v>
      </c>
      <c r="M1355" s="246">
        <f t="shared" si="544"/>
        <v>0</v>
      </c>
      <c r="N1355" s="121">
        <f t="shared" si="545"/>
        <v>1.0815000000000001</v>
      </c>
      <c r="O1355" s="246">
        <f t="shared" si="546"/>
        <v>0.92798687089715537</v>
      </c>
      <c r="P1355" s="121">
        <f t="shared" si="547"/>
        <v>0</v>
      </c>
      <c r="Q1355" s="121">
        <f t="shared" si="548"/>
        <v>0.25</v>
      </c>
      <c r="R1355" s="121">
        <f t="shared" si="549"/>
        <v>0.75</v>
      </c>
      <c r="S1355" s="121" t="str">
        <f t="shared" si="550"/>
        <v/>
      </c>
      <c r="T1355" s="121" t="str">
        <f t="shared" si="551"/>
        <v/>
      </c>
      <c r="U1355" s="121">
        <f t="shared" si="552"/>
        <v>1.0815000000000001</v>
      </c>
    </row>
    <row r="1356" spans="1:21" x14ac:dyDescent="0.3">
      <c r="A1356" s="187">
        <v>36</v>
      </c>
      <c r="B1356" s="242">
        <f t="shared" si="553"/>
        <v>46722</v>
      </c>
      <c r="C1356" s="243">
        <f t="shared" si="534"/>
        <v>46752</v>
      </c>
      <c r="D1356" s="120">
        <f t="shared" si="535"/>
        <v>31</v>
      </c>
      <c r="E1356" s="120">
        <f t="shared" si="536"/>
        <v>12</v>
      </c>
      <c r="F1356" s="275">
        <f t="shared" si="537"/>
        <v>46737.5</v>
      </c>
      <c r="G1356" s="120">
        <f t="shared" si="538"/>
        <v>24335</v>
      </c>
      <c r="H1356" s="245">
        <f t="shared" si="539"/>
        <v>1</v>
      </c>
      <c r="I1356" s="121">
        <f t="shared" si="540"/>
        <v>1.0815000000000001</v>
      </c>
      <c r="J1356" s="121">
        <f t="shared" si="541"/>
        <v>1.0815000000000001</v>
      </c>
      <c r="K1356" s="120">
        <f t="shared" si="542"/>
        <v>0</v>
      </c>
      <c r="L1356" s="120">
        <f t="shared" si="543"/>
        <v>0</v>
      </c>
      <c r="M1356" s="246">
        <f t="shared" si="544"/>
        <v>0</v>
      </c>
      <c r="N1356" s="121">
        <f t="shared" si="545"/>
        <v>1.0815000000000001</v>
      </c>
      <c r="O1356" s="246">
        <f t="shared" si="546"/>
        <v>0.92932166301969366</v>
      </c>
      <c r="P1356" s="121">
        <f t="shared" si="547"/>
        <v>0</v>
      </c>
      <c r="Q1356" s="121">
        <f t="shared" si="548"/>
        <v>8.3333333333333329E-2</v>
      </c>
      <c r="R1356" s="121">
        <f t="shared" si="549"/>
        <v>0.91666666666666663</v>
      </c>
      <c r="S1356" s="121" t="str">
        <f t="shared" si="550"/>
        <v/>
      </c>
      <c r="T1356" s="121" t="str">
        <f t="shared" si="551"/>
        <v/>
      </c>
      <c r="U1356" s="121">
        <f t="shared" si="552"/>
        <v>1.0815000000000001</v>
      </c>
    </row>
    <row r="1357" spans="1:21" x14ac:dyDescent="0.3">
      <c r="A1357" s="187">
        <v>37</v>
      </c>
      <c r="B1357" s="242">
        <f t="shared" si="553"/>
        <v>46753</v>
      </c>
      <c r="C1357" s="243">
        <f t="shared" si="534"/>
        <v>46783</v>
      </c>
      <c r="D1357" s="120">
        <f t="shared" si="535"/>
        <v>31</v>
      </c>
      <c r="E1357" s="120">
        <f t="shared" si="536"/>
        <v>1</v>
      </c>
      <c r="F1357" s="275">
        <f t="shared" si="537"/>
        <v>46768.5</v>
      </c>
      <c r="G1357" s="120">
        <f t="shared" si="538"/>
        <v>24336</v>
      </c>
      <c r="H1357" s="245">
        <f t="shared" si="539"/>
        <v>1</v>
      </c>
      <c r="I1357" s="121">
        <f t="shared" si="540"/>
        <v>1.0815000000000001</v>
      </c>
      <c r="J1357" s="121">
        <f t="shared" si="541"/>
        <v>1.0815000000000001</v>
      </c>
      <c r="K1357" s="120">
        <f t="shared" si="542"/>
        <v>0</v>
      </c>
      <c r="L1357" s="120">
        <f t="shared" si="543"/>
        <v>0</v>
      </c>
      <c r="M1357" s="246">
        <f t="shared" si="544"/>
        <v>0</v>
      </c>
      <c r="N1357" s="121">
        <f t="shared" si="545"/>
        <v>1.0815000000000001</v>
      </c>
      <c r="O1357" s="246">
        <f t="shared" si="546"/>
        <v>0.93</v>
      </c>
      <c r="P1357" s="121">
        <f t="shared" si="547"/>
        <v>0</v>
      </c>
      <c r="Q1357" s="121">
        <f t="shared" si="548"/>
        <v>0</v>
      </c>
      <c r="R1357" s="121">
        <f t="shared" si="549"/>
        <v>1</v>
      </c>
      <c r="S1357" s="121" t="str">
        <f t="shared" si="550"/>
        <v/>
      </c>
      <c r="T1357" s="121" t="str">
        <f t="shared" si="551"/>
        <v/>
      </c>
      <c r="U1357" s="121">
        <f t="shared" si="552"/>
        <v>1.0815000000000001</v>
      </c>
    </row>
    <row r="1358" spans="1:21" x14ac:dyDescent="0.3">
      <c r="A1358" s="187">
        <v>38</v>
      </c>
      <c r="B1358" s="242">
        <f t="shared" si="553"/>
        <v>46784</v>
      </c>
      <c r="C1358" s="243">
        <f t="shared" si="534"/>
        <v>46812</v>
      </c>
      <c r="D1358" s="120">
        <f t="shared" si="535"/>
        <v>29</v>
      </c>
      <c r="E1358" s="120">
        <f t="shared" si="536"/>
        <v>2</v>
      </c>
      <c r="F1358" s="275">
        <f t="shared" si="537"/>
        <v>46798.5</v>
      </c>
      <c r="G1358" s="120">
        <f t="shared" si="538"/>
        <v>24337</v>
      </c>
      <c r="H1358" s="245">
        <f t="shared" si="539"/>
        <v>1</v>
      </c>
      <c r="I1358" s="121">
        <f t="shared" si="540"/>
        <v>1.0815000000000001</v>
      </c>
      <c r="J1358" s="121">
        <f t="shared" si="541"/>
        <v>1.0815000000000001</v>
      </c>
      <c r="K1358" s="120">
        <f t="shared" si="542"/>
        <v>0</v>
      </c>
      <c r="L1358" s="120">
        <f t="shared" si="543"/>
        <v>0</v>
      </c>
      <c r="M1358" s="246">
        <f t="shared" si="544"/>
        <v>0</v>
      </c>
      <c r="N1358" s="121">
        <f t="shared" si="545"/>
        <v>1.0815000000000001</v>
      </c>
      <c r="O1358" s="246">
        <f t="shared" si="546"/>
        <v>0.93</v>
      </c>
      <c r="P1358" s="121">
        <f t="shared" si="547"/>
        <v>0</v>
      </c>
      <c r="Q1358" s="121">
        <f t="shared" si="548"/>
        <v>0</v>
      </c>
      <c r="R1358" s="121">
        <f t="shared" si="549"/>
        <v>1</v>
      </c>
      <c r="S1358" s="121" t="str">
        <f t="shared" si="550"/>
        <v/>
      </c>
      <c r="T1358" s="121" t="str">
        <f t="shared" si="551"/>
        <v/>
      </c>
      <c r="U1358" s="121">
        <f t="shared" si="552"/>
        <v>1.0815000000000001</v>
      </c>
    </row>
    <row r="1359" spans="1:21" x14ac:dyDescent="0.3">
      <c r="A1359" s="187">
        <v>39</v>
      </c>
      <c r="B1359" s="242">
        <f t="shared" si="553"/>
        <v>46813</v>
      </c>
      <c r="C1359" s="243">
        <f t="shared" si="534"/>
        <v>46843</v>
      </c>
      <c r="D1359" s="120">
        <f t="shared" si="535"/>
        <v>31</v>
      </c>
      <c r="E1359" s="120">
        <f t="shared" si="536"/>
        <v>3</v>
      </c>
      <c r="F1359" s="275">
        <f t="shared" si="537"/>
        <v>46828.5</v>
      </c>
      <c r="G1359" s="120">
        <f t="shared" si="538"/>
        <v>24338</v>
      </c>
      <c r="H1359" s="245">
        <f t="shared" si="539"/>
        <v>1</v>
      </c>
      <c r="I1359" s="121">
        <f t="shared" si="540"/>
        <v>1.0815000000000001</v>
      </c>
      <c r="J1359" s="121">
        <f t="shared" si="541"/>
        <v>1.0815000000000001</v>
      </c>
      <c r="K1359" s="120">
        <f t="shared" si="542"/>
        <v>0</v>
      </c>
      <c r="L1359" s="120">
        <f t="shared" si="543"/>
        <v>0</v>
      </c>
      <c r="M1359" s="246">
        <f t="shared" si="544"/>
        <v>0</v>
      </c>
      <c r="N1359" s="121">
        <f t="shared" si="545"/>
        <v>1.0815000000000001</v>
      </c>
      <c r="O1359" s="246">
        <f t="shared" si="546"/>
        <v>0.93</v>
      </c>
      <c r="P1359" s="121">
        <f t="shared" si="547"/>
        <v>0</v>
      </c>
      <c r="Q1359" s="121">
        <f t="shared" si="548"/>
        <v>0</v>
      </c>
      <c r="R1359" s="121">
        <f t="shared" si="549"/>
        <v>1</v>
      </c>
      <c r="S1359" s="121" t="str">
        <f t="shared" si="550"/>
        <v/>
      </c>
      <c r="T1359" s="121" t="str">
        <f t="shared" si="551"/>
        <v/>
      </c>
      <c r="U1359" s="121">
        <f t="shared" si="552"/>
        <v>1.0815000000000001</v>
      </c>
    </row>
    <row r="1360" spans="1:21" x14ac:dyDescent="0.3">
      <c r="A1360" s="187">
        <v>40</v>
      </c>
      <c r="B1360" s="242">
        <f t="shared" si="553"/>
        <v>46844</v>
      </c>
      <c r="C1360" s="243">
        <f t="shared" si="534"/>
        <v>46873</v>
      </c>
      <c r="D1360" s="120">
        <f t="shared" si="535"/>
        <v>30</v>
      </c>
      <c r="E1360" s="120">
        <f t="shared" si="536"/>
        <v>4</v>
      </c>
      <c r="F1360" s="275">
        <f t="shared" si="537"/>
        <v>46859</v>
      </c>
      <c r="G1360" s="120">
        <f t="shared" si="538"/>
        <v>24339</v>
      </c>
      <c r="H1360" s="245">
        <f t="shared" si="539"/>
        <v>1</v>
      </c>
      <c r="I1360" s="121">
        <f t="shared" si="540"/>
        <v>1.0815000000000001</v>
      </c>
      <c r="J1360" s="121">
        <f t="shared" si="541"/>
        <v>1.0815000000000001</v>
      </c>
      <c r="K1360" s="120">
        <f t="shared" si="542"/>
        <v>0</v>
      </c>
      <c r="L1360" s="120">
        <f t="shared" si="543"/>
        <v>0</v>
      </c>
      <c r="M1360" s="246">
        <f t="shared" si="544"/>
        <v>0</v>
      </c>
      <c r="N1360" s="121">
        <f t="shared" si="545"/>
        <v>1.0815000000000001</v>
      </c>
      <c r="O1360" s="246">
        <f t="shared" si="546"/>
        <v>0.93</v>
      </c>
      <c r="P1360" s="121">
        <f t="shared" si="547"/>
        <v>0</v>
      </c>
      <c r="Q1360" s="121">
        <f t="shared" si="548"/>
        <v>0</v>
      </c>
      <c r="R1360" s="121">
        <f t="shared" si="549"/>
        <v>1</v>
      </c>
      <c r="S1360" s="121" t="str">
        <f t="shared" si="550"/>
        <v/>
      </c>
      <c r="T1360" s="121" t="str">
        <f t="shared" si="551"/>
        <v/>
      </c>
      <c r="U1360" s="121">
        <f t="shared" si="552"/>
        <v>1.0815000000000001</v>
      </c>
    </row>
    <row r="1361" spans="1:21" x14ac:dyDescent="0.3">
      <c r="A1361" s="187">
        <v>41</v>
      </c>
      <c r="B1361" s="242">
        <f t="shared" si="553"/>
        <v>46874</v>
      </c>
      <c r="C1361" s="243">
        <f t="shared" si="534"/>
        <v>46904</v>
      </c>
      <c r="D1361" s="120">
        <f t="shared" si="535"/>
        <v>31</v>
      </c>
      <c r="E1361" s="120">
        <f t="shared" si="536"/>
        <v>5</v>
      </c>
      <c r="F1361" s="275">
        <f t="shared" si="537"/>
        <v>46889.5</v>
      </c>
      <c r="G1361" s="120">
        <f t="shared" si="538"/>
        <v>24340</v>
      </c>
      <c r="H1361" s="245">
        <f t="shared" si="539"/>
        <v>1</v>
      </c>
      <c r="I1361" s="121">
        <f t="shared" si="540"/>
        <v>1.0815000000000001</v>
      </c>
      <c r="J1361" s="121">
        <f t="shared" si="541"/>
        <v>1.0815000000000001</v>
      </c>
      <c r="K1361" s="120">
        <f t="shared" si="542"/>
        <v>0</v>
      </c>
      <c r="L1361" s="120">
        <f t="shared" si="543"/>
        <v>0</v>
      </c>
      <c r="M1361" s="246">
        <f t="shared" si="544"/>
        <v>0</v>
      </c>
      <c r="N1361" s="121">
        <f t="shared" si="545"/>
        <v>1.0815000000000001</v>
      </c>
      <c r="O1361" s="246">
        <f t="shared" si="546"/>
        <v>0.93</v>
      </c>
      <c r="P1361" s="121">
        <f t="shared" si="547"/>
        <v>0</v>
      </c>
      <c r="Q1361" s="121">
        <f t="shared" si="548"/>
        <v>0</v>
      </c>
      <c r="R1361" s="121">
        <f t="shared" si="549"/>
        <v>1</v>
      </c>
      <c r="S1361" s="121" t="str">
        <f t="shared" si="550"/>
        <v/>
      </c>
      <c r="T1361" s="121" t="str">
        <f t="shared" si="551"/>
        <v/>
      </c>
      <c r="U1361" s="121">
        <f t="shared" si="552"/>
        <v>1.0815000000000001</v>
      </c>
    </row>
    <row r="1362" spans="1:21" x14ac:dyDescent="0.3">
      <c r="A1362" s="187">
        <v>42</v>
      </c>
      <c r="B1362" s="242">
        <f t="shared" si="553"/>
        <v>46905</v>
      </c>
      <c r="C1362" s="243">
        <f t="shared" si="534"/>
        <v>46934</v>
      </c>
      <c r="D1362" s="120">
        <f t="shared" si="535"/>
        <v>30</v>
      </c>
      <c r="E1362" s="120">
        <f t="shared" si="536"/>
        <v>6</v>
      </c>
      <c r="F1362" s="275">
        <f t="shared" si="537"/>
        <v>46920</v>
      </c>
      <c r="G1362" s="120">
        <f t="shared" si="538"/>
        <v>24341</v>
      </c>
      <c r="H1362" s="245">
        <f t="shared" si="539"/>
        <v>1</v>
      </c>
      <c r="I1362" s="121">
        <f t="shared" si="540"/>
        <v>1.0815000000000001</v>
      </c>
      <c r="J1362" s="121">
        <f t="shared" si="541"/>
        <v>1.0815000000000001</v>
      </c>
      <c r="K1362" s="120">
        <f t="shared" si="542"/>
        <v>0</v>
      </c>
      <c r="L1362" s="120">
        <f t="shared" si="543"/>
        <v>0</v>
      </c>
      <c r="M1362" s="246">
        <f t="shared" si="544"/>
        <v>0</v>
      </c>
      <c r="N1362" s="121">
        <f t="shared" si="545"/>
        <v>1.0815000000000001</v>
      </c>
      <c r="O1362" s="246">
        <f t="shared" si="546"/>
        <v>0.93</v>
      </c>
      <c r="P1362" s="121">
        <f t="shared" si="547"/>
        <v>0</v>
      </c>
      <c r="Q1362" s="121">
        <f t="shared" si="548"/>
        <v>0</v>
      </c>
      <c r="R1362" s="121">
        <f t="shared" si="549"/>
        <v>1</v>
      </c>
      <c r="S1362" s="121" t="str">
        <f t="shared" si="550"/>
        <v/>
      </c>
      <c r="T1362" s="121" t="str">
        <f t="shared" si="551"/>
        <v/>
      </c>
      <c r="U1362" s="121">
        <f t="shared" si="552"/>
        <v>1.0815000000000001</v>
      </c>
    </row>
    <row r="1363" spans="1:21" x14ac:dyDescent="0.3">
      <c r="A1363" s="187">
        <v>43</v>
      </c>
      <c r="B1363" s="242">
        <f t="shared" si="553"/>
        <v>46935</v>
      </c>
      <c r="C1363" s="243">
        <f t="shared" si="534"/>
        <v>46965</v>
      </c>
      <c r="D1363" s="120">
        <f t="shared" si="535"/>
        <v>31</v>
      </c>
      <c r="E1363" s="120">
        <f t="shared" si="536"/>
        <v>7</v>
      </c>
      <c r="F1363" s="275">
        <f t="shared" si="537"/>
        <v>46950.5</v>
      </c>
      <c r="G1363" s="120">
        <f t="shared" si="538"/>
        <v>24342</v>
      </c>
      <c r="H1363" s="245">
        <f t="shared" si="539"/>
        <v>1</v>
      </c>
      <c r="I1363" s="121">
        <f t="shared" si="540"/>
        <v>1.0815000000000001</v>
      </c>
      <c r="J1363" s="121">
        <f t="shared" si="541"/>
        <v>1.0815000000000001</v>
      </c>
      <c r="K1363" s="120">
        <f t="shared" si="542"/>
        <v>0</v>
      </c>
      <c r="L1363" s="120">
        <f t="shared" si="543"/>
        <v>0</v>
      </c>
      <c r="M1363" s="246">
        <f t="shared" si="544"/>
        <v>0</v>
      </c>
      <c r="N1363" s="121">
        <f t="shared" si="545"/>
        <v>1.0815000000000001</v>
      </c>
      <c r="O1363" s="246">
        <f t="shared" si="546"/>
        <v>0.93</v>
      </c>
      <c r="P1363" s="121">
        <f t="shared" si="547"/>
        <v>0</v>
      </c>
      <c r="Q1363" s="121">
        <f t="shared" si="548"/>
        <v>0</v>
      </c>
      <c r="R1363" s="121">
        <f t="shared" si="549"/>
        <v>0.91666666666666663</v>
      </c>
      <c r="S1363" s="121" t="str">
        <f t="shared" si="550"/>
        <v/>
      </c>
      <c r="T1363" s="121" t="str">
        <f t="shared" si="551"/>
        <v/>
      </c>
      <c r="U1363" s="121">
        <f t="shared" si="552"/>
        <v>1.0815000000000001</v>
      </c>
    </row>
    <row r="1364" spans="1:21" x14ac:dyDescent="0.3">
      <c r="A1364" s="187">
        <v>44</v>
      </c>
      <c r="B1364" s="242">
        <f t="shared" si="553"/>
        <v>46966</v>
      </c>
      <c r="C1364" s="243">
        <f t="shared" si="534"/>
        <v>46996</v>
      </c>
      <c r="D1364" s="120">
        <f t="shared" si="535"/>
        <v>31</v>
      </c>
      <c r="E1364" s="120">
        <f t="shared" si="536"/>
        <v>8</v>
      </c>
      <c r="F1364" s="275">
        <f t="shared" si="537"/>
        <v>46981.5</v>
      </c>
      <c r="G1364" s="120">
        <f t="shared" si="538"/>
        <v>24343</v>
      </c>
      <c r="H1364" s="245">
        <f t="shared" si="539"/>
        <v>1</v>
      </c>
      <c r="I1364" s="121">
        <f t="shared" si="540"/>
        <v>1.0815000000000001</v>
      </c>
      <c r="J1364" s="121">
        <f t="shared" si="541"/>
        <v>1.0815000000000001</v>
      </c>
      <c r="K1364" s="120">
        <f t="shared" si="542"/>
        <v>0</v>
      </c>
      <c r="L1364" s="120">
        <f t="shared" si="543"/>
        <v>0</v>
      </c>
      <c r="M1364" s="246">
        <f t="shared" si="544"/>
        <v>0</v>
      </c>
      <c r="N1364" s="121">
        <f t="shared" si="545"/>
        <v>1.0815000000000001</v>
      </c>
      <c r="O1364" s="246">
        <f t="shared" si="546"/>
        <v>0.93</v>
      </c>
      <c r="P1364" s="121">
        <f t="shared" si="547"/>
        <v>0</v>
      </c>
      <c r="Q1364" s="121">
        <f t="shared" si="548"/>
        <v>0</v>
      </c>
      <c r="R1364" s="121">
        <f t="shared" si="549"/>
        <v>0.75</v>
      </c>
      <c r="S1364" s="121" t="str">
        <f t="shared" si="550"/>
        <v/>
      </c>
      <c r="T1364" s="121" t="str">
        <f t="shared" si="551"/>
        <v/>
      </c>
      <c r="U1364" s="121">
        <f t="shared" si="552"/>
        <v>1.0815000000000001</v>
      </c>
    </row>
    <row r="1365" spans="1:21" x14ac:dyDescent="0.3">
      <c r="A1365" s="187">
        <v>45</v>
      </c>
      <c r="B1365" s="242">
        <f t="shared" si="553"/>
        <v>46997</v>
      </c>
      <c r="C1365" s="243">
        <f t="shared" si="534"/>
        <v>47026</v>
      </c>
      <c r="D1365" s="120">
        <f t="shared" si="535"/>
        <v>30</v>
      </c>
      <c r="E1365" s="120">
        <f t="shared" si="536"/>
        <v>9</v>
      </c>
      <c r="F1365" s="275">
        <f t="shared" si="537"/>
        <v>47012</v>
      </c>
      <c r="G1365" s="120">
        <f t="shared" si="538"/>
        <v>24344</v>
      </c>
      <c r="H1365" s="245">
        <f t="shared" si="539"/>
        <v>1</v>
      </c>
      <c r="I1365" s="121">
        <f t="shared" si="540"/>
        <v>1.0815000000000001</v>
      </c>
      <c r="J1365" s="121">
        <f t="shared" si="541"/>
        <v>1.0815000000000001</v>
      </c>
      <c r="K1365" s="120">
        <f t="shared" si="542"/>
        <v>0</v>
      </c>
      <c r="L1365" s="120">
        <f t="shared" si="543"/>
        <v>0</v>
      </c>
      <c r="M1365" s="246">
        <f t="shared" si="544"/>
        <v>0</v>
      </c>
      <c r="N1365" s="121">
        <f t="shared" si="545"/>
        <v>1.0815000000000001</v>
      </c>
      <c r="O1365" s="246">
        <f t="shared" si="546"/>
        <v>0.93</v>
      </c>
      <c r="P1365" s="121">
        <f t="shared" si="547"/>
        <v>0</v>
      </c>
      <c r="Q1365" s="121">
        <f t="shared" si="548"/>
        <v>0</v>
      </c>
      <c r="R1365" s="121">
        <f t="shared" si="549"/>
        <v>0.58333333333333337</v>
      </c>
      <c r="S1365" s="121" t="str">
        <f t="shared" si="550"/>
        <v/>
      </c>
      <c r="T1365" s="121" t="str">
        <f t="shared" si="551"/>
        <v/>
      </c>
      <c r="U1365" s="121">
        <f t="shared" si="552"/>
        <v>1.0815000000000001</v>
      </c>
    </row>
    <row r="1366" spans="1:21" x14ac:dyDescent="0.3">
      <c r="A1366" s="187">
        <v>46</v>
      </c>
      <c r="B1366" s="242">
        <f t="shared" si="553"/>
        <v>47027</v>
      </c>
      <c r="C1366" s="243">
        <f t="shared" si="534"/>
        <v>47057</v>
      </c>
      <c r="D1366" s="120">
        <f t="shared" si="535"/>
        <v>31</v>
      </c>
      <c r="E1366" s="120">
        <f t="shared" si="536"/>
        <v>10</v>
      </c>
      <c r="F1366" s="275">
        <f t="shared" si="537"/>
        <v>47042.5</v>
      </c>
      <c r="G1366" s="120">
        <f t="shared" si="538"/>
        <v>24345</v>
      </c>
      <c r="H1366" s="245">
        <f t="shared" si="539"/>
        <v>1</v>
      </c>
      <c r="I1366" s="121">
        <f t="shared" si="540"/>
        <v>1.0815000000000001</v>
      </c>
      <c r="J1366" s="121">
        <f t="shared" si="541"/>
        <v>1.0815000000000001</v>
      </c>
      <c r="K1366" s="120">
        <f t="shared" si="542"/>
        <v>0</v>
      </c>
      <c r="L1366" s="120">
        <f t="shared" si="543"/>
        <v>0</v>
      </c>
      <c r="M1366" s="246">
        <f t="shared" si="544"/>
        <v>0</v>
      </c>
      <c r="N1366" s="121">
        <f t="shared" si="545"/>
        <v>1.0815000000000001</v>
      </c>
      <c r="O1366" s="246">
        <f t="shared" si="546"/>
        <v>0.93</v>
      </c>
      <c r="P1366" s="121">
        <f t="shared" si="547"/>
        <v>0</v>
      </c>
      <c r="Q1366" s="121">
        <f t="shared" si="548"/>
        <v>0</v>
      </c>
      <c r="R1366" s="121">
        <f t="shared" si="549"/>
        <v>0.41666666666666669</v>
      </c>
      <c r="S1366" s="121" t="str">
        <f t="shared" si="550"/>
        <v/>
      </c>
      <c r="T1366" s="121" t="str">
        <f t="shared" si="551"/>
        <v/>
      </c>
      <c r="U1366" s="121">
        <f t="shared" si="552"/>
        <v>1.0815000000000001</v>
      </c>
    </row>
    <row r="1367" spans="1:21" x14ac:dyDescent="0.3">
      <c r="A1367" s="187">
        <v>47</v>
      </c>
      <c r="B1367" s="242">
        <f t="shared" si="553"/>
        <v>47058</v>
      </c>
      <c r="C1367" s="243">
        <f t="shared" si="534"/>
        <v>47087</v>
      </c>
      <c r="D1367" s="120">
        <f t="shared" si="535"/>
        <v>30</v>
      </c>
      <c r="E1367" s="120">
        <f t="shared" si="536"/>
        <v>11</v>
      </c>
      <c r="F1367" s="275">
        <f t="shared" si="537"/>
        <v>47073</v>
      </c>
      <c r="G1367" s="120">
        <f t="shared" si="538"/>
        <v>24346</v>
      </c>
      <c r="H1367" s="245">
        <f t="shared" si="539"/>
        <v>1</v>
      </c>
      <c r="I1367" s="121">
        <f t="shared" si="540"/>
        <v>1.0815000000000001</v>
      </c>
      <c r="J1367" s="121">
        <f t="shared" si="541"/>
        <v>1.0815000000000001</v>
      </c>
      <c r="K1367" s="120">
        <f t="shared" si="542"/>
        <v>0</v>
      </c>
      <c r="L1367" s="120">
        <f t="shared" si="543"/>
        <v>0</v>
      </c>
      <c r="M1367" s="246">
        <f t="shared" si="544"/>
        <v>0</v>
      </c>
      <c r="N1367" s="121">
        <f t="shared" si="545"/>
        <v>1.0815000000000001</v>
      </c>
      <c r="O1367" s="246">
        <f t="shared" si="546"/>
        <v>0.93</v>
      </c>
      <c r="P1367" s="121">
        <f t="shared" si="547"/>
        <v>0</v>
      </c>
      <c r="Q1367" s="121">
        <f t="shared" si="548"/>
        <v>0</v>
      </c>
      <c r="R1367" s="121">
        <f t="shared" si="549"/>
        <v>0.25</v>
      </c>
      <c r="S1367" s="121" t="str">
        <f t="shared" si="550"/>
        <v/>
      </c>
      <c r="T1367" s="121" t="str">
        <f t="shared" si="551"/>
        <v/>
      </c>
      <c r="U1367" s="121">
        <f t="shared" si="552"/>
        <v>1.0815000000000001</v>
      </c>
    </row>
    <row r="1368" spans="1:21" x14ac:dyDescent="0.3">
      <c r="A1368" s="187">
        <v>48</v>
      </c>
      <c r="B1368" s="242">
        <f t="shared" si="553"/>
        <v>47088</v>
      </c>
      <c r="C1368" s="243">
        <f t="shared" si="534"/>
        <v>47118</v>
      </c>
      <c r="D1368" s="120">
        <f t="shared" si="535"/>
        <v>31</v>
      </c>
      <c r="E1368" s="120">
        <f t="shared" si="536"/>
        <v>12</v>
      </c>
      <c r="F1368" s="275">
        <f t="shared" si="537"/>
        <v>47103.5</v>
      </c>
      <c r="G1368" s="120">
        <f t="shared" si="538"/>
        <v>24347</v>
      </c>
      <c r="H1368" s="245">
        <f t="shared" si="539"/>
        <v>1</v>
      </c>
      <c r="I1368" s="121">
        <f t="shared" si="540"/>
        <v>1.0815000000000001</v>
      </c>
      <c r="J1368" s="121">
        <f t="shared" si="541"/>
        <v>1.0815000000000001</v>
      </c>
      <c r="K1368" s="120">
        <f t="shared" si="542"/>
        <v>0</v>
      </c>
      <c r="L1368" s="120">
        <f t="shared" si="543"/>
        <v>0</v>
      </c>
      <c r="M1368" s="246">
        <f t="shared" si="544"/>
        <v>0</v>
      </c>
      <c r="N1368" s="121">
        <f t="shared" si="545"/>
        <v>1.0815000000000001</v>
      </c>
      <c r="O1368" s="246">
        <f t="shared" si="546"/>
        <v>0.93</v>
      </c>
      <c r="P1368" s="121">
        <f t="shared" si="547"/>
        <v>0</v>
      </c>
      <c r="Q1368" s="121">
        <f t="shared" si="548"/>
        <v>0</v>
      </c>
      <c r="R1368" s="121">
        <f t="shared" si="549"/>
        <v>8.3333333333333329E-2</v>
      </c>
      <c r="S1368" s="121" t="str">
        <f t="shared" si="550"/>
        <v/>
      </c>
      <c r="T1368" s="121" t="str">
        <f t="shared" si="551"/>
        <v/>
      </c>
      <c r="U1368" s="121">
        <f t="shared" si="552"/>
        <v>1.0815000000000001</v>
      </c>
    </row>
    <row r="1369" spans="1:21" x14ac:dyDescent="0.3">
      <c r="A1369" s="6" t="s">
        <v>1651</v>
      </c>
      <c r="B1369" s="73">
        <f>EXP(SUMPRODUCT((rl_key=$A$1318)*(rl_cons="Y")*rl_ln1p))</f>
        <v>1.05</v>
      </c>
      <c r="C1369" s="73">
        <f>SUMPRODUCT($H$1321:$H$1368,$P$1321:$P$1368,$U$1321:$U$1368)/SUMPRODUCT($H$1321:$H$1368,$P$1321:$P$1368)</f>
        <v>1.0250000000000001</v>
      </c>
      <c r="D1369" s="73">
        <f>SUMPRODUCT($H$1321:$H$1368,$Q$1321:$Q$1368,$U$1321:$U$1368)/SUMPRODUCT($H$1321:$H$1368,$Q$1321:$Q$1368)</f>
        <v>1.0619395161290324</v>
      </c>
      <c r="E1369" s="73">
        <f>SUMPRODUCT($H$1321:$H$1368,$R$1321:$R$1368,$U$1321:$U$1368)/SUMPRODUCT($H$1321:$H$1368,$R$1321:$R$1368)</f>
        <v>1.0815000000000001</v>
      </c>
      <c r="F1369" s="224">
        <f>SUMPRODUCT($H$1321:$H$1368,$Q$1321:$Q$1368,$O$1321:$O$1368)/SUMPRODUCT($H$1321:$H$1368,$Q$1321:$Q$1368)</f>
        <v>0.91798504741064912</v>
      </c>
      <c r="G1369" s="224">
        <f>SUMPRODUCT($H$1321:$H$1368,$R$1321:$R$1368,$O$1321:$O$1368)/SUMPRODUCT($H$1321:$H$1368,$R$1321:$R$1368)</f>
        <v>0.92932044736202268</v>
      </c>
      <c r="H1369" s="73">
        <f>SUMPRODUCT($H$1345:$H$1356,$N$1345:$N$1356/$N$1333:$N$1344)/SUM($H$1345:$H$1356)</f>
        <v>1.0313709677419354</v>
      </c>
      <c r="I1369" s="73">
        <f>SUMPRODUCT($H$1345:$H$1356,$O$1345:$O$1356/$O$1333:$O$1344)/SUM($H$1345:$H$1356)</f>
        <v>1.0176314239537807</v>
      </c>
      <c r="J1369" s="73">
        <f>IF($O$1318=1,SUMPRODUCT($H$1345:$H$1356,$N$1345:$N$1356/$N$1333:$N$1344*$O$1345:$O$1356/$O$1333:$O$1344)/SUM($H$1345:$H$1356),$H1369)</f>
        <v>1.049555883573227</v>
      </c>
      <c r="K1369" s="73">
        <f>SUMPRODUCT($H$1321:$H$1368,$Q$1321:$Q$1368,$N$1321:$N$1368)/SUMPRODUCT($H$1321:$H$1368,$Q$1321:$Q$1368)</f>
        <v>1.0619395161290324</v>
      </c>
      <c r="L1369" s="73">
        <f>SUMPRODUCT($H$1321:$H$1368,$R$1321:$R$1368,$N$1321:$N$1368)/SUMPRODUCT($H$1321:$H$1368,$R$1321:$R$1368)</f>
        <v>1.0815000000000001</v>
      </c>
    </row>
    <row r="1372" spans="1:21" x14ac:dyDescent="0.3">
      <c r="A1372" s="6" t="str">
        <f>INDEX(lr_key,25)</f>
        <v>MM|FL</v>
      </c>
      <c r="B1372" s="6" t="str">
        <f>INDEX(lr_state,25)</f>
        <v>FL</v>
      </c>
      <c r="C1372" s="75">
        <f>nr_TermMonths</f>
        <v>6</v>
      </c>
      <c r="D1372" s="75">
        <f>IF(COUNTIF(se_state,$B1372)=0,0,MATCH($B1372,se_state,0))</f>
        <v>0</v>
      </c>
      <c r="E1372" s="70">
        <f>IF($D1372=0,0,INDEX(se_sum,$D1372))</f>
        <v>0</v>
      </c>
      <c r="F1372" s="224">
        <f>IF(N(INDEX(lr_mind,25))=0,1,INDEX(lr_mind,25))</f>
        <v>0.92</v>
      </c>
      <c r="G1372" s="224">
        <f>IF(N(INDEX(lr_m0,25))=0,1,INDEX(lr_m0,25))</f>
        <v>0.91</v>
      </c>
      <c r="H1372" s="74">
        <f>IF(N(INDEX(lr_m0asof,25))=0,DATE(nr_PlanYear-1,10,1),INDEX(lr_m0asof,25))</f>
        <v>46295</v>
      </c>
      <c r="I1372" s="224">
        <f>IF(N(INDEX(lr_m1,25))=0,1,INDEX(lr_m1,25))</f>
        <v>0.91</v>
      </c>
      <c r="J1372" s="224">
        <f>INDEX(lr_mprior,25)</f>
        <v>0</v>
      </c>
      <c r="K1372" s="224">
        <f>INDEX(lr_m2,25)</f>
        <v>0</v>
      </c>
      <c r="L1372" s="6" t="b">
        <f>NOT(ISBLANK(INDEX(lr_netp,25)))</f>
        <v>0</v>
      </c>
      <c r="M1372" s="72">
        <f>N(INDEX(lr_netp,25))</f>
        <v>0</v>
      </c>
      <c r="N1372" s="72">
        <f>IF(ISBLANK(INDEX(lr_netp1,25)),$M$1372,N(INDEX(lr_netp1,25)))</f>
        <v>0</v>
      </c>
      <c r="O1372" s="75">
        <f>IF(AND(nr_ModAdjMaster="ON",INDEX(lr_modadj,25)="ON"),1,0)</f>
        <v>1</v>
      </c>
    </row>
    <row r="1373" spans="1:21" x14ac:dyDescent="0.3">
      <c r="A1373" s="6">
        <f>EDATE($H$1372,-12)+1</f>
        <v>45931</v>
      </c>
      <c r="B1373" s="6">
        <f>$H$1372+1</f>
        <v>46296</v>
      </c>
      <c r="C1373" s="6">
        <f>DATE(nr_PlanYear,12,31)+1</f>
        <v>46753</v>
      </c>
      <c r="D1373" s="6">
        <f>DATE(nr_PlanYear+1,12,31)+1</f>
        <v>47119</v>
      </c>
      <c r="E1373" s="6">
        <f>IF(N($J$1372)=0,$F$1373-($G$1373-$F$1373)/($C$1373-$B$1373)*($B$1373-$A$1373),$J$1372)</f>
        <v>0.91</v>
      </c>
      <c r="F1373" s="6">
        <f>$G$1372</f>
        <v>0.91</v>
      </c>
      <c r="G1373" s="6">
        <f>$I$1372</f>
        <v>0.91</v>
      </c>
      <c r="H1373" s="6">
        <f>IF(N($K$1372)=0,$I$1372,$K$1372)</f>
        <v>0.91</v>
      </c>
      <c r="I1373" s="6">
        <f>($F$1373-$E$1373)/($B$1373-$A$1373)</f>
        <v>0</v>
      </c>
      <c r="J1373" s="6">
        <f>($G$1373-$F$1373)/($C$1373-$B$1373)</f>
        <v>0</v>
      </c>
      <c r="K1373" s="6">
        <f>($H$1373-$G$1373)/($D$1373-$C$1373)</f>
        <v>0</v>
      </c>
    </row>
    <row r="1374" spans="1:21" ht="36" x14ac:dyDescent="0.3">
      <c r="A1374" s="58" t="s">
        <v>390</v>
      </c>
      <c r="B1374" s="58" t="s">
        <v>449</v>
      </c>
      <c r="C1374" s="58" t="s">
        <v>685</v>
      </c>
      <c r="D1374" s="58" t="s">
        <v>686</v>
      </c>
      <c r="E1374" s="58" t="s">
        <v>687</v>
      </c>
      <c r="F1374" s="58" t="s">
        <v>688</v>
      </c>
      <c r="G1374" s="58" t="s">
        <v>689</v>
      </c>
      <c r="H1374" s="58" t="s">
        <v>452</v>
      </c>
      <c r="I1374" s="58" t="s">
        <v>690</v>
      </c>
      <c r="J1374" s="58" t="s">
        <v>691</v>
      </c>
      <c r="K1374" s="58" t="s">
        <v>692</v>
      </c>
      <c r="L1374" s="58" t="s">
        <v>693</v>
      </c>
      <c r="M1374" s="58" t="s">
        <v>694</v>
      </c>
      <c r="N1374" s="58" t="s">
        <v>695</v>
      </c>
      <c r="O1374" s="58" t="s">
        <v>696</v>
      </c>
      <c r="P1374" s="58" t="s">
        <v>697</v>
      </c>
      <c r="Q1374" s="58" t="s">
        <v>698</v>
      </c>
      <c r="R1374" s="58" t="s">
        <v>699</v>
      </c>
      <c r="S1374" s="58" t="s">
        <v>700</v>
      </c>
      <c r="T1374" s="58" t="s">
        <v>701</v>
      </c>
      <c r="U1374" s="58" t="s">
        <v>702</v>
      </c>
    </row>
    <row r="1375" spans="1:21" x14ac:dyDescent="0.3">
      <c r="A1375" s="187">
        <v>1</v>
      </c>
      <c r="B1375" s="242">
        <f>DATE(nr_PlanYear-2,1,1)</f>
        <v>45658</v>
      </c>
      <c r="C1375" s="243">
        <f t="shared" ref="C1375:C1422" si="554">EOMONTH($B1375,0)</f>
        <v>45688</v>
      </c>
      <c r="D1375" s="120">
        <f t="shared" ref="D1375:D1422" si="555">$C1375-$B1375+1</f>
        <v>31</v>
      </c>
      <c r="E1375" s="120">
        <f t="shared" ref="E1375:E1422" si="556">MONTH($B1375)</f>
        <v>1</v>
      </c>
      <c r="F1375" s="275">
        <f t="shared" ref="F1375:F1422" si="557">($B1375+$C1375+1)/2</f>
        <v>45673.5</v>
      </c>
      <c r="G1375" s="120">
        <f t="shared" ref="G1375:G1422" si="558">YEAR($B1375)*12+MONTH($B1375)-1</f>
        <v>24300</v>
      </c>
      <c r="H1375" s="245">
        <f t="shared" ref="H1375:H1422" si="559">IF(OR(nr_SeasonOn="OFF",$D$1372=0,$E$1372=0),1,12*INDEX(se_block,$D$1372,$E1375)/$E$1372)</f>
        <v>1</v>
      </c>
      <c r="I1375" s="121">
        <f t="shared" ref="I1375:I1422" si="560">EXP(SUMPRODUCT((rl_eff&lt;$B1375)*(rl_key=$A$1372)*rl_ln1p))</f>
        <v>1</v>
      </c>
      <c r="J1375" s="121">
        <f t="shared" ref="J1375:J1422" si="561">EXP(SUMPRODUCT((rl_eff&lt;=$C1375)*(rl_key=$A$1372)*rl_ln1p))</f>
        <v>1</v>
      </c>
      <c r="K1375" s="120">
        <f t="shared" ref="K1375:K1422" si="562">COUNTIFS(rl_key,$A$1372,rl_eff,"&gt;="&amp;$B1375,rl_eff,"&lt;="&amp;$C1375)</f>
        <v>0</v>
      </c>
      <c r="L1375" s="120">
        <f t="shared" ref="L1375:L1422" si="563">SUMIFS(rl_daysafter,rl_key,$A$1372,rl_effmonth,$B1375,rl_first,1)</f>
        <v>0</v>
      </c>
      <c r="M1375" s="246">
        <f t="shared" ref="M1375:M1422" si="564">IF($K1375=0,0,MIN(1,$L1375/$D1375))</f>
        <v>0</v>
      </c>
      <c r="N1375" s="121">
        <f t="shared" ref="N1375:N1422" si="565">IF($K1375=0,$J1375,(1-$M1375)*$I1375+$M1375*$J1375)</f>
        <v>1</v>
      </c>
      <c r="O1375" s="246">
        <f t="shared" ref="O1375:O1422" si="566">IF($F1375&lt;$B$1373,$E$1373+$I$1373*($F1375-$A$1373),IF($F1375&lt;$C$1373,$F$1373+$J$1373*($F1375-$B$1373),$G$1373+$K$1373*($F1375-$C$1373)))</f>
        <v>0.91</v>
      </c>
      <c r="P1375" s="121">
        <f t="shared" ref="P1375:P1422" si="567">MIN(1,MAX(0,(nr_MEndPm1-$G1375+0.5)/$C$1372))-MIN(1,MAX(0,(nr_MStartPm1-1-$G1375+0.5)/$C$1372))</f>
        <v>0</v>
      </c>
      <c r="Q1375" s="121">
        <f t="shared" ref="Q1375:Q1422" si="568">MIN(1,MAX(0,(nr_MEndP-$G1375+0.5)/$C$1372))-MIN(1,MAX(0,(nr_MStartP-1-$G1375+0.5)/$C$1372))</f>
        <v>0</v>
      </c>
      <c r="R1375" s="121">
        <f t="shared" ref="R1375:R1422" si="569">MIN(1,MAX(0,(nr_MEndP1-$G1375+0.5)/$C$1372))-MIN(1,MAX(0,(nr_MStartP1-1-$G1375+0.5)/$C$1372))</f>
        <v>0</v>
      </c>
      <c r="S1375" s="121" t="str">
        <f t="shared" ref="S1375:S1422" si="570">IF($L$1372,$N1375*IF($O$1372=1,$O1375/$F$1372,1),"")</f>
        <v/>
      </c>
      <c r="T1375" s="121" t="str">
        <f t="shared" ref="T1375:T1422" si="571">IF(NOT($L$1372),"",IF($G1375&lt;nr_MStartP,$S1375,$T1363*(1+IF($G1375&lt;nr_MStartP1,$M$1372,$N$1372))))</f>
        <v/>
      </c>
      <c r="U1375" s="121">
        <f t="shared" ref="U1375:U1422" si="572">IF($L$1372,$T1375,$N1375)</f>
        <v>1</v>
      </c>
    </row>
    <row r="1376" spans="1:21" x14ac:dyDescent="0.3">
      <c r="A1376" s="187">
        <v>2</v>
      </c>
      <c r="B1376" s="242">
        <f t="shared" ref="B1376:B1422" si="573">EDATE($B1375,1)</f>
        <v>45689</v>
      </c>
      <c r="C1376" s="243">
        <f t="shared" si="554"/>
        <v>45716</v>
      </c>
      <c r="D1376" s="120">
        <f t="shared" si="555"/>
        <v>28</v>
      </c>
      <c r="E1376" s="120">
        <f t="shared" si="556"/>
        <v>2</v>
      </c>
      <c r="F1376" s="275">
        <f t="shared" si="557"/>
        <v>45703</v>
      </c>
      <c r="G1376" s="120">
        <f t="shared" si="558"/>
        <v>24301</v>
      </c>
      <c r="H1376" s="245">
        <f t="shared" si="559"/>
        <v>1</v>
      </c>
      <c r="I1376" s="121">
        <f t="shared" si="560"/>
        <v>1</v>
      </c>
      <c r="J1376" s="121">
        <f t="shared" si="561"/>
        <v>1</v>
      </c>
      <c r="K1376" s="120">
        <f t="shared" si="562"/>
        <v>0</v>
      </c>
      <c r="L1376" s="120">
        <f t="shared" si="563"/>
        <v>0</v>
      </c>
      <c r="M1376" s="246">
        <f t="shared" si="564"/>
        <v>0</v>
      </c>
      <c r="N1376" s="121">
        <f t="shared" si="565"/>
        <v>1</v>
      </c>
      <c r="O1376" s="246">
        <f t="shared" si="566"/>
        <v>0.91</v>
      </c>
      <c r="P1376" s="121">
        <f t="shared" si="567"/>
        <v>0</v>
      </c>
      <c r="Q1376" s="121">
        <f t="shared" si="568"/>
        <v>0</v>
      </c>
      <c r="R1376" s="121">
        <f t="shared" si="569"/>
        <v>0</v>
      </c>
      <c r="S1376" s="121" t="str">
        <f t="shared" si="570"/>
        <v/>
      </c>
      <c r="T1376" s="121" t="str">
        <f t="shared" si="571"/>
        <v/>
      </c>
      <c r="U1376" s="121">
        <f t="shared" si="572"/>
        <v>1</v>
      </c>
    </row>
    <row r="1377" spans="1:21" x14ac:dyDescent="0.3">
      <c r="A1377" s="187">
        <v>3</v>
      </c>
      <c r="B1377" s="242">
        <f t="shared" si="573"/>
        <v>45717</v>
      </c>
      <c r="C1377" s="243">
        <f t="shared" si="554"/>
        <v>45747</v>
      </c>
      <c r="D1377" s="120">
        <f t="shared" si="555"/>
        <v>31</v>
      </c>
      <c r="E1377" s="120">
        <f t="shared" si="556"/>
        <v>3</v>
      </c>
      <c r="F1377" s="275">
        <f t="shared" si="557"/>
        <v>45732.5</v>
      </c>
      <c r="G1377" s="120">
        <f t="shared" si="558"/>
        <v>24302</v>
      </c>
      <c r="H1377" s="245">
        <f t="shared" si="559"/>
        <v>1</v>
      </c>
      <c r="I1377" s="121">
        <f t="shared" si="560"/>
        <v>1</v>
      </c>
      <c r="J1377" s="121">
        <f t="shared" si="561"/>
        <v>1</v>
      </c>
      <c r="K1377" s="120">
        <f t="shared" si="562"/>
        <v>0</v>
      </c>
      <c r="L1377" s="120">
        <f t="shared" si="563"/>
        <v>0</v>
      </c>
      <c r="M1377" s="246">
        <f t="shared" si="564"/>
        <v>0</v>
      </c>
      <c r="N1377" s="121">
        <f t="shared" si="565"/>
        <v>1</v>
      </c>
      <c r="O1377" s="246">
        <f t="shared" si="566"/>
        <v>0.91</v>
      </c>
      <c r="P1377" s="121">
        <f t="shared" si="567"/>
        <v>0</v>
      </c>
      <c r="Q1377" s="121">
        <f t="shared" si="568"/>
        <v>0</v>
      </c>
      <c r="R1377" s="121">
        <f t="shared" si="569"/>
        <v>0</v>
      </c>
      <c r="S1377" s="121" t="str">
        <f t="shared" si="570"/>
        <v/>
      </c>
      <c r="T1377" s="121" t="str">
        <f t="shared" si="571"/>
        <v/>
      </c>
      <c r="U1377" s="121">
        <f t="shared" si="572"/>
        <v>1</v>
      </c>
    </row>
    <row r="1378" spans="1:21" x14ac:dyDescent="0.3">
      <c r="A1378" s="187">
        <v>4</v>
      </c>
      <c r="B1378" s="242">
        <f t="shared" si="573"/>
        <v>45748</v>
      </c>
      <c r="C1378" s="243">
        <f t="shared" si="554"/>
        <v>45777</v>
      </c>
      <c r="D1378" s="120">
        <f t="shared" si="555"/>
        <v>30</v>
      </c>
      <c r="E1378" s="120">
        <f t="shared" si="556"/>
        <v>4</v>
      </c>
      <c r="F1378" s="275">
        <f t="shared" si="557"/>
        <v>45763</v>
      </c>
      <c r="G1378" s="120">
        <f t="shared" si="558"/>
        <v>24303</v>
      </c>
      <c r="H1378" s="245">
        <f t="shared" si="559"/>
        <v>1</v>
      </c>
      <c r="I1378" s="121">
        <f t="shared" si="560"/>
        <v>1</v>
      </c>
      <c r="J1378" s="121">
        <f t="shared" si="561"/>
        <v>1</v>
      </c>
      <c r="K1378" s="120">
        <f t="shared" si="562"/>
        <v>0</v>
      </c>
      <c r="L1378" s="120">
        <f t="shared" si="563"/>
        <v>0</v>
      </c>
      <c r="M1378" s="246">
        <f t="shared" si="564"/>
        <v>0</v>
      </c>
      <c r="N1378" s="121">
        <f t="shared" si="565"/>
        <v>1</v>
      </c>
      <c r="O1378" s="246">
        <f t="shared" si="566"/>
        <v>0.91</v>
      </c>
      <c r="P1378" s="121">
        <f t="shared" si="567"/>
        <v>0</v>
      </c>
      <c r="Q1378" s="121">
        <f t="shared" si="568"/>
        <v>0</v>
      </c>
      <c r="R1378" s="121">
        <f t="shared" si="569"/>
        <v>0</v>
      </c>
      <c r="S1378" s="121" t="str">
        <f t="shared" si="570"/>
        <v/>
      </c>
      <c r="T1378" s="121" t="str">
        <f t="shared" si="571"/>
        <v/>
      </c>
      <c r="U1378" s="121">
        <f t="shared" si="572"/>
        <v>1</v>
      </c>
    </row>
    <row r="1379" spans="1:21" x14ac:dyDescent="0.3">
      <c r="A1379" s="187">
        <v>5</v>
      </c>
      <c r="B1379" s="242">
        <f t="shared" si="573"/>
        <v>45778</v>
      </c>
      <c r="C1379" s="243">
        <f t="shared" si="554"/>
        <v>45808</v>
      </c>
      <c r="D1379" s="120">
        <f t="shared" si="555"/>
        <v>31</v>
      </c>
      <c r="E1379" s="120">
        <f t="shared" si="556"/>
        <v>5</v>
      </c>
      <c r="F1379" s="275">
        <f t="shared" si="557"/>
        <v>45793.5</v>
      </c>
      <c r="G1379" s="120">
        <f t="shared" si="558"/>
        <v>24304</v>
      </c>
      <c r="H1379" s="245">
        <f t="shared" si="559"/>
        <v>1</v>
      </c>
      <c r="I1379" s="121">
        <f t="shared" si="560"/>
        <v>1</v>
      </c>
      <c r="J1379" s="121">
        <f t="shared" si="561"/>
        <v>1</v>
      </c>
      <c r="K1379" s="120">
        <f t="shared" si="562"/>
        <v>0</v>
      </c>
      <c r="L1379" s="120">
        <f t="shared" si="563"/>
        <v>0</v>
      </c>
      <c r="M1379" s="246">
        <f t="shared" si="564"/>
        <v>0</v>
      </c>
      <c r="N1379" s="121">
        <f t="shared" si="565"/>
        <v>1</v>
      </c>
      <c r="O1379" s="246">
        <f t="shared" si="566"/>
        <v>0.91</v>
      </c>
      <c r="P1379" s="121">
        <f t="shared" si="567"/>
        <v>0</v>
      </c>
      <c r="Q1379" s="121">
        <f t="shared" si="568"/>
        <v>0</v>
      </c>
      <c r="R1379" s="121">
        <f t="shared" si="569"/>
        <v>0</v>
      </c>
      <c r="S1379" s="121" t="str">
        <f t="shared" si="570"/>
        <v/>
      </c>
      <c r="T1379" s="121" t="str">
        <f t="shared" si="571"/>
        <v/>
      </c>
      <c r="U1379" s="121">
        <f t="shared" si="572"/>
        <v>1</v>
      </c>
    </row>
    <row r="1380" spans="1:21" x14ac:dyDescent="0.3">
      <c r="A1380" s="187">
        <v>6</v>
      </c>
      <c r="B1380" s="242">
        <f t="shared" si="573"/>
        <v>45809</v>
      </c>
      <c r="C1380" s="243">
        <f t="shared" si="554"/>
        <v>45838</v>
      </c>
      <c r="D1380" s="120">
        <f t="shared" si="555"/>
        <v>30</v>
      </c>
      <c r="E1380" s="120">
        <f t="shared" si="556"/>
        <v>6</v>
      </c>
      <c r="F1380" s="275">
        <f t="shared" si="557"/>
        <v>45824</v>
      </c>
      <c r="G1380" s="120">
        <f t="shared" si="558"/>
        <v>24305</v>
      </c>
      <c r="H1380" s="245">
        <f t="shared" si="559"/>
        <v>1</v>
      </c>
      <c r="I1380" s="121">
        <f t="shared" si="560"/>
        <v>1</v>
      </c>
      <c r="J1380" s="121">
        <f t="shared" si="561"/>
        <v>1</v>
      </c>
      <c r="K1380" s="120">
        <f t="shared" si="562"/>
        <v>0</v>
      </c>
      <c r="L1380" s="120">
        <f t="shared" si="563"/>
        <v>0</v>
      </c>
      <c r="M1380" s="246">
        <f t="shared" si="564"/>
        <v>0</v>
      </c>
      <c r="N1380" s="121">
        <f t="shared" si="565"/>
        <v>1</v>
      </c>
      <c r="O1380" s="246">
        <f t="shared" si="566"/>
        <v>0.91</v>
      </c>
      <c r="P1380" s="121">
        <f t="shared" si="567"/>
        <v>0</v>
      </c>
      <c r="Q1380" s="121">
        <f t="shared" si="568"/>
        <v>0</v>
      </c>
      <c r="R1380" s="121">
        <f t="shared" si="569"/>
        <v>0</v>
      </c>
      <c r="S1380" s="121" t="str">
        <f t="shared" si="570"/>
        <v/>
      </c>
      <c r="T1380" s="121" t="str">
        <f t="shared" si="571"/>
        <v/>
      </c>
      <c r="U1380" s="121">
        <f t="shared" si="572"/>
        <v>1</v>
      </c>
    </row>
    <row r="1381" spans="1:21" x14ac:dyDescent="0.3">
      <c r="A1381" s="187">
        <v>7</v>
      </c>
      <c r="B1381" s="242">
        <f t="shared" si="573"/>
        <v>45839</v>
      </c>
      <c r="C1381" s="243">
        <f t="shared" si="554"/>
        <v>45869</v>
      </c>
      <c r="D1381" s="120">
        <f t="shared" si="555"/>
        <v>31</v>
      </c>
      <c r="E1381" s="120">
        <f t="shared" si="556"/>
        <v>7</v>
      </c>
      <c r="F1381" s="275">
        <f t="shared" si="557"/>
        <v>45854.5</v>
      </c>
      <c r="G1381" s="120">
        <f t="shared" si="558"/>
        <v>24306</v>
      </c>
      <c r="H1381" s="245">
        <f t="shared" si="559"/>
        <v>1</v>
      </c>
      <c r="I1381" s="121">
        <f t="shared" si="560"/>
        <v>1</v>
      </c>
      <c r="J1381" s="121">
        <f t="shared" si="561"/>
        <v>1</v>
      </c>
      <c r="K1381" s="120">
        <f t="shared" si="562"/>
        <v>0</v>
      </c>
      <c r="L1381" s="120">
        <f t="shared" si="563"/>
        <v>0</v>
      </c>
      <c r="M1381" s="246">
        <f t="shared" si="564"/>
        <v>0</v>
      </c>
      <c r="N1381" s="121">
        <f t="shared" si="565"/>
        <v>1</v>
      </c>
      <c r="O1381" s="246">
        <f t="shared" si="566"/>
        <v>0.91</v>
      </c>
      <c r="P1381" s="121">
        <f t="shared" si="567"/>
        <v>8.333333333333337E-2</v>
      </c>
      <c r="Q1381" s="121">
        <f t="shared" si="568"/>
        <v>0</v>
      </c>
      <c r="R1381" s="121">
        <f t="shared" si="569"/>
        <v>0</v>
      </c>
      <c r="S1381" s="121" t="str">
        <f t="shared" si="570"/>
        <v/>
      </c>
      <c r="T1381" s="121" t="str">
        <f t="shared" si="571"/>
        <v/>
      </c>
      <c r="U1381" s="121">
        <f t="shared" si="572"/>
        <v>1</v>
      </c>
    </row>
    <row r="1382" spans="1:21" x14ac:dyDescent="0.3">
      <c r="A1382" s="187">
        <v>8</v>
      </c>
      <c r="B1382" s="242">
        <f t="shared" si="573"/>
        <v>45870</v>
      </c>
      <c r="C1382" s="243">
        <f t="shared" si="554"/>
        <v>45900</v>
      </c>
      <c r="D1382" s="120">
        <f t="shared" si="555"/>
        <v>31</v>
      </c>
      <c r="E1382" s="120">
        <f t="shared" si="556"/>
        <v>8</v>
      </c>
      <c r="F1382" s="275">
        <f t="shared" si="557"/>
        <v>45885.5</v>
      </c>
      <c r="G1382" s="120">
        <f t="shared" si="558"/>
        <v>24307</v>
      </c>
      <c r="H1382" s="245">
        <f t="shared" si="559"/>
        <v>1</v>
      </c>
      <c r="I1382" s="121">
        <f t="shared" si="560"/>
        <v>1</v>
      </c>
      <c r="J1382" s="121">
        <f t="shared" si="561"/>
        <v>1</v>
      </c>
      <c r="K1382" s="120">
        <f t="shared" si="562"/>
        <v>0</v>
      </c>
      <c r="L1382" s="120">
        <f t="shared" si="563"/>
        <v>0</v>
      </c>
      <c r="M1382" s="246">
        <f t="shared" si="564"/>
        <v>0</v>
      </c>
      <c r="N1382" s="121">
        <f t="shared" si="565"/>
        <v>1</v>
      </c>
      <c r="O1382" s="246">
        <f t="shared" si="566"/>
        <v>0.91</v>
      </c>
      <c r="P1382" s="121">
        <f t="shared" si="567"/>
        <v>0.25</v>
      </c>
      <c r="Q1382" s="121">
        <f t="shared" si="568"/>
        <v>0</v>
      </c>
      <c r="R1382" s="121">
        <f t="shared" si="569"/>
        <v>0</v>
      </c>
      <c r="S1382" s="121" t="str">
        <f t="shared" si="570"/>
        <v/>
      </c>
      <c r="T1382" s="121" t="str">
        <f t="shared" si="571"/>
        <v/>
      </c>
      <c r="U1382" s="121">
        <f t="shared" si="572"/>
        <v>1</v>
      </c>
    </row>
    <row r="1383" spans="1:21" x14ac:dyDescent="0.3">
      <c r="A1383" s="187">
        <v>9</v>
      </c>
      <c r="B1383" s="242">
        <f t="shared" si="573"/>
        <v>45901</v>
      </c>
      <c r="C1383" s="243">
        <f t="shared" si="554"/>
        <v>45930</v>
      </c>
      <c r="D1383" s="120">
        <f t="shared" si="555"/>
        <v>30</v>
      </c>
      <c r="E1383" s="120">
        <f t="shared" si="556"/>
        <v>9</v>
      </c>
      <c r="F1383" s="275">
        <f t="shared" si="557"/>
        <v>45916</v>
      </c>
      <c r="G1383" s="120">
        <f t="shared" si="558"/>
        <v>24308</v>
      </c>
      <c r="H1383" s="245">
        <f t="shared" si="559"/>
        <v>1</v>
      </c>
      <c r="I1383" s="121">
        <f t="shared" si="560"/>
        <v>1</v>
      </c>
      <c r="J1383" s="121">
        <f t="shared" si="561"/>
        <v>1</v>
      </c>
      <c r="K1383" s="120">
        <f t="shared" si="562"/>
        <v>0</v>
      </c>
      <c r="L1383" s="120">
        <f t="shared" si="563"/>
        <v>0</v>
      </c>
      <c r="M1383" s="246">
        <f t="shared" si="564"/>
        <v>0</v>
      </c>
      <c r="N1383" s="121">
        <f t="shared" si="565"/>
        <v>1</v>
      </c>
      <c r="O1383" s="246">
        <f t="shared" si="566"/>
        <v>0.91</v>
      </c>
      <c r="P1383" s="121">
        <f t="shared" si="567"/>
        <v>0.41666666666666663</v>
      </c>
      <c r="Q1383" s="121">
        <f t="shared" si="568"/>
        <v>0</v>
      </c>
      <c r="R1383" s="121">
        <f t="shared" si="569"/>
        <v>0</v>
      </c>
      <c r="S1383" s="121" t="str">
        <f t="shared" si="570"/>
        <v/>
      </c>
      <c r="T1383" s="121" t="str">
        <f t="shared" si="571"/>
        <v/>
      </c>
      <c r="U1383" s="121">
        <f t="shared" si="572"/>
        <v>1</v>
      </c>
    </row>
    <row r="1384" spans="1:21" x14ac:dyDescent="0.3">
      <c r="A1384" s="187">
        <v>10</v>
      </c>
      <c r="B1384" s="242">
        <f t="shared" si="573"/>
        <v>45931</v>
      </c>
      <c r="C1384" s="243">
        <f t="shared" si="554"/>
        <v>45961</v>
      </c>
      <c r="D1384" s="120">
        <f t="shared" si="555"/>
        <v>31</v>
      </c>
      <c r="E1384" s="120">
        <f t="shared" si="556"/>
        <v>10</v>
      </c>
      <c r="F1384" s="275">
        <f t="shared" si="557"/>
        <v>45946.5</v>
      </c>
      <c r="G1384" s="120">
        <f t="shared" si="558"/>
        <v>24309</v>
      </c>
      <c r="H1384" s="245">
        <f t="shared" si="559"/>
        <v>1</v>
      </c>
      <c r="I1384" s="121">
        <f t="shared" si="560"/>
        <v>1</v>
      </c>
      <c r="J1384" s="121">
        <f t="shared" si="561"/>
        <v>1</v>
      </c>
      <c r="K1384" s="120">
        <f t="shared" si="562"/>
        <v>0</v>
      </c>
      <c r="L1384" s="120">
        <f t="shared" si="563"/>
        <v>0</v>
      </c>
      <c r="M1384" s="246">
        <f t="shared" si="564"/>
        <v>0</v>
      </c>
      <c r="N1384" s="121">
        <f t="shared" si="565"/>
        <v>1</v>
      </c>
      <c r="O1384" s="246">
        <f t="shared" si="566"/>
        <v>0.91</v>
      </c>
      <c r="P1384" s="121">
        <f t="shared" si="567"/>
        <v>0.58333333333333326</v>
      </c>
      <c r="Q1384" s="121">
        <f t="shared" si="568"/>
        <v>0</v>
      </c>
      <c r="R1384" s="121">
        <f t="shared" si="569"/>
        <v>0</v>
      </c>
      <c r="S1384" s="121" t="str">
        <f t="shared" si="570"/>
        <v/>
      </c>
      <c r="T1384" s="121" t="str">
        <f t="shared" si="571"/>
        <v/>
      </c>
      <c r="U1384" s="121">
        <f t="shared" si="572"/>
        <v>1</v>
      </c>
    </row>
    <row r="1385" spans="1:21" x14ac:dyDescent="0.3">
      <c r="A1385" s="187">
        <v>11</v>
      </c>
      <c r="B1385" s="242">
        <f t="shared" si="573"/>
        <v>45962</v>
      </c>
      <c r="C1385" s="243">
        <f t="shared" si="554"/>
        <v>45991</v>
      </c>
      <c r="D1385" s="120">
        <f t="shared" si="555"/>
        <v>30</v>
      </c>
      <c r="E1385" s="120">
        <f t="shared" si="556"/>
        <v>11</v>
      </c>
      <c r="F1385" s="275">
        <f t="shared" si="557"/>
        <v>45977</v>
      </c>
      <c r="G1385" s="120">
        <f t="shared" si="558"/>
        <v>24310</v>
      </c>
      <c r="H1385" s="245">
        <f t="shared" si="559"/>
        <v>1</v>
      </c>
      <c r="I1385" s="121">
        <f t="shared" si="560"/>
        <v>1</v>
      </c>
      <c r="J1385" s="121">
        <f t="shared" si="561"/>
        <v>1</v>
      </c>
      <c r="K1385" s="120">
        <f t="shared" si="562"/>
        <v>0</v>
      </c>
      <c r="L1385" s="120">
        <f t="shared" si="563"/>
        <v>0</v>
      </c>
      <c r="M1385" s="246">
        <f t="shared" si="564"/>
        <v>0</v>
      </c>
      <c r="N1385" s="121">
        <f t="shared" si="565"/>
        <v>1</v>
      </c>
      <c r="O1385" s="246">
        <f t="shared" si="566"/>
        <v>0.91</v>
      </c>
      <c r="P1385" s="121">
        <f t="shared" si="567"/>
        <v>0.75</v>
      </c>
      <c r="Q1385" s="121">
        <f t="shared" si="568"/>
        <v>0</v>
      </c>
      <c r="R1385" s="121">
        <f t="shared" si="569"/>
        <v>0</v>
      </c>
      <c r="S1385" s="121" t="str">
        <f t="shared" si="570"/>
        <v/>
      </c>
      <c r="T1385" s="121" t="str">
        <f t="shared" si="571"/>
        <v/>
      </c>
      <c r="U1385" s="121">
        <f t="shared" si="572"/>
        <v>1</v>
      </c>
    </row>
    <row r="1386" spans="1:21" x14ac:dyDescent="0.3">
      <c r="A1386" s="187">
        <v>12</v>
      </c>
      <c r="B1386" s="242">
        <f t="shared" si="573"/>
        <v>45992</v>
      </c>
      <c r="C1386" s="243">
        <f t="shared" si="554"/>
        <v>46022</v>
      </c>
      <c r="D1386" s="120">
        <f t="shared" si="555"/>
        <v>31</v>
      </c>
      <c r="E1386" s="120">
        <f t="shared" si="556"/>
        <v>12</v>
      </c>
      <c r="F1386" s="275">
        <f t="shared" si="557"/>
        <v>46007.5</v>
      </c>
      <c r="G1386" s="120">
        <f t="shared" si="558"/>
        <v>24311</v>
      </c>
      <c r="H1386" s="245">
        <f t="shared" si="559"/>
        <v>1</v>
      </c>
      <c r="I1386" s="121">
        <f t="shared" si="560"/>
        <v>1</v>
      </c>
      <c r="J1386" s="121">
        <f t="shared" si="561"/>
        <v>1</v>
      </c>
      <c r="K1386" s="120">
        <f t="shared" si="562"/>
        <v>0</v>
      </c>
      <c r="L1386" s="120">
        <f t="shared" si="563"/>
        <v>0</v>
      </c>
      <c r="M1386" s="246">
        <f t="shared" si="564"/>
        <v>0</v>
      </c>
      <c r="N1386" s="121">
        <f t="shared" si="565"/>
        <v>1</v>
      </c>
      <c r="O1386" s="246">
        <f t="shared" si="566"/>
        <v>0.91</v>
      </c>
      <c r="P1386" s="121">
        <f t="shared" si="567"/>
        <v>0.91666666666666663</v>
      </c>
      <c r="Q1386" s="121">
        <f t="shared" si="568"/>
        <v>0</v>
      </c>
      <c r="R1386" s="121">
        <f t="shared" si="569"/>
        <v>0</v>
      </c>
      <c r="S1386" s="121" t="str">
        <f t="shared" si="570"/>
        <v/>
      </c>
      <c r="T1386" s="121" t="str">
        <f t="shared" si="571"/>
        <v/>
      </c>
      <c r="U1386" s="121">
        <f t="shared" si="572"/>
        <v>1</v>
      </c>
    </row>
    <row r="1387" spans="1:21" x14ac:dyDescent="0.3">
      <c r="A1387" s="187">
        <v>13</v>
      </c>
      <c r="B1387" s="242">
        <f t="shared" si="573"/>
        <v>46023</v>
      </c>
      <c r="C1387" s="243">
        <f t="shared" si="554"/>
        <v>46053</v>
      </c>
      <c r="D1387" s="120">
        <f t="shared" si="555"/>
        <v>31</v>
      </c>
      <c r="E1387" s="120">
        <f t="shared" si="556"/>
        <v>1</v>
      </c>
      <c r="F1387" s="275">
        <f t="shared" si="557"/>
        <v>46038.5</v>
      </c>
      <c r="G1387" s="120">
        <f t="shared" si="558"/>
        <v>24312</v>
      </c>
      <c r="H1387" s="245">
        <f t="shared" si="559"/>
        <v>1</v>
      </c>
      <c r="I1387" s="121">
        <f t="shared" si="560"/>
        <v>1</v>
      </c>
      <c r="J1387" s="121">
        <f t="shared" si="561"/>
        <v>1</v>
      </c>
      <c r="K1387" s="120">
        <f t="shared" si="562"/>
        <v>0</v>
      </c>
      <c r="L1387" s="120">
        <f t="shared" si="563"/>
        <v>0</v>
      </c>
      <c r="M1387" s="246">
        <f t="shared" si="564"/>
        <v>0</v>
      </c>
      <c r="N1387" s="121">
        <f t="shared" si="565"/>
        <v>1</v>
      </c>
      <c r="O1387" s="246">
        <f t="shared" si="566"/>
        <v>0.91</v>
      </c>
      <c r="P1387" s="121">
        <f t="shared" si="567"/>
        <v>1</v>
      </c>
      <c r="Q1387" s="121">
        <f t="shared" si="568"/>
        <v>0</v>
      </c>
      <c r="R1387" s="121">
        <f t="shared" si="569"/>
        <v>0</v>
      </c>
      <c r="S1387" s="121" t="str">
        <f t="shared" si="570"/>
        <v/>
      </c>
      <c r="T1387" s="121" t="str">
        <f t="shared" si="571"/>
        <v/>
      </c>
      <c r="U1387" s="121">
        <f t="shared" si="572"/>
        <v>1</v>
      </c>
    </row>
    <row r="1388" spans="1:21" x14ac:dyDescent="0.3">
      <c r="A1388" s="187">
        <v>14</v>
      </c>
      <c r="B1388" s="242">
        <f t="shared" si="573"/>
        <v>46054</v>
      </c>
      <c r="C1388" s="243">
        <f t="shared" si="554"/>
        <v>46081</v>
      </c>
      <c r="D1388" s="120">
        <f t="shared" si="555"/>
        <v>28</v>
      </c>
      <c r="E1388" s="120">
        <f t="shared" si="556"/>
        <v>2</v>
      </c>
      <c r="F1388" s="275">
        <f t="shared" si="557"/>
        <v>46068</v>
      </c>
      <c r="G1388" s="120">
        <f t="shared" si="558"/>
        <v>24313</v>
      </c>
      <c r="H1388" s="245">
        <f t="shared" si="559"/>
        <v>1</v>
      </c>
      <c r="I1388" s="121">
        <f t="shared" si="560"/>
        <v>1</v>
      </c>
      <c r="J1388" s="121">
        <f t="shared" si="561"/>
        <v>1</v>
      </c>
      <c r="K1388" s="120">
        <f t="shared" si="562"/>
        <v>0</v>
      </c>
      <c r="L1388" s="120">
        <f t="shared" si="563"/>
        <v>0</v>
      </c>
      <c r="M1388" s="246">
        <f t="shared" si="564"/>
        <v>0</v>
      </c>
      <c r="N1388" s="121">
        <f t="shared" si="565"/>
        <v>1</v>
      </c>
      <c r="O1388" s="246">
        <f t="shared" si="566"/>
        <v>0.91</v>
      </c>
      <c r="P1388" s="121">
        <f t="shared" si="567"/>
        <v>1</v>
      </c>
      <c r="Q1388" s="121">
        <f t="shared" si="568"/>
        <v>0</v>
      </c>
      <c r="R1388" s="121">
        <f t="shared" si="569"/>
        <v>0</v>
      </c>
      <c r="S1388" s="121" t="str">
        <f t="shared" si="570"/>
        <v/>
      </c>
      <c r="T1388" s="121" t="str">
        <f t="shared" si="571"/>
        <v/>
      </c>
      <c r="U1388" s="121">
        <f t="shared" si="572"/>
        <v>1</v>
      </c>
    </row>
    <row r="1389" spans="1:21" x14ac:dyDescent="0.3">
      <c r="A1389" s="187">
        <v>15</v>
      </c>
      <c r="B1389" s="242">
        <f t="shared" si="573"/>
        <v>46082</v>
      </c>
      <c r="C1389" s="243">
        <f t="shared" si="554"/>
        <v>46112</v>
      </c>
      <c r="D1389" s="120">
        <f t="shared" si="555"/>
        <v>31</v>
      </c>
      <c r="E1389" s="120">
        <f t="shared" si="556"/>
        <v>3</v>
      </c>
      <c r="F1389" s="275">
        <f t="shared" si="557"/>
        <v>46097.5</v>
      </c>
      <c r="G1389" s="120">
        <f t="shared" si="558"/>
        <v>24314</v>
      </c>
      <c r="H1389" s="245">
        <f t="shared" si="559"/>
        <v>1</v>
      </c>
      <c r="I1389" s="121">
        <f t="shared" si="560"/>
        <v>1</v>
      </c>
      <c r="J1389" s="121">
        <f t="shared" si="561"/>
        <v>1</v>
      </c>
      <c r="K1389" s="120">
        <f t="shared" si="562"/>
        <v>0</v>
      </c>
      <c r="L1389" s="120">
        <f t="shared" si="563"/>
        <v>0</v>
      </c>
      <c r="M1389" s="246">
        <f t="shared" si="564"/>
        <v>0</v>
      </c>
      <c r="N1389" s="121">
        <f t="shared" si="565"/>
        <v>1</v>
      </c>
      <c r="O1389" s="246">
        <f t="shared" si="566"/>
        <v>0.91</v>
      </c>
      <c r="P1389" s="121">
        <f t="shared" si="567"/>
        <v>1</v>
      </c>
      <c r="Q1389" s="121">
        <f t="shared" si="568"/>
        <v>0</v>
      </c>
      <c r="R1389" s="121">
        <f t="shared" si="569"/>
        <v>0</v>
      </c>
      <c r="S1389" s="121" t="str">
        <f t="shared" si="570"/>
        <v/>
      </c>
      <c r="T1389" s="121" t="str">
        <f t="shared" si="571"/>
        <v/>
      </c>
      <c r="U1389" s="121">
        <f t="shared" si="572"/>
        <v>1</v>
      </c>
    </row>
    <row r="1390" spans="1:21" x14ac:dyDescent="0.3">
      <c r="A1390" s="187">
        <v>16</v>
      </c>
      <c r="B1390" s="242">
        <f t="shared" si="573"/>
        <v>46113</v>
      </c>
      <c r="C1390" s="243">
        <f t="shared" si="554"/>
        <v>46142</v>
      </c>
      <c r="D1390" s="120">
        <f t="shared" si="555"/>
        <v>30</v>
      </c>
      <c r="E1390" s="120">
        <f t="shared" si="556"/>
        <v>4</v>
      </c>
      <c r="F1390" s="275">
        <f t="shared" si="557"/>
        <v>46128</v>
      </c>
      <c r="G1390" s="120">
        <f t="shared" si="558"/>
        <v>24315</v>
      </c>
      <c r="H1390" s="245">
        <f t="shared" si="559"/>
        <v>1</v>
      </c>
      <c r="I1390" s="121">
        <f t="shared" si="560"/>
        <v>1</v>
      </c>
      <c r="J1390" s="121">
        <f t="shared" si="561"/>
        <v>1</v>
      </c>
      <c r="K1390" s="120">
        <f t="shared" si="562"/>
        <v>0</v>
      </c>
      <c r="L1390" s="120">
        <f t="shared" si="563"/>
        <v>0</v>
      </c>
      <c r="M1390" s="246">
        <f t="shared" si="564"/>
        <v>0</v>
      </c>
      <c r="N1390" s="121">
        <f t="shared" si="565"/>
        <v>1</v>
      </c>
      <c r="O1390" s="246">
        <f t="shared" si="566"/>
        <v>0.91</v>
      </c>
      <c r="P1390" s="121">
        <f t="shared" si="567"/>
        <v>1</v>
      </c>
      <c r="Q1390" s="121">
        <f t="shared" si="568"/>
        <v>0</v>
      </c>
      <c r="R1390" s="121">
        <f t="shared" si="569"/>
        <v>0</v>
      </c>
      <c r="S1390" s="121" t="str">
        <f t="shared" si="570"/>
        <v/>
      </c>
      <c r="T1390" s="121" t="str">
        <f t="shared" si="571"/>
        <v/>
      </c>
      <c r="U1390" s="121">
        <f t="shared" si="572"/>
        <v>1</v>
      </c>
    </row>
    <row r="1391" spans="1:21" x14ac:dyDescent="0.3">
      <c r="A1391" s="187">
        <v>17</v>
      </c>
      <c r="B1391" s="242">
        <f t="shared" si="573"/>
        <v>46143</v>
      </c>
      <c r="C1391" s="243">
        <f t="shared" si="554"/>
        <v>46173</v>
      </c>
      <c r="D1391" s="120">
        <f t="shared" si="555"/>
        <v>31</v>
      </c>
      <c r="E1391" s="120">
        <f t="shared" si="556"/>
        <v>5</v>
      </c>
      <c r="F1391" s="275">
        <f t="shared" si="557"/>
        <v>46158.5</v>
      </c>
      <c r="G1391" s="120">
        <f t="shared" si="558"/>
        <v>24316</v>
      </c>
      <c r="H1391" s="245">
        <f t="shared" si="559"/>
        <v>1</v>
      </c>
      <c r="I1391" s="121">
        <f t="shared" si="560"/>
        <v>1</v>
      </c>
      <c r="J1391" s="121">
        <f t="shared" si="561"/>
        <v>1</v>
      </c>
      <c r="K1391" s="120">
        <f t="shared" si="562"/>
        <v>0</v>
      </c>
      <c r="L1391" s="120">
        <f t="shared" si="563"/>
        <v>0</v>
      </c>
      <c r="M1391" s="246">
        <f t="shared" si="564"/>
        <v>0</v>
      </c>
      <c r="N1391" s="121">
        <f t="shared" si="565"/>
        <v>1</v>
      </c>
      <c r="O1391" s="246">
        <f t="shared" si="566"/>
        <v>0.91</v>
      </c>
      <c r="P1391" s="121">
        <f t="shared" si="567"/>
        <v>1</v>
      </c>
      <c r="Q1391" s="121">
        <f t="shared" si="568"/>
        <v>0</v>
      </c>
      <c r="R1391" s="121">
        <f t="shared" si="569"/>
        <v>0</v>
      </c>
      <c r="S1391" s="121" t="str">
        <f t="shared" si="570"/>
        <v/>
      </c>
      <c r="T1391" s="121" t="str">
        <f t="shared" si="571"/>
        <v/>
      </c>
      <c r="U1391" s="121">
        <f t="shared" si="572"/>
        <v>1</v>
      </c>
    </row>
    <row r="1392" spans="1:21" x14ac:dyDescent="0.3">
      <c r="A1392" s="187">
        <v>18</v>
      </c>
      <c r="B1392" s="242">
        <f t="shared" si="573"/>
        <v>46174</v>
      </c>
      <c r="C1392" s="243">
        <f t="shared" si="554"/>
        <v>46203</v>
      </c>
      <c r="D1392" s="120">
        <f t="shared" si="555"/>
        <v>30</v>
      </c>
      <c r="E1392" s="120">
        <f t="shared" si="556"/>
        <v>6</v>
      </c>
      <c r="F1392" s="275">
        <f t="shared" si="557"/>
        <v>46189</v>
      </c>
      <c r="G1392" s="120">
        <f t="shared" si="558"/>
        <v>24317</v>
      </c>
      <c r="H1392" s="245">
        <f t="shared" si="559"/>
        <v>1</v>
      </c>
      <c r="I1392" s="121">
        <f t="shared" si="560"/>
        <v>1</v>
      </c>
      <c r="J1392" s="121">
        <f t="shared" si="561"/>
        <v>1</v>
      </c>
      <c r="K1392" s="120">
        <f t="shared" si="562"/>
        <v>0</v>
      </c>
      <c r="L1392" s="120">
        <f t="shared" si="563"/>
        <v>0</v>
      </c>
      <c r="M1392" s="246">
        <f t="shared" si="564"/>
        <v>0</v>
      </c>
      <c r="N1392" s="121">
        <f t="shared" si="565"/>
        <v>1</v>
      </c>
      <c r="O1392" s="246">
        <f t="shared" si="566"/>
        <v>0.91</v>
      </c>
      <c r="P1392" s="121">
        <f t="shared" si="567"/>
        <v>1</v>
      </c>
      <c r="Q1392" s="121">
        <f t="shared" si="568"/>
        <v>0</v>
      </c>
      <c r="R1392" s="121">
        <f t="shared" si="569"/>
        <v>0</v>
      </c>
      <c r="S1392" s="121" t="str">
        <f t="shared" si="570"/>
        <v/>
      </c>
      <c r="T1392" s="121" t="str">
        <f t="shared" si="571"/>
        <v/>
      </c>
      <c r="U1392" s="121">
        <f t="shared" si="572"/>
        <v>1</v>
      </c>
    </row>
    <row r="1393" spans="1:21" x14ac:dyDescent="0.3">
      <c r="A1393" s="187">
        <v>19</v>
      </c>
      <c r="B1393" s="242">
        <f t="shared" si="573"/>
        <v>46204</v>
      </c>
      <c r="C1393" s="243">
        <f t="shared" si="554"/>
        <v>46234</v>
      </c>
      <c r="D1393" s="120">
        <f t="shared" si="555"/>
        <v>31</v>
      </c>
      <c r="E1393" s="120">
        <f t="shared" si="556"/>
        <v>7</v>
      </c>
      <c r="F1393" s="275">
        <f t="shared" si="557"/>
        <v>46219.5</v>
      </c>
      <c r="G1393" s="120">
        <f t="shared" si="558"/>
        <v>24318</v>
      </c>
      <c r="H1393" s="245">
        <f t="shared" si="559"/>
        <v>1</v>
      </c>
      <c r="I1393" s="121">
        <f t="shared" si="560"/>
        <v>1</v>
      </c>
      <c r="J1393" s="121">
        <f t="shared" si="561"/>
        <v>1</v>
      </c>
      <c r="K1393" s="120">
        <f t="shared" si="562"/>
        <v>0</v>
      </c>
      <c r="L1393" s="120">
        <f t="shared" si="563"/>
        <v>0</v>
      </c>
      <c r="M1393" s="246">
        <f t="shared" si="564"/>
        <v>0</v>
      </c>
      <c r="N1393" s="121">
        <f t="shared" si="565"/>
        <v>1</v>
      </c>
      <c r="O1393" s="246">
        <f t="shared" si="566"/>
        <v>0.91</v>
      </c>
      <c r="P1393" s="121">
        <f t="shared" si="567"/>
        <v>0.91666666666666663</v>
      </c>
      <c r="Q1393" s="121">
        <f t="shared" si="568"/>
        <v>8.333333333333337E-2</v>
      </c>
      <c r="R1393" s="121">
        <f t="shared" si="569"/>
        <v>0</v>
      </c>
      <c r="S1393" s="121" t="str">
        <f t="shared" si="570"/>
        <v/>
      </c>
      <c r="T1393" s="121" t="str">
        <f t="shared" si="571"/>
        <v/>
      </c>
      <c r="U1393" s="121">
        <f t="shared" si="572"/>
        <v>1</v>
      </c>
    </row>
    <row r="1394" spans="1:21" x14ac:dyDescent="0.3">
      <c r="A1394" s="187">
        <v>20</v>
      </c>
      <c r="B1394" s="242">
        <f t="shared" si="573"/>
        <v>46235</v>
      </c>
      <c r="C1394" s="243">
        <f t="shared" si="554"/>
        <v>46265</v>
      </c>
      <c r="D1394" s="120">
        <f t="shared" si="555"/>
        <v>31</v>
      </c>
      <c r="E1394" s="120">
        <f t="shared" si="556"/>
        <v>8</v>
      </c>
      <c r="F1394" s="275">
        <f t="shared" si="557"/>
        <v>46250.5</v>
      </c>
      <c r="G1394" s="120">
        <f t="shared" si="558"/>
        <v>24319</v>
      </c>
      <c r="H1394" s="245">
        <f t="shared" si="559"/>
        <v>1</v>
      </c>
      <c r="I1394" s="121">
        <f t="shared" si="560"/>
        <v>1</v>
      </c>
      <c r="J1394" s="121">
        <f t="shared" si="561"/>
        <v>1</v>
      </c>
      <c r="K1394" s="120">
        <f t="shared" si="562"/>
        <v>0</v>
      </c>
      <c r="L1394" s="120">
        <f t="shared" si="563"/>
        <v>0</v>
      </c>
      <c r="M1394" s="246">
        <f t="shared" si="564"/>
        <v>0</v>
      </c>
      <c r="N1394" s="121">
        <f t="shared" si="565"/>
        <v>1</v>
      </c>
      <c r="O1394" s="246">
        <f t="shared" si="566"/>
        <v>0.91</v>
      </c>
      <c r="P1394" s="121">
        <f t="shared" si="567"/>
        <v>0.75</v>
      </c>
      <c r="Q1394" s="121">
        <f t="shared" si="568"/>
        <v>0.25</v>
      </c>
      <c r="R1394" s="121">
        <f t="shared" si="569"/>
        <v>0</v>
      </c>
      <c r="S1394" s="121" t="str">
        <f t="shared" si="570"/>
        <v/>
      </c>
      <c r="T1394" s="121" t="str">
        <f t="shared" si="571"/>
        <v/>
      </c>
      <c r="U1394" s="121">
        <f t="shared" si="572"/>
        <v>1</v>
      </c>
    </row>
    <row r="1395" spans="1:21" x14ac:dyDescent="0.3">
      <c r="A1395" s="187">
        <v>21</v>
      </c>
      <c r="B1395" s="242">
        <f t="shared" si="573"/>
        <v>46266</v>
      </c>
      <c r="C1395" s="243">
        <f t="shared" si="554"/>
        <v>46295</v>
      </c>
      <c r="D1395" s="120">
        <f t="shared" si="555"/>
        <v>30</v>
      </c>
      <c r="E1395" s="120">
        <f t="shared" si="556"/>
        <v>9</v>
      </c>
      <c r="F1395" s="275">
        <f t="shared" si="557"/>
        <v>46281</v>
      </c>
      <c r="G1395" s="120">
        <f t="shared" si="558"/>
        <v>24320</v>
      </c>
      <c r="H1395" s="245">
        <f t="shared" si="559"/>
        <v>1</v>
      </c>
      <c r="I1395" s="121">
        <f t="shared" si="560"/>
        <v>1</v>
      </c>
      <c r="J1395" s="121">
        <f t="shared" si="561"/>
        <v>1</v>
      </c>
      <c r="K1395" s="120">
        <f t="shared" si="562"/>
        <v>0</v>
      </c>
      <c r="L1395" s="120">
        <f t="shared" si="563"/>
        <v>0</v>
      </c>
      <c r="M1395" s="246">
        <f t="shared" si="564"/>
        <v>0</v>
      </c>
      <c r="N1395" s="121">
        <f t="shared" si="565"/>
        <v>1</v>
      </c>
      <c r="O1395" s="246">
        <f t="shared" si="566"/>
        <v>0.91</v>
      </c>
      <c r="P1395" s="121">
        <f t="shared" si="567"/>
        <v>0.58333333333333337</v>
      </c>
      <c r="Q1395" s="121">
        <f t="shared" si="568"/>
        <v>0.41666666666666663</v>
      </c>
      <c r="R1395" s="121">
        <f t="shared" si="569"/>
        <v>0</v>
      </c>
      <c r="S1395" s="121" t="str">
        <f t="shared" si="570"/>
        <v/>
      </c>
      <c r="T1395" s="121" t="str">
        <f t="shared" si="571"/>
        <v/>
      </c>
      <c r="U1395" s="121">
        <f t="shared" si="572"/>
        <v>1</v>
      </c>
    </row>
    <row r="1396" spans="1:21" x14ac:dyDescent="0.3">
      <c r="A1396" s="187">
        <v>22</v>
      </c>
      <c r="B1396" s="242">
        <f t="shared" si="573"/>
        <v>46296</v>
      </c>
      <c r="C1396" s="243">
        <f t="shared" si="554"/>
        <v>46326</v>
      </c>
      <c r="D1396" s="120">
        <f t="shared" si="555"/>
        <v>31</v>
      </c>
      <c r="E1396" s="120">
        <f t="shared" si="556"/>
        <v>10</v>
      </c>
      <c r="F1396" s="275">
        <f t="shared" si="557"/>
        <v>46311.5</v>
      </c>
      <c r="G1396" s="120">
        <f t="shared" si="558"/>
        <v>24321</v>
      </c>
      <c r="H1396" s="245">
        <f t="shared" si="559"/>
        <v>1</v>
      </c>
      <c r="I1396" s="121">
        <f t="shared" si="560"/>
        <v>1</v>
      </c>
      <c r="J1396" s="121">
        <f t="shared" si="561"/>
        <v>1.08</v>
      </c>
      <c r="K1396" s="120">
        <f t="shared" si="562"/>
        <v>1</v>
      </c>
      <c r="L1396" s="120">
        <f t="shared" si="563"/>
        <v>31</v>
      </c>
      <c r="M1396" s="246">
        <f t="shared" si="564"/>
        <v>1</v>
      </c>
      <c r="N1396" s="121">
        <f t="shared" si="565"/>
        <v>1.08</v>
      </c>
      <c r="O1396" s="246">
        <f t="shared" si="566"/>
        <v>0.91</v>
      </c>
      <c r="P1396" s="121">
        <f t="shared" si="567"/>
        <v>0.41666666666666669</v>
      </c>
      <c r="Q1396" s="121">
        <f t="shared" si="568"/>
        <v>0.58333333333333326</v>
      </c>
      <c r="R1396" s="121">
        <f t="shared" si="569"/>
        <v>0</v>
      </c>
      <c r="S1396" s="121" t="str">
        <f t="shared" si="570"/>
        <v/>
      </c>
      <c r="T1396" s="121" t="str">
        <f t="shared" si="571"/>
        <v/>
      </c>
      <c r="U1396" s="121">
        <f t="shared" si="572"/>
        <v>1.08</v>
      </c>
    </row>
    <row r="1397" spans="1:21" x14ac:dyDescent="0.3">
      <c r="A1397" s="187">
        <v>23</v>
      </c>
      <c r="B1397" s="242">
        <f t="shared" si="573"/>
        <v>46327</v>
      </c>
      <c r="C1397" s="243">
        <f t="shared" si="554"/>
        <v>46356</v>
      </c>
      <c r="D1397" s="120">
        <f t="shared" si="555"/>
        <v>30</v>
      </c>
      <c r="E1397" s="120">
        <f t="shared" si="556"/>
        <v>11</v>
      </c>
      <c r="F1397" s="275">
        <f t="shared" si="557"/>
        <v>46342</v>
      </c>
      <c r="G1397" s="120">
        <f t="shared" si="558"/>
        <v>24322</v>
      </c>
      <c r="H1397" s="245">
        <f t="shared" si="559"/>
        <v>1</v>
      </c>
      <c r="I1397" s="121">
        <f t="shared" si="560"/>
        <v>1.08</v>
      </c>
      <c r="J1397" s="121">
        <f t="shared" si="561"/>
        <v>1.08</v>
      </c>
      <c r="K1397" s="120">
        <f t="shared" si="562"/>
        <v>0</v>
      </c>
      <c r="L1397" s="120">
        <f t="shared" si="563"/>
        <v>0</v>
      </c>
      <c r="M1397" s="246">
        <f t="shared" si="564"/>
        <v>0</v>
      </c>
      <c r="N1397" s="121">
        <f t="shared" si="565"/>
        <v>1.08</v>
      </c>
      <c r="O1397" s="246">
        <f t="shared" si="566"/>
        <v>0.91</v>
      </c>
      <c r="P1397" s="121">
        <f t="shared" si="567"/>
        <v>0.25</v>
      </c>
      <c r="Q1397" s="121">
        <f t="shared" si="568"/>
        <v>0.75</v>
      </c>
      <c r="R1397" s="121">
        <f t="shared" si="569"/>
        <v>0</v>
      </c>
      <c r="S1397" s="121" t="str">
        <f t="shared" si="570"/>
        <v/>
      </c>
      <c r="T1397" s="121" t="str">
        <f t="shared" si="571"/>
        <v/>
      </c>
      <c r="U1397" s="121">
        <f t="shared" si="572"/>
        <v>1.08</v>
      </c>
    </row>
    <row r="1398" spans="1:21" x14ac:dyDescent="0.3">
      <c r="A1398" s="187">
        <v>24</v>
      </c>
      <c r="B1398" s="242">
        <f t="shared" si="573"/>
        <v>46357</v>
      </c>
      <c r="C1398" s="243">
        <f t="shared" si="554"/>
        <v>46387</v>
      </c>
      <c r="D1398" s="120">
        <f t="shared" si="555"/>
        <v>31</v>
      </c>
      <c r="E1398" s="120">
        <f t="shared" si="556"/>
        <v>12</v>
      </c>
      <c r="F1398" s="275">
        <f t="shared" si="557"/>
        <v>46372.5</v>
      </c>
      <c r="G1398" s="120">
        <f t="shared" si="558"/>
        <v>24323</v>
      </c>
      <c r="H1398" s="245">
        <f t="shared" si="559"/>
        <v>1</v>
      </c>
      <c r="I1398" s="121">
        <f t="shared" si="560"/>
        <v>1.08</v>
      </c>
      <c r="J1398" s="121">
        <f t="shared" si="561"/>
        <v>1.08</v>
      </c>
      <c r="K1398" s="120">
        <f t="shared" si="562"/>
        <v>0</v>
      </c>
      <c r="L1398" s="120">
        <f t="shared" si="563"/>
        <v>0</v>
      </c>
      <c r="M1398" s="246">
        <f t="shared" si="564"/>
        <v>0</v>
      </c>
      <c r="N1398" s="121">
        <f t="shared" si="565"/>
        <v>1.08</v>
      </c>
      <c r="O1398" s="246">
        <f t="shared" si="566"/>
        <v>0.91</v>
      </c>
      <c r="P1398" s="121">
        <f t="shared" si="567"/>
        <v>8.3333333333333329E-2</v>
      </c>
      <c r="Q1398" s="121">
        <f t="shared" si="568"/>
        <v>0.91666666666666663</v>
      </c>
      <c r="R1398" s="121">
        <f t="shared" si="569"/>
        <v>0</v>
      </c>
      <c r="S1398" s="121" t="str">
        <f t="shared" si="570"/>
        <v/>
      </c>
      <c r="T1398" s="121" t="str">
        <f t="shared" si="571"/>
        <v/>
      </c>
      <c r="U1398" s="121">
        <f t="shared" si="572"/>
        <v>1.08</v>
      </c>
    </row>
    <row r="1399" spans="1:21" x14ac:dyDescent="0.3">
      <c r="A1399" s="187">
        <v>25</v>
      </c>
      <c r="B1399" s="242">
        <f t="shared" si="573"/>
        <v>46388</v>
      </c>
      <c r="C1399" s="243">
        <f t="shared" si="554"/>
        <v>46418</v>
      </c>
      <c r="D1399" s="120">
        <f t="shared" si="555"/>
        <v>31</v>
      </c>
      <c r="E1399" s="120">
        <f t="shared" si="556"/>
        <v>1</v>
      </c>
      <c r="F1399" s="275">
        <f t="shared" si="557"/>
        <v>46403.5</v>
      </c>
      <c r="G1399" s="120">
        <f t="shared" si="558"/>
        <v>24324</v>
      </c>
      <c r="H1399" s="245">
        <f t="shared" si="559"/>
        <v>1</v>
      </c>
      <c r="I1399" s="121">
        <f t="shared" si="560"/>
        <v>1.08</v>
      </c>
      <c r="J1399" s="121">
        <f t="shared" si="561"/>
        <v>1.08</v>
      </c>
      <c r="K1399" s="120">
        <f t="shared" si="562"/>
        <v>0</v>
      </c>
      <c r="L1399" s="120">
        <f t="shared" si="563"/>
        <v>0</v>
      </c>
      <c r="M1399" s="246">
        <f t="shared" si="564"/>
        <v>0</v>
      </c>
      <c r="N1399" s="121">
        <f t="shared" si="565"/>
        <v>1.08</v>
      </c>
      <c r="O1399" s="246">
        <f t="shared" si="566"/>
        <v>0.91</v>
      </c>
      <c r="P1399" s="121">
        <f t="shared" si="567"/>
        <v>0</v>
      </c>
      <c r="Q1399" s="121">
        <f t="shared" si="568"/>
        <v>1</v>
      </c>
      <c r="R1399" s="121">
        <f t="shared" si="569"/>
        <v>0</v>
      </c>
      <c r="S1399" s="121" t="str">
        <f t="shared" si="570"/>
        <v/>
      </c>
      <c r="T1399" s="121" t="str">
        <f t="shared" si="571"/>
        <v/>
      </c>
      <c r="U1399" s="121">
        <f t="shared" si="572"/>
        <v>1.08</v>
      </c>
    </row>
    <row r="1400" spans="1:21" x14ac:dyDescent="0.3">
      <c r="A1400" s="187">
        <v>26</v>
      </c>
      <c r="B1400" s="242">
        <f t="shared" si="573"/>
        <v>46419</v>
      </c>
      <c r="C1400" s="243">
        <f t="shared" si="554"/>
        <v>46446</v>
      </c>
      <c r="D1400" s="120">
        <f t="shared" si="555"/>
        <v>28</v>
      </c>
      <c r="E1400" s="120">
        <f t="shared" si="556"/>
        <v>2</v>
      </c>
      <c r="F1400" s="275">
        <f t="shared" si="557"/>
        <v>46433</v>
      </c>
      <c r="G1400" s="120">
        <f t="shared" si="558"/>
        <v>24325</v>
      </c>
      <c r="H1400" s="245">
        <f t="shared" si="559"/>
        <v>1</v>
      </c>
      <c r="I1400" s="121">
        <f t="shared" si="560"/>
        <v>1.08</v>
      </c>
      <c r="J1400" s="121">
        <f t="shared" si="561"/>
        <v>1.08</v>
      </c>
      <c r="K1400" s="120">
        <f t="shared" si="562"/>
        <v>0</v>
      </c>
      <c r="L1400" s="120">
        <f t="shared" si="563"/>
        <v>0</v>
      </c>
      <c r="M1400" s="246">
        <f t="shared" si="564"/>
        <v>0</v>
      </c>
      <c r="N1400" s="121">
        <f t="shared" si="565"/>
        <v>1.08</v>
      </c>
      <c r="O1400" s="246">
        <f t="shared" si="566"/>
        <v>0.91</v>
      </c>
      <c r="P1400" s="121">
        <f t="shared" si="567"/>
        <v>0</v>
      </c>
      <c r="Q1400" s="121">
        <f t="shared" si="568"/>
        <v>1</v>
      </c>
      <c r="R1400" s="121">
        <f t="shared" si="569"/>
        <v>0</v>
      </c>
      <c r="S1400" s="121" t="str">
        <f t="shared" si="570"/>
        <v/>
      </c>
      <c r="T1400" s="121" t="str">
        <f t="shared" si="571"/>
        <v/>
      </c>
      <c r="U1400" s="121">
        <f t="shared" si="572"/>
        <v>1.08</v>
      </c>
    </row>
    <row r="1401" spans="1:21" x14ac:dyDescent="0.3">
      <c r="A1401" s="187">
        <v>27</v>
      </c>
      <c r="B1401" s="242">
        <f t="shared" si="573"/>
        <v>46447</v>
      </c>
      <c r="C1401" s="243">
        <f t="shared" si="554"/>
        <v>46477</v>
      </c>
      <c r="D1401" s="120">
        <f t="shared" si="555"/>
        <v>31</v>
      </c>
      <c r="E1401" s="120">
        <f t="shared" si="556"/>
        <v>3</v>
      </c>
      <c r="F1401" s="275">
        <f t="shared" si="557"/>
        <v>46462.5</v>
      </c>
      <c r="G1401" s="120">
        <f t="shared" si="558"/>
        <v>24326</v>
      </c>
      <c r="H1401" s="245">
        <f t="shared" si="559"/>
        <v>1</v>
      </c>
      <c r="I1401" s="121">
        <f t="shared" si="560"/>
        <v>1.08</v>
      </c>
      <c r="J1401" s="121">
        <f t="shared" si="561"/>
        <v>1.1318400000000002</v>
      </c>
      <c r="K1401" s="120">
        <f t="shared" si="562"/>
        <v>1</v>
      </c>
      <c r="L1401" s="120">
        <f t="shared" si="563"/>
        <v>31</v>
      </c>
      <c r="M1401" s="246">
        <f t="shared" si="564"/>
        <v>1</v>
      </c>
      <c r="N1401" s="121">
        <f t="shared" si="565"/>
        <v>1.1318400000000002</v>
      </c>
      <c r="O1401" s="246">
        <f t="shared" si="566"/>
        <v>0.91</v>
      </c>
      <c r="P1401" s="121">
        <f t="shared" si="567"/>
        <v>0</v>
      </c>
      <c r="Q1401" s="121">
        <f t="shared" si="568"/>
        <v>1</v>
      </c>
      <c r="R1401" s="121">
        <f t="shared" si="569"/>
        <v>0</v>
      </c>
      <c r="S1401" s="121" t="str">
        <f t="shared" si="570"/>
        <v/>
      </c>
      <c r="T1401" s="121" t="str">
        <f t="shared" si="571"/>
        <v/>
      </c>
      <c r="U1401" s="121">
        <f t="shared" si="572"/>
        <v>1.1318400000000002</v>
      </c>
    </row>
    <row r="1402" spans="1:21" x14ac:dyDescent="0.3">
      <c r="A1402" s="187">
        <v>28</v>
      </c>
      <c r="B1402" s="242">
        <f t="shared" si="573"/>
        <v>46478</v>
      </c>
      <c r="C1402" s="243">
        <f t="shared" si="554"/>
        <v>46507</v>
      </c>
      <c r="D1402" s="120">
        <f t="shared" si="555"/>
        <v>30</v>
      </c>
      <c r="E1402" s="120">
        <f t="shared" si="556"/>
        <v>4</v>
      </c>
      <c r="F1402" s="275">
        <f t="shared" si="557"/>
        <v>46493</v>
      </c>
      <c r="G1402" s="120">
        <f t="shared" si="558"/>
        <v>24327</v>
      </c>
      <c r="H1402" s="245">
        <f t="shared" si="559"/>
        <v>1</v>
      </c>
      <c r="I1402" s="121">
        <f t="shared" si="560"/>
        <v>1.1318400000000002</v>
      </c>
      <c r="J1402" s="121">
        <f t="shared" si="561"/>
        <v>1.1318400000000002</v>
      </c>
      <c r="K1402" s="120">
        <f t="shared" si="562"/>
        <v>0</v>
      </c>
      <c r="L1402" s="120">
        <f t="shared" si="563"/>
        <v>0</v>
      </c>
      <c r="M1402" s="246">
        <f t="shared" si="564"/>
        <v>0</v>
      </c>
      <c r="N1402" s="121">
        <f t="shared" si="565"/>
        <v>1.1318400000000002</v>
      </c>
      <c r="O1402" s="246">
        <f t="shared" si="566"/>
        <v>0.91</v>
      </c>
      <c r="P1402" s="121">
        <f t="shared" si="567"/>
        <v>0</v>
      </c>
      <c r="Q1402" s="121">
        <f t="shared" si="568"/>
        <v>1</v>
      </c>
      <c r="R1402" s="121">
        <f t="shared" si="569"/>
        <v>0</v>
      </c>
      <c r="S1402" s="121" t="str">
        <f t="shared" si="570"/>
        <v/>
      </c>
      <c r="T1402" s="121" t="str">
        <f t="shared" si="571"/>
        <v/>
      </c>
      <c r="U1402" s="121">
        <f t="shared" si="572"/>
        <v>1.1318400000000002</v>
      </c>
    </row>
    <row r="1403" spans="1:21" x14ac:dyDescent="0.3">
      <c r="A1403" s="187">
        <v>29</v>
      </c>
      <c r="B1403" s="242">
        <f t="shared" si="573"/>
        <v>46508</v>
      </c>
      <c r="C1403" s="243">
        <f t="shared" si="554"/>
        <v>46538</v>
      </c>
      <c r="D1403" s="120">
        <f t="shared" si="555"/>
        <v>31</v>
      </c>
      <c r="E1403" s="120">
        <f t="shared" si="556"/>
        <v>5</v>
      </c>
      <c r="F1403" s="275">
        <f t="shared" si="557"/>
        <v>46523.5</v>
      </c>
      <c r="G1403" s="120">
        <f t="shared" si="558"/>
        <v>24328</v>
      </c>
      <c r="H1403" s="245">
        <f t="shared" si="559"/>
        <v>1</v>
      </c>
      <c r="I1403" s="121">
        <f t="shared" si="560"/>
        <v>1.1318400000000002</v>
      </c>
      <c r="J1403" s="121">
        <f t="shared" si="561"/>
        <v>1.1318400000000002</v>
      </c>
      <c r="K1403" s="120">
        <f t="shared" si="562"/>
        <v>0</v>
      </c>
      <c r="L1403" s="120">
        <f t="shared" si="563"/>
        <v>0</v>
      </c>
      <c r="M1403" s="246">
        <f t="shared" si="564"/>
        <v>0</v>
      </c>
      <c r="N1403" s="121">
        <f t="shared" si="565"/>
        <v>1.1318400000000002</v>
      </c>
      <c r="O1403" s="246">
        <f t="shared" si="566"/>
        <v>0.91</v>
      </c>
      <c r="P1403" s="121">
        <f t="shared" si="567"/>
        <v>0</v>
      </c>
      <c r="Q1403" s="121">
        <f t="shared" si="568"/>
        <v>1</v>
      </c>
      <c r="R1403" s="121">
        <f t="shared" si="569"/>
        <v>0</v>
      </c>
      <c r="S1403" s="121" t="str">
        <f t="shared" si="570"/>
        <v/>
      </c>
      <c r="T1403" s="121" t="str">
        <f t="shared" si="571"/>
        <v/>
      </c>
      <c r="U1403" s="121">
        <f t="shared" si="572"/>
        <v>1.1318400000000002</v>
      </c>
    </row>
    <row r="1404" spans="1:21" x14ac:dyDescent="0.3">
      <c r="A1404" s="187">
        <v>30</v>
      </c>
      <c r="B1404" s="242">
        <f t="shared" si="573"/>
        <v>46539</v>
      </c>
      <c r="C1404" s="243">
        <f t="shared" si="554"/>
        <v>46568</v>
      </c>
      <c r="D1404" s="120">
        <f t="shared" si="555"/>
        <v>30</v>
      </c>
      <c r="E1404" s="120">
        <f t="shared" si="556"/>
        <v>6</v>
      </c>
      <c r="F1404" s="275">
        <f t="shared" si="557"/>
        <v>46554</v>
      </c>
      <c r="G1404" s="120">
        <f t="shared" si="558"/>
        <v>24329</v>
      </c>
      <c r="H1404" s="245">
        <f t="shared" si="559"/>
        <v>1</v>
      </c>
      <c r="I1404" s="121">
        <f t="shared" si="560"/>
        <v>1.1318400000000002</v>
      </c>
      <c r="J1404" s="121">
        <f t="shared" si="561"/>
        <v>1.1318400000000002</v>
      </c>
      <c r="K1404" s="120">
        <f t="shared" si="562"/>
        <v>0</v>
      </c>
      <c r="L1404" s="120">
        <f t="shared" si="563"/>
        <v>0</v>
      </c>
      <c r="M1404" s="246">
        <f t="shared" si="564"/>
        <v>0</v>
      </c>
      <c r="N1404" s="121">
        <f t="shared" si="565"/>
        <v>1.1318400000000002</v>
      </c>
      <c r="O1404" s="246">
        <f t="shared" si="566"/>
        <v>0.91</v>
      </c>
      <c r="P1404" s="121">
        <f t="shared" si="567"/>
        <v>0</v>
      </c>
      <c r="Q1404" s="121">
        <f t="shared" si="568"/>
        <v>1</v>
      </c>
      <c r="R1404" s="121">
        <f t="shared" si="569"/>
        <v>0</v>
      </c>
      <c r="S1404" s="121" t="str">
        <f t="shared" si="570"/>
        <v/>
      </c>
      <c r="T1404" s="121" t="str">
        <f t="shared" si="571"/>
        <v/>
      </c>
      <c r="U1404" s="121">
        <f t="shared" si="572"/>
        <v>1.1318400000000002</v>
      </c>
    </row>
    <row r="1405" spans="1:21" x14ac:dyDescent="0.3">
      <c r="A1405" s="187">
        <v>31</v>
      </c>
      <c r="B1405" s="242">
        <f t="shared" si="573"/>
        <v>46569</v>
      </c>
      <c r="C1405" s="243">
        <f t="shared" si="554"/>
        <v>46599</v>
      </c>
      <c r="D1405" s="120">
        <f t="shared" si="555"/>
        <v>31</v>
      </c>
      <c r="E1405" s="120">
        <f t="shared" si="556"/>
        <v>7</v>
      </c>
      <c r="F1405" s="275">
        <f t="shared" si="557"/>
        <v>46584.5</v>
      </c>
      <c r="G1405" s="120">
        <f t="shared" si="558"/>
        <v>24330</v>
      </c>
      <c r="H1405" s="245">
        <f t="shared" si="559"/>
        <v>1</v>
      </c>
      <c r="I1405" s="121">
        <f t="shared" si="560"/>
        <v>1.1318400000000002</v>
      </c>
      <c r="J1405" s="121">
        <f t="shared" si="561"/>
        <v>1.1318400000000002</v>
      </c>
      <c r="K1405" s="120">
        <f t="shared" si="562"/>
        <v>0</v>
      </c>
      <c r="L1405" s="120">
        <f t="shared" si="563"/>
        <v>0</v>
      </c>
      <c r="M1405" s="246">
        <f t="shared" si="564"/>
        <v>0</v>
      </c>
      <c r="N1405" s="121">
        <f t="shared" si="565"/>
        <v>1.1318400000000002</v>
      </c>
      <c r="O1405" s="246">
        <f t="shared" si="566"/>
        <v>0.91</v>
      </c>
      <c r="P1405" s="121">
        <f t="shared" si="567"/>
        <v>0</v>
      </c>
      <c r="Q1405" s="121">
        <f t="shared" si="568"/>
        <v>0.91666666666666663</v>
      </c>
      <c r="R1405" s="121">
        <f t="shared" si="569"/>
        <v>8.333333333333337E-2</v>
      </c>
      <c r="S1405" s="121" t="str">
        <f t="shared" si="570"/>
        <v/>
      </c>
      <c r="T1405" s="121" t="str">
        <f t="shared" si="571"/>
        <v/>
      </c>
      <c r="U1405" s="121">
        <f t="shared" si="572"/>
        <v>1.1318400000000002</v>
      </c>
    </row>
    <row r="1406" spans="1:21" x14ac:dyDescent="0.3">
      <c r="A1406" s="187">
        <v>32</v>
      </c>
      <c r="B1406" s="242">
        <f t="shared" si="573"/>
        <v>46600</v>
      </c>
      <c r="C1406" s="243">
        <f t="shared" si="554"/>
        <v>46630</v>
      </c>
      <c r="D1406" s="120">
        <f t="shared" si="555"/>
        <v>31</v>
      </c>
      <c r="E1406" s="120">
        <f t="shared" si="556"/>
        <v>8</v>
      </c>
      <c r="F1406" s="275">
        <f t="shared" si="557"/>
        <v>46615.5</v>
      </c>
      <c r="G1406" s="120">
        <f t="shared" si="558"/>
        <v>24331</v>
      </c>
      <c r="H1406" s="245">
        <f t="shared" si="559"/>
        <v>1</v>
      </c>
      <c r="I1406" s="121">
        <f t="shared" si="560"/>
        <v>1.1318400000000002</v>
      </c>
      <c r="J1406" s="121">
        <f t="shared" si="561"/>
        <v>1.1318400000000002</v>
      </c>
      <c r="K1406" s="120">
        <f t="shared" si="562"/>
        <v>0</v>
      </c>
      <c r="L1406" s="120">
        <f t="shared" si="563"/>
        <v>0</v>
      </c>
      <c r="M1406" s="246">
        <f t="shared" si="564"/>
        <v>0</v>
      </c>
      <c r="N1406" s="121">
        <f t="shared" si="565"/>
        <v>1.1318400000000002</v>
      </c>
      <c r="O1406" s="246">
        <f t="shared" si="566"/>
        <v>0.91</v>
      </c>
      <c r="P1406" s="121">
        <f t="shared" si="567"/>
        <v>0</v>
      </c>
      <c r="Q1406" s="121">
        <f t="shared" si="568"/>
        <v>0.75</v>
      </c>
      <c r="R1406" s="121">
        <f t="shared" si="569"/>
        <v>0.25</v>
      </c>
      <c r="S1406" s="121" t="str">
        <f t="shared" si="570"/>
        <v/>
      </c>
      <c r="T1406" s="121" t="str">
        <f t="shared" si="571"/>
        <v/>
      </c>
      <c r="U1406" s="121">
        <f t="shared" si="572"/>
        <v>1.1318400000000002</v>
      </c>
    </row>
    <row r="1407" spans="1:21" x14ac:dyDescent="0.3">
      <c r="A1407" s="187">
        <v>33</v>
      </c>
      <c r="B1407" s="242">
        <f t="shared" si="573"/>
        <v>46631</v>
      </c>
      <c r="C1407" s="243">
        <f t="shared" si="554"/>
        <v>46660</v>
      </c>
      <c r="D1407" s="120">
        <f t="shared" si="555"/>
        <v>30</v>
      </c>
      <c r="E1407" s="120">
        <f t="shared" si="556"/>
        <v>9</v>
      </c>
      <c r="F1407" s="275">
        <f t="shared" si="557"/>
        <v>46646</v>
      </c>
      <c r="G1407" s="120">
        <f t="shared" si="558"/>
        <v>24332</v>
      </c>
      <c r="H1407" s="245">
        <f t="shared" si="559"/>
        <v>1</v>
      </c>
      <c r="I1407" s="121">
        <f t="shared" si="560"/>
        <v>1.1318400000000002</v>
      </c>
      <c r="J1407" s="121">
        <f t="shared" si="561"/>
        <v>1.1318400000000002</v>
      </c>
      <c r="K1407" s="120">
        <f t="shared" si="562"/>
        <v>0</v>
      </c>
      <c r="L1407" s="120">
        <f t="shared" si="563"/>
        <v>0</v>
      </c>
      <c r="M1407" s="246">
        <f t="shared" si="564"/>
        <v>0</v>
      </c>
      <c r="N1407" s="121">
        <f t="shared" si="565"/>
        <v>1.1318400000000002</v>
      </c>
      <c r="O1407" s="246">
        <f t="shared" si="566"/>
        <v>0.91</v>
      </c>
      <c r="P1407" s="121">
        <f t="shared" si="567"/>
        <v>0</v>
      </c>
      <c r="Q1407" s="121">
        <f t="shared" si="568"/>
        <v>0.58333333333333337</v>
      </c>
      <c r="R1407" s="121">
        <f t="shared" si="569"/>
        <v>0.41666666666666663</v>
      </c>
      <c r="S1407" s="121" t="str">
        <f t="shared" si="570"/>
        <v/>
      </c>
      <c r="T1407" s="121" t="str">
        <f t="shared" si="571"/>
        <v/>
      </c>
      <c r="U1407" s="121">
        <f t="shared" si="572"/>
        <v>1.1318400000000002</v>
      </c>
    </row>
    <row r="1408" spans="1:21" x14ac:dyDescent="0.3">
      <c r="A1408" s="187">
        <v>34</v>
      </c>
      <c r="B1408" s="242">
        <f t="shared" si="573"/>
        <v>46661</v>
      </c>
      <c r="C1408" s="243">
        <f t="shared" si="554"/>
        <v>46691</v>
      </c>
      <c r="D1408" s="120">
        <f t="shared" si="555"/>
        <v>31</v>
      </c>
      <c r="E1408" s="120">
        <f t="shared" si="556"/>
        <v>10</v>
      </c>
      <c r="F1408" s="275">
        <f t="shared" si="557"/>
        <v>46676.5</v>
      </c>
      <c r="G1408" s="120">
        <f t="shared" si="558"/>
        <v>24333</v>
      </c>
      <c r="H1408" s="245">
        <f t="shared" si="559"/>
        <v>1</v>
      </c>
      <c r="I1408" s="121">
        <f t="shared" si="560"/>
        <v>1.1318400000000002</v>
      </c>
      <c r="J1408" s="121">
        <f t="shared" si="561"/>
        <v>1.1318400000000002</v>
      </c>
      <c r="K1408" s="120">
        <f t="shared" si="562"/>
        <v>0</v>
      </c>
      <c r="L1408" s="120">
        <f t="shared" si="563"/>
        <v>0</v>
      </c>
      <c r="M1408" s="246">
        <f t="shared" si="564"/>
        <v>0</v>
      </c>
      <c r="N1408" s="121">
        <f t="shared" si="565"/>
        <v>1.1318400000000002</v>
      </c>
      <c r="O1408" s="246">
        <f t="shared" si="566"/>
        <v>0.91</v>
      </c>
      <c r="P1408" s="121">
        <f t="shared" si="567"/>
        <v>0</v>
      </c>
      <c r="Q1408" s="121">
        <f t="shared" si="568"/>
        <v>0.41666666666666669</v>
      </c>
      <c r="R1408" s="121">
        <f t="shared" si="569"/>
        <v>0.58333333333333326</v>
      </c>
      <c r="S1408" s="121" t="str">
        <f t="shared" si="570"/>
        <v/>
      </c>
      <c r="T1408" s="121" t="str">
        <f t="shared" si="571"/>
        <v/>
      </c>
      <c r="U1408" s="121">
        <f t="shared" si="572"/>
        <v>1.1318400000000002</v>
      </c>
    </row>
    <row r="1409" spans="1:21" x14ac:dyDescent="0.3">
      <c r="A1409" s="187">
        <v>35</v>
      </c>
      <c r="B1409" s="242">
        <f t="shared" si="573"/>
        <v>46692</v>
      </c>
      <c r="C1409" s="243">
        <f t="shared" si="554"/>
        <v>46721</v>
      </c>
      <c r="D1409" s="120">
        <f t="shared" si="555"/>
        <v>30</v>
      </c>
      <c r="E1409" s="120">
        <f t="shared" si="556"/>
        <v>11</v>
      </c>
      <c r="F1409" s="275">
        <f t="shared" si="557"/>
        <v>46707</v>
      </c>
      <c r="G1409" s="120">
        <f t="shared" si="558"/>
        <v>24334</v>
      </c>
      <c r="H1409" s="245">
        <f t="shared" si="559"/>
        <v>1</v>
      </c>
      <c r="I1409" s="121">
        <f t="shared" si="560"/>
        <v>1.1318400000000002</v>
      </c>
      <c r="J1409" s="121">
        <f t="shared" si="561"/>
        <v>1.1318400000000002</v>
      </c>
      <c r="K1409" s="120">
        <f t="shared" si="562"/>
        <v>0</v>
      </c>
      <c r="L1409" s="120">
        <f t="shared" si="563"/>
        <v>0</v>
      </c>
      <c r="M1409" s="246">
        <f t="shared" si="564"/>
        <v>0</v>
      </c>
      <c r="N1409" s="121">
        <f t="shared" si="565"/>
        <v>1.1318400000000002</v>
      </c>
      <c r="O1409" s="246">
        <f t="shared" si="566"/>
        <v>0.91</v>
      </c>
      <c r="P1409" s="121">
        <f t="shared" si="567"/>
        <v>0</v>
      </c>
      <c r="Q1409" s="121">
        <f t="shared" si="568"/>
        <v>0.25</v>
      </c>
      <c r="R1409" s="121">
        <f t="shared" si="569"/>
        <v>0.75</v>
      </c>
      <c r="S1409" s="121" t="str">
        <f t="shared" si="570"/>
        <v/>
      </c>
      <c r="T1409" s="121" t="str">
        <f t="shared" si="571"/>
        <v/>
      </c>
      <c r="U1409" s="121">
        <f t="shared" si="572"/>
        <v>1.1318400000000002</v>
      </c>
    </row>
    <row r="1410" spans="1:21" x14ac:dyDescent="0.3">
      <c r="A1410" s="187">
        <v>36</v>
      </c>
      <c r="B1410" s="242">
        <f t="shared" si="573"/>
        <v>46722</v>
      </c>
      <c r="C1410" s="243">
        <f t="shared" si="554"/>
        <v>46752</v>
      </c>
      <c r="D1410" s="120">
        <f t="shared" si="555"/>
        <v>31</v>
      </c>
      <c r="E1410" s="120">
        <f t="shared" si="556"/>
        <v>12</v>
      </c>
      <c r="F1410" s="275">
        <f t="shared" si="557"/>
        <v>46737.5</v>
      </c>
      <c r="G1410" s="120">
        <f t="shared" si="558"/>
        <v>24335</v>
      </c>
      <c r="H1410" s="245">
        <f t="shared" si="559"/>
        <v>1</v>
      </c>
      <c r="I1410" s="121">
        <f t="shared" si="560"/>
        <v>1.1318400000000002</v>
      </c>
      <c r="J1410" s="121">
        <f t="shared" si="561"/>
        <v>1.1318400000000002</v>
      </c>
      <c r="K1410" s="120">
        <f t="shared" si="562"/>
        <v>0</v>
      </c>
      <c r="L1410" s="120">
        <f t="shared" si="563"/>
        <v>0</v>
      </c>
      <c r="M1410" s="246">
        <f t="shared" si="564"/>
        <v>0</v>
      </c>
      <c r="N1410" s="121">
        <f t="shared" si="565"/>
        <v>1.1318400000000002</v>
      </c>
      <c r="O1410" s="246">
        <f t="shared" si="566"/>
        <v>0.91</v>
      </c>
      <c r="P1410" s="121">
        <f t="shared" si="567"/>
        <v>0</v>
      </c>
      <c r="Q1410" s="121">
        <f t="shared" si="568"/>
        <v>8.3333333333333329E-2</v>
      </c>
      <c r="R1410" s="121">
        <f t="shared" si="569"/>
        <v>0.91666666666666663</v>
      </c>
      <c r="S1410" s="121" t="str">
        <f t="shared" si="570"/>
        <v/>
      </c>
      <c r="T1410" s="121" t="str">
        <f t="shared" si="571"/>
        <v/>
      </c>
      <c r="U1410" s="121">
        <f t="shared" si="572"/>
        <v>1.1318400000000002</v>
      </c>
    </row>
    <row r="1411" spans="1:21" x14ac:dyDescent="0.3">
      <c r="A1411" s="187">
        <v>37</v>
      </c>
      <c r="B1411" s="242">
        <f t="shared" si="573"/>
        <v>46753</v>
      </c>
      <c r="C1411" s="243">
        <f t="shared" si="554"/>
        <v>46783</v>
      </c>
      <c r="D1411" s="120">
        <f t="shared" si="555"/>
        <v>31</v>
      </c>
      <c r="E1411" s="120">
        <f t="shared" si="556"/>
        <v>1</v>
      </c>
      <c r="F1411" s="275">
        <f t="shared" si="557"/>
        <v>46768.5</v>
      </c>
      <c r="G1411" s="120">
        <f t="shared" si="558"/>
        <v>24336</v>
      </c>
      <c r="H1411" s="245">
        <f t="shared" si="559"/>
        <v>1</v>
      </c>
      <c r="I1411" s="121">
        <f t="shared" si="560"/>
        <v>1.1318400000000002</v>
      </c>
      <c r="J1411" s="121">
        <f t="shared" si="561"/>
        <v>1.1318400000000002</v>
      </c>
      <c r="K1411" s="120">
        <f t="shared" si="562"/>
        <v>0</v>
      </c>
      <c r="L1411" s="120">
        <f t="shared" si="563"/>
        <v>0</v>
      </c>
      <c r="M1411" s="246">
        <f t="shared" si="564"/>
        <v>0</v>
      </c>
      <c r="N1411" s="121">
        <f t="shared" si="565"/>
        <v>1.1318400000000002</v>
      </c>
      <c r="O1411" s="246">
        <f t="shared" si="566"/>
        <v>0.91</v>
      </c>
      <c r="P1411" s="121">
        <f t="shared" si="567"/>
        <v>0</v>
      </c>
      <c r="Q1411" s="121">
        <f t="shared" si="568"/>
        <v>0</v>
      </c>
      <c r="R1411" s="121">
        <f t="shared" si="569"/>
        <v>1</v>
      </c>
      <c r="S1411" s="121" t="str">
        <f t="shared" si="570"/>
        <v/>
      </c>
      <c r="T1411" s="121" t="str">
        <f t="shared" si="571"/>
        <v/>
      </c>
      <c r="U1411" s="121">
        <f t="shared" si="572"/>
        <v>1.1318400000000002</v>
      </c>
    </row>
    <row r="1412" spans="1:21" x14ac:dyDescent="0.3">
      <c r="A1412" s="187">
        <v>38</v>
      </c>
      <c r="B1412" s="242">
        <f t="shared" si="573"/>
        <v>46784</v>
      </c>
      <c r="C1412" s="243">
        <f t="shared" si="554"/>
        <v>46812</v>
      </c>
      <c r="D1412" s="120">
        <f t="shared" si="555"/>
        <v>29</v>
      </c>
      <c r="E1412" s="120">
        <f t="shared" si="556"/>
        <v>2</v>
      </c>
      <c r="F1412" s="275">
        <f t="shared" si="557"/>
        <v>46798.5</v>
      </c>
      <c r="G1412" s="120">
        <f t="shared" si="558"/>
        <v>24337</v>
      </c>
      <c r="H1412" s="245">
        <f t="shared" si="559"/>
        <v>1</v>
      </c>
      <c r="I1412" s="121">
        <f t="shared" si="560"/>
        <v>1.1318400000000002</v>
      </c>
      <c r="J1412" s="121">
        <f t="shared" si="561"/>
        <v>1.1318400000000002</v>
      </c>
      <c r="K1412" s="120">
        <f t="shared" si="562"/>
        <v>0</v>
      </c>
      <c r="L1412" s="120">
        <f t="shared" si="563"/>
        <v>0</v>
      </c>
      <c r="M1412" s="246">
        <f t="shared" si="564"/>
        <v>0</v>
      </c>
      <c r="N1412" s="121">
        <f t="shared" si="565"/>
        <v>1.1318400000000002</v>
      </c>
      <c r="O1412" s="246">
        <f t="shared" si="566"/>
        <v>0.91</v>
      </c>
      <c r="P1412" s="121">
        <f t="shared" si="567"/>
        <v>0</v>
      </c>
      <c r="Q1412" s="121">
        <f t="shared" si="568"/>
        <v>0</v>
      </c>
      <c r="R1412" s="121">
        <f t="shared" si="569"/>
        <v>1</v>
      </c>
      <c r="S1412" s="121" t="str">
        <f t="shared" si="570"/>
        <v/>
      </c>
      <c r="T1412" s="121" t="str">
        <f t="shared" si="571"/>
        <v/>
      </c>
      <c r="U1412" s="121">
        <f t="shared" si="572"/>
        <v>1.1318400000000002</v>
      </c>
    </row>
    <row r="1413" spans="1:21" x14ac:dyDescent="0.3">
      <c r="A1413" s="187">
        <v>39</v>
      </c>
      <c r="B1413" s="242">
        <f t="shared" si="573"/>
        <v>46813</v>
      </c>
      <c r="C1413" s="243">
        <f t="shared" si="554"/>
        <v>46843</v>
      </c>
      <c r="D1413" s="120">
        <f t="shared" si="555"/>
        <v>31</v>
      </c>
      <c r="E1413" s="120">
        <f t="shared" si="556"/>
        <v>3</v>
      </c>
      <c r="F1413" s="275">
        <f t="shared" si="557"/>
        <v>46828.5</v>
      </c>
      <c r="G1413" s="120">
        <f t="shared" si="558"/>
        <v>24338</v>
      </c>
      <c r="H1413" s="245">
        <f t="shared" si="559"/>
        <v>1</v>
      </c>
      <c r="I1413" s="121">
        <f t="shared" si="560"/>
        <v>1.1318400000000002</v>
      </c>
      <c r="J1413" s="121">
        <f t="shared" si="561"/>
        <v>1.1318400000000002</v>
      </c>
      <c r="K1413" s="120">
        <f t="shared" si="562"/>
        <v>0</v>
      </c>
      <c r="L1413" s="120">
        <f t="shared" si="563"/>
        <v>0</v>
      </c>
      <c r="M1413" s="246">
        <f t="shared" si="564"/>
        <v>0</v>
      </c>
      <c r="N1413" s="121">
        <f t="shared" si="565"/>
        <v>1.1318400000000002</v>
      </c>
      <c r="O1413" s="246">
        <f t="shared" si="566"/>
        <v>0.91</v>
      </c>
      <c r="P1413" s="121">
        <f t="shared" si="567"/>
        <v>0</v>
      </c>
      <c r="Q1413" s="121">
        <f t="shared" si="568"/>
        <v>0</v>
      </c>
      <c r="R1413" s="121">
        <f t="shared" si="569"/>
        <v>1</v>
      </c>
      <c r="S1413" s="121" t="str">
        <f t="shared" si="570"/>
        <v/>
      </c>
      <c r="T1413" s="121" t="str">
        <f t="shared" si="571"/>
        <v/>
      </c>
      <c r="U1413" s="121">
        <f t="shared" si="572"/>
        <v>1.1318400000000002</v>
      </c>
    </row>
    <row r="1414" spans="1:21" x14ac:dyDescent="0.3">
      <c r="A1414" s="187">
        <v>40</v>
      </c>
      <c r="B1414" s="242">
        <f t="shared" si="573"/>
        <v>46844</v>
      </c>
      <c r="C1414" s="243">
        <f t="shared" si="554"/>
        <v>46873</v>
      </c>
      <c r="D1414" s="120">
        <f t="shared" si="555"/>
        <v>30</v>
      </c>
      <c r="E1414" s="120">
        <f t="shared" si="556"/>
        <v>4</v>
      </c>
      <c r="F1414" s="275">
        <f t="shared" si="557"/>
        <v>46859</v>
      </c>
      <c r="G1414" s="120">
        <f t="shared" si="558"/>
        <v>24339</v>
      </c>
      <c r="H1414" s="245">
        <f t="shared" si="559"/>
        <v>1</v>
      </c>
      <c r="I1414" s="121">
        <f t="shared" si="560"/>
        <v>1.1318400000000002</v>
      </c>
      <c r="J1414" s="121">
        <f t="shared" si="561"/>
        <v>1.1318400000000002</v>
      </c>
      <c r="K1414" s="120">
        <f t="shared" si="562"/>
        <v>0</v>
      </c>
      <c r="L1414" s="120">
        <f t="shared" si="563"/>
        <v>0</v>
      </c>
      <c r="M1414" s="246">
        <f t="shared" si="564"/>
        <v>0</v>
      </c>
      <c r="N1414" s="121">
        <f t="shared" si="565"/>
        <v>1.1318400000000002</v>
      </c>
      <c r="O1414" s="246">
        <f t="shared" si="566"/>
        <v>0.91</v>
      </c>
      <c r="P1414" s="121">
        <f t="shared" si="567"/>
        <v>0</v>
      </c>
      <c r="Q1414" s="121">
        <f t="shared" si="568"/>
        <v>0</v>
      </c>
      <c r="R1414" s="121">
        <f t="shared" si="569"/>
        <v>1</v>
      </c>
      <c r="S1414" s="121" t="str">
        <f t="shared" si="570"/>
        <v/>
      </c>
      <c r="T1414" s="121" t="str">
        <f t="shared" si="571"/>
        <v/>
      </c>
      <c r="U1414" s="121">
        <f t="shared" si="572"/>
        <v>1.1318400000000002</v>
      </c>
    </row>
    <row r="1415" spans="1:21" x14ac:dyDescent="0.3">
      <c r="A1415" s="187">
        <v>41</v>
      </c>
      <c r="B1415" s="242">
        <f t="shared" si="573"/>
        <v>46874</v>
      </c>
      <c r="C1415" s="243">
        <f t="shared" si="554"/>
        <v>46904</v>
      </c>
      <c r="D1415" s="120">
        <f t="shared" si="555"/>
        <v>31</v>
      </c>
      <c r="E1415" s="120">
        <f t="shared" si="556"/>
        <v>5</v>
      </c>
      <c r="F1415" s="275">
        <f t="shared" si="557"/>
        <v>46889.5</v>
      </c>
      <c r="G1415" s="120">
        <f t="shared" si="558"/>
        <v>24340</v>
      </c>
      <c r="H1415" s="245">
        <f t="shared" si="559"/>
        <v>1</v>
      </c>
      <c r="I1415" s="121">
        <f t="shared" si="560"/>
        <v>1.1318400000000002</v>
      </c>
      <c r="J1415" s="121">
        <f t="shared" si="561"/>
        <v>1.1318400000000002</v>
      </c>
      <c r="K1415" s="120">
        <f t="shared" si="562"/>
        <v>0</v>
      </c>
      <c r="L1415" s="120">
        <f t="shared" si="563"/>
        <v>0</v>
      </c>
      <c r="M1415" s="246">
        <f t="shared" si="564"/>
        <v>0</v>
      </c>
      <c r="N1415" s="121">
        <f t="shared" si="565"/>
        <v>1.1318400000000002</v>
      </c>
      <c r="O1415" s="246">
        <f t="shared" si="566"/>
        <v>0.91</v>
      </c>
      <c r="P1415" s="121">
        <f t="shared" si="567"/>
        <v>0</v>
      </c>
      <c r="Q1415" s="121">
        <f t="shared" si="568"/>
        <v>0</v>
      </c>
      <c r="R1415" s="121">
        <f t="shared" si="569"/>
        <v>1</v>
      </c>
      <c r="S1415" s="121" t="str">
        <f t="shared" si="570"/>
        <v/>
      </c>
      <c r="T1415" s="121" t="str">
        <f t="shared" si="571"/>
        <v/>
      </c>
      <c r="U1415" s="121">
        <f t="shared" si="572"/>
        <v>1.1318400000000002</v>
      </c>
    </row>
    <row r="1416" spans="1:21" x14ac:dyDescent="0.3">
      <c r="A1416" s="187">
        <v>42</v>
      </c>
      <c r="B1416" s="242">
        <f t="shared" si="573"/>
        <v>46905</v>
      </c>
      <c r="C1416" s="243">
        <f t="shared" si="554"/>
        <v>46934</v>
      </c>
      <c r="D1416" s="120">
        <f t="shared" si="555"/>
        <v>30</v>
      </c>
      <c r="E1416" s="120">
        <f t="shared" si="556"/>
        <v>6</v>
      </c>
      <c r="F1416" s="275">
        <f t="shared" si="557"/>
        <v>46920</v>
      </c>
      <c r="G1416" s="120">
        <f t="shared" si="558"/>
        <v>24341</v>
      </c>
      <c r="H1416" s="245">
        <f t="shared" si="559"/>
        <v>1</v>
      </c>
      <c r="I1416" s="121">
        <f t="shared" si="560"/>
        <v>1.1318400000000002</v>
      </c>
      <c r="J1416" s="121">
        <f t="shared" si="561"/>
        <v>1.1318400000000002</v>
      </c>
      <c r="K1416" s="120">
        <f t="shared" si="562"/>
        <v>0</v>
      </c>
      <c r="L1416" s="120">
        <f t="shared" si="563"/>
        <v>0</v>
      </c>
      <c r="M1416" s="246">
        <f t="shared" si="564"/>
        <v>0</v>
      </c>
      <c r="N1416" s="121">
        <f t="shared" si="565"/>
        <v>1.1318400000000002</v>
      </c>
      <c r="O1416" s="246">
        <f t="shared" si="566"/>
        <v>0.91</v>
      </c>
      <c r="P1416" s="121">
        <f t="shared" si="567"/>
        <v>0</v>
      </c>
      <c r="Q1416" s="121">
        <f t="shared" si="568"/>
        <v>0</v>
      </c>
      <c r="R1416" s="121">
        <f t="shared" si="569"/>
        <v>1</v>
      </c>
      <c r="S1416" s="121" t="str">
        <f t="shared" si="570"/>
        <v/>
      </c>
      <c r="T1416" s="121" t="str">
        <f t="shared" si="571"/>
        <v/>
      </c>
      <c r="U1416" s="121">
        <f t="shared" si="572"/>
        <v>1.1318400000000002</v>
      </c>
    </row>
    <row r="1417" spans="1:21" x14ac:dyDescent="0.3">
      <c r="A1417" s="187">
        <v>43</v>
      </c>
      <c r="B1417" s="242">
        <f t="shared" si="573"/>
        <v>46935</v>
      </c>
      <c r="C1417" s="243">
        <f t="shared" si="554"/>
        <v>46965</v>
      </c>
      <c r="D1417" s="120">
        <f t="shared" si="555"/>
        <v>31</v>
      </c>
      <c r="E1417" s="120">
        <f t="shared" si="556"/>
        <v>7</v>
      </c>
      <c r="F1417" s="275">
        <f t="shared" si="557"/>
        <v>46950.5</v>
      </c>
      <c r="G1417" s="120">
        <f t="shared" si="558"/>
        <v>24342</v>
      </c>
      <c r="H1417" s="245">
        <f t="shared" si="559"/>
        <v>1</v>
      </c>
      <c r="I1417" s="121">
        <f t="shared" si="560"/>
        <v>1.1318400000000002</v>
      </c>
      <c r="J1417" s="121">
        <f t="shared" si="561"/>
        <v>1.1318400000000002</v>
      </c>
      <c r="K1417" s="120">
        <f t="shared" si="562"/>
        <v>0</v>
      </c>
      <c r="L1417" s="120">
        <f t="shared" si="563"/>
        <v>0</v>
      </c>
      <c r="M1417" s="246">
        <f t="shared" si="564"/>
        <v>0</v>
      </c>
      <c r="N1417" s="121">
        <f t="shared" si="565"/>
        <v>1.1318400000000002</v>
      </c>
      <c r="O1417" s="246">
        <f t="shared" si="566"/>
        <v>0.91</v>
      </c>
      <c r="P1417" s="121">
        <f t="shared" si="567"/>
        <v>0</v>
      </c>
      <c r="Q1417" s="121">
        <f t="shared" si="568"/>
        <v>0</v>
      </c>
      <c r="R1417" s="121">
        <f t="shared" si="569"/>
        <v>0.91666666666666663</v>
      </c>
      <c r="S1417" s="121" t="str">
        <f t="shared" si="570"/>
        <v/>
      </c>
      <c r="T1417" s="121" t="str">
        <f t="shared" si="571"/>
        <v/>
      </c>
      <c r="U1417" s="121">
        <f t="shared" si="572"/>
        <v>1.1318400000000002</v>
      </c>
    </row>
    <row r="1418" spans="1:21" x14ac:dyDescent="0.3">
      <c r="A1418" s="187">
        <v>44</v>
      </c>
      <c r="B1418" s="242">
        <f t="shared" si="573"/>
        <v>46966</v>
      </c>
      <c r="C1418" s="243">
        <f t="shared" si="554"/>
        <v>46996</v>
      </c>
      <c r="D1418" s="120">
        <f t="shared" si="555"/>
        <v>31</v>
      </c>
      <c r="E1418" s="120">
        <f t="shared" si="556"/>
        <v>8</v>
      </c>
      <c r="F1418" s="275">
        <f t="shared" si="557"/>
        <v>46981.5</v>
      </c>
      <c r="G1418" s="120">
        <f t="shared" si="558"/>
        <v>24343</v>
      </c>
      <c r="H1418" s="245">
        <f t="shared" si="559"/>
        <v>1</v>
      </c>
      <c r="I1418" s="121">
        <f t="shared" si="560"/>
        <v>1.1318400000000002</v>
      </c>
      <c r="J1418" s="121">
        <f t="shared" si="561"/>
        <v>1.1318400000000002</v>
      </c>
      <c r="K1418" s="120">
        <f t="shared" si="562"/>
        <v>0</v>
      </c>
      <c r="L1418" s="120">
        <f t="shared" si="563"/>
        <v>0</v>
      </c>
      <c r="M1418" s="246">
        <f t="shared" si="564"/>
        <v>0</v>
      </c>
      <c r="N1418" s="121">
        <f t="shared" si="565"/>
        <v>1.1318400000000002</v>
      </c>
      <c r="O1418" s="246">
        <f t="shared" si="566"/>
        <v>0.91</v>
      </c>
      <c r="P1418" s="121">
        <f t="shared" si="567"/>
        <v>0</v>
      </c>
      <c r="Q1418" s="121">
        <f t="shared" si="568"/>
        <v>0</v>
      </c>
      <c r="R1418" s="121">
        <f t="shared" si="569"/>
        <v>0.75</v>
      </c>
      <c r="S1418" s="121" t="str">
        <f t="shared" si="570"/>
        <v/>
      </c>
      <c r="T1418" s="121" t="str">
        <f t="shared" si="571"/>
        <v/>
      </c>
      <c r="U1418" s="121">
        <f t="shared" si="572"/>
        <v>1.1318400000000002</v>
      </c>
    </row>
    <row r="1419" spans="1:21" x14ac:dyDescent="0.3">
      <c r="A1419" s="187">
        <v>45</v>
      </c>
      <c r="B1419" s="242">
        <f t="shared" si="573"/>
        <v>46997</v>
      </c>
      <c r="C1419" s="243">
        <f t="shared" si="554"/>
        <v>47026</v>
      </c>
      <c r="D1419" s="120">
        <f t="shared" si="555"/>
        <v>30</v>
      </c>
      <c r="E1419" s="120">
        <f t="shared" si="556"/>
        <v>9</v>
      </c>
      <c r="F1419" s="275">
        <f t="shared" si="557"/>
        <v>47012</v>
      </c>
      <c r="G1419" s="120">
        <f t="shared" si="558"/>
        <v>24344</v>
      </c>
      <c r="H1419" s="245">
        <f t="shared" si="559"/>
        <v>1</v>
      </c>
      <c r="I1419" s="121">
        <f t="shared" si="560"/>
        <v>1.1318400000000002</v>
      </c>
      <c r="J1419" s="121">
        <f t="shared" si="561"/>
        <v>1.1318400000000002</v>
      </c>
      <c r="K1419" s="120">
        <f t="shared" si="562"/>
        <v>0</v>
      </c>
      <c r="L1419" s="120">
        <f t="shared" si="563"/>
        <v>0</v>
      </c>
      <c r="M1419" s="246">
        <f t="shared" si="564"/>
        <v>0</v>
      </c>
      <c r="N1419" s="121">
        <f t="shared" si="565"/>
        <v>1.1318400000000002</v>
      </c>
      <c r="O1419" s="246">
        <f t="shared" si="566"/>
        <v>0.91</v>
      </c>
      <c r="P1419" s="121">
        <f t="shared" si="567"/>
        <v>0</v>
      </c>
      <c r="Q1419" s="121">
        <f t="shared" si="568"/>
        <v>0</v>
      </c>
      <c r="R1419" s="121">
        <f t="shared" si="569"/>
        <v>0.58333333333333337</v>
      </c>
      <c r="S1419" s="121" t="str">
        <f t="shared" si="570"/>
        <v/>
      </c>
      <c r="T1419" s="121" t="str">
        <f t="shared" si="571"/>
        <v/>
      </c>
      <c r="U1419" s="121">
        <f t="shared" si="572"/>
        <v>1.1318400000000002</v>
      </c>
    </row>
    <row r="1420" spans="1:21" x14ac:dyDescent="0.3">
      <c r="A1420" s="187">
        <v>46</v>
      </c>
      <c r="B1420" s="242">
        <f t="shared" si="573"/>
        <v>47027</v>
      </c>
      <c r="C1420" s="243">
        <f t="shared" si="554"/>
        <v>47057</v>
      </c>
      <c r="D1420" s="120">
        <f t="shared" si="555"/>
        <v>31</v>
      </c>
      <c r="E1420" s="120">
        <f t="shared" si="556"/>
        <v>10</v>
      </c>
      <c r="F1420" s="275">
        <f t="shared" si="557"/>
        <v>47042.5</v>
      </c>
      <c r="G1420" s="120">
        <f t="shared" si="558"/>
        <v>24345</v>
      </c>
      <c r="H1420" s="245">
        <f t="shared" si="559"/>
        <v>1</v>
      </c>
      <c r="I1420" s="121">
        <f t="shared" si="560"/>
        <v>1.1318400000000002</v>
      </c>
      <c r="J1420" s="121">
        <f t="shared" si="561"/>
        <v>1.1318400000000002</v>
      </c>
      <c r="K1420" s="120">
        <f t="shared" si="562"/>
        <v>0</v>
      </c>
      <c r="L1420" s="120">
        <f t="shared" si="563"/>
        <v>0</v>
      </c>
      <c r="M1420" s="246">
        <f t="shared" si="564"/>
        <v>0</v>
      </c>
      <c r="N1420" s="121">
        <f t="shared" si="565"/>
        <v>1.1318400000000002</v>
      </c>
      <c r="O1420" s="246">
        <f t="shared" si="566"/>
        <v>0.91</v>
      </c>
      <c r="P1420" s="121">
        <f t="shared" si="567"/>
        <v>0</v>
      </c>
      <c r="Q1420" s="121">
        <f t="shared" si="568"/>
        <v>0</v>
      </c>
      <c r="R1420" s="121">
        <f t="shared" si="569"/>
        <v>0.41666666666666669</v>
      </c>
      <c r="S1420" s="121" t="str">
        <f t="shared" si="570"/>
        <v/>
      </c>
      <c r="T1420" s="121" t="str">
        <f t="shared" si="571"/>
        <v/>
      </c>
      <c r="U1420" s="121">
        <f t="shared" si="572"/>
        <v>1.1318400000000002</v>
      </c>
    </row>
    <row r="1421" spans="1:21" x14ac:dyDescent="0.3">
      <c r="A1421" s="187">
        <v>47</v>
      </c>
      <c r="B1421" s="242">
        <f t="shared" si="573"/>
        <v>47058</v>
      </c>
      <c r="C1421" s="243">
        <f t="shared" si="554"/>
        <v>47087</v>
      </c>
      <c r="D1421" s="120">
        <f t="shared" si="555"/>
        <v>30</v>
      </c>
      <c r="E1421" s="120">
        <f t="shared" si="556"/>
        <v>11</v>
      </c>
      <c r="F1421" s="275">
        <f t="shared" si="557"/>
        <v>47073</v>
      </c>
      <c r="G1421" s="120">
        <f t="shared" si="558"/>
        <v>24346</v>
      </c>
      <c r="H1421" s="245">
        <f t="shared" si="559"/>
        <v>1</v>
      </c>
      <c r="I1421" s="121">
        <f t="shared" si="560"/>
        <v>1.1318400000000002</v>
      </c>
      <c r="J1421" s="121">
        <f t="shared" si="561"/>
        <v>1.1318400000000002</v>
      </c>
      <c r="K1421" s="120">
        <f t="shared" si="562"/>
        <v>0</v>
      </c>
      <c r="L1421" s="120">
        <f t="shared" si="563"/>
        <v>0</v>
      </c>
      <c r="M1421" s="246">
        <f t="shared" si="564"/>
        <v>0</v>
      </c>
      <c r="N1421" s="121">
        <f t="shared" si="565"/>
        <v>1.1318400000000002</v>
      </c>
      <c r="O1421" s="246">
        <f t="shared" si="566"/>
        <v>0.91</v>
      </c>
      <c r="P1421" s="121">
        <f t="shared" si="567"/>
        <v>0</v>
      </c>
      <c r="Q1421" s="121">
        <f t="shared" si="568"/>
        <v>0</v>
      </c>
      <c r="R1421" s="121">
        <f t="shared" si="569"/>
        <v>0.25</v>
      </c>
      <c r="S1421" s="121" t="str">
        <f t="shared" si="570"/>
        <v/>
      </c>
      <c r="T1421" s="121" t="str">
        <f t="shared" si="571"/>
        <v/>
      </c>
      <c r="U1421" s="121">
        <f t="shared" si="572"/>
        <v>1.1318400000000002</v>
      </c>
    </row>
    <row r="1422" spans="1:21" x14ac:dyDescent="0.3">
      <c r="A1422" s="187">
        <v>48</v>
      </c>
      <c r="B1422" s="242">
        <f t="shared" si="573"/>
        <v>47088</v>
      </c>
      <c r="C1422" s="243">
        <f t="shared" si="554"/>
        <v>47118</v>
      </c>
      <c r="D1422" s="120">
        <f t="shared" si="555"/>
        <v>31</v>
      </c>
      <c r="E1422" s="120">
        <f t="shared" si="556"/>
        <v>12</v>
      </c>
      <c r="F1422" s="275">
        <f t="shared" si="557"/>
        <v>47103.5</v>
      </c>
      <c r="G1422" s="120">
        <f t="shared" si="558"/>
        <v>24347</v>
      </c>
      <c r="H1422" s="245">
        <f t="shared" si="559"/>
        <v>1</v>
      </c>
      <c r="I1422" s="121">
        <f t="shared" si="560"/>
        <v>1.1318400000000002</v>
      </c>
      <c r="J1422" s="121">
        <f t="shared" si="561"/>
        <v>1.1318400000000002</v>
      </c>
      <c r="K1422" s="120">
        <f t="shared" si="562"/>
        <v>0</v>
      </c>
      <c r="L1422" s="120">
        <f t="shared" si="563"/>
        <v>0</v>
      </c>
      <c r="M1422" s="246">
        <f t="shared" si="564"/>
        <v>0</v>
      </c>
      <c r="N1422" s="121">
        <f t="shared" si="565"/>
        <v>1.1318400000000002</v>
      </c>
      <c r="O1422" s="246">
        <f t="shared" si="566"/>
        <v>0.91</v>
      </c>
      <c r="P1422" s="121">
        <f t="shared" si="567"/>
        <v>0</v>
      </c>
      <c r="Q1422" s="121">
        <f t="shared" si="568"/>
        <v>0</v>
      </c>
      <c r="R1422" s="121">
        <f t="shared" si="569"/>
        <v>8.3333333333333329E-2</v>
      </c>
      <c r="S1422" s="121" t="str">
        <f t="shared" si="570"/>
        <v/>
      </c>
      <c r="T1422" s="121" t="str">
        <f t="shared" si="571"/>
        <v/>
      </c>
      <c r="U1422" s="121">
        <f t="shared" si="572"/>
        <v>1.1318400000000002</v>
      </c>
    </row>
    <row r="1423" spans="1:21" x14ac:dyDescent="0.3">
      <c r="A1423" s="6" t="s">
        <v>1651</v>
      </c>
      <c r="B1423" s="73">
        <f>EXP(SUMPRODUCT((rl_key=$A$1372)*(rl_cons="Y")*rl_ln1p))</f>
        <v>1.08</v>
      </c>
      <c r="C1423" s="73">
        <f>SUMPRODUCT($H$1375:$H$1422,$P$1375:$P$1422,$U$1375:$U$1422)/SUMPRODUCT($H$1375:$H$1422,$P$1375:$P$1422)</f>
        <v>1.0049999999999999</v>
      </c>
      <c r="D1423" s="73">
        <f>SUMPRODUCT($H$1375:$H$1422,$Q$1375:$Q$1422,$U$1375:$U$1422)/SUMPRODUCT($H$1375:$H$1422,$Q$1375:$Q$1422)</f>
        <v>1.10524</v>
      </c>
      <c r="E1423" s="73">
        <f>SUMPRODUCT($H$1375:$H$1422,$R$1375:$R$1422,$U$1375:$U$1422)/SUMPRODUCT($H$1375:$H$1422,$R$1375:$R$1422)</f>
        <v>1.1318400000000002</v>
      </c>
      <c r="F1423" s="224">
        <f>SUMPRODUCT($H$1375:$H$1422,$Q$1375:$Q$1422,$O$1375:$O$1422)/SUMPRODUCT($H$1375:$H$1422,$Q$1375:$Q$1422)</f>
        <v>0.90999999999999981</v>
      </c>
      <c r="G1423" s="224">
        <f>SUMPRODUCT($H$1375:$H$1422,$R$1375:$R$1422,$O$1375:$O$1422)/SUMPRODUCT($H$1375:$H$1422,$R$1375:$R$1422)</f>
        <v>0.90999999999999981</v>
      </c>
      <c r="H1423" s="73">
        <f>SUMPRODUCT($H$1399:$H$1410,$N$1399:$N$1410/$N$1387:$N$1398)/SUM($H$1399:$H$1410)</f>
        <v>1.1022400000000003</v>
      </c>
      <c r="I1423" s="73">
        <f>SUMPRODUCT($H$1399:$H$1410,$O$1399:$O$1410/$O$1387:$O$1398)/SUM($H$1399:$H$1410)</f>
        <v>1</v>
      </c>
      <c r="J1423" s="73">
        <f>IF($O$1372=1,SUMPRODUCT($H$1399:$H$1410,$N$1399:$N$1410/$N$1387:$N$1398*$O$1399:$O$1410/$O$1387:$O$1398)/SUM($H$1399:$H$1410),$H1423)</f>
        <v>1.1022400000000003</v>
      </c>
      <c r="K1423" s="73">
        <f>SUMPRODUCT($H$1375:$H$1422,$Q$1375:$Q$1422,$N$1375:$N$1422)/SUMPRODUCT($H$1375:$H$1422,$Q$1375:$Q$1422)</f>
        <v>1.10524</v>
      </c>
      <c r="L1423" s="73">
        <f>SUMPRODUCT($H$1375:$H$1422,$R$1375:$R$1422,$N$1375:$N$1422)/SUMPRODUCT($H$1375:$H$1422,$R$1375:$R$1422)</f>
        <v>1.1318400000000002</v>
      </c>
    </row>
    <row r="1426" spans="1:21" x14ac:dyDescent="0.3">
      <c r="A1426" s="6" t="str">
        <f>INDEX(lr_key,26)</f>
        <v>MM|GA</v>
      </c>
      <c r="B1426" s="6" t="str">
        <f>INDEX(lr_state,26)</f>
        <v>GA</v>
      </c>
      <c r="C1426" s="75">
        <f>nr_TermMonths</f>
        <v>6</v>
      </c>
      <c r="D1426" s="75">
        <f>IF(COUNTIF(se_state,$B1426)=0,0,MATCH($B1426,se_state,0))</f>
        <v>0</v>
      </c>
      <c r="E1426" s="70">
        <f>IF($D1426=0,0,INDEX(se_sum,$D1426))</f>
        <v>0</v>
      </c>
      <c r="F1426" s="224">
        <f>IF(N(INDEX(lr_mind,26))=0,1,INDEX(lr_mind,26))</f>
        <v>0.92</v>
      </c>
      <c r="G1426" s="224">
        <f>IF(N(INDEX(lr_m0,26))=0,1,INDEX(lr_m0,26))</f>
        <v>0.91</v>
      </c>
      <c r="H1426" s="74">
        <f>IF(N(INDEX(lr_m0asof,26))=0,DATE(nr_PlanYear-1,10,1),INDEX(lr_m0asof,26))</f>
        <v>46295</v>
      </c>
      <c r="I1426" s="224">
        <f>IF(N(INDEX(lr_m1,26))=0,1,INDEX(lr_m1,26))</f>
        <v>0.92500000000000004</v>
      </c>
      <c r="J1426" s="224">
        <f>INDEX(lr_mprior,26)</f>
        <v>0</v>
      </c>
      <c r="K1426" s="224">
        <f>INDEX(lr_m2,26)</f>
        <v>0</v>
      </c>
      <c r="L1426" s="6" t="b">
        <f>NOT(ISBLANK(INDEX(lr_netp,26)))</f>
        <v>0</v>
      </c>
      <c r="M1426" s="72">
        <f>N(INDEX(lr_netp,26))</f>
        <v>0</v>
      </c>
      <c r="N1426" s="72">
        <f>IF(ISBLANK(INDEX(lr_netp1,26)),$M$1426,N(INDEX(lr_netp1,26)))</f>
        <v>0</v>
      </c>
      <c r="O1426" s="75">
        <f>IF(AND(nr_ModAdjMaster="ON",INDEX(lr_modadj,26)="ON"),1,0)</f>
        <v>1</v>
      </c>
    </row>
    <row r="1427" spans="1:21" x14ac:dyDescent="0.3">
      <c r="A1427" s="6">
        <f>EDATE($H$1426,-12)+1</f>
        <v>45931</v>
      </c>
      <c r="B1427" s="6">
        <f>$H$1426+1</f>
        <v>46296</v>
      </c>
      <c r="C1427" s="6">
        <f>DATE(nr_PlanYear,12,31)+1</f>
        <v>46753</v>
      </c>
      <c r="D1427" s="6">
        <f>DATE(nr_PlanYear+1,12,31)+1</f>
        <v>47119</v>
      </c>
      <c r="E1427" s="6">
        <f>IF(N($J$1426)=0,$F$1427-($G$1427-$F$1427)/($C$1427-$B$1427)*($B$1427-$A$1427),$J$1426)</f>
        <v>0.89801969365426693</v>
      </c>
      <c r="F1427" s="6">
        <f>$G$1426</f>
        <v>0.91</v>
      </c>
      <c r="G1427" s="6">
        <f>$I$1426</f>
        <v>0.92500000000000004</v>
      </c>
      <c r="H1427" s="6">
        <f>IF(N($K$1426)=0,$I$1426,$K$1426)</f>
        <v>0.92500000000000004</v>
      </c>
      <c r="I1427" s="6">
        <f>($F$1427-$E$1427)/($B$1427-$A$1427)</f>
        <v>3.2822757111597549E-5</v>
      </c>
      <c r="J1427" s="6">
        <f>($G$1427-$F$1427)/($C$1427-$B$1427)</f>
        <v>3.2822757111597407E-5</v>
      </c>
      <c r="K1427" s="6">
        <f>($H$1427-$G$1427)/($D$1427-$C$1427)</f>
        <v>0</v>
      </c>
    </row>
    <row r="1428" spans="1:21" ht="36" x14ac:dyDescent="0.3">
      <c r="A1428" s="58" t="s">
        <v>390</v>
      </c>
      <c r="B1428" s="58" t="s">
        <v>449</v>
      </c>
      <c r="C1428" s="58" t="s">
        <v>685</v>
      </c>
      <c r="D1428" s="58" t="s">
        <v>686</v>
      </c>
      <c r="E1428" s="58" t="s">
        <v>687</v>
      </c>
      <c r="F1428" s="58" t="s">
        <v>688</v>
      </c>
      <c r="G1428" s="58" t="s">
        <v>689</v>
      </c>
      <c r="H1428" s="58" t="s">
        <v>452</v>
      </c>
      <c r="I1428" s="58" t="s">
        <v>690</v>
      </c>
      <c r="J1428" s="58" t="s">
        <v>691</v>
      </c>
      <c r="K1428" s="58" t="s">
        <v>692</v>
      </c>
      <c r="L1428" s="58" t="s">
        <v>693</v>
      </c>
      <c r="M1428" s="58" t="s">
        <v>694</v>
      </c>
      <c r="N1428" s="58" t="s">
        <v>695</v>
      </c>
      <c r="O1428" s="58" t="s">
        <v>696</v>
      </c>
      <c r="P1428" s="58" t="s">
        <v>697</v>
      </c>
      <c r="Q1428" s="58" t="s">
        <v>698</v>
      </c>
      <c r="R1428" s="58" t="s">
        <v>699</v>
      </c>
      <c r="S1428" s="58" t="s">
        <v>700</v>
      </c>
      <c r="T1428" s="58" t="s">
        <v>701</v>
      </c>
      <c r="U1428" s="58" t="s">
        <v>702</v>
      </c>
    </row>
    <row r="1429" spans="1:21" x14ac:dyDescent="0.3">
      <c r="A1429" s="187">
        <v>1</v>
      </c>
      <c r="B1429" s="242">
        <f>DATE(nr_PlanYear-2,1,1)</f>
        <v>45658</v>
      </c>
      <c r="C1429" s="243">
        <f t="shared" ref="C1429:C1476" si="574">EOMONTH($B1429,0)</f>
        <v>45688</v>
      </c>
      <c r="D1429" s="120">
        <f t="shared" ref="D1429:D1476" si="575">$C1429-$B1429+1</f>
        <v>31</v>
      </c>
      <c r="E1429" s="120">
        <f t="shared" ref="E1429:E1476" si="576">MONTH($B1429)</f>
        <v>1</v>
      </c>
      <c r="F1429" s="275">
        <f t="shared" ref="F1429:F1476" si="577">($B1429+$C1429+1)/2</f>
        <v>45673.5</v>
      </c>
      <c r="G1429" s="120">
        <f t="shared" ref="G1429:G1476" si="578">YEAR($B1429)*12+MONTH($B1429)-1</f>
        <v>24300</v>
      </c>
      <c r="H1429" s="245">
        <f t="shared" ref="H1429:H1476" si="579">IF(OR(nr_SeasonOn="OFF",$D$1426=0,$E$1426=0),1,12*INDEX(se_block,$D$1426,$E1429)/$E$1426)</f>
        <v>1</v>
      </c>
      <c r="I1429" s="121">
        <f t="shared" ref="I1429:I1476" si="580">EXP(SUMPRODUCT((rl_eff&lt;$B1429)*(rl_key=$A$1426)*rl_ln1p))</f>
        <v>1</v>
      </c>
      <c r="J1429" s="121">
        <f t="shared" ref="J1429:J1476" si="581">EXP(SUMPRODUCT((rl_eff&lt;=$C1429)*(rl_key=$A$1426)*rl_ln1p))</f>
        <v>1</v>
      </c>
      <c r="K1429" s="120">
        <f t="shared" ref="K1429:K1476" si="582">COUNTIFS(rl_key,$A$1426,rl_eff,"&gt;="&amp;$B1429,rl_eff,"&lt;="&amp;$C1429)</f>
        <v>0</v>
      </c>
      <c r="L1429" s="120">
        <f t="shared" ref="L1429:L1476" si="583">SUMIFS(rl_daysafter,rl_key,$A$1426,rl_effmonth,$B1429,rl_first,1)</f>
        <v>0</v>
      </c>
      <c r="M1429" s="246">
        <f t="shared" ref="M1429:M1476" si="584">IF($K1429=0,0,MIN(1,$L1429/$D1429))</f>
        <v>0</v>
      </c>
      <c r="N1429" s="121">
        <f t="shared" ref="N1429:N1476" si="585">IF($K1429=0,$J1429,(1-$M1429)*$I1429+$M1429*$J1429)</f>
        <v>1</v>
      </c>
      <c r="O1429" s="246">
        <f t="shared" ref="O1429:O1476" si="586">IF($F1429&lt;$B$1427,$E$1427+$I$1427*($F1429-$A$1427),IF($F1429&lt;$C$1427,$F$1427+$J$1427*($F1429-$B$1427),$G$1427+$K$1427*($F1429-$C$1427)))</f>
        <v>0.88956783369803061</v>
      </c>
      <c r="P1429" s="121">
        <f t="shared" ref="P1429:P1476" si="587">MIN(1,MAX(0,(nr_MEndPm1-$G1429+0.5)/$C$1426))-MIN(1,MAX(0,(nr_MStartPm1-1-$G1429+0.5)/$C$1426))</f>
        <v>0</v>
      </c>
      <c r="Q1429" s="121">
        <f t="shared" ref="Q1429:Q1476" si="588">MIN(1,MAX(0,(nr_MEndP-$G1429+0.5)/$C$1426))-MIN(1,MAX(0,(nr_MStartP-1-$G1429+0.5)/$C$1426))</f>
        <v>0</v>
      </c>
      <c r="R1429" s="121">
        <f t="shared" ref="R1429:R1476" si="589">MIN(1,MAX(0,(nr_MEndP1-$G1429+0.5)/$C$1426))-MIN(1,MAX(0,(nr_MStartP1-1-$G1429+0.5)/$C$1426))</f>
        <v>0</v>
      </c>
      <c r="S1429" s="121" t="str">
        <f t="shared" ref="S1429:S1476" si="590">IF($L$1426,$N1429*IF($O$1426=1,$O1429/$F$1426,1),"")</f>
        <v/>
      </c>
      <c r="T1429" s="121" t="str">
        <f t="shared" ref="T1429:T1476" si="591">IF(NOT($L$1426),"",IF($G1429&lt;nr_MStartP,$S1429,$T1417*(1+IF($G1429&lt;nr_MStartP1,$M$1426,$N$1426))))</f>
        <v/>
      </c>
      <c r="U1429" s="121">
        <f t="shared" ref="U1429:U1476" si="592">IF($L$1426,$T1429,$N1429)</f>
        <v>1</v>
      </c>
    </row>
    <row r="1430" spans="1:21" x14ac:dyDescent="0.3">
      <c r="A1430" s="187">
        <v>2</v>
      </c>
      <c r="B1430" s="242">
        <f t="shared" ref="B1430:B1476" si="593">EDATE($B1429,1)</f>
        <v>45689</v>
      </c>
      <c r="C1430" s="243">
        <f t="shared" si="574"/>
        <v>45716</v>
      </c>
      <c r="D1430" s="120">
        <f t="shared" si="575"/>
        <v>28</v>
      </c>
      <c r="E1430" s="120">
        <f t="shared" si="576"/>
        <v>2</v>
      </c>
      <c r="F1430" s="275">
        <f t="shared" si="577"/>
        <v>45703</v>
      </c>
      <c r="G1430" s="120">
        <f t="shared" si="578"/>
        <v>24301</v>
      </c>
      <c r="H1430" s="245">
        <f t="shared" si="579"/>
        <v>1</v>
      </c>
      <c r="I1430" s="121">
        <f t="shared" si="580"/>
        <v>1</v>
      </c>
      <c r="J1430" s="121">
        <f t="shared" si="581"/>
        <v>1</v>
      </c>
      <c r="K1430" s="120">
        <f t="shared" si="582"/>
        <v>0</v>
      </c>
      <c r="L1430" s="120">
        <f t="shared" si="583"/>
        <v>0</v>
      </c>
      <c r="M1430" s="246">
        <f t="shared" si="584"/>
        <v>0</v>
      </c>
      <c r="N1430" s="121">
        <f t="shared" si="585"/>
        <v>1</v>
      </c>
      <c r="O1430" s="246">
        <f t="shared" si="586"/>
        <v>0.89053610503282266</v>
      </c>
      <c r="P1430" s="121">
        <f t="shared" si="587"/>
        <v>0</v>
      </c>
      <c r="Q1430" s="121">
        <f t="shared" si="588"/>
        <v>0</v>
      </c>
      <c r="R1430" s="121">
        <f t="shared" si="589"/>
        <v>0</v>
      </c>
      <c r="S1430" s="121" t="str">
        <f t="shared" si="590"/>
        <v/>
      </c>
      <c r="T1430" s="121" t="str">
        <f t="shared" si="591"/>
        <v/>
      </c>
      <c r="U1430" s="121">
        <f t="shared" si="592"/>
        <v>1</v>
      </c>
    </row>
    <row r="1431" spans="1:21" x14ac:dyDescent="0.3">
      <c r="A1431" s="187">
        <v>3</v>
      </c>
      <c r="B1431" s="242">
        <f t="shared" si="593"/>
        <v>45717</v>
      </c>
      <c r="C1431" s="243">
        <f t="shared" si="574"/>
        <v>45747</v>
      </c>
      <c r="D1431" s="120">
        <f t="shared" si="575"/>
        <v>31</v>
      </c>
      <c r="E1431" s="120">
        <f t="shared" si="576"/>
        <v>3</v>
      </c>
      <c r="F1431" s="275">
        <f t="shared" si="577"/>
        <v>45732.5</v>
      </c>
      <c r="G1431" s="120">
        <f t="shared" si="578"/>
        <v>24302</v>
      </c>
      <c r="H1431" s="245">
        <f t="shared" si="579"/>
        <v>1</v>
      </c>
      <c r="I1431" s="121">
        <f t="shared" si="580"/>
        <v>1</v>
      </c>
      <c r="J1431" s="121">
        <f t="shared" si="581"/>
        <v>1</v>
      </c>
      <c r="K1431" s="120">
        <f t="shared" si="582"/>
        <v>0</v>
      </c>
      <c r="L1431" s="120">
        <f t="shared" si="583"/>
        <v>0</v>
      </c>
      <c r="M1431" s="246">
        <f t="shared" si="584"/>
        <v>0</v>
      </c>
      <c r="N1431" s="121">
        <f t="shared" si="585"/>
        <v>1</v>
      </c>
      <c r="O1431" s="246">
        <f t="shared" si="586"/>
        <v>0.89150437636761481</v>
      </c>
      <c r="P1431" s="121">
        <f t="shared" si="587"/>
        <v>0</v>
      </c>
      <c r="Q1431" s="121">
        <f t="shared" si="588"/>
        <v>0</v>
      </c>
      <c r="R1431" s="121">
        <f t="shared" si="589"/>
        <v>0</v>
      </c>
      <c r="S1431" s="121" t="str">
        <f t="shared" si="590"/>
        <v/>
      </c>
      <c r="T1431" s="121" t="str">
        <f t="shared" si="591"/>
        <v/>
      </c>
      <c r="U1431" s="121">
        <f t="shared" si="592"/>
        <v>1</v>
      </c>
    </row>
    <row r="1432" spans="1:21" x14ac:dyDescent="0.3">
      <c r="A1432" s="187">
        <v>4</v>
      </c>
      <c r="B1432" s="242">
        <f t="shared" si="593"/>
        <v>45748</v>
      </c>
      <c r="C1432" s="243">
        <f t="shared" si="574"/>
        <v>45777</v>
      </c>
      <c r="D1432" s="120">
        <f t="shared" si="575"/>
        <v>30</v>
      </c>
      <c r="E1432" s="120">
        <f t="shared" si="576"/>
        <v>4</v>
      </c>
      <c r="F1432" s="275">
        <f t="shared" si="577"/>
        <v>45763</v>
      </c>
      <c r="G1432" s="120">
        <f t="shared" si="578"/>
        <v>24303</v>
      </c>
      <c r="H1432" s="245">
        <f t="shared" si="579"/>
        <v>1</v>
      </c>
      <c r="I1432" s="121">
        <f t="shared" si="580"/>
        <v>1</v>
      </c>
      <c r="J1432" s="121">
        <f t="shared" si="581"/>
        <v>1</v>
      </c>
      <c r="K1432" s="120">
        <f t="shared" si="582"/>
        <v>0</v>
      </c>
      <c r="L1432" s="120">
        <f t="shared" si="583"/>
        <v>0</v>
      </c>
      <c r="M1432" s="246">
        <f t="shared" si="584"/>
        <v>0</v>
      </c>
      <c r="N1432" s="121">
        <f t="shared" si="585"/>
        <v>1</v>
      </c>
      <c r="O1432" s="246">
        <f t="shared" si="586"/>
        <v>0.89250547045951856</v>
      </c>
      <c r="P1432" s="121">
        <f t="shared" si="587"/>
        <v>0</v>
      </c>
      <c r="Q1432" s="121">
        <f t="shared" si="588"/>
        <v>0</v>
      </c>
      <c r="R1432" s="121">
        <f t="shared" si="589"/>
        <v>0</v>
      </c>
      <c r="S1432" s="121" t="str">
        <f t="shared" si="590"/>
        <v/>
      </c>
      <c r="T1432" s="121" t="str">
        <f t="shared" si="591"/>
        <v/>
      </c>
      <c r="U1432" s="121">
        <f t="shared" si="592"/>
        <v>1</v>
      </c>
    </row>
    <row r="1433" spans="1:21" x14ac:dyDescent="0.3">
      <c r="A1433" s="187">
        <v>5</v>
      </c>
      <c r="B1433" s="242">
        <f t="shared" si="593"/>
        <v>45778</v>
      </c>
      <c r="C1433" s="243">
        <f t="shared" si="574"/>
        <v>45808</v>
      </c>
      <c r="D1433" s="120">
        <f t="shared" si="575"/>
        <v>31</v>
      </c>
      <c r="E1433" s="120">
        <f t="shared" si="576"/>
        <v>5</v>
      </c>
      <c r="F1433" s="275">
        <f t="shared" si="577"/>
        <v>45793.5</v>
      </c>
      <c r="G1433" s="120">
        <f t="shared" si="578"/>
        <v>24304</v>
      </c>
      <c r="H1433" s="245">
        <f t="shared" si="579"/>
        <v>1</v>
      </c>
      <c r="I1433" s="121">
        <f t="shared" si="580"/>
        <v>1</v>
      </c>
      <c r="J1433" s="121">
        <f t="shared" si="581"/>
        <v>1</v>
      </c>
      <c r="K1433" s="120">
        <f t="shared" si="582"/>
        <v>0</v>
      </c>
      <c r="L1433" s="120">
        <f t="shared" si="583"/>
        <v>0</v>
      </c>
      <c r="M1433" s="246">
        <f t="shared" si="584"/>
        <v>0</v>
      </c>
      <c r="N1433" s="121">
        <f t="shared" si="585"/>
        <v>1</v>
      </c>
      <c r="O1433" s="246">
        <f t="shared" si="586"/>
        <v>0.8935065645514223</v>
      </c>
      <c r="P1433" s="121">
        <f t="shared" si="587"/>
        <v>0</v>
      </c>
      <c r="Q1433" s="121">
        <f t="shared" si="588"/>
        <v>0</v>
      </c>
      <c r="R1433" s="121">
        <f t="shared" si="589"/>
        <v>0</v>
      </c>
      <c r="S1433" s="121" t="str">
        <f t="shared" si="590"/>
        <v/>
      </c>
      <c r="T1433" s="121" t="str">
        <f t="shared" si="591"/>
        <v/>
      </c>
      <c r="U1433" s="121">
        <f t="shared" si="592"/>
        <v>1</v>
      </c>
    </row>
    <row r="1434" spans="1:21" x14ac:dyDescent="0.3">
      <c r="A1434" s="187">
        <v>6</v>
      </c>
      <c r="B1434" s="242">
        <f t="shared" si="593"/>
        <v>45809</v>
      </c>
      <c r="C1434" s="243">
        <f t="shared" si="574"/>
        <v>45838</v>
      </c>
      <c r="D1434" s="120">
        <f t="shared" si="575"/>
        <v>30</v>
      </c>
      <c r="E1434" s="120">
        <f t="shared" si="576"/>
        <v>6</v>
      </c>
      <c r="F1434" s="275">
        <f t="shared" si="577"/>
        <v>45824</v>
      </c>
      <c r="G1434" s="120">
        <f t="shared" si="578"/>
        <v>24305</v>
      </c>
      <c r="H1434" s="245">
        <f t="shared" si="579"/>
        <v>1</v>
      </c>
      <c r="I1434" s="121">
        <f t="shared" si="580"/>
        <v>1</v>
      </c>
      <c r="J1434" s="121">
        <f t="shared" si="581"/>
        <v>1</v>
      </c>
      <c r="K1434" s="120">
        <f t="shared" si="582"/>
        <v>0</v>
      </c>
      <c r="L1434" s="120">
        <f t="shared" si="583"/>
        <v>0</v>
      </c>
      <c r="M1434" s="246">
        <f t="shared" si="584"/>
        <v>0</v>
      </c>
      <c r="N1434" s="121">
        <f t="shared" si="585"/>
        <v>1</v>
      </c>
      <c r="O1434" s="246">
        <f t="shared" si="586"/>
        <v>0.89450765864332604</v>
      </c>
      <c r="P1434" s="121">
        <f t="shared" si="587"/>
        <v>0</v>
      </c>
      <c r="Q1434" s="121">
        <f t="shared" si="588"/>
        <v>0</v>
      </c>
      <c r="R1434" s="121">
        <f t="shared" si="589"/>
        <v>0</v>
      </c>
      <c r="S1434" s="121" t="str">
        <f t="shared" si="590"/>
        <v/>
      </c>
      <c r="T1434" s="121" t="str">
        <f t="shared" si="591"/>
        <v/>
      </c>
      <c r="U1434" s="121">
        <f t="shared" si="592"/>
        <v>1</v>
      </c>
    </row>
    <row r="1435" spans="1:21" x14ac:dyDescent="0.3">
      <c r="A1435" s="187">
        <v>7</v>
      </c>
      <c r="B1435" s="242">
        <f t="shared" si="593"/>
        <v>45839</v>
      </c>
      <c r="C1435" s="243">
        <f t="shared" si="574"/>
        <v>45869</v>
      </c>
      <c r="D1435" s="120">
        <f t="shared" si="575"/>
        <v>31</v>
      </c>
      <c r="E1435" s="120">
        <f t="shared" si="576"/>
        <v>7</v>
      </c>
      <c r="F1435" s="275">
        <f t="shared" si="577"/>
        <v>45854.5</v>
      </c>
      <c r="G1435" s="120">
        <f t="shared" si="578"/>
        <v>24306</v>
      </c>
      <c r="H1435" s="245">
        <f t="shared" si="579"/>
        <v>1</v>
      </c>
      <c r="I1435" s="121">
        <f t="shared" si="580"/>
        <v>1</v>
      </c>
      <c r="J1435" s="121">
        <f t="shared" si="581"/>
        <v>1</v>
      </c>
      <c r="K1435" s="120">
        <f t="shared" si="582"/>
        <v>0</v>
      </c>
      <c r="L1435" s="120">
        <f t="shared" si="583"/>
        <v>0</v>
      </c>
      <c r="M1435" s="246">
        <f t="shared" si="584"/>
        <v>0</v>
      </c>
      <c r="N1435" s="121">
        <f t="shared" si="585"/>
        <v>1</v>
      </c>
      <c r="O1435" s="246">
        <f t="shared" si="586"/>
        <v>0.89550875273522967</v>
      </c>
      <c r="P1435" s="121">
        <f t="shared" si="587"/>
        <v>8.333333333333337E-2</v>
      </c>
      <c r="Q1435" s="121">
        <f t="shared" si="588"/>
        <v>0</v>
      </c>
      <c r="R1435" s="121">
        <f t="shared" si="589"/>
        <v>0</v>
      </c>
      <c r="S1435" s="121" t="str">
        <f t="shared" si="590"/>
        <v/>
      </c>
      <c r="T1435" s="121" t="str">
        <f t="shared" si="591"/>
        <v/>
      </c>
      <c r="U1435" s="121">
        <f t="shared" si="592"/>
        <v>1</v>
      </c>
    </row>
    <row r="1436" spans="1:21" x14ac:dyDescent="0.3">
      <c r="A1436" s="187">
        <v>8</v>
      </c>
      <c r="B1436" s="242">
        <f t="shared" si="593"/>
        <v>45870</v>
      </c>
      <c r="C1436" s="243">
        <f t="shared" si="574"/>
        <v>45900</v>
      </c>
      <c r="D1436" s="120">
        <f t="shared" si="575"/>
        <v>31</v>
      </c>
      <c r="E1436" s="120">
        <f t="shared" si="576"/>
        <v>8</v>
      </c>
      <c r="F1436" s="275">
        <f t="shared" si="577"/>
        <v>45885.5</v>
      </c>
      <c r="G1436" s="120">
        <f t="shared" si="578"/>
        <v>24307</v>
      </c>
      <c r="H1436" s="245">
        <f t="shared" si="579"/>
        <v>1</v>
      </c>
      <c r="I1436" s="121">
        <f t="shared" si="580"/>
        <v>1</v>
      </c>
      <c r="J1436" s="121">
        <f t="shared" si="581"/>
        <v>1</v>
      </c>
      <c r="K1436" s="120">
        <f t="shared" si="582"/>
        <v>0</v>
      </c>
      <c r="L1436" s="120">
        <f t="shared" si="583"/>
        <v>0</v>
      </c>
      <c r="M1436" s="246">
        <f t="shared" si="584"/>
        <v>0</v>
      </c>
      <c r="N1436" s="121">
        <f t="shared" si="585"/>
        <v>1</v>
      </c>
      <c r="O1436" s="246">
        <f t="shared" si="586"/>
        <v>0.89652625820568921</v>
      </c>
      <c r="P1436" s="121">
        <f t="shared" si="587"/>
        <v>0.25</v>
      </c>
      <c r="Q1436" s="121">
        <f t="shared" si="588"/>
        <v>0</v>
      </c>
      <c r="R1436" s="121">
        <f t="shared" si="589"/>
        <v>0</v>
      </c>
      <c r="S1436" s="121" t="str">
        <f t="shared" si="590"/>
        <v/>
      </c>
      <c r="T1436" s="121" t="str">
        <f t="shared" si="591"/>
        <v/>
      </c>
      <c r="U1436" s="121">
        <f t="shared" si="592"/>
        <v>1</v>
      </c>
    </row>
    <row r="1437" spans="1:21" x14ac:dyDescent="0.3">
      <c r="A1437" s="187">
        <v>9</v>
      </c>
      <c r="B1437" s="242">
        <f t="shared" si="593"/>
        <v>45901</v>
      </c>
      <c r="C1437" s="243">
        <f t="shared" si="574"/>
        <v>45930</v>
      </c>
      <c r="D1437" s="120">
        <f t="shared" si="575"/>
        <v>30</v>
      </c>
      <c r="E1437" s="120">
        <f t="shared" si="576"/>
        <v>9</v>
      </c>
      <c r="F1437" s="275">
        <f t="shared" si="577"/>
        <v>45916</v>
      </c>
      <c r="G1437" s="120">
        <f t="shared" si="578"/>
        <v>24308</v>
      </c>
      <c r="H1437" s="245">
        <f t="shared" si="579"/>
        <v>1</v>
      </c>
      <c r="I1437" s="121">
        <f t="shared" si="580"/>
        <v>1</v>
      </c>
      <c r="J1437" s="121">
        <f t="shared" si="581"/>
        <v>1</v>
      </c>
      <c r="K1437" s="120">
        <f t="shared" si="582"/>
        <v>0</v>
      </c>
      <c r="L1437" s="120">
        <f t="shared" si="583"/>
        <v>0</v>
      </c>
      <c r="M1437" s="246">
        <f t="shared" si="584"/>
        <v>0</v>
      </c>
      <c r="N1437" s="121">
        <f t="shared" si="585"/>
        <v>1</v>
      </c>
      <c r="O1437" s="246">
        <f t="shared" si="586"/>
        <v>0.89752735229759295</v>
      </c>
      <c r="P1437" s="121">
        <f t="shared" si="587"/>
        <v>0.41666666666666663</v>
      </c>
      <c r="Q1437" s="121">
        <f t="shared" si="588"/>
        <v>0</v>
      </c>
      <c r="R1437" s="121">
        <f t="shared" si="589"/>
        <v>0</v>
      </c>
      <c r="S1437" s="121" t="str">
        <f t="shared" si="590"/>
        <v/>
      </c>
      <c r="T1437" s="121" t="str">
        <f t="shared" si="591"/>
        <v/>
      </c>
      <c r="U1437" s="121">
        <f t="shared" si="592"/>
        <v>1</v>
      </c>
    </row>
    <row r="1438" spans="1:21" x14ac:dyDescent="0.3">
      <c r="A1438" s="187">
        <v>10</v>
      </c>
      <c r="B1438" s="242">
        <f t="shared" si="593"/>
        <v>45931</v>
      </c>
      <c r="C1438" s="243">
        <f t="shared" si="574"/>
        <v>45961</v>
      </c>
      <c r="D1438" s="120">
        <f t="shared" si="575"/>
        <v>31</v>
      </c>
      <c r="E1438" s="120">
        <f t="shared" si="576"/>
        <v>10</v>
      </c>
      <c r="F1438" s="275">
        <f t="shared" si="577"/>
        <v>45946.5</v>
      </c>
      <c r="G1438" s="120">
        <f t="shared" si="578"/>
        <v>24309</v>
      </c>
      <c r="H1438" s="245">
        <f t="shared" si="579"/>
        <v>1</v>
      </c>
      <c r="I1438" s="121">
        <f t="shared" si="580"/>
        <v>1</v>
      </c>
      <c r="J1438" s="121">
        <f t="shared" si="581"/>
        <v>1</v>
      </c>
      <c r="K1438" s="120">
        <f t="shared" si="582"/>
        <v>0</v>
      </c>
      <c r="L1438" s="120">
        <f t="shared" si="583"/>
        <v>0</v>
      </c>
      <c r="M1438" s="246">
        <f t="shared" si="584"/>
        <v>0</v>
      </c>
      <c r="N1438" s="121">
        <f t="shared" si="585"/>
        <v>1</v>
      </c>
      <c r="O1438" s="246">
        <f t="shared" si="586"/>
        <v>0.89852844638949669</v>
      </c>
      <c r="P1438" s="121">
        <f t="shared" si="587"/>
        <v>0.58333333333333326</v>
      </c>
      <c r="Q1438" s="121">
        <f t="shared" si="588"/>
        <v>0</v>
      </c>
      <c r="R1438" s="121">
        <f t="shared" si="589"/>
        <v>0</v>
      </c>
      <c r="S1438" s="121" t="str">
        <f t="shared" si="590"/>
        <v/>
      </c>
      <c r="T1438" s="121" t="str">
        <f t="shared" si="591"/>
        <v/>
      </c>
      <c r="U1438" s="121">
        <f t="shared" si="592"/>
        <v>1</v>
      </c>
    </row>
    <row r="1439" spans="1:21" x14ac:dyDescent="0.3">
      <c r="A1439" s="187">
        <v>11</v>
      </c>
      <c r="B1439" s="242">
        <f t="shared" si="593"/>
        <v>45962</v>
      </c>
      <c r="C1439" s="243">
        <f t="shared" si="574"/>
        <v>45991</v>
      </c>
      <c r="D1439" s="120">
        <f t="shared" si="575"/>
        <v>30</v>
      </c>
      <c r="E1439" s="120">
        <f t="shared" si="576"/>
        <v>11</v>
      </c>
      <c r="F1439" s="275">
        <f t="shared" si="577"/>
        <v>45977</v>
      </c>
      <c r="G1439" s="120">
        <f t="shared" si="578"/>
        <v>24310</v>
      </c>
      <c r="H1439" s="245">
        <f t="shared" si="579"/>
        <v>1</v>
      </c>
      <c r="I1439" s="121">
        <f t="shared" si="580"/>
        <v>1</v>
      </c>
      <c r="J1439" s="121">
        <f t="shared" si="581"/>
        <v>1</v>
      </c>
      <c r="K1439" s="120">
        <f t="shared" si="582"/>
        <v>0</v>
      </c>
      <c r="L1439" s="120">
        <f t="shared" si="583"/>
        <v>0</v>
      </c>
      <c r="M1439" s="246">
        <f t="shared" si="584"/>
        <v>0</v>
      </c>
      <c r="N1439" s="121">
        <f t="shared" si="585"/>
        <v>1</v>
      </c>
      <c r="O1439" s="246">
        <f t="shared" si="586"/>
        <v>0.89952954048140044</v>
      </c>
      <c r="P1439" s="121">
        <f t="shared" si="587"/>
        <v>0.75</v>
      </c>
      <c r="Q1439" s="121">
        <f t="shared" si="588"/>
        <v>0</v>
      </c>
      <c r="R1439" s="121">
        <f t="shared" si="589"/>
        <v>0</v>
      </c>
      <c r="S1439" s="121" t="str">
        <f t="shared" si="590"/>
        <v/>
      </c>
      <c r="T1439" s="121" t="str">
        <f t="shared" si="591"/>
        <v/>
      </c>
      <c r="U1439" s="121">
        <f t="shared" si="592"/>
        <v>1</v>
      </c>
    </row>
    <row r="1440" spans="1:21" x14ac:dyDescent="0.3">
      <c r="A1440" s="187">
        <v>12</v>
      </c>
      <c r="B1440" s="242">
        <f t="shared" si="593"/>
        <v>45992</v>
      </c>
      <c r="C1440" s="243">
        <f t="shared" si="574"/>
        <v>46022</v>
      </c>
      <c r="D1440" s="120">
        <f t="shared" si="575"/>
        <v>31</v>
      </c>
      <c r="E1440" s="120">
        <f t="shared" si="576"/>
        <v>12</v>
      </c>
      <c r="F1440" s="275">
        <f t="shared" si="577"/>
        <v>46007.5</v>
      </c>
      <c r="G1440" s="120">
        <f t="shared" si="578"/>
        <v>24311</v>
      </c>
      <c r="H1440" s="245">
        <f t="shared" si="579"/>
        <v>1</v>
      </c>
      <c r="I1440" s="121">
        <f t="shared" si="580"/>
        <v>1</v>
      </c>
      <c r="J1440" s="121">
        <f t="shared" si="581"/>
        <v>1</v>
      </c>
      <c r="K1440" s="120">
        <f t="shared" si="582"/>
        <v>0</v>
      </c>
      <c r="L1440" s="120">
        <f t="shared" si="583"/>
        <v>0</v>
      </c>
      <c r="M1440" s="246">
        <f t="shared" si="584"/>
        <v>0</v>
      </c>
      <c r="N1440" s="121">
        <f t="shared" si="585"/>
        <v>1</v>
      </c>
      <c r="O1440" s="246">
        <f t="shared" si="586"/>
        <v>0.90053063457330418</v>
      </c>
      <c r="P1440" s="121">
        <f t="shared" si="587"/>
        <v>0.91666666666666663</v>
      </c>
      <c r="Q1440" s="121">
        <f t="shared" si="588"/>
        <v>0</v>
      </c>
      <c r="R1440" s="121">
        <f t="shared" si="589"/>
        <v>0</v>
      </c>
      <c r="S1440" s="121" t="str">
        <f t="shared" si="590"/>
        <v/>
      </c>
      <c r="T1440" s="121" t="str">
        <f t="shared" si="591"/>
        <v/>
      </c>
      <c r="U1440" s="121">
        <f t="shared" si="592"/>
        <v>1</v>
      </c>
    </row>
    <row r="1441" spans="1:21" x14ac:dyDescent="0.3">
      <c r="A1441" s="187">
        <v>13</v>
      </c>
      <c r="B1441" s="242">
        <f t="shared" si="593"/>
        <v>46023</v>
      </c>
      <c r="C1441" s="243">
        <f t="shared" si="574"/>
        <v>46053</v>
      </c>
      <c r="D1441" s="120">
        <f t="shared" si="575"/>
        <v>31</v>
      </c>
      <c r="E1441" s="120">
        <f t="shared" si="576"/>
        <v>1</v>
      </c>
      <c r="F1441" s="275">
        <f t="shared" si="577"/>
        <v>46038.5</v>
      </c>
      <c r="G1441" s="120">
        <f t="shared" si="578"/>
        <v>24312</v>
      </c>
      <c r="H1441" s="245">
        <f t="shared" si="579"/>
        <v>1</v>
      </c>
      <c r="I1441" s="121">
        <f t="shared" si="580"/>
        <v>1</v>
      </c>
      <c r="J1441" s="121">
        <f t="shared" si="581"/>
        <v>1</v>
      </c>
      <c r="K1441" s="120">
        <f t="shared" si="582"/>
        <v>0</v>
      </c>
      <c r="L1441" s="120">
        <f t="shared" si="583"/>
        <v>0</v>
      </c>
      <c r="M1441" s="246">
        <f t="shared" si="584"/>
        <v>0</v>
      </c>
      <c r="N1441" s="121">
        <f t="shared" si="585"/>
        <v>1</v>
      </c>
      <c r="O1441" s="246">
        <f t="shared" si="586"/>
        <v>0.90154814004376371</v>
      </c>
      <c r="P1441" s="121">
        <f t="shared" si="587"/>
        <v>1</v>
      </c>
      <c r="Q1441" s="121">
        <f t="shared" si="588"/>
        <v>0</v>
      </c>
      <c r="R1441" s="121">
        <f t="shared" si="589"/>
        <v>0</v>
      </c>
      <c r="S1441" s="121" t="str">
        <f t="shared" si="590"/>
        <v/>
      </c>
      <c r="T1441" s="121" t="str">
        <f t="shared" si="591"/>
        <v/>
      </c>
      <c r="U1441" s="121">
        <f t="shared" si="592"/>
        <v>1</v>
      </c>
    </row>
    <row r="1442" spans="1:21" x14ac:dyDescent="0.3">
      <c r="A1442" s="187">
        <v>14</v>
      </c>
      <c r="B1442" s="242">
        <f t="shared" si="593"/>
        <v>46054</v>
      </c>
      <c r="C1442" s="243">
        <f t="shared" si="574"/>
        <v>46081</v>
      </c>
      <c r="D1442" s="120">
        <f t="shared" si="575"/>
        <v>28</v>
      </c>
      <c r="E1442" s="120">
        <f t="shared" si="576"/>
        <v>2</v>
      </c>
      <c r="F1442" s="275">
        <f t="shared" si="577"/>
        <v>46068</v>
      </c>
      <c r="G1442" s="120">
        <f t="shared" si="578"/>
        <v>24313</v>
      </c>
      <c r="H1442" s="245">
        <f t="shared" si="579"/>
        <v>1</v>
      </c>
      <c r="I1442" s="121">
        <f t="shared" si="580"/>
        <v>1</v>
      </c>
      <c r="J1442" s="121">
        <f t="shared" si="581"/>
        <v>1.02</v>
      </c>
      <c r="K1442" s="120">
        <f t="shared" si="582"/>
        <v>1</v>
      </c>
      <c r="L1442" s="120">
        <f t="shared" si="583"/>
        <v>28</v>
      </c>
      <c r="M1442" s="246">
        <f t="shared" si="584"/>
        <v>1</v>
      </c>
      <c r="N1442" s="121">
        <f t="shared" si="585"/>
        <v>1.02</v>
      </c>
      <c r="O1442" s="246">
        <f t="shared" si="586"/>
        <v>0.90251641137855576</v>
      </c>
      <c r="P1442" s="121">
        <f t="shared" si="587"/>
        <v>1</v>
      </c>
      <c r="Q1442" s="121">
        <f t="shared" si="588"/>
        <v>0</v>
      </c>
      <c r="R1442" s="121">
        <f t="shared" si="589"/>
        <v>0</v>
      </c>
      <c r="S1442" s="121" t="str">
        <f t="shared" si="590"/>
        <v/>
      </c>
      <c r="T1442" s="121" t="str">
        <f t="shared" si="591"/>
        <v/>
      </c>
      <c r="U1442" s="121">
        <f t="shared" si="592"/>
        <v>1.02</v>
      </c>
    </row>
    <row r="1443" spans="1:21" x14ac:dyDescent="0.3">
      <c r="A1443" s="187">
        <v>15</v>
      </c>
      <c r="B1443" s="242">
        <f t="shared" si="593"/>
        <v>46082</v>
      </c>
      <c r="C1443" s="243">
        <f t="shared" si="574"/>
        <v>46112</v>
      </c>
      <c r="D1443" s="120">
        <f t="shared" si="575"/>
        <v>31</v>
      </c>
      <c r="E1443" s="120">
        <f t="shared" si="576"/>
        <v>3</v>
      </c>
      <c r="F1443" s="275">
        <f t="shared" si="577"/>
        <v>46097.5</v>
      </c>
      <c r="G1443" s="120">
        <f t="shared" si="578"/>
        <v>24314</v>
      </c>
      <c r="H1443" s="245">
        <f t="shared" si="579"/>
        <v>1</v>
      </c>
      <c r="I1443" s="121">
        <f t="shared" si="580"/>
        <v>1.02</v>
      </c>
      <c r="J1443" s="121">
        <f t="shared" si="581"/>
        <v>1.02</v>
      </c>
      <c r="K1443" s="120">
        <f t="shared" si="582"/>
        <v>0</v>
      </c>
      <c r="L1443" s="120">
        <f t="shared" si="583"/>
        <v>0</v>
      </c>
      <c r="M1443" s="246">
        <f t="shared" si="584"/>
        <v>0</v>
      </c>
      <c r="N1443" s="121">
        <f t="shared" si="585"/>
        <v>1.02</v>
      </c>
      <c r="O1443" s="246">
        <f t="shared" si="586"/>
        <v>0.90348468271334792</v>
      </c>
      <c r="P1443" s="121">
        <f t="shared" si="587"/>
        <v>1</v>
      </c>
      <c r="Q1443" s="121">
        <f t="shared" si="588"/>
        <v>0</v>
      </c>
      <c r="R1443" s="121">
        <f t="shared" si="589"/>
        <v>0</v>
      </c>
      <c r="S1443" s="121" t="str">
        <f t="shared" si="590"/>
        <v/>
      </c>
      <c r="T1443" s="121" t="str">
        <f t="shared" si="591"/>
        <v/>
      </c>
      <c r="U1443" s="121">
        <f t="shared" si="592"/>
        <v>1.02</v>
      </c>
    </row>
    <row r="1444" spans="1:21" x14ac:dyDescent="0.3">
      <c r="A1444" s="187">
        <v>16</v>
      </c>
      <c r="B1444" s="242">
        <f t="shared" si="593"/>
        <v>46113</v>
      </c>
      <c r="C1444" s="243">
        <f t="shared" si="574"/>
        <v>46142</v>
      </c>
      <c r="D1444" s="120">
        <f t="shared" si="575"/>
        <v>30</v>
      </c>
      <c r="E1444" s="120">
        <f t="shared" si="576"/>
        <v>4</v>
      </c>
      <c r="F1444" s="275">
        <f t="shared" si="577"/>
        <v>46128</v>
      </c>
      <c r="G1444" s="120">
        <f t="shared" si="578"/>
        <v>24315</v>
      </c>
      <c r="H1444" s="245">
        <f t="shared" si="579"/>
        <v>1</v>
      </c>
      <c r="I1444" s="121">
        <f t="shared" si="580"/>
        <v>1.02</v>
      </c>
      <c r="J1444" s="121">
        <f t="shared" si="581"/>
        <v>1.02</v>
      </c>
      <c r="K1444" s="120">
        <f t="shared" si="582"/>
        <v>0</v>
      </c>
      <c r="L1444" s="120">
        <f t="shared" si="583"/>
        <v>0</v>
      </c>
      <c r="M1444" s="246">
        <f t="shared" si="584"/>
        <v>0</v>
      </c>
      <c r="N1444" s="121">
        <f t="shared" si="585"/>
        <v>1.02</v>
      </c>
      <c r="O1444" s="246">
        <f t="shared" si="586"/>
        <v>0.90448577680525166</v>
      </c>
      <c r="P1444" s="121">
        <f t="shared" si="587"/>
        <v>1</v>
      </c>
      <c r="Q1444" s="121">
        <f t="shared" si="588"/>
        <v>0</v>
      </c>
      <c r="R1444" s="121">
        <f t="shared" si="589"/>
        <v>0</v>
      </c>
      <c r="S1444" s="121" t="str">
        <f t="shared" si="590"/>
        <v/>
      </c>
      <c r="T1444" s="121" t="str">
        <f t="shared" si="591"/>
        <v/>
      </c>
      <c r="U1444" s="121">
        <f t="shared" si="592"/>
        <v>1.02</v>
      </c>
    </row>
    <row r="1445" spans="1:21" x14ac:dyDescent="0.3">
      <c r="A1445" s="187">
        <v>17</v>
      </c>
      <c r="B1445" s="242">
        <f t="shared" si="593"/>
        <v>46143</v>
      </c>
      <c r="C1445" s="243">
        <f t="shared" si="574"/>
        <v>46173</v>
      </c>
      <c r="D1445" s="120">
        <f t="shared" si="575"/>
        <v>31</v>
      </c>
      <c r="E1445" s="120">
        <f t="shared" si="576"/>
        <v>5</v>
      </c>
      <c r="F1445" s="275">
        <f t="shared" si="577"/>
        <v>46158.5</v>
      </c>
      <c r="G1445" s="120">
        <f t="shared" si="578"/>
        <v>24316</v>
      </c>
      <c r="H1445" s="245">
        <f t="shared" si="579"/>
        <v>1</v>
      </c>
      <c r="I1445" s="121">
        <f t="shared" si="580"/>
        <v>1.02</v>
      </c>
      <c r="J1445" s="121">
        <f t="shared" si="581"/>
        <v>1.02</v>
      </c>
      <c r="K1445" s="120">
        <f t="shared" si="582"/>
        <v>0</v>
      </c>
      <c r="L1445" s="120">
        <f t="shared" si="583"/>
        <v>0</v>
      </c>
      <c r="M1445" s="246">
        <f t="shared" si="584"/>
        <v>0</v>
      </c>
      <c r="N1445" s="121">
        <f t="shared" si="585"/>
        <v>1.02</v>
      </c>
      <c r="O1445" s="246">
        <f t="shared" si="586"/>
        <v>0.9054868708971554</v>
      </c>
      <c r="P1445" s="121">
        <f t="shared" si="587"/>
        <v>1</v>
      </c>
      <c r="Q1445" s="121">
        <f t="shared" si="588"/>
        <v>0</v>
      </c>
      <c r="R1445" s="121">
        <f t="shared" si="589"/>
        <v>0</v>
      </c>
      <c r="S1445" s="121" t="str">
        <f t="shared" si="590"/>
        <v/>
      </c>
      <c r="T1445" s="121" t="str">
        <f t="shared" si="591"/>
        <v/>
      </c>
      <c r="U1445" s="121">
        <f t="shared" si="592"/>
        <v>1.02</v>
      </c>
    </row>
    <row r="1446" spans="1:21" x14ac:dyDescent="0.3">
      <c r="A1446" s="187">
        <v>18</v>
      </c>
      <c r="B1446" s="242">
        <f t="shared" si="593"/>
        <v>46174</v>
      </c>
      <c r="C1446" s="243">
        <f t="shared" si="574"/>
        <v>46203</v>
      </c>
      <c r="D1446" s="120">
        <f t="shared" si="575"/>
        <v>30</v>
      </c>
      <c r="E1446" s="120">
        <f t="shared" si="576"/>
        <v>6</v>
      </c>
      <c r="F1446" s="275">
        <f t="shared" si="577"/>
        <v>46189</v>
      </c>
      <c r="G1446" s="120">
        <f t="shared" si="578"/>
        <v>24317</v>
      </c>
      <c r="H1446" s="245">
        <f t="shared" si="579"/>
        <v>1</v>
      </c>
      <c r="I1446" s="121">
        <f t="shared" si="580"/>
        <v>1.02</v>
      </c>
      <c r="J1446" s="121">
        <f t="shared" si="581"/>
        <v>1.02</v>
      </c>
      <c r="K1446" s="120">
        <f t="shared" si="582"/>
        <v>0</v>
      </c>
      <c r="L1446" s="120">
        <f t="shared" si="583"/>
        <v>0</v>
      </c>
      <c r="M1446" s="246">
        <f t="shared" si="584"/>
        <v>0</v>
      </c>
      <c r="N1446" s="121">
        <f t="shared" si="585"/>
        <v>1.02</v>
      </c>
      <c r="O1446" s="246">
        <f t="shared" si="586"/>
        <v>0.90648796498905915</v>
      </c>
      <c r="P1446" s="121">
        <f t="shared" si="587"/>
        <v>1</v>
      </c>
      <c r="Q1446" s="121">
        <f t="shared" si="588"/>
        <v>0</v>
      </c>
      <c r="R1446" s="121">
        <f t="shared" si="589"/>
        <v>0</v>
      </c>
      <c r="S1446" s="121" t="str">
        <f t="shared" si="590"/>
        <v/>
      </c>
      <c r="T1446" s="121" t="str">
        <f t="shared" si="591"/>
        <v/>
      </c>
      <c r="U1446" s="121">
        <f t="shared" si="592"/>
        <v>1.02</v>
      </c>
    </row>
    <row r="1447" spans="1:21" x14ac:dyDescent="0.3">
      <c r="A1447" s="187">
        <v>19</v>
      </c>
      <c r="B1447" s="242">
        <f t="shared" si="593"/>
        <v>46204</v>
      </c>
      <c r="C1447" s="243">
        <f t="shared" si="574"/>
        <v>46234</v>
      </c>
      <c r="D1447" s="120">
        <f t="shared" si="575"/>
        <v>31</v>
      </c>
      <c r="E1447" s="120">
        <f t="shared" si="576"/>
        <v>7</v>
      </c>
      <c r="F1447" s="275">
        <f t="shared" si="577"/>
        <v>46219.5</v>
      </c>
      <c r="G1447" s="120">
        <f t="shared" si="578"/>
        <v>24318</v>
      </c>
      <c r="H1447" s="245">
        <f t="shared" si="579"/>
        <v>1</v>
      </c>
      <c r="I1447" s="121">
        <f t="shared" si="580"/>
        <v>1.02</v>
      </c>
      <c r="J1447" s="121">
        <f t="shared" si="581"/>
        <v>1.02</v>
      </c>
      <c r="K1447" s="120">
        <f t="shared" si="582"/>
        <v>0</v>
      </c>
      <c r="L1447" s="120">
        <f t="shared" si="583"/>
        <v>0</v>
      </c>
      <c r="M1447" s="246">
        <f t="shared" si="584"/>
        <v>0</v>
      </c>
      <c r="N1447" s="121">
        <f t="shared" si="585"/>
        <v>1.02</v>
      </c>
      <c r="O1447" s="246">
        <f t="shared" si="586"/>
        <v>0.90748905908096278</v>
      </c>
      <c r="P1447" s="121">
        <f t="shared" si="587"/>
        <v>0.91666666666666663</v>
      </c>
      <c r="Q1447" s="121">
        <f t="shared" si="588"/>
        <v>8.333333333333337E-2</v>
      </c>
      <c r="R1447" s="121">
        <f t="shared" si="589"/>
        <v>0</v>
      </c>
      <c r="S1447" s="121" t="str">
        <f t="shared" si="590"/>
        <v/>
      </c>
      <c r="T1447" s="121" t="str">
        <f t="shared" si="591"/>
        <v/>
      </c>
      <c r="U1447" s="121">
        <f t="shared" si="592"/>
        <v>1.02</v>
      </c>
    </row>
    <row r="1448" spans="1:21" x14ac:dyDescent="0.3">
      <c r="A1448" s="187">
        <v>20</v>
      </c>
      <c r="B1448" s="242">
        <f t="shared" si="593"/>
        <v>46235</v>
      </c>
      <c r="C1448" s="243">
        <f t="shared" si="574"/>
        <v>46265</v>
      </c>
      <c r="D1448" s="120">
        <f t="shared" si="575"/>
        <v>31</v>
      </c>
      <c r="E1448" s="120">
        <f t="shared" si="576"/>
        <v>8</v>
      </c>
      <c r="F1448" s="275">
        <f t="shared" si="577"/>
        <v>46250.5</v>
      </c>
      <c r="G1448" s="120">
        <f t="shared" si="578"/>
        <v>24319</v>
      </c>
      <c r="H1448" s="245">
        <f t="shared" si="579"/>
        <v>1</v>
      </c>
      <c r="I1448" s="121">
        <f t="shared" si="580"/>
        <v>1.02</v>
      </c>
      <c r="J1448" s="121">
        <f t="shared" si="581"/>
        <v>1.02</v>
      </c>
      <c r="K1448" s="120">
        <f t="shared" si="582"/>
        <v>0</v>
      </c>
      <c r="L1448" s="120">
        <f t="shared" si="583"/>
        <v>0</v>
      </c>
      <c r="M1448" s="246">
        <f t="shared" si="584"/>
        <v>0</v>
      </c>
      <c r="N1448" s="121">
        <f t="shared" si="585"/>
        <v>1.02</v>
      </c>
      <c r="O1448" s="246">
        <f t="shared" si="586"/>
        <v>0.90850656455142231</v>
      </c>
      <c r="P1448" s="121">
        <f t="shared" si="587"/>
        <v>0.75</v>
      </c>
      <c r="Q1448" s="121">
        <f t="shared" si="588"/>
        <v>0.25</v>
      </c>
      <c r="R1448" s="121">
        <f t="shared" si="589"/>
        <v>0</v>
      </c>
      <c r="S1448" s="121" t="str">
        <f t="shared" si="590"/>
        <v/>
      </c>
      <c r="T1448" s="121" t="str">
        <f t="shared" si="591"/>
        <v/>
      </c>
      <c r="U1448" s="121">
        <f t="shared" si="592"/>
        <v>1.02</v>
      </c>
    </row>
    <row r="1449" spans="1:21" x14ac:dyDescent="0.3">
      <c r="A1449" s="187">
        <v>21</v>
      </c>
      <c r="B1449" s="242">
        <f t="shared" si="593"/>
        <v>46266</v>
      </c>
      <c r="C1449" s="243">
        <f t="shared" si="574"/>
        <v>46295</v>
      </c>
      <c r="D1449" s="120">
        <f t="shared" si="575"/>
        <v>30</v>
      </c>
      <c r="E1449" s="120">
        <f t="shared" si="576"/>
        <v>9</v>
      </c>
      <c r="F1449" s="275">
        <f t="shared" si="577"/>
        <v>46281</v>
      </c>
      <c r="G1449" s="120">
        <f t="shared" si="578"/>
        <v>24320</v>
      </c>
      <c r="H1449" s="245">
        <f t="shared" si="579"/>
        <v>1</v>
      </c>
      <c r="I1449" s="121">
        <f t="shared" si="580"/>
        <v>1.02</v>
      </c>
      <c r="J1449" s="121">
        <f t="shared" si="581"/>
        <v>1.02</v>
      </c>
      <c r="K1449" s="120">
        <f t="shared" si="582"/>
        <v>0</v>
      </c>
      <c r="L1449" s="120">
        <f t="shared" si="583"/>
        <v>0</v>
      </c>
      <c r="M1449" s="246">
        <f t="shared" si="584"/>
        <v>0</v>
      </c>
      <c r="N1449" s="121">
        <f t="shared" si="585"/>
        <v>1.02</v>
      </c>
      <c r="O1449" s="246">
        <f t="shared" si="586"/>
        <v>0.90950765864332606</v>
      </c>
      <c r="P1449" s="121">
        <f t="shared" si="587"/>
        <v>0.58333333333333337</v>
      </c>
      <c r="Q1449" s="121">
        <f t="shared" si="588"/>
        <v>0.41666666666666663</v>
      </c>
      <c r="R1449" s="121">
        <f t="shared" si="589"/>
        <v>0</v>
      </c>
      <c r="S1449" s="121" t="str">
        <f t="shared" si="590"/>
        <v/>
      </c>
      <c r="T1449" s="121" t="str">
        <f t="shared" si="591"/>
        <v/>
      </c>
      <c r="U1449" s="121">
        <f t="shared" si="592"/>
        <v>1.02</v>
      </c>
    </row>
    <row r="1450" spans="1:21" x14ac:dyDescent="0.3">
      <c r="A1450" s="187">
        <v>22</v>
      </c>
      <c r="B1450" s="242">
        <f t="shared" si="593"/>
        <v>46296</v>
      </c>
      <c r="C1450" s="243">
        <f t="shared" si="574"/>
        <v>46326</v>
      </c>
      <c r="D1450" s="120">
        <f t="shared" si="575"/>
        <v>31</v>
      </c>
      <c r="E1450" s="120">
        <f t="shared" si="576"/>
        <v>10</v>
      </c>
      <c r="F1450" s="275">
        <f t="shared" si="577"/>
        <v>46311.5</v>
      </c>
      <c r="G1450" s="120">
        <f t="shared" si="578"/>
        <v>24321</v>
      </c>
      <c r="H1450" s="245">
        <f t="shared" si="579"/>
        <v>1</v>
      </c>
      <c r="I1450" s="121">
        <f t="shared" si="580"/>
        <v>1.02</v>
      </c>
      <c r="J1450" s="121">
        <f t="shared" si="581"/>
        <v>1.02</v>
      </c>
      <c r="K1450" s="120">
        <f t="shared" si="582"/>
        <v>0</v>
      </c>
      <c r="L1450" s="120">
        <f t="shared" si="583"/>
        <v>0</v>
      </c>
      <c r="M1450" s="246">
        <f t="shared" si="584"/>
        <v>0</v>
      </c>
      <c r="N1450" s="121">
        <f t="shared" si="585"/>
        <v>1.02</v>
      </c>
      <c r="O1450" s="246">
        <f t="shared" si="586"/>
        <v>0.9105087527352298</v>
      </c>
      <c r="P1450" s="121">
        <f t="shared" si="587"/>
        <v>0.41666666666666669</v>
      </c>
      <c r="Q1450" s="121">
        <f t="shared" si="588"/>
        <v>0.58333333333333326</v>
      </c>
      <c r="R1450" s="121">
        <f t="shared" si="589"/>
        <v>0</v>
      </c>
      <c r="S1450" s="121" t="str">
        <f t="shared" si="590"/>
        <v/>
      </c>
      <c r="T1450" s="121" t="str">
        <f t="shared" si="591"/>
        <v/>
      </c>
      <c r="U1450" s="121">
        <f t="shared" si="592"/>
        <v>1.02</v>
      </c>
    </row>
    <row r="1451" spans="1:21" x14ac:dyDescent="0.3">
      <c r="A1451" s="187">
        <v>23</v>
      </c>
      <c r="B1451" s="242">
        <f t="shared" si="593"/>
        <v>46327</v>
      </c>
      <c r="C1451" s="243">
        <f t="shared" si="574"/>
        <v>46356</v>
      </c>
      <c r="D1451" s="120">
        <f t="shared" si="575"/>
        <v>30</v>
      </c>
      <c r="E1451" s="120">
        <f t="shared" si="576"/>
        <v>11</v>
      </c>
      <c r="F1451" s="275">
        <f t="shared" si="577"/>
        <v>46342</v>
      </c>
      <c r="G1451" s="120">
        <f t="shared" si="578"/>
        <v>24322</v>
      </c>
      <c r="H1451" s="245">
        <f t="shared" si="579"/>
        <v>1</v>
      </c>
      <c r="I1451" s="121">
        <f t="shared" si="580"/>
        <v>1.02</v>
      </c>
      <c r="J1451" s="121">
        <f t="shared" si="581"/>
        <v>1.02</v>
      </c>
      <c r="K1451" s="120">
        <f t="shared" si="582"/>
        <v>0</v>
      </c>
      <c r="L1451" s="120">
        <f t="shared" si="583"/>
        <v>0</v>
      </c>
      <c r="M1451" s="246">
        <f t="shared" si="584"/>
        <v>0</v>
      </c>
      <c r="N1451" s="121">
        <f t="shared" si="585"/>
        <v>1.02</v>
      </c>
      <c r="O1451" s="246">
        <f t="shared" si="586"/>
        <v>0.91150984682713354</v>
      </c>
      <c r="P1451" s="121">
        <f t="shared" si="587"/>
        <v>0.25</v>
      </c>
      <c r="Q1451" s="121">
        <f t="shared" si="588"/>
        <v>0.75</v>
      </c>
      <c r="R1451" s="121">
        <f t="shared" si="589"/>
        <v>0</v>
      </c>
      <c r="S1451" s="121" t="str">
        <f t="shared" si="590"/>
        <v/>
      </c>
      <c r="T1451" s="121" t="str">
        <f t="shared" si="591"/>
        <v/>
      </c>
      <c r="U1451" s="121">
        <f t="shared" si="592"/>
        <v>1.02</v>
      </c>
    </row>
    <row r="1452" spans="1:21" x14ac:dyDescent="0.3">
      <c r="A1452" s="187">
        <v>24</v>
      </c>
      <c r="B1452" s="242">
        <f t="shared" si="593"/>
        <v>46357</v>
      </c>
      <c r="C1452" s="243">
        <f t="shared" si="574"/>
        <v>46387</v>
      </c>
      <c r="D1452" s="120">
        <f t="shared" si="575"/>
        <v>31</v>
      </c>
      <c r="E1452" s="120">
        <f t="shared" si="576"/>
        <v>12</v>
      </c>
      <c r="F1452" s="275">
        <f t="shared" si="577"/>
        <v>46372.5</v>
      </c>
      <c r="G1452" s="120">
        <f t="shared" si="578"/>
        <v>24323</v>
      </c>
      <c r="H1452" s="245">
        <f t="shared" si="579"/>
        <v>1</v>
      </c>
      <c r="I1452" s="121">
        <f t="shared" si="580"/>
        <v>1.02</v>
      </c>
      <c r="J1452" s="121">
        <f t="shared" si="581"/>
        <v>1.02</v>
      </c>
      <c r="K1452" s="120">
        <f t="shared" si="582"/>
        <v>0</v>
      </c>
      <c r="L1452" s="120">
        <f t="shared" si="583"/>
        <v>0</v>
      </c>
      <c r="M1452" s="246">
        <f t="shared" si="584"/>
        <v>0</v>
      </c>
      <c r="N1452" s="121">
        <f t="shared" si="585"/>
        <v>1.02</v>
      </c>
      <c r="O1452" s="246">
        <f t="shared" si="586"/>
        <v>0.91251094091903728</v>
      </c>
      <c r="P1452" s="121">
        <f t="shared" si="587"/>
        <v>8.3333333333333329E-2</v>
      </c>
      <c r="Q1452" s="121">
        <f t="shared" si="588"/>
        <v>0.91666666666666663</v>
      </c>
      <c r="R1452" s="121">
        <f t="shared" si="589"/>
        <v>0</v>
      </c>
      <c r="S1452" s="121" t="str">
        <f t="shared" si="590"/>
        <v/>
      </c>
      <c r="T1452" s="121" t="str">
        <f t="shared" si="591"/>
        <v/>
      </c>
      <c r="U1452" s="121">
        <f t="shared" si="592"/>
        <v>1.02</v>
      </c>
    </row>
    <row r="1453" spans="1:21" x14ac:dyDescent="0.3">
      <c r="A1453" s="187">
        <v>25</v>
      </c>
      <c r="B1453" s="242">
        <f t="shared" si="593"/>
        <v>46388</v>
      </c>
      <c r="C1453" s="243">
        <f t="shared" si="574"/>
        <v>46418</v>
      </c>
      <c r="D1453" s="120">
        <f t="shared" si="575"/>
        <v>31</v>
      </c>
      <c r="E1453" s="120">
        <f t="shared" si="576"/>
        <v>1</v>
      </c>
      <c r="F1453" s="275">
        <f t="shared" si="577"/>
        <v>46403.5</v>
      </c>
      <c r="G1453" s="120">
        <f t="shared" si="578"/>
        <v>24324</v>
      </c>
      <c r="H1453" s="245">
        <f t="shared" si="579"/>
        <v>1</v>
      </c>
      <c r="I1453" s="121">
        <f t="shared" si="580"/>
        <v>1.02</v>
      </c>
      <c r="J1453" s="121">
        <f t="shared" si="581"/>
        <v>1.02</v>
      </c>
      <c r="K1453" s="120">
        <f t="shared" si="582"/>
        <v>0</v>
      </c>
      <c r="L1453" s="120">
        <f t="shared" si="583"/>
        <v>0</v>
      </c>
      <c r="M1453" s="246">
        <f t="shared" si="584"/>
        <v>0</v>
      </c>
      <c r="N1453" s="121">
        <f t="shared" si="585"/>
        <v>1.02</v>
      </c>
      <c r="O1453" s="246">
        <f t="shared" si="586"/>
        <v>0.91352844638949671</v>
      </c>
      <c r="P1453" s="121">
        <f t="shared" si="587"/>
        <v>0</v>
      </c>
      <c r="Q1453" s="121">
        <f t="shared" si="588"/>
        <v>1</v>
      </c>
      <c r="R1453" s="121">
        <f t="shared" si="589"/>
        <v>0</v>
      </c>
      <c r="S1453" s="121" t="str">
        <f t="shared" si="590"/>
        <v/>
      </c>
      <c r="T1453" s="121" t="str">
        <f t="shared" si="591"/>
        <v/>
      </c>
      <c r="U1453" s="121">
        <f t="shared" si="592"/>
        <v>1.02</v>
      </c>
    </row>
    <row r="1454" spans="1:21" x14ac:dyDescent="0.3">
      <c r="A1454" s="187">
        <v>26</v>
      </c>
      <c r="B1454" s="242">
        <f t="shared" si="593"/>
        <v>46419</v>
      </c>
      <c r="C1454" s="243">
        <f t="shared" si="574"/>
        <v>46446</v>
      </c>
      <c r="D1454" s="120">
        <f t="shared" si="575"/>
        <v>28</v>
      </c>
      <c r="E1454" s="120">
        <f t="shared" si="576"/>
        <v>2</v>
      </c>
      <c r="F1454" s="275">
        <f t="shared" si="577"/>
        <v>46433</v>
      </c>
      <c r="G1454" s="120">
        <f t="shared" si="578"/>
        <v>24325</v>
      </c>
      <c r="H1454" s="245">
        <f t="shared" si="579"/>
        <v>1</v>
      </c>
      <c r="I1454" s="121">
        <f t="shared" si="580"/>
        <v>1.02</v>
      </c>
      <c r="J1454" s="121">
        <f t="shared" si="581"/>
        <v>1.02</v>
      </c>
      <c r="K1454" s="120">
        <f t="shared" si="582"/>
        <v>0</v>
      </c>
      <c r="L1454" s="120">
        <f t="shared" si="583"/>
        <v>0</v>
      </c>
      <c r="M1454" s="246">
        <f t="shared" si="584"/>
        <v>0</v>
      </c>
      <c r="N1454" s="121">
        <f t="shared" si="585"/>
        <v>1.02</v>
      </c>
      <c r="O1454" s="246">
        <f t="shared" si="586"/>
        <v>0.91449671772428887</v>
      </c>
      <c r="P1454" s="121">
        <f t="shared" si="587"/>
        <v>0</v>
      </c>
      <c r="Q1454" s="121">
        <f t="shared" si="588"/>
        <v>1</v>
      </c>
      <c r="R1454" s="121">
        <f t="shared" si="589"/>
        <v>0</v>
      </c>
      <c r="S1454" s="121" t="str">
        <f t="shared" si="590"/>
        <v/>
      </c>
      <c r="T1454" s="121" t="str">
        <f t="shared" si="591"/>
        <v/>
      </c>
      <c r="U1454" s="121">
        <f t="shared" si="592"/>
        <v>1.02</v>
      </c>
    </row>
    <row r="1455" spans="1:21" x14ac:dyDescent="0.3">
      <c r="A1455" s="187">
        <v>27</v>
      </c>
      <c r="B1455" s="242">
        <f t="shared" si="593"/>
        <v>46447</v>
      </c>
      <c r="C1455" s="243">
        <f t="shared" si="574"/>
        <v>46477</v>
      </c>
      <c r="D1455" s="120">
        <f t="shared" si="575"/>
        <v>31</v>
      </c>
      <c r="E1455" s="120">
        <f t="shared" si="576"/>
        <v>3</v>
      </c>
      <c r="F1455" s="275">
        <f t="shared" si="577"/>
        <v>46462.5</v>
      </c>
      <c r="G1455" s="120">
        <f t="shared" si="578"/>
        <v>24326</v>
      </c>
      <c r="H1455" s="245">
        <f t="shared" si="579"/>
        <v>1</v>
      </c>
      <c r="I1455" s="121">
        <f t="shared" si="580"/>
        <v>1.02</v>
      </c>
      <c r="J1455" s="121">
        <f t="shared" si="581"/>
        <v>1.02</v>
      </c>
      <c r="K1455" s="120">
        <f t="shared" si="582"/>
        <v>0</v>
      </c>
      <c r="L1455" s="120">
        <f t="shared" si="583"/>
        <v>0</v>
      </c>
      <c r="M1455" s="246">
        <f t="shared" si="584"/>
        <v>0</v>
      </c>
      <c r="N1455" s="121">
        <f t="shared" si="585"/>
        <v>1.02</v>
      </c>
      <c r="O1455" s="246">
        <f t="shared" si="586"/>
        <v>0.91546498905908102</v>
      </c>
      <c r="P1455" s="121">
        <f t="shared" si="587"/>
        <v>0</v>
      </c>
      <c r="Q1455" s="121">
        <f t="shared" si="588"/>
        <v>1</v>
      </c>
      <c r="R1455" s="121">
        <f t="shared" si="589"/>
        <v>0</v>
      </c>
      <c r="S1455" s="121" t="str">
        <f t="shared" si="590"/>
        <v/>
      </c>
      <c r="T1455" s="121" t="str">
        <f t="shared" si="591"/>
        <v/>
      </c>
      <c r="U1455" s="121">
        <f t="shared" si="592"/>
        <v>1.02</v>
      </c>
    </row>
    <row r="1456" spans="1:21" x14ac:dyDescent="0.3">
      <c r="A1456" s="187">
        <v>28</v>
      </c>
      <c r="B1456" s="242">
        <f t="shared" si="593"/>
        <v>46478</v>
      </c>
      <c r="C1456" s="243">
        <f t="shared" si="574"/>
        <v>46507</v>
      </c>
      <c r="D1456" s="120">
        <f t="shared" si="575"/>
        <v>30</v>
      </c>
      <c r="E1456" s="120">
        <f t="shared" si="576"/>
        <v>4</v>
      </c>
      <c r="F1456" s="275">
        <f t="shared" si="577"/>
        <v>46493</v>
      </c>
      <c r="G1456" s="120">
        <f t="shared" si="578"/>
        <v>24327</v>
      </c>
      <c r="H1456" s="245">
        <f t="shared" si="579"/>
        <v>1</v>
      </c>
      <c r="I1456" s="121">
        <f t="shared" si="580"/>
        <v>1.02</v>
      </c>
      <c r="J1456" s="121">
        <f t="shared" si="581"/>
        <v>1.02</v>
      </c>
      <c r="K1456" s="120">
        <f t="shared" si="582"/>
        <v>0</v>
      </c>
      <c r="L1456" s="120">
        <f t="shared" si="583"/>
        <v>0</v>
      </c>
      <c r="M1456" s="246">
        <f t="shared" si="584"/>
        <v>0</v>
      </c>
      <c r="N1456" s="121">
        <f t="shared" si="585"/>
        <v>1.02</v>
      </c>
      <c r="O1456" s="246">
        <f t="shared" si="586"/>
        <v>0.91646608315098477</v>
      </c>
      <c r="P1456" s="121">
        <f t="shared" si="587"/>
        <v>0</v>
      </c>
      <c r="Q1456" s="121">
        <f t="shared" si="588"/>
        <v>1</v>
      </c>
      <c r="R1456" s="121">
        <f t="shared" si="589"/>
        <v>0</v>
      </c>
      <c r="S1456" s="121" t="str">
        <f t="shared" si="590"/>
        <v/>
      </c>
      <c r="T1456" s="121" t="str">
        <f t="shared" si="591"/>
        <v/>
      </c>
      <c r="U1456" s="121">
        <f t="shared" si="592"/>
        <v>1.02</v>
      </c>
    </row>
    <row r="1457" spans="1:21" x14ac:dyDescent="0.3">
      <c r="A1457" s="187">
        <v>29</v>
      </c>
      <c r="B1457" s="242">
        <f t="shared" si="593"/>
        <v>46508</v>
      </c>
      <c r="C1457" s="243">
        <f t="shared" si="574"/>
        <v>46538</v>
      </c>
      <c r="D1457" s="120">
        <f t="shared" si="575"/>
        <v>31</v>
      </c>
      <c r="E1457" s="120">
        <f t="shared" si="576"/>
        <v>5</v>
      </c>
      <c r="F1457" s="275">
        <f t="shared" si="577"/>
        <v>46523.5</v>
      </c>
      <c r="G1457" s="120">
        <f t="shared" si="578"/>
        <v>24328</v>
      </c>
      <c r="H1457" s="245">
        <f t="shared" si="579"/>
        <v>1</v>
      </c>
      <c r="I1457" s="121">
        <f t="shared" si="580"/>
        <v>1.02</v>
      </c>
      <c r="J1457" s="121">
        <f t="shared" si="581"/>
        <v>1.02</v>
      </c>
      <c r="K1457" s="120">
        <f t="shared" si="582"/>
        <v>0</v>
      </c>
      <c r="L1457" s="120">
        <f t="shared" si="583"/>
        <v>0</v>
      </c>
      <c r="M1457" s="246">
        <f t="shared" si="584"/>
        <v>0</v>
      </c>
      <c r="N1457" s="121">
        <f t="shared" si="585"/>
        <v>1.02</v>
      </c>
      <c r="O1457" s="246">
        <f t="shared" si="586"/>
        <v>0.9174671772428884</v>
      </c>
      <c r="P1457" s="121">
        <f t="shared" si="587"/>
        <v>0</v>
      </c>
      <c r="Q1457" s="121">
        <f t="shared" si="588"/>
        <v>1</v>
      </c>
      <c r="R1457" s="121">
        <f t="shared" si="589"/>
        <v>0</v>
      </c>
      <c r="S1457" s="121" t="str">
        <f t="shared" si="590"/>
        <v/>
      </c>
      <c r="T1457" s="121" t="str">
        <f t="shared" si="591"/>
        <v/>
      </c>
      <c r="U1457" s="121">
        <f t="shared" si="592"/>
        <v>1.02</v>
      </c>
    </row>
    <row r="1458" spans="1:21" x14ac:dyDescent="0.3">
      <c r="A1458" s="187">
        <v>30</v>
      </c>
      <c r="B1458" s="242">
        <f t="shared" si="593"/>
        <v>46539</v>
      </c>
      <c r="C1458" s="243">
        <f t="shared" si="574"/>
        <v>46568</v>
      </c>
      <c r="D1458" s="120">
        <f t="shared" si="575"/>
        <v>30</v>
      </c>
      <c r="E1458" s="120">
        <f t="shared" si="576"/>
        <v>6</v>
      </c>
      <c r="F1458" s="275">
        <f t="shared" si="577"/>
        <v>46554</v>
      </c>
      <c r="G1458" s="120">
        <f t="shared" si="578"/>
        <v>24329</v>
      </c>
      <c r="H1458" s="245">
        <f t="shared" si="579"/>
        <v>1</v>
      </c>
      <c r="I1458" s="121">
        <f t="shared" si="580"/>
        <v>1.02</v>
      </c>
      <c r="J1458" s="121">
        <f t="shared" si="581"/>
        <v>1.0608</v>
      </c>
      <c r="K1458" s="120">
        <f t="shared" si="582"/>
        <v>1</v>
      </c>
      <c r="L1458" s="120">
        <f t="shared" si="583"/>
        <v>30</v>
      </c>
      <c r="M1458" s="246">
        <f t="shared" si="584"/>
        <v>1</v>
      </c>
      <c r="N1458" s="121">
        <f t="shared" si="585"/>
        <v>1.0608</v>
      </c>
      <c r="O1458" s="246">
        <f t="shared" si="586"/>
        <v>0.91846827133479214</v>
      </c>
      <c r="P1458" s="121">
        <f t="shared" si="587"/>
        <v>0</v>
      </c>
      <c r="Q1458" s="121">
        <f t="shared" si="588"/>
        <v>1</v>
      </c>
      <c r="R1458" s="121">
        <f t="shared" si="589"/>
        <v>0</v>
      </c>
      <c r="S1458" s="121" t="str">
        <f t="shared" si="590"/>
        <v/>
      </c>
      <c r="T1458" s="121" t="str">
        <f t="shared" si="591"/>
        <v/>
      </c>
      <c r="U1458" s="121">
        <f t="shared" si="592"/>
        <v>1.0608</v>
      </c>
    </row>
    <row r="1459" spans="1:21" x14ac:dyDescent="0.3">
      <c r="A1459" s="187">
        <v>31</v>
      </c>
      <c r="B1459" s="242">
        <f t="shared" si="593"/>
        <v>46569</v>
      </c>
      <c r="C1459" s="243">
        <f t="shared" si="574"/>
        <v>46599</v>
      </c>
      <c r="D1459" s="120">
        <f t="shared" si="575"/>
        <v>31</v>
      </c>
      <c r="E1459" s="120">
        <f t="shared" si="576"/>
        <v>7</v>
      </c>
      <c r="F1459" s="275">
        <f t="shared" si="577"/>
        <v>46584.5</v>
      </c>
      <c r="G1459" s="120">
        <f t="shared" si="578"/>
        <v>24330</v>
      </c>
      <c r="H1459" s="245">
        <f t="shared" si="579"/>
        <v>1</v>
      </c>
      <c r="I1459" s="121">
        <f t="shared" si="580"/>
        <v>1.0608</v>
      </c>
      <c r="J1459" s="121">
        <f t="shared" si="581"/>
        <v>1.0608</v>
      </c>
      <c r="K1459" s="120">
        <f t="shared" si="582"/>
        <v>0</v>
      </c>
      <c r="L1459" s="120">
        <f t="shared" si="583"/>
        <v>0</v>
      </c>
      <c r="M1459" s="246">
        <f t="shared" si="584"/>
        <v>0</v>
      </c>
      <c r="N1459" s="121">
        <f t="shared" si="585"/>
        <v>1.0608</v>
      </c>
      <c r="O1459" s="246">
        <f t="shared" si="586"/>
        <v>0.91946936542669588</v>
      </c>
      <c r="P1459" s="121">
        <f t="shared" si="587"/>
        <v>0</v>
      </c>
      <c r="Q1459" s="121">
        <f t="shared" si="588"/>
        <v>0.91666666666666663</v>
      </c>
      <c r="R1459" s="121">
        <f t="shared" si="589"/>
        <v>8.333333333333337E-2</v>
      </c>
      <c r="S1459" s="121" t="str">
        <f t="shared" si="590"/>
        <v/>
      </c>
      <c r="T1459" s="121" t="str">
        <f t="shared" si="591"/>
        <v/>
      </c>
      <c r="U1459" s="121">
        <f t="shared" si="592"/>
        <v>1.0608</v>
      </c>
    </row>
    <row r="1460" spans="1:21" x14ac:dyDescent="0.3">
      <c r="A1460" s="187">
        <v>32</v>
      </c>
      <c r="B1460" s="242">
        <f t="shared" si="593"/>
        <v>46600</v>
      </c>
      <c r="C1460" s="243">
        <f t="shared" si="574"/>
        <v>46630</v>
      </c>
      <c r="D1460" s="120">
        <f t="shared" si="575"/>
        <v>31</v>
      </c>
      <c r="E1460" s="120">
        <f t="shared" si="576"/>
        <v>8</v>
      </c>
      <c r="F1460" s="275">
        <f t="shared" si="577"/>
        <v>46615.5</v>
      </c>
      <c r="G1460" s="120">
        <f t="shared" si="578"/>
        <v>24331</v>
      </c>
      <c r="H1460" s="245">
        <f t="shared" si="579"/>
        <v>1</v>
      </c>
      <c r="I1460" s="121">
        <f t="shared" si="580"/>
        <v>1.0608</v>
      </c>
      <c r="J1460" s="121">
        <f t="shared" si="581"/>
        <v>1.0608</v>
      </c>
      <c r="K1460" s="120">
        <f t="shared" si="582"/>
        <v>0</v>
      </c>
      <c r="L1460" s="120">
        <f t="shared" si="583"/>
        <v>0</v>
      </c>
      <c r="M1460" s="246">
        <f t="shared" si="584"/>
        <v>0</v>
      </c>
      <c r="N1460" s="121">
        <f t="shared" si="585"/>
        <v>1.0608</v>
      </c>
      <c r="O1460" s="246">
        <f t="shared" si="586"/>
        <v>0.92048687089715542</v>
      </c>
      <c r="P1460" s="121">
        <f t="shared" si="587"/>
        <v>0</v>
      </c>
      <c r="Q1460" s="121">
        <f t="shared" si="588"/>
        <v>0.75</v>
      </c>
      <c r="R1460" s="121">
        <f t="shared" si="589"/>
        <v>0.25</v>
      </c>
      <c r="S1460" s="121" t="str">
        <f t="shared" si="590"/>
        <v/>
      </c>
      <c r="T1460" s="121" t="str">
        <f t="shared" si="591"/>
        <v/>
      </c>
      <c r="U1460" s="121">
        <f t="shared" si="592"/>
        <v>1.0608</v>
      </c>
    </row>
    <row r="1461" spans="1:21" x14ac:dyDescent="0.3">
      <c r="A1461" s="187">
        <v>33</v>
      </c>
      <c r="B1461" s="242">
        <f t="shared" si="593"/>
        <v>46631</v>
      </c>
      <c r="C1461" s="243">
        <f t="shared" si="574"/>
        <v>46660</v>
      </c>
      <c r="D1461" s="120">
        <f t="shared" si="575"/>
        <v>30</v>
      </c>
      <c r="E1461" s="120">
        <f t="shared" si="576"/>
        <v>9</v>
      </c>
      <c r="F1461" s="275">
        <f t="shared" si="577"/>
        <v>46646</v>
      </c>
      <c r="G1461" s="120">
        <f t="shared" si="578"/>
        <v>24332</v>
      </c>
      <c r="H1461" s="245">
        <f t="shared" si="579"/>
        <v>1</v>
      </c>
      <c r="I1461" s="121">
        <f t="shared" si="580"/>
        <v>1.0608</v>
      </c>
      <c r="J1461" s="121">
        <f t="shared" si="581"/>
        <v>1.0608</v>
      </c>
      <c r="K1461" s="120">
        <f t="shared" si="582"/>
        <v>0</v>
      </c>
      <c r="L1461" s="120">
        <f t="shared" si="583"/>
        <v>0</v>
      </c>
      <c r="M1461" s="246">
        <f t="shared" si="584"/>
        <v>0</v>
      </c>
      <c r="N1461" s="121">
        <f t="shared" si="585"/>
        <v>1.0608</v>
      </c>
      <c r="O1461" s="246">
        <f t="shared" si="586"/>
        <v>0.92148796498905916</v>
      </c>
      <c r="P1461" s="121">
        <f t="shared" si="587"/>
        <v>0</v>
      </c>
      <c r="Q1461" s="121">
        <f t="shared" si="588"/>
        <v>0.58333333333333337</v>
      </c>
      <c r="R1461" s="121">
        <f t="shared" si="589"/>
        <v>0.41666666666666663</v>
      </c>
      <c r="S1461" s="121" t="str">
        <f t="shared" si="590"/>
        <v/>
      </c>
      <c r="T1461" s="121" t="str">
        <f t="shared" si="591"/>
        <v/>
      </c>
      <c r="U1461" s="121">
        <f t="shared" si="592"/>
        <v>1.0608</v>
      </c>
    </row>
    <row r="1462" spans="1:21" x14ac:dyDescent="0.3">
      <c r="A1462" s="187">
        <v>34</v>
      </c>
      <c r="B1462" s="242">
        <f t="shared" si="593"/>
        <v>46661</v>
      </c>
      <c r="C1462" s="243">
        <f t="shared" si="574"/>
        <v>46691</v>
      </c>
      <c r="D1462" s="120">
        <f t="shared" si="575"/>
        <v>31</v>
      </c>
      <c r="E1462" s="120">
        <f t="shared" si="576"/>
        <v>10</v>
      </c>
      <c r="F1462" s="275">
        <f t="shared" si="577"/>
        <v>46676.5</v>
      </c>
      <c r="G1462" s="120">
        <f t="shared" si="578"/>
        <v>24333</v>
      </c>
      <c r="H1462" s="245">
        <f t="shared" si="579"/>
        <v>1</v>
      </c>
      <c r="I1462" s="121">
        <f t="shared" si="580"/>
        <v>1.0608</v>
      </c>
      <c r="J1462" s="121">
        <f t="shared" si="581"/>
        <v>1.0608</v>
      </c>
      <c r="K1462" s="120">
        <f t="shared" si="582"/>
        <v>0</v>
      </c>
      <c r="L1462" s="120">
        <f t="shared" si="583"/>
        <v>0</v>
      </c>
      <c r="M1462" s="246">
        <f t="shared" si="584"/>
        <v>0</v>
      </c>
      <c r="N1462" s="121">
        <f t="shared" si="585"/>
        <v>1.0608</v>
      </c>
      <c r="O1462" s="246">
        <f t="shared" si="586"/>
        <v>0.92248905908096279</v>
      </c>
      <c r="P1462" s="121">
        <f t="shared" si="587"/>
        <v>0</v>
      </c>
      <c r="Q1462" s="121">
        <f t="shared" si="588"/>
        <v>0.41666666666666669</v>
      </c>
      <c r="R1462" s="121">
        <f t="shared" si="589"/>
        <v>0.58333333333333326</v>
      </c>
      <c r="S1462" s="121" t="str">
        <f t="shared" si="590"/>
        <v/>
      </c>
      <c r="T1462" s="121" t="str">
        <f t="shared" si="591"/>
        <v/>
      </c>
      <c r="U1462" s="121">
        <f t="shared" si="592"/>
        <v>1.0608</v>
      </c>
    </row>
    <row r="1463" spans="1:21" x14ac:dyDescent="0.3">
      <c r="A1463" s="187">
        <v>35</v>
      </c>
      <c r="B1463" s="242">
        <f t="shared" si="593"/>
        <v>46692</v>
      </c>
      <c r="C1463" s="243">
        <f t="shared" si="574"/>
        <v>46721</v>
      </c>
      <c r="D1463" s="120">
        <f t="shared" si="575"/>
        <v>30</v>
      </c>
      <c r="E1463" s="120">
        <f t="shared" si="576"/>
        <v>11</v>
      </c>
      <c r="F1463" s="275">
        <f t="shared" si="577"/>
        <v>46707</v>
      </c>
      <c r="G1463" s="120">
        <f t="shared" si="578"/>
        <v>24334</v>
      </c>
      <c r="H1463" s="245">
        <f t="shared" si="579"/>
        <v>1</v>
      </c>
      <c r="I1463" s="121">
        <f t="shared" si="580"/>
        <v>1.0608</v>
      </c>
      <c r="J1463" s="121">
        <f t="shared" si="581"/>
        <v>1.0608</v>
      </c>
      <c r="K1463" s="120">
        <f t="shared" si="582"/>
        <v>0</v>
      </c>
      <c r="L1463" s="120">
        <f t="shared" si="583"/>
        <v>0</v>
      </c>
      <c r="M1463" s="246">
        <f t="shared" si="584"/>
        <v>0</v>
      </c>
      <c r="N1463" s="121">
        <f t="shared" si="585"/>
        <v>1.0608</v>
      </c>
      <c r="O1463" s="246">
        <f t="shared" si="586"/>
        <v>0.92349015317286653</v>
      </c>
      <c r="P1463" s="121">
        <f t="shared" si="587"/>
        <v>0</v>
      </c>
      <c r="Q1463" s="121">
        <f t="shared" si="588"/>
        <v>0.25</v>
      </c>
      <c r="R1463" s="121">
        <f t="shared" si="589"/>
        <v>0.75</v>
      </c>
      <c r="S1463" s="121" t="str">
        <f t="shared" si="590"/>
        <v/>
      </c>
      <c r="T1463" s="121" t="str">
        <f t="shared" si="591"/>
        <v/>
      </c>
      <c r="U1463" s="121">
        <f t="shared" si="592"/>
        <v>1.0608</v>
      </c>
    </row>
    <row r="1464" spans="1:21" x14ac:dyDescent="0.3">
      <c r="A1464" s="187">
        <v>36</v>
      </c>
      <c r="B1464" s="242">
        <f t="shared" si="593"/>
        <v>46722</v>
      </c>
      <c r="C1464" s="243">
        <f t="shared" si="574"/>
        <v>46752</v>
      </c>
      <c r="D1464" s="120">
        <f t="shared" si="575"/>
        <v>31</v>
      </c>
      <c r="E1464" s="120">
        <f t="shared" si="576"/>
        <v>12</v>
      </c>
      <c r="F1464" s="275">
        <f t="shared" si="577"/>
        <v>46737.5</v>
      </c>
      <c r="G1464" s="120">
        <f t="shared" si="578"/>
        <v>24335</v>
      </c>
      <c r="H1464" s="245">
        <f t="shared" si="579"/>
        <v>1</v>
      </c>
      <c r="I1464" s="121">
        <f t="shared" si="580"/>
        <v>1.0608</v>
      </c>
      <c r="J1464" s="121">
        <f t="shared" si="581"/>
        <v>1.0608</v>
      </c>
      <c r="K1464" s="120">
        <f t="shared" si="582"/>
        <v>0</v>
      </c>
      <c r="L1464" s="120">
        <f t="shared" si="583"/>
        <v>0</v>
      </c>
      <c r="M1464" s="246">
        <f t="shared" si="584"/>
        <v>0</v>
      </c>
      <c r="N1464" s="121">
        <f t="shared" si="585"/>
        <v>1.0608</v>
      </c>
      <c r="O1464" s="246">
        <f t="shared" si="586"/>
        <v>0.92449124726477028</v>
      </c>
      <c r="P1464" s="121">
        <f t="shared" si="587"/>
        <v>0</v>
      </c>
      <c r="Q1464" s="121">
        <f t="shared" si="588"/>
        <v>8.3333333333333329E-2</v>
      </c>
      <c r="R1464" s="121">
        <f t="shared" si="589"/>
        <v>0.91666666666666663</v>
      </c>
      <c r="S1464" s="121" t="str">
        <f t="shared" si="590"/>
        <v/>
      </c>
      <c r="T1464" s="121" t="str">
        <f t="shared" si="591"/>
        <v/>
      </c>
      <c r="U1464" s="121">
        <f t="shared" si="592"/>
        <v>1.0608</v>
      </c>
    </row>
    <row r="1465" spans="1:21" x14ac:dyDescent="0.3">
      <c r="A1465" s="187">
        <v>37</v>
      </c>
      <c r="B1465" s="242">
        <f t="shared" si="593"/>
        <v>46753</v>
      </c>
      <c r="C1465" s="243">
        <f t="shared" si="574"/>
        <v>46783</v>
      </c>
      <c r="D1465" s="120">
        <f t="shared" si="575"/>
        <v>31</v>
      </c>
      <c r="E1465" s="120">
        <f t="shared" si="576"/>
        <v>1</v>
      </c>
      <c r="F1465" s="275">
        <f t="shared" si="577"/>
        <v>46768.5</v>
      </c>
      <c r="G1465" s="120">
        <f t="shared" si="578"/>
        <v>24336</v>
      </c>
      <c r="H1465" s="245">
        <f t="shared" si="579"/>
        <v>1</v>
      </c>
      <c r="I1465" s="121">
        <f t="shared" si="580"/>
        <v>1.0608</v>
      </c>
      <c r="J1465" s="121">
        <f t="shared" si="581"/>
        <v>1.0608</v>
      </c>
      <c r="K1465" s="120">
        <f t="shared" si="582"/>
        <v>0</v>
      </c>
      <c r="L1465" s="120">
        <f t="shared" si="583"/>
        <v>0</v>
      </c>
      <c r="M1465" s="246">
        <f t="shared" si="584"/>
        <v>0</v>
      </c>
      <c r="N1465" s="121">
        <f t="shared" si="585"/>
        <v>1.0608</v>
      </c>
      <c r="O1465" s="246">
        <f t="shared" si="586"/>
        <v>0.92500000000000004</v>
      </c>
      <c r="P1465" s="121">
        <f t="shared" si="587"/>
        <v>0</v>
      </c>
      <c r="Q1465" s="121">
        <f t="shared" si="588"/>
        <v>0</v>
      </c>
      <c r="R1465" s="121">
        <f t="shared" si="589"/>
        <v>1</v>
      </c>
      <c r="S1465" s="121" t="str">
        <f t="shared" si="590"/>
        <v/>
      </c>
      <c r="T1465" s="121" t="str">
        <f t="shared" si="591"/>
        <v/>
      </c>
      <c r="U1465" s="121">
        <f t="shared" si="592"/>
        <v>1.0608</v>
      </c>
    </row>
    <row r="1466" spans="1:21" x14ac:dyDescent="0.3">
      <c r="A1466" s="187">
        <v>38</v>
      </c>
      <c r="B1466" s="242">
        <f t="shared" si="593"/>
        <v>46784</v>
      </c>
      <c r="C1466" s="243">
        <f t="shared" si="574"/>
        <v>46812</v>
      </c>
      <c r="D1466" s="120">
        <f t="shared" si="575"/>
        <v>29</v>
      </c>
      <c r="E1466" s="120">
        <f t="shared" si="576"/>
        <v>2</v>
      </c>
      <c r="F1466" s="275">
        <f t="shared" si="577"/>
        <v>46798.5</v>
      </c>
      <c r="G1466" s="120">
        <f t="shared" si="578"/>
        <v>24337</v>
      </c>
      <c r="H1466" s="245">
        <f t="shared" si="579"/>
        <v>1</v>
      </c>
      <c r="I1466" s="121">
        <f t="shared" si="580"/>
        <v>1.0608</v>
      </c>
      <c r="J1466" s="121">
        <f t="shared" si="581"/>
        <v>1.0608</v>
      </c>
      <c r="K1466" s="120">
        <f t="shared" si="582"/>
        <v>0</v>
      </c>
      <c r="L1466" s="120">
        <f t="shared" si="583"/>
        <v>0</v>
      </c>
      <c r="M1466" s="246">
        <f t="shared" si="584"/>
        <v>0</v>
      </c>
      <c r="N1466" s="121">
        <f t="shared" si="585"/>
        <v>1.0608</v>
      </c>
      <c r="O1466" s="246">
        <f t="shared" si="586"/>
        <v>0.92500000000000004</v>
      </c>
      <c r="P1466" s="121">
        <f t="shared" si="587"/>
        <v>0</v>
      </c>
      <c r="Q1466" s="121">
        <f t="shared" si="588"/>
        <v>0</v>
      </c>
      <c r="R1466" s="121">
        <f t="shared" si="589"/>
        <v>1</v>
      </c>
      <c r="S1466" s="121" t="str">
        <f t="shared" si="590"/>
        <v/>
      </c>
      <c r="T1466" s="121" t="str">
        <f t="shared" si="591"/>
        <v/>
      </c>
      <c r="U1466" s="121">
        <f t="shared" si="592"/>
        <v>1.0608</v>
      </c>
    </row>
    <row r="1467" spans="1:21" x14ac:dyDescent="0.3">
      <c r="A1467" s="187">
        <v>39</v>
      </c>
      <c r="B1467" s="242">
        <f t="shared" si="593"/>
        <v>46813</v>
      </c>
      <c r="C1467" s="243">
        <f t="shared" si="574"/>
        <v>46843</v>
      </c>
      <c r="D1467" s="120">
        <f t="shared" si="575"/>
        <v>31</v>
      </c>
      <c r="E1467" s="120">
        <f t="shared" si="576"/>
        <v>3</v>
      </c>
      <c r="F1467" s="275">
        <f t="shared" si="577"/>
        <v>46828.5</v>
      </c>
      <c r="G1467" s="120">
        <f t="shared" si="578"/>
        <v>24338</v>
      </c>
      <c r="H1467" s="245">
        <f t="shared" si="579"/>
        <v>1</v>
      </c>
      <c r="I1467" s="121">
        <f t="shared" si="580"/>
        <v>1.0608</v>
      </c>
      <c r="J1467" s="121">
        <f t="shared" si="581"/>
        <v>1.0608</v>
      </c>
      <c r="K1467" s="120">
        <f t="shared" si="582"/>
        <v>0</v>
      </c>
      <c r="L1467" s="120">
        <f t="shared" si="583"/>
        <v>0</v>
      </c>
      <c r="M1467" s="246">
        <f t="shared" si="584"/>
        <v>0</v>
      </c>
      <c r="N1467" s="121">
        <f t="shared" si="585"/>
        <v>1.0608</v>
      </c>
      <c r="O1467" s="246">
        <f t="shared" si="586"/>
        <v>0.92500000000000004</v>
      </c>
      <c r="P1467" s="121">
        <f t="shared" si="587"/>
        <v>0</v>
      </c>
      <c r="Q1467" s="121">
        <f t="shared" si="588"/>
        <v>0</v>
      </c>
      <c r="R1467" s="121">
        <f t="shared" si="589"/>
        <v>1</v>
      </c>
      <c r="S1467" s="121" t="str">
        <f t="shared" si="590"/>
        <v/>
      </c>
      <c r="T1467" s="121" t="str">
        <f t="shared" si="591"/>
        <v/>
      </c>
      <c r="U1467" s="121">
        <f t="shared" si="592"/>
        <v>1.0608</v>
      </c>
    </row>
    <row r="1468" spans="1:21" x14ac:dyDescent="0.3">
      <c r="A1468" s="187">
        <v>40</v>
      </c>
      <c r="B1468" s="242">
        <f t="shared" si="593"/>
        <v>46844</v>
      </c>
      <c r="C1468" s="243">
        <f t="shared" si="574"/>
        <v>46873</v>
      </c>
      <c r="D1468" s="120">
        <f t="shared" si="575"/>
        <v>30</v>
      </c>
      <c r="E1468" s="120">
        <f t="shared" si="576"/>
        <v>4</v>
      </c>
      <c r="F1468" s="275">
        <f t="shared" si="577"/>
        <v>46859</v>
      </c>
      <c r="G1468" s="120">
        <f t="shared" si="578"/>
        <v>24339</v>
      </c>
      <c r="H1468" s="245">
        <f t="shared" si="579"/>
        <v>1</v>
      </c>
      <c r="I1468" s="121">
        <f t="shared" si="580"/>
        <v>1.0608</v>
      </c>
      <c r="J1468" s="121">
        <f t="shared" si="581"/>
        <v>1.0608</v>
      </c>
      <c r="K1468" s="120">
        <f t="shared" si="582"/>
        <v>0</v>
      </c>
      <c r="L1468" s="120">
        <f t="shared" si="583"/>
        <v>0</v>
      </c>
      <c r="M1468" s="246">
        <f t="shared" si="584"/>
        <v>0</v>
      </c>
      <c r="N1468" s="121">
        <f t="shared" si="585"/>
        <v>1.0608</v>
      </c>
      <c r="O1468" s="246">
        <f t="shared" si="586"/>
        <v>0.92500000000000004</v>
      </c>
      <c r="P1468" s="121">
        <f t="shared" si="587"/>
        <v>0</v>
      </c>
      <c r="Q1468" s="121">
        <f t="shared" si="588"/>
        <v>0</v>
      </c>
      <c r="R1468" s="121">
        <f t="shared" si="589"/>
        <v>1</v>
      </c>
      <c r="S1468" s="121" t="str">
        <f t="shared" si="590"/>
        <v/>
      </c>
      <c r="T1468" s="121" t="str">
        <f t="shared" si="591"/>
        <v/>
      </c>
      <c r="U1468" s="121">
        <f t="shared" si="592"/>
        <v>1.0608</v>
      </c>
    </row>
    <row r="1469" spans="1:21" x14ac:dyDescent="0.3">
      <c r="A1469" s="187">
        <v>41</v>
      </c>
      <c r="B1469" s="242">
        <f t="shared" si="593"/>
        <v>46874</v>
      </c>
      <c r="C1469" s="243">
        <f t="shared" si="574"/>
        <v>46904</v>
      </c>
      <c r="D1469" s="120">
        <f t="shared" si="575"/>
        <v>31</v>
      </c>
      <c r="E1469" s="120">
        <f t="shared" si="576"/>
        <v>5</v>
      </c>
      <c r="F1469" s="275">
        <f t="shared" si="577"/>
        <v>46889.5</v>
      </c>
      <c r="G1469" s="120">
        <f t="shared" si="578"/>
        <v>24340</v>
      </c>
      <c r="H1469" s="245">
        <f t="shared" si="579"/>
        <v>1</v>
      </c>
      <c r="I1469" s="121">
        <f t="shared" si="580"/>
        <v>1.0608</v>
      </c>
      <c r="J1469" s="121">
        <f t="shared" si="581"/>
        <v>1.0608</v>
      </c>
      <c r="K1469" s="120">
        <f t="shared" si="582"/>
        <v>0</v>
      </c>
      <c r="L1469" s="120">
        <f t="shared" si="583"/>
        <v>0</v>
      </c>
      <c r="M1469" s="246">
        <f t="shared" si="584"/>
        <v>0</v>
      </c>
      <c r="N1469" s="121">
        <f t="shared" si="585"/>
        <v>1.0608</v>
      </c>
      <c r="O1469" s="246">
        <f t="shared" si="586"/>
        <v>0.92500000000000004</v>
      </c>
      <c r="P1469" s="121">
        <f t="shared" si="587"/>
        <v>0</v>
      </c>
      <c r="Q1469" s="121">
        <f t="shared" si="588"/>
        <v>0</v>
      </c>
      <c r="R1469" s="121">
        <f t="shared" si="589"/>
        <v>1</v>
      </c>
      <c r="S1469" s="121" t="str">
        <f t="shared" si="590"/>
        <v/>
      </c>
      <c r="T1469" s="121" t="str">
        <f t="shared" si="591"/>
        <v/>
      </c>
      <c r="U1469" s="121">
        <f t="shared" si="592"/>
        <v>1.0608</v>
      </c>
    </row>
    <row r="1470" spans="1:21" x14ac:dyDescent="0.3">
      <c r="A1470" s="187">
        <v>42</v>
      </c>
      <c r="B1470" s="242">
        <f t="shared" si="593"/>
        <v>46905</v>
      </c>
      <c r="C1470" s="243">
        <f t="shared" si="574"/>
        <v>46934</v>
      </c>
      <c r="D1470" s="120">
        <f t="shared" si="575"/>
        <v>30</v>
      </c>
      <c r="E1470" s="120">
        <f t="shared" si="576"/>
        <v>6</v>
      </c>
      <c r="F1470" s="275">
        <f t="shared" si="577"/>
        <v>46920</v>
      </c>
      <c r="G1470" s="120">
        <f t="shared" si="578"/>
        <v>24341</v>
      </c>
      <c r="H1470" s="245">
        <f t="shared" si="579"/>
        <v>1</v>
      </c>
      <c r="I1470" s="121">
        <f t="shared" si="580"/>
        <v>1.0608</v>
      </c>
      <c r="J1470" s="121">
        <f t="shared" si="581"/>
        <v>1.0608</v>
      </c>
      <c r="K1470" s="120">
        <f t="shared" si="582"/>
        <v>0</v>
      </c>
      <c r="L1470" s="120">
        <f t="shared" si="583"/>
        <v>0</v>
      </c>
      <c r="M1470" s="246">
        <f t="shared" si="584"/>
        <v>0</v>
      </c>
      <c r="N1470" s="121">
        <f t="shared" si="585"/>
        <v>1.0608</v>
      </c>
      <c r="O1470" s="246">
        <f t="shared" si="586"/>
        <v>0.92500000000000004</v>
      </c>
      <c r="P1470" s="121">
        <f t="shared" si="587"/>
        <v>0</v>
      </c>
      <c r="Q1470" s="121">
        <f t="shared" si="588"/>
        <v>0</v>
      </c>
      <c r="R1470" s="121">
        <f t="shared" si="589"/>
        <v>1</v>
      </c>
      <c r="S1470" s="121" t="str">
        <f t="shared" si="590"/>
        <v/>
      </c>
      <c r="T1470" s="121" t="str">
        <f t="shared" si="591"/>
        <v/>
      </c>
      <c r="U1470" s="121">
        <f t="shared" si="592"/>
        <v>1.0608</v>
      </c>
    </row>
    <row r="1471" spans="1:21" x14ac:dyDescent="0.3">
      <c r="A1471" s="187">
        <v>43</v>
      </c>
      <c r="B1471" s="242">
        <f t="shared" si="593"/>
        <v>46935</v>
      </c>
      <c r="C1471" s="243">
        <f t="shared" si="574"/>
        <v>46965</v>
      </c>
      <c r="D1471" s="120">
        <f t="shared" si="575"/>
        <v>31</v>
      </c>
      <c r="E1471" s="120">
        <f t="shared" si="576"/>
        <v>7</v>
      </c>
      <c r="F1471" s="275">
        <f t="shared" si="577"/>
        <v>46950.5</v>
      </c>
      <c r="G1471" s="120">
        <f t="shared" si="578"/>
        <v>24342</v>
      </c>
      <c r="H1471" s="245">
        <f t="shared" si="579"/>
        <v>1</v>
      </c>
      <c r="I1471" s="121">
        <f t="shared" si="580"/>
        <v>1.0608</v>
      </c>
      <c r="J1471" s="121">
        <f t="shared" si="581"/>
        <v>1.0608</v>
      </c>
      <c r="K1471" s="120">
        <f t="shared" si="582"/>
        <v>0</v>
      </c>
      <c r="L1471" s="120">
        <f t="shared" si="583"/>
        <v>0</v>
      </c>
      <c r="M1471" s="246">
        <f t="shared" si="584"/>
        <v>0</v>
      </c>
      <c r="N1471" s="121">
        <f t="shared" si="585"/>
        <v>1.0608</v>
      </c>
      <c r="O1471" s="246">
        <f t="shared" si="586"/>
        <v>0.92500000000000004</v>
      </c>
      <c r="P1471" s="121">
        <f t="shared" si="587"/>
        <v>0</v>
      </c>
      <c r="Q1471" s="121">
        <f t="shared" si="588"/>
        <v>0</v>
      </c>
      <c r="R1471" s="121">
        <f t="shared" si="589"/>
        <v>0.91666666666666663</v>
      </c>
      <c r="S1471" s="121" t="str">
        <f t="shared" si="590"/>
        <v/>
      </c>
      <c r="T1471" s="121" t="str">
        <f t="shared" si="591"/>
        <v/>
      </c>
      <c r="U1471" s="121">
        <f t="shared" si="592"/>
        <v>1.0608</v>
      </c>
    </row>
    <row r="1472" spans="1:21" x14ac:dyDescent="0.3">
      <c r="A1472" s="187">
        <v>44</v>
      </c>
      <c r="B1472" s="242">
        <f t="shared" si="593"/>
        <v>46966</v>
      </c>
      <c r="C1472" s="243">
        <f t="shared" si="574"/>
        <v>46996</v>
      </c>
      <c r="D1472" s="120">
        <f t="shared" si="575"/>
        <v>31</v>
      </c>
      <c r="E1472" s="120">
        <f t="shared" si="576"/>
        <v>8</v>
      </c>
      <c r="F1472" s="275">
        <f t="shared" si="577"/>
        <v>46981.5</v>
      </c>
      <c r="G1472" s="120">
        <f t="shared" si="578"/>
        <v>24343</v>
      </c>
      <c r="H1472" s="245">
        <f t="shared" si="579"/>
        <v>1</v>
      </c>
      <c r="I1472" s="121">
        <f t="shared" si="580"/>
        <v>1.0608</v>
      </c>
      <c r="J1472" s="121">
        <f t="shared" si="581"/>
        <v>1.0608</v>
      </c>
      <c r="K1472" s="120">
        <f t="shared" si="582"/>
        <v>0</v>
      </c>
      <c r="L1472" s="120">
        <f t="shared" si="583"/>
        <v>0</v>
      </c>
      <c r="M1472" s="246">
        <f t="shared" si="584"/>
        <v>0</v>
      </c>
      <c r="N1472" s="121">
        <f t="shared" si="585"/>
        <v>1.0608</v>
      </c>
      <c r="O1472" s="246">
        <f t="shared" si="586"/>
        <v>0.92500000000000004</v>
      </c>
      <c r="P1472" s="121">
        <f t="shared" si="587"/>
        <v>0</v>
      </c>
      <c r="Q1472" s="121">
        <f t="shared" si="588"/>
        <v>0</v>
      </c>
      <c r="R1472" s="121">
        <f t="shared" si="589"/>
        <v>0.75</v>
      </c>
      <c r="S1472" s="121" t="str">
        <f t="shared" si="590"/>
        <v/>
      </c>
      <c r="T1472" s="121" t="str">
        <f t="shared" si="591"/>
        <v/>
      </c>
      <c r="U1472" s="121">
        <f t="shared" si="592"/>
        <v>1.0608</v>
      </c>
    </row>
    <row r="1473" spans="1:21" x14ac:dyDescent="0.3">
      <c r="A1473" s="187">
        <v>45</v>
      </c>
      <c r="B1473" s="242">
        <f t="shared" si="593"/>
        <v>46997</v>
      </c>
      <c r="C1473" s="243">
        <f t="shared" si="574"/>
        <v>47026</v>
      </c>
      <c r="D1473" s="120">
        <f t="shared" si="575"/>
        <v>30</v>
      </c>
      <c r="E1473" s="120">
        <f t="shared" si="576"/>
        <v>9</v>
      </c>
      <c r="F1473" s="275">
        <f t="shared" si="577"/>
        <v>47012</v>
      </c>
      <c r="G1473" s="120">
        <f t="shared" si="578"/>
        <v>24344</v>
      </c>
      <c r="H1473" s="245">
        <f t="shared" si="579"/>
        <v>1</v>
      </c>
      <c r="I1473" s="121">
        <f t="shared" si="580"/>
        <v>1.0608</v>
      </c>
      <c r="J1473" s="121">
        <f t="shared" si="581"/>
        <v>1.0608</v>
      </c>
      <c r="K1473" s="120">
        <f t="shared" si="582"/>
        <v>0</v>
      </c>
      <c r="L1473" s="120">
        <f t="shared" si="583"/>
        <v>0</v>
      </c>
      <c r="M1473" s="246">
        <f t="shared" si="584"/>
        <v>0</v>
      </c>
      <c r="N1473" s="121">
        <f t="shared" si="585"/>
        <v>1.0608</v>
      </c>
      <c r="O1473" s="246">
        <f t="shared" si="586"/>
        <v>0.92500000000000004</v>
      </c>
      <c r="P1473" s="121">
        <f t="shared" si="587"/>
        <v>0</v>
      </c>
      <c r="Q1473" s="121">
        <f t="shared" si="588"/>
        <v>0</v>
      </c>
      <c r="R1473" s="121">
        <f t="shared" si="589"/>
        <v>0.58333333333333337</v>
      </c>
      <c r="S1473" s="121" t="str">
        <f t="shared" si="590"/>
        <v/>
      </c>
      <c r="T1473" s="121" t="str">
        <f t="shared" si="591"/>
        <v/>
      </c>
      <c r="U1473" s="121">
        <f t="shared" si="592"/>
        <v>1.0608</v>
      </c>
    </row>
    <row r="1474" spans="1:21" x14ac:dyDescent="0.3">
      <c r="A1474" s="187">
        <v>46</v>
      </c>
      <c r="B1474" s="242">
        <f t="shared" si="593"/>
        <v>47027</v>
      </c>
      <c r="C1474" s="243">
        <f t="shared" si="574"/>
        <v>47057</v>
      </c>
      <c r="D1474" s="120">
        <f t="shared" si="575"/>
        <v>31</v>
      </c>
      <c r="E1474" s="120">
        <f t="shared" si="576"/>
        <v>10</v>
      </c>
      <c r="F1474" s="275">
        <f t="shared" si="577"/>
        <v>47042.5</v>
      </c>
      <c r="G1474" s="120">
        <f t="shared" si="578"/>
        <v>24345</v>
      </c>
      <c r="H1474" s="245">
        <f t="shared" si="579"/>
        <v>1</v>
      </c>
      <c r="I1474" s="121">
        <f t="shared" si="580"/>
        <v>1.0608</v>
      </c>
      <c r="J1474" s="121">
        <f t="shared" si="581"/>
        <v>1.0608</v>
      </c>
      <c r="K1474" s="120">
        <f t="shared" si="582"/>
        <v>0</v>
      </c>
      <c r="L1474" s="120">
        <f t="shared" si="583"/>
        <v>0</v>
      </c>
      <c r="M1474" s="246">
        <f t="shared" si="584"/>
        <v>0</v>
      </c>
      <c r="N1474" s="121">
        <f t="shared" si="585"/>
        <v>1.0608</v>
      </c>
      <c r="O1474" s="246">
        <f t="shared" si="586"/>
        <v>0.92500000000000004</v>
      </c>
      <c r="P1474" s="121">
        <f t="shared" si="587"/>
        <v>0</v>
      </c>
      <c r="Q1474" s="121">
        <f t="shared" si="588"/>
        <v>0</v>
      </c>
      <c r="R1474" s="121">
        <f t="shared" si="589"/>
        <v>0.41666666666666669</v>
      </c>
      <c r="S1474" s="121" t="str">
        <f t="shared" si="590"/>
        <v/>
      </c>
      <c r="T1474" s="121" t="str">
        <f t="shared" si="591"/>
        <v/>
      </c>
      <c r="U1474" s="121">
        <f t="shared" si="592"/>
        <v>1.0608</v>
      </c>
    </row>
    <row r="1475" spans="1:21" x14ac:dyDescent="0.3">
      <c r="A1475" s="187">
        <v>47</v>
      </c>
      <c r="B1475" s="242">
        <f t="shared" si="593"/>
        <v>47058</v>
      </c>
      <c r="C1475" s="243">
        <f t="shared" si="574"/>
        <v>47087</v>
      </c>
      <c r="D1475" s="120">
        <f t="shared" si="575"/>
        <v>30</v>
      </c>
      <c r="E1475" s="120">
        <f t="shared" si="576"/>
        <v>11</v>
      </c>
      <c r="F1475" s="275">
        <f t="shared" si="577"/>
        <v>47073</v>
      </c>
      <c r="G1475" s="120">
        <f t="shared" si="578"/>
        <v>24346</v>
      </c>
      <c r="H1475" s="245">
        <f t="shared" si="579"/>
        <v>1</v>
      </c>
      <c r="I1475" s="121">
        <f t="shared" si="580"/>
        <v>1.0608</v>
      </c>
      <c r="J1475" s="121">
        <f t="shared" si="581"/>
        <v>1.0608</v>
      </c>
      <c r="K1475" s="120">
        <f t="shared" si="582"/>
        <v>0</v>
      </c>
      <c r="L1475" s="120">
        <f t="shared" si="583"/>
        <v>0</v>
      </c>
      <c r="M1475" s="246">
        <f t="shared" si="584"/>
        <v>0</v>
      </c>
      <c r="N1475" s="121">
        <f t="shared" si="585"/>
        <v>1.0608</v>
      </c>
      <c r="O1475" s="246">
        <f t="shared" si="586"/>
        <v>0.92500000000000004</v>
      </c>
      <c r="P1475" s="121">
        <f t="shared" si="587"/>
        <v>0</v>
      </c>
      <c r="Q1475" s="121">
        <f t="shared" si="588"/>
        <v>0</v>
      </c>
      <c r="R1475" s="121">
        <f t="shared" si="589"/>
        <v>0.25</v>
      </c>
      <c r="S1475" s="121" t="str">
        <f t="shared" si="590"/>
        <v/>
      </c>
      <c r="T1475" s="121" t="str">
        <f t="shared" si="591"/>
        <v/>
      </c>
      <c r="U1475" s="121">
        <f t="shared" si="592"/>
        <v>1.0608</v>
      </c>
    </row>
    <row r="1476" spans="1:21" x14ac:dyDescent="0.3">
      <c r="A1476" s="187">
        <v>48</v>
      </c>
      <c r="B1476" s="242">
        <f t="shared" si="593"/>
        <v>47088</v>
      </c>
      <c r="C1476" s="243">
        <f t="shared" si="574"/>
        <v>47118</v>
      </c>
      <c r="D1476" s="120">
        <f t="shared" si="575"/>
        <v>31</v>
      </c>
      <c r="E1476" s="120">
        <f t="shared" si="576"/>
        <v>12</v>
      </c>
      <c r="F1476" s="275">
        <f t="shared" si="577"/>
        <v>47103.5</v>
      </c>
      <c r="G1476" s="120">
        <f t="shared" si="578"/>
        <v>24347</v>
      </c>
      <c r="H1476" s="245">
        <f t="shared" si="579"/>
        <v>1</v>
      </c>
      <c r="I1476" s="121">
        <f t="shared" si="580"/>
        <v>1.0608</v>
      </c>
      <c r="J1476" s="121">
        <f t="shared" si="581"/>
        <v>1.0608</v>
      </c>
      <c r="K1476" s="120">
        <f t="shared" si="582"/>
        <v>0</v>
      </c>
      <c r="L1476" s="120">
        <f t="shared" si="583"/>
        <v>0</v>
      </c>
      <c r="M1476" s="246">
        <f t="shared" si="584"/>
        <v>0</v>
      </c>
      <c r="N1476" s="121">
        <f t="shared" si="585"/>
        <v>1.0608</v>
      </c>
      <c r="O1476" s="246">
        <f t="shared" si="586"/>
        <v>0.92500000000000004</v>
      </c>
      <c r="P1476" s="121">
        <f t="shared" si="587"/>
        <v>0</v>
      </c>
      <c r="Q1476" s="121">
        <f t="shared" si="588"/>
        <v>0</v>
      </c>
      <c r="R1476" s="121">
        <f t="shared" si="589"/>
        <v>8.3333333333333329E-2</v>
      </c>
      <c r="S1476" s="121" t="str">
        <f t="shared" si="590"/>
        <v/>
      </c>
      <c r="T1476" s="121" t="str">
        <f t="shared" si="591"/>
        <v/>
      </c>
      <c r="U1476" s="121">
        <f t="shared" si="592"/>
        <v>1.0608</v>
      </c>
    </row>
    <row r="1477" spans="1:21" x14ac:dyDescent="0.3">
      <c r="A1477" s="6" t="s">
        <v>1651</v>
      </c>
      <c r="B1477" s="73">
        <f>EXP(SUMPRODUCT((rl_key=$A$1426)*(rl_cons="Y")*rl_ln1p))</f>
        <v>1.02</v>
      </c>
      <c r="C1477" s="73">
        <f>SUMPRODUCT($H$1429:$H$1476,$P$1429:$P$1476,$U$1429:$U$1476)/SUMPRODUCT($H$1429:$H$1476,$P$1429:$P$1476)</f>
        <v>1.0133333333333334</v>
      </c>
      <c r="D1477" s="73">
        <f>SUMPRODUCT($H$1429:$H$1476,$Q$1429:$Q$1476,$U$1429:$U$1476)/SUMPRODUCT($H$1429:$H$1476,$Q$1429:$Q$1476)</f>
        <v>1.0336000000000001</v>
      </c>
      <c r="E1477" s="73">
        <f>SUMPRODUCT($H$1429:$H$1476,$R$1429:$R$1476,$U$1429:$U$1476)/SUMPRODUCT($H$1429:$H$1476,$R$1429:$R$1476)</f>
        <v>1.0608000000000002</v>
      </c>
      <c r="F1477" s="224">
        <f>SUMPRODUCT($H$1429:$H$1476,$Q$1429:$Q$1476,$O$1429:$O$1476)/SUMPRODUCT($H$1429:$H$1476,$Q$1429:$Q$1476)</f>
        <v>0.91598878555798668</v>
      </c>
      <c r="G1477" s="224">
        <f>SUMPRODUCT($H$1429:$H$1476,$R$1429:$R$1476,$O$1429:$O$1476)/SUMPRODUCT($H$1429:$H$1476,$R$1429:$R$1476)</f>
        <v>0.92449033552151683</v>
      </c>
      <c r="H1477" s="73">
        <f>SUMPRODUCT($H$1453:$H$1464,$N$1453:$N$1464/$N$1441:$N$1452)/SUM($H$1453:$H$1464)</f>
        <v>1.0249999999999997</v>
      </c>
      <c r="I1477" s="73">
        <f>SUMPRODUCT($H$1453:$H$1464,$O$1453:$O$1464/$O$1441:$O$1452)/SUM($H$1453:$H$1464)</f>
        <v>1.0132088564102013</v>
      </c>
      <c r="J1477" s="73">
        <f>IF($O$1426=1,SUMPRODUCT($H$1453:$H$1464,$N$1453:$N$1464/$N$1441:$N$1452*$O$1453:$O$1464/$O$1441:$O$1452)/SUM($H$1453:$H$1464),$H1477)</f>
        <v>1.0385383607792271</v>
      </c>
      <c r="K1477" s="73">
        <f>SUMPRODUCT($H$1429:$H$1476,$Q$1429:$Q$1476,$N$1429:$N$1476)/SUMPRODUCT($H$1429:$H$1476,$Q$1429:$Q$1476)</f>
        <v>1.0336000000000001</v>
      </c>
      <c r="L1477" s="73">
        <f>SUMPRODUCT($H$1429:$H$1476,$R$1429:$R$1476,$N$1429:$N$1476)/SUMPRODUCT($H$1429:$H$1476,$R$1429:$R$1476)</f>
        <v>1.0608000000000002</v>
      </c>
    </row>
    <row r="1480" spans="1:21" x14ac:dyDescent="0.3">
      <c r="A1480" s="6" t="str">
        <f>INDEX(lr_key,27)</f>
        <v>MM|IA</v>
      </c>
      <c r="B1480" s="6" t="str">
        <f>INDEX(lr_state,27)</f>
        <v>IA</v>
      </c>
      <c r="C1480" s="75">
        <f>nr_TermMonths</f>
        <v>6</v>
      </c>
      <c r="D1480" s="75">
        <f>IF(COUNTIF(se_state,$B1480)=0,0,MATCH($B1480,se_state,0))</f>
        <v>0</v>
      </c>
      <c r="E1480" s="70">
        <f>IF($D1480=0,0,INDEX(se_sum,$D1480))</f>
        <v>0</v>
      </c>
      <c r="F1480" s="224">
        <f>IF(N(INDEX(lr_mind,27))=0,1,INDEX(lr_mind,27))</f>
        <v>0.92</v>
      </c>
      <c r="G1480" s="224">
        <f>IF(N(INDEX(lr_m0,27))=0,1,INDEX(lr_m0,27))</f>
        <v>0.91</v>
      </c>
      <c r="H1480" s="74">
        <f>IF(N(INDEX(lr_m0asof,27))=0,DATE(nr_PlanYear-1,10,1),INDEX(lr_m0asof,27))</f>
        <v>46295</v>
      </c>
      <c r="I1480" s="224">
        <f>IF(N(INDEX(lr_m1,27))=0,1,INDEX(lr_m1,27))</f>
        <v>0.90500000000000003</v>
      </c>
      <c r="J1480" s="224">
        <f>INDEX(lr_mprior,27)</f>
        <v>0</v>
      </c>
      <c r="K1480" s="224">
        <f>INDEX(lr_m2,27)</f>
        <v>0</v>
      </c>
      <c r="L1480" s="6" t="b">
        <f>NOT(ISBLANK(INDEX(lr_netp,27)))</f>
        <v>0</v>
      </c>
      <c r="M1480" s="72">
        <f>N(INDEX(lr_netp,27))</f>
        <v>0</v>
      </c>
      <c r="N1480" s="72">
        <f>IF(ISBLANK(INDEX(lr_netp1,27)),$M$1480,N(INDEX(lr_netp1,27)))</f>
        <v>0</v>
      </c>
      <c r="O1480" s="75">
        <f>IF(AND(nr_ModAdjMaster="ON",INDEX(lr_modadj,27)="ON"),1,0)</f>
        <v>1</v>
      </c>
    </row>
    <row r="1481" spans="1:21" x14ac:dyDescent="0.3">
      <c r="A1481" s="6">
        <f>EDATE($H$1480,-12)+1</f>
        <v>45931</v>
      </c>
      <c r="B1481" s="6">
        <f>$H$1480+1</f>
        <v>46296</v>
      </c>
      <c r="C1481" s="6">
        <f>DATE(nr_PlanYear,12,31)+1</f>
        <v>46753</v>
      </c>
      <c r="D1481" s="6">
        <f>DATE(nr_PlanYear+1,12,31)+1</f>
        <v>47119</v>
      </c>
      <c r="E1481" s="6">
        <f>IF(N($J$1480)=0,$F$1481-($G$1481-$F$1481)/($C$1481-$B$1481)*($B$1481-$A$1481),$J$1480)</f>
        <v>0.9139934354485777</v>
      </c>
      <c r="F1481" s="6">
        <f>$G$1480</f>
        <v>0.91</v>
      </c>
      <c r="G1481" s="6">
        <f>$I$1480</f>
        <v>0.90500000000000003</v>
      </c>
      <c r="H1481" s="6">
        <f>IF(N($K$1480)=0,$I$1480,$K$1480)</f>
        <v>0.90500000000000003</v>
      </c>
      <c r="I1481" s="6">
        <f>($F$1481-$E$1481)/($B$1481-$A$1481)</f>
        <v>-1.0940919037199081E-5</v>
      </c>
      <c r="J1481" s="6">
        <f>($G$1481-$F$1481)/($C$1481-$B$1481)</f>
        <v>-1.0940919037199135E-5</v>
      </c>
      <c r="K1481" s="6">
        <f>($H$1481-$G$1481)/($D$1481-$C$1481)</f>
        <v>0</v>
      </c>
    </row>
    <row r="1482" spans="1:21" ht="36" x14ac:dyDescent="0.3">
      <c r="A1482" s="58" t="s">
        <v>390</v>
      </c>
      <c r="B1482" s="58" t="s">
        <v>449</v>
      </c>
      <c r="C1482" s="58" t="s">
        <v>685</v>
      </c>
      <c r="D1482" s="58" t="s">
        <v>686</v>
      </c>
      <c r="E1482" s="58" t="s">
        <v>687</v>
      </c>
      <c r="F1482" s="58" t="s">
        <v>688</v>
      </c>
      <c r="G1482" s="58" t="s">
        <v>689</v>
      </c>
      <c r="H1482" s="58" t="s">
        <v>452</v>
      </c>
      <c r="I1482" s="58" t="s">
        <v>690</v>
      </c>
      <c r="J1482" s="58" t="s">
        <v>691</v>
      </c>
      <c r="K1482" s="58" t="s">
        <v>692</v>
      </c>
      <c r="L1482" s="58" t="s">
        <v>693</v>
      </c>
      <c r="M1482" s="58" t="s">
        <v>694</v>
      </c>
      <c r="N1482" s="58" t="s">
        <v>695</v>
      </c>
      <c r="O1482" s="58" t="s">
        <v>696</v>
      </c>
      <c r="P1482" s="58" t="s">
        <v>697</v>
      </c>
      <c r="Q1482" s="58" t="s">
        <v>698</v>
      </c>
      <c r="R1482" s="58" t="s">
        <v>699</v>
      </c>
      <c r="S1482" s="58" t="s">
        <v>700</v>
      </c>
      <c r="T1482" s="58" t="s">
        <v>701</v>
      </c>
      <c r="U1482" s="58" t="s">
        <v>702</v>
      </c>
    </row>
    <row r="1483" spans="1:21" x14ac:dyDescent="0.3">
      <c r="A1483" s="187">
        <v>1</v>
      </c>
      <c r="B1483" s="242">
        <f>DATE(nr_PlanYear-2,1,1)</f>
        <v>45658</v>
      </c>
      <c r="C1483" s="243">
        <f t="shared" ref="C1483:C1530" si="594">EOMONTH($B1483,0)</f>
        <v>45688</v>
      </c>
      <c r="D1483" s="120">
        <f t="shared" ref="D1483:D1530" si="595">$C1483-$B1483+1</f>
        <v>31</v>
      </c>
      <c r="E1483" s="120">
        <f t="shared" ref="E1483:E1530" si="596">MONTH($B1483)</f>
        <v>1</v>
      </c>
      <c r="F1483" s="275">
        <f t="shared" ref="F1483:F1530" si="597">($B1483+$C1483+1)/2</f>
        <v>45673.5</v>
      </c>
      <c r="G1483" s="120">
        <f t="shared" ref="G1483:G1530" si="598">YEAR($B1483)*12+MONTH($B1483)-1</f>
        <v>24300</v>
      </c>
      <c r="H1483" s="245">
        <f t="shared" ref="H1483:H1530" si="599">IF(OR(nr_SeasonOn="OFF",$D$1480=0,$E$1480=0),1,12*INDEX(se_block,$D$1480,$E1483)/$E$1480)</f>
        <v>1</v>
      </c>
      <c r="I1483" s="121">
        <f t="shared" ref="I1483:I1530" si="600">EXP(SUMPRODUCT((rl_eff&lt;$B1483)*(rl_key=$A$1480)*rl_ln1p))</f>
        <v>1</v>
      </c>
      <c r="J1483" s="121">
        <f t="shared" ref="J1483:J1530" si="601">EXP(SUMPRODUCT((rl_eff&lt;=$C1483)*(rl_key=$A$1480)*rl_ln1p))</f>
        <v>1</v>
      </c>
      <c r="K1483" s="120">
        <f t="shared" ref="K1483:K1530" si="602">COUNTIFS(rl_key,$A$1480,rl_eff,"&gt;="&amp;$B1483,rl_eff,"&lt;="&amp;$C1483)</f>
        <v>0</v>
      </c>
      <c r="L1483" s="120">
        <f t="shared" ref="L1483:L1530" si="603">SUMIFS(rl_daysafter,rl_key,$A$1480,rl_effmonth,$B1483,rl_first,1)</f>
        <v>0</v>
      </c>
      <c r="M1483" s="246">
        <f t="shared" ref="M1483:M1530" si="604">IF($K1483=0,0,MIN(1,$L1483/$D1483))</f>
        <v>0</v>
      </c>
      <c r="N1483" s="121">
        <f t="shared" ref="N1483:N1530" si="605">IF($K1483=0,$J1483,(1-$M1483)*$I1483+$M1483*$J1483)</f>
        <v>1</v>
      </c>
      <c r="O1483" s="246">
        <f t="shared" ref="O1483:O1530" si="606">IF($F1483&lt;$B$1481,$E$1481+$I$1481*($F1483-$A$1481),IF($F1483&lt;$C$1481,$F$1481+$J$1481*($F1483-$B$1481),$G$1481+$K$1481*($F1483-$C$1481)))</f>
        <v>0.91681072210065651</v>
      </c>
      <c r="P1483" s="121">
        <f t="shared" ref="P1483:P1530" si="607">MIN(1,MAX(0,(nr_MEndPm1-$G1483+0.5)/$C$1480))-MIN(1,MAX(0,(nr_MStartPm1-1-$G1483+0.5)/$C$1480))</f>
        <v>0</v>
      </c>
      <c r="Q1483" s="121">
        <f t="shared" ref="Q1483:Q1530" si="608">MIN(1,MAX(0,(nr_MEndP-$G1483+0.5)/$C$1480))-MIN(1,MAX(0,(nr_MStartP-1-$G1483+0.5)/$C$1480))</f>
        <v>0</v>
      </c>
      <c r="R1483" s="121">
        <f t="shared" ref="R1483:R1530" si="609">MIN(1,MAX(0,(nr_MEndP1-$G1483+0.5)/$C$1480))-MIN(1,MAX(0,(nr_MStartP1-1-$G1483+0.5)/$C$1480))</f>
        <v>0</v>
      </c>
      <c r="S1483" s="121" t="str">
        <f t="shared" ref="S1483:S1530" si="610">IF($L$1480,$N1483*IF($O$1480=1,$O1483/$F$1480,1),"")</f>
        <v/>
      </c>
      <c r="T1483" s="121" t="str">
        <f t="shared" ref="T1483:T1530" si="611">IF(NOT($L$1480),"",IF($G1483&lt;nr_MStartP,$S1483,$T1471*(1+IF($G1483&lt;nr_MStartP1,$M$1480,$N$1480))))</f>
        <v/>
      </c>
      <c r="U1483" s="121">
        <f t="shared" ref="U1483:U1530" si="612">IF($L$1480,$T1483,$N1483)</f>
        <v>1</v>
      </c>
    </row>
    <row r="1484" spans="1:21" x14ac:dyDescent="0.3">
      <c r="A1484" s="187">
        <v>2</v>
      </c>
      <c r="B1484" s="242">
        <f t="shared" ref="B1484:B1530" si="613">EDATE($B1483,1)</f>
        <v>45689</v>
      </c>
      <c r="C1484" s="243">
        <f t="shared" si="594"/>
        <v>45716</v>
      </c>
      <c r="D1484" s="120">
        <f t="shared" si="595"/>
        <v>28</v>
      </c>
      <c r="E1484" s="120">
        <f t="shared" si="596"/>
        <v>2</v>
      </c>
      <c r="F1484" s="275">
        <f t="shared" si="597"/>
        <v>45703</v>
      </c>
      <c r="G1484" s="120">
        <f t="shared" si="598"/>
        <v>24301</v>
      </c>
      <c r="H1484" s="245">
        <f t="shared" si="599"/>
        <v>1</v>
      </c>
      <c r="I1484" s="121">
        <f t="shared" si="600"/>
        <v>1</v>
      </c>
      <c r="J1484" s="121">
        <f t="shared" si="601"/>
        <v>1</v>
      </c>
      <c r="K1484" s="120">
        <f t="shared" si="602"/>
        <v>0</v>
      </c>
      <c r="L1484" s="120">
        <f t="shared" si="603"/>
        <v>0</v>
      </c>
      <c r="M1484" s="246">
        <f t="shared" si="604"/>
        <v>0</v>
      </c>
      <c r="N1484" s="121">
        <f t="shared" si="605"/>
        <v>1</v>
      </c>
      <c r="O1484" s="246">
        <f t="shared" si="606"/>
        <v>0.91648796498905905</v>
      </c>
      <c r="P1484" s="121">
        <f t="shared" si="607"/>
        <v>0</v>
      </c>
      <c r="Q1484" s="121">
        <f t="shared" si="608"/>
        <v>0</v>
      </c>
      <c r="R1484" s="121">
        <f t="shared" si="609"/>
        <v>0</v>
      </c>
      <c r="S1484" s="121" t="str">
        <f t="shared" si="610"/>
        <v/>
      </c>
      <c r="T1484" s="121" t="str">
        <f t="shared" si="611"/>
        <v/>
      </c>
      <c r="U1484" s="121">
        <f t="shared" si="612"/>
        <v>1</v>
      </c>
    </row>
    <row r="1485" spans="1:21" x14ac:dyDescent="0.3">
      <c r="A1485" s="187">
        <v>3</v>
      </c>
      <c r="B1485" s="242">
        <f t="shared" si="613"/>
        <v>45717</v>
      </c>
      <c r="C1485" s="243">
        <f t="shared" si="594"/>
        <v>45747</v>
      </c>
      <c r="D1485" s="120">
        <f t="shared" si="595"/>
        <v>31</v>
      </c>
      <c r="E1485" s="120">
        <f t="shared" si="596"/>
        <v>3</v>
      </c>
      <c r="F1485" s="275">
        <f t="shared" si="597"/>
        <v>45732.5</v>
      </c>
      <c r="G1485" s="120">
        <f t="shared" si="598"/>
        <v>24302</v>
      </c>
      <c r="H1485" s="245">
        <f t="shared" si="599"/>
        <v>1</v>
      </c>
      <c r="I1485" s="121">
        <f t="shared" si="600"/>
        <v>1</v>
      </c>
      <c r="J1485" s="121">
        <f t="shared" si="601"/>
        <v>1</v>
      </c>
      <c r="K1485" s="120">
        <f t="shared" si="602"/>
        <v>0</v>
      </c>
      <c r="L1485" s="120">
        <f t="shared" si="603"/>
        <v>0</v>
      </c>
      <c r="M1485" s="246">
        <f t="shared" si="604"/>
        <v>0</v>
      </c>
      <c r="N1485" s="121">
        <f t="shared" si="605"/>
        <v>1</v>
      </c>
      <c r="O1485" s="246">
        <f t="shared" si="606"/>
        <v>0.9161652078774617</v>
      </c>
      <c r="P1485" s="121">
        <f t="shared" si="607"/>
        <v>0</v>
      </c>
      <c r="Q1485" s="121">
        <f t="shared" si="608"/>
        <v>0</v>
      </c>
      <c r="R1485" s="121">
        <f t="shared" si="609"/>
        <v>0</v>
      </c>
      <c r="S1485" s="121" t="str">
        <f t="shared" si="610"/>
        <v/>
      </c>
      <c r="T1485" s="121" t="str">
        <f t="shared" si="611"/>
        <v/>
      </c>
      <c r="U1485" s="121">
        <f t="shared" si="612"/>
        <v>1</v>
      </c>
    </row>
    <row r="1486" spans="1:21" x14ac:dyDescent="0.3">
      <c r="A1486" s="187">
        <v>4</v>
      </c>
      <c r="B1486" s="242">
        <f t="shared" si="613"/>
        <v>45748</v>
      </c>
      <c r="C1486" s="243">
        <f t="shared" si="594"/>
        <v>45777</v>
      </c>
      <c r="D1486" s="120">
        <f t="shared" si="595"/>
        <v>30</v>
      </c>
      <c r="E1486" s="120">
        <f t="shared" si="596"/>
        <v>4</v>
      </c>
      <c r="F1486" s="275">
        <f t="shared" si="597"/>
        <v>45763</v>
      </c>
      <c r="G1486" s="120">
        <f t="shared" si="598"/>
        <v>24303</v>
      </c>
      <c r="H1486" s="245">
        <f t="shared" si="599"/>
        <v>1</v>
      </c>
      <c r="I1486" s="121">
        <f t="shared" si="600"/>
        <v>1</v>
      </c>
      <c r="J1486" s="121">
        <f t="shared" si="601"/>
        <v>1</v>
      </c>
      <c r="K1486" s="120">
        <f t="shared" si="602"/>
        <v>0</v>
      </c>
      <c r="L1486" s="120">
        <f t="shared" si="603"/>
        <v>0</v>
      </c>
      <c r="M1486" s="246">
        <f t="shared" si="604"/>
        <v>0</v>
      </c>
      <c r="N1486" s="121">
        <f t="shared" si="605"/>
        <v>1</v>
      </c>
      <c r="O1486" s="246">
        <f t="shared" si="606"/>
        <v>0.91583150984682715</v>
      </c>
      <c r="P1486" s="121">
        <f t="shared" si="607"/>
        <v>0</v>
      </c>
      <c r="Q1486" s="121">
        <f t="shared" si="608"/>
        <v>0</v>
      </c>
      <c r="R1486" s="121">
        <f t="shared" si="609"/>
        <v>0</v>
      </c>
      <c r="S1486" s="121" t="str">
        <f t="shared" si="610"/>
        <v/>
      </c>
      <c r="T1486" s="121" t="str">
        <f t="shared" si="611"/>
        <v/>
      </c>
      <c r="U1486" s="121">
        <f t="shared" si="612"/>
        <v>1</v>
      </c>
    </row>
    <row r="1487" spans="1:21" x14ac:dyDescent="0.3">
      <c r="A1487" s="187">
        <v>5</v>
      </c>
      <c r="B1487" s="242">
        <f t="shared" si="613"/>
        <v>45778</v>
      </c>
      <c r="C1487" s="243">
        <f t="shared" si="594"/>
        <v>45808</v>
      </c>
      <c r="D1487" s="120">
        <f t="shared" si="595"/>
        <v>31</v>
      </c>
      <c r="E1487" s="120">
        <f t="shared" si="596"/>
        <v>5</v>
      </c>
      <c r="F1487" s="275">
        <f t="shared" si="597"/>
        <v>45793.5</v>
      </c>
      <c r="G1487" s="120">
        <f t="shared" si="598"/>
        <v>24304</v>
      </c>
      <c r="H1487" s="245">
        <f t="shared" si="599"/>
        <v>1</v>
      </c>
      <c r="I1487" s="121">
        <f t="shared" si="600"/>
        <v>1</v>
      </c>
      <c r="J1487" s="121">
        <f t="shared" si="601"/>
        <v>1</v>
      </c>
      <c r="K1487" s="120">
        <f t="shared" si="602"/>
        <v>0</v>
      </c>
      <c r="L1487" s="120">
        <f t="shared" si="603"/>
        <v>0</v>
      </c>
      <c r="M1487" s="246">
        <f t="shared" si="604"/>
        <v>0</v>
      </c>
      <c r="N1487" s="121">
        <f t="shared" si="605"/>
        <v>1</v>
      </c>
      <c r="O1487" s="246">
        <f t="shared" si="606"/>
        <v>0.91549781181619261</v>
      </c>
      <c r="P1487" s="121">
        <f t="shared" si="607"/>
        <v>0</v>
      </c>
      <c r="Q1487" s="121">
        <f t="shared" si="608"/>
        <v>0</v>
      </c>
      <c r="R1487" s="121">
        <f t="shared" si="609"/>
        <v>0</v>
      </c>
      <c r="S1487" s="121" t="str">
        <f t="shared" si="610"/>
        <v/>
      </c>
      <c r="T1487" s="121" t="str">
        <f t="shared" si="611"/>
        <v/>
      </c>
      <c r="U1487" s="121">
        <f t="shared" si="612"/>
        <v>1</v>
      </c>
    </row>
    <row r="1488" spans="1:21" x14ac:dyDescent="0.3">
      <c r="A1488" s="187">
        <v>6</v>
      </c>
      <c r="B1488" s="242">
        <f t="shared" si="613"/>
        <v>45809</v>
      </c>
      <c r="C1488" s="243">
        <f t="shared" si="594"/>
        <v>45838</v>
      </c>
      <c r="D1488" s="120">
        <f t="shared" si="595"/>
        <v>30</v>
      </c>
      <c r="E1488" s="120">
        <f t="shared" si="596"/>
        <v>6</v>
      </c>
      <c r="F1488" s="275">
        <f t="shared" si="597"/>
        <v>45824</v>
      </c>
      <c r="G1488" s="120">
        <f t="shared" si="598"/>
        <v>24305</v>
      </c>
      <c r="H1488" s="245">
        <f t="shared" si="599"/>
        <v>1</v>
      </c>
      <c r="I1488" s="121">
        <f t="shared" si="600"/>
        <v>1</v>
      </c>
      <c r="J1488" s="121">
        <f t="shared" si="601"/>
        <v>1</v>
      </c>
      <c r="K1488" s="120">
        <f t="shared" si="602"/>
        <v>0</v>
      </c>
      <c r="L1488" s="120">
        <f t="shared" si="603"/>
        <v>0</v>
      </c>
      <c r="M1488" s="246">
        <f t="shared" si="604"/>
        <v>0</v>
      </c>
      <c r="N1488" s="121">
        <f t="shared" si="605"/>
        <v>1</v>
      </c>
      <c r="O1488" s="246">
        <f t="shared" si="606"/>
        <v>0.91516411378555795</v>
      </c>
      <c r="P1488" s="121">
        <f t="shared" si="607"/>
        <v>0</v>
      </c>
      <c r="Q1488" s="121">
        <f t="shared" si="608"/>
        <v>0</v>
      </c>
      <c r="R1488" s="121">
        <f t="shared" si="609"/>
        <v>0</v>
      </c>
      <c r="S1488" s="121" t="str">
        <f t="shared" si="610"/>
        <v/>
      </c>
      <c r="T1488" s="121" t="str">
        <f t="shared" si="611"/>
        <v/>
      </c>
      <c r="U1488" s="121">
        <f t="shared" si="612"/>
        <v>1</v>
      </c>
    </row>
    <row r="1489" spans="1:21" x14ac:dyDescent="0.3">
      <c r="A1489" s="187">
        <v>7</v>
      </c>
      <c r="B1489" s="242">
        <f t="shared" si="613"/>
        <v>45839</v>
      </c>
      <c r="C1489" s="243">
        <f t="shared" si="594"/>
        <v>45869</v>
      </c>
      <c r="D1489" s="120">
        <f t="shared" si="595"/>
        <v>31</v>
      </c>
      <c r="E1489" s="120">
        <f t="shared" si="596"/>
        <v>7</v>
      </c>
      <c r="F1489" s="275">
        <f t="shared" si="597"/>
        <v>45854.5</v>
      </c>
      <c r="G1489" s="120">
        <f t="shared" si="598"/>
        <v>24306</v>
      </c>
      <c r="H1489" s="245">
        <f t="shared" si="599"/>
        <v>1</v>
      </c>
      <c r="I1489" s="121">
        <f t="shared" si="600"/>
        <v>1</v>
      </c>
      <c r="J1489" s="121">
        <f t="shared" si="601"/>
        <v>1</v>
      </c>
      <c r="K1489" s="120">
        <f t="shared" si="602"/>
        <v>0</v>
      </c>
      <c r="L1489" s="120">
        <f t="shared" si="603"/>
        <v>0</v>
      </c>
      <c r="M1489" s="246">
        <f t="shared" si="604"/>
        <v>0</v>
      </c>
      <c r="N1489" s="121">
        <f t="shared" si="605"/>
        <v>1</v>
      </c>
      <c r="O1489" s="246">
        <f t="shared" si="606"/>
        <v>0.91483041575492341</v>
      </c>
      <c r="P1489" s="121">
        <f t="shared" si="607"/>
        <v>8.333333333333337E-2</v>
      </c>
      <c r="Q1489" s="121">
        <f t="shared" si="608"/>
        <v>0</v>
      </c>
      <c r="R1489" s="121">
        <f t="shared" si="609"/>
        <v>0</v>
      </c>
      <c r="S1489" s="121" t="str">
        <f t="shared" si="610"/>
        <v/>
      </c>
      <c r="T1489" s="121" t="str">
        <f t="shared" si="611"/>
        <v/>
      </c>
      <c r="U1489" s="121">
        <f t="shared" si="612"/>
        <v>1</v>
      </c>
    </row>
    <row r="1490" spans="1:21" x14ac:dyDescent="0.3">
      <c r="A1490" s="187">
        <v>8</v>
      </c>
      <c r="B1490" s="242">
        <f t="shared" si="613"/>
        <v>45870</v>
      </c>
      <c r="C1490" s="243">
        <f t="shared" si="594"/>
        <v>45900</v>
      </c>
      <c r="D1490" s="120">
        <f t="shared" si="595"/>
        <v>31</v>
      </c>
      <c r="E1490" s="120">
        <f t="shared" si="596"/>
        <v>8</v>
      </c>
      <c r="F1490" s="275">
        <f t="shared" si="597"/>
        <v>45885.5</v>
      </c>
      <c r="G1490" s="120">
        <f t="shared" si="598"/>
        <v>24307</v>
      </c>
      <c r="H1490" s="245">
        <f t="shared" si="599"/>
        <v>1</v>
      </c>
      <c r="I1490" s="121">
        <f t="shared" si="600"/>
        <v>1</v>
      </c>
      <c r="J1490" s="121">
        <f t="shared" si="601"/>
        <v>1</v>
      </c>
      <c r="K1490" s="120">
        <f t="shared" si="602"/>
        <v>0</v>
      </c>
      <c r="L1490" s="120">
        <f t="shared" si="603"/>
        <v>0</v>
      </c>
      <c r="M1490" s="246">
        <f t="shared" si="604"/>
        <v>0</v>
      </c>
      <c r="N1490" s="121">
        <f t="shared" si="605"/>
        <v>1</v>
      </c>
      <c r="O1490" s="246">
        <f t="shared" si="606"/>
        <v>0.91449124726477027</v>
      </c>
      <c r="P1490" s="121">
        <f t="shared" si="607"/>
        <v>0.25</v>
      </c>
      <c r="Q1490" s="121">
        <f t="shared" si="608"/>
        <v>0</v>
      </c>
      <c r="R1490" s="121">
        <f t="shared" si="609"/>
        <v>0</v>
      </c>
      <c r="S1490" s="121" t="str">
        <f t="shared" si="610"/>
        <v/>
      </c>
      <c r="T1490" s="121" t="str">
        <f t="shared" si="611"/>
        <v/>
      </c>
      <c r="U1490" s="121">
        <f t="shared" si="612"/>
        <v>1</v>
      </c>
    </row>
    <row r="1491" spans="1:21" x14ac:dyDescent="0.3">
      <c r="A1491" s="187">
        <v>9</v>
      </c>
      <c r="B1491" s="242">
        <f t="shared" si="613"/>
        <v>45901</v>
      </c>
      <c r="C1491" s="243">
        <f t="shared" si="594"/>
        <v>45930</v>
      </c>
      <c r="D1491" s="120">
        <f t="shared" si="595"/>
        <v>30</v>
      </c>
      <c r="E1491" s="120">
        <f t="shared" si="596"/>
        <v>9</v>
      </c>
      <c r="F1491" s="275">
        <f t="shared" si="597"/>
        <v>45916</v>
      </c>
      <c r="G1491" s="120">
        <f t="shared" si="598"/>
        <v>24308</v>
      </c>
      <c r="H1491" s="245">
        <f t="shared" si="599"/>
        <v>1</v>
      </c>
      <c r="I1491" s="121">
        <f t="shared" si="600"/>
        <v>1</v>
      </c>
      <c r="J1491" s="121">
        <f t="shared" si="601"/>
        <v>1</v>
      </c>
      <c r="K1491" s="120">
        <f t="shared" si="602"/>
        <v>0</v>
      </c>
      <c r="L1491" s="120">
        <f t="shared" si="603"/>
        <v>0</v>
      </c>
      <c r="M1491" s="246">
        <f t="shared" si="604"/>
        <v>0</v>
      </c>
      <c r="N1491" s="121">
        <f t="shared" si="605"/>
        <v>1</v>
      </c>
      <c r="O1491" s="246">
        <f t="shared" si="606"/>
        <v>0.91415754923413572</v>
      </c>
      <c r="P1491" s="121">
        <f t="shared" si="607"/>
        <v>0.41666666666666663</v>
      </c>
      <c r="Q1491" s="121">
        <f t="shared" si="608"/>
        <v>0</v>
      </c>
      <c r="R1491" s="121">
        <f t="shared" si="609"/>
        <v>0</v>
      </c>
      <c r="S1491" s="121" t="str">
        <f t="shared" si="610"/>
        <v/>
      </c>
      <c r="T1491" s="121" t="str">
        <f t="shared" si="611"/>
        <v/>
      </c>
      <c r="U1491" s="121">
        <f t="shared" si="612"/>
        <v>1</v>
      </c>
    </row>
    <row r="1492" spans="1:21" x14ac:dyDescent="0.3">
      <c r="A1492" s="187">
        <v>10</v>
      </c>
      <c r="B1492" s="242">
        <f t="shared" si="613"/>
        <v>45931</v>
      </c>
      <c r="C1492" s="243">
        <f t="shared" si="594"/>
        <v>45961</v>
      </c>
      <c r="D1492" s="120">
        <f t="shared" si="595"/>
        <v>31</v>
      </c>
      <c r="E1492" s="120">
        <f t="shared" si="596"/>
        <v>10</v>
      </c>
      <c r="F1492" s="275">
        <f t="shared" si="597"/>
        <v>45946.5</v>
      </c>
      <c r="G1492" s="120">
        <f t="shared" si="598"/>
        <v>24309</v>
      </c>
      <c r="H1492" s="245">
        <f t="shared" si="599"/>
        <v>1</v>
      </c>
      <c r="I1492" s="121">
        <f t="shared" si="600"/>
        <v>1</v>
      </c>
      <c r="J1492" s="121">
        <f t="shared" si="601"/>
        <v>1</v>
      </c>
      <c r="K1492" s="120">
        <f t="shared" si="602"/>
        <v>0</v>
      </c>
      <c r="L1492" s="120">
        <f t="shared" si="603"/>
        <v>0</v>
      </c>
      <c r="M1492" s="246">
        <f t="shared" si="604"/>
        <v>0</v>
      </c>
      <c r="N1492" s="121">
        <f t="shared" si="605"/>
        <v>1</v>
      </c>
      <c r="O1492" s="246">
        <f t="shared" si="606"/>
        <v>0.91382385120350107</v>
      </c>
      <c r="P1492" s="121">
        <f t="shared" si="607"/>
        <v>0.58333333333333326</v>
      </c>
      <c r="Q1492" s="121">
        <f t="shared" si="608"/>
        <v>0</v>
      </c>
      <c r="R1492" s="121">
        <f t="shared" si="609"/>
        <v>0</v>
      </c>
      <c r="S1492" s="121" t="str">
        <f t="shared" si="610"/>
        <v/>
      </c>
      <c r="T1492" s="121" t="str">
        <f t="shared" si="611"/>
        <v/>
      </c>
      <c r="U1492" s="121">
        <f t="shared" si="612"/>
        <v>1</v>
      </c>
    </row>
    <row r="1493" spans="1:21" x14ac:dyDescent="0.3">
      <c r="A1493" s="187">
        <v>11</v>
      </c>
      <c r="B1493" s="242">
        <f t="shared" si="613"/>
        <v>45962</v>
      </c>
      <c r="C1493" s="243">
        <f t="shared" si="594"/>
        <v>45991</v>
      </c>
      <c r="D1493" s="120">
        <f t="shared" si="595"/>
        <v>30</v>
      </c>
      <c r="E1493" s="120">
        <f t="shared" si="596"/>
        <v>11</v>
      </c>
      <c r="F1493" s="275">
        <f t="shared" si="597"/>
        <v>45977</v>
      </c>
      <c r="G1493" s="120">
        <f t="shared" si="598"/>
        <v>24310</v>
      </c>
      <c r="H1493" s="245">
        <f t="shared" si="599"/>
        <v>1</v>
      </c>
      <c r="I1493" s="121">
        <f t="shared" si="600"/>
        <v>1</v>
      </c>
      <c r="J1493" s="121">
        <f t="shared" si="601"/>
        <v>1</v>
      </c>
      <c r="K1493" s="120">
        <f t="shared" si="602"/>
        <v>0</v>
      </c>
      <c r="L1493" s="120">
        <f t="shared" si="603"/>
        <v>0</v>
      </c>
      <c r="M1493" s="246">
        <f t="shared" si="604"/>
        <v>0</v>
      </c>
      <c r="N1493" s="121">
        <f t="shared" si="605"/>
        <v>1</v>
      </c>
      <c r="O1493" s="246">
        <f t="shared" si="606"/>
        <v>0.91349015317286653</v>
      </c>
      <c r="P1493" s="121">
        <f t="shared" si="607"/>
        <v>0.75</v>
      </c>
      <c r="Q1493" s="121">
        <f t="shared" si="608"/>
        <v>0</v>
      </c>
      <c r="R1493" s="121">
        <f t="shared" si="609"/>
        <v>0</v>
      </c>
      <c r="S1493" s="121" t="str">
        <f t="shared" si="610"/>
        <v/>
      </c>
      <c r="T1493" s="121" t="str">
        <f t="shared" si="611"/>
        <v/>
      </c>
      <c r="U1493" s="121">
        <f t="shared" si="612"/>
        <v>1</v>
      </c>
    </row>
    <row r="1494" spans="1:21" x14ac:dyDescent="0.3">
      <c r="A1494" s="187">
        <v>12</v>
      </c>
      <c r="B1494" s="242">
        <f t="shared" si="613"/>
        <v>45992</v>
      </c>
      <c r="C1494" s="243">
        <f t="shared" si="594"/>
        <v>46022</v>
      </c>
      <c r="D1494" s="120">
        <f t="shared" si="595"/>
        <v>31</v>
      </c>
      <c r="E1494" s="120">
        <f t="shared" si="596"/>
        <v>12</v>
      </c>
      <c r="F1494" s="275">
        <f t="shared" si="597"/>
        <v>46007.5</v>
      </c>
      <c r="G1494" s="120">
        <f t="shared" si="598"/>
        <v>24311</v>
      </c>
      <c r="H1494" s="245">
        <f t="shared" si="599"/>
        <v>1</v>
      </c>
      <c r="I1494" s="121">
        <f t="shared" si="600"/>
        <v>1</v>
      </c>
      <c r="J1494" s="121">
        <f t="shared" si="601"/>
        <v>1</v>
      </c>
      <c r="K1494" s="120">
        <f t="shared" si="602"/>
        <v>0</v>
      </c>
      <c r="L1494" s="120">
        <f t="shared" si="603"/>
        <v>0</v>
      </c>
      <c r="M1494" s="246">
        <f t="shared" si="604"/>
        <v>0</v>
      </c>
      <c r="N1494" s="121">
        <f t="shared" si="605"/>
        <v>1</v>
      </c>
      <c r="O1494" s="246">
        <f t="shared" si="606"/>
        <v>0.91315645514223198</v>
      </c>
      <c r="P1494" s="121">
        <f t="shared" si="607"/>
        <v>0.91666666666666663</v>
      </c>
      <c r="Q1494" s="121">
        <f t="shared" si="608"/>
        <v>0</v>
      </c>
      <c r="R1494" s="121">
        <f t="shared" si="609"/>
        <v>0</v>
      </c>
      <c r="S1494" s="121" t="str">
        <f t="shared" si="610"/>
        <v/>
      </c>
      <c r="T1494" s="121" t="str">
        <f t="shared" si="611"/>
        <v/>
      </c>
      <c r="U1494" s="121">
        <f t="shared" si="612"/>
        <v>1</v>
      </c>
    </row>
    <row r="1495" spans="1:21" x14ac:dyDescent="0.3">
      <c r="A1495" s="187">
        <v>13</v>
      </c>
      <c r="B1495" s="242">
        <f t="shared" si="613"/>
        <v>46023</v>
      </c>
      <c r="C1495" s="243">
        <f t="shared" si="594"/>
        <v>46053</v>
      </c>
      <c r="D1495" s="120">
        <f t="shared" si="595"/>
        <v>31</v>
      </c>
      <c r="E1495" s="120">
        <f t="shared" si="596"/>
        <v>1</v>
      </c>
      <c r="F1495" s="275">
        <f t="shared" si="597"/>
        <v>46038.5</v>
      </c>
      <c r="G1495" s="120">
        <f t="shared" si="598"/>
        <v>24312</v>
      </c>
      <c r="H1495" s="245">
        <f t="shared" si="599"/>
        <v>1</v>
      </c>
      <c r="I1495" s="121">
        <f t="shared" si="600"/>
        <v>1</v>
      </c>
      <c r="J1495" s="121">
        <f t="shared" si="601"/>
        <v>1</v>
      </c>
      <c r="K1495" s="120">
        <f t="shared" si="602"/>
        <v>0</v>
      </c>
      <c r="L1495" s="120">
        <f t="shared" si="603"/>
        <v>0</v>
      </c>
      <c r="M1495" s="246">
        <f t="shared" si="604"/>
        <v>0</v>
      </c>
      <c r="N1495" s="121">
        <f t="shared" si="605"/>
        <v>1</v>
      </c>
      <c r="O1495" s="246">
        <f t="shared" si="606"/>
        <v>0.91281728665207884</v>
      </c>
      <c r="P1495" s="121">
        <f t="shared" si="607"/>
        <v>1</v>
      </c>
      <c r="Q1495" s="121">
        <f t="shared" si="608"/>
        <v>0</v>
      </c>
      <c r="R1495" s="121">
        <f t="shared" si="609"/>
        <v>0</v>
      </c>
      <c r="S1495" s="121" t="str">
        <f t="shared" si="610"/>
        <v/>
      </c>
      <c r="T1495" s="121" t="str">
        <f t="shared" si="611"/>
        <v/>
      </c>
      <c r="U1495" s="121">
        <f t="shared" si="612"/>
        <v>1</v>
      </c>
    </row>
    <row r="1496" spans="1:21" x14ac:dyDescent="0.3">
      <c r="A1496" s="187">
        <v>14</v>
      </c>
      <c r="B1496" s="242">
        <f t="shared" si="613"/>
        <v>46054</v>
      </c>
      <c r="C1496" s="243">
        <f t="shared" si="594"/>
        <v>46081</v>
      </c>
      <c r="D1496" s="120">
        <f t="shared" si="595"/>
        <v>28</v>
      </c>
      <c r="E1496" s="120">
        <f t="shared" si="596"/>
        <v>2</v>
      </c>
      <c r="F1496" s="275">
        <f t="shared" si="597"/>
        <v>46068</v>
      </c>
      <c r="G1496" s="120">
        <f t="shared" si="598"/>
        <v>24313</v>
      </c>
      <c r="H1496" s="245">
        <f t="shared" si="599"/>
        <v>1</v>
      </c>
      <c r="I1496" s="121">
        <f t="shared" si="600"/>
        <v>1</v>
      </c>
      <c r="J1496" s="121">
        <f t="shared" si="601"/>
        <v>1</v>
      </c>
      <c r="K1496" s="120">
        <f t="shared" si="602"/>
        <v>0</v>
      </c>
      <c r="L1496" s="120">
        <f t="shared" si="603"/>
        <v>0</v>
      </c>
      <c r="M1496" s="246">
        <f t="shared" si="604"/>
        <v>0</v>
      </c>
      <c r="N1496" s="121">
        <f t="shared" si="605"/>
        <v>1</v>
      </c>
      <c r="O1496" s="246">
        <f t="shared" si="606"/>
        <v>0.91249452954048138</v>
      </c>
      <c r="P1496" s="121">
        <f t="shared" si="607"/>
        <v>1</v>
      </c>
      <c r="Q1496" s="121">
        <f t="shared" si="608"/>
        <v>0</v>
      </c>
      <c r="R1496" s="121">
        <f t="shared" si="609"/>
        <v>0</v>
      </c>
      <c r="S1496" s="121" t="str">
        <f t="shared" si="610"/>
        <v/>
      </c>
      <c r="T1496" s="121" t="str">
        <f t="shared" si="611"/>
        <v/>
      </c>
      <c r="U1496" s="121">
        <f t="shared" si="612"/>
        <v>1</v>
      </c>
    </row>
    <row r="1497" spans="1:21" x14ac:dyDescent="0.3">
      <c r="A1497" s="187">
        <v>15</v>
      </c>
      <c r="B1497" s="242">
        <f t="shared" si="613"/>
        <v>46082</v>
      </c>
      <c r="C1497" s="243">
        <f t="shared" si="594"/>
        <v>46112</v>
      </c>
      <c r="D1497" s="120">
        <f t="shared" si="595"/>
        <v>31</v>
      </c>
      <c r="E1497" s="120">
        <f t="shared" si="596"/>
        <v>3</v>
      </c>
      <c r="F1497" s="275">
        <f t="shared" si="597"/>
        <v>46097.5</v>
      </c>
      <c r="G1497" s="120">
        <f t="shared" si="598"/>
        <v>24314</v>
      </c>
      <c r="H1497" s="245">
        <f t="shared" si="599"/>
        <v>1</v>
      </c>
      <c r="I1497" s="121">
        <f t="shared" si="600"/>
        <v>1</v>
      </c>
      <c r="J1497" s="121">
        <f t="shared" si="601"/>
        <v>1</v>
      </c>
      <c r="K1497" s="120">
        <f t="shared" si="602"/>
        <v>0</v>
      </c>
      <c r="L1497" s="120">
        <f t="shared" si="603"/>
        <v>0</v>
      </c>
      <c r="M1497" s="246">
        <f t="shared" si="604"/>
        <v>0</v>
      </c>
      <c r="N1497" s="121">
        <f t="shared" si="605"/>
        <v>1</v>
      </c>
      <c r="O1497" s="246">
        <f t="shared" si="606"/>
        <v>0.91217177242888403</v>
      </c>
      <c r="P1497" s="121">
        <f t="shared" si="607"/>
        <v>1</v>
      </c>
      <c r="Q1497" s="121">
        <f t="shared" si="608"/>
        <v>0</v>
      </c>
      <c r="R1497" s="121">
        <f t="shared" si="609"/>
        <v>0</v>
      </c>
      <c r="S1497" s="121" t="str">
        <f t="shared" si="610"/>
        <v/>
      </c>
      <c r="T1497" s="121" t="str">
        <f t="shared" si="611"/>
        <v/>
      </c>
      <c r="U1497" s="121">
        <f t="shared" si="612"/>
        <v>1</v>
      </c>
    </row>
    <row r="1498" spans="1:21" x14ac:dyDescent="0.3">
      <c r="A1498" s="187">
        <v>16</v>
      </c>
      <c r="B1498" s="242">
        <f t="shared" si="613"/>
        <v>46113</v>
      </c>
      <c r="C1498" s="243">
        <f t="shared" si="594"/>
        <v>46142</v>
      </c>
      <c r="D1498" s="120">
        <f t="shared" si="595"/>
        <v>30</v>
      </c>
      <c r="E1498" s="120">
        <f t="shared" si="596"/>
        <v>4</v>
      </c>
      <c r="F1498" s="275">
        <f t="shared" si="597"/>
        <v>46128</v>
      </c>
      <c r="G1498" s="120">
        <f t="shared" si="598"/>
        <v>24315</v>
      </c>
      <c r="H1498" s="245">
        <f t="shared" si="599"/>
        <v>1</v>
      </c>
      <c r="I1498" s="121">
        <f t="shared" si="600"/>
        <v>1</v>
      </c>
      <c r="J1498" s="121">
        <f t="shared" si="601"/>
        <v>1</v>
      </c>
      <c r="K1498" s="120">
        <f t="shared" si="602"/>
        <v>0</v>
      </c>
      <c r="L1498" s="120">
        <f t="shared" si="603"/>
        <v>0</v>
      </c>
      <c r="M1498" s="246">
        <f t="shared" si="604"/>
        <v>0</v>
      </c>
      <c r="N1498" s="121">
        <f t="shared" si="605"/>
        <v>1</v>
      </c>
      <c r="O1498" s="246">
        <f t="shared" si="606"/>
        <v>0.91183807439824949</v>
      </c>
      <c r="P1498" s="121">
        <f t="shared" si="607"/>
        <v>1</v>
      </c>
      <c r="Q1498" s="121">
        <f t="shared" si="608"/>
        <v>0</v>
      </c>
      <c r="R1498" s="121">
        <f t="shared" si="609"/>
        <v>0</v>
      </c>
      <c r="S1498" s="121" t="str">
        <f t="shared" si="610"/>
        <v/>
      </c>
      <c r="T1498" s="121" t="str">
        <f t="shared" si="611"/>
        <v/>
      </c>
      <c r="U1498" s="121">
        <f t="shared" si="612"/>
        <v>1</v>
      </c>
    </row>
    <row r="1499" spans="1:21" x14ac:dyDescent="0.3">
      <c r="A1499" s="187">
        <v>17</v>
      </c>
      <c r="B1499" s="242">
        <f t="shared" si="613"/>
        <v>46143</v>
      </c>
      <c r="C1499" s="243">
        <f t="shared" si="594"/>
        <v>46173</v>
      </c>
      <c r="D1499" s="120">
        <f t="shared" si="595"/>
        <v>31</v>
      </c>
      <c r="E1499" s="120">
        <f t="shared" si="596"/>
        <v>5</v>
      </c>
      <c r="F1499" s="275">
        <f t="shared" si="597"/>
        <v>46158.5</v>
      </c>
      <c r="G1499" s="120">
        <f t="shared" si="598"/>
        <v>24316</v>
      </c>
      <c r="H1499" s="245">
        <f t="shared" si="599"/>
        <v>1</v>
      </c>
      <c r="I1499" s="121">
        <f t="shared" si="600"/>
        <v>1</v>
      </c>
      <c r="J1499" s="121">
        <f t="shared" si="601"/>
        <v>1</v>
      </c>
      <c r="K1499" s="120">
        <f t="shared" si="602"/>
        <v>0</v>
      </c>
      <c r="L1499" s="120">
        <f t="shared" si="603"/>
        <v>0</v>
      </c>
      <c r="M1499" s="246">
        <f t="shared" si="604"/>
        <v>0</v>
      </c>
      <c r="N1499" s="121">
        <f t="shared" si="605"/>
        <v>1</v>
      </c>
      <c r="O1499" s="246">
        <f t="shared" si="606"/>
        <v>0.91150437636761494</v>
      </c>
      <c r="P1499" s="121">
        <f t="shared" si="607"/>
        <v>1</v>
      </c>
      <c r="Q1499" s="121">
        <f t="shared" si="608"/>
        <v>0</v>
      </c>
      <c r="R1499" s="121">
        <f t="shared" si="609"/>
        <v>0</v>
      </c>
      <c r="S1499" s="121" t="str">
        <f t="shared" si="610"/>
        <v/>
      </c>
      <c r="T1499" s="121" t="str">
        <f t="shared" si="611"/>
        <v/>
      </c>
      <c r="U1499" s="121">
        <f t="shared" si="612"/>
        <v>1</v>
      </c>
    </row>
    <row r="1500" spans="1:21" x14ac:dyDescent="0.3">
      <c r="A1500" s="187">
        <v>18</v>
      </c>
      <c r="B1500" s="242">
        <f t="shared" si="613"/>
        <v>46174</v>
      </c>
      <c r="C1500" s="243">
        <f t="shared" si="594"/>
        <v>46203</v>
      </c>
      <c r="D1500" s="120">
        <f t="shared" si="595"/>
        <v>30</v>
      </c>
      <c r="E1500" s="120">
        <f t="shared" si="596"/>
        <v>6</v>
      </c>
      <c r="F1500" s="275">
        <f t="shared" si="597"/>
        <v>46189</v>
      </c>
      <c r="G1500" s="120">
        <f t="shared" si="598"/>
        <v>24317</v>
      </c>
      <c r="H1500" s="245">
        <f t="shared" si="599"/>
        <v>1</v>
      </c>
      <c r="I1500" s="121">
        <f t="shared" si="600"/>
        <v>1</v>
      </c>
      <c r="J1500" s="121">
        <f t="shared" si="601"/>
        <v>1</v>
      </c>
      <c r="K1500" s="120">
        <f t="shared" si="602"/>
        <v>0</v>
      </c>
      <c r="L1500" s="120">
        <f t="shared" si="603"/>
        <v>0</v>
      </c>
      <c r="M1500" s="246">
        <f t="shared" si="604"/>
        <v>0</v>
      </c>
      <c r="N1500" s="121">
        <f t="shared" si="605"/>
        <v>1</v>
      </c>
      <c r="O1500" s="246">
        <f t="shared" si="606"/>
        <v>0.91117067833698029</v>
      </c>
      <c r="P1500" s="121">
        <f t="shared" si="607"/>
        <v>1</v>
      </c>
      <c r="Q1500" s="121">
        <f t="shared" si="608"/>
        <v>0</v>
      </c>
      <c r="R1500" s="121">
        <f t="shared" si="609"/>
        <v>0</v>
      </c>
      <c r="S1500" s="121" t="str">
        <f t="shared" si="610"/>
        <v/>
      </c>
      <c r="T1500" s="121" t="str">
        <f t="shared" si="611"/>
        <v/>
      </c>
      <c r="U1500" s="121">
        <f t="shared" si="612"/>
        <v>1</v>
      </c>
    </row>
    <row r="1501" spans="1:21" x14ac:dyDescent="0.3">
      <c r="A1501" s="187">
        <v>19</v>
      </c>
      <c r="B1501" s="242">
        <f t="shared" si="613"/>
        <v>46204</v>
      </c>
      <c r="C1501" s="243">
        <f t="shared" si="594"/>
        <v>46234</v>
      </c>
      <c r="D1501" s="120">
        <f t="shared" si="595"/>
        <v>31</v>
      </c>
      <c r="E1501" s="120">
        <f t="shared" si="596"/>
        <v>7</v>
      </c>
      <c r="F1501" s="275">
        <f t="shared" si="597"/>
        <v>46219.5</v>
      </c>
      <c r="G1501" s="120">
        <f t="shared" si="598"/>
        <v>24318</v>
      </c>
      <c r="H1501" s="245">
        <f t="shared" si="599"/>
        <v>1</v>
      </c>
      <c r="I1501" s="121">
        <f t="shared" si="600"/>
        <v>1</v>
      </c>
      <c r="J1501" s="121">
        <f t="shared" si="601"/>
        <v>1</v>
      </c>
      <c r="K1501" s="120">
        <f t="shared" si="602"/>
        <v>0</v>
      </c>
      <c r="L1501" s="120">
        <f t="shared" si="603"/>
        <v>0</v>
      </c>
      <c r="M1501" s="246">
        <f t="shared" si="604"/>
        <v>0</v>
      </c>
      <c r="N1501" s="121">
        <f t="shared" si="605"/>
        <v>1</v>
      </c>
      <c r="O1501" s="246">
        <f t="shared" si="606"/>
        <v>0.91083698030634574</v>
      </c>
      <c r="P1501" s="121">
        <f t="shared" si="607"/>
        <v>0.91666666666666663</v>
      </c>
      <c r="Q1501" s="121">
        <f t="shared" si="608"/>
        <v>8.333333333333337E-2</v>
      </c>
      <c r="R1501" s="121">
        <f t="shared" si="609"/>
        <v>0</v>
      </c>
      <c r="S1501" s="121" t="str">
        <f t="shared" si="610"/>
        <v/>
      </c>
      <c r="T1501" s="121" t="str">
        <f t="shared" si="611"/>
        <v/>
      </c>
      <c r="U1501" s="121">
        <f t="shared" si="612"/>
        <v>1</v>
      </c>
    </row>
    <row r="1502" spans="1:21" x14ac:dyDescent="0.3">
      <c r="A1502" s="187">
        <v>20</v>
      </c>
      <c r="B1502" s="242">
        <f t="shared" si="613"/>
        <v>46235</v>
      </c>
      <c r="C1502" s="243">
        <f t="shared" si="594"/>
        <v>46265</v>
      </c>
      <c r="D1502" s="120">
        <f t="shared" si="595"/>
        <v>31</v>
      </c>
      <c r="E1502" s="120">
        <f t="shared" si="596"/>
        <v>8</v>
      </c>
      <c r="F1502" s="275">
        <f t="shared" si="597"/>
        <v>46250.5</v>
      </c>
      <c r="G1502" s="120">
        <f t="shared" si="598"/>
        <v>24319</v>
      </c>
      <c r="H1502" s="245">
        <f t="shared" si="599"/>
        <v>1</v>
      </c>
      <c r="I1502" s="121">
        <f t="shared" si="600"/>
        <v>1</v>
      </c>
      <c r="J1502" s="121">
        <f t="shared" si="601"/>
        <v>1</v>
      </c>
      <c r="K1502" s="120">
        <f t="shared" si="602"/>
        <v>0</v>
      </c>
      <c r="L1502" s="120">
        <f t="shared" si="603"/>
        <v>0</v>
      </c>
      <c r="M1502" s="246">
        <f t="shared" si="604"/>
        <v>0</v>
      </c>
      <c r="N1502" s="121">
        <f t="shared" si="605"/>
        <v>1</v>
      </c>
      <c r="O1502" s="246">
        <f t="shared" si="606"/>
        <v>0.9104978118161926</v>
      </c>
      <c r="P1502" s="121">
        <f t="shared" si="607"/>
        <v>0.75</v>
      </c>
      <c r="Q1502" s="121">
        <f t="shared" si="608"/>
        <v>0.25</v>
      </c>
      <c r="R1502" s="121">
        <f t="shared" si="609"/>
        <v>0</v>
      </c>
      <c r="S1502" s="121" t="str">
        <f t="shared" si="610"/>
        <v/>
      </c>
      <c r="T1502" s="121" t="str">
        <f t="shared" si="611"/>
        <v/>
      </c>
      <c r="U1502" s="121">
        <f t="shared" si="612"/>
        <v>1</v>
      </c>
    </row>
    <row r="1503" spans="1:21" x14ac:dyDescent="0.3">
      <c r="A1503" s="187">
        <v>21</v>
      </c>
      <c r="B1503" s="242">
        <f t="shared" si="613"/>
        <v>46266</v>
      </c>
      <c r="C1503" s="243">
        <f t="shared" si="594"/>
        <v>46295</v>
      </c>
      <c r="D1503" s="120">
        <f t="shared" si="595"/>
        <v>30</v>
      </c>
      <c r="E1503" s="120">
        <f t="shared" si="596"/>
        <v>9</v>
      </c>
      <c r="F1503" s="275">
        <f t="shared" si="597"/>
        <v>46281</v>
      </c>
      <c r="G1503" s="120">
        <f t="shared" si="598"/>
        <v>24320</v>
      </c>
      <c r="H1503" s="245">
        <f t="shared" si="599"/>
        <v>1</v>
      </c>
      <c r="I1503" s="121">
        <f t="shared" si="600"/>
        <v>1</v>
      </c>
      <c r="J1503" s="121">
        <f t="shared" si="601"/>
        <v>1</v>
      </c>
      <c r="K1503" s="120">
        <f t="shared" si="602"/>
        <v>0</v>
      </c>
      <c r="L1503" s="120">
        <f t="shared" si="603"/>
        <v>0</v>
      </c>
      <c r="M1503" s="246">
        <f t="shared" si="604"/>
        <v>0</v>
      </c>
      <c r="N1503" s="121">
        <f t="shared" si="605"/>
        <v>1</v>
      </c>
      <c r="O1503" s="246">
        <f t="shared" si="606"/>
        <v>0.91016411378555806</v>
      </c>
      <c r="P1503" s="121">
        <f t="shared" si="607"/>
        <v>0.58333333333333337</v>
      </c>
      <c r="Q1503" s="121">
        <f t="shared" si="608"/>
        <v>0.41666666666666663</v>
      </c>
      <c r="R1503" s="121">
        <f t="shared" si="609"/>
        <v>0</v>
      </c>
      <c r="S1503" s="121" t="str">
        <f t="shared" si="610"/>
        <v/>
      </c>
      <c r="T1503" s="121" t="str">
        <f t="shared" si="611"/>
        <v/>
      </c>
      <c r="U1503" s="121">
        <f t="shared" si="612"/>
        <v>1</v>
      </c>
    </row>
    <row r="1504" spans="1:21" x14ac:dyDescent="0.3">
      <c r="A1504" s="187">
        <v>22</v>
      </c>
      <c r="B1504" s="242">
        <f t="shared" si="613"/>
        <v>46296</v>
      </c>
      <c r="C1504" s="243">
        <f t="shared" si="594"/>
        <v>46326</v>
      </c>
      <c r="D1504" s="120">
        <f t="shared" si="595"/>
        <v>31</v>
      </c>
      <c r="E1504" s="120">
        <f t="shared" si="596"/>
        <v>10</v>
      </c>
      <c r="F1504" s="275">
        <f t="shared" si="597"/>
        <v>46311.5</v>
      </c>
      <c r="G1504" s="120">
        <f t="shared" si="598"/>
        <v>24321</v>
      </c>
      <c r="H1504" s="245">
        <f t="shared" si="599"/>
        <v>1</v>
      </c>
      <c r="I1504" s="121">
        <f t="shared" si="600"/>
        <v>1</v>
      </c>
      <c r="J1504" s="121">
        <f t="shared" si="601"/>
        <v>1</v>
      </c>
      <c r="K1504" s="120">
        <f t="shared" si="602"/>
        <v>0</v>
      </c>
      <c r="L1504" s="120">
        <f t="shared" si="603"/>
        <v>0</v>
      </c>
      <c r="M1504" s="246">
        <f t="shared" si="604"/>
        <v>0</v>
      </c>
      <c r="N1504" s="121">
        <f t="shared" si="605"/>
        <v>1</v>
      </c>
      <c r="O1504" s="246">
        <f t="shared" si="606"/>
        <v>0.90983041575492341</v>
      </c>
      <c r="P1504" s="121">
        <f t="shared" si="607"/>
        <v>0.41666666666666669</v>
      </c>
      <c r="Q1504" s="121">
        <f t="shared" si="608"/>
        <v>0.58333333333333326</v>
      </c>
      <c r="R1504" s="121">
        <f t="shared" si="609"/>
        <v>0</v>
      </c>
      <c r="S1504" s="121" t="str">
        <f t="shared" si="610"/>
        <v/>
      </c>
      <c r="T1504" s="121" t="str">
        <f t="shared" si="611"/>
        <v/>
      </c>
      <c r="U1504" s="121">
        <f t="shared" si="612"/>
        <v>1</v>
      </c>
    </row>
    <row r="1505" spans="1:21" x14ac:dyDescent="0.3">
      <c r="A1505" s="187">
        <v>23</v>
      </c>
      <c r="B1505" s="242">
        <f t="shared" si="613"/>
        <v>46327</v>
      </c>
      <c r="C1505" s="243">
        <f t="shared" si="594"/>
        <v>46356</v>
      </c>
      <c r="D1505" s="120">
        <f t="shared" si="595"/>
        <v>30</v>
      </c>
      <c r="E1505" s="120">
        <f t="shared" si="596"/>
        <v>11</v>
      </c>
      <c r="F1505" s="275">
        <f t="shared" si="597"/>
        <v>46342</v>
      </c>
      <c r="G1505" s="120">
        <f t="shared" si="598"/>
        <v>24322</v>
      </c>
      <c r="H1505" s="245">
        <f t="shared" si="599"/>
        <v>1</v>
      </c>
      <c r="I1505" s="121">
        <f t="shared" si="600"/>
        <v>1</v>
      </c>
      <c r="J1505" s="121">
        <f t="shared" si="601"/>
        <v>1</v>
      </c>
      <c r="K1505" s="120">
        <f t="shared" si="602"/>
        <v>0</v>
      </c>
      <c r="L1505" s="120">
        <f t="shared" si="603"/>
        <v>0</v>
      </c>
      <c r="M1505" s="246">
        <f t="shared" si="604"/>
        <v>0</v>
      </c>
      <c r="N1505" s="121">
        <f t="shared" si="605"/>
        <v>1</v>
      </c>
      <c r="O1505" s="246">
        <f t="shared" si="606"/>
        <v>0.90949671772428886</v>
      </c>
      <c r="P1505" s="121">
        <f t="shared" si="607"/>
        <v>0.25</v>
      </c>
      <c r="Q1505" s="121">
        <f t="shared" si="608"/>
        <v>0.75</v>
      </c>
      <c r="R1505" s="121">
        <f t="shared" si="609"/>
        <v>0</v>
      </c>
      <c r="S1505" s="121" t="str">
        <f t="shared" si="610"/>
        <v/>
      </c>
      <c r="T1505" s="121" t="str">
        <f t="shared" si="611"/>
        <v/>
      </c>
      <c r="U1505" s="121">
        <f t="shared" si="612"/>
        <v>1</v>
      </c>
    </row>
    <row r="1506" spans="1:21" x14ac:dyDescent="0.3">
      <c r="A1506" s="187">
        <v>24</v>
      </c>
      <c r="B1506" s="242">
        <f t="shared" si="613"/>
        <v>46357</v>
      </c>
      <c r="C1506" s="243">
        <f t="shared" si="594"/>
        <v>46387</v>
      </c>
      <c r="D1506" s="120">
        <f t="shared" si="595"/>
        <v>31</v>
      </c>
      <c r="E1506" s="120">
        <f t="shared" si="596"/>
        <v>12</v>
      </c>
      <c r="F1506" s="275">
        <f t="shared" si="597"/>
        <v>46372.5</v>
      </c>
      <c r="G1506" s="120">
        <f t="shared" si="598"/>
        <v>24323</v>
      </c>
      <c r="H1506" s="245">
        <f t="shared" si="599"/>
        <v>1</v>
      </c>
      <c r="I1506" s="121">
        <f t="shared" si="600"/>
        <v>1</v>
      </c>
      <c r="J1506" s="121">
        <f t="shared" si="601"/>
        <v>1</v>
      </c>
      <c r="K1506" s="120">
        <f t="shared" si="602"/>
        <v>0</v>
      </c>
      <c r="L1506" s="120">
        <f t="shared" si="603"/>
        <v>0</v>
      </c>
      <c r="M1506" s="246">
        <f t="shared" si="604"/>
        <v>0</v>
      </c>
      <c r="N1506" s="121">
        <f t="shared" si="605"/>
        <v>1</v>
      </c>
      <c r="O1506" s="246">
        <f t="shared" si="606"/>
        <v>0.90916301969365432</v>
      </c>
      <c r="P1506" s="121">
        <f t="shared" si="607"/>
        <v>8.3333333333333329E-2</v>
      </c>
      <c r="Q1506" s="121">
        <f t="shared" si="608"/>
        <v>0.91666666666666663</v>
      </c>
      <c r="R1506" s="121">
        <f t="shared" si="609"/>
        <v>0</v>
      </c>
      <c r="S1506" s="121" t="str">
        <f t="shared" si="610"/>
        <v/>
      </c>
      <c r="T1506" s="121" t="str">
        <f t="shared" si="611"/>
        <v/>
      </c>
      <c r="U1506" s="121">
        <f t="shared" si="612"/>
        <v>1</v>
      </c>
    </row>
    <row r="1507" spans="1:21" x14ac:dyDescent="0.3">
      <c r="A1507" s="187">
        <v>25</v>
      </c>
      <c r="B1507" s="242">
        <f t="shared" si="613"/>
        <v>46388</v>
      </c>
      <c r="C1507" s="243">
        <f t="shared" si="594"/>
        <v>46418</v>
      </c>
      <c r="D1507" s="120">
        <f t="shared" si="595"/>
        <v>31</v>
      </c>
      <c r="E1507" s="120">
        <f t="shared" si="596"/>
        <v>1</v>
      </c>
      <c r="F1507" s="275">
        <f t="shared" si="597"/>
        <v>46403.5</v>
      </c>
      <c r="G1507" s="120">
        <f t="shared" si="598"/>
        <v>24324</v>
      </c>
      <c r="H1507" s="245">
        <f t="shared" si="599"/>
        <v>1</v>
      </c>
      <c r="I1507" s="121">
        <f t="shared" si="600"/>
        <v>1</v>
      </c>
      <c r="J1507" s="121">
        <f t="shared" si="601"/>
        <v>1</v>
      </c>
      <c r="K1507" s="120">
        <f t="shared" si="602"/>
        <v>0</v>
      </c>
      <c r="L1507" s="120">
        <f t="shared" si="603"/>
        <v>0</v>
      </c>
      <c r="M1507" s="246">
        <f t="shared" si="604"/>
        <v>0</v>
      </c>
      <c r="N1507" s="121">
        <f t="shared" si="605"/>
        <v>1</v>
      </c>
      <c r="O1507" s="246">
        <f t="shared" si="606"/>
        <v>0.90882385120350118</v>
      </c>
      <c r="P1507" s="121">
        <f t="shared" si="607"/>
        <v>0</v>
      </c>
      <c r="Q1507" s="121">
        <f t="shared" si="608"/>
        <v>1</v>
      </c>
      <c r="R1507" s="121">
        <f t="shared" si="609"/>
        <v>0</v>
      </c>
      <c r="S1507" s="121" t="str">
        <f t="shared" si="610"/>
        <v/>
      </c>
      <c r="T1507" s="121" t="str">
        <f t="shared" si="611"/>
        <v/>
      </c>
      <c r="U1507" s="121">
        <f t="shared" si="612"/>
        <v>1</v>
      </c>
    </row>
    <row r="1508" spans="1:21" x14ac:dyDescent="0.3">
      <c r="A1508" s="187">
        <v>26</v>
      </c>
      <c r="B1508" s="242">
        <f t="shared" si="613"/>
        <v>46419</v>
      </c>
      <c r="C1508" s="243">
        <f t="shared" si="594"/>
        <v>46446</v>
      </c>
      <c r="D1508" s="120">
        <f t="shared" si="595"/>
        <v>28</v>
      </c>
      <c r="E1508" s="120">
        <f t="shared" si="596"/>
        <v>2</v>
      </c>
      <c r="F1508" s="275">
        <f t="shared" si="597"/>
        <v>46433</v>
      </c>
      <c r="G1508" s="120">
        <f t="shared" si="598"/>
        <v>24325</v>
      </c>
      <c r="H1508" s="245">
        <f t="shared" si="599"/>
        <v>1</v>
      </c>
      <c r="I1508" s="121">
        <f t="shared" si="600"/>
        <v>1</v>
      </c>
      <c r="J1508" s="121">
        <f t="shared" si="601"/>
        <v>1</v>
      </c>
      <c r="K1508" s="120">
        <f t="shared" si="602"/>
        <v>0</v>
      </c>
      <c r="L1508" s="120">
        <f t="shared" si="603"/>
        <v>0</v>
      </c>
      <c r="M1508" s="246">
        <f t="shared" si="604"/>
        <v>0</v>
      </c>
      <c r="N1508" s="121">
        <f t="shared" si="605"/>
        <v>1</v>
      </c>
      <c r="O1508" s="246">
        <f t="shared" si="606"/>
        <v>0.90850109409190372</v>
      </c>
      <c r="P1508" s="121">
        <f t="shared" si="607"/>
        <v>0</v>
      </c>
      <c r="Q1508" s="121">
        <f t="shared" si="608"/>
        <v>1</v>
      </c>
      <c r="R1508" s="121">
        <f t="shared" si="609"/>
        <v>0</v>
      </c>
      <c r="S1508" s="121" t="str">
        <f t="shared" si="610"/>
        <v/>
      </c>
      <c r="T1508" s="121" t="str">
        <f t="shared" si="611"/>
        <v/>
      </c>
      <c r="U1508" s="121">
        <f t="shared" si="612"/>
        <v>1</v>
      </c>
    </row>
    <row r="1509" spans="1:21" x14ac:dyDescent="0.3">
      <c r="A1509" s="187">
        <v>27</v>
      </c>
      <c r="B1509" s="242">
        <f t="shared" si="613"/>
        <v>46447</v>
      </c>
      <c r="C1509" s="243">
        <f t="shared" si="594"/>
        <v>46477</v>
      </c>
      <c r="D1509" s="120">
        <f t="shared" si="595"/>
        <v>31</v>
      </c>
      <c r="E1509" s="120">
        <f t="shared" si="596"/>
        <v>3</v>
      </c>
      <c r="F1509" s="275">
        <f t="shared" si="597"/>
        <v>46462.5</v>
      </c>
      <c r="G1509" s="120">
        <f t="shared" si="598"/>
        <v>24326</v>
      </c>
      <c r="H1509" s="245">
        <f t="shared" si="599"/>
        <v>1</v>
      </c>
      <c r="I1509" s="121">
        <f t="shared" si="600"/>
        <v>1</v>
      </c>
      <c r="J1509" s="121">
        <f t="shared" si="601"/>
        <v>1</v>
      </c>
      <c r="K1509" s="120">
        <f t="shared" si="602"/>
        <v>0</v>
      </c>
      <c r="L1509" s="120">
        <f t="shared" si="603"/>
        <v>0</v>
      </c>
      <c r="M1509" s="246">
        <f t="shared" si="604"/>
        <v>0</v>
      </c>
      <c r="N1509" s="121">
        <f t="shared" si="605"/>
        <v>1</v>
      </c>
      <c r="O1509" s="246">
        <f t="shared" si="606"/>
        <v>0.90817833698030637</v>
      </c>
      <c r="P1509" s="121">
        <f t="shared" si="607"/>
        <v>0</v>
      </c>
      <c r="Q1509" s="121">
        <f t="shared" si="608"/>
        <v>1</v>
      </c>
      <c r="R1509" s="121">
        <f t="shared" si="609"/>
        <v>0</v>
      </c>
      <c r="S1509" s="121" t="str">
        <f t="shared" si="610"/>
        <v/>
      </c>
      <c r="T1509" s="121" t="str">
        <f t="shared" si="611"/>
        <v/>
      </c>
      <c r="U1509" s="121">
        <f t="shared" si="612"/>
        <v>1</v>
      </c>
    </row>
    <row r="1510" spans="1:21" x14ac:dyDescent="0.3">
      <c r="A1510" s="187">
        <v>28</v>
      </c>
      <c r="B1510" s="242">
        <f t="shared" si="613"/>
        <v>46478</v>
      </c>
      <c r="C1510" s="243">
        <f t="shared" si="594"/>
        <v>46507</v>
      </c>
      <c r="D1510" s="120">
        <f t="shared" si="595"/>
        <v>30</v>
      </c>
      <c r="E1510" s="120">
        <f t="shared" si="596"/>
        <v>4</v>
      </c>
      <c r="F1510" s="275">
        <f t="shared" si="597"/>
        <v>46493</v>
      </c>
      <c r="G1510" s="120">
        <f t="shared" si="598"/>
        <v>24327</v>
      </c>
      <c r="H1510" s="245">
        <f t="shared" si="599"/>
        <v>1</v>
      </c>
      <c r="I1510" s="121">
        <f t="shared" si="600"/>
        <v>1</v>
      </c>
      <c r="J1510" s="121">
        <f t="shared" si="601"/>
        <v>1</v>
      </c>
      <c r="K1510" s="120">
        <f t="shared" si="602"/>
        <v>0</v>
      </c>
      <c r="L1510" s="120">
        <f t="shared" si="603"/>
        <v>0</v>
      </c>
      <c r="M1510" s="246">
        <f t="shared" si="604"/>
        <v>0</v>
      </c>
      <c r="N1510" s="121">
        <f t="shared" si="605"/>
        <v>1</v>
      </c>
      <c r="O1510" s="246">
        <f t="shared" si="606"/>
        <v>0.90784463894967182</v>
      </c>
      <c r="P1510" s="121">
        <f t="shared" si="607"/>
        <v>0</v>
      </c>
      <c r="Q1510" s="121">
        <f t="shared" si="608"/>
        <v>1</v>
      </c>
      <c r="R1510" s="121">
        <f t="shared" si="609"/>
        <v>0</v>
      </c>
      <c r="S1510" s="121" t="str">
        <f t="shared" si="610"/>
        <v/>
      </c>
      <c r="T1510" s="121" t="str">
        <f t="shared" si="611"/>
        <v/>
      </c>
      <c r="U1510" s="121">
        <f t="shared" si="612"/>
        <v>1</v>
      </c>
    </row>
    <row r="1511" spans="1:21" x14ac:dyDescent="0.3">
      <c r="A1511" s="187">
        <v>29</v>
      </c>
      <c r="B1511" s="242">
        <f t="shared" si="613"/>
        <v>46508</v>
      </c>
      <c r="C1511" s="243">
        <f t="shared" si="594"/>
        <v>46538</v>
      </c>
      <c r="D1511" s="120">
        <f t="shared" si="595"/>
        <v>31</v>
      </c>
      <c r="E1511" s="120">
        <f t="shared" si="596"/>
        <v>5</v>
      </c>
      <c r="F1511" s="275">
        <f t="shared" si="597"/>
        <v>46523.5</v>
      </c>
      <c r="G1511" s="120">
        <f t="shared" si="598"/>
        <v>24328</v>
      </c>
      <c r="H1511" s="245">
        <f t="shared" si="599"/>
        <v>1</v>
      </c>
      <c r="I1511" s="121">
        <f t="shared" si="600"/>
        <v>1</v>
      </c>
      <c r="J1511" s="121">
        <f t="shared" si="601"/>
        <v>1</v>
      </c>
      <c r="K1511" s="120">
        <f t="shared" si="602"/>
        <v>0</v>
      </c>
      <c r="L1511" s="120">
        <f t="shared" si="603"/>
        <v>0</v>
      </c>
      <c r="M1511" s="246">
        <f t="shared" si="604"/>
        <v>0</v>
      </c>
      <c r="N1511" s="121">
        <f t="shared" si="605"/>
        <v>1</v>
      </c>
      <c r="O1511" s="246">
        <f t="shared" si="606"/>
        <v>0.90751094091903728</v>
      </c>
      <c r="P1511" s="121">
        <f t="shared" si="607"/>
        <v>0</v>
      </c>
      <c r="Q1511" s="121">
        <f t="shared" si="608"/>
        <v>1</v>
      </c>
      <c r="R1511" s="121">
        <f t="shared" si="609"/>
        <v>0</v>
      </c>
      <c r="S1511" s="121" t="str">
        <f t="shared" si="610"/>
        <v/>
      </c>
      <c r="T1511" s="121" t="str">
        <f t="shared" si="611"/>
        <v/>
      </c>
      <c r="U1511" s="121">
        <f t="shared" si="612"/>
        <v>1</v>
      </c>
    </row>
    <row r="1512" spans="1:21" x14ac:dyDescent="0.3">
      <c r="A1512" s="187">
        <v>30</v>
      </c>
      <c r="B1512" s="242">
        <f t="shared" si="613"/>
        <v>46539</v>
      </c>
      <c r="C1512" s="243">
        <f t="shared" si="594"/>
        <v>46568</v>
      </c>
      <c r="D1512" s="120">
        <f t="shared" si="595"/>
        <v>30</v>
      </c>
      <c r="E1512" s="120">
        <f t="shared" si="596"/>
        <v>6</v>
      </c>
      <c r="F1512" s="275">
        <f t="shared" si="597"/>
        <v>46554</v>
      </c>
      <c r="G1512" s="120">
        <f t="shared" si="598"/>
        <v>24329</v>
      </c>
      <c r="H1512" s="245">
        <f t="shared" si="599"/>
        <v>1</v>
      </c>
      <c r="I1512" s="121">
        <f t="shared" si="600"/>
        <v>1</v>
      </c>
      <c r="J1512" s="121">
        <f t="shared" si="601"/>
        <v>1</v>
      </c>
      <c r="K1512" s="120">
        <f t="shared" si="602"/>
        <v>0</v>
      </c>
      <c r="L1512" s="120">
        <f t="shared" si="603"/>
        <v>0</v>
      </c>
      <c r="M1512" s="246">
        <f t="shared" si="604"/>
        <v>0</v>
      </c>
      <c r="N1512" s="121">
        <f t="shared" si="605"/>
        <v>1</v>
      </c>
      <c r="O1512" s="246">
        <f t="shared" si="606"/>
        <v>0.90717724288840262</v>
      </c>
      <c r="P1512" s="121">
        <f t="shared" si="607"/>
        <v>0</v>
      </c>
      <c r="Q1512" s="121">
        <f t="shared" si="608"/>
        <v>1</v>
      </c>
      <c r="R1512" s="121">
        <f t="shared" si="609"/>
        <v>0</v>
      </c>
      <c r="S1512" s="121" t="str">
        <f t="shared" si="610"/>
        <v/>
      </c>
      <c r="T1512" s="121" t="str">
        <f t="shared" si="611"/>
        <v/>
      </c>
      <c r="U1512" s="121">
        <f t="shared" si="612"/>
        <v>1</v>
      </c>
    </row>
    <row r="1513" spans="1:21" x14ac:dyDescent="0.3">
      <c r="A1513" s="187">
        <v>31</v>
      </c>
      <c r="B1513" s="242">
        <f t="shared" si="613"/>
        <v>46569</v>
      </c>
      <c r="C1513" s="243">
        <f t="shared" si="594"/>
        <v>46599</v>
      </c>
      <c r="D1513" s="120">
        <f t="shared" si="595"/>
        <v>31</v>
      </c>
      <c r="E1513" s="120">
        <f t="shared" si="596"/>
        <v>7</v>
      </c>
      <c r="F1513" s="275">
        <f t="shared" si="597"/>
        <v>46584.5</v>
      </c>
      <c r="G1513" s="120">
        <f t="shared" si="598"/>
        <v>24330</v>
      </c>
      <c r="H1513" s="245">
        <f t="shared" si="599"/>
        <v>1</v>
      </c>
      <c r="I1513" s="121">
        <f t="shared" si="600"/>
        <v>1</v>
      </c>
      <c r="J1513" s="121">
        <f t="shared" si="601"/>
        <v>1</v>
      </c>
      <c r="K1513" s="120">
        <f t="shared" si="602"/>
        <v>0</v>
      </c>
      <c r="L1513" s="120">
        <f t="shared" si="603"/>
        <v>0</v>
      </c>
      <c r="M1513" s="246">
        <f t="shared" si="604"/>
        <v>0</v>
      </c>
      <c r="N1513" s="121">
        <f t="shared" si="605"/>
        <v>1</v>
      </c>
      <c r="O1513" s="246">
        <f t="shared" si="606"/>
        <v>0.90684354485776808</v>
      </c>
      <c r="P1513" s="121">
        <f t="shared" si="607"/>
        <v>0</v>
      </c>
      <c r="Q1513" s="121">
        <f t="shared" si="608"/>
        <v>0.91666666666666663</v>
      </c>
      <c r="R1513" s="121">
        <f t="shared" si="609"/>
        <v>8.333333333333337E-2</v>
      </c>
      <c r="S1513" s="121" t="str">
        <f t="shared" si="610"/>
        <v/>
      </c>
      <c r="T1513" s="121" t="str">
        <f t="shared" si="611"/>
        <v/>
      </c>
      <c r="U1513" s="121">
        <f t="shared" si="612"/>
        <v>1</v>
      </c>
    </row>
    <row r="1514" spans="1:21" x14ac:dyDescent="0.3">
      <c r="A1514" s="187">
        <v>32</v>
      </c>
      <c r="B1514" s="242">
        <f t="shared" si="613"/>
        <v>46600</v>
      </c>
      <c r="C1514" s="243">
        <f t="shared" si="594"/>
        <v>46630</v>
      </c>
      <c r="D1514" s="120">
        <f t="shared" si="595"/>
        <v>31</v>
      </c>
      <c r="E1514" s="120">
        <f t="shared" si="596"/>
        <v>8</v>
      </c>
      <c r="F1514" s="275">
        <f t="shared" si="597"/>
        <v>46615.5</v>
      </c>
      <c r="G1514" s="120">
        <f t="shared" si="598"/>
        <v>24331</v>
      </c>
      <c r="H1514" s="245">
        <f t="shared" si="599"/>
        <v>1</v>
      </c>
      <c r="I1514" s="121">
        <f t="shared" si="600"/>
        <v>1</v>
      </c>
      <c r="J1514" s="121">
        <f t="shared" si="601"/>
        <v>1</v>
      </c>
      <c r="K1514" s="120">
        <f t="shared" si="602"/>
        <v>0</v>
      </c>
      <c r="L1514" s="120">
        <f t="shared" si="603"/>
        <v>0</v>
      </c>
      <c r="M1514" s="246">
        <f t="shared" si="604"/>
        <v>0</v>
      </c>
      <c r="N1514" s="121">
        <f t="shared" si="605"/>
        <v>1</v>
      </c>
      <c r="O1514" s="246">
        <f t="shared" si="606"/>
        <v>0.90650437636761494</v>
      </c>
      <c r="P1514" s="121">
        <f t="shared" si="607"/>
        <v>0</v>
      </c>
      <c r="Q1514" s="121">
        <f t="shared" si="608"/>
        <v>0.75</v>
      </c>
      <c r="R1514" s="121">
        <f t="shared" si="609"/>
        <v>0.25</v>
      </c>
      <c r="S1514" s="121" t="str">
        <f t="shared" si="610"/>
        <v/>
      </c>
      <c r="T1514" s="121" t="str">
        <f t="shared" si="611"/>
        <v/>
      </c>
      <c r="U1514" s="121">
        <f t="shared" si="612"/>
        <v>1</v>
      </c>
    </row>
    <row r="1515" spans="1:21" x14ac:dyDescent="0.3">
      <c r="A1515" s="187">
        <v>33</v>
      </c>
      <c r="B1515" s="242">
        <f t="shared" si="613"/>
        <v>46631</v>
      </c>
      <c r="C1515" s="243">
        <f t="shared" si="594"/>
        <v>46660</v>
      </c>
      <c r="D1515" s="120">
        <f t="shared" si="595"/>
        <v>30</v>
      </c>
      <c r="E1515" s="120">
        <f t="shared" si="596"/>
        <v>9</v>
      </c>
      <c r="F1515" s="275">
        <f t="shared" si="597"/>
        <v>46646</v>
      </c>
      <c r="G1515" s="120">
        <f t="shared" si="598"/>
        <v>24332</v>
      </c>
      <c r="H1515" s="245">
        <f t="shared" si="599"/>
        <v>1</v>
      </c>
      <c r="I1515" s="121">
        <f t="shared" si="600"/>
        <v>1</v>
      </c>
      <c r="J1515" s="121">
        <f t="shared" si="601"/>
        <v>1</v>
      </c>
      <c r="K1515" s="120">
        <f t="shared" si="602"/>
        <v>0</v>
      </c>
      <c r="L1515" s="120">
        <f t="shared" si="603"/>
        <v>0</v>
      </c>
      <c r="M1515" s="246">
        <f t="shared" si="604"/>
        <v>0</v>
      </c>
      <c r="N1515" s="121">
        <f t="shared" si="605"/>
        <v>1</v>
      </c>
      <c r="O1515" s="246">
        <f t="shared" si="606"/>
        <v>0.90617067833698028</v>
      </c>
      <c r="P1515" s="121">
        <f t="shared" si="607"/>
        <v>0</v>
      </c>
      <c r="Q1515" s="121">
        <f t="shared" si="608"/>
        <v>0.58333333333333337</v>
      </c>
      <c r="R1515" s="121">
        <f t="shared" si="609"/>
        <v>0.41666666666666663</v>
      </c>
      <c r="S1515" s="121" t="str">
        <f t="shared" si="610"/>
        <v/>
      </c>
      <c r="T1515" s="121" t="str">
        <f t="shared" si="611"/>
        <v/>
      </c>
      <c r="U1515" s="121">
        <f t="shared" si="612"/>
        <v>1</v>
      </c>
    </row>
    <row r="1516" spans="1:21" x14ac:dyDescent="0.3">
      <c r="A1516" s="187">
        <v>34</v>
      </c>
      <c r="B1516" s="242">
        <f t="shared" si="613"/>
        <v>46661</v>
      </c>
      <c r="C1516" s="243">
        <f t="shared" si="594"/>
        <v>46691</v>
      </c>
      <c r="D1516" s="120">
        <f t="shared" si="595"/>
        <v>31</v>
      </c>
      <c r="E1516" s="120">
        <f t="shared" si="596"/>
        <v>10</v>
      </c>
      <c r="F1516" s="275">
        <f t="shared" si="597"/>
        <v>46676.5</v>
      </c>
      <c r="G1516" s="120">
        <f t="shared" si="598"/>
        <v>24333</v>
      </c>
      <c r="H1516" s="245">
        <f t="shared" si="599"/>
        <v>1</v>
      </c>
      <c r="I1516" s="121">
        <f t="shared" si="600"/>
        <v>1</v>
      </c>
      <c r="J1516" s="121">
        <f t="shared" si="601"/>
        <v>1</v>
      </c>
      <c r="K1516" s="120">
        <f t="shared" si="602"/>
        <v>0</v>
      </c>
      <c r="L1516" s="120">
        <f t="shared" si="603"/>
        <v>0</v>
      </c>
      <c r="M1516" s="246">
        <f t="shared" si="604"/>
        <v>0</v>
      </c>
      <c r="N1516" s="121">
        <f t="shared" si="605"/>
        <v>1</v>
      </c>
      <c r="O1516" s="246">
        <f t="shared" si="606"/>
        <v>0.90583698030634574</v>
      </c>
      <c r="P1516" s="121">
        <f t="shared" si="607"/>
        <v>0</v>
      </c>
      <c r="Q1516" s="121">
        <f t="shared" si="608"/>
        <v>0.41666666666666669</v>
      </c>
      <c r="R1516" s="121">
        <f t="shared" si="609"/>
        <v>0.58333333333333326</v>
      </c>
      <c r="S1516" s="121" t="str">
        <f t="shared" si="610"/>
        <v/>
      </c>
      <c r="T1516" s="121" t="str">
        <f t="shared" si="611"/>
        <v/>
      </c>
      <c r="U1516" s="121">
        <f t="shared" si="612"/>
        <v>1</v>
      </c>
    </row>
    <row r="1517" spans="1:21" x14ac:dyDescent="0.3">
      <c r="A1517" s="187">
        <v>35</v>
      </c>
      <c r="B1517" s="242">
        <f t="shared" si="613"/>
        <v>46692</v>
      </c>
      <c r="C1517" s="243">
        <f t="shared" si="594"/>
        <v>46721</v>
      </c>
      <c r="D1517" s="120">
        <f t="shared" si="595"/>
        <v>30</v>
      </c>
      <c r="E1517" s="120">
        <f t="shared" si="596"/>
        <v>11</v>
      </c>
      <c r="F1517" s="275">
        <f t="shared" si="597"/>
        <v>46707</v>
      </c>
      <c r="G1517" s="120">
        <f t="shared" si="598"/>
        <v>24334</v>
      </c>
      <c r="H1517" s="245">
        <f t="shared" si="599"/>
        <v>1</v>
      </c>
      <c r="I1517" s="121">
        <f t="shared" si="600"/>
        <v>1</v>
      </c>
      <c r="J1517" s="121">
        <f t="shared" si="601"/>
        <v>1</v>
      </c>
      <c r="K1517" s="120">
        <f t="shared" si="602"/>
        <v>0</v>
      </c>
      <c r="L1517" s="120">
        <f t="shared" si="603"/>
        <v>0</v>
      </c>
      <c r="M1517" s="246">
        <f t="shared" si="604"/>
        <v>0</v>
      </c>
      <c r="N1517" s="121">
        <f t="shared" si="605"/>
        <v>1</v>
      </c>
      <c r="O1517" s="246">
        <f t="shared" si="606"/>
        <v>0.9055032822757112</v>
      </c>
      <c r="P1517" s="121">
        <f t="shared" si="607"/>
        <v>0</v>
      </c>
      <c r="Q1517" s="121">
        <f t="shared" si="608"/>
        <v>0.25</v>
      </c>
      <c r="R1517" s="121">
        <f t="shared" si="609"/>
        <v>0.75</v>
      </c>
      <c r="S1517" s="121" t="str">
        <f t="shared" si="610"/>
        <v/>
      </c>
      <c r="T1517" s="121" t="str">
        <f t="shared" si="611"/>
        <v/>
      </c>
      <c r="U1517" s="121">
        <f t="shared" si="612"/>
        <v>1</v>
      </c>
    </row>
    <row r="1518" spans="1:21" x14ac:dyDescent="0.3">
      <c r="A1518" s="187">
        <v>36</v>
      </c>
      <c r="B1518" s="242">
        <f t="shared" si="613"/>
        <v>46722</v>
      </c>
      <c r="C1518" s="243">
        <f t="shared" si="594"/>
        <v>46752</v>
      </c>
      <c r="D1518" s="120">
        <f t="shared" si="595"/>
        <v>31</v>
      </c>
      <c r="E1518" s="120">
        <f t="shared" si="596"/>
        <v>12</v>
      </c>
      <c r="F1518" s="275">
        <f t="shared" si="597"/>
        <v>46737.5</v>
      </c>
      <c r="G1518" s="120">
        <f t="shared" si="598"/>
        <v>24335</v>
      </c>
      <c r="H1518" s="245">
        <f t="shared" si="599"/>
        <v>1</v>
      </c>
      <c r="I1518" s="121">
        <f t="shared" si="600"/>
        <v>1</v>
      </c>
      <c r="J1518" s="121">
        <f t="shared" si="601"/>
        <v>1</v>
      </c>
      <c r="K1518" s="120">
        <f t="shared" si="602"/>
        <v>0</v>
      </c>
      <c r="L1518" s="120">
        <f t="shared" si="603"/>
        <v>0</v>
      </c>
      <c r="M1518" s="246">
        <f t="shared" si="604"/>
        <v>0</v>
      </c>
      <c r="N1518" s="121">
        <f t="shared" si="605"/>
        <v>1</v>
      </c>
      <c r="O1518" s="246">
        <f t="shared" si="606"/>
        <v>0.90516958424507665</v>
      </c>
      <c r="P1518" s="121">
        <f t="shared" si="607"/>
        <v>0</v>
      </c>
      <c r="Q1518" s="121">
        <f t="shared" si="608"/>
        <v>8.3333333333333329E-2</v>
      </c>
      <c r="R1518" s="121">
        <f t="shared" si="609"/>
        <v>0.91666666666666663</v>
      </c>
      <c r="S1518" s="121" t="str">
        <f t="shared" si="610"/>
        <v/>
      </c>
      <c r="T1518" s="121" t="str">
        <f t="shared" si="611"/>
        <v/>
      </c>
      <c r="U1518" s="121">
        <f t="shared" si="612"/>
        <v>1</v>
      </c>
    </row>
    <row r="1519" spans="1:21" x14ac:dyDescent="0.3">
      <c r="A1519" s="187">
        <v>37</v>
      </c>
      <c r="B1519" s="242">
        <f t="shared" si="613"/>
        <v>46753</v>
      </c>
      <c r="C1519" s="243">
        <f t="shared" si="594"/>
        <v>46783</v>
      </c>
      <c r="D1519" s="120">
        <f t="shared" si="595"/>
        <v>31</v>
      </c>
      <c r="E1519" s="120">
        <f t="shared" si="596"/>
        <v>1</v>
      </c>
      <c r="F1519" s="275">
        <f t="shared" si="597"/>
        <v>46768.5</v>
      </c>
      <c r="G1519" s="120">
        <f t="shared" si="598"/>
        <v>24336</v>
      </c>
      <c r="H1519" s="245">
        <f t="shared" si="599"/>
        <v>1</v>
      </c>
      <c r="I1519" s="121">
        <f t="shared" si="600"/>
        <v>1</v>
      </c>
      <c r="J1519" s="121">
        <f t="shared" si="601"/>
        <v>1</v>
      </c>
      <c r="K1519" s="120">
        <f t="shared" si="602"/>
        <v>0</v>
      </c>
      <c r="L1519" s="120">
        <f t="shared" si="603"/>
        <v>0</v>
      </c>
      <c r="M1519" s="246">
        <f t="shared" si="604"/>
        <v>0</v>
      </c>
      <c r="N1519" s="121">
        <f t="shared" si="605"/>
        <v>1</v>
      </c>
      <c r="O1519" s="246">
        <f t="shared" si="606"/>
        <v>0.90500000000000003</v>
      </c>
      <c r="P1519" s="121">
        <f t="shared" si="607"/>
        <v>0</v>
      </c>
      <c r="Q1519" s="121">
        <f t="shared" si="608"/>
        <v>0</v>
      </c>
      <c r="R1519" s="121">
        <f t="shared" si="609"/>
        <v>1</v>
      </c>
      <c r="S1519" s="121" t="str">
        <f t="shared" si="610"/>
        <v/>
      </c>
      <c r="T1519" s="121" t="str">
        <f t="shared" si="611"/>
        <v/>
      </c>
      <c r="U1519" s="121">
        <f t="shared" si="612"/>
        <v>1</v>
      </c>
    </row>
    <row r="1520" spans="1:21" x14ac:dyDescent="0.3">
      <c r="A1520" s="187">
        <v>38</v>
      </c>
      <c r="B1520" s="242">
        <f t="shared" si="613"/>
        <v>46784</v>
      </c>
      <c r="C1520" s="243">
        <f t="shared" si="594"/>
        <v>46812</v>
      </c>
      <c r="D1520" s="120">
        <f t="shared" si="595"/>
        <v>29</v>
      </c>
      <c r="E1520" s="120">
        <f t="shared" si="596"/>
        <v>2</v>
      </c>
      <c r="F1520" s="275">
        <f t="shared" si="597"/>
        <v>46798.5</v>
      </c>
      <c r="G1520" s="120">
        <f t="shared" si="598"/>
        <v>24337</v>
      </c>
      <c r="H1520" s="245">
        <f t="shared" si="599"/>
        <v>1</v>
      </c>
      <c r="I1520" s="121">
        <f t="shared" si="600"/>
        <v>1</v>
      </c>
      <c r="J1520" s="121">
        <f t="shared" si="601"/>
        <v>1</v>
      </c>
      <c r="K1520" s="120">
        <f t="shared" si="602"/>
        <v>0</v>
      </c>
      <c r="L1520" s="120">
        <f t="shared" si="603"/>
        <v>0</v>
      </c>
      <c r="M1520" s="246">
        <f t="shared" si="604"/>
        <v>0</v>
      </c>
      <c r="N1520" s="121">
        <f t="shared" si="605"/>
        <v>1</v>
      </c>
      <c r="O1520" s="246">
        <f t="shared" si="606"/>
        <v>0.90500000000000003</v>
      </c>
      <c r="P1520" s="121">
        <f t="shared" si="607"/>
        <v>0</v>
      </c>
      <c r="Q1520" s="121">
        <f t="shared" si="608"/>
        <v>0</v>
      </c>
      <c r="R1520" s="121">
        <f t="shared" si="609"/>
        <v>1</v>
      </c>
      <c r="S1520" s="121" t="str">
        <f t="shared" si="610"/>
        <v/>
      </c>
      <c r="T1520" s="121" t="str">
        <f t="shared" si="611"/>
        <v/>
      </c>
      <c r="U1520" s="121">
        <f t="shared" si="612"/>
        <v>1</v>
      </c>
    </row>
    <row r="1521" spans="1:21" x14ac:dyDescent="0.3">
      <c r="A1521" s="187">
        <v>39</v>
      </c>
      <c r="B1521" s="242">
        <f t="shared" si="613"/>
        <v>46813</v>
      </c>
      <c r="C1521" s="243">
        <f t="shared" si="594"/>
        <v>46843</v>
      </c>
      <c r="D1521" s="120">
        <f t="shared" si="595"/>
        <v>31</v>
      </c>
      <c r="E1521" s="120">
        <f t="shared" si="596"/>
        <v>3</v>
      </c>
      <c r="F1521" s="275">
        <f t="shared" si="597"/>
        <v>46828.5</v>
      </c>
      <c r="G1521" s="120">
        <f t="shared" si="598"/>
        <v>24338</v>
      </c>
      <c r="H1521" s="245">
        <f t="shared" si="599"/>
        <v>1</v>
      </c>
      <c r="I1521" s="121">
        <f t="shared" si="600"/>
        <v>1</v>
      </c>
      <c r="J1521" s="121">
        <f t="shared" si="601"/>
        <v>1</v>
      </c>
      <c r="K1521" s="120">
        <f t="shared" si="602"/>
        <v>0</v>
      </c>
      <c r="L1521" s="120">
        <f t="shared" si="603"/>
        <v>0</v>
      </c>
      <c r="M1521" s="246">
        <f t="shared" si="604"/>
        <v>0</v>
      </c>
      <c r="N1521" s="121">
        <f t="shared" si="605"/>
        <v>1</v>
      </c>
      <c r="O1521" s="246">
        <f t="shared" si="606"/>
        <v>0.90500000000000003</v>
      </c>
      <c r="P1521" s="121">
        <f t="shared" si="607"/>
        <v>0</v>
      </c>
      <c r="Q1521" s="121">
        <f t="shared" si="608"/>
        <v>0</v>
      </c>
      <c r="R1521" s="121">
        <f t="shared" si="609"/>
        <v>1</v>
      </c>
      <c r="S1521" s="121" t="str">
        <f t="shared" si="610"/>
        <v/>
      </c>
      <c r="T1521" s="121" t="str">
        <f t="shared" si="611"/>
        <v/>
      </c>
      <c r="U1521" s="121">
        <f t="shared" si="612"/>
        <v>1</v>
      </c>
    </row>
    <row r="1522" spans="1:21" x14ac:dyDescent="0.3">
      <c r="A1522" s="187">
        <v>40</v>
      </c>
      <c r="B1522" s="242">
        <f t="shared" si="613"/>
        <v>46844</v>
      </c>
      <c r="C1522" s="243">
        <f t="shared" si="594"/>
        <v>46873</v>
      </c>
      <c r="D1522" s="120">
        <f t="shared" si="595"/>
        <v>30</v>
      </c>
      <c r="E1522" s="120">
        <f t="shared" si="596"/>
        <v>4</v>
      </c>
      <c r="F1522" s="275">
        <f t="shared" si="597"/>
        <v>46859</v>
      </c>
      <c r="G1522" s="120">
        <f t="shared" si="598"/>
        <v>24339</v>
      </c>
      <c r="H1522" s="245">
        <f t="shared" si="599"/>
        <v>1</v>
      </c>
      <c r="I1522" s="121">
        <f t="shared" si="600"/>
        <v>1</v>
      </c>
      <c r="J1522" s="121">
        <f t="shared" si="601"/>
        <v>1</v>
      </c>
      <c r="K1522" s="120">
        <f t="shared" si="602"/>
        <v>0</v>
      </c>
      <c r="L1522" s="120">
        <f t="shared" si="603"/>
        <v>0</v>
      </c>
      <c r="M1522" s="246">
        <f t="shared" si="604"/>
        <v>0</v>
      </c>
      <c r="N1522" s="121">
        <f t="shared" si="605"/>
        <v>1</v>
      </c>
      <c r="O1522" s="246">
        <f t="shared" si="606"/>
        <v>0.90500000000000003</v>
      </c>
      <c r="P1522" s="121">
        <f t="shared" si="607"/>
        <v>0</v>
      </c>
      <c r="Q1522" s="121">
        <f t="shared" si="608"/>
        <v>0</v>
      </c>
      <c r="R1522" s="121">
        <f t="shared" si="609"/>
        <v>1</v>
      </c>
      <c r="S1522" s="121" t="str">
        <f t="shared" si="610"/>
        <v/>
      </c>
      <c r="T1522" s="121" t="str">
        <f t="shared" si="611"/>
        <v/>
      </c>
      <c r="U1522" s="121">
        <f t="shared" si="612"/>
        <v>1</v>
      </c>
    </row>
    <row r="1523" spans="1:21" x14ac:dyDescent="0.3">
      <c r="A1523" s="187">
        <v>41</v>
      </c>
      <c r="B1523" s="242">
        <f t="shared" si="613"/>
        <v>46874</v>
      </c>
      <c r="C1523" s="243">
        <f t="shared" si="594"/>
        <v>46904</v>
      </c>
      <c r="D1523" s="120">
        <f t="shared" si="595"/>
        <v>31</v>
      </c>
      <c r="E1523" s="120">
        <f t="shared" si="596"/>
        <v>5</v>
      </c>
      <c r="F1523" s="275">
        <f t="shared" si="597"/>
        <v>46889.5</v>
      </c>
      <c r="G1523" s="120">
        <f t="shared" si="598"/>
        <v>24340</v>
      </c>
      <c r="H1523" s="245">
        <f t="shared" si="599"/>
        <v>1</v>
      </c>
      <c r="I1523" s="121">
        <f t="shared" si="600"/>
        <v>1</v>
      </c>
      <c r="J1523" s="121">
        <f t="shared" si="601"/>
        <v>1</v>
      </c>
      <c r="K1523" s="120">
        <f t="shared" si="602"/>
        <v>0</v>
      </c>
      <c r="L1523" s="120">
        <f t="shared" si="603"/>
        <v>0</v>
      </c>
      <c r="M1523" s="246">
        <f t="shared" si="604"/>
        <v>0</v>
      </c>
      <c r="N1523" s="121">
        <f t="shared" si="605"/>
        <v>1</v>
      </c>
      <c r="O1523" s="246">
        <f t="shared" si="606"/>
        <v>0.90500000000000003</v>
      </c>
      <c r="P1523" s="121">
        <f t="shared" si="607"/>
        <v>0</v>
      </c>
      <c r="Q1523" s="121">
        <f t="shared" si="608"/>
        <v>0</v>
      </c>
      <c r="R1523" s="121">
        <f t="shared" si="609"/>
        <v>1</v>
      </c>
      <c r="S1523" s="121" t="str">
        <f t="shared" si="610"/>
        <v/>
      </c>
      <c r="T1523" s="121" t="str">
        <f t="shared" si="611"/>
        <v/>
      </c>
      <c r="U1523" s="121">
        <f t="shared" si="612"/>
        <v>1</v>
      </c>
    </row>
    <row r="1524" spans="1:21" x14ac:dyDescent="0.3">
      <c r="A1524" s="187">
        <v>42</v>
      </c>
      <c r="B1524" s="242">
        <f t="shared" si="613"/>
        <v>46905</v>
      </c>
      <c r="C1524" s="243">
        <f t="shared" si="594"/>
        <v>46934</v>
      </c>
      <c r="D1524" s="120">
        <f t="shared" si="595"/>
        <v>30</v>
      </c>
      <c r="E1524" s="120">
        <f t="shared" si="596"/>
        <v>6</v>
      </c>
      <c r="F1524" s="275">
        <f t="shared" si="597"/>
        <v>46920</v>
      </c>
      <c r="G1524" s="120">
        <f t="shared" si="598"/>
        <v>24341</v>
      </c>
      <c r="H1524" s="245">
        <f t="shared" si="599"/>
        <v>1</v>
      </c>
      <c r="I1524" s="121">
        <f t="shared" si="600"/>
        <v>1</v>
      </c>
      <c r="J1524" s="121">
        <f t="shared" si="601"/>
        <v>1</v>
      </c>
      <c r="K1524" s="120">
        <f t="shared" si="602"/>
        <v>0</v>
      </c>
      <c r="L1524" s="120">
        <f t="shared" si="603"/>
        <v>0</v>
      </c>
      <c r="M1524" s="246">
        <f t="shared" si="604"/>
        <v>0</v>
      </c>
      <c r="N1524" s="121">
        <f t="shared" si="605"/>
        <v>1</v>
      </c>
      <c r="O1524" s="246">
        <f t="shared" si="606"/>
        <v>0.90500000000000003</v>
      </c>
      <c r="P1524" s="121">
        <f t="shared" si="607"/>
        <v>0</v>
      </c>
      <c r="Q1524" s="121">
        <f t="shared" si="608"/>
        <v>0</v>
      </c>
      <c r="R1524" s="121">
        <f t="shared" si="609"/>
        <v>1</v>
      </c>
      <c r="S1524" s="121" t="str">
        <f t="shared" si="610"/>
        <v/>
      </c>
      <c r="T1524" s="121" t="str">
        <f t="shared" si="611"/>
        <v/>
      </c>
      <c r="U1524" s="121">
        <f t="shared" si="612"/>
        <v>1</v>
      </c>
    </row>
    <row r="1525" spans="1:21" x14ac:dyDescent="0.3">
      <c r="A1525" s="187">
        <v>43</v>
      </c>
      <c r="B1525" s="242">
        <f t="shared" si="613"/>
        <v>46935</v>
      </c>
      <c r="C1525" s="243">
        <f t="shared" si="594"/>
        <v>46965</v>
      </c>
      <c r="D1525" s="120">
        <f t="shared" si="595"/>
        <v>31</v>
      </c>
      <c r="E1525" s="120">
        <f t="shared" si="596"/>
        <v>7</v>
      </c>
      <c r="F1525" s="275">
        <f t="shared" si="597"/>
        <v>46950.5</v>
      </c>
      <c r="G1525" s="120">
        <f t="shared" si="598"/>
        <v>24342</v>
      </c>
      <c r="H1525" s="245">
        <f t="shared" si="599"/>
        <v>1</v>
      </c>
      <c r="I1525" s="121">
        <f t="shared" si="600"/>
        <v>1</v>
      </c>
      <c r="J1525" s="121">
        <f t="shared" si="601"/>
        <v>1</v>
      </c>
      <c r="K1525" s="120">
        <f t="shared" si="602"/>
        <v>0</v>
      </c>
      <c r="L1525" s="120">
        <f t="shared" si="603"/>
        <v>0</v>
      </c>
      <c r="M1525" s="246">
        <f t="shared" si="604"/>
        <v>0</v>
      </c>
      <c r="N1525" s="121">
        <f t="shared" si="605"/>
        <v>1</v>
      </c>
      <c r="O1525" s="246">
        <f t="shared" si="606"/>
        <v>0.90500000000000003</v>
      </c>
      <c r="P1525" s="121">
        <f t="shared" si="607"/>
        <v>0</v>
      </c>
      <c r="Q1525" s="121">
        <f t="shared" si="608"/>
        <v>0</v>
      </c>
      <c r="R1525" s="121">
        <f t="shared" si="609"/>
        <v>0.91666666666666663</v>
      </c>
      <c r="S1525" s="121" t="str">
        <f t="shared" si="610"/>
        <v/>
      </c>
      <c r="T1525" s="121" t="str">
        <f t="shared" si="611"/>
        <v/>
      </c>
      <c r="U1525" s="121">
        <f t="shared" si="612"/>
        <v>1</v>
      </c>
    </row>
    <row r="1526" spans="1:21" x14ac:dyDescent="0.3">
      <c r="A1526" s="187">
        <v>44</v>
      </c>
      <c r="B1526" s="242">
        <f t="shared" si="613"/>
        <v>46966</v>
      </c>
      <c r="C1526" s="243">
        <f t="shared" si="594"/>
        <v>46996</v>
      </c>
      <c r="D1526" s="120">
        <f t="shared" si="595"/>
        <v>31</v>
      </c>
      <c r="E1526" s="120">
        <f t="shared" si="596"/>
        <v>8</v>
      </c>
      <c r="F1526" s="275">
        <f t="shared" si="597"/>
        <v>46981.5</v>
      </c>
      <c r="G1526" s="120">
        <f t="shared" si="598"/>
        <v>24343</v>
      </c>
      <c r="H1526" s="245">
        <f t="shared" si="599"/>
        <v>1</v>
      </c>
      <c r="I1526" s="121">
        <f t="shared" si="600"/>
        <v>1</v>
      </c>
      <c r="J1526" s="121">
        <f t="shared" si="601"/>
        <v>1</v>
      </c>
      <c r="K1526" s="120">
        <f t="shared" si="602"/>
        <v>0</v>
      </c>
      <c r="L1526" s="120">
        <f t="shared" si="603"/>
        <v>0</v>
      </c>
      <c r="M1526" s="246">
        <f t="shared" si="604"/>
        <v>0</v>
      </c>
      <c r="N1526" s="121">
        <f t="shared" si="605"/>
        <v>1</v>
      </c>
      <c r="O1526" s="246">
        <f t="shared" si="606"/>
        <v>0.90500000000000003</v>
      </c>
      <c r="P1526" s="121">
        <f t="shared" si="607"/>
        <v>0</v>
      </c>
      <c r="Q1526" s="121">
        <f t="shared" si="608"/>
        <v>0</v>
      </c>
      <c r="R1526" s="121">
        <f t="shared" si="609"/>
        <v>0.75</v>
      </c>
      <c r="S1526" s="121" t="str">
        <f t="shared" si="610"/>
        <v/>
      </c>
      <c r="T1526" s="121" t="str">
        <f t="shared" si="611"/>
        <v/>
      </c>
      <c r="U1526" s="121">
        <f t="shared" si="612"/>
        <v>1</v>
      </c>
    </row>
    <row r="1527" spans="1:21" x14ac:dyDescent="0.3">
      <c r="A1527" s="187">
        <v>45</v>
      </c>
      <c r="B1527" s="242">
        <f t="shared" si="613"/>
        <v>46997</v>
      </c>
      <c r="C1527" s="243">
        <f t="shared" si="594"/>
        <v>47026</v>
      </c>
      <c r="D1527" s="120">
        <f t="shared" si="595"/>
        <v>30</v>
      </c>
      <c r="E1527" s="120">
        <f t="shared" si="596"/>
        <v>9</v>
      </c>
      <c r="F1527" s="275">
        <f t="shared" si="597"/>
        <v>47012</v>
      </c>
      <c r="G1527" s="120">
        <f t="shared" si="598"/>
        <v>24344</v>
      </c>
      <c r="H1527" s="245">
        <f t="shared" si="599"/>
        <v>1</v>
      </c>
      <c r="I1527" s="121">
        <f t="shared" si="600"/>
        <v>1</v>
      </c>
      <c r="J1527" s="121">
        <f t="shared" si="601"/>
        <v>1</v>
      </c>
      <c r="K1527" s="120">
        <f t="shared" si="602"/>
        <v>0</v>
      </c>
      <c r="L1527" s="120">
        <f t="shared" si="603"/>
        <v>0</v>
      </c>
      <c r="M1527" s="246">
        <f t="shared" si="604"/>
        <v>0</v>
      </c>
      <c r="N1527" s="121">
        <f t="shared" si="605"/>
        <v>1</v>
      </c>
      <c r="O1527" s="246">
        <f t="shared" si="606"/>
        <v>0.90500000000000003</v>
      </c>
      <c r="P1527" s="121">
        <f t="shared" si="607"/>
        <v>0</v>
      </c>
      <c r="Q1527" s="121">
        <f t="shared" si="608"/>
        <v>0</v>
      </c>
      <c r="R1527" s="121">
        <f t="shared" si="609"/>
        <v>0.58333333333333337</v>
      </c>
      <c r="S1527" s="121" t="str">
        <f t="shared" si="610"/>
        <v/>
      </c>
      <c r="T1527" s="121" t="str">
        <f t="shared" si="611"/>
        <v/>
      </c>
      <c r="U1527" s="121">
        <f t="shared" si="612"/>
        <v>1</v>
      </c>
    </row>
    <row r="1528" spans="1:21" x14ac:dyDescent="0.3">
      <c r="A1528" s="187">
        <v>46</v>
      </c>
      <c r="B1528" s="242">
        <f t="shared" si="613"/>
        <v>47027</v>
      </c>
      <c r="C1528" s="243">
        <f t="shared" si="594"/>
        <v>47057</v>
      </c>
      <c r="D1528" s="120">
        <f t="shared" si="595"/>
        <v>31</v>
      </c>
      <c r="E1528" s="120">
        <f t="shared" si="596"/>
        <v>10</v>
      </c>
      <c r="F1528" s="275">
        <f t="shared" si="597"/>
        <v>47042.5</v>
      </c>
      <c r="G1528" s="120">
        <f t="shared" si="598"/>
        <v>24345</v>
      </c>
      <c r="H1528" s="245">
        <f t="shared" si="599"/>
        <v>1</v>
      </c>
      <c r="I1528" s="121">
        <f t="shared" si="600"/>
        <v>1</v>
      </c>
      <c r="J1528" s="121">
        <f t="shared" si="601"/>
        <v>1</v>
      </c>
      <c r="K1528" s="120">
        <f t="shared" si="602"/>
        <v>0</v>
      </c>
      <c r="L1528" s="120">
        <f t="shared" si="603"/>
        <v>0</v>
      </c>
      <c r="M1528" s="246">
        <f t="shared" si="604"/>
        <v>0</v>
      </c>
      <c r="N1528" s="121">
        <f t="shared" si="605"/>
        <v>1</v>
      </c>
      <c r="O1528" s="246">
        <f t="shared" si="606"/>
        <v>0.90500000000000003</v>
      </c>
      <c r="P1528" s="121">
        <f t="shared" si="607"/>
        <v>0</v>
      </c>
      <c r="Q1528" s="121">
        <f t="shared" si="608"/>
        <v>0</v>
      </c>
      <c r="R1528" s="121">
        <f t="shared" si="609"/>
        <v>0.41666666666666669</v>
      </c>
      <c r="S1528" s="121" t="str">
        <f t="shared" si="610"/>
        <v/>
      </c>
      <c r="T1528" s="121" t="str">
        <f t="shared" si="611"/>
        <v/>
      </c>
      <c r="U1528" s="121">
        <f t="shared" si="612"/>
        <v>1</v>
      </c>
    </row>
    <row r="1529" spans="1:21" x14ac:dyDescent="0.3">
      <c r="A1529" s="187">
        <v>47</v>
      </c>
      <c r="B1529" s="242">
        <f t="shared" si="613"/>
        <v>47058</v>
      </c>
      <c r="C1529" s="243">
        <f t="shared" si="594"/>
        <v>47087</v>
      </c>
      <c r="D1529" s="120">
        <f t="shared" si="595"/>
        <v>30</v>
      </c>
      <c r="E1529" s="120">
        <f t="shared" si="596"/>
        <v>11</v>
      </c>
      <c r="F1529" s="275">
        <f t="shared" si="597"/>
        <v>47073</v>
      </c>
      <c r="G1529" s="120">
        <f t="shared" si="598"/>
        <v>24346</v>
      </c>
      <c r="H1529" s="245">
        <f t="shared" si="599"/>
        <v>1</v>
      </c>
      <c r="I1529" s="121">
        <f t="shared" si="600"/>
        <v>1</v>
      </c>
      <c r="J1529" s="121">
        <f t="shared" si="601"/>
        <v>1</v>
      </c>
      <c r="K1529" s="120">
        <f t="shared" si="602"/>
        <v>0</v>
      </c>
      <c r="L1529" s="120">
        <f t="shared" si="603"/>
        <v>0</v>
      </c>
      <c r="M1529" s="246">
        <f t="shared" si="604"/>
        <v>0</v>
      </c>
      <c r="N1529" s="121">
        <f t="shared" si="605"/>
        <v>1</v>
      </c>
      <c r="O1529" s="246">
        <f t="shared" si="606"/>
        <v>0.90500000000000003</v>
      </c>
      <c r="P1529" s="121">
        <f t="shared" si="607"/>
        <v>0</v>
      </c>
      <c r="Q1529" s="121">
        <f t="shared" si="608"/>
        <v>0</v>
      </c>
      <c r="R1529" s="121">
        <f t="shared" si="609"/>
        <v>0.25</v>
      </c>
      <c r="S1529" s="121" t="str">
        <f t="shared" si="610"/>
        <v/>
      </c>
      <c r="T1529" s="121" t="str">
        <f t="shared" si="611"/>
        <v/>
      </c>
      <c r="U1529" s="121">
        <f t="shared" si="612"/>
        <v>1</v>
      </c>
    </row>
    <row r="1530" spans="1:21" x14ac:dyDescent="0.3">
      <c r="A1530" s="187">
        <v>48</v>
      </c>
      <c r="B1530" s="242">
        <f t="shared" si="613"/>
        <v>47088</v>
      </c>
      <c r="C1530" s="243">
        <f t="shared" si="594"/>
        <v>47118</v>
      </c>
      <c r="D1530" s="120">
        <f t="shared" si="595"/>
        <v>31</v>
      </c>
      <c r="E1530" s="120">
        <f t="shared" si="596"/>
        <v>12</v>
      </c>
      <c r="F1530" s="275">
        <f t="shared" si="597"/>
        <v>47103.5</v>
      </c>
      <c r="G1530" s="120">
        <f t="shared" si="598"/>
        <v>24347</v>
      </c>
      <c r="H1530" s="245">
        <f t="shared" si="599"/>
        <v>1</v>
      </c>
      <c r="I1530" s="121">
        <f t="shared" si="600"/>
        <v>1</v>
      </c>
      <c r="J1530" s="121">
        <f t="shared" si="601"/>
        <v>1</v>
      </c>
      <c r="K1530" s="120">
        <f t="shared" si="602"/>
        <v>0</v>
      </c>
      <c r="L1530" s="120">
        <f t="shared" si="603"/>
        <v>0</v>
      </c>
      <c r="M1530" s="246">
        <f t="shared" si="604"/>
        <v>0</v>
      </c>
      <c r="N1530" s="121">
        <f t="shared" si="605"/>
        <v>1</v>
      </c>
      <c r="O1530" s="246">
        <f t="shared" si="606"/>
        <v>0.90500000000000003</v>
      </c>
      <c r="P1530" s="121">
        <f t="shared" si="607"/>
        <v>0</v>
      </c>
      <c r="Q1530" s="121">
        <f t="shared" si="608"/>
        <v>0</v>
      </c>
      <c r="R1530" s="121">
        <f t="shared" si="609"/>
        <v>8.3333333333333329E-2</v>
      </c>
      <c r="S1530" s="121" t="str">
        <f t="shared" si="610"/>
        <v/>
      </c>
      <c r="T1530" s="121" t="str">
        <f t="shared" si="611"/>
        <v/>
      </c>
      <c r="U1530" s="121">
        <f t="shared" si="612"/>
        <v>1</v>
      </c>
    </row>
    <row r="1531" spans="1:21" x14ac:dyDescent="0.3">
      <c r="A1531" s="6" t="s">
        <v>1651</v>
      </c>
      <c r="B1531" s="73">
        <f>EXP(SUMPRODUCT((rl_key=$A$1480)*(rl_cons="Y")*rl_ln1p))</f>
        <v>1</v>
      </c>
      <c r="C1531" s="73">
        <f>SUMPRODUCT($H$1483:$H$1530,$P$1483:$P$1530,$U$1483:$U$1530)/SUMPRODUCT($H$1483:$H$1530,$P$1483:$P$1530)</f>
        <v>1</v>
      </c>
      <c r="D1531" s="73">
        <f>SUMPRODUCT($H$1483:$H$1530,$Q$1483:$Q$1530,$U$1483:$U$1530)/SUMPRODUCT($H$1483:$H$1530,$Q$1483:$Q$1530)</f>
        <v>1</v>
      </c>
      <c r="E1531" s="73">
        <f>SUMPRODUCT($H$1483:$H$1530,$R$1483:$R$1530,$U$1483:$U$1530)/SUMPRODUCT($H$1483:$H$1530,$R$1483:$R$1530)</f>
        <v>1</v>
      </c>
      <c r="F1531" s="224">
        <f>SUMPRODUCT($H$1483:$H$1530,$Q$1483:$Q$1530,$O$1483:$O$1530)/SUMPRODUCT($H$1483:$H$1530,$Q$1483:$Q$1530)</f>
        <v>0.9080037381473377</v>
      </c>
      <c r="G1531" s="224">
        <f>SUMPRODUCT($H$1483:$H$1530,$R$1483:$R$1530,$O$1483:$O$1530)/SUMPRODUCT($H$1483:$H$1530,$R$1483:$R$1530)</f>
        <v>0.90516988815949428</v>
      </c>
      <c r="H1531" s="73">
        <f>SUMPRODUCT($H$1507:$H$1518,$N$1507:$N$1518/$N$1495:$N$1506)/SUM($H$1507:$H$1518)</f>
        <v>1</v>
      </c>
      <c r="I1531" s="73">
        <f>SUMPRODUCT($H$1507:$H$1518,$O$1507:$O$1518/$O$1495:$O$1506)/SUM($H$1507:$H$1518)</f>
        <v>0.99561641381999111</v>
      </c>
      <c r="J1531" s="73">
        <f>IF($O$1480=1,SUMPRODUCT($H$1507:$H$1518,$N$1507:$N$1518/$N$1495:$N$1506*$O$1507:$O$1518/$O$1495:$O$1506)/SUM($H$1507:$H$1518),$H1531)</f>
        <v>0.99561641381999111</v>
      </c>
      <c r="K1531" s="73">
        <f>SUMPRODUCT($H$1483:$H$1530,$Q$1483:$Q$1530,$N$1483:$N$1530)/SUMPRODUCT($H$1483:$H$1530,$Q$1483:$Q$1530)</f>
        <v>1</v>
      </c>
      <c r="L1531" s="73">
        <f>SUMPRODUCT($H$1483:$H$1530,$R$1483:$R$1530,$N$1483:$N$1530)/SUMPRODUCT($H$1483:$H$1530,$R$1483:$R$1530)</f>
        <v>1</v>
      </c>
    </row>
    <row r="1534" spans="1:21" x14ac:dyDescent="0.3">
      <c r="A1534" s="6" t="str">
        <f>INDEX(lr_key,28)</f>
        <v>MM|IL</v>
      </c>
      <c r="B1534" s="6" t="str">
        <f>INDEX(lr_state,28)</f>
        <v>IL</v>
      </c>
      <c r="C1534" s="75">
        <f>nr_TermMonths</f>
        <v>6</v>
      </c>
      <c r="D1534" s="75">
        <f>IF(COUNTIF(se_state,$B1534)=0,0,MATCH($B1534,se_state,0))</f>
        <v>1</v>
      </c>
      <c r="E1534" s="70">
        <f>IF($D1534=0,0,INDEX(se_sum,$D1534))</f>
        <v>11.999999999999998</v>
      </c>
      <c r="F1534" s="224">
        <f>IF(N(INDEX(lr_mind,28))=0,1,INDEX(lr_mind,28))</f>
        <v>0.92</v>
      </c>
      <c r="G1534" s="224">
        <f>IF(N(INDEX(lr_m0,28))=0,1,INDEX(lr_m0,28))</f>
        <v>0.91</v>
      </c>
      <c r="H1534" s="74">
        <f>IF(N(INDEX(lr_m0asof,28))=0,DATE(nr_PlanYear-1,10,1),INDEX(lr_m0asof,28))</f>
        <v>46295</v>
      </c>
      <c r="I1534" s="224">
        <f>IF(N(INDEX(lr_m1,28))=0,1,INDEX(lr_m1,28))</f>
        <v>0.92</v>
      </c>
      <c r="J1534" s="224">
        <f>INDEX(lr_mprior,28)</f>
        <v>0</v>
      </c>
      <c r="K1534" s="224">
        <f>INDEX(lr_m2,28)</f>
        <v>0</v>
      </c>
      <c r="L1534" s="6" t="b">
        <f>NOT(ISBLANK(INDEX(lr_netp,28)))</f>
        <v>0</v>
      </c>
      <c r="M1534" s="72">
        <f>N(INDEX(lr_netp,28))</f>
        <v>0</v>
      </c>
      <c r="N1534" s="72">
        <f>IF(ISBLANK(INDEX(lr_netp1,28)),$M$1534,N(INDEX(lr_netp1,28)))</f>
        <v>0</v>
      </c>
      <c r="O1534" s="75">
        <f>IF(AND(nr_ModAdjMaster="ON",INDEX(lr_modadj,28)="ON"),1,0)</f>
        <v>1</v>
      </c>
    </row>
    <row r="1535" spans="1:21" x14ac:dyDescent="0.3">
      <c r="A1535" s="6">
        <f>EDATE($H$1534,-12)+1</f>
        <v>45931</v>
      </c>
      <c r="B1535" s="6">
        <f>$H$1534+1</f>
        <v>46296</v>
      </c>
      <c r="C1535" s="6">
        <f>DATE(nr_PlanYear,12,31)+1</f>
        <v>46753</v>
      </c>
      <c r="D1535" s="6">
        <f>DATE(nr_PlanYear+1,12,31)+1</f>
        <v>47119</v>
      </c>
      <c r="E1535" s="6">
        <f>IF(N($J$1534)=0,$F$1535-($G$1535-$F$1535)/($C$1535-$B$1535)*($B$1535-$A$1535),$J$1534)</f>
        <v>0.9020131291028447</v>
      </c>
      <c r="F1535" s="6">
        <f>$G$1534</f>
        <v>0.91</v>
      </c>
      <c r="G1535" s="6">
        <f>$I$1534</f>
        <v>0.92</v>
      </c>
      <c r="H1535" s="6">
        <f>IF(N($K$1534)=0,$I$1534,$K$1534)</f>
        <v>0.92</v>
      </c>
      <c r="I1535" s="6">
        <f>($F$1535-$E$1535)/($B$1535-$A$1535)</f>
        <v>2.1881838074398162E-5</v>
      </c>
      <c r="J1535" s="6">
        <f>($G$1535-$F$1535)/($C$1535-$B$1535)</f>
        <v>2.188183807439827E-5</v>
      </c>
      <c r="K1535" s="6">
        <f>($H$1535-$G$1535)/($D$1535-$C$1535)</f>
        <v>0</v>
      </c>
    </row>
    <row r="1536" spans="1:21" ht="36" x14ac:dyDescent="0.3">
      <c r="A1536" s="58" t="s">
        <v>390</v>
      </c>
      <c r="B1536" s="58" t="s">
        <v>449</v>
      </c>
      <c r="C1536" s="58" t="s">
        <v>685</v>
      </c>
      <c r="D1536" s="58" t="s">
        <v>686</v>
      </c>
      <c r="E1536" s="58" t="s">
        <v>687</v>
      </c>
      <c r="F1536" s="58" t="s">
        <v>688</v>
      </c>
      <c r="G1536" s="58" t="s">
        <v>689</v>
      </c>
      <c r="H1536" s="58" t="s">
        <v>452</v>
      </c>
      <c r="I1536" s="58" t="s">
        <v>690</v>
      </c>
      <c r="J1536" s="58" t="s">
        <v>691</v>
      </c>
      <c r="K1536" s="58" t="s">
        <v>692</v>
      </c>
      <c r="L1536" s="58" t="s">
        <v>693</v>
      </c>
      <c r="M1536" s="58" t="s">
        <v>694</v>
      </c>
      <c r="N1536" s="58" t="s">
        <v>695</v>
      </c>
      <c r="O1536" s="58" t="s">
        <v>696</v>
      </c>
      <c r="P1536" s="58" t="s">
        <v>697</v>
      </c>
      <c r="Q1536" s="58" t="s">
        <v>698</v>
      </c>
      <c r="R1536" s="58" t="s">
        <v>699</v>
      </c>
      <c r="S1536" s="58" t="s">
        <v>700</v>
      </c>
      <c r="T1536" s="58" t="s">
        <v>701</v>
      </c>
      <c r="U1536" s="58" t="s">
        <v>702</v>
      </c>
    </row>
    <row r="1537" spans="1:21" x14ac:dyDescent="0.3">
      <c r="A1537" s="187">
        <v>1</v>
      </c>
      <c r="B1537" s="242">
        <f>DATE(nr_PlanYear-2,1,1)</f>
        <v>45658</v>
      </c>
      <c r="C1537" s="243">
        <f t="shared" ref="C1537:C1584" si="614">EOMONTH($B1537,0)</f>
        <v>45688</v>
      </c>
      <c r="D1537" s="120">
        <f t="shared" ref="D1537:D1584" si="615">$C1537-$B1537+1</f>
        <v>31</v>
      </c>
      <c r="E1537" s="120">
        <f t="shared" ref="E1537:E1584" si="616">MONTH($B1537)</f>
        <v>1</v>
      </c>
      <c r="F1537" s="275">
        <f t="shared" ref="F1537:F1584" si="617">($B1537+$C1537+1)/2</f>
        <v>45673.5</v>
      </c>
      <c r="G1537" s="120">
        <f t="shared" ref="G1537:G1584" si="618">YEAR($B1537)*12+MONTH($B1537)-1</f>
        <v>24300</v>
      </c>
      <c r="H1537" s="245">
        <f t="shared" ref="H1537:H1584" si="619">IF(OR(nr_SeasonOn="OFF",$D$1534=0,$E$1534=0),1,12*INDEX(se_block,$D$1534,$E1537)/$E$1534)</f>
        <v>1</v>
      </c>
      <c r="I1537" s="121">
        <f t="shared" ref="I1537:I1584" si="620">EXP(SUMPRODUCT((rl_eff&lt;$B1537)*(rl_key=$A$1534)*rl_ln1p))</f>
        <v>1</v>
      </c>
      <c r="J1537" s="121">
        <f t="shared" ref="J1537:J1584" si="621">EXP(SUMPRODUCT((rl_eff&lt;=$C1537)*(rl_key=$A$1534)*rl_ln1p))</f>
        <v>1</v>
      </c>
      <c r="K1537" s="120">
        <f t="shared" ref="K1537:K1584" si="622">COUNTIFS(rl_key,$A$1534,rl_eff,"&gt;="&amp;$B1537,rl_eff,"&lt;="&amp;$C1537)</f>
        <v>0</v>
      </c>
      <c r="L1537" s="120">
        <f t="shared" ref="L1537:L1584" si="623">SUMIFS(rl_daysafter,rl_key,$A$1534,rl_effmonth,$B1537,rl_first,1)</f>
        <v>0</v>
      </c>
      <c r="M1537" s="246">
        <f t="shared" ref="M1537:M1584" si="624">IF($K1537=0,0,MIN(1,$L1537/$D1537))</f>
        <v>0</v>
      </c>
      <c r="N1537" s="121">
        <f t="shared" ref="N1537:N1584" si="625">IF($K1537=0,$J1537,(1-$M1537)*$I1537+$M1537*$J1537)</f>
        <v>1</v>
      </c>
      <c r="O1537" s="246">
        <f t="shared" ref="O1537:O1584" si="626">IF($F1537&lt;$B$1535,$E$1535+$I$1535*($F1537-$A$1535),IF($F1537&lt;$C$1535,$F$1535+$J$1535*($F1537-$B$1535),$G$1535+$K$1535*($F1537-$C$1535)))</f>
        <v>0.89637855579868719</v>
      </c>
      <c r="P1537" s="121">
        <f t="shared" ref="P1537:P1584" si="627">MIN(1,MAX(0,(nr_MEndPm1-$G1537+0.5)/$C$1534))-MIN(1,MAX(0,(nr_MStartPm1-1-$G1537+0.5)/$C$1534))</f>
        <v>0</v>
      </c>
      <c r="Q1537" s="121">
        <f t="shared" ref="Q1537:Q1584" si="628">MIN(1,MAX(0,(nr_MEndP-$G1537+0.5)/$C$1534))-MIN(1,MAX(0,(nr_MStartP-1-$G1537+0.5)/$C$1534))</f>
        <v>0</v>
      </c>
      <c r="R1537" s="121">
        <f t="shared" ref="R1537:R1584" si="629">MIN(1,MAX(0,(nr_MEndP1-$G1537+0.5)/$C$1534))-MIN(1,MAX(0,(nr_MStartP1-1-$G1537+0.5)/$C$1534))</f>
        <v>0</v>
      </c>
      <c r="S1537" s="121" t="str">
        <f t="shared" ref="S1537:S1584" si="630">IF($L$1534,$N1537*IF($O$1534=1,$O1537/$F$1534,1),"")</f>
        <v/>
      </c>
      <c r="T1537" s="121" t="str">
        <f t="shared" ref="T1537:T1584" si="631">IF(NOT($L$1534),"",IF($G1537&lt;nr_MStartP,$S1537,$T1525*(1+IF($G1537&lt;nr_MStartP1,$M$1534,$N$1534))))</f>
        <v/>
      </c>
      <c r="U1537" s="121">
        <f t="shared" ref="U1537:U1584" si="632">IF($L$1534,$T1537,$N1537)</f>
        <v>1</v>
      </c>
    </row>
    <row r="1538" spans="1:21" x14ac:dyDescent="0.3">
      <c r="A1538" s="187">
        <v>2</v>
      </c>
      <c r="B1538" s="242">
        <f t="shared" ref="B1538:B1584" si="633">EDATE($B1537,1)</f>
        <v>45689</v>
      </c>
      <c r="C1538" s="243">
        <f t="shared" si="614"/>
        <v>45716</v>
      </c>
      <c r="D1538" s="120">
        <f t="shared" si="615"/>
        <v>28</v>
      </c>
      <c r="E1538" s="120">
        <f t="shared" si="616"/>
        <v>2</v>
      </c>
      <c r="F1538" s="275">
        <f t="shared" si="617"/>
        <v>45703</v>
      </c>
      <c r="G1538" s="120">
        <f t="shared" si="618"/>
        <v>24301</v>
      </c>
      <c r="H1538" s="245">
        <f t="shared" si="619"/>
        <v>1</v>
      </c>
      <c r="I1538" s="121">
        <f t="shared" si="620"/>
        <v>1</v>
      </c>
      <c r="J1538" s="121">
        <f t="shared" si="621"/>
        <v>1</v>
      </c>
      <c r="K1538" s="120">
        <f t="shared" si="622"/>
        <v>0</v>
      </c>
      <c r="L1538" s="120">
        <f t="shared" si="623"/>
        <v>0</v>
      </c>
      <c r="M1538" s="246">
        <f t="shared" si="624"/>
        <v>0</v>
      </c>
      <c r="N1538" s="121">
        <f t="shared" si="625"/>
        <v>1</v>
      </c>
      <c r="O1538" s="246">
        <f t="shared" si="626"/>
        <v>0.89702407002188189</v>
      </c>
      <c r="P1538" s="121">
        <f t="shared" si="627"/>
        <v>0</v>
      </c>
      <c r="Q1538" s="121">
        <f t="shared" si="628"/>
        <v>0</v>
      </c>
      <c r="R1538" s="121">
        <f t="shared" si="629"/>
        <v>0</v>
      </c>
      <c r="S1538" s="121" t="str">
        <f t="shared" si="630"/>
        <v/>
      </c>
      <c r="T1538" s="121" t="str">
        <f t="shared" si="631"/>
        <v/>
      </c>
      <c r="U1538" s="121">
        <f t="shared" si="632"/>
        <v>1</v>
      </c>
    </row>
    <row r="1539" spans="1:21" x14ac:dyDescent="0.3">
      <c r="A1539" s="187">
        <v>3</v>
      </c>
      <c r="B1539" s="242">
        <f t="shared" si="633"/>
        <v>45717</v>
      </c>
      <c r="C1539" s="243">
        <f t="shared" si="614"/>
        <v>45747</v>
      </c>
      <c r="D1539" s="120">
        <f t="shared" si="615"/>
        <v>31</v>
      </c>
      <c r="E1539" s="120">
        <f t="shared" si="616"/>
        <v>3</v>
      </c>
      <c r="F1539" s="275">
        <f t="shared" si="617"/>
        <v>45732.5</v>
      </c>
      <c r="G1539" s="120">
        <f t="shared" si="618"/>
        <v>24302</v>
      </c>
      <c r="H1539" s="245">
        <f t="shared" si="619"/>
        <v>1</v>
      </c>
      <c r="I1539" s="121">
        <f t="shared" si="620"/>
        <v>1</v>
      </c>
      <c r="J1539" s="121">
        <f t="shared" si="621"/>
        <v>1</v>
      </c>
      <c r="K1539" s="120">
        <f t="shared" si="622"/>
        <v>0</v>
      </c>
      <c r="L1539" s="120">
        <f t="shared" si="623"/>
        <v>0</v>
      </c>
      <c r="M1539" s="246">
        <f t="shared" si="624"/>
        <v>0</v>
      </c>
      <c r="N1539" s="121">
        <f t="shared" si="625"/>
        <v>1</v>
      </c>
      <c r="O1539" s="246">
        <f t="shared" si="626"/>
        <v>0.8976695842450767</v>
      </c>
      <c r="P1539" s="121">
        <f t="shared" si="627"/>
        <v>0</v>
      </c>
      <c r="Q1539" s="121">
        <f t="shared" si="628"/>
        <v>0</v>
      </c>
      <c r="R1539" s="121">
        <f t="shared" si="629"/>
        <v>0</v>
      </c>
      <c r="S1539" s="121" t="str">
        <f t="shared" si="630"/>
        <v/>
      </c>
      <c r="T1539" s="121" t="str">
        <f t="shared" si="631"/>
        <v/>
      </c>
      <c r="U1539" s="121">
        <f t="shared" si="632"/>
        <v>1</v>
      </c>
    </row>
    <row r="1540" spans="1:21" x14ac:dyDescent="0.3">
      <c r="A1540" s="187">
        <v>4</v>
      </c>
      <c r="B1540" s="242">
        <f t="shared" si="633"/>
        <v>45748</v>
      </c>
      <c r="C1540" s="243">
        <f t="shared" si="614"/>
        <v>45777</v>
      </c>
      <c r="D1540" s="120">
        <f t="shared" si="615"/>
        <v>30</v>
      </c>
      <c r="E1540" s="120">
        <f t="shared" si="616"/>
        <v>4</v>
      </c>
      <c r="F1540" s="275">
        <f t="shared" si="617"/>
        <v>45763</v>
      </c>
      <c r="G1540" s="120">
        <f t="shared" si="618"/>
        <v>24303</v>
      </c>
      <c r="H1540" s="245">
        <f t="shared" si="619"/>
        <v>1</v>
      </c>
      <c r="I1540" s="121">
        <f t="shared" si="620"/>
        <v>1</v>
      </c>
      <c r="J1540" s="121">
        <f t="shared" si="621"/>
        <v>1</v>
      </c>
      <c r="K1540" s="120">
        <f t="shared" si="622"/>
        <v>0</v>
      </c>
      <c r="L1540" s="120">
        <f t="shared" si="623"/>
        <v>0</v>
      </c>
      <c r="M1540" s="246">
        <f t="shared" si="624"/>
        <v>0</v>
      </c>
      <c r="N1540" s="121">
        <f t="shared" si="625"/>
        <v>1</v>
      </c>
      <c r="O1540" s="246">
        <f t="shared" si="626"/>
        <v>0.89833698030634579</v>
      </c>
      <c r="P1540" s="121">
        <f t="shared" si="627"/>
        <v>0</v>
      </c>
      <c r="Q1540" s="121">
        <f t="shared" si="628"/>
        <v>0</v>
      </c>
      <c r="R1540" s="121">
        <f t="shared" si="629"/>
        <v>0</v>
      </c>
      <c r="S1540" s="121" t="str">
        <f t="shared" si="630"/>
        <v/>
      </c>
      <c r="T1540" s="121" t="str">
        <f t="shared" si="631"/>
        <v/>
      </c>
      <c r="U1540" s="121">
        <f t="shared" si="632"/>
        <v>1</v>
      </c>
    </row>
    <row r="1541" spans="1:21" x14ac:dyDescent="0.3">
      <c r="A1541" s="187">
        <v>5</v>
      </c>
      <c r="B1541" s="242">
        <f t="shared" si="633"/>
        <v>45778</v>
      </c>
      <c r="C1541" s="243">
        <f t="shared" si="614"/>
        <v>45808</v>
      </c>
      <c r="D1541" s="120">
        <f t="shared" si="615"/>
        <v>31</v>
      </c>
      <c r="E1541" s="120">
        <f t="shared" si="616"/>
        <v>5</v>
      </c>
      <c r="F1541" s="275">
        <f t="shared" si="617"/>
        <v>45793.5</v>
      </c>
      <c r="G1541" s="120">
        <f t="shared" si="618"/>
        <v>24304</v>
      </c>
      <c r="H1541" s="245">
        <f t="shared" si="619"/>
        <v>1</v>
      </c>
      <c r="I1541" s="121">
        <f t="shared" si="620"/>
        <v>1</v>
      </c>
      <c r="J1541" s="121">
        <f t="shared" si="621"/>
        <v>1</v>
      </c>
      <c r="K1541" s="120">
        <f t="shared" si="622"/>
        <v>0</v>
      </c>
      <c r="L1541" s="120">
        <f t="shared" si="623"/>
        <v>0</v>
      </c>
      <c r="M1541" s="246">
        <f t="shared" si="624"/>
        <v>0</v>
      </c>
      <c r="N1541" s="121">
        <f t="shared" si="625"/>
        <v>1</v>
      </c>
      <c r="O1541" s="246">
        <f t="shared" si="626"/>
        <v>0.89900437636761499</v>
      </c>
      <c r="P1541" s="121">
        <f t="shared" si="627"/>
        <v>0</v>
      </c>
      <c r="Q1541" s="121">
        <f t="shared" si="628"/>
        <v>0</v>
      </c>
      <c r="R1541" s="121">
        <f t="shared" si="629"/>
        <v>0</v>
      </c>
      <c r="S1541" s="121" t="str">
        <f t="shared" si="630"/>
        <v/>
      </c>
      <c r="T1541" s="121" t="str">
        <f t="shared" si="631"/>
        <v/>
      </c>
      <c r="U1541" s="121">
        <f t="shared" si="632"/>
        <v>1</v>
      </c>
    </row>
    <row r="1542" spans="1:21" x14ac:dyDescent="0.3">
      <c r="A1542" s="187">
        <v>6</v>
      </c>
      <c r="B1542" s="242">
        <f t="shared" si="633"/>
        <v>45809</v>
      </c>
      <c r="C1542" s="243">
        <f t="shared" si="614"/>
        <v>45838</v>
      </c>
      <c r="D1542" s="120">
        <f t="shared" si="615"/>
        <v>30</v>
      </c>
      <c r="E1542" s="120">
        <f t="shared" si="616"/>
        <v>6</v>
      </c>
      <c r="F1542" s="275">
        <f t="shared" si="617"/>
        <v>45824</v>
      </c>
      <c r="G1542" s="120">
        <f t="shared" si="618"/>
        <v>24305</v>
      </c>
      <c r="H1542" s="245">
        <f t="shared" si="619"/>
        <v>1</v>
      </c>
      <c r="I1542" s="121">
        <f t="shared" si="620"/>
        <v>1</v>
      </c>
      <c r="J1542" s="121">
        <f t="shared" si="621"/>
        <v>1</v>
      </c>
      <c r="K1542" s="120">
        <f t="shared" si="622"/>
        <v>0</v>
      </c>
      <c r="L1542" s="120">
        <f t="shared" si="623"/>
        <v>0</v>
      </c>
      <c r="M1542" s="246">
        <f t="shared" si="624"/>
        <v>0</v>
      </c>
      <c r="N1542" s="121">
        <f t="shared" si="625"/>
        <v>1</v>
      </c>
      <c r="O1542" s="246">
        <f t="shared" si="626"/>
        <v>0.89967177242888408</v>
      </c>
      <c r="P1542" s="121">
        <f t="shared" si="627"/>
        <v>0</v>
      </c>
      <c r="Q1542" s="121">
        <f t="shared" si="628"/>
        <v>0</v>
      </c>
      <c r="R1542" s="121">
        <f t="shared" si="629"/>
        <v>0</v>
      </c>
      <c r="S1542" s="121" t="str">
        <f t="shared" si="630"/>
        <v/>
      </c>
      <c r="T1542" s="121" t="str">
        <f t="shared" si="631"/>
        <v/>
      </c>
      <c r="U1542" s="121">
        <f t="shared" si="632"/>
        <v>1</v>
      </c>
    </row>
    <row r="1543" spans="1:21" x14ac:dyDescent="0.3">
      <c r="A1543" s="187">
        <v>7</v>
      </c>
      <c r="B1543" s="242">
        <f t="shared" si="633"/>
        <v>45839</v>
      </c>
      <c r="C1543" s="243">
        <f t="shared" si="614"/>
        <v>45869</v>
      </c>
      <c r="D1543" s="120">
        <f t="shared" si="615"/>
        <v>31</v>
      </c>
      <c r="E1543" s="120">
        <f t="shared" si="616"/>
        <v>7</v>
      </c>
      <c r="F1543" s="275">
        <f t="shared" si="617"/>
        <v>45854.5</v>
      </c>
      <c r="G1543" s="120">
        <f t="shared" si="618"/>
        <v>24306</v>
      </c>
      <c r="H1543" s="245">
        <f t="shared" si="619"/>
        <v>1</v>
      </c>
      <c r="I1543" s="121">
        <f t="shared" si="620"/>
        <v>1</v>
      </c>
      <c r="J1543" s="121">
        <f t="shared" si="621"/>
        <v>1</v>
      </c>
      <c r="K1543" s="120">
        <f t="shared" si="622"/>
        <v>0</v>
      </c>
      <c r="L1543" s="120">
        <f t="shared" si="623"/>
        <v>0</v>
      </c>
      <c r="M1543" s="246">
        <f t="shared" si="624"/>
        <v>0</v>
      </c>
      <c r="N1543" s="121">
        <f t="shared" si="625"/>
        <v>1</v>
      </c>
      <c r="O1543" s="246">
        <f t="shared" si="626"/>
        <v>0.90033916849015327</v>
      </c>
      <c r="P1543" s="121">
        <f t="shared" si="627"/>
        <v>8.333333333333337E-2</v>
      </c>
      <c r="Q1543" s="121">
        <f t="shared" si="628"/>
        <v>0</v>
      </c>
      <c r="R1543" s="121">
        <f t="shared" si="629"/>
        <v>0</v>
      </c>
      <c r="S1543" s="121" t="str">
        <f t="shared" si="630"/>
        <v/>
      </c>
      <c r="T1543" s="121" t="str">
        <f t="shared" si="631"/>
        <v/>
      </c>
      <c r="U1543" s="121">
        <f t="shared" si="632"/>
        <v>1</v>
      </c>
    </row>
    <row r="1544" spans="1:21" x14ac:dyDescent="0.3">
      <c r="A1544" s="187">
        <v>8</v>
      </c>
      <c r="B1544" s="242">
        <f t="shared" si="633"/>
        <v>45870</v>
      </c>
      <c r="C1544" s="243">
        <f t="shared" si="614"/>
        <v>45900</v>
      </c>
      <c r="D1544" s="120">
        <f t="shared" si="615"/>
        <v>31</v>
      </c>
      <c r="E1544" s="120">
        <f t="shared" si="616"/>
        <v>8</v>
      </c>
      <c r="F1544" s="275">
        <f t="shared" si="617"/>
        <v>45885.5</v>
      </c>
      <c r="G1544" s="120">
        <f t="shared" si="618"/>
        <v>24307</v>
      </c>
      <c r="H1544" s="245">
        <f t="shared" si="619"/>
        <v>1</v>
      </c>
      <c r="I1544" s="121">
        <f t="shared" si="620"/>
        <v>1</v>
      </c>
      <c r="J1544" s="121">
        <f t="shared" si="621"/>
        <v>1</v>
      </c>
      <c r="K1544" s="120">
        <f t="shared" si="622"/>
        <v>0</v>
      </c>
      <c r="L1544" s="120">
        <f t="shared" si="623"/>
        <v>0</v>
      </c>
      <c r="M1544" s="246">
        <f t="shared" si="624"/>
        <v>0</v>
      </c>
      <c r="N1544" s="121">
        <f t="shared" si="625"/>
        <v>1</v>
      </c>
      <c r="O1544" s="246">
        <f t="shared" si="626"/>
        <v>0.90101750547045956</v>
      </c>
      <c r="P1544" s="121">
        <f t="shared" si="627"/>
        <v>0.25</v>
      </c>
      <c r="Q1544" s="121">
        <f t="shared" si="628"/>
        <v>0</v>
      </c>
      <c r="R1544" s="121">
        <f t="shared" si="629"/>
        <v>0</v>
      </c>
      <c r="S1544" s="121" t="str">
        <f t="shared" si="630"/>
        <v/>
      </c>
      <c r="T1544" s="121" t="str">
        <f t="shared" si="631"/>
        <v/>
      </c>
      <c r="U1544" s="121">
        <f t="shared" si="632"/>
        <v>1</v>
      </c>
    </row>
    <row r="1545" spans="1:21" x14ac:dyDescent="0.3">
      <c r="A1545" s="187">
        <v>9</v>
      </c>
      <c r="B1545" s="242">
        <f t="shared" si="633"/>
        <v>45901</v>
      </c>
      <c r="C1545" s="243">
        <f t="shared" si="614"/>
        <v>45930</v>
      </c>
      <c r="D1545" s="120">
        <f t="shared" si="615"/>
        <v>30</v>
      </c>
      <c r="E1545" s="120">
        <f t="shared" si="616"/>
        <v>9</v>
      </c>
      <c r="F1545" s="275">
        <f t="shared" si="617"/>
        <v>45916</v>
      </c>
      <c r="G1545" s="120">
        <f t="shared" si="618"/>
        <v>24308</v>
      </c>
      <c r="H1545" s="245">
        <f t="shared" si="619"/>
        <v>1</v>
      </c>
      <c r="I1545" s="121">
        <f t="shared" si="620"/>
        <v>1</v>
      </c>
      <c r="J1545" s="121">
        <f t="shared" si="621"/>
        <v>1</v>
      </c>
      <c r="K1545" s="120">
        <f t="shared" si="622"/>
        <v>0</v>
      </c>
      <c r="L1545" s="120">
        <f t="shared" si="623"/>
        <v>0</v>
      </c>
      <c r="M1545" s="246">
        <f t="shared" si="624"/>
        <v>0</v>
      </c>
      <c r="N1545" s="121">
        <f t="shared" si="625"/>
        <v>1</v>
      </c>
      <c r="O1545" s="246">
        <f t="shared" si="626"/>
        <v>0.90168490153172876</v>
      </c>
      <c r="P1545" s="121">
        <f t="shared" si="627"/>
        <v>0.41666666666666663</v>
      </c>
      <c r="Q1545" s="121">
        <f t="shared" si="628"/>
        <v>0</v>
      </c>
      <c r="R1545" s="121">
        <f t="shared" si="629"/>
        <v>0</v>
      </c>
      <c r="S1545" s="121" t="str">
        <f t="shared" si="630"/>
        <v/>
      </c>
      <c r="T1545" s="121" t="str">
        <f t="shared" si="631"/>
        <v/>
      </c>
      <c r="U1545" s="121">
        <f t="shared" si="632"/>
        <v>1</v>
      </c>
    </row>
    <row r="1546" spans="1:21" x14ac:dyDescent="0.3">
      <c r="A1546" s="187">
        <v>10</v>
      </c>
      <c r="B1546" s="242">
        <f t="shared" si="633"/>
        <v>45931</v>
      </c>
      <c r="C1546" s="243">
        <f t="shared" si="614"/>
        <v>45961</v>
      </c>
      <c r="D1546" s="120">
        <f t="shared" si="615"/>
        <v>31</v>
      </c>
      <c r="E1546" s="120">
        <f t="shared" si="616"/>
        <v>10</v>
      </c>
      <c r="F1546" s="275">
        <f t="shared" si="617"/>
        <v>45946.5</v>
      </c>
      <c r="G1546" s="120">
        <f t="shared" si="618"/>
        <v>24309</v>
      </c>
      <c r="H1546" s="245">
        <f t="shared" si="619"/>
        <v>1</v>
      </c>
      <c r="I1546" s="121">
        <f t="shared" si="620"/>
        <v>1</v>
      </c>
      <c r="J1546" s="121">
        <f t="shared" si="621"/>
        <v>1</v>
      </c>
      <c r="K1546" s="120">
        <f t="shared" si="622"/>
        <v>0</v>
      </c>
      <c r="L1546" s="120">
        <f t="shared" si="623"/>
        <v>0</v>
      </c>
      <c r="M1546" s="246">
        <f t="shared" si="624"/>
        <v>0</v>
      </c>
      <c r="N1546" s="121">
        <f t="shared" si="625"/>
        <v>1</v>
      </c>
      <c r="O1546" s="246">
        <f t="shared" si="626"/>
        <v>0.90235229759299784</v>
      </c>
      <c r="P1546" s="121">
        <f t="shared" si="627"/>
        <v>0.58333333333333326</v>
      </c>
      <c r="Q1546" s="121">
        <f t="shared" si="628"/>
        <v>0</v>
      </c>
      <c r="R1546" s="121">
        <f t="shared" si="629"/>
        <v>0</v>
      </c>
      <c r="S1546" s="121" t="str">
        <f t="shared" si="630"/>
        <v/>
      </c>
      <c r="T1546" s="121" t="str">
        <f t="shared" si="631"/>
        <v/>
      </c>
      <c r="U1546" s="121">
        <f t="shared" si="632"/>
        <v>1</v>
      </c>
    </row>
    <row r="1547" spans="1:21" x14ac:dyDescent="0.3">
      <c r="A1547" s="187">
        <v>11</v>
      </c>
      <c r="B1547" s="242">
        <f t="shared" si="633"/>
        <v>45962</v>
      </c>
      <c r="C1547" s="243">
        <f t="shared" si="614"/>
        <v>45991</v>
      </c>
      <c r="D1547" s="120">
        <f t="shared" si="615"/>
        <v>30</v>
      </c>
      <c r="E1547" s="120">
        <f t="shared" si="616"/>
        <v>11</v>
      </c>
      <c r="F1547" s="275">
        <f t="shared" si="617"/>
        <v>45977</v>
      </c>
      <c r="G1547" s="120">
        <f t="shared" si="618"/>
        <v>24310</v>
      </c>
      <c r="H1547" s="245">
        <f t="shared" si="619"/>
        <v>1</v>
      </c>
      <c r="I1547" s="121">
        <f t="shared" si="620"/>
        <v>1</v>
      </c>
      <c r="J1547" s="121">
        <f t="shared" si="621"/>
        <v>1</v>
      </c>
      <c r="K1547" s="120">
        <f t="shared" si="622"/>
        <v>0</v>
      </c>
      <c r="L1547" s="120">
        <f t="shared" si="623"/>
        <v>0</v>
      </c>
      <c r="M1547" s="246">
        <f t="shared" si="624"/>
        <v>0</v>
      </c>
      <c r="N1547" s="121">
        <f t="shared" si="625"/>
        <v>1</v>
      </c>
      <c r="O1547" s="246">
        <f t="shared" si="626"/>
        <v>0.90301969365426704</v>
      </c>
      <c r="P1547" s="121">
        <f t="shared" si="627"/>
        <v>0.75</v>
      </c>
      <c r="Q1547" s="121">
        <f t="shared" si="628"/>
        <v>0</v>
      </c>
      <c r="R1547" s="121">
        <f t="shared" si="629"/>
        <v>0</v>
      </c>
      <c r="S1547" s="121" t="str">
        <f t="shared" si="630"/>
        <v/>
      </c>
      <c r="T1547" s="121" t="str">
        <f t="shared" si="631"/>
        <v/>
      </c>
      <c r="U1547" s="121">
        <f t="shared" si="632"/>
        <v>1</v>
      </c>
    </row>
    <row r="1548" spans="1:21" x14ac:dyDescent="0.3">
      <c r="A1548" s="187">
        <v>12</v>
      </c>
      <c r="B1548" s="242">
        <f t="shared" si="633"/>
        <v>45992</v>
      </c>
      <c r="C1548" s="243">
        <f t="shared" si="614"/>
        <v>46022</v>
      </c>
      <c r="D1548" s="120">
        <f t="shared" si="615"/>
        <v>31</v>
      </c>
      <c r="E1548" s="120">
        <f t="shared" si="616"/>
        <v>12</v>
      </c>
      <c r="F1548" s="275">
        <f t="shared" si="617"/>
        <v>46007.5</v>
      </c>
      <c r="G1548" s="120">
        <f t="shared" si="618"/>
        <v>24311</v>
      </c>
      <c r="H1548" s="245">
        <f t="shared" si="619"/>
        <v>1</v>
      </c>
      <c r="I1548" s="121">
        <f t="shared" si="620"/>
        <v>1</v>
      </c>
      <c r="J1548" s="121">
        <f t="shared" si="621"/>
        <v>1</v>
      </c>
      <c r="K1548" s="120">
        <f t="shared" si="622"/>
        <v>0</v>
      </c>
      <c r="L1548" s="120">
        <f t="shared" si="623"/>
        <v>0</v>
      </c>
      <c r="M1548" s="246">
        <f t="shared" si="624"/>
        <v>0</v>
      </c>
      <c r="N1548" s="121">
        <f t="shared" si="625"/>
        <v>1</v>
      </c>
      <c r="O1548" s="246">
        <f t="shared" si="626"/>
        <v>0.90368708971553613</v>
      </c>
      <c r="P1548" s="121">
        <f t="shared" si="627"/>
        <v>0.91666666666666663</v>
      </c>
      <c r="Q1548" s="121">
        <f t="shared" si="628"/>
        <v>0</v>
      </c>
      <c r="R1548" s="121">
        <f t="shared" si="629"/>
        <v>0</v>
      </c>
      <c r="S1548" s="121" t="str">
        <f t="shared" si="630"/>
        <v/>
      </c>
      <c r="T1548" s="121" t="str">
        <f t="shared" si="631"/>
        <v/>
      </c>
      <c r="U1548" s="121">
        <f t="shared" si="632"/>
        <v>1</v>
      </c>
    </row>
    <row r="1549" spans="1:21" x14ac:dyDescent="0.3">
      <c r="A1549" s="187">
        <v>13</v>
      </c>
      <c r="B1549" s="242">
        <f t="shared" si="633"/>
        <v>46023</v>
      </c>
      <c r="C1549" s="243">
        <f t="shared" si="614"/>
        <v>46053</v>
      </c>
      <c r="D1549" s="120">
        <f t="shared" si="615"/>
        <v>31</v>
      </c>
      <c r="E1549" s="120">
        <f t="shared" si="616"/>
        <v>1</v>
      </c>
      <c r="F1549" s="275">
        <f t="shared" si="617"/>
        <v>46038.5</v>
      </c>
      <c r="G1549" s="120">
        <f t="shared" si="618"/>
        <v>24312</v>
      </c>
      <c r="H1549" s="245">
        <f t="shared" si="619"/>
        <v>1</v>
      </c>
      <c r="I1549" s="121">
        <f t="shared" si="620"/>
        <v>1</v>
      </c>
      <c r="J1549" s="121">
        <f t="shared" si="621"/>
        <v>1</v>
      </c>
      <c r="K1549" s="120">
        <f t="shared" si="622"/>
        <v>0</v>
      </c>
      <c r="L1549" s="120">
        <f t="shared" si="623"/>
        <v>0</v>
      </c>
      <c r="M1549" s="246">
        <f t="shared" si="624"/>
        <v>0</v>
      </c>
      <c r="N1549" s="121">
        <f t="shared" si="625"/>
        <v>1</v>
      </c>
      <c r="O1549" s="246">
        <f t="shared" si="626"/>
        <v>0.90436542669584252</v>
      </c>
      <c r="P1549" s="121">
        <f t="shared" si="627"/>
        <v>1</v>
      </c>
      <c r="Q1549" s="121">
        <f t="shared" si="628"/>
        <v>0</v>
      </c>
      <c r="R1549" s="121">
        <f t="shared" si="629"/>
        <v>0</v>
      </c>
      <c r="S1549" s="121" t="str">
        <f t="shared" si="630"/>
        <v/>
      </c>
      <c r="T1549" s="121" t="str">
        <f t="shared" si="631"/>
        <v/>
      </c>
      <c r="U1549" s="121">
        <f t="shared" si="632"/>
        <v>1</v>
      </c>
    </row>
    <row r="1550" spans="1:21" x14ac:dyDescent="0.3">
      <c r="A1550" s="187">
        <v>14</v>
      </c>
      <c r="B1550" s="242">
        <f t="shared" si="633"/>
        <v>46054</v>
      </c>
      <c r="C1550" s="243">
        <f t="shared" si="614"/>
        <v>46081</v>
      </c>
      <c r="D1550" s="120">
        <f t="shared" si="615"/>
        <v>28</v>
      </c>
      <c r="E1550" s="120">
        <f t="shared" si="616"/>
        <v>2</v>
      </c>
      <c r="F1550" s="275">
        <f t="shared" si="617"/>
        <v>46068</v>
      </c>
      <c r="G1550" s="120">
        <f t="shared" si="618"/>
        <v>24313</v>
      </c>
      <c r="H1550" s="245">
        <f t="shared" si="619"/>
        <v>1</v>
      </c>
      <c r="I1550" s="121">
        <f t="shared" si="620"/>
        <v>1</v>
      </c>
      <c r="J1550" s="121">
        <f t="shared" si="621"/>
        <v>1</v>
      </c>
      <c r="K1550" s="120">
        <f t="shared" si="622"/>
        <v>0</v>
      </c>
      <c r="L1550" s="120">
        <f t="shared" si="623"/>
        <v>0</v>
      </c>
      <c r="M1550" s="246">
        <f t="shared" si="624"/>
        <v>0</v>
      </c>
      <c r="N1550" s="121">
        <f t="shared" si="625"/>
        <v>1</v>
      </c>
      <c r="O1550" s="246">
        <f t="shared" si="626"/>
        <v>0.90501094091903722</v>
      </c>
      <c r="P1550" s="121">
        <f t="shared" si="627"/>
        <v>1</v>
      </c>
      <c r="Q1550" s="121">
        <f t="shared" si="628"/>
        <v>0</v>
      </c>
      <c r="R1550" s="121">
        <f t="shared" si="629"/>
        <v>0</v>
      </c>
      <c r="S1550" s="121" t="str">
        <f t="shared" si="630"/>
        <v/>
      </c>
      <c r="T1550" s="121" t="str">
        <f t="shared" si="631"/>
        <v/>
      </c>
      <c r="U1550" s="121">
        <f t="shared" si="632"/>
        <v>1</v>
      </c>
    </row>
    <row r="1551" spans="1:21" x14ac:dyDescent="0.3">
      <c r="A1551" s="187">
        <v>15</v>
      </c>
      <c r="B1551" s="242">
        <f t="shared" si="633"/>
        <v>46082</v>
      </c>
      <c r="C1551" s="243">
        <f t="shared" si="614"/>
        <v>46112</v>
      </c>
      <c r="D1551" s="120">
        <f t="shared" si="615"/>
        <v>31</v>
      </c>
      <c r="E1551" s="120">
        <f t="shared" si="616"/>
        <v>3</v>
      </c>
      <c r="F1551" s="275">
        <f t="shared" si="617"/>
        <v>46097.5</v>
      </c>
      <c r="G1551" s="120">
        <f t="shared" si="618"/>
        <v>24314</v>
      </c>
      <c r="H1551" s="245">
        <f t="shared" si="619"/>
        <v>1</v>
      </c>
      <c r="I1551" s="121">
        <f t="shared" si="620"/>
        <v>1</v>
      </c>
      <c r="J1551" s="121">
        <f t="shared" si="621"/>
        <v>1</v>
      </c>
      <c r="K1551" s="120">
        <f t="shared" si="622"/>
        <v>0</v>
      </c>
      <c r="L1551" s="120">
        <f t="shared" si="623"/>
        <v>0</v>
      </c>
      <c r="M1551" s="246">
        <f t="shared" si="624"/>
        <v>0</v>
      </c>
      <c r="N1551" s="121">
        <f t="shared" si="625"/>
        <v>1</v>
      </c>
      <c r="O1551" s="246">
        <f t="shared" si="626"/>
        <v>0.90565645514223203</v>
      </c>
      <c r="P1551" s="121">
        <f t="shared" si="627"/>
        <v>1</v>
      </c>
      <c r="Q1551" s="121">
        <f t="shared" si="628"/>
        <v>0</v>
      </c>
      <c r="R1551" s="121">
        <f t="shared" si="629"/>
        <v>0</v>
      </c>
      <c r="S1551" s="121" t="str">
        <f t="shared" si="630"/>
        <v/>
      </c>
      <c r="T1551" s="121" t="str">
        <f t="shared" si="631"/>
        <v/>
      </c>
      <c r="U1551" s="121">
        <f t="shared" si="632"/>
        <v>1</v>
      </c>
    </row>
    <row r="1552" spans="1:21" x14ac:dyDescent="0.3">
      <c r="A1552" s="187">
        <v>16</v>
      </c>
      <c r="B1552" s="242">
        <f t="shared" si="633"/>
        <v>46113</v>
      </c>
      <c r="C1552" s="243">
        <f t="shared" si="614"/>
        <v>46142</v>
      </c>
      <c r="D1552" s="120">
        <f t="shared" si="615"/>
        <v>30</v>
      </c>
      <c r="E1552" s="120">
        <f t="shared" si="616"/>
        <v>4</v>
      </c>
      <c r="F1552" s="275">
        <f t="shared" si="617"/>
        <v>46128</v>
      </c>
      <c r="G1552" s="120">
        <f t="shared" si="618"/>
        <v>24315</v>
      </c>
      <c r="H1552" s="245">
        <f t="shared" si="619"/>
        <v>1</v>
      </c>
      <c r="I1552" s="121">
        <f t="shared" si="620"/>
        <v>1</v>
      </c>
      <c r="J1552" s="121">
        <f t="shared" si="621"/>
        <v>1.04</v>
      </c>
      <c r="K1552" s="120">
        <f t="shared" si="622"/>
        <v>1</v>
      </c>
      <c r="L1552" s="120">
        <f t="shared" si="623"/>
        <v>30</v>
      </c>
      <c r="M1552" s="246">
        <f t="shared" si="624"/>
        <v>1</v>
      </c>
      <c r="N1552" s="121">
        <f t="shared" si="625"/>
        <v>1.04</v>
      </c>
      <c r="O1552" s="246">
        <f t="shared" si="626"/>
        <v>0.90632385120350112</v>
      </c>
      <c r="P1552" s="121">
        <f t="shared" si="627"/>
        <v>1</v>
      </c>
      <c r="Q1552" s="121">
        <f t="shared" si="628"/>
        <v>0</v>
      </c>
      <c r="R1552" s="121">
        <f t="shared" si="629"/>
        <v>0</v>
      </c>
      <c r="S1552" s="121" t="str">
        <f t="shared" si="630"/>
        <v/>
      </c>
      <c r="T1552" s="121" t="str">
        <f t="shared" si="631"/>
        <v/>
      </c>
      <c r="U1552" s="121">
        <f t="shared" si="632"/>
        <v>1.04</v>
      </c>
    </row>
    <row r="1553" spans="1:21" x14ac:dyDescent="0.3">
      <c r="A1553" s="187">
        <v>17</v>
      </c>
      <c r="B1553" s="242">
        <f t="shared" si="633"/>
        <v>46143</v>
      </c>
      <c r="C1553" s="243">
        <f t="shared" si="614"/>
        <v>46173</v>
      </c>
      <c r="D1553" s="120">
        <f t="shared" si="615"/>
        <v>31</v>
      </c>
      <c r="E1553" s="120">
        <f t="shared" si="616"/>
        <v>5</v>
      </c>
      <c r="F1553" s="275">
        <f t="shared" si="617"/>
        <v>46158.5</v>
      </c>
      <c r="G1553" s="120">
        <f t="shared" si="618"/>
        <v>24316</v>
      </c>
      <c r="H1553" s="245">
        <f t="shared" si="619"/>
        <v>1</v>
      </c>
      <c r="I1553" s="121">
        <f t="shared" si="620"/>
        <v>1.04</v>
      </c>
      <c r="J1553" s="121">
        <f t="shared" si="621"/>
        <v>1.04</v>
      </c>
      <c r="K1553" s="120">
        <f t="shared" si="622"/>
        <v>0</v>
      </c>
      <c r="L1553" s="120">
        <f t="shared" si="623"/>
        <v>0</v>
      </c>
      <c r="M1553" s="246">
        <f t="shared" si="624"/>
        <v>0</v>
      </c>
      <c r="N1553" s="121">
        <f t="shared" si="625"/>
        <v>1.04</v>
      </c>
      <c r="O1553" s="246">
        <f t="shared" si="626"/>
        <v>0.90699124726477032</v>
      </c>
      <c r="P1553" s="121">
        <f t="shared" si="627"/>
        <v>1</v>
      </c>
      <c r="Q1553" s="121">
        <f t="shared" si="628"/>
        <v>0</v>
      </c>
      <c r="R1553" s="121">
        <f t="shared" si="629"/>
        <v>0</v>
      </c>
      <c r="S1553" s="121" t="str">
        <f t="shared" si="630"/>
        <v/>
      </c>
      <c r="T1553" s="121" t="str">
        <f t="shared" si="631"/>
        <v/>
      </c>
      <c r="U1553" s="121">
        <f t="shared" si="632"/>
        <v>1.04</v>
      </c>
    </row>
    <row r="1554" spans="1:21" x14ac:dyDescent="0.3">
      <c r="A1554" s="187">
        <v>18</v>
      </c>
      <c r="B1554" s="242">
        <f t="shared" si="633"/>
        <v>46174</v>
      </c>
      <c r="C1554" s="243">
        <f t="shared" si="614"/>
        <v>46203</v>
      </c>
      <c r="D1554" s="120">
        <f t="shared" si="615"/>
        <v>30</v>
      </c>
      <c r="E1554" s="120">
        <f t="shared" si="616"/>
        <v>6</v>
      </c>
      <c r="F1554" s="275">
        <f t="shared" si="617"/>
        <v>46189</v>
      </c>
      <c r="G1554" s="120">
        <f t="shared" si="618"/>
        <v>24317</v>
      </c>
      <c r="H1554" s="245">
        <f t="shared" si="619"/>
        <v>1</v>
      </c>
      <c r="I1554" s="121">
        <f t="shared" si="620"/>
        <v>1.04</v>
      </c>
      <c r="J1554" s="121">
        <f t="shared" si="621"/>
        <v>1.04</v>
      </c>
      <c r="K1554" s="120">
        <f t="shared" si="622"/>
        <v>0</v>
      </c>
      <c r="L1554" s="120">
        <f t="shared" si="623"/>
        <v>0</v>
      </c>
      <c r="M1554" s="246">
        <f t="shared" si="624"/>
        <v>0</v>
      </c>
      <c r="N1554" s="121">
        <f t="shared" si="625"/>
        <v>1.04</v>
      </c>
      <c r="O1554" s="246">
        <f t="shared" si="626"/>
        <v>0.9076586433260394</v>
      </c>
      <c r="P1554" s="121">
        <f t="shared" si="627"/>
        <v>1</v>
      </c>
      <c r="Q1554" s="121">
        <f t="shared" si="628"/>
        <v>0</v>
      </c>
      <c r="R1554" s="121">
        <f t="shared" si="629"/>
        <v>0</v>
      </c>
      <c r="S1554" s="121" t="str">
        <f t="shared" si="630"/>
        <v/>
      </c>
      <c r="T1554" s="121" t="str">
        <f t="shared" si="631"/>
        <v/>
      </c>
      <c r="U1554" s="121">
        <f t="shared" si="632"/>
        <v>1.04</v>
      </c>
    </row>
    <row r="1555" spans="1:21" x14ac:dyDescent="0.3">
      <c r="A1555" s="187">
        <v>19</v>
      </c>
      <c r="B1555" s="242">
        <f t="shared" si="633"/>
        <v>46204</v>
      </c>
      <c r="C1555" s="243">
        <f t="shared" si="614"/>
        <v>46234</v>
      </c>
      <c r="D1555" s="120">
        <f t="shared" si="615"/>
        <v>31</v>
      </c>
      <c r="E1555" s="120">
        <f t="shared" si="616"/>
        <v>7</v>
      </c>
      <c r="F1555" s="275">
        <f t="shared" si="617"/>
        <v>46219.5</v>
      </c>
      <c r="G1555" s="120">
        <f t="shared" si="618"/>
        <v>24318</v>
      </c>
      <c r="H1555" s="245">
        <f t="shared" si="619"/>
        <v>1</v>
      </c>
      <c r="I1555" s="121">
        <f t="shared" si="620"/>
        <v>1.04</v>
      </c>
      <c r="J1555" s="121">
        <f t="shared" si="621"/>
        <v>1.04</v>
      </c>
      <c r="K1555" s="120">
        <f t="shared" si="622"/>
        <v>0</v>
      </c>
      <c r="L1555" s="120">
        <f t="shared" si="623"/>
        <v>0</v>
      </c>
      <c r="M1555" s="246">
        <f t="shared" si="624"/>
        <v>0</v>
      </c>
      <c r="N1555" s="121">
        <f t="shared" si="625"/>
        <v>1.04</v>
      </c>
      <c r="O1555" s="246">
        <f t="shared" si="626"/>
        <v>0.9083260393873086</v>
      </c>
      <c r="P1555" s="121">
        <f t="shared" si="627"/>
        <v>0.91666666666666663</v>
      </c>
      <c r="Q1555" s="121">
        <f t="shared" si="628"/>
        <v>8.333333333333337E-2</v>
      </c>
      <c r="R1555" s="121">
        <f t="shared" si="629"/>
        <v>0</v>
      </c>
      <c r="S1555" s="121" t="str">
        <f t="shared" si="630"/>
        <v/>
      </c>
      <c r="T1555" s="121" t="str">
        <f t="shared" si="631"/>
        <v/>
      </c>
      <c r="U1555" s="121">
        <f t="shared" si="632"/>
        <v>1.04</v>
      </c>
    </row>
    <row r="1556" spans="1:21" x14ac:dyDescent="0.3">
      <c r="A1556" s="187">
        <v>20</v>
      </c>
      <c r="B1556" s="242">
        <f t="shared" si="633"/>
        <v>46235</v>
      </c>
      <c r="C1556" s="243">
        <f t="shared" si="614"/>
        <v>46265</v>
      </c>
      <c r="D1556" s="120">
        <f t="shared" si="615"/>
        <v>31</v>
      </c>
      <c r="E1556" s="120">
        <f t="shared" si="616"/>
        <v>8</v>
      </c>
      <c r="F1556" s="275">
        <f t="shared" si="617"/>
        <v>46250.5</v>
      </c>
      <c r="G1556" s="120">
        <f t="shared" si="618"/>
        <v>24319</v>
      </c>
      <c r="H1556" s="245">
        <f t="shared" si="619"/>
        <v>1</v>
      </c>
      <c r="I1556" s="121">
        <f t="shared" si="620"/>
        <v>1.04</v>
      </c>
      <c r="J1556" s="121">
        <f t="shared" si="621"/>
        <v>1.04</v>
      </c>
      <c r="K1556" s="120">
        <f t="shared" si="622"/>
        <v>0</v>
      </c>
      <c r="L1556" s="120">
        <f t="shared" si="623"/>
        <v>0</v>
      </c>
      <c r="M1556" s="246">
        <f t="shared" si="624"/>
        <v>0</v>
      </c>
      <c r="N1556" s="121">
        <f t="shared" si="625"/>
        <v>1.04</v>
      </c>
      <c r="O1556" s="246">
        <f t="shared" si="626"/>
        <v>0.90900437636761489</v>
      </c>
      <c r="P1556" s="121">
        <f t="shared" si="627"/>
        <v>0.75</v>
      </c>
      <c r="Q1556" s="121">
        <f t="shared" si="628"/>
        <v>0.25</v>
      </c>
      <c r="R1556" s="121">
        <f t="shared" si="629"/>
        <v>0</v>
      </c>
      <c r="S1556" s="121" t="str">
        <f t="shared" si="630"/>
        <v/>
      </c>
      <c r="T1556" s="121" t="str">
        <f t="shared" si="631"/>
        <v/>
      </c>
      <c r="U1556" s="121">
        <f t="shared" si="632"/>
        <v>1.04</v>
      </c>
    </row>
    <row r="1557" spans="1:21" x14ac:dyDescent="0.3">
      <c r="A1557" s="187">
        <v>21</v>
      </c>
      <c r="B1557" s="242">
        <f t="shared" si="633"/>
        <v>46266</v>
      </c>
      <c r="C1557" s="243">
        <f t="shared" si="614"/>
        <v>46295</v>
      </c>
      <c r="D1557" s="120">
        <f t="shared" si="615"/>
        <v>30</v>
      </c>
      <c r="E1557" s="120">
        <f t="shared" si="616"/>
        <v>9</v>
      </c>
      <c r="F1557" s="275">
        <f t="shared" si="617"/>
        <v>46281</v>
      </c>
      <c r="G1557" s="120">
        <f t="shared" si="618"/>
        <v>24320</v>
      </c>
      <c r="H1557" s="245">
        <f t="shared" si="619"/>
        <v>1</v>
      </c>
      <c r="I1557" s="121">
        <f t="shared" si="620"/>
        <v>1.04</v>
      </c>
      <c r="J1557" s="121">
        <f t="shared" si="621"/>
        <v>1.04</v>
      </c>
      <c r="K1557" s="120">
        <f t="shared" si="622"/>
        <v>0</v>
      </c>
      <c r="L1557" s="120">
        <f t="shared" si="623"/>
        <v>0</v>
      </c>
      <c r="M1557" s="246">
        <f t="shared" si="624"/>
        <v>0</v>
      </c>
      <c r="N1557" s="121">
        <f t="shared" si="625"/>
        <v>1.04</v>
      </c>
      <c r="O1557" s="246">
        <f t="shared" si="626"/>
        <v>0.90967177242888408</v>
      </c>
      <c r="P1557" s="121">
        <f t="shared" si="627"/>
        <v>0.58333333333333337</v>
      </c>
      <c r="Q1557" s="121">
        <f t="shared" si="628"/>
        <v>0.41666666666666663</v>
      </c>
      <c r="R1557" s="121">
        <f t="shared" si="629"/>
        <v>0</v>
      </c>
      <c r="S1557" s="121" t="str">
        <f t="shared" si="630"/>
        <v/>
      </c>
      <c r="T1557" s="121" t="str">
        <f t="shared" si="631"/>
        <v/>
      </c>
      <c r="U1557" s="121">
        <f t="shared" si="632"/>
        <v>1.04</v>
      </c>
    </row>
    <row r="1558" spans="1:21" x14ac:dyDescent="0.3">
      <c r="A1558" s="187">
        <v>22</v>
      </c>
      <c r="B1558" s="242">
        <f t="shared" si="633"/>
        <v>46296</v>
      </c>
      <c r="C1558" s="243">
        <f t="shared" si="614"/>
        <v>46326</v>
      </c>
      <c r="D1558" s="120">
        <f t="shared" si="615"/>
        <v>31</v>
      </c>
      <c r="E1558" s="120">
        <f t="shared" si="616"/>
        <v>10</v>
      </c>
      <c r="F1558" s="275">
        <f t="shared" si="617"/>
        <v>46311.5</v>
      </c>
      <c r="G1558" s="120">
        <f t="shared" si="618"/>
        <v>24321</v>
      </c>
      <c r="H1558" s="245">
        <f t="shared" si="619"/>
        <v>1</v>
      </c>
      <c r="I1558" s="121">
        <f t="shared" si="620"/>
        <v>1.04</v>
      </c>
      <c r="J1558" s="121">
        <f t="shared" si="621"/>
        <v>1.04</v>
      </c>
      <c r="K1558" s="120">
        <f t="shared" si="622"/>
        <v>0</v>
      </c>
      <c r="L1558" s="120">
        <f t="shared" si="623"/>
        <v>0</v>
      </c>
      <c r="M1558" s="246">
        <f t="shared" si="624"/>
        <v>0</v>
      </c>
      <c r="N1558" s="121">
        <f t="shared" si="625"/>
        <v>1.04</v>
      </c>
      <c r="O1558" s="246">
        <f t="shared" si="626"/>
        <v>0.91033916849015317</v>
      </c>
      <c r="P1558" s="121">
        <f t="shared" si="627"/>
        <v>0.41666666666666669</v>
      </c>
      <c r="Q1558" s="121">
        <f t="shared" si="628"/>
        <v>0.58333333333333326</v>
      </c>
      <c r="R1558" s="121">
        <f t="shared" si="629"/>
        <v>0</v>
      </c>
      <c r="S1558" s="121" t="str">
        <f t="shared" si="630"/>
        <v/>
      </c>
      <c r="T1558" s="121" t="str">
        <f t="shared" si="631"/>
        <v/>
      </c>
      <c r="U1558" s="121">
        <f t="shared" si="632"/>
        <v>1.04</v>
      </c>
    </row>
    <row r="1559" spans="1:21" x14ac:dyDescent="0.3">
      <c r="A1559" s="187">
        <v>23</v>
      </c>
      <c r="B1559" s="242">
        <f t="shared" si="633"/>
        <v>46327</v>
      </c>
      <c r="C1559" s="243">
        <f t="shared" si="614"/>
        <v>46356</v>
      </c>
      <c r="D1559" s="120">
        <f t="shared" si="615"/>
        <v>30</v>
      </c>
      <c r="E1559" s="120">
        <f t="shared" si="616"/>
        <v>11</v>
      </c>
      <c r="F1559" s="275">
        <f t="shared" si="617"/>
        <v>46342</v>
      </c>
      <c r="G1559" s="120">
        <f t="shared" si="618"/>
        <v>24322</v>
      </c>
      <c r="H1559" s="245">
        <f t="shared" si="619"/>
        <v>1</v>
      </c>
      <c r="I1559" s="121">
        <f t="shared" si="620"/>
        <v>1.04</v>
      </c>
      <c r="J1559" s="121">
        <f t="shared" si="621"/>
        <v>1.04</v>
      </c>
      <c r="K1559" s="120">
        <f t="shared" si="622"/>
        <v>0</v>
      </c>
      <c r="L1559" s="120">
        <f t="shared" si="623"/>
        <v>0</v>
      </c>
      <c r="M1559" s="246">
        <f t="shared" si="624"/>
        <v>0</v>
      </c>
      <c r="N1559" s="121">
        <f t="shared" si="625"/>
        <v>1.04</v>
      </c>
      <c r="O1559" s="246">
        <f t="shared" si="626"/>
        <v>0.91100656455142237</v>
      </c>
      <c r="P1559" s="121">
        <f t="shared" si="627"/>
        <v>0.25</v>
      </c>
      <c r="Q1559" s="121">
        <f t="shared" si="628"/>
        <v>0.75</v>
      </c>
      <c r="R1559" s="121">
        <f t="shared" si="629"/>
        <v>0</v>
      </c>
      <c r="S1559" s="121" t="str">
        <f t="shared" si="630"/>
        <v/>
      </c>
      <c r="T1559" s="121" t="str">
        <f t="shared" si="631"/>
        <v/>
      </c>
      <c r="U1559" s="121">
        <f t="shared" si="632"/>
        <v>1.04</v>
      </c>
    </row>
    <row r="1560" spans="1:21" x14ac:dyDescent="0.3">
      <c r="A1560" s="187">
        <v>24</v>
      </c>
      <c r="B1560" s="242">
        <f t="shared" si="633"/>
        <v>46357</v>
      </c>
      <c r="C1560" s="243">
        <f t="shared" si="614"/>
        <v>46387</v>
      </c>
      <c r="D1560" s="120">
        <f t="shared" si="615"/>
        <v>31</v>
      </c>
      <c r="E1560" s="120">
        <f t="shared" si="616"/>
        <v>12</v>
      </c>
      <c r="F1560" s="275">
        <f t="shared" si="617"/>
        <v>46372.5</v>
      </c>
      <c r="G1560" s="120">
        <f t="shared" si="618"/>
        <v>24323</v>
      </c>
      <c r="H1560" s="245">
        <f t="shared" si="619"/>
        <v>1</v>
      </c>
      <c r="I1560" s="121">
        <f t="shared" si="620"/>
        <v>1.04</v>
      </c>
      <c r="J1560" s="121">
        <f t="shared" si="621"/>
        <v>1.04</v>
      </c>
      <c r="K1560" s="120">
        <f t="shared" si="622"/>
        <v>0</v>
      </c>
      <c r="L1560" s="120">
        <f t="shared" si="623"/>
        <v>0</v>
      </c>
      <c r="M1560" s="246">
        <f t="shared" si="624"/>
        <v>0</v>
      </c>
      <c r="N1560" s="121">
        <f t="shared" si="625"/>
        <v>1.04</v>
      </c>
      <c r="O1560" s="246">
        <f t="shared" si="626"/>
        <v>0.91167396061269146</v>
      </c>
      <c r="P1560" s="121">
        <f t="shared" si="627"/>
        <v>8.3333333333333329E-2</v>
      </c>
      <c r="Q1560" s="121">
        <f t="shared" si="628"/>
        <v>0.91666666666666663</v>
      </c>
      <c r="R1560" s="121">
        <f t="shared" si="629"/>
        <v>0</v>
      </c>
      <c r="S1560" s="121" t="str">
        <f t="shared" si="630"/>
        <v/>
      </c>
      <c r="T1560" s="121" t="str">
        <f t="shared" si="631"/>
        <v/>
      </c>
      <c r="U1560" s="121">
        <f t="shared" si="632"/>
        <v>1.04</v>
      </c>
    </row>
    <row r="1561" spans="1:21" x14ac:dyDescent="0.3">
      <c r="A1561" s="187">
        <v>25</v>
      </c>
      <c r="B1561" s="242">
        <f t="shared" si="633"/>
        <v>46388</v>
      </c>
      <c r="C1561" s="243">
        <f t="shared" si="614"/>
        <v>46418</v>
      </c>
      <c r="D1561" s="120">
        <f t="shared" si="615"/>
        <v>31</v>
      </c>
      <c r="E1561" s="120">
        <f t="shared" si="616"/>
        <v>1</v>
      </c>
      <c r="F1561" s="275">
        <f t="shared" si="617"/>
        <v>46403.5</v>
      </c>
      <c r="G1561" s="120">
        <f t="shared" si="618"/>
        <v>24324</v>
      </c>
      <c r="H1561" s="245">
        <f t="shared" si="619"/>
        <v>1</v>
      </c>
      <c r="I1561" s="121">
        <f t="shared" si="620"/>
        <v>1.04</v>
      </c>
      <c r="J1561" s="121">
        <f t="shared" si="621"/>
        <v>1.04</v>
      </c>
      <c r="K1561" s="120">
        <f t="shared" si="622"/>
        <v>0</v>
      </c>
      <c r="L1561" s="120">
        <f t="shared" si="623"/>
        <v>0</v>
      </c>
      <c r="M1561" s="246">
        <f t="shared" si="624"/>
        <v>0</v>
      </c>
      <c r="N1561" s="121">
        <f t="shared" si="625"/>
        <v>1.04</v>
      </c>
      <c r="O1561" s="246">
        <f t="shared" si="626"/>
        <v>0.91235229759299785</v>
      </c>
      <c r="P1561" s="121">
        <f t="shared" si="627"/>
        <v>0</v>
      </c>
      <c r="Q1561" s="121">
        <f t="shared" si="628"/>
        <v>1</v>
      </c>
      <c r="R1561" s="121">
        <f t="shared" si="629"/>
        <v>0</v>
      </c>
      <c r="S1561" s="121" t="str">
        <f t="shared" si="630"/>
        <v/>
      </c>
      <c r="T1561" s="121" t="str">
        <f t="shared" si="631"/>
        <v/>
      </c>
      <c r="U1561" s="121">
        <f t="shared" si="632"/>
        <v>1.04</v>
      </c>
    </row>
    <row r="1562" spans="1:21" x14ac:dyDescent="0.3">
      <c r="A1562" s="187">
        <v>26</v>
      </c>
      <c r="B1562" s="242">
        <f t="shared" si="633"/>
        <v>46419</v>
      </c>
      <c r="C1562" s="243">
        <f t="shared" si="614"/>
        <v>46446</v>
      </c>
      <c r="D1562" s="120">
        <f t="shared" si="615"/>
        <v>28</v>
      </c>
      <c r="E1562" s="120">
        <f t="shared" si="616"/>
        <v>2</v>
      </c>
      <c r="F1562" s="275">
        <f t="shared" si="617"/>
        <v>46433</v>
      </c>
      <c r="G1562" s="120">
        <f t="shared" si="618"/>
        <v>24325</v>
      </c>
      <c r="H1562" s="245">
        <f t="shared" si="619"/>
        <v>1</v>
      </c>
      <c r="I1562" s="121">
        <f t="shared" si="620"/>
        <v>1.04</v>
      </c>
      <c r="J1562" s="121">
        <f t="shared" si="621"/>
        <v>1.04</v>
      </c>
      <c r="K1562" s="120">
        <f t="shared" si="622"/>
        <v>0</v>
      </c>
      <c r="L1562" s="120">
        <f t="shared" si="623"/>
        <v>0</v>
      </c>
      <c r="M1562" s="246">
        <f t="shared" si="624"/>
        <v>0</v>
      </c>
      <c r="N1562" s="121">
        <f t="shared" si="625"/>
        <v>1.04</v>
      </c>
      <c r="O1562" s="246">
        <f t="shared" si="626"/>
        <v>0.91299781181619255</v>
      </c>
      <c r="P1562" s="121">
        <f t="shared" si="627"/>
        <v>0</v>
      </c>
      <c r="Q1562" s="121">
        <f t="shared" si="628"/>
        <v>1</v>
      </c>
      <c r="R1562" s="121">
        <f t="shared" si="629"/>
        <v>0</v>
      </c>
      <c r="S1562" s="121" t="str">
        <f t="shared" si="630"/>
        <v/>
      </c>
      <c r="T1562" s="121" t="str">
        <f t="shared" si="631"/>
        <v/>
      </c>
      <c r="U1562" s="121">
        <f t="shared" si="632"/>
        <v>1.04</v>
      </c>
    </row>
    <row r="1563" spans="1:21" x14ac:dyDescent="0.3">
      <c r="A1563" s="187">
        <v>27</v>
      </c>
      <c r="B1563" s="242">
        <f t="shared" si="633"/>
        <v>46447</v>
      </c>
      <c r="C1563" s="243">
        <f t="shared" si="614"/>
        <v>46477</v>
      </c>
      <c r="D1563" s="120">
        <f t="shared" si="615"/>
        <v>31</v>
      </c>
      <c r="E1563" s="120">
        <f t="shared" si="616"/>
        <v>3</v>
      </c>
      <c r="F1563" s="275">
        <f t="shared" si="617"/>
        <v>46462.5</v>
      </c>
      <c r="G1563" s="120">
        <f t="shared" si="618"/>
        <v>24326</v>
      </c>
      <c r="H1563" s="245">
        <f t="shared" si="619"/>
        <v>1</v>
      </c>
      <c r="I1563" s="121">
        <f t="shared" si="620"/>
        <v>1.04</v>
      </c>
      <c r="J1563" s="121">
        <f t="shared" si="621"/>
        <v>1.04</v>
      </c>
      <c r="K1563" s="120">
        <f t="shared" si="622"/>
        <v>0</v>
      </c>
      <c r="L1563" s="120">
        <f t="shared" si="623"/>
        <v>0</v>
      </c>
      <c r="M1563" s="246">
        <f t="shared" si="624"/>
        <v>0</v>
      </c>
      <c r="N1563" s="121">
        <f t="shared" si="625"/>
        <v>1.04</v>
      </c>
      <c r="O1563" s="246">
        <f t="shared" si="626"/>
        <v>0.91364332603938736</v>
      </c>
      <c r="P1563" s="121">
        <f t="shared" si="627"/>
        <v>0</v>
      </c>
      <c r="Q1563" s="121">
        <f t="shared" si="628"/>
        <v>1</v>
      </c>
      <c r="R1563" s="121">
        <f t="shared" si="629"/>
        <v>0</v>
      </c>
      <c r="S1563" s="121" t="str">
        <f t="shared" si="630"/>
        <v/>
      </c>
      <c r="T1563" s="121" t="str">
        <f t="shared" si="631"/>
        <v/>
      </c>
      <c r="U1563" s="121">
        <f t="shared" si="632"/>
        <v>1.04</v>
      </c>
    </row>
    <row r="1564" spans="1:21" x14ac:dyDescent="0.3">
      <c r="A1564" s="187">
        <v>28</v>
      </c>
      <c r="B1564" s="242">
        <f t="shared" si="633"/>
        <v>46478</v>
      </c>
      <c r="C1564" s="243">
        <f t="shared" si="614"/>
        <v>46507</v>
      </c>
      <c r="D1564" s="120">
        <f t="shared" si="615"/>
        <v>30</v>
      </c>
      <c r="E1564" s="120">
        <f t="shared" si="616"/>
        <v>4</v>
      </c>
      <c r="F1564" s="275">
        <f t="shared" si="617"/>
        <v>46493</v>
      </c>
      <c r="G1564" s="120">
        <f t="shared" si="618"/>
        <v>24327</v>
      </c>
      <c r="H1564" s="245">
        <f t="shared" si="619"/>
        <v>1</v>
      </c>
      <c r="I1564" s="121">
        <f t="shared" si="620"/>
        <v>1.04</v>
      </c>
      <c r="J1564" s="121">
        <f t="shared" si="621"/>
        <v>1.04</v>
      </c>
      <c r="K1564" s="120">
        <f t="shared" si="622"/>
        <v>0</v>
      </c>
      <c r="L1564" s="120">
        <f t="shared" si="623"/>
        <v>0</v>
      </c>
      <c r="M1564" s="246">
        <f t="shared" si="624"/>
        <v>0</v>
      </c>
      <c r="N1564" s="121">
        <f t="shared" si="625"/>
        <v>1.04</v>
      </c>
      <c r="O1564" s="246">
        <f t="shared" si="626"/>
        <v>0.91431072210065645</v>
      </c>
      <c r="P1564" s="121">
        <f t="shared" si="627"/>
        <v>0</v>
      </c>
      <c r="Q1564" s="121">
        <f t="shared" si="628"/>
        <v>1</v>
      </c>
      <c r="R1564" s="121">
        <f t="shared" si="629"/>
        <v>0</v>
      </c>
      <c r="S1564" s="121" t="str">
        <f t="shared" si="630"/>
        <v/>
      </c>
      <c r="T1564" s="121" t="str">
        <f t="shared" si="631"/>
        <v/>
      </c>
      <c r="U1564" s="121">
        <f t="shared" si="632"/>
        <v>1.04</v>
      </c>
    </row>
    <row r="1565" spans="1:21" x14ac:dyDescent="0.3">
      <c r="A1565" s="187">
        <v>29</v>
      </c>
      <c r="B1565" s="242">
        <f t="shared" si="633"/>
        <v>46508</v>
      </c>
      <c r="C1565" s="243">
        <f t="shared" si="614"/>
        <v>46538</v>
      </c>
      <c r="D1565" s="120">
        <f t="shared" si="615"/>
        <v>31</v>
      </c>
      <c r="E1565" s="120">
        <f t="shared" si="616"/>
        <v>5</v>
      </c>
      <c r="F1565" s="275">
        <f t="shared" si="617"/>
        <v>46523.5</v>
      </c>
      <c r="G1565" s="120">
        <f t="shared" si="618"/>
        <v>24328</v>
      </c>
      <c r="H1565" s="245">
        <f t="shared" si="619"/>
        <v>1</v>
      </c>
      <c r="I1565" s="121">
        <f t="shared" si="620"/>
        <v>1.04</v>
      </c>
      <c r="J1565" s="121">
        <f t="shared" si="621"/>
        <v>1.04</v>
      </c>
      <c r="K1565" s="120">
        <f t="shared" si="622"/>
        <v>0</v>
      </c>
      <c r="L1565" s="120">
        <f t="shared" si="623"/>
        <v>0</v>
      </c>
      <c r="M1565" s="246">
        <f t="shared" si="624"/>
        <v>0</v>
      </c>
      <c r="N1565" s="121">
        <f t="shared" si="625"/>
        <v>1.04</v>
      </c>
      <c r="O1565" s="246">
        <f t="shared" si="626"/>
        <v>0.91497811816192565</v>
      </c>
      <c r="P1565" s="121">
        <f t="shared" si="627"/>
        <v>0</v>
      </c>
      <c r="Q1565" s="121">
        <f t="shared" si="628"/>
        <v>1</v>
      </c>
      <c r="R1565" s="121">
        <f t="shared" si="629"/>
        <v>0</v>
      </c>
      <c r="S1565" s="121" t="str">
        <f t="shared" si="630"/>
        <v/>
      </c>
      <c r="T1565" s="121" t="str">
        <f t="shared" si="631"/>
        <v/>
      </c>
      <c r="U1565" s="121">
        <f t="shared" si="632"/>
        <v>1.04</v>
      </c>
    </row>
    <row r="1566" spans="1:21" x14ac:dyDescent="0.3">
      <c r="A1566" s="187">
        <v>30</v>
      </c>
      <c r="B1566" s="242">
        <f t="shared" si="633"/>
        <v>46539</v>
      </c>
      <c r="C1566" s="243">
        <f t="shared" si="614"/>
        <v>46568</v>
      </c>
      <c r="D1566" s="120">
        <f t="shared" si="615"/>
        <v>30</v>
      </c>
      <c r="E1566" s="120">
        <f t="shared" si="616"/>
        <v>6</v>
      </c>
      <c r="F1566" s="275">
        <f t="shared" si="617"/>
        <v>46554</v>
      </c>
      <c r="G1566" s="120">
        <f t="shared" si="618"/>
        <v>24329</v>
      </c>
      <c r="H1566" s="245">
        <f t="shared" si="619"/>
        <v>1</v>
      </c>
      <c r="I1566" s="121">
        <f t="shared" si="620"/>
        <v>1.04</v>
      </c>
      <c r="J1566" s="121">
        <f t="shared" si="621"/>
        <v>1.04</v>
      </c>
      <c r="K1566" s="120">
        <f t="shared" si="622"/>
        <v>0</v>
      </c>
      <c r="L1566" s="120">
        <f t="shared" si="623"/>
        <v>0</v>
      </c>
      <c r="M1566" s="246">
        <f t="shared" si="624"/>
        <v>0</v>
      </c>
      <c r="N1566" s="121">
        <f t="shared" si="625"/>
        <v>1.04</v>
      </c>
      <c r="O1566" s="246">
        <f t="shared" si="626"/>
        <v>0.91564551422319473</v>
      </c>
      <c r="P1566" s="121">
        <f t="shared" si="627"/>
        <v>0</v>
      </c>
      <c r="Q1566" s="121">
        <f t="shared" si="628"/>
        <v>1</v>
      </c>
      <c r="R1566" s="121">
        <f t="shared" si="629"/>
        <v>0</v>
      </c>
      <c r="S1566" s="121" t="str">
        <f t="shared" si="630"/>
        <v/>
      </c>
      <c r="T1566" s="121" t="str">
        <f t="shared" si="631"/>
        <v/>
      </c>
      <c r="U1566" s="121">
        <f t="shared" si="632"/>
        <v>1.04</v>
      </c>
    </row>
    <row r="1567" spans="1:21" x14ac:dyDescent="0.3">
      <c r="A1567" s="187">
        <v>31</v>
      </c>
      <c r="B1567" s="242">
        <f t="shared" si="633"/>
        <v>46569</v>
      </c>
      <c r="C1567" s="243">
        <f t="shared" si="614"/>
        <v>46599</v>
      </c>
      <c r="D1567" s="120">
        <f t="shared" si="615"/>
        <v>31</v>
      </c>
      <c r="E1567" s="120">
        <f t="shared" si="616"/>
        <v>7</v>
      </c>
      <c r="F1567" s="275">
        <f t="shared" si="617"/>
        <v>46584.5</v>
      </c>
      <c r="G1567" s="120">
        <f t="shared" si="618"/>
        <v>24330</v>
      </c>
      <c r="H1567" s="245">
        <f t="shared" si="619"/>
        <v>1</v>
      </c>
      <c r="I1567" s="121">
        <f t="shared" si="620"/>
        <v>1.04</v>
      </c>
      <c r="J1567" s="121">
        <f t="shared" si="621"/>
        <v>1.04</v>
      </c>
      <c r="K1567" s="120">
        <f t="shared" si="622"/>
        <v>0</v>
      </c>
      <c r="L1567" s="120">
        <f t="shared" si="623"/>
        <v>0</v>
      </c>
      <c r="M1567" s="246">
        <f t="shared" si="624"/>
        <v>0</v>
      </c>
      <c r="N1567" s="121">
        <f t="shared" si="625"/>
        <v>1.04</v>
      </c>
      <c r="O1567" s="246">
        <f t="shared" si="626"/>
        <v>0.91631291028446393</v>
      </c>
      <c r="P1567" s="121">
        <f t="shared" si="627"/>
        <v>0</v>
      </c>
      <c r="Q1567" s="121">
        <f t="shared" si="628"/>
        <v>0.91666666666666663</v>
      </c>
      <c r="R1567" s="121">
        <f t="shared" si="629"/>
        <v>8.333333333333337E-2</v>
      </c>
      <c r="S1567" s="121" t="str">
        <f t="shared" si="630"/>
        <v/>
      </c>
      <c r="T1567" s="121" t="str">
        <f t="shared" si="631"/>
        <v/>
      </c>
      <c r="U1567" s="121">
        <f t="shared" si="632"/>
        <v>1.04</v>
      </c>
    </row>
    <row r="1568" spans="1:21" x14ac:dyDescent="0.3">
      <c r="A1568" s="187">
        <v>32</v>
      </c>
      <c r="B1568" s="242">
        <f t="shared" si="633"/>
        <v>46600</v>
      </c>
      <c r="C1568" s="243">
        <f t="shared" si="614"/>
        <v>46630</v>
      </c>
      <c r="D1568" s="120">
        <f t="shared" si="615"/>
        <v>31</v>
      </c>
      <c r="E1568" s="120">
        <f t="shared" si="616"/>
        <v>8</v>
      </c>
      <c r="F1568" s="275">
        <f t="shared" si="617"/>
        <v>46615.5</v>
      </c>
      <c r="G1568" s="120">
        <f t="shared" si="618"/>
        <v>24331</v>
      </c>
      <c r="H1568" s="245">
        <f t="shared" si="619"/>
        <v>1</v>
      </c>
      <c r="I1568" s="121">
        <f t="shared" si="620"/>
        <v>1.04</v>
      </c>
      <c r="J1568" s="121">
        <f t="shared" si="621"/>
        <v>1.04</v>
      </c>
      <c r="K1568" s="120">
        <f t="shared" si="622"/>
        <v>0</v>
      </c>
      <c r="L1568" s="120">
        <f t="shared" si="623"/>
        <v>0</v>
      </c>
      <c r="M1568" s="246">
        <f t="shared" si="624"/>
        <v>0</v>
      </c>
      <c r="N1568" s="121">
        <f t="shared" si="625"/>
        <v>1.04</v>
      </c>
      <c r="O1568" s="246">
        <f t="shared" si="626"/>
        <v>0.91699124726477033</v>
      </c>
      <c r="P1568" s="121">
        <f t="shared" si="627"/>
        <v>0</v>
      </c>
      <c r="Q1568" s="121">
        <f t="shared" si="628"/>
        <v>0.75</v>
      </c>
      <c r="R1568" s="121">
        <f t="shared" si="629"/>
        <v>0.25</v>
      </c>
      <c r="S1568" s="121" t="str">
        <f t="shared" si="630"/>
        <v/>
      </c>
      <c r="T1568" s="121" t="str">
        <f t="shared" si="631"/>
        <v/>
      </c>
      <c r="U1568" s="121">
        <f t="shared" si="632"/>
        <v>1.04</v>
      </c>
    </row>
    <row r="1569" spans="1:21" x14ac:dyDescent="0.3">
      <c r="A1569" s="187">
        <v>33</v>
      </c>
      <c r="B1569" s="242">
        <f t="shared" si="633"/>
        <v>46631</v>
      </c>
      <c r="C1569" s="243">
        <f t="shared" si="614"/>
        <v>46660</v>
      </c>
      <c r="D1569" s="120">
        <f t="shared" si="615"/>
        <v>30</v>
      </c>
      <c r="E1569" s="120">
        <f t="shared" si="616"/>
        <v>9</v>
      </c>
      <c r="F1569" s="275">
        <f t="shared" si="617"/>
        <v>46646</v>
      </c>
      <c r="G1569" s="120">
        <f t="shared" si="618"/>
        <v>24332</v>
      </c>
      <c r="H1569" s="245">
        <f t="shared" si="619"/>
        <v>1</v>
      </c>
      <c r="I1569" s="121">
        <f t="shared" si="620"/>
        <v>1.04</v>
      </c>
      <c r="J1569" s="121">
        <f t="shared" si="621"/>
        <v>1.04</v>
      </c>
      <c r="K1569" s="120">
        <f t="shared" si="622"/>
        <v>0</v>
      </c>
      <c r="L1569" s="120">
        <f t="shared" si="623"/>
        <v>0</v>
      </c>
      <c r="M1569" s="246">
        <f t="shared" si="624"/>
        <v>0</v>
      </c>
      <c r="N1569" s="121">
        <f t="shared" si="625"/>
        <v>1.04</v>
      </c>
      <c r="O1569" s="246">
        <f t="shared" si="626"/>
        <v>0.91765864332603941</v>
      </c>
      <c r="P1569" s="121">
        <f t="shared" si="627"/>
        <v>0</v>
      </c>
      <c r="Q1569" s="121">
        <f t="shared" si="628"/>
        <v>0.58333333333333337</v>
      </c>
      <c r="R1569" s="121">
        <f t="shared" si="629"/>
        <v>0.41666666666666663</v>
      </c>
      <c r="S1569" s="121" t="str">
        <f t="shared" si="630"/>
        <v/>
      </c>
      <c r="T1569" s="121" t="str">
        <f t="shared" si="631"/>
        <v/>
      </c>
      <c r="U1569" s="121">
        <f t="shared" si="632"/>
        <v>1.04</v>
      </c>
    </row>
    <row r="1570" spans="1:21" x14ac:dyDescent="0.3">
      <c r="A1570" s="187">
        <v>34</v>
      </c>
      <c r="B1570" s="242">
        <f t="shared" si="633"/>
        <v>46661</v>
      </c>
      <c r="C1570" s="243">
        <f t="shared" si="614"/>
        <v>46691</v>
      </c>
      <c r="D1570" s="120">
        <f t="shared" si="615"/>
        <v>31</v>
      </c>
      <c r="E1570" s="120">
        <f t="shared" si="616"/>
        <v>10</v>
      </c>
      <c r="F1570" s="275">
        <f t="shared" si="617"/>
        <v>46676.5</v>
      </c>
      <c r="G1570" s="120">
        <f t="shared" si="618"/>
        <v>24333</v>
      </c>
      <c r="H1570" s="245">
        <f t="shared" si="619"/>
        <v>1</v>
      </c>
      <c r="I1570" s="121">
        <f t="shared" si="620"/>
        <v>1.04</v>
      </c>
      <c r="J1570" s="121">
        <f t="shared" si="621"/>
        <v>1.04</v>
      </c>
      <c r="K1570" s="120">
        <f t="shared" si="622"/>
        <v>0</v>
      </c>
      <c r="L1570" s="120">
        <f t="shared" si="623"/>
        <v>0</v>
      </c>
      <c r="M1570" s="246">
        <f t="shared" si="624"/>
        <v>0</v>
      </c>
      <c r="N1570" s="121">
        <f t="shared" si="625"/>
        <v>1.04</v>
      </c>
      <c r="O1570" s="246">
        <f t="shared" si="626"/>
        <v>0.91832603938730861</v>
      </c>
      <c r="P1570" s="121">
        <f t="shared" si="627"/>
        <v>0</v>
      </c>
      <c r="Q1570" s="121">
        <f t="shared" si="628"/>
        <v>0.41666666666666669</v>
      </c>
      <c r="R1570" s="121">
        <f t="shared" si="629"/>
        <v>0.58333333333333326</v>
      </c>
      <c r="S1570" s="121" t="str">
        <f t="shared" si="630"/>
        <v/>
      </c>
      <c r="T1570" s="121" t="str">
        <f t="shared" si="631"/>
        <v/>
      </c>
      <c r="U1570" s="121">
        <f t="shared" si="632"/>
        <v>1.04</v>
      </c>
    </row>
    <row r="1571" spans="1:21" x14ac:dyDescent="0.3">
      <c r="A1571" s="187">
        <v>35</v>
      </c>
      <c r="B1571" s="242">
        <f t="shared" si="633"/>
        <v>46692</v>
      </c>
      <c r="C1571" s="243">
        <f t="shared" si="614"/>
        <v>46721</v>
      </c>
      <c r="D1571" s="120">
        <f t="shared" si="615"/>
        <v>30</v>
      </c>
      <c r="E1571" s="120">
        <f t="shared" si="616"/>
        <v>11</v>
      </c>
      <c r="F1571" s="275">
        <f t="shared" si="617"/>
        <v>46707</v>
      </c>
      <c r="G1571" s="120">
        <f t="shared" si="618"/>
        <v>24334</v>
      </c>
      <c r="H1571" s="245">
        <f t="shared" si="619"/>
        <v>1</v>
      </c>
      <c r="I1571" s="121">
        <f t="shared" si="620"/>
        <v>1.04</v>
      </c>
      <c r="J1571" s="121">
        <f t="shared" si="621"/>
        <v>1.04</v>
      </c>
      <c r="K1571" s="120">
        <f t="shared" si="622"/>
        <v>0</v>
      </c>
      <c r="L1571" s="120">
        <f t="shared" si="623"/>
        <v>0</v>
      </c>
      <c r="M1571" s="246">
        <f t="shared" si="624"/>
        <v>0</v>
      </c>
      <c r="N1571" s="121">
        <f t="shared" si="625"/>
        <v>1.04</v>
      </c>
      <c r="O1571" s="246">
        <f t="shared" si="626"/>
        <v>0.9189934354485777</v>
      </c>
      <c r="P1571" s="121">
        <f t="shared" si="627"/>
        <v>0</v>
      </c>
      <c r="Q1571" s="121">
        <f t="shared" si="628"/>
        <v>0.25</v>
      </c>
      <c r="R1571" s="121">
        <f t="shared" si="629"/>
        <v>0.75</v>
      </c>
      <c r="S1571" s="121" t="str">
        <f t="shared" si="630"/>
        <v/>
      </c>
      <c r="T1571" s="121" t="str">
        <f t="shared" si="631"/>
        <v/>
      </c>
      <c r="U1571" s="121">
        <f t="shared" si="632"/>
        <v>1.04</v>
      </c>
    </row>
    <row r="1572" spans="1:21" x14ac:dyDescent="0.3">
      <c r="A1572" s="187">
        <v>36</v>
      </c>
      <c r="B1572" s="242">
        <f t="shared" si="633"/>
        <v>46722</v>
      </c>
      <c r="C1572" s="243">
        <f t="shared" si="614"/>
        <v>46752</v>
      </c>
      <c r="D1572" s="120">
        <f t="shared" si="615"/>
        <v>31</v>
      </c>
      <c r="E1572" s="120">
        <f t="shared" si="616"/>
        <v>12</v>
      </c>
      <c r="F1572" s="275">
        <f t="shared" si="617"/>
        <v>46737.5</v>
      </c>
      <c r="G1572" s="120">
        <f t="shared" si="618"/>
        <v>24335</v>
      </c>
      <c r="H1572" s="245">
        <f t="shared" si="619"/>
        <v>1</v>
      </c>
      <c r="I1572" s="121">
        <f t="shared" si="620"/>
        <v>1.04</v>
      </c>
      <c r="J1572" s="121">
        <f t="shared" si="621"/>
        <v>1.04</v>
      </c>
      <c r="K1572" s="120">
        <f t="shared" si="622"/>
        <v>0</v>
      </c>
      <c r="L1572" s="120">
        <f t="shared" si="623"/>
        <v>0</v>
      </c>
      <c r="M1572" s="246">
        <f t="shared" si="624"/>
        <v>0</v>
      </c>
      <c r="N1572" s="121">
        <f t="shared" si="625"/>
        <v>1.04</v>
      </c>
      <c r="O1572" s="246">
        <f t="shared" si="626"/>
        <v>0.9196608315098469</v>
      </c>
      <c r="P1572" s="121">
        <f t="shared" si="627"/>
        <v>0</v>
      </c>
      <c r="Q1572" s="121">
        <f t="shared" si="628"/>
        <v>8.3333333333333329E-2</v>
      </c>
      <c r="R1572" s="121">
        <f t="shared" si="629"/>
        <v>0.91666666666666663</v>
      </c>
      <c r="S1572" s="121" t="str">
        <f t="shared" si="630"/>
        <v/>
      </c>
      <c r="T1572" s="121" t="str">
        <f t="shared" si="631"/>
        <v/>
      </c>
      <c r="U1572" s="121">
        <f t="shared" si="632"/>
        <v>1.04</v>
      </c>
    </row>
    <row r="1573" spans="1:21" x14ac:dyDescent="0.3">
      <c r="A1573" s="187">
        <v>37</v>
      </c>
      <c r="B1573" s="242">
        <f t="shared" si="633"/>
        <v>46753</v>
      </c>
      <c r="C1573" s="243">
        <f t="shared" si="614"/>
        <v>46783</v>
      </c>
      <c r="D1573" s="120">
        <f t="shared" si="615"/>
        <v>31</v>
      </c>
      <c r="E1573" s="120">
        <f t="shared" si="616"/>
        <v>1</v>
      </c>
      <c r="F1573" s="275">
        <f t="shared" si="617"/>
        <v>46768.5</v>
      </c>
      <c r="G1573" s="120">
        <f t="shared" si="618"/>
        <v>24336</v>
      </c>
      <c r="H1573" s="245">
        <f t="shared" si="619"/>
        <v>1</v>
      </c>
      <c r="I1573" s="121">
        <f t="shared" si="620"/>
        <v>1.04</v>
      </c>
      <c r="J1573" s="121">
        <f t="shared" si="621"/>
        <v>1.04</v>
      </c>
      <c r="K1573" s="120">
        <f t="shared" si="622"/>
        <v>0</v>
      </c>
      <c r="L1573" s="120">
        <f t="shared" si="623"/>
        <v>0</v>
      </c>
      <c r="M1573" s="246">
        <f t="shared" si="624"/>
        <v>0</v>
      </c>
      <c r="N1573" s="121">
        <f t="shared" si="625"/>
        <v>1.04</v>
      </c>
      <c r="O1573" s="246">
        <f t="shared" si="626"/>
        <v>0.92</v>
      </c>
      <c r="P1573" s="121">
        <f t="shared" si="627"/>
        <v>0</v>
      </c>
      <c r="Q1573" s="121">
        <f t="shared" si="628"/>
        <v>0</v>
      </c>
      <c r="R1573" s="121">
        <f t="shared" si="629"/>
        <v>1</v>
      </c>
      <c r="S1573" s="121" t="str">
        <f t="shared" si="630"/>
        <v/>
      </c>
      <c r="T1573" s="121" t="str">
        <f t="shared" si="631"/>
        <v/>
      </c>
      <c r="U1573" s="121">
        <f t="shared" si="632"/>
        <v>1.04</v>
      </c>
    </row>
    <row r="1574" spans="1:21" x14ac:dyDescent="0.3">
      <c r="A1574" s="187">
        <v>38</v>
      </c>
      <c r="B1574" s="242">
        <f t="shared" si="633"/>
        <v>46784</v>
      </c>
      <c r="C1574" s="243">
        <f t="shared" si="614"/>
        <v>46812</v>
      </c>
      <c r="D1574" s="120">
        <f t="shared" si="615"/>
        <v>29</v>
      </c>
      <c r="E1574" s="120">
        <f t="shared" si="616"/>
        <v>2</v>
      </c>
      <c r="F1574" s="275">
        <f t="shared" si="617"/>
        <v>46798.5</v>
      </c>
      <c r="G1574" s="120">
        <f t="shared" si="618"/>
        <v>24337</v>
      </c>
      <c r="H1574" s="245">
        <f t="shared" si="619"/>
        <v>1</v>
      </c>
      <c r="I1574" s="121">
        <f t="shared" si="620"/>
        <v>1.04</v>
      </c>
      <c r="J1574" s="121">
        <f t="shared" si="621"/>
        <v>1.04</v>
      </c>
      <c r="K1574" s="120">
        <f t="shared" si="622"/>
        <v>0</v>
      </c>
      <c r="L1574" s="120">
        <f t="shared" si="623"/>
        <v>0</v>
      </c>
      <c r="M1574" s="246">
        <f t="shared" si="624"/>
        <v>0</v>
      </c>
      <c r="N1574" s="121">
        <f t="shared" si="625"/>
        <v>1.04</v>
      </c>
      <c r="O1574" s="246">
        <f t="shared" si="626"/>
        <v>0.92</v>
      </c>
      <c r="P1574" s="121">
        <f t="shared" si="627"/>
        <v>0</v>
      </c>
      <c r="Q1574" s="121">
        <f t="shared" si="628"/>
        <v>0</v>
      </c>
      <c r="R1574" s="121">
        <f t="shared" si="629"/>
        <v>1</v>
      </c>
      <c r="S1574" s="121" t="str">
        <f t="shared" si="630"/>
        <v/>
      </c>
      <c r="T1574" s="121" t="str">
        <f t="shared" si="631"/>
        <v/>
      </c>
      <c r="U1574" s="121">
        <f t="shared" si="632"/>
        <v>1.04</v>
      </c>
    </row>
    <row r="1575" spans="1:21" x14ac:dyDescent="0.3">
      <c r="A1575" s="187">
        <v>39</v>
      </c>
      <c r="B1575" s="242">
        <f t="shared" si="633"/>
        <v>46813</v>
      </c>
      <c r="C1575" s="243">
        <f t="shared" si="614"/>
        <v>46843</v>
      </c>
      <c r="D1575" s="120">
        <f t="shared" si="615"/>
        <v>31</v>
      </c>
      <c r="E1575" s="120">
        <f t="shared" si="616"/>
        <v>3</v>
      </c>
      <c r="F1575" s="275">
        <f t="shared" si="617"/>
        <v>46828.5</v>
      </c>
      <c r="G1575" s="120">
        <f t="shared" si="618"/>
        <v>24338</v>
      </c>
      <c r="H1575" s="245">
        <f t="shared" si="619"/>
        <v>1</v>
      </c>
      <c r="I1575" s="121">
        <f t="shared" si="620"/>
        <v>1.04</v>
      </c>
      <c r="J1575" s="121">
        <f t="shared" si="621"/>
        <v>1.04</v>
      </c>
      <c r="K1575" s="120">
        <f t="shared" si="622"/>
        <v>0</v>
      </c>
      <c r="L1575" s="120">
        <f t="shared" si="623"/>
        <v>0</v>
      </c>
      <c r="M1575" s="246">
        <f t="shared" si="624"/>
        <v>0</v>
      </c>
      <c r="N1575" s="121">
        <f t="shared" si="625"/>
        <v>1.04</v>
      </c>
      <c r="O1575" s="246">
        <f t="shared" si="626"/>
        <v>0.92</v>
      </c>
      <c r="P1575" s="121">
        <f t="shared" si="627"/>
        <v>0</v>
      </c>
      <c r="Q1575" s="121">
        <f t="shared" si="628"/>
        <v>0</v>
      </c>
      <c r="R1575" s="121">
        <f t="shared" si="629"/>
        <v>1</v>
      </c>
      <c r="S1575" s="121" t="str">
        <f t="shared" si="630"/>
        <v/>
      </c>
      <c r="T1575" s="121" t="str">
        <f t="shared" si="631"/>
        <v/>
      </c>
      <c r="U1575" s="121">
        <f t="shared" si="632"/>
        <v>1.04</v>
      </c>
    </row>
    <row r="1576" spans="1:21" x14ac:dyDescent="0.3">
      <c r="A1576" s="187">
        <v>40</v>
      </c>
      <c r="B1576" s="242">
        <f t="shared" si="633"/>
        <v>46844</v>
      </c>
      <c r="C1576" s="243">
        <f t="shared" si="614"/>
        <v>46873</v>
      </c>
      <c r="D1576" s="120">
        <f t="shared" si="615"/>
        <v>30</v>
      </c>
      <c r="E1576" s="120">
        <f t="shared" si="616"/>
        <v>4</v>
      </c>
      <c r="F1576" s="275">
        <f t="shared" si="617"/>
        <v>46859</v>
      </c>
      <c r="G1576" s="120">
        <f t="shared" si="618"/>
        <v>24339</v>
      </c>
      <c r="H1576" s="245">
        <f t="shared" si="619"/>
        <v>1</v>
      </c>
      <c r="I1576" s="121">
        <f t="shared" si="620"/>
        <v>1.04</v>
      </c>
      <c r="J1576" s="121">
        <f t="shared" si="621"/>
        <v>1.04</v>
      </c>
      <c r="K1576" s="120">
        <f t="shared" si="622"/>
        <v>0</v>
      </c>
      <c r="L1576" s="120">
        <f t="shared" si="623"/>
        <v>0</v>
      </c>
      <c r="M1576" s="246">
        <f t="shared" si="624"/>
        <v>0</v>
      </c>
      <c r="N1576" s="121">
        <f t="shared" si="625"/>
        <v>1.04</v>
      </c>
      <c r="O1576" s="246">
        <f t="shared" si="626"/>
        <v>0.92</v>
      </c>
      <c r="P1576" s="121">
        <f t="shared" si="627"/>
        <v>0</v>
      </c>
      <c r="Q1576" s="121">
        <f t="shared" si="628"/>
        <v>0</v>
      </c>
      <c r="R1576" s="121">
        <f t="shared" si="629"/>
        <v>1</v>
      </c>
      <c r="S1576" s="121" t="str">
        <f t="shared" si="630"/>
        <v/>
      </c>
      <c r="T1576" s="121" t="str">
        <f t="shared" si="631"/>
        <v/>
      </c>
      <c r="U1576" s="121">
        <f t="shared" si="632"/>
        <v>1.04</v>
      </c>
    </row>
    <row r="1577" spans="1:21" x14ac:dyDescent="0.3">
      <c r="A1577" s="187">
        <v>41</v>
      </c>
      <c r="B1577" s="242">
        <f t="shared" si="633"/>
        <v>46874</v>
      </c>
      <c r="C1577" s="243">
        <f t="shared" si="614"/>
        <v>46904</v>
      </c>
      <c r="D1577" s="120">
        <f t="shared" si="615"/>
        <v>31</v>
      </c>
      <c r="E1577" s="120">
        <f t="shared" si="616"/>
        <v>5</v>
      </c>
      <c r="F1577" s="275">
        <f t="shared" si="617"/>
        <v>46889.5</v>
      </c>
      <c r="G1577" s="120">
        <f t="shared" si="618"/>
        <v>24340</v>
      </c>
      <c r="H1577" s="245">
        <f t="shared" si="619"/>
        <v>1</v>
      </c>
      <c r="I1577" s="121">
        <f t="shared" si="620"/>
        <v>1.04</v>
      </c>
      <c r="J1577" s="121">
        <f t="shared" si="621"/>
        <v>1.04</v>
      </c>
      <c r="K1577" s="120">
        <f t="shared" si="622"/>
        <v>0</v>
      </c>
      <c r="L1577" s="120">
        <f t="shared" si="623"/>
        <v>0</v>
      </c>
      <c r="M1577" s="246">
        <f t="shared" si="624"/>
        <v>0</v>
      </c>
      <c r="N1577" s="121">
        <f t="shared" si="625"/>
        <v>1.04</v>
      </c>
      <c r="O1577" s="246">
        <f t="shared" si="626"/>
        <v>0.92</v>
      </c>
      <c r="P1577" s="121">
        <f t="shared" si="627"/>
        <v>0</v>
      </c>
      <c r="Q1577" s="121">
        <f t="shared" si="628"/>
        <v>0</v>
      </c>
      <c r="R1577" s="121">
        <f t="shared" si="629"/>
        <v>1</v>
      </c>
      <c r="S1577" s="121" t="str">
        <f t="shared" si="630"/>
        <v/>
      </c>
      <c r="T1577" s="121" t="str">
        <f t="shared" si="631"/>
        <v/>
      </c>
      <c r="U1577" s="121">
        <f t="shared" si="632"/>
        <v>1.04</v>
      </c>
    </row>
    <row r="1578" spans="1:21" x14ac:dyDescent="0.3">
      <c r="A1578" s="187">
        <v>42</v>
      </c>
      <c r="B1578" s="242">
        <f t="shared" si="633"/>
        <v>46905</v>
      </c>
      <c r="C1578" s="243">
        <f t="shared" si="614"/>
        <v>46934</v>
      </c>
      <c r="D1578" s="120">
        <f t="shared" si="615"/>
        <v>30</v>
      </c>
      <c r="E1578" s="120">
        <f t="shared" si="616"/>
        <v>6</v>
      </c>
      <c r="F1578" s="275">
        <f t="shared" si="617"/>
        <v>46920</v>
      </c>
      <c r="G1578" s="120">
        <f t="shared" si="618"/>
        <v>24341</v>
      </c>
      <c r="H1578" s="245">
        <f t="shared" si="619"/>
        <v>1</v>
      </c>
      <c r="I1578" s="121">
        <f t="shared" si="620"/>
        <v>1.04</v>
      </c>
      <c r="J1578" s="121">
        <f t="shared" si="621"/>
        <v>1.04</v>
      </c>
      <c r="K1578" s="120">
        <f t="shared" si="622"/>
        <v>0</v>
      </c>
      <c r="L1578" s="120">
        <f t="shared" si="623"/>
        <v>0</v>
      </c>
      <c r="M1578" s="246">
        <f t="shared" si="624"/>
        <v>0</v>
      </c>
      <c r="N1578" s="121">
        <f t="shared" si="625"/>
        <v>1.04</v>
      </c>
      <c r="O1578" s="246">
        <f t="shared" si="626"/>
        <v>0.92</v>
      </c>
      <c r="P1578" s="121">
        <f t="shared" si="627"/>
        <v>0</v>
      </c>
      <c r="Q1578" s="121">
        <f t="shared" si="628"/>
        <v>0</v>
      </c>
      <c r="R1578" s="121">
        <f t="shared" si="629"/>
        <v>1</v>
      </c>
      <c r="S1578" s="121" t="str">
        <f t="shared" si="630"/>
        <v/>
      </c>
      <c r="T1578" s="121" t="str">
        <f t="shared" si="631"/>
        <v/>
      </c>
      <c r="U1578" s="121">
        <f t="shared" si="632"/>
        <v>1.04</v>
      </c>
    </row>
    <row r="1579" spans="1:21" x14ac:dyDescent="0.3">
      <c r="A1579" s="187">
        <v>43</v>
      </c>
      <c r="B1579" s="242">
        <f t="shared" si="633"/>
        <v>46935</v>
      </c>
      <c r="C1579" s="243">
        <f t="shared" si="614"/>
        <v>46965</v>
      </c>
      <c r="D1579" s="120">
        <f t="shared" si="615"/>
        <v>31</v>
      </c>
      <c r="E1579" s="120">
        <f t="shared" si="616"/>
        <v>7</v>
      </c>
      <c r="F1579" s="275">
        <f t="shared" si="617"/>
        <v>46950.5</v>
      </c>
      <c r="G1579" s="120">
        <f t="shared" si="618"/>
        <v>24342</v>
      </c>
      <c r="H1579" s="245">
        <f t="shared" si="619"/>
        <v>1</v>
      </c>
      <c r="I1579" s="121">
        <f t="shared" si="620"/>
        <v>1.04</v>
      </c>
      <c r="J1579" s="121">
        <f t="shared" si="621"/>
        <v>1.04</v>
      </c>
      <c r="K1579" s="120">
        <f t="shared" si="622"/>
        <v>0</v>
      </c>
      <c r="L1579" s="120">
        <f t="shared" si="623"/>
        <v>0</v>
      </c>
      <c r="M1579" s="246">
        <f t="shared" si="624"/>
        <v>0</v>
      </c>
      <c r="N1579" s="121">
        <f t="shared" si="625"/>
        <v>1.04</v>
      </c>
      <c r="O1579" s="246">
        <f t="shared" si="626"/>
        <v>0.92</v>
      </c>
      <c r="P1579" s="121">
        <f t="shared" si="627"/>
        <v>0</v>
      </c>
      <c r="Q1579" s="121">
        <f t="shared" si="628"/>
        <v>0</v>
      </c>
      <c r="R1579" s="121">
        <f t="shared" si="629"/>
        <v>0.91666666666666663</v>
      </c>
      <c r="S1579" s="121" t="str">
        <f t="shared" si="630"/>
        <v/>
      </c>
      <c r="T1579" s="121" t="str">
        <f t="shared" si="631"/>
        <v/>
      </c>
      <c r="U1579" s="121">
        <f t="shared" si="632"/>
        <v>1.04</v>
      </c>
    </row>
    <row r="1580" spans="1:21" x14ac:dyDescent="0.3">
      <c r="A1580" s="187">
        <v>44</v>
      </c>
      <c r="B1580" s="242">
        <f t="shared" si="633"/>
        <v>46966</v>
      </c>
      <c r="C1580" s="243">
        <f t="shared" si="614"/>
        <v>46996</v>
      </c>
      <c r="D1580" s="120">
        <f t="shared" si="615"/>
        <v>31</v>
      </c>
      <c r="E1580" s="120">
        <f t="shared" si="616"/>
        <v>8</v>
      </c>
      <c r="F1580" s="275">
        <f t="shared" si="617"/>
        <v>46981.5</v>
      </c>
      <c r="G1580" s="120">
        <f t="shared" si="618"/>
        <v>24343</v>
      </c>
      <c r="H1580" s="245">
        <f t="shared" si="619"/>
        <v>1</v>
      </c>
      <c r="I1580" s="121">
        <f t="shared" si="620"/>
        <v>1.04</v>
      </c>
      <c r="J1580" s="121">
        <f t="shared" si="621"/>
        <v>1.04</v>
      </c>
      <c r="K1580" s="120">
        <f t="shared" si="622"/>
        <v>0</v>
      </c>
      <c r="L1580" s="120">
        <f t="shared" si="623"/>
        <v>0</v>
      </c>
      <c r="M1580" s="246">
        <f t="shared" si="624"/>
        <v>0</v>
      </c>
      <c r="N1580" s="121">
        <f t="shared" si="625"/>
        <v>1.04</v>
      </c>
      <c r="O1580" s="246">
        <f t="shared" si="626"/>
        <v>0.92</v>
      </c>
      <c r="P1580" s="121">
        <f t="shared" si="627"/>
        <v>0</v>
      </c>
      <c r="Q1580" s="121">
        <f t="shared" si="628"/>
        <v>0</v>
      </c>
      <c r="R1580" s="121">
        <f t="shared" si="629"/>
        <v>0.75</v>
      </c>
      <c r="S1580" s="121" t="str">
        <f t="shared" si="630"/>
        <v/>
      </c>
      <c r="T1580" s="121" t="str">
        <f t="shared" si="631"/>
        <v/>
      </c>
      <c r="U1580" s="121">
        <f t="shared" si="632"/>
        <v>1.04</v>
      </c>
    </row>
    <row r="1581" spans="1:21" x14ac:dyDescent="0.3">
      <c r="A1581" s="187">
        <v>45</v>
      </c>
      <c r="B1581" s="242">
        <f t="shared" si="633"/>
        <v>46997</v>
      </c>
      <c r="C1581" s="243">
        <f t="shared" si="614"/>
        <v>47026</v>
      </c>
      <c r="D1581" s="120">
        <f t="shared" si="615"/>
        <v>30</v>
      </c>
      <c r="E1581" s="120">
        <f t="shared" si="616"/>
        <v>9</v>
      </c>
      <c r="F1581" s="275">
        <f t="shared" si="617"/>
        <v>47012</v>
      </c>
      <c r="G1581" s="120">
        <f t="shared" si="618"/>
        <v>24344</v>
      </c>
      <c r="H1581" s="245">
        <f t="shared" si="619"/>
        <v>1</v>
      </c>
      <c r="I1581" s="121">
        <f t="shared" si="620"/>
        <v>1.04</v>
      </c>
      <c r="J1581" s="121">
        <f t="shared" si="621"/>
        <v>1.04</v>
      </c>
      <c r="K1581" s="120">
        <f t="shared" si="622"/>
        <v>0</v>
      </c>
      <c r="L1581" s="120">
        <f t="shared" si="623"/>
        <v>0</v>
      </c>
      <c r="M1581" s="246">
        <f t="shared" si="624"/>
        <v>0</v>
      </c>
      <c r="N1581" s="121">
        <f t="shared" si="625"/>
        <v>1.04</v>
      </c>
      <c r="O1581" s="246">
        <f t="shared" si="626"/>
        <v>0.92</v>
      </c>
      <c r="P1581" s="121">
        <f t="shared" si="627"/>
        <v>0</v>
      </c>
      <c r="Q1581" s="121">
        <f t="shared" si="628"/>
        <v>0</v>
      </c>
      <c r="R1581" s="121">
        <f t="shared" si="629"/>
        <v>0.58333333333333337</v>
      </c>
      <c r="S1581" s="121" t="str">
        <f t="shared" si="630"/>
        <v/>
      </c>
      <c r="T1581" s="121" t="str">
        <f t="shared" si="631"/>
        <v/>
      </c>
      <c r="U1581" s="121">
        <f t="shared" si="632"/>
        <v>1.04</v>
      </c>
    </row>
    <row r="1582" spans="1:21" x14ac:dyDescent="0.3">
      <c r="A1582" s="187">
        <v>46</v>
      </c>
      <c r="B1582" s="242">
        <f t="shared" si="633"/>
        <v>47027</v>
      </c>
      <c r="C1582" s="243">
        <f t="shared" si="614"/>
        <v>47057</v>
      </c>
      <c r="D1582" s="120">
        <f t="shared" si="615"/>
        <v>31</v>
      </c>
      <c r="E1582" s="120">
        <f t="shared" si="616"/>
        <v>10</v>
      </c>
      <c r="F1582" s="275">
        <f t="shared" si="617"/>
        <v>47042.5</v>
      </c>
      <c r="G1582" s="120">
        <f t="shared" si="618"/>
        <v>24345</v>
      </c>
      <c r="H1582" s="245">
        <f t="shared" si="619"/>
        <v>1</v>
      </c>
      <c r="I1582" s="121">
        <f t="shared" si="620"/>
        <v>1.04</v>
      </c>
      <c r="J1582" s="121">
        <f t="shared" si="621"/>
        <v>1.04</v>
      </c>
      <c r="K1582" s="120">
        <f t="shared" si="622"/>
        <v>0</v>
      </c>
      <c r="L1582" s="120">
        <f t="shared" si="623"/>
        <v>0</v>
      </c>
      <c r="M1582" s="246">
        <f t="shared" si="624"/>
        <v>0</v>
      </c>
      <c r="N1582" s="121">
        <f t="shared" si="625"/>
        <v>1.04</v>
      </c>
      <c r="O1582" s="246">
        <f t="shared" si="626"/>
        <v>0.92</v>
      </c>
      <c r="P1582" s="121">
        <f t="shared" si="627"/>
        <v>0</v>
      </c>
      <c r="Q1582" s="121">
        <f t="shared" si="628"/>
        <v>0</v>
      </c>
      <c r="R1582" s="121">
        <f t="shared" si="629"/>
        <v>0.41666666666666669</v>
      </c>
      <c r="S1582" s="121" t="str">
        <f t="shared" si="630"/>
        <v/>
      </c>
      <c r="T1582" s="121" t="str">
        <f t="shared" si="631"/>
        <v/>
      </c>
      <c r="U1582" s="121">
        <f t="shared" si="632"/>
        <v>1.04</v>
      </c>
    </row>
    <row r="1583" spans="1:21" x14ac:dyDescent="0.3">
      <c r="A1583" s="187">
        <v>47</v>
      </c>
      <c r="B1583" s="242">
        <f t="shared" si="633"/>
        <v>47058</v>
      </c>
      <c r="C1583" s="243">
        <f t="shared" si="614"/>
        <v>47087</v>
      </c>
      <c r="D1583" s="120">
        <f t="shared" si="615"/>
        <v>30</v>
      </c>
      <c r="E1583" s="120">
        <f t="shared" si="616"/>
        <v>11</v>
      </c>
      <c r="F1583" s="275">
        <f t="shared" si="617"/>
        <v>47073</v>
      </c>
      <c r="G1583" s="120">
        <f t="shared" si="618"/>
        <v>24346</v>
      </c>
      <c r="H1583" s="245">
        <f t="shared" si="619"/>
        <v>1</v>
      </c>
      <c r="I1583" s="121">
        <f t="shared" si="620"/>
        <v>1.04</v>
      </c>
      <c r="J1583" s="121">
        <f t="shared" si="621"/>
        <v>1.04</v>
      </c>
      <c r="K1583" s="120">
        <f t="shared" si="622"/>
        <v>0</v>
      </c>
      <c r="L1583" s="120">
        <f t="shared" si="623"/>
        <v>0</v>
      </c>
      <c r="M1583" s="246">
        <f t="shared" si="624"/>
        <v>0</v>
      </c>
      <c r="N1583" s="121">
        <f t="shared" si="625"/>
        <v>1.04</v>
      </c>
      <c r="O1583" s="246">
        <f t="shared" si="626"/>
        <v>0.92</v>
      </c>
      <c r="P1583" s="121">
        <f t="shared" si="627"/>
        <v>0</v>
      </c>
      <c r="Q1583" s="121">
        <f t="shared" si="628"/>
        <v>0</v>
      </c>
      <c r="R1583" s="121">
        <f t="shared" si="629"/>
        <v>0.25</v>
      </c>
      <c r="S1583" s="121" t="str">
        <f t="shared" si="630"/>
        <v/>
      </c>
      <c r="T1583" s="121" t="str">
        <f t="shared" si="631"/>
        <v/>
      </c>
      <c r="U1583" s="121">
        <f t="shared" si="632"/>
        <v>1.04</v>
      </c>
    </row>
    <row r="1584" spans="1:21" x14ac:dyDescent="0.3">
      <c r="A1584" s="187">
        <v>48</v>
      </c>
      <c r="B1584" s="242">
        <f t="shared" si="633"/>
        <v>47088</v>
      </c>
      <c r="C1584" s="243">
        <f t="shared" si="614"/>
        <v>47118</v>
      </c>
      <c r="D1584" s="120">
        <f t="shared" si="615"/>
        <v>31</v>
      </c>
      <c r="E1584" s="120">
        <f t="shared" si="616"/>
        <v>12</v>
      </c>
      <c r="F1584" s="275">
        <f t="shared" si="617"/>
        <v>47103.5</v>
      </c>
      <c r="G1584" s="120">
        <f t="shared" si="618"/>
        <v>24347</v>
      </c>
      <c r="H1584" s="245">
        <f t="shared" si="619"/>
        <v>1</v>
      </c>
      <c r="I1584" s="121">
        <f t="shared" si="620"/>
        <v>1.04</v>
      </c>
      <c r="J1584" s="121">
        <f t="shared" si="621"/>
        <v>1.04</v>
      </c>
      <c r="K1584" s="120">
        <f t="shared" si="622"/>
        <v>0</v>
      </c>
      <c r="L1584" s="120">
        <f t="shared" si="623"/>
        <v>0</v>
      </c>
      <c r="M1584" s="246">
        <f t="shared" si="624"/>
        <v>0</v>
      </c>
      <c r="N1584" s="121">
        <f t="shared" si="625"/>
        <v>1.04</v>
      </c>
      <c r="O1584" s="246">
        <f t="shared" si="626"/>
        <v>0.92</v>
      </c>
      <c r="P1584" s="121">
        <f t="shared" si="627"/>
        <v>0</v>
      </c>
      <c r="Q1584" s="121">
        <f t="shared" si="628"/>
        <v>0</v>
      </c>
      <c r="R1584" s="121">
        <f t="shared" si="629"/>
        <v>8.3333333333333329E-2</v>
      </c>
      <c r="S1584" s="121" t="str">
        <f t="shared" si="630"/>
        <v/>
      </c>
      <c r="T1584" s="121" t="str">
        <f t="shared" si="631"/>
        <v/>
      </c>
      <c r="U1584" s="121">
        <f t="shared" si="632"/>
        <v>1.04</v>
      </c>
    </row>
    <row r="1585" spans="1:21" x14ac:dyDescent="0.3">
      <c r="A1585" s="6" t="s">
        <v>1651</v>
      </c>
      <c r="B1585" s="73">
        <f>EXP(SUMPRODUCT((rl_key=$A$1534)*(rl_cons="Y")*rl_ln1p))</f>
        <v>1.04</v>
      </c>
      <c r="C1585" s="73">
        <f>SUMPRODUCT($H$1537:$H$1584,$P$1537:$P$1584,$U$1537:$U$1584)/SUMPRODUCT($H$1537:$H$1584,$P$1537:$P$1584)</f>
        <v>1.02</v>
      </c>
      <c r="D1585" s="73">
        <f>SUMPRODUCT($H$1537:$H$1584,$Q$1537:$Q$1584,$U$1537:$U$1584)/SUMPRODUCT($H$1537:$H$1584,$Q$1537:$Q$1584)</f>
        <v>1.0399999999999998</v>
      </c>
      <c r="E1585" s="73">
        <f>SUMPRODUCT($H$1537:$H$1584,$R$1537:$R$1584,$U$1537:$U$1584)/SUMPRODUCT($H$1537:$H$1584,$R$1537:$R$1584)</f>
        <v>1.0399999999999998</v>
      </c>
      <c r="F1585" s="224">
        <f>SUMPRODUCT($H$1537:$H$1584,$Q$1537:$Q$1584,$O$1537:$O$1584)/SUMPRODUCT($H$1537:$H$1584,$Q$1537:$Q$1584)</f>
        <v>0.91399252370532447</v>
      </c>
      <c r="G1585" s="224">
        <f>SUMPRODUCT($H$1537:$H$1584,$R$1537:$R$1584,$O$1537:$O$1584)/SUMPRODUCT($H$1537:$H$1584,$R$1537:$R$1584)</f>
        <v>0.91966022368101141</v>
      </c>
      <c r="H1585" s="73">
        <f>SUMPRODUCT($H$1561:$H$1572,$N$1561:$N$1572/$N$1549:$N$1560)/SUM($H$1561:$H$1572)</f>
        <v>1.01</v>
      </c>
      <c r="I1585" s="73">
        <f>SUMPRODUCT($H$1561:$H$1572,$O$1561:$O$1572/$O$1549:$O$1560)/SUM($H$1561:$H$1572)</f>
        <v>1.0087961468131064</v>
      </c>
      <c r="J1585" s="73">
        <f>IF($O$1534=1,SUMPRODUCT($H$1561:$H$1572,$N$1561:$N$1572/$N$1549:$N$1560*$O$1561:$O$1572/$O$1549:$O$1560)/SUM($H$1561:$H$1572),$H1585)</f>
        <v>1.0188843984932234</v>
      </c>
      <c r="K1585" s="73">
        <f>SUMPRODUCT($H$1537:$H$1584,$Q$1537:$Q$1584,$N$1537:$N$1584)/SUMPRODUCT($H$1537:$H$1584,$Q$1537:$Q$1584)</f>
        <v>1.0399999999999998</v>
      </c>
      <c r="L1585" s="73">
        <f>SUMPRODUCT($H$1537:$H$1584,$R$1537:$R$1584,$N$1537:$N$1584)/SUMPRODUCT($H$1537:$H$1584,$R$1537:$R$1584)</f>
        <v>1.0399999999999998</v>
      </c>
    </row>
    <row r="1588" spans="1:21" x14ac:dyDescent="0.3">
      <c r="A1588" s="6" t="str">
        <f>INDEX(lr_key,29)</f>
        <v>MM|IN</v>
      </c>
      <c r="B1588" s="6" t="str">
        <f>INDEX(lr_state,29)</f>
        <v>IN</v>
      </c>
      <c r="C1588" s="75">
        <f>nr_TermMonths</f>
        <v>6</v>
      </c>
      <c r="D1588" s="75">
        <f>IF(COUNTIF(se_state,$B1588)=0,0,MATCH($B1588,se_state,0))</f>
        <v>2</v>
      </c>
      <c r="E1588" s="70">
        <f>IF($D1588=0,0,INDEX(se_sum,$D1588))</f>
        <v>11.999999999999998</v>
      </c>
      <c r="F1588" s="224">
        <f>IF(N(INDEX(lr_mind,29))=0,1,INDEX(lr_mind,29))</f>
        <v>0.92</v>
      </c>
      <c r="G1588" s="224">
        <f>IF(N(INDEX(lr_m0,29))=0,1,INDEX(lr_m0,29))</f>
        <v>0.91</v>
      </c>
      <c r="H1588" s="74">
        <f>IF(N(INDEX(lr_m0asof,29))=0,DATE(nr_PlanYear-1,10,1),INDEX(lr_m0asof,29))</f>
        <v>46295</v>
      </c>
      <c r="I1588" s="224">
        <f>IF(N(INDEX(lr_m1,29))=0,1,INDEX(lr_m1,29))</f>
        <v>0.9</v>
      </c>
      <c r="J1588" s="224">
        <f>INDEX(lr_mprior,29)</f>
        <v>0</v>
      </c>
      <c r="K1588" s="224">
        <f>INDEX(lr_m2,29)</f>
        <v>0</v>
      </c>
      <c r="L1588" s="6" t="b">
        <f>NOT(ISBLANK(INDEX(lr_netp,29)))</f>
        <v>0</v>
      </c>
      <c r="M1588" s="72">
        <f>N(INDEX(lr_netp,29))</f>
        <v>0</v>
      </c>
      <c r="N1588" s="72">
        <f>IF(ISBLANK(INDEX(lr_netp1,29)),$M$1588,N(INDEX(lr_netp1,29)))</f>
        <v>0</v>
      </c>
      <c r="O1588" s="75">
        <f>IF(AND(nr_ModAdjMaster="ON",INDEX(lr_modadj,29)="ON"),1,0)</f>
        <v>1</v>
      </c>
    </row>
    <row r="1589" spans="1:21" x14ac:dyDescent="0.3">
      <c r="A1589" s="6">
        <f>EDATE($H$1588,-12)+1</f>
        <v>45931</v>
      </c>
      <c r="B1589" s="6">
        <f>$H$1588+1</f>
        <v>46296</v>
      </c>
      <c r="C1589" s="6">
        <f>DATE(nr_PlanYear,12,31)+1</f>
        <v>46753</v>
      </c>
      <c r="D1589" s="6">
        <f>DATE(nr_PlanYear+1,12,31)+1</f>
        <v>47119</v>
      </c>
      <c r="E1589" s="6">
        <f>IF(N($J$1588)=0,$F$1589-($G$1589-$F$1589)/($C$1589-$B$1589)*($B$1589-$A$1589),$J$1588)</f>
        <v>0.91798687089715536</v>
      </c>
      <c r="F1589" s="6">
        <f>$G$1588</f>
        <v>0.91</v>
      </c>
      <c r="G1589" s="6">
        <f>$I$1588</f>
        <v>0.9</v>
      </c>
      <c r="H1589" s="6">
        <f>IF(N($K$1588)=0,$I$1588,$K$1588)</f>
        <v>0.9</v>
      </c>
      <c r="I1589" s="6">
        <f>($F$1589-$E$1589)/($B$1589-$A$1589)</f>
        <v>-2.1881838074398162E-5</v>
      </c>
      <c r="J1589" s="6">
        <f>($G$1589-$F$1589)/($C$1589-$B$1589)</f>
        <v>-2.188183807439827E-5</v>
      </c>
      <c r="K1589" s="6">
        <f>($H$1589-$G$1589)/($D$1589-$C$1589)</f>
        <v>0</v>
      </c>
    </row>
    <row r="1590" spans="1:21" ht="36" x14ac:dyDescent="0.3">
      <c r="A1590" s="58" t="s">
        <v>390</v>
      </c>
      <c r="B1590" s="58" t="s">
        <v>449</v>
      </c>
      <c r="C1590" s="58" t="s">
        <v>685</v>
      </c>
      <c r="D1590" s="58" t="s">
        <v>686</v>
      </c>
      <c r="E1590" s="58" t="s">
        <v>687</v>
      </c>
      <c r="F1590" s="58" t="s">
        <v>688</v>
      </c>
      <c r="G1590" s="58" t="s">
        <v>689</v>
      </c>
      <c r="H1590" s="58" t="s">
        <v>452</v>
      </c>
      <c r="I1590" s="58" t="s">
        <v>690</v>
      </c>
      <c r="J1590" s="58" t="s">
        <v>691</v>
      </c>
      <c r="K1590" s="58" t="s">
        <v>692</v>
      </c>
      <c r="L1590" s="58" t="s">
        <v>693</v>
      </c>
      <c r="M1590" s="58" t="s">
        <v>694</v>
      </c>
      <c r="N1590" s="58" t="s">
        <v>695</v>
      </c>
      <c r="O1590" s="58" t="s">
        <v>696</v>
      </c>
      <c r="P1590" s="58" t="s">
        <v>697</v>
      </c>
      <c r="Q1590" s="58" t="s">
        <v>698</v>
      </c>
      <c r="R1590" s="58" t="s">
        <v>699</v>
      </c>
      <c r="S1590" s="58" t="s">
        <v>700</v>
      </c>
      <c r="T1590" s="58" t="s">
        <v>701</v>
      </c>
      <c r="U1590" s="58" t="s">
        <v>702</v>
      </c>
    </row>
    <row r="1591" spans="1:21" x14ac:dyDescent="0.3">
      <c r="A1591" s="187">
        <v>1</v>
      </c>
      <c r="B1591" s="242">
        <f>DATE(nr_PlanYear-2,1,1)</f>
        <v>45658</v>
      </c>
      <c r="C1591" s="243">
        <f t="shared" ref="C1591:C1638" si="634">EOMONTH($B1591,0)</f>
        <v>45688</v>
      </c>
      <c r="D1591" s="120">
        <f t="shared" ref="D1591:D1638" si="635">$C1591-$B1591+1</f>
        <v>31</v>
      </c>
      <c r="E1591" s="120">
        <f t="shared" ref="E1591:E1638" si="636">MONTH($B1591)</f>
        <v>1</v>
      </c>
      <c r="F1591" s="275">
        <f t="shared" ref="F1591:F1638" si="637">($B1591+$C1591+1)/2</f>
        <v>45673.5</v>
      </c>
      <c r="G1591" s="120">
        <f t="shared" ref="G1591:G1638" si="638">YEAR($B1591)*12+MONTH($B1591)-1</f>
        <v>24300</v>
      </c>
      <c r="H1591" s="245">
        <f t="shared" ref="H1591:H1638" si="639">IF(OR(nr_SeasonOn="OFF",$D$1588=0,$E$1588=0),1,12*INDEX(se_block,$D$1588,$E1591)/$E$1588)</f>
        <v>1</v>
      </c>
      <c r="I1591" s="121">
        <f t="shared" ref="I1591:I1638" si="640">EXP(SUMPRODUCT((rl_eff&lt;$B1591)*(rl_key=$A$1588)*rl_ln1p))</f>
        <v>1</v>
      </c>
      <c r="J1591" s="121">
        <f t="shared" ref="J1591:J1638" si="641">EXP(SUMPRODUCT((rl_eff&lt;=$C1591)*(rl_key=$A$1588)*rl_ln1p))</f>
        <v>1</v>
      </c>
      <c r="K1591" s="120">
        <f t="shared" ref="K1591:K1638" si="642">COUNTIFS(rl_key,$A$1588,rl_eff,"&gt;="&amp;$B1591,rl_eff,"&lt;="&amp;$C1591)</f>
        <v>0</v>
      </c>
      <c r="L1591" s="120">
        <f t="shared" ref="L1591:L1638" si="643">SUMIFS(rl_daysafter,rl_key,$A$1588,rl_effmonth,$B1591,rl_first,1)</f>
        <v>0</v>
      </c>
      <c r="M1591" s="246">
        <f t="shared" ref="M1591:M1638" si="644">IF($K1591=0,0,MIN(1,$L1591/$D1591))</f>
        <v>0</v>
      </c>
      <c r="N1591" s="121">
        <f t="shared" ref="N1591:N1638" si="645">IF($K1591=0,$J1591,(1-$M1591)*$I1591+$M1591*$J1591)</f>
        <v>1</v>
      </c>
      <c r="O1591" s="246">
        <f t="shared" ref="O1591:O1638" si="646">IF($F1591&lt;$B$1589,$E$1589+$I$1589*($F1591-$A$1589),IF($F1591&lt;$C$1589,$F$1589+$J$1589*($F1591-$B$1589),$G$1589+$K$1589*($F1591-$C$1589)))</f>
        <v>0.92362144420131287</v>
      </c>
      <c r="P1591" s="121">
        <f t="shared" ref="P1591:P1638" si="647">MIN(1,MAX(0,(nr_MEndPm1-$G1591+0.5)/$C$1588))-MIN(1,MAX(0,(nr_MStartPm1-1-$G1591+0.5)/$C$1588))</f>
        <v>0</v>
      </c>
      <c r="Q1591" s="121">
        <f t="shared" ref="Q1591:Q1638" si="648">MIN(1,MAX(0,(nr_MEndP-$G1591+0.5)/$C$1588))-MIN(1,MAX(0,(nr_MStartP-1-$G1591+0.5)/$C$1588))</f>
        <v>0</v>
      </c>
      <c r="R1591" s="121">
        <f t="shared" ref="R1591:R1638" si="649">MIN(1,MAX(0,(nr_MEndP1-$G1591+0.5)/$C$1588))-MIN(1,MAX(0,(nr_MStartP1-1-$G1591+0.5)/$C$1588))</f>
        <v>0</v>
      </c>
      <c r="S1591" s="121" t="str">
        <f t="shared" ref="S1591:S1638" si="650">IF($L$1588,$N1591*IF($O$1588=1,$O1591/$F$1588,1),"")</f>
        <v/>
      </c>
      <c r="T1591" s="121" t="str">
        <f t="shared" ref="T1591:T1638" si="651">IF(NOT($L$1588),"",IF($G1591&lt;nr_MStartP,$S1591,$T1579*(1+IF($G1591&lt;nr_MStartP1,$M$1588,$N$1588))))</f>
        <v/>
      </c>
      <c r="U1591" s="121">
        <f t="shared" ref="U1591:U1638" si="652">IF($L$1588,$T1591,$N1591)</f>
        <v>1</v>
      </c>
    </row>
    <row r="1592" spans="1:21" x14ac:dyDescent="0.3">
      <c r="A1592" s="187">
        <v>2</v>
      </c>
      <c r="B1592" s="242">
        <f t="shared" ref="B1592:B1638" si="653">EDATE($B1591,1)</f>
        <v>45689</v>
      </c>
      <c r="C1592" s="243">
        <f t="shared" si="634"/>
        <v>45716</v>
      </c>
      <c r="D1592" s="120">
        <f t="shared" si="635"/>
        <v>28</v>
      </c>
      <c r="E1592" s="120">
        <f t="shared" si="636"/>
        <v>2</v>
      </c>
      <c r="F1592" s="275">
        <f t="shared" si="637"/>
        <v>45703</v>
      </c>
      <c r="G1592" s="120">
        <f t="shared" si="638"/>
        <v>24301</v>
      </c>
      <c r="H1592" s="245">
        <f t="shared" si="639"/>
        <v>1</v>
      </c>
      <c r="I1592" s="121">
        <f t="shared" si="640"/>
        <v>1</v>
      </c>
      <c r="J1592" s="121">
        <f t="shared" si="641"/>
        <v>1</v>
      </c>
      <c r="K1592" s="120">
        <f t="shared" si="642"/>
        <v>0</v>
      </c>
      <c r="L1592" s="120">
        <f t="shared" si="643"/>
        <v>0</v>
      </c>
      <c r="M1592" s="246">
        <f t="shared" si="644"/>
        <v>0</v>
      </c>
      <c r="N1592" s="121">
        <f t="shared" si="645"/>
        <v>1</v>
      </c>
      <c r="O1592" s="246">
        <f t="shared" si="646"/>
        <v>0.92297592997811817</v>
      </c>
      <c r="P1592" s="121">
        <f t="shared" si="647"/>
        <v>0</v>
      </c>
      <c r="Q1592" s="121">
        <f t="shared" si="648"/>
        <v>0</v>
      </c>
      <c r="R1592" s="121">
        <f t="shared" si="649"/>
        <v>0</v>
      </c>
      <c r="S1592" s="121" t="str">
        <f t="shared" si="650"/>
        <v/>
      </c>
      <c r="T1592" s="121" t="str">
        <f t="shared" si="651"/>
        <v/>
      </c>
      <c r="U1592" s="121">
        <f t="shared" si="652"/>
        <v>1</v>
      </c>
    </row>
    <row r="1593" spans="1:21" x14ac:dyDescent="0.3">
      <c r="A1593" s="187">
        <v>3</v>
      </c>
      <c r="B1593" s="242">
        <f t="shared" si="653"/>
        <v>45717</v>
      </c>
      <c r="C1593" s="243">
        <f t="shared" si="634"/>
        <v>45747</v>
      </c>
      <c r="D1593" s="120">
        <f t="shared" si="635"/>
        <v>31</v>
      </c>
      <c r="E1593" s="120">
        <f t="shared" si="636"/>
        <v>3</v>
      </c>
      <c r="F1593" s="275">
        <f t="shared" si="637"/>
        <v>45732.5</v>
      </c>
      <c r="G1593" s="120">
        <f t="shared" si="638"/>
        <v>24302</v>
      </c>
      <c r="H1593" s="245">
        <f t="shared" si="639"/>
        <v>1</v>
      </c>
      <c r="I1593" s="121">
        <f t="shared" si="640"/>
        <v>1</v>
      </c>
      <c r="J1593" s="121">
        <f t="shared" si="641"/>
        <v>1</v>
      </c>
      <c r="K1593" s="120">
        <f t="shared" si="642"/>
        <v>0</v>
      </c>
      <c r="L1593" s="120">
        <f t="shared" si="643"/>
        <v>0</v>
      </c>
      <c r="M1593" s="246">
        <f t="shared" si="644"/>
        <v>0</v>
      </c>
      <c r="N1593" s="121">
        <f t="shared" si="645"/>
        <v>1</v>
      </c>
      <c r="O1593" s="246">
        <f t="shared" si="646"/>
        <v>0.92233041575492336</v>
      </c>
      <c r="P1593" s="121">
        <f t="shared" si="647"/>
        <v>0</v>
      </c>
      <c r="Q1593" s="121">
        <f t="shared" si="648"/>
        <v>0</v>
      </c>
      <c r="R1593" s="121">
        <f t="shared" si="649"/>
        <v>0</v>
      </c>
      <c r="S1593" s="121" t="str">
        <f t="shared" si="650"/>
        <v/>
      </c>
      <c r="T1593" s="121" t="str">
        <f t="shared" si="651"/>
        <v/>
      </c>
      <c r="U1593" s="121">
        <f t="shared" si="652"/>
        <v>1</v>
      </c>
    </row>
    <row r="1594" spans="1:21" x14ac:dyDescent="0.3">
      <c r="A1594" s="187">
        <v>4</v>
      </c>
      <c r="B1594" s="242">
        <f t="shared" si="653"/>
        <v>45748</v>
      </c>
      <c r="C1594" s="243">
        <f t="shared" si="634"/>
        <v>45777</v>
      </c>
      <c r="D1594" s="120">
        <f t="shared" si="635"/>
        <v>30</v>
      </c>
      <c r="E1594" s="120">
        <f t="shared" si="636"/>
        <v>4</v>
      </c>
      <c r="F1594" s="275">
        <f t="shared" si="637"/>
        <v>45763</v>
      </c>
      <c r="G1594" s="120">
        <f t="shared" si="638"/>
        <v>24303</v>
      </c>
      <c r="H1594" s="245">
        <f t="shared" si="639"/>
        <v>1</v>
      </c>
      <c r="I1594" s="121">
        <f t="shared" si="640"/>
        <v>1</v>
      </c>
      <c r="J1594" s="121">
        <f t="shared" si="641"/>
        <v>1</v>
      </c>
      <c r="K1594" s="120">
        <f t="shared" si="642"/>
        <v>0</v>
      </c>
      <c r="L1594" s="120">
        <f t="shared" si="643"/>
        <v>0</v>
      </c>
      <c r="M1594" s="246">
        <f t="shared" si="644"/>
        <v>0</v>
      </c>
      <c r="N1594" s="121">
        <f t="shared" si="645"/>
        <v>1</v>
      </c>
      <c r="O1594" s="246">
        <f t="shared" si="646"/>
        <v>0.92166301969365427</v>
      </c>
      <c r="P1594" s="121">
        <f t="shared" si="647"/>
        <v>0</v>
      </c>
      <c r="Q1594" s="121">
        <f t="shared" si="648"/>
        <v>0</v>
      </c>
      <c r="R1594" s="121">
        <f t="shared" si="649"/>
        <v>0</v>
      </c>
      <c r="S1594" s="121" t="str">
        <f t="shared" si="650"/>
        <v/>
      </c>
      <c r="T1594" s="121" t="str">
        <f t="shared" si="651"/>
        <v/>
      </c>
      <c r="U1594" s="121">
        <f t="shared" si="652"/>
        <v>1</v>
      </c>
    </row>
    <row r="1595" spans="1:21" x14ac:dyDescent="0.3">
      <c r="A1595" s="187">
        <v>5</v>
      </c>
      <c r="B1595" s="242">
        <f t="shared" si="653"/>
        <v>45778</v>
      </c>
      <c r="C1595" s="243">
        <f t="shared" si="634"/>
        <v>45808</v>
      </c>
      <c r="D1595" s="120">
        <f t="shared" si="635"/>
        <v>31</v>
      </c>
      <c r="E1595" s="120">
        <f t="shared" si="636"/>
        <v>5</v>
      </c>
      <c r="F1595" s="275">
        <f t="shared" si="637"/>
        <v>45793.5</v>
      </c>
      <c r="G1595" s="120">
        <f t="shared" si="638"/>
        <v>24304</v>
      </c>
      <c r="H1595" s="245">
        <f t="shared" si="639"/>
        <v>1</v>
      </c>
      <c r="I1595" s="121">
        <f t="shared" si="640"/>
        <v>1</v>
      </c>
      <c r="J1595" s="121">
        <f t="shared" si="641"/>
        <v>1</v>
      </c>
      <c r="K1595" s="120">
        <f t="shared" si="642"/>
        <v>0</v>
      </c>
      <c r="L1595" s="120">
        <f t="shared" si="643"/>
        <v>0</v>
      </c>
      <c r="M1595" s="246">
        <f t="shared" si="644"/>
        <v>0</v>
      </c>
      <c r="N1595" s="121">
        <f t="shared" si="645"/>
        <v>1</v>
      </c>
      <c r="O1595" s="246">
        <f t="shared" si="646"/>
        <v>0.92099562363238507</v>
      </c>
      <c r="P1595" s="121">
        <f t="shared" si="647"/>
        <v>0</v>
      </c>
      <c r="Q1595" s="121">
        <f t="shared" si="648"/>
        <v>0</v>
      </c>
      <c r="R1595" s="121">
        <f t="shared" si="649"/>
        <v>0</v>
      </c>
      <c r="S1595" s="121" t="str">
        <f t="shared" si="650"/>
        <v/>
      </c>
      <c r="T1595" s="121" t="str">
        <f t="shared" si="651"/>
        <v/>
      </c>
      <c r="U1595" s="121">
        <f t="shared" si="652"/>
        <v>1</v>
      </c>
    </row>
    <row r="1596" spans="1:21" x14ac:dyDescent="0.3">
      <c r="A1596" s="187">
        <v>6</v>
      </c>
      <c r="B1596" s="242">
        <f t="shared" si="653"/>
        <v>45809</v>
      </c>
      <c r="C1596" s="243">
        <f t="shared" si="634"/>
        <v>45838</v>
      </c>
      <c r="D1596" s="120">
        <f t="shared" si="635"/>
        <v>30</v>
      </c>
      <c r="E1596" s="120">
        <f t="shared" si="636"/>
        <v>6</v>
      </c>
      <c r="F1596" s="275">
        <f t="shared" si="637"/>
        <v>45824</v>
      </c>
      <c r="G1596" s="120">
        <f t="shared" si="638"/>
        <v>24305</v>
      </c>
      <c r="H1596" s="245">
        <f t="shared" si="639"/>
        <v>1</v>
      </c>
      <c r="I1596" s="121">
        <f t="shared" si="640"/>
        <v>1</v>
      </c>
      <c r="J1596" s="121">
        <f t="shared" si="641"/>
        <v>1</v>
      </c>
      <c r="K1596" s="120">
        <f t="shared" si="642"/>
        <v>0</v>
      </c>
      <c r="L1596" s="120">
        <f t="shared" si="643"/>
        <v>0</v>
      </c>
      <c r="M1596" s="246">
        <f t="shared" si="644"/>
        <v>0</v>
      </c>
      <c r="N1596" s="121">
        <f t="shared" si="645"/>
        <v>1</v>
      </c>
      <c r="O1596" s="246">
        <f t="shared" si="646"/>
        <v>0.92032822757111599</v>
      </c>
      <c r="P1596" s="121">
        <f t="shared" si="647"/>
        <v>0</v>
      </c>
      <c r="Q1596" s="121">
        <f t="shared" si="648"/>
        <v>0</v>
      </c>
      <c r="R1596" s="121">
        <f t="shared" si="649"/>
        <v>0</v>
      </c>
      <c r="S1596" s="121" t="str">
        <f t="shared" si="650"/>
        <v/>
      </c>
      <c r="T1596" s="121" t="str">
        <f t="shared" si="651"/>
        <v/>
      </c>
      <c r="U1596" s="121">
        <f t="shared" si="652"/>
        <v>1</v>
      </c>
    </row>
    <row r="1597" spans="1:21" x14ac:dyDescent="0.3">
      <c r="A1597" s="187">
        <v>7</v>
      </c>
      <c r="B1597" s="242">
        <f t="shared" si="653"/>
        <v>45839</v>
      </c>
      <c r="C1597" s="243">
        <f t="shared" si="634"/>
        <v>45869</v>
      </c>
      <c r="D1597" s="120">
        <f t="shared" si="635"/>
        <v>31</v>
      </c>
      <c r="E1597" s="120">
        <f t="shared" si="636"/>
        <v>7</v>
      </c>
      <c r="F1597" s="275">
        <f t="shared" si="637"/>
        <v>45854.5</v>
      </c>
      <c r="G1597" s="120">
        <f t="shared" si="638"/>
        <v>24306</v>
      </c>
      <c r="H1597" s="245">
        <f t="shared" si="639"/>
        <v>1</v>
      </c>
      <c r="I1597" s="121">
        <f t="shared" si="640"/>
        <v>1</v>
      </c>
      <c r="J1597" s="121">
        <f t="shared" si="641"/>
        <v>1</v>
      </c>
      <c r="K1597" s="120">
        <f t="shared" si="642"/>
        <v>0</v>
      </c>
      <c r="L1597" s="120">
        <f t="shared" si="643"/>
        <v>0</v>
      </c>
      <c r="M1597" s="246">
        <f t="shared" si="644"/>
        <v>0</v>
      </c>
      <c r="N1597" s="121">
        <f t="shared" si="645"/>
        <v>1</v>
      </c>
      <c r="O1597" s="246">
        <f t="shared" si="646"/>
        <v>0.91966083150984679</v>
      </c>
      <c r="P1597" s="121">
        <f t="shared" si="647"/>
        <v>8.333333333333337E-2</v>
      </c>
      <c r="Q1597" s="121">
        <f t="shared" si="648"/>
        <v>0</v>
      </c>
      <c r="R1597" s="121">
        <f t="shared" si="649"/>
        <v>0</v>
      </c>
      <c r="S1597" s="121" t="str">
        <f t="shared" si="650"/>
        <v/>
      </c>
      <c r="T1597" s="121" t="str">
        <f t="shared" si="651"/>
        <v/>
      </c>
      <c r="U1597" s="121">
        <f t="shared" si="652"/>
        <v>1</v>
      </c>
    </row>
    <row r="1598" spans="1:21" x14ac:dyDescent="0.3">
      <c r="A1598" s="187">
        <v>8</v>
      </c>
      <c r="B1598" s="242">
        <f t="shared" si="653"/>
        <v>45870</v>
      </c>
      <c r="C1598" s="243">
        <f t="shared" si="634"/>
        <v>45900</v>
      </c>
      <c r="D1598" s="120">
        <f t="shared" si="635"/>
        <v>31</v>
      </c>
      <c r="E1598" s="120">
        <f t="shared" si="636"/>
        <v>8</v>
      </c>
      <c r="F1598" s="275">
        <f t="shared" si="637"/>
        <v>45885.5</v>
      </c>
      <c r="G1598" s="120">
        <f t="shared" si="638"/>
        <v>24307</v>
      </c>
      <c r="H1598" s="245">
        <f t="shared" si="639"/>
        <v>1</v>
      </c>
      <c r="I1598" s="121">
        <f t="shared" si="640"/>
        <v>1</v>
      </c>
      <c r="J1598" s="121">
        <f t="shared" si="641"/>
        <v>1</v>
      </c>
      <c r="K1598" s="120">
        <f t="shared" si="642"/>
        <v>0</v>
      </c>
      <c r="L1598" s="120">
        <f t="shared" si="643"/>
        <v>0</v>
      </c>
      <c r="M1598" s="246">
        <f t="shared" si="644"/>
        <v>0</v>
      </c>
      <c r="N1598" s="121">
        <f t="shared" si="645"/>
        <v>1</v>
      </c>
      <c r="O1598" s="246">
        <f t="shared" si="646"/>
        <v>0.91898249452954051</v>
      </c>
      <c r="P1598" s="121">
        <f t="shared" si="647"/>
        <v>0.25</v>
      </c>
      <c r="Q1598" s="121">
        <f t="shared" si="648"/>
        <v>0</v>
      </c>
      <c r="R1598" s="121">
        <f t="shared" si="649"/>
        <v>0</v>
      </c>
      <c r="S1598" s="121" t="str">
        <f t="shared" si="650"/>
        <v/>
      </c>
      <c r="T1598" s="121" t="str">
        <f t="shared" si="651"/>
        <v/>
      </c>
      <c r="U1598" s="121">
        <f t="shared" si="652"/>
        <v>1</v>
      </c>
    </row>
    <row r="1599" spans="1:21" x14ac:dyDescent="0.3">
      <c r="A1599" s="187">
        <v>9</v>
      </c>
      <c r="B1599" s="242">
        <f t="shared" si="653"/>
        <v>45901</v>
      </c>
      <c r="C1599" s="243">
        <f t="shared" si="634"/>
        <v>45930</v>
      </c>
      <c r="D1599" s="120">
        <f t="shared" si="635"/>
        <v>30</v>
      </c>
      <c r="E1599" s="120">
        <f t="shared" si="636"/>
        <v>9</v>
      </c>
      <c r="F1599" s="275">
        <f t="shared" si="637"/>
        <v>45916</v>
      </c>
      <c r="G1599" s="120">
        <f t="shared" si="638"/>
        <v>24308</v>
      </c>
      <c r="H1599" s="245">
        <f t="shared" si="639"/>
        <v>1</v>
      </c>
      <c r="I1599" s="121">
        <f t="shared" si="640"/>
        <v>1</v>
      </c>
      <c r="J1599" s="121">
        <f t="shared" si="641"/>
        <v>1</v>
      </c>
      <c r="K1599" s="120">
        <f t="shared" si="642"/>
        <v>0</v>
      </c>
      <c r="L1599" s="120">
        <f t="shared" si="643"/>
        <v>0</v>
      </c>
      <c r="M1599" s="246">
        <f t="shared" si="644"/>
        <v>0</v>
      </c>
      <c r="N1599" s="121">
        <f t="shared" si="645"/>
        <v>1</v>
      </c>
      <c r="O1599" s="246">
        <f t="shared" si="646"/>
        <v>0.91831509846827131</v>
      </c>
      <c r="P1599" s="121">
        <f t="shared" si="647"/>
        <v>0.41666666666666663</v>
      </c>
      <c r="Q1599" s="121">
        <f t="shared" si="648"/>
        <v>0</v>
      </c>
      <c r="R1599" s="121">
        <f t="shared" si="649"/>
        <v>0</v>
      </c>
      <c r="S1599" s="121" t="str">
        <f t="shared" si="650"/>
        <v/>
      </c>
      <c r="T1599" s="121" t="str">
        <f t="shared" si="651"/>
        <v/>
      </c>
      <c r="U1599" s="121">
        <f t="shared" si="652"/>
        <v>1</v>
      </c>
    </row>
    <row r="1600" spans="1:21" x14ac:dyDescent="0.3">
      <c r="A1600" s="187">
        <v>10</v>
      </c>
      <c r="B1600" s="242">
        <f t="shared" si="653"/>
        <v>45931</v>
      </c>
      <c r="C1600" s="243">
        <f t="shared" si="634"/>
        <v>45961</v>
      </c>
      <c r="D1600" s="120">
        <f t="shared" si="635"/>
        <v>31</v>
      </c>
      <c r="E1600" s="120">
        <f t="shared" si="636"/>
        <v>10</v>
      </c>
      <c r="F1600" s="275">
        <f t="shared" si="637"/>
        <v>45946.5</v>
      </c>
      <c r="G1600" s="120">
        <f t="shared" si="638"/>
        <v>24309</v>
      </c>
      <c r="H1600" s="245">
        <f t="shared" si="639"/>
        <v>1</v>
      </c>
      <c r="I1600" s="121">
        <f t="shared" si="640"/>
        <v>1</v>
      </c>
      <c r="J1600" s="121">
        <f t="shared" si="641"/>
        <v>1</v>
      </c>
      <c r="K1600" s="120">
        <f t="shared" si="642"/>
        <v>0</v>
      </c>
      <c r="L1600" s="120">
        <f t="shared" si="643"/>
        <v>0</v>
      </c>
      <c r="M1600" s="246">
        <f t="shared" si="644"/>
        <v>0</v>
      </c>
      <c r="N1600" s="121">
        <f t="shared" si="645"/>
        <v>1</v>
      </c>
      <c r="O1600" s="246">
        <f t="shared" si="646"/>
        <v>0.91764770240700222</v>
      </c>
      <c r="P1600" s="121">
        <f t="shared" si="647"/>
        <v>0.58333333333333326</v>
      </c>
      <c r="Q1600" s="121">
        <f t="shared" si="648"/>
        <v>0</v>
      </c>
      <c r="R1600" s="121">
        <f t="shared" si="649"/>
        <v>0</v>
      </c>
      <c r="S1600" s="121" t="str">
        <f t="shared" si="650"/>
        <v/>
      </c>
      <c r="T1600" s="121" t="str">
        <f t="shared" si="651"/>
        <v/>
      </c>
      <c r="U1600" s="121">
        <f t="shared" si="652"/>
        <v>1</v>
      </c>
    </row>
    <row r="1601" spans="1:21" x14ac:dyDescent="0.3">
      <c r="A1601" s="187">
        <v>11</v>
      </c>
      <c r="B1601" s="242">
        <f t="shared" si="653"/>
        <v>45962</v>
      </c>
      <c r="C1601" s="243">
        <f t="shared" si="634"/>
        <v>45991</v>
      </c>
      <c r="D1601" s="120">
        <f t="shared" si="635"/>
        <v>30</v>
      </c>
      <c r="E1601" s="120">
        <f t="shared" si="636"/>
        <v>11</v>
      </c>
      <c r="F1601" s="275">
        <f t="shared" si="637"/>
        <v>45977</v>
      </c>
      <c r="G1601" s="120">
        <f t="shared" si="638"/>
        <v>24310</v>
      </c>
      <c r="H1601" s="245">
        <f t="shared" si="639"/>
        <v>1</v>
      </c>
      <c r="I1601" s="121">
        <f t="shared" si="640"/>
        <v>1</v>
      </c>
      <c r="J1601" s="121">
        <f t="shared" si="641"/>
        <v>1</v>
      </c>
      <c r="K1601" s="120">
        <f t="shared" si="642"/>
        <v>0</v>
      </c>
      <c r="L1601" s="120">
        <f t="shared" si="643"/>
        <v>0</v>
      </c>
      <c r="M1601" s="246">
        <f t="shared" si="644"/>
        <v>0</v>
      </c>
      <c r="N1601" s="121">
        <f t="shared" si="645"/>
        <v>1</v>
      </c>
      <c r="O1601" s="246">
        <f t="shared" si="646"/>
        <v>0.91698030634573302</v>
      </c>
      <c r="P1601" s="121">
        <f t="shared" si="647"/>
        <v>0.75</v>
      </c>
      <c r="Q1601" s="121">
        <f t="shared" si="648"/>
        <v>0</v>
      </c>
      <c r="R1601" s="121">
        <f t="shared" si="649"/>
        <v>0</v>
      </c>
      <c r="S1601" s="121" t="str">
        <f t="shared" si="650"/>
        <v/>
      </c>
      <c r="T1601" s="121" t="str">
        <f t="shared" si="651"/>
        <v/>
      </c>
      <c r="U1601" s="121">
        <f t="shared" si="652"/>
        <v>1</v>
      </c>
    </row>
    <row r="1602" spans="1:21" x14ac:dyDescent="0.3">
      <c r="A1602" s="187">
        <v>12</v>
      </c>
      <c r="B1602" s="242">
        <f t="shared" si="653"/>
        <v>45992</v>
      </c>
      <c r="C1602" s="243">
        <f t="shared" si="634"/>
        <v>46022</v>
      </c>
      <c r="D1602" s="120">
        <f t="shared" si="635"/>
        <v>31</v>
      </c>
      <c r="E1602" s="120">
        <f t="shared" si="636"/>
        <v>12</v>
      </c>
      <c r="F1602" s="275">
        <f t="shared" si="637"/>
        <v>46007.5</v>
      </c>
      <c r="G1602" s="120">
        <f t="shared" si="638"/>
        <v>24311</v>
      </c>
      <c r="H1602" s="245">
        <f t="shared" si="639"/>
        <v>1</v>
      </c>
      <c r="I1602" s="121">
        <f t="shared" si="640"/>
        <v>1</v>
      </c>
      <c r="J1602" s="121">
        <f t="shared" si="641"/>
        <v>1</v>
      </c>
      <c r="K1602" s="120">
        <f t="shared" si="642"/>
        <v>0</v>
      </c>
      <c r="L1602" s="120">
        <f t="shared" si="643"/>
        <v>0</v>
      </c>
      <c r="M1602" s="246">
        <f t="shared" si="644"/>
        <v>0</v>
      </c>
      <c r="N1602" s="121">
        <f t="shared" si="645"/>
        <v>1</v>
      </c>
      <c r="O1602" s="246">
        <f t="shared" si="646"/>
        <v>0.91631291028446393</v>
      </c>
      <c r="P1602" s="121">
        <f t="shared" si="647"/>
        <v>0.91666666666666663</v>
      </c>
      <c r="Q1602" s="121">
        <f t="shared" si="648"/>
        <v>0</v>
      </c>
      <c r="R1602" s="121">
        <f t="shared" si="649"/>
        <v>0</v>
      </c>
      <c r="S1602" s="121" t="str">
        <f t="shared" si="650"/>
        <v/>
      </c>
      <c r="T1602" s="121" t="str">
        <f t="shared" si="651"/>
        <v/>
      </c>
      <c r="U1602" s="121">
        <f t="shared" si="652"/>
        <v>1</v>
      </c>
    </row>
    <row r="1603" spans="1:21" x14ac:dyDescent="0.3">
      <c r="A1603" s="187">
        <v>13</v>
      </c>
      <c r="B1603" s="242">
        <f t="shared" si="653"/>
        <v>46023</v>
      </c>
      <c r="C1603" s="243">
        <f t="shared" si="634"/>
        <v>46053</v>
      </c>
      <c r="D1603" s="120">
        <f t="shared" si="635"/>
        <v>31</v>
      </c>
      <c r="E1603" s="120">
        <f t="shared" si="636"/>
        <v>1</v>
      </c>
      <c r="F1603" s="275">
        <f t="shared" si="637"/>
        <v>46038.5</v>
      </c>
      <c r="G1603" s="120">
        <f t="shared" si="638"/>
        <v>24312</v>
      </c>
      <c r="H1603" s="245">
        <f t="shared" si="639"/>
        <v>1</v>
      </c>
      <c r="I1603" s="121">
        <f t="shared" si="640"/>
        <v>1</v>
      </c>
      <c r="J1603" s="121">
        <f t="shared" si="641"/>
        <v>1</v>
      </c>
      <c r="K1603" s="120">
        <f t="shared" si="642"/>
        <v>0</v>
      </c>
      <c r="L1603" s="120">
        <f t="shared" si="643"/>
        <v>0</v>
      </c>
      <c r="M1603" s="246">
        <f t="shared" si="644"/>
        <v>0</v>
      </c>
      <c r="N1603" s="121">
        <f t="shared" si="645"/>
        <v>1</v>
      </c>
      <c r="O1603" s="246">
        <f t="shared" si="646"/>
        <v>0.91563457330415754</v>
      </c>
      <c r="P1603" s="121">
        <f t="shared" si="647"/>
        <v>1</v>
      </c>
      <c r="Q1603" s="121">
        <f t="shared" si="648"/>
        <v>0</v>
      </c>
      <c r="R1603" s="121">
        <f t="shared" si="649"/>
        <v>0</v>
      </c>
      <c r="S1603" s="121" t="str">
        <f t="shared" si="650"/>
        <v/>
      </c>
      <c r="T1603" s="121" t="str">
        <f t="shared" si="651"/>
        <v/>
      </c>
      <c r="U1603" s="121">
        <f t="shared" si="652"/>
        <v>1</v>
      </c>
    </row>
    <row r="1604" spans="1:21" x14ac:dyDescent="0.3">
      <c r="A1604" s="187">
        <v>14</v>
      </c>
      <c r="B1604" s="242">
        <f t="shared" si="653"/>
        <v>46054</v>
      </c>
      <c r="C1604" s="243">
        <f t="shared" si="634"/>
        <v>46081</v>
      </c>
      <c r="D1604" s="120">
        <f t="shared" si="635"/>
        <v>28</v>
      </c>
      <c r="E1604" s="120">
        <f t="shared" si="636"/>
        <v>2</v>
      </c>
      <c r="F1604" s="275">
        <f t="shared" si="637"/>
        <v>46068</v>
      </c>
      <c r="G1604" s="120">
        <f t="shared" si="638"/>
        <v>24313</v>
      </c>
      <c r="H1604" s="245">
        <f t="shared" si="639"/>
        <v>1</v>
      </c>
      <c r="I1604" s="121">
        <f t="shared" si="640"/>
        <v>1</v>
      </c>
      <c r="J1604" s="121">
        <f t="shared" si="641"/>
        <v>1</v>
      </c>
      <c r="K1604" s="120">
        <f t="shared" si="642"/>
        <v>0</v>
      </c>
      <c r="L1604" s="120">
        <f t="shared" si="643"/>
        <v>0</v>
      </c>
      <c r="M1604" s="246">
        <f t="shared" si="644"/>
        <v>0</v>
      </c>
      <c r="N1604" s="121">
        <f t="shared" si="645"/>
        <v>1</v>
      </c>
      <c r="O1604" s="246">
        <f t="shared" si="646"/>
        <v>0.91498905908096284</v>
      </c>
      <c r="P1604" s="121">
        <f t="shared" si="647"/>
        <v>1</v>
      </c>
      <c r="Q1604" s="121">
        <f t="shared" si="648"/>
        <v>0</v>
      </c>
      <c r="R1604" s="121">
        <f t="shared" si="649"/>
        <v>0</v>
      </c>
      <c r="S1604" s="121" t="str">
        <f t="shared" si="650"/>
        <v/>
      </c>
      <c r="T1604" s="121" t="str">
        <f t="shared" si="651"/>
        <v/>
      </c>
      <c r="U1604" s="121">
        <f t="shared" si="652"/>
        <v>1</v>
      </c>
    </row>
    <row r="1605" spans="1:21" x14ac:dyDescent="0.3">
      <c r="A1605" s="187">
        <v>15</v>
      </c>
      <c r="B1605" s="242">
        <f t="shared" si="653"/>
        <v>46082</v>
      </c>
      <c r="C1605" s="243">
        <f t="shared" si="634"/>
        <v>46112</v>
      </c>
      <c r="D1605" s="120">
        <f t="shared" si="635"/>
        <v>31</v>
      </c>
      <c r="E1605" s="120">
        <f t="shared" si="636"/>
        <v>3</v>
      </c>
      <c r="F1605" s="275">
        <f t="shared" si="637"/>
        <v>46097.5</v>
      </c>
      <c r="G1605" s="120">
        <f t="shared" si="638"/>
        <v>24314</v>
      </c>
      <c r="H1605" s="245">
        <f t="shared" si="639"/>
        <v>1</v>
      </c>
      <c r="I1605" s="121">
        <f t="shared" si="640"/>
        <v>1</v>
      </c>
      <c r="J1605" s="121">
        <f t="shared" si="641"/>
        <v>1</v>
      </c>
      <c r="K1605" s="120">
        <f t="shared" si="642"/>
        <v>0</v>
      </c>
      <c r="L1605" s="120">
        <f t="shared" si="643"/>
        <v>0</v>
      </c>
      <c r="M1605" s="246">
        <f t="shared" si="644"/>
        <v>0</v>
      </c>
      <c r="N1605" s="121">
        <f t="shared" si="645"/>
        <v>1</v>
      </c>
      <c r="O1605" s="246">
        <f t="shared" si="646"/>
        <v>0.91434354485776803</v>
      </c>
      <c r="P1605" s="121">
        <f t="shared" si="647"/>
        <v>1</v>
      </c>
      <c r="Q1605" s="121">
        <f t="shared" si="648"/>
        <v>0</v>
      </c>
      <c r="R1605" s="121">
        <f t="shared" si="649"/>
        <v>0</v>
      </c>
      <c r="S1605" s="121" t="str">
        <f t="shared" si="650"/>
        <v/>
      </c>
      <c r="T1605" s="121" t="str">
        <f t="shared" si="651"/>
        <v/>
      </c>
      <c r="U1605" s="121">
        <f t="shared" si="652"/>
        <v>1</v>
      </c>
    </row>
    <row r="1606" spans="1:21" x14ac:dyDescent="0.3">
      <c r="A1606" s="187">
        <v>16</v>
      </c>
      <c r="B1606" s="242">
        <f t="shared" si="653"/>
        <v>46113</v>
      </c>
      <c r="C1606" s="243">
        <f t="shared" si="634"/>
        <v>46142</v>
      </c>
      <c r="D1606" s="120">
        <f t="shared" si="635"/>
        <v>30</v>
      </c>
      <c r="E1606" s="120">
        <f t="shared" si="636"/>
        <v>4</v>
      </c>
      <c r="F1606" s="275">
        <f t="shared" si="637"/>
        <v>46128</v>
      </c>
      <c r="G1606" s="120">
        <f t="shared" si="638"/>
        <v>24315</v>
      </c>
      <c r="H1606" s="245">
        <f t="shared" si="639"/>
        <v>1</v>
      </c>
      <c r="I1606" s="121">
        <f t="shared" si="640"/>
        <v>1</v>
      </c>
      <c r="J1606" s="121">
        <f t="shared" si="641"/>
        <v>1</v>
      </c>
      <c r="K1606" s="120">
        <f t="shared" si="642"/>
        <v>0</v>
      </c>
      <c r="L1606" s="120">
        <f t="shared" si="643"/>
        <v>0</v>
      </c>
      <c r="M1606" s="246">
        <f t="shared" si="644"/>
        <v>0</v>
      </c>
      <c r="N1606" s="121">
        <f t="shared" si="645"/>
        <v>1</v>
      </c>
      <c r="O1606" s="246">
        <f t="shared" si="646"/>
        <v>0.91367614879649894</v>
      </c>
      <c r="P1606" s="121">
        <f t="shared" si="647"/>
        <v>1</v>
      </c>
      <c r="Q1606" s="121">
        <f t="shared" si="648"/>
        <v>0</v>
      </c>
      <c r="R1606" s="121">
        <f t="shared" si="649"/>
        <v>0</v>
      </c>
      <c r="S1606" s="121" t="str">
        <f t="shared" si="650"/>
        <v/>
      </c>
      <c r="T1606" s="121" t="str">
        <f t="shared" si="651"/>
        <v/>
      </c>
      <c r="U1606" s="121">
        <f t="shared" si="652"/>
        <v>1</v>
      </c>
    </row>
    <row r="1607" spans="1:21" x14ac:dyDescent="0.3">
      <c r="A1607" s="187">
        <v>17</v>
      </c>
      <c r="B1607" s="242">
        <f t="shared" si="653"/>
        <v>46143</v>
      </c>
      <c r="C1607" s="243">
        <f t="shared" si="634"/>
        <v>46173</v>
      </c>
      <c r="D1607" s="120">
        <f t="shared" si="635"/>
        <v>31</v>
      </c>
      <c r="E1607" s="120">
        <f t="shared" si="636"/>
        <v>5</v>
      </c>
      <c r="F1607" s="275">
        <f t="shared" si="637"/>
        <v>46158.5</v>
      </c>
      <c r="G1607" s="120">
        <f t="shared" si="638"/>
        <v>24316</v>
      </c>
      <c r="H1607" s="245">
        <f t="shared" si="639"/>
        <v>1</v>
      </c>
      <c r="I1607" s="121">
        <f t="shared" si="640"/>
        <v>1</v>
      </c>
      <c r="J1607" s="121">
        <f t="shared" si="641"/>
        <v>1.05</v>
      </c>
      <c r="K1607" s="120">
        <f t="shared" si="642"/>
        <v>1</v>
      </c>
      <c r="L1607" s="120">
        <f t="shared" si="643"/>
        <v>31</v>
      </c>
      <c r="M1607" s="246">
        <f t="shared" si="644"/>
        <v>1</v>
      </c>
      <c r="N1607" s="121">
        <f t="shared" si="645"/>
        <v>1.05</v>
      </c>
      <c r="O1607" s="246">
        <f t="shared" si="646"/>
        <v>0.91300875273522974</v>
      </c>
      <c r="P1607" s="121">
        <f t="shared" si="647"/>
        <v>1</v>
      </c>
      <c r="Q1607" s="121">
        <f t="shared" si="648"/>
        <v>0</v>
      </c>
      <c r="R1607" s="121">
        <f t="shared" si="649"/>
        <v>0</v>
      </c>
      <c r="S1607" s="121" t="str">
        <f t="shared" si="650"/>
        <v/>
      </c>
      <c r="T1607" s="121" t="str">
        <f t="shared" si="651"/>
        <v/>
      </c>
      <c r="U1607" s="121">
        <f t="shared" si="652"/>
        <v>1.05</v>
      </c>
    </row>
    <row r="1608" spans="1:21" x14ac:dyDescent="0.3">
      <c r="A1608" s="187">
        <v>18</v>
      </c>
      <c r="B1608" s="242">
        <f t="shared" si="653"/>
        <v>46174</v>
      </c>
      <c r="C1608" s="243">
        <f t="shared" si="634"/>
        <v>46203</v>
      </c>
      <c r="D1608" s="120">
        <f t="shared" si="635"/>
        <v>30</v>
      </c>
      <c r="E1608" s="120">
        <f t="shared" si="636"/>
        <v>6</v>
      </c>
      <c r="F1608" s="275">
        <f t="shared" si="637"/>
        <v>46189</v>
      </c>
      <c r="G1608" s="120">
        <f t="shared" si="638"/>
        <v>24317</v>
      </c>
      <c r="H1608" s="245">
        <f t="shared" si="639"/>
        <v>1</v>
      </c>
      <c r="I1608" s="121">
        <f t="shared" si="640"/>
        <v>1.05</v>
      </c>
      <c r="J1608" s="121">
        <f t="shared" si="641"/>
        <v>1.05</v>
      </c>
      <c r="K1608" s="120">
        <f t="shared" si="642"/>
        <v>0</v>
      </c>
      <c r="L1608" s="120">
        <f t="shared" si="643"/>
        <v>0</v>
      </c>
      <c r="M1608" s="246">
        <f t="shared" si="644"/>
        <v>0</v>
      </c>
      <c r="N1608" s="121">
        <f t="shared" si="645"/>
        <v>1.05</v>
      </c>
      <c r="O1608" s="246">
        <f t="shared" si="646"/>
        <v>0.91234135667396066</v>
      </c>
      <c r="P1608" s="121">
        <f t="shared" si="647"/>
        <v>1</v>
      </c>
      <c r="Q1608" s="121">
        <f t="shared" si="648"/>
        <v>0</v>
      </c>
      <c r="R1608" s="121">
        <f t="shared" si="649"/>
        <v>0</v>
      </c>
      <c r="S1608" s="121" t="str">
        <f t="shared" si="650"/>
        <v/>
      </c>
      <c r="T1608" s="121" t="str">
        <f t="shared" si="651"/>
        <v/>
      </c>
      <c r="U1608" s="121">
        <f t="shared" si="652"/>
        <v>1.05</v>
      </c>
    </row>
    <row r="1609" spans="1:21" x14ac:dyDescent="0.3">
      <c r="A1609" s="187">
        <v>19</v>
      </c>
      <c r="B1609" s="242">
        <f t="shared" si="653"/>
        <v>46204</v>
      </c>
      <c r="C1609" s="243">
        <f t="shared" si="634"/>
        <v>46234</v>
      </c>
      <c r="D1609" s="120">
        <f t="shared" si="635"/>
        <v>31</v>
      </c>
      <c r="E1609" s="120">
        <f t="shared" si="636"/>
        <v>7</v>
      </c>
      <c r="F1609" s="275">
        <f t="shared" si="637"/>
        <v>46219.5</v>
      </c>
      <c r="G1609" s="120">
        <f t="shared" si="638"/>
        <v>24318</v>
      </c>
      <c r="H1609" s="245">
        <f t="shared" si="639"/>
        <v>1</v>
      </c>
      <c r="I1609" s="121">
        <f t="shared" si="640"/>
        <v>1.05</v>
      </c>
      <c r="J1609" s="121">
        <f t="shared" si="641"/>
        <v>1.05</v>
      </c>
      <c r="K1609" s="120">
        <f t="shared" si="642"/>
        <v>0</v>
      </c>
      <c r="L1609" s="120">
        <f t="shared" si="643"/>
        <v>0</v>
      </c>
      <c r="M1609" s="246">
        <f t="shared" si="644"/>
        <v>0</v>
      </c>
      <c r="N1609" s="121">
        <f t="shared" si="645"/>
        <v>1.05</v>
      </c>
      <c r="O1609" s="246">
        <f t="shared" si="646"/>
        <v>0.91167396061269146</v>
      </c>
      <c r="P1609" s="121">
        <f t="shared" si="647"/>
        <v>0.91666666666666663</v>
      </c>
      <c r="Q1609" s="121">
        <f t="shared" si="648"/>
        <v>8.333333333333337E-2</v>
      </c>
      <c r="R1609" s="121">
        <f t="shared" si="649"/>
        <v>0</v>
      </c>
      <c r="S1609" s="121" t="str">
        <f t="shared" si="650"/>
        <v/>
      </c>
      <c r="T1609" s="121" t="str">
        <f t="shared" si="651"/>
        <v/>
      </c>
      <c r="U1609" s="121">
        <f t="shared" si="652"/>
        <v>1.05</v>
      </c>
    </row>
    <row r="1610" spans="1:21" x14ac:dyDescent="0.3">
      <c r="A1610" s="187">
        <v>20</v>
      </c>
      <c r="B1610" s="242">
        <f t="shared" si="653"/>
        <v>46235</v>
      </c>
      <c r="C1610" s="243">
        <f t="shared" si="634"/>
        <v>46265</v>
      </c>
      <c r="D1610" s="120">
        <f t="shared" si="635"/>
        <v>31</v>
      </c>
      <c r="E1610" s="120">
        <f t="shared" si="636"/>
        <v>8</v>
      </c>
      <c r="F1610" s="275">
        <f t="shared" si="637"/>
        <v>46250.5</v>
      </c>
      <c r="G1610" s="120">
        <f t="shared" si="638"/>
        <v>24319</v>
      </c>
      <c r="H1610" s="245">
        <f t="shared" si="639"/>
        <v>1</v>
      </c>
      <c r="I1610" s="121">
        <f t="shared" si="640"/>
        <v>1.05</v>
      </c>
      <c r="J1610" s="121">
        <f t="shared" si="641"/>
        <v>1.05</v>
      </c>
      <c r="K1610" s="120">
        <f t="shared" si="642"/>
        <v>0</v>
      </c>
      <c r="L1610" s="120">
        <f t="shared" si="643"/>
        <v>0</v>
      </c>
      <c r="M1610" s="246">
        <f t="shared" si="644"/>
        <v>0</v>
      </c>
      <c r="N1610" s="121">
        <f t="shared" si="645"/>
        <v>1.05</v>
      </c>
      <c r="O1610" s="246">
        <f t="shared" si="646"/>
        <v>0.91099562363238518</v>
      </c>
      <c r="P1610" s="121">
        <f t="shared" si="647"/>
        <v>0.75</v>
      </c>
      <c r="Q1610" s="121">
        <f t="shared" si="648"/>
        <v>0.25</v>
      </c>
      <c r="R1610" s="121">
        <f t="shared" si="649"/>
        <v>0</v>
      </c>
      <c r="S1610" s="121" t="str">
        <f t="shared" si="650"/>
        <v/>
      </c>
      <c r="T1610" s="121" t="str">
        <f t="shared" si="651"/>
        <v/>
      </c>
      <c r="U1610" s="121">
        <f t="shared" si="652"/>
        <v>1.05</v>
      </c>
    </row>
    <row r="1611" spans="1:21" x14ac:dyDescent="0.3">
      <c r="A1611" s="187">
        <v>21</v>
      </c>
      <c r="B1611" s="242">
        <f t="shared" si="653"/>
        <v>46266</v>
      </c>
      <c r="C1611" s="243">
        <f t="shared" si="634"/>
        <v>46295</v>
      </c>
      <c r="D1611" s="120">
        <f t="shared" si="635"/>
        <v>30</v>
      </c>
      <c r="E1611" s="120">
        <f t="shared" si="636"/>
        <v>9</v>
      </c>
      <c r="F1611" s="275">
        <f t="shared" si="637"/>
        <v>46281</v>
      </c>
      <c r="G1611" s="120">
        <f t="shared" si="638"/>
        <v>24320</v>
      </c>
      <c r="H1611" s="245">
        <f t="shared" si="639"/>
        <v>1</v>
      </c>
      <c r="I1611" s="121">
        <f t="shared" si="640"/>
        <v>1.05</v>
      </c>
      <c r="J1611" s="121">
        <f t="shared" si="641"/>
        <v>1.05</v>
      </c>
      <c r="K1611" s="120">
        <f t="shared" si="642"/>
        <v>0</v>
      </c>
      <c r="L1611" s="120">
        <f t="shared" si="643"/>
        <v>0</v>
      </c>
      <c r="M1611" s="246">
        <f t="shared" si="644"/>
        <v>0</v>
      </c>
      <c r="N1611" s="121">
        <f t="shared" si="645"/>
        <v>1.05</v>
      </c>
      <c r="O1611" s="246">
        <f t="shared" si="646"/>
        <v>0.91032822757111598</v>
      </c>
      <c r="P1611" s="121">
        <f t="shared" si="647"/>
        <v>0.58333333333333337</v>
      </c>
      <c r="Q1611" s="121">
        <f t="shared" si="648"/>
        <v>0.41666666666666663</v>
      </c>
      <c r="R1611" s="121">
        <f t="shared" si="649"/>
        <v>0</v>
      </c>
      <c r="S1611" s="121" t="str">
        <f t="shared" si="650"/>
        <v/>
      </c>
      <c r="T1611" s="121" t="str">
        <f t="shared" si="651"/>
        <v/>
      </c>
      <c r="U1611" s="121">
        <f t="shared" si="652"/>
        <v>1.05</v>
      </c>
    </row>
    <row r="1612" spans="1:21" x14ac:dyDescent="0.3">
      <c r="A1612" s="187">
        <v>22</v>
      </c>
      <c r="B1612" s="242">
        <f t="shared" si="653"/>
        <v>46296</v>
      </c>
      <c r="C1612" s="243">
        <f t="shared" si="634"/>
        <v>46326</v>
      </c>
      <c r="D1612" s="120">
        <f t="shared" si="635"/>
        <v>31</v>
      </c>
      <c r="E1612" s="120">
        <f t="shared" si="636"/>
        <v>10</v>
      </c>
      <c r="F1612" s="275">
        <f t="shared" si="637"/>
        <v>46311.5</v>
      </c>
      <c r="G1612" s="120">
        <f t="shared" si="638"/>
        <v>24321</v>
      </c>
      <c r="H1612" s="245">
        <f t="shared" si="639"/>
        <v>1</v>
      </c>
      <c r="I1612" s="121">
        <f t="shared" si="640"/>
        <v>1.05</v>
      </c>
      <c r="J1612" s="121">
        <f t="shared" si="641"/>
        <v>1.05</v>
      </c>
      <c r="K1612" s="120">
        <f t="shared" si="642"/>
        <v>0</v>
      </c>
      <c r="L1612" s="120">
        <f t="shared" si="643"/>
        <v>0</v>
      </c>
      <c r="M1612" s="246">
        <f t="shared" si="644"/>
        <v>0</v>
      </c>
      <c r="N1612" s="121">
        <f t="shared" si="645"/>
        <v>1.05</v>
      </c>
      <c r="O1612" s="246">
        <f t="shared" si="646"/>
        <v>0.90966083150984689</v>
      </c>
      <c r="P1612" s="121">
        <f t="shared" si="647"/>
        <v>0.41666666666666669</v>
      </c>
      <c r="Q1612" s="121">
        <f t="shared" si="648"/>
        <v>0.58333333333333326</v>
      </c>
      <c r="R1612" s="121">
        <f t="shared" si="649"/>
        <v>0</v>
      </c>
      <c r="S1612" s="121" t="str">
        <f t="shared" si="650"/>
        <v/>
      </c>
      <c r="T1612" s="121" t="str">
        <f t="shared" si="651"/>
        <v/>
      </c>
      <c r="U1612" s="121">
        <f t="shared" si="652"/>
        <v>1.05</v>
      </c>
    </row>
    <row r="1613" spans="1:21" x14ac:dyDescent="0.3">
      <c r="A1613" s="187">
        <v>23</v>
      </c>
      <c r="B1613" s="242">
        <f t="shared" si="653"/>
        <v>46327</v>
      </c>
      <c r="C1613" s="243">
        <f t="shared" si="634"/>
        <v>46356</v>
      </c>
      <c r="D1613" s="120">
        <f t="shared" si="635"/>
        <v>30</v>
      </c>
      <c r="E1613" s="120">
        <f t="shared" si="636"/>
        <v>11</v>
      </c>
      <c r="F1613" s="275">
        <f t="shared" si="637"/>
        <v>46342</v>
      </c>
      <c r="G1613" s="120">
        <f t="shared" si="638"/>
        <v>24322</v>
      </c>
      <c r="H1613" s="245">
        <f t="shared" si="639"/>
        <v>1</v>
      </c>
      <c r="I1613" s="121">
        <f t="shared" si="640"/>
        <v>1.05</v>
      </c>
      <c r="J1613" s="121">
        <f t="shared" si="641"/>
        <v>1.05</v>
      </c>
      <c r="K1613" s="120">
        <f t="shared" si="642"/>
        <v>0</v>
      </c>
      <c r="L1613" s="120">
        <f t="shared" si="643"/>
        <v>0</v>
      </c>
      <c r="M1613" s="246">
        <f t="shared" si="644"/>
        <v>0</v>
      </c>
      <c r="N1613" s="121">
        <f t="shared" si="645"/>
        <v>1.05</v>
      </c>
      <c r="O1613" s="246">
        <f t="shared" si="646"/>
        <v>0.90899343544857769</v>
      </c>
      <c r="P1613" s="121">
        <f t="shared" si="647"/>
        <v>0.25</v>
      </c>
      <c r="Q1613" s="121">
        <f t="shared" si="648"/>
        <v>0.75</v>
      </c>
      <c r="R1613" s="121">
        <f t="shared" si="649"/>
        <v>0</v>
      </c>
      <c r="S1613" s="121" t="str">
        <f t="shared" si="650"/>
        <v/>
      </c>
      <c r="T1613" s="121" t="str">
        <f t="shared" si="651"/>
        <v/>
      </c>
      <c r="U1613" s="121">
        <f t="shared" si="652"/>
        <v>1.05</v>
      </c>
    </row>
    <row r="1614" spans="1:21" x14ac:dyDescent="0.3">
      <c r="A1614" s="187">
        <v>24</v>
      </c>
      <c r="B1614" s="242">
        <f t="shared" si="653"/>
        <v>46357</v>
      </c>
      <c r="C1614" s="243">
        <f t="shared" si="634"/>
        <v>46387</v>
      </c>
      <c r="D1614" s="120">
        <f t="shared" si="635"/>
        <v>31</v>
      </c>
      <c r="E1614" s="120">
        <f t="shared" si="636"/>
        <v>12</v>
      </c>
      <c r="F1614" s="275">
        <f t="shared" si="637"/>
        <v>46372.5</v>
      </c>
      <c r="G1614" s="120">
        <f t="shared" si="638"/>
        <v>24323</v>
      </c>
      <c r="H1614" s="245">
        <f t="shared" si="639"/>
        <v>1</v>
      </c>
      <c r="I1614" s="121">
        <f t="shared" si="640"/>
        <v>1.05</v>
      </c>
      <c r="J1614" s="121">
        <f t="shared" si="641"/>
        <v>1.05</v>
      </c>
      <c r="K1614" s="120">
        <f t="shared" si="642"/>
        <v>0</v>
      </c>
      <c r="L1614" s="120">
        <f t="shared" si="643"/>
        <v>0</v>
      </c>
      <c r="M1614" s="246">
        <f t="shared" si="644"/>
        <v>0</v>
      </c>
      <c r="N1614" s="121">
        <f t="shared" si="645"/>
        <v>1.05</v>
      </c>
      <c r="O1614" s="246">
        <f t="shared" si="646"/>
        <v>0.9083260393873086</v>
      </c>
      <c r="P1614" s="121">
        <f t="shared" si="647"/>
        <v>8.3333333333333329E-2</v>
      </c>
      <c r="Q1614" s="121">
        <f t="shared" si="648"/>
        <v>0.91666666666666663</v>
      </c>
      <c r="R1614" s="121">
        <f t="shared" si="649"/>
        <v>0</v>
      </c>
      <c r="S1614" s="121" t="str">
        <f t="shared" si="650"/>
        <v/>
      </c>
      <c r="T1614" s="121" t="str">
        <f t="shared" si="651"/>
        <v/>
      </c>
      <c r="U1614" s="121">
        <f t="shared" si="652"/>
        <v>1.05</v>
      </c>
    </row>
    <row r="1615" spans="1:21" x14ac:dyDescent="0.3">
      <c r="A1615" s="187">
        <v>25</v>
      </c>
      <c r="B1615" s="242">
        <f t="shared" si="653"/>
        <v>46388</v>
      </c>
      <c r="C1615" s="243">
        <f t="shared" si="634"/>
        <v>46418</v>
      </c>
      <c r="D1615" s="120">
        <f t="shared" si="635"/>
        <v>31</v>
      </c>
      <c r="E1615" s="120">
        <f t="shared" si="636"/>
        <v>1</v>
      </c>
      <c r="F1615" s="275">
        <f t="shared" si="637"/>
        <v>46403.5</v>
      </c>
      <c r="G1615" s="120">
        <f t="shared" si="638"/>
        <v>24324</v>
      </c>
      <c r="H1615" s="245">
        <f t="shared" si="639"/>
        <v>1</v>
      </c>
      <c r="I1615" s="121">
        <f t="shared" si="640"/>
        <v>1.05</v>
      </c>
      <c r="J1615" s="121">
        <f t="shared" si="641"/>
        <v>1.05</v>
      </c>
      <c r="K1615" s="120">
        <f t="shared" si="642"/>
        <v>0</v>
      </c>
      <c r="L1615" s="120">
        <f t="shared" si="643"/>
        <v>0</v>
      </c>
      <c r="M1615" s="246">
        <f t="shared" si="644"/>
        <v>0</v>
      </c>
      <c r="N1615" s="121">
        <f t="shared" si="645"/>
        <v>1.05</v>
      </c>
      <c r="O1615" s="246">
        <f t="shared" si="646"/>
        <v>0.90764770240700221</v>
      </c>
      <c r="P1615" s="121">
        <f t="shared" si="647"/>
        <v>0</v>
      </c>
      <c r="Q1615" s="121">
        <f t="shared" si="648"/>
        <v>1</v>
      </c>
      <c r="R1615" s="121">
        <f t="shared" si="649"/>
        <v>0</v>
      </c>
      <c r="S1615" s="121" t="str">
        <f t="shared" si="650"/>
        <v/>
      </c>
      <c r="T1615" s="121" t="str">
        <f t="shared" si="651"/>
        <v/>
      </c>
      <c r="U1615" s="121">
        <f t="shared" si="652"/>
        <v>1.05</v>
      </c>
    </row>
    <row r="1616" spans="1:21" x14ac:dyDescent="0.3">
      <c r="A1616" s="187">
        <v>26</v>
      </c>
      <c r="B1616" s="242">
        <f t="shared" si="653"/>
        <v>46419</v>
      </c>
      <c r="C1616" s="243">
        <f t="shared" si="634"/>
        <v>46446</v>
      </c>
      <c r="D1616" s="120">
        <f t="shared" si="635"/>
        <v>28</v>
      </c>
      <c r="E1616" s="120">
        <f t="shared" si="636"/>
        <v>2</v>
      </c>
      <c r="F1616" s="275">
        <f t="shared" si="637"/>
        <v>46433</v>
      </c>
      <c r="G1616" s="120">
        <f t="shared" si="638"/>
        <v>24325</v>
      </c>
      <c r="H1616" s="245">
        <f t="shared" si="639"/>
        <v>1</v>
      </c>
      <c r="I1616" s="121">
        <f t="shared" si="640"/>
        <v>1.05</v>
      </c>
      <c r="J1616" s="121">
        <f t="shared" si="641"/>
        <v>1.05</v>
      </c>
      <c r="K1616" s="120">
        <f t="shared" si="642"/>
        <v>0</v>
      </c>
      <c r="L1616" s="120">
        <f t="shared" si="643"/>
        <v>0</v>
      </c>
      <c r="M1616" s="246">
        <f t="shared" si="644"/>
        <v>0</v>
      </c>
      <c r="N1616" s="121">
        <f t="shared" si="645"/>
        <v>1.05</v>
      </c>
      <c r="O1616" s="246">
        <f t="shared" si="646"/>
        <v>0.90700218818380751</v>
      </c>
      <c r="P1616" s="121">
        <f t="shared" si="647"/>
        <v>0</v>
      </c>
      <c r="Q1616" s="121">
        <f t="shared" si="648"/>
        <v>1</v>
      </c>
      <c r="R1616" s="121">
        <f t="shared" si="649"/>
        <v>0</v>
      </c>
      <c r="S1616" s="121" t="str">
        <f t="shared" si="650"/>
        <v/>
      </c>
      <c r="T1616" s="121" t="str">
        <f t="shared" si="651"/>
        <v/>
      </c>
      <c r="U1616" s="121">
        <f t="shared" si="652"/>
        <v>1.05</v>
      </c>
    </row>
    <row r="1617" spans="1:21" x14ac:dyDescent="0.3">
      <c r="A1617" s="187">
        <v>27</v>
      </c>
      <c r="B1617" s="242">
        <f t="shared" si="653"/>
        <v>46447</v>
      </c>
      <c r="C1617" s="243">
        <f t="shared" si="634"/>
        <v>46477</v>
      </c>
      <c r="D1617" s="120">
        <f t="shared" si="635"/>
        <v>31</v>
      </c>
      <c r="E1617" s="120">
        <f t="shared" si="636"/>
        <v>3</v>
      </c>
      <c r="F1617" s="275">
        <f t="shared" si="637"/>
        <v>46462.5</v>
      </c>
      <c r="G1617" s="120">
        <f t="shared" si="638"/>
        <v>24326</v>
      </c>
      <c r="H1617" s="245">
        <f t="shared" si="639"/>
        <v>1</v>
      </c>
      <c r="I1617" s="121">
        <f t="shared" si="640"/>
        <v>1.05</v>
      </c>
      <c r="J1617" s="121">
        <f t="shared" si="641"/>
        <v>1.05</v>
      </c>
      <c r="K1617" s="120">
        <f t="shared" si="642"/>
        <v>0</v>
      </c>
      <c r="L1617" s="120">
        <f t="shared" si="643"/>
        <v>0</v>
      </c>
      <c r="M1617" s="246">
        <f t="shared" si="644"/>
        <v>0</v>
      </c>
      <c r="N1617" s="121">
        <f t="shared" si="645"/>
        <v>1.05</v>
      </c>
      <c r="O1617" s="246">
        <f t="shared" si="646"/>
        <v>0.9063566739606127</v>
      </c>
      <c r="P1617" s="121">
        <f t="shared" si="647"/>
        <v>0</v>
      </c>
      <c r="Q1617" s="121">
        <f t="shared" si="648"/>
        <v>1</v>
      </c>
      <c r="R1617" s="121">
        <f t="shared" si="649"/>
        <v>0</v>
      </c>
      <c r="S1617" s="121" t="str">
        <f t="shared" si="650"/>
        <v/>
      </c>
      <c r="T1617" s="121" t="str">
        <f t="shared" si="651"/>
        <v/>
      </c>
      <c r="U1617" s="121">
        <f t="shared" si="652"/>
        <v>1.05</v>
      </c>
    </row>
    <row r="1618" spans="1:21" x14ac:dyDescent="0.3">
      <c r="A1618" s="187">
        <v>28</v>
      </c>
      <c r="B1618" s="242">
        <f t="shared" si="653"/>
        <v>46478</v>
      </c>
      <c r="C1618" s="243">
        <f t="shared" si="634"/>
        <v>46507</v>
      </c>
      <c r="D1618" s="120">
        <f t="shared" si="635"/>
        <v>30</v>
      </c>
      <c r="E1618" s="120">
        <f t="shared" si="636"/>
        <v>4</v>
      </c>
      <c r="F1618" s="275">
        <f t="shared" si="637"/>
        <v>46493</v>
      </c>
      <c r="G1618" s="120">
        <f t="shared" si="638"/>
        <v>24327</v>
      </c>
      <c r="H1618" s="245">
        <f t="shared" si="639"/>
        <v>1</v>
      </c>
      <c r="I1618" s="121">
        <f t="shared" si="640"/>
        <v>1.05</v>
      </c>
      <c r="J1618" s="121">
        <f t="shared" si="641"/>
        <v>1.05</v>
      </c>
      <c r="K1618" s="120">
        <f t="shared" si="642"/>
        <v>0</v>
      </c>
      <c r="L1618" s="120">
        <f t="shared" si="643"/>
        <v>0</v>
      </c>
      <c r="M1618" s="246">
        <f t="shared" si="644"/>
        <v>0</v>
      </c>
      <c r="N1618" s="121">
        <f t="shared" si="645"/>
        <v>1.05</v>
      </c>
      <c r="O1618" s="246">
        <f t="shared" si="646"/>
        <v>0.90568927789934361</v>
      </c>
      <c r="P1618" s="121">
        <f t="shared" si="647"/>
        <v>0</v>
      </c>
      <c r="Q1618" s="121">
        <f t="shared" si="648"/>
        <v>1</v>
      </c>
      <c r="R1618" s="121">
        <f t="shared" si="649"/>
        <v>0</v>
      </c>
      <c r="S1618" s="121" t="str">
        <f t="shared" si="650"/>
        <v/>
      </c>
      <c r="T1618" s="121" t="str">
        <f t="shared" si="651"/>
        <v/>
      </c>
      <c r="U1618" s="121">
        <f t="shared" si="652"/>
        <v>1.05</v>
      </c>
    </row>
    <row r="1619" spans="1:21" x14ac:dyDescent="0.3">
      <c r="A1619" s="187">
        <v>29</v>
      </c>
      <c r="B1619" s="242">
        <f t="shared" si="653"/>
        <v>46508</v>
      </c>
      <c r="C1619" s="243">
        <f t="shared" si="634"/>
        <v>46538</v>
      </c>
      <c r="D1619" s="120">
        <f t="shared" si="635"/>
        <v>31</v>
      </c>
      <c r="E1619" s="120">
        <f t="shared" si="636"/>
        <v>5</v>
      </c>
      <c r="F1619" s="275">
        <f t="shared" si="637"/>
        <v>46523.5</v>
      </c>
      <c r="G1619" s="120">
        <f t="shared" si="638"/>
        <v>24328</v>
      </c>
      <c r="H1619" s="245">
        <f t="shared" si="639"/>
        <v>1</v>
      </c>
      <c r="I1619" s="121">
        <f t="shared" si="640"/>
        <v>1.05</v>
      </c>
      <c r="J1619" s="121">
        <f t="shared" si="641"/>
        <v>1.05</v>
      </c>
      <c r="K1619" s="120">
        <f t="shared" si="642"/>
        <v>0</v>
      </c>
      <c r="L1619" s="120">
        <f t="shared" si="643"/>
        <v>0</v>
      </c>
      <c r="M1619" s="246">
        <f t="shared" si="644"/>
        <v>0</v>
      </c>
      <c r="N1619" s="121">
        <f t="shared" si="645"/>
        <v>1.05</v>
      </c>
      <c r="O1619" s="246">
        <f t="shared" si="646"/>
        <v>0.90502188183807442</v>
      </c>
      <c r="P1619" s="121">
        <f t="shared" si="647"/>
        <v>0</v>
      </c>
      <c r="Q1619" s="121">
        <f t="shared" si="648"/>
        <v>1</v>
      </c>
      <c r="R1619" s="121">
        <f t="shared" si="649"/>
        <v>0</v>
      </c>
      <c r="S1619" s="121" t="str">
        <f t="shared" si="650"/>
        <v/>
      </c>
      <c r="T1619" s="121" t="str">
        <f t="shared" si="651"/>
        <v/>
      </c>
      <c r="U1619" s="121">
        <f t="shared" si="652"/>
        <v>1.05</v>
      </c>
    </row>
    <row r="1620" spans="1:21" x14ac:dyDescent="0.3">
      <c r="A1620" s="187">
        <v>30</v>
      </c>
      <c r="B1620" s="242">
        <f t="shared" si="653"/>
        <v>46539</v>
      </c>
      <c r="C1620" s="243">
        <f t="shared" si="634"/>
        <v>46568</v>
      </c>
      <c r="D1620" s="120">
        <f t="shared" si="635"/>
        <v>30</v>
      </c>
      <c r="E1620" s="120">
        <f t="shared" si="636"/>
        <v>6</v>
      </c>
      <c r="F1620" s="275">
        <f t="shared" si="637"/>
        <v>46554</v>
      </c>
      <c r="G1620" s="120">
        <f t="shared" si="638"/>
        <v>24329</v>
      </c>
      <c r="H1620" s="245">
        <f t="shared" si="639"/>
        <v>1</v>
      </c>
      <c r="I1620" s="121">
        <f t="shared" si="640"/>
        <v>1.05</v>
      </c>
      <c r="J1620" s="121">
        <f t="shared" si="641"/>
        <v>1.05</v>
      </c>
      <c r="K1620" s="120">
        <f t="shared" si="642"/>
        <v>0</v>
      </c>
      <c r="L1620" s="120">
        <f t="shared" si="643"/>
        <v>0</v>
      </c>
      <c r="M1620" s="246">
        <f t="shared" si="644"/>
        <v>0</v>
      </c>
      <c r="N1620" s="121">
        <f t="shared" si="645"/>
        <v>1.05</v>
      </c>
      <c r="O1620" s="246">
        <f t="shared" si="646"/>
        <v>0.90435448577680533</v>
      </c>
      <c r="P1620" s="121">
        <f t="shared" si="647"/>
        <v>0</v>
      </c>
      <c r="Q1620" s="121">
        <f t="shared" si="648"/>
        <v>1</v>
      </c>
      <c r="R1620" s="121">
        <f t="shared" si="649"/>
        <v>0</v>
      </c>
      <c r="S1620" s="121" t="str">
        <f t="shared" si="650"/>
        <v/>
      </c>
      <c r="T1620" s="121" t="str">
        <f t="shared" si="651"/>
        <v/>
      </c>
      <c r="U1620" s="121">
        <f t="shared" si="652"/>
        <v>1.05</v>
      </c>
    </row>
    <row r="1621" spans="1:21" x14ac:dyDescent="0.3">
      <c r="A1621" s="187">
        <v>31</v>
      </c>
      <c r="B1621" s="242">
        <f t="shared" si="653"/>
        <v>46569</v>
      </c>
      <c r="C1621" s="243">
        <f t="shared" si="634"/>
        <v>46599</v>
      </c>
      <c r="D1621" s="120">
        <f t="shared" si="635"/>
        <v>31</v>
      </c>
      <c r="E1621" s="120">
        <f t="shared" si="636"/>
        <v>7</v>
      </c>
      <c r="F1621" s="275">
        <f t="shared" si="637"/>
        <v>46584.5</v>
      </c>
      <c r="G1621" s="120">
        <f t="shared" si="638"/>
        <v>24330</v>
      </c>
      <c r="H1621" s="245">
        <f t="shared" si="639"/>
        <v>1</v>
      </c>
      <c r="I1621" s="121">
        <f t="shared" si="640"/>
        <v>1.05</v>
      </c>
      <c r="J1621" s="121">
        <f t="shared" si="641"/>
        <v>1.05</v>
      </c>
      <c r="K1621" s="120">
        <f t="shared" si="642"/>
        <v>0</v>
      </c>
      <c r="L1621" s="120">
        <f t="shared" si="643"/>
        <v>0</v>
      </c>
      <c r="M1621" s="246">
        <f t="shared" si="644"/>
        <v>0</v>
      </c>
      <c r="N1621" s="121">
        <f t="shared" si="645"/>
        <v>1.05</v>
      </c>
      <c r="O1621" s="246">
        <f t="shared" si="646"/>
        <v>0.90368708971553613</v>
      </c>
      <c r="P1621" s="121">
        <f t="shared" si="647"/>
        <v>0</v>
      </c>
      <c r="Q1621" s="121">
        <f t="shared" si="648"/>
        <v>0.91666666666666663</v>
      </c>
      <c r="R1621" s="121">
        <f t="shared" si="649"/>
        <v>8.333333333333337E-2</v>
      </c>
      <c r="S1621" s="121" t="str">
        <f t="shared" si="650"/>
        <v/>
      </c>
      <c r="T1621" s="121" t="str">
        <f t="shared" si="651"/>
        <v/>
      </c>
      <c r="U1621" s="121">
        <f t="shared" si="652"/>
        <v>1.05</v>
      </c>
    </row>
    <row r="1622" spans="1:21" x14ac:dyDescent="0.3">
      <c r="A1622" s="187">
        <v>32</v>
      </c>
      <c r="B1622" s="242">
        <f t="shared" si="653"/>
        <v>46600</v>
      </c>
      <c r="C1622" s="243">
        <f t="shared" si="634"/>
        <v>46630</v>
      </c>
      <c r="D1622" s="120">
        <f t="shared" si="635"/>
        <v>31</v>
      </c>
      <c r="E1622" s="120">
        <f t="shared" si="636"/>
        <v>8</v>
      </c>
      <c r="F1622" s="275">
        <f t="shared" si="637"/>
        <v>46615.5</v>
      </c>
      <c r="G1622" s="120">
        <f t="shared" si="638"/>
        <v>24331</v>
      </c>
      <c r="H1622" s="245">
        <f t="shared" si="639"/>
        <v>1</v>
      </c>
      <c r="I1622" s="121">
        <f t="shared" si="640"/>
        <v>1.05</v>
      </c>
      <c r="J1622" s="121">
        <f t="shared" si="641"/>
        <v>1.05</v>
      </c>
      <c r="K1622" s="120">
        <f t="shared" si="642"/>
        <v>0</v>
      </c>
      <c r="L1622" s="120">
        <f t="shared" si="643"/>
        <v>0</v>
      </c>
      <c r="M1622" s="246">
        <f t="shared" si="644"/>
        <v>0</v>
      </c>
      <c r="N1622" s="121">
        <f t="shared" si="645"/>
        <v>1.05</v>
      </c>
      <c r="O1622" s="246">
        <f t="shared" si="646"/>
        <v>0.90300875273522974</v>
      </c>
      <c r="P1622" s="121">
        <f t="shared" si="647"/>
        <v>0</v>
      </c>
      <c r="Q1622" s="121">
        <f t="shared" si="648"/>
        <v>0.75</v>
      </c>
      <c r="R1622" s="121">
        <f t="shared" si="649"/>
        <v>0.25</v>
      </c>
      <c r="S1622" s="121" t="str">
        <f t="shared" si="650"/>
        <v/>
      </c>
      <c r="T1622" s="121" t="str">
        <f t="shared" si="651"/>
        <v/>
      </c>
      <c r="U1622" s="121">
        <f t="shared" si="652"/>
        <v>1.05</v>
      </c>
    </row>
    <row r="1623" spans="1:21" x14ac:dyDescent="0.3">
      <c r="A1623" s="187">
        <v>33</v>
      </c>
      <c r="B1623" s="242">
        <f t="shared" si="653"/>
        <v>46631</v>
      </c>
      <c r="C1623" s="243">
        <f t="shared" si="634"/>
        <v>46660</v>
      </c>
      <c r="D1623" s="120">
        <f t="shared" si="635"/>
        <v>30</v>
      </c>
      <c r="E1623" s="120">
        <f t="shared" si="636"/>
        <v>9</v>
      </c>
      <c r="F1623" s="275">
        <f t="shared" si="637"/>
        <v>46646</v>
      </c>
      <c r="G1623" s="120">
        <f t="shared" si="638"/>
        <v>24332</v>
      </c>
      <c r="H1623" s="245">
        <f t="shared" si="639"/>
        <v>1</v>
      </c>
      <c r="I1623" s="121">
        <f t="shared" si="640"/>
        <v>1.05</v>
      </c>
      <c r="J1623" s="121">
        <f t="shared" si="641"/>
        <v>1.05</v>
      </c>
      <c r="K1623" s="120">
        <f t="shared" si="642"/>
        <v>0</v>
      </c>
      <c r="L1623" s="120">
        <f t="shared" si="643"/>
        <v>0</v>
      </c>
      <c r="M1623" s="246">
        <f t="shared" si="644"/>
        <v>0</v>
      </c>
      <c r="N1623" s="121">
        <f t="shared" si="645"/>
        <v>1.05</v>
      </c>
      <c r="O1623" s="246">
        <f t="shared" si="646"/>
        <v>0.90234135667396065</v>
      </c>
      <c r="P1623" s="121">
        <f t="shared" si="647"/>
        <v>0</v>
      </c>
      <c r="Q1623" s="121">
        <f t="shared" si="648"/>
        <v>0.58333333333333337</v>
      </c>
      <c r="R1623" s="121">
        <f t="shared" si="649"/>
        <v>0.41666666666666663</v>
      </c>
      <c r="S1623" s="121" t="str">
        <f t="shared" si="650"/>
        <v/>
      </c>
      <c r="T1623" s="121" t="str">
        <f t="shared" si="651"/>
        <v/>
      </c>
      <c r="U1623" s="121">
        <f t="shared" si="652"/>
        <v>1.05</v>
      </c>
    </row>
    <row r="1624" spans="1:21" x14ac:dyDescent="0.3">
      <c r="A1624" s="187">
        <v>34</v>
      </c>
      <c r="B1624" s="242">
        <f t="shared" si="653"/>
        <v>46661</v>
      </c>
      <c r="C1624" s="243">
        <f t="shared" si="634"/>
        <v>46691</v>
      </c>
      <c r="D1624" s="120">
        <f t="shared" si="635"/>
        <v>31</v>
      </c>
      <c r="E1624" s="120">
        <f t="shared" si="636"/>
        <v>10</v>
      </c>
      <c r="F1624" s="275">
        <f t="shared" si="637"/>
        <v>46676.5</v>
      </c>
      <c r="G1624" s="120">
        <f t="shared" si="638"/>
        <v>24333</v>
      </c>
      <c r="H1624" s="245">
        <f t="shared" si="639"/>
        <v>1</v>
      </c>
      <c r="I1624" s="121">
        <f t="shared" si="640"/>
        <v>1.05</v>
      </c>
      <c r="J1624" s="121">
        <f t="shared" si="641"/>
        <v>1.05</v>
      </c>
      <c r="K1624" s="120">
        <f t="shared" si="642"/>
        <v>0</v>
      </c>
      <c r="L1624" s="120">
        <f t="shared" si="643"/>
        <v>0</v>
      </c>
      <c r="M1624" s="246">
        <f t="shared" si="644"/>
        <v>0</v>
      </c>
      <c r="N1624" s="121">
        <f t="shared" si="645"/>
        <v>1.05</v>
      </c>
      <c r="O1624" s="246">
        <f t="shared" si="646"/>
        <v>0.90167396061269145</v>
      </c>
      <c r="P1624" s="121">
        <f t="shared" si="647"/>
        <v>0</v>
      </c>
      <c r="Q1624" s="121">
        <f t="shared" si="648"/>
        <v>0.41666666666666669</v>
      </c>
      <c r="R1624" s="121">
        <f t="shared" si="649"/>
        <v>0.58333333333333326</v>
      </c>
      <c r="S1624" s="121" t="str">
        <f t="shared" si="650"/>
        <v/>
      </c>
      <c r="T1624" s="121" t="str">
        <f t="shared" si="651"/>
        <v/>
      </c>
      <c r="U1624" s="121">
        <f t="shared" si="652"/>
        <v>1.05</v>
      </c>
    </row>
    <row r="1625" spans="1:21" x14ac:dyDescent="0.3">
      <c r="A1625" s="187">
        <v>35</v>
      </c>
      <c r="B1625" s="242">
        <f t="shared" si="653"/>
        <v>46692</v>
      </c>
      <c r="C1625" s="243">
        <f t="shared" si="634"/>
        <v>46721</v>
      </c>
      <c r="D1625" s="120">
        <f t="shared" si="635"/>
        <v>30</v>
      </c>
      <c r="E1625" s="120">
        <f t="shared" si="636"/>
        <v>11</v>
      </c>
      <c r="F1625" s="275">
        <f t="shared" si="637"/>
        <v>46707</v>
      </c>
      <c r="G1625" s="120">
        <f t="shared" si="638"/>
        <v>24334</v>
      </c>
      <c r="H1625" s="245">
        <f t="shared" si="639"/>
        <v>1</v>
      </c>
      <c r="I1625" s="121">
        <f t="shared" si="640"/>
        <v>1.05</v>
      </c>
      <c r="J1625" s="121">
        <f t="shared" si="641"/>
        <v>1.05</v>
      </c>
      <c r="K1625" s="120">
        <f t="shared" si="642"/>
        <v>0</v>
      </c>
      <c r="L1625" s="120">
        <f t="shared" si="643"/>
        <v>0</v>
      </c>
      <c r="M1625" s="246">
        <f t="shared" si="644"/>
        <v>0</v>
      </c>
      <c r="N1625" s="121">
        <f t="shared" si="645"/>
        <v>1.05</v>
      </c>
      <c r="O1625" s="246">
        <f t="shared" si="646"/>
        <v>0.90100656455142236</v>
      </c>
      <c r="P1625" s="121">
        <f t="shared" si="647"/>
        <v>0</v>
      </c>
      <c r="Q1625" s="121">
        <f t="shared" si="648"/>
        <v>0.25</v>
      </c>
      <c r="R1625" s="121">
        <f t="shared" si="649"/>
        <v>0.75</v>
      </c>
      <c r="S1625" s="121" t="str">
        <f t="shared" si="650"/>
        <v/>
      </c>
      <c r="T1625" s="121" t="str">
        <f t="shared" si="651"/>
        <v/>
      </c>
      <c r="U1625" s="121">
        <f t="shared" si="652"/>
        <v>1.05</v>
      </c>
    </row>
    <row r="1626" spans="1:21" x14ac:dyDescent="0.3">
      <c r="A1626" s="187">
        <v>36</v>
      </c>
      <c r="B1626" s="242">
        <f t="shared" si="653"/>
        <v>46722</v>
      </c>
      <c r="C1626" s="243">
        <f t="shared" si="634"/>
        <v>46752</v>
      </c>
      <c r="D1626" s="120">
        <f t="shared" si="635"/>
        <v>31</v>
      </c>
      <c r="E1626" s="120">
        <f t="shared" si="636"/>
        <v>12</v>
      </c>
      <c r="F1626" s="275">
        <f t="shared" si="637"/>
        <v>46737.5</v>
      </c>
      <c r="G1626" s="120">
        <f t="shared" si="638"/>
        <v>24335</v>
      </c>
      <c r="H1626" s="245">
        <f t="shared" si="639"/>
        <v>1</v>
      </c>
      <c r="I1626" s="121">
        <f t="shared" si="640"/>
        <v>1.05</v>
      </c>
      <c r="J1626" s="121">
        <f t="shared" si="641"/>
        <v>1.05</v>
      </c>
      <c r="K1626" s="120">
        <f t="shared" si="642"/>
        <v>0</v>
      </c>
      <c r="L1626" s="120">
        <f t="shared" si="643"/>
        <v>0</v>
      </c>
      <c r="M1626" s="246">
        <f t="shared" si="644"/>
        <v>0</v>
      </c>
      <c r="N1626" s="121">
        <f t="shared" si="645"/>
        <v>1.05</v>
      </c>
      <c r="O1626" s="246">
        <f t="shared" si="646"/>
        <v>0.90033916849015316</v>
      </c>
      <c r="P1626" s="121">
        <f t="shared" si="647"/>
        <v>0</v>
      </c>
      <c r="Q1626" s="121">
        <f t="shared" si="648"/>
        <v>8.3333333333333329E-2</v>
      </c>
      <c r="R1626" s="121">
        <f t="shared" si="649"/>
        <v>0.91666666666666663</v>
      </c>
      <c r="S1626" s="121" t="str">
        <f t="shared" si="650"/>
        <v/>
      </c>
      <c r="T1626" s="121" t="str">
        <f t="shared" si="651"/>
        <v/>
      </c>
      <c r="U1626" s="121">
        <f t="shared" si="652"/>
        <v>1.05</v>
      </c>
    </row>
    <row r="1627" spans="1:21" x14ac:dyDescent="0.3">
      <c r="A1627" s="187">
        <v>37</v>
      </c>
      <c r="B1627" s="242">
        <f t="shared" si="653"/>
        <v>46753</v>
      </c>
      <c r="C1627" s="243">
        <f t="shared" si="634"/>
        <v>46783</v>
      </c>
      <c r="D1627" s="120">
        <f t="shared" si="635"/>
        <v>31</v>
      </c>
      <c r="E1627" s="120">
        <f t="shared" si="636"/>
        <v>1</v>
      </c>
      <c r="F1627" s="275">
        <f t="shared" si="637"/>
        <v>46768.5</v>
      </c>
      <c r="G1627" s="120">
        <f t="shared" si="638"/>
        <v>24336</v>
      </c>
      <c r="H1627" s="245">
        <f t="shared" si="639"/>
        <v>1</v>
      </c>
      <c r="I1627" s="121">
        <f t="shared" si="640"/>
        <v>1.05</v>
      </c>
      <c r="J1627" s="121">
        <f t="shared" si="641"/>
        <v>1.05</v>
      </c>
      <c r="K1627" s="120">
        <f t="shared" si="642"/>
        <v>0</v>
      </c>
      <c r="L1627" s="120">
        <f t="shared" si="643"/>
        <v>0</v>
      </c>
      <c r="M1627" s="246">
        <f t="shared" si="644"/>
        <v>0</v>
      </c>
      <c r="N1627" s="121">
        <f t="shared" si="645"/>
        <v>1.05</v>
      </c>
      <c r="O1627" s="246">
        <f t="shared" si="646"/>
        <v>0.9</v>
      </c>
      <c r="P1627" s="121">
        <f t="shared" si="647"/>
        <v>0</v>
      </c>
      <c r="Q1627" s="121">
        <f t="shared" si="648"/>
        <v>0</v>
      </c>
      <c r="R1627" s="121">
        <f t="shared" si="649"/>
        <v>1</v>
      </c>
      <c r="S1627" s="121" t="str">
        <f t="shared" si="650"/>
        <v/>
      </c>
      <c r="T1627" s="121" t="str">
        <f t="shared" si="651"/>
        <v/>
      </c>
      <c r="U1627" s="121">
        <f t="shared" si="652"/>
        <v>1.05</v>
      </c>
    </row>
    <row r="1628" spans="1:21" x14ac:dyDescent="0.3">
      <c r="A1628" s="187">
        <v>38</v>
      </c>
      <c r="B1628" s="242">
        <f t="shared" si="653"/>
        <v>46784</v>
      </c>
      <c r="C1628" s="243">
        <f t="shared" si="634"/>
        <v>46812</v>
      </c>
      <c r="D1628" s="120">
        <f t="shared" si="635"/>
        <v>29</v>
      </c>
      <c r="E1628" s="120">
        <f t="shared" si="636"/>
        <v>2</v>
      </c>
      <c r="F1628" s="275">
        <f t="shared" si="637"/>
        <v>46798.5</v>
      </c>
      <c r="G1628" s="120">
        <f t="shared" si="638"/>
        <v>24337</v>
      </c>
      <c r="H1628" s="245">
        <f t="shared" si="639"/>
        <v>1</v>
      </c>
      <c r="I1628" s="121">
        <f t="shared" si="640"/>
        <v>1.05</v>
      </c>
      <c r="J1628" s="121">
        <f t="shared" si="641"/>
        <v>1.05</v>
      </c>
      <c r="K1628" s="120">
        <f t="shared" si="642"/>
        <v>0</v>
      </c>
      <c r="L1628" s="120">
        <f t="shared" si="643"/>
        <v>0</v>
      </c>
      <c r="M1628" s="246">
        <f t="shared" si="644"/>
        <v>0</v>
      </c>
      <c r="N1628" s="121">
        <f t="shared" si="645"/>
        <v>1.05</v>
      </c>
      <c r="O1628" s="246">
        <f t="shared" si="646"/>
        <v>0.9</v>
      </c>
      <c r="P1628" s="121">
        <f t="shared" si="647"/>
        <v>0</v>
      </c>
      <c r="Q1628" s="121">
        <f t="shared" si="648"/>
        <v>0</v>
      </c>
      <c r="R1628" s="121">
        <f t="shared" si="649"/>
        <v>1</v>
      </c>
      <c r="S1628" s="121" t="str">
        <f t="shared" si="650"/>
        <v/>
      </c>
      <c r="T1628" s="121" t="str">
        <f t="shared" si="651"/>
        <v/>
      </c>
      <c r="U1628" s="121">
        <f t="shared" si="652"/>
        <v>1.05</v>
      </c>
    </row>
    <row r="1629" spans="1:21" x14ac:dyDescent="0.3">
      <c r="A1629" s="187">
        <v>39</v>
      </c>
      <c r="B1629" s="242">
        <f t="shared" si="653"/>
        <v>46813</v>
      </c>
      <c r="C1629" s="243">
        <f t="shared" si="634"/>
        <v>46843</v>
      </c>
      <c r="D1629" s="120">
        <f t="shared" si="635"/>
        <v>31</v>
      </c>
      <c r="E1629" s="120">
        <f t="shared" si="636"/>
        <v>3</v>
      </c>
      <c r="F1629" s="275">
        <f t="shared" si="637"/>
        <v>46828.5</v>
      </c>
      <c r="G1629" s="120">
        <f t="shared" si="638"/>
        <v>24338</v>
      </c>
      <c r="H1629" s="245">
        <f t="shared" si="639"/>
        <v>1</v>
      </c>
      <c r="I1629" s="121">
        <f t="shared" si="640"/>
        <v>1.05</v>
      </c>
      <c r="J1629" s="121">
        <f t="shared" si="641"/>
        <v>1.05</v>
      </c>
      <c r="K1629" s="120">
        <f t="shared" si="642"/>
        <v>0</v>
      </c>
      <c r="L1629" s="120">
        <f t="shared" si="643"/>
        <v>0</v>
      </c>
      <c r="M1629" s="246">
        <f t="shared" si="644"/>
        <v>0</v>
      </c>
      <c r="N1629" s="121">
        <f t="shared" si="645"/>
        <v>1.05</v>
      </c>
      <c r="O1629" s="246">
        <f t="shared" si="646"/>
        <v>0.9</v>
      </c>
      <c r="P1629" s="121">
        <f t="shared" si="647"/>
        <v>0</v>
      </c>
      <c r="Q1629" s="121">
        <f t="shared" si="648"/>
        <v>0</v>
      </c>
      <c r="R1629" s="121">
        <f t="shared" si="649"/>
        <v>1</v>
      </c>
      <c r="S1629" s="121" t="str">
        <f t="shared" si="650"/>
        <v/>
      </c>
      <c r="T1629" s="121" t="str">
        <f t="shared" si="651"/>
        <v/>
      </c>
      <c r="U1629" s="121">
        <f t="shared" si="652"/>
        <v>1.05</v>
      </c>
    </row>
    <row r="1630" spans="1:21" x14ac:dyDescent="0.3">
      <c r="A1630" s="187">
        <v>40</v>
      </c>
      <c r="B1630" s="242">
        <f t="shared" si="653"/>
        <v>46844</v>
      </c>
      <c r="C1630" s="243">
        <f t="shared" si="634"/>
        <v>46873</v>
      </c>
      <c r="D1630" s="120">
        <f t="shared" si="635"/>
        <v>30</v>
      </c>
      <c r="E1630" s="120">
        <f t="shared" si="636"/>
        <v>4</v>
      </c>
      <c r="F1630" s="275">
        <f t="shared" si="637"/>
        <v>46859</v>
      </c>
      <c r="G1630" s="120">
        <f t="shared" si="638"/>
        <v>24339</v>
      </c>
      <c r="H1630" s="245">
        <f t="shared" si="639"/>
        <v>1</v>
      </c>
      <c r="I1630" s="121">
        <f t="shared" si="640"/>
        <v>1.05</v>
      </c>
      <c r="J1630" s="121">
        <f t="shared" si="641"/>
        <v>1.05</v>
      </c>
      <c r="K1630" s="120">
        <f t="shared" si="642"/>
        <v>0</v>
      </c>
      <c r="L1630" s="120">
        <f t="shared" si="643"/>
        <v>0</v>
      </c>
      <c r="M1630" s="246">
        <f t="shared" si="644"/>
        <v>0</v>
      </c>
      <c r="N1630" s="121">
        <f t="shared" si="645"/>
        <v>1.05</v>
      </c>
      <c r="O1630" s="246">
        <f t="shared" si="646"/>
        <v>0.9</v>
      </c>
      <c r="P1630" s="121">
        <f t="shared" si="647"/>
        <v>0</v>
      </c>
      <c r="Q1630" s="121">
        <f t="shared" si="648"/>
        <v>0</v>
      </c>
      <c r="R1630" s="121">
        <f t="shared" si="649"/>
        <v>1</v>
      </c>
      <c r="S1630" s="121" t="str">
        <f t="shared" si="650"/>
        <v/>
      </c>
      <c r="T1630" s="121" t="str">
        <f t="shared" si="651"/>
        <v/>
      </c>
      <c r="U1630" s="121">
        <f t="shared" si="652"/>
        <v>1.05</v>
      </c>
    </row>
    <row r="1631" spans="1:21" x14ac:dyDescent="0.3">
      <c r="A1631" s="187">
        <v>41</v>
      </c>
      <c r="B1631" s="242">
        <f t="shared" si="653"/>
        <v>46874</v>
      </c>
      <c r="C1631" s="243">
        <f t="shared" si="634"/>
        <v>46904</v>
      </c>
      <c r="D1631" s="120">
        <f t="shared" si="635"/>
        <v>31</v>
      </c>
      <c r="E1631" s="120">
        <f t="shared" si="636"/>
        <v>5</v>
      </c>
      <c r="F1631" s="275">
        <f t="shared" si="637"/>
        <v>46889.5</v>
      </c>
      <c r="G1631" s="120">
        <f t="shared" si="638"/>
        <v>24340</v>
      </c>
      <c r="H1631" s="245">
        <f t="shared" si="639"/>
        <v>1</v>
      </c>
      <c r="I1631" s="121">
        <f t="shared" si="640"/>
        <v>1.05</v>
      </c>
      <c r="J1631" s="121">
        <f t="shared" si="641"/>
        <v>1.05</v>
      </c>
      <c r="K1631" s="120">
        <f t="shared" si="642"/>
        <v>0</v>
      </c>
      <c r="L1631" s="120">
        <f t="shared" si="643"/>
        <v>0</v>
      </c>
      <c r="M1631" s="246">
        <f t="shared" si="644"/>
        <v>0</v>
      </c>
      <c r="N1631" s="121">
        <f t="shared" si="645"/>
        <v>1.05</v>
      </c>
      <c r="O1631" s="246">
        <f t="shared" si="646"/>
        <v>0.9</v>
      </c>
      <c r="P1631" s="121">
        <f t="shared" si="647"/>
        <v>0</v>
      </c>
      <c r="Q1631" s="121">
        <f t="shared" si="648"/>
        <v>0</v>
      </c>
      <c r="R1631" s="121">
        <f t="shared" si="649"/>
        <v>1</v>
      </c>
      <c r="S1631" s="121" t="str">
        <f t="shared" si="650"/>
        <v/>
      </c>
      <c r="T1631" s="121" t="str">
        <f t="shared" si="651"/>
        <v/>
      </c>
      <c r="U1631" s="121">
        <f t="shared" si="652"/>
        <v>1.05</v>
      </c>
    </row>
    <row r="1632" spans="1:21" x14ac:dyDescent="0.3">
      <c r="A1632" s="187">
        <v>42</v>
      </c>
      <c r="B1632" s="242">
        <f t="shared" si="653"/>
        <v>46905</v>
      </c>
      <c r="C1632" s="243">
        <f t="shared" si="634"/>
        <v>46934</v>
      </c>
      <c r="D1632" s="120">
        <f t="shared" si="635"/>
        <v>30</v>
      </c>
      <c r="E1632" s="120">
        <f t="shared" si="636"/>
        <v>6</v>
      </c>
      <c r="F1632" s="275">
        <f t="shared" si="637"/>
        <v>46920</v>
      </c>
      <c r="G1632" s="120">
        <f t="shared" si="638"/>
        <v>24341</v>
      </c>
      <c r="H1632" s="245">
        <f t="shared" si="639"/>
        <v>1</v>
      </c>
      <c r="I1632" s="121">
        <f t="shared" si="640"/>
        <v>1.05</v>
      </c>
      <c r="J1632" s="121">
        <f t="shared" si="641"/>
        <v>1.05</v>
      </c>
      <c r="K1632" s="120">
        <f t="shared" si="642"/>
        <v>0</v>
      </c>
      <c r="L1632" s="120">
        <f t="shared" si="643"/>
        <v>0</v>
      </c>
      <c r="M1632" s="246">
        <f t="shared" si="644"/>
        <v>0</v>
      </c>
      <c r="N1632" s="121">
        <f t="shared" si="645"/>
        <v>1.05</v>
      </c>
      <c r="O1632" s="246">
        <f t="shared" si="646"/>
        <v>0.9</v>
      </c>
      <c r="P1632" s="121">
        <f t="shared" si="647"/>
        <v>0</v>
      </c>
      <c r="Q1632" s="121">
        <f t="shared" si="648"/>
        <v>0</v>
      </c>
      <c r="R1632" s="121">
        <f t="shared" si="649"/>
        <v>1</v>
      </c>
      <c r="S1632" s="121" t="str">
        <f t="shared" si="650"/>
        <v/>
      </c>
      <c r="T1632" s="121" t="str">
        <f t="shared" si="651"/>
        <v/>
      </c>
      <c r="U1632" s="121">
        <f t="shared" si="652"/>
        <v>1.05</v>
      </c>
    </row>
    <row r="1633" spans="1:21" x14ac:dyDescent="0.3">
      <c r="A1633" s="187">
        <v>43</v>
      </c>
      <c r="B1633" s="242">
        <f t="shared" si="653"/>
        <v>46935</v>
      </c>
      <c r="C1633" s="243">
        <f t="shared" si="634"/>
        <v>46965</v>
      </c>
      <c r="D1633" s="120">
        <f t="shared" si="635"/>
        <v>31</v>
      </c>
      <c r="E1633" s="120">
        <f t="shared" si="636"/>
        <v>7</v>
      </c>
      <c r="F1633" s="275">
        <f t="shared" si="637"/>
        <v>46950.5</v>
      </c>
      <c r="G1633" s="120">
        <f t="shared" si="638"/>
        <v>24342</v>
      </c>
      <c r="H1633" s="245">
        <f t="shared" si="639"/>
        <v>1</v>
      </c>
      <c r="I1633" s="121">
        <f t="shared" si="640"/>
        <v>1.05</v>
      </c>
      <c r="J1633" s="121">
        <f t="shared" si="641"/>
        <v>1.05</v>
      </c>
      <c r="K1633" s="120">
        <f t="shared" si="642"/>
        <v>0</v>
      </c>
      <c r="L1633" s="120">
        <f t="shared" si="643"/>
        <v>0</v>
      </c>
      <c r="M1633" s="246">
        <f t="shared" si="644"/>
        <v>0</v>
      </c>
      <c r="N1633" s="121">
        <f t="shared" si="645"/>
        <v>1.05</v>
      </c>
      <c r="O1633" s="246">
        <f t="shared" si="646"/>
        <v>0.9</v>
      </c>
      <c r="P1633" s="121">
        <f t="shared" si="647"/>
        <v>0</v>
      </c>
      <c r="Q1633" s="121">
        <f t="shared" si="648"/>
        <v>0</v>
      </c>
      <c r="R1633" s="121">
        <f t="shared" si="649"/>
        <v>0.91666666666666663</v>
      </c>
      <c r="S1633" s="121" t="str">
        <f t="shared" si="650"/>
        <v/>
      </c>
      <c r="T1633" s="121" t="str">
        <f t="shared" si="651"/>
        <v/>
      </c>
      <c r="U1633" s="121">
        <f t="shared" si="652"/>
        <v>1.05</v>
      </c>
    </row>
    <row r="1634" spans="1:21" x14ac:dyDescent="0.3">
      <c r="A1634" s="187">
        <v>44</v>
      </c>
      <c r="B1634" s="242">
        <f t="shared" si="653"/>
        <v>46966</v>
      </c>
      <c r="C1634" s="243">
        <f t="shared" si="634"/>
        <v>46996</v>
      </c>
      <c r="D1634" s="120">
        <f t="shared" si="635"/>
        <v>31</v>
      </c>
      <c r="E1634" s="120">
        <f t="shared" si="636"/>
        <v>8</v>
      </c>
      <c r="F1634" s="275">
        <f t="shared" si="637"/>
        <v>46981.5</v>
      </c>
      <c r="G1634" s="120">
        <f t="shared" si="638"/>
        <v>24343</v>
      </c>
      <c r="H1634" s="245">
        <f t="shared" si="639"/>
        <v>1</v>
      </c>
      <c r="I1634" s="121">
        <f t="shared" si="640"/>
        <v>1.05</v>
      </c>
      <c r="J1634" s="121">
        <f t="shared" si="641"/>
        <v>1.05</v>
      </c>
      <c r="K1634" s="120">
        <f t="shared" si="642"/>
        <v>0</v>
      </c>
      <c r="L1634" s="120">
        <f t="shared" si="643"/>
        <v>0</v>
      </c>
      <c r="M1634" s="246">
        <f t="shared" si="644"/>
        <v>0</v>
      </c>
      <c r="N1634" s="121">
        <f t="shared" si="645"/>
        <v>1.05</v>
      </c>
      <c r="O1634" s="246">
        <f t="shared" si="646"/>
        <v>0.9</v>
      </c>
      <c r="P1634" s="121">
        <f t="shared" si="647"/>
        <v>0</v>
      </c>
      <c r="Q1634" s="121">
        <f t="shared" si="648"/>
        <v>0</v>
      </c>
      <c r="R1634" s="121">
        <f t="shared" si="649"/>
        <v>0.75</v>
      </c>
      <c r="S1634" s="121" t="str">
        <f t="shared" si="650"/>
        <v/>
      </c>
      <c r="T1634" s="121" t="str">
        <f t="shared" si="651"/>
        <v/>
      </c>
      <c r="U1634" s="121">
        <f t="shared" si="652"/>
        <v>1.05</v>
      </c>
    </row>
    <row r="1635" spans="1:21" x14ac:dyDescent="0.3">
      <c r="A1635" s="187">
        <v>45</v>
      </c>
      <c r="B1635" s="242">
        <f t="shared" si="653"/>
        <v>46997</v>
      </c>
      <c r="C1635" s="243">
        <f t="shared" si="634"/>
        <v>47026</v>
      </c>
      <c r="D1635" s="120">
        <f t="shared" si="635"/>
        <v>30</v>
      </c>
      <c r="E1635" s="120">
        <f t="shared" si="636"/>
        <v>9</v>
      </c>
      <c r="F1635" s="275">
        <f t="shared" si="637"/>
        <v>47012</v>
      </c>
      <c r="G1635" s="120">
        <f t="shared" si="638"/>
        <v>24344</v>
      </c>
      <c r="H1635" s="245">
        <f t="shared" si="639"/>
        <v>1</v>
      </c>
      <c r="I1635" s="121">
        <f t="shared" si="640"/>
        <v>1.05</v>
      </c>
      <c r="J1635" s="121">
        <f t="shared" si="641"/>
        <v>1.05</v>
      </c>
      <c r="K1635" s="120">
        <f t="shared" si="642"/>
        <v>0</v>
      </c>
      <c r="L1635" s="120">
        <f t="shared" si="643"/>
        <v>0</v>
      </c>
      <c r="M1635" s="246">
        <f t="shared" si="644"/>
        <v>0</v>
      </c>
      <c r="N1635" s="121">
        <f t="shared" si="645"/>
        <v>1.05</v>
      </c>
      <c r="O1635" s="246">
        <f t="shared" si="646"/>
        <v>0.9</v>
      </c>
      <c r="P1635" s="121">
        <f t="shared" si="647"/>
        <v>0</v>
      </c>
      <c r="Q1635" s="121">
        <f t="shared" si="648"/>
        <v>0</v>
      </c>
      <c r="R1635" s="121">
        <f t="shared" si="649"/>
        <v>0.58333333333333337</v>
      </c>
      <c r="S1635" s="121" t="str">
        <f t="shared" si="650"/>
        <v/>
      </c>
      <c r="T1635" s="121" t="str">
        <f t="shared" si="651"/>
        <v/>
      </c>
      <c r="U1635" s="121">
        <f t="shared" si="652"/>
        <v>1.05</v>
      </c>
    </row>
    <row r="1636" spans="1:21" x14ac:dyDescent="0.3">
      <c r="A1636" s="187">
        <v>46</v>
      </c>
      <c r="B1636" s="242">
        <f t="shared" si="653"/>
        <v>47027</v>
      </c>
      <c r="C1636" s="243">
        <f t="shared" si="634"/>
        <v>47057</v>
      </c>
      <c r="D1636" s="120">
        <f t="shared" si="635"/>
        <v>31</v>
      </c>
      <c r="E1636" s="120">
        <f t="shared" si="636"/>
        <v>10</v>
      </c>
      <c r="F1636" s="275">
        <f t="shared" si="637"/>
        <v>47042.5</v>
      </c>
      <c r="G1636" s="120">
        <f t="shared" si="638"/>
        <v>24345</v>
      </c>
      <c r="H1636" s="245">
        <f t="shared" si="639"/>
        <v>1</v>
      </c>
      <c r="I1636" s="121">
        <f t="shared" si="640"/>
        <v>1.05</v>
      </c>
      <c r="J1636" s="121">
        <f t="shared" si="641"/>
        <v>1.05</v>
      </c>
      <c r="K1636" s="120">
        <f t="shared" si="642"/>
        <v>0</v>
      </c>
      <c r="L1636" s="120">
        <f t="shared" si="643"/>
        <v>0</v>
      </c>
      <c r="M1636" s="246">
        <f t="shared" si="644"/>
        <v>0</v>
      </c>
      <c r="N1636" s="121">
        <f t="shared" si="645"/>
        <v>1.05</v>
      </c>
      <c r="O1636" s="246">
        <f t="shared" si="646"/>
        <v>0.9</v>
      </c>
      <c r="P1636" s="121">
        <f t="shared" si="647"/>
        <v>0</v>
      </c>
      <c r="Q1636" s="121">
        <f t="shared" si="648"/>
        <v>0</v>
      </c>
      <c r="R1636" s="121">
        <f t="shared" si="649"/>
        <v>0.41666666666666669</v>
      </c>
      <c r="S1636" s="121" t="str">
        <f t="shared" si="650"/>
        <v/>
      </c>
      <c r="T1636" s="121" t="str">
        <f t="shared" si="651"/>
        <v/>
      </c>
      <c r="U1636" s="121">
        <f t="shared" si="652"/>
        <v>1.05</v>
      </c>
    </row>
    <row r="1637" spans="1:21" x14ac:dyDescent="0.3">
      <c r="A1637" s="187">
        <v>47</v>
      </c>
      <c r="B1637" s="242">
        <f t="shared" si="653"/>
        <v>47058</v>
      </c>
      <c r="C1637" s="243">
        <f t="shared" si="634"/>
        <v>47087</v>
      </c>
      <c r="D1637" s="120">
        <f t="shared" si="635"/>
        <v>30</v>
      </c>
      <c r="E1637" s="120">
        <f t="shared" si="636"/>
        <v>11</v>
      </c>
      <c r="F1637" s="275">
        <f t="shared" si="637"/>
        <v>47073</v>
      </c>
      <c r="G1637" s="120">
        <f t="shared" si="638"/>
        <v>24346</v>
      </c>
      <c r="H1637" s="245">
        <f t="shared" si="639"/>
        <v>1</v>
      </c>
      <c r="I1637" s="121">
        <f t="shared" si="640"/>
        <v>1.05</v>
      </c>
      <c r="J1637" s="121">
        <f t="shared" si="641"/>
        <v>1.05</v>
      </c>
      <c r="K1637" s="120">
        <f t="shared" si="642"/>
        <v>0</v>
      </c>
      <c r="L1637" s="120">
        <f t="shared" si="643"/>
        <v>0</v>
      </c>
      <c r="M1637" s="246">
        <f t="shared" si="644"/>
        <v>0</v>
      </c>
      <c r="N1637" s="121">
        <f t="shared" si="645"/>
        <v>1.05</v>
      </c>
      <c r="O1637" s="246">
        <f t="shared" si="646"/>
        <v>0.9</v>
      </c>
      <c r="P1637" s="121">
        <f t="shared" si="647"/>
        <v>0</v>
      </c>
      <c r="Q1637" s="121">
        <f t="shared" si="648"/>
        <v>0</v>
      </c>
      <c r="R1637" s="121">
        <f t="shared" si="649"/>
        <v>0.25</v>
      </c>
      <c r="S1637" s="121" t="str">
        <f t="shared" si="650"/>
        <v/>
      </c>
      <c r="T1637" s="121" t="str">
        <f t="shared" si="651"/>
        <v/>
      </c>
      <c r="U1637" s="121">
        <f t="shared" si="652"/>
        <v>1.05</v>
      </c>
    </row>
    <row r="1638" spans="1:21" x14ac:dyDescent="0.3">
      <c r="A1638" s="187">
        <v>48</v>
      </c>
      <c r="B1638" s="242">
        <f t="shared" si="653"/>
        <v>47088</v>
      </c>
      <c r="C1638" s="243">
        <f t="shared" si="634"/>
        <v>47118</v>
      </c>
      <c r="D1638" s="120">
        <f t="shared" si="635"/>
        <v>31</v>
      </c>
      <c r="E1638" s="120">
        <f t="shared" si="636"/>
        <v>12</v>
      </c>
      <c r="F1638" s="275">
        <f t="shared" si="637"/>
        <v>47103.5</v>
      </c>
      <c r="G1638" s="120">
        <f t="shared" si="638"/>
        <v>24347</v>
      </c>
      <c r="H1638" s="245">
        <f t="shared" si="639"/>
        <v>1</v>
      </c>
      <c r="I1638" s="121">
        <f t="shared" si="640"/>
        <v>1.05</v>
      </c>
      <c r="J1638" s="121">
        <f t="shared" si="641"/>
        <v>1.05</v>
      </c>
      <c r="K1638" s="120">
        <f t="shared" si="642"/>
        <v>0</v>
      </c>
      <c r="L1638" s="120">
        <f t="shared" si="643"/>
        <v>0</v>
      </c>
      <c r="M1638" s="246">
        <f t="shared" si="644"/>
        <v>0</v>
      </c>
      <c r="N1638" s="121">
        <f t="shared" si="645"/>
        <v>1.05</v>
      </c>
      <c r="O1638" s="246">
        <f t="shared" si="646"/>
        <v>0.9</v>
      </c>
      <c r="P1638" s="121">
        <f t="shared" si="647"/>
        <v>0</v>
      </c>
      <c r="Q1638" s="121">
        <f t="shared" si="648"/>
        <v>0</v>
      </c>
      <c r="R1638" s="121">
        <f t="shared" si="649"/>
        <v>8.3333333333333329E-2</v>
      </c>
      <c r="S1638" s="121" t="str">
        <f t="shared" si="650"/>
        <v/>
      </c>
      <c r="T1638" s="121" t="str">
        <f t="shared" si="651"/>
        <v/>
      </c>
      <c r="U1638" s="121">
        <f t="shared" si="652"/>
        <v>1.05</v>
      </c>
    </row>
    <row r="1639" spans="1:21" x14ac:dyDescent="0.3">
      <c r="A1639" s="6" t="s">
        <v>1651</v>
      </c>
      <c r="B1639" s="73">
        <f>EXP(SUMPRODUCT((rl_key=$A$1588)*(rl_cons="Y")*rl_ln1p))</f>
        <v>1.05</v>
      </c>
      <c r="C1639" s="73">
        <f>SUMPRODUCT($H$1591:$H$1638,$P$1591:$P$1638,$U$1591:$U$1638)/SUMPRODUCT($H$1591:$H$1638,$P$1591:$P$1638)</f>
        <v>1.0208333333333335</v>
      </c>
      <c r="D1639" s="73">
        <f>SUMPRODUCT($H$1591:$H$1638,$Q$1591:$Q$1638,$U$1591:$U$1638)/SUMPRODUCT($H$1591:$H$1638,$Q$1591:$Q$1638)</f>
        <v>1.05</v>
      </c>
      <c r="E1639" s="73">
        <f>SUMPRODUCT($H$1591:$H$1638,$R$1591:$R$1638,$U$1591:$U$1638)/SUMPRODUCT($H$1591:$H$1638,$R$1591:$R$1638)</f>
        <v>1.05</v>
      </c>
      <c r="F1639" s="224">
        <f>SUMPRODUCT($H$1591:$H$1638,$Q$1591:$Q$1638,$O$1591:$O$1638)/SUMPRODUCT($H$1591:$H$1638,$Q$1591:$Q$1638)</f>
        <v>0.90600747629467537</v>
      </c>
      <c r="G1639" s="224">
        <f>SUMPRODUCT($H$1591:$H$1638,$R$1591:$R$1638,$O$1591:$O$1638)/SUMPRODUCT($H$1591:$H$1638,$R$1591:$R$1638)</f>
        <v>0.90033977631898854</v>
      </c>
      <c r="H1639" s="73">
        <f>SUMPRODUCT($H$1615:$H$1626,$N$1615:$N$1626/$N$1603:$N$1614)/SUM($H$1615:$H$1626)</f>
        <v>1.0166666666666666</v>
      </c>
      <c r="I1639" s="73">
        <f>SUMPRODUCT($H$1615:$H$1626,$O$1615:$O$1626/$O$1603:$O$1614)/SUM($H$1615:$H$1626)</f>
        <v>0.99124238763980388</v>
      </c>
      <c r="J1639" s="73">
        <f>IF($O$1588=1,SUMPRODUCT($H$1615:$H$1626,$N$1615:$N$1626/$N$1603:$N$1614*$O$1615:$O$1626/$O$1603:$O$1614)/SUM($H$1615:$H$1626),$H1639)</f>
        <v>1.0077635199237314</v>
      </c>
      <c r="K1639" s="73">
        <f>SUMPRODUCT($H$1591:$H$1638,$Q$1591:$Q$1638,$N$1591:$N$1638)/SUMPRODUCT($H$1591:$H$1638,$Q$1591:$Q$1638)</f>
        <v>1.05</v>
      </c>
      <c r="L1639" s="73">
        <f>SUMPRODUCT($H$1591:$H$1638,$R$1591:$R$1638,$N$1591:$N$1638)/SUMPRODUCT($H$1591:$H$1638,$R$1591:$R$1638)</f>
        <v>1.05</v>
      </c>
    </row>
    <row r="1642" spans="1:21" x14ac:dyDescent="0.3">
      <c r="A1642" s="6" t="str">
        <f>INDEX(lr_key,30)</f>
        <v>MM|KY</v>
      </c>
      <c r="B1642" s="6" t="str">
        <f>INDEX(lr_state,30)</f>
        <v>KY</v>
      </c>
      <c r="C1642" s="75">
        <f>nr_TermMonths</f>
        <v>6</v>
      </c>
      <c r="D1642" s="75">
        <f>IF(COUNTIF(se_state,$B1642)=0,0,MATCH($B1642,se_state,0))</f>
        <v>0</v>
      </c>
      <c r="E1642" s="70">
        <f>IF($D1642=0,0,INDEX(se_sum,$D1642))</f>
        <v>0</v>
      </c>
      <c r="F1642" s="224">
        <f>IF(N(INDEX(lr_mind,30))=0,1,INDEX(lr_mind,30))</f>
        <v>0.92</v>
      </c>
      <c r="G1642" s="224">
        <f>IF(N(INDEX(lr_m0,30))=0,1,INDEX(lr_m0,30))</f>
        <v>0.91</v>
      </c>
      <c r="H1642" s="74">
        <f>IF(N(INDEX(lr_m0asof,30))=0,DATE(nr_PlanYear-1,10,1),INDEX(lr_m0asof,30))</f>
        <v>46295</v>
      </c>
      <c r="I1642" s="224">
        <f>IF(N(INDEX(lr_m1,30))=0,1,INDEX(lr_m1,30))</f>
        <v>0.91500000000000004</v>
      </c>
      <c r="J1642" s="224">
        <f>INDEX(lr_mprior,30)</f>
        <v>0</v>
      </c>
      <c r="K1642" s="224">
        <f>INDEX(lr_m2,30)</f>
        <v>0</v>
      </c>
      <c r="L1642" s="6" t="b">
        <f>NOT(ISBLANK(INDEX(lr_netp,30)))</f>
        <v>0</v>
      </c>
      <c r="M1642" s="72">
        <f>N(INDEX(lr_netp,30))</f>
        <v>0</v>
      </c>
      <c r="N1642" s="72">
        <f>IF(ISBLANK(INDEX(lr_netp1,30)),$M$1642,N(INDEX(lr_netp1,30)))</f>
        <v>0</v>
      </c>
      <c r="O1642" s="75">
        <f>IF(AND(nr_ModAdjMaster="ON",INDEX(lr_modadj,30)="ON"),1,0)</f>
        <v>1</v>
      </c>
    </row>
    <row r="1643" spans="1:21" x14ac:dyDescent="0.3">
      <c r="A1643" s="6">
        <f>EDATE($H$1642,-12)+1</f>
        <v>45931</v>
      </c>
      <c r="B1643" s="6">
        <f>$H$1642+1</f>
        <v>46296</v>
      </c>
      <c r="C1643" s="6">
        <f>DATE(nr_PlanYear,12,31)+1</f>
        <v>46753</v>
      </c>
      <c r="D1643" s="6">
        <f>DATE(nr_PlanYear+1,12,31)+1</f>
        <v>47119</v>
      </c>
      <c r="E1643" s="6">
        <f>IF(N($J$1642)=0,$F$1643-($G$1643-$F$1643)/($C$1643-$B$1643)*($B$1643-$A$1643),$J$1642)</f>
        <v>0.90600656455142237</v>
      </c>
      <c r="F1643" s="6">
        <f>$G$1642</f>
        <v>0.91</v>
      </c>
      <c r="G1643" s="6">
        <f>$I$1642</f>
        <v>0.91500000000000004</v>
      </c>
      <c r="H1643" s="6">
        <f>IF(N($K$1642)=0,$I$1642,$K$1642)</f>
        <v>0.91500000000000004</v>
      </c>
      <c r="I1643" s="6">
        <f>($F$1643-$E$1643)/($B$1643-$A$1643)</f>
        <v>1.0940919037199081E-5</v>
      </c>
      <c r="J1643" s="6">
        <f>($G$1643-$F$1643)/($C$1643-$B$1643)</f>
        <v>1.0940919037199135E-5</v>
      </c>
      <c r="K1643" s="6">
        <f>($H$1643-$G$1643)/($D$1643-$C$1643)</f>
        <v>0</v>
      </c>
    </row>
    <row r="1644" spans="1:21" ht="36" x14ac:dyDescent="0.3">
      <c r="A1644" s="58" t="s">
        <v>390</v>
      </c>
      <c r="B1644" s="58" t="s">
        <v>449</v>
      </c>
      <c r="C1644" s="58" t="s">
        <v>685</v>
      </c>
      <c r="D1644" s="58" t="s">
        <v>686</v>
      </c>
      <c r="E1644" s="58" t="s">
        <v>687</v>
      </c>
      <c r="F1644" s="58" t="s">
        <v>688</v>
      </c>
      <c r="G1644" s="58" t="s">
        <v>689</v>
      </c>
      <c r="H1644" s="58" t="s">
        <v>452</v>
      </c>
      <c r="I1644" s="58" t="s">
        <v>690</v>
      </c>
      <c r="J1644" s="58" t="s">
        <v>691</v>
      </c>
      <c r="K1644" s="58" t="s">
        <v>692</v>
      </c>
      <c r="L1644" s="58" t="s">
        <v>693</v>
      </c>
      <c r="M1644" s="58" t="s">
        <v>694</v>
      </c>
      <c r="N1644" s="58" t="s">
        <v>695</v>
      </c>
      <c r="O1644" s="58" t="s">
        <v>696</v>
      </c>
      <c r="P1644" s="58" t="s">
        <v>697</v>
      </c>
      <c r="Q1644" s="58" t="s">
        <v>698</v>
      </c>
      <c r="R1644" s="58" t="s">
        <v>699</v>
      </c>
      <c r="S1644" s="58" t="s">
        <v>700</v>
      </c>
      <c r="T1644" s="58" t="s">
        <v>701</v>
      </c>
      <c r="U1644" s="58" t="s">
        <v>702</v>
      </c>
    </row>
    <row r="1645" spans="1:21" x14ac:dyDescent="0.3">
      <c r="A1645" s="187">
        <v>1</v>
      </c>
      <c r="B1645" s="242">
        <f>DATE(nr_PlanYear-2,1,1)</f>
        <v>45658</v>
      </c>
      <c r="C1645" s="243">
        <f t="shared" ref="C1645:C1692" si="654">EOMONTH($B1645,0)</f>
        <v>45688</v>
      </c>
      <c r="D1645" s="120">
        <f t="shared" ref="D1645:D1692" si="655">$C1645-$B1645+1</f>
        <v>31</v>
      </c>
      <c r="E1645" s="120">
        <f t="shared" ref="E1645:E1692" si="656">MONTH($B1645)</f>
        <v>1</v>
      </c>
      <c r="F1645" s="275">
        <f t="shared" ref="F1645:F1692" si="657">($B1645+$C1645+1)/2</f>
        <v>45673.5</v>
      </c>
      <c r="G1645" s="120">
        <f t="shared" ref="G1645:G1692" si="658">YEAR($B1645)*12+MONTH($B1645)-1</f>
        <v>24300</v>
      </c>
      <c r="H1645" s="245">
        <f t="shared" ref="H1645:H1692" si="659">IF(OR(nr_SeasonOn="OFF",$D$1642=0,$E$1642=0),1,12*INDEX(se_block,$D$1642,$E1645)/$E$1642)</f>
        <v>1</v>
      </c>
      <c r="I1645" s="121">
        <f t="shared" ref="I1645:I1692" si="660">EXP(SUMPRODUCT((rl_eff&lt;$B1645)*(rl_key=$A$1642)*rl_ln1p))</f>
        <v>1</v>
      </c>
      <c r="J1645" s="121">
        <f t="shared" ref="J1645:J1692" si="661">EXP(SUMPRODUCT((rl_eff&lt;=$C1645)*(rl_key=$A$1642)*rl_ln1p))</f>
        <v>1</v>
      </c>
      <c r="K1645" s="120">
        <f t="shared" ref="K1645:K1692" si="662">COUNTIFS(rl_key,$A$1642,rl_eff,"&gt;="&amp;$B1645,rl_eff,"&lt;="&amp;$C1645)</f>
        <v>0</v>
      </c>
      <c r="L1645" s="120">
        <f t="shared" ref="L1645:L1692" si="663">SUMIFS(rl_daysafter,rl_key,$A$1642,rl_effmonth,$B1645,rl_first,1)</f>
        <v>0</v>
      </c>
      <c r="M1645" s="246">
        <f t="shared" ref="M1645:M1692" si="664">IF($K1645=0,0,MIN(1,$L1645/$D1645))</f>
        <v>0</v>
      </c>
      <c r="N1645" s="121">
        <f t="shared" ref="N1645:N1692" si="665">IF($K1645=0,$J1645,(1-$M1645)*$I1645+$M1645*$J1645)</f>
        <v>1</v>
      </c>
      <c r="O1645" s="246">
        <f t="shared" ref="O1645:O1692" si="666">IF($F1645&lt;$B$1643,$E$1643+$I$1643*($F1645-$A$1643),IF($F1645&lt;$C$1643,$F$1643+$J$1643*($F1645-$B$1643),$G$1643+$K$1643*($F1645-$C$1643)))</f>
        <v>0.90318927789934356</v>
      </c>
      <c r="P1645" s="121">
        <f t="shared" ref="P1645:P1692" si="667">MIN(1,MAX(0,(nr_MEndPm1-$G1645+0.5)/$C$1642))-MIN(1,MAX(0,(nr_MStartPm1-1-$G1645+0.5)/$C$1642))</f>
        <v>0</v>
      </c>
      <c r="Q1645" s="121">
        <f t="shared" ref="Q1645:Q1692" si="668">MIN(1,MAX(0,(nr_MEndP-$G1645+0.5)/$C$1642))-MIN(1,MAX(0,(nr_MStartP-1-$G1645+0.5)/$C$1642))</f>
        <v>0</v>
      </c>
      <c r="R1645" s="121">
        <f t="shared" ref="R1645:R1692" si="669">MIN(1,MAX(0,(nr_MEndP1-$G1645+0.5)/$C$1642))-MIN(1,MAX(0,(nr_MStartP1-1-$G1645+0.5)/$C$1642))</f>
        <v>0</v>
      </c>
      <c r="S1645" s="121" t="str">
        <f t="shared" ref="S1645:S1692" si="670">IF($L$1642,$N1645*IF($O$1642=1,$O1645/$F$1642,1),"")</f>
        <v/>
      </c>
      <c r="T1645" s="121" t="str">
        <f t="shared" ref="T1645:T1692" si="671">IF(NOT($L$1642),"",IF($G1645&lt;nr_MStartP,$S1645,$T1633*(1+IF($G1645&lt;nr_MStartP1,$M$1642,$N$1642))))</f>
        <v/>
      </c>
      <c r="U1645" s="121">
        <f t="shared" ref="U1645:U1692" si="672">IF($L$1642,$T1645,$N1645)</f>
        <v>1</v>
      </c>
    </row>
    <row r="1646" spans="1:21" x14ac:dyDescent="0.3">
      <c r="A1646" s="187">
        <v>2</v>
      </c>
      <c r="B1646" s="242">
        <f t="shared" ref="B1646:B1692" si="673">EDATE($B1645,1)</f>
        <v>45689</v>
      </c>
      <c r="C1646" s="243">
        <f t="shared" si="654"/>
        <v>45716</v>
      </c>
      <c r="D1646" s="120">
        <f t="shared" si="655"/>
        <v>28</v>
      </c>
      <c r="E1646" s="120">
        <f t="shared" si="656"/>
        <v>2</v>
      </c>
      <c r="F1646" s="275">
        <f t="shared" si="657"/>
        <v>45703</v>
      </c>
      <c r="G1646" s="120">
        <f t="shared" si="658"/>
        <v>24301</v>
      </c>
      <c r="H1646" s="245">
        <f t="shared" si="659"/>
        <v>1</v>
      </c>
      <c r="I1646" s="121">
        <f t="shared" si="660"/>
        <v>1</v>
      </c>
      <c r="J1646" s="121">
        <f t="shared" si="661"/>
        <v>1</v>
      </c>
      <c r="K1646" s="120">
        <f t="shared" si="662"/>
        <v>0</v>
      </c>
      <c r="L1646" s="120">
        <f t="shared" si="663"/>
        <v>0</v>
      </c>
      <c r="M1646" s="246">
        <f t="shared" si="664"/>
        <v>0</v>
      </c>
      <c r="N1646" s="121">
        <f t="shared" si="665"/>
        <v>1</v>
      </c>
      <c r="O1646" s="246">
        <f t="shared" si="666"/>
        <v>0.90351203501094102</v>
      </c>
      <c r="P1646" s="121">
        <f t="shared" si="667"/>
        <v>0</v>
      </c>
      <c r="Q1646" s="121">
        <f t="shared" si="668"/>
        <v>0</v>
      </c>
      <c r="R1646" s="121">
        <f t="shared" si="669"/>
        <v>0</v>
      </c>
      <c r="S1646" s="121" t="str">
        <f t="shared" si="670"/>
        <v/>
      </c>
      <c r="T1646" s="121" t="str">
        <f t="shared" si="671"/>
        <v/>
      </c>
      <c r="U1646" s="121">
        <f t="shared" si="672"/>
        <v>1</v>
      </c>
    </row>
    <row r="1647" spans="1:21" x14ac:dyDescent="0.3">
      <c r="A1647" s="187">
        <v>3</v>
      </c>
      <c r="B1647" s="242">
        <f t="shared" si="673"/>
        <v>45717</v>
      </c>
      <c r="C1647" s="243">
        <f t="shared" si="654"/>
        <v>45747</v>
      </c>
      <c r="D1647" s="120">
        <f t="shared" si="655"/>
        <v>31</v>
      </c>
      <c r="E1647" s="120">
        <f t="shared" si="656"/>
        <v>3</v>
      </c>
      <c r="F1647" s="275">
        <f t="shared" si="657"/>
        <v>45732.5</v>
      </c>
      <c r="G1647" s="120">
        <f t="shared" si="658"/>
        <v>24302</v>
      </c>
      <c r="H1647" s="245">
        <f t="shared" si="659"/>
        <v>1</v>
      </c>
      <c r="I1647" s="121">
        <f t="shared" si="660"/>
        <v>1</v>
      </c>
      <c r="J1647" s="121">
        <f t="shared" si="661"/>
        <v>1</v>
      </c>
      <c r="K1647" s="120">
        <f t="shared" si="662"/>
        <v>0</v>
      </c>
      <c r="L1647" s="120">
        <f t="shared" si="663"/>
        <v>0</v>
      </c>
      <c r="M1647" s="246">
        <f t="shared" si="664"/>
        <v>0</v>
      </c>
      <c r="N1647" s="121">
        <f t="shared" si="665"/>
        <v>1</v>
      </c>
      <c r="O1647" s="246">
        <f t="shared" si="666"/>
        <v>0.90383479212253837</v>
      </c>
      <c r="P1647" s="121">
        <f t="shared" si="667"/>
        <v>0</v>
      </c>
      <c r="Q1647" s="121">
        <f t="shared" si="668"/>
        <v>0</v>
      </c>
      <c r="R1647" s="121">
        <f t="shared" si="669"/>
        <v>0</v>
      </c>
      <c r="S1647" s="121" t="str">
        <f t="shared" si="670"/>
        <v/>
      </c>
      <c r="T1647" s="121" t="str">
        <f t="shared" si="671"/>
        <v/>
      </c>
      <c r="U1647" s="121">
        <f t="shared" si="672"/>
        <v>1</v>
      </c>
    </row>
    <row r="1648" spans="1:21" x14ac:dyDescent="0.3">
      <c r="A1648" s="187">
        <v>4</v>
      </c>
      <c r="B1648" s="242">
        <f t="shared" si="673"/>
        <v>45748</v>
      </c>
      <c r="C1648" s="243">
        <f t="shared" si="654"/>
        <v>45777</v>
      </c>
      <c r="D1648" s="120">
        <f t="shared" si="655"/>
        <v>30</v>
      </c>
      <c r="E1648" s="120">
        <f t="shared" si="656"/>
        <v>4</v>
      </c>
      <c r="F1648" s="275">
        <f t="shared" si="657"/>
        <v>45763</v>
      </c>
      <c r="G1648" s="120">
        <f t="shared" si="658"/>
        <v>24303</v>
      </c>
      <c r="H1648" s="245">
        <f t="shared" si="659"/>
        <v>1</v>
      </c>
      <c r="I1648" s="121">
        <f t="shared" si="660"/>
        <v>1</v>
      </c>
      <c r="J1648" s="121">
        <f t="shared" si="661"/>
        <v>1</v>
      </c>
      <c r="K1648" s="120">
        <f t="shared" si="662"/>
        <v>0</v>
      </c>
      <c r="L1648" s="120">
        <f t="shared" si="663"/>
        <v>0</v>
      </c>
      <c r="M1648" s="246">
        <f t="shared" si="664"/>
        <v>0</v>
      </c>
      <c r="N1648" s="121">
        <f t="shared" si="665"/>
        <v>1</v>
      </c>
      <c r="O1648" s="246">
        <f t="shared" si="666"/>
        <v>0.90416849015317291</v>
      </c>
      <c r="P1648" s="121">
        <f t="shared" si="667"/>
        <v>0</v>
      </c>
      <c r="Q1648" s="121">
        <f t="shared" si="668"/>
        <v>0</v>
      </c>
      <c r="R1648" s="121">
        <f t="shared" si="669"/>
        <v>0</v>
      </c>
      <c r="S1648" s="121" t="str">
        <f t="shared" si="670"/>
        <v/>
      </c>
      <c r="T1648" s="121" t="str">
        <f t="shared" si="671"/>
        <v/>
      </c>
      <c r="U1648" s="121">
        <f t="shared" si="672"/>
        <v>1</v>
      </c>
    </row>
    <row r="1649" spans="1:21" x14ac:dyDescent="0.3">
      <c r="A1649" s="187">
        <v>5</v>
      </c>
      <c r="B1649" s="242">
        <f t="shared" si="673"/>
        <v>45778</v>
      </c>
      <c r="C1649" s="243">
        <f t="shared" si="654"/>
        <v>45808</v>
      </c>
      <c r="D1649" s="120">
        <f t="shared" si="655"/>
        <v>31</v>
      </c>
      <c r="E1649" s="120">
        <f t="shared" si="656"/>
        <v>5</v>
      </c>
      <c r="F1649" s="275">
        <f t="shared" si="657"/>
        <v>45793.5</v>
      </c>
      <c r="G1649" s="120">
        <f t="shared" si="658"/>
        <v>24304</v>
      </c>
      <c r="H1649" s="245">
        <f t="shared" si="659"/>
        <v>1</v>
      </c>
      <c r="I1649" s="121">
        <f t="shared" si="660"/>
        <v>1</v>
      </c>
      <c r="J1649" s="121">
        <f t="shared" si="661"/>
        <v>1</v>
      </c>
      <c r="K1649" s="120">
        <f t="shared" si="662"/>
        <v>0</v>
      </c>
      <c r="L1649" s="120">
        <f t="shared" si="663"/>
        <v>0</v>
      </c>
      <c r="M1649" s="246">
        <f t="shared" si="664"/>
        <v>0</v>
      </c>
      <c r="N1649" s="121">
        <f t="shared" si="665"/>
        <v>1</v>
      </c>
      <c r="O1649" s="246">
        <f t="shared" si="666"/>
        <v>0.90450218818380745</v>
      </c>
      <c r="P1649" s="121">
        <f t="shared" si="667"/>
        <v>0</v>
      </c>
      <c r="Q1649" s="121">
        <f t="shared" si="668"/>
        <v>0</v>
      </c>
      <c r="R1649" s="121">
        <f t="shared" si="669"/>
        <v>0</v>
      </c>
      <c r="S1649" s="121" t="str">
        <f t="shared" si="670"/>
        <v/>
      </c>
      <c r="T1649" s="121" t="str">
        <f t="shared" si="671"/>
        <v/>
      </c>
      <c r="U1649" s="121">
        <f t="shared" si="672"/>
        <v>1</v>
      </c>
    </row>
    <row r="1650" spans="1:21" x14ac:dyDescent="0.3">
      <c r="A1650" s="187">
        <v>6</v>
      </c>
      <c r="B1650" s="242">
        <f t="shared" si="673"/>
        <v>45809</v>
      </c>
      <c r="C1650" s="243">
        <f t="shared" si="654"/>
        <v>45838</v>
      </c>
      <c r="D1650" s="120">
        <f t="shared" si="655"/>
        <v>30</v>
      </c>
      <c r="E1650" s="120">
        <f t="shared" si="656"/>
        <v>6</v>
      </c>
      <c r="F1650" s="275">
        <f t="shared" si="657"/>
        <v>45824</v>
      </c>
      <c r="G1650" s="120">
        <f t="shared" si="658"/>
        <v>24305</v>
      </c>
      <c r="H1650" s="245">
        <f t="shared" si="659"/>
        <v>1</v>
      </c>
      <c r="I1650" s="121">
        <f t="shared" si="660"/>
        <v>1</v>
      </c>
      <c r="J1650" s="121">
        <f t="shared" si="661"/>
        <v>1</v>
      </c>
      <c r="K1650" s="120">
        <f t="shared" si="662"/>
        <v>0</v>
      </c>
      <c r="L1650" s="120">
        <f t="shared" si="663"/>
        <v>0</v>
      </c>
      <c r="M1650" s="246">
        <f t="shared" si="664"/>
        <v>0</v>
      </c>
      <c r="N1650" s="121">
        <f t="shared" si="665"/>
        <v>1</v>
      </c>
      <c r="O1650" s="246">
        <f t="shared" si="666"/>
        <v>0.90483588621444211</v>
      </c>
      <c r="P1650" s="121">
        <f t="shared" si="667"/>
        <v>0</v>
      </c>
      <c r="Q1650" s="121">
        <f t="shared" si="668"/>
        <v>0</v>
      </c>
      <c r="R1650" s="121">
        <f t="shared" si="669"/>
        <v>0</v>
      </c>
      <c r="S1650" s="121" t="str">
        <f t="shared" si="670"/>
        <v/>
      </c>
      <c r="T1650" s="121" t="str">
        <f t="shared" si="671"/>
        <v/>
      </c>
      <c r="U1650" s="121">
        <f t="shared" si="672"/>
        <v>1</v>
      </c>
    </row>
    <row r="1651" spans="1:21" x14ac:dyDescent="0.3">
      <c r="A1651" s="187">
        <v>7</v>
      </c>
      <c r="B1651" s="242">
        <f t="shared" si="673"/>
        <v>45839</v>
      </c>
      <c r="C1651" s="243">
        <f t="shared" si="654"/>
        <v>45869</v>
      </c>
      <c r="D1651" s="120">
        <f t="shared" si="655"/>
        <v>31</v>
      </c>
      <c r="E1651" s="120">
        <f t="shared" si="656"/>
        <v>7</v>
      </c>
      <c r="F1651" s="275">
        <f t="shared" si="657"/>
        <v>45854.5</v>
      </c>
      <c r="G1651" s="120">
        <f t="shared" si="658"/>
        <v>24306</v>
      </c>
      <c r="H1651" s="245">
        <f t="shared" si="659"/>
        <v>1</v>
      </c>
      <c r="I1651" s="121">
        <f t="shared" si="660"/>
        <v>1</v>
      </c>
      <c r="J1651" s="121">
        <f t="shared" si="661"/>
        <v>1</v>
      </c>
      <c r="K1651" s="120">
        <f t="shared" si="662"/>
        <v>0</v>
      </c>
      <c r="L1651" s="120">
        <f t="shared" si="663"/>
        <v>0</v>
      </c>
      <c r="M1651" s="246">
        <f t="shared" si="664"/>
        <v>0</v>
      </c>
      <c r="N1651" s="121">
        <f t="shared" si="665"/>
        <v>1</v>
      </c>
      <c r="O1651" s="246">
        <f t="shared" si="666"/>
        <v>0.90516958424507665</v>
      </c>
      <c r="P1651" s="121">
        <f t="shared" si="667"/>
        <v>8.333333333333337E-2</v>
      </c>
      <c r="Q1651" s="121">
        <f t="shared" si="668"/>
        <v>0</v>
      </c>
      <c r="R1651" s="121">
        <f t="shared" si="669"/>
        <v>0</v>
      </c>
      <c r="S1651" s="121" t="str">
        <f t="shared" si="670"/>
        <v/>
      </c>
      <c r="T1651" s="121" t="str">
        <f t="shared" si="671"/>
        <v/>
      </c>
      <c r="U1651" s="121">
        <f t="shared" si="672"/>
        <v>1</v>
      </c>
    </row>
    <row r="1652" spans="1:21" x14ac:dyDescent="0.3">
      <c r="A1652" s="187">
        <v>8</v>
      </c>
      <c r="B1652" s="242">
        <f t="shared" si="673"/>
        <v>45870</v>
      </c>
      <c r="C1652" s="243">
        <f t="shared" si="654"/>
        <v>45900</v>
      </c>
      <c r="D1652" s="120">
        <f t="shared" si="655"/>
        <v>31</v>
      </c>
      <c r="E1652" s="120">
        <f t="shared" si="656"/>
        <v>8</v>
      </c>
      <c r="F1652" s="275">
        <f t="shared" si="657"/>
        <v>45885.5</v>
      </c>
      <c r="G1652" s="120">
        <f t="shared" si="658"/>
        <v>24307</v>
      </c>
      <c r="H1652" s="245">
        <f t="shared" si="659"/>
        <v>1</v>
      </c>
      <c r="I1652" s="121">
        <f t="shared" si="660"/>
        <v>1</v>
      </c>
      <c r="J1652" s="121">
        <f t="shared" si="661"/>
        <v>1</v>
      </c>
      <c r="K1652" s="120">
        <f t="shared" si="662"/>
        <v>0</v>
      </c>
      <c r="L1652" s="120">
        <f t="shared" si="663"/>
        <v>0</v>
      </c>
      <c r="M1652" s="246">
        <f t="shared" si="664"/>
        <v>0</v>
      </c>
      <c r="N1652" s="121">
        <f t="shared" si="665"/>
        <v>1</v>
      </c>
      <c r="O1652" s="246">
        <f t="shared" si="666"/>
        <v>0.90550875273522979</v>
      </c>
      <c r="P1652" s="121">
        <f t="shared" si="667"/>
        <v>0.25</v>
      </c>
      <c r="Q1652" s="121">
        <f t="shared" si="668"/>
        <v>0</v>
      </c>
      <c r="R1652" s="121">
        <f t="shared" si="669"/>
        <v>0</v>
      </c>
      <c r="S1652" s="121" t="str">
        <f t="shared" si="670"/>
        <v/>
      </c>
      <c r="T1652" s="121" t="str">
        <f t="shared" si="671"/>
        <v/>
      </c>
      <c r="U1652" s="121">
        <f t="shared" si="672"/>
        <v>1</v>
      </c>
    </row>
    <row r="1653" spans="1:21" x14ac:dyDescent="0.3">
      <c r="A1653" s="187">
        <v>9</v>
      </c>
      <c r="B1653" s="242">
        <f t="shared" si="673"/>
        <v>45901</v>
      </c>
      <c r="C1653" s="243">
        <f t="shared" si="654"/>
        <v>45930</v>
      </c>
      <c r="D1653" s="120">
        <f t="shared" si="655"/>
        <v>30</v>
      </c>
      <c r="E1653" s="120">
        <f t="shared" si="656"/>
        <v>9</v>
      </c>
      <c r="F1653" s="275">
        <f t="shared" si="657"/>
        <v>45916</v>
      </c>
      <c r="G1653" s="120">
        <f t="shared" si="658"/>
        <v>24308</v>
      </c>
      <c r="H1653" s="245">
        <f t="shared" si="659"/>
        <v>1</v>
      </c>
      <c r="I1653" s="121">
        <f t="shared" si="660"/>
        <v>1</v>
      </c>
      <c r="J1653" s="121">
        <f t="shared" si="661"/>
        <v>1</v>
      </c>
      <c r="K1653" s="120">
        <f t="shared" si="662"/>
        <v>0</v>
      </c>
      <c r="L1653" s="120">
        <f t="shared" si="663"/>
        <v>0</v>
      </c>
      <c r="M1653" s="246">
        <f t="shared" si="664"/>
        <v>0</v>
      </c>
      <c r="N1653" s="121">
        <f t="shared" si="665"/>
        <v>1</v>
      </c>
      <c r="O1653" s="246">
        <f t="shared" si="666"/>
        <v>0.90584245076586434</v>
      </c>
      <c r="P1653" s="121">
        <f t="shared" si="667"/>
        <v>0.41666666666666663</v>
      </c>
      <c r="Q1653" s="121">
        <f t="shared" si="668"/>
        <v>0</v>
      </c>
      <c r="R1653" s="121">
        <f t="shared" si="669"/>
        <v>0</v>
      </c>
      <c r="S1653" s="121" t="str">
        <f t="shared" si="670"/>
        <v/>
      </c>
      <c r="T1653" s="121" t="str">
        <f t="shared" si="671"/>
        <v/>
      </c>
      <c r="U1653" s="121">
        <f t="shared" si="672"/>
        <v>1</v>
      </c>
    </row>
    <row r="1654" spans="1:21" x14ac:dyDescent="0.3">
      <c r="A1654" s="187">
        <v>10</v>
      </c>
      <c r="B1654" s="242">
        <f t="shared" si="673"/>
        <v>45931</v>
      </c>
      <c r="C1654" s="243">
        <f t="shared" si="654"/>
        <v>45961</v>
      </c>
      <c r="D1654" s="120">
        <f t="shared" si="655"/>
        <v>31</v>
      </c>
      <c r="E1654" s="120">
        <f t="shared" si="656"/>
        <v>10</v>
      </c>
      <c r="F1654" s="275">
        <f t="shared" si="657"/>
        <v>45946.5</v>
      </c>
      <c r="G1654" s="120">
        <f t="shared" si="658"/>
        <v>24309</v>
      </c>
      <c r="H1654" s="245">
        <f t="shared" si="659"/>
        <v>1</v>
      </c>
      <c r="I1654" s="121">
        <f t="shared" si="660"/>
        <v>1</v>
      </c>
      <c r="J1654" s="121">
        <f t="shared" si="661"/>
        <v>1</v>
      </c>
      <c r="K1654" s="120">
        <f t="shared" si="662"/>
        <v>0</v>
      </c>
      <c r="L1654" s="120">
        <f t="shared" si="663"/>
        <v>0</v>
      </c>
      <c r="M1654" s="246">
        <f t="shared" si="664"/>
        <v>0</v>
      </c>
      <c r="N1654" s="121">
        <f t="shared" si="665"/>
        <v>1</v>
      </c>
      <c r="O1654" s="246">
        <f t="shared" si="666"/>
        <v>0.90617614879649899</v>
      </c>
      <c r="P1654" s="121">
        <f t="shared" si="667"/>
        <v>0.58333333333333326</v>
      </c>
      <c r="Q1654" s="121">
        <f t="shared" si="668"/>
        <v>0</v>
      </c>
      <c r="R1654" s="121">
        <f t="shared" si="669"/>
        <v>0</v>
      </c>
      <c r="S1654" s="121" t="str">
        <f t="shared" si="670"/>
        <v/>
      </c>
      <c r="T1654" s="121" t="str">
        <f t="shared" si="671"/>
        <v/>
      </c>
      <c r="U1654" s="121">
        <f t="shared" si="672"/>
        <v>1</v>
      </c>
    </row>
    <row r="1655" spans="1:21" x14ac:dyDescent="0.3">
      <c r="A1655" s="187">
        <v>11</v>
      </c>
      <c r="B1655" s="242">
        <f t="shared" si="673"/>
        <v>45962</v>
      </c>
      <c r="C1655" s="243">
        <f t="shared" si="654"/>
        <v>45991</v>
      </c>
      <c r="D1655" s="120">
        <f t="shared" si="655"/>
        <v>30</v>
      </c>
      <c r="E1655" s="120">
        <f t="shared" si="656"/>
        <v>11</v>
      </c>
      <c r="F1655" s="275">
        <f t="shared" si="657"/>
        <v>45977</v>
      </c>
      <c r="G1655" s="120">
        <f t="shared" si="658"/>
        <v>24310</v>
      </c>
      <c r="H1655" s="245">
        <f t="shared" si="659"/>
        <v>1</v>
      </c>
      <c r="I1655" s="121">
        <f t="shared" si="660"/>
        <v>1</v>
      </c>
      <c r="J1655" s="121">
        <f t="shared" si="661"/>
        <v>1</v>
      </c>
      <c r="K1655" s="120">
        <f t="shared" si="662"/>
        <v>0</v>
      </c>
      <c r="L1655" s="120">
        <f t="shared" si="663"/>
        <v>0</v>
      </c>
      <c r="M1655" s="246">
        <f t="shared" si="664"/>
        <v>0</v>
      </c>
      <c r="N1655" s="121">
        <f t="shared" si="665"/>
        <v>1</v>
      </c>
      <c r="O1655" s="246">
        <f t="shared" si="666"/>
        <v>0.90650984682713354</v>
      </c>
      <c r="P1655" s="121">
        <f t="shared" si="667"/>
        <v>0.75</v>
      </c>
      <c r="Q1655" s="121">
        <f t="shared" si="668"/>
        <v>0</v>
      </c>
      <c r="R1655" s="121">
        <f t="shared" si="669"/>
        <v>0</v>
      </c>
      <c r="S1655" s="121" t="str">
        <f t="shared" si="670"/>
        <v/>
      </c>
      <c r="T1655" s="121" t="str">
        <f t="shared" si="671"/>
        <v/>
      </c>
      <c r="U1655" s="121">
        <f t="shared" si="672"/>
        <v>1</v>
      </c>
    </row>
    <row r="1656" spans="1:21" x14ac:dyDescent="0.3">
      <c r="A1656" s="187">
        <v>12</v>
      </c>
      <c r="B1656" s="242">
        <f t="shared" si="673"/>
        <v>45992</v>
      </c>
      <c r="C1656" s="243">
        <f t="shared" si="654"/>
        <v>46022</v>
      </c>
      <c r="D1656" s="120">
        <f t="shared" si="655"/>
        <v>31</v>
      </c>
      <c r="E1656" s="120">
        <f t="shared" si="656"/>
        <v>12</v>
      </c>
      <c r="F1656" s="275">
        <f t="shared" si="657"/>
        <v>46007.5</v>
      </c>
      <c r="G1656" s="120">
        <f t="shared" si="658"/>
        <v>24311</v>
      </c>
      <c r="H1656" s="245">
        <f t="shared" si="659"/>
        <v>1</v>
      </c>
      <c r="I1656" s="121">
        <f t="shared" si="660"/>
        <v>1</v>
      </c>
      <c r="J1656" s="121">
        <f t="shared" si="661"/>
        <v>1</v>
      </c>
      <c r="K1656" s="120">
        <f t="shared" si="662"/>
        <v>0</v>
      </c>
      <c r="L1656" s="120">
        <f t="shared" si="663"/>
        <v>0</v>
      </c>
      <c r="M1656" s="246">
        <f t="shared" si="664"/>
        <v>0</v>
      </c>
      <c r="N1656" s="121">
        <f t="shared" si="665"/>
        <v>1</v>
      </c>
      <c r="O1656" s="246">
        <f t="shared" si="666"/>
        <v>0.90684354485776808</v>
      </c>
      <c r="P1656" s="121">
        <f t="shared" si="667"/>
        <v>0.91666666666666663</v>
      </c>
      <c r="Q1656" s="121">
        <f t="shared" si="668"/>
        <v>0</v>
      </c>
      <c r="R1656" s="121">
        <f t="shared" si="669"/>
        <v>0</v>
      </c>
      <c r="S1656" s="121" t="str">
        <f t="shared" si="670"/>
        <v/>
      </c>
      <c r="T1656" s="121" t="str">
        <f t="shared" si="671"/>
        <v/>
      </c>
      <c r="U1656" s="121">
        <f t="shared" si="672"/>
        <v>1</v>
      </c>
    </row>
    <row r="1657" spans="1:21" x14ac:dyDescent="0.3">
      <c r="A1657" s="187">
        <v>13</v>
      </c>
      <c r="B1657" s="242">
        <f t="shared" si="673"/>
        <v>46023</v>
      </c>
      <c r="C1657" s="243">
        <f t="shared" si="654"/>
        <v>46053</v>
      </c>
      <c r="D1657" s="120">
        <f t="shared" si="655"/>
        <v>31</v>
      </c>
      <c r="E1657" s="120">
        <f t="shared" si="656"/>
        <v>1</v>
      </c>
      <c r="F1657" s="275">
        <f t="shared" si="657"/>
        <v>46038.5</v>
      </c>
      <c r="G1657" s="120">
        <f t="shared" si="658"/>
        <v>24312</v>
      </c>
      <c r="H1657" s="245">
        <f t="shared" si="659"/>
        <v>1</v>
      </c>
      <c r="I1657" s="121">
        <f t="shared" si="660"/>
        <v>1</v>
      </c>
      <c r="J1657" s="121">
        <f t="shared" si="661"/>
        <v>1</v>
      </c>
      <c r="K1657" s="120">
        <f t="shared" si="662"/>
        <v>0</v>
      </c>
      <c r="L1657" s="120">
        <f t="shared" si="663"/>
        <v>0</v>
      </c>
      <c r="M1657" s="246">
        <f t="shared" si="664"/>
        <v>0</v>
      </c>
      <c r="N1657" s="121">
        <f t="shared" si="665"/>
        <v>1</v>
      </c>
      <c r="O1657" s="246">
        <f t="shared" si="666"/>
        <v>0.90718271334792122</v>
      </c>
      <c r="P1657" s="121">
        <f t="shared" si="667"/>
        <v>1</v>
      </c>
      <c r="Q1657" s="121">
        <f t="shared" si="668"/>
        <v>0</v>
      </c>
      <c r="R1657" s="121">
        <f t="shared" si="669"/>
        <v>0</v>
      </c>
      <c r="S1657" s="121" t="str">
        <f t="shared" si="670"/>
        <v/>
      </c>
      <c r="T1657" s="121" t="str">
        <f t="shared" si="671"/>
        <v/>
      </c>
      <c r="U1657" s="121">
        <f t="shared" si="672"/>
        <v>1</v>
      </c>
    </row>
    <row r="1658" spans="1:21" x14ac:dyDescent="0.3">
      <c r="A1658" s="187">
        <v>14</v>
      </c>
      <c r="B1658" s="242">
        <f t="shared" si="673"/>
        <v>46054</v>
      </c>
      <c r="C1658" s="243">
        <f t="shared" si="654"/>
        <v>46081</v>
      </c>
      <c r="D1658" s="120">
        <f t="shared" si="655"/>
        <v>28</v>
      </c>
      <c r="E1658" s="120">
        <f t="shared" si="656"/>
        <v>2</v>
      </c>
      <c r="F1658" s="275">
        <f t="shared" si="657"/>
        <v>46068</v>
      </c>
      <c r="G1658" s="120">
        <f t="shared" si="658"/>
        <v>24313</v>
      </c>
      <c r="H1658" s="245">
        <f t="shared" si="659"/>
        <v>1</v>
      </c>
      <c r="I1658" s="121">
        <f t="shared" si="660"/>
        <v>1</v>
      </c>
      <c r="J1658" s="121">
        <f t="shared" si="661"/>
        <v>1</v>
      </c>
      <c r="K1658" s="120">
        <f t="shared" si="662"/>
        <v>0</v>
      </c>
      <c r="L1658" s="120">
        <f t="shared" si="663"/>
        <v>0</v>
      </c>
      <c r="M1658" s="246">
        <f t="shared" si="664"/>
        <v>0</v>
      </c>
      <c r="N1658" s="121">
        <f t="shared" si="665"/>
        <v>1</v>
      </c>
      <c r="O1658" s="246">
        <f t="shared" si="666"/>
        <v>0.90750547045951868</v>
      </c>
      <c r="P1658" s="121">
        <f t="shared" si="667"/>
        <v>1</v>
      </c>
      <c r="Q1658" s="121">
        <f t="shared" si="668"/>
        <v>0</v>
      </c>
      <c r="R1658" s="121">
        <f t="shared" si="669"/>
        <v>0</v>
      </c>
      <c r="S1658" s="121" t="str">
        <f t="shared" si="670"/>
        <v/>
      </c>
      <c r="T1658" s="121" t="str">
        <f t="shared" si="671"/>
        <v/>
      </c>
      <c r="U1658" s="121">
        <f t="shared" si="672"/>
        <v>1</v>
      </c>
    </row>
    <row r="1659" spans="1:21" x14ac:dyDescent="0.3">
      <c r="A1659" s="187">
        <v>15</v>
      </c>
      <c r="B1659" s="242">
        <f t="shared" si="673"/>
        <v>46082</v>
      </c>
      <c r="C1659" s="243">
        <f t="shared" si="654"/>
        <v>46112</v>
      </c>
      <c r="D1659" s="120">
        <f t="shared" si="655"/>
        <v>31</v>
      </c>
      <c r="E1659" s="120">
        <f t="shared" si="656"/>
        <v>3</v>
      </c>
      <c r="F1659" s="275">
        <f t="shared" si="657"/>
        <v>46097.5</v>
      </c>
      <c r="G1659" s="120">
        <f t="shared" si="658"/>
        <v>24314</v>
      </c>
      <c r="H1659" s="245">
        <f t="shared" si="659"/>
        <v>1</v>
      </c>
      <c r="I1659" s="121">
        <f t="shared" si="660"/>
        <v>1</v>
      </c>
      <c r="J1659" s="121">
        <f t="shared" si="661"/>
        <v>1</v>
      </c>
      <c r="K1659" s="120">
        <f t="shared" si="662"/>
        <v>0</v>
      </c>
      <c r="L1659" s="120">
        <f t="shared" si="663"/>
        <v>0</v>
      </c>
      <c r="M1659" s="246">
        <f t="shared" si="664"/>
        <v>0</v>
      </c>
      <c r="N1659" s="121">
        <f t="shared" si="665"/>
        <v>1</v>
      </c>
      <c r="O1659" s="246">
        <f t="shared" si="666"/>
        <v>0.90782822757111603</v>
      </c>
      <c r="P1659" s="121">
        <f t="shared" si="667"/>
        <v>1</v>
      </c>
      <c r="Q1659" s="121">
        <f t="shared" si="668"/>
        <v>0</v>
      </c>
      <c r="R1659" s="121">
        <f t="shared" si="669"/>
        <v>0</v>
      </c>
      <c r="S1659" s="121" t="str">
        <f t="shared" si="670"/>
        <v/>
      </c>
      <c r="T1659" s="121" t="str">
        <f t="shared" si="671"/>
        <v/>
      </c>
      <c r="U1659" s="121">
        <f t="shared" si="672"/>
        <v>1</v>
      </c>
    </row>
    <row r="1660" spans="1:21" x14ac:dyDescent="0.3">
      <c r="A1660" s="187">
        <v>16</v>
      </c>
      <c r="B1660" s="242">
        <f t="shared" si="673"/>
        <v>46113</v>
      </c>
      <c r="C1660" s="243">
        <f t="shared" si="654"/>
        <v>46142</v>
      </c>
      <c r="D1660" s="120">
        <f t="shared" si="655"/>
        <v>30</v>
      </c>
      <c r="E1660" s="120">
        <f t="shared" si="656"/>
        <v>4</v>
      </c>
      <c r="F1660" s="275">
        <f t="shared" si="657"/>
        <v>46128</v>
      </c>
      <c r="G1660" s="120">
        <f t="shared" si="658"/>
        <v>24315</v>
      </c>
      <c r="H1660" s="245">
        <f t="shared" si="659"/>
        <v>1</v>
      </c>
      <c r="I1660" s="121">
        <f t="shared" si="660"/>
        <v>1</v>
      </c>
      <c r="J1660" s="121">
        <f t="shared" si="661"/>
        <v>1</v>
      </c>
      <c r="K1660" s="120">
        <f t="shared" si="662"/>
        <v>0</v>
      </c>
      <c r="L1660" s="120">
        <f t="shared" si="663"/>
        <v>0</v>
      </c>
      <c r="M1660" s="246">
        <f t="shared" si="664"/>
        <v>0</v>
      </c>
      <c r="N1660" s="121">
        <f t="shared" si="665"/>
        <v>1</v>
      </c>
      <c r="O1660" s="246">
        <f t="shared" si="666"/>
        <v>0.90816192560175057</v>
      </c>
      <c r="P1660" s="121">
        <f t="shared" si="667"/>
        <v>1</v>
      </c>
      <c r="Q1660" s="121">
        <f t="shared" si="668"/>
        <v>0</v>
      </c>
      <c r="R1660" s="121">
        <f t="shared" si="669"/>
        <v>0</v>
      </c>
      <c r="S1660" s="121" t="str">
        <f t="shared" si="670"/>
        <v/>
      </c>
      <c r="T1660" s="121" t="str">
        <f t="shared" si="671"/>
        <v/>
      </c>
      <c r="U1660" s="121">
        <f t="shared" si="672"/>
        <v>1</v>
      </c>
    </row>
    <row r="1661" spans="1:21" x14ac:dyDescent="0.3">
      <c r="A1661" s="187">
        <v>17</v>
      </c>
      <c r="B1661" s="242">
        <f t="shared" si="673"/>
        <v>46143</v>
      </c>
      <c r="C1661" s="243">
        <f t="shared" si="654"/>
        <v>46173</v>
      </c>
      <c r="D1661" s="120">
        <f t="shared" si="655"/>
        <v>31</v>
      </c>
      <c r="E1661" s="120">
        <f t="shared" si="656"/>
        <v>5</v>
      </c>
      <c r="F1661" s="275">
        <f t="shared" si="657"/>
        <v>46158.5</v>
      </c>
      <c r="G1661" s="120">
        <f t="shared" si="658"/>
        <v>24316</v>
      </c>
      <c r="H1661" s="245">
        <f t="shared" si="659"/>
        <v>1</v>
      </c>
      <c r="I1661" s="121">
        <f t="shared" si="660"/>
        <v>1</v>
      </c>
      <c r="J1661" s="121">
        <f t="shared" si="661"/>
        <v>1</v>
      </c>
      <c r="K1661" s="120">
        <f t="shared" si="662"/>
        <v>0</v>
      </c>
      <c r="L1661" s="120">
        <f t="shared" si="663"/>
        <v>0</v>
      </c>
      <c r="M1661" s="246">
        <f t="shared" si="664"/>
        <v>0</v>
      </c>
      <c r="N1661" s="121">
        <f t="shared" si="665"/>
        <v>1</v>
      </c>
      <c r="O1661" s="246">
        <f t="shared" si="666"/>
        <v>0.90849562363238512</v>
      </c>
      <c r="P1661" s="121">
        <f t="shared" si="667"/>
        <v>1</v>
      </c>
      <c r="Q1661" s="121">
        <f t="shared" si="668"/>
        <v>0</v>
      </c>
      <c r="R1661" s="121">
        <f t="shared" si="669"/>
        <v>0</v>
      </c>
      <c r="S1661" s="121" t="str">
        <f t="shared" si="670"/>
        <v/>
      </c>
      <c r="T1661" s="121" t="str">
        <f t="shared" si="671"/>
        <v/>
      </c>
      <c r="U1661" s="121">
        <f t="shared" si="672"/>
        <v>1</v>
      </c>
    </row>
    <row r="1662" spans="1:21" x14ac:dyDescent="0.3">
      <c r="A1662" s="187">
        <v>18</v>
      </c>
      <c r="B1662" s="242">
        <f t="shared" si="673"/>
        <v>46174</v>
      </c>
      <c r="C1662" s="243">
        <f t="shared" si="654"/>
        <v>46203</v>
      </c>
      <c r="D1662" s="120">
        <f t="shared" si="655"/>
        <v>30</v>
      </c>
      <c r="E1662" s="120">
        <f t="shared" si="656"/>
        <v>6</v>
      </c>
      <c r="F1662" s="275">
        <f t="shared" si="657"/>
        <v>46189</v>
      </c>
      <c r="G1662" s="120">
        <f t="shared" si="658"/>
        <v>24317</v>
      </c>
      <c r="H1662" s="245">
        <f t="shared" si="659"/>
        <v>1</v>
      </c>
      <c r="I1662" s="121">
        <f t="shared" si="660"/>
        <v>1</v>
      </c>
      <c r="J1662" s="121">
        <f t="shared" si="661"/>
        <v>1</v>
      </c>
      <c r="K1662" s="120">
        <f t="shared" si="662"/>
        <v>0</v>
      </c>
      <c r="L1662" s="120">
        <f t="shared" si="663"/>
        <v>0</v>
      </c>
      <c r="M1662" s="246">
        <f t="shared" si="664"/>
        <v>0</v>
      </c>
      <c r="N1662" s="121">
        <f t="shared" si="665"/>
        <v>1</v>
      </c>
      <c r="O1662" s="246">
        <f t="shared" si="666"/>
        <v>0.90882932166301977</v>
      </c>
      <c r="P1662" s="121">
        <f t="shared" si="667"/>
        <v>1</v>
      </c>
      <c r="Q1662" s="121">
        <f t="shared" si="668"/>
        <v>0</v>
      </c>
      <c r="R1662" s="121">
        <f t="shared" si="669"/>
        <v>0</v>
      </c>
      <c r="S1662" s="121" t="str">
        <f t="shared" si="670"/>
        <v/>
      </c>
      <c r="T1662" s="121" t="str">
        <f t="shared" si="671"/>
        <v/>
      </c>
      <c r="U1662" s="121">
        <f t="shared" si="672"/>
        <v>1</v>
      </c>
    </row>
    <row r="1663" spans="1:21" x14ac:dyDescent="0.3">
      <c r="A1663" s="187">
        <v>19</v>
      </c>
      <c r="B1663" s="242">
        <f t="shared" si="673"/>
        <v>46204</v>
      </c>
      <c r="C1663" s="243">
        <f t="shared" si="654"/>
        <v>46234</v>
      </c>
      <c r="D1663" s="120">
        <f t="shared" si="655"/>
        <v>31</v>
      </c>
      <c r="E1663" s="120">
        <f t="shared" si="656"/>
        <v>7</v>
      </c>
      <c r="F1663" s="275">
        <f t="shared" si="657"/>
        <v>46219.5</v>
      </c>
      <c r="G1663" s="120">
        <f t="shared" si="658"/>
        <v>24318</v>
      </c>
      <c r="H1663" s="245">
        <f t="shared" si="659"/>
        <v>1</v>
      </c>
      <c r="I1663" s="121">
        <f t="shared" si="660"/>
        <v>1</v>
      </c>
      <c r="J1663" s="121">
        <f t="shared" si="661"/>
        <v>1</v>
      </c>
      <c r="K1663" s="120">
        <f t="shared" si="662"/>
        <v>0</v>
      </c>
      <c r="L1663" s="120">
        <f t="shared" si="663"/>
        <v>0</v>
      </c>
      <c r="M1663" s="246">
        <f t="shared" si="664"/>
        <v>0</v>
      </c>
      <c r="N1663" s="121">
        <f t="shared" si="665"/>
        <v>1</v>
      </c>
      <c r="O1663" s="246">
        <f t="shared" si="666"/>
        <v>0.90916301969365432</v>
      </c>
      <c r="P1663" s="121">
        <f t="shared" si="667"/>
        <v>0.91666666666666663</v>
      </c>
      <c r="Q1663" s="121">
        <f t="shared" si="668"/>
        <v>8.333333333333337E-2</v>
      </c>
      <c r="R1663" s="121">
        <f t="shared" si="669"/>
        <v>0</v>
      </c>
      <c r="S1663" s="121" t="str">
        <f t="shared" si="670"/>
        <v/>
      </c>
      <c r="T1663" s="121" t="str">
        <f t="shared" si="671"/>
        <v/>
      </c>
      <c r="U1663" s="121">
        <f t="shared" si="672"/>
        <v>1</v>
      </c>
    </row>
    <row r="1664" spans="1:21" x14ac:dyDescent="0.3">
      <c r="A1664" s="187">
        <v>20</v>
      </c>
      <c r="B1664" s="242">
        <f t="shared" si="673"/>
        <v>46235</v>
      </c>
      <c r="C1664" s="243">
        <f t="shared" si="654"/>
        <v>46265</v>
      </c>
      <c r="D1664" s="120">
        <f t="shared" si="655"/>
        <v>31</v>
      </c>
      <c r="E1664" s="120">
        <f t="shared" si="656"/>
        <v>8</v>
      </c>
      <c r="F1664" s="275">
        <f t="shared" si="657"/>
        <v>46250.5</v>
      </c>
      <c r="G1664" s="120">
        <f t="shared" si="658"/>
        <v>24319</v>
      </c>
      <c r="H1664" s="245">
        <f t="shared" si="659"/>
        <v>1</v>
      </c>
      <c r="I1664" s="121">
        <f t="shared" si="660"/>
        <v>1</v>
      </c>
      <c r="J1664" s="121">
        <f t="shared" si="661"/>
        <v>1</v>
      </c>
      <c r="K1664" s="120">
        <f t="shared" si="662"/>
        <v>0</v>
      </c>
      <c r="L1664" s="120">
        <f t="shared" si="663"/>
        <v>0</v>
      </c>
      <c r="M1664" s="246">
        <f t="shared" si="664"/>
        <v>0</v>
      </c>
      <c r="N1664" s="121">
        <f t="shared" si="665"/>
        <v>1</v>
      </c>
      <c r="O1664" s="246">
        <f t="shared" si="666"/>
        <v>0.90950218818380746</v>
      </c>
      <c r="P1664" s="121">
        <f t="shared" si="667"/>
        <v>0.75</v>
      </c>
      <c r="Q1664" s="121">
        <f t="shared" si="668"/>
        <v>0.25</v>
      </c>
      <c r="R1664" s="121">
        <f t="shared" si="669"/>
        <v>0</v>
      </c>
      <c r="S1664" s="121" t="str">
        <f t="shared" si="670"/>
        <v/>
      </c>
      <c r="T1664" s="121" t="str">
        <f t="shared" si="671"/>
        <v/>
      </c>
      <c r="U1664" s="121">
        <f t="shared" si="672"/>
        <v>1</v>
      </c>
    </row>
    <row r="1665" spans="1:21" x14ac:dyDescent="0.3">
      <c r="A1665" s="187">
        <v>21</v>
      </c>
      <c r="B1665" s="242">
        <f t="shared" si="673"/>
        <v>46266</v>
      </c>
      <c r="C1665" s="243">
        <f t="shared" si="654"/>
        <v>46295</v>
      </c>
      <c r="D1665" s="120">
        <f t="shared" si="655"/>
        <v>30</v>
      </c>
      <c r="E1665" s="120">
        <f t="shared" si="656"/>
        <v>9</v>
      </c>
      <c r="F1665" s="275">
        <f t="shared" si="657"/>
        <v>46281</v>
      </c>
      <c r="G1665" s="120">
        <f t="shared" si="658"/>
        <v>24320</v>
      </c>
      <c r="H1665" s="245">
        <f t="shared" si="659"/>
        <v>1</v>
      </c>
      <c r="I1665" s="121">
        <f t="shared" si="660"/>
        <v>1</v>
      </c>
      <c r="J1665" s="121">
        <f t="shared" si="661"/>
        <v>1</v>
      </c>
      <c r="K1665" s="120">
        <f t="shared" si="662"/>
        <v>0</v>
      </c>
      <c r="L1665" s="120">
        <f t="shared" si="663"/>
        <v>0</v>
      </c>
      <c r="M1665" s="246">
        <f t="shared" si="664"/>
        <v>0</v>
      </c>
      <c r="N1665" s="121">
        <f t="shared" si="665"/>
        <v>1</v>
      </c>
      <c r="O1665" s="246">
        <f t="shared" si="666"/>
        <v>0.909835886214442</v>
      </c>
      <c r="P1665" s="121">
        <f t="shared" si="667"/>
        <v>0.58333333333333337</v>
      </c>
      <c r="Q1665" s="121">
        <f t="shared" si="668"/>
        <v>0.41666666666666663</v>
      </c>
      <c r="R1665" s="121">
        <f t="shared" si="669"/>
        <v>0</v>
      </c>
      <c r="S1665" s="121" t="str">
        <f t="shared" si="670"/>
        <v/>
      </c>
      <c r="T1665" s="121" t="str">
        <f t="shared" si="671"/>
        <v/>
      </c>
      <c r="U1665" s="121">
        <f t="shared" si="672"/>
        <v>1</v>
      </c>
    </row>
    <row r="1666" spans="1:21" x14ac:dyDescent="0.3">
      <c r="A1666" s="187">
        <v>22</v>
      </c>
      <c r="B1666" s="242">
        <f t="shared" si="673"/>
        <v>46296</v>
      </c>
      <c r="C1666" s="243">
        <f t="shared" si="654"/>
        <v>46326</v>
      </c>
      <c r="D1666" s="120">
        <f t="shared" si="655"/>
        <v>31</v>
      </c>
      <c r="E1666" s="120">
        <f t="shared" si="656"/>
        <v>10</v>
      </c>
      <c r="F1666" s="275">
        <f t="shared" si="657"/>
        <v>46311.5</v>
      </c>
      <c r="G1666" s="120">
        <f t="shared" si="658"/>
        <v>24321</v>
      </c>
      <c r="H1666" s="245">
        <f t="shared" si="659"/>
        <v>1</v>
      </c>
      <c r="I1666" s="121">
        <f t="shared" si="660"/>
        <v>1</v>
      </c>
      <c r="J1666" s="121">
        <f t="shared" si="661"/>
        <v>1</v>
      </c>
      <c r="K1666" s="120">
        <f t="shared" si="662"/>
        <v>0</v>
      </c>
      <c r="L1666" s="120">
        <f t="shared" si="663"/>
        <v>0</v>
      </c>
      <c r="M1666" s="246">
        <f t="shared" si="664"/>
        <v>0</v>
      </c>
      <c r="N1666" s="121">
        <f t="shared" si="665"/>
        <v>1</v>
      </c>
      <c r="O1666" s="246">
        <f t="shared" si="666"/>
        <v>0.91016958424507666</v>
      </c>
      <c r="P1666" s="121">
        <f t="shared" si="667"/>
        <v>0.41666666666666669</v>
      </c>
      <c r="Q1666" s="121">
        <f t="shared" si="668"/>
        <v>0.58333333333333326</v>
      </c>
      <c r="R1666" s="121">
        <f t="shared" si="669"/>
        <v>0</v>
      </c>
      <c r="S1666" s="121" t="str">
        <f t="shared" si="670"/>
        <v/>
      </c>
      <c r="T1666" s="121" t="str">
        <f t="shared" si="671"/>
        <v/>
      </c>
      <c r="U1666" s="121">
        <f t="shared" si="672"/>
        <v>1</v>
      </c>
    </row>
    <row r="1667" spans="1:21" x14ac:dyDescent="0.3">
      <c r="A1667" s="187">
        <v>23</v>
      </c>
      <c r="B1667" s="242">
        <f t="shared" si="673"/>
        <v>46327</v>
      </c>
      <c r="C1667" s="243">
        <f t="shared" si="654"/>
        <v>46356</v>
      </c>
      <c r="D1667" s="120">
        <f t="shared" si="655"/>
        <v>30</v>
      </c>
      <c r="E1667" s="120">
        <f t="shared" si="656"/>
        <v>11</v>
      </c>
      <c r="F1667" s="275">
        <f t="shared" si="657"/>
        <v>46342</v>
      </c>
      <c r="G1667" s="120">
        <f t="shared" si="658"/>
        <v>24322</v>
      </c>
      <c r="H1667" s="245">
        <f t="shared" si="659"/>
        <v>1</v>
      </c>
      <c r="I1667" s="121">
        <f t="shared" si="660"/>
        <v>1</v>
      </c>
      <c r="J1667" s="121">
        <f t="shared" si="661"/>
        <v>1</v>
      </c>
      <c r="K1667" s="120">
        <f t="shared" si="662"/>
        <v>0</v>
      </c>
      <c r="L1667" s="120">
        <f t="shared" si="663"/>
        <v>0</v>
      </c>
      <c r="M1667" s="246">
        <f t="shared" si="664"/>
        <v>0</v>
      </c>
      <c r="N1667" s="121">
        <f t="shared" si="665"/>
        <v>1</v>
      </c>
      <c r="O1667" s="246">
        <f t="shared" si="666"/>
        <v>0.9105032822757112</v>
      </c>
      <c r="P1667" s="121">
        <f t="shared" si="667"/>
        <v>0.25</v>
      </c>
      <c r="Q1667" s="121">
        <f t="shared" si="668"/>
        <v>0.75</v>
      </c>
      <c r="R1667" s="121">
        <f t="shared" si="669"/>
        <v>0</v>
      </c>
      <c r="S1667" s="121" t="str">
        <f t="shared" si="670"/>
        <v/>
      </c>
      <c r="T1667" s="121" t="str">
        <f t="shared" si="671"/>
        <v/>
      </c>
      <c r="U1667" s="121">
        <f t="shared" si="672"/>
        <v>1</v>
      </c>
    </row>
    <row r="1668" spans="1:21" x14ac:dyDescent="0.3">
      <c r="A1668" s="187">
        <v>24</v>
      </c>
      <c r="B1668" s="242">
        <f t="shared" si="673"/>
        <v>46357</v>
      </c>
      <c r="C1668" s="243">
        <f t="shared" si="654"/>
        <v>46387</v>
      </c>
      <c r="D1668" s="120">
        <f t="shared" si="655"/>
        <v>31</v>
      </c>
      <c r="E1668" s="120">
        <f t="shared" si="656"/>
        <v>12</v>
      </c>
      <c r="F1668" s="275">
        <f t="shared" si="657"/>
        <v>46372.5</v>
      </c>
      <c r="G1668" s="120">
        <f t="shared" si="658"/>
        <v>24323</v>
      </c>
      <c r="H1668" s="245">
        <f t="shared" si="659"/>
        <v>1</v>
      </c>
      <c r="I1668" s="121">
        <f t="shared" si="660"/>
        <v>1</v>
      </c>
      <c r="J1668" s="121">
        <f t="shared" si="661"/>
        <v>1</v>
      </c>
      <c r="K1668" s="120">
        <f t="shared" si="662"/>
        <v>0</v>
      </c>
      <c r="L1668" s="120">
        <f t="shared" si="663"/>
        <v>0</v>
      </c>
      <c r="M1668" s="246">
        <f t="shared" si="664"/>
        <v>0</v>
      </c>
      <c r="N1668" s="121">
        <f t="shared" si="665"/>
        <v>1</v>
      </c>
      <c r="O1668" s="246">
        <f t="shared" si="666"/>
        <v>0.91083698030634574</v>
      </c>
      <c r="P1668" s="121">
        <f t="shared" si="667"/>
        <v>8.3333333333333329E-2</v>
      </c>
      <c r="Q1668" s="121">
        <f t="shared" si="668"/>
        <v>0.91666666666666663</v>
      </c>
      <c r="R1668" s="121">
        <f t="shared" si="669"/>
        <v>0</v>
      </c>
      <c r="S1668" s="121" t="str">
        <f t="shared" si="670"/>
        <v/>
      </c>
      <c r="T1668" s="121" t="str">
        <f t="shared" si="671"/>
        <v/>
      </c>
      <c r="U1668" s="121">
        <f t="shared" si="672"/>
        <v>1</v>
      </c>
    </row>
    <row r="1669" spans="1:21" x14ac:dyDescent="0.3">
      <c r="A1669" s="187">
        <v>25</v>
      </c>
      <c r="B1669" s="242">
        <f t="shared" si="673"/>
        <v>46388</v>
      </c>
      <c r="C1669" s="243">
        <f t="shared" si="654"/>
        <v>46418</v>
      </c>
      <c r="D1669" s="120">
        <f t="shared" si="655"/>
        <v>31</v>
      </c>
      <c r="E1669" s="120">
        <f t="shared" si="656"/>
        <v>1</v>
      </c>
      <c r="F1669" s="275">
        <f t="shared" si="657"/>
        <v>46403.5</v>
      </c>
      <c r="G1669" s="120">
        <f t="shared" si="658"/>
        <v>24324</v>
      </c>
      <c r="H1669" s="245">
        <f t="shared" si="659"/>
        <v>1</v>
      </c>
      <c r="I1669" s="121">
        <f t="shared" si="660"/>
        <v>1</v>
      </c>
      <c r="J1669" s="121">
        <f t="shared" si="661"/>
        <v>1</v>
      </c>
      <c r="K1669" s="120">
        <f t="shared" si="662"/>
        <v>0</v>
      </c>
      <c r="L1669" s="120">
        <f t="shared" si="663"/>
        <v>0</v>
      </c>
      <c r="M1669" s="246">
        <f t="shared" si="664"/>
        <v>0</v>
      </c>
      <c r="N1669" s="121">
        <f t="shared" si="665"/>
        <v>1</v>
      </c>
      <c r="O1669" s="246">
        <f t="shared" si="666"/>
        <v>0.91117614879649889</v>
      </c>
      <c r="P1669" s="121">
        <f t="shared" si="667"/>
        <v>0</v>
      </c>
      <c r="Q1669" s="121">
        <f t="shared" si="668"/>
        <v>1</v>
      </c>
      <c r="R1669" s="121">
        <f t="shared" si="669"/>
        <v>0</v>
      </c>
      <c r="S1669" s="121" t="str">
        <f t="shared" si="670"/>
        <v/>
      </c>
      <c r="T1669" s="121" t="str">
        <f t="shared" si="671"/>
        <v/>
      </c>
      <c r="U1669" s="121">
        <f t="shared" si="672"/>
        <v>1</v>
      </c>
    </row>
    <row r="1670" spans="1:21" x14ac:dyDescent="0.3">
      <c r="A1670" s="187">
        <v>26</v>
      </c>
      <c r="B1670" s="242">
        <f t="shared" si="673"/>
        <v>46419</v>
      </c>
      <c r="C1670" s="243">
        <f t="shared" si="654"/>
        <v>46446</v>
      </c>
      <c r="D1670" s="120">
        <f t="shared" si="655"/>
        <v>28</v>
      </c>
      <c r="E1670" s="120">
        <f t="shared" si="656"/>
        <v>2</v>
      </c>
      <c r="F1670" s="275">
        <f t="shared" si="657"/>
        <v>46433</v>
      </c>
      <c r="G1670" s="120">
        <f t="shared" si="658"/>
        <v>24325</v>
      </c>
      <c r="H1670" s="245">
        <f t="shared" si="659"/>
        <v>1</v>
      </c>
      <c r="I1670" s="121">
        <f t="shared" si="660"/>
        <v>1</v>
      </c>
      <c r="J1670" s="121">
        <f t="shared" si="661"/>
        <v>1</v>
      </c>
      <c r="K1670" s="120">
        <f t="shared" si="662"/>
        <v>0</v>
      </c>
      <c r="L1670" s="120">
        <f t="shared" si="663"/>
        <v>0</v>
      </c>
      <c r="M1670" s="246">
        <f t="shared" si="664"/>
        <v>0</v>
      </c>
      <c r="N1670" s="121">
        <f t="shared" si="665"/>
        <v>1</v>
      </c>
      <c r="O1670" s="246">
        <f t="shared" si="666"/>
        <v>0.91149890590809635</v>
      </c>
      <c r="P1670" s="121">
        <f t="shared" si="667"/>
        <v>0</v>
      </c>
      <c r="Q1670" s="121">
        <f t="shared" si="668"/>
        <v>1</v>
      </c>
      <c r="R1670" s="121">
        <f t="shared" si="669"/>
        <v>0</v>
      </c>
      <c r="S1670" s="121" t="str">
        <f t="shared" si="670"/>
        <v/>
      </c>
      <c r="T1670" s="121" t="str">
        <f t="shared" si="671"/>
        <v/>
      </c>
      <c r="U1670" s="121">
        <f t="shared" si="672"/>
        <v>1</v>
      </c>
    </row>
    <row r="1671" spans="1:21" x14ac:dyDescent="0.3">
      <c r="A1671" s="187">
        <v>27</v>
      </c>
      <c r="B1671" s="242">
        <f t="shared" si="673"/>
        <v>46447</v>
      </c>
      <c r="C1671" s="243">
        <f t="shared" si="654"/>
        <v>46477</v>
      </c>
      <c r="D1671" s="120">
        <f t="shared" si="655"/>
        <v>31</v>
      </c>
      <c r="E1671" s="120">
        <f t="shared" si="656"/>
        <v>3</v>
      </c>
      <c r="F1671" s="275">
        <f t="shared" si="657"/>
        <v>46462.5</v>
      </c>
      <c r="G1671" s="120">
        <f t="shared" si="658"/>
        <v>24326</v>
      </c>
      <c r="H1671" s="245">
        <f t="shared" si="659"/>
        <v>1</v>
      </c>
      <c r="I1671" s="121">
        <f t="shared" si="660"/>
        <v>1</v>
      </c>
      <c r="J1671" s="121">
        <f t="shared" si="661"/>
        <v>1</v>
      </c>
      <c r="K1671" s="120">
        <f t="shared" si="662"/>
        <v>0</v>
      </c>
      <c r="L1671" s="120">
        <f t="shared" si="663"/>
        <v>0</v>
      </c>
      <c r="M1671" s="246">
        <f t="shared" si="664"/>
        <v>0</v>
      </c>
      <c r="N1671" s="121">
        <f t="shared" si="665"/>
        <v>1</v>
      </c>
      <c r="O1671" s="246">
        <f t="shared" si="666"/>
        <v>0.9118216630196937</v>
      </c>
      <c r="P1671" s="121">
        <f t="shared" si="667"/>
        <v>0</v>
      </c>
      <c r="Q1671" s="121">
        <f t="shared" si="668"/>
        <v>1</v>
      </c>
      <c r="R1671" s="121">
        <f t="shared" si="669"/>
        <v>0</v>
      </c>
      <c r="S1671" s="121" t="str">
        <f t="shared" si="670"/>
        <v/>
      </c>
      <c r="T1671" s="121" t="str">
        <f t="shared" si="671"/>
        <v/>
      </c>
      <c r="U1671" s="121">
        <f t="shared" si="672"/>
        <v>1</v>
      </c>
    </row>
    <row r="1672" spans="1:21" x14ac:dyDescent="0.3">
      <c r="A1672" s="187">
        <v>28</v>
      </c>
      <c r="B1672" s="242">
        <f t="shared" si="673"/>
        <v>46478</v>
      </c>
      <c r="C1672" s="243">
        <f t="shared" si="654"/>
        <v>46507</v>
      </c>
      <c r="D1672" s="120">
        <f t="shared" si="655"/>
        <v>30</v>
      </c>
      <c r="E1672" s="120">
        <f t="shared" si="656"/>
        <v>4</v>
      </c>
      <c r="F1672" s="275">
        <f t="shared" si="657"/>
        <v>46493</v>
      </c>
      <c r="G1672" s="120">
        <f t="shared" si="658"/>
        <v>24327</v>
      </c>
      <c r="H1672" s="245">
        <f t="shared" si="659"/>
        <v>1</v>
      </c>
      <c r="I1672" s="121">
        <f t="shared" si="660"/>
        <v>1</v>
      </c>
      <c r="J1672" s="121">
        <f t="shared" si="661"/>
        <v>1</v>
      </c>
      <c r="K1672" s="120">
        <f t="shared" si="662"/>
        <v>0</v>
      </c>
      <c r="L1672" s="120">
        <f t="shared" si="663"/>
        <v>0</v>
      </c>
      <c r="M1672" s="246">
        <f t="shared" si="664"/>
        <v>0</v>
      </c>
      <c r="N1672" s="121">
        <f t="shared" si="665"/>
        <v>1</v>
      </c>
      <c r="O1672" s="246">
        <f t="shared" si="666"/>
        <v>0.91215536105032824</v>
      </c>
      <c r="P1672" s="121">
        <f t="shared" si="667"/>
        <v>0</v>
      </c>
      <c r="Q1672" s="121">
        <f t="shared" si="668"/>
        <v>1</v>
      </c>
      <c r="R1672" s="121">
        <f t="shared" si="669"/>
        <v>0</v>
      </c>
      <c r="S1672" s="121" t="str">
        <f t="shared" si="670"/>
        <v/>
      </c>
      <c r="T1672" s="121" t="str">
        <f t="shared" si="671"/>
        <v/>
      </c>
      <c r="U1672" s="121">
        <f t="shared" si="672"/>
        <v>1</v>
      </c>
    </row>
    <row r="1673" spans="1:21" x14ac:dyDescent="0.3">
      <c r="A1673" s="187">
        <v>29</v>
      </c>
      <c r="B1673" s="242">
        <f t="shared" si="673"/>
        <v>46508</v>
      </c>
      <c r="C1673" s="243">
        <f t="shared" si="654"/>
        <v>46538</v>
      </c>
      <c r="D1673" s="120">
        <f t="shared" si="655"/>
        <v>31</v>
      </c>
      <c r="E1673" s="120">
        <f t="shared" si="656"/>
        <v>5</v>
      </c>
      <c r="F1673" s="275">
        <f t="shared" si="657"/>
        <v>46523.5</v>
      </c>
      <c r="G1673" s="120">
        <f t="shared" si="658"/>
        <v>24328</v>
      </c>
      <c r="H1673" s="245">
        <f t="shared" si="659"/>
        <v>1</v>
      </c>
      <c r="I1673" s="121">
        <f t="shared" si="660"/>
        <v>1</v>
      </c>
      <c r="J1673" s="121">
        <f t="shared" si="661"/>
        <v>1</v>
      </c>
      <c r="K1673" s="120">
        <f t="shared" si="662"/>
        <v>0</v>
      </c>
      <c r="L1673" s="120">
        <f t="shared" si="663"/>
        <v>0</v>
      </c>
      <c r="M1673" s="246">
        <f t="shared" si="664"/>
        <v>0</v>
      </c>
      <c r="N1673" s="121">
        <f t="shared" si="665"/>
        <v>1</v>
      </c>
      <c r="O1673" s="246">
        <f t="shared" si="666"/>
        <v>0.91248905908096278</v>
      </c>
      <c r="P1673" s="121">
        <f t="shared" si="667"/>
        <v>0</v>
      </c>
      <c r="Q1673" s="121">
        <f t="shared" si="668"/>
        <v>1</v>
      </c>
      <c r="R1673" s="121">
        <f t="shared" si="669"/>
        <v>0</v>
      </c>
      <c r="S1673" s="121" t="str">
        <f t="shared" si="670"/>
        <v/>
      </c>
      <c r="T1673" s="121" t="str">
        <f t="shared" si="671"/>
        <v/>
      </c>
      <c r="U1673" s="121">
        <f t="shared" si="672"/>
        <v>1</v>
      </c>
    </row>
    <row r="1674" spans="1:21" x14ac:dyDescent="0.3">
      <c r="A1674" s="187">
        <v>30</v>
      </c>
      <c r="B1674" s="242">
        <f t="shared" si="673"/>
        <v>46539</v>
      </c>
      <c r="C1674" s="243">
        <f t="shared" si="654"/>
        <v>46568</v>
      </c>
      <c r="D1674" s="120">
        <f t="shared" si="655"/>
        <v>30</v>
      </c>
      <c r="E1674" s="120">
        <f t="shared" si="656"/>
        <v>6</v>
      </c>
      <c r="F1674" s="275">
        <f t="shared" si="657"/>
        <v>46554</v>
      </c>
      <c r="G1674" s="120">
        <f t="shared" si="658"/>
        <v>24329</v>
      </c>
      <c r="H1674" s="245">
        <f t="shared" si="659"/>
        <v>1</v>
      </c>
      <c r="I1674" s="121">
        <f t="shared" si="660"/>
        <v>1</v>
      </c>
      <c r="J1674" s="121">
        <f t="shared" si="661"/>
        <v>1</v>
      </c>
      <c r="K1674" s="120">
        <f t="shared" si="662"/>
        <v>0</v>
      </c>
      <c r="L1674" s="120">
        <f t="shared" si="663"/>
        <v>0</v>
      </c>
      <c r="M1674" s="246">
        <f t="shared" si="664"/>
        <v>0</v>
      </c>
      <c r="N1674" s="121">
        <f t="shared" si="665"/>
        <v>1</v>
      </c>
      <c r="O1674" s="246">
        <f t="shared" si="666"/>
        <v>0.91282275711159744</v>
      </c>
      <c r="P1674" s="121">
        <f t="shared" si="667"/>
        <v>0</v>
      </c>
      <c r="Q1674" s="121">
        <f t="shared" si="668"/>
        <v>1</v>
      </c>
      <c r="R1674" s="121">
        <f t="shared" si="669"/>
        <v>0</v>
      </c>
      <c r="S1674" s="121" t="str">
        <f t="shared" si="670"/>
        <v/>
      </c>
      <c r="T1674" s="121" t="str">
        <f t="shared" si="671"/>
        <v/>
      </c>
      <c r="U1674" s="121">
        <f t="shared" si="672"/>
        <v>1</v>
      </c>
    </row>
    <row r="1675" spans="1:21" x14ac:dyDescent="0.3">
      <c r="A1675" s="187">
        <v>31</v>
      </c>
      <c r="B1675" s="242">
        <f t="shared" si="673"/>
        <v>46569</v>
      </c>
      <c r="C1675" s="243">
        <f t="shared" si="654"/>
        <v>46599</v>
      </c>
      <c r="D1675" s="120">
        <f t="shared" si="655"/>
        <v>31</v>
      </c>
      <c r="E1675" s="120">
        <f t="shared" si="656"/>
        <v>7</v>
      </c>
      <c r="F1675" s="275">
        <f t="shared" si="657"/>
        <v>46584.5</v>
      </c>
      <c r="G1675" s="120">
        <f t="shared" si="658"/>
        <v>24330</v>
      </c>
      <c r="H1675" s="245">
        <f t="shared" si="659"/>
        <v>1</v>
      </c>
      <c r="I1675" s="121">
        <f t="shared" si="660"/>
        <v>1</v>
      </c>
      <c r="J1675" s="121">
        <f t="shared" si="661"/>
        <v>1</v>
      </c>
      <c r="K1675" s="120">
        <f t="shared" si="662"/>
        <v>0</v>
      </c>
      <c r="L1675" s="120">
        <f t="shared" si="663"/>
        <v>0</v>
      </c>
      <c r="M1675" s="246">
        <f t="shared" si="664"/>
        <v>0</v>
      </c>
      <c r="N1675" s="121">
        <f t="shared" si="665"/>
        <v>1</v>
      </c>
      <c r="O1675" s="246">
        <f t="shared" si="666"/>
        <v>0.91315645514223198</v>
      </c>
      <c r="P1675" s="121">
        <f t="shared" si="667"/>
        <v>0</v>
      </c>
      <c r="Q1675" s="121">
        <f t="shared" si="668"/>
        <v>0.91666666666666663</v>
      </c>
      <c r="R1675" s="121">
        <f t="shared" si="669"/>
        <v>8.333333333333337E-2</v>
      </c>
      <c r="S1675" s="121" t="str">
        <f t="shared" si="670"/>
        <v/>
      </c>
      <c r="T1675" s="121" t="str">
        <f t="shared" si="671"/>
        <v/>
      </c>
      <c r="U1675" s="121">
        <f t="shared" si="672"/>
        <v>1</v>
      </c>
    </row>
    <row r="1676" spans="1:21" x14ac:dyDescent="0.3">
      <c r="A1676" s="187">
        <v>32</v>
      </c>
      <c r="B1676" s="242">
        <f t="shared" si="673"/>
        <v>46600</v>
      </c>
      <c r="C1676" s="243">
        <f t="shared" si="654"/>
        <v>46630</v>
      </c>
      <c r="D1676" s="120">
        <f t="shared" si="655"/>
        <v>31</v>
      </c>
      <c r="E1676" s="120">
        <f t="shared" si="656"/>
        <v>8</v>
      </c>
      <c r="F1676" s="275">
        <f t="shared" si="657"/>
        <v>46615.5</v>
      </c>
      <c r="G1676" s="120">
        <f t="shared" si="658"/>
        <v>24331</v>
      </c>
      <c r="H1676" s="245">
        <f t="shared" si="659"/>
        <v>1</v>
      </c>
      <c r="I1676" s="121">
        <f t="shared" si="660"/>
        <v>1</v>
      </c>
      <c r="J1676" s="121">
        <f t="shared" si="661"/>
        <v>1</v>
      </c>
      <c r="K1676" s="120">
        <f t="shared" si="662"/>
        <v>0</v>
      </c>
      <c r="L1676" s="120">
        <f t="shared" si="663"/>
        <v>0</v>
      </c>
      <c r="M1676" s="246">
        <f t="shared" si="664"/>
        <v>0</v>
      </c>
      <c r="N1676" s="121">
        <f t="shared" si="665"/>
        <v>1</v>
      </c>
      <c r="O1676" s="246">
        <f t="shared" si="666"/>
        <v>0.91349562363238512</v>
      </c>
      <c r="P1676" s="121">
        <f t="shared" si="667"/>
        <v>0</v>
      </c>
      <c r="Q1676" s="121">
        <f t="shared" si="668"/>
        <v>0.75</v>
      </c>
      <c r="R1676" s="121">
        <f t="shared" si="669"/>
        <v>0.25</v>
      </c>
      <c r="S1676" s="121" t="str">
        <f t="shared" si="670"/>
        <v/>
      </c>
      <c r="T1676" s="121" t="str">
        <f t="shared" si="671"/>
        <v/>
      </c>
      <c r="U1676" s="121">
        <f t="shared" si="672"/>
        <v>1</v>
      </c>
    </row>
    <row r="1677" spans="1:21" x14ac:dyDescent="0.3">
      <c r="A1677" s="187">
        <v>33</v>
      </c>
      <c r="B1677" s="242">
        <f t="shared" si="673"/>
        <v>46631</v>
      </c>
      <c r="C1677" s="243">
        <f t="shared" si="654"/>
        <v>46660</v>
      </c>
      <c r="D1677" s="120">
        <f t="shared" si="655"/>
        <v>30</v>
      </c>
      <c r="E1677" s="120">
        <f t="shared" si="656"/>
        <v>9</v>
      </c>
      <c r="F1677" s="275">
        <f t="shared" si="657"/>
        <v>46646</v>
      </c>
      <c r="G1677" s="120">
        <f t="shared" si="658"/>
        <v>24332</v>
      </c>
      <c r="H1677" s="245">
        <f t="shared" si="659"/>
        <v>1</v>
      </c>
      <c r="I1677" s="121">
        <f t="shared" si="660"/>
        <v>1</v>
      </c>
      <c r="J1677" s="121">
        <f t="shared" si="661"/>
        <v>1</v>
      </c>
      <c r="K1677" s="120">
        <f t="shared" si="662"/>
        <v>0</v>
      </c>
      <c r="L1677" s="120">
        <f t="shared" si="663"/>
        <v>0</v>
      </c>
      <c r="M1677" s="246">
        <f t="shared" si="664"/>
        <v>0</v>
      </c>
      <c r="N1677" s="121">
        <f t="shared" si="665"/>
        <v>1</v>
      </c>
      <c r="O1677" s="246">
        <f t="shared" si="666"/>
        <v>0.91382932166301978</v>
      </c>
      <c r="P1677" s="121">
        <f t="shared" si="667"/>
        <v>0</v>
      </c>
      <c r="Q1677" s="121">
        <f t="shared" si="668"/>
        <v>0.58333333333333337</v>
      </c>
      <c r="R1677" s="121">
        <f t="shared" si="669"/>
        <v>0.41666666666666663</v>
      </c>
      <c r="S1677" s="121" t="str">
        <f t="shared" si="670"/>
        <v/>
      </c>
      <c r="T1677" s="121" t="str">
        <f t="shared" si="671"/>
        <v/>
      </c>
      <c r="U1677" s="121">
        <f t="shared" si="672"/>
        <v>1</v>
      </c>
    </row>
    <row r="1678" spans="1:21" x14ac:dyDescent="0.3">
      <c r="A1678" s="187">
        <v>34</v>
      </c>
      <c r="B1678" s="242">
        <f t="shared" si="673"/>
        <v>46661</v>
      </c>
      <c r="C1678" s="243">
        <f t="shared" si="654"/>
        <v>46691</v>
      </c>
      <c r="D1678" s="120">
        <f t="shared" si="655"/>
        <v>31</v>
      </c>
      <c r="E1678" s="120">
        <f t="shared" si="656"/>
        <v>10</v>
      </c>
      <c r="F1678" s="275">
        <f t="shared" si="657"/>
        <v>46676.5</v>
      </c>
      <c r="G1678" s="120">
        <f t="shared" si="658"/>
        <v>24333</v>
      </c>
      <c r="H1678" s="245">
        <f t="shared" si="659"/>
        <v>1</v>
      </c>
      <c r="I1678" s="121">
        <f t="shared" si="660"/>
        <v>1</v>
      </c>
      <c r="J1678" s="121">
        <f t="shared" si="661"/>
        <v>1.04</v>
      </c>
      <c r="K1678" s="120">
        <f t="shared" si="662"/>
        <v>1</v>
      </c>
      <c r="L1678" s="120">
        <f t="shared" si="663"/>
        <v>31</v>
      </c>
      <c r="M1678" s="246">
        <f t="shared" si="664"/>
        <v>1</v>
      </c>
      <c r="N1678" s="121">
        <f t="shared" si="665"/>
        <v>1.04</v>
      </c>
      <c r="O1678" s="246">
        <f t="shared" si="666"/>
        <v>0.91416301969365432</v>
      </c>
      <c r="P1678" s="121">
        <f t="shared" si="667"/>
        <v>0</v>
      </c>
      <c r="Q1678" s="121">
        <f t="shared" si="668"/>
        <v>0.41666666666666669</v>
      </c>
      <c r="R1678" s="121">
        <f t="shared" si="669"/>
        <v>0.58333333333333326</v>
      </c>
      <c r="S1678" s="121" t="str">
        <f t="shared" si="670"/>
        <v/>
      </c>
      <c r="T1678" s="121" t="str">
        <f t="shared" si="671"/>
        <v/>
      </c>
      <c r="U1678" s="121">
        <f t="shared" si="672"/>
        <v>1.04</v>
      </c>
    </row>
    <row r="1679" spans="1:21" x14ac:dyDescent="0.3">
      <c r="A1679" s="187">
        <v>35</v>
      </c>
      <c r="B1679" s="242">
        <f t="shared" si="673"/>
        <v>46692</v>
      </c>
      <c r="C1679" s="243">
        <f t="shared" si="654"/>
        <v>46721</v>
      </c>
      <c r="D1679" s="120">
        <f t="shared" si="655"/>
        <v>30</v>
      </c>
      <c r="E1679" s="120">
        <f t="shared" si="656"/>
        <v>11</v>
      </c>
      <c r="F1679" s="275">
        <f t="shared" si="657"/>
        <v>46707</v>
      </c>
      <c r="G1679" s="120">
        <f t="shared" si="658"/>
        <v>24334</v>
      </c>
      <c r="H1679" s="245">
        <f t="shared" si="659"/>
        <v>1</v>
      </c>
      <c r="I1679" s="121">
        <f t="shared" si="660"/>
        <v>1.04</v>
      </c>
      <c r="J1679" s="121">
        <f t="shared" si="661"/>
        <v>1.04</v>
      </c>
      <c r="K1679" s="120">
        <f t="shared" si="662"/>
        <v>0</v>
      </c>
      <c r="L1679" s="120">
        <f t="shared" si="663"/>
        <v>0</v>
      </c>
      <c r="M1679" s="246">
        <f t="shared" si="664"/>
        <v>0</v>
      </c>
      <c r="N1679" s="121">
        <f t="shared" si="665"/>
        <v>1.04</v>
      </c>
      <c r="O1679" s="246">
        <f t="shared" si="666"/>
        <v>0.91449671772428887</v>
      </c>
      <c r="P1679" s="121">
        <f t="shared" si="667"/>
        <v>0</v>
      </c>
      <c r="Q1679" s="121">
        <f t="shared" si="668"/>
        <v>0.25</v>
      </c>
      <c r="R1679" s="121">
        <f t="shared" si="669"/>
        <v>0.75</v>
      </c>
      <c r="S1679" s="121" t="str">
        <f t="shared" si="670"/>
        <v/>
      </c>
      <c r="T1679" s="121" t="str">
        <f t="shared" si="671"/>
        <v/>
      </c>
      <c r="U1679" s="121">
        <f t="shared" si="672"/>
        <v>1.04</v>
      </c>
    </row>
    <row r="1680" spans="1:21" x14ac:dyDescent="0.3">
      <c r="A1680" s="187">
        <v>36</v>
      </c>
      <c r="B1680" s="242">
        <f t="shared" si="673"/>
        <v>46722</v>
      </c>
      <c r="C1680" s="243">
        <f t="shared" si="654"/>
        <v>46752</v>
      </c>
      <c r="D1680" s="120">
        <f t="shared" si="655"/>
        <v>31</v>
      </c>
      <c r="E1680" s="120">
        <f t="shared" si="656"/>
        <v>12</v>
      </c>
      <c r="F1680" s="275">
        <f t="shared" si="657"/>
        <v>46737.5</v>
      </c>
      <c r="G1680" s="120">
        <f t="shared" si="658"/>
        <v>24335</v>
      </c>
      <c r="H1680" s="245">
        <f t="shared" si="659"/>
        <v>1</v>
      </c>
      <c r="I1680" s="121">
        <f t="shared" si="660"/>
        <v>1.04</v>
      </c>
      <c r="J1680" s="121">
        <f t="shared" si="661"/>
        <v>1.04</v>
      </c>
      <c r="K1680" s="120">
        <f t="shared" si="662"/>
        <v>0</v>
      </c>
      <c r="L1680" s="120">
        <f t="shared" si="663"/>
        <v>0</v>
      </c>
      <c r="M1680" s="246">
        <f t="shared" si="664"/>
        <v>0</v>
      </c>
      <c r="N1680" s="121">
        <f t="shared" si="665"/>
        <v>1.04</v>
      </c>
      <c r="O1680" s="246">
        <f t="shared" si="666"/>
        <v>0.91483041575492341</v>
      </c>
      <c r="P1680" s="121">
        <f t="shared" si="667"/>
        <v>0</v>
      </c>
      <c r="Q1680" s="121">
        <f t="shared" si="668"/>
        <v>8.3333333333333329E-2</v>
      </c>
      <c r="R1680" s="121">
        <f t="shared" si="669"/>
        <v>0.91666666666666663</v>
      </c>
      <c r="S1680" s="121" t="str">
        <f t="shared" si="670"/>
        <v/>
      </c>
      <c r="T1680" s="121" t="str">
        <f t="shared" si="671"/>
        <v/>
      </c>
      <c r="U1680" s="121">
        <f t="shared" si="672"/>
        <v>1.04</v>
      </c>
    </row>
    <row r="1681" spans="1:21" x14ac:dyDescent="0.3">
      <c r="A1681" s="187">
        <v>37</v>
      </c>
      <c r="B1681" s="242">
        <f t="shared" si="673"/>
        <v>46753</v>
      </c>
      <c r="C1681" s="243">
        <f t="shared" si="654"/>
        <v>46783</v>
      </c>
      <c r="D1681" s="120">
        <f t="shared" si="655"/>
        <v>31</v>
      </c>
      <c r="E1681" s="120">
        <f t="shared" si="656"/>
        <v>1</v>
      </c>
      <c r="F1681" s="275">
        <f t="shared" si="657"/>
        <v>46768.5</v>
      </c>
      <c r="G1681" s="120">
        <f t="shared" si="658"/>
        <v>24336</v>
      </c>
      <c r="H1681" s="245">
        <f t="shared" si="659"/>
        <v>1</v>
      </c>
      <c r="I1681" s="121">
        <f t="shared" si="660"/>
        <v>1.04</v>
      </c>
      <c r="J1681" s="121">
        <f t="shared" si="661"/>
        <v>1.04</v>
      </c>
      <c r="K1681" s="120">
        <f t="shared" si="662"/>
        <v>0</v>
      </c>
      <c r="L1681" s="120">
        <f t="shared" si="663"/>
        <v>0</v>
      </c>
      <c r="M1681" s="246">
        <f t="shared" si="664"/>
        <v>0</v>
      </c>
      <c r="N1681" s="121">
        <f t="shared" si="665"/>
        <v>1.04</v>
      </c>
      <c r="O1681" s="246">
        <f t="shared" si="666"/>
        <v>0.91500000000000004</v>
      </c>
      <c r="P1681" s="121">
        <f t="shared" si="667"/>
        <v>0</v>
      </c>
      <c r="Q1681" s="121">
        <f t="shared" si="668"/>
        <v>0</v>
      </c>
      <c r="R1681" s="121">
        <f t="shared" si="669"/>
        <v>1</v>
      </c>
      <c r="S1681" s="121" t="str">
        <f t="shared" si="670"/>
        <v/>
      </c>
      <c r="T1681" s="121" t="str">
        <f t="shared" si="671"/>
        <v/>
      </c>
      <c r="U1681" s="121">
        <f t="shared" si="672"/>
        <v>1.04</v>
      </c>
    </row>
    <row r="1682" spans="1:21" x14ac:dyDescent="0.3">
      <c r="A1682" s="187">
        <v>38</v>
      </c>
      <c r="B1682" s="242">
        <f t="shared" si="673"/>
        <v>46784</v>
      </c>
      <c r="C1682" s="243">
        <f t="shared" si="654"/>
        <v>46812</v>
      </c>
      <c r="D1682" s="120">
        <f t="shared" si="655"/>
        <v>29</v>
      </c>
      <c r="E1682" s="120">
        <f t="shared" si="656"/>
        <v>2</v>
      </c>
      <c r="F1682" s="275">
        <f t="shared" si="657"/>
        <v>46798.5</v>
      </c>
      <c r="G1682" s="120">
        <f t="shared" si="658"/>
        <v>24337</v>
      </c>
      <c r="H1682" s="245">
        <f t="shared" si="659"/>
        <v>1</v>
      </c>
      <c r="I1682" s="121">
        <f t="shared" si="660"/>
        <v>1.04</v>
      </c>
      <c r="J1682" s="121">
        <f t="shared" si="661"/>
        <v>1.04</v>
      </c>
      <c r="K1682" s="120">
        <f t="shared" si="662"/>
        <v>0</v>
      </c>
      <c r="L1682" s="120">
        <f t="shared" si="663"/>
        <v>0</v>
      </c>
      <c r="M1682" s="246">
        <f t="shared" si="664"/>
        <v>0</v>
      </c>
      <c r="N1682" s="121">
        <f t="shared" si="665"/>
        <v>1.04</v>
      </c>
      <c r="O1682" s="246">
        <f t="shared" si="666"/>
        <v>0.91500000000000004</v>
      </c>
      <c r="P1682" s="121">
        <f t="shared" si="667"/>
        <v>0</v>
      </c>
      <c r="Q1682" s="121">
        <f t="shared" si="668"/>
        <v>0</v>
      </c>
      <c r="R1682" s="121">
        <f t="shared" si="669"/>
        <v>1</v>
      </c>
      <c r="S1682" s="121" t="str">
        <f t="shared" si="670"/>
        <v/>
      </c>
      <c r="T1682" s="121" t="str">
        <f t="shared" si="671"/>
        <v/>
      </c>
      <c r="U1682" s="121">
        <f t="shared" si="672"/>
        <v>1.04</v>
      </c>
    </row>
    <row r="1683" spans="1:21" x14ac:dyDescent="0.3">
      <c r="A1683" s="187">
        <v>39</v>
      </c>
      <c r="B1683" s="242">
        <f t="shared" si="673"/>
        <v>46813</v>
      </c>
      <c r="C1683" s="243">
        <f t="shared" si="654"/>
        <v>46843</v>
      </c>
      <c r="D1683" s="120">
        <f t="shared" si="655"/>
        <v>31</v>
      </c>
      <c r="E1683" s="120">
        <f t="shared" si="656"/>
        <v>3</v>
      </c>
      <c r="F1683" s="275">
        <f t="shared" si="657"/>
        <v>46828.5</v>
      </c>
      <c r="G1683" s="120">
        <f t="shared" si="658"/>
        <v>24338</v>
      </c>
      <c r="H1683" s="245">
        <f t="shared" si="659"/>
        <v>1</v>
      </c>
      <c r="I1683" s="121">
        <f t="shared" si="660"/>
        <v>1.04</v>
      </c>
      <c r="J1683" s="121">
        <f t="shared" si="661"/>
        <v>1.04</v>
      </c>
      <c r="K1683" s="120">
        <f t="shared" si="662"/>
        <v>0</v>
      </c>
      <c r="L1683" s="120">
        <f t="shared" si="663"/>
        <v>0</v>
      </c>
      <c r="M1683" s="246">
        <f t="shared" si="664"/>
        <v>0</v>
      </c>
      <c r="N1683" s="121">
        <f t="shared" si="665"/>
        <v>1.04</v>
      </c>
      <c r="O1683" s="246">
        <f t="shared" si="666"/>
        <v>0.91500000000000004</v>
      </c>
      <c r="P1683" s="121">
        <f t="shared" si="667"/>
        <v>0</v>
      </c>
      <c r="Q1683" s="121">
        <f t="shared" si="668"/>
        <v>0</v>
      </c>
      <c r="R1683" s="121">
        <f t="shared" si="669"/>
        <v>1</v>
      </c>
      <c r="S1683" s="121" t="str">
        <f t="shared" si="670"/>
        <v/>
      </c>
      <c r="T1683" s="121" t="str">
        <f t="shared" si="671"/>
        <v/>
      </c>
      <c r="U1683" s="121">
        <f t="shared" si="672"/>
        <v>1.04</v>
      </c>
    </row>
    <row r="1684" spans="1:21" x14ac:dyDescent="0.3">
      <c r="A1684" s="187">
        <v>40</v>
      </c>
      <c r="B1684" s="242">
        <f t="shared" si="673"/>
        <v>46844</v>
      </c>
      <c r="C1684" s="243">
        <f t="shared" si="654"/>
        <v>46873</v>
      </c>
      <c r="D1684" s="120">
        <f t="shared" si="655"/>
        <v>30</v>
      </c>
      <c r="E1684" s="120">
        <f t="shared" si="656"/>
        <v>4</v>
      </c>
      <c r="F1684" s="275">
        <f t="shared" si="657"/>
        <v>46859</v>
      </c>
      <c r="G1684" s="120">
        <f t="shared" si="658"/>
        <v>24339</v>
      </c>
      <c r="H1684" s="245">
        <f t="shared" si="659"/>
        <v>1</v>
      </c>
      <c r="I1684" s="121">
        <f t="shared" si="660"/>
        <v>1.04</v>
      </c>
      <c r="J1684" s="121">
        <f t="shared" si="661"/>
        <v>1.04</v>
      </c>
      <c r="K1684" s="120">
        <f t="shared" si="662"/>
        <v>0</v>
      </c>
      <c r="L1684" s="120">
        <f t="shared" si="663"/>
        <v>0</v>
      </c>
      <c r="M1684" s="246">
        <f t="shared" si="664"/>
        <v>0</v>
      </c>
      <c r="N1684" s="121">
        <f t="shared" si="665"/>
        <v>1.04</v>
      </c>
      <c r="O1684" s="246">
        <f t="shared" si="666"/>
        <v>0.91500000000000004</v>
      </c>
      <c r="P1684" s="121">
        <f t="shared" si="667"/>
        <v>0</v>
      </c>
      <c r="Q1684" s="121">
        <f t="shared" si="668"/>
        <v>0</v>
      </c>
      <c r="R1684" s="121">
        <f t="shared" si="669"/>
        <v>1</v>
      </c>
      <c r="S1684" s="121" t="str">
        <f t="shared" si="670"/>
        <v/>
      </c>
      <c r="T1684" s="121" t="str">
        <f t="shared" si="671"/>
        <v/>
      </c>
      <c r="U1684" s="121">
        <f t="shared" si="672"/>
        <v>1.04</v>
      </c>
    </row>
    <row r="1685" spans="1:21" x14ac:dyDescent="0.3">
      <c r="A1685" s="187">
        <v>41</v>
      </c>
      <c r="B1685" s="242">
        <f t="shared" si="673"/>
        <v>46874</v>
      </c>
      <c r="C1685" s="243">
        <f t="shared" si="654"/>
        <v>46904</v>
      </c>
      <c r="D1685" s="120">
        <f t="shared" si="655"/>
        <v>31</v>
      </c>
      <c r="E1685" s="120">
        <f t="shared" si="656"/>
        <v>5</v>
      </c>
      <c r="F1685" s="275">
        <f t="shared" si="657"/>
        <v>46889.5</v>
      </c>
      <c r="G1685" s="120">
        <f t="shared" si="658"/>
        <v>24340</v>
      </c>
      <c r="H1685" s="245">
        <f t="shared" si="659"/>
        <v>1</v>
      </c>
      <c r="I1685" s="121">
        <f t="shared" si="660"/>
        <v>1.04</v>
      </c>
      <c r="J1685" s="121">
        <f t="shared" si="661"/>
        <v>1.04</v>
      </c>
      <c r="K1685" s="120">
        <f t="shared" si="662"/>
        <v>0</v>
      </c>
      <c r="L1685" s="120">
        <f t="shared" si="663"/>
        <v>0</v>
      </c>
      <c r="M1685" s="246">
        <f t="shared" si="664"/>
        <v>0</v>
      </c>
      <c r="N1685" s="121">
        <f t="shared" si="665"/>
        <v>1.04</v>
      </c>
      <c r="O1685" s="246">
        <f t="shared" si="666"/>
        <v>0.91500000000000004</v>
      </c>
      <c r="P1685" s="121">
        <f t="shared" si="667"/>
        <v>0</v>
      </c>
      <c r="Q1685" s="121">
        <f t="shared" si="668"/>
        <v>0</v>
      </c>
      <c r="R1685" s="121">
        <f t="shared" si="669"/>
        <v>1</v>
      </c>
      <c r="S1685" s="121" t="str">
        <f t="shared" si="670"/>
        <v/>
      </c>
      <c r="T1685" s="121" t="str">
        <f t="shared" si="671"/>
        <v/>
      </c>
      <c r="U1685" s="121">
        <f t="shared" si="672"/>
        <v>1.04</v>
      </c>
    </row>
    <row r="1686" spans="1:21" x14ac:dyDescent="0.3">
      <c r="A1686" s="187">
        <v>42</v>
      </c>
      <c r="B1686" s="242">
        <f t="shared" si="673"/>
        <v>46905</v>
      </c>
      <c r="C1686" s="243">
        <f t="shared" si="654"/>
        <v>46934</v>
      </c>
      <c r="D1686" s="120">
        <f t="shared" si="655"/>
        <v>30</v>
      </c>
      <c r="E1686" s="120">
        <f t="shared" si="656"/>
        <v>6</v>
      </c>
      <c r="F1686" s="275">
        <f t="shared" si="657"/>
        <v>46920</v>
      </c>
      <c r="G1686" s="120">
        <f t="shared" si="658"/>
        <v>24341</v>
      </c>
      <c r="H1686" s="245">
        <f t="shared" si="659"/>
        <v>1</v>
      </c>
      <c r="I1686" s="121">
        <f t="shared" si="660"/>
        <v>1.04</v>
      </c>
      <c r="J1686" s="121">
        <f t="shared" si="661"/>
        <v>1.04</v>
      </c>
      <c r="K1686" s="120">
        <f t="shared" si="662"/>
        <v>0</v>
      </c>
      <c r="L1686" s="120">
        <f t="shared" si="663"/>
        <v>0</v>
      </c>
      <c r="M1686" s="246">
        <f t="shared" si="664"/>
        <v>0</v>
      </c>
      <c r="N1686" s="121">
        <f t="shared" si="665"/>
        <v>1.04</v>
      </c>
      <c r="O1686" s="246">
        <f t="shared" si="666"/>
        <v>0.91500000000000004</v>
      </c>
      <c r="P1686" s="121">
        <f t="shared" si="667"/>
        <v>0</v>
      </c>
      <c r="Q1686" s="121">
        <f t="shared" si="668"/>
        <v>0</v>
      </c>
      <c r="R1686" s="121">
        <f t="shared" si="669"/>
        <v>1</v>
      </c>
      <c r="S1686" s="121" t="str">
        <f t="shared" si="670"/>
        <v/>
      </c>
      <c r="T1686" s="121" t="str">
        <f t="shared" si="671"/>
        <v/>
      </c>
      <c r="U1686" s="121">
        <f t="shared" si="672"/>
        <v>1.04</v>
      </c>
    </row>
    <row r="1687" spans="1:21" x14ac:dyDescent="0.3">
      <c r="A1687" s="187">
        <v>43</v>
      </c>
      <c r="B1687" s="242">
        <f t="shared" si="673"/>
        <v>46935</v>
      </c>
      <c r="C1687" s="243">
        <f t="shared" si="654"/>
        <v>46965</v>
      </c>
      <c r="D1687" s="120">
        <f t="shared" si="655"/>
        <v>31</v>
      </c>
      <c r="E1687" s="120">
        <f t="shared" si="656"/>
        <v>7</v>
      </c>
      <c r="F1687" s="275">
        <f t="shared" si="657"/>
        <v>46950.5</v>
      </c>
      <c r="G1687" s="120">
        <f t="shared" si="658"/>
        <v>24342</v>
      </c>
      <c r="H1687" s="245">
        <f t="shared" si="659"/>
        <v>1</v>
      </c>
      <c r="I1687" s="121">
        <f t="shared" si="660"/>
        <v>1.04</v>
      </c>
      <c r="J1687" s="121">
        <f t="shared" si="661"/>
        <v>1.04</v>
      </c>
      <c r="K1687" s="120">
        <f t="shared" si="662"/>
        <v>0</v>
      </c>
      <c r="L1687" s="120">
        <f t="shared" si="663"/>
        <v>0</v>
      </c>
      <c r="M1687" s="246">
        <f t="shared" si="664"/>
        <v>0</v>
      </c>
      <c r="N1687" s="121">
        <f t="shared" si="665"/>
        <v>1.04</v>
      </c>
      <c r="O1687" s="246">
        <f t="shared" si="666"/>
        <v>0.91500000000000004</v>
      </c>
      <c r="P1687" s="121">
        <f t="shared" si="667"/>
        <v>0</v>
      </c>
      <c r="Q1687" s="121">
        <f t="shared" si="668"/>
        <v>0</v>
      </c>
      <c r="R1687" s="121">
        <f t="shared" si="669"/>
        <v>0.91666666666666663</v>
      </c>
      <c r="S1687" s="121" t="str">
        <f t="shared" si="670"/>
        <v/>
      </c>
      <c r="T1687" s="121" t="str">
        <f t="shared" si="671"/>
        <v/>
      </c>
      <c r="U1687" s="121">
        <f t="shared" si="672"/>
        <v>1.04</v>
      </c>
    </row>
    <row r="1688" spans="1:21" x14ac:dyDescent="0.3">
      <c r="A1688" s="187">
        <v>44</v>
      </c>
      <c r="B1688" s="242">
        <f t="shared" si="673"/>
        <v>46966</v>
      </c>
      <c r="C1688" s="243">
        <f t="shared" si="654"/>
        <v>46996</v>
      </c>
      <c r="D1688" s="120">
        <f t="shared" si="655"/>
        <v>31</v>
      </c>
      <c r="E1688" s="120">
        <f t="shared" si="656"/>
        <v>8</v>
      </c>
      <c r="F1688" s="275">
        <f t="shared" si="657"/>
        <v>46981.5</v>
      </c>
      <c r="G1688" s="120">
        <f t="shared" si="658"/>
        <v>24343</v>
      </c>
      <c r="H1688" s="245">
        <f t="shared" si="659"/>
        <v>1</v>
      </c>
      <c r="I1688" s="121">
        <f t="shared" si="660"/>
        <v>1.04</v>
      </c>
      <c r="J1688" s="121">
        <f t="shared" si="661"/>
        <v>1.04</v>
      </c>
      <c r="K1688" s="120">
        <f t="shared" si="662"/>
        <v>0</v>
      </c>
      <c r="L1688" s="120">
        <f t="shared" si="663"/>
        <v>0</v>
      </c>
      <c r="M1688" s="246">
        <f t="shared" si="664"/>
        <v>0</v>
      </c>
      <c r="N1688" s="121">
        <f t="shared" si="665"/>
        <v>1.04</v>
      </c>
      <c r="O1688" s="246">
        <f t="shared" si="666"/>
        <v>0.91500000000000004</v>
      </c>
      <c r="P1688" s="121">
        <f t="shared" si="667"/>
        <v>0</v>
      </c>
      <c r="Q1688" s="121">
        <f t="shared" si="668"/>
        <v>0</v>
      </c>
      <c r="R1688" s="121">
        <f t="shared" si="669"/>
        <v>0.75</v>
      </c>
      <c r="S1688" s="121" t="str">
        <f t="shared" si="670"/>
        <v/>
      </c>
      <c r="T1688" s="121" t="str">
        <f t="shared" si="671"/>
        <v/>
      </c>
      <c r="U1688" s="121">
        <f t="shared" si="672"/>
        <v>1.04</v>
      </c>
    </row>
    <row r="1689" spans="1:21" x14ac:dyDescent="0.3">
      <c r="A1689" s="187">
        <v>45</v>
      </c>
      <c r="B1689" s="242">
        <f t="shared" si="673"/>
        <v>46997</v>
      </c>
      <c r="C1689" s="243">
        <f t="shared" si="654"/>
        <v>47026</v>
      </c>
      <c r="D1689" s="120">
        <f t="shared" si="655"/>
        <v>30</v>
      </c>
      <c r="E1689" s="120">
        <f t="shared" si="656"/>
        <v>9</v>
      </c>
      <c r="F1689" s="275">
        <f t="shared" si="657"/>
        <v>47012</v>
      </c>
      <c r="G1689" s="120">
        <f t="shared" si="658"/>
        <v>24344</v>
      </c>
      <c r="H1689" s="245">
        <f t="shared" si="659"/>
        <v>1</v>
      </c>
      <c r="I1689" s="121">
        <f t="shared" si="660"/>
        <v>1.04</v>
      </c>
      <c r="J1689" s="121">
        <f t="shared" si="661"/>
        <v>1.04</v>
      </c>
      <c r="K1689" s="120">
        <f t="shared" si="662"/>
        <v>0</v>
      </c>
      <c r="L1689" s="120">
        <f t="shared" si="663"/>
        <v>0</v>
      </c>
      <c r="M1689" s="246">
        <f t="shared" si="664"/>
        <v>0</v>
      </c>
      <c r="N1689" s="121">
        <f t="shared" si="665"/>
        <v>1.04</v>
      </c>
      <c r="O1689" s="246">
        <f t="shared" si="666"/>
        <v>0.91500000000000004</v>
      </c>
      <c r="P1689" s="121">
        <f t="shared" si="667"/>
        <v>0</v>
      </c>
      <c r="Q1689" s="121">
        <f t="shared" si="668"/>
        <v>0</v>
      </c>
      <c r="R1689" s="121">
        <f t="shared" si="669"/>
        <v>0.58333333333333337</v>
      </c>
      <c r="S1689" s="121" t="str">
        <f t="shared" si="670"/>
        <v/>
      </c>
      <c r="T1689" s="121" t="str">
        <f t="shared" si="671"/>
        <v/>
      </c>
      <c r="U1689" s="121">
        <f t="shared" si="672"/>
        <v>1.04</v>
      </c>
    </row>
    <row r="1690" spans="1:21" x14ac:dyDescent="0.3">
      <c r="A1690" s="187">
        <v>46</v>
      </c>
      <c r="B1690" s="242">
        <f t="shared" si="673"/>
        <v>47027</v>
      </c>
      <c r="C1690" s="243">
        <f t="shared" si="654"/>
        <v>47057</v>
      </c>
      <c r="D1690" s="120">
        <f t="shared" si="655"/>
        <v>31</v>
      </c>
      <c r="E1690" s="120">
        <f t="shared" si="656"/>
        <v>10</v>
      </c>
      <c r="F1690" s="275">
        <f t="shared" si="657"/>
        <v>47042.5</v>
      </c>
      <c r="G1690" s="120">
        <f t="shared" si="658"/>
        <v>24345</v>
      </c>
      <c r="H1690" s="245">
        <f t="shared" si="659"/>
        <v>1</v>
      </c>
      <c r="I1690" s="121">
        <f t="shared" si="660"/>
        <v>1.04</v>
      </c>
      <c r="J1690" s="121">
        <f t="shared" si="661"/>
        <v>1.04</v>
      </c>
      <c r="K1690" s="120">
        <f t="shared" si="662"/>
        <v>0</v>
      </c>
      <c r="L1690" s="120">
        <f t="shared" si="663"/>
        <v>0</v>
      </c>
      <c r="M1690" s="246">
        <f t="shared" si="664"/>
        <v>0</v>
      </c>
      <c r="N1690" s="121">
        <f t="shared" si="665"/>
        <v>1.04</v>
      </c>
      <c r="O1690" s="246">
        <f t="shared" si="666"/>
        <v>0.91500000000000004</v>
      </c>
      <c r="P1690" s="121">
        <f t="shared" si="667"/>
        <v>0</v>
      </c>
      <c r="Q1690" s="121">
        <f t="shared" si="668"/>
        <v>0</v>
      </c>
      <c r="R1690" s="121">
        <f t="shared" si="669"/>
        <v>0.41666666666666669</v>
      </c>
      <c r="S1690" s="121" t="str">
        <f t="shared" si="670"/>
        <v/>
      </c>
      <c r="T1690" s="121" t="str">
        <f t="shared" si="671"/>
        <v/>
      </c>
      <c r="U1690" s="121">
        <f t="shared" si="672"/>
        <v>1.04</v>
      </c>
    </row>
    <row r="1691" spans="1:21" x14ac:dyDescent="0.3">
      <c r="A1691" s="187">
        <v>47</v>
      </c>
      <c r="B1691" s="242">
        <f t="shared" si="673"/>
        <v>47058</v>
      </c>
      <c r="C1691" s="243">
        <f t="shared" si="654"/>
        <v>47087</v>
      </c>
      <c r="D1691" s="120">
        <f t="shared" si="655"/>
        <v>30</v>
      </c>
      <c r="E1691" s="120">
        <f t="shared" si="656"/>
        <v>11</v>
      </c>
      <c r="F1691" s="275">
        <f t="shared" si="657"/>
        <v>47073</v>
      </c>
      <c r="G1691" s="120">
        <f t="shared" si="658"/>
        <v>24346</v>
      </c>
      <c r="H1691" s="245">
        <f t="shared" si="659"/>
        <v>1</v>
      </c>
      <c r="I1691" s="121">
        <f t="shared" si="660"/>
        <v>1.04</v>
      </c>
      <c r="J1691" s="121">
        <f t="shared" si="661"/>
        <v>1.04</v>
      </c>
      <c r="K1691" s="120">
        <f t="shared" si="662"/>
        <v>0</v>
      </c>
      <c r="L1691" s="120">
        <f t="shared" si="663"/>
        <v>0</v>
      </c>
      <c r="M1691" s="246">
        <f t="shared" si="664"/>
        <v>0</v>
      </c>
      <c r="N1691" s="121">
        <f t="shared" si="665"/>
        <v>1.04</v>
      </c>
      <c r="O1691" s="246">
        <f t="shared" si="666"/>
        <v>0.91500000000000004</v>
      </c>
      <c r="P1691" s="121">
        <f t="shared" si="667"/>
        <v>0</v>
      </c>
      <c r="Q1691" s="121">
        <f t="shared" si="668"/>
        <v>0</v>
      </c>
      <c r="R1691" s="121">
        <f t="shared" si="669"/>
        <v>0.25</v>
      </c>
      <c r="S1691" s="121" t="str">
        <f t="shared" si="670"/>
        <v/>
      </c>
      <c r="T1691" s="121" t="str">
        <f t="shared" si="671"/>
        <v/>
      </c>
      <c r="U1691" s="121">
        <f t="shared" si="672"/>
        <v>1.04</v>
      </c>
    </row>
    <row r="1692" spans="1:21" x14ac:dyDescent="0.3">
      <c r="A1692" s="187">
        <v>48</v>
      </c>
      <c r="B1692" s="242">
        <f t="shared" si="673"/>
        <v>47088</v>
      </c>
      <c r="C1692" s="243">
        <f t="shared" si="654"/>
        <v>47118</v>
      </c>
      <c r="D1692" s="120">
        <f t="shared" si="655"/>
        <v>31</v>
      </c>
      <c r="E1692" s="120">
        <f t="shared" si="656"/>
        <v>12</v>
      </c>
      <c r="F1692" s="275">
        <f t="shared" si="657"/>
        <v>47103.5</v>
      </c>
      <c r="G1692" s="120">
        <f t="shared" si="658"/>
        <v>24347</v>
      </c>
      <c r="H1692" s="245">
        <f t="shared" si="659"/>
        <v>1</v>
      </c>
      <c r="I1692" s="121">
        <f t="shared" si="660"/>
        <v>1.04</v>
      </c>
      <c r="J1692" s="121">
        <f t="shared" si="661"/>
        <v>1.04</v>
      </c>
      <c r="K1692" s="120">
        <f t="shared" si="662"/>
        <v>0</v>
      </c>
      <c r="L1692" s="120">
        <f t="shared" si="663"/>
        <v>0</v>
      </c>
      <c r="M1692" s="246">
        <f t="shared" si="664"/>
        <v>0</v>
      </c>
      <c r="N1692" s="121">
        <f t="shared" si="665"/>
        <v>1.04</v>
      </c>
      <c r="O1692" s="246">
        <f t="shared" si="666"/>
        <v>0.91500000000000004</v>
      </c>
      <c r="P1692" s="121">
        <f t="shared" si="667"/>
        <v>0</v>
      </c>
      <c r="Q1692" s="121">
        <f t="shared" si="668"/>
        <v>0</v>
      </c>
      <c r="R1692" s="121">
        <f t="shared" si="669"/>
        <v>8.3333333333333329E-2</v>
      </c>
      <c r="S1692" s="121" t="str">
        <f t="shared" si="670"/>
        <v/>
      </c>
      <c r="T1692" s="121" t="str">
        <f t="shared" si="671"/>
        <v/>
      </c>
      <c r="U1692" s="121">
        <f t="shared" si="672"/>
        <v>1.04</v>
      </c>
    </row>
    <row r="1693" spans="1:21" x14ac:dyDescent="0.3">
      <c r="A1693" s="6" t="s">
        <v>1651</v>
      </c>
      <c r="B1693" s="73">
        <f>EXP(SUMPRODUCT((rl_key=$A$1642)*(rl_cons="Y")*rl_ln1p))</f>
        <v>1</v>
      </c>
      <c r="C1693" s="73">
        <f>SUMPRODUCT($H$1645:$H$1692,$P$1645:$P$1692,$U$1645:$U$1692)/SUMPRODUCT($H$1645:$H$1692,$P$1645:$P$1692)</f>
        <v>1</v>
      </c>
      <c r="D1693" s="73">
        <f>SUMPRODUCT($H$1645:$H$1692,$Q$1645:$Q$1692,$U$1645:$U$1692)/SUMPRODUCT($H$1645:$H$1692,$Q$1645:$Q$1692)</f>
        <v>1.0024999999999999</v>
      </c>
      <c r="E1693" s="73">
        <f>SUMPRODUCT($H$1645:$H$1692,$R$1645:$R$1692,$U$1645:$U$1692)/SUMPRODUCT($H$1645:$H$1692,$R$1645:$R$1692)</f>
        <v>1.0374999999999999</v>
      </c>
      <c r="F1693" s="224">
        <f>SUMPRODUCT($H$1645:$H$1692,$Q$1645:$Q$1692,$O$1645:$O$1692)/SUMPRODUCT($H$1645:$H$1692,$Q$1645:$Q$1692)</f>
        <v>0.91199626185266247</v>
      </c>
      <c r="G1693" s="224">
        <f>SUMPRODUCT($H$1645:$H$1692,$R$1645:$R$1692,$O$1645:$O$1692)/SUMPRODUCT($H$1645:$H$1692,$R$1645:$R$1692)</f>
        <v>0.91483011184050556</v>
      </c>
      <c r="H1693" s="73">
        <f>SUMPRODUCT($H$1669:$H$1680,$N$1669:$N$1680/$N$1657:$N$1668)/SUM($H$1669:$H$1680)</f>
        <v>1.0099999999999998</v>
      </c>
      <c r="I1693" s="73">
        <f>SUMPRODUCT($H$1669:$H$1680,$O$1669:$O$1680/$O$1657:$O$1668)/SUM($H$1669:$H$1680)</f>
        <v>1.0043932196204437</v>
      </c>
      <c r="J1693" s="73">
        <f>IF($O$1642=1,SUMPRODUCT($H$1669:$H$1680,$N$1669:$N$1680/$N$1657:$N$1668*$O$1669:$O$1680/$O$1657:$O$1668)/SUM($H$1669:$H$1680),$H1693)</f>
        <v>1.0144370792734942</v>
      </c>
      <c r="K1693" s="73">
        <f>SUMPRODUCT($H$1645:$H$1692,$Q$1645:$Q$1692,$N$1645:$N$1692)/SUMPRODUCT($H$1645:$H$1692,$Q$1645:$Q$1692)</f>
        <v>1.0024999999999999</v>
      </c>
      <c r="L1693" s="73">
        <f>SUMPRODUCT($H$1645:$H$1692,$R$1645:$R$1692,$N$1645:$N$1692)/SUMPRODUCT($H$1645:$H$1692,$R$1645:$R$1692)</f>
        <v>1.0374999999999999</v>
      </c>
    </row>
    <row r="1696" spans="1:21" x14ac:dyDescent="0.3">
      <c r="A1696" s="6" t="str">
        <f>INDEX(lr_key,31)</f>
        <v>MM|MD</v>
      </c>
      <c r="B1696" s="6" t="str">
        <f>INDEX(lr_state,31)</f>
        <v>MD</v>
      </c>
      <c r="C1696" s="75">
        <f>nr_TermMonths</f>
        <v>6</v>
      </c>
      <c r="D1696" s="75">
        <f>IF(COUNTIF(se_state,$B1696)=0,0,MATCH($B1696,se_state,0))</f>
        <v>0</v>
      </c>
      <c r="E1696" s="70">
        <f>IF($D1696=0,0,INDEX(se_sum,$D1696))</f>
        <v>0</v>
      </c>
      <c r="F1696" s="224">
        <f>IF(N(INDEX(lr_mind,31))=0,1,INDEX(lr_mind,31))</f>
        <v>0.92</v>
      </c>
      <c r="G1696" s="224">
        <f>IF(N(INDEX(lr_m0,31))=0,1,INDEX(lr_m0,31))</f>
        <v>0.91</v>
      </c>
      <c r="H1696" s="74">
        <f>IF(N(INDEX(lr_m0asof,31))=0,DATE(nr_PlanYear-1,10,1),INDEX(lr_m0asof,31))</f>
        <v>46295</v>
      </c>
      <c r="I1696" s="224">
        <f>IF(N(INDEX(lr_m1,31))=0,1,INDEX(lr_m1,31))</f>
        <v>0.93</v>
      </c>
      <c r="J1696" s="224">
        <f>INDEX(lr_mprior,31)</f>
        <v>0</v>
      </c>
      <c r="K1696" s="224">
        <f>INDEX(lr_m2,31)</f>
        <v>0</v>
      </c>
      <c r="L1696" s="6" t="b">
        <f>NOT(ISBLANK(INDEX(lr_netp,31)))</f>
        <v>0</v>
      </c>
      <c r="M1696" s="72">
        <f>N(INDEX(lr_netp,31))</f>
        <v>0</v>
      </c>
      <c r="N1696" s="72">
        <f>IF(ISBLANK(INDEX(lr_netp1,31)),$M$1696,N(INDEX(lr_netp1,31)))</f>
        <v>0</v>
      </c>
      <c r="O1696" s="75">
        <f>IF(AND(nr_ModAdjMaster="ON",INDEX(lr_modadj,31)="ON"),1,0)</f>
        <v>1</v>
      </c>
    </row>
    <row r="1697" spans="1:21" x14ac:dyDescent="0.3">
      <c r="A1697" s="6">
        <f>EDATE($H$1696,-12)+1</f>
        <v>45931</v>
      </c>
      <c r="B1697" s="6">
        <f>$H$1696+1</f>
        <v>46296</v>
      </c>
      <c r="C1697" s="6">
        <f>DATE(nr_PlanYear,12,31)+1</f>
        <v>46753</v>
      </c>
      <c r="D1697" s="6">
        <f>DATE(nr_PlanYear+1,12,31)+1</f>
        <v>47119</v>
      </c>
      <c r="E1697" s="6">
        <f>IF(N($J$1696)=0,$F$1697-($G$1697-$F$1697)/($C$1697-$B$1697)*($B$1697-$A$1697),$J$1696)</f>
        <v>0.89402625820568926</v>
      </c>
      <c r="F1697" s="6">
        <f>$G$1696</f>
        <v>0.91</v>
      </c>
      <c r="G1697" s="6">
        <f>$I$1696</f>
        <v>0.93</v>
      </c>
      <c r="H1697" s="6">
        <f>IF(N($K$1696)=0,$I$1696,$K$1696)</f>
        <v>0.93</v>
      </c>
      <c r="I1697" s="6">
        <f>($F$1697-$E$1697)/($B$1697-$A$1697)</f>
        <v>4.3763676148796628E-5</v>
      </c>
      <c r="J1697" s="6">
        <f>($G$1697-$F$1697)/($C$1697-$B$1697)</f>
        <v>4.376367614879654E-5</v>
      </c>
      <c r="K1697" s="6">
        <f>($H$1697-$G$1697)/($D$1697-$C$1697)</f>
        <v>0</v>
      </c>
    </row>
    <row r="1698" spans="1:21" ht="36" x14ac:dyDescent="0.3">
      <c r="A1698" s="58" t="s">
        <v>390</v>
      </c>
      <c r="B1698" s="58" t="s">
        <v>449</v>
      </c>
      <c r="C1698" s="58" t="s">
        <v>685</v>
      </c>
      <c r="D1698" s="58" t="s">
        <v>686</v>
      </c>
      <c r="E1698" s="58" t="s">
        <v>687</v>
      </c>
      <c r="F1698" s="58" t="s">
        <v>688</v>
      </c>
      <c r="G1698" s="58" t="s">
        <v>689</v>
      </c>
      <c r="H1698" s="58" t="s">
        <v>452</v>
      </c>
      <c r="I1698" s="58" t="s">
        <v>690</v>
      </c>
      <c r="J1698" s="58" t="s">
        <v>691</v>
      </c>
      <c r="K1698" s="58" t="s">
        <v>692</v>
      </c>
      <c r="L1698" s="58" t="s">
        <v>693</v>
      </c>
      <c r="M1698" s="58" t="s">
        <v>694</v>
      </c>
      <c r="N1698" s="58" t="s">
        <v>695</v>
      </c>
      <c r="O1698" s="58" t="s">
        <v>696</v>
      </c>
      <c r="P1698" s="58" t="s">
        <v>697</v>
      </c>
      <c r="Q1698" s="58" t="s">
        <v>698</v>
      </c>
      <c r="R1698" s="58" t="s">
        <v>699</v>
      </c>
      <c r="S1698" s="58" t="s">
        <v>700</v>
      </c>
      <c r="T1698" s="58" t="s">
        <v>701</v>
      </c>
      <c r="U1698" s="58" t="s">
        <v>702</v>
      </c>
    </row>
    <row r="1699" spans="1:21" x14ac:dyDescent="0.3">
      <c r="A1699" s="187">
        <v>1</v>
      </c>
      <c r="B1699" s="242">
        <f>DATE(nr_PlanYear-2,1,1)</f>
        <v>45658</v>
      </c>
      <c r="C1699" s="243">
        <f t="shared" ref="C1699:C1746" si="674">EOMONTH($B1699,0)</f>
        <v>45688</v>
      </c>
      <c r="D1699" s="120">
        <f t="shared" ref="D1699:D1746" si="675">$C1699-$B1699+1</f>
        <v>31</v>
      </c>
      <c r="E1699" s="120">
        <f t="shared" ref="E1699:E1746" si="676">MONTH($B1699)</f>
        <v>1</v>
      </c>
      <c r="F1699" s="275">
        <f t="shared" ref="F1699:F1746" si="677">($B1699+$C1699+1)/2</f>
        <v>45673.5</v>
      </c>
      <c r="G1699" s="120">
        <f t="shared" ref="G1699:G1746" si="678">YEAR($B1699)*12+MONTH($B1699)-1</f>
        <v>24300</v>
      </c>
      <c r="H1699" s="245">
        <f t="shared" ref="H1699:H1746" si="679">IF(OR(nr_SeasonOn="OFF",$D$1696=0,$E$1696=0),1,12*INDEX(se_block,$D$1696,$E1699)/$E$1696)</f>
        <v>1</v>
      </c>
      <c r="I1699" s="121">
        <f t="shared" ref="I1699:I1746" si="680">EXP(SUMPRODUCT((rl_eff&lt;$B1699)*(rl_key=$A$1696)*rl_ln1p))</f>
        <v>1</v>
      </c>
      <c r="J1699" s="121">
        <f t="shared" ref="J1699:J1746" si="681">EXP(SUMPRODUCT((rl_eff&lt;=$C1699)*(rl_key=$A$1696)*rl_ln1p))</f>
        <v>1</v>
      </c>
      <c r="K1699" s="120">
        <f t="shared" ref="K1699:K1746" si="682">COUNTIFS(rl_key,$A$1696,rl_eff,"&gt;="&amp;$B1699,rl_eff,"&lt;="&amp;$C1699)</f>
        <v>0</v>
      </c>
      <c r="L1699" s="120">
        <f t="shared" ref="L1699:L1746" si="683">SUMIFS(rl_daysafter,rl_key,$A$1696,rl_effmonth,$B1699,rl_first,1)</f>
        <v>0</v>
      </c>
      <c r="M1699" s="246">
        <f t="shared" ref="M1699:M1746" si="684">IF($K1699=0,0,MIN(1,$L1699/$D1699))</f>
        <v>0</v>
      </c>
      <c r="N1699" s="121">
        <f t="shared" ref="N1699:N1746" si="685">IF($K1699=0,$J1699,(1-$M1699)*$I1699+$M1699*$J1699)</f>
        <v>1</v>
      </c>
      <c r="O1699" s="246">
        <f t="shared" ref="O1699:O1746" si="686">IF($F1699&lt;$B$1697,$E$1697+$I$1697*($F1699-$A$1697),IF($F1699&lt;$C$1697,$F$1697+$J$1697*($F1699-$B$1697),$G$1697+$K$1697*($F1699-$C$1697)))</f>
        <v>0.88275711159737413</v>
      </c>
      <c r="P1699" s="121">
        <f t="shared" ref="P1699:P1746" si="687">MIN(1,MAX(0,(nr_MEndPm1-$G1699+0.5)/$C$1696))-MIN(1,MAX(0,(nr_MStartPm1-1-$G1699+0.5)/$C$1696))</f>
        <v>0</v>
      </c>
      <c r="Q1699" s="121">
        <f t="shared" ref="Q1699:Q1746" si="688">MIN(1,MAX(0,(nr_MEndP-$G1699+0.5)/$C$1696))-MIN(1,MAX(0,(nr_MStartP-1-$G1699+0.5)/$C$1696))</f>
        <v>0</v>
      </c>
      <c r="R1699" s="121">
        <f t="shared" ref="R1699:R1746" si="689">MIN(1,MAX(0,(nr_MEndP1-$G1699+0.5)/$C$1696))-MIN(1,MAX(0,(nr_MStartP1-1-$G1699+0.5)/$C$1696))</f>
        <v>0</v>
      </c>
      <c r="S1699" s="121" t="str">
        <f t="shared" ref="S1699:S1746" si="690">IF($L$1696,$N1699*IF($O$1696=1,$O1699/$F$1696,1),"")</f>
        <v/>
      </c>
      <c r="T1699" s="121" t="str">
        <f t="shared" ref="T1699:T1746" si="691">IF(NOT($L$1696),"",IF($G1699&lt;nr_MStartP,$S1699,$T1687*(1+IF($G1699&lt;nr_MStartP1,$M$1696,$N$1696))))</f>
        <v/>
      </c>
      <c r="U1699" s="121">
        <f t="shared" ref="U1699:U1746" si="692">IF($L$1696,$T1699,$N1699)</f>
        <v>1</v>
      </c>
    </row>
    <row r="1700" spans="1:21" x14ac:dyDescent="0.3">
      <c r="A1700" s="187">
        <v>2</v>
      </c>
      <c r="B1700" s="242">
        <f t="shared" ref="B1700:B1746" si="693">EDATE($B1699,1)</f>
        <v>45689</v>
      </c>
      <c r="C1700" s="243">
        <f t="shared" si="674"/>
        <v>45716</v>
      </c>
      <c r="D1700" s="120">
        <f t="shared" si="675"/>
        <v>28</v>
      </c>
      <c r="E1700" s="120">
        <f t="shared" si="676"/>
        <v>2</v>
      </c>
      <c r="F1700" s="275">
        <f t="shared" si="677"/>
        <v>45703</v>
      </c>
      <c r="G1700" s="120">
        <f t="shared" si="678"/>
        <v>24301</v>
      </c>
      <c r="H1700" s="245">
        <f t="shared" si="679"/>
        <v>1</v>
      </c>
      <c r="I1700" s="121">
        <f t="shared" si="680"/>
        <v>1</v>
      </c>
      <c r="J1700" s="121">
        <f t="shared" si="681"/>
        <v>1</v>
      </c>
      <c r="K1700" s="120">
        <f t="shared" si="682"/>
        <v>0</v>
      </c>
      <c r="L1700" s="120">
        <f t="shared" si="683"/>
        <v>0</v>
      </c>
      <c r="M1700" s="246">
        <f t="shared" si="684"/>
        <v>0</v>
      </c>
      <c r="N1700" s="121">
        <f t="shared" si="685"/>
        <v>1</v>
      </c>
      <c r="O1700" s="246">
        <f t="shared" si="686"/>
        <v>0.88404814004376364</v>
      </c>
      <c r="P1700" s="121">
        <f t="shared" si="687"/>
        <v>0</v>
      </c>
      <c r="Q1700" s="121">
        <f t="shared" si="688"/>
        <v>0</v>
      </c>
      <c r="R1700" s="121">
        <f t="shared" si="689"/>
        <v>0</v>
      </c>
      <c r="S1700" s="121" t="str">
        <f t="shared" si="690"/>
        <v/>
      </c>
      <c r="T1700" s="121" t="str">
        <f t="shared" si="691"/>
        <v/>
      </c>
      <c r="U1700" s="121">
        <f t="shared" si="692"/>
        <v>1</v>
      </c>
    </row>
    <row r="1701" spans="1:21" x14ac:dyDescent="0.3">
      <c r="A1701" s="187">
        <v>3</v>
      </c>
      <c r="B1701" s="242">
        <f t="shared" si="693"/>
        <v>45717</v>
      </c>
      <c r="C1701" s="243">
        <f t="shared" si="674"/>
        <v>45747</v>
      </c>
      <c r="D1701" s="120">
        <f t="shared" si="675"/>
        <v>31</v>
      </c>
      <c r="E1701" s="120">
        <f t="shared" si="676"/>
        <v>3</v>
      </c>
      <c r="F1701" s="275">
        <f t="shared" si="677"/>
        <v>45732.5</v>
      </c>
      <c r="G1701" s="120">
        <f t="shared" si="678"/>
        <v>24302</v>
      </c>
      <c r="H1701" s="245">
        <f t="shared" si="679"/>
        <v>1</v>
      </c>
      <c r="I1701" s="121">
        <f t="shared" si="680"/>
        <v>1</v>
      </c>
      <c r="J1701" s="121">
        <f t="shared" si="681"/>
        <v>1</v>
      </c>
      <c r="K1701" s="120">
        <f t="shared" si="682"/>
        <v>0</v>
      </c>
      <c r="L1701" s="120">
        <f t="shared" si="683"/>
        <v>0</v>
      </c>
      <c r="M1701" s="246">
        <f t="shared" si="684"/>
        <v>0</v>
      </c>
      <c r="N1701" s="121">
        <f t="shared" si="685"/>
        <v>1</v>
      </c>
      <c r="O1701" s="246">
        <f t="shared" si="686"/>
        <v>0.88533916849015315</v>
      </c>
      <c r="P1701" s="121">
        <f t="shared" si="687"/>
        <v>0</v>
      </c>
      <c r="Q1701" s="121">
        <f t="shared" si="688"/>
        <v>0</v>
      </c>
      <c r="R1701" s="121">
        <f t="shared" si="689"/>
        <v>0</v>
      </c>
      <c r="S1701" s="121" t="str">
        <f t="shared" si="690"/>
        <v/>
      </c>
      <c r="T1701" s="121" t="str">
        <f t="shared" si="691"/>
        <v/>
      </c>
      <c r="U1701" s="121">
        <f t="shared" si="692"/>
        <v>1</v>
      </c>
    </row>
    <row r="1702" spans="1:21" x14ac:dyDescent="0.3">
      <c r="A1702" s="187">
        <v>4</v>
      </c>
      <c r="B1702" s="242">
        <f t="shared" si="693"/>
        <v>45748</v>
      </c>
      <c r="C1702" s="243">
        <f t="shared" si="674"/>
        <v>45777</v>
      </c>
      <c r="D1702" s="120">
        <f t="shared" si="675"/>
        <v>30</v>
      </c>
      <c r="E1702" s="120">
        <f t="shared" si="676"/>
        <v>4</v>
      </c>
      <c r="F1702" s="275">
        <f t="shared" si="677"/>
        <v>45763</v>
      </c>
      <c r="G1702" s="120">
        <f t="shared" si="678"/>
        <v>24303</v>
      </c>
      <c r="H1702" s="245">
        <f t="shared" si="679"/>
        <v>1</v>
      </c>
      <c r="I1702" s="121">
        <f t="shared" si="680"/>
        <v>1</v>
      </c>
      <c r="J1702" s="121">
        <f t="shared" si="681"/>
        <v>1</v>
      </c>
      <c r="K1702" s="120">
        <f t="shared" si="682"/>
        <v>0</v>
      </c>
      <c r="L1702" s="120">
        <f t="shared" si="683"/>
        <v>0</v>
      </c>
      <c r="M1702" s="246">
        <f t="shared" si="684"/>
        <v>0</v>
      </c>
      <c r="N1702" s="121">
        <f t="shared" si="685"/>
        <v>1</v>
      </c>
      <c r="O1702" s="246">
        <f t="shared" si="686"/>
        <v>0.88667396061269144</v>
      </c>
      <c r="P1702" s="121">
        <f t="shared" si="687"/>
        <v>0</v>
      </c>
      <c r="Q1702" s="121">
        <f t="shared" si="688"/>
        <v>0</v>
      </c>
      <c r="R1702" s="121">
        <f t="shared" si="689"/>
        <v>0</v>
      </c>
      <c r="S1702" s="121" t="str">
        <f t="shared" si="690"/>
        <v/>
      </c>
      <c r="T1702" s="121" t="str">
        <f t="shared" si="691"/>
        <v/>
      </c>
      <c r="U1702" s="121">
        <f t="shared" si="692"/>
        <v>1</v>
      </c>
    </row>
    <row r="1703" spans="1:21" x14ac:dyDescent="0.3">
      <c r="A1703" s="187">
        <v>5</v>
      </c>
      <c r="B1703" s="242">
        <f t="shared" si="693"/>
        <v>45778</v>
      </c>
      <c r="C1703" s="243">
        <f t="shared" si="674"/>
        <v>45808</v>
      </c>
      <c r="D1703" s="120">
        <f t="shared" si="675"/>
        <v>31</v>
      </c>
      <c r="E1703" s="120">
        <f t="shared" si="676"/>
        <v>5</v>
      </c>
      <c r="F1703" s="275">
        <f t="shared" si="677"/>
        <v>45793.5</v>
      </c>
      <c r="G1703" s="120">
        <f t="shared" si="678"/>
        <v>24304</v>
      </c>
      <c r="H1703" s="245">
        <f t="shared" si="679"/>
        <v>1</v>
      </c>
      <c r="I1703" s="121">
        <f t="shared" si="680"/>
        <v>1</v>
      </c>
      <c r="J1703" s="121">
        <f t="shared" si="681"/>
        <v>1</v>
      </c>
      <c r="K1703" s="120">
        <f t="shared" si="682"/>
        <v>0</v>
      </c>
      <c r="L1703" s="120">
        <f t="shared" si="683"/>
        <v>0</v>
      </c>
      <c r="M1703" s="246">
        <f t="shared" si="684"/>
        <v>0</v>
      </c>
      <c r="N1703" s="121">
        <f t="shared" si="685"/>
        <v>1</v>
      </c>
      <c r="O1703" s="246">
        <f t="shared" si="686"/>
        <v>0.88800875273522972</v>
      </c>
      <c r="P1703" s="121">
        <f t="shared" si="687"/>
        <v>0</v>
      </c>
      <c r="Q1703" s="121">
        <f t="shared" si="688"/>
        <v>0</v>
      </c>
      <c r="R1703" s="121">
        <f t="shared" si="689"/>
        <v>0</v>
      </c>
      <c r="S1703" s="121" t="str">
        <f t="shared" si="690"/>
        <v/>
      </c>
      <c r="T1703" s="121" t="str">
        <f t="shared" si="691"/>
        <v/>
      </c>
      <c r="U1703" s="121">
        <f t="shared" si="692"/>
        <v>1</v>
      </c>
    </row>
    <row r="1704" spans="1:21" x14ac:dyDescent="0.3">
      <c r="A1704" s="187">
        <v>6</v>
      </c>
      <c r="B1704" s="242">
        <f t="shared" si="693"/>
        <v>45809</v>
      </c>
      <c r="C1704" s="243">
        <f t="shared" si="674"/>
        <v>45838</v>
      </c>
      <c r="D1704" s="120">
        <f t="shared" si="675"/>
        <v>30</v>
      </c>
      <c r="E1704" s="120">
        <f t="shared" si="676"/>
        <v>6</v>
      </c>
      <c r="F1704" s="275">
        <f t="shared" si="677"/>
        <v>45824</v>
      </c>
      <c r="G1704" s="120">
        <f t="shared" si="678"/>
        <v>24305</v>
      </c>
      <c r="H1704" s="245">
        <f t="shared" si="679"/>
        <v>1</v>
      </c>
      <c r="I1704" s="121">
        <f t="shared" si="680"/>
        <v>1</v>
      </c>
      <c r="J1704" s="121">
        <f t="shared" si="681"/>
        <v>1</v>
      </c>
      <c r="K1704" s="120">
        <f t="shared" si="682"/>
        <v>0</v>
      </c>
      <c r="L1704" s="120">
        <f t="shared" si="683"/>
        <v>0</v>
      </c>
      <c r="M1704" s="246">
        <f t="shared" si="684"/>
        <v>0</v>
      </c>
      <c r="N1704" s="121">
        <f t="shared" si="685"/>
        <v>1</v>
      </c>
      <c r="O1704" s="246">
        <f t="shared" si="686"/>
        <v>0.88934354485776801</v>
      </c>
      <c r="P1704" s="121">
        <f t="shared" si="687"/>
        <v>0</v>
      </c>
      <c r="Q1704" s="121">
        <f t="shared" si="688"/>
        <v>0</v>
      </c>
      <c r="R1704" s="121">
        <f t="shared" si="689"/>
        <v>0</v>
      </c>
      <c r="S1704" s="121" t="str">
        <f t="shared" si="690"/>
        <v/>
      </c>
      <c r="T1704" s="121" t="str">
        <f t="shared" si="691"/>
        <v/>
      </c>
      <c r="U1704" s="121">
        <f t="shared" si="692"/>
        <v>1</v>
      </c>
    </row>
    <row r="1705" spans="1:21" x14ac:dyDescent="0.3">
      <c r="A1705" s="187">
        <v>7</v>
      </c>
      <c r="B1705" s="242">
        <f t="shared" si="693"/>
        <v>45839</v>
      </c>
      <c r="C1705" s="243">
        <f t="shared" si="674"/>
        <v>45869</v>
      </c>
      <c r="D1705" s="120">
        <f t="shared" si="675"/>
        <v>31</v>
      </c>
      <c r="E1705" s="120">
        <f t="shared" si="676"/>
        <v>7</v>
      </c>
      <c r="F1705" s="275">
        <f t="shared" si="677"/>
        <v>45854.5</v>
      </c>
      <c r="G1705" s="120">
        <f t="shared" si="678"/>
        <v>24306</v>
      </c>
      <c r="H1705" s="245">
        <f t="shared" si="679"/>
        <v>1</v>
      </c>
      <c r="I1705" s="121">
        <f t="shared" si="680"/>
        <v>1</v>
      </c>
      <c r="J1705" s="121">
        <f t="shared" si="681"/>
        <v>1</v>
      </c>
      <c r="K1705" s="120">
        <f t="shared" si="682"/>
        <v>0</v>
      </c>
      <c r="L1705" s="120">
        <f t="shared" si="683"/>
        <v>0</v>
      </c>
      <c r="M1705" s="246">
        <f t="shared" si="684"/>
        <v>0</v>
      </c>
      <c r="N1705" s="121">
        <f t="shared" si="685"/>
        <v>1</v>
      </c>
      <c r="O1705" s="246">
        <f t="shared" si="686"/>
        <v>0.8906783369803063</v>
      </c>
      <c r="P1705" s="121">
        <f t="shared" si="687"/>
        <v>8.333333333333337E-2</v>
      </c>
      <c r="Q1705" s="121">
        <f t="shared" si="688"/>
        <v>0</v>
      </c>
      <c r="R1705" s="121">
        <f t="shared" si="689"/>
        <v>0</v>
      </c>
      <c r="S1705" s="121" t="str">
        <f t="shared" si="690"/>
        <v/>
      </c>
      <c r="T1705" s="121" t="str">
        <f t="shared" si="691"/>
        <v/>
      </c>
      <c r="U1705" s="121">
        <f t="shared" si="692"/>
        <v>1</v>
      </c>
    </row>
    <row r="1706" spans="1:21" x14ac:dyDescent="0.3">
      <c r="A1706" s="187">
        <v>8</v>
      </c>
      <c r="B1706" s="242">
        <f t="shared" si="693"/>
        <v>45870</v>
      </c>
      <c r="C1706" s="243">
        <f t="shared" si="674"/>
        <v>45900</v>
      </c>
      <c r="D1706" s="120">
        <f t="shared" si="675"/>
        <v>31</v>
      </c>
      <c r="E1706" s="120">
        <f t="shared" si="676"/>
        <v>8</v>
      </c>
      <c r="F1706" s="275">
        <f t="shared" si="677"/>
        <v>45885.5</v>
      </c>
      <c r="G1706" s="120">
        <f t="shared" si="678"/>
        <v>24307</v>
      </c>
      <c r="H1706" s="245">
        <f t="shared" si="679"/>
        <v>1</v>
      </c>
      <c r="I1706" s="121">
        <f t="shared" si="680"/>
        <v>1</v>
      </c>
      <c r="J1706" s="121">
        <f t="shared" si="681"/>
        <v>1</v>
      </c>
      <c r="K1706" s="120">
        <f t="shared" si="682"/>
        <v>0</v>
      </c>
      <c r="L1706" s="120">
        <f t="shared" si="683"/>
        <v>0</v>
      </c>
      <c r="M1706" s="246">
        <f t="shared" si="684"/>
        <v>0</v>
      </c>
      <c r="N1706" s="121">
        <f t="shared" si="685"/>
        <v>1</v>
      </c>
      <c r="O1706" s="246">
        <f t="shared" si="686"/>
        <v>0.89203501094091897</v>
      </c>
      <c r="P1706" s="121">
        <f t="shared" si="687"/>
        <v>0.25</v>
      </c>
      <c r="Q1706" s="121">
        <f t="shared" si="688"/>
        <v>0</v>
      </c>
      <c r="R1706" s="121">
        <f t="shared" si="689"/>
        <v>0</v>
      </c>
      <c r="S1706" s="121" t="str">
        <f t="shared" si="690"/>
        <v/>
      </c>
      <c r="T1706" s="121" t="str">
        <f t="shared" si="691"/>
        <v/>
      </c>
      <c r="U1706" s="121">
        <f t="shared" si="692"/>
        <v>1</v>
      </c>
    </row>
    <row r="1707" spans="1:21" x14ac:dyDescent="0.3">
      <c r="A1707" s="187">
        <v>9</v>
      </c>
      <c r="B1707" s="242">
        <f t="shared" si="693"/>
        <v>45901</v>
      </c>
      <c r="C1707" s="243">
        <f t="shared" si="674"/>
        <v>45930</v>
      </c>
      <c r="D1707" s="120">
        <f t="shared" si="675"/>
        <v>30</v>
      </c>
      <c r="E1707" s="120">
        <f t="shared" si="676"/>
        <v>9</v>
      </c>
      <c r="F1707" s="275">
        <f t="shared" si="677"/>
        <v>45916</v>
      </c>
      <c r="G1707" s="120">
        <f t="shared" si="678"/>
        <v>24308</v>
      </c>
      <c r="H1707" s="245">
        <f t="shared" si="679"/>
        <v>1</v>
      </c>
      <c r="I1707" s="121">
        <f t="shared" si="680"/>
        <v>1</v>
      </c>
      <c r="J1707" s="121">
        <f t="shared" si="681"/>
        <v>1</v>
      </c>
      <c r="K1707" s="120">
        <f t="shared" si="682"/>
        <v>0</v>
      </c>
      <c r="L1707" s="120">
        <f t="shared" si="683"/>
        <v>0</v>
      </c>
      <c r="M1707" s="246">
        <f t="shared" si="684"/>
        <v>0</v>
      </c>
      <c r="N1707" s="121">
        <f t="shared" si="685"/>
        <v>1</v>
      </c>
      <c r="O1707" s="246">
        <f t="shared" si="686"/>
        <v>0.89336980306345726</v>
      </c>
      <c r="P1707" s="121">
        <f t="shared" si="687"/>
        <v>0.41666666666666663</v>
      </c>
      <c r="Q1707" s="121">
        <f t="shared" si="688"/>
        <v>0</v>
      </c>
      <c r="R1707" s="121">
        <f t="shared" si="689"/>
        <v>0</v>
      </c>
      <c r="S1707" s="121" t="str">
        <f t="shared" si="690"/>
        <v/>
      </c>
      <c r="T1707" s="121" t="str">
        <f t="shared" si="691"/>
        <v/>
      </c>
      <c r="U1707" s="121">
        <f t="shared" si="692"/>
        <v>1</v>
      </c>
    </row>
    <row r="1708" spans="1:21" x14ac:dyDescent="0.3">
      <c r="A1708" s="187">
        <v>10</v>
      </c>
      <c r="B1708" s="242">
        <f t="shared" si="693"/>
        <v>45931</v>
      </c>
      <c r="C1708" s="243">
        <f t="shared" si="674"/>
        <v>45961</v>
      </c>
      <c r="D1708" s="120">
        <f t="shared" si="675"/>
        <v>31</v>
      </c>
      <c r="E1708" s="120">
        <f t="shared" si="676"/>
        <v>10</v>
      </c>
      <c r="F1708" s="275">
        <f t="shared" si="677"/>
        <v>45946.5</v>
      </c>
      <c r="G1708" s="120">
        <f t="shared" si="678"/>
        <v>24309</v>
      </c>
      <c r="H1708" s="245">
        <f t="shared" si="679"/>
        <v>1</v>
      </c>
      <c r="I1708" s="121">
        <f t="shared" si="680"/>
        <v>1</v>
      </c>
      <c r="J1708" s="121">
        <f t="shared" si="681"/>
        <v>1</v>
      </c>
      <c r="K1708" s="120">
        <f t="shared" si="682"/>
        <v>0</v>
      </c>
      <c r="L1708" s="120">
        <f t="shared" si="683"/>
        <v>0</v>
      </c>
      <c r="M1708" s="246">
        <f t="shared" si="684"/>
        <v>0</v>
      </c>
      <c r="N1708" s="121">
        <f t="shared" si="685"/>
        <v>1</v>
      </c>
      <c r="O1708" s="246">
        <f t="shared" si="686"/>
        <v>0.89470459518599565</v>
      </c>
      <c r="P1708" s="121">
        <f t="shared" si="687"/>
        <v>0.58333333333333326</v>
      </c>
      <c r="Q1708" s="121">
        <f t="shared" si="688"/>
        <v>0</v>
      </c>
      <c r="R1708" s="121">
        <f t="shared" si="689"/>
        <v>0</v>
      </c>
      <c r="S1708" s="121" t="str">
        <f t="shared" si="690"/>
        <v/>
      </c>
      <c r="T1708" s="121" t="str">
        <f t="shared" si="691"/>
        <v/>
      </c>
      <c r="U1708" s="121">
        <f t="shared" si="692"/>
        <v>1</v>
      </c>
    </row>
    <row r="1709" spans="1:21" x14ac:dyDescent="0.3">
      <c r="A1709" s="187">
        <v>11</v>
      </c>
      <c r="B1709" s="242">
        <f t="shared" si="693"/>
        <v>45962</v>
      </c>
      <c r="C1709" s="243">
        <f t="shared" si="674"/>
        <v>45991</v>
      </c>
      <c r="D1709" s="120">
        <f t="shared" si="675"/>
        <v>30</v>
      </c>
      <c r="E1709" s="120">
        <f t="shared" si="676"/>
        <v>11</v>
      </c>
      <c r="F1709" s="275">
        <f t="shared" si="677"/>
        <v>45977</v>
      </c>
      <c r="G1709" s="120">
        <f t="shared" si="678"/>
        <v>24310</v>
      </c>
      <c r="H1709" s="245">
        <f t="shared" si="679"/>
        <v>1</v>
      </c>
      <c r="I1709" s="121">
        <f t="shared" si="680"/>
        <v>1</v>
      </c>
      <c r="J1709" s="121">
        <f t="shared" si="681"/>
        <v>1</v>
      </c>
      <c r="K1709" s="120">
        <f t="shared" si="682"/>
        <v>0</v>
      </c>
      <c r="L1709" s="120">
        <f t="shared" si="683"/>
        <v>0</v>
      </c>
      <c r="M1709" s="246">
        <f t="shared" si="684"/>
        <v>0</v>
      </c>
      <c r="N1709" s="121">
        <f t="shared" si="685"/>
        <v>1</v>
      </c>
      <c r="O1709" s="246">
        <f t="shared" si="686"/>
        <v>0.89603938730853394</v>
      </c>
      <c r="P1709" s="121">
        <f t="shared" si="687"/>
        <v>0.75</v>
      </c>
      <c r="Q1709" s="121">
        <f t="shared" si="688"/>
        <v>0</v>
      </c>
      <c r="R1709" s="121">
        <f t="shared" si="689"/>
        <v>0</v>
      </c>
      <c r="S1709" s="121" t="str">
        <f t="shared" si="690"/>
        <v/>
      </c>
      <c r="T1709" s="121" t="str">
        <f t="shared" si="691"/>
        <v/>
      </c>
      <c r="U1709" s="121">
        <f t="shared" si="692"/>
        <v>1</v>
      </c>
    </row>
    <row r="1710" spans="1:21" x14ac:dyDescent="0.3">
      <c r="A1710" s="187">
        <v>12</v>
      </c>
      <c r="B1710" s="242">
        <f t="shared" si="693"/>
        <v>45992</v>
      </c>
      <c r="C1710" s="243">
        <f t="shared" si="674"/>
        <v>46022</v>
      </c>
      <c r="D1710" s="120">
        <f t="shared" si="675"/>
        <v>31</v>
      </c>
      <c r="E1710" s="120">
        <f t="shared" si="676"/>
        <v>12</v>
      </c>
      <c r="F1710" s="275">
        <f t="shared" si="677"/>
        <v>46007.5</v>
      </c>
      <c r="G1710" s="120">
        <f t="shared" si="678"/>
        <v>24311</v>
      </c>
      <c r="H1710" s="245">
        <f t="shared" si="679"/>
        <v>1</v>
      </c>
      <c r="I1710" s="121">
        <f t="shared" si="680"/>
        <v>1</v>
      </c>
      <c r="J1710" s="121">
        <f t="shared" si="681"/>
        <v>1</v>
      </c>
      <c r="K1710" s="120">
        <f t="shared" si="682"/>
        <v>0</v>
      </c>
      <c r="L1710" s="120">
        <f t="shared" si="683"/>
        <v>0</v>
      </c>
      <c r="M1710" s="246">
        <f t="shared" si="684"/>
        <v>0</v>
      </c>
      <c r="N1710" s="121">
        <f t="shared" si="685"/>
        <v>1</v>
      </c>
      <c r="O1710" s="246">
        <f t="shared" si="686"/>
        <v>0.89737417943107223</v>
      </c>
      <c r="P1710" s="121">
        <f t="shared" si="687"/>
        <v>0.91666666666666663</v>
      </c>
      <c r="Q1710" s="121">
        <f t="shared" si="688"/>
        <v>0</v>
      </c>
      <c r="R1710" s="121">
        <f t="shared" si="689"/>
        <v>0</v>
      </c>
      <c r="S1710" s="121" t="str">
        <f t="shared" si="690"/>
        <v/>
      </c>
      <c r="T1710" s="121" t="str">
        <f t="shared" si="691"/>
        <v/>
      </c>
      <c r="U1710" s="121">
        <f t="shared" si="692"/>
        <v>1</v>
      </c>
    </row>
    <row r="1711" spans="1:21" x14ac:dyDescent="0.3">
      <c r="A1711" s="187">
        <v>13</v>
      </c>
      <c r="B1711" s="242">
        <f t="shared" si="693"/>
        <v>46023</v>
      </c>
      <c r="C1711" s="243">
        <f t="shared" si="674"/>
        <v>46053</v>
      </c>
      <c r="D1711" s="120">
        <f t="shared" si="675"/>
        <v>31</v>
      </c>
      <c r="E1711" s="120">
        <f t="shared" si="676"/>
        <v>1</v>
      </c>
      <c r="F1711" s="275">
        <f t="shared" si="677"/>
        <v>46038.5</v>
      </c>
      <c r="G1711" s="120">
        <f t="shared" si="678"/>
        <v>24312</v>
      </c>
      <c r="H1711" s="245">
        <f t="shared" si="679"/>
        <v>1</v>
      </c>
      <c r="I1711" s="121">
        <f t="shared" si="680"/>
        <v>1</v>
      </c>
      <c r="J1711" s="121">
        <f t="shared" si="681"/>
        <v>1</v>
      </c>
      <c r="K1711" s="120">
        <f t="shared" si="682"/>
        <v>0</v>
      </c>
      <c r="L1711" s="120">
        <f t="shared" si="683"/>
        <v>0</v>
      </c>
      <c r="M1711" s="246">
        <f t="shared" si="684"/>
        <v>0</v>
      </c>
      <c r="N1711" s="121">
        <f t="shared" si="685"/>
        <v>1</v>
      </c>
      <c r="O1711" s="246">
        <f t="shared" si="686"/>
        <v>0.8987308533916849</v>
      </c>
      <c r="P1711" s="121">
        <f t="shared" si="687"/>
        <v>1</v>
      </c>
      <c r="Q1711" s="121">
        <f t="shared" si="688"/>
        <v>0</v>
      </c>
      <c r="R1711" s="121">
        <f t="shared" si="689"/>
        <v>0</v>
      </c>
      <c r="S1711" s="121" t="str">
        <f t="shared" si="690"/>
        <v/>
      </c>
      <c r="T1711" s="121" t="str">
        <f t="shared" si="691"/>
        <v/>
      </c>
      <c r="U1711" s="121">
        <f t="shared" si="692"/>
        <v>1</v>
      </c>
    </row>
    <row r="1712" spans="1:21" x14ac:dyDescent="0.3">
      <c r="A1712" s="187">
        <v>14</v>
      </c>
      <c r="B1712" s="242">
        <f t="shared" si="693"/>
        <v>46054</v>
      </c>
      <c r="C1712" s="243">
        <f t="shared" si="674"/>
        <v>46081</v>
      </c>
      <c r="D1712" s="120">
        <f t="shared" si="675"/>
        <v>28</v>
      </c>
      <c r="E1712" s="120">
        <f t="shared" si="676"/>
        <v>2</v>
      </c>
      <c r="F1712" s="275">
        <f t="shared" si="677"/>
        <v>46068</v>
      </c>
      <c r="G1712" s="120">
        <f t="shared" si="678"/>
        <v>24313</v>
      </c>
      <c r="H1712" s="245">
        <f t="shared" si="679"/>
        <v>1</v>
      </c>
      <c r="I1712" s="121">
        <f t="shared" si="680"/>
        <v>1</v>
      </c>
      <c r="J1712" s="121">
        <f t="shared" si="681"/>
        <v>1</v>
      </c>
      <c r="K1712" s="120">
        <f t="shared" si="682"/>
        <v>0</v>
      </c>
      <c r="L1712" s="120">
        <f t="shared" si="683"/>
        <v>0</v>
      </c>
      <c r="M1712" s="246">
        <f t="shared" si="684"/>
        <v>0</v>
      </c>
      <c r="N1712" s="121">
        <f t="shared" si="685"/>
        <v>1</v>
      </c>
      <c r="O1712" s="246">
        <f t="shared" si="686"/>
        <v>0.90002188183807441</v>
      </c>
      <c r="P1712" s="121">
        <f t="shared" si="687"/>
        <v>1</v>
      </c>
      <c r="Q1712" s="121">
        <f t="shared" si="688"/>
        <v>0</v>
      </c>
      <c r="R1712" s="121">
        <f t="shared" si="689"/>
        <v>0</v>
      </c>
      <c r="S1712" s="121" t="str">
        <f t="shared" si="690"/>
        <v/>
      </c>
      <c r="T1712" s="121" t="str">
        <f t="shared" si="691"/>
        <v/>
      </c>
      <c r="U1712" s="121">
        <f t="shared" si="692"/>
        <v>1</v>
      </c>
    </row>
    <row r="1713" spans="1:21" x14ac:dyDescent="0.3">
      <c r="A1713" s="187">
        <v>15</v>
      </c>
      <c r="B1713" s="242">
        <f t="shared" si="693"/>
        <v>46082</v>
      </c>
      <c r="C1713" s="243">
        <f t="shared" si="674"/>
        <v>46112</v>
      </c>
      <c r="D1713" s="120">
        <f t="shared" si="675"/>
        <v>31</v>
      </c>
      <c r="E1713" s="120">
        <f t="shared" si="676"/>
        <v>3</v>
      </c>
      <c r="F1713" s="275">
        <f t="shared" si="677"/>
        <v>46097.5</v>
      </c>
      <c r="G1713" s="120">
        <f t="shared" si="678"/>
        <v>24314</v>
      </c>
      <c r="H1713" s="245">
        <f t="shared" si="679"/>
        <v>1</v>
      </c>
      <c r="I1713" s="121">
        <f t="shared" si="680"/>
        <v>1</v>
      </c>
      <c r="J1713" s="121">
        <f t="shared" si="681"/>
        <v>1</v>
      </c>
      <c r="K1713" s="120">
        <f t="shared" si="682"/>
        <v>0</v>
      </c>
      <c r="L1713" s="120">
        <f t="shared" si="683"/>
        <v>0</v>
      </c>
      <c r="M1713" s="246">
        <f t="shared" si="684"/>
        <v>0</v>
      </c>
      <c r="N1713" s="121">
        <f t="shared" si="685"/>
        <v>1</v>
      </c>
      <c r="O1713" s="246">
        <f t="shared" si="686"/>
        <v>0.90131291028446392</v>
      </c>
      <c r="P1713" s="121">
        <f t="shared" si="687"/>
        <v>1</v>
      </c>
      <c r="Q1713" s="121">
        <f t="shared" si="688"/>
        <v>0</v>
      </c>
      <c r="R1713" s="121">
        <f t="shared" si="689"/>
        <v>0</v>
      </c>
      <c r="S1713" s="121" t="str">
        <f t="shared" si="690"/>
        <v/>
      </c>
      <c r="T1713" s="121" t="str">
        <f t="shared" si="691"/>
        <v/>
      </c>
      <c r="U1713" s="121">
        <f t="shared" si="692"/>
        <v>1</v>
      </c>
    </row>
    <row r="1714" spans="1:21" x14ac:dyDescent="0.3">
      <c r="A1714" s="187">
        <v>16</v>
      </c>
      <c r="B1714" s="242">
        <f t="shared" si="693"/>
        <v>46113</v>
      </c>
      <c r="C1714" s="243">
        <f t="shared" si="674"/>
        <v>46142</v>
      </c>
      <c r="D1714" s="120">
        <f t="shared" si="675"/>
        <v>30</v>
      </c>
      <c r="E1714" s="120">
        <f t="shared" si="676"/>
        <v>4</v>
      </c>
      <c r="F1714" s="275">
        <f t="shared" si="677"/>
        <v>46128</v>
      </c>
      <c r="G1714" s="120">
        <f t="shared" si="678"/>
        <v>24315</v>
      </c>
      <c r="H1714" s="245">
        <f t="shared" si="679"/>
        <v>1</v>
      </c>
      <c r="I1714" s="121">
        <f t="shared" si="680"/>
        <v>1</v>
      </c>
      <c r="J1714" s="121">
        <f t="shared" si="681"/>
        <v>1</v>
      </c>
      <c r="K1714" s="120">
        <f t="shared" si="682"/>
        <v>0</v>
      </c>
      <c r="L1714" s="120">
        <f t="shared" si="683"/>
        <v>0</v>
      </c>
      <c r="M1714" s="246">
        <f t="shared" si="684"/>
        <v>0</v>
      </c>
      <c r="N1714" s="121">
        <f t="shared" si="685"/>
        <v>1</v>
      </c>
      <c r="O1714" s="246">
        <f t="shared" si="686"/>
        <v>0.90264770240700221</v>
      </c>
      <c r="P1714" s="121">
        <f t="shared" si="687"/>
        <v>1</v>
      </c>
      <c r="Q1714" s="121">
        <f t="shared" si="688"/>
        <v>0</v>
      </c>
      <c r="R1714" s="121">
        <f t="shared" si="689"/>
        <v>0</v>
      </c>
      <c r="S1714" s="121" t="str">
        <f t="shared" si="690"/>
        <v/>
      </c>
      <c r="T1714" s="121" t="str">
        <f t="shared" si="691"/>
        <v/>
      </c>
      <c r="U1714" s="121">
        <f t="shared" si="692"/>
        <v>1</v>
      </c>
    </row>
    <row r="1715" spans="1:21" x14ac:dyDescent="0.3">
      <c r="A1715" s="187">
        <v>17</v>
      </c>
      <c r="B1715" s="242">
        <f t="shared" si="693"/>
        <v>46143</v>
      </c>
      <c r="C1715" s="243">
        <f t="shared" si="674"/>
        <v>46173</v>
      </c>
      <c r="D1715" s="120">
        <f t="shared" si="675"/>
        <v>31</v>
      </c>
      <c r="E1715" s="120">
        <f t="shared" si="676"/>
        <v>5</v>
      </c>
      <c r="F1715" s="275">
        <f t="shared" si="677"/>
        <v>46158.5</v>
      </c>
      <c r="G1715" s="120">
        <f t="shared" si="678"/>
        <v>24316</v>
      </c>
      <c r="H1715" s="245">
        <f t="shared" si="679"/>
        <v>1</v>
      </c>
      <c r="I1715" s="121">
        <f t="shared" si="680"/>
        <v>1</v>
      </c>
      <c r="J1715" s="121">
        <f t="shared" si="681"/>
        <v>1</v>
      </c>
      <c r="K1715" s="120">
        <f t="shared" si="682"/>
        <v>0</v>
      </c>
      <c r="L1715" s="120">
        <f t="shared" si="683"/>
        <v>0</v>
      </c>
      <c r="M1715" s="246">
        <f t="shared" si="684"/>
        <v>0</v>
      </c>
      <c r="N1715" s="121">
        <f t="shared" si="685"/>
        <v>1</v>
      </c>
      <c r="O1715" s="246">
        <f t="shared" si="686"/>
        <v>0.90398249452954049</v>
      </c>
      <c r="P1715" s="121">
        <f t="shared" si="687"/>
        <v>1</v>
      </c>
      <c r="Q1715" s="121">
        <f t="shared" si="688"/>
        <v>0</v>
      </c>
      <c r="R1715" s="121">
        <f t="shared" si="689"/>
        <v>0</v>
      </c>
      <c r="S1715" s="121" t="str">
        <f t="shared" si="690"/>
        <v/>
      </c>
      <c r="T1715" s="121" t="str">
        <f t="shared" si="691"/>
        <v/>
      </c>
      <c r="U1715" s="121">
        <f t="shared" si="692"/>
        <v>1</v>
      </c>
    </row>
    <row r="1716" spans="1:21" x14ac:dyDescent="0.3">
      <c r="A1716" s="187">
        <v>18</v>
      </c>
      <c r="B1716" s="242">
        <f t="shared" si="693"/>
        <v>46174</v>
      </c>
      <c r="C1716" s="243">
        <f t="shared" si="674"/>
        <v>46203</v>
      </c>
      <c r="D1716" s="120">
        <f t="shared" si="675"/>
        <v>30</v>
      </c>
      <c r="E1716" s="120">
        <f t="shared" si="676"/>
        <v>6</v>
      </c>
      <c r="F1716" s="275">
        <f t="shared" si="677"/>
        <v>46189</v>
      </c>
      <c r="G1716" s="120">
        <f t="shared" si="678"/>
        <v>24317</v>
      </c>
      <c r="H1716" s="245">
        <f t="shared" si="679"/>
        <v>1</v>
      </c>
      <c r="I1716" s="121">
        <f t="shared" si="680"/>
        <v>1</v>
      </c>
      <c r="J1716" s="121">
        <f t="shared" si="681"/>
        <v>1</v>
      </c>
      <c r="K1716" s="120">
        <f t="shared" si="682"/>
        <v>0</v>
      </c>
      <c r="L1716" s="120">
        <f t="shared" si="683"/>
        <v>0</v>
      </c>
      <c r="M1716" s="246">
        <f t="shared" si="684"/>
        <v>0</v>
      </c>
      <c r="N1716" s="121">
        <f t="shared" si="685"/>
        <v>1</v>
      </c>
      <c r="O1716" s="246">
        <f t="shared" si="686"/>
        <v>0.90531728665207878</v>
      </c>
      <c r="P1716" s="121">
        <f t="shared" si="687"/>
        <v>1</v>
      </c>
      <c r="Q1716" s="121">
        <f t="shared" si="688"/>
        <v>0</v>
      </c>
      <c r="R1716" s="121">
        <f t="shared" si="689"/>
        <v>0</v>
      </c>
      <c r="S1716" s="121" t="str">
        <f t="shared" si="690"/>
        <v/>
      </c>
      <c r="T1716" s="121" t="str">
        <f t="shared" si="691"/>
        <v/>
      </c>
      <c r="U1716" s="121">
        <f t="shared" si="692"/>
        <v>1</v>
      </c>
    </row>
    <row r="1717" spans="1:21" x14ac:dyDescent="0.3">
      <c r="A1717" s="187">
        <v>19</v>
      </c>
      <c r="B1717" s="242">
        <f t="shared" si="693"/>
        <v>46204</v>
      </c>
      <c r="C1717" s="243">
        <f t="shared" si="674"/>
        <v>46234</v>
      </c>
      <c r="D1717" s="120">
        <f t="shared" si="675"/>
        <v>31</v>
      </c>
      <c r="E1717" s="120">
        <f t="shared" si="676"/>
        <v>7</v>
      </c>
      <c r="F1717" s="275">
        <f t="shared" si="677"/>
        <v>46219.5</v>
      </c>
      <c r="G1717" s="120">
        <f t="shared" si="678"/>
        <v>24318</v>
      </c>
      <c r="H1717" s="245">
        <f t="shared" si="679"/>
        <v>1</v>
      </c>
      <c r="I1717" s="121">
        <f t="shared" si="680"/>
        <v>1</v>
      </c>
      <c r="J1717" s="121">
        <f t="shared" si="681"/>
        <v>1.02</v>
      </c>
      <c r="K1717" s="120">
        <f t="shared" si="682"/>
        <v>1</v>
      </c>
      <c r="L1717" s="120">
        <f t="shared" si="683"/>
        <v>31</v>
      </c>
      <c r="M1717" s="246">
        <f t="shared" si="684"/>
        <v>1</v>
      </c>
      <c r="N1717" s="121">
        <f t="shared" si="685"/>
        <v>1.02</v>
      </c>
      <c r="O1717" s="246">
        <f t="shared" si="686"/>
        <v>0.90665207877461707</v>
      </c>
      <c r="P1717" s="121">
        <f t="shared" si="687"/>
        <v>0.91666666666666663</v>
      </c>
      <c r="Q1717" s="121">
        <f t="shared" si="688"/>
        <v>8.333333333333337E-2</v>
      </c>
      <c r="R1717" s="121">
        <f t="shared" si="689"/>
        <v>0</v>
      </c>
      <c r="S1717" s="121" t="str">
        <f t="shared" si="690"/>
        <v/>
      </c>
      <c r="T1717" s="121" t="str">
        <f t="shared" si="691"/>
        <v/>
      </c>
      <c r="U1717" s="121">
        <f t="shared" si="692"/>
        <v>1.02</v>
      </c>
    </row>
    <row r="1718" spans="1:21" x14ac:dyDescent="0.3">
      <c r="A1718" s="187">
        <v>20</v>
      </c>
      <c r="B1718" s="242">
        <f t="shared" si="693"/>
        <v>46235</v>
      </c>
      <c r="C1718" s="243">
        <f t="shared" si="674"/>
        <v>46265</v>
      </c>
      <c r="D1718" s="120">
        <f t="shared" si="675"/>
        <v>31</v>
      </c>
      <c r="E1718" s="120">
        <f t="shared" si="676"/>
        <v>8</v>
      </c>
      <c r="F1718" s="275">
        <f t="shared" si="677"/>
        <v>46250.5</v>
      </c>
      <c r="G1718" s="120">
        <f t="shared" si="678"/>
        <v>24319</v>
      </c>
      <c r="H1718" s="245">
        <f t="shared" si="679"/>
        <v>1</v>
      </c>
      <c r="I1718" s="121">
        <f t="shared" si="680"/>
        <v>1.02</v>
      </c>
      <c r="J1718" s="121">
        <f t="shared" si="681"/>
        <v>1.02</v>
      </c>
      <c r="K1718" s="120">
        <f t="shared" si="682"/>
        <v>0</v>
      </c>
      <c r="L1718" s="120">
        <f t="shared" si="683"/>
        <v>0</v>
      </c>
      <c r="M1718" s="246">
        <f t="shared" si="684"/>
        <v>0</v>
      </c>
      <c r="N1718" s="121">
        <f t="shared" si="685"/>
        <v>1.02</v>
      </c>
      <c r="O1718" s="246">
        <f t="shared" si="686"/>
        <v>0.90800875273522974</v>
      </c>
      <c r="P1718" s="121">
        <f t="shared" si="687"/>
        <v>0.75</v>
      </c>
      <c r="Q1718" s="121">
        <f t="shared" si="688"/>
        <v>0.25</v>
      </c>
      <c r="R1718" s="121">
        <f t="shared" si="689"/>
        <v>0</v>
      </c>
      <c r="S1718" s="121" t="str">
        <f t="shared" si="690"/>
        <v/>
      </c>
      <c r="T1718" s="121" t="str">
        <f t="shared" si="691"/>
        <v/>
      </c>
      <c r="U1718" s="121">
        <f t="shared" si="692"/>
        <v>1.02</v>
      </c>
    </row>
    <row r="1719" spans="1:21" x14ac:dyDescent="0.3">
      <c r="A1719" s="187">
        <v>21</v>
      </c>
      <c r="B1719" s="242">
        <f t="shared" si="693"/>
        <v>46266</v>
      </c>
      <c r="C1719" s="243">
        <f t="shared" si="674"/>
        <v>46295</v>
      </c>
      <c r="D1719" s="120">
        <f t="shared" si="675"/>
        <v>30</v>
      </c>
      <c r="E1719" s="120">
        <f t="shared" si="676"/>
        <v>9</v>
      </c>
      <c r="F1719" s="275">
        <f t="shared" si="677"/>
        <v>46281</v>
      </c>
      <c r="G1719" s="120">
        <f t="shared" si="678"/>
        <v>24320</v>
      </c>
      <c r="H1719" s="245">
        <f t="shared" si="679"/>
        <v>1</v>
      </c>
      <c r="I1719" s="121">
        <f t="shared" si="680"/>
        <v>1.02</v>
      </c>
      <c r="J1719" s="121">
        <f t="shared" si="681"/>
        <v>1.02</v>
      </c>
      <c r="K1719" s="120">
        <f t="shared" si="682"/>
        <v>0</v>
      </c>
      <c r="L1719" s="120">
        <f t="shared" si="683"/>
        <v>0</v>
      </c>
      <c r="M1719" s="246">
        <f t="shared" si="684"/>
        <v>0</v>
      </c>
      <c r="N1719" s="121">
        <f t="shared" si="685"/>
        <v>1.02</v>
      </c>
      <c r="O1719" s="246">
        <f t="shared" si="686"/>
        <v>0.90934354485776803</v>
      </c>
      <c r="P1719" s="121">
        <f t="shared" si="687"/>
        <v>0.58333333333333337</v>
      </c>
      <c r="Q1719" s="121">
        <f t="shared" si="688"/>
        <v>0.41666666666666663</v>
      </c>
      <c r="R1719" s="121">
        <f t="shared" si="689"/>
        <v>0</v>
      </c>
      <c r="S1719" s="121" t="str">
        <f t="shared" si="690"/>
        <v/>
      </c>
      <c r="T1719" s="121" t="str">
        <f t="shared" si="691"/>
        <v/>
      </c>
      <c r="U1719" s="121">
        <f t="shared" si="692"/>
        <v>1.02</v>
      </c>
    </row>
    <row r="1720" spans="1:21" x14ac:dyDescent="0.3">
      <c r="A1720" s="187">
        <v>22</v>
      </c>
      <c r="B1720" s="242">
        <f t="shared" si="693"/>
        <v>46296</v>
      </c>
      <c r="C1720" s="243">
        <f t="shared" si="674"/>
        <v>46326</v>
      </c>
      <c r="D1720" s="120">
        <f t="shared" si="675"/>
        <v>31</v>
      </c>
      <c r="E1720" s="120">
        <f t="shared" si="676"/>
        <v>10</v>
      </c>
      <c r="F1720" s="275">
        <f t="shared" si="677"/>
        <v>46311.5</v>
      </c>
      <c r="G1720" s="120">
        <f t="shared" si="678"/>
        <v>24321</v>
      </c>
      <c r="H1720" s="245">
        <f t="shared" si="679"/>
        <v>1</v>
      </c>
      <c r="I1720" s="121">
        <f t="shared" si="680"/>
        <v>1.02</v>
      </c>
      <c r="J1720" s="121">
        <f t="shared" si="681"/>
        <v>1.02</v>
      </c>
      <c r="K1720" s="120">
        <f t="shared" si="682"/>
        <v>0</v>
      </c>
      <c r="L1720" s="120">
        <f t="shared" si="683"/>
        <v>0</v>
      </c>
      <c r="M1720" s="246">
        <f t="shared" si="684"/>
        <v>0</v>
      </c>
      <c r="N1720" s="121">
        <f t="shared" si="685"/>
        <v>1.02</v>
      </c>
      <c r="O1720" s="246">
        <f t="shared" si="686"/>
        <v>0.91067833698030642</v>
      </c>
      <c r="P1720" s="121">
        <f t="shared" si="687"/>
        <v>0.41666666666666669</v>
      </c>
      <c r="Q1720" s="121">
        <f t="shared" si="688"/>
        <v>0.58333333333333326</v>
      </c>
      <c r="R1720" s="121">
        <f t="shared" si="689"/>
        <v>0</v>
      </c>
      <c r="S1720" s="121" t="str">
        <f t="shared" si="690"/>
        <v/>
      </c>
      <c r="T1720" s="121" t="str">
        <f t="shared" si="691"/>
        <v/>
      </c>
      <c r="U1720" s="121">
        <f t="shared" si="692"/>
        <v>1.02</v>
      </c>
    </row>
    <row r="1721" spans="1:21" x14ac:dyDescent="0.3">
      <c r="A1721" s="187">
        <v>23</v>
      </c>
      <c r="B1721" s="242">
        <f t="shared" si="693"/>
        <v>46327</v>
      </c>
      <c r="C1721" s="243">
        <f t="shared" si="674"/>
        <v>46356</v>
      </c>
      <c r="D1721" s="120">
        <f t="shared" si="675"/>
        <v>30</v>
      </c>
      <c r="E1721" s="120">
        <f t="shared" si="676"/>
        <v>11</v>
      </c>
      <c r="F1721" s="275">
        <f t="shared" si="677"/>
        <v>46342</v>
      </c>
      <c r="G1721" s="120">
        <f t="shared" si="678"/>
        <v>24322</v>
      </c>
      <c r="H1721" s="245">
        <f t="shared" si="679"/>
        <v>1</v>
      </c>
      <c r="I1721" s="121">
        <f t="shared" si="680"/>
        <v>1.02</v>
      </c>
      <c r="J1721" s="121">
        <f t="shared" si="681"/>
        <v>1.02</v>
      </c>
      <c r="K1721" s="120">
        <f t="shared" si="682"/>
        <v>0</v>
      </c>
      <c r="L1721" s="120">
        <f t="shared" si="683"/>
        <v>0</v>
      </c>
      <c r="M1721" s="246">
        <f t="shared" si="684"/>
        <v>0</v>
      </c>
      <c r="N1721" s="121">
        <f t="shared" si="685"/>
        <v>1.02</v>
      </c>
      <c r="O1721" s="246">
        <f t="shared" si="686"/>
        <v>0.91201312910284471</v>
      </c>
      <c r="P1721" s="121">
        <f t="shared" si="687"/>
        <v>0.25</v>
      </c>
      <c r="Q1721" s="121">
        <f t="shared" si="688"/>
        <v>0.75</v>
      </c>
      <c r="R1721" s="121">
        <f t="shared" si="689"/>
        <v>0</v>
      </c>
      <c r="S1721" s="121" t="str">
        <f t="shared" si="690"/>
        <v/>
      </c>
      <c r="T1721" s="121" t="str">
        <f t="shared" si="691"/>
        <v/>
      </c>
      <c r="U1721" s="121">
        <f t="shared" si="692"/>
        <v>1.02</v>
      </c>
    </row>
    <row r="1722" spans="1:21" x14ac:dyDescent="0.3">
      <c r="A1722" s="187">
        <v>24</v>
      </c>
      <c r="B1722" s="242">
        <f t="shared" si="693"/>
        <v>46357</v>
      </c>
      <c r="C1722" s="243">
        <f t="shared" si="674"/>
        <v>46387</v>
      </c>
      <c r="D1722" s="120">
        <f t="shared" si="675"/>
        <v>31</v>
      </c>
      <c r="E1722" s="120">
        <f t="shared" si="676"/>
        <v>12</v>
      </c>
      <c r="F1722" s="275">
        <f t="shared" si="677"/>
        <v>46372.5</v>
      </c>
      <c r="G1722" s="120">
        <f t="shared" si="678"/>
        <v>24323</v>
      </c>
      <c r="H1722" s="245">
        <f t="shared" si="679"/>
        <v>1</v>
      </c>
      <c r="I1722" s="121">
        <f t="shared" si="680"/>
        <v>1.02</v>
      </c>
      <c r="J1722" s="121">
        <f t="shared" si="681"/>
        <v>1.02</v>
      </c>
      <c r="K1722" s="120">
        <f t="shared" si="682"/>
        <v>0</v>
      </c>
      <c r="L1722" s="120">
        <f t="shared" si="683"/>
        <v>0</v>
      </c>
      <c r="M1722" s="246">
        <f t="shared" si="684"/>
        <v>0</v>
      </c>
      <c r="N1722" s="121">
        <f t="shared" si="685"/>
        <v>1.02</v>
      </c>
      <c r="O1722" s="246">
        <f t="shared" si="686"/>
        <v>0.913347921225383</v>
      </c>
      <c r="P1722" s="121">
        <f t="shared" si="687"/>
        <v>8.3333333333333329E-2</v>
      </c>
      <c r="Q1722" s="121">
        <f t="shared" si="688"/>
        <v>0.91666666666666663</v>
      </c>
      <c r="R1722" s="121">
        <f t="shared" si="689"/>
        <v>0</v>
      </c>
      <c r="S1722" s="121" t="str">
        <f t="shared" si="690"/>
        <v/>
      </c>
      <c r="T1722" s="121" t="str">
        <f t="shared" si="691"/>
        <v/>
      </c>
      <c r="U1722" s="121">
        <f t="shared" si="692"/>
        <v>1.02</v>
      </c>
    </row>
    <row r="1723" spans="1:21" x14ac:dyDescent="0.3">
      <c r="A1723" s="187">
        <v>25</v>
      </c>
      <c r="B1723" s="242">
        <f t="shared" si="693"/>
        <v>46388</v>
      </c>
      <c r="C1723" s="243">
        <f t="shared" si="674"/>
        <v>46418</v>
      </c>
      <c r="D1723" s="120">
        <f t="shared" si="675"/>
        <v>31</v>
      </c>
      <c r="E1723" s="120">
        <f t="shared" si="676"/>
        <v>1</v>
      </c>
      <c r="F1723" s="275">
        <f t="shared" si="677"/>
        <v>46403.5</v>
      </c>
      <c r="G1723" s="120">
        <f t="shared" si="678"/>
        <v>24324</v>
      </c>
      <c r="H1723" s="245">
        <f t="shared" si="679"/>
        <v>1</v>
      </c>
      <c r="I1723" s="121">
        <f t="shared" si="680"/>
        <v>1.02</v>
      </c>
      <c r="J1723" s="121">
        <f t="shared" si="681"/>
        <v>1.02</v>
      </c>
      <c r="K1723" s="120">
        <f t="shared" si="682"/>
        <v>0</v>
      </c>
      <c r="L1723" s="120">
        <f t="shared" si="683"/>
        <v>0</v>
      </c>
      <c r="M1723" s="246">
        <f t="shared" si="684"/>
        <v>0</v>
      </c>
      <c r="N1723" s="121">
        <f t="shared" si="685"/>
        <v>1.02</v>
      </c>
      <c r="O1723" s="246">
        <f t="shared" si="686"/>
        <v>0.91470459518599567</v>
      </c>
      <c r="P1723" s="121">
        <f t="shared" si="687"/>
        <v>0</v>
      </c>
      <c r="Q1723" s="121">
        <f t="shared" si="688"/>
        <v>1</v>
      </c>
      <c r="R1723" s="121">
        <f t="shared" si="689"/>
        <v>0</v>
      </c>
      <c r="S1723" s="121" t="str">
        <f t="shared" si="690"/>
        <v/>
      </c>
      <c r="T1723" s="121" t="str">
        <f t="shared" si="691"/>
        <v/>
      </c>
      <c r="U1723" s="121">
        <f t="shared" si="692"/>
        <v>1.02</v>
      </c>
    </row>
    <row r="1724" spans="1:21" x14ac:dyDescent="0.3">
      <c r="A1724" s="187">
        <v>26</v>
      </c>
      <c r="B1724" s="242">
        <f t="shared" si="693"/>
        <v>46419</v>
      </c>
      <c r="C1724" s="243">
        <f t="shared" si="674"/>
        <v>46446</v>
      </c>
      <c r="D1724" s="120">
        <f t="shared" si="675"/>
        <v>28</v>
      </c>
      <c r="E1724" s="120">
        <f t="shared" si="676"/>
        <v>2</v>
      </c>
      <c r="F1724" s="275">
        <f t="shared" si="677"/>
        <v>46433</v>
      </c>
      <c r="G1724" s="120">
        <f t="shared" si="678"/>
        <v>24325</v>
      </c>
      <c r="H1724" s="245">
        <f t="shared" si="679"/>
        <v>1</v>
      </c>
      <c r="I1724" s="121">
        <f t="shared" si="680"/>
        <v>1.02</v>
      </c>
      <c r="J1724" s="121">
        <f t="shared" si="681"/>
        <v>1.02</v>
      </c>
      <c r="K1724" s="120">
        <f t="shared" si="682"/>
        <v>0</v>
      </c>
      <c r="L1724" s="120">
        <f t="shared" si="683"/>
        <v>0</v>
      </c>
      <c r="M1724" s="246">
        <f t="shared" si="684"/>
        <v>0</v>
      </c>
      <c r="N1724" s="121">
        <f t="shared" si="685"/>
        <v>1.02</v>
      </c>
      <c r="O1724" s="246">
        <f t="shared" si="686"/>
        <v>0.91599562363238518</v>
      </c>
      <c r="P1724" s="121">
        <f t="shared" si="687"/>
        <v>0</v>
      </c>
      <c r="Q1724" s="121">
        <f t="shared" si="688"/>
        <v>1</v>
      </c>
      <c r="R1724" s="121">
        <f t="shared" si="689"/>
        <v>0</v>
      </c>
      <c r="S1724" s="121" t="str">
        <f t="shared" si="690"/>
        <v/>
      </c>
      <c r="T1724" s="121" t="str">
        <f t="shared" si="691"/>
        <v/>
      </c>
      <c r="U1724" s="121">
        <f t="shared" si="692"/>
        <v>1.02</v>
      </c>
    </row>
    <row r="1725" spans="1:21" x14ac:dyDescent="0.3">
      <c r="A1725" s="187">
        <v>27</v>
      </c>
      <c r="B1725" s="242">
        <f t="shared" si="693"/>
        <v>46447</v>
      </c>
      <c r="C1725" s="243">
        <f t="shared" si="674"/>
        <v>46477</v>
      </c>
      <c r="D1725" s="120">
        <f t="shared" si="675"/>
        <v>31</v>
      </c>
      <c r="E1725" s="120">
        <f t="shared" si="676"/>
        <v>3</v>
      </c>
      <c r="F1725" s="275">
        <f t="shared" si="677"/>
        <v>46462.5</v>
      </c>
      <c r="G1725" s="120">
        <f t="shared" si="678"/>
        <v>24326</v>
      </c>
      <c r="H1725" s="245">
        <f t="shared" si="679"/>
        <v>1</v>
      </c>
      <c r="I1725" s="121">
        <f t="shared" si="680"/>
        <v>1.02</v>
      </c>
      <c r="J1725" s="121">
        <f t="shared" si="681"/>
        <v>1.02</v>
      </c>
      <c r="K1725" s="120">
        <f t="shared" si="682"/>
        <v>0</v>
      </c>
      <c r="L1725" s="120">
        <f t="shared" si="683"/>
        <v>0</v>
      </c>
      <c r="M1725" s="246">
        <f t="shared" si="684"/>
        <v>0</v>
      </c>
      <c r="N1725" s="121">
        <f t="shared" si="685"/>
        <v>1.02</v>
      </c>
      <c r="O1725" s="246">
        <f t="shared" si="686"/>
        <v>0.91728665207877469</v>
      </c>
      <c r="P1725" s="121">
        <f t="shared" si="687"/>
        <v>0</v>
      </c>
      <c r="Q1725" s="121">
        <f t="shared" si="688"/>
        <v>1</v>
      </c>
      <c r="R1725" s="121">
        <f t="shared" si="689"/>
        <v>0</v>
      </c>
      <c r="S1725" s="121" t="str">
        <f t="shared" si="690"/>
        <v/>
      </c>
      <c r="T1725" s="121" t="str">
        <f t="shared" si="691"/>
        <v/>
      </c>
      <c r="U1725" s="121">
        <f t="shared" si="692"/>
        <v>1.02</v>
      </c>
    </row>
    <row r="1726" spans="1:21" x14ac:dyDescent="0.3">
      <c r="A1726" s="187">
        <v>28</v>
      </c>
      <c r="B1726" s="242">
        <f t="shared" si="693"/>
        <v>46478</v>
      </c>
      <c r="C1726" s="243">
        <f t="shared" si="674"/>
        <v>46507</v>
      </c>
      <c r="D1726" s="120">
        <f t="shared" si="675"/>
        <v>30</v>
      </c>
      <c r="E1726" s="120">
        <f t="shared" si="676"/>
        <v>4</v>
      </c>
      <c r="F1726" s="275">
        <f t="shared" si="677"/>
        <v>46493</v>
      </c>
      <c r="G1726" s="120">
        <f t="shared" si="678"/>
        <v>24327</v>
      </c>
      <c r="H1726" s="245">
        <f t="shared" si="679"/>
        <v>1</v>
      </c>
      <c r="I1726" s="121">
        <f t="shared" si="680"/>
        <v>1.02</v>
      </c>
      <c r="J1726" s="121">
        <f t="shared" si="681"/>
        <v>1.02</v>
      </c>
      <c r="K1726" s="120">
        <f t="shared" si="682"/>
        <v>0</v>
      </c>
      <c r="L1726" s="120">
        <f t="shared" si="683"/>
        <v>0</v>
      </c>
      <c r="M1726" s="246">
        <f t="shared" si="684"/>
        <v>0</v>
      </c>
      <c r="N1726" s="121">
        <f t="shared" si="685"/>
        <v>1.02</v>
      </c>
      <c r="O1726" s="246">
        <f t="shared" si="686"/>
        <v>0.91862144420131298</v>
      </c>
      <c r="P1726" s="121">
        <f t="shared" si="687"/>
        <v>0</v>
      </c>
      <c r="Q1726" s="121">
        <f t="shared" si="688"/>
        <v>1</v>
      </c>
      <c r="R1726" s="121">
        <f t="shared" si="689"/>
        <v>0</v>
      </c>
      <c r="S1726" s="121" t="str">
        <f t="shared" si="690"/>
        <v/>
      </c>
      <c r="T1726" s="121" t="str">
        <f t="shared" si="691"/>
        <v/>
      </c>
      <c r="U1726" s="121">
        <f t="shared" si="692"/>
        <v>1.02</v>
      </c>
    </row>
    <row r="1727" spans="1:21" x14ac:dyDescent="0.3">
      <c r="A1727" s="187">
        <v>29</v>
      </c>
      <c r="B1727" s="242">
        <f t="shared" si="693"/>
        <v>46508</v>
      </c>
      <c r="C1727" s="243">
        <f t="shared" si="674"/>
        <v>46538</v>
      </c>
      <c r="D1727" s="120">
        <f t="shared" si="675"/>
        <v>31</v>
      </c>
      <c r="E1727" s="120">
        <f t="shared" si="676"/>
        <v>5</v>
      </c>
      <c r="F1727" s="275">
        <f t="shared" si="677"/>
        <v>46523.5</v>
      </c>
      <c r="G1727" s="120">
        <f t="shared" si="678"/>
        <v>24328</v>
      </c>
      <c r="H1727" s="245">
        <f t="shared" si="679"/>
        <v>1</v>
      </c>
      <c r="I1727" s="121">
        <f t="shared" si="680"/>
        <v>1.02</v>
      </c>
      <c r="J1727" s="121">
        <f t="shared" si="681"/>
        <v>1.02</v>
      </c>
      <c r="K1727" s="120">
        <f t="shared" si="682"/>
        <v>0</v>
      </c>
      <c r="L1727" s="120">
        <f t="shared" si="683"/>
        <v>0</v>
      </c>
      <c r="M1727" s="246">
        <f t="shared" si="684"/>
        <v>0</v>
      </c>
      <c r="N1727" s="121">
        <f t="shared" si="685"/>
        <v>1.02</v>
      </c>
      <c r="O1727" s="246">
        <f t="shared" si="686"/>
        <v>0.91995623632385126</v>
      </c>
      <c r="P1727" s="121">
        <f t="shared" si="687"/>
        <v>0</v>
      </c>
      <c r="Q1727" s="121">
        <f t="shared" si="688"/>
        <v>1</v>
      </c>
      <c r="R1727" s="121">
        <f t="shared" si="689"/>
        <v>0</v>
      </c>
      <c r="S1727" s="121" t="str">
        <f t="shared" si="690"/>
        <v/>
      </c>
      <c r="T1727" s="121" t="str">
        <f t="shared" si="691"/>
        <v/>
      </c>
      <c r="U1727" s="121">
        <f t="shared" si="692"/>
        <v>1.02</v>
      </c>
    </row>
    <row r="1728" spans="1:21" x14ac:dyDescent="0.3">
      <c r="A1728" s="187">
        <v>30</v>
      </c>
      <c r="B1728" s="242">
        <f t="shared" si="693"/>
        <v>46539</v>
      </c>
      <c r="C1728" s="243">
        <f t="shared" si="674"/>
        <v>46568</v>
      </c>
      <c r="D1728" s="120">
        <f t="shared" si="675"/>
        <v>30</v>
      </c>
      <c r="E1728" s="120">
        <f t="shared" si="676"/>
        <v>6</v>
      </c>
      <c r="F1728" s="275">
        <f t="shared" si="677"/>
        <v>46554</v>
      </c>
      <c r="G1728" s="120">
        <f t="shared" si="678"/>
        <v>24329</v>
      </c>
      <c r="H1728" s="245">
        <f t="shared" si="679"/>
        <v>1</v>
      </c>
      <c r="I1728" s="121">
        <f t="shared" si="680"/>
        <v>1.02</v>
      </c>
      <c r="J1728" s="121">
        <f t="shared" si="681"/>
        <v>1.02</v>
      </c>
      <c r="K1728" s="120">
        <f t="shared" si="682"/>
        <v>0</v>
      </c>
      <c r="L1728" s="120">
        <f t="shared" si="683"/>
        <v>0</v>
      </c>
      <c r="M1728" s="246">
        <f t="shared" si="684"/>
        <v>0</v>
      </c>
      <c r="N1728" s="121">
        <f t="shared" si="685"/>
        <v>1.02</v>
      </c>
      <c r="O1728" s="246">
        <f t="shared" si="686"/>
        <v>0.92129102844638955</v>
      </c>
      <c r="P1728" s="121">
        <f t="shared" si="687"/>
        <v>0</v>
      </c>
      <c r="Q1728" s="121">
        <f t="shared" si="688"/>
        <v>1</v>
      </c>
      <c r="R1728" s="121">
        <f t="shared" si="689"/>
        <v>0</v>
      </c>
      <c r="S1728" s="121" t="str">
        <f t="shared" si="690"/>
        <v/>
      </c>
      <c r="T1728" s="121" t="str">
        <f t="shared" si="691"/>
        <v/>
      </c>
      <c r="U1728" s="121">
        <f t="shared" si="692"/>
        <v>1.02</v>
      </c>
    </row>
    <row r="1729" spans="1:21" x14ac:dyDescent="0.3">
      <c r="A1729" s="187">
        <v>31</v>
      </c>
      <c r="B1729" s="242">
        <f t="shared" si="693"/>
        <v>46569</v>
      </c>
      <c r="C1729" s="243">
        <f t="shared" si="674"/>
        <v>46599</v>
      </c>
      <c r="D1729" s="120">
        <f t="shared" si="675"/>
        <v>31</v>
      </c>
      <c r="E1729" s="120">
        <f t="shared" si="676"/>
        <v>7</v>
      </c>
      <c r="F1729" s="275">
        <f t="shared" si="677"/>
        <v>46584.5</v>
      </c>
      <c r="G1729" s="120">
        <f t="shared" si="678"/>
        <v>24330</v>
      </c>
      <c r="H1729" s="245">
        <f t="shared" si="679"/>
        <v>1</v>
      </c>
      <c r="I1729" s="121">
        <f t="shared" si="680"/>
        <v>1.02</v>
      </c>
      <c r="J1729" s="121">
        <f t="shared" si="681"/>
        <v>1.02</v>
      </c>
      <c r="K1729" s="120">
        <f t="shared" si="682"/>
        <v>0</v>
      </c>
      <c r="L1729" s="120">
        <f t="shared" si="683"/>
        <v>0</v>
      </c>
      <c r="M1729" s="246">
        <f t="shared" si="684"/>
        <v>0</v>
      </c>
      <c r="N1729" s="121">
        <f t="shared" si="685"/>
        <v>1.02</v>
      </c>
      <c r="O1729" s="246">
        <f t="shared" si="686"/>
        <v>0.92262582056892783</v>
      </c>
      <c r="P1729" s="121">
        <f t="shared" si="687"/>
        <v>0</v>
      </c>
      <c r="Q1729" s="121">
        <f t="shared" si="688"/>
        <v>0.91666666666666663</v>
      </c>
      <c r="R1729" s="121">
        <f t="shared" si="689"/>
        <v>8.333333333333337E-2</v>
      </c>
      <c r="S1729" s="121" t="str">
        <f t="shared" si="690"/>
        <v/>
      </c>
      <c r="T1729" s="121" t="str">
        <f t="shared" si="691"/>
        <v/>
      </c>
      <c r="U1729" s="121">
        <f t="shared" si="692"/>
        <v>1.02</v>
      </c>
    </row>
    <row r="1730" spans="1:21" x14ac:dyDescent="0.3">
      <c r="A1730" s="187">
        <v>32</v>
      </c>
      <c r="B1730" s="242">
        <f t="shared" si="693"/>
        <v>46600</v>
      </c>
      <c r="C1730" s="243">
        <f t="shared" si="674"/>
        <v>46630</v>
      </c>
      <c r="D1730" s="120">
        <f t="shared" si="675"/>
        <v>31</v>
      </c>
      <c r="E1730" s="120">
        <f t="shared" si="676"/>
        <v>8</v>
      </c>
      <c r="F1730" s="275">
        <f t="shared" si="677"/>
        <v>46615.5</v>
      </c>
      <c r="G1730" s="120">
        <f t="shared" si="678"/>
        <v>24331</v>
      </c>
      <c r="H1730" s="245">
        <f t="shared" si="679"/>
        <v>1</v>
      </c>
      <c r="I1730" s="121">
        <f t="shared" si="680"/>
        <v>1.02</v>
      </c>
      <c r="J1730" s="121">
        <f t="shared" si="681"/>
        <v>1.02</v>
      </c>
      <c r="K1730" s="120">
        <f t="shared" si="682"/>
        <v>0</v>
      </c>
      <c r="L1730" s="120">
        <f t="shared" si="683"/>
        <v>0</v>
      </c>
      <c r="M1730" s="246">
        <f t="shared" si="684"/>
        <v>0</v>
      </c>
      <c r="N1730" s="121">
        <f t="shared" si="685"/>
        <v>1.02</v>
      </c>
      <c r="O1730" s="246">
        <f t="shared" si="686"/>
        <v>0.92398249452954051</v>
      </c>
      <c r="P1730" s="121">
        <f t="shared" si="687"/>
        <v>0</v>
      </c>
      <c r="Q1730" s="121">
        <f t="shared" si="688"/>
        <v>0.75</v>
      </c>
      <c r="R1730" s="121">
        <f t="shared" si="689"/>
        <v>0.25</v>
      </c>
      <c r="S1730" s="121" t="str">
        <f t="shared" si="690"/>
        <v/>
      </c>
      <c r="T1730" s="121" t="str">
        <f t="shared" si="691"/>
        <v/>
      </c>
      <c r="U1730" s="121">
        <f t="shared" si="692"/>
        <v>1.02</v>
      </c>
    </row>
    <row r="1731" spans="1:21" x14ac:dyDescent="0.3">
      <c r="A1731" s="187">
        <v>33</v>
      </c>
      <c r="B1731" s="242">
        <f t="shared" si="693"/>
        <v>46631</v>
      </c>
      <c r="C1731" s="243">
        <f t="shared" si="674"/>
        <v>46660</v>
      </c>
      <c r="D1731" s="120">
        <f t="shared" si="675"/>
        <v>30</v>
      </c>
      <c r="E1731" s="120">
        <f t="shared" si="676"/>
        <v>9</v>
      </c>
      <c r="F1731" s="275">
        <f t="shared" si="677"/>
        <v>46646</v>
      </c>
      <c r="G1731" s="120">
        <f t="shared" si="678"/>
        <v>24332</v>
      </c>
      <c r="H1731" s="245">
        <f t="shared" si="679"/>
        <v>1</v>
      </c>
      <c r="I1731" s="121">
        <f t="shared" si="680"/>
        <v>1.02</v>
      </c>
      <c r="J1731" s="121">
        <f t="shared" si="681"/>
        <v>1.02</v>
      </c>
      <c r="K1731" s="120">
        <f t="shared" si="682"/>
        <v>0</v>
      </c>
      <c r="L1731" s="120">
        <f t="shared" si="683"/>
        <v>0</v>
      </c>
      <c r="M1731" s="246">
        <f t="shared" si="684"/>
        <v>0</v>
      </c>
      <c r="N1731" s="121">
        <f t="shared" si="685"/>
        <v>1.02</v>
      </c>
      <c r="O1731" s="246">
        <f t="shared" si="686"/>
        <v>0.9253172866520788</v>
      </c>
      <c r="P1731" s="121">
        <f t="shared" si="687"/>
        <v>0</v>
      </c>
      <c r="Q1731" s="121">
        <f t="shared" si="688"/>
        <v>0.58333333333333337</v>
      </c>
      <c r="R1731" s="121">
        <f t="shared" si="689"/>
        <v>0.41666666666666663</v>
      </c>
      <c r="S1731" s="121" t="str">
        <f t="shared" si="690"/>
        <v/>
      </c>
      <c r="T1731" s="121" t="str">
        <f t="shared" si="691"/>
        <v/>
      </c>
      <c r="U1731" s="121">
        <f t="shared" si="692"/>
        <v>1.02</v>
      </c>
    </row>
    <row r="1732" spans="1:21" x14ac:dyDescent="0.3">
      <c r="A1732" s="187">
        <v>34</v>
      </c>
      <c r="B1732" s="242">
        <f t="shared" si="693"/>
        <v>46661</v>
      </c>
      <c r="C1732" s="243">
        <f t="shared" si="674"/>
        <v>46691</v>
      </c>
      <c r="D1732" s="120">
        <f t="shared" si="675"/>
        <v>31</v>
      </c>
      <c r="E1732" s="120">
        <f t="shared" si="676"/>
        <v>10</v>
      </c>
      <c r="F1732" s="275">
        <f t="shared" si="677"/>
        <v>46676.5</v>
      </c>
      <c r="G1732" s="120">
        <f t="shared" si="678"/>
        <v>24333</v>
      </c>
      <c r="H1732" s="245">
        <f t="shared" si="679"/>
        <v>1</v>
      </c>
      <c r="I1732" s="121">
        <f t="shared" si="680"/>
        <v>1.02</v>
      </c>
      <c r="J1732" s="121">
        <f t="shared" si="681"/>
        <v>1.02</v>
      </c>
      <c r="K1732" s="120">
        <f t="shared" si="682"/>
        <v>0</v>
      </c>
      <c r="L1732" s="120">
        <f t="shared" si="683"/>
        <v>0</v>
      </c>
      <c r="M1732" s="246">
        <f t="shared" si="684"/>
        <v>0</v>
      </c>
      <c r="N1732" s="121">
        <f t="shared" si="685"/>
        <v>1.02</v>
      </c>
      <c r="O1732" s="246">
        <f t="shared" si="686"/>
        <v>0.92665207877461708</v>
      </c>
      <c r="P1732" s="121">
        <f t="shared" si="687"/>
        <v>0</v>
      </c>
      <c r="Q1732" s="121">
        <f t="shared" si="688"/>
        <v>0.41666666666666669</v>
      </c>
      <c r="R1732" s="121">
        <f t="shared" si="689"/>
        <v>0.58333333333333326</v>
      </c>
      <c r="S1732" s="121" t="str">
        <f t="shared" si="690"/>
        <v/>
      </c>
      <c r="T1732" s="121" t="str">
        <f t="shared" si="691"/>
        <v/>
      </c>
      <c r="U1732" s="121">
        <f t="shared" si="692"/>
        <v>1.02</v>
      </c>
    </row>
    <row r="1733" spans="1:21" x14ac:dyDescent="0.3">
      <c r="A1733" s="187">
        <v>35</v>
      </c>
      <c r="B1733" s="242">
        <f t="shared" si="693"/>
        <v>46692</v>
      </c>
      <c r="C1733" s="243">
        <f t="shared" si="674"/>
        <v>46721</v>
      </c>
      <c r="D1733" s="120">
        <f t="shared" si="675"/>
        <v>30</v>
      </c>
      <c r="E1733" s="120">
        <f t="shared" si="676"/>
        <v>11</v>
      </c>
      <c r="F1733" s="275">
        <f t="shared" si="677"/>
        <v>46707</v>
      </c>
      <c r="G1733" s="120">
        <f t="shared" si="678"/>
        <v>24334</v>
      </c>
      <c r="H1733" s="245">
        <f t="shared" si="679"/>
        <v>1</v>
      </c>
      <c r="I1733" s="121">
        <f t="shared" si="680"/>
        <v>1.02</v>
      </c>
      <c r="J1733" s="121">
        <f t="shared" si="681"/>
        <v>1.02</v>
      </c>
      <c r="K1733" s="120">
        <f t="shared" si="682"/>
        <v>0</v>
      </c>
      <c r="L1733" s="120">
        <f t="shared" si="683"/>
        <v>0</v>
      </c>
      <c r="M1733" s="246">
        <f t="shared" si="684"/>
        <v>0</v>
      </c>
      <c r="N1733" s="121">
        <f t="shared" si="685"/>
        <v>1.02</v>
      </c>
      <c r="O1733" s="246">
        <f t="shared" si="686"/>
        <v>0.92798687089715537</v>
      </c>
      <c r="P1733" s="121">
        <f t="shared" si="687"/>
        <v>0</v>
      </c>
      <c r="Q1733" s="121">
        <f t="shared" si="688"/>
        <v>0.25</v>
      </c>
      <c r="R1733" s="121">
        <f t="shared" si="689"/>
        <v>0.75</v>
      </c>
      <c r="S1733" s="121" t="str">
        <f t="shared" si="690"/>
        <v/>
      </c>
      <c r="T1733" s="121" t="str">
        <f t="shared" si="691"/>
        <v/>
      </c>
      <c r="U1733" s="121">
        <f t="shared" si="692"/>
        <v>1.02</v>
      </c>
    </row>
    <row r="1734" spans="1:21" x14ac:dyDescent="0.3">
      <c r="A1734" s="187">
        <v>36</v>
      </c>
      <c r="B1734" s="242">
        <f t="shared" si="693"/>
        <v>46722</v>
      </c>
      <c r="C1734" s="243">
        <f t="shared" si="674"/>
        <v>46752</v>
      </c>
      <c r="D1734" s="120">
        <f t="shared" si="675"/>
        <v>31</v>
      </c>
      <c r="E1734" s="120">
        <f t="shared" si="676"/>
        <v>12</v>
      </c>
      <c r="F1734" s="275">
        <f t="shared" si="677"/>
        <v>46737.5</v>
      </c>
      <c r="G1734" s="120">
        <f t="shared" si="678"/>
        <v>24335</v>
      </c>
      <c r="H1734" s="245">
        <f t="shared" si="679"/>
        <v>1</v>
      </c>
      <c r="I1734" s="121">
        <f t="shared" si="680"/>
        <v>1.02</v>
      </c>
      <c r="J1734" s="121">
        <f t="shared" si="681"/>
        <v>1.02</v>
      </c>
      <c r="K1734" s="120">
        <f t="shared" si="682"/>
        <v>0</v>
      </c>
      <c r="L1734" s="120">
        <f t="shared" si="683"/>
        <v>0</v>
      </c>
      <c r="M1734" s="246">
        <f t="shared" si="684"/>
        <v>0</v>
      </c>
      <c r="N1734" s="121">
        <f t="shared" si="685"/>
        <v>1.02</v>
      </c>
      <c r="O1734" s="246">
        <f t="shared" si="686"/>
        <v>0.92932166301969366</v>
      </c>
      <c r="P1734" s="121">
        <f t="shared" si="687"/>
        <v>0</v>
      </c>
      <c r="Q1734" s="121">
        <f t="shared" si="688"/>
        <v>8.3333333333333329E-2</v>
      </c>
      <c r="R1734" s="121">
        <f t="shared" si="689"/>
        <v>0.91666666666666663</v>
      </c>
      <c r="S1734" s="121" t="str">
        <f t="shared" si="690"/>
        <v/>
      </c>
      <c r="T1734" s="121" t="str">
        <f t="shared" si="691"/>
        <v/>
      </c>
      <c r="U1734" s="121">
        <f t="shared" si="692"/>
        <v>1.02</v>
      </c>
    </row>
    <row r="1735" spans="1:21" x14ac:dyDescent="0.3">
      <c r="A1735" s="187">
        <v>37</v>
      </c>
      <c r="B1735" s="242">
        <f t="shared" si="693"/>
        <v>46753</v>
      </c>
      <c r="C1735" s="243">
        <f t="shared" si="674"/>
        <v>46783</v>
      </c>
      <c r="D1735" s="120">
        <f t="shared" si="675"/>
        <v>31</v>
      </c>
      <c r="E1735" s="120">
        <f t="shared" si="676"/>
        <v>1</v>
      </c>
      <c r="F1735" s="275">
        <f t="shared" si="677"/>
        <v>46768.5</v>
      </c>
      <c r="G1735" s="120">
        <f t="shared" si="678"/>
        <v>24336</v>
      </c>
      <c r="H1735" s="245">
        <f t="shared" si="679"/>
        <v>1</v>
      </c>
      <c r="I1735" s="121">
        <f t="shared" si="680"/>
        <v>1.02</v>
      </c>
      <c r="J1735" s="121">
        <f t="shared" si="681"/>
        <v>1.02</v>
      </c>
      <c r="K1735" s="120">
        <f t="shared" si="682"/>
        <v>0</v>
      </c>
      <c r="L1735" s="120">
        <f t="shared" si="683"/>
        <v>0</v>
      </c>
      <c r="M1735" s="246">
        <f t="shared" si="684"/>
        <v>0</v>
      </c>
      <c r="N1735" s="121">
        <f t="shared" si="685"/>
        <v>1.02</v>
      </c>
      <c r="O1735" s="246">
        <f t="shared" si="686"/>
        <v>0.93</v>
      </c>
      <c r="P1735" s="121">
        <f t="shared" si="687"/>
        <v>0</v>
      </c>
      <c r="Q1735" s="121">
        <f t="shared" si="688"/>
        <v>0</v>
      </c>
      <c r="R1735" s="121">
        <f t="shared" si="689"/>
        <v>1</v>
      </c>
      <c r="S1735" s="121" t="str">
        <f t="shared" si="690"/>
        <v/>
      </c>
      <c r="T1735" s="121" t="str">
        <f t="shared" si="691"/>
        <v/>
      </c>
      <c r="U1735" s="121">
        <f t="shared" si="692"/>
        <v>1.02</v>
      </c>
    </row>
    <row r="1736" spans="1:21" x14ac:dyDescent="0.3">
      <c r="A1736" s="187">
        <v>38</v>
      </c>
      <c r="B1736" s="242">
        <f t="shared" si="693"/>
        <v>46784</v>
      </c>
      <c r="C1736" s="243">
        <f t="shared" si="674"/>
        <v>46812</v>
      </c>
      <c r="D1736" s="120">
        <f t="shared" si="675"/>
        <v>29</v>
      </c>
      <c r="E1736" s="120">
        <f t="shared" si="676"/>
        <v>2</v>
      </c>
      <c r="F1736" s="275">
        <f t="shared" si="677"/>
        <v>46798.5</v>
      </c>
      <c r="G1736" s="120">
        <f t="shared" si="678"/>
        <v>24337</v>
      </c>
      <c r="H1736" s="245">
        <f t="shared" si="679"/>
        <v>1</v>
      </c>
      <c r="I1736" s="121">
        <f t="shared" si="680"/>
        <v>1.02</v>
      </c>
      <c r="J1736" s="121">
        <f t="shared" si="681"/>
        <v>1.02</v>
      </c>
      <c r="K1736" s="120">
        <f t="shared" si="682"/>
        <v>0</v>
      </c>
      <c r="L1736" s="120">
        <f t="shared" si="683"/>
        <v>0</v>
      </c>
      <c r="M1736" s="246">
        <f t="shared" si="684"/>
        <v>0</v>
      </c>
      <c r="N1736" s="121">
        <f t="shared" si="685"/>
        <v>1.02</v>
      </c>
      <c r="O1736" s="246">
        <f t="shared" si="686"/>
        <v>0.93</v>
      </c>
      <c r="P1736" s="121">
        <f t="shared" si="687"/>
        <v>0</v>
      </c>
      <c r="Q1736" s="121">
        <f t="shared" si="688"/>
        <v>0</v>
      </c>
      <c r="R1736" s="121">
        <f t="shared" si="689"/>
        <v>1</v>
      </c>
      <c r="S1736" s="121" t="str">
        <f t="shared" si="690"/>
        <v/>
      </c>
      <c r="T1736" s="121" t="str">
        <f t="shared" si="691"/>
        <v/>
      </c>
      <c r="U1736" s="121">
        <f t="shared" si="692"/>
        <v>1.02</v>
      </c>
    </row>
    <row r="1737" spans="1:21" x14ac:dyDescent="0.3">
      <c r="A1737" s="187">
        <v>39</v>
      </c>
      <c r="B1737" s="242">
        <f t="shared" si="693"/>
        <v>46813</v>
      </c>
      <c r="C1737" s="243">
        <f t="shared" si="674"/>
        <v>46843</v>
      </c>
      <c r="D1737" s="120">
        <f t="shared" si="675"/>
        <v>31</v>
      </c>
      <c r="E1737" s="120">
        <f t="shared" si="676"/>
        <v>3</v>
      </c>
      <c r="F1737" s="275">
        <f t="shared" si="677"/>
        <v>46828.5</v>
      </c>
      <c r="G1737" s="120">
        <f t="shared" si="678"/>
        <v>24338</v>
      </c>
      <c r="H1737" s="245">
        <f t="shared" si="679"/>
        <v>1</v>
      </c>
      <c r="I1737" s="121">
        <f t="shared" si="680"/>
        <v>1.02</v>
      </c>
      <c r="J1737" s="121">
        <f t="shared" si="681"/>
        <v>1.02</v>
      </c>
      <c r="K1737" s="120">
        <f t="shared" si="682"/>
        <v>0</v>
      </c>
      <c r="L1737" s="120">
        <f t="shared" si="683"/>
        <v>0</v>
      </c>
      <c r="M1737" s="246">
        <f t="shared" si="684"/>
        <v>0</v>
      </c>
      <c r="N1737" s="121">
        <f t="shared" si="685"/>
        <v>1.02</v>
      </c>
      <c r="O1737" s="246">
        <f t="shared" si="686"/>
        <v>0.93</v>
      </c>
      <c r="P1737" s="121">
        <f t="shared" si="687"/>
        <v>0</v>
      </c>
      <c r="Q1737" s="121">
        <f t="shared" si="688"/>
        <v>0</v>
      </c>
      <c r="R1737" s="121">
        <f t="shared" si="689"/>
        <v>1</v>
      </c>
      <c r="S1737" s="121" t="str">
        <f t="shared" si="690"/>
        <v/>
      </c>
      <c r="T1737" s="121" t="str">
        <f t="shared" si="691"/>
        <v/>
      </c>
      <c r="U1737" s="121">
        <f t="shared" si="692"/>
        <v>1.02</v>
      </c>
    </row>
    <row r="1738" spans="1:21" x14ac:dyDescent="0.3">
      <c r="A1738" s="187">
        <v>40</v>
      </c>
      <c r="B1738" s="242">
        <f t="shared" si="693"/>
        <v>46844</v>
      </c>
      <c r="C1738" s="243">
        <f t="shared" si="674"/>
        <v>46873</v>
      </c>
      <c r="D1738" s="120">
        <f t="shared" si="675"/>
        <v>30</v>
      </c>
      <c r="E1738" s="120">
        <f t="shared" si="676"/>
        <v>4</v>
      </c>
      <c r="F1738" s="275">
        <f t="shared" si="677"/>
        <v>46859</v>
      </c>
      <c r="G1738" s="120">
        <f t="shared" si="678"/>
        <v>24339</v>
      </c>
      <c r="H1738" s="245">
        <f t="shared" si="679"/>
        <v>1</v>
      </c>
      <c r="I1738" s="121">
        <f t="shared" si="680"/>
        <v>1.02</v>
      </c>
      <c r="J1738" s="121">
        <f t="shared" si="681"/>
        <v>1.02</v>
      </c>
      <c r="K1738" s="120">
        <f t="shared" si="682"/>
        <v>0</v>
      </c>
      <c r="L1738" s="120">
        <f t="shared" si="683"/>
        <v>0</v>
      </c>
      <c r="M1738" s="246">
        <f t="shared" si="684"/>
        <v>0</v>
      </c>
      <c r="N1738" s="121">
        <f t="shared" si="685"/>
        <v>1.02</v>
      </c>
      <c r="O1738" s="246">
        <f t="shared" si="686"/>
        <v>0.93</v>
      </c>
      <c r="P1738" s="121">
        <f t="shared" si="687"/>
        <v>0</v>
      </c>
      <c r="Q1738" s="121">
        <f t="shared" si="688"/>
        <v>0</v>
      </c>
      <c r="R1738" s="121">
        <f t="shared" si="689"/>
        <v>1</v>
      </c>
      <c r="S1738" s="121" t="str">
        <f t="shared" si="690"/>
        <v/>
      </c>
      <c r="T1738" s="121" t="str">
        <f t="shared" si="691"/>
        <v/>
      </c>
      <c r="U1738" s="121">
        <f t="shared" si="692"/>
        <v>1.02</v>
      </c>
    </row>
    <row r="1739" spans="1:21" x14ac:dyDescent="0.3">
      <c r="A1739" s="187">
        <v>41</v>
      </c>
      <c r="B1739" s="242">
        <f t="shared" si="693"/>
        <v>46874</v>
      </c>
      <c r="C1739" s="243">
        <f t="shared" si="674"/>
        <v>46904</v>
      </c>
      <c r="D1739" s="120">
        <f t="shared" si="675"/>
        <v>31</v>
      </c>
      <c r="E1739" s="120">
        <f t="shared" si="676"/>
        <v>5</v>
      </c>
      <c r="F1739" s="275">
        <f t="shared" si="677"/>
        <v>46889.5</v>
      </c>
      <c r="G1739" s="120">
        <f t="shared" si="678"/>
        <v>24340</v>
      </c>
      <c r="H1739" s="245">
        <f t="shared" si="679"/>
        <v>1</v>
      </c>
      <c r="I1739" s="121">
        <f t="shared" si="680"/>
        <v>1.02</v>
      </c>
      <c r="J1739" s="121">
        <f t="shared" si="681"/>
        <v>1.02</v>
      </c>
      <c r="K1739" s="120">
        <f t="shared" si="682"/>
        <v>0</v>
      </c>
      <c r="L1739" s="120">
        <f t="shared" si="683"/>
        <v>0</v>
      </c>
      <c r="M1739" s="246">
        <f t="shared" si="684"/>
        <v>0</v>
      </c>
      <c r="N1739" s="121">
        <f t="shared" si="685"/>
        <v>1.02</v>
      </c>
      <c r="O1739" s="246">
        <f t="shared" si="686"/>
        <v>0.93</v>
      </c>
      <c r="P1739" s="121">
        <f t="shared" si="687"/>
        <v>0</v>
      </c>
      <c r="Q1739" s="121">
        <f t="shared" si="688"/>
        <v>0</v>
      </c>
      <c r="R1739" s="121">
        <f t="shared" si="689"/>
        <v>1</v>
      </c>
      <c r="S1739" s="121" t="str">
        <f t="shared" si="690"/>
        <v/>
      </c>
      <c r="T1739" s="121" t="str">
        <f t="shared" si="691"/>
        <v/>
      </c>
      <c r="U1739" s="121">
        <f t="shared" si="692"/>
        <v>1.02</v>
      </c>
    </row>
    <row r="1740" spans="1:21" x14ac:dyDescent="0.3">
      <c r="A1740" s="187">
        <v>42</v>
      </c>
      <c r="B1740" s="242">
        <f t="shared" si="693"/>
        <v>46905</v>
      </c>
      <c r="C1740" s="243">
        <f t="shared" si="674"/>
        <v>46934</v>
      </c>
      <c r="D1740" s="120">
        <f t="shared" si="675"/>
        <v>30</v>
      </c>
      <c r="E1740" s="120">
        <f t="shared" si="676"/>
        <v>6</v>
      </c>
      <c r="F1740" s="275">
        <f t="shared" si="677"/>
        <v>46920</v>
      </c>
      <c r="G1740" s="120">
        <f t="shared" si="678"/>
        <v>24341</v>
      </c>
      <c r="H1740" s="245">
        <f t="shared" si="679"/>
        <v>1</v>
      </c>
      <c r="I1740" s="121">
        <f t="shared" si="680"/>
        <v>1.02</v>
      </c>
      <c r="J1740" s="121">
        <f t="shared" si="681"/>
        <v>1.02</v>
      </c>
      <c r="K1740" s="120">
        <f t="shared" si="682"/>
        <v>0</v>
      </c>
      <c r="L1740" s="120">
        <f t="shared" si="683"/>
        <v>0</v>
      </c>
      <c r="M1740" s="246">
        <f t="shared" si="684"/>
        <v>0</v>
      </c>
      <c r="N1740" s="121">
        <f t="shared" si="685"/>
        <v>1.02</v>
      </c>
      <c r="O1740" s="246">
        <f t="shared" si="686"/>
        <v>0.93</v>
      </c>
      <c r="P1740" s="121">
        <f t="shared" si="687"/>
        <v>0</v>
      </c>
      <c r="Q1740" s="121">
        <f t="shared" si="688"/>
        <v>0</v>
      </c>
      <c r="R1740" s="121">
        <f t="shared" si="689"/>
        <v>1</v>
      </c>
      <c r="S1740" s="121" t="str">
        <f t="shared" si="690"/>
        <v/>
      </c>
      <c r="T1740" s="121" t="str">
        <f t="shared" si="691"/>
        <v/>
      </c>
      <c r="U1740" s="121">
        <f t="shared" si="692"/>
        <v>1.02</v>
      </c>
    </row>
    <row r="1741" spans="1:21" x14ac:dyDescent="0.3">
      <c r="A1741" s="187">
        <v>43</v>
      </c>
      <c r="B1741" s="242">
        <f t="shared" si="693"/>
        <v>46935</v>
      </c>
      <c r="C1741" s="243">
        <f t="shared" si="674"/>
        <v>46965</v>
      </c>
      <c r="D1741" s="120">
        <f t="shared" si="675"/>
        <v>31</v>
      </c>
      <c r="E1741" s="120">
        <f t="shared" si="676"/>
        <v>7</v>
      </c>
      <c r="F1741" s="275">
        <f t="shared" si="677"/>
        <v>46950.5</v>
      </c>
      <c r="G1741" s="120">
        <f t="shared" si="678"/>
        <v>24342</v>
      </c>
      <c r="H1741" s="245">
        <f t="shared" si="679"/>
        <v>1</v>
      </c>
      <c r="I1741" s="121">
        <f t="shared" si="680"/>
        <v>1.02</v>
      </c>
      <c r="J1741" s="121">
        <f t="shared" si="681"/>
        <v>1.02</v>
      </c>
      <c r="K1741" s="120">
        <f t="shared" si="682"/>
        <v>0</v>
      </c>
      <c r="L1741" s="120">
        <f t="shared" si="683"/>
        <v>0</v>
      </c>
      <c r="M1741" s="246">
        <f t="shared" si="684"/>
        <v>0</v>
      </c>
      <c r="N1741" s="121">
        <f t="shared" si="685"/>
        <v>1.02</v>
      </c>
      <c r="O1741" s="246">
        <f t="shared" si="686"/>
        <v>0.93</v>
      </c>
      <c r="P1741" s="121">
        <f t="shared" si="687"/>
        <v>0</v>
      </c>
      <c r="Q1741" s="121">
        <f t="shared" si="688"/>
        <v>0</v>
      </c>
      <c r="R1741" s="121">
        <f t="shared" si="689"/>
        <v>0.91666666666666663</v>
      </c>
      <c r="S1741" s="121" t="str">
        <f t="shared" si="690"/>
        <v/>
      </c>
      <c r="T1741" s="121" t="str">
        <f t="shared" si="691"/>
        <v/>
      </c>
      <c r="U1741" s="121">
        <f t="shared" si="692"/>
        <v>1.02</v>
      </c>
    </row>
    <row r="1742" spans="1:21" x14ac:dyDescent="0.3">
      <c r="A1742" s="187">
        <v>44</v>
      </c>
      <c r="B1742" s="242">
        <f t="shared" si="693"/>
        <v>46966</v>
      </c>
      <c r="C1742" s="243">
        <f t="shared" si="674"/>
        <v>46996</v>
      </c>
      <c r="D1742" s="120">
        <f t="shared" si="675"/>
        <v>31</v>
      </c>
      <c r="E1742" s="120">
        <f t="shared" si="676"/>
        <v>8</v>
      </c>
      <c r="F1742" s="275">
        <f t="shared" si="677"/>
        <v>46981.5</v>
      </c>
      <c r="G1742" s="120">
        <f t="shared" si="678"/>
        <v>24343</v>
      </c>
      <c r="H1742" s="245">
        <f t="shared" si="679"/>
        <v>1</v>
      </c>
      <c r="I1742" s="121">
        <f t="shared" si="680"/>
        <v>1.02</v>
      </c>
      <c r="J1742" s="121">
        <f t="shared" si="681"/>
        <v>1.02</v>
      </c>
      <c r="K1742" s="120">
        <f t="shared" si="682"/>
        <v>0</v>
      </c>
      <c r="L1742" s="120">
        <f t="shared" si="683"/>
        <v>0</v>
      </c>
      <c r="M1742" s="246">
        <f t="shared" si="684"/>
        <v>0</v>
      </c>
      <c r="N1742" s="121">
        <f t="shared" si="685"/>
        <v>1.02</v>
      </c>
      <c r="O1742" s="246">
        <f t="shared" si="686"/>
        <v>0.93</v>
      </c>
      <c r="P1742" s="121">
        <f t="shared" si="687"/>
        <v>0</v>
      </c>
      <c r="Q1742" s="121">
        <f t="shared" si="688"/>
        <v>0</v>
      </c>
      <c r="R1742" s="121">
        <f t="shared" si="689"/>
        <v>0.75</v>
      </c>
      <c r="S1742" s="121" t="str">
        <f t="shared" si="690"/>
        <v/>
      </c>
      <c r="T1742" s="121" t="str">
        <f t="shared" si="691"/>
        <v/>
      </c>
      <c r="U1742" s="121">
        <f t="shared" si="692"/>
        <v>1.02</v>
      </c>
    </row>
    <row r="1743" spans="1:21" x14ac:dyDescent="0.3">
      <c r="A1743" s="187">
        <v>45</v>
      </c>
      <c r="B1743" s="242">
        <f t="shared" si="693"/>
        <v>46997</v>
      </c>
      <c r="C1743" s="243">
        <f t="shared" si="674"/>
        <v>47026</v>
      </c>
      <c r="D1743" s="120">
        <f t="shared" si="675"/>
        <v>30</v>
      </c>
      <c r="E1743" s="120">
        <f t="shared" si="676"/>
        <v>9</v>
      </c>
      <c r="F1743" s="275">
        <f t="shared" si="677"/>
        <v>47012</v>
      </c>
      <c r="G1743" s="120">
        <f t="shared" si="678"/>
        <v>24344</v>
      </c>
      <c r="H1743" s="245">
        <f t="shared" si="679"/>
        <v>1</v>
      </c>
      <c r="I1743" s="121">
        <f t="shared" si="680"/>
        <v>1.02</v>
      </c>
      <c r="J1743" s="121">
        <f t="shared" si="681"/>
        <v>1.02</v>
      </c>
      <c r="K1743" s="120">
        <f t="shared" si="682"/>
        <v>0</v>
      </c>
      <c r="L1743" s="120">
        <f t="shared" si="683"/>
        <v>0</v>
      </c>
      <c r="M1743" s="246">
        <f t="shared" si="684"/>
        <v>0</v>
      </c>
      <c r="N1743" s="121">
        <f t="shared" si="685"/>
        <v>1.02</v>
      </c>
      <c r="O1743" s="246">
        <f t="shared" si="686"/>
        <v>0.93</v>
      </c>
      <c r="P1743" s="121">
        <f t="shared" si="687"/>
        <v>0</v>
      </c>
      <c r="Q1743" s="121">
        <f t="shared" si="688"/>
        <v>0</v>
      </c>
      <c r="R1743" s="121">
        <f t="shared" si="689"/>
        <v>0.58333333333333337</v>
      </c>
      <c r="S1743" s="121" t="str">
        <f t="shared" si="690"/>
        <v/>
      </c>
      <c r="T1743" s="121" t="str">
        <f t="shared" si="691"/>
        <v/>
      </c>
      <c r="U1743" s="121">
        <f t="shared" si="692"/>
        <v>1.02</v>
      </c>
    </row>
    <row r="1744" spans="1:21" x14ac:dyDescent="0.3">
      <c r="A1744" s="187">
        <v>46</v>
      </c>
      <c r="B1744" s="242">
        <f t="shared" si="693"/>
        <v>47027</v>
      </c>
      <c r="C1744" s="243">
        <f t="shared" si="674"/>
        <v>47057</v>
      </c>
      <c r="D1744" s="120">
        <f t="shared" si="675"/>
        <v>31</v>
      </c>
      <c r="E1744" s="120">
        <f t="shared" si="676"/>
        <v>10</v>
      </c>
      <c r="F1744" s="275">
        <f t="shared" si="677"/>
        <v>47042.5</v>
      </c>
      <c r="G1744" s="120">
        <f t="shared" si="678"/>
        <v>24345</v>
      </c>
      <c r="H1744" s="245">
        <f t="shared" si="679"/>
        <v>1</v>
      </c>
      <c r="I1744" s="121">
        <f t="shared" si="680"/>
        <v>1.02</v>
      </c>
      <c r="J1744" s="121">
        <f t="shared" si="681"/>
        <v>1.02</v>
      </c>
      <c r="K1744" s="120">
        <f t="shared" si="682"/>
        <v>0</v>
      </c>
      <c r="L1744" s="120">
        <f t="shared" si="683"/>
        <v>0</v>
      </c>
      <c r="M1744" s="246">
        <f t="shared" si="684"/>
        <v>0</v>
      </c>
      <c r="N1744" s="121">
        <f t="shared" si="685"/>
        <v>1.02</v>
      </c>
      <c r="O1744" s="246">
        <f t="shared" si="686"/>
        <v>0.93</v>
      </c>
      <c r="P1744" s="121">
        <f t="shared" si="687"/>
        <v>0</v>
      </c>
      <c r="Q1744" s="121">
        <f t="shared" si="688"/>
        <v>0</v>
      </c>
      <c r="R1744" s="121">
        <f t="shared" si="689"/>
        <v>0.41666666666666669</v>
      </c>
      <c r="S1744" s="121" t="str">
        <f t="shared" si="690"/>
        <v/>
      </c>
      <c r="T1744" s="121" t="str">
        <f t="shared" si="691"/>
        <v/>
      </c>
      <c r="U1744" s="121">
        <f t="shared" si="692"/>
        <v>1.02</v>
      </c>
    </row>
    <row r="1745" spans="1:21" x14ac:dyDescent="0.3">
      <c r="A1745" s="187">
        <v>47</v>
      </c>
      <c r="B1745" s="242">
        <f t="shared" si="693"/>
        <v>47058</v>
      </c>
      <c r="C1745" s="243">
        <f t="shared" si="674"/>
        <v>47087</v>
      </c>
      <c r="D1745" s="120">
        <f t="shared" si="675"/>
        <v>30</v>
      </c>
      <c r="E1745" s="120">
        <f t="shared" si="676"/>
        <v>11</v>
      </c>
      <c r="F1745" s="275">
        <f t="shared" si="677"/>
        <v>47073</v>
      </c>
      <c r="G1745" s="120">
        <f t="shared" si="678"/>
        <v>24346</v>
      </c>
      <c r="H1745" s="245">
        <f t="shared" si="679"/>
        <v>1</v>
      </c>
      <c r="I1745" s="121">
        <f t="shared" si="680"/>
        <v>1.02</v>
      </c>
      <c r="J1745" s="121">
        <f t="shared" si="681"/>
        <v>1.02</v>
      </c>
      <c r="K1745" s="120">
        <f t="shared" si="682"/>
        <v>0</v>
      </c>
      <c r="L1745" s="120">
        <f t="shared" si="683"/>
        <v>0</v>
      </c>
      <c r="M1745" s="246">
        <f t="shared" si="684"/>
        <v>0</v>
      </c>
      <c r="N1745" s="121">
        <f t="shared" si="685"/>
        <v>1.02</v>
      </c>
      <c r="O1745" s="246">
        <f t="shared" si="686"/>
        <v>0.93</v>
      </c>
      <c r="P1745" s="121">
        <f t="shared" si="687"/>
        <v>0</v>
      </c>
      <c r="Q1745" s="121">
        <f t="shared" si="688"/>
        <v>0</v>
      </c>
      <c r="R1745" s="121">
        <f t="shared" si="689"/>
        <v>0.25</v>
      </c>
      <c r="S1745" s="121" t="str">
        <f t="shared" si="690"/>
        <v/>
      </c>
      <c r="T1745" s="121" t="str">
        <f t="shared" si="691"/>
        <v/>
      </c>
      <c r="U1745" s="121">
        <f t="shared" si="692"/>
        <v>1.02</v>
      </c>
    </row>
    <row r="1746" spans="1:21" x14ac:dyDescent="0.3">
      <c r="A1746" s="187">
        <v>48</v>
      </c>
      <c r="B1746" s="242">
        <f t="shared" si="693"/>
        <v>47088</v>
      </c>
      <c r="C1746" s="243">
        <f t="shared" si="674"/>
        <v>47118</v>
      </c>
      <c r="D1746" s="120">
        <f t="shared" si="675"/>
        <v>31</v>
      </c>
      <c r="E1746" s="120">
        <f t="shared" si="676"/>
        <v>12</v>
      </c>
      <c r="F1746" s="275">
        <f t="shared" si="677"/>
        <v>47103.5</v>
      </c>
      <c r="G1746" s="120">
        <f t="shared" si="678"/>
        <v>24347</v>
      </c>
      <c r="H1746" s="245">
        <f t="shared" si="679"/>
        <v>1</v>
      </c>
      <c r="I1746" s="121">
        <f t="shared" si="680"/>
        <v>1.02</v>
      </c>
      <c r="J1746" s="121">
        <f t="shared" si="681"/>
        <v>1.02</v>
      </c>
      <c r="K1746" s="120">
        <f t="shared" si="682"/>
        <v>0</v>
      </c>
      <c r="L1746" s="120">
        <f t="shared" si="683"/>
        <v>0</v>
      </c>
      <c r="M1746" s="246">
        <f t="shared" si="684"/>
        <v>0</v>
      </c>
      <c r="N1746" s="121">
        <f t="shared" si="685"/>
        <v>1.02</v>
      </c>
      <c r="O1746" s="246">
        <f t="shared" si="686"/>
        <v>0.93</v>
      </c>
      <c r="P1746" s="121">
        <f t="shared" si="687"/>
        <v>0</v>
      </c>
      <c r="Q1746" s="121">
        <f t="shared" si="688"/>
        <v>0</v>
      </c>
      <c r="R1746" s="121">
        <f t="shared" si="689"/>
        <v>8.3333333333333329E-2</v>
      </c>
      <c r="S1746" s="121" t="str">
        <f t="shared" si="690"/>
        <v/>
      </c>
      <c r="T1746" s="121" t="str">
        <f t="shared" si="691"/>
        <v/>
      </c>
      <c r="U1746" s="121">
        <f t="shared" si="692"/>
        <v>1.02</v>
      </c>
    </row>
    <row r="1747" spans="1:21" x14ac:dyDescent="0.3">
      <c r="A1747" s="6" t="s">
        <v>1651</v>
      </c>
      <c r="B1747" s="73">
        <f>EXP(SUMPRODUCT((rl_key=$A$1696)*(rl_cons="Y")*rl_ln1p))</f>
        <v>1.02</v>
      </c>
      <c r="C1747" s="73">
        <f>SUMPRODUCT($H$1699:$H$1746,$P$1699:$P$1746,$U$1699:$U$1746)/SUMPRODUCT($H$1699:$H$1746,$P$1699:$P$1746)</f>
        <v>1.0050000000000003</v>
      </c>
      <c r="D1747" s="73">
        <f>SUMPRODUCT($H$1699:$H$1746,$Q$1699:$Q$1746,$U$1699:$U$1746)/SUMPRODUCT($H$1699:$H$1746,$Q$1699:$Q$1746)</f>
        <v>1.0200000000000002</v>
      </c>
      <c r="E1747" s="73">
        <f>SUMPRODUCT($H$1699:$H$1746,$R$1699:$R$1746,$U$1699:$U$1746)/SUMPRODUCT($H$1699:$H$1746,$R$1699:$R$1746)</f>
        <v>1.0200000000000002</v>
      </c>
      <c r="F1747" s="224">
        <f>SUMPRODUCT($H$1699:$H$1746,$Q$1699:$Q$1746,$O$1699:$O$1746)/SUMPRODUCT($H$1699:$H$1746,$Q$1699:$Q$1746)</f>
        <v>0.91798504741064912</v>
      </c>
      <c r="G1747" s="224">
        <f>SUMPRODUCT($H$1699:$H$1746,$R$1699:$R$1746,$O$1699:$O$1746)/SUMPRODUCT($H$1699:$H$1746,$R$1699:$R$1746)</f>
        <v>0.92932044736202268</v>
      </c>
      <c r="H1747" s="73">
        <f>SUMPRODUCT($H$1723:$H$1734,$N$1723:$N$1734/$N$1711:$N$1722)/SUM($H$1723:$H$1734)</f>
        <v>1.01</v>
      </c>
      <c r="I1747" s="73">
        <f>SUMPRODUCT($H$1723:$H$1734,$O$1723:$O$1734/$O$1711:$O$1722)/SUM($H$1723:$H$1734)</f>
        <v>1.0176314239537807</v>
      </c>
      <c r="J1747" s="73">
        <f>IF($O$1696=1,SUMPRODUCT($H$1723:$H$1734,$N$1723:$N$1734/$N$1711:$N$1722*$O$1723:$O$1734/$O$1711:$O$1722)/SUM($H$1723:$H$1734),$H1747)</f>
        <v>1.0278085171090023</v>
      </c>
      <c r="K1747" s="73">
        <f>SUMPRODUCT($H$1699:$H$1746,$Q$1699:$Q$1746,$N$1699:$N$1746)/SUMPRODUCT($H$1699:$H$1746,$Q$1699:$Q$1746)</f>
        <v>1.0200000000000002</v>
      </c>
      <c r="L1747" s="73">
        <f>SUMPRODUCT($H$1699:$H$1746,$R$1699:$R$1746,$N$1699:$N$1746)/SUMPRODUCT($H$1699:$H$1746,$R$1699:$R$1746)</f>
        <v>1.0200000000000002</v>
      </c>
    </row>
    <row r="1750" spans="1:21" x14ac:dyDescent="0.3">
      <c r="A1750" s="6" t="str">
        <f>INDEX(lr_key,32)</f>
        <v>MM|MI</v>
      </c>
      <c r="B1750" s="6" t="str">
        <f>INDEX(lr_state,32)</f>
        <v>MI</v>
      </c>
      <c r="C1750" s="75">
        <f>nr_TermMonths</f>
        <v>6</v>
      </c>
      <c r="D1750" s="75">
        <f>IF(COUNTIF(se_state,$B1750)=0,0,MATCH($B1750,se_state,0))</f>
        <v>0</v>
      </c>
      <c r="E1750" s="70">
        <f>IF($D1750=0,0,INDEX(se_sum,$D1750))</f>
        <v>0</v>
      </c>
      <c r="F1750" s="224">
        <f>IF(N(INDEX(lr_mind,32))=0,1,INDEX(lr_mind,32))</f>
        <v>0.92</v>
      </c>
      <c r="G1750" s="224">
        <f>IF(N(INDEX(lr_m0,32))=0,1,INDEX(lr_m0,32))</f>
        <v>0.91</v>
      </c>
      <c r="H1750" s="74">
        <f>IF(N(INDEX(lr_m0asof,32))=0,DATE(nr_PlanYear-1,10,1),INDEX(lr_m0asof,32))</f>
        <v>46295</v>
      </c>
      <c r="I1750" s="224">
        <f>IF(N(INDEX(lr_m1,32))=0,1,INDEX(lr_m1,32))</f>
        <v>0.91</v>
      </c>
      <c r="J1750" s="224">
        <f>INDEX(lr_mprior,32)</f>
        <v>0</v>
      </c>
      <c r="K1750" s="224">
        <f>INDEX(lr_m2,32)</f>
        <v>0</v>
      </c>
      <c r="L1750" s="6" t="b">
        <f>NOT(ISBLANK(INDEX(lr_netp,32)))</f>
        <v>0</v>
      </c>
      <c r="M1750" s="72">
        <f>N(INDEX(lr_netp,32))</f>
        <v>0</v>
      </c>
      <c r="N1750" s="72">
        <f>IF(ISBLANK(INDEX(lr_netp1,32)),$M$1750,N(INDEX(lr_netp1,32)))</f>
        <v>0</v>
      </c>
      <c r="O1750" s="75">
        <f>IF(AND(nr_ModAdjMaster="ON",INDEX(lr_modadj,32)="ON"),1,0)</f>
        <v>1</v>
      </c>
    </row>
    <row r="1751" spans="1:21" x14ac:dyDescent="0.3">
      <c r="A1751" s="6">
        <f>EDATE($H$1750,-12)+1</f>
        <v>45931</v>
      </c>
      <c r="B1751" s="6">
        <f>$H$1750+1</f>
        <v>46296</v>
      </c>
      <c r="C1751" s="6">
        <f>DATE(nr_PlanYear,12,31)+1</f>
        <v>46753</v>
      </c>
      <c r="D1751" s="6">
        <f>DATE(nr_PlanYear+1,12,31)+1</f>
        <v>47119</v>
      </c>
      <c r="E1751" s="6">
        <f>IF(N($J$1750)=0,$F$1751-($G$1751-$F$1751)/($C$1751-$B$1751)*($B$1751-$A$1751),$J$1750)</f>
        <v>0.91</v>
      </c>
      <c r="F1751" s="6">
        <f>$G$1750</f>
        <v>0.91</v>
      </c>
      <c r="G1751" s="6">
        <f>$I$1750</f>
        <v>0.91</v>
      </c>
      <c r="H1751" s="6">
        <f>IF(N($K$1750)=0,$I$1750,$K$1750)</f>
        <v>0.91</v>
      </c>
      <c r="I1751" s="6">
        <f>($F$1751-$E$1751)/($B$1751-$A$1751)</f>
        <v>0</v>
      </c>
      <c r="J1751" s="6">
        <f>($G$1751-$F$1751)/($C$1751-$B$1751)</f>
        <v>0</v>
      </c>
      <c r="K1751" s="6">
        <f>($H$1751-$G$1751)/($D$1751-$C$1751)</f>
        <v>0</v>
      </c>
    </row>
    <row r="1752" spans="1:21" ht="36" x14ac:dyDescent="0.3">
      <c r="A1752" s="58" t="s">
        <v>390</v>
      </c>
      <c r="B1752" s="58" t="s">
        <v>449</v>
      </c>
      <c r="C1752" s="58" t="s">
        <v>685</v>
      </c>
      <c r="D1752" s="58" t="s">
        <v>686</v>
      </c>
      <c r="E1752" s="58" t="s">
        <v>687</v>
      </c>
      <c r="F1752" s="58" t="s">
        <v>688</v>
      </c>
      <c r="G1752" s="58" t="s">
        <v>689</v>
      </c>
      <c r="H1752" s="58" t="s">
        <v>452</v>
      </c>
      <c r="I1752" s="58" t="s">
        <v>690</v>
      </c>
      <c r="J1752" s="58" t="s">
        <v>691</v>
      </c>
      <c r="K1752" s="58" t="s">
        <v>692</v>
      </c>
      <c r="L1752" s="58" t="s">
        <v>693</v>
      </c>
      <c r="M1752" s="58" t="s">
        <v>694</v>
      </c>
      <c r="N1752" s="58" t="s">
        <v>695</v>
      </c>
      <c r="O1752" s="58" t="s">
        <v>696</v>
      </c>
      <c r="P1752" s="58" t="s">
        <v>697</v>
      </c>
      <c r="Q1752" s="58" t="s">
        <v>698</v>
      </c>
      <c r="R1752" s="58" t="s">
        <v>699</v>
      </c>
      <c r="S1752" s="58" t="s">
        <v>700</v>
      </c>
      <c r="T1752" s="58" t="s">
        <v>701</v>
      </c>
      <c r="U1752" s="58" t="s">
        <v>702</v>
      </c>
    </row>
    <row r="1753" spans="1:21" x14ac:dyDescent="0.3">
      <c r="A1753" s="187">
        <v>1</v>
      </c>
      <c r="B1753" s="242">
        <f>DATE(nr_PlanYear-2,1,1)</f>
        <v>45658</v>
      </c>
      <c r="C1753" s="243">
        <f t="shared" ref="C1753:C1800" si="694">EOMONTH($B1753,0)</f>
        <v>45688</v>
      </c>
      <c r="D1753" s="120">
        <f t="shared" ref="D1753:D1800" si="695">$C1753-$B1753+1</f>
        <v>31</v>
      </c>
      <c r="E1753" s="120">
        <f t="shared" ref="E1753:E1800" si="696">MONTH($B1753)</f>
        <v>1</v>
      </c>
      <c r="F1753" s="275">
        <f t="shared" ref="F1753:F1800" si="697">($B1753+$C1753+1)/2</f>
        <v>45673.5</v>
      </c>
      <c r="G1753" s="120">
        <f t="shared" ref="G1753:G1800" si="698">YEAR($B1753)*12+MONTH($B1753)-1</f>
        <v>24300</v>
      </c>
      <c r="H1753" s="245">
        <f t="shared" ref="H1753:H1800" si="699">IF(OR(nr_SeasonOn="OFF",$D$1750=0,$E$1750=0),1,12*INDEX(se_block,$D$1750,$E1753)/$E$1750)</f>
        <v>1</v>
      </c>
      <c r="I1753" s="121">
        <f t="shared" ref="I1753:I1800" si="700">EXP(SUMPRODUCT((rl_eff&lt;$B1753)*(rl_key=$A$1750)*rl_ln1p))</f>
        <v>1</v>
      </c>
      <c r="J1753" s="121">
        <f t="shared" ref="J1753:J1800" si="701">EXP(SUMPRODUCT((rl_eff&lt;=$C1753)*(rl_key=$A$1750)*rl_ln1p))</f>
        <v>1</v>
      </c>
      <c r="K1753" s="120">
        <f t="shared" ref="K1753:K1800" si="702">COUNTIFS(rl_key,$A$1750,rl_eff,"&gt;="&amp;$B1753,rl_eff,"&lt;="&amp;$C1753)</f>
        <v>0</v>
      </c>
      <c r="L1753" s="120">
        <f t="shared" ref="L1753:L1800" si="703">SUMIFS(rl_daysafter,rl_key,$A$1750,rl_effmonth,$B1753,rl_first,1)</f>
        <v>0</v>
      </c>
      <c r="M1753" s="246">
        <f t="shared" ref="M1753:M1800" si="704">IF($K1753=0,0,MIN(1,$L1753/$D1753))</f>
        <v>0</v>
      </c>
      <c r="N1753" s="121">
        <f t="shared" ref="N1753:N1800" si="705">IF($K1753=0,$J1753,(1-$M1753)*$I1753+$M1753*$J1753)</f>
        <v>1</v>
      </c>
      <c r="O1753" s="246">
        <f t="shared" ref="O1753:O1800" si="706">IF($F1753&lt;$B$1751,$E$1751+$I$1751*($F1753-$A$1751),IF($F1753&lt;$C$1751,$F$1751+$J$1751*($F1753-$B$1751),$G$1751+$K$1751*($F1753-$C$1751)))</f>
        <v>0.91</v>
      </c>
      <c r="P1753" s="121">
        <f t="shared" ref="P1753:P1800" si="707">MIN(1,MAX(0,(nr_MEndPm1-$G1753+0.5)/$C$1750))-MIN(1,MAX(0,(nr_MStartPm1-1-$G1753+0.5)/$C$1750))</f>
        <v>0</v>
      </c>
      <c r="Q1753" s="121">
        <f t="shared" ref="Q1753:Q1800" si="708">MIN(1,MAX(0,(nr_MEndP-$G1753+0.5)/$C$1750))-MIN(1,MAX(0,(nr_MStartP-1-$G1753+0.5)/$C$1750))</f>
        <v>0</v>
      </c>
      <c r="R1753" s="121">
        <f t="shared" ref="R1753:R1800" si="709">MIN(1,MAX(0,(nr_MEndP1-$G1753+0.5)/$C$1750))-MIN(1,MAX(0,(nr_MStartP1-1-$G1753+0.5)/$C$1750))</f>
        <v>0</v>
      </c>
      <c r="S1753" s="121" t="str">
        <f t="shared" ref="S1753:S1800" si="710">IF($L$1750,$N1753*IF($O$1750=1,$O1753/$F$1750,1),"")</f>
        <v/>
      </c>
      <c r="T1753" s="121" t="str">
        <f t="shared" ref="T1753:T1800" si="711">IF(NOT($L$1750),"",IF($G1753&lt;nr_MStartP,$S1753,$T1741*(1+IF($G1753&lt;nr_MStartP1,$M$1750,$N$1750))))</f>
        <v/>
      </c>
      <c r="U1753" s="121">
        <f t="shared" ref="U1753:U1800" si="712">IF($L$1750,$T1753,$N1753)</f>
        <v>1</v>
      </c>
    </row>
    <row r="1754" spans="1:21" x14ac:dyDescent="0.3">
      <c r="A1754" s="187">
        <v>2</v>
      </c>
      <c r="B1754" s="242">
        <f t="shared" ref="B1754:B1800" si="713">EDATE($B1753,1)</f>
        <v>45689</v>
      </c>
      <c r="C1754" s="243">
        <f t="shared" si="694"/>
        <v>45716</v>
      </c>
      <c r="D1754" s="120">
        <f t="shared" si="695"/>
        <v>28</v>
      </c>
      <c r="E1754" s="120">
        <f t="shared" si="696"/>
        <v>2</v>
      </c>
      <c r="F1754" s="275">
        <f t="shared" si="697"/>
        <v>45703</v>
      </c>
      <c r="G1754" s="120">
        <f t="shared" si="698"/>
        <v>24301</v>
      </c>
      <c r="H1754" s="245">
        <f t="shared" si="699"/>
        <v>1</v>
      </c>
      <c r="I1754" s="121">
        <f t="shared" si="700"/>
        <v>1</v>
      </c>
      <c r="J1754" s="121">
        <f t="shared" si="701"/>
        <v>1</v>
      </c>
      <c r="K1754" s="120">
        <f t="shared" si="702"/>
        <v>0</v>
      </c>
      <c r="L1754" s="120">
        <f t="shared" si="703"/>
        <v>0</v>
      </c>
      <c r="M1754" s="246">
        <f t="shared" si="704"/>
        <v>0</v>
      </c>
      <c r="N1754" s="121">
        <f t="shared" si="705"/>
        <v>1</v>
      </c>
      <c r="O1754" s="246">
        <f t="shared" si="706"/>
        <v>0.91</v>
      </c>
      <c r="P1754" s="121">
        <f t="shared" si="707"/>
        <v>0</v>
      </c>
      <c r="Q1754" s="121">
        <f t="shared" si="708"/>
        <v>0</v>
      </c>
      <c r="R1754" s="121">
        <f t="shared" si="709"/>
        <v>0</v>
      </c>
      <c r="S1754" s="121" t="str">
        <f t="shared" si="710"/>
        <v/>
      </c>
      <c r="T1754" s="121" t="str">
        <f t="shared" si="711"/>
        <v/>
      </c>
      <c r="U1754" s="121">
        <f t="shared" si="712"/>
        <v>1</v>
      </c>
    </row>
    <row r="1755" spans="1:21" x14ac:dyDescent="0.3">
      <c r="A1755" s="187">
        <v>3</v>
      </c>
      <c r="B1755" s="242">
        <f t="shared" si="713"/>
        <v>45717</v>
      </c>
      <c r="C1755" s="243">
        <f t="shared" si="694"/>
        <v>45747</v>
      </c>
      <c r="D1755" s="120">
        <f t="shared" si="695"/>
        <v>31</v>
      </c>
      <c r="E1755" s="120">
        <f t="shared" si="696"/>
        <v>3</v>
      </c>
      <c r="F1755" s="275">
        <f t="shared" si="697"/>
        <v>45732.5</v>
      </c>
      <c r="G1755" s="120">
        <f t="shared" si="698"/>
        <v>24302</v>
      </c>
      <c r="H1755" s="245">
        <f t="shared" si="699"/>
        <v>1</v>
      </c>
      <c r="I1755" s="121">
        <f t="shared" si="700"/>
        <v>1</v>
      </c>
      <c r="J1755" s="121">
        <f t="shared" si="701"/>
        <v>1</v>
      </c>
      <c r="K1755" s="120">
        <f t="shared" si="702"/>
        <v>0</v>
      </c>
      <c r="L1755" s="120">
        <f t="shared" si="703"/>
        <v>0</v>
      </c>
      <c r="M1755" s="246">
        <f t="shared" si="704"/>
        <v>0</v>
      </c>
      <c r="N1755" s="121">
        <f t="shared" si="705"/>
        <v>1</v>
      </c>
      <c r="O1755" s="246">
        <f t="shared" si="706"/>
        <v>0.91</v>
      </c>
      <c r="P1755" s="121">
        <f t="shared" si="707"/>
        <v>0</v>
      </c>
      <c r="Q1755" s="121">
        <f t="shared" si="708"/>
        <v>0</v>
      </c>
      <c r="R1755" s="121">
        <f t="shared" si="709"/>
        <v>0</v>
      </c>
      <c r="S1755" s="121" t="str">
        <f t="shared" si="710"/>
        <v/>
      </c>
      <c r="T1755" s="121" t="str">
        <f t="shared" si="711"/>
        <v/>
      </c>
      <c r="U1755" s="121">
        <f t="shared" si="712"/>
        <v>1</v>
      </c>
    </row>
    <row r="1756" spans="1:21" x14ac:dyDescent="0.3">
      <c r="A1756" s="187">
        <v>4</v>
      </c>
      <c r="B1756" s="242">
        <f t="shared" si="713"/>
        <v>45748</v>
      </c>
      <c r="C1756" s="243">
        <f t="shared" si="694"/>
        <v>45777</v>
      </c>
      <c r="D1756" s="120">
        <f t="shared" si="695"/>
        <v>30</v>
      </c>
      <c r="E1756" s="120">
        <f t="shared" si="696"/>
        <v>4</v>
      </c>
      <c r="F1756" s="275">
        <f t="shared" si="697"/>
        <v>45763</v>
      </c>
      <c r="G1756" s="120">
        <f t="shared" si="698"/>
        <v>24303</v>
      </c>
      <c r="H1756" s="245">
        <f t="shared" si="699"/>
        <v>1</v>
      </c>
      <c r="I1756" s="121">
        <f t="shared" si="700"/>
        <v>1</v>
      </c>
      <c r="J1756" s="121">
        <f t="shared" si="701"/>
        <v>1</v>
      </c>
      <c r="K1756" s="120">
        <f t="shared" si="702"/>
        <v>0</v>
      </c>
      <c r="L1756" s="120">
        <f t="shared" si="703"/>
        <v>0</v>
      </c>
      <c r="M1756" s="246">
        <f t="shared" si="704"/>
        <v>0</v>
      </c>
      <c r="N1756" s="121">
        <f t="shared" si="705"/>
        <v>1</v>
      </c>
      <c r="O1756" s="246">
        <f t="shared" si="706"/>
        <v>0.91</v>
      </c>
      <c r="P1756" s="121">
        <f t="shared" si="707"/>
        <v>0</v>
      </c>
      <c r="Q1756" s="121">
        <f t="shared" si="708"/>
        <v>0</v>
      </c>
      <c r="R1756" s="121">
        <f t="shared" si="709"/>
        <v>0</v>
      </c>
      <c r="S1756" s="121" t="str">
        <f t="shared" si="710"/>
        <v/>
      </c>
      <c r="T1756" s="121" t="str">
        <f t="shared" si="711"/>
        <v/>
      </c>
      <c r="U1756" s="121">
        <f t="shared" si="712"/>
        <v>1</v>
      </c>
    </row>
    <row r="1757" spans="1:21" x14ac:dyDescent="0.3">
      <c r="A1757" s="187">
        <v>5</v>
      </c>
      <c r="B1757" s="242">
        <f t="shared" si="713"/>
        <v>45778</v>
      </c>
      <c r="C1757" s="243">
        <f t="shared" si="694"/>
        <v>45808</v>
      </c>
      <c r="D1757" s="120">
        <f t="shared" si="695"/>
        <v>31</v>
      </c>
      <c r="E1757" s="120">
        <f t="shared" si="696"/>
        <v>5</v>
      </c>
      <c r="F1757" s="275">
        <f t="shared" si="697"/>
        <v>45793.5</v>
      </c>
      <c r="G1757" s="120">
        <f t="shared" si="698"/>
        <v>24304</v>
      </c>
      <c r="H1757" s="245">
        <f t="shared" si="699"/>
        <v>1</v>
      </c>
      <c r="I1757" s="121">
        <f t="shared" si="700"/>
        <v>1</v>
      </c>
      <c r="J1757" s="121">
        <f t="shared" si="701"/>
        <v>1</v>
      </c>
      <c r="K1757" s="120">
        <f t="shared" si="702"/>
        <v>0</v>
      </c>
      <c r="L1757" s="120">
        <f t="shared" si="703"/>
        <v>0</v>
      </c>
      <c r="M1757" s="246">
        <f t="shared" si="704"/>
        <v>0</v>
      </c>
      <c r="N1757" s="121">
        <f t="shared" si="705"/>
        <v>1</v>
      </c>
      <c r="O1757" s="246">
        <f t="shared" si="706"/>
        <v>0.91</v>
      </c>
      <c r="P1757" s="121">
        <f t="shared" si="707"/>
        <v>0</v>
      </c>
      <c r="Q1757" s="121">
        <f t="shared" si="708"/>
        <v>0</v>
      </c>
      <c r="R1757" s="121">
        <f t="shared" si="709"/>
        <v>0</v>
      </c>
      <c r="S1757" s="121" t="str">
        <f t="shared" si="710"/>
        <v/>
      </c>
      <c r="T1757" s="121" t="str">
        <f t="shared" si="711"/>
        <v/>
      </c>
      <c r="U1757" s="121">
        <f t="shared" si="712"/>
        <v>1</v>
      </c>
    </row>
    <row r="1758" spans="1:21" x14ac:dyDescent="0.3">
      <c r="A1758" s="187">
        <v>6</v>
      </c>
      <c r="B1758" s="242">
        <f t="shared" si="713"/>
        <v>45809</v>
      </c>
      <c r="C1758" s="243">
        <f t="shared" si="694"/>
        <v>45838</v>
      </c>
      <c r="D1758" s="120">
        <f t="shared" si="695"/>
        <v>30</v>
      </c>
      <c r="E1758" s="120">
        <f t="shared" si="696"/>
        <v>6</v>
      </c>
      <c r="F1758" s="275">
        <f t="shared" si="697"/>
        <v>45824</v>
      </c>
      <c r="G1758" s="120">
        <f t="shared" si="698"/>
        <v>24305</v>
      </c>
      <c r="H1758" s="245">
        <f t="shared" si="699"/>
        <v>1</v>
      </c>
      <c r="I1758" s="121">
        <f t="shared" si="700"/>
        <v>1</v>
      </c>
      <c r="J1758" s="121">
        <f t="shared" si="701"/>
        <v>1</v>
      </c>
      <c r="K1758" s="120">
        <f t="shared" si="702"/>
        <v>0</v>
      </c>
      <c r="L1758" s="120">
        <f t="shared" si="703"/>
        <v>0</v>
      </c>
      <c r="M1758" s="246">
        <f t="shared" si="704"/>
        <v>0</v>
      </c>
      <c r="N1758" s="121">
        <f t="shared" si="705"/>
        <v>1</v>
      </c>
      <c r="O1758" s="246">
        <f t="shared" si="706"/>
        <v>0.91</v>
      </c>
      <c r="P1758" s="121">
        <f t="shared" si="707"/>
        <v>0</v>
      </c>
      <c r="Q1758" s="121">
        <f t="shared" si="708"/>
        <v>0</v>
      </c>
      <c r="R1758" s="121">
        <f t="shared" si="709"/>
        <v>0</v>
      </c>
      <c r="S1758" s="121" t="str">
        <f t="shared" si="710"/>
        <v/>
      </c>
      <c r="T1758" s="121" t="str">
        <f t="shared" si="711"/>
        <v/>
      </c>
      <c r="U1758" s="121">
        <f t="shared" si="712"/>
        <v>1</v>
      </c>
    </row>
    <row r="1759" spans="1:21" x14ac:dyDescent="0.3">
      <c r="A1759" s="187">
        <v>7</v>
      </c>
      <c r="B1759" s="242">
        <f t="shared" si="713"/>
        <v>45839</v>
      </c>
      <c r="C1759" s="243">
        <f t="shared" si="694"/>
        <v>45869</v>
      </c>
      <c r="D1759" s="120">
        <f t="shared" si="695"/>
        <v>31</v>
      </c>
      <c r="E1759" s="120">
        <f t="shared" si="696"/>
        <v>7</v>
      </c>
      <c r="F1759" s="275">
        <f t="shared" si="697"/>
        <v>45854.5</v>
      </c>
      <c r="G1759" s="120">
        <f t="shared" si="698"/>
        <v>24306</v>
      </c>
      <c r="H1759" s="245">
        <f t="shared" si="699"/>
        <v>1</v>
      </c>
      <c r="I1759" s="121">
        <f t="shared" si="700"/>
        <v>1</v>
      </c>
      <c r="J1759" s="121">
        <f t="shared" si="701"/>
        <v>1</v>
      </c>
      <c r="K1759" s="120">
        <f t="shared" si="702"/>
        <v>0</v>
      </c>
      <c r="L1759" s="120">
        <f t="shared" si="703"/>
        <v>0</v>
      </c>
      <c r="M1759" s="246">
        <f t="shared" si="704"/>
        <v>0</v>
      </c>
      <c r="N1759" s="121">
        <f t="shared" si="705"/>
        <v>1</v>
      </c>
      <c r="O1759" s="246">
        <f t="shared" si="706"/>
        <v>0.91</v>
      </c>
      <c r="P1759" s="121">
        <f t="shared" si="707"/>
        <v>8.333333333333337E-2</v>
      </c>
      <c r="Q1759" s="121">
        <f t="shared" si="708"/>
        <v>0</v>
      </c>
      <c r="R1759" s="121">
        <f t="shared" si="709"/>
        <v>0</v>
      </c>
      <c r="S1759" s="121" t="str">
        <f t="shared" si="710"/>
        <v/>
      </c>
      <c r="T1759" s="121" t="str">
        <f t="shared" si="711"/>
        <v/>
      </c>
      <c r="U1759" s="121">
        <f t="shared" si="712"/>
        <v>1</v>
      </c>
    </row>
    <row r="1760" spans="1:21" x14ac:dyDescent="0.3">
      <c r="A1760" s="187">
        <v>8</v>
      </c>
      <c r="B1760" s="242">
        <f t="shared" si="713"/>
        <v>45870</v>
      </c>
      <c r="C1760" s="243">
        <f t="shared" si="694"/>
        <v>45900</v>
      </c>
      <c r="D1760" s="120">
        <f t="shared" si="695"/>
        <v>31</v>
      </c>
      <c r="E1760" s="120">
        <f t="shared" si="696"/>
        <v>8</v>
      </c>
      <c r="F1760" s="275">
        <f t="shared" si="697"/>
        <v>45885.5</v>
      </c>
      <c r="G1760" s="120">
        <f t="shared" si="698"/>
        <v>24307</v>
      </c>
      <c r="H1760" s="245">
        <f t="shared" si="699"/>
        <v>1</v>
      </c>
      <c r="I1760" s="121">
        <f t="shared" si="700"/>
        <v>1</v>
      </c>
      <c r="J1760" s="121">
        <f t="shared" si="701"/>
        <v>1</v>
      </c>
      <c r="K1760" s="120">
        <f t="shared" si="702"/>
        <v>0</v>
      </c>
      <c r="L1760" s="120">
        <f t="shared" si="703"/>
        <v>0</v>
      </c>
      <c r="M1760" s="246">
        <f t="shared" si="704"/>
        <v>0</v>
      </c>
      <c r="N1760" s="121">
        <f t="shared" si="705"/>
        <v>1</v>
      </c>
      <c r="O1760" s="246">
        <f t="shared" si="706"/>
        <v>0.91</v>
      </c>
      <c r="P1760" s="121">
        <f t="shared" si="707"/>
        <v>0.25</v>
      </c>
      <c r="Q1760" s="121">
        <f t="shared" si="708"/>
        <v>0</v>
      </c>
      <c r="R1760" s="121">
        <f t="shared" si="709"/>
        <v>0</v>
      </c>
      <c r="S1760" s="121" t="str">
        <f t="shared" si="710"/>
        <v/>
      </c>
      <c r="T1760" s="121" t="str">
        <f t="shared" si="711"/>
        <v/>
      </c>
      <c r="U1760" s="121">
        <f t="shared" si="712"/>
        <v>1</v>
      </c>
    </row>
    <row r="1761" spans="1:21" x14ac:dyDescent="0.3">
      <c r="A1761" s="187">
        <v>9</v>
      </c>
      <c r="B1761" s="242">
        <f t="shared" si="713"/>
        <v>45901</v>
      </c>
      <c r="C1761" s="243">
        <f t="shared" si="694"/>
        <v>45930</v>
      </c>
      <c r="D1761" s="120">
        <f t="shared" si="695"/>
        <v>30</v>
      </c>
      <c r="E1761" s="120">
        <f t="shared" si="696"/>
        <v>9</v>
      </c>
      <c r="F1761" s="275">
        <f t="shared" si="697"/>
        <v>45916</v>
      </c>
      <c r="G1761" s="120">
        <f t="shared" si="698"/>
        <v>24308</v>
      </c>
      <c r="H1761" s="245">
        <f t="shared" si="699"/>
        <v>1</v>
      </c>
      <c r="I1761" s="121">
        <f t="shared" si="700"/>
        <v>1</v>
      </c>
      <c r="J1761" s="121">
        <f t="shared" si="701"/>
        <v>1</v>
      </c>
      <c r="K1761" s="120">
        <f t="shared" si="702"/>
        <v>0</v>
      </c>
      <c r="L1761" s="120">
        <f t="shared" si="703"/>
        <v>0</v>
      </c>
      <c r="M1761" s="246">
        <f t="shared" si="704"/>
        <v>0</v>
      </c>
      <c r="N1761" s="121">
        <f t="shared" si="705"/>
        <v>1</v>
      </c>
      <c r="O1761" s="246">
        <f t="shared" si="706"/>
        <v>0.91</v>
      </c>
      <c r="P1761" s="121">
        <f t="shared" si="707"/>
        <v>0.41666666666666663</v>
      </c>
      <c r="Q1761" s="121">
        <f t="shared" si="708"/>
        <v>0</v>
      </c>
      <c r="R1761" s="121">
        <f t="shared" si="709"/>
        <v>0</v>
      </c>
      <c r="S1761" s="121" t="str">
        <f t="shared" si="710"/>
        <v/>
      </c>
      <c r="T1761" s="121" t="str">
        <f t="shared" si="711"/>
        <v/>
      </c>
      <c r="U1761" s="121">
        <f t="shared" si="712"/>
        <v>1</v>
      </c>
    </row>
    <row r="1762" spans="1:21" x14ac:dyDescent="0.3">
      <c r="A1762" s="187">
        <v>10</v>
      </c>
      <c r="B1762" s="242">
        <f t="shared" si="713"/>
        <v>45931</v>
      </c>
      <c r="C1762" s="243">
        <f t="shared" si="694"/>
        <v>45961</v>
      </c>
      <c r="D1762" s="120">
        <f t="shared" si="695"/>
        <v>31</v>
      </c>
      <c r="E1762" s="120">
        <f t="shared" si="696"/>
        <v>10</v>
      </c>
      <c r="F1762" s="275">
        <f t="shared" si="697"/>
        <v>45946.5</v>
      </c>
      <c r="G1762" s="120">
        <f t="shared" si="698"/>
        <v>24309</v>
      </c>
      <c r="H1762" s="245">
        <f t="shared" si="699"/>
        <v>1</v>
      </c>
      <c r="I1762" s="121">
        <f t="shared" si="700"/>
        <v>1</v>
      </c>
      <c r="J1762" s="121">
        <f t="shared" si="701"/>
        <v>1</v>
      </c>
      <c r="K1762" s="120">
        <f t="shared" si="702"/>
        <v>0</v>
      </c>
      <c r="L1762" s="120">
        <f t="shared" si="703"/>
        <v>0</v>
      </c>
      <c r="M1762" s="246">
        <f t="shared" si="704"/>
        <v>0</v>
      </c>
      <c r="N1762" s="121">
        <f t="shared" si="705"/>
        <v>1</v>
      </c>
      <c r="O1762" s="246">
        <f t="shared" si="706"/>
        <v>0.91</v>
      </c>
      <c r="P1762" s="121">
        <f t="shared" si="707"/>
        <v>0.58333333333333326</v>
      </c>
      <c r="Q1762" s="121">
        <f t="shared" si="708"/>
        <v>0</v>
      </c>
      <c r="R1762" s="121">
        <f t="shared" si="709"/>
        <v>0</v>
      </c>
      <c r="S1762" s="121" t="str">
        <f t="shared" si="710"/>
        <v/>
      </c>
      <c r="T1762" s="121" t="str">
        <f t="shared" si="711"/>
        <v/>
      </c>
      <c r="U1762" s="121">
        <f t="shared" si="712"/>
        <v>1</v>
      </c>
    </row>
    <row r="1763" spans="1:21" x14ac:dyDescent="0.3">
      <c r="A1763" s="187">
        <v>11</v>
      </c>
      <c r="B1763" s="242">
        <f t="shared" si="713"/>
        <v>45962</v>
      </c>
      <c r="C1763" s="243">
        <f t="shared" si="694"/>
        <v>45991</v>
      </c>
      <c r="D1763" s="120">
        <f t="shared" si="695"/>
        <v>30</v>
      </c>
      <c r="E1763" s="120">
        <f t="shared" si="696"/>
        <v>11</v>
      </c>
      <c r="F1763" s="275">
        <f t="shared" si="697"/>
        <v>45977</v>
      </c>
      <c r="G1763" s="120">
        <f t="shared" si="698"/>
        <v>24310</v>
      </c>
      <c r="H1763" s="245">
        <f t="shared" si="699"/>
        <v>1</v>
      </c>
      <c r="I1763" s="121">
        <f t="shared" si="700"/>
        <v>1</v>
      </c>
      <c r="J1763" s="121">
        <f t="shared" si="701"/>
        <v>1</v>
      </c>
      <c r="K1763" s="120">
        <f t="shared" si="702"/>
        <v>0</v>
      </c>
      <c r="L1763" s="120">
        <f t="shared" si="703"/>
        <v>0</v>
      </c>
      <c r="M1763" s="246">
        <f t="shared" si="704"/>
        <v>0</v>
      </c>
      <c r="N1763" s="121">
        <f t="shared" si="705"/>
        <v>1</v>
      </c>
      <c r="O1763" s="246">
        <f t="shared" si="706"/>
        <v>0.91</v>
      </c>
      <c r="P1763" s="121">
        <f t="shared" si="707"/>
        <v>0.75</v>
      </c>
      <c r="Q1763" s="121">
        <f t="shared" si="708"/>
        <v>0</v>
      </c>
      <c r="R1763" s="121">
        <f t="shared" si="709"/>
        <v>0</v>
      </c>
      <c r="S1763" s="121" t="str">
        <f t="shared" si="710"/>
        <v/>
      </c>
      <c r="T1763" s="121" t="str">
        <f t="shared" si="711"/>
        <v/>
      </c>
      <c r="U1763" s="121">
        <f t="shared" si="712"/>
        <v>1</v>
      </c>
    </row>
    <row r="1764" spans="1:21" x14ac:dyDescent="0.3">
      <c r="A1764" s="187">
        <v>12</v>
      </c>
      <c r="B1764" s="242">
        <f t="shared" si="713"/>
        <v>45992</v>
      </c>
      <c r="C1764" s="243">
        <f t="shared" si="694"/>
        <v>46022</v>
      </c>
      <c r="D1764" s="120">
        <f t="shared" si="695"/>
        <v>31</v>
      </c>
      <c r="E1764" s="120">
        <f t="shared" si="696"/>
        <v>12</v>
      </c>
      <c r="F1764" s="275">
        <f t="shared" si="697"/>
        <v>46007.5</v>
      </c>
      <c r="G1764" s="120">
        <f t="shared" si="698"/>
        <v>24311</v>
      </c>
      <c r="H1764" s="245">
        <f t="shared" si="699"/>
        <v>1</v>
      </c>
      <c r="I1764" s="121">
        <f t="shared" si="700"/>
        <v>1</v>
      </c>
      <c r="J1764" s="121">
        <f t="shared" si="701"/>
        <v>1</v>
      </c>
      <c r="K1764" s="120">
        <f t="shared" si="702"/>
        <v>0</v>
      </c>
      <c r="L1764" s="120">
        <f t="shared" si="703"/>
        <v>0</v>
      </c>
      <c r="M1764" s="246">
        <f t="shared" si="704"/>
        <v>0</v>
      </c>
      <c r="N1764" s="121">
        <f t="shared" si="705"/>
        <v>1</v>
      </c>
      <c r="O1764" s="246">
        <f t="shared" si="706"/>
        <v>0.91</v>
      </c>
      <c r="P1764" s="121">
        <f t="shared" si="707"/>
        <v>0.91666666666666663</v>
      </c>
      <c r="Q1764" s="121">
        <f t="shared" si="708"/>
        <v>0</v>
      </c>
      <c r="R1764" s="121">
        <f t="shared" si="709"/>
        <v>0</v>
      </c>
      <c r="S1764" s="121" t="str">
        <f t="shared" si="710"/>
        <v/>
      </c>
      <c r="T1764" s="121" t="str">
        <f t="shared" si="711"/>
        <v/>
      </c>
      <c r="U1764" s="121">
        <f t="shared" si="712"/>
        <v>1</v>
      </c>
    </row>
    <row r="1765" spans="1:21" x14ac:dyDescent="0.3">
      <c r="A1765" s="187">
        <v>13</v>
      </c>
      <c r="B1765" s="242">
        <f t="shared" si="713"/>
        <v>46023</v>
      </c>
      <c r="C1765" s="243">
        <f t="shared" si="694"/>
        <v>46053</v>
      </c>
      <c r="D1765" s="120">
        <f t="shared" si="695"/>
        <v>31</v>
      </c>
      <c r="E1765" s="120">
        <f t="shared" si="696"/>
        <v>1</v>
      </c>
      <c r="F1765" s="275">
        <f t="shared" si="697"/>
        <v>46038.5</v>
      </c>
      <c r="G1765" s="120">
        <f t="shared" si="698"/>
        <v>24312</v>
      </c>
      <c r="H1765" s="245">
        <f t="shared" si="699"/>
        <v>1</v>
      </c>
      <c r="I1765" s="121">
        <f t="shared" si="700"/>
        <v>1</v>
      </c>
      <c r="J1765" s="121">
        <f t="shared" si="701"/>
        <v>1</v>
      </c>
      <c r="K1765" s="120">
        <f t="shared" si="702"/>
        <v>0</v>
      </c>
      <c r="L1765" s="120">
        <f t="shared" si="703"/>
        <v>0</v>
      </c>
      <c r="M1765" s="246">
        <f t="shared" si="704"/>
        <v>0</v>
      </c>
      <c r="N1765" s="121">
        <f t="shared" si="705"/>
        <v>1</v>
      </c>
      <c r="O1765" s="246">
        <f t="shared" si="706"/>
        <v>0.91</v>
      </c>
      <c r="P1765" s="121">
        <f t="shared" si="707"/>
        <v>1</v>
      </c>
      <c r="Q1765" s="121">
        <f t="shared" si="708"/>
        <v>0</v>
      </c>
      <c r="R1765" s="121">
        <f t="shared" si="709"/>
        <v>0</v>
      </c>
      <c r="S1765" s="121" t="str">
        <f t="shared" si="710"/>
        <v/>
      </c>
      <c r="T1765" s="121" t="str">
        <f t="shared" si="711"/>
        <v/>
      </c>
      <c r="U1765" s="121">
        <f t="shared" si="712"/>
        <v>1</v>
      </c>
    </row>
    <row r="1766" spans="1:21" x14ac:dyDescent="0.3">
      <c r="A1766" s="187">
        <v>14</v>
      </c>
      <c r="B1766" s="242">
        <f t="shared" si="713"/>
        <v>46054</v>
      </c>
      <c r="C1766" s="243">
        <f t="shared" si="694"/>
        <v>46081</v>
      </c>
      <c r="D1766" s="120">
        <f t="shared" si="695"/>
        <v>28</v>
      </c>
      <c r="E1766" s="120">
        <f t="shared" si="696"/>
        <v>2</v>
      </c>
      <c r="F1766" s="275">
        <f t="shared" si="697"/>
        <v>46068</v>
      </c>
      <c r="G1766" s="120">
        <f t="shared" si="698"/>
        <v>24313</v>
      </c>
      <c r="H1766" s="245">
        <f t="shared" si="699"/>
        <v>1</v>
      </c>
      <c r="I1766" s="121">
        <f t="shared" si="700"/>
        <v>1</v>
      </c>
      <c r="J1766" s="121">
        <f t="shared" si="701"/>
        <v>1</v>
      </c>
      <c r="K1766" s="120">
        <f t="shared" si="702"/>
        <v>0</v>
      </c>
      <c r="L1766" s="120">
        <f t="shared" si="703"/>
        <v>0</v>
      </c>
      <c r="M1766" s="246">
        <f t="shared" si="704"/>
        <v>0</v>
      </c>
      <c r="N1766" s="121">
        <f t="shared" si="705"/>
        <v>1</v>
      </c>
      <c r="O1766" s="246">
        <f t="shared" si="706"/>
        <v>0.91</v>
      </c>
      <c r="P1766" s="121">
        <f t="shared" si="707"/>
        <v>1</v>
      </c>
      <c r="Q1766" s="121">
        <f t="shared" si="708"/>
        <v>0</v>
      </c>
      <c r="R1766" s="121">
        <f t="shared" si="709"/>
        <v>0</v>
      </c>
      <c r="S1766" s="121" t="str">
        <f t="shared" si="710"/>
        <v/>
      </c>
      <c r="T1766" s="121" t="str">
        <f t="shared" si="711"/>
        <v/>
      </c>
      <c r="U1766" s="121">
        <f t="shared" si="712"/>
        <v>1</v>
      </c>
    </row>
    <row r="1767" spans="1:21" x14ac:dyDescent="0.3">
      <c r="A1767" s="187">
        <v>15</v>
      </c>
      <c r="B1767" s="242">
        <f t="shared" si="713"/>
        <v>46082</v>
      </c>
      <c r="C1767" s="243">
        <f t="shared" si="694"/>
        <v>46112</v>
      </c>
      <c r="D1767" s="120">
        <f t="shared" si="695"/>
        <v>31</v>
      </c>
      <c r="E1767" s="120">
        <f t="shared" si="696"/>
        <v>3</v>
      </c>
      <c r="F1767" s="275">
        <f t="shared" si="697"/>
        <v>46097.5</v>
      </c>
      <c r="G1767" s="120">
        <f t="shared" si="698"/>
        <v>24314</v>
      </c>
      <c r="H1767" s="245">
        <f t="shared" si="699"/>
        <v>1</v>
      </c>
      <c r="I1767" s="121">
        <f t="shared" si="700"/>
        <v>1</v>
      </c>
      <c r="J1767" s="121">
        <f t="shared" si="701"/>
        <v>1</v>
      </c>
      <c r="K1767" s="120">
        <f t="shared" si="702"/>
        <v>0</v>
      </c>
      <c r="L1767" s="120">
        <f t="shared" si="703"/>
        <v>0</v>
      </c>
      <c r="M1767" s="246">
        <f t="shared" si="704"/>
        <v>0</v>
      </c>
      <c r="N1767" s="121">
        <f t="shared" si="705"/>
        <v>1</v>
      </c>
      <c r="O1767" s="246">
        <f t="shared" si="706"/>
        <v>0.91</v>
      </c>
      <c r="P1767" s="121">
        <f t="shared" si="707"/>
        <v>1</v>
      </c>
      <c r="Q1767" s="121">
        <f t="shared" si="708"/>
        <v>0</v>
      </c>
      <c r="R1767" s="121">
        <f t="shared" si="709"/>
        <v>0</v>
      </c>
      <c r="S1767" s="121" t="str">
        <f t="shared" si="710"/>
        <v/>
      </c>
      <c r="T1767" s="121" t="str">
        <f t="shared" si="711"/>
        <v/>
      </c>
      <c r="U1767" s="121">
        <f t="shared" si="712"/>
        <v>1</v>
      </c>
    </row>
    <row r="1768" spans="1:21" x14ac:dyDescent="0.3">
      <c r="A1768" s="187">
        <v>16</v>
      </c>
      <c r="B1768" s="242">
        <f t="shared" si="713"/>
        <v>46113</v>
      </c>
      <c r="C1768" s="243">
        <f t="shared" si="694"/>
        <v>46142</v>
      </c>
      <c r="D1768" s="120">
        <f t="shared" si="695"/>
        <v>30</v>
      </c>
      <c r="E1768" s="120">
        <f t="shared" si="696"/>
        <v>4</v>
      </c>
      <c r="F1768" s="275">
        <f t="shared" si="697"/>
        <v>46128</v>
      </c>
      <c r="G1768" s="120">
        <f t="shared" si="698"/>
        <v>24315</v>
      </c>
      <c r="H1768" s="245">
        <f t="shared" si="699"/>
        <v>1</v>
      </c>
      <c r="I1768" s="121">
        <f t="shared" si="700"/>
        <v>1</v>
      </c>
      <c r="J1768" s="121">
        <f t="shared" si="701"/>
        <v>1</v>
      </c>
      <c r="K1768" s="120">
        <f t="shared" si="702"/>
        <v>0</v>
      </c>
      <c r="L1768" s="120">
        <f t="shared" si="703"/>
        <v>0</v>
      </c>
      <c r="M1768" s="246">
        <f t="shared" si="704"/>
        <v>0</v>
      </c>
      <c r="N1768" s="121">
        <f t="shared" si="705"/>
        <v>1</v>
      </c>
      <c r="O1768" s="246">
        <f t="shared" si="706"/>
        <v>0.91</v>
      </c>
      <c r="P1768" s="121">
        <f t="shared" si="707"/>
        <v>1</v>
      </c>
      <c r="Q1768" s="121">
        <f t="shared" si="708"/>
        <v>0</v>
      </c>
      <c r="R1768" s="121">
        <f t="shared" si="709"/>
        <v>0</v>
      </c>
      <c r="S1768" s="121" t="str">
        <f t="shared" si="710"/>
        <v/>
      </c>
      <c r="T1768" s="121" t="str">
        <f t="shared" si="711"/>
        <v/>
      </c>
      <c r="U1768" s="121">
        <f t="shared" si="712"/>
        <v>1</v>
      </c>
    </row>
    <row r="1769" spans="1:21" x14ac:dyDescent="0.3">
      <c r="A1769" s="187">
        <v>17</v>
      </c>
      <c r="B1769" s="242">
        <f t="shared" si="713"/>
        <v>46143</v>
      </c>
      <c r="C1769" s="243">
        <f t="shared" si="694"/>
        <v>46173</v>
      </c>
      <c r="D1769" s="120">
        <f t="shared" si="695"/>
        <v>31</v>
      </c>
      <c r="E1769" s="120">
        <f t="shared" si="696"/>
        <v>5</v>
      </c>
      <c r="F1769" s="275">
        <f t="shared" si="697"/>
        <v>46158.5</v>
      </c>
      <c r="G1769" s="120">
        <f t="shared" si="698"/>
        <v>24316</v>
      </c>
      <c r="H1769" s="245">
        <f t="shared" si="699"/>
        <v>1</v>
      </c>
      <c r="I1769" s="121">
        <f t="shared" si="700"/>
        <v>1</v>
      </c>
      <c r="J1769" s="121">
        <f t="shared" si="701"/>
        <v>1</v>
      </c>
      <c r="K1769" s="120">
        <f t="shared" si="702"/>
        <v>0</v>
      </c>
      <c r="L1769" s="120">
        <f t="shared" si="703"/>
        <v>0</v>
      </c>
      <c r="M1769" s="246">
        <f t="shared" si="704"/>
        <v>0</v>
      </c>
      <c r="N1769" s="121">
        <f t="shared" si="705"/>
        <v>1</v>
      </c>
      <c r="O1769" s="246">
        <f t="shared" si="706"/>
        <v>0.91</v>
      </c>
      <c r="P1769" s="121">
        <f t="shared" si="707"/>
        <v>1</v>
      </c>
      <c r="Q1769" s="121">
        <f t="shared" si="708"/>
        <v>0</v>
      </c>
      <c r="R1769" s="121">
        <f t="shared" si="709"/>
        <v>0</v>
      </c>
      <c r="S1769" s="121" t="str">
        <f t="shared" si="710"/>
        <v/>
      </c>
      <c r="T1769" s="121" t="str">
        <f t="shared" si="711"/>
        <v/>
      </c>
      <c r="U1769" s="121">
        <f t="shared" si="712"/>
        <v>1</v>
      </c>
    </row>
    <row r="1770" spans="1:21" x14ac:dyDescent="0.3">
      <c r="A1770" s="187">
        <v>18</v>
      </c>
      <c r="B1770" s="242">
        <f t="shared" si="713"/>
        <v>46174</v>
      </c>
      <c r="C1770" s="243">
        <f t="shared" si="694"/>
        <v>46203</v>
      </c>
      <c r="D1770" s="120">
        <f t="shared" si="695"/>
        <v>30</v>
      </c>
      <c r="E1770" s="120">
        <f t="shared" si="696"/>
        <v>6</v>
      </c>
      <c r="F1770" s="275">
        <f t="shared" si="697"/>
        <v>46189</v>
      </c>
      <c r="G1770" s="120">
        <f t="shared" si="698"/>
        <v>24317</v>
      </c>
      <c r="H1770" s="245">
        <f t="shared" si="699"/>
        <v>1</v>
      </c>
      <c r="I1770" s="121">
        <f t="shared" si="700"/>
        <v>1</v>
      </c>
      <c r="J1770" s="121">
        <f t="shared" si="701"/>
        <v>1</v>
      </c>
      <c r="K1770" s="120">
        <f t="shared" si="702"/>
        <v>0</v>
      </c>
      <c r="L1770" s="120">
        <f t="shared" si="703"/>
        <v>0</v>
      </c>
      <c r="M1770" s="246">
        <f t="shared" si="704"/>
        <v>0</v>
      </c>
      <c r="N1770" s="121">
        <f t="shared" si="705"/>
        <v>1</v>
      </c>
      <c r="O1770" s="246">
        <f t="shared" si="706"/>
        <v>0.91</v>
      </c>
      <c r="P1770" s="121">
        <f t="shared" si="707"/>
        <v>1</v>
      </c>
      <c r="Q1770" s="121">
        <f t="shared" si="708"/>
        <v>0</v>
      </c>
      <c r="R1770" s="121">
        <f t="shared" si="709"/>
        <v>0</v>
      </c>
      <c r="S1770" s="121" t="str">
        <f t="shared" si="710"/>
        <v/>
      </c>
      <c r="T1770" s="121" t="str">
        <f t="shared" si="711"/>
        <v/>
      </c>
      <c r="U1770" s="121">
        <f t="shared" si="712"/>
        <v>1</v>
      </c>
    </row>
    <row r="1771" spans="1:21" x14ac:dyDescent="0.3">
      <c r="A1771" s="187">
        <v>19</v>
      </c>
      <c r="B1771" s="242">
        <f t="shared" si="713"/>
        <v>46204</v>
      </c>
      <c r="C1771" s="243">
        <f t="shared" si="694"/>
        <v>46234</v>
      </c>
      <c r="D1771" s="120">
        <f t="shared" si="695"/>
        <v>31</v>
      </c>
      <c r="E1771" s="120">
        <f t="shared" si="696"/>
        <v>7</v>
      </c>
      <c r="F1771" s="275">
        <f t="shared" si="697"/>
        <v>46219.5</v>
      </c>
      <c r="G1771" s="120">
        <f t="shared" si="698"/>
        <v>24318</v>
      </c>
      <c r="H1771" s="245">
        <f t="shared" si="699"/>
        <v>1</v>
      </c>
      <c r="I1771" s="121">
        <f t="shared" si="700"/>
        <v>1</v>
      </c>
      <c r="J1771" s="121">
        <f t="shared" si="701"/>
        <v>1</v>
      </c>
      <c r="K1771" s="120">
        <f t="shared" si="702"/>
        <v>0</v>
      </c>
      <c r="L1771" s="120">
        <f t="shared" si="703"/>
        <v>0</v>
      </c>
      <c r="M1771" s="246">
        <f t="shared" si="704"/>
        <v>0</v>
      </c>
      <c r="N1771" s="121">
        <f t="shared" si="705"/>
        <v>1</v>
      </c>
      <c r="O1771" s="246">
        <f t="shared" si="706"/>
        <v>0.91</v>
      </c>
      <c r="P1771" s="121">
        <f t="shared" si="707"/>
        <v>0.91666666666666663</v>
      </c>
      <c r="Q1771" s="121">
        <f t="shared" si="708"/>
        <v>8.333333333333337E-2</v>
      </c>
      <c r="R1771" s="121">
        <f t="shared" si="709"/>
        <v>0</v>
      </c>
      <c r="S1771" s="121" t="str">
        <f t="shared" si="710"/>
        <v/>
      </c>
      <c r="T1771" s="121" t="str">
        <f t="shared" si="711"/>
        <v/>
      </c>
      <c r="U1771" s="121">
        <f t="shared" si="712"/>
        <v>1</v>
      </c>
    </row>
    <row r="1772" spans="1:21" x14ac:dyDescent="0.3">
      <c r="A1772" s="187">
        <v>20</v>
      </c>
      <c r="B1772" s="242">
        <f t="shared" si="713"/>
        <v>46235</v>
      </c>
      <c r="C1772" s="243">
        <f t="shared" si="694"/>
        <v>46265</v>
      </c>
      <c r="D1772" s="120">
        <f t="shared" si="695"/>
        <v>31</v>
      </c>
      <c r="E1772" s="120">
        <f t="shared" si="696"/>
        <v>8</v>
      </c>
      <c r="F1772" s="275">
        <f t="shared" si="697"/>
        <v>46250.5</v>
      </c>
      <c r="G1772" s="120">
        <f t="shared" si="698"/>
        <v>24319</v>
      </c>
      <c r="H1772" s="245">
        <f t="shared" si="699"/>
        <v>1</v>
      </c>
      <c r="I1772" s="121">
        <f t="shared" si="700"/>
        <v>1</v>
      </c>
      <c r="J1772" s="121">
        <f t="shared" si="701"/>
        <v>1.03</v>
      </c>
      <c r="K1772" s="120">
        <f t="shared" si="702"/>
        <v>1</v>
      </c>
      <c r="L1772" s="120">
        <f t="shared" si="703"/>
        <v>31</v>
      </c>
      <c r="M1772" s="246">
        <f t="shared" si="704"/>
        <v>1</v>
      </c>
      <c r="N1772" s="121">
        <f t="shared" si="705"/>
        <v>1.03</v>
      </c>
      <c r="O1772" s="246">
        <f t="shared" si="706"/>
        <v>0.91</v>
      </c>
      <c r="P1772" s="121">
        <f t="shared" si="707"/>
        <v>0.75</v>
      </c>
      <c r="Q1772" s="121">
        <f t="shared" si="708"/>
        <v>0.25</v>
      </c>
      <c r="R1772" s="121">
        <f t="shared" si="709"/>
        <v>0</v>
      </c>
      <c r="S1772" s="121" t="str">
        <f t="shared" si="710"/>
        <v/>
      </c>
      <c r="T1772" s="121" t="str">
        <f t="shared" si="711"/>
        <v/>
      </c>
      <c r="U1772" s="121">
        <f t="shared" si="712"/>
        <v>1.03</v>
      </c>
    </row>
    <row r="1773" spans="1:21" x14ac:dyDescent="0.3">
      <c r="A1773" s="187">
        <v>21</v>
      </c>
      <c r="B1773" s="242">
        <f t="shared" si="713"/>
        <v>46266</v>
      </c>
      <c r="C1773" s="243">
        <f t="shared" si="694"/>
        <v>46295</v>
      </c>
      <c r="D1773" s="120">
        <f t="shared" si="695"/>
        <v>30</v>
      </c>
      <c r="E1773" s="120">
        <f t="shared" si="696"/>
        <v>9</v>
      </c>
      <c r="F1773" s="275">
        <f t="shared" si="697"/>
        <v>46281</v>
      </c>
      <c r="G1773" s="120">
        <f t="shared" si="698"/>
        <v>24320</v>
      </c>
      <c r="H1773" s="245">
        <f t="shared" si="699"/>
        <v>1</v>
      </c>
      <c r="I1773" s="121">
        <f t="shared" si="700"/>
        <v>1.03</v>
      </c>
      <c r="J1773" s="121">
        <f t="shared" si="701"/>
        <v>1.03</v>
      </c>
      <c r="K1773" s="120">
        <f t="shared" si="702"/>
        <v>0</v>
      </c>
      <c r="L1773" s="120">
        <f t="shared" si="703"/>
        <v>0</v>
      </c>
      <c r="M1773" s="246">
        <f t="shared" si="704"/>
        <v>0</v>
      </c>
      <c r="N1773" s="121">
        <f t="shared" si="705"/>
        <v>1.03</v>
      </c>
      <c r="O1773" s="246">
        <f t="shared" si="706"/>
        <v>0.91</v>
      </c>
      <c r="P1773" s="121">
        <f t="shared" si="707"/>
        <v>0.58333333333333337</v>
      </c>
      <c r="Q1773" s="121">
        <f t="shared" si="708"/>
        <v>0.41666666666666663</v>
      </c>
      <c r="R1773" s="121">
        <f t="shared" si="709"/>
        <v>0</v>
      </c>
      <c r="S1773" s="121" t="str">
        <f t="shared" si="710"/>
        <v/>
      </c>
      <c r="T1773" s="121" t="str">
        <f t="shared" si="711"/>
        <v/>
      </c>
      <c r="U1773" s="121">
        <f t="shared" si="712"/>
        <v>1.03</v>
      </c>
    </row>
    <row r="1774" spans="1:21" x14ac:dyDescent="0.3">
      <c r="A1774" s="187">
        <v>22</v>
      </c>
      <c r="B1774" s="242">
        <f t="shared" si="713"/>
        <v>46296</v>
      </c>
      <c r="C1774" s="243">
        <f t="shared" si="694"/>
        <v>46326</v>
      </c>
      <c r="D1774" s="120">
        <f t="shared" si="695"/>
        <v>31</v>
      </c>
      <c r="E1774" s="120">
        <f t="shared" si="696"/>
        <v>10</v>
      </c>
      <c r="F1774" s="275">
        <f t="shared" si="697"/>
        <v>46311.5</v>
      </c>
      <c r="G1774" s="120">
        <f t="shared" si="698"/>
        <v>24321</v>
      </c>
      <c r="H1774" s="245">
        <f t="shared" si="699"/>
        <v>1</v>
      </c>
      <c r="I1774" s="121">
        <f t="shared" si="700"/>
        <v>1.03</v>
      </c>
      <c r="J1774" s="121">
        <f t="shared" si="701"/>
        <v>1.03</v>
      </c>
      <c r="K1774" s="120">
        <f t="shared" si="702"/>
        <v>0</v>
      </c>
      <c r="L1774" s="120">
        <f t="shared" si="703"/>
        <v>0</v>
      </c>
      <c r="M1774" s="246">
        <f t="shared" si="704"/>
        <v>0</v>
      </c>
      <c r="N1774" s="121">
        <f t="shared" si="705"/>
        <v>1.03</v>
      </c>
      <c r="O1774" s="246">
        <f t="shared" si="706"/>
        <v>0.91</v>
      </c>
      <c r="P1774" s="121">
        <f t="shared" si="707"/>
        <v>0.41666666666666669</v>
      </c>
      <c r="Q1774" s="121">
        <f t="shared" si="708"/>
        <v>0.58333333333333326</v>
      </c>
      <c r="R1774" s="121">
        <f t="shared" si="709"/>
        <v>0</v>
      </c>
      <c r="S1774" s="121" t="str">
        <f t="shared" si="710"/>
        <v/>
      </c>
      <c r="T1774" s="121" t="str">
        <f t="shared" si="711"/>
        <v/>
      </c>
      <c r="U1774" s="121">
        <f t="shared" si="712"/>
        <v>1.03</v>
      </c>
    </row>
    <row r="1775" spans="1:21" x14ac:dyDescent="0.3">
      <c r="A1775" s="187">
        <v>23</v>
      </c>
      <c r="B1775" s="242">
        <f t="shared" si="713"/>
        <v>46327</v>
      </c>
      <c r="C1775" s="243">
        <f t="shared" si="694"/>
        <v>46356</v>
      </c>
      <c r="D1775" s="120">
        <f t="shared" si="695"/>
        <v>30</v>
      </c>
      <c r="E1775" s="120">
        <f t="shared" si="696"/>
        <v>11</v>
      </c>
      <c r="F1775" s="275">
        <f t="shared" si="697"/>
        <v>46342</v>
      </c>
      <c r="G1775" s="120">
        <f t="shared" si="698"/>
        <v>24322</v>
      </c>
      <c r="H1775" s="245">
        <f t="shared" si="699"/>
        <v>1</v>
      </c>
      <c r="I1775" s="121">
        <f t="shared" si="700"/>
        <v>1.03</v>
      </c>
      <c r="J1775" s="121">
        <f t="shared" si="701"/>
        <v>1.03</v>
      </c>
      <c r="K1775" s="120">
        <f t="shared" si="702"/>
        <v>0</v>
      </c>
      <c r="L1775" s="120">
        <f t="shared" si="703"/>
        <v>0</v>
      </c>
      <c r="M1775" s="246">
        <f t="shared" si="704"/>
        <v>0</v>
      </c>
      <c r="N1775" s="121">
        <f t="shared" si="705"/>
        <v>1.03</v>
      </c>
      <c r="O1775" s="246">
        <f t="shared" si="706"/>
        <v>0.91</v>
      </c>
      <c r="P1775" s="121">
        <f t="shared" si="707"/>
        <v>0.25</v>
      </c>
      <c r="Q1775" s="121">
        <f t="shared" si="708"/>
        <v>0.75</v>
      </c>
      <c r="R1775" s="121">
        <f t="shared" si="709"/>
        <v>0</v>
      </c>
      <c r="S1775" s="121" t="str">
        <f t="shared" si="710"/>
        <v/>
      </c>
      <c r="T1775" s="121" t="str">
        <f t="shared" si="711"/>
        <v/>
      </c>
      <c r="U1775" s="121">
        <f t="shared" si="712"/>
        <v>1.03</v>
      </c>
    </row>
    <row r="1776" spans="1:21" x14ac:dyDescent="0.3">
      <c r="A1776" s="187">
        <v>24</v>
      </c>
      <c r="B1776" s="242">
        <f t="shared" si="713"/>
        <v>46357</v>
      </c>
      <c r="C1776" s="243">
        <f t="shared" si="694"/>
        <v>46387</v>
      </c>
      <c r="D1776" s="120">
        <f t="shared" si="695"/>
        <v>31</v>
      </c>
      <c r="E1776" s="120">
        <f t="shared" si="696"/>
        <v>12</v>
      </c>
      <c r="F1776" s="275">
        <f t="shared" si="697"/>
        <v>46372.5</v>
      </c>
      <c r="G1776" s="120">
        <f t="shared" si="698"/>
        <v>24323</v>
      </c>
      <c r="H1776" s="245">
        <f t="shared" si="699"/>
        <v>1</v>
      </c>
      <c r="I1776" s="121">
        <f t="shared" si="700"/>
        <v>1.03</v>
      </c>
      <c r="J1776" s="121">
        <f t="shared" si="701"/>
        <v>1.03</v>
      </c>
      <c r="K1776" s="120">
        <f t="shared" si="702"/>
        <v>0</v>
      </c>
      <c r="L1776" s="120">
        <f t="shared" si="703"/>
        <v>0</v>
      </c>
      <c r="M1776" s="246">
        <f t="shared" si="704"/>
        <v>0</v>
      </c>
      <c r="N1776" s="121">
        <f t="shared" si="705"/>
        <v>1.03</v>
      </c>
      <c r="O1776" s="246">
        <f t="shared" si="706"/>
        <v>0.91</v>
      </c>
      <c r="P1776" s="121">
        <f t="shared" si="707"/>
        <v>8.3333333333333329E-2</v>
      </c>
      <c r="Q1776" s="121">
        <f t="shared" si="708"/>
        <v>0.91666666666666663</v>
      </c>
      <c r="R1776" s="121">
        <f t="shared" si="709"/>
        <v>0</v>
      </c>
      <c r="S1776" s="121" t="str">
        <f t="shared" si="710"/>
        <v/>
      </c>
      <c r="T1776" s="121" t="str">
        <f t="shared" si="711"/>
        <v/>
      </c>
      <c r="U1776" s="121">
        <f t="shared" si="712"/>
        <v>1.03</v>
      </c>
    </row>
    <row r="1777" spans="1:21" x14ac:dyDescent="0.3">
      <c r="A1777" s="187">
        <v>25</v>
      </c>
      <c r="B1777" s="242">
        <f t="shared" si="713"/>
        <v>46388</v>
      </c>
      <c r="C1777" s="243">
        <f t="shared" si="694"/>
        <v>46418</v>
      </c>
      <c r="D1777" s="120">
        <f t="shared" si="695"/>
        <v>31</v>
      </c>
      <c r="E1777" s="120">
        <f t="shared" si="696"/>
        <v>1</v>
      </c>
      <c r="F1777" s="275">
        <f t="shared" si="697"/>
        <v>46403.5</v>
      </c>
      <c r="G1777" s="120">
        <f t="shared" si="698"/>
        <v>24324</v>
      </c>
      <c r="H1777" s="245">
        <f t="shared" si="699"/>
        <v>1</v>
      </c>
      <c r="I1777" s="121">
        <f t="shared" si="700"/>
        <v>1.03</v>
      </c>
      <c r="J1777" s="121">
        <f t="shared" si="701"/>
        <v>1.03</v>
      </c>
      <c r="K1777" s="120">
        <f t="shared" si="702"/>
        <v>0</v>
      </c>
      <c r="L1777" s="120">
        <f t="shared" si="703"/>
        <v>0</v>
      </c>
      <c r="M1777" s="246">
        <f t="shared" si="704"/>
        <v>0</v>
      </c>
      <c r="N1777" s="121">
        <f t="shared" si="705"/>
        <v>1.03</v>
      </c>
      <c r="O1777" s="246">
        <f t="shared" si="706"/>
        <v>0.91</v>
      </c>
      <c r="P1777" s="121">
        <f t="shared" si="707"/>
        <v>0</v>
      </c>
      <c r="Q1777" s="121">
        <f t="shared" si="708"/>
        <v>1</v>
      </c>
      <c r="R1777" s="121">
        <f t="shared" si="709"/>
        <v>0</v>
      </c>
      <c r="S1777" s="121" t="str">
        <f t="shared" si="710"/>
        <v/>
      </c>
      <c r="T1777" s="121" t="str">
        <f t="shared" si="711"/>
        <v/>
      </c>
      <c r="U1777" s="121">
        <f t="shared" si="712"/>
        <v>1.03</v>
      </c>
    </row>
    <row r="1778" spans="1:21" x14ac:dyDescent="0.3">
      <c r="A1778" s="187">
        <v>26</v>
      </c>
      <c r="B1778" s="242">
        <f t="shared" si="713"/>
        <v>46419</v>
      </c>
      <c r="C1778" s="243">
        <f t="shared" si="694"/>
        <v>46446</v>
      </c>
      <c r="D1778" s="120">
        <f t="shared" si="695"/>
        <v>28</v>
      </c>
      <c r="E1778" s="120">
        <f t="shared" si="696"/>
        <v>2</v>
      </c>
      <c r="F1778" s="275">
        <f t="shared" si="697"/>
        <v>46433</v>
      </c>
      <c r="G1778" s="120">
        <f t="shared" si="698"/>
        <v>24325</v>
      </c>
      <c r="H1778" s="245">
        <f t="shared" si="699"/>
        <v>1</v>
      </c>
      <c r="I1778" s="121">
        <f t="shared" si="700"/>
        <v>1.03</v>
      </c>
      <c r="J1778" s="121">
        <f t="shared" si="701"/>
        <v>1.03</v>
      </c>
      <c r="K1778" s="120">
        <f t="shared" si="702"/>
        <v>0</v>
      </c>
      <c r="L1778" s="120">
        <f t="shared" si="703"/>
        <v>0</v>
      </c>
      <c r="M1778" s="246">
        <f t="shared" si="704"/>
        <v>0</v>
      </c>
      <c r="N1778" s="121">
        <f t="shared" si="705"/>
        <v>1.03</v>
      </c>
      <c r="O1778" s="246">
        <f t="shared" si="706"/>
        <v>0.91</v>
      </c>
      <c r="P1778" s="121">
        <f t="shared" si="707"/>
        <v>0</v>
      </c>
      <c r="Q1778" s="121">
        <f t="shared" si="708"/>
        <v>1</v>
      </c>
      <c r="R1778" s="121">
        <f t="shared" si="709"/>
        <v>0</v>
      </c>
      <c r="S1778" s="121" t="str">
        <f t="shared" si="710"/>
        <v/>
      </c>
      <c r="T1778" s="121" t="str">
        <f t="shared" si="711"/>
        <v/>
      </c>
      <c r="U1778" s="121">
        <f t="shared" si="712"/>
        <v>1.03</v>
      </c>
    </row>
    <row r="1779" spans="1:21" x14ac:dyDescent="0.3">
      <c r="A1779" s="187">
        <v>27</v>
      </c>
      <c r="B1779" s="242">
        <f t="shared" si="713"/>
        <v>46447</v>
      </c>
      <c r="C1779" s="243">
        <f t="shared" si="694"/>
        <v>46477</v>
      </c>
      <c r="D1779" s="120">
        <f t="shared" si="695"/>
        <v>31</v>
      </c>
      <c r="E1779" s="120">
        <f t="shared" si="696"/>
        <v>3</v>
      </c>
      <c r="F1779" s="275">
        <f t="shared" si="697"/>
        <v>46462.5</v>
      </c>
      <c r="G1779" s="120">
        <f t="shared" si="698"/>
        <v>24326</v>
      </c>
      <c r="H1779" s="245">
        <f t="shared" si="699"/>
        <v>1</v>
      </c>
      <c r="I1779" s="121">
        <f t="shared" si="700"/>
        <v>1.03</v>
      </c>
      <c r="J1779" s="121">
        <f t="shared" si="701"/>
        <v>1.03</v>
      </c>
      <c r="K1779" s="120">
        <f t="shared" si="702"/>
        <v>0</v>
      </c>
      <c r="L1779" s="120">
        <f t="shared" si="703"/>
        <v>0</v>
      </c>
      <c r="M1779" s="246">
        <f t="shared" si="704"/>
        <v>0</v>
      </c>
      <c r="N1779" s="121">
        <f t="shared" si="705"/>
        <v>1.03</v>
      </c>
      <c r="O1779" s="246">
        <f t="shared" si="706"/>
        <v>0.91</v>
      </c>
      <c r="P1779" s="121">
        <f t="shared" si="707"/>
        <v>0</v>
      </c>
      <c r="Q1779" s="121">
        <f t="shared" si="708"/>
        <v>1</v>
      </c>
      <c r="R1779" s="121">
        <f t="shared" si="709"/>
        <v>0</v>
      </c>
      <c r="S1779" s="121" t="str">
        <f t="shared" si="710"/>
        <v/>
      </c>
      <c r="T1779" s="121" t="str">
        <f t="shared" si="711"/>
        <v/>
      </c>
      <c r="U1779" s="121">
        <f t="shared" si="712"/>
        <v>1.03</v>
      </c>
    </row>
    <row r="1780" spans="1:21" x14ac:dyDescent="0.3">
      <c r="A1780" s="187">
        <v>28</v>
      </c>
      <c r="B1780" s="242">
        <f t="shared" si="713"/>
        <v>46478</v>
      </c>
      <c r="C1780" s="243">
        <f t="shared" si="694"/>
        <v>46507</v>
      </c>
      <c r="D1780" s="120">
        <f t="shared" si="695"/>
        <v>30</v>
      </c>
      <c r="E1780" s="120">
        <f t="shared" si="696"/>
        <v>4</v>
      </c>
      <c r="F1780" s="275">
        <f t="shared" si="697"/>
        <v>46493</v>
      </c>
      <c r="G1780" s="120">
        <f t="shared" si="698"/>
        <v>24327</v>
      </c>
      <c r="H1780" s="245">
        <f t="shared" si="699"/>
        <v>1</v>
      </c>
      <c r="I1780" s="121">
        <f t="shared" si="700"/>
        <v>1.03</v>
      </c>
      <c r="J1780" s="121">
        <f t="shared" si="701"/>
        <v>1.03</v>
      </c>
      <c r="K1780" s="120">
        <f t="shared" si="702"/>
        <v>0</v>
      </c>
      <c r="L1780" s="120">
        <f t="shared" si="703"/>
        <v>0</v>
      </c>
      <c r="M1780" s="246">
        <f t="shared" si="704"/>
        <v>0</v>
      </c>
      <c r="N1780" s="121">
        <f t="shared" si="705"/>
        <v>1.03</v>
      </c>
      <c r="O1780" s="246">
        <f t="shared" si="706"/>
        <v>0.91</v>
      </c>
      <c r="P1780" s="121">
        <f t="shared" si="707"/>
        <v>0</v>
      </c>
      <c r="Q1780" s="121">
        <f t="shared" si="708"/>
        <v>1</v>
      </c>
      <c r="R1780" s="121">
        <f t="shared" si="709"/>
        <v>0</v>
      </c>
      <c r="S1780" s="121" t="str">
        <f t="shared" si="710"/>
        <v/>
      </c>
      <c r="T1780" s="121" t="str">
        <f t="shared" si="711"/>
        <v/>
      </c>
      <c r="U1780" s="121">
        <f t="shared" si="712"/>
        <v>1.03</v>
      </c>
    </row>
    <row r="1781" spans="1:21" x14ac:dyDescent="0.3">
      <c r="A1781" s="187">
        <v>29</v>
      </c>
      <c r="B1781" s="242">
        <f t="shared" si="713"/>
        <v>46508</v>
      </c>
      <c r="C1781" s="243">
        <f t="shared" si="694"/>
        <v>46538</v>
      </c>
      <c r="D1781" s="120">
        <f t="shared" si="695"/>
        <v>31</v>
      </c>
      <c r="E1781" s="120">
        <f t="shared" si="696"/>
        <v>5</v>
      </c>
      <c r="F1781" s="275">
        <f t="shared" si="697"/>
        <v>46523.5</v>
      </c>
      <c r="G1781" s="120">
        <f t="shared" si="698"/>
        <v>24328</v>
      </c>
      <c r="H1781" s="245">
        <f t="shared" si="699"/>
        <v>1</v>
      </c>
      <c r="I1781" s="121">
        <f t="shared" si="700"/>
        <v>1.03</v>
      </c>
      <c r="J1781" s="121">
        <f t="shared" si="701"/>
        <v>1.03</v>
      </c>
      <c r="K1781" s="120">
        <f t="shared" si="702"/>
        <v>0</v>
      </c>
      <c r="L1781" s="120">
        <f t="shared" si="703"/>
        <v>0</v>
      </c>
      <c r="M1781" s="246">
        <f t="shared" si="704"/>
        <v>0</v>
      </c>
      <c r="N1781" s="121">
        <f t="shared" si="705"/>
        <v>1.03</v>
      </c>
      <c r="O1781" s="246">
        <f t="shared" si="706"/>
        <v>0.91</v>
      </c>
      <c r="P1781" s="121">
        <f t="shared" si="707"/>
        <v>0</v>
      </c>
      <c r="Q1781" s="121">
        <f t="shared" si="708"/>
        <v>1</v>
      </c>
      <c r="R1781" s="121">
        <f t="shared" si="709"/>
        <v>0</v>
      </c>
      <c r="S1781" s="121" t="str">
        <f t="shared" si="710"/>
        <v/>
      </c>
      <c r="T1781" s="121" t="str">
        <f t="shared" si="711"/>
        <v/>
      </c>
      <c r="U1781" s="121">
        <f t="shared" si="712"/>
        <v>1.03</v>
      </c>
    </row>
    <row r="1782" spans="1:21" x14ac:dyDescent="0.3">
      <c r="A1782" s="187">
        <v>30</v>
      </c>
      <c r="B1782" s="242">
        <f t="shared" si="713"/>
        <v>46539</v>
      </c>
      <c r="C1782" s="243">
        <f t="shared" si="694"/>
        <v>46568</v>
      </c>
      <c r="D1782" s="120">
        <f t="shared" si="695"/>
        <v>30</v>
      </c>
      <c r="E1782" s="120">
        <f t="shared" si="696"/>
        <v>6</v>
      </c>
      <c r="F1782" s="275">
        <f t="shared" si="697"/>
        <v>46554</v>
      </c>
      <c r="G1782" s="120">
        <f t="shared" si="698"/>
        <v>24329</v>
      </c>
      <c r="H1782" s="245">
        <f t="shared" si="699"/>
        <v>1</v>
      </c>
      <c r="I1782" s="121">
        <f t="shared" si="700"/>
        <v>1.03</v>
      </c>
      <c r="J1782" s="121">
        <f t="shared" si="701"/>
        <v>1.03</v>
      </c>
      <c r="K1782" s="120">
        <f t="shared" si="702"/>
        <v>0</v>
      </c>
      <c r="L1782" s="120">
        <f t="shared" si="703"/>
        <v>0</v>
      </c>
      <c r="M1782" s="246">
        <f t="shared" si="704"/>
        <v>0</v>
      </c>
      <c r="N1782" s="121">
        <f t="shared" si="705"/>
        <v>1.03</v>
      </c>
      <c r="O1782" s="246">
        <f t="shared" si="706"/>
        <v>0.91</v>
      </c>
      <c r="P1782" s="121">
        <f t="shared" si="707"/>
        <v>0</v>
      </c>
      <c r="Q1782" s="121">
        <f t="shared" si="708"/>
        <v>1</v>
      </c>
      <c r="R1782" s="121">
        <f t="shared" si="709"/>
        <v>0</v>
      </c>
      <c r="S1782" s="121" t="str">
        <f t="shared" si="710"/>
        <v/>
      </c>
      <c r="T1782" s="121" t="str">
        <f t="shared" si="711"/>
        <v/>
      </c>
      <c r="U1782" s="121">
        <f t="shared" si="712"/>
        <v>1.03</v>
      </c>
    </row>
    <row r="1783" spans="1:21" x14ac:dyDescent="0.3">
      <c r="A1783" s="187">
        <v>31</v>
      </c>
      <c r="B1783" s="242">
        <f t="shared" si="713"/>
        <v>46569</v>
      </c>
      <c r="C1783" s="243">
        <f t="shared" si="694"/>
        <v>46599</v>
      </c>
      <c r="D1783" s="120">
        <f t="shared" si="695"/>
        <v>31</v>
      </c>
      <c r="E1783" s="120">
        <f t="shared" si="696"/>
        <v>7</v>
      </c>
      <c r="F1783" s="275">
        <f t="shared" si="697"/>
        <v>46584.5</v>
      </c>
      <c r="G1783" s="120">
        <f t="shared" si="698"/>
        <v>24330</v>
      </c>
      <c r="H1783" s="245">
        <f t="shared" si="699"/>
        <v>1</v>
      </c>
      <c r="I1783" s="121">
        <f t="shared" si="700"/>
        <v>1.03</v>
      </c>
      <c r="J1783" s="121">
        <f t="shared" si="701"/>
        <v>1.03</v>
      </c>
      <c r="K1783" s="120">
        <f t="shared" si="702"/>
        <v>0</v>
      </c>
      <c r="L1783" s="120">
        <f t="shared" si="703"/>
        <v>0</v>
      </c>
      <c r="M1783" s="246">
        <f t="shared" si="704"/>
        <v>0</v>
      </c>
      <c r="N1783" s="121">
        <f t="shared" si="705"/>
        <v>1.03</v>
      </c>
      <c r="O1783" s="246">
        <f t="shared" si="706"/>
        <v>0.91</v>
      </c>
      <c r="P1783" s="121">
        <f t="shared" si="707"/>
        <v>0</v>
      </c>
      <c r="Q1783" s="121">
        <f t="shared" si="708"/>
        <v>0.91666666666666663</v>
      </c>
      <c r="R1783" s="121">
        <f t="shared" si="709"/>
        <v>8.333333333333337E-2</v>
      </c>
      <c r="S1783" s="121" t="str">
        <f t="shared" si="710"/>
        <v/>
      </c>
      <c r="T1783" s="121" t="str">
        <f t="shared" si="711"/>
        <v/>
      </c>
      <c r="U1783" s="121">
        <f t="shared" si="712"/>
        <v>1.03</v>
      </c>
    </row>
    <row r="1784" spans="1:21" x14ac:dyDescent="0.3">
      <c r="A1784" s="187">
        <v>32</v>
      </c>
      <c r="B1784" s="242">
        <f t="shared" si="713"/>
        <v>46600</v>
      </c>
      <c r="C1784" s="243">
        <f t="shared" si="694"/>
        <v>46630</v>
      </c>
      <c r="D1784" s="120">
        <f t="shared" si="695"/>
        <v>31</v>
      </c>
      <c r="E1784" s="120">
        <f t="shared" si="696"/>
        <v>8</v>
      </c>
      <c r="F1784" s="275">
        <f t="shared" si="697"/>
        <v>46615.5</v>
      </c>
      <c r="G1784" s="120">
        <f t="shared" si="698"/>
        <v>24331</v>
      </c>
      <c r="H1784" s="245">
        <f t="shared" si="699"/>
        <v>1</v>
      </c>
      <c r="I1784" s="121">
        <f t="shared" si="700"/>
        <v>1.03</v>
      </c>
      <c r="J1784" s="121">
        <f t="shared" si="701"/>
        <v>1.03</v>
      </c>
      <c r="K1784" s="120">
        <f t="shared" si="702"/>
        <v>0</v>
      </c>
      <c r="L1784" s="120">
        <f t="shared" si="703"/>
        <v>0</v>
      </c>
      <c r="M1784" s="246">
        <f t="shared" si="704"/>
        <v>0</v>
      </c>
      <c r="N1784" s="121">
        <f t="shared" si="705"/>
        <v>1.03</v>
      </c>
      <c r="O1784" s="246">
        <f t="shared" si="706"/>
        <v>0.91</v>
      </c>
      <c r="P1784" s="121">
        <f t="shared" si="707"/>
        <v>0</v>
      </c>
      <c r="Q1784" s="121">
        <f t="shared" si="708"/>
        <v>0.75</v>
      </c>
      <c r="R1784" s="121">
        <f t="shared" si="709"/>
        <v>0.25</v>
      </c>
      <c r="S1784" s="121" t="str">
        <f t="shared" si="710"/>
        <v/>
      </c>
      <c r="T1784" s="121" t="str">
        <f t="shared" si="711"/>
        <v/>
      </c>
      <c r="U1784" s="121">
        <f t="shared" si="712"/>
        <v>1.03</v>
      </c>
    </row>
    <row r="1785" spans="1:21" x14ac:dyDescent="0.3">
      <c r="A1785" s="187">
        <v>33</v>
      </c>
      <c r="B1785" s="242">
        <f t="shared" si="713"/>
        <v>46631</v>
      </c>
      <c r="C1785" s="243">
        <f t="shared" si="694"/>
        <v>46660</v>
      </c>
      <c r="D1785" s="120">
        <f t="shared" si="695"/>
        <v>30</v>
      </c>
      <c r="E1785" s="120">
        <f t="shared" si="696"/>
        <v>9</v>
      </c>
      <c r="F1785" s="275">
        <f t="shared" si="697"/>
        <v>46646</v>
      </c>
      <c r="G1785" s="120">
        <f t="shared" si="698"/>
        <v>24332</v>
      </c>
      <c r="H1785" s="245">
        <f t="shared" si="699"/>
        <v>1</v>
      </c>
      <c r="I1785" s="121">
        <f t="shared" si="700"/>
        <v>1.03</v>
      </c>
      <c r="J1785" s="121">
        <f t="shared" si="701"/>
        <v>1.03</v>
      </c>
      <c r="K1785" s="120">
        <f t="shared" si="702"/>
        <v>0</v>
      </c>
      <c r="L1785" s="120">
        <f t="shared" si="703"/>
        <v>0</v>
      </c>
      <c r="M1785" s="246">
        <f t="shared" si="704"/>
        <v>0</v>
      </c>
      <c r="N1785" s="121">
        <f t="shared" si="705"/>
        <v>1.03</v>
      </c>
      <c r="O1785" s="246">
        <f t="shared" si="706"/>
        <v>0.91</v>
      </c>
      <c r="P1785" s="121">
        <f t="shared" si="707"/>
        <v>0</v>
      </c>
      <c r="Q1785" s="121">
        <f t="shared" si="708"/>
        <v>0.58333333333333337</v>
      </c>
      <c r="R1785" s="121">
        <f t="shared" si="709"/>
        <v>0.41666666666666663</v>
      </c>
      <c r="S1785" s="121" t="str">
        <f t="shared" si="710"/>
        <v/>
      </c>
      <c r="T1785" s="121" t="str">
        <f t="shared" si="711"/>
        <v/>
      </c>
      <c r="U1785" s="121">
        <f t="shared" si="712"/>
        <v>1.03</v>
      </c>
    </row>
    <row r="1786" spans="1:21" x14ac:dyDescent="0.3">
      <c r="A1786" s="187">
        <v>34</v>
      </c>
      <c r="B1786" s="242">
        <f t="shared" si="713"/>
        <v>46661</v>
      </c>
      <c r="C1786" s="243">
        <f t="shared" si="694"/>
        <v>46691</v>
      </c>
      <c r="D1786" s="120">
        <f t="shared" si="695"/>
        <v>31</v>
      </c>
      <c r="E1786" s="120">
        <f t="shared" si="696"/>
        <v>10</v>
      </c>
      <c r="F1786" s="275">
        <f t="shared" si="697"/>
        <v>46676.5</v>
      </c>
      <c r="G1786" s="120">
        <f t="shared" si="698"/>
        <v>24333</v>
      </c>
      <c r="H1786" s="245">
        <f t="shared" si="699"/>
        <v>1</v>
      </c>
      <c r="I1786" s="121">
        <f t="shared" si="700"/>
        <v>1.03</v>
      </c>
      <c r="J1786" s="121">
        <f t="shared" si="701"/>
        <v>1.03</v>
      </c>
      <c r="K1786" s="120">
        <f t="shared" si="702"/>
        <v>0</v>
      </c>
      <c r="L1786" s="120">
        <f t="shared" si="703"/>
        <v>0</v>
      </c>
      <c r="M1786" s="246">
        <f t="shared" si="704"/>
        <v>0</v>
      </c>
      <c r="N1786" s="121">
        <f t="shared" si="705"/>
        <v>1.03</v>
      </c>
      <c r="O1786" s="246">
        <f t="shared" si="706"/>
        <v>0.91</v>
      </c>
      <c r="P1786" s="121">
        <f t="shared" si="707"/>
        <v>0</v>
      </c>
      <c r="Q1786" s="121">
        <f t="shared" si="708"/>
        <v>0.41666666666666669</v>
      </c>
      <c r="R1786" s="121">
        <f t="shared" si="709"/>
        <v>0.58333333333333326</v>
      </c>
      <c r="S1786" s="121" t="str">
        <f t="shared" si="710"/>
        <v/>
      </c>
      <c r="T1786" s="121" t="str">
        <f t="shared" si="711"/>
        <v/>
      </c>
      <c r="U1786" s="121">
        <f t="shared" si="712"/>
        <v>1.03</v>
      </c>
    </row>
    <row r="1787" spans="1:21" x14ac:dyDescent="0.3">
      <c r="A1787" s="187">
        <v>35</v>
      </c>
      <c r="B1787" s="242">
        <f t="shared" si="713"/>
        <v>46692</v>
      </c>
      <c r="C1787" s="243">
        <f t="shared" si="694"/>
        <v>46721</v>
      </c>
      <c r="D1787" s="120">
        <f t="shared" si="695"/>
        <v>30</v>
      </c>
      <c r="E1787" s="120">
        <f t="shared" si="696"/>
        <v>11</v>
      </c>
      <c r="F1787" s="275">
        <f t="shared" si="697"/>
        <v>46707</v>
      </c>
      <c r="G1787" s="120">
        <f t="shared" si="698"/>
        <v>24334</v>
      </c>
      <c r="H1787" s="245">
        <f t="shared" si="699"/>
        <v>1</v>
      </c>
      <c r="I1787" s="121">
        <f t="shared" si="700"/>
        <v>1.03</v>
      </c>
      <c r="J1787" s="121">
        <f t="shared" si="701"/>
        <v>1.03</v>
      </c>
      <c r="K1787" s="120">
        <f t="shared" si="702"/>
        <v>0</v>
      </c>
      <c r="L1787" s="120">
        <f t="shared" si="703"/>
        <v>0</v>
      </c>
      <c r="M1787" s="246">
        <f t="shared" si="704"/>
        <v>0</v>
      </c>
      <c r="N1787" s="121">
        <f t="shared" si="705"/>
        <v>1.03</v>
      </c>
      <c r="O1787" s="246">
        <f t="shared" si="706"/>
        <v>0.91</v>
      </c>
      <c r="P1787" s="121">
        <f t="shared" si="707"/>
        <v>0</v>
      </c>
      <c r="Q1787" s="121">
        <f t="shared" si="708"/>
        <v>0.25</v>
      </c>
      <c r="R1787" s="121">
        <f t="shared" si="709"/>
        <v>0.75</v>
      </c>
      <c r="S1787" s="121" t="str">
        <f t="shared" si="710"/>
        <v/>
      </c>
      <c r="T1787" s="121" t="str">
        <f t="shared" si="711"/>
        <v/>
      </c>
      <c r="U1787" s="121">
        <f t="shared" si="712"/>
        <v>1.03</v>
      </c>
    </row>
    <row r="1788" spans="1:21" x14ac:dyDescent="0.3">
      <c r="A1788" s="187">
        <v>36</v>
      </c>
      <c r="B1788" s="242">
        <f t="shared" si="713"/>
        <v>46722</v>
      </c>
      <c r="C1788" s="243">
        <f t="shared" si="694"/>
        <v>46752</v>
      </c>
      <c r="D1788" s="120">
        <f t="shared" si="695"/>
        <v>31</v>
      </c>
      <c r="E1788" s="120">
        <f t="shared" si="696"/>
        <v>12</v>
      </c>
      <c r="F1788" s="275">
        <f t="shared" si="697"/>
        <v>46737.5</v>
      </c>
      <c r="G1788" s="120">
        <f t="shared" si="698"/>
        <v>24335</v>
      </c>
      <c r="H1788" s="245">
        <f t="shared" si="699"/>
        <v>1</v>
      </c>
      <c r="I1788" s="121">
        <f t="shared" si="700"/>
        <v>1.03</v>
      </c>
      <c r="J1788" s="121">
        <f t="shared" si="701"/>
        <v>1.03</v>
      </c>
      <c r="K1788" s="120">
        <f t="shared" si="702"/>
        <v>0</v>
      </c>
      <c r="L1788" s="120">
        <f t="shared" si="703"/>
        <v>0</v>
      </c>
      <c r="M1788" s="246">
        <f t="shared" si="704"/>
        <v>0</v>
      </c>
      <c r="N1788" s="121">
        <f t="shared" si="705"/>
        <v>1.03</v>
      </c>
      <c r="O1788" s="246">
        <f t="shared" si="706"/>
        <v>0.91</v>
      </c>
      <c r="P1788" s="121">
        <f t="shared" si="707"/>
        <v>0</v>
      </c>
      <c r="Q1788" s="121">
        <f t="shared" si="708"/>
        <v>8.3333333333333329E-2</v>
      </c>
      <c r="R1788" s="121">
        <f t="shared" si="709"/>
        <v>0.91666666666666663</v>
      </c>
      <c r="S1788" s="121" t="str">
        <f t="shared" si="710"/>
        <v/>
      </c>
      <c r="T1788" s="121" t="str">
        <f t="shared" si="711"/>
        <v/>
      </c>
      <c r="U1788" s="121">
        <f t="shared" si="712"/>
        <v>1.03</v>
      </c>
    </row>
    <row r="1789" spans="1:21" x14ac:dyDescent="0.3">
      <c r="A1789" s="187">
        <v>37</v>
      </c>
      <c r="B1789" s="242">
        <f t="shared" si="713"/>
        <v>46753</v>
      </c>
      <c r="C1789" s="243">
        <f t="shared" si="694"/>
        <v>46783</v>
      </c>
      <c r="D1789" s="120">
        <f t="shared" si="695"/>
        <v>31</v>
      </c>
      <c r="E1789" s="120">
        <f t="shared" si="696"/>
        <v>1</v>
      </c>
      <c r="F1789" s="275">
        <f t="shared" si="697"/>
        <v>46768.5</v>
      </c>
      <c r="G1789" s="120">
        <f t="shared" si="698"/>
        <v>24336</v>
      </c>
      <c r="H1789" s="245">
        <f t="shared" si="699"/>
        <v>1</v>
      </c>
      <c r="I1789" s="121">
        <f t="shared" si="700"/>
        <v>1.03</v>
      </c>
      <c r="J1789" s="121">
        <f t="shared" si="701"/>
        <v>1.03</v>
      </c>
      <c r="K1789" s="120">
        <f t="shared" si="702"/>
        <v>0</v>
      </c>
      <c r="L1789" s="120">
        <f t="shared" si="703"/>
        <v>0</v>
      </c>
      <c r="M1789" s="246">
        <f t="shared" si="704"/>
        <v>0</v>
      </c>
      <c r="N1789" s="121">
        <f t="shared" si="705"/>
        <v>1.03</v>
      </c>
      <c r="O1789" s="246">
        <f t="shared" si="706"/>
        <v>0.91</v>
      </c>
      <c r="P1789" s="121">
        <f t="shared" si="707"/>
        <v>0</v>
      </c>
      <c r="Q1789" s="121">
        <f t="shared" si="708"/>
        <v>0</v>
      </c>
      <c r="R1789" s="121">
        <f t="shared" si="709"/>
        <v>1</v>
      </c>
      <c r="S1789" s="121" t="str">
        <f t="shared" si="710"/>
        <v/>
      </c>
      <c r="T1789" s="121" t="str">
        <f t="shared" si="711"/>
        <v/>
      </c>
      <c r="U1789" s="121">
        <f t="shared" si="712"/>
        <v>1.03</v>
      </c>
    </row>
    <row r="1790" spans="1:21" x14ac:dyDescent="0.3">
      <c r="A1790" s="187">
        <v>38</v>
      </c>
      <c r="B1790" s="242">
        <f t="shared" si="713"/>
        <v>46784</v>
      </c>
      <c r="C1790" s="243">
        <f t="shared" si="694"/>
        <v>46812</v>
      </c>
      <c r="D1790" s="120">
        <f t="shared" si="695"/>
        <v>29</v>
      </c>
      <c r="E1790" s="120">
        <f t="shared" si="696"/>
        <v>2</v>
      </c>
      <c r="F1790" s="275">
        <f t="shared" si="697"/>
        <v>46798.5</v>
      </c>
      <c r="G1790" s="120">
        <f t="shared" si="698"/>
        <v>24337</v>
      </c>
      <c r="H1790" s="245">
        <f t="shared" si="699"/>
        <v>1</v>
      </c>
      <c r="I1790" s="121">
        <f t="shared" si="700"/>
        <v>1.03</v>
      </c>
      <c r="J1790" s="121">
        <f t="shared" si="701"/>
        <v>1.03</v>
      </c>
      <c r="K1790" s="120">
        <f t="shared" si="702"/>
        <v>0</v>
      </c>
      <c r="L1790" s="120">
        <f t="shared" si="703"/>
        <v>0</v>
      </c>
      <c r="M1790" s="246">
        <f t="shared" si="704"/>
        <v>0</v>
      </c>
      <c r="N1790" s="121">
        <f t="shared" si="705"/>
        <v>1.03</v>
      </c>
      <c r="O1790" s="246">
        <f t="shared" si="706"/>
        <v>0.91</v>
      </c>
      <c r="P1790" s="121">
        <f t="shared" si="707"/>
        <v>0</v>
      </c>
      <c r="Q1790" s="121">
        <f t="shared" si="708"/>
        <v>0</v>
      </c>
      <c r="R1790" s="121">
        <f t="shared" si="709"/>
        <v>1</v>
      </c>
      <c r="S1790" s="121" t="str">
        <f t="shared" si="710"/>
        <v/>
      </c>
      <c r="T1790" s="121" t="str">
        <f t="shared" si="711"/>
        <v/>
      </c>
      <c r="U1790" s="121">
        <f t="shared" si="712"/>
        <v>1.03</v>
      </c>
    </row>
    <row r="1791" spans="1:21" x14ac:dyDescent="0.3">
      <c r="A1791" s="187">
        <v>39</v>
      </c>
      <c r="B1791" s="242">
        <f t="shared" si="713"/>
        <v>46813</v>
      </c>
      <c r="C1791" s="243">
        <f t="shared" si="694"/>
        <v>46843</v>
      </c>
      <c r="D1791" s="120">
        <f t="shared" si="695"/>
        <v>31</v>
      </c>
      <c r="E1791" s="120">
        <f t="shared" si="696"/>
        <v>3</v>
      </c>
      <c r="F1791" s="275">
        <f t="shared" si="697"/>
        <v>46828.5</v>
      </c>
      <c r="G1791" s="120">
        <f t="shared" si="698"/>
        <v>24338</v>
      </c>
      <c r="H1791" s="245">
        <f t="shared" si="699"/>
        <v>1</v>
      </c>
      <c r="I1791" s="121">
        <f t="shared" si="700"/>
        <v>1.03</v>
      </c>
      <c r="J1791" s="121">
        <f t="shared" si="701"/>
        <v>1.03</v>
      </c>
      <c r="K1791" s="120">
        <f t="shared" si="702"/>
        <v>0</v>
      </c>
      <c r="L1791" s="120">
        <f t="shared" si="703"/>
        <v>0</v>
      </c>
      <c r="M1791" s="246">
        <f t="shared" si="704"/>
        <v>0</v>
      </c>
      <c r="N1791" s="121">
        <f t="shared" si="705"/>
        <v>1.03</v>
      </c>
      <c r="O1791" s="246">
        <f t="shared" si="706"/>
        <v>0.91</v>
      </c>
      <c r="P1791" s="121">
        <f t="shared" si="707"/>
        <v>0</v>
      </c>
      <c r="Q1791" s="121">
        <f t="shared" si="708"/>
        <v>0</v>
      </c>
      <c r="R1791" s="121">
        <f t="shared" si="709"/>
        <v>1</v>
      </c>
      <c r="S1791" s="121" t="str">
        <f t="shared" si="710"/>
        <v/>
      </c>
      <c r="T1791" s="121" t="str">
        <f t="shared" si="711"/>
        <v/>
      </c>
      <c r="U1791" s="121">
        <f t="shared" si="712"/>
        <v>1.03</v>
      </c>
    </row>
    <row r="1792" spans="1:21" x14ac:dyDescent="0.3">
      <c r="A1792" s="187">
        <v>40</v>
      </c>
      <c r="B1792" s="242">
        <f t="shared" si="713"/>
        <v>46844</v>
      </c>
      <c r="C1792" s="243">
        <f t="shared" si="694"/>
        <v>46873</v>
      </c>
      <c r="D1792" s="120">
        <f t="shared" si="695"/>
        <v>30</v>
      </c>
      <c r="E1792" s="120">
        <f t="shared" si="696"/>
        <v>4</v>
      </c>
      <c r="F1792" s="275">
        <f t="shared" si="697"/>
        <v>46859</v>
      </c>
      <c r="G1792" s="120">
        <f t="shared" si="698"/>
        <v>24339</v>
      </c>
      <c r="H1792" s="245">
        <f t="shared" si="699"/>
        <v>1</v>
      </c>
      <c r="I1792" s="121">
        <f t="shared" si="700"/>
        <v>1.03</v>
      </c>
      <c r="J1792" s="121">
        <f t="shared" si="701"/>
        <v>1.03</v>
      </c>
      <c r="K1792" s="120">
        <f t="shared" si="702"/>
        <v>0</v>
      </c>
      <c r="L1792" s="120">
        <f t="shared" si="703"/>
        <v>0</v>
      </c>
      <c r="M1792" s="246">
        <f t="shared" si="704"/>
        <v>0</v>
      </c>
      <c r="N1792" s="121">
        <f t="shared" si="705"/>
        <v>1.03</v>
      </c>
      <c r="O1792" s="246">
        <f t="shared" si="706"/>
        <v>0.91</v>
      </c>
      <c r="P1792" s="121">
        <f t="shared" si="707"/>
        <v>0</v>
      </c>
      <c r="Q1792" s="121">
        <f t="shared" si="708"/>
        <v>0</v>
      </c>
      <c r="R1792" s="121">
        <f t="shared" si="709"/>
        <v>1</v>
      </c>
      <c r="S1792" s="121" t="str">
        <f t="shared" si="710"/>
        <v/>
      </c>
      <c r="T1792" s="121" t="str">
        <f t="shared" si="711"/>
        <v/>
      </c>
      <c r="U1792" s="121">
        <f t="shared" si="712"/>
        <v>1.03</v>
      </c>
    </row>
    <row r="1793" spans="1:21" x14ac:dyDescent="0.3">
      <c r="A1793" s="187">
        <v>41</v>
      </c>
      <c r="B1793" s="242">
        <f t="shared" si="713"/>
        <v>46874</v>
      </c>
      <c r="C1793" s="243">
        <f t="shared" si="694"/>
        <v>46904</v>
      </c>
      <c r="D1793" s="120">
        <f t="shared" si="695"/>
        <v>31</v>
      </c>
      <c r="E1793" s="120">
        <f t="shared" si="696"/>
        <v>5</v>
      </c>
      <c r="F1793" s="275">
        <f t="shared" si="697"/>
        <v>46889.5</v>
      </c>
      <c r="G1793" s="120">
        <f t="shared" si="698"/>
        <v>24340</v>
      </c>
      <c r="H1793" s="245">
        <f t="shared" si="699"/>
        <v>1</v>
      </c>
      <c r="I1793" s="121">
        <f t="shared" si="700"/>
        <v>1.03</v>
      </c>
      <c r="J1793" s="121">
        <f t="shared" si="701"/>
        <v>1.03</v>
      </c>
      <c r="K1793" s="120">
        <f t="shared" si="702"/>
        <v>0</v>
      </c>
      <c r="L1793" s="120">
        <f t="shared" si="703"/>
        <v>0</v>
      </c>
      <c r="M1793" s="246">
        <f t="shared" si="704"/>
        <v>0</v>
      </c>
      <c r="N1793" s="121">
        <f t="shared" si="705"/>
        <v>1.03</v>
      </c>
      <c r="O1793" s="246">
        <f t="shared" si="706"/>
        <v>0.91</v>
      </c>
      <c r="P1793" s="121">
        <f t="shared" si="707"/>
        <v>0</v>
      </c>
      <c r="Q1793" s="121">
        <f t="shared" si="708"/>
        <v>0</v>
      </c>
      <c r="R1793" s="121">
        <f t="shared" si="709"/>
        <v>1</v>
      </c>
      <c r="S1793" s="121" t="str">
        <f t="shared" si="710"/>
        <v/>
      </c>
      <c r="T1793" s="121" t="str">
        <f t="shared" si="711"/>
        <v/>
      </c>
      <c r="U1793" s="121">
        <f t="shared" si="712"/>
        <v>1.03</v>
      </c>
    </row>
    <row r="1794" spans="1:21" x14ac:dyDescent="0.3">
      <c r="A1794" s="187">
        <v>42</v>
      </c>
      <c r="B1794" s="242">
        <f t="shared" si="713"/>
        <v>46905</v>
      </c>
      <c r="C1794" s="243">
        <f t="shared" si="694"/>
        <v>46934</v>
      </c>
      <c r="D1794" s="120">
        <f t="shared" si="695"/>
        <v>30</v>
      </c>
      <c r="E1794" s="120">
        <f t="shared" si="696"/>
        <v>6</v>
      </c>
      <c r="F1794" s="275">
        <f t="shared" si="697"/>
        <v>46920</v>
      </c>
      <c r="G1794" s="120">
        <f t="shared" si="698"/>
        <v>24341</v>
      </c>
      <c r="H1794" s="245">
        <f t="shared" si="699"/>
        <v>1</v>
      </c>
      <c r="I1794" s="121">
        <f t="shared" si="700"/>
        <v>1.03</v>
      </c>
      <c r="J1794" s="121">
        <f t="shared" si="701"/>
        <v>1.03</v>
      </c>
      <c r="K1794" s="120">
        <f t="shared" si="702"/>
        <v>0</v>
      </c>
      <c r="L1794" s="120">
        <f t="shared" si="703"/>
        <v>0</v>
      </c>
      <c r="M1794" s="246">
        <f t="shared" si="704"/>
        <v>0</v>
      </c>
      <c r="N1794" s="121">
        <f t="shared" si="705"/>
        <v>1.03</v>
      </c>
      <c r="O1794" s="246">
        <f t="shared" si="706"/>
        <v>0.91</v>
      </c>
      <c r="P1794" s="121">
        <f t="shared" si="707"/>
        <v>0</v>
      </c>
      <c r="Q1794" s="121">
        <f t="shared" si="708"/>
        <v>0</v>
      </c>
      <c r="R1794" s="121">
        <f t="shared" si="709"/>
        <v>1</v>
      </c>
      <c r="S1794" s="121" t="str">
        <f t="shared" si="710"/>
        <v/>
      </c>
      <c r="T1794" s="121" t="str">
        <f t="shared" si="711"/>
        <v/>
      </c>
      <c r="U1794" s="121">
        <f t="shared" si="712"/>
        <v>1.03</v>
      </c>
    </row>
    <row r="1795" spans="1:21" x14ac:dyDescent="0.3">
      <c r="A1795" s="187">
        <v>43</v>
      </c>
      <c r="B1795" s="242">
        <f t="shared" si="713"/>
        <v>46935</v>
      </c>
      <c r="C1795" s="243">
        <f t="shared" si="694"/>
        <v>46965</v>
      </c>
      <c r="D1795" s="120">
        <f t="shared" si="695"/>
        <v>31</v>
      </c>
      <c r="E1795" s="120">
        <f t="shared" si="696"/>
        <v>7</v>
      </c>
      <c r="F1795" s="275">
        <f t="shared" si="697"/>
        <v>46950.5</v>
      </c>
      <c r="G1795" s="120">
        <f t="shared" si="698"/>
        <v>24342</v>
      </c>
      <c r="H1795" s="245">
        <f t="shared" si="699"/>
        <v>1</v>
      </c>
      <c r="I1795" s="121">
        <f t="shared" si="700"/>
        <v>1.03</v>
      </c>
      <c r="J1795" s="121">
        <f t="shared" si="701"/>
        <v>1.03</v>
      </c>
      <c r="K1795" s="120">
        <f t="shared" si="702"/>
        <v>0</v>
      </c>
      <c r="L1795" s="120">
        <f t="shared" si="703"/>
        <v>0</v>
      </c>
      <c r="M1795" s="246">
        <f t="shared" si="704"/>
        <v>0</v>
      </c>
      <c r="N1795" s="121">
        <f t="shared" si="705"/>
        <v>1.03</v>
      </c>
      <c r="O1795" s="246">
        <f t="shared" si="706"/>
        <v>0.91</v>
      </c>
      <c r="P1795" s="121">
        <f t="shared" si="707"/>
        <v>0</v>
      </c>
      <c r="Q1795" s="121">
        <f t="shared" si="708"/>
        <v>0</v>
      </c>
      <c r="R1795" s="121">
        <f t="shared" si="709"/>
        <v>0.91666666666666663</v>
      </c>
      <c r="S1795" s="121" t="str">
        <f t="shared" si="710"/>
        <v/>
      </c>
      <c r="T1795" s="121" t="str">
        <f t="shared" si="711"/>
        <v/>
      </c>
      <c r="U1795" s="121">
        <f t="shared" si="712"/>
        <v>1.03</v>
      </c>
    </row>
    <row r="1796" spans="1:21" x14ac:dyDescent="0.3">
      <c r="A1796" s="187">
        <v>44</v>
      </c>
      <c r="B1796" s="242">
        <f t="shared" si="713"/>
        <v>46966</v>
      </c>
      <c r="C1796" s="243">
        <f t="shared" si="694"/>
        <v>46996</v>
      </c>
      <c r="D1796" s="120">
        <f t="shared" si="695"/>
        <v>31</v>
      </c>
      <c r="E1796" s="120">
        <f t="shared" si="696"/>
        <v>8</v>
      </c>
      <c r="F1796" s="275">
        <f t="shared" si="697"/>
        <v>46981.5</v>
      </c>
      <c r="G1796" s="120">
        <f t="shared" si="698"/>
        <v>24343</v>
      </c>
      <c r="H1796" s="245">
        <f t="shared" si="699"/>
        <v>1</v>
      </c>
      <c r="I1796" s="121">
        <f t="shared" si="700"/>
        <v>1.03</v>
      </c>
      <c r="J1796" s="121">
        <f t="shared" si="701"/>
        <v>1.03</v>
      </c>
      <c r="K1796" s="120">
        <f t="shared" si="702"/>
        <v>0</v>
      </c>
      <c r="L1796" s="120">
        <f t="shared" si="703"/>
        <v>0</v>
      </c>
      <c r="M1796" s="246">
        <f t="shared" si="704"/>
        <v>0</v>
      </c>
      <c r="N1796" s="121">
        <f t="shared" si="705"/>
        <v>1.03</v>
      </c>
      <c r="O1796" s="246">
        <f t="shared" si="706"/>
        <v>0.91</v>
      </c>
      <c r="P1796" s="121">
        <f t="shared" si="707"/>
        <v>0</v>
      </c>
      <c r="Q1796" s="121">
        <f t="shared" si="708"/>
        <v>0</v>
      </c>
      <c r="R1796" s="121">
        <f t="shared" si="709"/>
        <v>0.75</v>
      </c>
      <c r="S1796" s="121" t="str">
        <f t="shared" si="710"/>
        <v/>
      </c>
      <c r="T1796" s="121" t="str">
        <f t="shared" si="711"/>
        <v/>
      </c>
      <c r="U1796" s="121">
        <f t="shared" si="712"/>
        <v>1.03</v>
      </c>
    </row>
    <row r="1797" spans="1:21" x14ac:dyDescent="0.3">
      <c r="A1797" s="187">
        <v>45</v>
      </c>
      <c r="B1797" s="242">
        <f t="shared" si="713"/>
        <v>46997</v>
      </c>
      <c r="C1797" s="243">
        <f t="shared" si="694"/>
        <v>47026</v>
      </c>
      <c r="D1797" s="120">
        <f t="shared" si="695"/>
        <v>30</v>
      </c>
      <c r="E1797" s="120">
        <f t="shared" si="696"/>
        <v>9</v>
      </c>
      <c r="F1797" s="275">
        <f t="shared" si="697"/>
        <v>47012</v>
      </c>
      <c r="G1797" s="120">
        <f t="shared" si="698"/>
        <v>24344</v>
      </c>
      <c r="H1797" s="245">
        <f t="shared" si="699"/>
        <v>1</v>
      </c>
      <c r="I1797" s="121">
        <f t="shared" si="700"/>
        <v>1.03</v>
      </c>
      <c r="J1797" s="121">
        <f t="shared" si="701"/>
        <v>1.03</v>
      </c>
      <c r="K1797" s="120">
        <f t="shared" si="702"/>
        <v>0</v>
      </c>
      <c r="L1797" s="120">
        <f t="shared" si="703"/>
        <v>0</v>
      </c>
      <c r="M1797" s="246">
        <f t="shared" si="704"/>
        <v>0</v>
      </c>
      <c r="N1797" s="121">
        <f t="shared" si="705"/>
        <v>1.03</v>
      </c>
      <c r="O1797" s="246">
        <f t="shared" si="706"/>
        <v>0.91</v>
      </c>
      <c r="P1797" s="121">
        <f t="shared" si="707"/>
        <v>0</v>
      </c>
      <c r="Q1797" s="121">
        <f t="shared" si="708"/>
        <v>0</v>
      </c>
      <c r="R1797" s="121">
        <f t="shared" si="709"/>
        <v>0.58333333333333337</v>
      </c>
      <c r="S1797" s="121" t="str">
        <f t="shared" si="710"/>
        <v/>
      </c>
      <c r="T1797" s="121" t="str">
        <f t="shared" si="711"/>
        <v/>
      </c>
      <c r="U1797" s="121">
        <f t="shared" si="712"/>
        <v>1.03</v>
      </c>
    </row>
    <row r="1798" spans="1:21" x14ac:dyDescent="0.3">
      <c r="A1798" s="187">
        <v>46</v>
      </c>
      <c r="B1798" s="242">
        <f t="shared" si="713"/>
        <v>47027</v>
      </c>
      <c r="C1798" s="243">
        <f t="shared" si="694"/>
        <v>47057</v>
      </c>
      <c r="D1798" s="120">
        <f t="shared" si="695"/>
        <v>31</v>
      </c>
      <c r="E1798" s="120">
        <f t="shared" si="696"/>
        <v>10</v>
      </c>
      <c r="F1798" s="275">
        <f t="shared" si="697"/>
        <v>47042.5</v>
      </c>
      <c r="G1798" s="120">
        <f t="shared" si="698"/>
        <v>24345</v>
      </c>
      <c r="H1798" s="245">
        <f t="shared" si="699"/>
        <v>1</v>
      </c>
      <c r="I1798" s="121">
        <f t="shared" si="700"/>
        <v>1.03</v>
      </c>
      <c r="J1798" s="121">
        <f t="shared" si="701"/>
        <v>1.03</v>
      </c>
      <c r="K1798" s="120">
        <f t="shared" si="702"/>
        <v>0</v>
      </c>
      <c r="L1798" s="120">
        <f t="shared" si="703"/>
        <v>0</v>
      </c>
      <c r="M1798" s="246">
        <f t="shared" si="704"/>
        <v>0</v>
      </c>
      <c r="N1798" s="121">
        <f t="shared" si="705"/>
        <v>1.03</v>
      </c>
      <c r="O1798" s="246">
        <f t="shared" si="706"/>
        <v>0.91</v>
      </c>
      <c r="P1798" s="121">
        <f t="shared" si="707"/>
        <v>0</v>
      </c>
      <c r="Q1798" s="121">
        <f t="shared" si="708"/>
        <v>0</v>
      </c>
      <c r="R1798" s="121">
        <f t="shared" si="709"/>
        <v>0.41666666666666669</v>
      </c>
      <c r="S1798" s="121" t="str">
        <f t="shared" si="710"/>
        <v/>
      </c>
      <c r="T1798" s="121" t="str">
        <f t="shared" si="711"/>
        <v/>
      </c>
      <c r="U1798" s="121">
        <f t="shared" si="712"/>
        <v>1.03</v>
      </c>
    </row>
    <row r="1799" spans="1:21" x14ac:dyDescent="0.3">
      <c r="A1799" s="187">
        <v>47</v>
      </c>
      <c r="B1799" s="242">
        <f t="shared" si="713"/>
        <v>47058</v>
      </c>
      <c r="C1799" s="243">
        <f t="shared" si="694"/>
        <v>47087</v>
      </c>
      <c r="D1799" s="120">
        <f t="shared" si="695"/>
        <v>30</v>
      </c>
      <c r="E1799" s="120">
        <f t="shared" si="696"/>
        <v>11</v>
      </c>
      <c r="F1799" s="275">
        <f t="shared" si="697"/>
        <v>47073</v>
      </c>
      <c r="G1799" s="120">
        <f t="shared" si="698"/>
        <v>24346</v>
      </c>
      <c r="H1799" s="245">
        <f t="shared" si="699"/>
        <v>1</v>
      </c>
      <c r="I1799" s="121">
        <f t="shared" si="700"/>
        <v>1.03</v>
      </c>
      <c r="J1799" s="121">
        <f t="shared" si="701"/>
        <v>1.03</v>
      </c>
      <c r="K1799" s="120">
        <f t="shared" si="702"/>
        <v>0</v>
      </c>
      <c r="L1799" s="120">
        <f t="shared" si="703"/>
        <v>0</v>
      </c>
      <c r="M1799" s="246">
        <f t="shared" si="704"/>
        <v>0</v>
      </c>
      <c r="N1799" s="121">
        <f t="shared" si="705"/>
        <v>1.03</v>
      </c>
      <c r="O1799" s="246">
        <f t="shared" si="706"/>
        <v>0.91</v>
      </c>
      <c r="P1799" s="121">
        <f t="shared" si="707"/>
        <v>0</v>
      </c>
      <c r="Q1799" s="121">
        <f t="shared" si="708"/>
        <v>0</v>
      </c>
      <c r="R1799" s="121">
        <f t="shared" si="709"/>
        <v>0.25</v>
      </c>
      <c r="S1799" s="121" t="str">
        <f t="shared" si="710"/>
        <v/>
      </c>
      <c r="T1799" s="121" t="str">
        <f t="shared" si="711"/>
        <v/>
      </c>
      <c r="U1799" s="121">
        <f t="shared" si="712"/>
        <v>1.03</v>
      </c>
    </row>
    <row r="1800" spans="1:21" x14ac:dyDescent="0.3">
      <c r="A1800" s="187">
        <v>48</v>
      </c>
      <c r="B1800" s="242">
        <f t="shared" si="713"/>
        <v>47088</v>
      </c>
      <c r="C1800" s="243">
        <f t="shared" si="694"/>
        <v>47118</v>
      </c>
      <c r="D1800" s="120">
        <f t="shared" si="695"/>
        <v>31</v>
      </c>
      <c r="E1800" s="120">
        <f t="shared" si="696"/>
        <v>12</v>
      </c>
      <c r="F1800" s="275">
        <f t="shared" si="697"/>
        <v>47103.5</v>
      </c>
      <c r="G1800" s="120">
        <f t="shared" si="698"/>
        <v>24347</v>
      </c>
      <c r="H1800" s="245">
        <f t="shared" si="699"/>
        <v>1</v>
      </c>
      <c r="I1800" s="121">
        <f t="shared" si="700"/>
        <v>1.03</v>
      </c>
      <c r="J1800" s="121">
        <f t="shared" si="701"/>
        <v>1.03</v>
      </c>
      <c r="K1800" s="120">
        <f t="shared" si="702"/>
        <v>0</v>
      </c>
      <c r="L1800" s="120">
        <f t="shared" si="703"/>
        <v>0</v>
      </c>
      <c r="M1800" s="246">
        <f t="shared" si="704"/>
        <v>0</v>
      </c>
      <c r="N1800" s="121">
        <f t="shared" si="705"/>
        <v>1.03</v>
      </c>
      <c r="O1800" s="246">
        <f t="shared" si="706"/>
        <v>0.91</v>
      </c>
      <c r="P1800" s="121">
        <f t="shared" si="707"/>
        <v>0</v>
      </c>
      <c r="Q1800" s="121">
        <f t="shared" si="708"/>
        <v>0</v>
      </c>
      <c r="R1800" s="121">
        <f t="shared" si="709"/>
        <v>8.3333333333333329E-2</v>
      </c>
      <c r="S1800" s="121" t="str">
        <f t="shared" si="710"/>
        <v/>
      </c>
      <c r="T1800" s="121" t="str">
        <f t="shared" si="711"/>
        <v/>
      </c>
      <c r="U1800" s="121">
        <f t="shared" si="712"/>
        <v>1.03</v>
      </c>
    </row>
    <row r="1801" spans="1:21" x14ac:dyDescent="0.3">
      <c r="A1801" s="6" t="s">
        <v>1651</v>
      </c>
      <c r="B1801" s="73">
        <f>EXP(SUMPRODUCT((rl_key=$A$1750)*(rl_cons="Y")*rl_ln1p))</f>
        <v>1.03</v>
      </c>
      <c r="C1801" s="73">
        <f>SUMPRODUCT($H$1753:$H$1800,$P$1753:$P$1800,$U$1753:$U$1800)/SUMPRODUCT($H$1753:$H$1800,$P$1753:$P$1800)</f>
        <v>1.0052083333333333</v>
      </c>
      <c r="D1801" s="73">
        <f>SUMPRODUCT($H$1753:$H$1800,$Q$1753:$Q$1800,$U$1753:$U$1800)/SUMPRODUCT($H$1753:$H$1800,$Q$1753:$Q$1800)</f>
        <v>1.0297916666666669</v>
      </c>
      <c r="E1801" s="73">
        <f>SUMPRODUCT($H$1753:$H$1800,$R$1753:$R$1800,$U$1753:$U$1800)/SUMPRODUCT($H$1753:$H$1800,$R$1753:$R$1800)</f>
        <v>1.03</v>
      </c>
      <c r="F1801" s="224">
        <f>SUMPRODUCT($H$1753:$H$1800,$Q$1753:$Q$1800,$O$1753:$O$1800)/SUMPRODUCT($H$1753:$H$1800,$Q$1753:$Q$1800)</f>
        <v>0.90999999999999981</v>
      </c>
      <c r="G1801" s="224">
        <f>SUMPRODUCT($H$1753:$H$1800,$R$1753:$R$1800,$O$1753:$O$1800)/SUMPRODUCT($H$1753:$H$1800,$R$1753:$R$1800)</f>
        <v>0.90999999999999981</v>
      </c>
      <c r="H1801" s="73">
        <f>SUMPRODUCT($H$1777:$H$1788,$N$1777:$N$1788/$N$1765:$N$1776)/SUM($H$1777:$H$1788)</f>
        <v>1.0175000000000001</v>
      </c>
      <c r="I1801" s="73">
        <f>SUMPRODUCT($H$1777:$H$1788,$O$1777:$O$1788/$O$1765:$O$1776)/SUM($H$1777:$H$1788)</f>
        <v>1</v>
      </c>
      <c r="J1801" s="73">
        <f>IF($O$1750=1,SUMPRODUCT($H$1777:$H$1788,$N$1777:$N$1788/$N$1765:$N$1776*$O$1777:$O$1788/$O$1765:$O$1776)/SUM($H$1777:$H$1788),$H1801)</f>
        <v>1.0175000000000001</v>
      </c>
      <c r="K1801" s="73">
        <f>SUMPRODUCT($H$1753:$H$1800,$Q$1753:$Q$1800,$N$1753:$N$1800)/SUMPRODUCT($H$1753:$H$1800,$Q$1753:$Q$1800)</f>
        <v>1.0297916666666669</v>
      </c>
      <c r="L1801" s="73">
        <f>SUMPRODUCT($H$1753:$H$1800,$R$1753:$R$1800,$N$1753:$N$1800)/SUMPRODUCT($H$1753:$H$1800,$R$1753:$R$1800)</f>
        <v>1.03</v>
      </c>
    </row>
    <row r="1804" spans="1:21" x14ac:dyDescent="0.3">
      <c r="A1804" s="6" t="str">
        <f>INDEX(lr_key,33)</f>
        <v>MM|MN</v>
      </c>
      <c r="B1804" s="6" t="str">
        <f>INDEX(lr_state,33)</f>
        <v>MN</v>
      </c>
      <c r="C1804" s="75">
        <f>nr_TermMonths</f>
        <v>6</v>
      </c>
      <c r="D1804" s="75">
        <f>IF(COUNTIF(se_state,$B1804)=0,0,MATCH($B1804,se_state,0))</f>
        <v>0</v>
      </c>
      <c r="E1804" s="70">
        <f>IF($D1804=0,0,INDEX(se_sum,$D1804))</f>
        <v>0</v>
      </c>
      <c r="F1804" s="224">
        <f>IF(N(INDEX(lr_mind,33))=0,1,INDEX(lr_mind,33))</f>
        <v>0.92</v>
      </c>
      <c r="G1804" s="224">
        <f>IF(N(INDEX(lr_m0,33))=0,1,INDEX(lr_m0,33))</f>
        <v>0.91</v>
      </c>
      <c r="H1804" s="74">
        <f>IF(N(INDEX(lr_m0asof,33))=0,DATE(nr_PlanYear-1,10,1),INDEX(lr_m0asof,33))</f>
        <v>46295</v>
      </c>
      <c r="I1804" s="224">
        <f>IF(N(INDEX(lr_m1,33))=0,1,INDEX(lr_m1,33))</f>
        <v>0.92500000000000004</v>
      </c>
      <c r="J1804" s="224">
        <f>INDEX(lr_mprior,33)</f>
        <v>0</v>
      </c>
      <c r="K1804" s="224">
        <f>INDEX(lr_m2,33)</f>
        <v>0</v>
      </c>
      <c r="L1804" s="6" t="b">
        <f>NOT(ISBLANK(INDEX(lr_netp,33)))</f>
        <v>0</v>
      </c>
      <c r="M1804" s="72">
        <f>N(INDEX(lr_netp,33))</f>
        <v>0</v>
      </c>
      <c r="N1804" s="72">
        <f>IF(ISBLANK(INDEX(lr_netp1,33)),$M$1804,N(INDEX(lr_netp1,33)))</f>
        <v>0</v>
      </c>
      <c r="O1804" s="75">
        <f>IF(AND(nr_ModAdjMaster="ON",INDEX(lr_modadj,33)="ON"),1,0)</f>
        <v>1</v>
      </c>
    </row>
    <row r="1805" spans="1:21" x14ac:dyDescent="0.3">
      <c r="A1805" s="6">
        <f>EDATE($H$1804,-12)+1</f>
        <v>45931</v>
      </c>
      <c r="B1805" s="6">
        <f>$H$1804+1</f>
        <v>46296</v>
      </c>
      <c r="C1805" s="6">
        <f>DATE(nr_PlanYear,12,31)+1</f>
        <v>46753</v>
      </c>
      <c r="D1805" s="6">
        <f>DATE(nr_PlanYear+1,12,31)+1</f>
        <v>47119</v>
      </c>
      <c r="E1805" s="6">
        <f>IF(N($J$1804)=0,$F$1805-($G$1805-$F$1805)/($C$1805-$B$1805)*($B$1805-$A$1805),$J$1804)</f>
        <v>0.89801969365426693</v>
      </c>
      <c r="F1805" s="6">
        <f>$G$1804</f>
        <v>0.91</v>
      </c>
      <c r="G1805" s="6">
        <f>$I$1804</f>
        <v>0.92500000000000004</v>
      </c>
      <c r="H1805" s="6">
        <f>IF(N($K$1804)=0,$I$1804,$K$1804)</f>
        <v>0.92500000000000004</v>
      </c>
      <c r="I1805" s="6">
        <f>($F$1805-$E$1805)/($B$1805-$A$1805)</f>
        <v>3.2822757111597549E-5</v>
      </c>
      <c r="J1805" s="6">
        <f>($G$1805-$F$1805)/($C$1805-$B$1805)</f>
        <v>3.2822757111597407E-5</v>
      </c>
      <c r="K1805" s="6">
        <f>($H$1805-$G$1805)/($D$1805-$C$1805)</f>
        <v>0</v>
      </c>
    </row>
    <row r="1806" spans="1:21" ht="36" x14ac:dyDescent="0.3">
      <c r="A1806" s="58" t="s">
        <v>390</v>
      </c>
      <c r="B1806" s="58" t="s">
        <v>449</v>
      </c>
      <c r="C1806" s="58" t="s">
        <v>685</v>
      </c>
      <c r="D1806" s="58" t="s">
        <v>686</v>
      </c>
      <c r="E1806" s="58" t="s">
        <v>687</v>
      </c>
      <c r="F1806" s="58" t="s">
        <v>688</v>
      </c>
      <c r="G1806" s="58" t="s">
        <v>689</v>
      </c>
      <c r="H1806" s="58" t="s">
        <v>452</v>
      </c>
      <c r="I1806" s="58" t="s">
        <v>690</v>
      </c>
      <c r="J1806" s="58" t="s">
        <v>691</v>
      </c>
      <c r="K1806" s="58" t="s">
        <v>692</v>
      </c>
      <c r="L1806" s="58" t="s">
        <v>693</v>
      </c>
      <c r="M1806" s="58" t="s">
        <v>694</v>
      </c>
      <c r="N1806" s="58" t="s">
        <v>695</v>
      </c>
      <c r="O1806" s="58" t="s">
        <v>696</v>
      </c>
      <c r="P1806" s="58" t="s">
        <v>697</v>
      </c>
      <c r="Q1806" s="58" t="s">
        <v>698</v>
      </c>
      <c r="R1806" s="58" t="s">
        <v>699</v>
      </c>
      <c r="S1806" s="58" t="s">
        <v>700</v>
      </c>
      <c r="T1806" s="58" t="s">
        <v>701</v>
      </c>
      <c r="U1806" s="58" t="s">
        <v>702</v>
      </c>
    </row>
    <row r="1807" spans="1:21" x14ac:dyDescent="0.3">
      <c r="A1807" s="187">
        <v>1</v>
      </c>
      <c r="B1807" s="242">
        <f>DATE(nr_PlanYear-2,1,1)</f>
        <v>45658</v>
      </c>
      <c r="C1807" s="243">
        <f t="shared" ref="C1807:C1854" si="714">EOMONTH($B1807,0)</f>
        <v>45688</v>
      </c>
      <c r="D1807" s="120">
        <f t="shared" ref="D1807:D1854" si="715">$C1807-$B1807+1</f>
        <v>31</v>
      </c>
      <c r="E1807" s="120">
        <f t="shared" ref="E1807:E1854" si="716">MONTH($B1807)</f>
        <v>1</v>
      </c>
      <c r="F1807" s="275">
        <f t="shared" ref="F1807:F1854" si="717">($B1807+$C1807+1)/2</f>
        <v>45673.5</v>
      </c>
      <c r="G1807" s="120">
        <f t="shared" ref="G1807:G1854" si="718">YEAR($B1807)*12+MONTH($B1807)-1</f>
        <v>24300</v>
      </c>
      <c r="H1807" s="245">
        <f t="shared" ref="H1807:H1854" si="719">IF(OR(nr_SeasonOn="OFF",$D$1804=0,$E$1804=0),1,12*INDEX(se_block,$D$1804,$E1807)/$E$1804)</f>
        <v>1</v>
      </c>
      <c r="I1807" s="121">
        <f t="shared" ref="I1807:I1854" si="720">EXP(SUMPRODUCT((rl_eff&lt;$B1807)*(rl_key=$A$1804)*rl_ln1p))</f>
        <v>1</v>
      </c>
      <c r="J1807" s="121">
        <f t="shared" ref="J1807:J1854" si="721">EXP(SUMPRODUCT((rl_eff&lt;=$C1807)*(rl_key=$A$1804)*rl_ln1p))</f>
        <v>1</v>
      </c>
      <c r="K1807" s="120">
        <f t="shared" ref="K1807:K1854" si="722">COUNTIFS(rl_key,$A$1804,rl_eff,"&gt;="&amp;$B1807,rl_eff,"&lt;="&amp;$C1807)</f>
        <v>0</v>
      </c>
      <c r="L1807" s="120">
        <f t="shared" ref="L1807:L1854" si="723">SUMIFS(rl_daysafter,rl_key,$A$1804,rl_effmonth,$B1807,rl_first,1)</f>
        <v>0</v>
      </c>
      <c r="M1807" s="246">
        <f t="shared" ref="M1807:M1854" si="724">IF($K1807=0,0,MIN(1,$L1807/$D1807))</f>
        <v>0</v>
      </c>
      <c r="N1807" s="121">
        <f t="shared" ref="N1807:N1854" si="725">IF($K1807=0,$J1807,(1-$M1807)*$I1807+$M1807*$J1807)</f>
        <v>1</v>
      </c>
      <c r="O1807" s="246">
        <f t="shared" ref="O1807:O1854" si="726">IF($F1807&lt;$B$1805,$E$1805+$I$1805*($F1807-$A$1805),IF($F1807&lt;$C$1805,$F$1805+$J$1805*($F1807-$B$1805),$G$1805+$K$1805*($F1807-$C$1805)))</f>
        <v>0.88956783369803061</v>
      </c>
      <c r="P1807" s="121">
        <f t="shared" ref="P1807:P1854" si="727">MIN(1,MAX(0,(nr_MEndPm1-$G1807+0.5)/$C$1804))-MIN(1,MAX(0,(nr_MStartPm1-1-$G1807+0.5)/$C$1804))</f>
        <v>0</v>
      </c>
      <c r="Q1807" s="121">
        <f t="shared" ref="Q1807:Q1854" si="728">MIN(1,MAX(0,(nr_MEndP-$G1807+0.5)/$C$1804))-MIN(1,MAX(0,(nr_MStartP-1-$G1807+0.5)/$C$1804))</f>
        <v>0</v>
      </c>
      <c r="R1807" s="121">
        <f t="shared" ref="R1807:R1854" si="729">MIN(1,MAX(0,(nr_MEndP1-$G1807+0.5)/$C$1804))-MIN(1,MAX(0,(nr_MStartP1-1-$G1807+0.5)/$C$1804))</f>
        <v>0</v>
      </c>
      <c r="S1807" s="121" t="str">
        <f t="shared" ref="S1807:S1854" si="730">IF($L$1804,$N1807*IF($O$1804=1,$O1807/$F$1804,1),"")</f>
        <v/>
      </c>
      <c r="T1807" s="121" t="str">
        <f t="shared" ref="T1807:T1854" si="731">IF(NOT($L$1804),"",IF($G1807&lt;nr_MStartP,$S1807,$T1795*(1+IF($G1807&lt;nr_MStartP1,$M$1804,$N$1804))))</f>
        <v/>
      </c>
      <c r="U1807" s="121">
        <f t="shared" ref="U1807:U1854" si="732">IF($L$1804,$T1807,$N1807)</f>
        <v>1</v>
      </c>
    </row>
    <row r="1808" spans="1:21" x14ac:dyDescent="0.3">
      <c r="A1808" s="187">
        <v>2</v>
      </c>
      <c r="B1808" s="242">
        <f t="shared" ref="B1808:B1854" si="733">EDATE($B1807,1)</f>
        <v>45689</v>
      </c>
      <c r="C1808" s="243">
        <f t="shared" si="714"/>
        <v>45716</v>
      </c>
      <c r="D1808" s="120">
        <f t="shared" si="715"/>
        <v>28</v>
      </c>
      <c r="E1808" s="120">
        <f t="shared" si="716"/>
        <v>2</v>
      </c>
      <c r="F1808" s="275">
        <f t="shared" si="717"/>
        <v>45703</v>
      </c>
      <c r="G1808" s="120">
        <f t="shared" si="718"/>
        <v>24301</v>
      </c>
      <c r="H1808" s="245">
        <f t="shared" si="719"/>
        <v>1</v>
      </c>
      <c r="I1808" s="121">
        <f t="shared" si="720"/>
        <v>1</v>
      </c>
      <c r="J1808" s="121">
        <f t="shared" si="721"/>
        <v>1</v>
      </c>
      <c r="K1808" s="120">
        <f t="shared" si="722"/>
        <v>0</v>
      </c>
      <c r="L1808" s="120">
        <f t="shared" si="723"/>
        <v>0</v>
      </c>
      <c r="M1808" s="246">
        <f t="shared" si="724"/>
        <v>0</v>
      </c>
      <c r="N1808" s="121">
        <f t="shared" si="725"/>
        <v>1</v>
      </c>
      <c r="O1808" s="246">
        <f t="shared" si="726"/>
        <v>0.89053610503282266</v>
      </c>
      <c r="P1808" s="121">
        <f t="shared" si="727"/>
        <v>0</v>
      </c>
      <c r="Q1808" s="121">
        <f t="shared" si="728"/>
        <v>0</v>
      </c>
      <c r="R1808" s="121">
        <f t="shared" si="729"/>
        <v>0</v>
      </c>
      <c r="S1808" s="121" t="str">
        <f t="shared" si="730"/>
        <v/>
      </c>
      <c r="T1808" s="121" t="str">
        <f t="shared" si="731"/>
        <v/>
      </c>
      <c r="U1808" s="121">
        <f t="shared" si="732"/>
        <v>1</v>
      </c>
    </row>
    <row r="1809" spans="1:21" x14ac:dyDescent="0.3">
      <c r="A1809" s="187">
        <v>3</v>
      </c>
      <c r="B1809" s="242">
        <f t="shared" si="733"/>
        <v>45717</v>
      </c>
      <c r="C1809" s="243">
        <f t="shared" si="714"/>
        <v>45747</v>
      </c>
      <c r="D1809" s="120">
        <f t="shared" si="715"/>
        <v>31</v>
      </c>
      <c r="E1809" s="120">
        <f t="shared" si="716"/>
        <v>3</v>
      </c>
      <c r="F1809" s="275">
        <f t="shared" si="717"/>
        <v>45732.5</v>
      </c>
      <c r="G1809" s="120">
        <f t="shared" si="718"/>
        <v>24302</v>
      </c>
      <c r="H1809" s="245">
        <f t="shared" si="719"/>
        <v>1</v>
      </c>
      <c r="I1809" s="121">
        <f t="shared" si="720"/>
        <v>1</v>
      </c>
      <c r="J1809" s="121">
        <f t="shared" si="721"/>
        <v>1</v>
      </c>
      <c r="K1809" s="120">
        <f t="shared" si="722"/>
        <v>0</v>
      </c>
      <c r="L1809" s="120">
        <f t="shared" si="723"/>
        <v>0</v>
      </c>
      <c r="M1809" s="246">
        <f t="shared" si="724"/>
        <v>0</v>
      </c>
      <c r="N1809" s="121">
        <f t="shared" si="725"/>
        <v>1</v>
      </c>
      <c r="O1809" s="246">
        <f t="shared" si="726"/>
        <v>0.89150437636761481</v>
      </c>
      <c r="P1809" s="121">
        <f t="shared" si="727"/>
        <v>0</v>
      </c>
      <c r="Q1809" s="121">
        <f t="shared" si="728"/>
        <v>0</v>
      </c>
      <c r="R1809" s="121">
        <f t="shared" si="729"/>
        <v>0</v>
      </c>
      <c r="S1809" s="121" t="str">
        <f t="shared" si="730"/>
        <v/>
      </c>
      <c r="T1809" s="121" t="str">
        <f t="shared" si="731"/>
        <v/>
      </c>
      <c r="U1809" s="121">
        <f t="shared" si="732"/>
        <v>1</v>
      </c>
    </row>
    <row r="1810" spans="1:21" x14ac:dyDescent="0.3">
      <c r="A1810" s="187">
        <v>4</v>
      </c>
      <c r="B1810" s="242">
        <f t="shared" si="733"/>
        <v>45748</v>
      </c>
      <c r="C1810" s="243">
        <f t="shared" si="714"/>
        <v>45777</v>
      </c>
      <c r="D1810" s="120">
        <f t="shared" si="715"/>
        <v>30</v>
      </c>
      <c r="E1810" s="120">
        <f t="shared" si="716"/>
        <v>4</v>
      </c>
      <c r="F1810" s="275">
        <f t="shared" si="717"/>
        <v>45763</v>
      </c>
      <c r="G1810" s="120">
        <f t="shared" si="718"/>
        <v>24303</v>
      </c>
      <c r="H1810" s="245">
        <f t="shared" si="719"/>
        <v>1</v>
      </c>
      <c r="I1810" s="121">
        <f t="shared" si="720"/>
        <v>1</v>
      </c>
      <c r="J1810" s="121">
        <f t="shared" si="721"/>
        <v>1</v>
      </c>
      <c r="K1810" s="120">
        <f t="shared" si="722"/>
        <v>0</v>
      </c>
      <c r="L1810" s="120">
        <f t="shared" si="723"/>
        <v>0</v>
      </c>
      <c r="M1810" s="246">
        <f t="shared" si="724"/>
        <v>0</v>
      </c>
      <c r="N1810" s="121">
        <f t="shared" si="725"/>
        <v>1</v>
      </c>
      <c r="O1810" s="246">
        <f t="shared" si="726"/>
        <v>0.89250547045951856</v>
      </c>
      <c r="P1810" s="121">
        <f t="shared" si="727"/>
        <v>0</v>
      </c>
      <c r="Q1810" s="121">
        <f t="shared" si="728"/>
        <v>0</v>
      </c>
      <c r="R1810" s="121">
        <f t="shared" si="729"/>
        <v>0</v>
      </c>
      <c r="S1810" s="121" t="str">
        <f t="shared" si="730"/>
        <v/>
      </c>
      <c r="T1810" s="121" t="str">
        <f t="shared" si="731"/>
        <v/>
      </c>
      <c r="U1810" s="121">
        <f t="shared" si="732"/>
        <v>1</v>
      </c>
    </row>
    <row r="1811" spans="1:21" x14ac:dyDescent="0.3">
      <c r="A1811" s="187">
        <v>5</v>
      </c>
      <c r="B1811" s="242">
        <f t="shared" si="733"/>
        <v>45778</v>
      </c>
      <c r="C1811" s="243">
        <f t="shared" si="714"/>
        <v>45808</v>
      </c>
      <c r="D1811" s="120">
        <f t="shared" si="715"/>
        <v>31</v>
      </c>
      <c r="E1811" s="120">
        <f t="shared" si="716"/>
        <v>5</v>
      </c>
      <c r="F1811" s="275">
        <f t="shared" si="717"/>
        <v>45793.5</v>
      </c>
      <c r="G1811" s="120">
        <f t="shared" si="718"/>
        <v>24304</v>
      </c>
      <c r="H1811" s="245">
        <f t="shared" si="719"/>
        <v>1</v>
      </c>
      <c r="I1811" s="121">
        <f t="shared" si="720"/>
        <v>1</v>
      </c>
      <c r="J1811" s="121">
        <f t="shared" si="721"/>
        <v>1</v>
      </c>
      <c r="K1811" s="120">
        <f t="shared" si="722"/>
        <v>0</v>
      </c>
      <c r="L1811" s="120">
        <f t="shared" si="723"/>
        <v>0</v>
      </c>
      <c r="M1811" s="246">
        <f t="shared" si="724"/>
        <v>0</v>
      </c>
      <c r="N1811" s="121">
        <f t="shared" si="725"/>
        <v>1</v>
      </c>
      <c r="O1811" s="246">
        <f t="shared" si="726"/>
        <v>0.8935065645514223</v>
      </c>
      <c r="P1811" s="121">
        <f t="shared" si="727"/>
        <v>0</v>
      </c>
      <c r="Q1811" s="121">
        <f t="shared" si="728"/>
        <v>0</v>
      </c>
      <c r="R1811" s="121">
        <f t="shared" si="729"/>
        <v>0</v>
      </c>
      <c r="S1811" s="121" t="str">
        <f t="shared" si="730"/>
        <v/>
      </c>
      <c r="T1811" s="121" t="str">
        <f t="shared" si="731"/>
        <v/>
      </c>
      <c r="U1811" s="121">
        <f t="shared" si="732"/>
        <v>1</v>
      </c>
    </row>
    <row r="1812" spans="1:21" x14ac:dyDescent="0.3">
      <c r="A1812" s="187">
        <v>6</v>
      </c>
      <c r="B1812" s="242">
        <f t="shared" si="733"/>
        <v>45809</v>
      </c>
      <c r="C1812" s="243">
        <f t="shared" si="714"/>
        <v>45838</v>
      </c>
      <c r="D1812" s="120">
        <f t="shared" si="715"/>
        <v>30</v>
      </c>
      <c r="E1812" s="120">
        <f t="shared" si="716"/>
        <v>6</v>
      </c>
      <c r="F1812" s="275">
        <f t="shared" si="717"/>
        <v>45824</v>
      </c>
      <c r="G1812" s="120">
        <f t="shared" si="718"/>
        <v>24305</v>
      </c>
      <c r="H1812" s="245">
        <f t="shared" si="719"/>
        <v>1</v>
      </c>
      <c r="I1812" s="121">
        <f t="shared" si="720"/>
        <v>1</v>
      </c>
      <c r="J1812" s="121">
        <f t="shared" si="721"/>
        <v>1</v>
      </c>
      <c r="K1812" s="120">
        <f t="shared" si="722"/>
        <v>0</v>
      </c>
      <c r="L1812" s="120">
        <f t="shared" si="723"/>
        <v>0</v>
      </c>
      <c r="M1812" s="246">
        <f t="shared" si="724"/>
        <v>0</v>
      </c>
      <c r="N1812" s="121">
        <f t="shared" si="725"/>
        <v>1</v>
      </c>
      <c r="O1812" s="246">
        <f t="shared" si="726"/>
        <v>0.89450765864332604</v>
      </c>
      <c r="P1812" s="121">
        <f t="shared" si="727"/>
        <v>0</v>
      </c>
      <c r="Q1812" s="121">
        <f t="shared" si="728"/>
        <v>0</v>
      </c>
      <c r="R1812" s="121">
        <f t="shared" si="729"/>
        <v>0</v>
      </c>
      <c r="S1812" s="121" t="str">
        <f t="shared" si="730"/>
        <v/>
      </c>
      <c r="T1812" s="121" t="str">
        <f t="shared" si="731"/>
        <v/>
      </c>
      <c r="U1812" s="121">
        <f t="shared" si="732"/>
        <v>1</v>
      </c>
    </row>
    <row r="1813" spans="1:21" x14ac:dyDescent="0.3">
      <c r="A1813" s="187">
        <v>7</v>
      </c>
      <c r="B1813" s="242">
        <f t="shared" si="733"/>
        <v>45839</v>
      </c>
      <c r="C1813" s="243">
        <f t="shared" si="714"/>
        <v>45869</v>
      </c>
      <c r="D1813" s="120">
        <f t="shared" si="715"/>
        <v>31</v>
      </c>
      <c r="E1813" s="120">
        <f t="shared" si="716"/>
        <v>7</v>
      </c>
      <c r="F1813" s="275">
        <f t="shared" si="717"/>
        <v>45854.5</v>
      </c>
      <c r="G1813" s="120">
        <f t="shared" si="718"/>
        <v>24306</v>
      </c>
      <c r="H1813" s="245">
        <f t="shared" si="719"/>
        <v>1</v>
      </c>
      <c r="I1813" s="121">
        <f t="shared" si="720"/>
        <v>1</v>
      </c>
      <c r="J1813" s="121">
        <f t="shared" si="721"/>
        <v>1</v>
      </c>
      <c r="K1813" s="120">
        <f t="shared" si="722"/>
        <v>0</v>
      </c>
      <c r="L1813" s="120">
        <f t="shared" si="723"/>
        <v>0</v>
      </c>
      <c r="M1813" s="246">
        <f t="shared" si="724"/>
        <v>0</v>
      </c>
      <c r="N1813" s="121">
        <f t="shared" si="725"/>
        <v>1</v>
      </c>
      <c r="O1813" s="246">
        <f t="shared" si="726"/>
        <v>0.89550875273522967</v>
      </c>
      <c r="P1813" s="121">
        <f t="shared" si="727"/>
        <v>8.333333333333337E-2</v>
      </c>
      <c r="Q1813" s="121">
        <f t="shared" si="728"/>
        <v>0</v>
      </c>
      <c r="R1813" s="121">
        <f t="shared" si="729"/>
        <v>0</v>
      </c>
      <c r="S1813" s="121" t="str">
        <f t="shared" si="730"/>
        <v/>
      </c>
      <c r="T1813" s="121" t="str">
        <f t="shared" si="731"/>
        <v/>
      </c>
      <c r="U1813" s="121">
        <f t="shared" si="732"/>
        <v>1</v>
      </c>
    </row>
    <row r="1814" spans="1:21" x14ac:dyDescent="0.3">
      <c r="A1814" s="187">
        <v>8</v>
      </c>
      <c r="B1814" s="242">
        <f t="shared" si="733"/>
        <v>45870</v>
      </c>
      <c r="C1814" s="243">
        <f t="shared" si="714"/>
        <v>45900</v>
      </c>
      <c r="D1814" s="120">
        <f t="shared" si="715"/>
        <v>31</v>
      </c>
      <c r="E1814" s="120">
        <f t="shared" si="716"/>
        <v>8</v>
      </c>
      <c r="F1814" s="275">
        <f t="shared" si="717"/>
        <v>45885.5</v>
      </c>
      <c r="G1814" s="120">
        <f t="shared" si="718"/>
        <v>24307</v>
      </c>
      <c r="H1814" s="245">
        <f t="shared" si="719"/>
        <v>1</v>
      </c>
      <c r="I1814" s="121">
        <f t="shared" si="720"/>
        <v>1</v>
      </c>
      <c r="J1814" s="121">
        <f t="shared" si="721"/>
        <v>1</v>
      </c>
      <c r="K1814" s="120">
        <f t="shared" si="722"/>
        <v>0</v>
      </c>
      <c r="L1814" s="120">
        <f t="shared" si="723"/>
        <v>0</v>
      </c>
      <c r="M1814" s="246">
        <f t="shared" si="724"/>
        <v>0</v>
      </c>
      <c r="N1814" s="121">
        <f t="shared" si="725"/>
        <v>1</v>
      </c>
      <c r="O1814" s="246">
        <f t="shared" si="726"/>
        <v>0.89652625820568921</v>
      </c>
      <c r="P1814" s="121">
        <f t="shared" si="727"/>
        <v>0.25</v>
      </c>
      <c r="Q1814" s="121">
        <f t="shared" si="728"/>
        <v>0</v>
      </c>
      <c r="R1814" s="121">
        <f t="shared" si="729"/>
        <v>0</v>
      </c>
      <c r="S1814" s="121" t="str">
        <f t="shared" si="730"/>
        <v/>
      </c>
      <c r="T1814" s="121" t="str">
        <f t="shared" si="731"/>
        <v/>
      </c>
      <c r="U1814" s="121">
        <f t="shared" si="732"/>
        <v>1</v>
      </c>
    </row>
    <row r="1815" spans="1:21" x14ac:dyDescent="0.3">
      <c r="A1815" s="187">
        <v>9</v>
      </c>
      <c r="B1815" s="242">
        <f t="shared" si="733"/>
        <v>45901</v>
      </c>
      <c r="C1815" s="243">
        <f t="shared" si="714"/>
        <v>45930</v>
      </c>
      <c r="D1815" s="120">
        <f t="shared" si="715"/>
        <v>30</v>
      </c>
      <c r="E1815" s="120">
        <f t="shared" si="716"/>
        <v>9</v>
      </c>
      <c r="F1815" s="275">
        <f t="shared" si="717"/>
        <v>45916</v>
      </c>
      <c r="G1815" s="120">
        <f t="shared" si="718"/>
        <v>24308</v>
      </c>
      <c r="H1815" s="245">
        <f t="shared" si="719"/>
        <v>1</v>
      </c>
      <c r="I1815" s="121">
        <f t="shared" si="720"/>
        <v>1</v>
      </c>
      <c r="J1815" s="121">
        <f t="shared" si="721"/>
        <v>1</v>
      </c>
      <c r="K1815" s="120">
        <f t="shared" si="722"/>
        <v>0</v>
      </c>
      <c r="L1815" s="120">
        <f t="shared" si="723"/>
        <v>0</v>
      </c>
      <c r="M1815" s="246">
        <f t="shared" si="724"/>
        <v>0</v>
      </c>
      <c r="N1815" s="121">
        <f t="shared" si="725"/>
        <v>1</v>
      </c>
      <c r="O1815" s="246">
        <f t="shared" si="726"/>
        <v>0.89752735229759295</v>
      </c>
      <c r="P1815" s="121">
        <f t="shared" si="727"/>
        <v>0.41666666666666663</v>
      </c>
      <c r="Q1815" s="121">
        <f t="shared" si="728"/>
        <v>0</v>
      </c>
      <c r="R1815" s="121">
        <f t="shared" si="729"/>
        <v>0</v>
      </c>
      <c r="S1815" s="121" t="str">
        <f t="shared" si="730"/>
        <v/>
      </c>
      <c r="T1815" s="121" t="str">
        <f t="shared" si="731"/>
        <v/>
      </c>
      <c r="U1815" s="121">
        <f t="shared" si="732"/>
        <v>1</v>
      </c>
    </row>
    <row r="1816" spans="1:21" x14ac:dyDescent="0.3">
      <c r="A1816" s="187">
        <v>10</v>
      </c>
      <c r="B1816" s="242">
        <f t="shared" si="733"/>
        <v>45931</v>
      </c>
      <c r="C1816" s="243">
        <f t="shared" si="714"/>
        <v>45961</v>
      </c>
      <c r="D1816" s="120">
        <f t="shared" si="715"/>
        <v>31</v>
      </c>
      <c r="E1816" s="120">
        <f t="shared" si="716"/>
        <v>10</v>
      </c>
      <c r="F1816" s="275">
        <f t="shared" si="717"/>
        <v>45946.5</v>
      </c>
      <c r="G1816" s="120">
        <f t="shared" si="718"/>
        <v>24309</v>
      </c>
      <c r="H1816" s="245">
        <f t="shared" si="719"/>
        <v>1</v>
      </c>
      <c r="I1816" s="121">
        <f t="shared" si="720"/>
        <v>1</v>
      </c>
      <c r="J1816" s="121">
        <f t="shared" si="721"/>
        <v>1</v>
      </c>
      <c r="K1816" s="120">
        <f t="shared" si="722"/>
        <v>0</v>
      </c>
      <c r="L1816" s="120">
        <f t="shared" si="723"/>
        <v>0</v>
      </c>
      <c r="M1816" s="246">
        <f t="shared" si="724"/>
        <v>0</v>
      </c>
      <c r="N1816" s="121">
        <f t="shared" si="725"/>
        <v>1</v>
      </c>
      <c r="O1816" s="246">
        <f t="shared" si="726"/>
        <v>0.89852844638949669</v>
      </c>
      <c r="P1816" s="121">
        <f t="shared" si="727"/>
        <v>0.58333333333333326</v>
      </c>
      <c r="Q1816" s="121">
        <f t="shared" si="728"/>
        <v>0</v>
      </c>
      <c r="R1816" s="121">
        <f t="shared" si="729"/>
        <v>0</v>
      </c>
      <c r="S1816" s="121" t="str">
        <f t="shared" si="730"/>
        <v/>
      </c>
      <c r="T1816" s="121" t="str">
        <f t="shared" si="731"/>
        <v/>
      </c>
      <c r="U1816" s="121">
        <f t="shared" si="732"/>
        <v>1</v>
      </c>
    </row>
    <row r="1817" spans="1:21" x14ac:dyDescent="0.3">
      <c r="A1817" s="187">
        <v>11</v>
      </c>
      <c r="B1817" s="242">
        <f t="shared" si="733"/>
        <v>45962</v>
      </c>
      <c r="C1817" s="243">
        <f t="shared" si="714"/>
        <v>45991</v>
      </c>
      <c r="D1817" s="120">
        <f t="shared" si="715"/>
        <v>30</v>
      </c>
      <c r="E1817" s="120">
        <f t="shared" si="716"/>
        <v>11</v>
      </c>
      <c r="F1817" s="275">
        <f t="shared" si="717"/>
        <v>45977</v>
      </c>
      <c r="G1817" s="120">
        <f t="shared" si="718"/>
        <v>24310</v>
      </c>
      <c r="H1817" s="245">
        <f t="shared" si="719"/>
        <v>1</v>
      </c>
      <c r="I1817" s="121">
        <f t="shared" si="720"/>
        <v>1</v>
      </c>
      <c r="J1817" s="121">
        <f t="shared" si="721"/>
        <v>1</v>
      </c>
      <c r="K1817" s="120">
        <f t="shared" si="722"/>
        <v>0</v>
      </c>
      <c r="L1817" s="120">
        <f t="shared" si="723"/>
        <v>0</v>
      </c>
      <c r="M1817" s="246">
        <f t="shared" si="724"/>
        <v>0</v>
      </c>
      <c r="N1817" s="121">
        <f t="shared" si="725"/>
        <v>1</v>
      </c>
      <c r="O1817" s="246">
        <f t="shared" si="726"/>
        <v>0.89952954048140044</v>
      </c>
      <c r="P1817" s="121">
        <f t="shared" si="727"/>
        <v>0.75</v>
      </c>
      <c r="Q1817" s="121">
        <f t="shared" si="728"/>
        <v>0</v>
      </c>
      <c r="R1817" s="121">
        <f t="shared" si="729"/>
        <v>0</v>
      </c>
      <c r="S1817" s="121" t="str">
        <f t="shared" si="730"/>
        <v/>
      </c>
      <c r="T1817" s="121" t="str">
        <f t="shared" si="731"/>
        <v/>
      </c>
      <c r="U1817" s="121">
        <f t="shared" si="732"/>
        <v>1</v>
      </c>
    </row>
    <row r="1818" spans="1:21" x14ac:dyDescent="0.3">
      <c r="A1818" s="187">
        <v>12</v>
      </c>
      <c r="B1818" s="242">
        <f t="shared" si="733"/>
        <v>45992</v>
      </c>
      <c r="C1818" s="243">
        <f t="shared" si="714"/>
        <v>46022</v>
      </c>
      <c r="D1818" s="120">
        <f t="shared" si="715"/>
        <v>31</v>
      </c>
      <c r="E1818" s="120">
        <f t="shared" si="716"/>
        <v>12</v>
      </c>
      <c r="F1818" s="275">
        <f t="shared" si="717"/>
        <v>46007.5</v>
      </c>
      <c r="G1818" s="120">
        <f t="shared" si="718"/>
        <v>24311</v>
      </c>
      <c r="H1818" s="245">
        <f t="shared" si="719"/>
        <v>1</v>
      </c>
      <c r="I1818" s="121">
        <f t="shared" si="720"/>
        <v>1</v>
      </c>
      <c r="J1818" s="121">
        <f t="shared" si="721"/>
        <v>1</v>
      </c>
      <c r="K1818" s="120">
        <f t="shared" si="722"/>
        <v>0</v>
      </c>
      <c r="L1818" s="120">
        <f t="shared" si="723"/>
        <v>0</v>
      </c>
      <c r="M1818" s="246">
        <f t="shared" si="724"/>
        <v>0</v>
      </c>
      <c r="N1818" s="121">
        <f t="shared" si="725"/>
        <v>1</v>
      </c>
      <c r="O1818" s="246">
        <f t="shared" si="726"/>
        <v>0.90053063457330418</v>
      </c>
      <c r="P1818" s="121">
        <f t="shared" si="727"/>
        <v>0.91666666666666663</v>
      </c>
      <c r="Q1818" s="121">
        <f t="shared" si="728"/>
        <v>0</v>
      </c>
      <c r="R1818" s="121">
        <f t="shared" si="729"/>
        <v>0</v>
      </c>
      <c r="S1818" s="121" t="str">
        <f t="shared" si="730"/>
        <v/>
      </c>
      <c r="T1818" s="121" t="str">
        <f t="shared" si="731"/>
        <v/>
      </c>
      <c r="U1818" s="121">
        <f t="shared" si="732"/>
        <v>1</v>
      </c>
    </row>
    <row r="1819" spans="1:21" x14ac:dyDescent="0.3">
      <c r="A1819" s="187">
        <v>13</v>
      </c>
      <c r="B1819" s="242">
        <f t="shared" si="733"/>
        <v>46023</v>
      </c>
      <c r="C1819" s="243">
        <f t="shared" si="714"/>
        <v>46053</v>
      </c>
      <c r="D1819" s="120">
        <f t="shared" si="715"/>
        <v>31</v>
      </c>
      <c r="E1819" s="120">
        <f t="shared" si="716"/>
        <v>1</v>
      </c>
      <c r="F1819" s="275">
        <f t="shared" si="717"/>
        <v>46038.5</v>
      </c>
      <c r="G1819" s="120">
        <f t="shared" si="718"/>
        <v>24312</v>
      </c>
      <c r="H1819" s="245">
        <f t="shared" si="719"/>
        <v>1</v>
      </c>
      <c r="I1819" s="121">
        <f t="shared" si="720"/>
        <v>1</v>
      </c>
      <c r="J1819" s="121">
        <f t="shared" si="721"/>
        <v>1</v>
      </c>
      <c r="K1819" s="120">
        <f t="shared" si="722"/>
        <v>0</v>
      </c>
      <c r="L1819" s="120">
        <f t="shared" si="723"/>
        <v>0</v>
      </c>
      <c r="M1819" s="246">
        <f t="shared" si="724"/>
        <v>0</v>
      </c>
      <c r="N1819" s="121">
        <f t="shared" si="725"/>
        <v>1</v>
      </c>
      <c r="O1819" s="246">
        <f t="shared" si="726"/>
        <v>0.90154814004376371</v>
      </c>
      <c r="P1819" s="121">
        <f t="shared" si="727"/>
        <v>1</v>
      </c>
      <c r="Q1819" s="121">
        <f t="shared" si="728"/>
        <v>0</v>
      </c>
      <c r="R1819" s="121">
        <f t="shared" si="729"/>
        <v>0</v>
      </c>
      <c r="S1819" s="121" t="str">
        <f t="shared" si="730"/>
        <v/>
      </c>
      <c r="T1819" s="121" t="str">
        <f t="shared" si="731"/>
        <v/>
      </c>
      <c r="U1819" s="121">
        <f t="shared" si="732"/>
        <v>1</v>
      </c>
    </row>
    <row r="1820" spans="1:21" x14ac:dyDescent="0.3">
      <c r="A1820" s="187">
        <v>14</v>
      </c>
      <c r="B1820" s="242">
        <f t="shared" si="733"/>
        <v>46054</v>
      </c>
      <c r="C1820" s="243">
        <f t="shared" si="714"/>
        <v>46081</v>
      </c>
      <c r="D1820" s="120">
        <f t="shared" si="715"/>
        <v>28</v>
      </c>
      <c r="E1820" s="120">
        <f t="shared" si="716"/>
        <v>2</v>
      </c>
      <c r="F1820" s="275">
        <f t="shared" si="717"/>
        <v>46068</v>
      </c>
      <c r="G1820" s="120">
        <f t="shared" si="718"/>
        <v>24313</v>
      </c>
      <c r="H1820" s="245">
        <f t="shared" si="719"/>
        <v>1</v>
      </c>
      <c r="I1820" s="121">
        <f t="shared" si="720"/>
        <v>1</v>
      </c>
      <c r="J1820" s="121">
        <f t="shared" si="721"/>
        <v>1</v>
      </c>
      <c r="K1820" s="120">
        <f t="shared" si="722"/>
        <v>0</v>
      </c>
      <c r="L1820" s="120">
        <f t="shared" si="723"/>
        <v>0</v>
      </c>
      <c r="M1820" s="246">
        <f t="shared" si="724"/>
        <v>0</v>
      </c>
      <c r="N1820" s="121">
        <f t="shared" si="725"/>
        <v>1</v>
      </c>
      <c r="O1820" s="246">
        <f t="shared" si="726"/>
        <v>0.90251641137855576</v>
      </c>
      <c r="P1820" s="121">
        <f t="shared" si="727"/>
        <v>1</v>
      </c>
      <c r="Q1820" s="121">
        <f t="shared" si="728"/>
        <v>0</v>
      </c>
      <c r="R1820" s="121">
        <f t="shared" si="729"/>
        <v>0</v>
      </c>
      <c r="S1820" s="121" t="str">
        <f t="shared" si="730"/>
        <v/>
      </c>
      <c r="T1820" s="121" t="str">
        <f t="shared" si="731"/>
        <v/>
      </c>
      <c r="U1820" s="121">
        <f t="shared" si="732"/>
        <v>1</v>
      </c>
    </row>
    <row r="1821" spans="1:21" x14ac:dyDescent="0.3">
      <c r="A1821" s="187">
        <v>15</v>
      </c>
      <c r="B1821" s="242">
        <f t="shared" si="733"/>
        <v>46082</v>
      </c>
      <c r="C1821" s="243">
        <f t="shared" si="714"/>
        <v>46112</v>
      </c>
      <c r="D1821" s="120">
        <f t="shared" si="715"/>
        <v>31</v>
      </c>
      <c r="E1821" s="120">
        <f t="shared" si="716"/>
        <v>3</v>
      </c>
      <c r="F1821" s="275">
        <f t="shared" si="717"/>
        <v>46097.5</v>
      </c>
      <c r="G1821" s="120">
        <f t="shared" si="718"/>
        <v>24314</v>
      </c>
      <c r="H1821" s="245">
        <f t="shared" si="719"/>
        <v>1</v>
      </c>
      <c r="I1821" s="121">
        <f t="shared" si="720"/>
        <v>1</v>
      </c>
      <c r="J1821" s="121">
        <f t="shared" si="721"/>
        <v>1</v>
      </c>
      <c r="K1821" s="120">
        <f t="shared" si="722"/>
        <v>0</v>
      </c>
      <c r="L1821" s="120">
        <f t="shared" si="723"/>
        <v>0</v>
      </c>
      <c r="M1821" s="246">
        <f t="shared" si="724"/>
        <v>0</v>
      </c>
      <c r="N1821" s="121">
        <f t="shared" si="725"/>
        <v>1</v>
      </c>
      <c r="O1821" s="246">
        <f t="shared" si="726"/>
        <v>0.90348468271334792</v>
      </c>
      <c r="P1821" s="121">
        <f t="shared" si="727"/>
        <v>1</v>
      </c>
      <c r="Q1821" s="121">
        <f t="shared" si="728"/>
        <v>0</v>
      </c>
      <c r="R1821" s="121">
        <f t="shared" si="729"/>
        <v>0</v>
      </c>
      <c r="S1821" s="121" t="str">
        <f t="shared" si="730"/>
        <v/>
      </c>
      <c r="T1821" s="121" t="str">
        <f t="shared" si="731"/>
        <v/>
      </c>
      <c r="U1821" s="121">
        <f t="shared" si="732"/>
        <v>1</v>
      </c>
    </row>
    <row r="1822" spans="1:21" x14ac:dyDescent="0.3">
      <c r="A1822" s="187">
        <v>16</v>
      </c>
      <c r="B1822" s="242">
        <f t="shared" si="733"/>
        <v>46113</v>
      </c>
      <c r="C1822" s="243">
        <f t="shared" si="714"/>
        <v>46142</v>
      </c>
      <c r="D1822" s="120">
        <f t="shared" si="715"/>
        <v>30</v>
      </c>
      <c r="E1822" s="120">
        <f t="shared" si="716"/>
        <v>4</v>
      </c>
      <c r="F1822" s="275">
        <f t="shared" si="717"/>
        <v>46128</v>
      </c>
      <c r="G1822" s="120">
        <f t="shared" si="718"/>
        <v>24315</v>
      </c>
      <c r="H1822" s="245">
        <f t="shared" si="719"/>
        <v>1</v>
      </c>
      <c r="I1822" s="121">
        <f t="shared" si="720"/>
        <v>1</v>
      </c>
      <c r="J1822" s="121">
        <f t="shared" si="721"/>
        <v>1</v>
      </c>
      <c r="K1822" s="120">
        <f t="shared" si="722"/>
        <v>0</v>
      </c>
      <c r="L1822" s="120">
        <f t="shared" si="723"/>
        <v>0</v>
      </c>
      <c r="M1822" s="246">
        <f t="shared" si="724"/>
        <v>0</v>
      </c>
      <c r="N1822" s="121">
        <f t="shared" si="725"/>
        <v>1</v>
      </c>
      <c r="O1822" s="246">
        <f t="shared" si="726"/>
        <v>0.90448577680525166</v>
      </c>
      <c r="P1822" s="121">
        <f t="shared" si="727"/>
        <v>1</v>
      </c>
      <c r="Q1822" s="121">
        <f t="shared" si="728"/>
        <v>0</v>
      </c>
      <c r="R1822" s="121">
        <f t="shared" si="729"/>
        <v>0</v>
      </c>
      <c r="S1822" s="121" t="str">
        <f t="shared" si="730"/>
        <v/>
      </c>
      <c r="T1822" s="121" t="str">
        <f t="shared" si="731"/>
        <v/>
      </c>
      <c r="U1822" s="121">
        <f t="shared" si="732"/>
        <v>1</v>
      </c>
    </row>
    <row r="1823" spans="1:21" x14ac:dyDescent="0.3">
      <c r="A1823" s="187">
        <v>17</v>
      </c>
      <c r="B1823" s="242">
        <f t="shared" si="733"/>
        <v>46143</v>
      </c>
      <c r="C1823" s="243">
        <f t="shared" si="714"/>
        <v>46173</v>
      </c>
      <c r="D1823" s="120">
        <f t="shared" si="715"/>
        <v>31</v>
      </c>
      <c r="E1823" s="120">
        <f t="shared" si="716"/>
        <v>5</v>
      </c>
      <c r="F1823" s="275">
        <f t="shared" si="717"/>
        <v>46158.5</v>
      </c>
      <c r="G1823" s="120">
        <f t="shared" si="718"/>
        <v>24316</v>
      </c>
      <c r="H1823" s="245">
        <f t="shared" si="719"/>
        <v>1</v>
      </c>
      <c r="I1823" s="121">
        <f t="shared" si="720"/>
        <v>1</v>
      </c>
      <c r="J1823" s="121">
        <f t="shared" si="721"/>
        <v>1</v>
      </c>
      <c r="K1823" s="120">
        <f t="shared" si="722"/>
        <v>0</v>
      </c>
      <c r="L1823" s="120">
        <f t="shared" si="723"/>
        <v>0</v>
      </c>
      <c r="M1823" s="246">
        <f t="shared" si="724"/>
        <v>0</v>
      </c>
      <c r="N1823" s="121">
        <f t="shared" si="725"/>
        <v>1</v>
      </c>
      <c r="O1823" s="246">
        <f t="shared" si="726"/>
        <v>0.9054868708971554</v>
      </c>
      <c r="P1823" s="121">
        <f t="shared" si="727"/>
        <v>1</v>
      </c>
      <c r="Q1823" s="121">
        <f t="shared" si="728"/>
        <v>0</v>
      </c>
      <c r="R1823" s="121">
        <f t="shared" si="729"/>
        <v>0</v>
      </c>
      <c r="S1823" s="121" t="str">
        <f t="shared" si="730"/>
        <v/>
      </c>
      <c r="T1823" s="121" t="str">
        <f t="shared" si="731"/>
        <v/>
      </c>
      <c r="U1823" s="121">
        <f t="shared" si="732"/>
        <v>1</v>
      </c>
    </row>
    <row r="1824" spans="1:21" x14ac:dyDescent="0.3">
      <c r="A1824" s="187">
        <v>18</v>
      </c>
      <c r="B1824" s="242">
        <f t="shared" si="733"/>
        <v>46174</v>
      </c>
      <c r="C1824" s="243">
        <f t="shared" si="714"/>
        <v>46203</v>
      </c>
      <c r="D1824" s="120">
        <f t="shared" si="715"/>
        <v>30</v>
      </c>
      <c r="E1824" s="120">
        <f t="shared" si="716"/>
        <v>6</v>
      </c>
      <c r="F1824" s="275">
        <f t="shared" si="717"/>
        <v>46189</v>
      </c>
      <c r="G1824" s="120">
        <f t="shared" si="718"/>
        <v>24317</v>
      </c>
      <c r="H1824" s="245">
        <f t="shared" si="719"/>
        <v>1</v>
      </c>
      <c r="I1824" s="121">
        <f t="shared" si="720"/>
        <v>1</v>
      </c>
      <c r="J1824" s="121">
        <f t="shared" si="721"/>
        <v>1</v>
      </c>
      <c r="K1824" s="120">
        <f t="shared" si="722"/>
        <v>0</v>
      </c>
      <c r="L1824" s="120">
        <f t="shared" si="723"/>
        <v>0</v>
      </c>
      <c r="M1824" s="246">
        <f t="shared" si="724"/>
        <v>0</v>
      </c>
      <c r="N1824" s="121">
        <f t="shared" si="725"/>
        <v>1</v>
      </c>
      <c r="O1824" s="246">
        <f t="shared" si="726"/>
        <v>0.90648796498905915</v>
      </c>
      <c r="P1824" s="121">
        <f t="shared" si="727"/>
        <v>1</v>
      </c>
      <c r="Q1824" s="121">
        <f t="shared" si="728"/>
        <v>0</v>
      </c>
      <c r="R1824" s="121">
        <f t="shared" si="729"/>
        <v>0</v>
      </c>
      <c r="S1824" s="121" t="str">
        <f t="shared" si="730"/>
        <v/>
      </c>
      <c r="T1824" s="121" t="str">
        <f t="shared" si="731"/>
        <v/>
      </c>
      <c r="U1824" s="121">
        <f t="shared" si="732"/>
        <v>1</v>
      </c>
    </row>
    <row r="1825" spans="1:21" x14ac:dyDescent="0.3">
      <c r="A1825" s="187">
        <v>19</v>
      </c>
      <c r="B1825" s="242">
        <f t="shared" si="733"/>
        <v>46204</v>
      </c>
      <c r="C1825" s="243">
        <f t="shared" si="714"/>
        <v>46234</v>
      </c>
      <c r="D1825" s="120">
        <f t="shared" si="715"/>
        <v>31</v>
      </c>
      <c r="E1825" s="120">
        <f t="shared" si="716"/>
        <v>7</v>
      </c>
      <c r="F1825" s="275">
        <f t="shared" si="717"/>
        <v>46219.5</v>
      </c>
      <c r="G1825" s="120">
        <f t="shared" si="718"/>
        <v>24318</v>
      </c>
      <c r="H1825" s="245">
        <f t="shared" si="719"/>
        <v>1</v>
      </c>
      <c r="I1825" s="121">
        <f t="shared" si="720"/>
        <v>1</v>
      </c>
      <c r="J1825" s="121">
        <f t="shared" si="721"/>
        <v>1</v>
      </c>
      <c r="K1825" s="120">
        <f t="shared" si="722"/>
        <v>0</v>
      </c>
      <c r="L1825" s="120">
        <f t="shared" si="723"/>
        <v>0</v>
      </c>
      <c r="M1825" s="246">
        <f t="shared" si="724"/>
        <v>0</v>
      </c>
      <c r="N1825" s="121">
        <f t="shared" si="725"/>
        <v>1</v>
      </c>
      <c r="O1825" s="246">
        <f t="shared" si="726"/>
        <v>0.90748905908096278</v>
      </c>
      <c r="P1825" s="121">
        <f t="shared" si="727"/>
        <v>0.91666666666666663</v>
      </c>
      <c r="Q1825" s="121">
        <f t="shared" si="728"/>
        <v>8.333333333333337E-2</v>
      </c>
      <c r="R1825" s="121">
        <f t="shared" si="729"/>
        <v>0</v>
      </c>
      <c r="S1825" s="121" t="str">
        <f t="shared" si="730"/>
        <v/>
      </c>
      <c r="T1825" s="121" t="str">
        <f t="shared" si="731"/>
        <v/>
      </c>
      <c r="U1825" s="121">
        <f t="shared" si="732"/>
        <v>1</v>
      </c>
    </row>
    <row r="1826" spans="1:21" x14ac:dyDescent="0.3">
      <c r="A1826" s="187">
        <v>20</v>
      </c>
      <c r="B1826" s="242">
        <f t="shared" si="733"/>
        <v>46235</v>
      </c>
      <c r="C1826" s="243">
        <f t="shared" si="714"/>
        <v>46265</v>
      </c>
      <c r="D1826" s="120">
        <f t="shared" si="715"/>
        <v>31</v>
      </c>
      <c r="E1826" s="120">
        <f t="shared" si="716"/>
        <v>8</v>
      </c>
      <c r="F1826" s="275">
        <f t="shared" si="717"/>
        <v>46250.5</v>
      </c>
      <c r="G1826" s="120">
        <f t="shared" si="718"/>
        <v>24319</v>
      </c>
      <c r="H1826" s="245">
        <f t="shared" si="719"/>
        <v>1</v>
      </c>
      <c r="I1826" s="121">
        <f t="shared" si="720"/>
        <v>1</v>
      </c>
      <c r="J1826" s="121">
        <f t="shared" si="721"/>
        <v>1</v>
      </c>
      <c r="K1826" s="120">
        <f t="shared" si="722"/>
        <v>0</v>
      </c>
      <c r="L1826" s="120">
        <f t="shared" si="723"/>
        <v>0</v>
      </c>
      <c r="M1826" s="246">
        <f t="shared" si="724"/>
        <v>0</v>
      </c>
      <c r="N1826" s="121">
        <f t="shared" si="725"/>
        <v>1</v>
      </c>
      <c r="O1826" s="246">
        <f t="shared" si="726"/>
        <v>0.90850656455142231</v>
      </c>
      <c r="P1826" s="121">
        <f t="shared" si="727"/>
        <v>0.75</v>
      </c>
      <c r="Q1826" s="121">
        <f t="shared" si="728"/>
        <v>0.25</v>
      </c>
      <c r="R1826" s="121">
        <f t="shared" si="729"/>
        <v>0</v>
      </c>
      <c r="S1826" s="121" t="str">
        <f t="shared" si="730"/>
        <v/>
      </c>
      <c r="T1826" s="121" t="str">
        <f t="shared" si="731"/>
        <v/>
      </c>
      <c r="U1826" s="121">
        <f t="shared" si="732"/>
        <v>1</v>
      </c>
    </row>
    <row r="1827" spans="1:21" x14ac:dyDescent="0.3">
      <c r="A1827" s="187">
        <v>21</v>
      </c>
      <c r="B1827" s="242">
        <f t="shared" si="733"/>
        <v>46266</v>
      </c>
      <c r="C1827" s="243">
        <f t="shared" si="714"/>
        <v>46295</v>
      </c>
      <c r="D1827" s="120">
        <f t="shared" si="715"/>
        <v>30</v>
      </c>
      <c r="E1827" s="120">
        <f t="shared" si="716"/>
        <v>9</v>
      </c>
      <c r="F1827" s="275">
        <f t="shared" si="717"/>
        <v>46281</v>
      </c>
      <c r="G1827" s="120">
        <f t="shared" si="718"/>
        <v>24320</v>
      </c>
      <c r="H1827" s="245">
        <f t="shared" si="719"/>
        <v>1</v>
      </c>
      <c r="I1827" s="121">
        <f t="shared" si="720"/>
        <v>1</v>
      </c>
      <c r="J1827" s="121">
        <f t="shared" si="721"/>
        <v>1</v>
      </c>
      <c r="K1827" s="120">
        <f t="shared" si="722"/>
        <v>0</v>
      </c>
      <c r="L1827" s="120">
        <f t="shared" si="723"/>
        <v>0</v>
      </c>
      <c r="M1827" s="246">
        <f t="shared" si="724"/>
        <v>0</v>
      </c>
      <c r="N1827" s="121">
        <f t="shared" si="725"/>
        <v>1</v>
      </c>
      <c r="O1827" s="246">
        <f t="shared" si="726"/>
        <v>0.90950765864332606</v>
      </c>
      <c r="P1827" s="121">
        <f t="shared" si="727"/>
        <v>0.58333333333333337</v>
      </c>
      <c r="Q1827" s="121">
        <f t="shared" si="728"/>
        <v>0.41666666666666663</v>
      </c>
      <c r="R1827" s="121">
        <f t="shared" si="729"/>
        <v>0</v>
      </c>
      <c r="S1827" s="121" t="str">
        <f t="shared" si="730"/>
        <v/>
      </c>
      <c r="T1827" s="121" t="str">
        <f t="shared" si="731"/>
        <v/>
      </c>
      <c r="U1827" s="121">
        <f t="shared" si="732"/>
        <v>1</v>
      </c>
    </row>
    <row r="1828" spans="1:21" x14ac:dyDescent="0.3">
      <c r="A1828" s="187">
        <v>22</v>
      </c>
      <c r="B1828" s="242">
        <f t="shared" si="733"/>
        <v>46296</v>
      </c>
      <c r="C1828" s="243">
        <f t="shared" si="714"/>
        <v>46326</v>
      </c>
      <c r="D1828" s="120">
        <f t="shared" si="715"/>
        <v>31</v>
      </c>
      <c r="E1828" s="120">
        <f t="shared" si="716"/>
        <v>10</v>
      </c>
      <c r="F1828" s="275">
        <f t="shared" si="717"/>
        <v>46311.5</v>
      </c>
      <c r="G1828" s="120">
        <f t="shared" si="718"/>
        <v>24321</v>
      </c>
      <c r="H1828" s="245">
        <f t="shared" si="719"/>
        <v>1</v>
      </c>
      <c r="I1828" s="121">
        <f t="shared" si="720"/>
        <v>1</v>
      </c>
      <c r="J1828" s="121">
        <f t="shared" si="721"/>
        <v>1</v>
      </c>
      <c r="K1828" s="120">
        <f t="shared" si="722"/>
        <v>0</v>
      </c>
      <c r="L1828" s="120">
        <f t="shared" si="723"/>
        <v>0</v>
      </c>
      <c r="M1828" s="246">
        <f t="shared" si="724"/>
        <v>0</v>
      </c>
      <c r="N1828" s="121">
        <f t="shared" si="725"/>
        <v>1</v>
      </c>
      <c r="O1828" s="246">
        <f t="shared" si="726"/>
        <v>0.9105087527352298</v>
      </c>
      <c r="P1828" s="121">
        <f t="shared" si="727"/>
        <v>0.41666666666666669</v>
      </c>
      <c r="Q1828" s="121">
        <f t="shared" si="728"/>
        <v>0.58333333333333326</v>
      </c>
      <c r="R1828" s="121">
        <f t="shared" si="729"/>
        <v>0</v>
      </c>
      <c r="S1828" s="121" t="str">
        <f t="shared" si="730"/>
        <v/>
      </c>
      <c r="T1828" s="121" t="str">
        <f t="shared" si="731"/>
        <v/>
      </c>
      <c r="U1828" s="121">
        <f t="shared" si="732"/>
        <v>1</v>
      </c>
    </row>
    <row r="1829" spans="1:21" x14ac:dyDescent="0.3">
      <c r="A1829" s="187">
        <v>23</v>
      </c>
      <c r="B1829" s="242">
        <f t="shared" si="733"/>
        <v>46327</v>
      </c>
      <c r="C1829" s="243">
        <f t="shared" si="714"/>
        <v>46356</v>
      </c>
      <c r="D1829" s="120">
        <f t="shared" si="715"/>
        <v>30</v>
      </c>
      <c r="E1829" s="120">
        <f t="shared" si="716"/>
        <v>11</v>
      </c>
      <c r="F1829" s="275">
        <f t="shared" si="717"/>
        <v>46342</v>
      </c>
      <c r="G1829" s="120">
        <f t="shared" si="718"/>
        <v>24322</v>
      </c>
      <c r="H1829" s="245">
        <f t="shared" si="719"/>
        <v>1</v>
      </c>
      <c r="I1829" s="121">
        <f t="shared" si="720"/>
        <v>1</v>
      </c>
      <c r="J1829" s="121">
        <f t="shared" si="721"/>
        <v>1</v>
      </c>
      <c r="K1829" s="120">
        <f t="shared" si="722"/>
        <v>0</v>
      </c>
      <c r="L1829" s="120">
        <f t="shared" si="723"/>
        <v>0</v>
      </c>
      <c r="M1829" s="246">
        <f t="shared" si="724"/>
        <v>0</v>
      </c>
      <c r="N1829" s="121">
        <f t="shared" si="725"/>
        <v>1</v>
      </c>
      <c r="O1829" s="246">
        <f t="shared" si="726"/>
        <v>0.91150984682713354</v>
      </c>
      <c r="P1829" s="121">
        <f t="shared" si="727"/>
        <v>0.25</v>
      </c>
      <c r="Q1829" s="121">
        <f t="shared" si="728"/>
        <v>0.75</v>
      </c>
      <c r="R1829" s="121">
        <f t="shared" si="729"/>
        <v>0</v>
      </c>
      <c r="S1829" s="121" t="str">
        <f t="shared" si="730"/>
        <v/>
      </c>
      <c r="T1829" s="121" t="str">
        <f t="shared" si="731"/>
        <v/>
      </c>
      <c r="U1829" s="121">
        <f t="shared" si="732"/>
        <v>1</v>
      </c>
    </row>
    <row r="1830" spans="1:21" x14ac:dyDescent="0.3">
      <c r="A1830" s="187">
        <v>24</v>
      </c>
      <c r="B1830" s="242">
        <f t="shared" si="733"/>
        <v>46357</v>
      </c>
      <c r="C1830" s="243">
        <f t="shared" si="714"/>
        <v>46387</v>
      </c>
      <c r="D1830" s="120">
        <f t="shared" si="715"/>
        <v>31</v>
      </c>
      <c r="E1830" s="120">
        <f t="shared" si="716"/>
        <v>12</v>
      </c>
      <c r="F1830" s="275">
        <f t="shared" si="717"/>
        <v>46372.5</v>
      </c>
      <c r="G1830" s="120">
        <f t="shared" si="718"/>
        <v>24323</v>
      </c>
      <c r="H1830" s="245">
        <f t="shared" si="719"/>
        <v>1</v>
      </c>
      <c r="I1830" s="121">
        <f t="shared" si="720"/>
        <v>1</v>
      </c>
      <c r="J1830" s="121">
        <f t="shared" si="721"/>
        <v>1</v>
      </c>
      <c r="K1830" s="120">
        <f t="shared" si="722"/>
        <v>0</v>
      </c>
      <c r="L1830" s="120">
        <f t="shared" si="723"/>
        <v>0</v>
      </c>
      <c r="M1830" s="246">
        <f t="shared" si="724"/>
        <v>0</v>
      </c>
      <c r="N1830" s="121">
        <f t="shared" si="725"/>
        <v>1</v>
      </c>
      <c r="O1830" s="246">
        <f t="shared" si="726"/>
        <v>0.91251094091903728</v>
      </c>
      <c r="P1830" s="121">
        <f t="shared" si="727"/>
        <v>8.3333333333333329E-2</v>
      </c>
      <c r="Q1830" s="121">
        <f t="shared" si="728"/>
        <v>0.91666666666666663</v>
      </c>
      <c r="R1830" s="121">
        <f t="shared" si="729"/>
        <v>0</v>
      </c>
      <c r="S1830" s="121" t="str">
        <f t="shared" si="730"/>
        <v/>
      </c>
      <c r="T1830" s="121" t="str">
        <f t="shared" si="731"/>
        <v/>
      </c>
      <c r="U1830" s="121">
        <f t="shared" si="732"/>
        <v>1</v>
      </c>
    </row>
    <row r="1831" spans="1:21" x14ac:dyDescent="0.3">
      <c r="A1831" s="187">
        <v>25</v>
      </c>
      <c r="B1831" s="242">
        <f t="shared" si="733"/>
        <v>46388</v>
      </c>
      <c r="C1831" s="243">
        <f t="shared" si="714"/>
        <v>46418</v>
      </c>
      <c r="D1831" s="120">
        <f t="shared" si="715"/>
        <v>31</v>
      </c>
      <c r="E1831" s="120">
        <f t="shared" si="716"/>
        <v>1</v>
      </c>
      <c r="F1831" s="275">
        <f t="shared" si="717"/>
        <v>46403.5</v>
      </c>
      <c r="G1831" s="120">
        <f t="shared" si="718"/>
        <v>24324</v>
      </c>
      <c r="H1831" s="245">
        <f t="shared" si="719"/>
        <v>1</v>
      </c>
      <c r="I1831" s="121">
        <f t="shared" si="720"/>
        <v>1</v>
      </c>
      <c r="J1831" s="121">
        <f t="shared" si="721"/>
        <v>1</v>
      </c>
      <c r="K1831" s="120">
        <f t="shared" si="722"/>
        <v>0</v>
      </c>
      <c r="L1831" s="120">
        <f t="shared" si="723"/>
        <v>0</v>
      </c>
      <c r="M1831" s="246">
        <f t="shared" si="724"/>
        <v>0</v>
      </c>
      <c r="N1831" s="121">
        <f t="shared" si="725"/>
        <v>1</v>
      </c>
      <c r="O1831" s="246">
        <f t="shared" si="726"/>
        <v>0.91352844638949671</v>
      </c>
      <c r="P1831" s="121">
        <f t="shared" si="727"/>
        <v>0</v>
      </c>
      <c r="Q1831" s="121">
        <f t="shared" si="728"/>
        <v>1</v>
      </c>
      <c r="R1831" s="121">
        <f t="shared" si="729"/>
        <v>0</v>
      </c>
      <c r="S1831" s="121" t="str">
        <f t="shared" si="730"/>
        <v/>
      </c>
      <c r="T1831" s="121" t="str">
        <f t="shared" si="731"/>
        <v/>
      </c>
      <c r="U1831" s="121">
        <f t="shared" si="732"/>
        <v>1</v>
      </c>
    </row>
    <row r="1832" spans="1:21" x14ac:dyDescent="0.3">
      <c r="A1832" s="187">
        <v>26</v>
      </c>
      <c r="B1832" s="242">
        <f t="shared" si="733"/>
        <v>46419</v>
      </c>
      <c r="C1832" s="243">
        <f t="shared" si="714"/>
        <v>46446</v>
      </c>
      <c r="D1832" s="120">
        <f t="shared" si="715"/>
        <v>28</v>
      </c>
      <c r="E1832" s="120">
        <f t="shared" si="716"/>
        <v>2</v>
      </c>
      <c r="F1832" s="275">
        <f t="shared" si="717"/>
        <v>46433</v>
      </c>
      <c r="G1832" s="120">
        <f t="shared" si="718"/>
        <v>24325</v>
      </c>
      <c r="H1832" s="245">
        <f t="shared" si="719"/>
        <v>1</v>
      </c>
      <c r="I1832" s="121">
        <f t="shared" si="720"/>
        <v>1</v>
      </c>
      <c r="J1832" s="121">
        <f t="shared" si="721"/>
        <v>1</v>
      </c>
      <c r="K1832" s="120">
        <f t="shared" si="722"/>
        <v>0</v>
      </c>
      <c r="L1832" s="120">
        <f t="shared" si="723"/>
        <v>0</v>
      </c>
      <c r="M1832" s="246">
        <f t="shared" si="724"/>
        <v>0</v>
      </c>
      <c r="N1832" s="121">
        <f t="shared" si="725"/>
        <v>1</v>
      </c>
      <c r="O1832" s="246">
        <f t="shared" si="726"/>
        <v>0.91449671772428887</v>
      </c>
      <c r="P1832" s="121">
        <f t="shared" si="727"/>
        <v>0</v>
      </c>
      <c r="Q1832" s="121">
        <f t="shared" si="728"/>
        <v>1</v>
      </c>
      <c r="R1832" s="121">
        <f t="shared" si="729"/>
        <v>0</v>
      </c>
      <c r="S1832" s="121" t="str">
        <f t="shared" si="730"/>
        <v/>
      </c>
      <c r="T1832" s="121" t="str">
        <f t="shared" si="731"/>
        <v/>
      </c>
      <c r="U1832" s="121">
        <f t="shared" si="732"/>
        <v>1</v>
      </c>
    </row>
    <row r="1833" spans="1:21" x14ac:dyDescent="0.3">
      <c r="A1833" s="187">
        <v>27</v>
      </c>
      <c r="B1833" s="242">
        <f t="shared" si="733"/>
        <v>46447</v>
      </c>
      <c r="C1833" s="243">
        <f t="shared" si="714"/>
        <v>46477</v>
      </c>
      <c r="D1833" s="120">
        <f t="shared" si="715"/>
        <v>31</v>
      </c>
      <c r="E1833" s="120">
        <f t="shared" si="716"/>
        <v>3</v>
      </c>
      <c r="F1833" s="275">
        <f t="shared" si="717"/>
        <v>46462.5</v>
      </c>
      <c r="G1833" s="120">
        <f t="shared" si="718"/>
        <v>24326</v>
      </c>
      <c r="H1833" s="245">
        <f t="shared" si="719"/>
        <v>1</v>
      </c>
      <c r="I1833" s="121">
        <f t="shared" si="720"/>
        <v>1</v>
      </c>
      <c r="J1833" s="121">
        <f t="shared" si="721"/>
        <v>1</v>
      </c>
      <c r="K1833" s="120">
        <f t="shared" si="722"/>
        <v>0</v>
      </c>
      <c r="L1833" s="120">
        <f t="shared" si="723"/>
        <v>0</v>
      </c>
      <c r="M1833" s="246">
        <f t="shared" si="724"/>
        <v>0</v>
      </c>
      <c r="N1833" s="121">
        <f t="shared" si="725"/>
        <v>1</v>
      </c>
      <c r="O1833" s="246">
        <f t="shared" si="726"/>
        <v>0.91546498905908102</v>
      </c>
      <c r="P1833" s="121">
        <f t="shared" si="727"/>
        <v>0</v>
      </c>
      <c r="Q1833" s="121">
        <f t="shared" si="728"/>
        <v>1</v>
      </c>
      <c r="R1833" s="121">
        <f t="shared" si="729"/>
        <v>0</v>
      </c>
      <c r="S1833" s="121" t="str">
        <f t="shared" si="730"/>
        <v/>
      </c>
      <c r="T1833" s="121" t="str">
        <f t="shared" si="731"/>
        <v/>
      </c>
      <c r="U1833" s="121">
        <f t="shared" si="732"/>
        <v>1</v>
      </c>
    </row>
    <row r="1834" spans="1:21" x14ac:dyDescent="0.3">
      <c r="A1834" s="187">
        <v>28</v>
      </c>
      <c r="B1834" s="242">
        <f t="shared" si="733"/>
        <v>46478</v>
      </c>
      <c r="C1834" s="243">
        <f t="shared" si="714"/>
        <v>46507</v>
      </c>
      <c r="D1834" s="120">
        <f t="shared" si="715"/>
        <v>30</v>
      </c>
      <c r="E1834" s="120">
        <f t="shared" si="716"/>
        <v>4</v>
      </c>
      <c r="F1834" s="275">
        <f t="shared" si="717"/>
        <v>46493</v>
      </c>
      <c r="G1834" s="120">
        <f t="shared" si="718"/>
        <v>24327</v>
      </c>
      <c r="H1834" s="245">
        <f t="shared" si="719"/>
        <v>1</v>
      </c>
      <c r="I1834" s="121">
        <f t="shared" si="720"/>
        <v>1</v>
      </c>
      <c r="J1834" s="121">
        <f t="shared" si="721"/>
        <v>1</v>
      </c>
      <c r="K1834" s="120">
        <f t="shared" si="722"/>
        <v>0</v>
      </c>
      <c r="L1834" s="120">
        <f t="shared" si="723"/>
        <v>0</v>
      </c>
      <c r="M1834" s="246">
        <f t="shared" si="724"/>
        <v>0</v>
      </c>
      <c r="N1834" s="121">
        <f t="shared" si="725"/>
        <v>1</v>
      </c>
      <c r="O1834" s="246">
        <f t="shared" si="726"/>
        <v>0.91646608315098477</v>
      </c>
      <c r="P1834" s="121">
        <f t="shared" si="727"/>
        <v>0</v>
      </c>
      <c r="Q1834" s="121">
        <f t="shared" si="728"/>
        <v>1</v>
      </c>
      <c r="R1834" s="121">
        <f t="shared" si="729"/>
        <v>0</v>
      </c>
      <c r="S1834" s="121" t="str">
        <f t="shared" si="730"/>
        <v/>
      </c>
      <c r="T1834" s="121" t="str">
        <f t="shared" si="731"/>
        <v/>
      </c>
      <c r="U1834" s="121">
        <f t="shared" si="732"/>
        <v>1</v>
      </c>
    </row>
    <row r="1835" spans="1:21" x14ac:dyDescent="0.3">
      <c r="A1835" s="187">
        <v>29</v>
      </c>
      <c r="B1835" s="242">
        <f t="shared" si="733"/>
        <v>46508</v>
      </c>
      <c r="C1835" s="243">
        <f t="shared" si="714"/>
        <v>46538</v>
      </c>
      <c r="D1835" s="120">
        <f t="shared" si="715"/>
        <v>31</v>
      </c>
      <c r="E1835" s="120">
        <f t="shared" si="716"/>
        <v>5</v>
      </c>
      <c r="F1835" s="275">
        <f t="shared" si="717"/>
        <v>46523.5</v>
      </c>
      <c r="G1835" s="120">
        <f t="shared" si="718"/>
        <v>24328</v>
      </c>
      <c r="H1835" s="245">
        <f t="shared" si="719"/>
        <v>1</v>
      </c>
      <c r="I1835" s="121">
        <f t="shared" si="720"/>
        <v>1</v>
      </c>
      <c r="J1835" s="121">
        <f t="shared" si="721"/>
        <v>1</v>
      </c>
      <c r="K1835" s="120">
        <f t="shared" si="722"/>
        <v>0</v>
      </c>
      <c r="L1835" s="120">
        <f t="shared" si="723"/>
        <v>0</v>
      </c>
      <c r="M1835" s="246">
        <f t="shared" si="724"/>
        <v>0</v>
      </c>
      <c r="N1835" s="121">
        <f t="shared" si="725"/>
        <v>1</v>
      </c>
      <c r="O1835" s="246">
        <f t="shared" si="726"/>
        <v>0.9174671772428884</v>
      </c>
      <c r="P1835" s="121">
        <f t="shared" si="727"/>
        <v>0</v>
      </c>
      <c r="Q1835" s="121">
        <f t="shared" si="728"/>
        <v>1</v>
      </c>
      <c r="R1835" s="121">
        <f t="shared" si="729"/>
        <v>0</v>
      </c>
      <c r="S1835" s="121" t="str">
        <f t="shared" si="730"/>
        <v/>
      </c>
      <c r="T1835" s="121" t="str">
        <f t="shared" si="731"/>
        <v/>
      </c>
      <c r="U1835" s="121">
        <f t="shared" si="732"/>
        <v>1</v>
      </c>
    </row>
    <row r="1836" spans="1:21" x14ac:dyDescent="0.3">
      <c r="A1836" s="187">
        <v>30</v>
      </c>
      <c r="B1836" s="242">
        <f t="shared" si="733"/>
        <v>46539</v>
      </c>
      <c r="C1836" s="243">
        <f t="shared" si="714"/>
        <v>46568</v>
      </c>
      <c r="D1836" s="120">
        <f t="shared" si="715"/>
        <v>30</v>
      </c>
      <c r="E1836" s="120">
        <f t="shared" si="716"/>
        <v>6</v>
      </c>
      <c r="F1836" s="275">
        <f t="shared" si="717"/>
        <v>46554</v>
      </c>
      <c r="G1836" s="120">
        <f t="shared" si="718"/>
        <v>24329</v>
      </c>
      <c r="H1836" s="245">
        <f t="shared" si="719"/>
        <v>1</v>
      </c>
      <c r="I1836" s="121">
        <f t="shared" si="720"/>
        <v>1</v>
      </c>
      <c r="J1836" s="121">
        <f t="shared" si="721"/>
        <v>1</v>
      </c>
      <c r="K1836" s="120">
        <f t="shared" si="722"/>
        <v>0</v>
      </c>
      <c r="L1836" s="120">
        <f t="shared" si="723"/>
        <v>0</v>
      </c>
      <c r="M1836" s="246">
        <f t="shared" si="724"/>
        <v>0</v>
      </c>
      <c r="N1836" s="121">
        <f t="shared" si="725"/>
        <v>1</v>
      </c>
      <c r="O1836" s="246">
        <f t="shared" si="726"/>
        <v>0.91846827133479214</v>
      </c>
      <c r="P1836" s="121">
        <f t="shared" si="727"/>
        <v>0</v>
      </c>
      <c r="Q1836" s="121">
        <f t="shared" si="728"/>
        <v>1</v>
      </c>
      <c r="R1836" s="121">
        <f t="shared" si="729"/>
        <v>0</v>
      </c>
      <c r="S1836" s="121" t="str">
        <f t="shared" si="730"/>
        <v/>
      </c>
      <c r="T1836" s="121" t="str">
        <f t="shared" si="731"/>
        <v/>
      </c>
      <c r="U1836" s="121">
        <f t="shared" si="732"/>
        <v>1</v>
      </c>
    </row>
    <row r="1837" spans="1:21" x14ac:dyDescent="0.3">
      <c r="A1837" s="187">
        <v>31</v>
      </c>
      <c r="B1837" s="242">
        <f t="shared" si="733"/>
        <v>46569</v>
      </c>
      <c r="C1837" s="243">
        <f t="shared" si="714"/>
        <v>46599</v>
      </c>
      <c r="D1837" s="120">
        <f t="shared" si="715"/>
        <v>31</v>
      </c>
      <c r="E1837" s="120">
        <f t="shared" si="716"/>
        <v>7</v>
      </c>
      <c r="F1837" s="275">
        <f t="shared" si="717"/>
        <v>46584.5</v>
      </c>
      <c r="G1837" s="120">
        <f t="shared" si="718"/>
        <v>24330</v>
      </c>
      <c r="H1837" s="245">
        <f t="shared" si="719"/>
        <v>1</v>
      </c>
      <c r="I1837" s="121">
        <f t="shared" si="720"/>
        <v>1</v>
      </c>
      <c r="J1837" s="121">
        <f t="shared" si="721"/>
        <v>1</v>
      </c>
      <c r="K1837" s="120">
        <f t="shared" si="722"/>
        <v>0</v>
      </c>
      <c r="L1837" s="120">
        <f t="shared" si="723"/>
        <v>0</v>
      </c>
      <c r="M1837" s="246">
        <f t="shared" si="724"/>
        <v>0</v>
      </c>
      <c r="N1837" s="121">
        <f t="shared" si="725"/>
        <v>1</v>
      </c>
      <c r="O1837" s="246">
        <f t="shared" si="726"/>
        <v>0.91946936542669588</v>
      </c>
      <c r="P1837" s="121">
        <f t="shared" si="727"/>
        <v>0</v>
      </c>
      <c r="Q1837" s="121">
        <f t="shared" si="728"/>
        <v>0.91666666666666663</v>
      </c>
      <c r="R1837" s="121">
        <f t="shared" si="729"/>
        <v>8.333333333333337E-2</v>
      </c>
      <c r="S1837" s="121" t="str">
        <f t="shared" si="730"/>
        <v/>
      </c>
      <c r="T1837" s="121" t="str">
        <f t="shared" si="731"/>
        <v/>
      </c>
      <c r="U1837" s="121">
        <f t="shared" si="732"/>
        <v>1</v>
      </c>
    </row>
    <row r="1838" spans="1:21" x14ac:dyDescent="0.3">
      <c r="A1838" s="187">
        <v>32</v>
      </c>
      <c r="B1838" s="242">
        <f t="shared" si="733"/>
        <v>46600</v>
      </c>
      <c r="C1838" s="243">
        <f t="shared" si="714"/>
        <v>46630</v>
      </c>
      <c r="D1838" s="120">
        <f t="shared" si="715"/>
        <v>31</v>
      </c>
      <c r="E1838" s="120">
        <f t="shared" si="716"/>
        <v>8</v>
      </c>
      <c r="F1838" s="275">
        <f t="shared" si="717"/>
        <v>46615.5</v>
      </c>
      <c r="G1838" s="120">
        <f t="shared" si="718"/>
        <v>24331</v>
      </c>
      <c r="H1838" s="245">
        <f t="shared" si="719"/>
        <v>1</v>
      </c>
      <c r="I1838" s="121">
        <f t="shared" si="720"/>
        <v>1</v>
      </c>
      <c r="J1838" s="121">
        <f t="shared" si="721"/>
        <v>1</v>
      </c>
      <c r="K1838" s="120">
        <f t="shared" si="722"/>
        <v>0</v>
      </c>
      <c r="L1838" s="120">
        <f t="shared" si="723"/>
        <v>0</v>
      </c>
      <c r="M1838" s="246">
        <f t="shared" si="724"/>
        <v>0</v>
      </c>
      <c r="N1838" s="121">
        <f t="shared" si="725"/>
        <v>1</v>
      </c>
      <c r="O1838" s="246">
        <f t="shared" si="726"/>
        <v>0.92048687089715542</v>
      </c>
      <c r="P1838" s="121">
        <f t="shared" si="727"/>
        <v>0</v>
      </c>
      <c r="Q1838" s="121">
        <f t="shared" si="728"/>
        <v>0.75</v>
      </c>
      <c r="R1838" s="121">
        <f t="shared" si="729"/>
        <v>0.25</v>
      </c>
      <c r="S1838" s="121" t="str">
        <f t="shared" si="730"/>
        <v/>
      </c>
      <c r="T1838" s="121" t="str">
        <f t="shared" si="731"/>
        <v/>
      </c>
      <c r="U1838" s="121">
        <f t="shared" si="732"/>
        <v>1</v>
      </c>
    </row>
    <row r="1839" spans="1:21" x14ac:dyDescent="0.3">
      <c r="A1839" s="187">
        <v>33</v>
      </c>
      <c r="B1839" s="242">
        <f t="shared" si="733"/>
        <v>46631</v>
      </c>
      <c r="C1839" s="243">
        <f t="shared" si="714"/>
        <v>46660</v>
      </c>
      <c r="D1839" s="120">
        <f t="shared" si="715"/>
        <v>30</v>
      </c>
      <c r="E1839" s="120">
        <f t="shared" si="716"/>
        <v>9</v>
      </c>
      <c r="F1839" s="275">
        <f t="shared" si="717"/>
        <v>46646</v>
      </c>
      <c r="G1839" s="120">
        <f t="shared" si="718"/>
        <v>24332</v>
      </c>
      <c r="H1839" s="245">
        <f t="shared" si="719"/>
        <v>1</v>
      </c>
      <c r="I1839" s="121">
        <f t="shared" si="720"/>
        <v>1</v>
      </c>
      <c r="J1839" s="121">
        <f t="shared" si="721"/>
        <v>1</v>
      </c>
      <c r="K1839" s="120">
        <f t="shared" si="722"/>
        <v>0</v>
      </c>
      <c r="L1839" s="120">
        <f t="shared" si="723"/>
        <v>0</v>
      </c>
      <c r="M1839" s="246">
        <f t="shared" si="724"/>
        <v>0</v>
      </c>
      <c r="N1839" s="121">
        <f t="shared" si="725"/>
        <v>1</v>
      </c>
      <c r="O1839" s="246">
        <f t="shared" si="726"/>
        <v>0.92148796498905916</v>
      </c>
      <c r="P1839" s="121">
        <f t="shared" si="727"/>
        <v>0</v>
      </c>
      <c r="Q1839" s="121">
        <f t="shared" si="728"/>
        <v>0.58333333333333337</v>
      </c>
      <c r="R1839" s="121">
        <f t="shared" si="729"/>
        <v>0.41666666666666663</v>
      </c>
      <c r="S1839" s="121" t="str">
        <f t="shared" si="730"/>
        <v/>
      </c>
      <c r="T1839" s="121" t="str">
        <f t="shared" si="731"/>
        <v/>
      </c>
      <c r="U1839" s="121">
        <f t="shared" si="732"/>
        <v>1</v>
      </c>
    </row>
    <row r="1840" spans="1:21" x14ac:dyDescent="0.3">
      <c r="A1840" s="187">
        <v>34</v>
      </c>
      <c r="B1840" s="242">
        <f t="shared" si="733"/>
        <v>46661</v>
      </c>
      <c r="C1840" s="243">
        <f t="shared" si="714"/>
        <v>46691</v>
      </c>
      <c r="D1840" s="120">
        <f t="shared" si="715"/>
        <v>31</v>
      </c>
      <c r="E1840" s="120">
        <f t="shared" si="716"/>
        <v>10</v>
      </c>
      <c r="F1840" s="275">
        <f t="shared" si="717"/>
        <v>46676.5</v>
      </c>
      <c r="G1840" s="120">
        <f t="shared" si="718"/>
        <v>24333</v>
      </c>
      <c r="H1840" s="245">
        <f t="shared" si="719"/>
        <v>1</v>
      </c>
      <c r="I1840" s="121">
        <f t="shared" si="720"/>
        <v>1</v>
      </c>
      <c r="J1840" s="121">
        <f t="shared" si="721"/>
        <v>1</v>
      </c>
      <c r="K1840" s="120">
        <f t="shared" si="722"/>
        <v>0</v>
      </c>
      <c r="L1840" s="120">
        <f t="shared" si="723"/>
        <v>0</v>
      </c>
      <c r="M1840" s="246">
        <f t="shared" si="724"/>
        <v>0</v>
      </c>
      <c r="N1840" s="121">
        <f t="shared" si="725"/>
        <v>1</v>
      </c>
      <c r="O1840" s="246">
        <f t="shared" si="726"/>
        <v>0.92248905908096279</v>
      </c>
      <c r="P1840" s="121">
        <f t="shared" si="727"/>
        <v>0</v>
      </c>
      <c r="Q1840" s="121">
        <f t="shared" si="728"/>
        <v>0.41666666666666669</v>
      </c>
      <c r="R1840" s="121">
        <f t="shared" si="729"/>
        <v>0.58333333333333326</v>
      </c>
      <c r="S1840" s="121" t="str">
        <f t="shared" si="730"/>
        <v/>
      </c>
      <c r="T1840" s="121" t="str">
        <f t="shared" si="731"/>
        <v/>
      </c>
      <c r="U1840" s="121">
        <f t="shared" si="732"/>
        <v>1</v>
      </c>
    </row>
    <row r="1841" spans="1:21" x14ac:dyDescent="0.3">
      <c r="A1841" s="187">
        <v>35</v>
      </c>
      <c r="B1841" s="242">
        <f t="shared" si="733"/>
        <v>46692</v>
      </c>
      <c r="C1841" s="243">
        <f t="shared" si="714"/>
        <v>46721</v>
      </c>
      <c r="D1841" s="120">
        <f t="shared" si="715"/>
        <v>30</v>
      </c>
      <c r="E1841" s="120">
        <f t="shared" si="716"/>
        <v>11</v>
      </c>
      <c r="F1841" s="275">
        <f t="shared" si="717"/>
        <v>46707</v>
      </c>
      <c r="G1841" s="120">
        <f t="shared" si="718"/>
        <v>24334</v>
      </c>
      <c r="H1841" s="245">
        <f t="shared" si="719"/>
        <v>1</v>
      </c>
      <c r="I1841" s="121">
        <f t="shared" si="720"/>
        <v>1</v>
      </c>
      <c r="J1841" s="121">
        <f t="shared" si="721"/>
        <v>1</v>
      </c>
      <c r="K1841" s="120">
        <f t="shared" si="722"/>
        <v>0</v>
      </c>
      <c r="L1841" s="120">
        <f t="shared" si="723"/>
        <v>0</v>
      </c>
      <c r="M1841" s="246">
        <f t="shared" si="724"/>
        <v>0</v>
      </c>
      <c r="N1841" s="121">
        <f t="shared" si="725"/>
        <v>1</v>
      </c>
      <c r="O1841" s="246">
        <f t="shared" si="726"/>
        <v>0.92349015317286653</v>
      </c>
      <c r="P1841" s="121">
        <f t="shared" si="727"/>
        <v>0</v>
      </c>
      <c r="Q1841" s="121">
        <f t="shared" si="728"/>
        <v>0.25</v>
      </c>
      <c r="R1841" s="121">
        <f t="shared" si="729"/>
        <v>0.75</v>
      </c>
      <c r="S1841" s="121" t="str">
        <f t="shared" si="730"/>
        <v/>
      </c>
      <c r="T1841" s="121" t="str">
        <f t="shared" si="731"/>
        <v/>
      </c>
      <c r="U1841" s="121">
        <f t="shared" si="732"/>
        <v>1</v>
      </c>
    </row>
    <row r="1842" spans="1:21" x14ac:dyDescent="0.3">
      <c r="A1842" s="187">
        <v>36</v>
      </c>
      <c r="B1842" s="242">
        <f t="shared" si="733"/>
        <v>46722</v>
      </c>
      <c r="C1842" s="243">
        <f t="shared" si="714"/>
        <v>46752</v>
      </c>
      <c r="D1842" s="120">
        <f t="shared" si="715"/>
        <v>31</v>
      </c>
      <c r="E1842" s="120">
        <f t="shared" si="716"/>
        <v>12</v>
      </c>
      <c r="F1842" s="275">
        <f t="shared" si="717"/>
        <v>46737.5</v>
      </c>
      <c r="G1842" s="120">
        <f t="shared" si="718"/>
        <v>24335</v>
      </c>
      <c r="H1842" s="245">
        <f t="shared" si="719"/>
        <v>1</v>
      </c>
      <c r="I1842" s="121">
        <f t="shared" si="720"/>
        <v>1</v>
      </c>
      <c r="J1842" s="121">
        <f t="shared" si="721"/>
        <v>1</v>
      </c>
      <c r="K1842" s="120">
        <f t="shared" si="722"/>
        <v>0</v>
      </c>
      <c r="L1842" s="120">
        <f t="shared" si="723"/>
        <v>0</v>
      </c>
      <c r="M1842" s="246">
        <f t="shared" si="724"/>
        <v>0</v>
      </c>
      <c r="N1842" s="121">
        <f t="shared" si="725"/>
        <v>1</v>
      </c>
      <c r="O1842" s="246">
        <f t="shared" si="726"/>
        <v>0.92449124726477028</v>
      </c>
      <c r="P1842" s="121">
        <f t="shared" si="727"/>
        <v>0</v>
      </c>
      <c r="Q1842" s="121">
        <f t="shared" si="728"/>
        <v>8.3333333333333329E-2</v>
      </c>
      <c r="R1842" s="121">
        <f t="shared" si="729"/>
        <v>0.91666666666666663</v>
      </c>
      <c r="S1842" s="121" t="str">
        <f t="shared" si="730"/>
        <v/>
      </c>
      <c r="T1842" s="121" t="str">
        <f t="shared" si="731"/>
        <v/>
      </c>
      <c r="U1842" s="121">
        <f t="shared" si="732"/>
        <v>1</v>
      </c>
    </row>
    <row r="1843" spans="1:21" x14ac:dyDescent="0.3">
      <c r="A1843" s="187">
        <v>37</v>
      </c>
      <c r="B1843" s="242">
        <f t="shared" si="733"/>
        <v>46753</v>
      </c>
      <c r="C1843" s="243">
        <f t="shared" si="714"/>
        <v>46783</v>
      </c>
      <c r="D1843" s="120">
        <f t="shared" si="715"/>
        <v>31</v>
      </c>
      <c r="E1843" s="120">
        <f t="shared" si="716"/>
        <v>1</v>
      </c>
      <c r="F1843" s="275">
        <f t="shared" si="717"/>
        <v>46768.5</v>
      </c>
      <c r="G1843" s="120">
        <f t="shared" si="718"/>
        <v>24336</v>
      </c>
      <c r="H1843" s="245">
        <f t="shared" si="719"/>
        <v>1</v>
      </c>
      <c r="I1843" s="121">
        <f t="shared" si="720"/>
        <v>1</v>
      </c>
      <c r="J1843" s="121">
        <f t="shared" si="721"/>
        <v>1</v>
      </c>
      <c r="K1843" s="120">
        <f t="shared" si="722"/>
        <v>0</v>
      </c>
      <c r="L1843" s="120">
        <f t="shared" si="723"/>
        <v>0</v>
      </c>
      <c r="M1843" s="246">
        <f t="shared" si="724"/>
        <v>0</v>
      </c>
      <c r="N1843" s="121">
        <f t="shared" si="725"/>
        <v>1</v>
      </c>
      <c r="O1843" s="246">
        <f t="shared" si="726"/>
        <v>0.92500000000000004</v>
      </c>
      <c r="P1843" s="121">
        <f t="shared" si="727"/>
        <v>0</v>
      </c>
      <c r="Q1843" s="121">
        <f t="shared" si="728"/>
        <v>0</v>
      </c>
      <c r="R1843" s="121">
        <f t="shared" si="729"/>
        <v>1</v>
      </c>
      <c r="S1843" s="121" t="str">
        <f t="shared" si="730"/>
        <v/>
      </c>
      <c r="T1843" s="121" t="str">
        <f t="shared" si="731"/>
        <v/>
      </c>
      <c r="U1843" s="121">
        <f t="shared" si="732"/>
        <v>1</v>
      </c>
    </row>
    <row r="1844" spans="1:21" x14ac:dyDescent="0.3">
      <c r="A1844" s="187">
        <v>38</v>
      </c>
      <c r="B1844" s="242">
        <f t="shared" si="733"/>
        <v>46784</v>
      </c>
      <c r="C1844" s="243">
        <f t="shared" si="714"/>
        <v>46812</v>
      </c>
      <c r="D1844" s="120">
        <f t="shared" si="715"/>
        <v>29</v>
      </c>
      <c r="E1844" s="120">
        <f t="shared" si="716"/>
        <v>2</v>
      </c>
      <c r="F1844" s="275">
        <f t="shared" si="717"/>
        <v>46798.5</v>
      </c>
      <c r="G1844" s="120">
        <f t="shared" si="718"/>
        <v>24337</v>
      </c>
      <c r="H1844" s="245">
        <f t="shared" si="719"/>
        <v>1</v>
      </c>
      <c r="I1844" s="121">
        <f t="shared" si="720"/>
        <v>1</v>
      </c>
      <c r="J1844" s="121">
        <f t="shared" si="721"/>
        <v>1</v>
      </c>
      <c r="K1844" s="120">
        <f t="shared" si="722"/>
        <v>0</v>
      </c>
      <c r="L1844" s="120">
        <f t="shared" si="723"/>
        <v>0</v>
      </c>
      <c r="M1844" s="246">
        <f t="shared" si="724"/>
        <v>0</v>
      </c>
      <c r="N1844" s="121">
        <f t="shared" si="725"/>
        <v>1</v>
      </c>
      <c r="O1844" s="246">
        <f t="shared" si="726"/>
        <v>0.92500000000000004</v>
      </c>
      <c r="P1844" s="121">
        <f t="shared" si="727"/>
        <v>0</v>
      </c>
      <c r="Q1844" s="121">
        <f t="shared" si="728"/>
        <v>0</v>
      </c>
      <c r="R1844" s="121">
        <f t="shared" si="729"/>
        <v>1</v>
      </c>
      <c r="S1844" s="121" t="str">
        <f t="shared" si="730"/>
        <v/>
      </c>
      <c r="T1844" s="121" t="str">
        <f t="shared" si="731"/>
        <v/>
      </c>
      <c r="U1844" s="121">
        <f t="shared" si="732"/>
        <v>1</v>
      </c>
    </row>
    <row r="1845" spans="1:21" x14ac:dyDescent="0.3">
      <c r="A1845" s="187">
        <v>39</v>
      </c>
      <c r="B1845" s="242">
        <f t="shared" si="733"/>
        <v>46813</v>
      </c>
      <c r="C1845" s="243">
        <f t="shared" si="714"/>
        <v>46843</v>
      </c>
      <c r="D1845" s="120">
        <f t="shared" si="715"/>
        <v>31</v>
      </c>
      <c r="E1845" s="120">
        <f t="shared" si="716"/>
        <v>3</v>
      </c>
      <c r="F1845" s="275">
        <f t="shared" si="717"/>
        <v>46828.5</v>
      </c>
      <c r="G1845" s="120">
        <f t="shared" si="718"/>
        <v>24338</v>
      </c>
      <c r="H1845" s="245">
        <f t="shared" si="719"/>
        <v>1</v>
      </c>
      <c r="I1845" s="121">
        <f t="shared" si="720"/>
        <v>1</v>
      </c>
      <c r="J1845" s="121">
        <f t="shared" si="721"/>
        <v>1</v>
      </c>
      <c r="K1845" s="120">
        <f t="shared" si="722"/>
        <v>0</v>
      </c>
      <c r="L1845" s="120">
        <f t="shared" si="723"/>
        <v>0</v>
      </c>
      <c r="M1845" s="246">
        <f t="shared" si="724"/>
        <v>0</v>
      </c>
      <c r="N1845" s="121">
        <f t="shared" si="725"/>
        <v>1</v>
      </c>
      <c r="O1845" s="246">
        <f t="shared" si="726"/>
        <v>0.92500000000000004</v>
      </c>
      <c r="P1845" s="121">
        <f t="shared" si="727"/>
        <v>0</v>
      </c>
      <c r="Q1845" s="121">
        <f t="shared" si="728"/>
        <v>0</v>
      </c>
      <c r="R1845" s="121">
        <f t="shared" si="729"/>
        <v>1</v>
      </c>
      <c r="S1845" s="121" t="str">
        <f t="shared" si="730"/>
        <v/>
      </c>
      <c r="T1845" s="121" t="str">
        <f t="shared" si="731"/>
        <v/>
      </c>
      <c r="U1845" s="121">
        <f t="shared" si="732"/>
        <v>1</v>
      </c>
    </row>
    <row r="1846" spans="1:21" x14ac:dyDescent="0.3">
      <c r="A1846" s="187">
        <v>40</v>
      </c>
      <c r="B1846" s="242">
        <f t="shared" si="733"/>
        <v>46844</v>
      </c>
      <c r="C1846" s="243">
        <f t="shared" si="714"/>
        <v>46873</v>
      </c>
      <c r="D1846" s="120">
        <f t="shared" si="715"/>
        <v>30</v>
      </c>
      <c r="E1846" s="120">
        <f t="shared" si="716"/>
        <v>4</v>
      </c>
      <c r="F1846" s="275">
        <f t="shared" si="717"/>
        <v>46859</v>
      </c>
      <c r="G1846" s="120">
        <f t="shared" si="718"/>
        <v>24339</v>
      </c>
      <c r="H1846" s="245">
        <f t="shared" si="719"/>
        <v>1</v>
      </c>
      <c r="I1846" s="121">
        <f t="shared" si="720"/>
        <v>1</v>
      </c>
      <c r="J1846" s="121">
        <f t="shared" si="721"/>
        <v>1</v>
      </c>
      <c r="K1846" s="120">
        <f t="shared" si="722"/>
        <v>0</v>
      </c>
      <c r="L1846" s="120">
        <f t="shared" si="723"/>
        <v>0</v>
      </c>
      <c r="M1846" s="246">
        <f t="shared" si="724"/>
        <v>0</v>
      </c>
      <c r="N1846" s="121">
        <f t="shared" si="725"/>
        <v>1</v>
      </c>
      <c r="O1846" s="246">
        <f t="shared" si="726"/>
        <v>0.92500000000000004</v>
      </c>
      <c r="P1846" s="121">
        <f t="shared" si="727"/>
        <v>0</v>
      </c>
      <c r="Q1846" s="121">
        <f t="shared" si="728"/>
        <v>0</v>
      </c>
      <c r="R1846" s="121">
        <f t="shared" si="729"/>
        <v>1</v>
      </c>
      <c r="S1846" s="121" t="str">
        <f t="shared" si="730"/>
        <v/>
      </c>
      <c r="T1846" s="121" t="str">
        <f t="shared" si="731"/>
        <v/>
      </c>
      <c r="U1846" s="121">
        <f t="shared" si="732"/>
        <v>1</v>
      </c>
    </row>
    <row r="1847" spans="1:21" x14ac:dyDescent="0.3">
      <c r="A1847" s="187">
        <v>41</v>
      </c>
      <c r="B1847" s="242">
        <f t="shared" si="733"/>
        <v>46874</v>
      </c>
      <c r="C1847" s="243">
        <f t="shared" si="714"/>
        <v>46904</v>
      </c>
      <c r="D1847" s="120">
        <f t="shared" si="715"/>
        <v>31</v>
      </c>
      <c r="E1847" s="120">
        <f t="shared" si="716"/>
        <v>5</v>
      </c>
      <c r="F1847" s="275">
        <f t="shared" si="717"/>
        <v>46889.5</v>
      </c>
      <c r="G1847" s="120">
        <f t="shared" si="718"/>
        <v>24340</v>
      </c>
      <c r="H1847" s="245">
        <f t="shared" si="719"/>
        <v>1</v>
      </c>
      <c r="I1847" s="121">
        <f t="shared" si="720"/>
        <v>1</v>
      </c>
      <c r="J1847" s="121">
        <f t="shared" si="721"/>
        <v>1</v>
      </c>
      <c r="K1847" s="120">
        <f t="shared" si="722"/>
        <v>0</v>
      </c>
      <c r="L1847" s="120">
        <f t="shared" si="723"/>
        <v>0</v>
      </c>
      <c r="M1847" s="246">
        <f t="shared" si="724"/>
        <v>0</v>
      </c>
      <c r="N1847" s="121">
        <f t="shared" si="725"/>
        <v>1</v>
      </c>
      <c r="O1847" s="246">
        <f t="shared" si="726"/>
        <v>0.92500000000000004</v>
      </c>
      <c r="P1847" s="121">
        <f t="shared" si="727"/>
        <v>0</v>
      </c>
      <c r="Q1847" s="121">
        <f t="shared" si="728"/>
        <v>0</v>
      </c>
      <c r="R1847" s="121">
        <f t="shared" si="729"/>
        <v>1</v>
      </c>
      <c r="S1847" s="121" t="str">
        <f t="shared" si="730"/>
        <v/>
      </c>
      <c r="T1847" s="121" t="str">
        <f t="shared" si="731"/>
        <v/>
      </c>
      <c r="U1847" s="121">
        <f t="shared" si="732"/>
        <v>1</v>
      </c>
    </row>
    <row r="1848" spans="1:21" x14ac:dyDescent="0.3">
      <c r="A1848" s="187">
        <v>42</v>
      </c>
      <c r="B1848" s="242">
        <f t="shared" si="733"/>
        <v>46905</v>
      </c>
      <c r="C1848" s="243">
        <f t="shared" si="714"/>
        <v>46934</v>
      </c>
      <c r="D1848" s="120">
        <f t="shared" si="715"/>
        <v>30</v>
      </c>
      <c r="E1848" s="120">
        <f t="shared" si="716"/>
        <v>6</v>
      </c>
      <c r="F1848" s="275">
        <f t="shared" si="717"/>
        <v>46920</v>
      </c>
      <c r="G1848" s="120">
        <f t="shared" si="718"/>
        <v>24341</v>
      </c>
      <c r="H1848" s="245">
        <f t="shared" si="719"/>
        <v>1</v>
      </c>
      <c r="I1848" s="121">
        <f t="shared" si="720"/>
        <v>1</v>
      </c>
      <c r="J1848" s="121">
        <f t="shared" si="721"/>
        <v>1</v>
      </c>
      <c r="K1848" s="120">
        <f t="shared" si="722"/>
        <v>0</v>
      </c>
      <c r="L1848" s="120">
        <f t="shared" si="723"/>
        <v>0</v>
      </c>
      <c r="M1848" s="246">
        <f t="shared" si="724"/>
        <v>0</v>
      </c>
      <c r="N1848" s="121">
        <f t="shared" si="725"/>
        <v>1</v>
      </c>
      <c r="O1848" s="246">
        <f t="shared" si="726"/>
        <v>0.92500000000000004</v>
      </c>
      <c r="P1848" s="121">
        <f t="shared" si="727"/>
        <v>0</v>
      </c>
      <c r="Q1848" s="121">
        <f t="shared" si="728"/>
        <v>0</v>
      </c>
      <c r="R1848" s="121">
        <f t="shared" si="729"/>
        <v>1</v>
      </c>
      <c r="S1848" s="121" t="str">
        <f t="shared" si="730"/>
        <v/>
      </c>
      <c r="T1848" s="121" t="str">
        <f t="shared" si="731"/>
        <v/>
      </c>
      <c r="U1848" s="121">
        <f t="shared" si="732"/>
        <v>1</v>
      </c>
    </row>
    <row r="1849" spans="1:21" x14ac:dyDescent="0.3">
      <c r="A1849" s="187">
        <v>43</v>
      </c>
      <c r="B1849" s="242">
        <f t="shared" si="733"/>
        <v>46935</v>
      </c>
      <c r="C1849" s="243">
        <f t="shared" si="714"/>
        <v>46965</v>
      </c>
      <c r="D1849" s="120">
        <f t="shared" si="715"/>
        <v>31</v>
      </c>
      <c r="E1849" s="120">
        <f t="shared" si="716"/>
        <v>7</v>
      </c>
      <c r="F1849" s="275">
        <f t="shared" si="717"/>
        <v>46950.5</v>
      </c>
      <c r="G1849" s="120">
        <f t="shared" si="718"/>
        <v>24342</v>
      </c>
      <c r="H1849" s="245">
        <f t="shared" si="719"/>
        <v>1</v>
      </c>
      <c r="I1849" s="121">
        <f t="shared" si="720"/>
        <v>1</v>
      </c>
      <c r="J1849" s="121">
        <f t="shared" si="721"/>
        <v>1</v>
      </c>
      <c r="K1849" s="120">
        <f t="shared" si="722"/>
        <v>0</v>
      </c>
      <c r="L1849" s="120">
        <f t="shared" si="723"/>
        <v>0</v>
      </c>
      <c r="M1849" s="246">
        <f t="shared" si="724"/>
        <v>0</v>
      </c>
      <c r="N1849" s="121">
        <f t="shared" si="725"/>
        <v>1</v>
      </c>
      <c r="O1849" s="246">
        <f t="shared" si="726"/>
        <v>0.92500000000000004</v>
      </c>
      <c r="P1849" s="121">
        <f t="shared" si="727"/>
        <v>0</v>
      </c>
      <c r="Q1849" s="121">
        <f t="shared" si="728"/>
        <v>0</v>
      </c>
      <c r="R1849" s="121">
        <f t="shared" si="729"/>
        <v>0.91666666666666663</v>
      </c>
      <c r="S1849" s="121" t="str">
        <f t="shared" si="730"/>
        <v/>
      </c>
      <c r="T1849" s="121" t="str">
        <f t="shared" si="731"/>
        <v/>
      </c>
      <c r="U1849" s="121">
        <f t="shared" si="732"/>
        <v>1</v>
      </c>
    </row>
    <row r="1850" spans="1:21" x14ac:dyDescent="0.3">
      <c r="A1850" s="187">
        <v>44</v>
      </c>
      <c r="B1850" s="242">
        <f t="shared" si="733"/>
        <v>46966</v>
      </c>
      <c r="C1850" s="243">
        <f t="shared" si="714"/>
        <v>46996</v>
      </c>
      <c r="D1850" s="120">
        <f t="shared" si="715"/>
        <v>31</v>
      </c>
      <c r="E1850" s="120">
        <f t="shared" si="716"/>
        <v>8</v>
      </c>
      <c r="F1850" s="275">
        <f t="shared" si="717"/>
        <v>46981.5</v>
      </c>
      <c r="G1850" s="120">
        <f t="shared" si="718"/>
        <v>24343</v>
      </c>
      <c r="H1850" s="245">
        <f t="shared" si="719"/>
        <v>1</v>
      </c>
      <c r="I1850" s="121">
        <f t="shared" si="720"/>
        <v>1</v>
      </c>
      <c r="J1850" s="121">
        <f t="shared" si="721"/>
        <v>1</v>
      </c>
      <c r="K1850" s="120">
        <f t="shared" si="722"/>
        <v>0</v>
      </c>
      <c r="L1850" s="120">
        <f t="shared" si="723"/>
        <v>0</v>
      </c>
      <c r="M1850" s="246">
        <f t="shared" si="724"/>
        <v>0</v>
      </c>
      <c r="N1850" s="121">
        <f t="shared" si="725"/>
        <v>1</v>
      </c>
      <c r="O1850" s="246">
        <f t="shared" si="726"/>
        <v>0.92500000000000004</v>
      </c>
      <c r="P1850" s="121">
        <f t="shared" si="727"/>
        <v>0</v>
      </c>
      <c r="Q1850" s="121">
        <f t="shared" si="728"/>
        <v>0</v>
      </c>
      <c r="R1850" s="121">
        <f t="shared" si="729"/>
        <v>0.75</v>
      </c>
      <c r="S1850" s="121" t="str">
        <f t="shared" si="730"/>
        <v/>
      </c>
      <c r="T1850" s="121" t="str">
        <f t="shared" si="731"/>
        <v/>
      </c>
      <c r="U1850" s="121">
        <f t="shared" si="732"/>
        <v>1</v>
      </c>
    </row>
    <row r="1851" spans="1:21" x14ac:dyDescent="0.3">
      <c r="A1851" s="187">
        <v>45</v>
      </c>
      <c r="B1851" s="242">
        <f t="shared" si="733"/>
        <v>46997</v>
      </c>
      <c r="C1851" s="243">
        <f t="shared" si="714"/>
        <v>47026</v>
      </c>
      <c r="D1851" s="120">
        <f t="shared" si="715"/>
        <v>30</v>
      </c>
      <c r="E1851" s="120">
        <f t="shared" si="716"/>
        <v>9</v>
      </c>
      <c r="F1851" s="275">
        <f t="shared" si="717"/>
        <v>47012</v>
      </c>
      <c r="G1851" s="120">
        <f t="shared" si="718"/>
        <v>24344</v>
      </c>
      <c r="H1851" s="245">
        <f t="shared" si="719"/>
        <v>1</v>
      </c>
      <c r="I1851" s="121">
        <f t="shared" si="720"/>
        <v>1</v>
      </c>
      <c r="J1851" s="121">
        <f t="shared" si="721"/>
        <v>1</v>
      </c>
      <c r="K1851" s="120">
        <f t="shared" si="722"/>
        <v>0</v>
      </c>
      <c r="L1851" s="120">
        <f t="shared" si="723"/>
        <v>0</v>
      </c>
      <c r="M1851" s="246">
        <f t="shared" si="724"/>
        <v>0</v>
      </c>
      <c r="N1851" s="121">
        <f t="shared" si="725"/>
        <v>1</v>
      </c>
      <c r="O1851" s="246">
        <f t="shared" si="726"/>
        <v>0.92500000000000004</v>
      </c>
      <c r="P1851" s="121">
        <f t="shared" si="727"/>
        <v>0</v>
      </c>
      <c r="Q1851" s="121">
        <f t="shared" si="728"/>
        <v>0</v>
      </c>
      <c r="R1851" s="121">
        <f t="shared" si="729"/>
        <v>0.58333333333333337</v>
      </c>
      <c r="S1851" s="121" t="str">
        <f t="shared" si="730"/>
        <v/>
      </c>
      <c r="T1851" s="121" t="str">
        <f t="shared" si="731"/>
        <v/>
      </c>
      <c r="U1851" s="121">
        <f t="shared" si="732"/>
        <v>1</v>
      </c>
    </row>
    <row r="1852" spans="1:21" x14ac:dyDescent="0.3">
      <c r="A1852" s="187">
        <v>46</v>
      </c>
      <c r="B1852" s="242">
        <f t="shared" si="733"/>
        <v>47027</v>
      </c>
      <c r="C1852" s="243">
        <f t="shared" si="714"/>
        <v>47057</v>
      </c>
      <c r="D1852" s="120">
        <f t="shared" si="715"/>
        <v>31</v>
      </c>
      <c r="E1852" s="120">
        <f t="shared" si="716"/>
        <v>10</v>
      </c>
      <c r="F1852" s="275">
        <f t="shared" si="717"/>
        <v>47042.5</v>
      </c>
      <c r="G1852" s="120">
        <f t="shared" si="718"/>
        <v>24345</v>
      </c>
      <c r="H1852" s="245">
        <f t="shared" si="719"/>
        <v>1</v>
      </c>
      <c r="I1852" s="121">
        <f t="shared" si="720"/>
        <v>1</v>
      </c>
      <c r="J1852" s="121">
        <f t="shared" si="721"/>
        <v>1</v>
      </c>
      <c r="K1852" s="120">
        <f t="shared" si="722"/>
        <v>0</v>
      </c>
      <c r="L1852" s="120">
        <f t="shared" si="723"/>
        <v>0</v>
      </c>
      <c r="M1852" s="246">
        <f t="shared" si="724"/>
        <v>0</v>
      </c>
      <c r="N1852" s="121">
        <f t="shared" si="725"/>
        <v>1</v>
      </c>
      <c r="O1852" s="246">
        <f t="shared" si="726"/>
        <v>0.92500000000000004</v>
      </c>
      <c r="P1852" s="121">
        <f t="shared" si="727"/>
        <v>0</v>
      </c>
      <c r="Q1852" s="121">
        <f t="shared" si="728"/>
        <v>0</v>
      </c>
      <c r="R1852" s="121">
        <f t="shared" si="729"/>
        <v>0.41666666666666669</v>
      </c>
      <c r="S1852" s="121" t="str">
        <f t="shared" si="730"/>
        <v/>
      </c>
      <c r="T1852" s="121" t="str">
        <f t="shared" si="731"/>
        <v/>
      </c>
      <c r="U1852" s="121">
        <f t="shared" si="732"/>
        <v>1</v>
      </c>
    </row>
    <row r="1853" spans="1:21" x14ac:dyDescent="0.3">
      <c r="A1853" s="187">
        <v>47</v>
      </c>
      <c r="B1853" s="242">
        <f t="shared" si="733"/>
        <v>47058</v>
      </c>
      <c r="C1853" s="243">
        <f t="shared" si="714"/>
        <v>47087</v>
      </c>
      <c r="D1853" s="120">
        <f t="shared" si="715"/>
        <v>30</v>
      </c>
      <c r="E1853" s="120">
        <f t="shared" si="716"/>
        <v>11</v>
      </c>
      <c r="F1853" s="275">
        <f t="shared" si="717"/>
        <v>47073</v>
      </c>
      <c r="G1853" s="120">
        <f t="shared" si="718"/>
        <v>24346</v>
      </c>
      <c r="H1853" s="245">
        <f t="shared" si="719"/>
        <v>1</v>
      </c>
      <c r="I1853" s="121">
        <f t="shared" si="720"/>
        <v>1</v>
      </c>
      <c r="J1853" s="121">
        <f t="shared" si="721"/>
        <v>1</v>
      </c>
      <c r="K1853" s="120">
        <f t="shared" si="722"/>
        <v>0</v>
      </c>
      <c r="L1853" s="120">
        <f t="shared" si="723"/>
        <v>0</v>
      </c>
      <c r="M1853" s="246">
        <f t="shared" si="724"/>
        <v>0</v>
      </c>
      <c r="N1853" s="121">
        <f t="shared" si="725"/>
        <v>1</v>
      </c>
      <c r="O1853" s="246">
        <f t="shared" si="726"/>
        <v>0.92500000000000004</v>
      </c>
      <c r="P1853" s="121">
        <f t="shared" si="727"/>
        <v>0</v>
      </c>
      <c r="Q1853" s="121">
        <f t="shared" si="728"/>
        <v>0</v>
      </c>
      <c r="R1853" s="121">
        <f t="shared" si="729"/>
        <v>0.25</v>
      </c>
      <c r="S1853" s="121" t="str">
        <f t="shared" si="730"/>
        <v/>
      </c>
      <c r="T1853" s="121" t="str">
        <f t="shared" si="731"/>
        <v/>
      </c>
      <c r="U1853" s="121">
        <f t="shared" si="732"/>
        <v>1</v>
      </c>
    </row>
    <row r="1854" spans="1:21" x14ac:dyDescent="0.3">
      <c r="A1854" s="187">
        <v>48</v>
      </c>
      <c r="B1854" s="242">
        <f t="shared" si="733"/>
        <v>47088</v>
      </c>
      <c r="C1854" s="243">
        <f t="shared" si="714"/>
        <v>47118</v>
      </c>
      <c r="D1854" s="120">
        <f t="shared" si="715"/>
        <v>31</v>
      </c>
      <c r="E1854" s="120">
        <f t="shared" si="716"/>
        <v>12</v>
      </c>
      <c r="F1854" s="275">
        <f t="shared" si="717"/>
        <v>47103.5</v>
      </c>
      <c r="G1854" s="120">
        <f t="shared" si="718"/>
        <v>24347</v>
      </c>
      <c r="H1854" s="245">
        <f t="shared" si="719"/>
        <v>1</v>
      </c>
      <c r="I1854" s="121">
        <f t="shared" si="720"/>
        <v>1</v>
      </c>
      <c r="J1854" s="121">
        <f t="shared" si="721"/>
        <v>1</v>
      </c>
      <c r="K1854" s="120">
        <f t="shared" si="722"/>
        <v>0</v>
      </c>
      <c r="L1854" s="120">
        <f t="shared" si="723"/>
        <v>0</v>
      </c>
      <c r="M1854" s="246">
        <f t="shared" si="724"/>
        <v>0</v>
      </c>
      <c r="N1854" s="121">
        <f t="shared" si="725"/>
        <v>1</v>
      </c>
      <c r="O1854" s="246">
        <f t="shared" si="726"/>
        <v>0.92500000000000004</v>
      </c>
      <c r="P1854" s="121">
        <f t="shared" si="727"/>
        <v>0</v>
      </c>
      <c r="Q1854" s="121">
        <f t="shared" si="728"/>
        <v>0</v>
      </c>
      <c r="R1854" s="121">
        <f t="shared" si="729"/>
        <v>8.3333333333333329E-2</v>
      </c>
      <c r="S1854" s="121" t="str">
        <f t="shared" si="730"/>
        <v/>
      </c>
      <c r="T1854" s="121" t="str">
        <f t="shared" si="731"/>
        <v/>
      </c>
      <c r="U1854" s="121">
        <f t="shared" si="732"/>
        <v>1</v>
      </c>
    </row>
    <row r="1855" spans="1:21" x14ac:dyDescent="0.3">
      <c r="A1855" s="6" t="s">
        <v>1651</v>
      </c>
      <c r="B1855" s="73">
        <f>EXP(SUMPRODUCT((rl_key=$A$1804)*(rl_cons="Y")*rl_ln1p))</f>
        <v>1</v>
      </c>
      <c r="C1855" s="73">
        <f>SUMPRODUCT($H$1807:$H$1854,$P$1807:$P$1854,$U$1807:$U$1854)/SUMPRODUCT($H$1807:$H$1854,$P$1807:$P$1854)</f>
        <v>1</v>
      </c>
      <c r="D1855" s="73">
        <f>SUMPRODUCT($H$1807:$H$1854,$Q$1807:$Q$1854,$U$1807:$U$1854)/SUMPRODUCT($H$1807:$H$1854,$Q$1807:$Q$1854)</f>
        <v>1</v>
      </c>
      <c r="E1855" s="73">
        <f>SUMPRODUCT($H$1807:$H$1854,$R$1807:$R$1854,$U$1807:$U$1854)/SUMPRODUCT($H$1807:$H$1854,$R$1807:$R$1854)</f>
        <v>1</v>
      </c>
      <c r="F1855" s="224">
        <f>SUMPRODUCT($H$1807:$H$1854,$Q$1807:$Q$1854,$O$1807:$O$1854)/SUMPRODUCT($H$1807:$H$1854,$Q$1807:$Q$1854)</f>
        <v>0.91598878555798668</v>
      </c>
      <c r="G1855" s="224">
        <f>SUMPRODUCT($H$1807:$H$1854,$R$1807:$R$1854,$O$1807:$O$1854)/SUMPRODUCT($H$1807:$H$1854,$R$1807:$R$1854)</f>
        <v>0.92449033552151683</v>
      </c>
      <c r="H1855" s="73">
        <f>SUMPRODUCT($H$1831:$H$1842,$N$1831:$N$1842/$N$1819:$N$1830)/SUM($H$1831:$H$1842)</f>
        <v>1</v>
      </c>
      <c r="I1855" s="73">
        <f>SUMPRODUCT($H$1831:$H$1842,$O$1831:$O$1842/$O$1819:$O$1830)/SUM($H$1831:$H$1842)</f>
        <v>1.0132088564102013</v>
      </c>
      <c r="J1855" s="73">
        <f>IF($O$1804=1,SUMPRODUCT($H$1831:$H$1842,$N$1831:$N$1842/$N$1819:$N$1830*$O$1831:$O$1842/$O$1819:$O$1830)/SUM($H$1831:$H$1842),$H1855)</f>
        <v>1.0132088564102013</v>
      </c>
      <c r="K1855" s="73">
        <f>SUMPRODUCT($H$1807:$H$1854,$Q$1807:$Q$1854,$N$1807:$N$1854)/SUMPRODUCT($H$1807:$H$1854,$Q$1807:$Q$1854)</f>
        <v>1</v>
      </c>
      <c r="L1855" s="73">
        <f>SUMPRODUCT($H$1807:$H$1854,$R$1807:$R$1854,$N$1807:$N$1854)/SUMPRODUCT($H$1807:$H$1854,$R$1807:$R$1854)</f>
        <v>1</v>
      </c>
    </row>
    <row r="1858" spans="1:21" x14ac:dyDescent="0.3">
      <c r="A1858" s="6" t="str">
        <f>INDEX(lr_key,34)</f>
        <v>MM|NM</v>
      </c>
      <c r="B1858" s="6" t="str">
        <f>INDEX(lr_state,34)</f>
        <v>NM</v>
      </c>
      <c r="C1858" s="75">
        <f>nr_TermMonths</f>
        <v>6</v>
      </c>
      <c r="D1858" s="75">
        <f>IF(COUNTIF(se_state,$B1858)=0,0,MATCH($B1858,se_state,0))</f>
        <v>0</v>
      </c>
      <c r="E1858" s="70">
        <f>IF($D1858=0,0,INDEX(se_sum,$D1858))</f>
        <v>0</v>
      </c>
      <c r="F1858" s="224">
        <f>IF(N(INDEX(lr_mind,34))=0,1,INDEX(lr_mind,34))</f>
        <v>0.92</v>
      </c>
      <c r="G1858" s="224">
        <f>IF(N(INDEX(lr_m0,34))=0,1,INDEX(lr_m0,34))</f>
        <v>0.91</v>
      </c>
      <c r="H1858" s="74">
        <f>IF(N(INDEX(lr_m0asof,34))=0,DATE(nr_PlanYear-1,10,1),INDEX(lr_m0asof,34))</f>
        <v>46295</v>
      </c>
      <c r="I1858" s="224">
        <f>IF(N(INDEX(lr_m1,34))=0,1,INDEX(lr_m1,34))</f>
        <v>0.90500000000000003</v>
      </c>
      <c r="J1858" s="224">
        <f>INDEX(lr_mprior,34)</f>
        <v>0</v>
      </c>
      <c r="K1858" s="224">
        <f>INDEX(lr_m2,34)</f>
        <v>0</v>
      </c>
      <c r="L1858" s="6" t="b">
        <f>NOT(ISBLANK(INDEX(lr_netp,34)))</f>
        <v>0</v>
      </c>
      <c r="M1858" s="72">
        <f>N(INDEX(lr_netp,34))</f>
        <v>0</v>
      </c>
      <c r="N1858" s="72">
        <f>IF(ISBLANK(INDEX(lr_netp1,34)),$M$1858,N(INDEX(lr_netp1,34)))</f>
        <v>0</v>
      </c>
      <c r="O1858" s="75">
        <f>IF(AND(nr_ModAdjMaster="ON",INDEX(lr_modadj,34)="ON"),1,0)</f>
        <v>1</v>
      </c>
    </row>
    <row r="1859" spans="1:21" x14ac:dyDescent="0.3">
      <c r="A1859" s="6">
        <f>EDATE($H$1858,-12)+1</f>
        <v>45931</v>
      </c>
      <c r="B1859" s="6">
        <f>$H$1858+1</f>
        <v>46296</v>
      </c>
      <c r="C1859" s="6">
        <f>DATE(nr_PlanYear,12,31)+1</f>
        <v>46753</v>
      </c>
      <c r="D1859" s="6">
        <f>DATE(nr_PlanYear+1,12,31)+1</f>
        <v>47119</v>
      </c>
      <c r="E1859" s="6">
        <f>IF(N($J$1858)=0,$F$1859-($G$1859-$F$1859)/($C$1859-$B$1859)*($B$1859-$A$1859),$J$1858)</f>
        <v>0.9139934354485777</v>
      </c>
      <c r="F1859" s="6">
        <f>$G$1858</f>
        <v>0.91</v>
      </c>
      <c r="G1859" s="6">
        <f>$I$1858</f>
        <v>0.90500000000000003</v>
      </c>
      <c r="H1859" s="6">
        <f>IF(N($K$1858)=0,$I$1858,$K$1858)</f>
        <v>0.90500000000000003</v>
      </c>
      <c r="I1859" s="6">
        <f>($F$1859-$E$1859)/($B$1859-$A$1859)</f>
        <v>-1.0940919037199081E-5</v>
      </c>
      <c r="J1859" s="6">
        <f>($G$1859-$F$1859)/($C$1859-$B$1859)</f>
        <v>-1.0940919037199135E-5</v>
      </c>
      <c r="K1859" s="6">
        <f>($H$1859-$G$1859)/($D$1859-$C$1859)</f>
        <v>0</v>
      </c>
    </row>
    <row r="1860" spans="1:21" ht="36" x14ac:dyDescent="0.3">
      <c r="A1860" s="58" t="s">
        <v>390</v>
      </c>
      <c r="B1860" s="58" t="s">
        <v>449</v>
      </c>
      <c r="C1860" s="58" t="s">
        <v>685</v>
      </c>
      <c r="D1860" s="58" t="s">
        <v>686</v>
      </c>
      <c r="E1860" s="58" t="s">
        <v>687</v>
      </c>
      <c r="F1860" s="58" t="s">
        <v>688</v>
      </c>
      <c r="G1860" s="58" t="s">
        <v>689</v>
      </c>
      <c r="H1860" s="58" t="s">
        <v>452</v>
      </c>
      <c r="I1860" s="58" t="s">
        <v>690</v>
      </c>
      <c r="J1860" s="58" t="s">
        <v>691</v>
      </c>
      <c r="K1860" s="58" t="s">
        <v>692</v>
      </c>
      <c r="L1860" s="58" t="s">
        <v>693</v>
      </c>
      <c r="M1860" s="58" t="s">
        <v>694</v>
      </c>
      <c r="N1860" s="58" t="s">
        <v>695</v>
      </c>
      <c r="O1860" s="58" t="s">
        <v>696</v>
      </c>
      <c r="P1860" s="58" t="s">
        <v>697</v>
      </c>
      <c r="Q1860" s="58" t="s">
        <v>698</v>
      </c>
      <c r="R1860" s="58" t="s">
        <v>699</v>
      </c>
      <c r="S1860" s="58" t="s">
        <v>700</v>
      </c>
      <c r="T1860" s="58" t="s">
        <v>701</v>
      </c>
      <c r="U1860" s="58" t="s">
        <v>702</v>
      </c>
    </row>
    <row r="1861" spans="1:21" x14ac:dyDescent="0.3">
      <c r="A1861" s="187">
        <v>1</v>
      </c>
      <c r="B1861" s="242">
        <f>DATE(nr_PlanYear-2,1,1)</f>
        <v>45658</v>
      </c>
      <c r="C1861" s="243">
        <f t="shared" ref="C1861:C1908" si="734">EOMONTH($B1861,0)</f>
        <v>45688</v>
      </c>
      <c r="D1861" s="120">
        <f t="shared" ref="D1861:D1908" si="735">$C1861-$B1861+1</f>
        <v>31</v>
      </c>
      <c r="E1861" s="120">
        <f t="shared" ref="E1861:E1908" si="736">MONTH($B1861)</f>
        <v>1</v>
      </c>
      <c r="F1861" s="275">
        <f t="shared" ref="F1861:F1908" si="737">($B1861+$C1861+1)/2</f>
        <v>45673.5</v>
      </c>
      <c r="G1861" s="120">
        <f t="shared" ref="G1861:G1908" si="738">YEAR($B1861)*12+MONTH($B1861)-1</f>
        <v>24300</v>
      </c>
      <c r="H1861" s="245">
        <f t="shared" ref="H1861:H1908" si="739">IF(OR(nr_SeasonOn="OFF",$D$1858=0,$E$1858=0),1,12*INDEX(se_block,$D$1858,$E1861)/$E$1858)</f>
        <v>1</v>
      </c>
      <c r="I1861" s="121">
        <f t="shared" ref="I1861:I1908" si="740">EXP(SUMPRODUCT((rl_eff&lt;$B1861)*(rl_key=$A$1858)*rl_ln1p))</f>
        <v>1</v>
      </c>
      <c r="J1861" s="121">
        <f t="shared" ref="J1861:J1908" si="741">EXP(SUMPRODUCT((rl_eff&lt;=$C1861)*(rl_key=$A$1858)*rl_ln1p))</f>
        <v>1</v>
      </c>
      <c r="K1861" s="120">
        <f t="shared" ref="K1861:K1908" si="742">COUNTIFS(rl_key,$A$1858,rl_eff,"&gt;="&amp;$B1861,rl_eff,"&lt;="&amp;$C1861)</f>
        <v>0</v>
      </c>
      <c r="L1861" s="120">
        <f t="shared" ref="L1861:L1908" si="743">SUMIFS(rl_daysafter,rl_key,$A$1858,rl_effmonth,$B1861,rl_first,1)</f>
        <v>0</v>
      </c>
      <c r="M1861" s="246">
        <f t="shared" ref="M1861:M1908" si="744">IF($K1861=0,0,MIN(1,$L1861/$D1861))</f>
        <v>0</v>
      </c>
      <c r="N1861" s="121">
        <f t="shared" ref="N1861:N1908" si="745">IF($K1861=0,$J1861,(1-$M1861)*$I1861+$M1861*$J1861)</f>
        <v>1</v>
      </c>
      <c r="O1861" s="246">
        <f t="shared" ref="O1861:O1908" si="746">IF($F1861&lt;$B$1859,$E$1859+$I$1859*($F1861-$A$1859),IF($F1861&lt;$C$1859,$F$1859+$J$1859*($F1861-$B$1859),$G$1859+$K$1859*($F1861-$C$1859)))</f>
        <v>0.91681072210065651</v>
      </c>
      <c r="P1861" s="121">
        <f t="shared" ref="P1861:P1908" si="747">MIN(1,MAX(0,(nr_MEndPm1-$G1861+0.5)/$C$1858))-MIN(1,MAX(0,(nr_MStartPm1-1-$G1861+0.5)/$C$1858))</f>
        <v>0</v>
      </c>
      <c r="Q1861" s="121">
        <f t="shared" ref="Q1861:Q1908" si="748">MIN(1,MAX(0,(nr_MEndP-$G1861+0.5)/$C$1858))-MIN(1,MAX(0,(nr_MStartP-1-$G1861+0.5)/$C$1858))</f>
        <v>0</v>
      </c>
      <c r="R1861" s="121">
        <f t="shared" ref="R1861:R1908" si="749">MIN(1,MAX(0,(nr_MEndP1-$G1861+0.5)/$C$1858))-MIN(1,MAX(0,(nr_MStartP1-1-$G1861+0.5)/$C$1858))</f>
        <v>0</v>
      </c>
      <c r="S1861" s="121" t="str">
        <f t="shared" ref="S1861:S1908" si="750">IF($L$1858,$N1861*IF($O$1858=1,$O1861/$F$1858,1),"")</f>
        <v/>
      </c>
      <c r="T1861" s="121" t="str">
        <f t="shared" ref="T1861:T1908" si="751">IF(NOT($L$1858),"",IF($G1861&lt;nr_MStartP,$S1861,$T1849*(1+IF($G1861&lt;nr_MStartP1,$M$1858,$N$1858))))</f>
        <v/>
      </c>
      <c r="U1861" s="121">
        <f t="shared" ref="U1861:U1908" si="752">IF($L$1858,$T1861,$N1861)</f>
        <v>1</v>
      </c>
    </row>
    <row r="1862" spans="1:21" x14ac:dyDescent="0.3">
      <c r="A1862" s="187">
        <v>2</v>
      </c>
      <c r="B1862" s="242">
        <f t="shared" ref="B1862:B1908" si="753">EDATE($B1861,1)</f>
        <v>45689</v>
      </c>
      <c r="C1862" s="243">
        <f t="shared" si="734"/>
        <v>45716</v>
      </c>
      <c r="D1862" s="120">
        <f t="shared" si="735"/>
        <v>28</v>
      </c>
      <c r="E1862" s="120">
        <f t="shared" si="736"/>
        <v>2</v>
      </c>
      <c r="F1862" s="275">
        <f t="shared" si="737"/>
        <v>45703</v>
      </c>
      <c r="G1862" s="120">
        <f t="shared" si="738"/>
        <v>24301</v>
      </c>
      <c r="H1862" s="245">
        <f t="shared" si="739"/>
        <v>1</v>
      </c>
      <c r="I1862" s="121">
        <f t="shared" si="740"/>
        <v>1</v>
      </c>
      <c r="J1862" s="121">
        <f t="shared" si="741"/>
        <v>1</v>
      </c>
      <c r="K1862" s="120">
        <f t="shared" si="742"/>
        <v>0</v>
      </c>
      <c r="L1862" s="120">
        <f t="shared" si="743"/>
        <v>0</v>
      </c>
      <c r="M1862" s="246">
        <f t="shared" si="744"/>
        <v>0</v>
      </c>
      <c r="N1862" s="121">
        <f t="shared" si="745"/>
        <v>1</v>
      </c>
      <c r="O1862" s="246">
        <f t="shared" si="746"/>
        <v>0.91648796498905905</v>
      </c>
      <c r="P1862" s="121">
        <f t="shared" si="747"/>
        <v>0</v>
      </c>
      <c r="Q1862" s="121">
        <f t="shared" si="748"/>
        <v>0</v>
      </c>
      <c r="R1862" s="121">
        <f t="shared" si="749"/>
        <v>0</v>
      </c>
      <c r="S1862" s="121" t="str">
        <f t="shared" si="750"/>
        <v/>
      </c>
      <c r="T1862" s="121" t="str">
        <f t="shared" si="751"/>
        <v/>
      </c>
      <c r="U1862" s="121">
        <f t="shared" si="752"/>
        <v>1</v>
      </c>
    </row>
    <row r="1863" spans="1:21" x14ac:dyDescent="0.3">
      <c r="A1863" s="187">
        <v>3</v>
      </c>
      <c r="B1863" s="242">
        <f t="shared" si="753"/>
        <v>45717</v>
      </c>
      <c r="C1863" s="243">
        <f t="shared" si="734"/>
        <v>45747</v>
      </c>
      <c r="D1863" s="120">
        <f t="shared" si="735"/>
        <v>31</v>
      </c>
      <c r="E1863" s="120">
        <f t="shared" si="736"/>
        <v>3</v>
      </c>
      <c r="F1863" s="275">
        <f t="shared" si="737"/>
        <v>45732.5</v>
      </c>
      <c r="G1863" s="120">
        <f t="shared" si="738"/>
        <v>24302</v>
      </c>
      <c r="H1863" s="245">
        <f t="shared" si="739"/>
        <v>1</v>
      </c>
      <c r="I1863" s="121">
        <f t="shared" si="740"/>
        <v>1</v>
      </c>
      <c r="J1863" s="121">
        <f t="shared" si="741"/>
        <v>1</v>
      </c>
      <c r="K1863" s="120">
        <f t="shared" si="742"/>
        <v>0</v>
      </c>
      <c r="L1863" s="120">
        <f t="shared" si="743"/>
        <v>0</v>
      </c>
      <c r="M1863" s="246">
        <f t="shared" si="744"/>
        <v>0</v>
      </c>
      <c r="N1863" s="121">
        <f t="shared" si="745"/>
        <v>1</v>
      </c>
      <c r="O1863" s="246">
        <f t="shared" si="746"/>
        <v>0.9161652078774617</v>
      </c>
      <c r="P1863" s="121">
        <f t="shared" si="747"/>
        <v>0</v>
      </c>
      <c r="Q1863" s="121">
        <f t="shared" si="748"/>
        <v>0</v>
      </c>
      <c r="R1863" s="121">
        <f t="shared" si="749"/>
        <v>0</v>
      </c>
      <c r="S1863" s="121" t="str">
        <f t="shared" si="750"/>
        <v/>
      </c>
      <c r="T1863" s="121" t="str">
        <f t="shared" si="751"/>
        <v/>
      </c>
      <c r="U1863" s="121">
        <f t="shared" si="752"/>
        <v>1</v>
      </c>
    </row>
    <row r="1864" spans="1:21" x14ac:dyDescent="0.3">
      <c r="A1864" s="187">
        <v>4</v>
      </c>
      <c r="B1864" s="242">
        <f t="shared" si="753"/>
        <v>45748</v>
      </c>
      <c r="C1864" s="243">
        <f t="shared" si="734"/>
        <v>45777</v>
      </c>
      <c r="D1864" s="120">
        <f t="shared" si="735"/>
        <v>30</v>
      </c>
      <c r="E1864" s="120">
        <f t="shared" si="736"/>
        <v>4</v>
      </c>
      <c r="F1864" s="275">
        <f t="shared" si="737"/>
        <v>45763</v>
      </c>
      <c r="G1864" s="120">
        <f t="shared" si="738"/>
        <v>24303</v>
      </c>
      <c r="H1864" s="245">
        <f t="shared" si="739"/>
        <v>1</v>
      </c>
      <c r="I1864" s="121">
        <f t="shared" si="740"/>
        <v>1</v>
      </c>
      <c r="J1864" s="121">
        <f t="shared" si="741"/>
        <v>1</v>
      </c>
      <c r="K1864" s="120">
        <f t="shared" si="742"/>
        <v>0</v>
      </c>
      <c r="L1864" s="120">
        <f t="shared" si="743"/>
        <v>0</v>
      </c>
      <c r="M1864" s="246">
        <f t="shared" si="744"/>
        <v>0</v>
      </c>
      <c r="N1864" s="121">
        <f t="shared" si="745"/>
        <v>1</v>
      </c>
      <c r="O1864" s="246">
        <f t="shared" si="746"/>
        <v>0.91583150984682715</v>
      </c>
      <c r="P1864" s="121">
        <f t="shared" si="747"/>
        <v>0</v>
      </c>
      <c r="Q1864" s="121">
        <f t="shared" si="748"/>
        <v>0</v>
      </c>
      <c r="R1864" s="121">
        <f t="shared" si="749"/>
        <v>0</v>
      </c>
      <c r="S1864" s="121" t="str">
        <f t="shared" si="750"/>
        <v/>
      </c>
      <c r="T1864" s="121" t="str">
        <f t="shared" si="751"/>
        <v/>
      </c>
      <c r="U1864" s="121">
        <f t="shared" si="752"/>
        <v>1</v>
      </c>
    </row>
    <row r="1865" spans="1:21" x14ac:dyDescent="0.3">
      <c r="A1865" s="187">
        <v>5</v>
      </c>
      <c r="B1865" s="242">
        <f t="shared" si="753"/>
        <v>45778</v>
      </c>
      <c r="C1865" s="243">
        <f t="shared" si="734"/>
        <v>45808</v>
      </c>
      <c r="D1865" s="120">
        <f t="shared" si="735"/>
        <v>31</v>
      </c>
      <c r="E1865" s="120">
        <f t="shared" si="736"/>
        <v>5</v>
      </c>
      <c r="F1865" s="275">
        <f t="shared" si="737"/>
        <v>45793.5</v>
      </c>
      <c r="G1865" s="120">
        <f t="shared" si="738"/>
        <v>24304</v>
      </c>
      <c r="H1865" s="245">
        <f t="shared" si="739"/>
        <v>1</v>
      </c>
      <c r="I1865" s="121">
        <f t="shared" si="740"/>
        <v>1</v>
      </c>
      <c r="J1865" s="121">
        <f t="shared" si="741"/>
        <v>1</v>
      </c>
      <c r="K1865" s="120">
        <f t="shared" si="742"/>
        <v>0</v>
      </c>
      <c r="L1865" s="120">
        <f t="shared" si="743"/>
        <v>0</v>
      </c>
      <c r="M1865" s="246">
        <f t="shared" si="744"/>
        <v>0</v>
      </c>
      <c r="N1865" s="121">
        <f t="shared" si="745"/>
        <v>1</v>
      </c>
      <c r="O1865" s="246">
        <f t="shared" si="746"/>
        <v>0.91549781181619261</v>
      </c>
      <c r="P1865" s="121">
        <f t="shared" si="747"/>
        <v>0</v>
      </c>
      <c r="Q1865" s="121">
        <f t="shared" si="748"/>
        <v>0</v>
      </c>
      <c r="R1865" s="121">
        <f t="shared" si="749"/>
        <v>0</v>
      </c>
      <c r="S1865" s="121" t="str">
        <f t="shared" si="750"/>
        <v/>
      </c>
      <c r="T1865" s="121" t="str">
        <f t="shared" si="751"/>
        <v/>
      </c>
      <c r="U1865" s="121">
        <f t="shared" si="752"/>
        <v>1</v>
      </c>
    </row>
    <row r="1866" spans="1:21" x14ac:dyDescent="0.3">
      <c r="A1866" s="187">
        <v>6</v>
      </c>
      <c r="B1866" s="242">
        <f t="shared" si="753"/>
        <v>45809</v>
      </c>
      <c r="C1866" s="243">
        <f t="shared" si="734"/>
        <v>45838</v>
      </c>
      <c r="D1866" s="120">
        <f t="shared" si="735"/>
        <v>30</v>
      </c>
      <c r="E1866" s="120">
        <f t="shared" si="736"/>
        <v>6</v>
      </c>
      <c r="F1866" s="275">
        <f t="shared" si="737"/>
        <v>45824</v>
      </c>
      <c r="G1866" s="120">
        <f t="shared" si="738"/>
        <v>24305</v>
      </c>
      <c r="H1866" s="245">
        <f t="shared" si="739"/>
        <v>1</v>
      </c>
      <c r="I1866" s="121">
        <f t="shared" si="740"/>
        <v>1</v>
      </c>
      <c r="J1866" s="121">
        <f t="shared" si="741"/>
        <v>1</v>
      </c>
      <c r="K1866" s="120">
        <f t="shared" si="742"/>
        <v>0</v>
      </c>
      <c r="L1866" s="120">
        <f t="shared" si="743"/>
        <v>0</v>
      </c>
      <c r="M1866" s="246">
        <f t="shared" si="744"/>
        <v>0</v>
      </c>
      <c r="N1866" s="121">
        <f t="shared" si="745"/>
        <v>1</v>
      </c>
      <c r="O1866" s="246">
        <f t="shared" si="746"/>
        <v>0.91516411378555795</v>
      </c>
      <c r="P1866" s="121">
        <f t="shared" si="747"/>
        <v>0</v>
      </c>
      <c r="Q1866" s="121">
        <f t="shared" si="748"/>
        <v>0</v>
      </c>
      <c r="R1866" s="121">
        <f t="shared" si="749"/>
        <v>0</v>
      </c>
      <c r="S1866" s="121" t="str">
        <f t="shared" si="750"/>
        <v/>
      </c>
      <c r="T1866" s="121" t="str">
        <f t="shared" si="751"/>
        <v/>
      </c>
      <c r="U1866" s="121">
        <f t="shared" si="752"/>
        <v>1</v>
      </c>
    </row>
    <row r="1867" spans="1:21" x14ac:dyDescent="0.3">
      <c r="A1867" s="187">
        <v>7</v>
      </c>
      <c r="B1867" s="242">
        <f t="shared" si="753"/>
        <v>45839</v>
      </c>
      <c r="C1867" s="243">
        <f t="shared" si="734"/>
        <v>45869</v>
      </c>
      <c r="D1867" s="120">
        <f t="shared" si="735"/>
        <v>31</v>
      </c>
      <c r="E1867" s="120">
        <f t="shared" si="736"/>
        <v>7</v>
      </c>
      <c r="F1867" s="275">
        <f t="shared" si="737"/>
        <v>45854.5</v>
      </c>
      <c r="G1867" s="120">
        <f t="shared" si="738"/>
        <v>24306</v>
      </c>
      <c r="H1867" s="245">
        <f t="shared" si="739"/>
        <v>1</v>
      </c>
      <c r="I1867" s="121">
        <f t="shared" si="740"/>
        <v>1</v>
      </c>
      <c r="J1867" s="121">
        <f t="shared" si="741"/>
        <v>1</v>
      </c>
      <c r="K1867" s="120">
        <f t="shared" si="742"/>
        <v>0</v>
      </c>
      <c r="L1867" s="120">
        <f t="shared" si="743"/>
        <v>0</v>
      </c>
      <c r="M1867" s="246">
        <f t="shared" si="744"/>
        <v>0</v>
      </c>
      <c r="N1867" s="121">
        <f t="shared" si="745"/>
        <v>1</v>
      </c>
      <c r="O1867" s="246">
        <f t="shared" si="746"/>
        <v>0.91483041575492341</v>
      </c>
      <c r="P1867" s="121">
        <f t="shared" si="747"/>
        <v>8.333333333333337E-2</v>
      </c>
      <c r="Q1867" s="121">
        <f t="shared" si="748"/>
        <v>0</v>
      </c>
      <c r="R1867" s="121">
        <f t="shared" si="749"/>
        <v>0</v>
      </c>
      <c r="S1867" s="121" t="str">
        <f t="shared" si="750"/>
        <v/>
      </c>
      <c r="T1867" s="121" t="str">
        <f t="shared" si="751"/>
        <v/>
      </c>
      <c r="U1867" s="121">
        <f t="shared" si="752"/>
        <v>1</v>
      </c>
    </row>
    <row r="1868" spans="1:21" x14ac:dyDescent="0.3">
      <c r="A1868" s="187">
        <v>8</v>
      </c>
      <c r="B1868" s="242">
        <f t="shared" si="753"/>
        <v>45870</v>
      </c>
      <c r="C1868" s="243">
        <f t="shared" si="734"/>
        <v>45900</v>
      </c>
      <c r="D1868" s="120">
        <f t="shared" si="735"/>
        <v>31</v>
      </c>
      <c r="E1868" s="120">
        <f t="shared" si="736"/>
        <v>8</v>
      </c>
      <c r="F1868" s="275">
        <f t="shared" si="737"/>
        <v>45885.5</v>
      </c>
      <c r="G1868" s="120">
        <f t="shared" si="738"/>
        <v>24307</v>
      </c>
      <c r="H1868" s="245">
        <f t="shared" si="739"/>
        <v>1</v>
      </c>
      <c r="I1868" s="121">
        <f t="shared" si="740"/>
        <v>1</v>
      </c>
      <c r="J1868" s="121">
        <f t="shared" si="741"/>
        <v>1</v>
      </c>
      <c r="K1868" s="120">
        <f t="shared" si="742"/>
        <v>0</v>
      </c>
      <c r="L1868" s="120">
        <f t="shared" si="743"/>
        <v>0</v>
      </c>
      <c r="M1868" s="246">
        <f t="shared" si="744"/>
        <v>0</v>
      </c>
      <c r="N1868" s="121">
        <f t="shared" si="745"/>
        <v>1</v>
      </c>
      <c r="O1868" s="246">
        <f t="shared" si="746"/>
        <v>0.91449124726477027</v>
      </c>
      <c r="P1868" s="121">
        <f t="shared" si="747"/>
        <v>0.25</v>
      </c>
      <c r="Q1868" s="121">
        <f t="shared" si="748"/>
        <v>0</v>
      </c>
      <c r="R1868" s="121">
        <f t="shared" si="749"/>
        <v>0</v>
      </c>
      <c r="S1868" s="121" t="str">
        <f t="shared" si="750"/>
        <v/>
      </c>
      <c r="T1868" s="121" t="str">
        <f t="shared" si="751"/>
        <v/>
      </c>
      <c r="U1868" s="121">
        <f t="shared" si="752"/>
        <v>1</v>
      </c>
    </row>
    <row r="1869" spans="1:21" x14ac:dyDescent="0.3">
      <c r="A1869" s="187">
        <v>9</v>
      </c>
      <c r="B1869" s="242">
        <f t="shared" si="753"/>
        <v>45901</v>
      </c>
      <c r="C1869" s="243">
        <f t="shared" si="734"/>
        <v>45930</v>
      </c>
      <c r="D1869" s="120">
        <f t="shared" si="735"/>
        <v>30</v>
      </c>
      <c r="E1869" s="120">
        <f t="shared" si="736"/>
        <v>9</v>
      </c>
      <c r="F1869" s="275">
        <f t="shared" si="737"/>
        <v>45916</v>
      </c>
      <c r="G1869" s="120">
        <f t="shared" si="738"/>
        <v>24308</v>
      </c>
      <c r="H1869" s="245">
        <f t="shared" si="739"/>
        <v>1</v>
      </c>
      <c r="I1869" s="121">
        <f t="shared" si="740"/>
        <v>1</v>
      </c>
      <c r="J1869" s="121">
        <f t="shared" si="741"/>
        <v>1</v>
      </c>
      <c r="K1869" s="120">
        <f t="shared" si="742"/>
        <v>0</v>
      </c>
      <c r="L1869" s="120">
        <f t="shared" si="743"/>
        <v>0</v>
      </c>
      <c r="M1869" s="246">
        <f t="shared" si="744"/>
        <v>0</v>
      </c>
      <c r="N1869" s="121">
        <f t="shared" si="745"/>
        <v>1</v>
      </c>
      <c r="O1869" s="246">
        <f t="shared" si="746"/>
        <v>0.91415754923413572</v>
      </c>
      <c r="P1869" s="121">
        <f t="shared" si="747"/>
        <v>0.41666666666666663</v>
      </c>
      <c r="Q1869" s="121">
        <f t="shared" si="748"/>
        <v>0</v>
      </c>
      <c r="R1869" s="121">
        <f t="shared" si="749"/>
        <v>0</v>
      </c>
      <c r="S1869" s="121" t="str">
        <f t="shared" si="750"/>
        <v/>
      </c>
      <c r="T1869" s="121" t="str">
        <f t="shared" si="751"/>
        <v/>
      </c>
      <c r="U1869" s="121">
        <f t="shared" si="752"/>
        <v>1</v>
      </c>
    </row>
    <row r="1870" spans="1:21" x14ac:dyDescent="0.3">
      <c r="A1870" s="187">
        <v>10</v>
      </c>
      <c r="B1870" s="242">
        <f t="shared" si="753"/>
        <v>45931</v>
      </c>
      <c r="C1870" s="243">
        <f t="shared" si="734"/>
        <v>45961</v>
      </c>
      <c r="D1870" s="120">
        <f t="shared" si="735"/>
        <v>31</v>
      </c>
      <c r="E1870" s="120">
        <f t="shared" si="736"/>
        <v>10</v>
      </c>
      <c r="F1870" s="275">
        <f t="shared" si="737"/>
        <v>45946.5</v>
      </c>
      <c r="G1870" s="120">
        <f t="shared" si="738"/>
        <v>24309</v>
      </c>
      <c r="H1870" s="245">
        <f t="shared" si="739"/>
        <v>1</v>
      </c>
      <c r="I1870" s="121">
        <f t="shared" si="740"/>
        <v>1</v>
      </c>
      <c r="J1870" s="121">
        <f t="shared" si="741"/>
        <v>1</v>
      </c>
      <c r="K1870" s="120">
        <f t="shared" si="742"/>
        <v>0</v>
      </c>
      <c r="L1870" s="120">
        <f t="shared" si="743"/>
        <v>0</v>
      </c>
      <c r="M1870" s="246">
        <f t="shared" si="744"/>
        <v>0</v>
      </c>
      <c r="N1870" s="121">
        <f t="shared" si="745"/>
        <v>1</v>
      </c>
      <c r="O1870" s="246">
        <f t="shared" si="746"/>
        <v>0.91382385120350107</v>
      </c>
      <c r="P1870" s="121">
        <f t="shared" si="747"/>
        <v>0.58333333333333326</v>
      </c>
      <c r="Q1870" s="121">
        <f t="shared" si="748"/>
        <v>0</v>
      </c>
      <c r="R1870" s="121">
        <f t="shared" si="749"/>
        <v>0</v>
      </c>
      <c r="S1870" s="121" t="str">
        <f t="shared" si="750"/>
        <v/>
      </c>
      <c r="T1870" s="121" t="str">
        <f t="shared" si="751"/>
        <v/>
      </c>
      <c r="U1870" s="121">
        <f t="shared" si="752"/>
        <v>1</v>
      </c>
    </row>
    <row r="1871" spans="1:21" x14ac:dyDescent="0.3">
      <c r="A1871" s="187">
        <v>11</v>
      </c>
      <c r="B1871" s="242">
        <f t="shared" si="753"/>
        <v>45962</v>
      </c>
      <c r="C1871" s="243">
        <f t="shared" si="734"/>
        <v>45991</v>
      </c>
      <c r="D1871" s="120">
        <f t="shared" si="735"/>
        <v>30</v>
      </c>
      <c r="E1871" s="120">
        <f t="shared" si="736"/>
        <v>11</v>
      </c>
      <c r="F1871" s="275">
        <f t="shared" si="737"/>
        <v>45977</v>
      </c>
      <c r="G1871" s="120">
        <f t="shared" si="738"/>
        <v>24310</v>
      </c>
      <c r="H1871" s="245">
        <f t="shared" si="739"/>
        <v>1</v>
      </c>
      <c r="I1871" s="121">
        <f t="shared" si="740"/>
        <v>1</v>
      </c>
      <c r="J1871" s="121">
        <f t="shared" si="741"/>
        <v>1</v>
      </c>
      <c r="K1871" s="120">
        <f t="shared" si="742"/>
        <v>0</v>
      </c>
      <c r="L1871" s="120">
        <f t="shared" si="743"/>
        <v>0</v>
      </c>
      <c r="M1871" s="246">
        <f t="shared" si="744"/>
        <v>0</v>
      </c>
      <c r="N1871" s="121">
        <f t="shared" si="745"/>
        <v>1</v>
      </c>
      <c r="O1871" s="246">
        <f t="shared" si="746"/>
        <v>0.91349015317286653</v>
      </c>
      <c r="P1871" s="121">
        <f t="shared" si="747"/>
        <v>0.75</v>
      </c>
      <c r="Q1871" s="121">
        <f t="shared" si="748"/>
        <v>0</v>
      </c>
      <c r="R1871" s="121">
        <f t="shared" si="749"/>
        <v>0</v>
      </c>
      <c r="S1871" s="121" t="str">
        <f t="shared" si="750"/>
        <v/>
      </c>
      <c r="T1871" s="121" t="str">
        <f t="shared" si="751"/>
        <v/>
      </c>
      <c r="U1871" s="121">
        <f t="shared" si="752"/>
        <v>1</v>
      </c>
    </row>
    <row r="1872" spans="1:21" x14ac:dyDescent="0.3">
      <c r="A1872" s="187">
        <v>12</v>
      </c>
      <c r="B1872" s="242">
        <f t="shared" si="753"/>
        <v>45992</v>
      </c>
      <c r="C1872" s="243">
        <f t="shared" si="734"/>
        <v>46022</v>
      </c>
      <c r="D1872" s="120">
        <f t="shared" si="735"/>
        <v>31</v>
      </c>
      <c r="E1872" s="120">
        <f t="shared" si="736"/>
        <v>12</v>
      </c>
      <c r="F1872" s="275">
        <f t="shared" si="737"/>
        <v>46007.5</v>
      </c>
      <c r="G1872" s="120">
        <f t="shared" si="738"/>
        <v>24311</v>
      </c>
      <c r="H1872" s="245">
        <f t="shared" si="739"/>
        <v>1</v>
      </c>
      <c r="I1872" s="121">
        <f t="shared" si="740"/>
        <v>1</v>
      </c>
      <c r="J1872" s="121">
        <f t="shared" si="741"/>
        <v>1</v>
      </c>
      <c r="K1872" s="120">
        <f t="shared" si="742"/>
        <v>0</v>
      </c>
      <c r="L1872" s="120">
        <f t="shared" si="743"/>
        <v>0</v>
      </c>
      <c r="M1872" s="246">
        <f t="shared" si="744"/>
        <v>0</v>
      </c>
      <c r="N1872" s="121">
        <f t="shared" si="745"/>
        <v>1</v>
      </c>
      <c r="O1872" s="246">
        <f t="shared" si="746"/>
        <v>0.91315645514223198</v>
      </c>
      <c r="P1872" s="121">
        <f t="shared" si="747"/>
        <v>0.91666666666666663</v>
      </c>
      <c r="Q1872" s="121">
        <f t="shared" si="748"/>
        <v>0</v>
      </c>
      <c r="R1872" s="121">
        <f t="shared" si="749"/>
        <v>0</v>
      </c>
      <c r="S1872" s="121" t="str">
        <f t="shared" si="750"/>
        <v/>
      </c>
      <c r="T1872" s="121" t="str">
        <f t="shared" si="751"/>
        <v/>
      </c>
      <c r="U1872" s="121">
        <f t="shared" si="752"/>
        <v>1</v>
      </c>
    </row>
    <row r="1873" spans="1:21" x14ac:dyDescent="0.3">
      <c r="A1873" s="187">
        <v>13</v>
      </c>
      <c r="B1873" s="242">
        <f t="shared" si="753"/>
        <v>46023</v>
      </c>
      <c r="C1873" s="243">
        <f t="shared" si="734"/>
        <v>46053</v>
      </c>
      <c r="D1873" s="120">
        <f t="shared" si="735"/>
        <v>31</v>
      </c>
      <c r="E1873" s="120">
        <f t="shared" si="736"/>
        <v>1</v>
      </c>
      <c r="F1873" s="275">
        <f t="shared" si="737"/>
        <v>46038.5</v>
      </c>
      <c r="G1873" s="120">
        <f t="shared" si="738"/>
        <v>24312</v>
      </c>
      <c r="H1873" s="245">
        <f t="shared" si="739"/>
        <v>1</v>
      </c>
      <c r="I1873" s="121">
        <f t="shared" si="740"/>
        <v>1</v>
      </c>
      <c r="J1873" s="121">
        <f t="shared" si="741"/>
        <v>1</v>
      </c>
      <c r="K1873" s="120">
        <f t="shared" si="742"/>
        <v>0</v>
      </c>
      <c r="L1873" s="120">
        <f t="shared" si="743"/>
        <v>0</v>
      </c>
      <c r="M1873" s="246">
        <f t="shared" si="744"/>
        <v>0</v>
      </c>
      <c r="N1873" s="121">
        <f t="shared" si="745"/>
        <v>1</v>
      </c>
      <c r="O1873" s="246">
        <f t="shared" si="746"/>
        <v>0.91281728665207884</v>
      </c>
      <c r="P1873" s="121">
        <f t="shared" si="747"/>
        <v>1</v>
      </c>
      <c r="Q1873" s="121">
        <f t="shared" si="748"/>
        <v>0</v>
      </c>
      <c r="R1873" s="121">
        <f t="shared" si="749"/>
        <v>0</v>
      </c>
      <c r="S1873" s="121" t="str">
        <f t="shared" si="750"/>
        <v/>
      </c>
      <c r="T1873" s="121" t="str">
        <f t="shared" si="751"/>
        <v/>
      </c>
      <c r="U1873" s="121">
        <f t="shared" si="752"/>
        <v>1</v>
      </c>
    </row>
    <row r="1874" spans="1:21" x14ac:dyDescent="0.3">
      <c r="A1874" s="187">
        <v>14</v>
      </c>
      <c r="B1874" s="242">
        <f t="shared" si="753"/>
        <v>46054</v>
      </c>
      <c r="C1874" s="243">
        <f t="shared" si="734"/>
        <v>46081</v>
      </c>
      <c r="D1874" s="120">
        <f t="shared" si="735"/>
        <v>28</v>
      </c>
      <c r="E1874" s="120">
        <f t="shared" si="736"/>
        <v>2</v>
      </c>
      <c r="F1874" s="275">
        <f t="shared" si="737"/>
        <v>46068</v>
      </c>
      <c r="G1874" s="120">
        <f t="shared" si="738"/>
        <v>24313</v>
      </c>
      <c r="H1874" s="245">
        <f t="shared" si="739"/>
        <v>1</v>
      </c>
      <c r="I1874" s="121">
        <f t="shared" si="740"/>
        <v>1</v>
      </c>
      <c r="J1874" s="121">
        <f t="shared" si="741"/>
        <v>1</v>
      </c>
      <c r="K1874" s="120">
        <f t="shared" si="742"/>
        <v>0</v>
      </c>
      <c r="L1874" s="120">
        <f t="shared" si="743"/>
        <v>0</v>
      </c>
      <c r="M1874" s="246">
        <f t="shared" si="744"/>
        <v>0</v>
      </c>
      <c r="N1874" s="121">
        <f t="shared" si="745"/>
        <v>1</v>
      </c>
      <c r="O1874" s="246">
        <f t="shared" si="746"/>
        <v>0.91249452954048138</v>
      </c>
      <c r="P1874" s="121">
        <f t="shared" si="747"/>
        <v>1</v>
      </c>
      <c r="Q1874" s="121">
        <f t="shared" si="748"/>
        <v>0</v>
      </c>
      <c r="R1874" s="121">
        <f t="shared" si="749"/>
        <v>0</v>
      </c>
      <c r="S1874" s="121" t="str">
        <f t="shared" si="750"/>
        <v/>
      </c>
      <c r="T1874" s="121" t="str">
        <f t="shared" si="751"/>
        <v/>
      </c>
      <c r="U1874" s="121">
        <f t="shared" si="752"/>
        <v>1</v>
      </c>
    </row>
    <row r="1875" spans="1:21" x14ac:dyDescent="0.3">
      <c r="A1875" s="187">
        <v>15</v>
      </c>
      <c r="B1875" s="242">
        <f t="shared" si="753"/>
        <v>46082</v>
      </c>
      <c r="C1875" s="243">
        <f t="shared" si="734"/>
        <v>46112</v>
      </c>
      <c r="D1875" s="120">
        <f t="shared" si="735"/>
        <v>31</v>
      </c>
      <c r="E1875" s="120">
        <f t="shared" si="736"/>
        <v>3</v>
      </c>
      <c r="F1875" s="275">
        <f t="shared" si="737"/>
        <v>46097.5</v>
      </c>
      <c r="G1875" s="120">
        <f t="shared" si="738"/>
        <v>24314</v>
      </c>
      <c r="H1875" s="245">
        <f t="shared" si="739"/>
        <v>1</v>
      </c>
      <c r="I1875" s="121">
        <f t="shared" si="740"/>
        <v>1</v>
      </c>
      <c r="J1875" s="121">
        <f t="shared" si="741"/>
        <v>1</v>
      </c>
      <c r="K1875" s="120">
        <f t="shared" si="742"/>
        <v>0</v>
      </c>
      <c r="L1875" s="120">
        <f t="shared" si="743"/>
        <v>0</v>
      </c>
      <c r="M1875" s="246">
        <f t="shared" si="744"/>
        <v>0</v>
      </c>
      <c r="N1875" s="121">
        <f t="shared" si="745"/>
        <v>1</v>
      </c>
      <c r="O1875" s="246">
        <f t="shared" si="746"/>
        <v>0.91217177242888403</v>
      </c>
      <c r="P1875" s="121">
        <f t="shared" si="747"/>
        <v>1</v>
      </c>
      <c r="Q1875" s="121">
        <f t="shared" si="748"/>
        <v>0</v>
      </c>
      <c r="R1875" s="121">
        <f t="shared" si="749"/>
        <v>0</v>
      </c>
      <c r="S1875" s="121" t="str">
        <f t="shared" si="750"/>
        <v/>
      </c>
      <c r="T1875" s="121" t="str">
        <f t="shared" si="751"/>
        <v/>
      </c>
      <c r="U1875" s="121">
        <f t="shared" si="752"/>
        <v>1</v>
      </c>
    </row>
    <row r="1876" spans="1:21" x14ac:dyDescent="0.3">
      <c r="A1876" s="187">
        <v>16</v>
      </c>
      <c r="B1876" s="242">
        <f t="shared" si="753"/>
        <v>46113</v>
      </c>
      <c r="C1876" s="243">
        <f t="shared" si="734"/>
        <v>46142</v>
      </c>
      <c r="D1876" s="120">
        <f t="shared" si="735"/>
        <v>30</v>
      </c>
      <c r="E1876" s="120">
        <f t="shared" si="736"/>
        <v>4</v>
      </c>
      <c r="F1876" s="275">
        <f t="shared" si="737"/>
        <v>46128</v>
      </c>
      <c r="G1876" s="120">
        <f t="shared" si="738"/>
        <v>24315</v>
      </c>
      <c r="H1876" s="245">
        <f t="shared" si="739"/>
        <v>1</v>
      </c>
      <c r="I1876" s="121">
        <f t="shared" si="740"/>
        <v>1</v>
      </c>
      <c r="J1876" s="121">
        <f t="shared" si="741"/>
        <v>1</v>
      </c>
      <c r="K1876" s="120">
        <f t="shared" si="742"/>
        <v>0</v>
      </c>
      <c r="L1876" s="120">
        <f t="shared" si="743"/>
        <v>0</v>
      </c>
      <c r="M1876" s="246">
        <f t="shared" si="744"/>
        <v>0</v>
      </c>
      <c r="N1876" s="121">
        <f t="shared" si="745"/>
        <v>1</v>
      </c>
      <c r="O1876" s="246">
        <f t="shared" si="746"/>
        <v>0.91183807439824949</v>
      </c>
      <c r="P1876" s="121">
        <f t="shared" si="747"/>
        <v>1</v>
      </c>
      <c r="Q1876" s="121">
        <f t="shared" si="748"/>
        <v>0</v>
      </c>
      <c r="R1876" s="121">
        <f t="shared" si="749"/>
        <v>0</v>
      </c>
      <c r="S1876" s="121" t="str">
        <f t="shared" si="750"/>
        <v/>
      </c>
      <c r="T1876" s="121" t="str">
        <f t="shared" si="751"/>
        <v/>
      </c>
      <c r="U1876" s="121">
        <f t="shared" si="752"/>
        <v>1</v>
      </c>
    </row>
    <row r="1877" spans="1:21" x14ac:dyDescent="0.3">
      <c r="A1877" s="187">
        <v>17</v>
      </c>
      <c r="B1877" s="242">
        <f t="shared" si="753"/>
        <v>46143</v>
      </c>
      <c r="C1877" s="243">
        <f t="shared" si="734"/>
        <v>46173</v>
      </c>
      <c r="D1877" s="120">
        <f t="shared" si="735"/>
        <v>31</v>
      </c>
      <c r="E1877" s="120">
        <f t="shared" si="736"/>
        <v>5</v>
      </c>
      <c r="F1877" s="275">
        <f t="shared" si="737"/>
        <v>46158.5</v>
      </c>
      <c r="G1877" s="120">
        <f t="shared" si="738"/>
        <v>24316</v>
      </c>
      <c r="H1877" s="245">
        <f t="shared" si="739"/>
        <v>1</v>
      </c>
      <c r="I1877" s="121">
        <f t="shared" si="740"/>
        <v>1</v>
      </c>
      <c r="J1877" s="121">
        <f t="shared" si="741"/>
        <v>1</v>
      </c>
      <c r="K1877" s="120">
        <f t="shared" si="742"/>
        <v>0</v>
      </c>
      <c r="L1877" s="120">
        <f t="shared" si="743"/>
        <v>0</v>
      </c>
      <c r="M1877" s="246">
        <f t="shared" si="744"/>
        <v>0</v>
      </c>
      <c r="N1877" s="121">
        <f t="shared" si="745"/>
        <v>1</v>
      </c>
      <c r="O1877" s="246">
        <f t="shared" si="746"/>
        <v>0.91150437636761494</v>
      </c>
      <c r="P1877" s="121">
        <f t="shared" si="747"/>
        <v>1</v>
      </c>
      <c r="Q1877" s="121">
        <f t="shared" si="748"/>
        <v>0</v>
      </c>
      <c r="R1877" s="121">
        <f t="shared" si="749"/>
        <v>0</v>
      </c>
      <c r="S1877" s="121" t="str">
        <f t="shared" si="750"/>
        <v/>
      </c>
      <c r="T1877" s="121" t="str">
        <f t="shared" si="751"/>
        <v/>
      </c>
      <c r="U1877" s="121">
        <f t="shared" si="752"/>
        <v>1</v>
      </c>
    </row>
    <row r="1878" spans="1:21" x14ac:dyDescent="0.3">
      <c r="A1878" s="187">
        <v>18</v>
      </c>
      <c r="B1878" s="242">
        <f t="shared" si="753"/>
        <v>46174</v>
      </c>
      <c r="C1878" s="243">
        <f t="shared" si="734"/>
        <v>46203</v>
      </c>
      <c r="D1878" s="120">
        <f t="shared" si="735"/>
        <v>30</v>
      </c>
      <c r="E1878" s="120">
        <f t="shared" si="736"/>
        <v>6</v>
      </c>
      <c r="F1878" s="275">
        <f t="shared" si="737"/>
        <v>46189</v>
      </c>
      <c r="G1878" s="120">
        <f t="shared" si="738"/>
        <v>24317</v>
      </c>
      <c r="H1878" s="245">
        <f t="shared" si="739"/>
        <v>1</v>
      </c>
      <c r="I1878" s="121">
        <f t="shared" si="740"/>
        <v>1</v>
      </c>
      <c r="J1878" s="121">
        <f t="shared" si="741"/>
        <v>1</v>
      </c>
      <c r="K1878" s="120">
        <f t="shared" si="742"/>
        <v>0</v>
      </c>
      <c r="L1878" s="120">
        <f t="shared" si="743"/>
        <v>0</v>
      </c>
      <c r="M1878" s="246">
        <f t="shared" si="744"/>
        <v>0</v>
      </c>
      <c r="N1878" s="121">
        <f t="shared" si="745"/>
        <v>1</v>
      </c>
      <c r="O1878" s="246">
        <f t="shared" si="746"/>
        <v>0.91117067833698029</v>
      </c>
      <c r="P1878" s="121">
        <f t="shared" si="747"/>
        <v>1</v>
      </c>
      <c r="Q1878" s="121">
        <f t="shared" si="748"/>
        <v>0</v>
      </c>
      <c r="R1878" s="121">
        <f t="shared" si="749"/>
        <v>0</v>
      </c>
      <c r="S1878" s="121" t="str">
        <f t="shared" si="750"/>
        <v/>
      </c>
      <c r="T1878" s="121" t="str">
        <f t="shared" si="751"/>
        <v/>
      </c>
      <c r="U1878" s="121">
        <f t="shared" si="752"/>
        <v>1</v>
      </c>
    </row>
    <row r="1879" spans="1:21" x14ac:dyDescent="0.3">
      <c r="A1879" s="187">
        <v>19</v>
      </c>
      <c r="B1879" s="242">
        <f t="shared" si="753"/>
        <v>46204</v>
      </c>
      <c r="C1879" s="243">
        <f t="shared" si="734"/>
        <v>46234</v>
      </c>
      <c r="D1879" s="120">
        <f t="shared" si="735"/>
        <v>31</v>
      </c>
      <c r="E1879" s="120">
        <f t="shared" si="736"/>
        <v>7</v>
      </c>
      <c r="F1879" s="275">
        <f t="shared" si="737"/>
        <v>46219.5</v>
      </c>
      <c r="G1879" s="120">
        <f t="shared" si="738"/>
        <v>24318</v>
      </c>
      <c r="H1879" s="245">
        <f t="shared" si="739"/>
        <v>1</v>
      </c>
      <c r="I1879" s="121">
        <f t="shared" si="740"/>
        <v>1</v>
      </c>
      <c r="J1879" s="121">
        <f t="shared" si="741"/>
        <v>1</v>
      </c>
      <c r="K1879" s="120">
        <f t="shared" si="742"/>
        <v>0</v>
      </c>
      <c r="L1879" s="120">
        <f t="shared" si="743"/>
        <v>0</v>
      </c>
      <c r="M1879" s="246">
        <f t="shared" si="744"/>
        <v>0</v>
      </c>
      <c r="N1879" s="121">
        <f t="shared" si="745"/>
        <v>1</v>
      </c>
      <c r="O1879" s="246">
        <f t="shared" si="746"/>
        <v>0.91083698030634574</v>
      </c>
      <c r="P1879" s="121">
        <f t="shared" si="747"/>
        <v>0.91666666666666663</v>
      </c>
      <c r="Q1879" s="121">
        <f t="shared" si="748"/>
        <v>8.333333333333337E-2</v>
      </c>
      <c r="R1879" s="121">
        <f t="shared" si="749"/>
        <v>0</v>
      </c>
      <c r="S1879" s="121" t="str">
        <f t="shared" si="750"/>
        <v/>
      </c>
      <c r="T1879" s="121" t="str">
        <f t="shared" si="751"/>
        <v/>
      </c>
      <c r="U1879" s="121">
        <f t="shared" si="752"/>
        <v>1</v>
      </c>
    </row>
    <row r="1880" spans="1:21" x14ac:dyDescent="0.3">
      <c r="A1880" s="187">
        <v>20</v>
      </c>
      <c r="B1880" s="242">
        <f t="shared" si="753"/>
        <v>46235</v>
      </c>
      <c r="C1880" s="243">
        <f t="shared" si="734"/>
        <v>46265</v>
      </c>
      <c r="D1880" s="120">
        <f t="shared" si="735"/>
        <v>31</v>
      </c>
      <c r="E1880" s="120">
        <f t="shared" si="736"/>
        <v>8</v>
      </c>
      <c r="F1880" s="275">
        <f t="shared" si="737"/>
        <v>46250.5</v>
      </c>
      <c r="G1880" s="120">
        <f t="shared" si="738"/>
        <v>24319</v>
      </c>
      <c r="H1880" s="245">
        <f t="shared" si="739"/>
        <v>1</v>
      </c>
      <c r="I1880" s="121">
        <f t="shared" si="740"/>
        <v>1</v>
      </c>
      <c r="J1880" s="121">
        <f t="shared" si="741"/>
        <v>1</v>
      </c>
      <c r="K1880" s="120">
        <f t="shared" si="742"/>
        <v>0</v>
      </c>
      <c r="L1880" s="120">
        <f t="shared" si="743"/>
        <v>0</v>
      </c>
      <c r="M1880" s="246">
        <f t="shared" si="744"/>
        <v>0</v>
      </c>
      <c r="N1880" s="121">
        <f t="shared" si="745"/>
        <v>1</v>
      </c>
      <c r="O1880" s="246">
        <f t="shared" si="746"/>
        <v>0.9104978118161926</v>
      </c>
      <c r="P1880" s="121">
        <f t="shared" si="747"/>
        <v>0.75</v>
      </c>
      <c r="Q1880" s="121">
        <f t="shared" si="748"/>
        <v>0.25</v>
      </c>
      <c r="R1880" s="121">
        <f t="shared" si="749"/>
        <v>0</v>
      </c>
      <c r="S1880" s="121" t="str">
        <f t="shared" si="750"/>
        <v/>
      </c>
      <c r="T1880" s="121" t="str">
        <f t="shared" si="751"/>
        <v/>
      </c>
      <c r="U1880" s="121">
        <f t="shared" si="752"/>
        <v>1</v>
      </c>
    </row>
    <row r="1881" spans="1:21" x14ac:dyDescent="0.3">
      <c r="A1881" s="187">
        <v>21</v>
      </c>
      <c r="B1881" s="242">
        <f t="shared" si="753"/>
        <v>46266</v>
      </c>
      <c r="C1881" s="243">
        <f t="shared" si="734"/>
        <v>46295</v>
      </c>
      <c r="D1881" s="120">
        <f t="shared" si="735"/>
        <v>30</v>
      </c>
      <c r="E1881" s="120">
        <f t="shared" si="736"/>
        <v>9</v>
      </c>
      <c r="F1881" s="275">
        <f t="shared" si="737"/>
        <v>46281</v>
      </c>
      <c r="G1881" s="120">
        <f t="shared" si="738"/>
        <v>24320</v>
      </c>
      <c r="H1881" s="245">
        <f t="shared" si="739"/>
        <v>1</v>
      </c>
      <c r="I1881" s="121">
        <f t="shared" si="740"/>
        <v>1</v>
      </c>
      <c r="J1881" s="121">
        <f t="shared" si="741"/>
        <v>1</v>
      </c>
      <c r="K1881" s="120">
        <f t="shared" si="742"/>
        <v>0</v>
      </c>
      <c r="L1881" s="120">
        <f t="shared" si="743"/>
        <v>0</v>
      </c>
      <c r="M1881" s="246">
        <f t="shared" si="744"/>
        <v>0</v>
      </c>
      <c r="N1881" s="121">
        <f t="shared" si="745"/>
        <v>1</v>
      </c>
      <c r="O1881" s="246">
        <f t="shared" si="746"/>
        <v>0.91016411378555806</v>
      </c>
      <c r="P1881" s="121">
        <f t="shared" si="747"/>
        <v>0.58333333333333337</v>
      </c>
      <c r="Q1881" s="121">
        <f t="shared" si="748"/>
        <v>0.41666666666666663</v>
      </c>
      <c r="R1881" s="121">
        <f t="shared" si="749"/>
        <v>0</v>
      </c>
      <c r="S1881" s="121" t="str">
        <f t="shared" si="750"/>
        <v/>
      </c>
      <c r="T1881" s="121" t="str">
        <f t="shared" si="751"/>
        <v/>
      </c>
      <c r="U1881" s="121">
        <f t="shared" si="752"/>
        <v>1</v>
      </c>
    </row>
    <row r="1882" spans="1:21" x14ac:dyDescent="0.3">
      <c r="A1882" s="187">
        <v>22</v>
      </c>
      <c r="B1882" s="242">
        <f t="shared" si="753"/>
        <v>46296</v>
      </c>
      <c r="C1882" s="243">
        <f t="shared" si="734"/>
        <v>46326</v>
      </c>
      <c r="D1882" s="120">
        <f t="shared" si="735"/>
        <v>31</v>
      </c>
      <c r="E1882" s="120">
        <f t="shared" si="736"/>
        <v>10</v>
      </c>
      <c r="F1882" s="275">
        <f t="shared" si="737"/>
        <v>46311.5</v>
      </c>
      <c r="G1882" s="120">
        <f t="shared" si="738"/>
        <v>24321</v>
      </c>
      <c r="H1882" s="245">
        <f t="shared" si="739"/>
        <v>1</v>
      </c>
      <c r="I1882" s="121">
        <f t="shared" si="740"/>
        <v>1</v>
      </c>
      <c r="J1882" s="121">
        <f t="shared" si="741"/>
        <v>1.05</v>
      </c>
      <c r="K1882" s="120">
        <f t="shared" si="742"/>
        <v>1</v>
      </c>
      <c r="L1882" s="120">
        <f t="shared" si="743"/>
        <v>31</v>
      </c>
      <c r="M1882" s="246">
        <f t="shared" si="744"/>
        <v>1</v>
      </c>
      <c r="N1882" s="121">
        <f t="shared" si="745"/>
        <v>1.05</v>
      </c>
      <c r="O1882" s="246">
        <f t="shared" si="746"/>
        <v>0.90983041575492341</v>
      </c>
      <c r="P1882" s="121">
        <f t="shared" si="747"/>
        <v>0.41666666666666669</v>
      </c>
      <c r="Q1882" s="121">
        <f t="shared" si="748"/>
        <v>0.58333333333333326</v>
      </c>
      <c r="R1882" s="121">
        <f t="shared" si="749"/>
        <v>0</v>
      </c>
      <c r="S1882" s="121" t="str">
        <f t="shared" si="750"/>
        <v/>
      </c>
      <c r="T1882" s="121" t="str">
        <f t="shared" si="751"/>
        <v/>
      </c>
      <c r="U1882" s="121">
        <f t="shared" si="752"/>
        <v>1.05</v>
      </c>
    </row>
    <row r="1883" spans="1:21" x14ac:dyDescent="0.3">
      <c r="A1883" s="187">
        <v>23</v>
      </c>
      <c r="B1883" s="242">
        <f t="shared" si="753"/>
        <v>46327</v>
      </c>
      <c r="C1883" s="243">
        <f t="shared" si="734"/>
        <v>46356</v>
      </c>
      <c r="D1883" s="120">
        <f t="shared" si="735"/>
        <v>30</v>
      </c>
      <c r="E1883" s="120">
        <f t="shared" si="736"/>
        <v>11</v>
      </c>
      <c r="F1883" s="275">
        <f t="shared" si="737"/>
        <v>46342</v>
      </c>
      <c r="G1883" s="120">
        <f t="shared" si="738"/>
        <v>24322</v>
      </c>
      <c r="H1883" s="245">
        <f t="shared" si="739"/>
        <v>1</v>
      </c>
      <c r="I1883" s="121">
        <f t="shared" si="740"/>
        <v>1.05</v>
      </c>
      <c r="J1883" s="121">
        <f t="shared" si="741"/>
        <v>1.05</v>
      </c>
      <c r="K1883" s="120">
        <f t="shared" si="742"/>
        <v>0</v>
      </c>
      <c r="L1883" s="120">
        <f t="shared" si="743"/>
        <v>0</v>
      </c>
      <c r="M1883" s="246">
        <f t="shared" si="744"/>
        <v>0</v>
      </c>
      <c r="N1883" s="121">
        <f t="shared" si="745"/>
        <v>1.05</v>
      </c>
      <c r="O1883" s="246">
        <f t="shared" si="746"/>
        <v>0.90949671772428886</v>
      </c>
      <c r="P1883" s="121">
        <f t="shared" si="747"/>
        <v>0.25</v>
      </c>
      <c r="Q1883" s="121">
        <f t="shared" si="748"/>
        <v>0.75</v>
      </c>
      <c r="R1883" s="121">
        <f t="shared" si="749"/>
        <v>0</v>
      </c>
      <c r="S1883" s="121" t="str">
        <f t="shared" si="750"/>
        <v/>
      </c>
      <c r="T1883" s="121" t="str">
        <f t="shared" si="751"/>
        <v/>
      </c>
      <c r="U1883" s="121">
        <f t="shared" si="752"/>
        <v>1.05</v>
      </c>
    </row>
    <row r="1884" spans="1:21" x14ac:dyDescent="0.3">
      <c r="A1884" s="187">
        <v>24</v>
      </c>
      <c r="B1884" s="242">
        <f t="shared" si="753"/>
        <v>46357</v>
      </c>
      <c r="C1884" s="243">
        <f t="shared" si="734"/>
        <v>46387</v>
      </c>
      <c r="D1884" s="120">
        <f t="shared" si="735"/>
        <v>31</v>
      </c>
      <c r="E1884" s="120">
        <f t="shared" si="736"/>
        <v>12</v>
      </c>
      <c r="F1884" s="275">
        <f t="shared" si="737"/>
        <v>46372.5</v>
      </c>
      <c r="G1884" s="120">
        <f t="shared" si="738"/>
        <v>24323</v>
      </c>
      <c r="H1884" s="245">
        <f t="shared" si="739"/>
        <v>1</v>
      </c>
      <c r="I1884" s="121">
        <f t="shared" si="740"/>
        <v>1.05</v>
      </c>
      <c r="J1884" s="121">
        <f t="shared" si="741"/>
        <v>1.05</v>
      </c>
      <c r="K1884" s="120">
        <f t="shared" si="742"/>
        <v>0</v>
      </c>
      <c r="L1884" s="120">
        <f t="shared" si="743"/>
        <v>0</v>
      </c>
      <c r="M1884" s="246">
        <f t="shared" si="744"/>
        <v>0</v>
      </c>
      <c r="N1884" s="121">
        <f t="shared" si="745"/>
        <v>1.05</v>
      </c>
      <c r="O1884" s="246">
        <f t="shared" si="746"/>
        <v>0.90916301969365432</v>
      </c>
      <c r="P1884" s="121">
        <f t="shared" si="747"/>
        <v>8.3333333333333329E-2</v>
      </c>
      <c r="Q1884" s="121">
        <f t="shared" si="748"/>
        <v>0.91666666666666663</v>
      </c>
      <c r="R1884" s="121">
        <f t="shared" si="749"/>
        <v>0</v>
      </c>
      <c r="S1884" s="121" t="str">
        <f t="shared" si="750"/>
        <v/>
      </c>
      <c r="T1884" s="121" t="str">
        <f t="shared" si="751"/>
        <v/>
      </c>
      <c r="U1884" s="121">
        <f t="shared" si="752"/>
        <v>1.05</v>
      </c>
    </row>
    <row r="1885" spans="1:21" x14ac:dyDescent="0.3">
      <c r="A1885" s="187">
        <v>25</v>
      </c>
      <c r="B1885" s="242">
        <f t="shared" si="753"/>
        <v>46388</v>
      </c>
      <c r="C1885" s="243">
        <f t="shared" si="734"/>
        <v>46418</v>
      </c>
      <c r="D1885" s="120">
        <f t="shared" si="735"/>
        <v>31</v>
      </c>
      <c r="E1885" s="120">
        <f t="shared" si="736"/>
        <v>1</v>
      </c>
      <c r="F1885" s="275">
        <f t="shared" si="737"/>
        <v>46403.5</v>
      </c>
      <c r="G1885" s="120">
        <f t="shared" si="738"/>
        <v>24324</v>
      </c>
      <c r="H1885" s="245">
        <f t="shared" si="739"/>
        <v>1</v>
      </c>
      <c r="I1885" s="121">
        <f t="shared" si="740"/>
        <v>1.05</v>
      </c>
      <c r="J1885" s="121">
        <f t="shared" si="741"/>
        <v>1.05</v>
      </c>
      <c r="K1885" s="120">
        <f t="shared" si="742"/>
        <v>0</v>
      </c>
      <c r="L1885" s="120">
        <f t="shared" si="743"/>
        <v>0</v>
      </c>
      <c r="M1885" s="246">
        <f t="shared" si="744"/>
        <v>0</v>
      </c>
      <c r="N1885" s="121">
        <f t="shared" si="745"/>
        <v>1.05</v>
      </c>
      <c r="O1885" s="246">
        <f t="shared" si="746"/>
        <v>0.90882385120350118</v>
      </c>
      <c r="P1885" s="121">
        <f t="shared" si="747"/>
        <v>0</v>
      </c>
      <c r="Q1885" s="121">
        <f t="shared" si="748"/>
        <v>1</v>
      </c>
      <c r="R1885" s="121">
        <f t="shared" si="749"/>
        <v>0</v>
      </c>
      <c r="S1885" s="121" t="str">
        <f t="shared" si="750"/>
        <v/>
      </c>
      <c r="T1885" s="121" t="str">
        <f t="shared" si="751"/>
        <v/>
      </c>
      <c r="U1885" s="121">
        <f t="shared" si="752"/>
        <v>1.05</v>
      </c>
    </row>
    <row r="1886" spans="1:21" x14ac:dyDescent="0.3">
      <c r="A1886" s="187">
        <v>26</v>
      </c>
      <c r="B1886" s="242">
        <f t="shared" si="753"/>
        <v>46419</v>
      </c>
      <c r="C1886" s="243">
        <f t="shared" si="734"/>
        <v>46446</v>
      </c>
      <c r="D1886" s="120">
        <f t="shared" si="735"/>
        <v>28</v>
      </c>
      <c r="E1886" s="120">
        <f t="shared" si="736"/>
        <v>2</v>
      </c>
      <c r="F1886" s="275">
        <f t="shared" si="737"/>
        <v>46433</v>
      </c>
      <c r="G1886" s="120">
        <f t="shared" si="738"/>
        <v>24325</v>
      </c>
      <c r="H1886" s="245">
        <f t="shared" si="739"/>
        <v>1</v>
      </c>
      <c r="I1886" s="121">
        <f t="shared" si="740"/>
        <v>1.05</v>
      </c>
      <c r="J1886" s="121">
        <f t="shared" si="741"/>
        <v>1.05</v>
      </c>
      <c r="K1886" s="120">
        <f t="shared" si="742"/>
        <v>0</v>
      </c>
      <c r="L1886" s="120">
        <f t="shared" si="743"/>
        <v>0</v>
      </c>
      <c r="M1886" s="246">
        <f t="shared" si="744"/>
        <v>0</v>
      </c>
      <c r="N1886" s="121">
        <f t="shared" si="745"/>
        <v>1.05</v>
      </c>
      <c r="O1886" s="246">
        <f t="shared" si="746"/>
        <v>0.90850109409190372</v>
      </c>
      <c r="P1886" s="121">
        <f t="shared" si="747"/>
        <v>0</v>
      </c>
      <c r="Q1886" s="121">
        <f t="shared" si="748"/>
        <v>1</v>
      </c>
      <c r="R1886" s="121">
        <f t="shared" si="749"/>
        <v>0</v>
      </c>
      <c r="S1886" s="121" t="str">
        <f t="shared" si="750"/>
        <v/>
      </c>
      <c r="T1886" s="121" t="str">
        <f t="shared" si="751"/>
        <v/>
      </c>
      <c r="U1886" s="121">
        <f t="shared" si="752"/>
        <v>1.05</v>
      </c>
    </row>
    <row r="1887" spans="1:21" x14ac:dyDescent="0.3">
      <c r="A1887" s="187">
        <v>27</v>
      </c>
      <c r="B1887" s="242">
        <f t="shared" si="753"/>
        <v>46447</v>
      </c>
      <c r="C1887" s="243">
        <f t="shared" si="734"/>
        <v>46477</v>
      </c>
      <c r="D1887" s="120">
        <f t="shared" si="735"/>
        <v>31</v>
      </c>
      <c r="E1887" s="120">
        <f t="shared" si="736"/>
        <v>3</v>
      </c>
      <c r="F1887" s="275">
        <f t="shared" si="737"/>
        <v>46462.5</v>
      </c>
      <c r="G1887" s="120">
        <f t="shared" si="738"/>
        <v>24326</v>
      </c>
      <c r="H1887" s="245">
        <f t="shared" si="739"/>
        <v>1</v>
      </c>
      <c r="I1887" s="121">
        <f t="shared" si="740"/>
        <v>1.05</v>
      </c>
      <c r="J1887" s="121">
        <f t="shared" si="741"/>
        <v>1.05</v>
      </c>
      <c r="K1887" s="120">
        <f t="shared" si="742"/>
        <v>0</v>
      </c>
      <c r="L1887" s="120">
        <f t="shared" si="743"/>
        <v>0</v>
      </c>
      <c r="M1887" s="246">
        <f t="shared" si="744"/>
        <v>0</v>
      </c>
      <c r="N1887" s="121">
        <f t="shared" si="745"/>
        <v>1.05</v>
      </c>
      <c r="O1887" s="246">
        <f t="shared" si="746"/>
        <v>0.90817833698030637</v>
      </c>
      <c r="P1887" s="121">
        <f t="shared" si="747"/>
        <v>0</v>
      </c>
      <c r="Q1887" s="121">
        <f t="shared" si="748"/>
        <v>1</v>
      </c>
      <c r="R1887" s="121">
        <f t="shared" si="749"/>
        <v>0</v>
      </c>
      <c r="S1887" s="121" t="str">
        <f t="shared" si="750"/>
        <v/>
      </c>
      <c r="T1887" s="121" t="str">
        <f t="shared" si="751"/>
        <v/>
      </c>
      <c r="U1887" s="121">
        <f t="shared" si="752"/>
        <v>1.05</v>
      </c>
    </row>
    <row r="1888" spans="1:21" x14ac:dyDescent="0.3">
      <c r="A1888" s="187">
        <v>28</v>
      </c>
      <c r="B1888" s="242">
        <f t="shared" si="753"/>
        <v>46478</v>
      </c>
      <c r="C1888" s="243">
        <f t="shared" si="734"/>
        <v>46507</v>
      </c>
      <c r="D1888" s="120">
        <f t="shared" si="735"/>
        <v>30</v>
      </c>
      <c r="E1888" s="120">
        <f t="shared" si="736"/>
        <v>4</v>
      </c>
      <c r="F1888" s="275">
        <f t="shared" si="737"/>
        <v>46493</v>
      </c>
      <c r="G1888" s="120">
        <f t="shared" si="738"/>
        <v>24327</v>
      </c>
      <c r="H1888" s="245">
        <f t="shared" si="739"/>
        <v>1</v>
      </c>
      <c r="I1888" s="121">
        <f t="shared" si="740"/>
        <v>1.05</v>
      </c>
      <c r="J1888" s="121">
        <f t="shared" si="741"/>
        <v>1.0920000000000001</v>
      </c>
      <c r="K1888" s="120">
        <f t="shared" si="742"/>
        <v>1</v>
      </c>
      <c r="L1888" s="120">
        <f t="shared" si="743"/>
        <v>30</v>
      </c>
      <c r="M1888" s="246">
        <f t="shared" si="744"/>
        <v>1</v>
      </c>
      <c r="N1888" s="121">
        <f t="shared" si="745"/>
        <v>1.0920000000000001</v>
      </c>
      <c r="O1888" s="246">
        <f t="shared" si="746"/>
        <v>0.90784463894967182</v>
      </c>
      <c r="P1888" s="121">
        <f t="shared" si="747"/>
        <v>0</v>
      </c>
      <c r="Q1888" s="121">
        <f t="shared" si="748"/>
        <v>1</v>
      </c>
      <c r="R1888" s="121">
        <f t="shared" si="749"/>
        <v>0</v>
      </c>
      <c r="S1888" s="121" t="str">
        <f t="shared" si="750"/>
        <v/>
      </c>
      <c r="T1888" s="121" t="str">
        <f t="shared" si="751"/>
        <v/>
      </c>
      <c r="U1888" s="121">
        <f t="shared" si="752"/>
        <v>1.0920000000000001</v>
      </c>
    </row>
    <row r="1889" spans="1:21" x14ac:dyDescent="0.3">
      <c r="A1889" s="187">
        <v>29</v>
      </c>
      <c r="B1889" s="242">
        <f t="shared" si="753"/>
        <v>46508</v>
      </c>
      <c r="C1889" s="243">
        <f t="shared" si="734"/>
        <v>46538</v>
      </c>
      <c r="D1889" s="120">
        <f t="shared" si="735"/>
        <v>31</v>
      </c>
      <c r="E1889" s="120">
        <f t="shared" si="736"/>
        <v>5</v>
      </c>
      <c r="F1889" s="275">
        <f t="shared" si="737"/>
        <v>46523.5</v>
      </c>
      <c r="G1889" s="120">
        <f t="shared" si="738"/>
        <v>24328</v>
      </c>
      <c r="H1889" s="245">
        <f t="shared" si="739"/>
        <v>1</v>
      </c>
      <c r="I1889" s="121">
        <f t="shared" si="740"/>
        <v>1.0920000000000001</v>
      </c>
      <c r="J1889" s="121">
        <f t="shared" si="741"/>
        <v>1.0920000000000001</v>
      </c>
      <c r="K1889" s="120">
        <f t="shared" si="742"/>
        <v>0</v>
      </c>
      <c r="L1889" s="120">
        <f t="shared" si="743"/>
        <v>0</v>
      </c>
      <c r="M1889" s="246">
        <f t="shared" si="744"/>
        <v>0</v>
      </c>
      <c r="N1889" s="121">
        <f t="shared" si="745"/>
        <v>1.0920000000000001</v>
      </c>
      <c r="O1889" s="246">
        <f t="shared" si="746"/>
        <v>0.90751094091903728</v>
      </c>
      <c r="P1889" s="121">
        <f t="shared" si="747"/>
        <v>0</v>
      </c>
      <c r="Q1889" s="121">
        <f t="shared" si="748"/>
        <v>1</v>
      </c>
      <c r="R1889" s="121">
        <f t="shared" si="749"/>
        <v>0</v>
      </c>
      <c r="S1889" s="121" t="str">
        <f t="shared" si="750"/>
        <v/>
      </c>
      <c r="T1889" s="121" t="str">
        <f t="shared" si="751"/>
        <v/>
      </c>
      <c r="U1889" s="121">
        <f t="shared" si="752"/>
        <v>1.0920000000000001</v>
      </c>
    </row>
    <row r="1890" spans="1:21" x14ac:dyDescent="0.3">
      <c r="A1890" s="187">
        <v>30</v>
      </c>
      <c r="B1890" s="242">
        <f t="shared" si="753"/>
        <v>46539</v>
      </c>
      <c r="C1890" s="243">
        <f t="shared" si="734"/>
        <v>46568</v>
      </c>
      <c r="D1890" s="120">
        <f t="shared" si="735"/>
        <v>30</v>
      </c>
      <c r="E1890" s="120">
        <f t="shared" si="736"/>
        <v>6</v>
      </c>
      <c r="F1890" s="275">
        <f t="shared" si="737"/>
        <v>46554</v>
      </c>
      <c r="G1890" s="120">
        <f t="shared" si="738"/>
        <v>24329</v>
      </c>
      <c r="H1890" s="245">
        <f t="shared" si="739"/>
        <v>1</v>
      </c>
      <c r="I1890" s="121">
        <f t="shared" si="740"/>
        <v>1.0920000000000001</v>
      </c>
      <c r="J1890" s="121">
        <f t="shared" si="741"/>
        <v>1.0920000000000001</v>
      </c>
      <c r="K1890" s="120">
        <f t="shared" si="742"/>
        <v>0</v>
      </c>
      <c r="L1890" s="120">
        <f t="shared" si="743"/>
        <v>0</v>
      </c>
      <c r="M1890" s="246">
        <f t="shared" si="744"/>
        <v>0</v>
      </c>
      <c r="N1890" s="121">
        <f t="shared" si="745"/>
        <v>1.0920000000000001</v>
      </c>
      <c r="O1890" s="246">
        <f t="shared" si="746"/>
        <v>0.90717724288840262</v>
      </c>
      <c r="P1890" s="121">
        <f t="shared" si="747"/>
        <v>0</v>
      </c>
      <c r="Q1890" s="121">
        <f t="shared" si="748"/>
        <v>1</v>
      </c>
      <c r="R1890" s="121">
        <f t="shared" si="749"/>
        <v>0</v>
      </c>
      <c r="S1890" s="121" t="str">
        <f t="shared" si="750"/>
        <v/>
      </c>
      <c r="T1890" s="121" t="str">
        <f t="shared" si="751"/>
        <v/>
      </c>
      <c r="U1890" s="121">
        <f t="shared" si="752"/>
        <v>1.0920000000000001</v>
      </c>
    </row>
    <row r="1891" spans="1:21" x14ac:dyDescent="0.3">
      <c r="A1891" s="187">
        <v>31</v>
      </c>
      <c r="B1891" s="242">
        <f t="shared" si="753"/>
        <v>46569</v>
      </c>
      <c r="C1891" s="243">
        <f t="shared" si="734"/>
        <v>46599</v>
      </c>
      <c r="D1891" s="120">
        <f t="shared" si="735"/>
        <v>31</v>
      </c>
      <c r="E1891" s="120">
        <f t="shared" si="736"/>
        <v>7</v>
      </c>
      <c r="F1891" s="275">
        <f t="shared" si="737"/>
        <v>46584.5</v>
      </c>
      <c r="G1891" s="120">
        <f t="shared" si="738"/>
        <v>24330</v>
      </c>
      <c r="H1891" s="245">
        <f t="shared" si="739"/>
        <v>1</v>
      </c>
      <c r="I1891" s="121">
        <f t="shared" si="740"/>
        <v>1.0920000000000001</v>
      </c>
      <c r="J1891" s="121">
        <f t="shared" si="741"/>
        <v>1.0920000000000001</v>
      </c>
      <c r="K1891" s="120">
        <f t="shared" si="742"/>
        <v>0</v>
      </c>
      <c r="L1891" s="120">
        <f t="shared" si="743"/>
        <v>0</v>
      </c>
      <c r="M1891" s="246">
        <f t="shared" si="744"/>
        <v>0</v>
      </c>
      <c r="N1891" s="121">
        <f t="shared" si="745"/>
        <v>1.0920000000000001</v>
      </c>
      <c r="O1891" s="246">
        <f t="shared" si="746"/>
        <v>0.90684354485776808</v>
      </c>
      <c r="P1891" s="121">
        <f t="shared" si="747"/>
        <v>0</v>
      </c>
      <c r="Q1891" s="121">
        <f t="shared" si="748"/>
        <v>0.91666666666666663</v>
      </c>
      <c r="R1891" s="121">
        <f t="shared" si="749"/>
        <v>8.333333333333337E-2</v>
      </c>
      <c r="S1891" s="121" t="str">
        <f t="shared" si="750"/>
        <v/>
      </c>
      <c r="T1891" s="121" t="str">
        <f t="shared" si="751"/>
        <v/>
      </c>
      <c r="U1891" s="121">
        <f t="shared" si="752"/>
        <v>1.0920000000000001</v>
      </c>
    </row>
    <row r="1892" spans="1:21" x14ac:dyDescent="0.3">
      <c r="A1892" s="187">
        <v>32</v>
      </c>
      <c r="B1892" s="242">
        <f t="shared" si="753"/>
        <v>46600</v>
      </c>
      <c r="C1892" s="243">
        <f t="shared" si="734"/>
        <v>46630</v>
      </c>
      <c r="D1892" s="120">
        <f t="shared" si="735"/>
        <v>31</v>
      </c>
      <c r="E1892" s="120">
        <f t="shared" si="736"/>
        <v>8</v>
      </c>
      <c r="F1892" s="275">
        <f t="shared" si="737"/>
        <v>46615.5</v>
      </c>
      <c r="G1892" s="120">
        <f t="shared" si="738"/>
        <v>24331</v>
      </c>
      <c r="H1892" s="245">
        <f t="shared" si="739"/>
        <v>1</v>
      </c>
      <c r="I1892" s="121">
        <f t="shared" si="740"/>
        <v>1.0920000000000001</v>
      </c>
      <c r="J1892" s="121">
        <f t="shared" si="741"/>
        <v>1.0920000000000001</v>
      </c>
      <c r="K1892" s="120">
        <f t="shared" si="742"/>
        <v>0</v>
      </c>
      <c r="L1892" s="120">
        <f t="shared" si="743"/>
        <v>0</v>
      </c>
      <c r="M1892" s="246">
        <f t="shared" si="744"/>
        <v>0</v>
      </c>
      <c r="N1892" s="121">
        <f t="shared" si="745"/>
        <v>1.0920000000000001</v>
      </c>
      <c r="O1892" s="246">
        <f t="shared" si="746"/>
        <v>0.90650437636761494</v>
      </c>
      <c r="P1892" s="121">
        <f t="shared" si="747"/>
        <v>0</v>
      </c>
      <c r="Q1892" s="121">
        <f t="shared" si="748"/>
        <v>0.75</v>
      </c>
      <c r="R1892" s="121">
        <f t="shared" si="749"/>
        <v>0.25</v>
      </c>
      <c r="S1892" s="121" t="str">
        <f t="shared" si="750"/>
        <v/>
      </c>
      <c r="T1892" s="121" t="str">
        <f t="shared" si="751"/>
        <v/>
      </c>
      <c r="U1892" s="121">
        <f t="shared" si="752"/>
        <v>1.0920000000000001</v>
      </c>
    </row>
    <row r="1893" spans="1:21" x14ac:dyDescent="0.3">
      <c r="A1893" s="187">
        <v>33</v>
      </c>
      <c r="B1893" s="242">
        <f t="shared" si="753"/>
        <v>46631</v>
      </c>
      <c r="C1893" s="243">
        <f t="shared" si="734"/>
        <v>46660</v>
      </c>
      <c r="D1893" s="120">
        <f t="shared" si="735"/>
        <v>30</v>
      </c>
      <c r="E1893" s="120">
        <f t="shared" si="736"/>
        <v>9</v>
      </c>
      <c r="F1893" s="275">
        <f t="shared" si="737"/>
        <v>46646</v>
      </c>
      <c r="G1893" s="120">
        <f t="shared" si="738"/>
        <v>24332</v>
      </c>
      <c r="H1893" s="245">
        <f t="shared" si="739"/>
        <v>1</v>
      </c>
      <c r="I1893" s="121">
        <f t="shared" si="740"/>
        <v>1.0920000000000001</v>
      </c>
      <c r="J1893" s="121">
        <f t="shared" si="741"/>
        <v>1.0920000000000001</v>
      </c>
      <c r="K1893" s="120">
        <f t="shared" si="742"/>
        <v>0</v>
      </c>
      <c r="L1893" s="120">
        <f t="shared" si="743"/>
        <v>0</v>
      </c>
      <c r="M1893" s="246">
        <f t="shared" si="744"/>
        <v>0</v>
      </c>
      <c r="N1893" s="121">
        <f t="shared" si="745"/>
        <v>1.0920000000000001</v>
      </c>
      <c r="O1893" s="246">
        <f t="shared" si="746"/>
        <v>0.90617067833698028</v>
      </c>
      <c r="P1893" s="121">
        <f t="shared" si="747"/>
        <v>0</v>
      </c>
      <c r="Q1893" s="121">
        <f t="shared" si="748"/>
        <v>0.58333333333333337</v>
      </c>
      <c r="R1893" s="121">
        <f t="shared" si="749"/>
        <v>0.41666666666666663</v>
      </c>
      <c r="S1893" s="121" t="str">
        <f t="shared" si="750"/>
        <v/>
      </c>
      <c r="T1893" s="121" t="str">
        <f t="shared" si="751"/>
        <v/>
      </c>
      <c r="U1893" s="121">
        <f t="shared" si="752"/>
        <v>1.0920000000000001</v>
      </c>
    </row>
    <row r="1894" spans="1:21" x14ac:dyDescent="0.3">
      <c r="A1894" s="187">
        <v>34</v>
      </c>
      <c r="B1894" s="242">
        <f t="shared" si="753"/>
        <v>46661</v>
      </c>
      <c r="C1894" s="243">
        <f t="shared" si="734"/>
        <v>46691</v>
      </c>
      <c r="D1894" s="120">
        <f t="shared" si="735"/>
        <v>31</v>
      </c>
      <c r="E1894" s="120">
        <f t="shared" si="736"/>
        <v>10</v>
      </c>
      <c r="F1894" s="275">
        <f t="shared" si="737"/>
        <v>46676.5</v>
      </c>
      <c r="G1894" s="120">
        <f t="shared" si="738"/>
        <v>24333</v>
      </c>
      <c r="H1894" s="245">
        <f t="shared" si="739"/>
        <v>1</v>
      </c>
      <c r="I1894" s="121">
        <f t="shared" si="740"/>
        <v>1.0920000000000001</v>
      </c>
      <c r="J1894" s="121">
        <f t="shared" si="741"/>
        <v>1.0920000000000001</v>
      </c>
      <c r="K1894" s="120">
        <f t="shared" si="742"/>
        <v>0</v>
      </c>
      <c r="L1894" s="120">
        <f t="shared" si="743"/>
        <v>0</v>
      </c>
      <c r="M1894" s="246">
        <f t="shared" si="744"/>
        <v>0</v>
      </c>
      <c r="N1894" s="121">
        <f t="shared" si="745"/>
        <v>1.0920000000000001</v>
      </c>
      <c r="O1894" s="246">
        <f t="shared" si="746"/>
        <v>0.90583698030634574</v>
      </c>
      <c r="P1894" s="121">
        <f t="shared" si="747"/>
        <v>0</v>
      </c>
      <c r="Q1894" s="121">
        <f t="shared" si="748"/>
        <v>0.41666666666666669</v>
      </c>
      <c r="R1894" s="121">
        <f t="shared" si="749"/>
        <v>0.58333333333333326</v>
      </c>
      <c r="S1894" s="121" t="str">
        <f t="shared" si="750"/>
        <v/>
      </c>
      <c r="T1894" s="121" t="str">
        <f t="shared" si="751"/>
        <v/>
      </c>
      <c r="U1894" s="121">
        <f t="shared" si="752"/>
        <v>1.0920000000000001</v>
      </c>
    </row>
    <row r="1895" spans="1:21" x14ac:dyDescent="0.3">
      <c r="A1895" s="187">
        <v>35</v>
      </c>
      <c r="B1895" s="242">
        <f t="shared" si="753"/>
        <v>46692</v>
      </c>
      <c r="C1895" s="243">
        <f t="shared" si="734"/>
        <v>46721</v>
      </c>
      <c r="D1895" s="120">
        <f t="shared" si="735"/>
        <v>30</v>
      </c>
      <c r="E1895" s="120">
        <f t="shared" si="736"/>
        <v>11</v>
      </c>
      <c r="F1895" s="275">
        <f t="shared" si="737"/>
        <v>46707</v>
      </c>
      <c r="G1895" s="120">
        <f t="shared" si="738"/>
        <v>24334</v>
      </c>
      <c r="H1895" s="245">
        <f t="shared" si="739"/>
        <v>1</v>
      </c>
      <c r="I1895" s="121">
        <f t="shared" si="740"/>
        <v>1.0920000000000001</v>
      </c>
      <c r="J1895" s="121">
        <f t="shared" si="741"/>
        <v>1.0920000000000001</v>
      </c>
      <c r="K1895" s="120">
        <f t="shared" si="742"/>
        <v>0</v>
      </c>
      <c r="L1895" s="120">
        <f t="shared" si="743"/>
        <v>0</v>
      </c>
      <c r="M1895" s="246">
        <f t="shared" si="744"/>
        <v>0</v>
      </c>
      <c r="N1895" s="121">
        <f t="shared" si="745"/>
        <v>1.0920000000000001</v>
      </c>
      <c r="O1895" s="246">
        <f t="shared" si="746"/>
        <v>0.9055032822757112</v>
      </c>
      <c r="P1895" s="121">
        <f t="shared" si="747"/>
        <v>0</v>
      </c>
      <c r="Q1895" s="121">
        <f t="shared" si="748"/>
        <v>0.25</v>
      </c>
      <c r="R1895" s="121">
        <f t="shared" si="749"/>
        <v>0.75</v>
      </c>
      <c r="S1895" s="121" t="str">
        <f t="shared" si="750"/>
        <v/>
      </c>
      <c r="T1895" s="121" t="str">
        <f t="shared" si="751"/>
        <v/>
      </c>
      <c r="U1895" s="121">
        <f t="shared" si="752"/>
        <v>1.0920000000000001</v>
      </c>
    </row>
    <row r="1896" spans="1:21" x14ac:dyDescent="0.3">
      <c r="A1896" s="187">
        <v>36</v>
      </c>
      <c r="B1896" s="242">
        <f t="shared" si="753"/>
        <v>46722</v>
      </c>
      <c r="C1896" s="243">
        <f t="shared" si="734"/>
        <v>46752</v>
      </c>
      <c r="D1896" s="120">
        <f t="shared" si="735"/>
        <v>31</v>
      </c>
      <c r="E1896" s="120">
        <f t="shared" si="736"/>
        <v>12</v>
      </c>
      <c r="F1896" s="275">
        <f t="shared" si="737"/>
        <v>46737.5</v>
      </c>
      <c r="G1896" s="120">
        <f t="shared" si="738"/>
        <v>24335</v>
      </c>
      <c r="H1896" s="245">
        <f t="shared" si="739"/>
        <v>1</v>
      </c>
      <c r="I1896" s="121">
        <f t="shared" si="740"/>
        <v>1.0920000000000001</v>
      </c>
      <c r="J1896" s="121">
        <f t="shared" si="741"/>
        <v>1.0920000000000001</v>
      </c>
      <c r="K1896" s="120">
        <f t="shared" si="742"/>
        <v>0</v>
      </c>
      <c r="L1896" s="120">
        <f t="shared" si="743"/>
        <v>0</v>
      </c>
      <c r="M1896" s="246">
        <f t="shared" si="744"/>
        <v>0</v>
      </c>
      <c r="N1896" s="121">
        <f t="shared" si="745"/>
        <v>1.0920000000000001</v>
      </c>
      <c r="O1896" s="246">
        <f t="shared" si="746"/>
        <v>0.90516958424507665</v>
      </c>
      <c r="P1896" s="121">
        <f t="shared" si="747"/>
        <v>0</v>
      </c>
      <c r="Q1896" s="121">
        <f t="shared" si="748"/>
        <v>8.3333333333333329E-2</v>
      </c>
      <c r="R1896" s="121">
        <f t="shared" si="749"/>
        <v>0.91666666666666663</v>
      </c>
      <c r="S1896" s="121" t="str">
        <f t="shared" si="750"/>
        <v/>
      </c>
      <c r="T1896" s="121" t="str">
        <f t="shared" si="751"/>
        <v/>
      </c>
      <c r="U1896" s="121">
        <f t="shared" si="752"/>
        <v>1.0920000000000001</v>
      </c>
    </row>
    <row r="1897" spans="1:21" x14ac:dyDescent="0.3">
      <c r="A1897" s="187">
        <v>37</v>
      </c>
      <c r="B1897" s="242">
        <f t="shared" si="753"/>
        <v>46753</v>
      </c>
      <c r="C1897" s="243">
        <f t="shared" si="734"/>
        <v>46783</v>
      </c>
      <c r="D1897" s="120">
        <f t="shared" si="735"/>
        <v>31</v>
      </c>
      <c r="E1897" s="120">
        <f t="shared" si="736"/>
        <v>1</v>
      </c>
      <c r="F1897" s="275">
        <f t="shared" si="737"/>
        <v>46768.5</v>
      </c>
      <c r="G1897" s="120">
        <f t="shared" si="738"/>
        <v>24336</v>
      </c>
      <c r="H1897" s="245">
        <f t="shared" si="739"/>
        <v>1</v>
      </c>
      <c r="I1897" s="121">
        <f t="shared" si="740"/>
        <v>1.0920000000000001</v>
      </c>
      <c r="J1897" s="121">
        <f t="shared" si="741"/>
        <v>1.0920000000000001</v>
      </c>
      <c r="K1897" s="120">
        <f t="shared" si="742"/>
        <v>0</v>
      </c>
      <c r="L1897" s="120">
        <f t="shared" si="743"/>
        <v>0</v>
      </c>
      <c r="M1897" s="246">
        <f t="shared" si="744"/>
        <v>0</v>
      </c>
      <c r="N1897" s="121">
        <f t="shared" si="745"/>
        <v>1.0920000000000001</v>
      </c>
      <c r="O1897" s="246">
        <f t="shared" si="746"/>
        <v>0.90500000000000003</v>
      </c>
      <c r="P1897" s="121">
        <f t="shared" si="747"/>
        <v>0</v>
      </c>
      <c r="Q1897" s="121">
        <f t="shared" si="748"/>
        <v>0</v>
      </c>
      <c r="R1897" s="121">
        <f t="shared" si="749"/>
        <v>1</v>
      </c>
      <c r="S1897" s="121" t="str">
        <f t="shared" si="750"/>
        <v/>
      </c>
      <c r="T1897" s="121" t="str">
        <f t="shared" si="751"/>
        <v/>
      </c>
      <c r="U1897" s="121">
        <f t="shared" si="752"/>
        <v>1.0920000000000001</v>
      </c>
    </row>
    <row r="1898" spans="1:21" x14ac:dyDescent="0.3">
      <c r="A1898" s="187">
        <v>38</v>
      </c>
      <c r="B1898" s="242">
        <f t="shared" si="753"/>
        <v>46784</v>
      </c>
      <c r="C1898" s="243">
        <f t="shared" si="734"/>
        <v>46812</v>
      </c>
      <c r="D1898" s="120">
        <f t="shared" si="735"/>
        <v>29</v>
      </c>
      <c r="E1898" s="120">
        <f t="shared" si="736"/>
        <v>2</v>
      </c>
      <c r="F1898" s="275">
        <f t="shared" si="737"/>
        <v>46798.5</v>
      </c>
      <c r="G1898" s="120">
        <f t="shared" si="738"/>
        <v>24337</v>
      </c>
      <c r="H1898" s="245">
        <f t="shared" si="739"/>
        <v>1</v>
      </c>
      <c r="I1898" s="121">
        <f t="shared" si="740"/>
        <v>1.0920000000000001</v>
      </c>
      <c r="J1898" s="121">
        <f t="shared" si="741"/>
        <v>1.0920000000000001</v>
      </c>
      <c r="K1898" s="120">
        <f t="shared" si="742"/>
        <v>0</v>
      </c>
      <c r="L1898" s="120">
        <f t="shared" si="743"/>
        <v>0</v>
      </c>
      <c r="M1898" s="246">
        <f t="shared" si="744"/>
        <v>0</v>
      </c>
      <c r="N1898" s="121">
        <f t="shared" si="745"/>
        <v>1.0920000000000001</v>
      </c>
      <c r="O1898" s="246">
        <f t="shared" si="746"/>
        <v>0.90500000000000003</v>
      </c>
      <c r="P1898" s="121">
        <f t="shared" si="747"/>
        <v>0</v>
      </c>
      <c r="Q1898" s="121">
        <f t="shared" si="748"/>
        <v>0</v>
      </c>
      <c r="R1898" s="121">
        <f t="shared" si="749"/>
        <v>1</v>
      </c>
      <c r="S1898" s="121" t="str">
        <f t="shared" si="750"/>
        <v/>
      </c>
      <c r="T1898" s="121" t="str">
        <f t="shared" si="751"/>
        <v/>
      </c>
      <c r="U1898" s="121">
        <f t="shared" si="752"/>
        <v>1.0920000000000001</v>
      </c>
    </row>
    <row r="1899" spans="1:21" x14ac:dyDescent="0.3">
      <c r="A1899" s="187">
        <v>39</v>
      </c>
      <c r="B1899" s="242">
        <f t="shared" si="753"/>
        <v>46813</v>
      </c>
      <c r="C1899" s="243">
        <f t="shared" si="734"/>
        <v>46843</v>
      </c>
      <c r="D1899" s="120">
        <f t="shared" si="735"/>
        <v>31</v>
      </c>
      <c r="E1899" s="120">
        <f t="shared" si="736"/>
        <v>3</v>
      </c>
      <c r="F1899" s="275">
        <f t="shared" si="737"/>
        <v>46828.5</v>
      </c>
      <c r="G1899" s="120">
        <f t="shared" si="738"/>
        <v>24338</v>
      </c>
      <c r="H1899" s="245">
        <f t="shared" si="739"/>
        <v>1</v>
      </c>
      <c r="I1899" s="121">
        <f t="shared" si="740"/>
        <v>1.0920000000000001</v>
      </c>
      <c r="J1899" s="121">
        <f t="shared" si="741"/>
        <v>1.0920000000000001</v>
      </c>
      <c r="K1899" s="120">
        <f t="shared" si="742"/>
        <v>0</v>
      </c>
      <c r="L1899" s="120">
        <f t="shared" si="743"/>
        <v>0</v>
      </c>
      <c r="M1899" s="246">
        <f t="shared" si="744"/>
        <v>0</v>
      </c>
      <c r="N1899" s="121">
        <f t="shared" si="745"/>
        <v>1.0920000000000001</v>
      </c>
      <c r="O1899" s="246">
        <f t="shared" si="746"/>
        <v>0.90500000000000003</v>
      </c>
      <c r="P1899" s="121">
        <f t="shared" si="747"/>
        <v>0</v>
      </c>
      <c r="Q1899" s="121">
        <f t="shared" si="748"/>
        <v>0</v>
      </c>
      <c r="R1899" s="121">
        <f t="shared" si="749"/>
        <v>1</v>
      </c>
      <c r="S1899" s="121" t="str">
        <f t="shared" si="750"/>
        <v/>
      </c>
      <c r="T1899" s="121" t="str">
        <f t="shared" si="751"/>
        <v/>
      </c>
      <c r="U1899" s="121">
        <f t="shared" si="752"/>
        <v>1.0920000000000001</v>
      </c>
    </row>
    <row r="1900" spans="1:21" x14ac:dyDescent="0.3">
      <c r="A1900" s="187">
        <v>40</v>
      </c>
      <c r="B1900" s="242">
        <f t="shared" si="753"/>
        <v>46844</v>
      </c>
      <c r="C1900" s="243">
        <f t="shared" si="734"/>
        <v>46873</v>
      </c>
      <c r="D1900" s="120">
        <f t="shared" si="735"/>
        <v>30</v>
      </c>
      <c r="E1900" s="120">
        <f t="shared" si="736"/>
        <v>4</v>
      </c>
      <c r="F1900" s="275">
        <f t="shared" si="737"/>
        <v>46859</v>
      </c>
      <c r="G1900" s="120">
        <f t="shared" si="738"/>
        <v>24339</v>
      </c>
      <c r="H1900" s="245">
        <f t="shared" si="739"/>
        <v>1</v>
      </c>
      <c r="I1900" s="121">
        <f t="shared" si="740"/>
        <v>1.0920000000000001</v>
      </c>
      <c r="J1900" s="121">
        <f t="shared" si="741"/>
        <v>1.0920000000000001</v>
      </c>
      <c r="K1900" s="120">
        <f t="shared" si="742"/>
        <v>0</v>
      </c>
      <c r="L1900" s="120">
        <f t="shared" si="743"/>
        <v>0</v>
      </c>
      <c r="M1900" s="246">
        <f t="shared" si="744"/>
        <v>0</v>
      </c>
      <c r="N1900" s="121">
        <f t="shared" si="745"/>
        <v>1.0920000000000001</v>
      </c>
      <c r="O1900" s="246">
        <f t="shared" si="746"/>
        <v>0.90500000000000003</v>
      </c>
      <c r="P1900" s="121">
        <f t="shared" si="747"/>
        <v>0</v>
      </c>
      <c r="Q1900" s="121">
        <f t="shared" si="748"/>
        <v>0</v>
      </c>
      <c r="R1900" s="121">
        <f t="shared" si="749"/>
        <v>1</v>
      </c>
      <c r="S1900" s="121" t="str">
        <f t="shared" si="750"/>
        <v/>
      </c>
      <c r="T1900" s="121" t="str">
        <f t="shared" si="751"/>
        <v/>
      </c>
      <c r="U1900" s="121">
        <f t="shared" si="752"/>
        <v>1.0920000000000001</v>
      </c>
    </row>
    <row r="1901" spans="1:21" x14ac:dyDescent="0.3">
      <c r="A1901" s="187">
        <v>41</v>
      </c>
      <c r="B1901" s="242">
        <f t="shared" si="753"/>
        <v>46874</v>
      </c>
      <c r="C1901" s="243">
        <f t="shared" si="734"/>
        <v>46904</v>
      </c>
      <c r="D1901" s="120">
        <f t="shared" si="735"/>
        <v>31</v>
      </c>
      <c r="E1901" s="120">
        <f t="shared" si="736"/>
        <v>5</v>
      </c>
      <c r="F1901" s="275">
        <f t="shared" si="737"/>
        <v>46889.5</v>
      </c>
      <c r="G1901" s="120">
        <f t="shared" si="738"/>
        <v>24340</v>
      </c>
      <c r="H1901" s="245">
        <f t="shared" si="739"/>
        <v>1</v>
      </c>
      <c r="I1901" s="121">
        <f t="shared" si="740"/>
        <v>1.0920000000000001</v>
      </c>
      <c r="J1901" s="121">
        <f t="shared" si="741"/>
        <v>1.0920000000000001</v>
      </c>
      <c r="K1901" s="120">
        <f t="shared" si="742"/>
        <v>0</v>
      </c>
      <c r="L1901" s="120">
        <f t="shared" si="743"/>
        <v>0</v>
      </c>
      <c r="M1901" s="246">
        <f t="shared" si="744"/>
        <v>0</v>
      </c>
      <c r="N1901" s="121">
        <f t="shared" si="745"/>
        <v>1.0920000000000001</v>
      </c>
      <c r="O1901" s="246">
        <f t="shared" si="746"/>
        <v>0.90500000000000003</v>
      </c>
      <c r="P1901" s="121">
        <f t="shared" si="747"/>
        <v>0</v>
      </c>
      <c r="Q1901" s="121">
        <f t="shared" si="748"/>
        <v>0</v>
      </c>
      <c r="R1901" s="121">
        <f t="shared" si="749"/>
        <v>1</v>
      </c>
      <c r="S1901" s="121" t="str">
        <f t="shared" si="750"/>
        <v/>
      </c>
      <c r="T1901" s="121" t="str">
        <f t="shared" si="751"/>
        <v/>
      </c>
      <c r="U1901" s="121">
        <f t="shared" si="752"/>
        <v>1.0920000000000001</v>
      </c>
    </row>
    <row r="1902" spans="1:21" x14ac:dyDescent="0.3">
      <c r="A1902" s="187">
        <v>42</v>
      </c>
      <c r="B1902" s="242">
        <f t="shared" si="753"/>
        <v>46905</v>
      </c>
      <c r="C1902" s="243">
        <f t="shared" si="734"/>
        <v>46934</v>
      </c>
      <c r="D1902" s="120">
        <f t="shared" si="735"/>
        <v>30</v>
      </c>
      <c r="E1902" s="120">
        <f t="shared" si="736"/>
        <v>6</v>
      </c>
      <c r="F1902" s="275">
        <f t="shared" si="737"/>
        <v>46920</v>
      </c>
      <c r="G1902" s="120">
        <f t="shared" si="738"/>
        <v>24341</v>
      </c>
      <c r="H1902" s="245">
        <f t="shared" si="739"/>
        <v>1</v>
      </c>
      <c r="I1902" s="121">
        <f t="shared" si="740"/>
        <v>1.0920000000000001</v>
      </c>
      <c r="J1902" s="121">
        <f t="shared" si="741"/>
        <v>1.0920000000000001</v>
      </c>
      <c r="K1902" s="120">
        <f t="shared" si="742"/>
        <v>0</v>
      </c>
      <c r="L1902" s="120">
        <f t="shared" si="743"/>
        <v>0</v>
      </c>
      <c r="M1902" s="246">
        <f t="shared" si="744"/>
        <v>0</v>
      </c>
      <c r="N1902" s="121">
        <f t="shared" si="745"/>
        <v>1.0920000000000001</v>
      </c>
      <c r="O1902" s="246">
        <f t="shared" si="746"/>
        <v>0.90500000000000003</v>
      </c>
      <c r="P1902" s="121">
        <f t="shared" si="747"/>
        <v>0</v>
      </c>
      <c r="Q1902" s="121">
        <f t="shared" si="748"/>
        <v>0</v>
      </c>
      <c r="R1902" s="121">
        <f t="shared" si="749"/>
        <v>1</v>
      </c>
      <c r="S1902" s="121" t="str">
        <f t="shared" si="750"/>
        <v/>
      </c>
      <c r="T1902" s="121" t="str">
        <f t="shared" si="751"/>
        <v/>
      </c>
      <c r="U1902" s="121">
        <f t="shared" si="752"/>
        <v>1.0920000000000001</v>
      </c>
    </row>
    <row r="1903" spans="1:21" x14ac:dyDescent="0.3">
      <c r="A1903" s="187">
        <v>43</v>
      </c>
      <c r="B1903" s="242">
        <f t="shared" si="753"/>
        <v>46935</v>
      </c>
      <c r="C1903" s="243">
        <f t="shared" si="734"/>
        <v>46965</v>
      </c>
      <c r="D1903" s="120">
        <f t="shared" si="735"/>
        <v>31</v>
      </c>
      <c r="E1903" s="120">
        <f t="shared" si="736"/>
        <v>7</v>
      </c>
      <c r="F1903" s="275">
        <f t="shared" si="737"/>
        <v>46950.5</v>
      </c>
      <c r="G1903" s="120">
        <f t="shared" si="738"/>
        <v>24342</v>
      </c>
      <c r="H1903" s="245">
        <f t="shared" si="739"/>
        <v>1</v>
      </c>
      <c r="I1903" s="121">
        <f t="shared" si="740"/>
        <v>1.0920000000000001</v>
      </c>
      <c r="J1903" s="121">
        <f t="shared" si="741"/>
        <v>1.0920000000000001</v>
      </c>
      <c r="K1903" s="120">
        <f t="shared" si="742"/>
        <v>0</v>
      </c>
      <c r="L1903" s="120">
        <f t="shared" si="743"/>
        <v>0</v>
      </c>
      <c r="M1903" s="246">
        <f t="shared" si="744"/>
        <v>0</v>
      </c>
      <c r="N1903" s="121">
        <f t="shared" si="745"/>
        <v>1.0920000000000001</v>
      </c>
      <c r="O1903" s="246">
        <f t="shared" si="746"/>
        <v>0.90500000000000003</v>
      </c>
      <c r="P1903" s="121">
        <f t="shared" si="747"/>
        <v>0</v>
      </c>
      <c r="Q1903" s="121">
        <f t="shared" si="748"/>
        <v>0</v>
      </c>
      <c r="R1903" s="121">
        <f t="shared" si="749"/>
        <v>0.91666666666666663</v>
      </c>
      <c r="S1903" s="121" t="str">
        <f t="shared" si="750"/>
        <v/>
      </c>
      <c r="T1903" s="121" t="str">
        <f t="shared" si="751"/>
        <v/>
      </c>
      <c r="U1903" s="121">
        <f t="shared" si="752"/>
        <v>1.0920000000000001</v>
      </c>
    </row>
    <row r="1904" spans="1:21" x14ac:dyDescent="0.3">
      <c r="A1904" s="187">
        <v>44</v>
      </c>
      <c r="B1904" s="242">
        <f t="shared" si="753"/>
        <v>46966</v>
      </c>
      <c r="C1904" s="243">
        <f t="shared" si="734"/>
        <v>46996</v>
      </c>
      <c r="D1904" s="120">
        <f t="shared" si="735"/>
        <v>31</v>
      </c>
      <c r="E1904" s="120">
        <f t="shared" si="736"/>
        <v>8</v>
      </c>
      <c r="F1904" s="275">
        <f t="shared" si="737"/>
        <v>46981.5</v>
      </c>
      <c r="G1904" s="120">
        <f t="shared" si="738"/>
        <v>24343</v>
      </c>
      <c r="H1904" s="245">
        <f t="shared" si="739"/>
        <v>1</v>
      </c>
      <c r="I1904" s="121">
        <f t="shared" si="740"/>
        <v>1.0920000000000001</v>
      </c>
      <c r="J1904" s="121">
        <f t="shared" si="741"/>
        <v>1.0920000000000001</v>
      </c>
      <c r="K1904" s="120">
        <f t="shared" si="742"/>
        <v>0</v>
      </c>
      <c r="L1904" s="120">
        <f t="shared" si="743"/>
        <v>0</v>
      </c>
      <c r="M1904" s="246">
        <f t="shared" si="744"/>
        <v>0</v>
      </c>
      <c r="N1904" s="121">
        <f t="shared" si="745"/>
        <v>1.0920000000000001</v>
      </c>
      <c r="O1904" s="246">
        <f t="shared" si="746"/>
        <v>0.90500000000000003</v>
      </c>
      <c r="P1904" s="121">
        <f t="shared" si="747"/>
        <v>0</v>
      </c>
      <c r="Q1904" s="121">
        <f t="shared" si="748"/>
        <v>0</v>
      </c>
      <c r="R1904" s="121">
        <f t="shared" si="749"/>
        <v>0.75</v>
      </c>
      <c r="S1904" s="121" t="str">
        <f t="shared" si="750"/>
        <v/>
      </c>
      <c r="T1904" s="121" t="str">
        <f t="shared" si="751"/>
        <v/>
      </c>
      <c r="U1904" s="121">
        <f t="shared" si="752"/>
        <v>1.0920000000000001</v>
      </c>
    </row>
    <row r="1905" spans="1:21" x14ac:dyDescent="0.3">
      <c r="A1905" s="187">
        <v>45</v>
      </c>
      <c r="B1905" s="242">
        <f t="shared" si="753"/>
        <v>46997</v>
      </c>
      <c r="C1905" s="243">
        <f t="shared" si="734"/>
        <v>47026</v>
      </c>
      <c r="D1905" s="120">
        <f t="shared" si="735"/>
        <v>30</v>
      </c>
      <c r="E1905" s="120">
        <f t="shared" si="736"/>
        <v>9</v>
      </c>
      <c r="F1905" s="275">
        <f t="shared" si="737"/>
        <v>47012</v>
      </c>
      <c r="G1905" s="120">
        <f t="shared" si="738"/>
        <v>24344</v>
      </c>
      <c r="H1905" s="245">
        <f t="shared" si="739"/>
        <v>1</v>
      </c>
      <c r="I1905" s="121">
        <f t="shared" si="740"/>
        <v>1.0920000000000001</v>
      </c>
      <c r="J1905" s="121">
        <f t="shared" si="741"/>
        <v>1.0920000000000001</v>
      </c>
      <c r="K1905" s="120">
        <f t="shared" si="742"/>
        <v>0</v>
      </c>
      <c r="L1905" s="120">
        <f t="shared" si="743"/>
        <v>0</v>
      </c>
      <c r="M1905" s="246">
        <f t="shared" si="744"/>
        <v>0</v>
      </c>
      <c r="N1905" s="121">
        <f t="shared" si="745"/>
        <v>1.0920000000000001</v>
      </c>
      <c r="O1905" s="246">
        <f t="shared" si="746"/>
        <v>0.90500000000000003</v>
      </c>
      <c r="P1905" s="121">
        <f t="shared" si="747"/>
        <v>0</v>
      </c>
      <c r="Q1905" s="121">
        <f t="shared" si="748"/>
        <v>0</v>
      </c>
      <c r="R1905" s="121">
        <f t="shared" si="749"/>
        <v>0.58333333333333337</v>
      </c>
      <c r="S1905" s="121" t="str">
        <f t="shared" si="750"/>
        <v/>
      </c>
      <c r="T1905" s="121" t="str">
        <f t="shared" si="751"/>
        <v/>
      </c>
      <c r="U1905" s="121">
        <f t="shared" si="752"/>
        <v>1.0920000000000001</v>
      </c>
    </row>
    <row r="1906" spans="1:21" x14ac:dyDescent="0.3">
      <c r="A1906" s="187">
        <v>46</v>
      </c>
      <c r="B1906" s="242">
        <f t="shared" si="753"/>
        <v>47027</v>
      </c>
      <c r="C1906" s="243">
        <f t="shared" si="734"/>
        <v>47057</v>
      </c>
      <c r="D1906" s="120">
        <f t="shared" si="735"/>
        <v>31</v>
      </c>
      <c r="E1906" s="120">
        <f t="shared" si="736"/>
        <v>10</v>
      </c>
      <c r="F1906" s="275">
        <f t="shared" si="737"/>
        <v>47042.5</v>
      </c>
      <c r="G1906" s="120">
        <f t="shared" si="738"/>
        <v>24345</v>
      </c>
      <c r="H1906" s="245">
        <f t="shared" si="739"/>
        <v>1</v>
      </c>
      <c r="I1906" s="121">
        <f t="shared" si="740"/>
        <v>1.0920000000000001</v>
      </c>
      <c r="J1906" s="121">
        <f t="shared" si="741"/>
        <v>1.0920000000000001</v>
      </c>
      <c r="K1906" s="120">
        <f t="shared" si="742"/>
        <v>0</v>
      </c>
      <c r="L1906" s="120">
        <f t="shared" si="743"/>
        <v>0</v>
      </c>
      <c r="M1906" s="246">
        <f t="shared" si="744"/>
        <v>0</v>
      </c>
      <c r="N1906" s="121">
        <f t="shared" si="745"/>
        <v>1.0920000000000001</v>
      </c>
      <c r="O1906" s="246">
        <f t="shared" si="746"/>
        <v>0.90500000000000003</v>
      </c>
      <c r="P1906" s="121">
        <f t="shared" si="747"/>
        <v>0</v>
      </c>
      <c r="Q1906" s="121">
        <f t="shared" si="748"/>
        <v>0</v>
      </c>
      <c r="R1906" s="121">
        <f t="shared" si="749"/>
        <v>0.41666666666666669</v>
      </c>
      <c r="S1906" s="121" t="str">
        <f t="shared" si="750"/>
        <v/>
      </c>
      <c r="T1906" s="121" t="str">
        <f t="shared" si="751"/>
        <v/>
      </c>
      <c r="U1906" s="121">
        <f t="shared" si="752"/>
        <v>1.0920000000000001</v>
      </c>
    </row>
    <row r="1907" spans="1:21" x14ac:dyDescent="0.3">
      <c r="A1907" s="187">
        <v>47</v>
      </c>
      <c r="B1907" s="242">
        <f t="shared" si="753"/>
        <v>47058</v>
      </c>
      <c r="C1907" s="243">
        <f t="shared" si="734"/>
        <v>47087</v>
      </c>
      <c r="D1907" s="120">
        <f t="shared" si="735"/>
        <v>30</v>
      </c>
      <c r="E1907" s="120">
        <f t="shared" si="736"/>
        <v>11</v>
      </c>
      <c r="F1907" s="275">
        <f t="shared" si="737"/>
        <v>47073</v>
      </c>
      <c r="G1907" s="120">
        <f t="shared" si="738"/>
        <v>24346</v>
      </c>
      <c r="H1907" s="245">
        <f t="shared" si="739"/>
        <v>1</v>
      </c>
      <c r="I1907" s="121">
        <f t="shared" si="740"/>
        <v>1.0920000000000001</v>
      </c>
      <c r="J1907" s="121">
        <f t="shared" si="741"/>
        <v>1.0920000000000001</v>
      </c>
      <c r="K1907" s="120">
        <f t="shared" si="742"/>
        <v>0</v>
      </c>
      <c r="L1907" s="120">
        <f t="shared" si="743"/>
        <v>0</v>
      </c>
      <c r="M1907" s="246">
        <f t="shared" si="744"/>
        <v>0</v>
      </c>
      <c r="N1907" s="121">
        <f t="shared" si="745"/>
        <v>1.0920000000000001</v>
      </c>
      <c r="O1907" s="246">
        <f t="shared" si="746"/>
        <v>0.90500000000000003</v>
      </c>
      <c r="P1907" s="121">
        <f t="shared" si="747"/>
        <v>0</v>
      </c>
      <c r="Q1907" s="121">
        <f t="shared" si="748"/>
        <v>0</v>
      </c>
      <c r="R1907" s="121">
        <f t="shared" si="749"/>
        <v>0.25</v>
      </c>
      <c r="S1907" s="121" t="str">
        <f t="shared" si="750"/>
        <v/>
      </c>
      <c r="T1907" s="121" t="str">
        <f t="shared" si="751"/>
        <v/>
      </c>
      <c r="U1907" s="121">
        <f t="shared" si="752"/>
        <v>1.0920000000000001</v>
      </c>
    </row>
    <row r="1908" spans="1:21" x14ac:dyDescent="0.3">
      <c r="A1908" s="187">
        <v>48</v>
      </c>
      <c r="B1908" s="242">
        <f t="shared" si="753"/>
        <v>47088</v>
      </c>
      <c r="C1908" s="243">
        <f t="shared" si="734"/>
        <v>47118</v>
      </c>
      <c r="D1908" s="120">
        <f t="shared" si="735"/>
        <v>31</v>
      </c>
      <c r="E1908" s="120">
        <f t="shared" si="736"/>
        <v>12</v>
      </c>
      <c r="F1908" s="275">
        <f t="shared" si="737"/>
        <v>47103.5</v>
      </c>
      <c r="G1908" s="120">
        <f t="shared" si="738"/>
        <v>24347</v>
      </c>
      <c r="H1908" s="245">
        <f t="shared" si="739"/>
        <v>1</v>
      </c>
      <c r="I1908" s="121">
        <f t="shared" si="740"/>
        <v>1.0920000000000001</v>
      </c>
      <c r="J1908" s="121">
        <f t="shared" si="741"/>
        <v>1.0920000000000001</v>
      </c>
      <c r="K1908" s="120">
        <f t="shared" si="742"/>
        <v>0</v>
      </c>
      <c r="L1908" s="120">
        <f t="shared" si="743"/>
        <v>0</v>
      </c>
      <c r="M1908" s="246">
        <f t="shared" si="744"/>
        <v>0</v>
      </c>
      <c r="N1908" s="121">
        <f t="shared" si="745"/>
        <v>1.0920000000000001</v>
      </c>
      <c r="O1908" s="246">
        <f t="shared" si="746"/>
        <v>0.90500000000000003</v>
      </c>
      <c r="P1908" s="121">
        <f t="shared" si="747"/>
        <v>0</v>
      </c>
      <c r="Q1908" s="121">
        <f t="shared" si="748"/>
        <v>0</v>
      </c>
      <c r="R1908" s="121">
        <f t="shared" si="749"/>
        <v>8.3333333333333329E-2</v>
      </c>
      <c r="S1908" s="121" t="str">
        <f t="shared" si="750"/>
        <v/>
      </c>
      <c r="T1908" s="121" t="str">
        <f t="shared" si="751"/>
        <v/>
      </c>
      <c r="U1908" s="121">
        <f t="shared" si="752"/>
        <v>1.0920000000000001</v>
      </c>
    </row>
    <row r="1909" spans="1:21" x14ac:dyDescent="0.3">
      <c r="A1909" s="6" t="s">
        <v>1651</v>
      </c>
      <c r="B1909" s="73">
        <f>EXP(SUMPRODUCT((rl_key=$A$1858)*(rl_cons="Y")*rl_ln1p))</f>
        <v>1.05</v>
      </c>
      <c r="C1909" s="73">
        <f>SUMPRODUCT($H$1861:$H$1908,$P$1861:$P$1908,$U$1861:$U$1908)/SUMPRODUCT($H$1861:$H$1908,$P$1861:$P$1908)</f>
        <v>1.003125</v>
      </c>
      <c r="D1909" s="73">
        <f>SUMPRODUCT($H$1861:$H$1908,$Q$1861:$Q$1908,$U$1861:$U$1908)/SUMPRODUCT($H$1861:$H$1908,$Q$1861:$Q$1908)</f>
        <v>1.0678750000000001</v>
      </c>
      <c r="E1909" s="73">
        <f>SUMPRODUCT($H$1861:$H$1908,$R$1861:$R$1908,$U$1861:$U$1908)/SUMPRODUCT($H$1861:$H$1908,$R$1861:$R$1908)</f>
        <v>1.0920000000000003</v>
      </c>
      <c r="F1909" s="224">
        <f>SUMPRODUCT($H$1861:$H$1908,$Q$1861:$Q$1908,$O$1861:$O$1908)/SUMPRODUCT($H$1861:$H$1908,$Q$1861:$Q$1908)</f>
        <v>0.9080037381473377</v>
      </c>
      <c r="G1909" s="224">
        <f>SUMPRODUCT($H$1861:$H$1908,$R$1861:$R$1908,$O$1861:$O$1908)/SUMPRODUCT($H$1861:$H$1908,$R$1861:$R$1908)</f>
        <v>0.90516988815949428</v>
      </c>
      <c r="H1909" s="73">
        <f>SUMPRODUCT($H$1885:$H$1896,$N$1885:$N$1896/$N$1873:$N$1884)/SUM($H$1885:$H$1896)</f>
        <v>1.0685000000000002</v>
      </c>
      <c r="I1909" s="73">
        <f>SUMPRODUCT($H$1885:$H$1896,$O$1885:$O$1896/$O$1873:$O$1884)/SUM($H$1885:$H$1896)</f>
        <v>0.99561641381999111</v>
      </c>
      <c r="J1909" s="73">
        <f>IF($O$1858=1,SUMPRODUCT($H$1885:$H$1896,$N$1885:$N$1896/$N$1873:$N$1884*$O$1885:$O$1896/$O$1873:$O$1884)/SUM($H$1885:$H$1896),$H1909)</f>
        <v>1.0638161566825397</v>
      </c>
      <c r="K1909" s="73">
        <f>SUMPRODUCT($H$1861:$H$1908,$Q$1861:$Q$1908,$N$1861:$N$1908)/SUMPRODUCT($H$1861:$H$1908,$Q$1861:$Q$1908)</f>
        <v>1.0678750000000001</v>
      </c>
      <c r="L1909" s="73">
        <f>SUMPRODUCT($H$1861:$H$1908,$R$1861:$R$1908,$N$1861:$N$1908)/SUMPRODUCT($H$1861:$H$1908,$R$1861:$R$1908)</f>
        <v>1.0920000000000003</v>
      </c>
    </row>
    <row r="1912" spans="1:21" x14ac:dyDescent="0.3">
      <c r="A1912" s="6" t="str">
        <f>INDEX(lr_key,35)</f>
        <v>MM|NC</v>
      </c>
      <c r="B1912" s="6" t="str">
        <f>INDEX(lr_state,35)</f>
        <v>NC</v>
      </c>
      <c r="C1912" s="75">
        <f>nr_TermMonths</f>
        <v>6</v>
      </c>
      <c r="D1912" s="75">
        <f>IF(COUNTIF(se_state,$B1912)=0,0,MATCH($B1912,se_state,0))</f>
        <v>0</v>
      </c>
      <c r="E1912" s="70">
        <f>IF($D1912=0,0,INDEX(se_sum,$D1912))</f>
        <v>0</v>
      </c>
      <c r="F1912" s="224">
        <f>IF(N(INDEX(lr_mind,35))=0,1,INDEX(lr_mind,35))</f>
        <v>0.92</v>
      </c>
      <c r="G1912" s="224">
        <f>IF(N(INDEX(lr_m0,35))=0,1,INDEX(lr_m0,35))</f>
        <v>0.91</v>
      </c>
      <c r="H1912" s="74">
        <f>IF(N(INDEX(lr_m0asof,35))=0,DATE(nr_PlanYear-1,10,1),INDEX(lr_m0asof,35))</f>
        <v>46295</v>
      </c>
      <c r="I1912" s="224">
        <f>IF(N(INDEX(lr_m1,35))=0,1,INDEX(lr_m1,35))</f>
        <v>0.92</v>
      </c>
      <c r="J1912" s="224">
        <f>INDEX(lr_mprior,35)</f>
        <v>0</v>
      </c>
      <c r="K1912" s="224">
        <f>INDEX(lr_m2,35)</f>
        <v>0</v>
      </c>
      <c r="L1912" s="6" t="b">
        <f>NOT(ISBLANK(INDEX(lr_netp,35)))</f>
        <v>0</v>
      </c>
      <c r="M1912" s="72">
        <f>N(INDEX(lr_netp,35))</f>
        <v>0</v>
      </c>
      <c r="N1912" s="72">
        <f>IF(ISBLANK(INDEX(lr_netp1,35)),$M$1912,N(INDEX(lr_netp1,35)))</f>
        <v>0</v>
      </c>
      <c r="O1912" s="75">
        <f>IF(AND(nr_ModAdjMaster="ON",INDEX(lr_modadj,35)="ON"),1,0)</f>
        <v>1</v>
      </c>
    </row>
    <row r="1913" spans="1:21" x14ac:dyDescent="0.3">
      <c r="A1913" s="6">
        <f>EDATE($H$1912,-12)+1</f>
        <v>45931</v>
      </c>
      <c r="B1913" s="6">
        <f>$H$1912+1</f>
        <v>46296</v>
      </c>
      <c r="C1913" s="6">
        <f>DATE(nr_PlanYear,12,31)+1</f>
        <v>46753</v>
      </c>
      <c r="D1913" s="6">
        <f>DATE(nr_PlanYear+1,12,31)+1</f>
        <v>47119</v>
      </c>
      <c r="E1913" s="6">
        <f>IF(N($J$1912)=0,$F$1913-($G$1913-$F$1913)/($C$1913-$B$1913)*($B$1913-$A$1913),$J$1912)</f>
        <v>0.9020131291028447</v>
      </c>
      <c r="F1913" s="6">
        <f>$G$1912</f>
        <v>0.91</v>
      </c>
      <c r="G1913" s="6">
        <f>$I$1912</f>
        <v>0.92</v>
      </c>
      <c r="H1913" s="6">
        <f>IF(N($K$1912)=0,$I$1912,$K$1912)</f>
        <v>0.92</v>
      </c>
      <c r="I1913" s="6">
        <f>($F$1913-$E$1913)/($B$1913-$A$1913)</f>
        <v>2.1881838074398162E-5</v>
      </c>
      <c r="J1913" s="6">
        <f>($G$1913-$F$1913)/($C$1913-$B$1913)</f>
        <v>2.188183807439827E-5</v>
      </c>
      <c r="K1913" s="6">
        <f>($H$1913-$G$1913)/($D$1913-$C$1913)</f>
        <v>0</v>
      </c>
    </row>
    <row r="1914" spans="1:21" ht="36" x14ac:dyDescent="0.3">
      <c r="A1914" s="58" t="s">
        <v>390</v>
      </c>
      <c r="B1914" s="58" t="s">
        <v>449</v>
      </c>
      <c r="C1914" s="58" t="s">
        <v>685</v>
      </c>
      <c r="D1914" s="58" t="s">
        <v>686</v>
      </c>
      <c r="E1914" s="58" t="s">
        <v>687</v>
      </c>
      <c r="F1914" s="58" t="s">
        <v>688</v>
      </c>
      <c r="G1914" s="58" t="s">
        <v>689</v>
      </c>
      <c r="H1914" s="58" t="s">
        <v>452</v>
      </c>
      <c r="I1914" s="58" t="s">
        <v>690</v>
      </c>
      <c r="J1914" s="58" t="s">
        <v>691</v>
      </c>
      <c r="K1914" s="58" t="s">
        <v>692</v>
      </c>
      <c r="L1914" s="58" t="s">
        <v>693</v>
      </c>
      <c r="M1914" s="58" t="s">
        <v>694</v>
      </c>
      <c r="N1914" s="58" t="s">
        <v>695</v>
      </c>
      <c r="O1914" s="58" t="s">
        <v>696</v>
      </c>
      <c r="P1914" s="58" t="s">
        <v>697</v>
      </c>
      <c r="Q1914" s="58" t="s">
        <v>698</v>
      </c>
      <c r="R1914" s="58" t="s">
        <v>699</v>
      </c>
      <c r="S1914" s="58" t="s">
        <v>700</v>
      </c>
      <c r="T1914" s="58" t="s">
        <v>701</v>
      </c>
      <c r="U1914" s="58" t="s">
        <v>702</v>
      </c>
    </row>
    <row r="1915" spans="1:21" x14ac:dyDescent="0.3">
      <c r="A1915" s="187">
        <v>1</v>
      </c>
      <c r="B1915" s="242">
        <f>DATE(nr_PlanYear-2,1,1)</f>
        <v>45658</v>
      </c>
      <c r="C1915" s="243">
        <f t="shared" ref="C1915:C1962" si="754">EOMONTH($B1915,0)</f>
        <v>45688</v>
      </c>
      <c r="D1915" s="120">
        <f t="shared" ref="D1915:D1962" si="755">$C1915-$B1915+1</f>
        <v>31</v>
      </c>
      <c r="E1915" s="120">
        <f t="shared" ref="E1915:E1962" si="756">MONTH($B1915)</f>
        <v>1</v>
      </c>
      <c r="F1915" s="275">
        <f t="shared" ref="F1915:F1962" si="757">($B1915+$C1915+1)/2</f>
        <v>45673.5</v>
      </c>
      <c r="G1915" s="120">
        <f t="shared" ref="G1915:G1962" si="758">YEAR($B1915)*12+MONTH($B1915)-1</f>
        <v>24300</v>
      </c>
      <c r="H1915" s="245">
        <f t="shared" ref="H1915:H1962" si="759">IF(OR(nr_SeasonOn="OFF",$D$1912=0,$E$1912=0),1,12*INDEX(se_block,$D$1912,$E1915)/$E$1912)</f>
        <v>1</v>
      </c>
      <c r="I1915" s="121">
        <f t="shared" ref="I1915:I1962" si="760">EXP(SUMPRODUCT((rl_eff&lt;$B1915)*(rl_key=$A$1912)*rl_ln1p))</f>
        <v>1</v>
      </c>
      <c r="J1915" s="121">
        <f t="shared" ref="J1915:J1962" si="761">EXP(SUMPRODUCT((rl_eff&lt;=$C1915)*(rl_key=$A$1912)*rl_ln1p))</f>
        <v>1</v>
      </c>
      <c r="K1915" s="120">
        <f t="shared" ref="K1915:K1962" si="762">COUNTIFS(rl_key,$A$1912,rl_eff,"&gt;="&amp;$B1915,rl_eff,"&lt;="&amp;$C1915)</f>
        <v>0</v>
      </c>
      <c r="L1915" s="120">
        <f t="shared" ref="L1915:L1962" si="763">SUMIFS(rl_daysafter,rl_key,$A$1912,rl_effmonth,$B1915,rl_first,1)</f>
        <v>0</v>
      </c>
      <c r="M1915" s="246">
        <f t="shared" ref="M1915:M1962" si="764">IF($K1915=0,0,MIN(1,$L1915/$D1915))</f>
        <v>0</v>
      </c>
      <c r="N1915" s="121">
        <f t="shared" ref="N1915:N1962" si="765">IF($K1915=0,$J1915,(1-$M1915)*$I1915+$M1915*$J1915)</f>
        <v>1</v>
      </c>
      <c r="O1915" s="246">
        <f t="shared" ref="O1915:O1962" si="766">IF($F1915&lt;$B$1913,$E$1913+$I$1913*($F1915-$A$1913),IF($F1915&lt;$C$1913,$F$1913+$J$1913*($F1915-$B$1913),$G$1913+$K$1913*($F1915-$C$1913)))</f>
        <v>0.89637855579868719</v>
      </c>
      <c r="P1915" s="121">
        <f t="shared" ref="P1915:P1962" si="767">MIN(1,MAX(0,(nr_MEndPm1-$G1915+0.5)/$C$1912))-MIN(1,MAX(0,(nr_MStartPm1-1-$G1915+0.5)/$C$1912))</f>
        <v>0</v>
      </c>
      <c r="Q1915" s="121">
        <f t="shared" ref="Q1915:Q1962" si="768">MIN(1,MAX(0,(nr_MEndP-$G1915+0.5)/$C$1912))-MIN(1,MAX(0,(nr_MStartP-1-$G1915+0.5)/$C$1912))</f>
        <v>0</v>
      </c>
      <c r="R1915" s="121">
        <f t="shared" ref="R1915:R1962" si="769">MIN(1,MAX(0,(nr_MEndP1-$G1915+0.5)/$C$1912))-MIN(1,MAX(0,(nr_MStartP1-1-$G1915+0.5)/$C$1912))</f>
        <v>0</v>
      </c>
      <c r="S1915" s="121" t="str">
        <f t="shared" ref="S1915:S1962" si="770">IF($L$1912,$N1915*IF($O$1912=1,$O1915/$F$1912,1),"")</f>
        <v/>
      </c>
      <c r="T1915" s="121" t="str">
        <f t="shared" ref="T1915:T1962" si="771">IF(NOT($L$1912),"",IF($G1915&lt;nr_MStartP,$S1915,$T1903*(1+IF($G1915&lt;nr_MStartP1,$M$1912,$N$1912))))</f>
        <v/>
      </c>
      <c r="U1915" s="121">
        <f t="shared" ref="U1915:U1962" si="772">IF($L$1912,$T1915,$N1915)</f>
        <v>1</v>
      </c>
    </row>
    <row r="1916" spans="1:21" x14ac:dyDescent="0.3">
      <c r="A1916" s="187">
        <v>2</v>
      </c>
      <c r="B1916" s="242">
        <f t="shared" ref="B1916:B1962" si="773">EDATE($B1915,1)</f>
        <v>45689</v>
      </c>
      <c r="C1916" s="243">
        <f t="shared" si="754"/>
        <v>45716</v>
      </c>
      <c r="D1916" s="120">
        <f t="shared" si="755"/>
        <v>28</v>
      </c>
      <c r="E1916" s="120">
        <f t="shared" si="756"/>
        <v>2</v>
      </c>
      <c r="F1916" s="275">
        <f t="shared" si="757"/>
        <v>45703</v>
      </c>
      <c r="G1916" s="120">
        <f t="shared" si="758"/>
        <v>24301</v>
      </c>
      <c r="H1916" s="245">
        <f t="shared" si="759"/>
        <v>1</v>
      </c>
      <c r="I1916" s="121">
        <f t="shared" si="760"/>
        <v>1</v>
      </c>
      <c r="J1916" s="121">
        <f t="shared" si="761"/>
        <v>1</v>
      </c>
      <c r="K1916" s="120">
        <f t="shared" si="762"/>
        <v>0</v>
      </c>
      <c r="L1916" s="120">
        <f t="shared" si="763"/>
        <v>0</v>
      </c>
      <c r="M1916" s="246">
        <f t="shared" si="764"/>
        <v>0</v>
      </c>
      <c r="N1916" s="121">
        <f t="shared" si="765"/>
        <v>1</v>
      </c>
      <c r="O1916" s="246">
        <f t="shared" si="766"/>
        <v>0.89702407002188189</v>
      </c>
      <c r="P1916" s="121">
        <f t="shared" si="767"/>
        <v>0</v>
      </c>
      <c r="Q1916" s="121">
        <f t="shared" si="768"/>
        <v>0</v>
      </c>
      <c r="R1916" s="121">
        <f t="shared" si="769"/>
        <v>0</v>
      </c>
      <c r="S1916" s="121" t="str">
        <f t="shared" si="770"/>
        <v/>
      </c>
      <c r="T1916" s="121" t="str">
        <f t="shared" si="771"/>
        <v/>
      </c>
      <c r="U1916" s="121">
        <f t="shared" si="772"/>
        <v>1</v>
      </c>
    </row>
    <row r="1917" spans="1:21" x14ac:dyDescent="0.3">
      <c r="A1917" s="187">
        <v>3</v>
      </c>
      <c r="B1917" s="242">
        <f t="shared" si="773"/>
        <v>45717</v>
      </c>
      <c r="C1917" s="243">
        <f t="shared" si="754"/>
        <v>45747</v>
      </c>
      <c r="D1917" s="120">
        <f t="shared" si="755"/>
        <v>31</v>
      </c>
      <c r="E1917" s="120">
        <f t="shared" si="756"/>
        <v>3</v>
      </c>
      <c r="F1917" s="275">
        <f t="shared" si="757"/>
        <v>45732.5</v>
      </c>
      <c r="G1917" s="120">
        <f t="shared" si="758"/>
        <v>24302</v>
      </c>
      <c r="H1917" s="245">
        <f t="shared" si="759"/>
        <v>1</v>
      </c>
      <c r="I1917" s="121">
        <f t="shared" si="760"/>
        <v>1</v>
      </c>
      <c r="J1917" s="121">
        <f t="shared" si="761"/>
        <v>1</v>
      </c>
      <c r="K1917" s="120">
        <f t="shared" si="762"/>
        <v>0</v>
      </c>
      <c r="L1917" s="120">
        <f t="shared" si="763"/>
        <v>0</v>
      </c>
      <c r="M1917" s="246">
        <f t="shared" si="764"/>
        <v>0</v>
      </c>
      <c r="N1917" s="121">
        <f t="shared" si="765"/>
        <v>1</v>
      </c>
      <c r="O1917" s="246">
        <f t="shared" si="766"/>
        <v>0.8976695842450767</v>
      </c>
      <c r="P1917" s="121">
        <f t="shared" si="767"/>
        <v>0</v>
      </c>
      <c r="Q1917" s="121">
        <f t="shared" si="768"/>
        <v>0</v>
      </c>
      <c r="R1917" s="121">
        <f t="shared" si="769"/>
        <v>0</v>
      </c>
      <c r="S1917" s="121" t="str">
        <f t="shared" si="770"/>
        <v/>
      </c>
      <c r="T1917" s="121" t="str">
        <f t="shared" si="771"/>
        <v/>
      </c>
      <c r="U1917" s="121">
        <f t="shared" si="772"/>
        <v>1</v>
      </c>
    </row>
    <row r="1918" spans="1:21" x14ac:dyDescent="0.3">
      <c r="A1918" s="187">
        <v>4</v>
      </c>
      <c r="B1918" s="242">
        <f t="shared" si="773"/>
        <v>45748</v>
      </c>
      <c r="C1918" s="243">
        <f t="shared" si="754"/>
        <v>45777</v>
      </c>
      <c r="D1918" s="120">
        <f t="shared" si="755"/>
        <v>30</v>
      </c>
      <c r="E1918" s="120">
        <f t="shared" si="756"/>
        <v>4</v>
      </c>
      <c r="F1918" s="275">
        <f t="shared" si="757"/>
        <v>45763</v>
      </c>
      <c r="G1918" s="120">
        <f t="shared" si="758"/>
        <v>24303</v>
      </c>
      <c r="H1918" s="245">
        <f t="shared" si="759"/>
        <v>1</v>
      </c>
      <c r="I1918" s="121">
        <f t="shared" si="760"/>
        <v>1</v>
      </c>
      <c r="J1918" s="121">
        <f t="shared" si="761"/>
        <v>1</v>
      </c>
      <c r="K1918" s="120">
        <f t="shared" si="762"/>
        <v>0</v>
      </c>
      <c r="L1918" s="120">
        <f t="shared" si="763"/>
        <v>0</v>
      </c>
      <c r="M1918" s="246">
        <f t="shared" si="764"/>
        <v>0</v>
      </c>
      <c r="N1918" s="121">
        <f t="shared" si="765"/>
        <v>1</v>
      </c>
      <c r="O1918" s="246">
        <f t="shared" si="766"/>
        <v>0.89833698030634579</v>
      </c>
      <c r="P1918" s="121">
        <f t="shared" si="767"/>
        <v>0</v>
      </c>
      <c r="Q1918" s="121">
        <f t="shared" si="768"/>
        <v>0</v>
      </c>
      <c r="R1918" s="121">
        <f t="shared" si="769"/>
        <v>0</v>
      </c>
      <c r="S1918" s="121" t="str">
        <f t="shared" si="770"/>
        <v/>
      </c>
      <c r="T1918" s="121" t="str">
        <f t="shared" si="771"/>
        <v/>
      </c>
      <c r="U1918" s="121">
        <f t="shared" si="772"/>
        <v>1</v>
      </c>
    </row>
    <row r="1919" spans="1:21" x14ac:dyDescent="0.3">
      <c r="A1919" s="187">
        <v>5</v>
      </c>
      <c r="B1919" s="242">
        <f t="shared" si="773"/>
        <v>45778</v>
      </c>
      <c r="C1919" s="243">
        <f t="shared" si="754"/>
        <v>45808</v>
      </c>
      <c r="D1919" s="120">
        <f t="shared" si="755"/>
        <v>31</v>
      </c>
      <c r="E1919" s="120">
        <f t="shared" si="756"/>
        <v>5</v>
      </c>
      <c r="F1919" s="275">
        <f t="shared" si="757"/>
        <v>45793.5</v>
      </c>
      <c r="G1919" s="120">
        <f t="shared" si="758"/>
        <v>24304</v>
      </c>
      <c r="H1919" s="245">
        <f t="shared" si="759"/>
        <v>1</v>
      </c>
      <c r="I1919" s="121">
        <f t="shared" si="760"/>
        <v>1</v>
      </c>
      <c r="J1919" s="121">
        <f t="shared" si="761"/>
        <v>1</v>
      </c>
      <c r="K1919" s="120">
        <f t="shared" si="762"/>
        <v>0</v>
      </c>
      <c r="L1919" s="120">
        <f t="shared" si="763"/>
        <v>0</v>
      </c>
      <c r="M1919" s="246">
        <f t="shared" si="764"/>
        <v>0</v>
      </c>
      <c r="N1919" s="121">
        <f t="shared" si="765"/>
        <v>1</v>
      </c>
      <c r="O1919" s="246">
        <f t="shared" si="766"/>
        <v>0.89900437636761499</v>
      </c>
      <c r="P1919" s="121">
        <f t="shared" si="767"/>
        <v>0</v>
      </c>
      <c r="Q1919" s="121">
        <f t="shared" si="768"/>
        <v>0</v>
      </c>
      <c r="R1919" s="121">
        <f t="shared" si="769"/>
        <v>0</v>
      </c>
      <c r="S1919" s="121" t="str">
        <f t="shared" si="770"/>
        <v/>
      </c>
      <c r="T1919" s="121" t="str">
        <f t="shared" si="771"/>
        <v/>
      </c>
      <c r="U1919" s="121">
        <f t="shared" si="772"/>
        <v>1</v>
      </c>
    </row>
    <row r="1920" spans="1:21" x14ac:dyDescent="0.3">
      <c r="A1920" s="187">
        <v>6</v>
      </c>
      <c r="B1920" s="242">
        <f t="shared" si="773"/>
        <v>45809</v>
      </c>
      <c r="C1920" s="243">
        <f t="shared" si="754"/>
        <v>45838</v>
      </c>
      <c r="D1920" s="120">
        <f t="shared" si="755"/>
        <v>30</v>
      </c>
      <c r="E1920" s="120">
        <f t="shared" si="756"/>
        <v>6</v>
      </c>
      <c r="F1920" s="275">
        <f t="shared" si="757"/>
        <v>45824</v>
      </c>
      <c r="G1920" s="120">
        <f t="shared" si="758"/>
        <v>24305</v>
      </c>
      <c r="H1920" s="245">
        <f t="shared" si="759"/>
        <v>1</v>
      </c>
      <c r="I1920" s="121">
        <f t="shared" si="760"/>
        <v>1</v>
      </c>
      <c r="J1920" s="121">
        <f t="shared" si="761"/>
        <v>1</v>
      </c>
      <c r="K1920" s="120">
        <f t="shared" si="762"/>
        <v>0</v>
      </c>
      <c r="L1920" s="120">
        <f t="shared" si="763"/>
        <v>0</v>
      </c>
      <c r="M1920" s="246">
        <f t="shared" si="764"/>
        <v>0</v>
      </c>
      <c r="N1920" s="121">
        <f t="shared" si="765"/>
        <v>1</v>
      </c>
      <c r="O1920" s="246">
        <f t="shared" si="766"/>
        <v>0.89967177242888408</v>
      </c>
      <c r="P1920" s="121">
        <f t="shared" si="767"/>
        <v>0</v>
      </c>
      <c r="Q1920" s="121">
        <f t="shared" si="768"/>
        <v>0</v>
      </c>
      <c r="R1920" s="121">
        <f t="shared" si="769"/>
        <v>0</v>
      </c>
      <c r="S1920" s="121" t="str">
        <f t="shared" si="770"/>
        <v/>
      </c>
      <c r="T1920" s="121" t="str">
        <f t="shared" si="771"/>
        <v/>
      </c>
      <c r="U1920" s="121">
        <f t="shared" si="772"/>
        <v>1</v>
      </c>
    </row>
    <row r="1921" spans="1:21" x14ac:dyDescent="0.3">
      <c r="A1921" s="187">
        <v>7</v>
      </c>
      <c r="B1921" s="242">
        <f t="shared" si="773"/>
        <v>45839</v>
      </c>
      <c r="C1921" s="243">
        <f t="shared" si="754"/>
        <v>45869</v>
      </c>
      <c r="D1921" s="120">
        <f t="shared" si="755"/>
        <v>31</v>
      </c>
      <c r="E1921" s="120">
        <f t="shared" si="756"/>
        <v>7</v>
      </c>
      <c r="F1921" s="275">
        <f t="shared" si="757"/>
        <v>45854.5</v>
      </c>
      <c r="G1921" s="120">
        <f t="shared" si="758"/>
        <v>24306</v>
      </c>
      <c r="H1921" s="245">
        <f t="shared" si="759"/>
        <v>1</v>
      </c>
      <c r="I1921" s="121">
        <f t="shared" si="760"/>
        <v>1</v>
      </c>
      <c r="J1921" s="121">
        <f t="shared" si="761"/>
        <v>1</v>
      </c>
      <c r="K1921" s="120">
        <f t="shared" si="762"/>
        <v>0</v>
      </c>
      <c r="L1921" s="120">
        <f t="shared" si="763"/>
        <v>0</v>
      </c>
      <c r="M1921" s="246">
        <f t="shared" si="764"/>
        <v>0</v>
      </c>
      <c r="N1921" s="121">
        <f t="shared" si="765"/>
        <v>1</v>
      </c>
      <c r="O1921" s="246">
        <f t="shared" si="766"/>
        <v>0.90033916849015327</v>
      </c>
      <c r="P1921" s="121">
        <f t="shared" si="767"/>
        <v>8.333333333333337E-2</v>
      </c>
      <c r="Q1921" s="121">
        <f t="shared" si="768"/>
        <v>0</v>
      </c>
      <c r="R1921" s="121">
        <f t="shared" si="769"/>
        <v>0</v>
      </c>
      <c r="S1921" s="121" t="str">
        <f t="shared" si="770"/>
        <v/>
      </c>
      <c r="T1921" s="121" t="str">
        <f t="shared" si="771"/>
        <v/>
      </c>
      <c r="U1921" s="121">
        <f t="shared" si="772"/>
        <v>1</v>
      </c>
    </row>
    <row r="1922" spans="1:21" x14ac:dyDescent="0.3">
      <c r="A1922" s="187">
        <v>8</v>
      </c>
      <c r="B1922" s="242">
        <f t="shared" si="773"/>
        <v>45870</v>
      </c>
      <c r="C1922" s="243">
        <f t="shared" si="754"/>
        <v>45900</v>
      </c>
      <c r="D1922" s="120">
        <f t="shared" si="755"/>
        <v>31</v>
      </c>
      <c r="E1922" s="120">
        <f t="shared" si="756"/>
        <v>8</v>
      </c>
      <c r="F1922" s="275">
        <f t="shared" si="757"/>
        <v>45885.5</v>
      </c>
      <c r="G1922" s="120">
        <f t="shared" si="758"/>
        <v>24307</v>
      </c>
      <c r="H1922" s="245">
        <f t="shared" si="759"/>
        <v>1</v>
      </c>
      <c r="I1922" s="121">
        <f t="shared" si="760"/>
        <v>1</v>
      </c>
      <c r="J1922" s="121">
        <f t="shared" si="761"/>
        <v>1</v>
      </c>
      <c r="K1922" s="120">
        <f t="shared" si="762"/>
        <v>0</v>
      </c>
      <c r="L1922" s="120">
        <f t="shared" si="763"/>
        <v>0</v>
      </c>
      <c r="M1922" s="246">
        <f t="shared" si="764"/>
        <v>0</v>
      </c>
      <c r="N1922" s="121">
        <f t="shared" si="765"/>
        <v>1</v>
      </c>
      <c r="O1922" s="246">
        <f t="shared" si="766"/>
        <v>0.90101750547045956</v>
      </c>
      <c r="P1922" s="121">
        <f t="shared" si="767"/>
        <v>0.25</v>
      </c>
      <c r="Q1922" s="121">
        <f t="shared" si="768"/>
        <v>0</v>
      </c>
      <c r="R1922" s="121">
        <f t="shared" si="769"/>
        <v>0</v>
      </c>
      <c r="S1922" s="121" t="str">
        <f t="shared" si="770"/>
        <v/>
      </c>
      <c r="T1922" s="121" t="str">
        <f t="shared" si="771"/>
        <v/>
      </c>
      <c r="U1922" s="121">
        <f t="shared" si="772"/>
        <v>1</v>
      </c>
    </row>
    <row r="1923" spans="1:21" x14ac:dyDescent="0.3">
      <c r="A1923" s="187">
        <v>9</v>
      </c>
      <c r="B1923" s="242">
        <f t="shared" si="773"/>
        <v>45901</v>
      </c>
      <c r="C1923" s="243">
        <f t="shared" si="754"/>
        <v>45930</v>
      </c>
      <c r="D1923" s="120">
        <f t="shared" si="755"/>
        <v>30</v>
      </c>
      <c r="E1923" s="120">
        <f t="shared" si="756"/>
        <v>9</v>
      </c>
      <c r="F1923" s="275">
        <f t="shared" si="757"/>
        <v>45916</v>
      </c>
      <c r="G1923" s="120">
        <f t="shared" si="758"/>
        <v>24308</v>
      </c>
      <c r="H1923" s="245">
        <f t="shared" si="759"/>
        <v>1</v>
      </c>
      <c r="I1923" s="121">
        <f t="shared" si="760"/>
        <v>1</v>
      </c>
      <c r="J1923" s="121">
        <f t="shared" si="761"/>
        <v>1</v>
      </c>
      <c r="K1923" s="120">
        <f t="shared" si="762"/>
        <v>0</v>
      </c>
      <c r="L1923" s="120">
        <f t="shared" si="763"/>
        <v>0</v>
      </c>
      <c r="M1923" s="246">
        <f t="shared" si="764"/>
        <v>0</v>
      </c>
      <c r="N1923" s="121">
        <f t="shared" si="765"/>
        <v>1</v>
      </c>
      <c r="O1923" s="246">
        <f t="shared" si="766"/>
        <v>0.90168490153172876</v>
      </c>
      <c r="P1923" s="121">
        <f t="shared" si="767"/>
        <v>0.41666666666666663</v>
      </c>
      <c r="Q1923" s="121">
        <f t="shared" si="768"/>
        <v>0</v>
      </c>
      <c r="R1923" s="121">
        <f t="shared" si="769"/>
        <v>0</v>
      </c>
      <c r="S1923" s="121" t="str">
        <f t="shared" si="770"/>
        <v/>
      </c>
      <c r="T1923" s="121" t="str">
        <f t="shared" si="771"/>
        <v/>
      </c>
      <c r="U1923" s="121">
        <f t="shared" si="772"/>
        <v>1</v>
      </c>
    </row>
    <row r="1924" spans="1:21" x14ac:dyDescent="0.3">
      <c r="A1924" s="187">
        <v>10</v>
      </c>
      <c r="B1924" s="242">
        <f t="shared" si="773"/>
        <v>45931</v>
      </c>
      <c r="C1924" s="243">
        <f t="shared" si="754"/>
        <v>45961</v>
      </c>
      <c r="D1924" s="120">
        <f t="shared" si="755"/>
        <v>31</v>
      </c>
      <c r="E1924" s="120">
        <f t="shared" si="756"/>
        <v>10</v>
      </c>
      <c r="F1924" s="275">
        <f t="shared" si="757"/>
        <v>45946.5</v>
      </c>
      <c r="G1924" s="120">
        <f t="shared" si="758"/>
        <v>24309</v>
      </c>
      <c r="H1924" s="245">
        <f t="shared" si="759"/>
        <v>1</v>
      </c>
      <c r="I1924" s="121">
        <f t="shared" si="760"/>
        <v>1</v>
      </c>
      <c r="J1924" s="121">
        <f t="shared" si="761"/>
        <v>1</v>
      </c>
      <c r="K1924" s="120">
        <f t="shared" si="762"/>
        <v>0</v>
      </c>
      <c r="L1924" s="120">
        <f t="shared" si="763"/>
        <v>0</v>
      </c>
      <c r="M1924" s="246">
        <f t="shared" si="764"/>
        <v>0</v>
      </c>
      <c r="N1924" s="121">
        <f t="shared" si="765"/>
        <v>1</v>
      </c>
      <c r="O1924" s="246">
        <f t="shared" si="766"/>
        <v>0.90235229759299784</v>
      </c>
      <c r="P1924" s="121">
        <f t="shared" si="767"/>
        <v>0.58333333333333326</v>
      </c>
      <c r="Q1924" s="121">
        <f t="shared" si="768"/>
        <v>0</v>
      </c>
      <c r="R1924" s="121">
        <f t="shared" si="769"/>
        <v>0</v>
      </c>
      <c r="S1924" s="121" t="str">
        <f t="shared" si="770"/>
        <v/>
      </c>
      <c r="T1924" s="121" t="str">
        <f t="shared" si="771"/>
        <v/>
      </c>
      <c r="U1924" s="121">
        <f t="shared" si="772"/>
        <v>1</v>
      </c>
    </row>
    <row r="1925" spans="1:21" x14ac:dyDescent="0.3">
      <c r="A1925" s="187">
        <v>11</v>
      </c>
      <c r="B1925" s="242">
        <f t="shared" si="773"/>
        <v>45962</v>
      </c>
      <c r="C1925" s="243">
        <f t="shared" si="754"/>
        <v>45991</v>
      </c>
      <c r="D1925" s="120">
        <f t="shared" si="755"/>
        <v>30</v>
      </c>
      <c r="E1925" s="120">
        <f t="shared" si="756"/>
        <v>11</v>
      </c>
      <c r="F1925" s="275">
        <f t="shared" si="757"/>
        <v>45977</v>
      </c>
      <c r="G1925" s="120">
        <f t="shared" si="758"/>
        <v>24310</v>
      </c>
      <c r="H1925" s="245">
        <f t="shared" si="759"/>
        <v>1</v>
      </c>
      <c r="I1925" s="121">
        <f t="shared" si="760"/>
        <v>1</v>
      </c>
      <c r="J1925" s="121">
        <f t="shared" si="761"/>
        <v>1</v>
      </c>
      <c r="K1925" s="120">
        <f t="shared" si="762"/>
        <v>0</v>
      </c>
      <c r="L1925" s="120">
        <f t="shared" si="763"/>
        <v>0</v>
      </c>
      <c r="M1925" s="246">
        <f t="shared" si="764"/>
        <v>0</v>
      </c>
      <c r="N1925" s="121">
        <f t="shared" si="765"/>
        <v>1</v>
      </c>
      <c r="O1925" s="246">
        <f t="shared" si="766"/>
        <v>0.90301969365426704</v>
      </c>
      <c r="P1925" s="121">
        <f t="shared" si="767"/>
        <v>0.75</v>
      </c>
      <c r="Q1925" s="121">
        <f t="shared" si="768"/>
        <v>0</v>
      </c>
      <c r="R1925" s="121">
        <f t="shared" si="769"/>
        <v>0</v>
      </c>
      <c r="S1925" s="121" t="str">
        <f t="shared" si="770"/>
        <v/>
      </c>
      <c r="T1925" s="121" t="str">
        <f t="shared" si="771"/>
        <v/>
      </c>
      <c r="U1925" s="121">
        <f t="shared" si="772"/>
        <v>1</v>
      </c>
    </row>
    <row r="1926" spans="1:21" x14ac:dyDescent="0.3">
      <c r="A1926" s="187">
        <v>12</v>
      </c>
      <c r="B1926" s="242">
        <f t="shared" si="773"/>
        <v>45992</v>
      </c>
      <c r="C1926" s="243">
        <f t="shared" si="754"/>
        <v>46022</v>
      </c>
      <c r="D1926" s="120">
        <f t="shared" si="755"/>
        <v>31</v>
      </c>
      <c r="E1926" s="120">
        <f t="shared" si="756"/>
        <v>12</v>
      </c>
      <c r="F1926" s="275">
        <f t="shared" si="757"/>
        <v>46007.5</v>
      </c>
      <c r="G1926" s="120">
        <f t="shared" si="758"/>
        <v>24311</v>
      </c>
      <c r="H1926" s="245">
        <f t="shared" si="759"/>
        <v>1</v>
      </c>
      <c r="I1926" s="121">
        <f t="shared" si="760"/>
        <v>1</v>
      </c>
      <c r="J1926" s="121">
        <f t="shared" si="761"/>
        <v>1</v>
      </c>
      <c r="K1926" s="120">
        <f t="shared" si="762"/>
        <v>0</v>
      </c>
      <c r="L1926" s="120">
        <f t="shared" si="763"/>
        <v>0</v>
      </c>
      <c r="M1926" s="246">
        <f t="shared" si="764"/>
        <v>0</v>
      </c>
      <c r="N1926" s="121">
        <f t="shared" si="765"/>
        <v>1</v>
      </c>
      <c r="O1926" s="246">
        <f t="shared" si="766"/>
        <v>0.90368708971553613</v>
      </c>
      <c r="P1926" s="121">
        <f t="shared" si="767"/>
        <v>0.91666666666666663</v>
      </c>
      <c r="Q1926" s="121">
        <f t="shared" si="768"/>
        <v>0</v>
      </c>
      <c r="R1926" s="121">
        <f t="shared" si="769"/>
        <v>0</v>
      </c>
      <c r="S1926" s="121" t="str">
        <f t="shared" si="770"/>
        <v/>
      </c>
      <c r="T1926" s="121" t="str">
        <f t="shared" si="771"/>
        <v/>
      </c>
      <c r="U1926" s="121">
        <f t="shared" si="772"/>
        <v>1</v>
      </c>
    </row>
    <row r="1927" spans="1:21" x14ac:dyDescent="0.3">
      <c r="A1927" s="187">
        <v>13</v>
      </c>
      <c r="B1927" s="242">
        <f t="shared" si="773"/>
        <v>46023</v>
      </c>
      <c r="C1927" s="243">
        <f t="shared" si="754"/>
        <v>46053</v>
      </c>
      <c r="D1927" s="120">
        <f t="shared" si="755"/>
        <v>31</v>
      </c>
      <c r="E1927" s="120">
        <f t="shared" si="756"/>
        <v>1</v>
      </c>
      <c r="F1927" s="275">
        <f t="shared" si="757"/>
        <v>46038.5</v>
      </c>
      <c r="G1927" s="120">
        <f t="shared" si="758"/>
        <v>24312</v>
      </c>
      <c r="H1927" s="245">
        <f t="shared" si="759"/>
        <v>1</v>
      </c>
      <c r="I1927" s="121">
        <f t="shared" si="760"/>
        <v>1</v>
      </c>
      <c r="J1927" s="121">
        <f t="shared" si="761"/>
        <v>1</v>
      </c>
      <c r="K1927" s="120">
        <f t="shared" si="762"/>
        <v>0</v>
      </c>
      <c r="L1927" s="120">
        <f t="shared" si="763"/>
        <v>0</v>
      </c>
      <c r="M1927" s="246">
        <f t="shared" si="764"/>
        <v>0</v>
      </c>
      <c r="N1927" s="121">
        <f t="shared" si="765"/>
        <v>1</v>
      </c>
      <c r="O1927" s="246">
        <f t="shared" si="766"/>
        <v>0.90436542669584252</v>
      </c>
      <c r="P1927" s="121">
        <f t="shared" si="767"/>
        <v>1</v>
      </c>
      <c r="Q1927" s="121">
        <f t="shared" si="768"/>
        <v>0</v>
      </c>
      <c r="R1927" s="121">
        <f t="shared" si="769"/>
        <v>0</v>
      </c>
      <c r="S1927" s="121" t="str">
        <f t="shared" si="770"/>
        <v/>
      </c>
      <c r="T1927" s="121" t="str">
        <f t="shared" si="771"/>
        <v/>
      </c>
      <c r="U1927" s="121">
        <f t="shared" si="772"/>
        <v>1</v>
      </c>
    </row>
    <row r="1928" spans="1:21" x14ac:dyDescent="0.3">
      <c r="A1928" s="187">
        <v>14</v>
      </c>
      <c r="B1928" s="242">
        <f t="shared" si="773"/>
        <v>46054</v>
      </c>
      <c r="C1928" s="243">
        <f t="shared" si="754"/>
        <v>46081</v>
      </c>
      <c r="D1928" s="120">
        <f t="shared" si="755"/>
        <v>28</v>
      </c>
      <c r="E1928" s="120">
        <f t="shared" si="756"/>
        <v>2</v>
      </c>
      <c r="F1928" s="275">
        <f t="shared" si="757"/>
        <v>46068</v>
      </c>
      <c r="G1928" s="120">
        <f t="shared" si="758"/>
        <v>24313</v>
      </c>
      <c r="H1928" s="245">
        <f t="shared" si="759"/>
        <v>1</v>
      </c>
      <c r="I1928" s="121">
        <f t="shared" si="760"/>
        <v>1</v>
      </c>
      <c r="J1928" s="121">
        <f t="shared" si="761"/>
        <v>1</v>
      </c>
      <c r="K1928" s="120">
        <f t="shared" si="762"/>
        <v>0</v>
      </c>
      <c r="L1928" s="120">
        <f t="shared" si="763"/>
        <v>0</v>
      </c>
      <c r="M1928" s="246">
        <f t="shared" si="764"/>
        <v>0</v>
      </c>
      <c r="N1928" s="121">
        <f t="shared" si="765"/>
        <v>1</v>
      </c>
      <c r="O1928" s="246">
        <f t="shared" si="766"/>
        <v>0.90501094091903722</v>
      </c>
      <c r="P1928" s="121">
        <f t="shared" si="767"/>
        <v>1</v>
      </c>
      <c r="Q1928" s="121">
        <f t="shared" si="768"/>
        <v>0</v>
      </c>
      <c r="R1928" s="121">
        <f t="shared" si="769"/>
        <v>0</v>
      </c>
      <c r="S1928" s="121" t="str">
        <f t="shared" si="770"/>
        <v/>
      </c>
      <c r="T1928" s="121" t="str">
        <f t="shared" si="771"/>
        <v/>
      </c>
      <c r="U1928" s="121">
        <f t="shared" si="772"/>
        <v>1</v>
      </c>
    </row>
    <row r="1929" spans="1:21" x14ac:dyDescent="0.3">
      <c r="A1929" s="187">
        <v>15</v>
      </c>
      <c r="B1929" s="242">
        <f t="shared" si="773"/>
        <v>46082</v>
      </c>
      <c r="C1929" s="243">
        <f t="shared" si="754"/>
        <v>46112</v>
      </c>
      <c r="D1929" s="120">
        <f t="shared" si="755"/>
        <v>31</v>
      </c>
      <c r="E1929" s="120">
        <f t="shared" si="756"/>
        <v>3</v>
      </c>
      <c r="F1929" s="275">
        <f t="shared" si="757"/>
        <v>46097.5</v>
      </c>
      <c r="G1929" s="120">
        <f t="shared" si="758"/>
        <v>24314</v>
      </c>
      <c r="H1929" s="245">
        <f t="shared" si="759"/>
        <v>1</v>
      </c>
      <c r="I1929" s="121">
        <f t="shared" si="760"/>
        <v>1</v>
      </c>
      <c r="J1929" s="121">
        <f t="shared" si="761"/>
        <v>1</v>
      </c>
      <c r="K1929" s="120">
        <f t="shared" si="762"/>
        <v>0</v>
      </c>
      <c r="L1929" s="120">
        <f t="shared" si="763"/>
        <v>0</v>
      </c>
      <c r="M1929" s="246">
        <f t="shared" si="764"/>
        <v>0</v>
      </c>
      <c r="N1929" s="121">
        <f t="shared" si="765"/>
        <v>1</v>
      </c>
      <c r="O1929" s="246">
        <f t="shared" si="766"/>
        <v>0.90565645514223203</v>
      </c>
      <c r="P1929" s="121">
        <f t="shared" si="767"/>
        <v>1</v>
      </c>
      <c r="Q1929" s="121">
        <f t="shared" si="768"/>
        <v>0</v>
      </c>
      <c r="R1929" s="121">
        <f t="shared" si="769"/>
        <v>0</v>
      </c>
      <c r="S1929" s="121" t="str">
        <f t="shared" si="770"/>
        <v/>
      </c>
      <c r="T1929" s="121" t="str">
        <f t="shared" si="771"/>
        <v/>
      </c>
      <c r="U1929" s="121">
        <f t="shared" si="772"/>
        <v>1</v>
      </c>
    </row>
    <row r="1930" spans="1:21" x14ac:dyDescent="0.3">
      <c r="A1930" s="187">
        <v>16</v>
      </c>
      <c r="B1930" s="242">
        <f t="shared" si="773"/>
        <v>46113</v>
      </c>
      <c r="C1930" s="243">
        <f t="shared" si="754"/>
        <v>46142</v>
      </c>
      <c r="D1930" s="120">
        <f t="shared" si="755"/>
        <v>30</v>
      </c>
      <c r="E1930" s="120">
        <f t="shared" si="756"/>
        <v>4</v>
      </c>
      <c r="F1930" s="275">
        <f t="shared" si="757"/>
        <v>46128</v>
      </c>
      <c r="G1930" s="120">
        <f t="shared" si="758"/>
        <v>24315</v>
      </c>
      <c r="H1930" s="245">
        <f t="shared" si="759"/>
        <v>1</v>
      </c>
      <c r="I1930" s="121">
        <f t="shared" si="760"/>
        <v>1</v>
      </c>
      <c r="J1930" s="121">
        <f t="shared" si="761"/>
        <v>1</v>
      </c>
      <c r="K1930" s="120">
        <f t="shared" si="762"/>
        <v>0</v>
      </c>
      <c r="L1930" s="120">
        <f t="shared" si="763"/>
        <v>0</v>
      </c>
      <c r="M1930" s="246">
        <f t="shared" si="764"/>
        <v>0</v>
      </c>
      <c r="N1930" s="121">
        <f t="shared" si="765"/>
        <v>1</v>
      </c>
      <c r="O1930" s="246">
        <f t="shared" si="766"/>
        <v>0.90632385120350112</v>
      </c>
      <c r="P1930" s="121">
        <f t="shared" si="767"/>
        <v>1</v>
      </c>
      <c r="Q1930" s="121">
        <f t="shared" si="768"/>
        <v>0</v>
      </c>
      <c r="R1930" s="121">
        <f t="shared" si="769"/>
        <v>0</v>
      </c>
      <c r="S1930" s="121" t="str">
        <f t="shared" si="770"/>
        <v/>
      </c>
      <c r="T1930" s="121" t="str">
        <f t="shared" si="771"/>
        <v/>
      </c>
      <c r="U1930" s="121">
        <f t="shared" si="772"/>
        <v>1</v>
      </c>
    </row>
    <row r="1931" spans="1:21" x14ac:dyDescent="0.3">
      <c r="A1931" s="187">
        <v>17</v>
      </c>
      <c r="B1931" s="242">
        <f t="shared" si="773"/>
        <v>46143</v>
      </c>
      <c r="C1931" s="243">
        <f t="shared" si="754"/>
        <v>46173</v>
      </c>
      <c r="D1931" s="120">
        <f t="shared" si="755"/>
        <v>31</v>
      </c>
      <c r="E1931" s="120">
        <f t="shared" si="756"/>
        <v>5</v>
      </c>
      <c r="F1931" s="275">
        <f t="shared" si="757"/>
        <v>46158.5</v>
      </c>
      <c r="G1931" s="120">
        <f t="shared" si="758"/>
        <v>24316</v>
      </c>
      <c r="H1931" s="245">
        <f t="shared" si="759"/>
        <v>1</v>
      </c>
      <c r="I1931" s="121">
        <f t="shared" si="760"/>
        <v>1</v>
      </c>
      <c r="J1931" s="121">
        <f t="shared" si="761"/>
        <v>1</v>
      </c>
      <c r="K1931" s="120">
        <f t="shared" si="762"/>
        <v>0</v>
      </c>
      <c r="L1931" s="120">
        <f t="shared" si="763"/>
        <v>0</v>
      </c>
      <c r="M1931" s="246">
        <f t="shared" si="764"/>
        <v>0</v>
      </c>
      <c r="N1931" s="121">
        <f t="shared" si="765"/>
        <v>1</v>
      </c>
      <c r="O1931" s="246">
        <f t="shared" si="766"/>
        <v>0.90699124726477032</v>
      </c>
      <c r="P1931" s="121">
        <f t="shared" si="767"/>
        <v>1</v>
      </c>
      <c r="Q1931" s="121">
        <f t="shared" si="768"/>
        <v>0</v>
      </c>
      <c r="R1931" s="121">
        <f t="shared" si="769"/>
        <v>0</v>
      </c>
      <c r="S1931" s="121" t="str">
        <f t="shared" si="770"/>
        <v/>
      </c>
      <c r="T1931" s="121" t="str">
        <f t="shared" si="771"/>
        <v/>
      </c>
      <c r="U1931" s="121">
        <f t="shared" si="772"/>
        <v>1</v>
      </c>
    </row>
    <row r="1932" spans="1:21" x14ac:dyDescent="0.3">
      <c r="A1932" s="187">
        <v>18</v>
      </c>
      <c r="B1932" s="242">
        <f t="shared" si="773"/>
        <v>46174</v>
      </c>
      <c r="C1932" s="243">
        <f t="shared" si="754"/>
        <v>46203</v>
      </c>
      <c r="D1932" s="120">
        <f t="shared" si="755"/>
        <v>30</v>
      </c>
      <c r="E1932" s="120">
        <f t="shared" si="756"/>
        <v>6</v>
      </c>
      <c r="F1932" s="275">
        <f t="shared" si="757"/>
        <v>46189</v>
      </c>
      <c r="G1932" s="120">
        <f t="shared" si="758"/>
        <v>24317</v>
      </c>
      <c r="H1932" s="245">
        <f t="shared" si="759"/>
        <v>1</v>
      </c>
      <c r="I1932" s="121">
        <f t="shared" si="760"/>
        <v>1</v>
      </c>
      <c r="J1932" s="121">
        <f t="shared" si="761"/>
        <v>1</v>
      </c>
      <c r="K1932" s="120">
        <f t="shared" si="762"/>
        <v>0</v>
      </c>
      <c r="L1932" s="120">
        <f t="shared" si="763"/>
        <v>0</v>
      </c>
      <c r="M1932" s="246">
        <f t="shared" si="764"/>
        <v>0</v>
      </c>
      <c r="N1932" s="121">
        <f t="shared" si="765"/>
        <v>1</v>
      </c>
      <c r="O1932" s="246">
        <f t="shared" si="766"/>
        <v>0.9076586433260394</v>
      </c>
      <c r="P1932" s="121">
        <f t="shared" si="767"/>
        <v>1</v>
      </c>
      <c r="Q1932" s="121">
        <f t="shared" si="768"/>
        <v>0</v>
      </c>
      <c r="R1932" s="121">
        <f t="shared" si="769"/>
        <v>0</v>
      </c>
      <c r="S1932" s="121" t="str">
        <f t="shared" si="770"/>
        <v/>
      </c>
      <c r="T1932" s="121" t="str">
        <f t="shared" si="771"/>
        <v/>
      </c>
      <c r="U1932" s="121">
        <f t="shared" si="772"/>
        <v>1</v>
      </c>
    </row>
    <row r="1933" spans="1:21" x14ac:dyDescent="0.3">
      <c r="A1933" s="187">
        <v>19</v>
      </c>
      <c r="B1933" s="242">
        <f t="shared" si="773"/>
        <v>46204</v>
      </c>
      <c r="C1933" s="243">
        <f t="shared" si="754"/>
        <v>46234</v>
      </c>
      <c r="D1933" s="120">
        <f t="shared" si="755"/>
        <v>31</v>
      </c>
      <c r="E1933" s="120">
        <f t="shared" si="756"/>
        <v>7</v>
      </c>
      <c r="F1933" s="275">
        <f t="shared" si="757"/>
        <v>46219.5</v>
      </c>
      <c r="G1933" s="120">
        <f t="shared" si="758"/>
        <v>24318</v>
      </c>
      <c r="H1933" s="245">
        <f t="shared" si="759"/>
        <v>1</v>
      </c>
      <c r="I1933" s="121">
        <f t="shared" si="760"/>
        <v>1</v>
      </c>
      <c r="J1933" s="121">
        <f t="shared" si="761"/>
        <v>1</v>
      </c>
      <c r="K1933" s="120">
        <f t="shared" si="762"/>
        <v>0</v>
      </c>
      <c r="L1933" s="120">
        <f t="shared" si="763"/>
        <v>0</v>
      </c>
      <c r="M1933" s="246">
        <f t="shared" si="764"/>
        <v>0</v>
      </c>
      <c r="N1933" s="121">
        <f t="shared" si="765"/>
        <v>1</v>
      </c>
      <c r="O1933" s="246">
        <f t="shared" si="766"/>
        <v>0.9083260393873086</v>
      </c>
      <c r="P1933" s="121">
        <f t="shared" si="767"/>
        <v>0.91666666666666663</v>
      </c>
      <c r="Q1933" s="121">
        <f t="shared" si="768"/>
        <v>8.333333333333337E-2</v>
      </c>
      <c r="R1933" s="121">
        <f t="shared" si="769"/>
        <v>0</v>
      </c>
      <c r="S1933" s="121" t="str">
        <f t="shared" si="770"/>
        <v/>
      </c>
      <c r="T1933" s="121" t="str">
        <f t="shared" si="771"/>
        <v/>
      </c>
      <c r="U1933" s="121">
        <f t="shared" si="772"/>
        <v>1</v>
      </c>
    </row>
    <row r="1934" spans="1:21" x14ac:dyDescent="0.3">
      <c r="A1934" s="187">
        <v>20</v>
      </c>
      <c r="B1934" s="242">
        <f t="shared" si="773"/>
        <v>46235</v>
      </c>
      <c r="C1934" s="243">
        <f t="shared" si="754"/>
        <v>46265</v>
      </c>
      <c r="D1934" s="120">
        <f t="shared" si="755"/>
        <v>31</v>
      </c>
      <c r="E1934" s="120">
        <f t="shared" si="756"/>
        <v>8</v>
      </c>
      <c r="F1934" s="275">
        <f t="shared" si="757"/>
        <v>46250.5</v>
      </c>
      <c r="G1934" s="120">
        <f t="shared" si="758"/>
        <v>24319</v>
      </c>
      <c r="H1934" s="245">
        <f t="shared" si="759"/>
        <v>1</v>
      </c>
      <c r="I1934" s="121">
        <f t="shared" si="760"/>
        <v>1</v>
      </c>
      <c r="J1934" s="121">
        <f t="shared" si="761"/>
        <v>1</v>
      </c>
      <c r="K1934" s="120">
        <f t="shared" si="762"/>
        <v>0</v>
      </c>
      <c r="L1934" s="120">
        <f t="shared" si="763"/>
        <v>0</v>
      </c>
      <c r="M1934" s="246">
        <f t="shared" si="764"/>
        <v>0</v>
      </c>
      <c r="N1934" s="121">
        <f t="shared" si="765"/>
        <v>1</v>
      </c>
      <c r="O1934" s="246">
        <f t="shared" si="766"/>
        <v>0.90900437636761489</v>
      </c>
      <c r="P1934" s="121">
        <f t="shared" si="767"/>
        <v>0.75</v>
      </c>
      <c r="Q1934" s="121">
        <f t="shared" si="768"/>
        <v>0.25</v>
      </c>
      <c r="R1934" s="121">
        <f t="shared" si="769"/>
        <v>0</v>
      </c>
      <c r="S1934" s="121" t="str">
        <f t="shared" si="770"/>
        <v/>
      </c>
      <c r="T1934" s="121" t="str">
        <f t="shared" si="771"/>
        <v/>
      </c>
      <c r="U1934" s="121">
        <f t="shared" si="772"/>
        <v>1</v>
      </c>
    </row>
    <row r="1935" spans="1:21" x14ac:dyDescent="0.3">
      <c r="A1935" s="187">
        <v>21</v>
      </c>
      <c r="B1935" s="242">
        <f t="shared" si="773"/>
        <v>46266</v>
      </c>
      <c r="C1935" s="243">
        <f t="shared" si="754"/>
        <v>46295</v>
      </c>
      <c r="D1935" s="120">
        <f t="shared" si="755"/>
        <v>30</v>
      </c>
      <c r="E1935" s="120">
        <f t="shared" si="756"/>
        <v>9</v>
      </c>
      <c r="F1935" s="275">
        <f t="shared" si="757"/>
        <v>46281</v>
      </c>
      <c r="G1935" s="120">
        <f t="shared" si="758"/>
        <v>24320</v>
      </c>
      <c r="H1935" s="245">
        <f t="shared" si="759"/>
        <v>1</v>
      </c>
      <c r="I1935" s="121">
        <f t="shared" si="760"/>
        <v>1</v>
      </c>
      <c r="J1935" s="121">
        <f t="shared" si="761"/>
        <v>1</v>
      </c>
      <c r="K1935" s="120">
        <f t="shared" si="762"/>
        <v>0</v>
      </c>
      <c r="L1935" s="120">
        <f t="shared" si="763"/>
        <v>0</v>
      </c>
      <c r="M1935" s="246">
        <f t="shared" si="764"/>
        <v>0</v>
      </c>
      <c r="N1935" s="121">
        <f t="shared" si="765"/>
        <v>1</v>
      </c>
      <c r="O1935" s="246">
        <f t="shared" si="766"/>
        <v>0.90967177242888408</v>
      </c>
      <c r="P1935" s="121">
        <f t="shared" si="767"/>
        <v>0.58333333333333337</v>
      </c>
      <c r="Q1935" s="121">
        <f t="shared" si="768"/>
        <v>0.41666666666666663</v>
      </c>
      <c r="R1935" s="121">
        <f t="shared" si="769"/>
        <v>0</v>
      </c>
      <c r="S1935" s="121" t="str">
        <f t="shared" si="770"/>
        <v/>
      </c>
      <c r="T1935" s="121" t="str">
        <f t="shared" si="771"/>
        <v/>
      </c>
      <c r="U1935" s="121">
        <f t="shared" si="772"/>
        <v>1</v>
      </c>
    </row>
    <row r="1936" spans="1:21" x14ac:dyDescent="0.3">
      <c r="A1936" s="187">
        <v>22</v>
      </c>
      <c r="B1936" s="242">
        <f t="shared" si="773"/>
        <v>46296</v>
      </c>
      <c r="C1936" s="243">
        <f t="shared" si="754"/>
        <v>46326</v>
      </c>
      <c r="D1936" s="120">
        <f t="shared" si="755"/>
        <v>31</v>
      </c>
      <c r="E1936" s="120">
        <f t="shared" si="756"/>
        <v>10</v>
      </c>
      <c r="F1936" s="275">
        <f t="shared" si="757"/>
        <v>46311.5</v>
      </c>
      <c r="G1936" s="120">
        <f t="shared" si="758"/>
        <v>24321</v>
      </c>
      <c r="H1936" s="245">
        <f t="shared" si="759"/>
        <v>1</v>
      </c>
      <c r="I1936" s="121">
        <f t="shared" si="760"/>
        <v>1</v>
      </c>
      <c r="J1936" s="121">
        <f t="shared" si="761"/>
        <v>1</v>
      </c>
      <c r="K1936" s="120">
        <f t="shared" si="762"/>
        <v>0</v>
      </c>
      <c r="L1936" s="120">
        <f t="shared" si="763"/>
        <v>0</v>
      </c>
      <c r="M1936" s="246">
        <f t="shared" si="764"/>
        <v>0</v>
      </c>
      <c r="N1936" s="121">
        <f t="shared" si="765"/>
        <v>1</v>
      </c>
      <c r="O1936" s="246">
        <f t="shared" si="766"/>
        <v>0.91033916849015317</v>
      </c>
      <c r="P1936" s="121">
        <f t="shared" si="767"/>
        <v>0.41666666666666669</v>
      </c>
      <c r="Q1936" s="121">
        <f t="shared" si="768"/>
        <v>0.58333333333333326</v>
      </c>
      <c r="R1936" s="121">
        <f t="shared" si="769"/>
        <v>0</v>
      </c>
      <c r="S1936" s="121" t="str">
        <f t="shared" si="770"/>
        <v/>
      </c>
      <c r="T1936" s="121" t="str">
        <f t="shared" si="771"/>
        <v/>
      </c>
      <c r="U1936" s="121">
        <f t="shared" si="772"/>
        <v>1</v>
      </c>
    </row>
    <row r="1937" spans="1:21" x14ac:dyDescent="0.3">
      <c r="A1937" s="187">
        <v>23</v>
      </c>
      <c r="B1937" s="242">
        <f t="shared" si="773"/>
        <v>46327</v>
      </c>
      <c r="C1937" s="243">
        <f t="shared" si="754"/>
        <v>46356</v>
      </c>
      <c r="D1937" s="120">
        <f t="shared" si="755"/>
        <v>30</v>
      </c>
      <c r="E1937" s="120">
        <f t="shared" si="756"/>
        <v>11</v>
      </c>
      <c r="F1937" s="275">
        <f t="shared" si="757"/>
        <v>46342</v>
      </c>
      <c r="G1937" s="120">
        <f t="shared" si="758"/>
        <v>24322</v>
      </c>
      <c r="H1937" s="245">
        <f t="shared" si="759"/>
        <v>1</v>
      </c>
      <c r="I1937" s="121">
        <f t="shared" si="760"/>
        <v>1</v>
      </c>
      <c r="J1937" s="121">
        <f t="shared" si="761"/>
        <v>1.06</v>
      </c>
      <c r="K1937" s="120">
        <f t="shared" si="762"/>
        <v>1</v>
      </c>
      <c r="L1937" s="120">
        <f t="shared" si="763"/>
        <v>30</v>
      </c>
      <c r="M1937" s="246">
        <f t="shared" si="764"/>
        <v>1</v>
      </c>
      <c r="N1937" s="121">
        <f t="shared" si="765"/>
        <v>1.06</v>
      </c>
      <c r="O1937" s="246">
        <f t="shared" si="766"/>
        <v>0.91100656455142237</v>
      </c>
      <c r="P1937" s="121">
        <f t="shared" si="767"/>
        <v>0.25</v>
      </c>
      <c r="Q1937" s="121">
        <f t="shared" si="768"/>
        <v>0.75</v>
      </c>
      <c r="R1937" s="121">
        <f t="shared" si="769"/>
        <v>0</v>
      </c>
      <c r="S1937" s="121" t="str">
        <f t="shared" si="770"/>
        <v/>
      </c>
      <c r="T1937" s="121" t="str">
        <f t="shared" si="771"/>
        <v/>
      </c>
      <c r="U1937" s="121">
        <f t="shared" si="772"/>
        <v>1.06</v>
      </c>
    </row>
    <row r="1938" spans="1:21" x14ac:dyDescent="0.3">
      <c r="A1938" s="187">
        <v>24</v>
      </c>
      <c r="B1938" s="242">
        <f t="shared" si="773"/>
        <v>46357</v>
      </c>
      <c r="C1938" s="243">
        <f t="shared" si="754"/>
        <v>46387</v>
      </c>
      <c r="D1938" s="120">
        <f t="shared" si="755"/>
        <v>31</v>
      </c>
      <c r="E1938" s="120">
        <f t="shared" si="756"/>
        <v>12</v>
      </c>
      <c r="F1938" s="275">
        <f t="shared" si="757"/>
        <v>46372.5</v>
      </c>
      <c r="G1938" s="120">
        <f t="shared" si="758"/>
        <v>24323</v>
      </c>
      <c r="H1938" s="245">
        <f t="shared" si="759"/>
        <v>1</v>
      </c>
      <c r="I1938" s="121">
        <f t="shared" si="760"/>
        <v>1.06</v>
      </c>
      <c r="J1938" s="121">
        <f t="shared" si="761"/>
        <v>1.06</v>
      </c>
      <c r="K1938" s="120">
        <f t="shared" si="762"/>
        <v>0</v>
      </c>
      <c r="L1938" s="120">
        <f t="shared" si="763"/>
        <v>0</v>
      </c>
      <c r="M1938" s="246">
        <f t="shared" si="764"/>
        <v>0</v>
      </c>
      <c r="N1938" s="121">
        <f t="shared" si="765"/>
        <v>1.06</v>
      </c>
      <c r="O1938" s="246">
        <f t="shared" si="766"/>
        <v>0.91167396061269146</v>
      </c>
      <c r="P1938" s="121">
        <f t="shared" si="767"/>
        <v>8.3333333333333329E-2</v>
      </c>
      <c r="Q1938" s="121">
        <f t="shared" si="768"/>
        <v>0.91666666666666663</v>
      </c>
      <c r="R1938" s="121">
        <f t="shared" si="769"/>
        <v>0</v>
      </c>
      <c r="S1938" s="121" t="str">
        <f t="shared" si="770"/>
        <v/>
      </c>
      <c r="T1938" s="121" t="str">
        <f t="shared" si="771"/>
        <v/>
      </c>
      <c r="U1938" s="121">
        <f t="shared" si="772"/>
        <v>1.06</v>
      </c>
    </row>
    <row r="1939" spans="1:21" x14ac:dyDescent="0.3">
      <c r="A1939" s="187">
        <v>25</v>
      </c>
      <c r="B1939" s="242">
        <f t="shared" si="773"/>
        <v>46388</v>
      </c>
      <c r="C1939" s="243">
        <f t="shared" si="754"/>
        <v>46418</v>
      </c>
      <c r="D1939" s="120">
        <f t="shared" si="755"/>
        <v>31</v>
      </c>
      <c r="E1939" s="120">
        <f t="shared" si="756"/>
        <v>1</v>
      </c>
      <c r="F1939" s="275">
        <f t="shared" si="757"/>
        <v>46403.5</v>
      </c>
      <c r="G1939" s="120">
        <f t="shared" si="758"/>
        <v>24324</v>
      </c>
      <c r="H1939" s="245">
        <f t="shared" si="759"/>
        <v>1</v>
      </c>
      <c r="I1939" s="121">
        <f t="shared" si="760"/>
        <v>1.06</v>
      </c>
      <c r="J1939" s="121">
        <f t="shared" si="761"/>
        <v>1.06</v>
      </c>
      <c r="K1939" s="120">
        <f t="shared" si="762"/>
        <v>0</v>
      </c>
      <c r="L1939" s="120">
        <f t="shared" si="763"/>
        <v>0</v>
      </c>
      <c r="M1939" s="246">
        <f t="shared" si="764"/>
        <v>0</v>
      </c>
      <c r="N1939" s="121">
        <f t="shared" si="765"/>
        <v>1.06</v>
      </c>
      <c r="O1939" s="246">
        <f t="shared" si="766"/>
        <v>0.91235229759299785</v>
      </c>
      <c r="P1939" s="121">
        <f t="shared" si="767"/>
        <v>0</v>
      </c>
      <c r="Q1939" s="121">
        <f t="shared" si="768"/>
        <v>1</v>
      </c>
      <c r="R1939" s="121">
        <f t="shared" si="769"/>
        <v>0</v>
      </c>
      <c r="S1939" s="121" t="str">
        <f t="shared" si="770"/>
        <v/>
      </c>
      <c r="T1939" s="121" t="str">
        <f t="shared" si="771"/>
        <v/>
      </c>
      <c r="U1939" s="121">
        <f t="shared" si="772"/>
        <v>1.06</v>
      </c>
    </row>
    <row r="1940" spans="1:21" x14ac:dyDescent="0.3">
      <c r="A1940" s="187">
        <v>26</v>
      </c>
      <c r="B1940" s="242">
        <f t="shared" si="773"/>
        <v>46419</v>
      </c>
      <c r="C1940" s="243">
        <f t="shared" si="754"/>
        <v>46446</v>
      </c>
      <c r="D1940" s="120">
        <f t="shared" si="755"/>
        <v>28</v>
      </c>
      <c r="E1940" s="120">
        <f t="shared" si="756"/>
        <v>2</v>
      </c>
      <c r="F1940" s="275">
        <f t="shared" si="757"/>
        <v>46433</v>
      </c>
      <c r="G1940" s="120">
        <f t="shared" si="758"/>
        <v>24325</v>
      </c>
      <c r="H1940" s="245">
        <f t="shared" si="759"/>
        <v>1</v>
      </c>
      <c r="I1940" s="121">
        <f t="shared" si="760"/>
        <v>1.06</v>
      </c>
      <c r="J1940" s="121">
        <f t="shared" si="761"/>
        <v>1.06</v>
      </c>
      <c r="K1940" s="120">
        <f t="shared" si="762"/>
        <v>0</v>
      </c>
      <c r="L1940" s="120">
        <f t="shared" si="763"/>
        <v>0</v>
      </c>
      <c r="M1940" s="246">
        <f t="shared" si="764"/>
        <v>0</v>
      </c>
      <c r="N1940" s="121">
        <f t="shared" si="765"/>
        <v>1.06</v>
      </c>
      <c r="O1940" s="246">
        <f t="shared" si="766"/>
        <v>0.91299781181619255</v>
      </c>
      <c r="P1940" s="121">
        <f t="shared" si="767"/>
        <v>0</v>
      </c>
      <c r="Q1940" s="121">
        <f t="shared" si="768"/>
        <v>1</v>
      </c>
      <c r="R1940" s="121">
        <f t="shared" si="769"/>
        <v>0</v>
      </c>
      <c r="S1940" s="121" t="str">
        <f t="shared" si="770"/>
        <v/>
      </c>
      <c r="T1940" s="121" t="str">
        <f t="shared" si="771"/>
        <v/>
      </c>
      <c r="U1940" s="121">
        <f t="shared" si="772"/>
        <v>1.06</v>
      </c>
    </row>
    <row r="1941" spans="1:21" x14ac:dyDescent="0.3">
      <c r="A1941" s="187">
        <v>27</v>
      </c>
      <c r="B1941" s="242">
        <f t="shared" si="773"/>
        <v>46447</v>
      </c>
      <c r="C1941" s="243">
        <f t="shared" si="754"/>
        <v>46477</v>
      </c>
      <c r="D1941" s="120">
        <f t="shared" si="755"/>
        <v>31</v>
      </c>
      <c r="E1941" s="120">
        <f t="shared" si="756"/>
        <v>3</v>
      </c>
      <c r="F1941" s="275">
        <f t="shared" si="757"/>
        <v>46462.5</v>
      </c>
      <c r="G1941" s="120">
        <f t="shared" si="758"/>
        <v>24326</v>
      </c>
      <c r="H1941" s="245">
        <f t="shared" si="759"/>
        <v>1</v>
      </c>
      <c r="I1941" s="121">
        <f t="shared" si="760"/>
        <v>1.06</v>
      </c>
      <c r="J1941" s="121">
        <f t="shared" si="761"/>
        <v>1.06</v>
      </c>
      <c r="K1941" s="120">
        <f t="shared" si="762"/>
        <v>0</v>
      </c>
      <c r="L1941" s="120">
        <f t="shared" si="763"/>
        <v>0</v>
      </c>
      <c r="M1941" s="246">
        <f t="shared" si="764"/>
        <v>0</v>
      </c>
      <c r="N1941" s="121">
        <f t="shared" si="765"/>
        <v>1.06</v>
      </c>
      <c r="O1941" s="246">
        <f t="shared" si="766"/>
        <v>0.91364332603938736</v>
      </c>
      <c r="P1941" s="121">
        <f t="shared" si="767"/>
        <v>0</v>
      </c>
      <c r="Q1941" s="121">
        <f t="shared" si="768"/>
        <v>1</v>
      </c>
      <c r="R1941" s="121">
        <f t="shared" si="769"/>
        <v>0</v>
      </c>
      <c r="S1941" s="121" t="str">
        <f t="shared" si="770"/>
        <v/>
      </c>
      <c r="T1941" s="121" t="str">
        <f t="shared" si="771"/>
        <v/>
      </c>
      <c r="U1941" s="121">
        <f t="shared" si="772"/>
        <v>1.06</v>
      </c>
    </row>
    <row r="1942" spans="1:21" x14ac:dyDescent="0.3">
      <c r="A1942" s="187">
        <v>28</v>
      </c>
      <c r="B1942" s="242">
        <f t="shared" si="773"/>
        <v>46478</v>
      </c>
      <c r="C1942" s="243">
        <f t="shared" si="754"/>
        <v>46507</v>
      </c>
      <c r="D1942" s="120">
        <f t="shared" si="755"/>
        <v>30</v>
      </c>
      <c r="E1942" s="120">
        <f t="shared" si="756"/>
        <v>4</v>
      </c>
      <c r="F1942" s="275">
        <f t="shared" si="757"/>
        <v>46493</v>
      </c>
      <c r="G1942" s="120">
        <f t="shared" si="758"/>
        <v>24327</v>
      </c>
      <c r="H1942" s="245">
        <f t="shared" si="759"/>
        <v>1</v>
      </c>
      <c r="I1942" s="121">
        <f t="shared" si="760"/>
        <v>1.06</v>
      </c>
      <c r="J1942" s="121">
        <f t="shared" si="761"/>
        <v>1.06</v>
      </c>
      <c r="K1942" s="120">
        <f t="shared" si="762"/>
        <v>0</v>
      </c>
      <c r="L1942" s="120">
        <f t="shared" si="763"/>
        <v>0</v>
      </c>
      <c r="M1942" s="246">
        <f t="shared" si="764"/>
        <v>0</v>
      </c>
      <c r="N1942" s="121">
        <f t="shared" si="765"/>
        <v>1.06</v>
      </c>
      <c r="O1942" s="246">
        <f t="shared" si="766"/>
        <v>0.91431072210065645</v>
      </c>
      <c r="P1942" s="121">
        <f t="shared" si="767"/>
        <v>0</v>
      </c>
      <c r="Q1942" s="121">
        <f t="shared" si="768"/>
        <v>1</v>
      </c>
      <c r="R1942" s="121">
        <f t="shared" si="769"/>
        <v>0</v>
      </c>
      <c r="S1942" s="121" t="str">
        <f t="shared" si="770"/>
        <v/>
      </c>
      <c r="T1942" s="121" t="str">
        <f t="shared" si="771"/>
        <v/>
      </c>
      <c r="U1942" s="121">
        <f t="shared" si="772"/>
        <v>1.06</v>
      </c>
    </row>
    <row r="1943" spans="1:21" x14ac:dyDescent="0.3">
      <c r="A1943" s="187">
        <v>29</v>
      </c>
      <c r="B1943" s="242">
        <f t="shared" si="773"/>
        <v>46508</v>
      </c>
      <c r="C1943" s="243">
        <f t="shared" si="754"/>
        <v>46538</v>
      </c>
      <c r="D1943" s="120">
        <f t="shared" si="755"/>
        <v>31</v>
      </c>
      <c r="E1943" s="120">
        <f t="shared" si="756"/>
        <v>5</v>
      </c>
      <c r="F1943" s="275">
        <f t="shared" si="757"/>
        <v>46523.5</v>
      </c>
      <c r="G1943" s="120">
        <f t="shared" si="758"/>
        <v>24328</v>
      </c>
      <c r="H1943" s="245">
        <f t="shared" si="759"/>
        <v>1</v>
      </c>
      <c r="I1943" s="121">
        <f t="shared" si="760"/>
        <v>1.06</v>
      </c>
      <c r="J1943" s="121">
        <f t="shared" si="761"/>
        <v>1.06</v>
      </c>
      <c r="K1943" s="120">
        <f t="shared" si="762"/>
        <v>0</v>
      </c>
      <c r="L1943" s="120">
        <f t="shared" si="763"/>
        <v>0</v>
      </c>
      <c r="M1943" s="246">
        <f t="shared" si="764"/>
        <v>0</v>
      </c>
      <c r="N1943" s="121">
        <f t="shared" si="765"/>
        <v>1.06</v>
      </c>
      <c r="O1943" s="246">
        <f t="shared" si="766"/>
        <v>0.91497811816192565</v>
      </c>
      <c r="P1943" s="121">
        <f t="shared" si="767"/>
        <v>0</v>
      </c>
      <c r="Q1943" s="121">
        <f t="shared" si="768"/>
        <v>1</v>
      </c>
      <c r="R1943" s="121">
        <f t="shared" si="769"/>
        <v>0</v>
      </c>
      <c r="S1943" s="121" t="str">
        <f t="shared" si="770"/>
        <v/>
      </c>
      <c r="T1943" s="121" t="str">
        <f t="shared" si="771"/>
        <v/>
      </c>
      <c r="U1943" s="121">
        <f t="shared" si="772"/>
        <v>1.06</v>
      </c>
    </row>
    <row r="1944" spans="1:21" x14ac:dyDescent="0.3">
      <c r="A1944" s="187">
        <v>30</v>
      </c>
      <c r="B1944" s="242">
        <f t="shared" si="773"/>
        <v>46539</v>
      </c>
      <c r="C1944" s="243">
        <f t="shared" si="754"/>
        <v>46568</v>
      </c>
      <c r="D1944" s="120">
        <f t="shared" si="755"/>
        <v>30</v>
      </c>
      <c r="E1944" s="120">
        <f t="shared" si="756"/>
        <v>6</v>
      </c>
      <c r="F1944" s="275">
        <f t="shared" si="757"/>
        <v>46554</v>
      </c>
      <c r="G1944" s="120">
        <f t="shared" si="758"/>
        <v>24329</v>
      </c>
      <c r="H1944" s="245">
        <f t="shared" si="759"/>
        <v>1</v>
      </c>
      <c r="I1944" s="121">
        <f t="shared" si="760"/>
        <v>1.06</v>
      </c>
      <c r="J1944" s="121">
        <f t="shared" si="761"/>
        <v>1.06</v>
      </c>
      <c r="K1944" s="120">
        <f t="shared" si="762"/>
        <v>0</v>
      </c>
      <c r="L1944" s="120">
        <f t="shared" si="763"/>
        <v>0</v>
      </c>
      <c r="M1944" s="246">
        <f t="shared" si="764"/>
        <v>0</v>
      </c>
      <c r="N1944" s="121">
        <f t="shared" si="765"/>
        <v>1.06</v>
      </c>
      <c r="O1944" s="246">
        <f t="shared" si="766"/>
        <v>0.91564551422319473</v>
      </c>
      <c r="P1944" s="121">
        <f t="shared" si="767"/>
        <v>0</v>
      </c>
      <c r="Q1944" s="121">
        <f t="shared" si="768"/>
        <v>1</v>
      </c>
      <c r="R1944" s="121">
        <f t="shared" si="769"/>
        <v>0</v>
      </c>
      <c r="S1944" s="121" t="str">
        <f t="shared" si="770"/>
        <v/>
      </c>
      <c r="T1944" s="121" t="str">
        <f t="shared" si="771"/>
        <v/>
      </c>
      <c r="U1944" s="121">
        <f t="shared" si="772"/>
        <v>1.06</v>
      </c>
    </row>
    <row r="1945" spans="1:21" x14ac:dyDescent="0.3">
      <c r="A1945" s="187">
        <v>31</v>
      </c>
      <c r="B1945" s="242">
        <f t="shared" si="773"/>
        <v>46569</v>
      </c>
      <c r="C1945" s="243">
        <f t="shared" si="754"/>
        <v>46599</v>
      </c>
      <c r="D1945" s="120">
        <f t="shared" si="755"/>
        <v>31</v>
      </c>
      <c r="E1945" s="120">
        <f t="shared" si="756"/>
        <v>7</v>
      </c>
      <c r="F1945" s="275">
        <f t="shared" si="757"/>
        <v>46584.5</v>
      </c>
      <c r="G1945" s="120">
        <f t="shared" si="758"/>
        <v>24330</v>
      </c>
      <c r="H1945" s="245">
        <f t="shared" si="759"/>
        <v>1</v>
      </c>
      <c r="I1945" s="121">
        <f t="shared" si="760"/>
        <v>1.06</v>
      </c>
      <c r="J1945" s="121">
        <f t="shared" si="761"/>
        <v>1.06</v>
      </c>
      <c r="K1945" s="120">
        <f t="shared" si="762"/>
        <v>0</v>
      </c>
      <c r="L1945" s="120">
        <f t="shared" si="763"/>
        <v>0</v>
      </c>
      <c r="M1945" s="246">
        <f t="shared" si="764"/>
        <v>0</v>
      </c>
      <c r="N1945" s="121">
        <f t="shared" si="765"/>
        <v>1.06</v>
      </c>
      <c r="O1945" s="246">
        <f t="shared" si="766"/>
        <v>0.91631291028446393</v>
      </c>
      <c r="P1945" s="121">
        <f t="shared" si="767"/>
        <v>0</v>
      </c>
      <c r="Q1945" s="121">
        <f t="shared" si="768"/>
        <v>0.91666666666666663</v>
      </c>
      <c r="R1945" s="121">
        <f t="shared" si="769"/>
        <v>8.333333333333337E-2</v>
      </c>
      <c r="S1945" s="121" t="str">
        <f t="shared" si="770"/>
        <v/>
      </c>
      <c r="T1945" s="121" t="str">
        <f t="shared" si="771"/>
        <v/>
      </c>
      <c r="U1945" s="121">
        <f t="shared" si="772"/>
        <v>1.06</v>
      </c>
    </row>
    <row r="1946" spans="1:21" x14ac:dyDescent="0.3">
      <c r="A1946" s="187">
        <v>32</v>
      </c>
      <c r="B1946" s="242">
        <f t="shared" si="773"/>
        <v>46600</v>
      </c>
      <c r="C1946" s="243">
        <f t="shared" si="754"/>
        <v>46630</v>
      </c>
      <c r="D1946" s="120">
        <f t="shared" si="755"/>
        <v>31</v>
      </c>
      <c r="E1946" s="120">
        <f t="shared" si="756"/>
        <v>8</v>
      </c>
      <c r="F1946" s="275">
        <f t="shared" si="757"/>
        <v>46615.5</v>
      </c>
      <c r="G1946" s="120">
        <f t="shared" si="758"/>
        <v>24331</v>
      </c>
      <c r="H1946" s="245">
        <f t="shared" si="759"/>
        <v>1</v>
      </c>
      <c r="I1946" s="121">
        <f t="shared" si="760"/>
        <v>1.06</v>
      </c>
      <c r="J1946" s="121">
        <f t="shared" si="761"/>
        <v>1.06</v>
      </c>
      <c r="K1946" s="120">
        <f t="shared" si="762"/>
        <v>0</v>
      </c>
      <c r="L1946" s="120">
        <f t="shared" si="763"/>
        <v>0</v>
      </c>
      <c r="M1946" s="246">
        <f t="shared" si="764"/>
        <v>0</v>
      </c>
      <c r="N1946" s="121">
        <f t="shared" si="765"/>
        <v>1.06</v>
      </c>
      <c r="O1946" s="246">
        <f t="shared" si="766"/>
        <v>0.91699124726477033</v>
      </c>
      <c r="P1946" s="121">
        <f t="shared" si="767"/>
        <v>0</v>
      </c>
      <c r="Q1946" s="121">
        <f t="shared" si="768"/>
        <v>0.75</v>
      </c>
      <c r="R1946" s="121">
        <f t="shared" si="769"/>
        <v>0.25</v>
      </c>
      <c r="S1946" s="121" t="str">
        <f t="shared" si="770"/>
        <v/>
      </c>
      <c r="T1946" s="121" t="str">
        <f t="shared" si="771"/>
        <v/>
      </c>
      <c r="U1946" s="121">
        <f t="shared" si="772"/>
        <v>1.06</v>
      </c>
    </row>
    <row r="1947" spans="1:21" x14ac:dyDescent="0.3">
      <c r="A1947" s="187">
        <v>33</v>
      </c>
      <c r="B1947" s="242">
        <f t="shared" si="773"/>
        <v>46631</v>
      </c>
      <c r="C1947" s="243">
        <f t="shared" si="754"/>
        <v>46660</v>
      </c>
      <c r="D1947" s="120">
        <f t="shared" si="755"/>
        <v>30</v>
      </c>
      <c r="E1947" s="120">
        <f t="shared" si="756"/>
        <v>9</v>
      </c>
      <c r="F1947" s="275">
        <f t="shared" si="757"/>
        <v>46646</v>
      </c>
      <c r="G1947" s="120">
        <f t="shared" si="758"/>
        <v>24332</v>
      </c>
      <c r="H1947" s="245">
        <f t="shared" si="759"/>
        <v>1</v>
      </c>
      <c r="I1947" s="121">
        <f t="shared" si="760"/>
        <v>1.06</v>
      </c>
      <c r="J1947" s="121">
        <f t="shared" si="761"/>
        <v>1.06</v>
      </c>
      <c r="K1947" s="120">
        <f t="shared" si="762"/>
        <v>0</v>
      </c>
      <c r="L1947" s="120">
        <f t="shared" si="763"/>
        <v>0</v>
      </c>
      <c r="M1947" s="246">
        <f t="shared" si="764"/>
        <v>0</v>
      </c>
      <c r="N1947" s="121">
        <f t="shared" si="765"/>
        <v>1.06</v>
      </c>
      <c r="O1947" s="246">
        <f t="shared" si="766"/>
        <v>0.91765864332603941</v>
      </c>
      <c r="P1947" s="121">
        <f t="shared" si="767"/>
        <v>0</v>
      </c>
      <c r="Q1947" s="121">
        <f t="shared" si="768"/>
        <v>0.58333333333333337</v>
      </c>
      <c r="R1947" s="121">
        <f t="shared" si="769"/>
        <v>0.41666666666666663</v>
      </c>
      <c r="S1947" s="121" t="str">
        <f t="shared" si="770"/>
        <v/>
      </c>
      <c r="T1947" s="121" t="str">
        <f t="shared" si="771"/>
        <v/>
      </c>
      <c r="U1947" s="121">
        <f t="shared" si="772"/>
        <v>1.06</v>
      </c>
    </row>
    <row r="1948" spans="1:21" x14ac:dyDescent="0.3">
      <c r="A1948" s="187">
        <v>34</v>
      </c>
      <c r="B1948" s="242">
        <f t="shared" si="773"/>
        <v>46661</v>
      </c>
      <c r="C1948" s="243">
        <f t="shared" si="754"/>
        <v>46691</v>
      </c>
      <c r="D1948" s="120">
        <f t="shared" si="755"/>
        <v>31</v>
      </c>
      <c r="E1948" s="120">
        <f t="shared" si="756"/>
        <v>10</v>
      </c>
      <c r="F1948" s="275">
        <f t="shared" si="757"/>
        <v>46676.5</v>
      </c>
      <c r="G1948" s="120">
        <f t="shared" si="758"/>
        <v>24333</v>
      </c>
      <c r="H1948" s="245">
        <f t="shared" si="759"/>
        <v>1</v>
      </c>
      <c r="I1948" s="121">
        <f t="shared" si="760"/>
        <v>1.06</v>
      </c>
      <c r="J1948" s="121">
        <f t="shared" si="761"/>
        <v>1.06</v>
      </c>
      <c r="K1948" s="120">
        <f t="shared" si="762"/>
        <v>0</v>
      </c>
      <c r="L1948" s="120">
        <f t="shared" si="763"/>
        <v>0</v>
      </c>
      <c r="M1948" s="246">
        <f t="shared" si="764"/>
        <v>0</v>
      </c>
      <c r="N1948" s="121">
        <f t="shared" si="765"/>
        <v>1.06</v>
      </c>
      <c r="O1948" s="246">
        <f t="shared" si="766"/>
        <v>0.91832603938730861</v>
      </c>
      <c r="P1948" s="121">
        <f t="shared" si="767"/>
        <v>0</v>
      </c>
      <c r="Q1948" s="121">
        <f t="shared" si="768"/>
        <v>0.41666666666666669</v>
      </c>
      <c r="R1948" s="121">
        <f t="shared" si="769"/>
        <v>0.58333333333333326</v>
      </c>
      <c r="S1948" s="121" t="str">
        <f t="shared" si="770"/>
        <v/>
      </c>
      <c r="T1948" s="121" t="str">
        <f t="shared" si="771"/>
        <v/>
      </c>
      <c r="U1948" s="121">
        <f t="shared" si="772"/>
        <v>1.06</v>
      </c>
    </row>
    <row r="1949" spans="1:21" x14ac:dyDescent="0.3">
      <c r="A1949" s="187">
        <v>35</v>
      </c>
      <c r="B1949" s="242">
        <f t="shared" si="773"/>
        <v>46692</v>
      </c>
      <c r="C1949" s="243">
        <f t="shared" si="754"/>
        <v>46721</v>
      </c>
      <c r="D1949" s="120">
        <f t="shared" si="755"/>
        <v>30</v>
      </c>
      <c r="E1949" s="120">
        <f t="shared" si="756"/>
        <v>11</v>
      </c>
      <c r="F1949" s="275">
        <f t="shared" si="757"/>
        <v>46707</v>
      </c>
      <c r="G1949" s="120">
        <f t="shared" si="758"/>
        <v>24334</v>
      </c>
      <c r="H1949" s="245">
        <f t="shared" si="759"/>
        <v>1</v>
      </c>
      <c r="I1949" s="121">
        <f t="shared" si="760"/>
        <v>1.06</v>
      </c>
      <c r="J1949" s="121">
        <f t="shared" si="761"/>
        <v>1.06</v>
      </c>
      <c r="K1949" s="120">
        <f t="shared" si="762"/>
        <v>0</v>
      </c>
      <c r="L1949" s="120">
        <f t="shared" si="763"/>
        <v>0</v>
      </c>
      <c r="M1949" s="246">
        <f t="shared" si="764"/>
        <v>0</v>
      </c>
      <c r="N1949" s="121">
        <f t="shared" si="765"/>
        <v>1.06</v>
      </c>
      <c r="O1949" s="246">
        <f t="shared" si="766"/>
        <v>0.9189934354485777</v>
      </c>
      <c r="P1949" s="121">
        <f t="shared" si="767"/>
        <v>0</v>
      </c>
      <c r="Q1949" s="121">
        <f t="shared" si="768"/>
        <v>0.25</v>
      </c>
      <c r="R1949" s="121">
        <f t="shared" si="769"/>
        <v>0.75</v>
      </c>
      <c r="S1949" s="121" t="str">
        <f t="shared" si="770"/>
        <v/>
      </c>
      <c r="T1949" s="121" t="str">
        <f t="shared" si="771"/>
        <v/>
      </c>
      <c r="U1949" s="121">
        <f t="shared" si="772"/>
        <v>1.06</v>
      </c>
    </row>
    <row r="1950" spans="1:21" x14ac:dyDescent="0.3">
      <c r="A1950" s="187">
        <v>36</v>
      </c>
      <c r="B1950" s="242">
        <f t="shared" si="773"/>
        <v>46722</v>
      </c>
      <c r="C1950" s="243">
        <f t="shared" si="754"/>
        <v>46752</v>
      </c>
      <c r="D1950" s="120">
        <f t="shared" si="755"/>
        <v>31</v>
      </c>
      <c r="E1950" s="120">
        <f t="shared" si="756"/>
        <v>12</v>
      </c>
      <c r="F1950" s="275">
        <f t="shared" si="757"/>
        <v>46737.5</v>
      </c>
      <c r="G1950" s="120">
        <f t="shared" si="758"/>
        <v>24335</v>
      </c>
      <c r="H1950" s="245">
        <f t="shared" si="759"/>
        <v>1</v>
      </c>
      <c r="I1950" s="121">
        <f t="shared" si="760"/>
        <v>1.06</v>
      </c>
      <c r="J1950" s="121">
        <f t="shared" si="761"/>
        <v>1.06</v>
      </c>
      <c r="K1950" s="120">
        <f t="shared" si="762"/>
        <v>0</v>
      </c>
      <c r="L1950" s="120">
        <f t="shared" si="763"/>
        <v>0</v>
      </c>
      <c r="M1950" s="246">
        <f t="shared" si="764"/>
        <v>0</v>
      </c>
      <c r="N1950" s="121">
        <f t="shared" si="765"/>
        <v>1.06</v>
      </c>
      <c r="O1950" s="246">
        <f t="shared" si="766"/>
        <v>0.9196608315098469</v>
      </c>
      <c r="P1950" s="121">
        <f t="shared" si="767"/>
        <v>0</v>
      </c>
      <c r="Q1950" s="121">
        <f t="shared" si="768"/>
        <v>8.3333333333333329E-2</v>
      </c>
      <c r="R1950" s="121">
        <f t="shared" si="769"/>
        <v>0.91666666666666663</v>
      </c>
      <c r="S1950" s="121" t="str">
        <f t="shared" si="770"/>
        <v/>
      </c>
      <c r="T1950" s="121" t="str">
        <f t="shared" si="771"/>
        <v/>
      </c>
      <c r="U1950" s="121">
        <f t="shared" si="772"/>
        <v>1.06</v>
      </c>
    </row>
    <row r="1951" spans="1:21" x14ac:dyDescent="0.3">
      <c r="A1951" s="187">
        <v>37</v>
      </c>
      <c r="B1951" s="242">
        <f t="shared" si="773"/>
        <v>46753</v>
      </c>
      <c r="C1951" s="243">
        <f t="shared" si="754"/>
        <v>46783</v>
      </c>
      <c r="D1951" s="120">
        <f t="shared" si="755"/>
        <v>31</v>
      </c>
      <c r="E1951" s="120">
        <f t="shared" si="756"/>
        <v>1</v>
      </c>
      <c r="F1951" s="275">
        <f t="shared" si="757"/>
        <v>46768.5</v>
      </c>
      <c r="G1951" s="120">
        <f t="shared" si="758"/>
        <v>24336</v>
      </c>
      <c r="H1951" s="245">
        <f t="shared" si="759"/>
        <v>1</v>
      </c>
      <c r="I1951" s="121">
        <f t="shared" si="760"/>
        <v>1.06</v>
      </c>
      <c r="J1951" s="121">
        <f t="shared" si="761"/>
        <v>1.06</v>
      </c>
      <c r="K1951" s="120">
        <f t="shared" si="762"/>
        <v>0</v>
      </c>
      <c r="L1951" s="120">
        <f t="shared" si="763"/>
        <v>0</v>
      </c>
      <c r="M1951" s="246">
        <f t="shared" si="764"/>
        <v>0</v>
      </c>
      <c r="N1951" s="121">
        <f t="shared" si="765"/>
        <v>1.06</v>
      </c>
      <c r="O1951" s="246">
        <f t="shared" si="766"/>
        <v>0.92</v>
      </c>
      <c r="P1951" s="121">
        <f t="shared" si="767"/>
        <v>0</v>
      </c>
      <c r="Q1951" s="121">
        <f t="shared" si="768"/>
        <v>0</v>
      </c>
      <c r="R1951" s="121">
        <f t="shared" si="769"/>
        <v>1</v>
      </c>
      <c r="S1951" s="121" t="str">
        <f t="shared" si="770"/>
        <v/>
      </c>
      <c r="T1951" s="121" t="str">
        <f t="shared" si="771"/>
        <v/>
      </c>
      <c r="U1951" s="121">
        <f t="shared" si="772"/>
        <v>1.06</v>
      </c>
    </row>
    <row r="1952" spans="1:21" x14ac:dyDescent="0.3">
      <c r="A1952" s="187">
        <v>38</v>
      </c>
      <c r="B1952" s="242">
        <f t="shared" si="773"/>
        <v>46784</v>
      </c>
      <c r="C1952" s="243">
        <f t="shared" si="754"/>
        <v>46812</v>
      </c>
      <c r="D1952" s="120">
        <f t="shared" si="755"/>
        <v>29</v>
      </c>
      <c r="E1952" s="120">
        <f t="shared" si="756"/>
        <v>2</v>
      </c>
      <c r="F1952" s="275">
        <f t="shared" si="757"/>
        <v>46798.5</v>
      </c>
      <c r="G1952" s="120">
        <f t="shared" si="758"/>
        <v>24337</v>
      </c>
      <c r="H1952" s="245">
        <f t="shared" si="759"/>
        <v>1</v>
      </c>
      <c r="I1952" s="121">
        <f t="shared" si="760"/>
        <v>1.06</v>
      </c>
      <c r="J1952" s="121">
        <f t="shared" si="761"/>
        <v>1.06</v>
      </c>
      <c r="K1952" s="120">
        <f t="shared" si="762"/>
        <v>0</v>
      </c>
      <c r="L1952" s="120">
        <f t="shared" si="763"/>
        <v>0</v>
      </c>
      <c r="M1952" s="246">
        <f t="shared" si="764"/>
        <v>0</v>
      </c>
      <c r="N1952" s="121">
        <f t="shared" si="765"/>
        <v>1.06</v>
      </c>
      <c r="O1952" s="246">
        <f t="shared" si="766"/>
        <v>0.92</v>
      </c>
      <c r="P1952" s="121">
        <f t="shared" si="767"/>
        <v>0</v>
      </c>
      <c r="Q1952" s="121">
        <f t="shared" si="768"/>
        <v>0</v>
      </c>
      <c r="R1952" s="121">
        <f t="shared" si="769"/>
        <v>1</v>
      </c>
      <c r="S1952" s="121" t="str">
        <f t="shared" si="770"/>
        <v/>
      </c>
      <c r="T1952" s="121" t="str">
        <f t="shared" si="771"/>
        <v/>
      </c>
      <c r="U1952" s="121">
        <f t="shared" si="772"/>
        <v>1.06</v>
      </c>
    </row>
    <row r="1953" spans="1:21" x14ac:dyDescent="0.3">
      <c r="A1953" s="187">
        <v>39</v>
      </c>
      <c r="B1953" s="242">
        <f t="shared" si="773"/>
        <v>46813</v>
      </c>
      <c r="C1953" s="243">
        <f t="shared" si="754"/>
        <v>46843</v>
      </c>
      <c r="D1953" s="120">
        <f t="shared" si="755"/>
        <v>31</v>
      </c>
      <c r="E1953" s="120">
        <f t="shared" si="756"/>
        <v>3</v>
      </c>
      <c r="F1953" s="275">
        <f t="shared" si="757"/>
        <v>46828.5</v>
      </c>
      <c r="G1953" s="120">
        <f t="shared" si="758"/>
        <v>24338</v>
      </c>
      <c r="H1953" s="245">
        <f t="shared" si="759"/>
        <v>1</v>
      </c>
      <c r="I1953" s="121">
        <f t="shared" si="760"/>
        <v>1.06</v>
      </c>
      <c r="J1953" s="121">
        <f t="shared" si="761"/>
        <v>1.06</v>
      </c>
      <c r="K1953" s="120">
        <f t="shared" si="762"/>
        <v>0</v>
      </c>
      <c r="L1953" s="120">
        <f t="shared" si="763"/>
        <v>0</v>
      </c>
      <c r="M1953" s="246">
        <f t="shared" si="764"/>
        <v>0</v>
      </c>
      <c r="N1953" s="121">
        <f t="shared" si="765"/>
        <v>1.06</v>
      </c>
      <c r="O1953" s="246">
        <f t="shared" si="766"/>
        <v>0.92</v>
      </c>
      <c r="P1953" s="121">
        <f t="shared" si="767"/>
        <v>0</v>
      </c>
      <c r="Q1953" s="121">
        <f t="shared" si="768"/>
        <v>0</v>
      </c>
      <c r="R1953" s="121">
        <f t="shared" si="769"/>
        <v>1</v>
      </c>
      <c r="S1953" s="121" t="str">
        <f t="shared" si="770"/>
        <v/>
      </c>
      <c r="T1953" s="121" t="str">
        <f t="shared" si="771"/>
        <v/>
      </c>
      <c r="U1953" s="121">
        <f t="shared" si="772"/>
        <v>1.06</v>
      </c>
    </row>
    <row r="1954" spans="1:21" x14ac:dyDescent="0.3">
      <c r="A1954" s="187">
        <v>40</v>
      </c>
      <c r="B1954" s="242">
        <f t="shared" si="773"/>
        <v>46844</v>
      </c>
      <c r="C1954" s="243">
        <f t="shared" si="754"/>
        <v>46873</v>
      </c>
      <c r="D1954" s="120">
        <f t="shared" si="755"/>
        <v>30</v>
      </c>
      <c r="E1954" s="120">
        <f t="shared" si="756"/>
        <v>4</v>
      </c>
      <c r="F1954" s="275">
        <f t="shared" si="757"/>
        <v>46859</v>
      </c>
      <c r="G1954" s="120">
        <f t="shared" si="758"/>
        <v>24339</v>
      </c>
      <c r="H1954" s="245">
        <f t="shared" si="759"/>
        <v>1</v>
      </c>
      <c r="I1954" s="121">
        <f t="shared" si="760"/>
        <v>1.06</v>
      </c>
      <c r="J1954" s="121">
        <f t="shared" si="761"/>
        <v>1.06</v>
      </c>
      <c r="K1954" s="120">
        <f t="shared" si="762"/>
        <v>0</v>
      </c>
      <c r="L1954" s="120">
        <f t="shared" si="763"/>
        <v>0</v>
      </c>
      <c r="M1954" s="246">
        <f t="shared" si="764"/>
        <v>0</v>
      </c>
      <c r="N1954" s="121">
        <f t="shared" si="765"/>
        <v>1.06</v>
      </c>
      <c r="O1954" s="246">
        <f t="shared" si="766"/>
        <v>0.92</v>
      </c>
      <c r="P1954" s="121">
        <f t="shared" si="767"/>
        <v>0</v>
      </c>
      <c r="Q1954" s="121">
        <f t="shared" si="768"/>
        <v>0</v>
      </c>
      <c r="R1954" s="121">
        <f t="shared" si="769"/>
        <v>1</v>
      </c>
      <c r="S1954" s="121" t="str">
        <f t="shared" si="770"/>
        <v/>
      </c>
      <c r="T1954" s="121" t="str">
        <f t="shared" si="771"/>
        <v/>
      </c>
      <c r="U1954" s="121">
        <f t="shared" si="772"/>
        <v>1.06</v>
      </c>
    </row>
    <row r="1955" spans="1:21" x14ac:dyDescent="0.3">
      <c r="A1955" s="187">
        <v>41</v>
      </c>
      <c r="B1955" s="242">
        <f t="shared" si="773"/>
        <v>46874</v>
      </c>
      <c r="C1955" s="243">
        <f t="shared" si="754"/>
        <v>46904</v>
      </c>
      <c r="D1955" s="120">
        <f t="shared" si="755"/>
        <v>31</v>
      </c>
      <c r="E1955" s="120">
        <f t="shared" si="756"/>
        <v>5</v>
      </c>
      <c r="F1955" s="275">
        <f t="shared" si="757"/>
        <v>46889.5</v>
      </c>
      <c r="G1955" s="120">
        <f t="shared" si="758"/>
        <v>24340</v>
      </c>
      <c r="H1955" s="245">
        <f t="shared" si="759"/>
        <v>1</v>
      </c>
      <c r="I1955" s="121">
        <f t="shared" si="760"/>
        <v>1.06</v>
      </c>
      <c r="J1955" s="121">
        <f t="shared" si="761"/>
        <v>1.06</v>
      </c>
      <c r="K1955" s="120">
        <f t="shared" si="762"/>
        <v>0</v>
      </c>
      <c r="L1955" s="120">
        <f t="shared" si="763"/>
        <v>0</v>
      </c>
      <c r="M1955" s="246">
        <f t="shared" si="764"/>
        <v>0</v>
      </c>
      <c r="N1955" s="121">
        <f t="shared" si="765"/>
        <v>1.06</v>
      </c>
      <c r="O1955" s="246">
        <f t="shared" si="766"/>
        <v>0.92</v>
      </c>
      <c r="P1955" s="121">
        <f t="shared" si="767"/>
        <v>0</v>
      </c>
      <c r="Q1955" s="121">
        <f t="shared" si="768"/>
        <v>0</v>
      </c>
      <c r="R1955" s="121">
        <f t="shared" si="769"/>
        <v>1</v>
      </c>
      <c r="S1955" s="121" t="str">
        <f t="shared" si="770"/>
        <v/>
      </c>
      <c r="T1955" s="121" t="str">
        <f t="shared" si="771"/>
        <v/>
      </c>
      <c r="U1955" s="121">
        <f t="shared" si="772"/>
        <v>1.06</v>
      </c>
    </row>
    <row r="1956" spans="1:21" x14ac:dyDescent="0.3">
      <c r="A1956" s="187">
        <v>42</v>
      </c>
      <c r="B1956" s="242">
        <f t="shared" si="773"/>
        <v>46905</v>
      </c>
      <c r="C1956" s="243">
        <f t="shared" si="754"/>
        <v>46934</v>
      </c>
      <c r="D1956" s="120">
        <f t="shared" si="755"/>
        <v>30</v>
      </c>
      <c r="E1956" s="120">
        <f t="shared" si="756"/>
        <v>6</v>
      </c>
      <c r="F1956" s="275">
        <f t="shared" si="757"/>
        <v>46920</v>
      </c>
      <c r="G1956" s="120">
        <f t="shared" si="758"/>
        <v>24341</v>
      </c>
      <c r="H1956" s="245">
        <f t="shared" si="759"/>
        <v>1</v>
      </c>
      <c r="I1956" s="121">
        <f t="shared" si="760"/>
        <v>1.06</v>
      </c>
      <c r="J1956" s="121">
        <f t="shared" si="761"/>
        <v>1.06</v>
      </c>
      <c r="K1956" s="120">
        <f t="shared" si="762"/>
        <v>0</v>
      </c>
      <c r="L1956" s="120">
        <f t="shared" si="763"/>
        <v>0</v>
      </c>
      <c r="M1956" s="246">
        <f t="shared" si="764"/>
        <v>0</v>
      </c>
      <c r="N1956" s="121">
        <f t="shared" si="765"/>
        <v>1.06</v>
      </c>
      <c r="O1956" s="246">
        <f t="shared" si="766"/>
        <v>0.92</v>
      </c>
      <c r="P1956" s="121">
        <f t="shared" si="767"/>
        <v>0</v>
      </c>
      <c r="Q1956" s="121">
        <f t="shared" si="768"/>
        <v>0</v>
      </c>
      <c r="R1956" s="121">
        <f t="shared" si="769"/>
        <v>1</v>
      </c>
      <c r="S1956" s="121" t="str">
        <f t="shared" si="770"/>
        <v/>
      </c>
      <c r="T1956" s="121" t="str">
        <f t="shared" si="771"/>
        <v/>
      </c>
      <c r="U1956" s="121">
        <f t="shared" si="772"/>
        <v>1.06</v>
      </c>
    </row>
    <row r="1957" spans="1:21" x14ac:dyDescent="0.3">
      <c r="A1957" s="187">
        <v>43</v>
      </c>
      <c r="B1957" s="242">
        <f t="shared" si="773"/>
        <v>46935</v>
      </c>
      <c r="C1957" s="243">
        <f t="shared" si="754"/>
        <v>46965</v>
      </c>
      <c r="D1957" s="120">
        <f t="shared" si="755"/>
        <v>31</v>
      </c>
      <c r="E1957" s="120">
        <f t="shared" si="756"/>
        <v>7</v>
      </c>
      <c r="F1957" s="275">
        <f t="shared" si="757"/>
        <v>46950.5</v>
      </c>
      <c r="G1957" s="120">
        <f t="shared" si="758"/>
        <v>24342</v>
      </c>
      <c r="H1957" s="245">
        <f t="shared" si="759"/>
        <v>1</v>
      </c>
      <c r="I1957" s="121">
        <f t="shared" si="760"/>
        <v>1.06</v>
      </c>
      <c r="J1957" s="121">
        <f t="shared" si="761"/>
        <v>1.06</v>
      </c>
      <c r="K1957" s="120">
        <f t="shared" si="762"/>
        <v>0</v>
      </c>
      <c r="L1957" s="120">
        <f t="shared" si="763"/>
        <v>0</v>
      </c>
      <c r="M1957" s="246">
        <f t="shared" si="764"/>
        <v>0</v>
      </c>
      <c r="N1957" s="121">
        <f t="shared" si="765"/>
        <v>1.06</v>
      </c>
      <c r="O1957" s="246">
        <f t="shared" si="766"/>
        <v>0.92</v>
      </c>
      <c r="P1957" s="121">
        <f t="shared" si="767"/>
        <v>0</v>
      </c>
      <c r="Q1957" s="121">
        <f t="shared" si="768"/>
        <v>0</v>
      </c>
      <c r="R1957" s="121">
        <f t="shared" si="769"/>
        <v>0.91666666666666663</v>
      </c>
      <c r="S1957" s="121" t="str">
        <f t="shared" si="770"/>
        <v/>
      </c>
      <c r="T1957" s="121" t="str">
        <f t="shared" si="771"/>
        <v/>
      </c>
      <c r="U1957" s="121">
        <f t="shared" si="772"/>
        <v>1.06</v>
      </c>
    </row>
    <row r="1958" spans="1:21" x14ac:dyDescent="0.3">
      <c r="A1958" s="187">
        <v>44</v>
      </c>
      <c r="B1958" s="242">
        <f t="shared" si="773"/>
        <v>46966</v>
      </c>
      <c r="C1958" s="243">
        <f t="shared" si="754"/>
        <v>46996</v>
      </c>
      <c r="D1958" s="120">
        <f t="shared" si="755"/>
        <v>31</v>
      </c>
      <c r="E1958" s="120">
        <f t="shared" si="756"/>
        <v>8</v>
      </c>
      <c r="F1958" s="275">
        <f t="shared" si="757"/>
        <v>46981.5</v>
      </c>
      <c r="G1958" s="120">
        <f t="shared" si="758"/>
        <v>24343</v>
      </c>
      <c r="H1958" s="245">
        <f t="shared" si="759"/>
        <v>1</v>
      </c>
      <c r="I1958" s="121">
        <f t="shared" si="760"/>
        <v>1.06</v>
      </c>
      <c r="J1958" s="121">
        <f t="shared" si="761"/>
        <v>1.06</v>
      </c>
      <c r="K1958" s="120">
        <f t="shared" si="762"/>
        <v>0</v>
      </c>
      <c r="L1958" s="120">
        <f t="shared" si="763"/>
        <v>0</v>
      </c>
      <c r="M1958" s="246">
        <f t="shared" si="764"/>
        <v>0</v>
      </c>
      <c r="N1958" s="121">
        <f t="shared" si="765"/>
        <v>1.06</v>
      </c>
      <c r="O1958" s="246">
        <f t="shared" si="766"/>
        <v>0.92</v>
      </c>
      <c r="P1958" s="121">
        <f t="shared" si="767"/>
        <v>0</v>
      </c>
      <c r="Q1958" s="121">
        <f t="shared" si="768"/>
        <v>0</v>
      </c>
      <c r="R1958" s="121">
        <f t="shared" si="769"/>
        <v>0.75</v>
      </c>
      <c r="S1958" s="121" t="str">
        <f t="shared" si="770"/>
        <v/>
      </c>
      <c r="T1958" s="121" t="str">
        <f t="shared" si="771"/>
        <v/>
      </c>
      <c r="U1958" s="121">
        <f t="shared" si="772"/>
        <v>1.06</v>
      </c>
    </row>
    <row r="1959" spans="1:21" x14ac:dyDescent="0.3">
      <c r="A1959" s="187">
        <v>45</v>
      </c>
      <c r="B1959" s="242">
        <f t="shared" si="773"/>
        <v>46997</v>
      </c>
      <c r="C1959" s="243">
        <f t="shared" si="754"/>
        <v>47026</v>
      </c>
      <c r="D1959" s="120">
        <f t="shared" si="755"/>
        <v>30</v>
      </c>
      <c r="E1959" s="120">
        <f t="shared" si="756"/>
        <v>9</v>
      </c>
      <c r="F1959" s="275">
        <f t="shared" si="757"/>
        <v>47012</v>
      </c>
      <c r="G1959" s="120">
        <f t="shared" si="758"/>
        <v>24344</v>
      </c>
      <c r="H1959" s="245">
        <f t="shared" si="759"/>
        <v>1</v>
      </c>
      <c r="I1959" s="121">
        <f t="shared" si="760"/>
        <v>1.06</v>
      </c>
      <c r="J1959" s="121">
        <f t="shared" si="761"/>
        <v>1.06</v>
      </c>
      <c r="K1959" s="120">
        <f t="shared" si="762"/>
        <v>0</v>
      </c>
      <c r="L1959" s="120">
        <f t="shared" si="763"/>
        <v>0</v>
      </c>
      <c r="M1959" s="246">
        <f t="shared" si="764"/>
        <v>0</v>
      </c>
      <c r="N1959" s="121">
        <f t="shared" si="765"/>
        <v>1.06</v>
      </c>
      <c r="O1959" s="246">
        <f t="shared" si="766"/>
        <v>0.92</v>
      </c>
      <c r="P1959" s="121">
        <f t="shared" si="767"/>
        <v>0</v>
      </c>
      <c r="Q1959" s="121">
        <f t="shared" si="768"/>
        <v>0</v>
      </c>
      <c r="R1959" s="121">
        <f t="shared" si="769"/>
        <v>0.58333333333333337</v>
      </c>
      <c r="S1959" s="121" t="str">
        <f t="shared" si="770"/>
        <v/>
      </c>
      <c r="T1959" s="121" t="str">
        <f t="shared" si="771"/>
        <v/>
      </c>
      <c r="U1959" s="121">
        <f t="shared" si="772"/>
        <v>1.06</v>
      </c>
    </row>
    <row r="1960" spans="1:21" x14ac:dyDescent="0.3">
      <c r="A1960" s="187">
        <v>46</v>
      </c>
      <c r="B1960" s="242">
        <f t="shared" si="773"/>
        <v>47027</v>
      </c>
      <c r="C1960" s="243">
        <f t="shared" si="754"/>
        <v>47057</v>
      </c>
      <c r="D1960" s="120">
        <f t="shared" si="755"/>
        <v>31</v>
      </c>
      <c r="E1960" s="120">
        <f t="shared" si="756"/>
        <v>10</v>
      </c>
      <c r="F1960" s="275">
        <f t="shared" si="757"/>
        <v>47042.5</v>
      </c>
      <c r="G1960" s="120">
        <f t="shared" si="758"/>
        <v>24345</v>
      </c>
      <c r="H1960" s="245">
        <f t="shared" si="759"/>
        <v>1</v>
      </c>
      <c r="I1960" s="121">
        <f t="shared" si="760"/>
        <v>1.06</v>
      </c>
      <c r="J1960" s="121">
        <f t="shared" si="761"/>
        <v>1.06</v>
      </c>
      <c r="K1960" s="120">
        <f t="shared" si="762"/>
        <v>0</v>
      </c>
      <c r="L1960" s="120">
        <f t="shared" si="763"/>
        <v>0</v>
      </c>
      <c r="M1960" s="246">
        <f t="shared" si="764"/>
        <v>0</v>
      </c>
      <c r="N1960" s="121">
        <f t="shared" si="765"/>
        <v>1.06</v>
      </c>
      <c r="O1960" s="246">
        <f t="shared" si="766"/>
        <v>0.92</v>
      </c>
      <c r="P1960" s="121">
        <f t="shared" si="767"/>
        <v>0</v>
      </c>
      <c r="Q1960" s="121">
        <f t="shared" si="768"/>
        <v>0</v>
      </c>
      <c r="R1960" s="121">
        <f t="shared" si="769"/>
        <v>0.41666666666666669</v>
      </c>
      <c r="S1960" s="121" t="str">
        <f t="shared" si="770"/>
        <v/>
      </c>
      <c r="T1960" s="121" t="str">
        <f t="shared" si="771"/>
        <v/>
      </c>
      <c r="U1960" s="121">
        <f t="shared" si="772"/>
        <v>1.06</v>
      </c>
    </row>
    <row r="1961" spans="1:21" x14ac:dyDescent="0.3">
      <c r="A1961" s="187">
        <v>47</v>
      </c>
      <c r="B1961" s="242">
        <f t="shared" si="773"/>
        <v>47058</v>
      </c>
      <c r="C1961" s="243">
        <f t="shared" si="754"/>
        <v>47087</v>
      </c>
      <c r="D1961" s="120">
        <f t="shared" si="755"/>
        <v>30</v>
      </c>
      <c r="E1961" s="120">
        <f t="shared" si="756"/>
        <v>11</v>
      </c>
      <c r="F1961" s="275">
        <f t="shared" si="757"/>
        <v>47073</v>
      </c>
      <c r="G1961" s="120">
        <f t="shared" si="758"/>
        <v>24346</v>
      </c>
      <c r="H1961" s="245">
        <f t="shared" si="759"/>
        <v>1</v>
      </c>
      <c r="I1961" s="121">
        <f t="shared" si="760"/>
        <v>1.06</v>
      </c>
      <c r="J1961" s="121">
        <f t="shared" si="761"/>
        <v>1.06</v>
      </c>
      <c r="K1961" s="120">
        <f t="shared" si="762"/>
        <v>0</v>
      </c>
      <c r="L1961" s="120">
        <f t="shared" si="763"/>
        <v>0</v>
      </c>
      <c r="M1961" s="246">
        <f t="shared" si="764"/>
        <v>0</v>
      </c>
      <c r="N1961" s="121">
        <f t="shared" si="765"/>
        <v>1.06</v>
      </c>
      <c r="O1961" s="246">
        <f t="shared" si="766"/>
        <v>0.92</v>
      </c>
      <c r="P1961" s="121">
        <f t="shared" si="767"/>
        <v>0</v>
      </c>
      <c r="Q1961" s="121">
        <f t="shared" si="768"/>
        <v>0</v>
      </c>
      <c r="R1961" s="121">
        <f t="shared" si="769"/>
        <v>0.25</v>
      </c>
      <c r="S1961" s="121" t="str">
        <f t="shared" si="770"/>
        <v/>
      </c>
      <c r="T1961" s="121" t="str">
        <f t="shared" si="771"/>
        <v/>
      </c>
      <c r="U1961" s="121">
        <f t="shared" si="772"/>
        <v>1.06</v>
      </c>
    </row>
    <row r="1962" spans="1:21" x14ac:dyDescent="0.3">
      <c r="A1962" s="187">
        <v>48</v>
      </c>
      <c r="B1962" s="242">
        <f t="shared" si="773"/>
        <v>47088</v>
      </c>
      <c r="C1962" s="243">
        <f t="shared" si="754"/>
        <v>47118</v>
      </c>
      <c r="D1962" s="120">
        <f t="shared" si="755"/>
        <v>31</v>
      </c>
      <c r="E1962" s="120">
        <f t="shared" si="756"/>
        <v>12</v>
      </c>
      <c r="F1962" s="275">
        <f t="shared" si="757"/>
        <v>47103.5</v>
      </c>
      <c r="G1962" s="120">
        <f t="shared" si="758"/>
        <v>24347</v>
      </c>
      <c r="H1962" s="245">
        <f t="shared" si="759"/>
        <v>1</v>
      </c>
      <c r="I1962" s="121">
        <f t="shared" si="760"/>
        <v>1.06</v>
      </c>
      <c r="J1962" s="121">
        <f t="shared" si="761"/>
        <v>1.06</v>
      </c>
      <c r="K1962" s="120">
        <f t="shared" si="762"/>
        <v>0</v>
      </c>
      <c r="L1962" s="120">
        <f t="shared" si="763"/>
        <v>0</v>
      </c>
      <c r="M1962" s="246">
        <f t="shared" si="764"/>
        <v>0</v>
      </c>
      <c r="N1962" s="121">
        <f t="shared" si="765"/>
        <v>1.06</v>
      </c>
      <c r="O1962" s="246">
        <f t="shared" si="766"/>
        <v>0.92</v>
      </c>
      <c r="P1962" s="121">
        <f t="shared" si="767"/>
        <v>0</v>
      </c>
      <c r="Q1962" s="121">
        <f t="shared" si="768"/>
        <v>0</v>
      </c>
      <c r="R1962" s="121">
        <f t="shared" si="769"/>
        <v>8.3333333333333329E-2</v>
      </c>
      <c r="S1962" s="121" t="str">
        <f t="shared" si="770"/>
        <v/>
      </c>
      <c r="T1962" s="121" t="str">
        <f t="shared" si="771"/>
        <v/>
      </c>
      <c r="U1962" s="121">
        <f t="shared" si="772"/>
        <v>1.06</v>
      </c>
    </row>
    <row r="1963" spans="1:21" x14ac:dyDescent="0.3">
      <c r="A1963" s="6" t="s">
        <v>1651</v>
      </c>
      <c r="B1963" s="73">
        <f>EXP(SUMPRODUCT((rl_key=$A$1912)*(rl_cons="Y")*rl_ln1p))</f>
        <v>1.06</v>
      </c>
      <c r="C1963" s="73">
        <f>SUMPRODUCT($H$1915:$H$1962,$P$1915:$P$1962,$U$1915:$U$1962)/SUMPRODUCT($H$1915:$H$1962,$P$1915:$P$1962)</f>
        <v>1.0016666666666667</v>
      </c>
      <c r="D1963" s="73">
        <f>SUMPRODUCT($H$1915:$H$1962,$Q$1915:$Q$1962,$U$1915:$U$1962)/SUMPRODUCT($H$1915:$H$1962,$Q$1915:$Q$1962)</f>
        <v>1.0533333333333335</v>
      </c>
      <c r="E1963" s="73">
        <f>SUMPRODUCT($H$1915:$H$1962,$R$1915:$R$1962,$U$1915:$U$1962)/SUMPRODUCT($H$1915:$H$1962,$R$1915:$R$1962)</f>
        <v>1.0600000000000003</v>
      </c>
      <c r="F1963" s="224">
        <f>SUMPRODUCT($H$1915:$H$1962,$Q$1915:$Q$1962,$O$1915:$O$1962)/SUMPRODUCT($H$1915:$H$1962,$Q$1915:$Q$1962)</f>
        <v>0.91399252370532447</v>
      </c>
      <c r="G1963" s="224">
        <f>SUMPRODUCT($H$1915:$H$1962,$R$1915:$R$1962,$O$1915:$O$1962)/SUMPRODUCT($H$1915:$H$1962,$R$1915:$R$1962)</f>
        <v>0.91966022368101141</v>
      </c>
      <c r="H1963" s="73">
        <f>SUMPRODUCT($H$1939:$H$1950,$N$1939:$N$1950/$N$1927:$N$1938)/SUM($H$1939:$H$1950)</f>
        <v>1.0500000000000003</v>
      </c>
      <c r="I1963" s="73">
        <f>SUMPRODUCT($H$1939:$H$1950,$O$1939:$O$1950/$O$1927:$O$1938)/SUM($H$1939:$H$1950)</f>
        <v>1.0087961468131064</v>
      </c>
      <c r="J1963" s="73">
        <f>IF($O$1912=1,SUMPRODUCT($H$1939:$H$1950,$N$1939:$N$1950/$N$1927:$N$1938*$O$1939:$O$1950/$O$1927:$O$1938)/SUM($H$1939:$H$1950),$H1963)</f>
        <v>1.0592362768738213</v>
      </c>
      <c r="K1963" s="73">
        <f>SUMPRODUCT($H$1915:$H$1962,$Q$1915:$Q$1962,$N$1915:$N$1962)/SUMPRODUCT($H$1915:$H$1962,$Q$1915:$Q$1962)</f>
        <v>1.0533333333333335</v>
      </c>
      <c r="L1963" s="73">
        <f>SUMPRODUCT($H$1915:$H$1962,$R$1915:$R$1962,$N$1915:$N$1962)/SUMPRODUCT($H$1915:$H$1962,$R$1915:$R$1962)</f>
        <v>1.0600000000000003</v>
      </c>
    </row>
    <row r="1966" spans="1:21" x14ac:dyDescent="0.3">
      <c r="A1966" s="6" t="str">
        <f>INDEX(lr_key,36)</f>
        <v>MM|OH</v>
      </c>
      <c r="B1966" s="6" t="str">
        <f>INDEX(lr_state,36)</f>
        <v>OH</v>
      </c>
      <c r="C1966" s="75">
        <f>nr_TermMonths</f>
        <v>6</v>
      </c>
      <c r="D1966" s="75">
        <f>IF(COUNTIF(se_state,$B1966)=0,0,MATCH($B1966,se_state,0))</f>
        <v>0</v>
      </c>
      <c r="E1966" s="70">
        <f>IF($D1966=0,0,INDEX(se_sum,$D1966))</f>
        <v>0</v>
      </c>
      <c r="F1966" s="224">
        <f>IF(N(INDEX(lr_mind,36))=0,1,INDEX(lr_mind,36))</f>
        <v>0.92</v>
      </c>
      <c r="G1966" s="224">
        <f>IF(N(INDEX(lr_m0,36))=0,1,INDEX(lr_m0,36))</f>
        <v>0.91</v>
      </c>
      <c r="H1966" s="74">
        <f>IF(N(INDEX(lr_m0asof,36))=0,DATE(nr_PlanYear-1,10,1),INDEX(lr_m0asof,36))</f>
        <v>46295</v>
      </c>
      <c r="I1966" s="224">
        <f>IF(N(INDEX(lr_m1,36))=0,1,INDEX(lr_m1,36))</f>
        <v>0.9</v>
      </c>
      <c r="J1966" s="224">
        <f>INDEX(lr_mprior,36)</f>
        <v>0</v>
      </c>
      <c r="K1966" s="224">
        <f>INDEX(lr_m2,36)</f>
        <v>0</v>
      </c>
      <c r="L1966" s="6" t="b">
        <f>NOT(ISBLANK(INDEX(lr_netp,36)))</f>
        <v>0</v>
      </c>
      <c r="M1966" s="72">
        <f>N(INDEX(lr_netp,36))</f>
        <v>0</v>
      </c>
      <c r="N1966" s="72">
        <f>IF(ISBLANK(INDEX(lr_netp1,36)),$M$1966,N(INDEX(lr_netp1,36)))</f>
        <v>0</v>
      </c>
      <c r="O1966" s="75">
        <f>IF(AND(nr_ModAdjMaster="ON",INDEX(lr_modadj,36)="ON"),1,0)</f>
        <v>1</v>
      </c>
    </row>
    <row r="1967" spans="1:21" x14ac:dyDescent="0.3">
      <c r="A1967" s="6">
        <f>EDATE($H$1966,-12)+1</f>
        <v>45931</v>
      </c>
      <c r="B1967" s="6">
        <f>$H$1966+1</f>
        <v>46296</v>
      </c>
      <c r="C1967" s="6">
        <f>DATE(nr_PlanYear,12,31)+1</f>
        <v>46753</v>
      </c>
      <c r="D1967" s="6">
        <f>DATE(nr_PlanYear+1,12,31)+1</f>
        <v>47119</v>
      </c>
      <c r="E1967" s="6">
        <f>IF(N($J$1966)=0,$F$1967-($G$1967-$F$1967)/($C$1967-$B$1967)*($B$1967-$A$1967),$J$1966)</f>
        <v>0.91798687089715536</v>
      </c>
      <c r="F1967" s="6">
        <f>$G$1966</f>
        <v>0.91</v>
      </c>
      <c r="G1967" s="6">
        <f>$I$1966</f>
        <v>0.9</v>
      </c>
      <c r="H1967" s="6">
        <f>IF(N($K$1966)=0,$I$1966,$K$1966)</f>
        <v>0.9</v>
      </c>
      <c r="I1967" s="6">
        <f>($F$1967-$E$1967)/($B$1967-$A$1967)</f>
        <v>-2.1881838074398162E-5</v>
      </c>
      <c r="J1967" s="6">
        <f>($G$1967-$F$1967)/($C$1967-$B$1967)</f>
        <v>-2.188183807439827E-5</v>
      </c>
      <c r="K1967" s="6">
        <f>($H$1967-$G$1967)/($D$1967-$C$1967)</f>
        <v>0</v>
      </c>
    </row>
    <row r="1968" spans="1:21" ht="36" x14ac:dyDescent="0.3">
      <c r="A1968" s="58" t="s">
        <v>390</v>
      </c>
      <c r="B1968" s="58" t="s">
        <v>449</v>
      </c>
      <c r="C1968" s="58" t="s">
        <v>685</v>
      </c>
      <c r="D1968" s="58" t="s">
        <v>686</v>
      </c>
      <c r="E1968" s="58" t="s">
        <v>687</v>
      </c>
      <c r="F1968" s="58" t="s">
        <v>688</v>
      </c>
      <c r="G1968" s="58" t="s">
        <v>689</v>
      </c>
      <c r="H1968" s="58" t="s">
        <v>452</v>
      </c>
      <c r="I1968" s="58" t="s">
        <v>690</v>
      </c>
      <c r="J1968" s="58" t="s">
        <v>691</v>
      </c>
      <c r="K1968" s="58" t="s">
        <v>692</v>
      </c>
      <c r="L1968" s="58" t="s">
        <v>693</v>
      </c>
      <c r="M1968" s="58" t="s">
        <v>694</v>
      </c>
      <c r="N1968" s="58" t="s">
        <v>695</v>
      </c>
      <c r="O1968" s="58" t="s">
        <v>696</v>
      </c>
      <c r="P1968" s="58" t="s">
        <v>697</v>
      </c>
      <c r="Q1968" s="58" t="s">
        <v>698</v>
      </c>
      <c r="R1968" s="58" t="s">
        <v>699</v>
      </c>
      <c r="S1968" s="58" t="s">
        <v>700</v>
      </c>
      <c r="T1968" s="58" t="s">
        <v>701</v>
      </c>
      <c r="U1968" s="58" t="s">
        <v>702</v>
      </c>
    </row>
    <row r="1969" spans="1:21" x14ac:dyDescent="0.3">
      <c r="A1969" s="187">
        <v>1</v>
      </c>
      <c r="B1969" s="242">
        <f>DATE(nr_PlanYear-2,1,1)</f>
        <v>45658</v>
      </c>
      <c r="C1969" s="243">
        <f t="shared" ref="C1969:C2016" si="774">EOMONTH($B1969,0)</f>
        <v>45688</v>
      </c>
      <c r="D1969" s="120">
        <f t="shared" ref="D1969:D2016" si="775">$C1969-$B1969+1</f>
        <v>31</v>
      </c>
      <c r="E1969" s="120">
        <f t="shared" ref="E1969:E2016" si="776">MONTH($B1969)</f>
        <v>1</v>
      </c>
      <c r="F1969" s="275">
        <f t="shared" ref="F1969:F2016" si="777">($B1969+$C1969+1)/2</f>
        <v>45673.5</v>
      </c>
      <c r="G1969" s="120">
        <f t="shared" ref="G1969:G2016" si="778">YEAR($B1969)*12+MONTH($B1969)-1</f>
        <v>24300</v>
      </c>
      <c r="H1969" s="245">
        <f t="shared" ref="H1969:H2016" si="779">IF(OR(nr_SeasonOn="OFF",$D$1966=0,$E$1966=0),1,12*INDEX(se_block,$D$1966,$E1969)/$E$1966)</f>
        <v>1</v>
      </c>
      <c r="I1969" s="121">
        <f t="shared" ref="I1969:I2016" si="780">EXP(SUMPRODUCT((rl_eff&lt;$B1969)*(rl_key=$A$1966)*rl_ln1p))</f>
        <v>1</v>
      </c>
      <c r="J1969" s="121">
        <f t="shared" ref="J1969:J2016" si="781">EXP(SUMPRODUCT((rl_eff&lt;=$C1969)*(rl_key=$A$1966)*rl_ln1p))</f>
        <v>1</v>
      </c>
      <c r="K1969" s="120">
        <f t="shared" ref="K1969:K2016" si="782">COUNTIFS(rl_key,$A$1966,rl_eff,"&gt;="&amp;$B1969,rl_eff,"&lt;="&amp;$C1969)</f>
        <v>0</v>
      </c>
      <c r="L1969" s="120">
        <f t="shared" ref="L1969:L2016" si="783">SUMIFS(rl_daysafter,rl_key,$A$1966,rl_effmonth,$B1969,rl_first,1)</f>
        <v>0</v>
      </c>
      <c r="M1969" s="246">
        <f t="shared" ref="M1969:M2016" si="784">IF($K1969=0,0,MIN(1,$L1969/$D1969))</f>
        <v>0</v>
      </c>
      <c r="N1969" s="121">
        <f t="shared" ref="N1969:N2016" si="785">IF($K1969=0,$J1969,(1-$M1969)*$I1969+$M1969*$J1969)</f>
        <v>1</v>
      </c>
      <c r="O1969" s="246">
        <f t="shared" ref="O1969:O2016" si="786">IF($F1969&lt;$B$1967,$E$1967+$I$1967*($F1969-$A$1967),IF($F1969&lt;$C$1967,$F$1967+$J$1967*($F1969-$B$1967),$G$1967+$K$1967*($F1969-$C$1967)))</f>
        <v>0.92362144420131287</v>
      </c>
      <c r="P1969" s="121">
        <f t="shared" ref="P1969:P2016" si="787">MIN(1,MAX(0,(nr_MEndPm1-$G1969+0.5)/$C$1966))-MIN(1,MAX(0,(nr_MStartPm1-1-$G1969+0.5)/$C$1966))</f>
        <v>0</v>
      </c>
      <c r="Q1969" s="121">
        <f t="shared" ref="Q1969:Q2016" si="788">MIN(1,MAX(0,(nr_MEndP-$G1969+0.5)/$C$1966))-MIN(1,MAX(0,(nr_MStartP-1-$G1969+0.5)/$C$1966))</f>
        <v>0</v>
      </c>
      <c r="R1969" s="121">
        <f t="shared" ref="R1969:R2016" si="789">MIN(1,MAX(0,(nr_MEndP1-$G1969+0.5)/$C$1966))-MIN(1,MAX(0,(nr_MStartP1-1-$G1969+0.5)/$C$1966))</f>
        <v>0</v>
      </c>
      <c r="S1969" s="121" t="str">
        <f t="shared" ref="S1969:S2016" si="790">IF($L$1966,$N1969*IF($O$1966=1,$O1969/$F$1966,1),"")</f>
        <v/>
      </c>
      <c r="T1969" s="121" t="str">
        <f t="shared" ref="T1969:T2016" si="791">IF(NOT($L$1966),"",IF($G1969&lt;nr_MStartP,$S1969,$T1957*(1+IF($G1969&lt;nr_MStartP1,$M$1966,$N$1966))))</f>
        <v/>
      </c>
      <c r="U1969" s="121">
        <f t="shared" ref="U1969:U2016" si="792">IF($L$1966,$T1969,$N1969)</f>
        <v>1</v>
      </c>
    </row>
    <row r="1970" spans="1:21" x14ac:dyDescent="0.3">
      <c r="A1970" s="187">
        <v>2</v>
      </c>
      <c r="B1970" s="242">
        <f t="shared" ref="B1970:B2016" si="793">EDATE($B1969,1)</f>
        <v>45689</v>
      </c>
      <c r="C1970" s="243">
        <f t="shared" si="774"/>
        <v>45716</v>
      </c>
      <c r="D1970" s="120">
        <f t="shared" si="775"/>
        <v>28</v>
      </c>
      <c r="E1970" s="120">
        <f t="shared" si="776"/>
        <v>2</v>
      </c>
      <c r="F1970" s="275">
        <f t="shared" si="777"/>
        <v>45703</v>
      </c>
      <c r="G1970" s="120">
        <f t="shared" si="778"/>
        <v>24301</v>
      </c>
      <c r="H1970" s="245">
        <f t="shared" si="779"/>
        <v>1</v>
      </c>
      <c r="I1970" s="121">
        <f t="shared" si="780"/>
        <v>1</v>
      </c>
      <c r="J1970" s="121">
        <f t="shared" si="781"/>
        <v>1</v>
      </c>
      <c r="K1970" s="120">
        <f t="shared" si="782"/>
        <v>0</v>
      </c>
      <c r="L1970" s="120">
        <f t="shared" si="783"/>
        <v>0</v>
      </c>
      <c r="M1970" s="246">
        <f t="shared" si="784"/>
        <v>0</v>
      </c>
      <c r="N1970" s="121">
        <f t="shared" si="785"/>
        <v>1</v>
      </c>
      <c r="O1970" s="246">
        <f t="shared" si="786"/>
        <v>0.92297592997811817</v>
      </c>
      <c r="P1970" s="121">
        <f t="shared" si="787"/>
        <v>0</v>
      </c>
      <c r="Q1970" s="121">
        <f t="shared" si="788"/>
        <v>0</v>
      </c>
      <c r="R1970" s="121">
        <f t="shared" si="789"/>
        <v>0</v>
      </c>
      <c r="S1970" s="121" t="str">
        <f t="shared" si="790"/>
        <v/>
      </c>
      <c r="T1970" s="121" t="str">
        <f t="shared" si="791"/>
        <v/>
      </c>
      <c r="U1970" s="121">
        <f t="shared" si="792"/>
        <v>1</v>
      </c>
    </row>
    <row r="1971" spans="1:21" x14ac:dyDescent="0.3">
      <c r="A1971" s="187">
        <v>3</v>
      </c>
      <c r="B1971" s="242">
        <f t="shared" si="793"/>
        <v>45717</v>
      </c>
      <c r="C1971" s="243">
        <f t="shared" si="774"/>
        <v>45747</v>
      </c>
      <c r="D1971" s="120">
        <f t="shared" si="775"/>
        <v>31</v>
      </c>
      <c r="E1971" s="120">
        <f t="shared" si="776"/>
        <v>3</v>
      </c>
      <c r="F1971" s="275">
        <f t="shared" si="777"/>
        <v>45732.5</v>
      </c>
      <c r="G1971" s="120">
        <f t="shared" si="778"/>
        <v>24302</v>
      </c>
      <c r="H1971" s="245">
        <f t="shared" si="779"/>
        <v>1</v>
      </c>
      <c r="I1971" s="121">
        <f t="shared" si="780"/>
        <v>1</v>
      </c>
      <c r="J1971" s="121">
        <f t="shared" si="781"/>
        <v>1</v>
      </c>
      <c r="K1971" s="120">
        <f t="shared" si="782"/>
        <v>0</v>
      </c>
      <c r="L1971" s="120">
        <f t="shared" si="783"/>
        <v>0</v>
      </c>
      <c r="M1971" s="246">
        <f t="shared" si="784"/>
        <v>0</v>
      </c>
      <c r="N1971" s="121">
        <f t="shared" si="785"/>
        <v>1</v>
      </c>
      <c r="O1971" s="246">
        <f t="shared" si="786"/>
        <v>0.92233041575492336</v>
      </c>
      <c r="P1971" s="121">
        <f t="shared" si="787"/>
        <v>0</v>
      </c>
      <c r="Q1971" s="121">
        <f t="shared" si="788"/>
        <v>0</v>
      </c>
      <c r="R1971" s="121">
        <f t="shared" si="789"/>
        <v>0</v>
      </c>
      <c r="S1971" s="121" t="str">
        <f t="shared" si="790"/>
        <v/>
      </c>
      <c r="T1971" s="121" t="str">
        <f t="shared" si="791"/>
        <v/>
      </c>
      <c r="U1971" s="121">
        <f t="shared" si="792"/>
        <v>1</v>
      </c>
    </row>
    <row r="1972" spans="1:21" x14ac:dyDescent="0.3">
      <c r="A1972" s="187">
        <v>4</v>
      </c>
      <c r="B1972" s="242">
        <f t="shared" si="793"/>
        <v>45748</v>
      </c>
      <c r="C1972" s="243">
        <f t="shared" si="774"/>
        <v>45777</v>
      </c>
      <c r="D1972" s="120">
        <f t="shared" si="775"/>
        <v>30</v>
      </c>
      <c r="E1972" s="120">
        <f t="shared" si="776"/>
        <v>4</v>
      </c>
      <c r="F1972" s="275">
        <f t="shared" si="777"/>
        <v>45763</v>
      </c>
      <c r="G1972" s="120">
        <f t="shared" si="778"/>
        <v>24303</v>
      </c>
      <c r="H1972" s="245">
        <f t="shared" si="779"/>
        <v>1</v>
      </c>
      <c r="I1972" s="121">
        <f t="shared" si="780"/>
        <v>1</v>
      </c>
      <c r="J1972" s="121">
        <f t="shared" si="781"/>
        <v>1</v>
      </c>
      <c r="K1972" s="120">
        <f t="shared" si="782"/>
        <v>0</v>
      </c>
      <c r="L1972" s="120">
        <f t="shared" si="783"/>
        <v>0</v>
      </c>
      <c r="M1972" s="246">
        <f t="shared" si="784"/>
        <v>0</v>
      </c>
      <c r="N1972" s="121">
        <f t="shared" si="785"/>
        <v>1</v>
      </c>
      <c r="O1972" s="246">
        <f t="shared" si="786"/>
        <v>0.92166301969365427</v>
      </c>
      <c r="P1972" s="121">
        <f t="shared" si="787"/>
        <v>0</v>
      </c>
      <c r="Q1972" s="121">
        <f t="shared" si="788"/>
        <v>0</v>
      </c>
      <c r="R1972" s="121">
        <f t="shared" si="789"/>
        <v>0</v>
      </c>
      <c r="S1972" s="121" t="str">
        <f t="shared" si="790"/>
        <v/>
      </c>
      <c r="T1972" s="121" t="str">
        <f t="shared" si="791"/>
        <v/>
      </c>
      <c r="U1972" s="121">
        <f t="shared" si="792"/>
        <v>1</v>
      </c>
    </row>
    <row r="1973" spans="1:21" x14ac:dyDescent="0.3">
      <c r="A1973" s="187">
        <v>5</v>
      </c>
      <c r="B1973" s="242">
        <f t="shared" si="793"/>
        <v>45778</v>
      </c>
      <c r="C1973" s="243">
        <f t="shared" si="774"/>
        <v>45808</v>
      </c>
      <c r="D1973" s="120">
        <f t="shared" si="775"/>
        <v>31</v>
      </c>
      <c r="E1973" s="120">
        <f t="shared" si="776"/>
        <v>5</v>
      </c>
      <c r="F1973" s="275">
        <f t="shared" si="777"/>
        <v>45793.5</v>
      </c>
      <c r="G1973" s="120">
        <f t="shared" si="778"/>
        <v>24304</v>
      </c>
      <c r="H1973" s="245">
        <f t="shared" si="779"/>
        <v>1</v>
      </c>
      <c r="I1973" s="121">
        <f t="shared" si="780"/>
        <v>1</v>
      </c>
      <c r="J1973" s="121">
        <f t="shared" si="781"/>
        <v>1</v>
      </c>
      <c r="K1973" s="120">
        <f t="shared" si="782"/>
        <v>0</v>
      </c>
      <c r="L1973" s="120">
        <f t="shared" si="783"/>
        <v>0</v>
      </c>
      <c r="M1973" s="246">
        <f t="shared" si="784"/>
        <v>0</v>
      </c>
      <c r="N1973" s="121">
        <f t="shared" si="785"/>
        <v>1</v>
      </c>
      <c r="O1973" s="246">
        <f t="shared" si="786"/>
        <v>0.92099562363238507</v>
      </c>
      <c r="P1973" s="121">
        <f t="shared" si="787"/>
        <v>0</v>
      </c>
      <c r="Q1973" s="121">
        <f t="shared" si="788"/>
        <v>0</v>
      </c>
      <c r="R1973" s="121">
        <f t="shared" si="789"/>
        <v>0</v>
      </c>
      <c r="S1973" s="121" t="str">
        <f t="shared" si="790"/>
        <v/>
      </c>
      <c r="T1973" s="121" t="str">
        <f t="shared" si="791"/>
        <v/>
      </c>
      <c r="U1973" s="121">
        <f t="shared" si="792"/>
        <v>1</v>
      </c>
    </row>
    <row r="1974" spans="1:21" x14ac:dyDescent="0.3">
      <c r="A1974" s="187">
        <v>6</v>
      </c>
      <c r="B1974" s="242">
        <f t="shared" si="793"/>
        <v>45809</v>
      </c>
      <c r="C1974" s="243">
        <f t="shared" si="774"/>
        <v>45838</v>
      </c>
      <c r="D1974" s="120">
        <f t="shared" si="775"/>
        <v>30</v>
      </c>
      <c r="E1974" s="120">
        <f t="shared" si="776"/>
        <v>6</v>
      </c>
      <c r="F1974" s="275">
        <f t="shared" si="777"/>
        <v>45824</v>
      </c>
      <c r="G1974" s="120">
        <f t="shared" si="778"/>
        <v>24305</v>
      </c>
      <c r="H1974" s="245">
        <f t="shared" si="779"/>
        <v>1</v>
      </c>
      <c r="I1974" s="121">
        <f t="shared" si="780"/>
        <v>1</v>
      </c>
      <c r="J1974" s="121">
        <f t="shared" si="781"/>
        <v>1</v>
      </c>
      <c r="K1974" s="120">
        <f t="shared" si="782"/>
        <v>0</v>
      </c>
      <c r="L1974" s="120">
        <f t="shared" si="783"/>
        <v>0</v>
      </c>
      <c r="M1974" s="246">
        <f t="shared" si="784"/>
        <v>0</v>
      </c>
      <c r="N1974" s="121">
        <f t="shared" si="785"/>
        <v>1</v>
      </c>
      <c r="O1974" s="246">
        <f t="shared" si="786"/>
        <v>0.92032822757111599</v>
      </c>
      <c r="P1974" s="121">
        <f t="shared" si="787"/>
        <v>0</v>
      </c>
      <c r="Q1974" s="121">
        <f t="shared" si="788"/>
        <v>0</v>
      </c>
      <c r="R1974" s="121">
        <f t="shared" si="789"/>
        <v>0</v>
      </c>
      <c r="S1974" s="121" t="str">
        <f t="shared" si="790"/>
        <v/>
      </c>
      <c r="T1974" s="121" t="str">
        <f t="shared" si="791"/>
        <v/>
      </c>
      <c r="U1974" s="121">
        <f t="shared" si="792"/>
        <v>1</v>
      </c>
    </row>
    <row r="1975" spans="1:21" x14ac:dyDescent="0.3">
      <c r="A1975" s="187">
        <v>7</v>
      </c>
      <c r="B1975" s="242">
        <f t="shared" si="793"/>
        <v>45839</v>
      </c>
      <c r="C1975" s="243">
        <f t="shared" si="774"/>
        <v>45869</v>
      </c>
      <c r="D1975" s="120">
        <f t="shared" si="775"/>
        <v>31</v>
      </c>
      <c r="E1975" s="120">
        <f t="shared" si="776"/>
        <v>7</v>
      </c>
      <c r="F1975" s="275">
        <f t="shared" si="777"/>
        <v>45854.5</v>
      </c>
      <c r="G1975" s="120">
        <f t="shared" si="778"/>
        <v>24306</v>
      </c>
      <c r="H1975" s="245">
        <f t="shared" si="779"/>
        <v>1</v>
      </c>
      <c r="I1975" s="121">
        <f t="shared" si="780"/>
        <v>1</v>
      </c>
      <c r="J1975" s="121">
        <f t="shared" si="781"/>
        <v>1</v>
      </c>
      <c r="K1975" s="120">
        <f t="shared" si="782"/>
        <v>0</v>
      </c>
      <c r="L1975" s="120">
        <f t="shared" si="783"/>
        <v>0</v>
      </c>
      <c r="M1975" s="246">
        <f t="shared" si="784"/>
        <v>0</v>
      </c>
      <c r="N1975" s="121">
        <f t="shared" si="785"/>
        <v>1</v>
      </c>
      <c r="O1975" s="246">
        <f t="shared" si="786"/>
        <v>0.91966083150984679</v>
      </c>
      <c r="P1975" s="121">
        <f t="shared" si="787"/>
        <v>8.333333333333337E-2</v>
      </c>
      <c r="Q1975" s="121">
        <f t="shared" si="788"/>
        <v>0</v>
      </c>
      <c r="R1975" s="121">
        <f t="shared" si="789"/>
        <v>0</v>
      </c>
      <c r="S1975" s="121" t="str">
        <f t="shared" si="790"/>
        <v/>
      </c>
      <c r="T1975" s="121" t="str">
        <f t="shared" si="791"/>
        <v/>
      </c>
      <c r="U1975" s="121">
        <f t="shared" si="792"/>
        <v>1</v>
      </c>
    </row>
    <row r="1976" spans="1:21" x14ac:dyDescent="0.3">
      <c r="A1976" s="187">
        <v>8</v>
      </c>
      <c r="B1976" s="242">
        <f t="shared" si="793"/>
        <v>45870</v>
      </c>
      <c r="C1976" s="243">
        <f t="shared" si="774"/>
        <v>45900</v>
      </c>
      <c r="D1976" s="120">
        <f t="shared" si="775"/>
        <v>31</v>
      </c>
      <c r="E1976" s="120">
        <f t="shared" si="776"/>
        <v>8</v>
      </c>
      <c r="F1976" s="275">
        <f t="shared" si="777"/>
        <v>45885.5</v>
      </c>
      <c r="G1976" s="120">
        <f t="shared" si="778"/>
        <v>24307</v>
      </c>
      <c r="H1976" s="245">
        <f t="shared" si="779"/>
        <v>1</v>
      </c>
      <c r="I1976" s="121">
        <f t="shared" si="780"/>
        <v>1</v>
      </c>
      <c r="J1976" s="121">
        <f t="shared" si="781"/>
        <v>1</v>
      </c>
      <c r="K1976" s="120">
        <f t="shared" si="782"/>
        <v>0</v>
      </c>
      <c r="L1976" s="120">
        <f t="shared" si="783"/>
        <v>0</v>
      </c>
      <c r="M1976" s="246">
        <f t="shared" si="784"/>
        <v>0</v>
      </c>
      <c r="N1976" s="121">
        <f t="shared" si="785"/>
        <v>1</v>
      </c>
      <c r="O1976" s="246">
        <f t="shared" si="786"/>
        <v>0.91898249452954051</v>
      </c>
      <c r="P1976" s="121">
        <f t="shared" si="787"/>
        <v>0.25</v>
      </c>
      <c r="Q1976" s="121">
        <f t="shared" si="788"/>
        <v>0</v>
      </c>
      <c r="R1976" s="121">
        <f t="shared" si="789"/>
        <v>0</v>
      </c>
      <c r="S1976" s="121" t="str">
        <f t="shared" si="790"/>
        <v/>
      </c>
      <c r="T1976" s="121" t="str">
        <f t="shared" si="791"/>
        <v/>
      </c>
      <c r="U1976" s="121">
        <f t="shared" si="792"/>
        <v>1</v>
      </c>
    </row>
    <row r="1977" spans="1:21" x14ac:dyDescent="0.3">
      <c r="A1977" s="187">
        <v>9</v>
      </c>
      <c r="B1977" s="242">
        <f t="shared" si="793"/>
        <v>45901</v>
      </c>
      <c r="C1977" s="243">
        <f t="shared" si="774"/>
        <v>45930</v>
      </c>
      <c r="D1977" s="120">
        <f t="shared" si="775"/>
        <v>30</v>
      </c>
      <c r="E1977" s="120">
        <f t="shared" si="776"/>
        <v>9</v>
      </c>
      <c r="F1977" s="275">
        <f t="shared" si="777"/>
        <v>45916</v>
      </c>
      <c r="G1977" s="120">
        <f t="shared" si="778"/>
        <v>24308</v>
      </c>
      <c r="H1977" s="245">
        <f t="shared" si="779"/>
        <v>1</v>
      </c>
      <c r="I1977" s="121">
        <f t="shared" si="780"/>
        <v>1</v>
      </c>
      <c r="J1977" s="121">
        <f t="shared" si="781"/>
        <v>1</v>
      </c>
      <c r="K1977" s="120">
        <f t="shared" si="782"/>
        <v>0</v>
      </c>
      <c r="L1977" s="120">
        <f t="shared" si="783"/>
        <v>0</v>
      </c>
      <c r="M1977" s="246">
        <f t="shared" si="784"/>
        <v>0</v>
      </c>
      <c r="N1977" s="121">
        <f t="shared" si="785"/>
        <v>1</v>
      </c>
      <c r="O1977" s="246">
        <f t="shared" si="786"/>
        <v>0.91831509846827131</v>
      </c>
      <c r="P1977" s="121">
        <f t="shared" si="787"/>
        <v>0.41666666666666663</v>
      </c>
      <c r="Q1977" s="121">
        <f t="shared" si="788"/>
        <v>0</v>
      </c>
      <c r="R1977" s="121">
        <f t="shared" si="789"/>
        <v>0</v>
      </c>
      <c r="S1977" s="121" t="str">
        <f t="shared" si="790"/>
        <v/>
      </c>
      <c r="T1977" s="121" t="str">
        <f t="shared" si="791"/>
        <v/>
      </c>
      <c r="U1977" s="121">
        <f t="shared" si="792"/>
        <v>1</v>
      </c>
    </row>
    <row r="1978" spans="1:21" x14ac:dyDescent="0.3">
      <c r="A1978" s="187">
        <v>10</v>
      </c>
      <c r="B1978" s="242">
        <f t="shared" si="793"/>
        <v>45931</v>
      </c>
      <c r="C1978" s="243">
        <f t="shared" si="774"/>
        <v>45961</v>
      </c>
      <c r="D1978" s="120">
        <f t="shared" si="775"/>
        <v>31</v>
      </c>
      <c r="E1978" s="120">
        <f t="shared" si="776"/>
        <v>10</v>
      </c>
      <c r="F1978" s="275">
        <f t="shared" si="777"/>
        <v>45946.5</v>
      </c>
      <c r="G1978" s="120">
        <f t="shared" si="778"/>
        <v>24309</v>
      </c>
      <c r="H1978" s="245">
        <f t="shared" si="779"/>
        <v>1</v>
      </c>
      <c r="I1978" s="121">
        <f t="shared" si="780"/>
        <v>1</v>
      </c>
      <c r="J1978" s="121">
        <f t="shared" si="781"/>
        <v>1</v>
      </c>
      <c r="K1978" s="120">
        <f t="shared" si="782"/>
        <v>0</v>
      </c>
      <c r="L1978" s="120">
        <f t="shared" si="783"/>
        <v>0</v>
      </c>
      <c r="M1978" s="246">
        <f t="shared" si="784"/>
        <v>0</v>
      </c>
      <c r="N1978" s="121">
        <f t="shared" si="785"/>
        <v>1</v>
      </c>
      <c r="O1978" s="246">
        <f t="shared" si="786"/>
        <v>0.91764770240700222</v>
      </c>
      <c r="P1978" s="121">
        <f t="shared" si="787"/>
        <v>0.58333333333333326</v>
      </c>
      <c r="Q1978" s="121">
        <f t="shared" si="788"/>
        <v>0</v>
      </c>
      <c r="R1978" s="121">
        <f t="shared" si="789"/>
        <v>0</v>
      </c>
      <c r="S1978" s="121" t="str">
        <f t="shared" si="790"/>
        <v/>
      </c>
      <c r="T1978" s="121" t="str">
        <f t="shared" si="791"/>
        <v/>
      </c>
      <c r="U1978" s="121">
        <f t="shared" si="792"/>
        <v>1</v>
      </c>
    </row>
    <row r="1979" spans="1:21" x14ac:dyDescent="0.3">
      <c r="A1979" s="187">
        <v>11</v>
      </c>
      <c r="B1979" s="242">
        <f t="shared" si="793"/>
        <v>45962</v>
      </c>
      <c r="C1979" s="243">
        <f t="shared" si="774"/>
        <v>45991</v>
      </c>
      <c r="D1979" s="120">
        <f t="shared" si="775"/>
        <v>30</v>
      </c>
      <c r="E1979" s="120">
        <f t="shared" si="776"/>
        <v>11</v>
      </c>
      <c r="F1979" s="275">
        <f t="shared" si="777"/>
        <v>45977</v>
      </c>
      <c r="G1979" s="120">
        <f t="shared" si="778"/>
        <v>24310</v>
      </c>
      <c r="H1979" s="245">
        <f t="shared" si="779"/>
        <v>1</v>
      </c>
      <c r="I1979" s="121">
        <f t="shared" si="780"/>
        <v>1</v>
      </c>
      <c r="J1979" s="121">
        <f t="shared" si="781"/>
        <v>1</v>
      </c>
      <c r="K1979" s="120">
        <f t="shared" si="782"/>
        <v>0</v>
      </c>
      <c r="L1979" s="120">
        <f t="shared" si="783"/>
        <v>0</v>
      </c>
      <c r="M1979" s="246">
        <f t="shared" si="784"/>
        <v>0</v>
      </c>
      <c r="N1979" s="121">
        <f t="shared" si="785"/>
        <v>1</v>
      </c>
      <c r="O1979" s="246">
        <f t="shared" si="786"/>
        <v>0.91698030634573302</v>
      </c>
      <c r="P1979" s="121">
        <f t="shared" si="787"/>
        <v>0.75</v>
      </c>
      <c r="Q1979" s="121">
        <f t="shared" si="788"/>
        <v>0</v>
      </c>
      <c r="R1979" s="121">
        <f t="shared" si="789"/>
        <v>0</v>
      </c>
      <c r="S1979" s="121" t="str">
        <f t="shared" si="790"/>
        <v/>
      </c>
      <c r="T1979" s="121" t="str">
        <f t="shared" si="791"/>
        <v/>
      </c>
      <c r="U1979" s="121">
        <f t="shared" si="792"/>
        <v>1</v>
      </c>
    </row>
    <row r="1980" spans="1:21" x14ac:dyDescent="0.3">
      <c r="A1980" s="187">
        <v>12</v>
      </c>
      <c r="B1980" s="242">
        <f t="shared" si="793"/>
        <v>45992</v>
      </c>
      <c r="C1980" s="243">
        <f t="shared" si="774"/>
        <v>46022</v>
      </c>
      <c r="D1980" s="120">
        <f t="shared" si="775"/>
        <v>31</v>
      </c>
      <c r="E1980" s="120">
        <f t="shared" si="776"/>
        <v>12</v>
      </c>
      <c r="F1980" s="275">
        <f t="shared" si="777"/>
        <v>46007.5</v>
      </c>
      <c r="G1980" s="120">
        <f t="shared" si="778"/>
        <v>24311</v>
      </c>
      <c r="H1980" s="245">
        <f t="shared" si="779"/>
        <v>1</v>
      </c>
      <c r="I1980" s="121">
        <f t="shared" si="780"/>
        <v>1</v>
      </c>
      <c r="J1980" s="121">
        <f t="shared" si="781"/>
        <v>1</v>
      </c>
      <c r="K1980" s="120">
        <f t="shared" si="782"/>
        <v>0</v>
      </c>
      <c r="L1980" s="120">
        <f t="shared" si="783"/>
        <v>0</v>
      </c>
      <c r="M1980" s="246">
        <f t="shared" si="784"/>
        <v>0</v>
      </c>
      <c r="N1980" s="121">
        <f t="shared" si="785"/>
        <v>1</v>
      </c>
      <c r="O1980" s="246">
        <f t="shared" si="786"/>
        <v>0.91631291028446393</v>
      </c>
      <c r="P1980" s="121">
        <f t="shared" si="787"/>
        <v>0.91666666666666663</v>
      </c>
      <c r="Q1980" s="121">
        <f t="shared" si="788"/>
        <v>0</v>
      </c>
      <c r="R1980" s="121">
        <f t="shared" si="789"/>
        <v>0</v>
      </c>
      <c r="S1980" s="121" t="str">
        <f t="shared" si="790"/>
        <v/>
      </c>
      <c r="T1980" s="121" t="str">
        <f t="shared" si="791"/>
        <v/>
      </c>
      <c r="U1980" s="121">
        <f t="shared" si="792"/>
        <v>1</v>
      </c>
    </row>
    <row r="1981" spans="1:21" x14ac:dyDescent="0.3">
      <c r="A1981" s="187">
        <v>13</v>
      </c>
      <c r="B1981" s="242">
        <f t="shared" si="793"/>
        <v>46023</v>
      </c>
      <c r="C1981" s="243">
        <f t="shared" si="774"/>
        <v>46053</v>
      </c>
      <c r="D1981" s="120">
        <f t="shared" si="775"/>
        <v>31</v>
      </c>
      <c r="E1981" s="120">
        <f t="shared" si="776"/>
        <v>1</v>
      </c>
      <c r="F1981" s="275">
        <f t="shared" si="777"/>
        <v>46038.5</v>
      </c>
      <c r="G1981" s="120">
        <f t="shared" si="778"/>
        <v>24312</v>
      </c>
      <c r="H1981" s="245">
        <f t="shared" si="779"/>
        <v>1</v>
      </c>
      <c r="I1981" s="121">
        <f t="shared" si="780"/>
        <v>1</v>
      </c>
      <c r="J1981" s="121">
        <f t="shared" si="781"/>
        <v>1</v>
      </c>
      <c r="K1981" s="120">
        <f t="shared" si="782"/>
        <v>0</v>
      </c>
      <c r="L1981" s="120">
        <f t="shared" si="783"/>
        <v>0</v>
      </c>
      <c r="M1981" s="246">
        <f t="shared" si="784"/>
        <v>0</v>
      </c>
      <c r="N1981" s="121">
        <f t="shared" si="785"/>
        <v>1</v>
      </c>
      <c r="O1981" s="246">
        <f t="shared" si="786"/>
        <v>0.91563457330415754</v>
      </c>
      <c r="P1981" s="121">
        <f t="shared" si="787"/>
        <v>1</v>
      </c>
      <c r="Q1981" s="121">
        <f t="shared" si="788"/>
        <v>0</v>
      </c>
      <c r="R1981" s="121">
        <f t="shared" si="789"/>
        <v>0</v>
      </c>
      <c r="S1981" s="121" t="str">
        <f t="shared" si="790"/>
        <v/>
      </c>
      <c r="T1981" s="121" t="str">
        <f t="shared" si="791"/>
        <v/>
      </c>
      <c r="U1981" s="121">
        <f t="shared" si="792"/>
        <v>1</v>
      </c>
    </row>
    <row r="1982" spans="1:21" x14ac:dyDescent="0.3">
      <c r="A1982" s="187">
        <v>14</v>
      </c>
      <c r="B1982" s="242">
        <f t="shared" si="793"/>
        <v>46054</v>
      </c>
      <c r="C1982" s="243">
        <f t="shared" si="774"/>
        <v>46081</v>
      </c>
      <c r="D1982" s="120">
        <f t="shared" si="775"/>
        <v>28</v>
      </c>
      <c r="E1982" s="120">
        <f t="shared" si="776"/>
        <v>2</v>
      </c>
      <c r="F1982" s="275">
        <f t="shared" si="777"/>
        <v>46068</v>
      </c>
      <c r="G1982" s="120">
        <f t="shared" si="778"/>
        <v>24313</v>
      </c>
      <c r="H1982" s="245">
        <f t="shared" si="779"/>
        <v>1</v>
      </c>
      <c r="I1982" s="121">
        <f t="shared" si="780"/>
        <v>1</v>
      </c>
      <c r="J1982" s="121">
        <f t="shared" si="781"/>
        <v>1</v>
      </c>
      <c r="K1982" s="120">
        <f t="shared" si="782"/>
        <v>0</v>
      </c>
      <c r="L1982" s="120">
        <f t="shared" si="783"/>
        <v>0</v>
      </c>
      <c r="M1982" s="246">
        <f t="shared" si="784"/>
        <v>0</v>
      </c>
      <c r="N1982" s="121">
        <f t="shared" si="785"/>
        <v>1</v>
      </c>
      <c r="O1982" s="246">
        <f t="shared" si="786"/>
        <v>0.91498905908096284</v>
      </c>
      <c r="P1982" s="121">
        <f t="shared" si="787"/>
        <v>1</v>
      </c>
      <c r="Q1982" s="121">
        <f t="shared" si="788"/>
        <v>0</v>
      </c>
      <c r="R1982" s="121">
        <f t="shared" si="789"/>
        <v>0</v>
      </c>
      <c r="S1982" s="121" t="str">
        <f t="shared" si="790"/>
        <v/>
      </c>
      <c r="T1982" s="121" t="str">
        <f t="shared" si="791"/>
        <v/>
      </c>
      <c r="U1982" s="121">
        <f t="shared" si="792"/>
        <v>1</v>
      </c>
    </row>
    <row r="1983" spans="1:21" x14ac:dyDescent="0.3">
      <c r="A1983" s="187">
        <v>15</v>
      </c>
      <c r="B1983" s="242">
        <f t="shared" si="793"/>
        <v>46082</v>
      </c>
      <c r="C1983" s="243">
        <f t="shared" si="774"/>
        <v>46112</v>
      </c>
      <c r="D1983" s="120">
        <f t="shared" si="775"/>
        <v>31</v>
      </c>
      <c r="E1983" s="120">
        <f t="shared" si="776"/>
        <v>3</v>
      </c>
      <c r="F1983" s="275">
        <f t="shared" si="777"/>
        <v>46097.5</v>
      </c>
      <c r="G1983" s="120">
        <f t="shared" si="778"/>
        <v>24314</v>
      </c>
      <c r="H1983" s="245">
        <f t="shared" si="779"/>
        <v>1</v>
      </c>
      <c r="I1983" s="121">
        <f t="shared" si="780"/>
        <v>1</v>
      </c>
      <c r="J1983" s="121">
        <f t="shared" si="781"/>
        <v>1</v>
      </c>
      <c r="K1983" s="120">
        <f t="shared" si="782"/>
        <v>0</v>
      </c>
      <c r="L1983" s="120">
        <f t="shared" si="783"/>
        <v>0</v>
      </c>
      <c r="M1983" s="246">
        <f t="shared" si="784"/>
        <v>0</v>
      </c>
      <c r="N1983" s="121">
        <f t="shared" si="785"/>
        <v>1</v>
      </c>
      <c r="O1983" s="246">
        <f t="shared" si="786"/>
        <v>0.91434354485776803</v>
      </c>
      <c r="P1983" s="121">
        <f t="shared" si="787"/>
        <v>1</v>
      </c>
      <c r="Q1983" s="121">
        <f t="shared" si="788"/>
        <v>0</v>
      </c>
      <c r="R1983" s="121">
        <f t="shared" si="789"/>
        <v>0</v>
      </c>
      <c r="S1983" s="121" t="str">
        <f t="shared" si="790"/>
        <v/>
      </c>
      <c r="T1983" s="121" t="str">
        <f t="shared" si="791"/>
        <v/>
      </c>
      <c r="U1983" s="121">
        <f t="shared" si="792"/>
        <v>1</v>
      </c>
    </row>
    <row r="1984" spans="1:21" x14ac:dyDescent="0.3">
      <c r="A1984" s="187">
        <v>16</v>
      </c>
      <c r="B1984" s="242">
        <f t="shared" si="793"/>
        <v>46113</v>
      </c>
      <c r="C1984" s="243">
        <f t="shared" si="774"/>
        <v>46142</v>
      </c>
      <c r="D1984" s="120">
        <f t="shared" si="775"/>
        <v>30</v>
      </c>
      <c r="E1984" s="120">
        <f t="shared" si="776"/>
        <v>4</v>
      </c>
      <c r="F1984" s="275">
        <f t="shared" si="777"/>
        <v>46128</v>
      </c>
      <c r="G1984" s="120">
        <f t="shared" si="778"/>
        <v>24315</v>
      </c>
      <c r="H1984" s="245">
        <f t="shared" si="779"/>
        <v>1</v>
      </c>
      <c r="I1984" s="121">
        <f t="shared" si="780"/>
        <v>1</v>
      </c>
      <c r="J1984" s="121">
        <f t="shared" si="781"/>
        <v>1</v>
      </c>
      <c r="K1984" s="120">
        <f t="shared" si="782"/>
        <v>0</v>
      </c>
      <c r="L1984" s="120">
        <f t="shared" si="783"/>
        <v>0</v>
      </c>
      <c r="M1984" s="246">
        <f t="shared" si="784"/>
        <v>0</v>
      </c>
      <c r="N1984" s="121">
        <f t="shared" si="785"/>
        <v>1</v>
      </c>
      <c r="O1984" s="246">
        <f t="shared" si="786"/>
        <v>0.91367614879649894</v>
      </c>
      <c r="P1984" s="121">
        <f t="shared" si="787"/>
        <v>1</v>
      </c>
      <c r="Q1984" s="121">
        <f t="shared" si="788"/>
        <v>0</v>
      </c>
      <c r="R1984" s="121">
        <f t="shared" si="789"/>
        <v>0</v>
      </c>
      <c r="S1984" s="121" t="str">
        <f t="shared" si="790"/>
        <v/>
      </c>
      <c r="T1984" s="121" t="str">
        <f t="shared" si="791"/>
        <v/>
      </c>
      <c r="U1984" s="121">
        <f t="shared" si="792"/>
        <v>1</v>
      </c>
    </row>
    <row r="1985" spans="1:21" x14ac:dyDescent="0.3">
      <c r="A1985" s="187">
        <v>17</v>
      </c>
      <c r="B1985" s="242">
        <f t="shared" si="793"/>
        <v>46143</v>
      </c>
      <c r="C1985" s="243">
        <f t="shared" si="774"/>
        <v>46173</v>
      </c>
      <c r="D1985" s="120">
        <f t="shared" si="775"/>
        <v>31</v>
      </c>
      <c r="E1985" s="120">
        <f t="shared" si="776"/>
        <v>5</v>
      </c>
      <c r="F1985" s="275">
        <f t="shared" si="777"/>
        <v>46158.5</v>
      </c>
      <c r="G1985" s="120">
        <f t="shared" si="778"/>
        <v>24316</v>
      </c>
      <c r="H1985" s="245">
        <f t="shared" si="779"/>
        <v>1</v>
      </c>
      <c r="I1985" s="121">
        <f t="shared" si="780"/>
        <v>1</v>
      </c>
      <c r="J1985" s="121">
        <f t="shared" si="781"/>
        <v>1</v>
      </c>
      <c r="K1985" s="120">
        <f t="shared" si="782"/>
        <v>0</v>
      </c>
      <c r="L1985" s="120">
        <f t="shared" si="783"/>
        <v>0</v>
      </c>
      <c r="M1985" s="246">
        <f t="shared" si="784"/>
        <v>0</v>
      </c>
      <c r="N1985" s="121">
        <f t="shared" si="785"/>
        <v>1</v>
      </c>
      <c r="O1985" s="246">
        <f t="shared" si="786"/>
        <v>0.91300875273522974</v>
      </c>
      <c r="P1985" s="121">
        <f t="shared" si="787"/>
        <v>1</v>
      </c>
      <c r="Q1985" s="121">
        <f t="shared" si="788"/>
        <v>0</v>
      </c>
      <c r="R1985" s="121">
        <f t="shared" si="789"/>
        <v>0</v>
      </c>
      <c r="S1985" s="121" t="str">
        <f t="shared" si="790"/>
        <v/>
      </c>
      <c r="T1985" s="121" t="str">
        <f t="shared" si="791"/>
        <v/>
      </c>
      <c r="U1985" s="121">
        <f t="shared" si="792"/>
        <v>1</v>
      </c>
    </row>
    <row r="1986" spans="1:21" x14ac:dyDescent="0.3">
      <c r="A1986" s="187">
        <v>18</v>
      </c>
      <c r="B1986" s="242">
        <f t="shared" si="793"/>
        <v>46174</v>
      </c>
      <c r="C1986" s="243">
        <f t="shared" si="774"/>
        <v>46203</v>
      </c>
      <c r="D1986" s="120">
        <f t="shared" si="775"/>
        <v>30</v>
      </c>
      <c r="E1986" s="120">
        <f t="shared" si="776"/>
        <v>6</v>
      </c>
      <c r="F1986" s="275">
        <f t="shared" si="777"/>
        <v>46189</v>
      </c>
      <c r="G1986" s="120">
        <f t="shared" si="778"/>
        <v>24317</v>
      </c>
      <c r="H1986" s="245">
        <f t="shared" si="779"/>
        <v>1</v>
      </c>
      <c r="I1986" s="121">
        <f t="shared" si="780"/>
        <v>1</v>
      </c>
      <c r="J1986" s="121">
        <f t="shared" si="781"/>
        <v>1</v>
      </c>
      <c r="K1986" s="120">
        <f t="shared" si="782"/>
        <v>0</v>
      </c>
      <c r="L1986" s="120">
        <f t="shared" si="783"/>
        <v>0</v>
      </c>
      <c r="M1986" s="246">
        <f t="shared" si="784"/>
        <v>0</v>
      </c>
      <c r="N1986" s="121">
        <f t="shared" si="785"/>
        <v>1</v>
      </c>
      <c r="O1986" s="246">
        <f t="shared" si="786"/>
        <v>0.91234135667396066</v>
      </c>
      <c r="P1986" s="121">
        <f t="shared" si="787"/>
        <v>1</v>
      </c>
      <c r="Q1986" s="121">
        <f t="shared" si="788"/>
        <v>0</v>
      </c>
      <c r="R1986" s="121">
        <f t="shared" si="789"/>
        <v>0</v>
      </c>
      <c r="S1986" s="121" t="str">
        <f t="shared" si="790"/>
        <v/>
      </c>
      <c r="T1986" s="121" t="str">
        <f t="shared" si="791"/>
        <v/>
      </c>
      <c r="U1986" s="121">
        <f t="shared" si="792"/>
        <v>1</v>
      </c>
    </row>
    <row r="1987" spans="1:21" x14ac:dyDescent="0.3">
      <c r="A1987" s="187">
        <v>19</v>
      </c>
      <c r="B1987" s="242">
        <f t="shared" si="793"/>
        <v>46204</v>
      </c>
      <c r="C1987" s="243">
        <f t="shared" si="774"/>
        <v>46234</v>
      </c>
      <c r="D1987" s="120">
        <f t="shared" si="775"/>
        <v>31</v>
      </c>
      <c r="E1987" s="120">
        <f t="shared" si="776"/>
        <v>7</v>
      </c>
      <c r="F1987" s="275">
        <f t="shared" si="777"/>
        <v>46219.5</v>
      </c>
      <c r="G1987" s="120">
        <f t="shared" si="778"/>
        <v>24318</v>
      </c>
      <c r="H1987" s="245">
        <f t="shared" si="779"/>
        <v>1</v>
      </c>
      <c r="I1987" s="121">
        <f t="shared" si="780"/>
        <v>1</v>
      </c>
      <c r="J1987" s="121">
        <f t="shared" si="781"/>
        <v>1</v>
      </c>
      <c r="K1987" s="120">
        <f t="shared" si="782"/>
        <v>0</v>
      </c>
      <c r="L1987" s="120">
        <f t="shared" si="783"/>
        <v>0</v>
      </c>
      <c r="M1987" s="246">
        <f t="shared" si="784"/>
        <v>0</v>
      </c>
      <c r="N1987" s="121">
        <f t="shared" si="785"/>
        <v>1</v>
      </c>
      <c r="O1987" s="246">
        <f t="shared" si="786"/>
        <v>0.91167396061269146</v>
      </c>
      <c r="P1987" s="121">
        <f t="shared" si="787"/>
        <v>0.91666666666666663</v>
      </c>
      <c r="Q1987" s="121">
        <f t="shared" si="788"/>
        <v>8.333333333333337E-2</v>
      </c>
      <c r="R1987" s="121">
        <f t="shared" si="789"/>
        <v>0</v>
      </c>
      <c r="S1987" s="121" t="str">
        <f t="shared" si="790"/>
        <v/>
      </c>
      <c r="T1987" s="121" t="str">
        <f t="shared" si="791"/>
        <v/>
      </c>
      <c r="U1987" s="121">
        <f t="shared" si="792"/>
        <v>1</v>
      </c>
    </row>
    <row r="1988" spans="1:21" x14ac:dyDescent="0.3">
      <c r="A1988" s="187">
        <v>20</v>
      </c>
      <c r="B1988" s="242">
        <f t="shared" si="793"/>
        <v>46235</v>
      </c>
      <c r="C1988" s="243">
        <f t="shared" si="774"/>
        <v>46265</v>
      </c>
      <c r="D1988" s="120">
        <f t="shared" si="775"/>
        <v>31</v>
      </c>
      <c r="E1988" s="120">
        <f t="shared" si="776"/>
        <v>8</v>
      </c>
      <c r="F1988" s="275">
        <f t="shared" si="777"/>
        <v>46250.5</v>
      </c>
      <c r="G1988" s="120">
        <f t="shared" si="778"/>
        <v>24319</v>
      </c>
      <c r="H1988" s="245">
        <f t="shared" si="779"/>
        <v>1</v>
      </c>
      <c r="I1988" s="121">
        <f t="shared" si="780"/>
        <v>1</v>
      </c>
      <c r="J1988" s="121">
        <f t="shared" si="781"/>
        <v>1</v>
      </c>
      <c r="K1988" s="120">
        <f t="shared" si="782"/>
        <v>0</v>
      </c>
      <c r="L1988" s="120">
        <f t="shared" si="783"/>
        <v>0</v>
      </c>
      <c r="M1988" s="246">
        <f t="shared" si="784"/>
        <v>0</v>
      </c>
      <c r="N1988" s="121">
        <f t="shared" si="785"/>
        <v>1</v>
      </c>
      <c r="O1988" s="246">
        <f t="shared" si="786"/>
        <v>0.91099562363238518</v>
      </c>
      <c r="P1988" s="121">
        <f t="shared" si="787"/>
        <v>0.75</v>
      </c>
      <c r="Q1988" s="121">
        <f t="shared" si="788"/>
        <v>0.25</v>
      </c>
      <c r="R1988" s="121">
        <f t="shared" si="789"/>
        <v>0</v>
      </c>
      <c r="S1988" s="121" t="str">
        <f t="shared" si="790"/>
        <v/>
      </c>
      <c r="T1988" s="121" t="str">
        <f t="shared" si="791"/>
        <v/>
      </c>
      <c r="U1988" s="121">
        <f t="shared" si="792"/>
        <v>1</v>
      </c>
    </row>
    <row r="1989" spans="1:21" x14ac:dyDescent="0.3">
      <c r="A1989" s="187">
        <v>21</v>
      </c>
      <c r="B1989" s="242">
        <f t="shared" si="793"/>
        <v>46266</v>
      </c>
      <c r="C1989" s="243">
        <f t="shared" si="774"/>
        <v>46295</v>
      </c>
      <c r="D1989" s="120">
        <f t="shared" si="775"/>
        <v>30</v>
      </c>
      <c r="E1989" s="120">
        <f t="shared" si="776"/>
        <v>9</v>
      </c>
      <c r="F1989" s="275">
        <f t="shared" si="777"/>
        <v>46281</v>
      </c>
      <c r="G1989" s="120">
        <f t="shared" si="778"/>
        <v>24320</v>
      </c>
      <c r="H1989" s="245">
        <f t="shared" si="779"/>
        <v>1</v>
      </c>
      <c r="I1989" s="121">
        <f t="shared" si="780"/>
        <v>1</v>
      </c>
      <c r="J1989" s="121">
        <f t="shared" si="781"/>
        <v>1</v>
      </c>
      <c r="K1989" s="120">
        <f t="shared" si="782"/>
        <v>0</v>
      </c>
      <c r="L1989" s="120">
        <f t="shared" si="783"/>
        <v>0</v>
      </c>
      <c r="M1989" s="246">
        <f t="shared" si="784"/>
        <v>0</v>
      </c>
      <c r="N1989" s="121">
        <f t="shared" si="785"/>
        <v>1</v>
      </c>
      <c r="O1989" s="246">
        <f t="shared" si="786"/>
        <v>0.91032822757111598</v>
      </c>
      <c r="P1989" s="121">
        <f t="shared" si="787"/>
        <v>0.58333333333333337</v>
      </c>
      <c r="Q1989" s="121">
        <f t="shared" si="788"/>
        <v>0.41666666666666663</v>
      </c>
      <c r="R1989" s="121">
        <f t="shared" si="789"/>
        <v>0</v>
      </c>
      <c r="S1989" s="121" t="str">
        <f t="shared" si="790"/>
        <v/>
      </c>
      <c r="T1989" s="121" t="str">
        <f t="shared" si="791"/>
        <v/>
      </c>
      <c r="U1989" s="121">
        <f t="shared" si="792"/>
        <v>1</v>
      </c>
    </row>
    <row r="1990" spans="1:21" x14ac:dyDescent="0.3">
      <c r="A1990" s="187">
        <v>22</v>
      </c>
      <c r="B1990" s="242">
        <f t="shared" si="793"/>
        <v>46296</v>
      </c>
      <c r="C1990" s="243">
        <f t="shared" si="774"/>
        <v>46326</v>
      </c>
      <c r="D1990" s="120">
        <f t="shared" si="775"/>
        <v>31</v>
      </c>
      <c r="E1990" s="120">
        <f t="shared" si="776"/>
        <v>10</v>
      </c>
      <c r="F1990" s="275">
        <f t="shared" si="777"/>
        <v>46311.5</v>
      </c>
      <c r="G1990" s="120">
        <f t="shared" si="778"/>
        <v>24321</v>
      </c>
      <c r="H1990" s="245">
        <f t="shared" si="779"/>
        <v>1</v>
      </c>
      <c r="I1990" s="121">
        <f t="shared" si="780"/>
        <v>1</v>
      </c>
      <c r="J1990" s="121">
        <f t="shared" si="781"/>
        <v>1</v>
      </c>
      <c r="K1990" s="120">
        <f t="shared" si="782"/>
        <v>0</v>
      </c>
      <c r="L1990" s="120">
        <f t="shared" si="783"/>
        <v>0</v>
      </c>
      <c r="M1990" s="246">
        <f t="shared" si="784"/>
        <v>0</v>
      </c>
      <c r="N1990" s="121">
        <f t="shared" si="785"/>
        <v>1</v>
      </c>
      <c r="O1990" s="246">
        <f t="shared" si="786"/>
        <v>0.90966083150984689</v>
      </c>
      <c r="P1990" s="121">
        <f t="shared" si="787"/>
        <v>0.41666666666666669</v>
      </c>
      <c r="Q1990" s="121">
        <f t="shared" si="788"/>
        <v>0.58333333333333326</v>
      </c>
      <c r="R1990" s="121">
        <f t="shared" si="789"/>
        <v>0</v>
      </c>
      <c r="S1990" s="121" t="str">
        <f t="shared" si="790"/>
        <v/>
      </c>
      <c r="T1990" s="121" t="str">
        <f t="shared" si="791"/>
        <v/>
      </c>
      <c r="U1990" s="121">
        <f t="shared" si="792"/>
        <v>1</v>
      </c>
    </row>
    <row r="1991" spans="1:21" x14ac:dyDescent="0.3">
      <c r="A1991" s="187">
        <v>23</v>
      </c>
      <c r="B1991" s="242">
        <f t="shared" si="793"/>
        <v>46327</v>
      </c>
      <c r="C1991" s="243">
        <f t="shared" si="774"/>
        <v>46356</v>
      </c>
      <c r="D1991" s="120">
        <f t="shared" si="775"/>
        <v>30</v>
      </c>
      <c r="E1991" s="120">
        <f t="shared" si="776"/>
        <v>11</v>
      </c>
      <c r="F1991" s="275">
        <f t="shared" si="777"/>
        <v>46342</v>
      </c>
      <c r="G1991" s="120">
        <f t="shared" si="778"/>
        <v>24322</v>
      </c>
      <c r="H1991" s="245">
        <f t="shared" si="779"/>
        <v>1</v>
      </c>
      <c r="I1991" s="121">
        <f t="shared" si="780"/>
        <v>1</v>
      </c>
      <c r="J1991" s="121">
        <f t="shared" si="781"/>
        <v>1</v>
      </c>
      <c r="K1991" s="120">
        <f t="shared" si="782"/>
        <v>0</v>
      </c>
      <c r="L1991" s="120">
        <f t="shared" si="783"/>
        <v>0</v>
      </c>
      <c r="M1991" s="246">
        <f t="shared" si="784"/>
        <v>0</v>
      </c>
      <c r="N1991" s="121">
        <f t="shared" si="785"/>
        <v>1</v>
      </c>
      <c r="O1991" s="246">
        <f t="shared" si="786"/>
        <v>0.90899343544857769</v>
      </c>
      <c r="P1991" s="121">
        <f t="shared" si="787"/>
        <v>0.25</v>
      </c>
      <c r="Q1991" s="121">
        <f t="shared" si="788"/>
        <v>0.75</v>
      </c>
      <c r="R1991" s="121">
        <f t="shared" si="789"/>
        <v>0</v>
      </c>
      <c r="S1991" s="121" t="str">
        <f t="shared" si="790"/>
        <v/>
      </c>
      <c r="T1991" s="121" t="str">
        <f t="shared" si="791"/>
        <v/>
      </c>
      <c r="U1991" s="121">
        <f t="shared" si="792"/>
        <v>1</v>
      </c>
    </row>
    <row r="1992" spans="1:21" x14ac:dyDescent="0.3">
      <c r="A1992" s="187">
        <v>24</v>
      </c>
      <c r="B1992" s="242">
        <f t="shared" si="793"/>
        <v>46357</v>
      </c>
      <c r="C1992" s="243">
        <f t="shared" si="774"/>
        <v>46387</v>
      </c>
      <c r="D1992" s="120">
        <f t="shared" si="775"/>
        <v>31</v>
      </c>
      <c r="E1992" s="120">
        <f t="shared" si="776"/>
        <v>12</v>
      </c>
      <c r="F1992" s="275">
        <f t="shared" si="777"/>
        <v>46372.5</v>
      </c>
      <c r="G1992" s="120">
        <f t="shared" si="778"/>
        <v>24323</v>
      </c>
      <c r="H1992" s="245">
        <f t="shared" si="779"/>
        <v>1</v>
      </c>
      <c r="I1992" s="121">
        <f t="shared" si="780"/>
        <v>1</v>
      </c>
      <c r="J1992" s="121">
        <f t="shared" si="781"/>
        <v>1</v>
      </c>
      <c r="K1992" s="120">
        <f t="shared" si="782"/>
        <v>0</v>
      </c>
      <c r="L1992" s="120">
        <f t="shared" si="783"/>
        <v>0</v>
      </c>
      <c r="M1992" s="246">
        <f t="shared" si="784"/>
        <v>0</v>
      </c>
      <c r="N1992" s="121">
        <f t="shared" si="785"/>
        <v>1</v>
      </c>
      <c r="O1992" s="246">
        <f t="shared" si="786"/>
        <v>0.9083260393873086</v>
      </c>
      <c r="P1992" s="121">
        <f t="shared" si="787"/>
        <v>8.3333333333333329E-2</v>
      </c>
      <c r="Q1992" s="121">
        <f t="shared" si="788"/>
        <v>0.91666666666666663</v>
      </c>
      <c r="R1992" s="121">
        <f t="shared" si="789"/>
        <v>0</v>
      </c>
      <c r="S1992" s="121" t="str">
        <f t="shared" si="790"/>
        <v/>
      </c>
      <c r="T1992" s="121" t="str">
        <f t="shared" si="791"/>
        <v/>
      </c>
      <c r="U1992" s="121">
        <f t="shared" si="792"/>
        <v>1</v>
      </c>
    </row>
    <row r="1993" spans="1:21" x14ac:dyDescent="0.3">
      <c r="A1993" s="187">
        <v>25</v>
      </c>
      <c r="B1993" s="242">
        <f t="shared" si="793"/>
        <v>46388</v>
      </c>
      <c r="C1993" s="243">
        <f t="shared" si="774"/>
        <v>46418</v>
      </c>
      <c r="D1993" s="120">
        <f t="shared" si="775"/>
        <v>31</v>
      </c>
      <c r="E1993" s="120">
        <f t="shared" si="776"/>
        <v>1</v>
      </c>
      <c r="F1993" s="275">
        <f t="shared" si="777"/>
        <v>46403.5</v>
      </c>
      <c r="G1993" s="120">
        <f t="shared" si="778"/>
        <v>24324</v>
      </c>
      <c r="H1993" s="245">
        <f t="shared" si="779"/>
        <v>1</v>
      </c>
      <c r="I1993" s="121">
        <f t="shared" si="780"/>
        <v>1</v>
      </c>
      <c r="J1993" s="121">
        <f t="shared" si="781"/>
        <v>1</v>
      </c>
      <c r="K1993" s="120">
        <f t="shared" si="782"/>
        <v>0</v>
      </c>
      <c r="L1993" s="120">
        <f t="shared" si="783"/>
        <v>0</v>
      </c>
      <c r="M1993" s="246">
        <f t="shared" si="784"/>
        <v>0</v>
      </c>
      <c r="N1993" s="121">
        <f t="shared" si="785"/>
        <v>1</v>
      </c>
      <c r="O1993" s="246">
        <f t="shared" si="786"/>
        <v>0.90764770240700221</v>
      </c>
      <c r="P1993" s="121">
        <f t="shared" si="787"/>
        <v>0</v>
      </c>
      <c r="Q1993" s="121">
        <f t="shared" si="788"/>
        <v>1</v>
      </c>
      <c r="R1993" s="121">
        <f t="shared" si="789"/>
        <v>0</v>
      </c>
      <c r="S1993" s="121" t="str">
        <f t="shared" si="790"/>
        <v/>
      </c>
      <c r="T1993" s="121" t="str">
        <f t="shared" si="791"/>
        <v/>
      </c>
      <c r="U1993" s="121">
        <f t="shared" si="792"/>
        <v>1</v>
      </c>
    </row>
    <row r="1994" spans="1:21" x14ac:dyDescent="0.3">
      <c r="A1994" s="187">
        <v>26</v>
      </c>
      <c r="B1994" s="242">
        <f t="shared" si="793"/>
        <v>46419</v>
      </c>
      <c r="C1994" s="243">
        <f t="shared" si="774"/>
        <v>46446</v>
      </c>
      <c r="D1994" s="120">
        <f t="shared" si="775"/>
        <v>28</v>
      </c>
      <c r="E1994" s="120">
        <f t="shared" si="776"/>
        <v>2</v>
      </c>
      <c r="F1994" s="275">
        <f t="shared" si="777"/>
        <v>46433</v>
      </c>
      <c r="G1994" s="120">
        <f t="shared" si="778"/>
        <v>24325</v>
      </c>
      <c r="H1994" s="245">
        <f t="shared" si="779"/>
        <v>1</v>
      </c>
      <c r="I1994" s="121">
        <f t="shared" si="780"/>
        <v>1</v>
      </c>
      <c r="J1994" s="121">
        <f t="shared" si="781"/>
        <v>1</v>
      </c>
      <c r="K1994" s="120">
        <f t="shared" si="782"/>
        <v>0</v>
      </c>
      <c r="L1994" s="120">
        <f t="shared" si="783"/>
        <v>0</v>
      </c>
      <c r="M1994" s="246">
        <f t="shared" si="784"/>
        <v>0</v>
      </c>
      <c r="N1994" s="121">
        <f t="shared" si="785"/>
        <v>1</v>
      </c>
      <c r="O1994" s="246">
        <f t="shared" si="786"/>
        <v>0.90700218818380751</v>
      </c>
      <c r="P1994" s="121">
        <f t="shared" si="787"/>
        <v>0</v>
      </c>
      <c r="Q1994" s="121">
        <f t="shared" si="788"/>
        <v>1</v>
      </c>
      <c r="R1994" s="121">
        <f t="shared" si="789"/>
        <v>0</v>
      </c>
      <c r="S1994" s="121" t="str">
        <f t="shared" si="790"/>
        <v/>
      </c>
      <c r="T1994" s="121" t="str">
        <f t="shared" si="791"/>
        <v/>
      </c>
      <c r="U1994" s="121">
        <f t="shared" si="792"/>
        <v>1</v>
      </c>
    </row>
    <row r="1995" spans="1:21" x14ac:dyDescent="0.3">
      <c r="A1995" s="187">
        <v>27</v>
      </c>
      <c r="B1995" s="242">
        <f t="shared" si="793"/>
        <v>46447</v>
      </c>
      <c r="C1995" s="243">
        <f t="shared" si="774"/>
        <v>46477</v>
      </c>
      <c r="D1995" s="120">
        <f t="shared" si="775"/>
        <v>31</v>
      </c>
      <c r="E1995" s="120">
        <f t="shared" si="776"/>
        <v>3</v>
      </c>
      <c r="F1995" s="275">
        <f t="shared" si="777"/>
        <v>46462.5</v>
      </c>
      <c r="G1995" s="120">
        <f t="shared" si="778"/>
        <v>24326</v>
      </c>
      <c r="H1995" s="245">
        <f t="shared" si="779"/>
        <v>1</v>
      </c>
      <c r="I1995" s="121">
        <f t="shared" si="780"/>
        <v>1</v>
      </c>
      <c r="J1995" s="121">
        <f t="shared" si="781"/>
        <v>1</v>
      </c>
      <c r="K1995" s="120">
        <f t="shared" si="782"/>
        <v>0</v>
      </c>
      <c r="L1995" s="120">
        <f t="shared" si="783"/>
        <v>0</v>
      </c>
      <c r="M1995" s="246">
        <f t="shared" si="784"/>
        <v>0</v>
      </c>
      <c r="N1995" s="121">
        <f t="shared" si="785"/>
        <v>1</v>
      </c>
      <c r="O1995" s="246">
        <f t="shared" si="786"/>
        <v>0.9063566739606127</v>
      </c>
      <c r="P1995" s="121">
        <f t="shared" si="787"/>
        <v>0</v>
      </c>
      <c r="Q1995" s="121">
        <f t="shared" si="788"/>
        <v>1</v>
      </c>
      <c r="R1995" s="121">
        <f t="shared" si="789"/>
        <v>0</v>
      </c>
      <c r="S1995" s="121" t="str">
        <f t="shared" si="790"/>
        <v/>
      </c>
      <c r="T1995" s="121" t="str">
        <f t="shared" si="791"/>
        <v/>
      </c>
      <c r="U1995" s="121">
        <f t="shared" si="792"/>
        <v>1</v>
      </c>
    </row>
    <row r="1996" spans="1:21" x14ac:dyDescent="0.3">
      <c r="A1996" s="187">
        <v>28</v>
      </c>
      <c r="B1996" s="242">
        <f t="shared" si="793"/>
        <v>46478</v>
      </c>
      <c r="C1996" s="243">
        <f t="shared" si="774"/>
        <v>46507</v>
      </c>
      <c r="D1996" s="120">
        <f t="shared" si="775"/>
        <v>30</v>
      </c>
      <c r="E1996" s="120">
        <f t="shared" si="776"/>
        <v>4</v>
      </c>
      <c r="F1996" s="275">
        <f t="shared" si="777"/>
        <v>46493</v>
      </c>
      <c r="G1996" s="120">
        <f t="shared" si="778"/>
        <v>24327</v>
      </c>
      <c r="H1996" s="245">
        <f t="shared" si="779"/>
        <v>1</v>
      </c>
      <c r="I1996" s="121">
        <f t="shared" si="780"/>
        <v>1</v>
      </c>
      <c r="J1996" s="121">
        <f t="shared" si="781"/>
        <v>1</v>
      </c>
      <c r="K1996" s="120">
        <f t="shared" si="782"/>
        <v>0</v>
      </c>
      <c r="L1996" s="120">
        <f t="shared" si="783"/>
        <v>0</v>
      </c>
      <c r="M1996" s="246">
        <f t="shared" si="784"/>
        <v>0</v>
      </c>
      <c r="N1996" s="121">
        <f t="shared" si="785"/>
        <v>1</v>
      </c>
      <c r="O1996" s="246">
        <f t="shared" si="786"/>
        <v>0.90568927789934361</v>
      </c>
      <c r="P1996" s="121">
        <f t="shared" si="787"/>
        <v>0</v>
      </c>
      <c r="Q1996" s="121">
        <f t="shared" si="788"/>
        <v>1</v>
      </c>
      <c r="R1996" s="121">
        <f t="shared" si="789"/>
        <v>0</v>
      </c>
      <c r="S1996" s="121" t="str">
        <f t="shared" si="790"/>
        <v/>
      </c>
      <c r="T1996" s="121" t="str">
        <f t="shared" si="791"/>
        <v/>
      </c>
      <c r="U1996" s="121">
        <f t="shared" si="792"/>
        <v>1</v>
      </c>
    </row>
    <row r="1997" spans="1:21" x14ac:dyDescent="0.3">
      <c r="A1997" s="187">
        <v>29</v>
      </c>
      <c r="B1997" s="242">
        <f t="shared" si="793"/>
        <v>46508</v>
      </c>
      <c r="C1997" s="243">
        <f t="shared" si="774"/>
        <v>46538</v>
      </c>
      <c r="D1997" s="120">
        <f t="shared" si="775"/>
        <v>31</v>
      </c>
      <c r="E1997" s="120">
        <f t="shared" si="776"/>
        <v>5</v>
      </c>
      <c r="F1997" s="275">
        <f t="shared" si="777"/>
        <v>46523.5</v>
      </c>
      <c r="G1997" s="120">
        <f t="shared" si="778"/>
        <v>24328</v>
      </c>
      <c r="H1997" s="245">
        <f t="shared" si="779"/>
        <v>1</v>
      </c>
      <c r="I1997" s="121">
        <f t="shared" si="780"/>
        <v>1</v>
      </c>
      <c r="J1997" s="121">
        <f t="shared" si="781"/>
        <v>1</v>
      </c>
      <c r="K1997" s="120">
        <f t="shared" si="782"/>
        <v>0</v>
      </c>
      <c r="L1997" s="120">
        <f t="shared" si="783"/>
        <v>0</v>
      </c>
      <c r="M1997" s="246">
        <f t="shared" si="784"/>
        <v>0</v>
      </c>
      <c r="N1997" s="121">
        <f t="shared" si="785"/>
        <v>1</v>
      </c>
      <c r="O1997" s="246">
        <f t="shared" si="786"/>
        <v>0.90502188183807442</v>
      </c>
      <c r="P1997" s="121">
        <f t="shared" si="787"/>
        <v>0</v>
      </c>
      <c r="Q1997" s="121">
        <f t="shared" si="788"/>
        <v>1</v>
      </c>
      <c r="R1997" s="121">
        <f t="shared" si="789"/>
        <v>0</v>
      </c>
      <c r="S1997" s="121" t="str">
        <f t="shared" si="790"/>
        <v/>
      </c>
      <c r="T1997" s="121" t="str">
        <f t="shared" si="791"/>
        <v/>
      </c>
      <c r="U1997" s="121">
        <f t="shared" si="792"/>
        <v>1</v>
      </c>
    </row>
    <row r="1998" spans="1:21" x14ac:dyDescent="0.3">
      <c r="A1998" s="187">
        <v>30</v>
      </c>
      <c r="B1998" s="242">
        <f t="shared" si="793"/>
        <v>46539</v>
      </c>
      <c r="C1998" s="243">
        <f t="shared" si="774"/>
        <v>46568</v>
      </c>
      <c r="D1998" s="120">
        <f t="shared" si="775"/>
        <v>30</v>
      </c>
      <c r="E1998" s="120">
        <f t="shared" si="776"/>
        <v>6</v>
      </c>
      <c r="F1998" s="275">
        <f t="shared" si="777"/>
        <v>46554</v>
      </c>
      <c r="G1998" s="120">
        <f t="shared" si="778"/>
        <v>24329</v>
      </c>
      <c r="H1998" s="245">
        <f t="shared" si="779"/>
        <v>1</v>
      </c>
      <c r="I1998" s="121">
        <f t="shared" si="780"/>
        <v>1</v>
      </c>
      <c r="J1998" s="121">
        <f t="shared" si="781"/>
        <v>1</v>
      </c>
      <c r="K1998" s="120">
        <f t="shared" si="782"/>
        <v>0</v>
      </c>
      <c r="L1998" s="120">
        <f t="shared" si="783"/>
        <v>0</v>
      </c>
      <c r="M1998" s="246">
        <f t="shared" si="784"/>
        <v>0</v>
      </c>
      <c r="N1998" s="121">
        <f t="shared" si="785"/>
        <v>1</v>
      </c>
      <c r="O1998" s="246">
        <f t="shared" si="786"/>
        <v>0.90435448577680533</v>
      </c>
      <c r="P1998" s="121">
        <f t="shared" si="787"/>
        <v>0</v>
      </c>
      <c r="Q1998" s="121">
        <f t="shared" si="788"/>
        <v>1</v>
      </c>
      <c r="R1998" s="121">
        <f t="shared" si="789"/>
        <v>0</v>
      </c>
      <c r="S1998" s="121" t="str">
        <f t="shared" si="790"/>
        <v/>
      </c>
      <c r="T1998" s="121" t="str">
        <f t="shared" si="791"/>
        <v/>
      </c>
      <c r="U1998" s="121">
        <f t="shared" si="792"/>
        <v>1</v>
      </c>
    </row>
    <row r="1999" spans="1:21" x14ac:dyDescent="0.3">
      <c r="A1999" s="187">
        <v>31</v>
      </c>
      <c r="B1999" s="242">
        <f t="shared" si="793"/>
        <v>46569</v>
      </c>
      <c r="C1999" s="243">
        <f t="shared" si="774"/>
        <v>46599</v>
      </c>
      <c r="D1999" s="120">
        <f t="shared" si="775"/>
        <v>31</v>
      </c>
      <c r="E1999" s="120">
        <f t="shared" si="776"/>
        <v>7</v>
      </c>
      <c r="F1999" s="275">
        <f t="shared" si="777"/>
        <v>46584.5</v>
      </c>
      <c r="G1999" s="120">
        <f t="shared" si="778"/>
        <v>24330</v>
      </c>
      <c r="H1999" s="245">
        <f t="shared" si="779"/>
        <v>1</v>
      </c>
      <c r="I1999" s="121">
        <f t="shared" si="780"/>
        <v>1</v>
      </c>
      <c r="J1999" s="121">
        <f t="shared" si="781"/>
        <v>1</v>
      </c>
      <c r="K1999" s="120">
        <f t="shared" si="782"/>
        <v>0</v>
      </c>
      <c r="L1999" s="120">
        <f t="shared" si="783"/>
        <v>0</v>
      </c>
      <c r="M1999" s="246">
        <f t="shared" si="784"/>
        <v>0</v>
      </c>
      <c r="N1999" s="121">
        <f t="shared" si="785"/>
        <v>1</v>
      </c>
      <c r="O1999" s="246">
        <f t="shared" si="786"/>
        <v>0.90368708971553613</v>
      </c>
      <c r="P1999" s="121">
        <f t="shared" si="787"/>
        <v>0</v>
      </c>
      <c r="Q1999" s="121">
        <f t="shared" si="788"/>
        <v>0.91666666666666663</v>
      </c>
      <c r="R1999" s="121">
        <f t="shared" si="789"/>
        <v>8.333333333333337E-2</v>
      </c>
      <c r="S1999" s="121" t="str">
        <f t="shared" si="790"/>
        <v/>
      </c>
      <c r="T1999" s="121" t="str">
        <f t="shared" si="791"/>
        <v/>
      </c>
      <c r="U1999" s="121">
        <f t="shared" si="792"/>
        <v>1</v>
      </c>
    </row>
    <row r="2000" spans="1:21" x14ac:dyDescent="0.3">
      <c r="A2000" s="187">
        <v>32</v>
      </c>
      <c r="B2000" s="242">
        <f t="shared" si="793"/>
        <v>46600</v>
      </c>
      <c r="C2000" s="243">
        <f t="shared" si="774"/>
        <v>46630</v>
      </c>
      <c r="D2000" s="120">
        <f t="shared" si="775"/>
        <v>31</v>
      </c>
      <c r="E2000" s="120">
        <f t="shared" si="776"/>
        <v>8</v>
      </c>
      <c r="F2000" s="275">
        <f t="shared" si="777"/>
        <v>46615.5</v>
      </c>
      <c r="G2000" s="120">
        <f t="shared" si="778"/>
        <v>24331</v>
      </c>
      <c r="H2000" s="245">
        <f t="shared" si="779"/>
        <v>1</v>
      </c>
      <c r="I2000" s="121">
        <f t="shared" si="780"/>
        <v>1</v>
      </c>
      <c r="J2000" s="121">
        <f t="shared" si="781"/>
        <v>1</v>
      </c>
      <c r="K2000" s="120">
        <f t="shared" si="782"/>
        <v>0</v>
      </c>
      <c r="L2000" s="120">
        <f t="shared" si="783"/>
        <v>0</v>
      </c>
      <c r="M2000" s="246">
        <f t="shared" si="784"/>
        <v>0</v>
      </c>
      <c r="N2000" s="121">
        <f t="shared" si="785"/>
        <v>1</v>
      </c>
      <c r="O2000" s="246">
        <f t="shared" si="786"/>
        <v>0.90300875273522974</v>
      </c>
      <c r="P2000" s="121">
        <f t="shared" si="787"/>
        <v>0</v>
      </c>
      <c r="Q2000" s="121">
        <f t="shared" si="788"/>
        <v>0.75</v>
      </c>
      <c r="R2000" s="121">
        <f t="shared" si="789"/>
        <v>0.25</v>
      </c>
      <c r="S2000" s="121" t="str">
        <f t="shared" si="790"/>
        <v/>
      </c>
      <c r="T2000" s="121" t="str">
        <f t="shared" si="791"/>
        <v/>
      </c>
      <c r="U2000" s="121">
        <f t="shared" si="792"/>
        <v>1</v>
      </c>
    </row>
    <row r="2001" spans="1:21" x14ac:dyDescent="0.3">
      <c r="A2001" s="187">
        <v>33</v>
      </c>
      <c r="B2001" s="242">
        <f t="shared" si="793"/>
        <v>46631</v>
      </c>
      <c r="C2001" s="243">
        <f t="shared" si="774"/>
        <v>46660</v>
      </c>
      <c r="D2001" s="120">
        <f t="shared" si="775"/>
        <v>30</v>
      </c>
      <c r="E2001" s="120">
        <f t="shared" si="776"/>
        <v>9</v>
      </c>
      <c r="F2001" s="275">
        <f t="shared" si="777"/>
        <v>46646</v>
      </c>
      <c r="G2001" s="120">
        <f t="shared" si="778"/>
        <v>24332</v>
      </c>
      <c r="H2001" s="245">
        <f t="shared" si="779"/>
        <v>1</v>
      </c>
      <c r="I2001" s="121">
        <f t="shared" si="780"/>
        <v>1</v>
      </c>
      <c r="J2001" s="121">
        <f t="shared" si="781"/>
        <v>1</v>
      </c>
      <c r="K2001" s="120">
        <f t="shared" si="782"/>
        <v>0</v>
      </c>
      <c r="L2001" s="120">
        <f t="shared" si="783"/>
        <v>0</v>
      </c>
      <c r="M2001" s="246">
        <f t="shared" si="784"/>
        <v>0</v>
      </c>
      <c r="N2001" s="121">
        <f t="shared" si="785"/>
        <v>1</v>
      </c>
      <c r="O2001" s="246">
        <f t="shared" si="786"/>
        <v>0.90234135667396065</v>
      </c>
      <c r="P2001" s="121">
        <f t="shared" si="787"/>
        <v>0</v>
      </c>
      <c r="Q2001" s="121">
        <f t="shared" si="788"/>
        <v>0.58333333333333337</v>
      </c>
      <c r="R2001" s="121">
        <f t="shared" si="789"/>
        <v>0.41666666666666663</v>
      </c>
      <c r="S2001" s="121" t="str">
        <f t="shared" si="790"/>
        <v/>
      </c>
      <c r="T2001" s="121" t="str">
        <f t="shared" si="791"/>
        <v/>
      </c>
      <c r="U2001" s="121">
        <f t="shared" si="792"/>
        <v>1</v>
      </c>
    </row>
    <row r="2002" spans="1:21" x14ac:dyDescent="0.3">
      <c r="A2002" s="187">
        <v>34</v>
      </c>
      <c r="B2002" s="242">
        <f t="shared" si="793"/>
        <v>46661</v>
      </c>
      <c r="C2002" s="243">
        <f t="shared" si="774"/>
        <v>46691</v>
      </c>
      <c r="D2002" s="120">
        <f t="shared" si="775"/>
        <v>31</v>
      </c>
      <c r="E2002" s="120">
        <f t="shared" si="776"/>
        <v>10</v>
      </c>
      <c r="F2002" s="275">
        <f t="shared" si="777"/>
        <v>46676.5</v>
      </c>
      <c r="G2002" s="120">
        <f t="shared" si="778"/>
        <v>24333</v>
      </c>
      <c r="H2002" s="245">
        <f t="shared" si="779"/>
        <v>1</v>
      </c>
      <c r="I2002" s="121">
        <f t="shared" si="780"/>
        <v>1</v>
      </c>
      <c r="J2002" s="121">
        <f t="shared" si="781"/>
        <v>1</v>
      </c>
      <c r="K2002" s="120">
        <f t="shared" si="782"/>
        <v>0</v>
      </c>
      <c r="L2002" s="120">
        <f t="shared" si="783"/>
        <v>0</v>
      </c>
      <c r="M2002" s="246">
        <f t="shared" si="784"/>
        <v>0</v>
      </c>
      <c r="N2002" s="121">
        <f t="shared" si="785"/>
        <v>1</v>
      </c>
      <c r="O2002" s="246">
        <f t="shared" si="786"/>
        <v>0.90167396061269145</v>
      </c>
      <c r="P2002" s="121">
        <f t="shared" si="787"/>
        <v>0</v>
      </c>
      <c r="Q2002" s="121">
        <f t="shared" si="788"/>
        <v>0.41666666666666669</v>
      </c>
      <c r="R2002" s="121">
        <f t="shared" si="789"/>
        <v>0.58333333333333326</v>
      </c>
      <c r="S2002" s="121" t="str">
        <f t="shared" si="790"/>
        <v/>
      </c>
      <c r="T2002" s="121" t="str">
        <f t="shared" si="791"/>
        <v/>
      </c>
      <c r="U2002" s="121">
        <f t="shared" si="792"/>
        <v>1</v>
      </c>
    </row>
    <row r="2003" spans="1:21" x14ac:dyDescent="0.3">
      <c r="A2003" s="187">
        <v>35</v>
      </c>
      <c r="B2003" s="242">
        <f t="shared" si="793"/>
        <v>46692</v>
      </c>
      <c r="C2003" s="243">
        <f t="shared" si="774"/>
        <v>46721</v>
      </c>
      <c r="D2003" s="120">
        <f t="shared" si="775"/>
        <v>30</v>
      </c>
      <c r="E2003" s="120">
        <f t="shared" si="776"/>
        <v>11</v>
      </c>
      <c r="F2003" s="275">
        <f t="shared" si="777"/>
        <v>46707</v>
      </c>
      <c r="G2003" s="120">
        <f t="shared" si="778"/>
        <v>24334</v>
      </c>
      <c r="H2003" s="245">
        <f t="shared" si="779"/>
        <v>1</v>
      </c>
      <c r="I2003" s="121">
        <f t="shared" si="780"/>
        <v>1</v>
      </c>
      <c r="J2003" s="121">
        <f t="shared" si="781"/>
        <v>1</v>
      </c>
      <c r="K2003" s="120">
        <f t="shared" si="782"/>
        <v>0</v>
      </c>
      <c r="L2003" s="120">
        <f t="shared" si="783"/>
        <v>0</v>
      </c>
      <c r="M2003" s="246">
        <f t="shared" si="784"/>
        <v>0</v>
      </c>
      <c r="N2003" s="121">
        <f t="shared" si="785"/>
        <v>1</v>
      </c>
      <c r="O2003" s="246">
        <f t="shared" si="786"/>
        <v>0.90100656455142236</v>
      </c>
      <c r="P2003" s="121">
        <f t="shared" si="787"/>
        <v>0</v>
      </c>
      <c r="Q2003" s="121">
        <f t="shared" si="788"/>
        <v>0.25</v>
      </c>
      <c r="R2003" s="121">
        <f t="shared" si="789"/>
        <v>0.75</v>
      </c>
      <c r="S2003" s="121" t="str">
        <f t="shared" si="790"/>
        <v/>
      </c>
      <c r="T2003" s="121" t="str">
        <f t="shared" si="791"/>
        <v/>
      </c>
      <c r="U2003" s="121">
        <f t="shared" si="792"/>
        <v>1</v>
      </c>
    </row>
    <row r="2004" spans="1:21" x14ac:dyDescent="0.3">
      <c r="A2004" s="187">
        <v>36</v>
      </c>
      <c r="B2004" s="242">
        <f t="shared" si="793"/>
        <v>46722</v>
      </c>
      <c r="C2004" s="243">
        <f t="shared" si="774"/>
        <v>46752</v>
      </c>
      <c r="D2004" s="120">
        <f t="shared" si="775"/>
        <v>31</v>
      </c>
      <c r="E2004" s="120">
        <f t="shared" si="776"/>
        <v>12</v>
      </c>
      <c r="F2004" s="275">
        <f t="shared" si="777"/>
        <v>46737.5</v>
      </c>
      <c r="G2004" s="120">
        <f t="shared" si="778"/>
        <v>24335</v>
      </c>
      <c r="H2004" s="245">
        <f t="shared" si="779"/>
        <v>1</v>
      </c>
      <c r="I2004" s="121">
        <f t="shared" si="780"/>
        <v>1</v>
      </c>
      <c r="J2004" s="121">
        <f t="shared" si="781"/>
        <v>1</v>
      </c>
      <c r="K2004" s="120">
        <f t="shared" si="782"/>
        <v>0</v>
      </c>
      <c r="L2004" s="120">
        <f t="shared" si="783"/>
        <v>0</v>
      </c>
      <c r="M2004" s="246">
        <f t="shared" si="784"/>
        <v>0</v>
      </c>
      <c r="N2004" s="121">
        <f t="shared" si="785"/>
        <v>1</v>
      </c>
      <c r="O2004" s="246">
        <f t="shared" si="786"/>
        <v>0.90033916849015316</v>
      </c>
      <c r="P2004" s="121">
        <f t="shared" si="787"/>
        <v>0</v>
      </c>
      <c r="Q2004" s="121">
        <f t="shared" si="788"/>
        <v>8.3333333333333329E-2</v>
      </c>
      <c r="R2004" s="121">
        <f t="shared" si="789"/>
        <v>0.91666666666666663</v>
      </c>
      <c r="S2004" s="121" t="str">
        <f t="shared" si="790"/>
        <v/>
      </c>
      <c r="T2004" s="121" t="str">
        <f t="shared" si="791"/>
        <v/>
      </c>
      <c r="U2004" s="121">
        <f t="shared" si="792"/>
        <v>1</v>
      </c>
    </row>
    <row r="2005" spans="1:21" x14ac:dyDescent="0.3">
      <c r="A2005" s="187">
        <v>37</v>
      </c>
      <c r="B2005" s="242">
        <f t="shared" si="793"/>
        <v>46753</v>
      </c>
      <c r="C2005" s="243">
        <f t="shared" si="774"/>
        <v>46783</v>
      </c>
      <c r="D2005" s="120">
        <f t="shared" si="775"/>
        <v>31</v>
      </c>
      <c r="E2005" s="120">
        <f t="shared" si="776"/>
        <v>1</v>
      </c>
      <c r="F2005" s="275">
        <f t="shared" si="777"/>
        <v>46768.5</v>
      </c>
      <c r="G2005" s="120">
        <f t="shared" si="778"/>
        <v>24336</v>
      </c>
      <c r="H2005" s="245">
        <f t="shared" si="779"/>
        <v>1</v>
      </c>
      <c r="I2005" s="121">
        <f t="shared" si="780"/>
        <v>1</v>
      </c>
      <c r="J2005" s="121">
        <f t="shared" si="781"/>
        <v>1</v>
      </c>
      <c r="K2005" s="120">
        <f t="shared" si="782"/>
        <v>0</v>
      </c>
      <c r="L2005" s="120">
        <f t="shared" si="783"/>
        <v>0</v>
      </c>
      <c r="M2005" s="246">
        <f t="shared" si="784"/>
        <v>0</v>
      </c>
      <c r="N2005" s="121">
        <f t="shared" si="785"/>
        <v>1</v>
      </c>
      <c r="O2005" s="246">
        <f t="shared" si="786"/>
        <v>0.9</v>
      </c>
      <c r="P2005" s="121">
        <f t="shared" si="787"/>
        <v>0</v>
      </c>
      <c r="Q2005" s="121">
        <f t="shared" si="788"/>
        <v>0</v>
      </c>
      <c r="R2005" s="121">
        <f t="shared" si="789"/>
        <v>1</v>
      </c>
      <c r="S2005" s="121" t="str">
        <f t="shared" si="790"/>
        <v/>
      </c>
      <c r="T2005" s="121" t="str">
        <f t="shared" si="791"/>
        <v/>
      </c>
      <c r="U2005" s="121">
        <f t="shared" si="792"/>
        <v>1</v>
      </c>
    </row>
    <row r="2006" spans="1:21" x14ac:dyDescent="0.3">
      <c r="A2006" s="187">
        <v>38</v>
      </c>
      <c r="B2006" s="242">
        <f t="shared" si="793"/>
        <v>46784</v>
      </c>
      <c r="C2006" s="243">
        <f t="shared" si="774"/>
        <v>46812</v>
      </c>
      <c r="D2006" s="120">
        <f t="shared" si="775"/>
        <v>29</v>
      </c>
      <c r="E2006" s="120">
        <f t="shared" si="776"/>
        <v>2</v>
      </c>
      <c r="F2006" s="275">
        <f t="shared" si="777"/>
        <v>46798.5</v>
      </c>
      <c r="G2006" s="120">
        <f t="shared" si="778"/>
        <v>24337</v>
      </c>
      <c r="H2006" s="245">
        <f t="shared" si="779"/>
        <v>1</v>
      </c>
      <c r="I2006" s="121">
        <f t="shared" si="780"/>
        <v>1</v>
      </c>
      <c r="J2006" s="121">
        <f t="shared" si="781"/>
        <v>1</v>
      </c>
      <c r="K2006" s="120">
        <f t="shared" si="782"/>
        <v>0</v>
      </c>
      <c r="L2006" s="120">
        <f t="shared" si="783"/>
        <v>0</v>
      </c>
      <c r="M2006" s="246">
        <f t="shared" si="784"/>
        <v>0</v>
      </c>
      <c r="N2006" s="121">
        <f t="shared" si="785"/>
        <v>1</v>
      </c>
      <c r="O2006" s="246">
        <f t="shared" si="786"/>
        <v>0.9</v>
      </c>
      <c r="P2006" s="121">
        <f t="shared" si="787"/>
        <v>0</v>
      </c>
      <c r="Q2006" s="121">
        <f t="shared" si="788"/>
        <v>0</v>
      </c>
      <c r="R2006" s="121">
        <f t="shared" si="789"/>
        <v>1</v>
      </c>
      <c r="S2006" s="121" t="str">
        <f t="shared" si="790"/>
        <v/>
      </c>
      <c r="T2006" s="121" t="str">
        <f t="shared" si="791"/>
        <v/>
      </c>
      <c r="U2006" s="121">
        <f t="shared" si="792"/>
        <v>1</v>
      </c>
    </row>
    <row r="2007" spans="1:21" x14ac:dyDescent="0.3">
      <c r="A2007" s="187">
        <v>39</v>
      </c>
      <c r="B2007" s="242">
        <f t="shared" si="793"/>
        <v>46813</v>
      </c>
      <c r="C2007" s="243">
        <f t="shared" si="774"/>
        <v>46843</v>
      </c>
      <c r="D2007" s="120">
        <f t="shared" si="775"/>
        <v>31</v>
      </c>
      <c r="E2007" s="120">
        <f t="shared" si="776"/>
        <v>3</v>
      </c>
      <c r="F2007" s="275">
        <f t="shared" si="777"/>
        <v>46828.5</v>
      </c>
      <c r="G2007" s="120">
        <f t="shared" si="778"/>
        <v>24338</v>
      </c>
      <c r="H2007" s="245">
        <f t="shared" si="779"/>
        <v>1</v>
      </c>
      <c r="I2007" s="121">
        <f t="shared" si="780"/>
        <v>1</v>
      </c>
      <c r="J2007" s="121">
        <f t="shared" si="781"/>
        <v>1</v>
      </c>
      <c r="K2007" s="120">
        <f t="shared" si="782"/>
        <v>0</v>
      </c>
      <c r="L2007" s="120">
        <f t="shared" si="783"/>
        <v>0</v>
      </c>
      <c r="M2007" s="246">
        <f t="shared" si="784"/>
        <v>0</v>
      </c>
      <c r="N2007" s="121">
        <f t="shared" si="785"/>
        <v>1</v>
      </c>
      <c r="O2007" s="246">
        <f t="shared" si="786"/>
        <v>0.9</v>
      </c>
      <c r="P2007" s="121">
        <f t="shared" si="787"/>
        <v>0</v>
      </c>
      <c r="Q2007" s="121">
        <f t="shared" si="788"/>
        <v>0</v>
      </c>
      <c r="R2007" s="121">
        <f t="shared" si="789"/>
        <v>1</v>
      </c>
      <c r="S2007" s="121" t="str">
        <f t="shared" si="790"/>
        <v/>
      </c>
      <c r="T2007" s="121" t="str">
        <f t="shared" si="791"/>
        <v/>
      </c>
      <c r="U2007" s="121">
        <f t="shared" si="792"/>
        <v>1</v>
      </c>
    </row>
    <row r="2008" spans="1:21" x14ac:dyDescent="0.3">
      <c r="A2008" s="187">
        <v>40</v>
      </c>
      <c r="B2008" s="242">
        <f t="shared" si="793"/>
        <v>46844</v>
      </c>
      <c r="C2008" s="243">
        <f t="shared" si="774"/>
        <v>46873</v>
      </c>
      <c r="D2008" s="120">
        <f t="shared" si="775"/>
        <v>30</v>
      </c>
      <c r="E2008" s="120">
        <f t="shared" si="776"/>
        <v>4</v>
      </c>
      <c r="F2008" s="275">
        <f t="shared" si="777"/>
        <v>46859</v>
      </c>
      <c r="G2008" s="120">
        <f t="shared" si="778"/>
        <v>24339</v>
      </c>
      <c r="H2008" s="245">
        <f t="shared" si="779"/>
        <v>1</v>
      </c>
      <c r="I2008" s="121">
        <f t="shared" si="780"/>
        <v>1</v>
      </c>
      <c r="J2008" s="121">
        <f t="shared" si="781"/>
        <v>1</v>
      </c>
      <c r="K2008" s="120">
        <f t="shared" si="782"/>
        <v>0</v>
      </c>
      <c r="L2008" s="120">
        <f t="shared" si="783"/>
        <v>0</v>
      </c>
      <c r="M2008" s="246">
        <f t="shared" si="784"/>
        <v>0</v>
      </c>
      <c r="N2008" s="121">
        <f t="shared" si="785"/>
        <v>1</v>
      </c>
      <c r="O2008" s="246">
        <f t="shared" si="786"/>
        <v>0.9</v>
      </c>
      <c r="P2008" s="121">
        <f t="shared" si="787"/>
        <v>0</v>
      </c>
      <c r="Q2008" s="121">
        <f t="shared" si="788"/>
        <v>0</v>
      </c>
      <c r="R2008" s="121">
        <f t="shared" si="789"/>
        <v>1</v>
      </c>
      <c r="S2008" s="121" t="str">
        <f t="shared" si="790"/>
        <v/>
      </c>
      <c r="T2008" s="121" t="str">
        <f t="shared" si="791"/>
        <v/>
      </c>
      <c r="U2008" s="121">
        <f t="shared" si="792"/>
        <v>1</v>
      </c>
    </row>
    <row r="2009" spans="1:21" x14ac:dyDescent="0.3">
      <c r="A2009" s="187">
        <v>41</v>
      </c>
      <c r="B2009" s="242">
        <f t="shared" si="793"/>
        <v>46874</v>
      </c>
      <c r="C2009" s="243">
        <f t="shared" si="774"/>
        <v>46904</v>
      </c>
      <c r="D2009" s="120">
        <f t="shared" si="775"/>
        <v>31</v>
      </c>
      <c r="E2009" s="120">
        <f t="shared" si="776"/>
        <v>5</v>
      </c>
      <c r="F2009" s="275">
        <f t="shared" si="777"/>
        <v>46889.5</v>
      </c>
      <c r="G2009" s="120">
        <f t="shared" si="778"/>
        <v>24340</v>
      </c>
      <c r="H2009" s="245">
        <f t="shared" si="779"/>
        <v>1</v>
      </c>
      <c r="I2009" s="121">
        <f t="shared" si="780"/>
        <v>1</v>
      </c>
      <c r="J2009" s="121">
        <f t="shared" si="781"/>
        <v>1</v>
      </c>
      <c r="K2009" s="120">
        <f t="shared" si="782"/>
        <v>0</v>
      </c>
      <c r="L2009" s="120">
        <f t="shared" si="783"/>
        <v>0</v>
      </c>
      <c r="M2009" s="246">
        <f t="shared" si="784"/>
        <v>0</v>
      </c>
      <c r="N2009" s="121">
        <f t="shared" si="785"/>
        <v>1</v>
      </c>
      <c r="O2009" s="246">
        <f t="shared" si="786"/>
        <v>0.9</v>
      </c>
      <c r="P2009" s="121">
        <f t="shared" si="787"/>
        <v>0</v>
      </c>
      <c r="Q2009" s="121">
        <f t="shared" si="788"/>
        <v>0</v>
      </c>
      <c r="R2009" s="121">
        <f t="shared" si="789"/>
        <v>1</v>
      </c>
      <c r="S2009" s="121" t="str">
        <f t="shared" si="790"/>
        <v/>
      </c>
      <c r="T2009" s="121" t="str">
        <f t="shared" si="791"/>
        <v/>
      </c>
      <c r="U2009" s="121">
        <f t="shared" si="792"/>
        <v>1</v>
      </c>
    </row>
    <row r="2010" spans="1:21" x14ac:dyDescent="0.3">
      <c r="A2010" s="187">
        <v>42</v>
      </c>
      <c r="B2010" s="242">
        <f t="shared" si="793"/>
        <v>46905</v>
      </c>
      <c r="C2010" s="243">
        <f t="shared" si="774"/>
        <v>46934</v>
      </c>
      <c r="D2010" s="120">
        <f t="shared" si="775"/>
        <v>30</v>
      </c>
      <c r="E2010" s="120">
        <f t="shared" si="776"/>
        <v>6</v>
      </c>
      <c r="F2010" s="275">
        <f t="shared" si="777"/>
        <v>46920</v>
      </c>
      <c r="G2010" s="120">
        <f t="shared" si="778"/>
        <v>24341</v>
      </c>
      <c r="H2010" s="245">
        <f t="shared" si="779"/>
        <v>1</v>
      </c>
      <c r="I2010" s="121">
        <f t="shared" si="780"/>
        <v>1</v>
      </c>
      <c r="J2010" s="121">
        <f t="shared" si="781"/>
        <v>1</v>
      </c>
      <c r="K2010" s="120">
        <f t="shared" si="782"/>
        <v>0</v>
      </c>
      <c r="L2010" s="120">
        <f t="shared" si="783"/>
        <v>0</v>
      </c>
      <c r="M2010" s="246">
        <f t="shared" si="784"/>
        <v>0</v>
      </c>
      <c r="N2010" s="121">
        <f t="shared" si="785"/>
        <v>1</v>
      </c>
      <c r="O2010" s="246">
        <f t="shared" si="786"/>
        <v>0.9</v>
      </c>
      <c r="P2010" s="121">
        <f t="shared" si="787"/>
        <v>0</v>
      </c>
      <c r="Q2010" s="121">
        <f t="shared" si="788"/>
        <v>0</v>
      </c>
      <c r="R2010" s="121">
        <f t="shared" si="789"/>
        <v>1</v>
      </c>
      <c r="S2010" s="121" t="str">
        <f t="shared" si="790"/>
        <v/>
      </c>
      <c r="T2010" s="121" t="str">
        <f t="shared" si="791"/>
        <v/>
      </c>
      <c r="U2010" s="121">
        <f t="shared" si="792"/>
        <v>1</v>
      </c>
    </row>
    <row r="2011" spans="1:21" x14ac:dyDescent="0.3">
      <c r="A2011" s="187">
        <v>43</v>
      </c>
      <c r="B2011" s="242">
        <f t="shared" si="793"/>
        <v>46935</v>
      </c>
      <c r="C2011" s="243">
        <f t="shared" si="774"/>
        <v>46965</v>
      </c>
      <c r="D2011" s="120">
        <f t="shared" si="775"/>
        <v>31</v>
      </c>
      <c r="E2011" s="120">
        <f t="shared" si="776"/>
        <v>7</v>
      </c>
      <c r="F2011" s="275">
        <f t="shared" si="777"/>
        <v>46950.5</v>
      </c>
      <c r="G2011" s="120">
        <f t="shared" si="778"/>
        <v>24342</v>
      </c>
      <c r="H2011" s="245">
        <f t="shared" si="779"/>
        <v>1</v>
      </c>
      <c r="I2011" s="121">
        <f t="shared" si="780"/>
        <v>1</v>
      </c>
      <c r="J2011" s="121">
        <f t="shared" si="781"/>
        <v>1</v>
      </c>
      <c r="K2011" s="120">
        <f t="shared" si="782"/>
        <v>0</v>
      </c>
      <c r="L2011" s="120">
        <f t="shared" si="783"/>
        <v>0</v>
      </c>
      <c r="M2011" s="246">
        <f t="shared" si="784"/>
        <v>0</v>
      </c>
      <c r="N2011" s="121">
        <f t="shared" si="785"/>
        <v>1</v>
      </c>
      <c r="O2011" s="246">
        <f t="shared" si="786"/>
        <v>0.9</v>
      </c>
      <c r="P2011" s="121">
        <f t="shared" si="787"/>
        <v>0</v>
      </c>
      <c r="Q2011" s="121">
        <f t="shared" si="788"/>
        <v>0</v>
      </c>
      <c r="R2011" s="121">
        <f t="shared" si="789"/>
        <v>0.91666666666666663</v>
      </c>
      <c r="S2011" s="121" t="str">
        <f t="shared" si="790"/>
        <v/>
      </c>
      <c r="T2011" s="121" t="str">
        <f t="shared" si="791"/>
        <v/>
      </c>
      <c r="U2011" s="121">
        <f t="shared" si="792"/>
        <v>1</v>
      </c>
    </row>
    <row r="2012" spans="1:21" x14ac:dyDescent="0.3">
      <c r="A2012" s="187">
        <v>44</v>
      </c>
      <c r="B2012" s="242">
        <f t="shared" si="793"/>
        <v>46966</v>
      </c>
      <c r="C2012" s="243">
        <f t="shared" si="774"/>
        <v>46996</v>
      </c>
      <c r="D2012" s="120">
        <f t="shared" si="775"/>
        <v>31</v>
      </c>
      <c r="E2012" s="120">
        <f t="shared" si="776"/>
        <v>8</v>
      </c>
      <c r="F2012" s="275">
        <f t="shared" si="777"/>
        <v>46981.5</v>
      </c>
      <c r="G2012" s="120">
        <f t="shared" si="778"/>
        <v>24343</v>
      </c>
      <c r="H2012" s="245">
        <f t="shared" si="779"/>
        <v>1</v>
      </c>
      <c r="I2012" s="121">
        <f t="shared" si="780"/>
        <v>1</v>
      </c>
      <c r="J2012" s="121">
        <f t="shared" si="781"/>
        <v>1</v>
      </c>
      <c r="K2012" s="120">
        <f t="shared" si="782"/>
        <v>0</v>
      </c>
      <c r="L2012" s="120">
        <f t="shared" si="783"/>
        <v>0</v>
      </c>
      <c r="M2012" s="246">
        <f t="shared" si="784"/>
        <v>0</v>
      </c>
      <c r="N2012" s="121">
        <f t="shared" si="785"/>
        <v>1</v>
      </c>
      <c r="O2012" s="246">
        <f t="shared" si="786"/>
        <v>0.9</v>
      </c>
      <c r="P2012" s="121">
        <f t="shared" si="787"/>
        <v>0</v>
      </c>
      <c r="Q2012" s="121">
        <f t="shared" si="788"/>
        <v>0</v>
      </c>
      <c r="R2012" s="121">
        <f t="shared" si="789"/>
        <v>0.75</v>
      </c>
      <c r="S2012" s="121" t="str">
        <f t="shared" si="790"/>
        <v/>
      </c>
      <c r="T2012" s="121" t="str">
        <f t="shared" si="791"/>
        <v/>
      </c>
      <c r="U2012" s="121">
        <f t="shared" si="792"/>
        <v>1</v>
      </c>
    </row>
    <row r="2013" spans="1:21" x14ac:dyDescent="0.3">
      <c r="A2013" s="187">
        <v>45</v>
      </c>
      <c r="B2013" s="242">
        <f t="shared" si="793"/>
        <v>46997</v>
      </c>
      <c r="C2013" s="243">
        <f t="shared" si="774"/>
        <v>47026</v>
      </c>
      <c r="D2013" s="120">
        <f t="shared" si="775"/>
        <v>30</v>
      </c>
      <c r="E2013" s="120">
        <f t="shared" si="776"/>
        <v>9</v>
      </c>
      <c r="F2013" s="275">
        <f t="shared" si="777"/>
        <v>47012</v>
      </c>
      <c r="G2013" s="120">
        <f t="shared" si="778"/>
        <v>24344</v>
      </c>
      <c r="H2013" s="245">
        <f t="shared" si="779"/>
        <v>1</v>
      </c>
      <c r="I2013" s="121">
        <f t="shared" si="780"/>
        <v>1</v>
      </c>
      <c r="J2013" s="121">
        <f t="shared" si="781"/>
        <v>1</v>
      </c>
      <c r="K2013" s="120">
        <f t="shared" si="782"/>
        <v>0</v>
      </c>
      <c r="L2013" s="120">
        <f t="shared" si="783"/>
        <v>0</v>
      </c>
      <c r="M2013" s="246">
        <f t="shared" si="784"/>
        <v>0</v>
      </c>
      <c r="N2013" s="121">
        <f t="shared" si="785"/>
        <v>1</v>
      </c>
      <c r="O2013" s="246">
        <f t="shared" si="786"/>
        <v>0.9</v>
      </c>
      <c r="P2013" s="121">
        <f t="shared" si="787"/>
        <v>0</v>
      </c>
      <c r="Q2013" s="121">
        <f t="shared" si="788"/>
        <v>0</v>
      </c>
      <c r="R2013" s="121">
        <f t="shared" si="789"/>
        <v>0.58333333333333337</v>
      </c>
      <c r="S2013" s="121" t="str">
        <f t="shared" si="790"/>
        <v/>
      </c>
      <c r="T2013" s="121" t="str">
        <f t="shared" si="791"/>
        <v/>
      </c>
      <c r="U2013" s="121">
        <f t="shared" si="792"/>
        <v>1</v>
      </c>
    </row>
    <row r="2014" spans="1:21" x14ac:dyDescent="0.3">
      <c r="A2014" s="187">
        <v>46</v>
      </c>
      <c r="B2014" s="242">
        <f t="shared" si="793"/>
        <v>47027</v>
      </c>
      <c r="C2014" s="243">
        <f t="shared" si="774"/>
        <v>47057</v>
      </c>
      <c r="D2014" s="120">
        <f t="shared" si="775"/>
        <v>31</v>
      </c>
      <c r="E2014" s="120">
        <f t="shared" si="776"/>
        <v>10</v>
      </c>
      <c r="F2014" s="275">
        <f t="shared" si="777"/>
        <v>47042.5</v>
      </c>
      <c r="G2014" s="120">
        <f t="shared" si="778"/>
        <v>24345</v>
      </c>
      <c r="H2014" s="245">
        <f t="shared" si="779"/>
        <v>1</v>
      </c>
      <c r="I2014" s="121">
        <f t="shared" si="780"/>
        <v>1</v>
      </c>
      <c r="J2014" s="121">
        <f t="shared" si="781"/>
        <v>1</v>
      </c>
      <c r="K2014" s="120">
        <f t="shared" si="782"/>
        <v>0</v>
      </c>
      <c r="L2014" s="120">
        <f t="shared" si="783"/>
        <v>0</v>
      </c>
      <c r="M2014" s="246">
        <f t="shared" si="784"/>
        <v>0</v>
      </c>
      <c r="N2014" s="121">
        <f t="shared" si="785"/>
        <v>1</v>
      </c>
      <c r="O2014" s="246">
        <f t="shared" si="786"/>
        <v>0.9</v>
      </c>
      <c r="P2014" s="121">
        <f t="shared" si="787"/>
        <v>0</v>
      </c>
      <c r="Q2014" s="121">
        <f t="shared" si="788"/>
        <v>0</v>
      </c>
      <c r="R2014" s="121">
        <f t="shared" si="789"/>
        <v>0.41666666666666669</v>
      </c>
      <c r="S2014" s="121" t="str">
        <f t="shared" si="790"/>
        <v/>
      </c>
      <c r="T2014" s="121" t="str">
        <f t="shared" si="791"/>
        <v/>
      </c>
      <c r="U2014" s="121">
        <f t="shared" si="792"/>
        <v>1</v>
      </c>
    </row>
    <row r="2015" spans="1:21" x14ac:dyDescent="0.3">
      <c r="A2015" s="187">
        <v>47</v>
      </c>
      <c r="B2015" s="242">
        <f t="shared" si="793"/>
        <v>47058</v>
      </c>
      <c r="C2015" s="243">
        <f t="shared" si="774"/>
        <v>47087</v>
      </c>
      <c r="D2015" s="120">
        <f t="shared" si="775"/>
        <v>30</v>
      </c>
      <c r="E2015" s="120">
        <f t="shared" si="776"/>
        <v>11</v>
      </c>
      <c r="F2015" s="275">
        <f t="shared" si="777"/>
        <v>47073</v>
      </c>
      <c r="G2015" s="120">
        <f t="shared" si="778"/>
        <v>24346</v>
      </c>
      <c r="H2015" s="245">
        <f t="shared" si="779"/>
        <v>1</v>
      </c>
      <c r="I2015" s="121">
        <f t="shared" si="780"/>
        <v>1</v>
      </c>
      <c r="J2015" s="121">
        <f t="shared" si="781"/>
        <v>1</v>
      </c>
      <c r="K2015" s="120">
        <f t="shared" si="782"/>
        <v>0</v>
      </c>
      <c r="L2015" s="120">
        <f t="shared" si="783"/>
        <v>0</v>
      </c>
      <c r="M2015" s="246">
        <f t="shared" si="784"/>
        <v>0</v>
      </c>
      <c r="N2015" s="121">
        <f t="shared" si="785"/>
        <v>1</v>
      </c>
      <c r="O2015" s="246">
        <f t="shared" si="786"/>
        <v>0.9</v>
      </c>
      <c r="P2015" s="121">
        <f t="shared" si="787"/>
        <v>0</v>
      </c>
      <c r="Q2015" s="121">
        <f t="shared" si="788"/>
        <v>0</v>
      </c>
      <c r="R2015" s="121">
        <f t="shared" si="789"/>
        <v>0.25</v>
      </c>
      <c r="S2015" s="121" t="str">
        <f t="shared" si="790"/>
        <v/>
      </c>
      <c r="T2015" s="121" t="str">
        <f t="shared" si="791"/>
        <v/>
      </c>
      <c r="U2015" s="121">
        <f t="shared" si="792"/>
        <v>1</v>
      </c>
    </row>
    <row r="2016" spans="1:21" x14ac:dyDescent="0.3">
      <c r="A2016" s="187">
        <v>48</v>
      </c>
      <c r="B2016" s="242">
        <f t="shared" si="793"/>
        <v>47088</v>
      </c>
      <c r="C2016" s="243">
        <f t="shared" si="774"/>
        <v>47118</v>
      </c>
      <c r="D2016" s="120">
        <f t="shared" si="775"/>
        <v>31</v>
      </c>
      <c r="E2016" s="120">
        <f t="shared" si="776"/>
        <v>12</v>
      </c>
      <c r="F2016" s="275">
        <f t="shared" si="777"/>
        <v>47103.5</v>
      </c>
      <c r="G2016" s="120">
        <f t="shared" si="778"/>
        <v>24347</v>
      </c>
      <c r="H2016" s="245">
        <f t="shared" si="779"/>
        <v>1</v>
      </c>
      <c r="I2016" s="121">
        <f t="shared" si="780"/>
        <v>1</v>
      </c>
      <c r="J2016" s="121">
        <f t="shared" si="781"/>
        <v>1</v>
      </c>
      <c r="K2016" s="120">
        <f t="shared" si="782"/>
        <v>0</v>
      </c>
      <c r="L2016" s="120">
        <f t="shared" si="783"/>
        <v>0</v>
      </c>
      <c r="M2016" s="246">
        <f t="shared" si="784"/>
        <v>0</v>
      </c>
      <c r="N2016" s="121">
        <f t="shared" si="785"/>
        <v>1</v>
      </c>
      <c r="O2016" s="246">
        <f t="shared" si="786"/>
        <v>0.9</v>
      </c>
      <c r="P2016" s="121">
        <f t="shared" si="787"/>
        <v>0</v>
      </c>
      <c r="Q2016" s="121">
        <f t="shared" si="788"/>
        <v>0</v>
      </c>
      <c r="R2016" s="121">
        <f t="shared" si="789"/>
        <v>8.3333333333333329E-2</v>
      </c>
      <c r="S2016" s="121" t="str">
        <f t="shared" si="790"/>
        <v/>
      </c>
      <c r="T2016" s="121" t="str">
        <f t="shared" si="791"/>
        <v/>
      </c>
      <c r="U2016" s="121">
        <f t="shared" si="792"/>
        <v>1</v>
      </c>
    </row>
    <row r="2017" spans="1:21" x14ac:dyDescent="0.3">
      <c r="A2017" s="6" t="s">
        <v>1651</v>
      </c>
      <c r="B2017" s="73">
        <f>EXP(SUMPRODUCT((rl_key=$A$1966)*(rl_cons="Y")*rl_ln1p))</f>
        <v>1</v>
      </c>
      <c r="C2017" s="73">
        <f>SUMPRODUCT($H$1969:$H$2016,$P$1969:$P$2016,$U$1969:$U$2016)/SUMPRODUCT($H$1969:$H$2016,$P$1969:$P$2016)</f>
        <v>1</v>
      </c>
      <c r="D2017" s="73">
        <f>SUMPRODUCT($H$1969:$H$2016,$Q$1969:$Q$2016,$U$1969:$U$2016)/SUMPRODUCT($H$1969:$H$2016,$Q$1969:$Q$2016)</f>
        <v>1</v>
      </c>
      <c r="E2017" s="73">
        <f>SUMPRODUCT($H$1969:$H$2016,$R$1969:$R$2016,$U$1969:$U$2016)/SUMPRODUCT($H$1969:$H$2016,$R$1969:$R$2016)</f>
        <v>1</v>
      </c>
      <c r="F2017" s="224">
        <f>SUMPRODUCT($H$1969:$H$2016,$Q$1969:$Q$2016,$O$1969:$O$2016)/SUMPRODUCT($H$1969:$H$2016,$Q$1969:$Q$2016)</f>
        <v>0.90600747629467537</v>
      </c>
      <c r="G2017" s="224">
        <f>SUMPRODUCT($H$1969:$H$2016,$R$1969:$R$2016,$O$1969:$O$2016)/SUMPRODUCT($H$1969:$H$2016,$R$1969:$R$2016)</f>
        <v>0.90033977631898854</v>
      </c>
      <c r="H2017" s="73">
        <f>SUMPRODUCT($H$1993:$H$2004,$N$1993:$N$2004/$N$1981:$N$1992)/SUM($H$1993:$H$2004)</f>
        <v>1</v>
      </c>
      <c r="I2017" s="73">
        <f>SUMPRODUCT($H$1993:$H$2004,$O$1993:$O$2004/$O$1981:$O$1992)/SUM($H$1993:$H$2004)</f>
        <v>0.99124238763980388</v>
      </c>
      <c r="J2017" s="73">
        <f>IF($O$1966=1,SUMPRODUCT($H$1993:$H$2004,$N$1993:$N$2004/$N$1981:$N$1992*$O$1993:$O$2004/$O$1981:$O$1992)/SUM($H$1993:$H$2004),$H2017)</f>
        <v>0.99124238763980388</v>
      </c>
      <c r="K2017" s="73">
        <f>SUMPRODUCT($H$1969:$H$2016,$Q$1969:$Q$2016,$N$1969:$N$2016)/SUMPRODUCT($H$1969:$H$2016,$Q$1969:$Q$2016)</f>
        <v>1</v>
      </c>
      <c r="L2017" s="73">
        <f>SUMPRODUCT($H$1969:$H$2016,$R$1969:$R$2016,$N$1969:$N$2016)/SUMPRODUCT($H$1969:$H$2016,$R$1969:$R$2016)</f>
        <v>1</v>
      </c>
    </row>
    <row r="2020" spans="1:21" x14ac:dyDescent="0.3">
      <c r="A2020" s="6" t="str">
        <f>INDEX(lr_key,37)</f>
        <v>MM|PA</v>
      </c>
      <c r="B2020" s="6" t="str">
        <f>INDEX(lr_state,37)</f>
        <v>PA</v>
      </c>
      <c r="C2020" s="75">
        <f>nr_TermMonths</f>
        <v>6</v>
      </c>
      <c r="D2020" s="75">
        <f>IF(COUNTIF(se_state,$B2020)=0,0,MATCH($B2020,se_state,0))</f>
        <v>0</v>
      </c>
      <c r="E2020" s="70">
        <f>IF($D2020=0,0,INDEX(se_sum,$D2020))</f>
        <v>0</v>
      </c>
      <c r="F2020" s="224">
        <f>IF(N(INDEX(lr_mind,37))=0,1,INDEX(lr_mind,37))</f>
        <v>0.92</v>
      </c>
      <c r="G2020" s="224">
        <f>IF(N(INDEX(lr_m0,37))=0,1,INDEX(lr_m0,37))</f>
        <v>0.91</v>
      </c>
      <c r="H2020" s="74">
        <f>IF(N(INDEX(lr_m0asof,37))=0,DATE(nr_PlanYear-1,10,1),INDEX(lr_m0asof,37))</f>
        <v>46295</v>
      </c>
      <c r="I2020" s="224">
        <f>IF(N(INDEX(lr_m1,37))=0,1,INDEX(lr_m1,37))</f>
        <v>0.91500000000000004</v>
      </c>
      <c r="J2020" s="224">
        <f>INDEX(lr_mprior,37)</f>
        <v>0</v>
      </c>
      <c r="K2020" s="224">
        <f>INDEX(lr_m2,37)</f>
        <v>0</v>
      </c>
      <c r="L2020" s="6" t="b">
        <f>NOT(ISBLANK(INDEX(lr_netp,37)))</f>
        <v>0</v>
      </c>
      <c r="M2020" s="72">
        <f>N(INDEX(lr_netp,37))</f>
        <v>0</v>
      </c>
      <c r="N2020" s="72">
        <f>IF(ISBLANK(INDEX(lr_netp1,37)),$M$2020,N(INDEX(lr_netp1,37)))</f>
        <v>0</v>
      </c>
      <c r="O2020" s="75">
        <f>IF(AND(nr_ModAdjMaster="ON",INDEX(lr_modadj,37)="ON"),1,0)</f>
        <v>1</v>
      </c>
    </row>
    <row r="2021" spans="1:21" x14ac:dyDescent="0.3">
      <c r="A2021" s="6">
        <f>EDATE($H$2020,-12)+1</f>
        <v>45931</v>
      </c>
      <c r="B2021" s="6">
        <f>$H$2020+1</f>
        <v>46296</v>
      </c>
      <c r="C2021" s="6">
        <f>DATE(nr_PlanYear,12,31)+1</f>
        <v>46753</v>
      </c>
      <c r="D2021" s="6">
        <f>DATE(nr_PlanYear+1,12,31)+1</f>
        <v>47119</v>
      </c>
      <c r="E2021" s="6">
        <f>IF(N($J$2020)=0,$F$2021-($G$2021-$F$2021)/($C$2021-$B$2021)*($B$2021-$A$2021),$J$2020)</f>
        <v>0.90600656455142237</v>
      </c>
      <c r="F2021" s="6">
        <f>$G$2020</f>
        <v>0.91</v>
      </c>
      <c r="G2021" s="6">
        <f>$I$2020</f>
        <v>0.91500000000000004</v>
      </c>
      <c r="H2021" s="6">
        <f>IF(N($K$2020)=0,$I$2020,$K$2020)</f>
        <v>0.91500000000000004</v>
      </c>
      <c r="I2021" s="6">
        <f>($F$2021-$E$2021)/($B$2021-$A$2021)</f>
        <v>1.0940919037199081E-5</v>
      </c>
      <c r="J2021" s="6">
        <f>($G$2021-$F$2021)/($C$2021-$B$2021)</f>
        <v>1.0940919037199135E-5</v>
      </c>
      <c r="K2021" s="6">
        <f>($H$2021-$G$2021)/($D$2021-$C$2021)</f>
        <v>0</v>
      </c>
    </row>
    <row r="2022" spans="1:21" ht="36" x14ac:dyDescent="0.3">
      <c r="A2022" s="58" t="s">
        <v>390</v>
      </c>
      <c r="B2022" s="58" t="s">
        <v>449</v>
      </c>
      <c r="C2022" s="58" t="s">
        <v>685</v>
      </c>
      <c r="D2022" s="58" t="s">
        <v>686</v>
      </c>
      <c r="E2022" s="58" t="s">
        <v>687</v>
      </c>
      <c r="F2022" s="58" t="s">
        <v>688</v>
      </c>
      <c r="G2022" s="58" t="s">
        <v>689</v>
      </c>
      <c r="H2022" s="58" t="s">
        <v>452</v>
      </c>
      <c r="I2022" s="58" t="s">
        <v>690</v>
      </c>
      <c r="J2022" s="58" t="s">
        <v>691</v>
      </c>
      <c r="K2022" s="58" t="s">
        <v>692</v>
      </c>
      <c r="L2022" s="58" t="s">
        <v>693</v>
      </c>
      <c r="M2022" s="58" t="s">
        <v>694</v>
      </c>
      <c r="N2022" s="58" t="s">
        <v>695</v>
      </c>
      <c r="O2022" s="58" t="s">
        <v>696</v>
      </c>
      <c r="P2022" s="58" t="s">
        <v>697</v>
      </c>
      <c r="Q2022" s="58" t="s">
        <v>698</v>
      </c>
      <c r="R2022" s="58" t="s">
        <v>699</v>
      </c>
      <c r="S2022" s="58" t="s">
        <v>700</v>
      </c>
      <c r="T2022" s="58" t="s">
        <v>701</v>
      </c>
      <c r="U2022" s="58" t="s">
        <v>702</v>
      </c>
    </row>
    <row r="2023" spans="1:21" x14ac:dyDescent="0.3">
      <c r="A2023" s="187">
        <v>1</v>
      </c>
      <c r="B2023" s="242">
        <f>DATE(nr_PlanYear-2,1,1)</f>
        <v>45658</v>
      </c>
      <c r="C2023" s="243">
        <f t="shared" ref="C2023:C2070" si="794">EOMONTH($B2023,0)</f>
        <v>45688</v>
      </c>
      <c r="D2023" s="120">
        <f t="shared" ref="D2023:D2070" si="795">$C2023-$B2023+1</f>
        <v>31</v>
      </c>
      <c r="E2023" s="120">
        <f t="shared" ref="E2023:E2070" si="796">MONTH($B2023)</f>
        <v>1</v>
      </c>
      <c r="F2023" s="275">
        <f t="shared" ref="F2023:F2070" si="797">($B2023+$C2023+1)/2</f>
        <v>45673.5</v>
      </c>
      <c r="G2023" s="120">
        <f t="shared" ref="G2023:G2070" si="798">YEAR($B2023)*12+MONTH($B2023)-1</f>
        <v>24300</v>
      </c>
      <c r="H2023" s="245">
        <f t="shared" ref="H2023:H2070" si="799">IF(OR(nr_SeasonOn="OFF",$D$2020=0,$E$2020=0),1,12*INDEX(se_block,$D$2020,$E2023)/$E$2020)</f>
        <v>1</v>
      </c>
      <c r="I2023" s="121">
        <f t="shared" ref="I2023:I2070" si="800">EXP(SUMPRODUCT((rl_eff&lt;$B2023)*(rl_key=$A$2020)*rl_ln1p))</f>
        <v>1</v>
      </c>
      <c r="J2023" s="121">
        <f t="shared" ref="J2023:J2070" si="801">EXP(SUMPRODUCT((rl_eff&lt;=$C2023)*(rl_key=$A$2020)*rl_ln1p))</f>
        <v>1</v>
      </c>
      <c r="K2023" s="120">
        <f t="shared" ref="K2023:K2070" si="802">COUNTIFS(rl_key,$A$2020,rl_eff,"&gt;="&amp;$B2023,rl_eff,"&lt;="&amp;$C2023)</f>
        <v>0</v>
      </c>
      <c r="L2023" s="120">
        <f t="shared" ref="L2023:L2070" si="803">SUMIFS(rl_daysafter,rl_key,$A$2020,rl_effmonth,$B2023,rl_first,1)</f>
        <v>0</v>
      </c>
      <c r="M2023" s="246">
        <f t="shared" ref="M2023:M2070" si="804">IF($K2023=0,0,MIN(1,$L2023/$D2023))</f>
        <v>0</v>
      </c>
      <c r="N2023" s="121">
        <f t="shared" ref="N2023:N2070" si="805">IF($K2023=0,$J2023,(1-$M2023)*$I2023+$M2023*$J2023)</f>
        <v>1</v>
      </c>
      <c r="O2023" s="246">
        <f t="shared" ref="O2023:O2070" si="806">IF($F2023&lt;$B$2021,$E$2021+$I$2021*($F2023-$A$2021),IF($F2023&lt;$C$2021,$F$2021+$J$2021*($F2023-$B$2021),$G$2021+$K$2021*($F2023-$C$2021)))</f>
        <v>0.90318927789934356</v>
      </c>
      <c r="P2023" s="121">
        <f t="shared" ref="P2023:P2070" si="807">MIN(1,MAX(0,(nr_MEndPm1-$G2023+0.5)/$C$2020))-MIN(1,MAX(0,(nr_MStartPm1-1-$G2023+0.5)/$C$2020))</f>
        <v>0</v>
      </c>
      <c r="Q2023" s="121">
        <f t="shared" ref="Q2023:Q2070" si="808">MIN(1,MAX(0,(nr_MEndP-$G2023+0.5)/$C$2020))-MIN(1,MAX(0,(nr_MStartP-1-$G2023+0.5)/$C$2020))</f>
        <v>0</v>
      </c>
      <c r="R2023" s="121">
        <f t="shared" ref="R2023:R2070" si="809">MIN(1,MAX(0,(nr_MEndP1-$G2023+0.5)/$C$2020))-MIN(1,MAX(0,(nr_MStartP1-1-$G2023+0.5)/$C$2020))</f>
        <v>0</v>
      </c>
      <c r="S2023" s="121" t="str">
        <f t="shared" ref="S2023:S2070" si="810">IF($L$2020,$N2023*IF($O$2020=1,$O2023/$F$2020,1),"")</f>
        <v/>
      </c>
      <c r="T2023" s="121" t="str">
        <f t="shared" ref="T2023:T2070" si="811">IF(NOT($L$2020),"",IF($G2023&lt;nr_MStartP,$S2023,$T2011*(1+IF($G2023&lt;nr_MStartP1,$M$2020,$N$2020))))</f>
        <v/>
      </c>
      <c r="U2023" s="121">
        <f t="shared" ref="U2023:U2070" si="812">IF($L$2020,$T2023,$N2023)</f>
        <v>1</v>
      </c>
    </row>
    <row r="2024" spans="1:21" x14ac:dyDescent="0.3">
      <c r="A2024" s="187">
        <v>2</v>
      </c>
      <c r="B2024" s="242">
        <f t="shared" ref="B2024:B2070" si="813">EDATE($B2023,1)</f>
        <v>45689</v>
      </c>
      <c r="C2024" s="243">
        <f t="shared" si="794"/>
        <v>45716</v>
      </c>
      <c r="D2024" s="120">
        <f t="shared" si="795"/>
        <v>28</v>
      </c>
      <c r="E2024" s="120">
        <f t="shared" si="796"/>
        <v>2</v>
      </c>
      <c r="F2024" s="275">
        <f t="shared" si="797"/>
        <v>45703</v>
      </c>
      <c r="G2024" s="120">
        <f t="shared" si="798"/>
        <v>24301</v>
      </c>
      <c r="H2024" s="245">
        <f t="shared" si="799"/>
        <v>1</v>
      </c>
      <c r="I2024" s="121">
        <f t="shared" si="800"/>
        <v>1</v>
      </c>
      <c r="J2024" s="121">
        <f t="shared" si="801"/>
        <v>1</v>
      </c>
      <c r="K2024" s="120">
        <f t="shared" si="802"/>
        <v>0</v>
      </c>
      <c r="L2024" s="120">
        <f t="shared" si="803"/>
        <v>0</v>
      </c>
      <c r="M2024" s="246">
        <f t="shared" si="804"/>
        <v>0</v>
      </c>
      <c r="N2024" s="121">
        <f t="shared" si="805"/>
        <v>1</v>
      </c>
      <c r="O2024" s="246">
        <f t="shared" si="806"/>
        <v>0.90351203501094102</v>
      </c>
      <c r="P2024" s="121">
        <f t="shared" si="807"/>
        <v>0</v>
      </c>
      <c r="Q2024" s="121">
        <f t="shared" si="808"/>
        <v>0</v>
      </c>
      <c r="R2024" s="121">
        <f t="shared" si="809"/>
        <v>0</v>
      </c>
      <c r="S2024" s="121" t="str">
        <f t="shared" si="810"/>
        <v/>
      </c>
      <c r="T2024" s="121" t="str">
        <f t="shared" si="811"/>
        <v/>
      </c>
      <c r="U2024" s="121">
        <f t="shared" si="812"/>
        <v>1</v>
      </c>
    </row>
    <row r="2025" spans="1:21" x14ac:dyDescent="0.3">
      <c r="A2025" s="187">
        <v>3</v>
      </c>
      <c r="B2025" s="242">
        <f t="shared" si="813"/>
        <v>45717</v>
      </c>
      <c r="C2025" s="243">
        <f t="shared" si="794"/>
        <v>45747</v>
      </c>
      <c r="D2025" s="120">
        <f t="shared" si="795"/>
        <v>31</v>
      </c>
      <c r="E2025" s="120">
        <f t="shared" si="796"/>
        <v>3</v>
      </c>
      <c r="F2025" s="275">
        <f t="shared" si="797"/>
        <v>45732.5</v>
      </c>
      <c r="G2025" s="120">
        <f t="shared" si="798"/>
        <v>24302</v>
      </c>
      <c r="H2025" s="245">
        <f t="shared" si="799"/>
        <v>1</v>
      </c>
      <c r="I2025" s="121">
        <f t="shared" si="800"/>
        <v>1</v>
      </c>
      <c r="J2025" s="121">
        <f t="shared" si="801"/>
        <v>1</v>
      </c>
      <c r="K2025" s="120">
        <f t="shared" si="802"/>
        <v>0</v>
      </c>
      <c r="L2025" s="120">
        <f t="shared" si="803"/>
        <v>0</v>
      </c>
      <c r="M2025" s="246">
        <f t="shared" si="804"/>
        <v>0</v>
      </c>
      <c r="N2025" s="121">
        <f t="shared" si="805"/>
        <v>1</v>
      </c>
      <c r="O2025" s="246">
        <f t="shared" si="806"/>
        <v>0.90383479212253837</v>
      </c>
      <c r="P2025" s="121">
        <f t="shared" si="807"/>
        <v>0</v>
      </c>
      <c r="Q2025" s="121">
        <f t="shared" si="808"/>
        <v>0</v>
      </c>
      <c r="R2025" s="121">
        <f t="shared" si="809"/>
        <v>0</v>
      </c>
      <c r="S2025" s="121" t="str">
        <f t="shared" si="810"/>
        <v/>
      </c>
      <c r="T2025" s="121" t="str">
        <f t="shared" si="811"/>
        <v/>
      </c>
      <c r="U2025" s="121">
        <f t="shared" si="812"/>
        <v>1</v>
      </c>
    </row>
    <row r="2026" spans="1:21" x14ac:dyDescent="0.3">
      <c r="A2026" s="187">
        <v>4</v>
      </c>
      <c r="B2026" s="242">
        <f t="shared" si="813"/>
        <v>45748</v>
      </c>
      <c r="C2026" s="243">
        <f t="shared" si="794"/>
        <v>45777</v>
      </c>
      <c r="D2026" s="120">
        <f t="shared" si="795"/>
        <v>30</v>
      </c>
      <c r="E2026" s="120">
        <f t="shared" si="796"/>
        <v>4</v>
      </c>
      <c r="F2026" s="275">
        <f t="shared" si="797"/>
        <v>45763</v>
      </c>
      <c r="G2026" s="120">
        <f t="shared" si="798"/>
        <v>24303</v>
      </c>
      <c r="H2026" s="245">
        <f t="shared" si="799"/>
        <v>1</v>
      </c>
      <c r="I2026" s="121">
        <f t="shared" si="800"/>
        <v>1</v>
      </c>
      <c r="J2026" s="121">
        <f t="shared" si="801"/>
        <v>1</v>
      </c>
      <c r="K2026" s="120">
        <f t="shared" si="802"/>
        <v>0</v>
      </c>
      <c r="L2026" s="120">
        <f t="shared" si="803"/>
        <v>0</v>
      </c>
      <c r="M2026" s="246">
        <f t="shared" si="804"/>
        <v>0</v>
      </c>
      <c r="N2026" s="121">
        <f t="shared" si="805"/>
        <v>1</v>
      </c>
      <c r="O2026" s="246">
        <f t="shared" si="806"/>
        <v>0.90416849015317291</v>
      </c>
      <c r="P2026" s="121">
        <f t="shared" si="807"/>
        <v>0</v>
      </c>
      <c r="Q2026" s="121">
        <f t="shared" si="808"/>
        <v>0</v>
      </c>
      <c r="R2026" s="121">
        <f t="shared" si="809"/>
        <v>0</v>
      </c>
      <c r="S2026" s="121" t="str">
        <f t="shared" si="810"/>
        <v/>
      </c>
      <c r="T2026" s="121" t="str">
        <f t="shared" si="811"/>
        <v/>
      </c>
      <c r="U2026" s="121">
        <f t="shared" si="812"/>
        <v>1</v>
      </c>
    </row>
    <row r="2027" spans="1:21" x14ac:dyDescent="0.3">
      <c r="A2027" s="187">
        <v>5</v>
      </c>
      <c r="B2027" s="242">
        <f t="shared" si="813"/>
        <v>45778</v>
      </c>
      <c r="C2027" s="243">
        <f t="shared" si="794"/>
        <v>45808</v>
      </c>
      <c r="D2027" s="120">
        <f t="shared" si="795"/>
        <v>31</v>
      </c>
      <c r="E2027" s="120">
        <f t="shared" si="796"/>
        <v>5</v>
      </c>
      <c r="F2027" s="275">
        <f t="shared" si="797"/>
        <v>45793.5</v>
      </c>
      <c r="G2027" s="120">
        <f t="shared" si="798"/>
        <v>24304</v>
      </c>
      <c r="H2027" s="245">
        <f t="shared" si="799"/>
        <v>1</v>
      </c>
      <c r="I2027" s="121">
        <f t="shared" si="800"/>
        <v>1</v>
      </c>
      <c r="J2027" s="121">
        <f t="shared" si="801"/>
        <v>1</v>
      </c>
      <c r="K2027" s="120">
        <f t="shared" si="802"/>
        <v>0</v>
      </c>
      <c r="L2027" s="120">
        <f t="shared" si="803"/>
        <v>0</v>
      </c>
      <c r="M2027" s="246">
        <f t="shared" si="804"/>
        <v>0</v>
      </c>
      <c r="N2027" s="121">
        <f t="shared" si="805"/>
        <v>1</v>
      </c>
      <c r="O2027" s="246">
        <f t="shared" si="806"/>
        <v>0.90450218818380745</v>
      </c>
      <c r="P2027" s="121">
        <f t="shared" si="807"/>
        <v>0</v>
      </c>
      <c r="Q2027" s="121">
        <f t="shared" si="808"/>
        <v>0</v>
      </c>
      <c r="R2027" s="121">
        <f t="shared" si="809"/>
        <v>0</v>
      </c>
      <c r="S2027" s="121" t="str">
        <f t="shared" si="810"/>
        <v/>
      </c>
      <c r="T2027" s="121" t="str">
        <f t="shared" si="811"/>
        <v/>
      </c>
      <c r="U2027" s="121">
        <f t="shared" si="812"/>
        <v>1</v>
      </c>
    </row>
    <row r="2028" spans="1:21" x14ac:dyDescent="0.3">
      <c r="A2028" s="187">
        <v>6</v>
      </c>
      <c r="B2028" s="242">
        <f t="shared" si="813"/>
        <v>45809</v>
      </c>
      <c r="C2028" s="243">
        <f t="shared" si="794"/>
        <v>45838</v>
      </c>
      <c r="D2028" s="120">
        <f t="shared" si="795"/>
        <v>30</v>
      </c>
      <c r="E2028" s="120">
        <f t="shared" si="796"/>
        <v>6</v>
      </c>
      <c r="F2028" s="275">
        <f t="shared" si="797"/>
        <v>45824</v>
      </c>
      <c r="G2028" s="120">
        <f t="shared" si="798"/>
        <v>24305</v>
      </c>
      <c r="H2028" s="245">
        <f t="shared" si="799"/>
        <v>1</v>
      </c>
      <c r="I2028" s="121">
        <f t="shared" si="800"/>
        <v>1</v>
      </c>
      <c r="J2028" s="121">
        <f t="shared" si="801"/>
        <v>1</v>
      </c>
      <c r="K2028" s="120">
        <f t="shared" si="802"/>
        <v>0</v>
      </c>
      <c r="L2028" s="120">
        <f t="shared" si="803"/>
        <v>0</v>
      </c>
      <c r="M2028" s="246">
        <f t="shared" si="804"/>
        <v>0</v>
      </c>
      <c r="N2028" s="121">
        <f t="shared" si="805"/>
        <v>1</v>
      </c>
      <c r="O2028" s="246">
        <f t="shared" si="806"/>
        <v>0.90483588621444211</v>
      </c>
      <c r="P2028" s="121">
        <f t="shared" si="807"/>
        <v>0</v>
      </c>
      <c r="Q2028" s="121">
        <f t="shared" si="808"/>
        <v>0</v>
      </c>
      <c r="R2028" s="121">
        <f t="shared" si="809"/>
        <v>0</v>
      </c>
      <c r="S2028" s="121" t="str">
        <f t="shared" si="810"/>
        <v/>
      </c>
      <c r="T2028" s="121" t="str">
        <f t="shared" si="811"/>
        <v/>
      </c>
      <c r="U2028" s="121">
        <f t="shared" si="812"/>
        <v>1</v>
      </c>
    </row>
    <row r="2029" spans="1:21" x14ac:dyDescent="0.3">
      <c r="A2029" s="187">
        <v>7</v>
      </c>
      <c r="B2029" s="242">
        <f t="shared" si="813"/>
        <v>45839</v>
      </c>
      <c r="C2029" s="243">
        <f t="shared" si="794"/>
        <v>45869</v>
      </c>
      <c r="D2029" s="120">
        <f t="shared" si="795"/>
        <v>31</v>
      </c>
      <c r="E2029" s="120">
        <f t="shared" si="796"/>
        <v>7</v>
      </c>
      <c r="F2029" s="275">
        <f t="shared" si="797"/>
        <v>45854.5</v>
      </c>
      <c r="G2029" s="120">
        <f t="shared" si="798"/>
        <v>24306</v>
      </c>
      <c r="H2029" s="245">
        <f t="shared" si="799"/>
        <v>1</v>
      </c>
      <c r="I2029" s="121">
        <f t="shared" si="800"/>
        <v>1</v>
      </c>
      <c r="J2029" s="121">
        <f t="shared" si="801"/>
        <v>1</v>
      </c>
      <c r="K2029" s="120">
        <f t="shared" si="802"/>
        <v>0</v>
      </c>
      <c r="L2029" s="120">
        <f t="shared" si="803"/>
        <v>0</v>
      </c>
      <c r="M2029" s="246">
        <f t="shared" si="804"/>
        <v>0</v>
      </c>
      <c r="N2029" s="121">
        <f t="shared" si="805"/>
        <v>1</v>
      </c>
      <c r="O2029" s="246">
        <f t="shared" si="806"/>
        <v>0.90516958424507665</v>
      </c>
      <c r="P2029" s="121">
        <f t="shared" si="807"/>
        <v>8.333333333333337E-2</v>
      </c>
      <c r="Q2029" s="121">
        <f t="shared" si="808"/>
        <v>0</v>
      </c>
      <c r="R2029" s="121">
        <f t="shared" si="809"/>
        <v>0</v>
      </c>
      <c r="S2029" s="121" t="str">
        <f t="shared" si="810"/>
        <v/>
      </c>
      <c r="T2029" s="121" t="str">
        <f t="shared" si="811"/>
        <v/>
      </c>
      <c r="U2029" s="121">
        <f t="shared" si="812"/>
        <v>1</v>
      </c>
    </row>
    <row r="2030" spans="1:21" x14ac:dyDescent="0.3">
      <c r="A2030" s="187">
        <v>8</v>
      </c>
      <c r="B2030" s="242">
        <f t="shared" si="813"/>
        <v>45870</v>
      </c>
      <c r="C2030" s="243">
        <f t="shared" si="794"/>
        <v>45900</v>
      </c>
      <c r="D2030" s="120">
        <f t="shared" si="795"/>
        <v>31</v>
      </c>
      <c r="E2030" s="120">
        <f t="shared" si="796"/>
        <v>8</v>
      </c>
      <c r="F2030" s="275">
        <f t="shared" si="797"/>
        <v>45885.5</v>
      </c>
      <c r="G2030" s="120">
        <f t="shared" si="798"/>
        <v>24307</v>
      </c>
      <c r="H2030" s="245">
        <f t="shared" si="799"/>
        <v>1</v>
      </c>
      <c r="I2030" s="121">
        <f t="shared" si="800"/>
        <v>1</v>
      </c>
      <c r="J2030" s="121">
        <f t="shared" si="801"/>
        <v>1</v>
      </c>
      <c r="K2030" s="120">
        <f t="shared" si="802"/>
        <v>0</v>
      </c>
      <c r="L2030" s="120">
        <f t="shared" si="803"/>
        <v>0</v>
      </c>
      <c r="M2030" s="246">
        <f t="shared" si="804"/>
        <v>0</v>
      </c>
      <c r="N2030" s="121">
        <f t="shared" si="805"/>
        <v>1</v>
      </c>
      <c r="O2030" s="246">
        <f t="shared" si="806"/>
        <v>0.90550875273522979</v>
      </c>
      <c r="P2030" s="121">
        <f t="shared" si="807"/>
        <v>0.25</v>
      </c>
      <c r="Q2030" s="121">
        <f t="shared" si="808"/>
        <v>0</v>
      </c>
      <c r="R2030" s="121">
        <f t="shared" si="809"/>
        <v>0</v>
      </c>
      <c r="S2030" s="121" t="str">
        <f t="shared" si="810"/>
        <v/>
      </c>
      <c r="T2030" s="121" t="str">
        <f t="shared" si="811"/>
        <v/>
      </c>
      <c r="U2030" s="121">
        <f t="shared" si="812"/>
        <v>1</v>
      </c>
    </row>
    <row r="2031" spans="1:21" x14ac:dyDescent="0.3">
      <c r="A2031" s="187">
        <v>9</v>
      </c>
      <c r="B2031" s="242">
        <f t="shared" si="813"/>
        <v>45901</v>
      </c>
      <c r="C2031" s="243">
        <f t="shared" si="794"/>
        <v>45930</v>
      </c>
      <c r="D2031" s="120">
        <f t="shared" si="795"/>
        <v>30</v>
      </c>
      <c r="E2031" s="120">
        <f t="shared" si="796"/>
        <v>9</v>
      </c>
      <c r="F2031" s="275">
        <f t="shared" si="797"/>
        <v>45916</v>
      </c>
      <c r="G2031" s="120">
        <f t="shared" si="798"/>
        <v>24308</v>
      </c>
      <c r="H2031" s="245">
        <f t="shared" si="799"/>
        <v>1</v>
      </c>
      <c r="I2031" s="121">
        <f t="shared" si="800"/>
        <v>1</v>
      </c>
      <c r="J2031" s="121">
        <f t="shared" si="801"/>
        <v>1</v>
      </c>
      <c r="K2031" s="120">
        <f t="shared" si="802"/>
        <v>0</v>
      </c>
      <c r="L2031" s="120">
        <f t="shared" si="803"/>
        <v>0</v>
      </c>
      <c r="M2031" s="246">
        <f t="shared" si="804"/>
        <v>0</v>
      </c>
      <c r="N2031" s="121">
        <f t="shared" si="805"/>
        <v>1</v>
      </c>
      <c r="O2031" s="246">
        <f t="shared" si="806"/>
        <v>0.90584245076586434</v>
      </c>
      <c r="P2031" s="121">
        <f t="shared" si="807"/>
        <v>0.41666666666666663</v>
      </c>
      <c r="Q2031" s="121">
        <f t="shared" si="808"/>
        <v>0</v>
      </c>
      <c r="R2031" s="121">
        <f t="shared" si="809"/>
        <v>0</v>
      </c>
      <c r="S2031" s="121" t="str">
        <f t="shared" si="810"/>
        <v/>
      </c>
      <c r="T2031" s="121" t="str">
        <f t="shared" si="811"/>
        <v/>
      </c>
      <c r="U2031" s="121">
        <f t="shared" si="812"/>
        <v>1</v>
      </c>
    </row>
    <row r="2032" spans="1:21" x14ac:dyDescent="0.3">
      <c r="A2032" s="187">
        <v>10</v>
      </c>
      <c r="B2032" s="242">
        <f t="shared" si="813"/>
        <v>45931</v>
      </c>
      <c r="C2032" s="243">
        <f t="shared" si="794"/>
        <v>45961</v>
      </c>
      <c r="D2032" s="120">
        <f t="shared" si="795"/>
        <v>31</v>
      </c>
      <c r="E2032" s="120">
        <f t="shared" si="796"/>
        <v>10</v>
      </c>
      <c r="F2032" s="275">
        <f t="shared" si="797"/>
        <v>45946.5</v>
      </c>
      <c r="G2032" s="120">
        <f t="shared" si="798"/>
        <v>24309</v>
      </c>
      <c r="H2032" s="245">
        <f t="shared" si="799"/>
        <v>1</v>
      </c>
      <c r="I2032" s="121">
        <f t="shared" si="800"/>
        <v>1</v>
      </c>
      <c r="J2032" s="121">
        <f t="shared" si="801"/>
        <v>1</v>
      </c>
      <c r="K2032" s="120">
        <f t="shared" si="802"/>
        <v>0</v>
      </c>
      <c r="L2032" s="120">
        <f t="shared" si="803"/>
        <v>0</v>
      </c>
      <c r="M2032" s="246">
        <f t="shared" si="804"/>
        <v>0</v>
      </c>
      <c r="N2032" s="121">
        <f t="shared" si="805"/>
        <v>1</v>
      </c>
      <c r="O2032" s="246">
        <f t="shared" si="806"/>
        <v>0.90617614879649899</v>
      </c>
      <c r="P2032" s="121">
        <f t="shared" si="807"/>
        <v>0.58333333333333326</v>
      </c>
      <c r="Q2032" s="121">
        <f t="shared" si="808"/>
        <v>0</v>
      </c>
      <c r="R2032" s="121">
        <f t="shared" si="809"/>
        <v>0</v>
      </c>
      <c r="S2032" s="121" t="str">
        <f t="shared" si="810"/>
        <v/>
      </c>
      <c r="T2032" s="121" t="str">
        <f t="shared" si="811"/>
        <v/>
      </c>
      <c r="U2032" s="121">
        <f t="shared" si="812"/>
        <v>1</v>
      </c>
    </row>
    <row r="2033" spans="1:21" x14ac:dyDescent="0.3">
      <c r="A2033" s="187">
        <v>11</v>
      </c>
      <c r="B2033" s="242">
        <f t="shared" si="813"/>
        <v>45962</v>
      </c>
      <c r="C2033" s="243">
        <f t="shared" si="794"/>
        <v>45991</v>
      </c>
      <c r="D2033" s="120">
        <f t="shared" si="795"/>
        <v>30</v>
      </c>
      <c r="E2033" s="120">
        <f t="shared" si="796"/>
        <v>11</v>
      </c>
      <c r="F2033" s="275">
        <f t="shared" si="797"/>
        <v>45977</v>
      </c>
      <c r="G2033" s="120">
        <f t="shared" si="798"/>
        <v>24310</v>
      </c>
      <c r="H2033" s="245">
        <f t="shared" si="799"/>
        <v>1</v>
      </c>
      <c r="I2033" s="121">
        <f t="shared" si="800"/>
        <v>1</v>
      </c>
      <c r="J2033" s="121">
        <f t="shared" si="801"/>
        <v>1</v>
      </c>
      <c r="K2033" s="120">
        <f t="shared" si="802"/>
        <v>0</v>
      </c>
      <c r="L2033" s="120">
        <f t="shared" si="803"/>
        <v>0</v>
      </c>
      <c r="M2033" s="246">
        <f t="shared" si="804"/>
        <v>0</v>
      </c>
      <c r="N2033" s="121">
        <f t="shared" si="805"/>
        <v>1</v>
      </c>
      <c r="O2033" s="246">
        <f t="shared" si="806"/>
        <v>0.90650984682713354</v>
      </c>
      <c r="P2033" s="121">
        <f t="shared" si="807"/>
        <v>0.75</v>
      </c>
      <c r="Q2033" s="121">
        <f t="shared" si="808"/>
        <v>0</v>
      </c>
      <c r="R2033" s="121">
        <f t="shared" si="809"/>
        <v>0</v>
      </c>
      <c r="S2033" s="121" t="str">
        <f t="shared" si="810"/>
        <v/>
      </c>
      <c r="T2033" s="121" t="str">
        <f t="shared" si="811"/>
        <v/>
      </c>
      <c r="U2033" s="121">
        <f t="shared" si="812"/>
        <v>1</v>
      </c>
    </row>
    <row r="2034" spans="1:21" x14ac:dyDescent="0.3">
      <c r="A2034" s="187">
        <v>12</v>
      </c>
      <c r="B2034" s="242">
        <f t="shared" si="813"/>
        <v>45992</v>
      </c>
      <c r="C2034" s="243">
        <f t="shared" si="794"/>
        <v>46022</v>
      </c>
      <c r="D2034" s="120">
        <f t="shared" si="795"/>
        <v>31</v>
      </c>
      <c r="E2034" s="120">
        <f t="shared" si="796"/>
        <v>12</v>
      </c>
      <c r="F2034" s="275">
        <f t="shared" si="797"/>
        <v>46007.5</v>
      </c>
      <c r="G2034" s="120">
        <f t="shared" si="798"/>
        <v>24311</v>
      </c>
      <c r="H2034" s="245">
        <f t="shared" si="799"/>
        <v>1</v>
      </c>
      <c r="I2034" s="121">
        <f t="shared" si="800"/>
        <v>1</v>
      </c>
      <c r="J2034" s="121">
        <f t="shared" si="801"/>
        <v>1</v>
      </c>
      <c r="K2034" s="120">
        <f t="shared" si="802"/>
        <v>0</v>
      </c>
      <c r="L2034" s="120">
        <f t="shared" si="803"/>
        <v>0</v>
      </c>
      <c r="M2034" s="246">
        <f t="shared" si="804"/>
        <v>0</v>
      </c>
      <c r="N2034" s="121">
        <f t="shared" si="805"/>
        <v>1</v>
      </c>
      <c r="O2034" s="246">
        <f t="shared" si="806"/>
        <v>0.90684354485776808</v>
      </c>
      <c r="P2034" s="121">
        <f t="shared" si="807"/>
        <v>0.91666666666666663</v>
      </c>
      <c r="Q2034" s="121">
        <f t="shared" si="808"/>
        <v>0</v>
      </c>
      <c r="R2034" s="121">
        <f t="shared" si="809"/>
        <v>0</v>
      </c>
      <c r="S2034" s="121" t="str">
        <f t="shared" si="810"/>
        <v/>
      </c>
      <c r="T2034" s="121" t="str">
        <f t="shared" si="811"/>
        <v/>
      </c>
      <c r="U2034" s="121">
        <f t="shared" si="812"/>
        <v>1</v>
      </c>
    </row>
    <row r="2035" spans="1:21" x14ac:dyDescent="0.3">
      <c r="A2035" s="187">
        <v>13</v>
      </c>
      <c r="B2035" s="242">
        <f t="shared" si="813"/>
        <v>46023</v>
      </c>
      <c r="C2035" s="243">
        <f t="shared" si="794"/>
        <v>46053</v>
      </c>
      <c r="D2035" s="120">
        <f t="shared" si="795"/>
        <v>31</v>
      </c>
      <c r="E2035" s="120">
        <f t="shared" si="796"/>
        <v>1</v>
      </c>
      <c r="F2035" s="275">
        <f t="shared" si="797"/>
        <v>46038.5</v>
      </c>
      <c r="G2035" s="120">
        <f t="shared" si="798"/>
        <v>24312</v>
      </c>
      <c r="H2035" s="245">
        <f t="shared" si="799"/>
        <v>1</v>
      </c>
      <c r="I2035" s="121">
        <f t="shared" si="800"/>
        <v>1</v>
      </c>
      <c r="J2035" s="121">
        <f t="shared" si="801"/>
        <v>1.03</v>
      </c>
      <c r="K2035" s="120">
        <f t="shared" si="802"/>
        <v>1</v>
      </c>
      <c r="L2035" s="120">
        <f t="shared" si="803"/>
        <v>31</v>
      </c>
      <c r="M2035" s="246">
        <f t="shared" si="804"/>
        <v>1</v>
      </c>
      <c r="N2035" s="121">
        <f t="shared" si="805"/>
        <v>1.03</v>
      </c>
      <c r="O2035" s="246">
        <f t="shared" si="806"/>
        <v>0.90718271334792122</v>
      </c>
      <c r="P2035" s="121">
        <f t="shared" si="807"/>
        <v>1</v>
      </c>
      <c r="Q2035" s="121">
        <f t="shared" si="808"/>
        <v>0</v>
      </c>
      <c r="R2035" s="121">
        <f t="shared" si="809"/>
        <v>0</v>
      </c>
      <c r="S2035" s="121" t="str">
        <f t="shared" si="810"/>
        <v/>
      </c>
      <c r="T2035" s="121" t="str">
        <f t="shared" si="811"/>
        <v/>
      </c>
      <c r="U2035" s="121">
        <f t="shared" si="812"/>
        <v>1.03</v>
      </c>
    </row>
    <row r="2036" spans="1:21" x14ac:dyDescent="0.3">
      <c r="A2036" s="187">
        <v>14</v>
      </c>
      <c r="B2036" s="242">
        <f t="shared" si="813"/>
        <v>46054</v>
      </c>
      <c r="C2036" s="243">
        <f t="shared" si="794"/>
        <v>46081</v>
      </c>
      <c r="D2036" s="120">
        <f t="shared" si="795"/>
        <v>28</v>
      </c>
      <c r="E2036" s="120">
        <f t="shared" si="796"/>
        <v>2</v>
      </c>
      <c r="F2036" s="275">
        <f t="shared" si="797"/>
        <v>46068</v>
      </c>
      <c r="G2036" s="120">
        <f t="shared" si="798"/>
        <v>24313</v>
      </c>
      <c r="H2036" s="245">
        <f t="shared" si="799"/>
        <v>1</v>
      </c>
      <c r="I2036" s="121">
        <f t="shared" si="800"/>
        <v>1.03</v>
      </c>
      <c r="J2036" s="121">
        <f t="shared" si="801"/>
        <v>1.03</v>
      </c>
      <c r="K2036" s="120">
        <f t="shared" si="802"/>
        <v>0</v>
      </c>
      <c r="L2036" s="120">
        <f t="shared" si="803"/>
        <v>0</v>
      </c>
      <c r="M2036" s="246">
        <f t="shared" si="804"/>
        <v>0</v>
      </c>
      <c r="N2036" s="121">
        <f t="shared" si="805"/>
        <v>1.03</v>
      </c>
      <c r="O2036" s="246">
        <f t="shared" si="806"/>
        <v>0.90750547045951868</v>
      </c>
      <c r="P2036" s="121">
        <f t="shared" si="807"/>
        <v>1</v>
      </c>
      <c r="Q2036" s="121">
        <f t="shared" si="808"/>
        <v>0</v>
      </c>
      <c r="R2036" s="121">
        <f t="shared" si="809"/>
        <v>0</v>
      </c>
      <c r="S2036" s="121" t="str">
        <f t="shared" si="810"/>
        <v/>
      </c>
      <c r="T2036" s="121" t="str">
        <f t="shared" si="811"/>
        <v/>
      </c>
      <c r="U2036" s="121">
        <f t="shared" si="812"/>
        <v>1.03</v>
      </c>
    </row>
    <row r="2037" spans="1:21" x14ac:dyDescent="0.3">
      <c r="A2037" s="187">
        <v>15</v>
      </c>
      <c r="B2037" s="242">
        <f t="shared" si="813"/>
        <v>46082</v>
      </c>
      <c r="C2037" s="243">
        <f t="shared" si="794"/>
        <v>46112</v>
      </c>
      <c r="D2037" s="120">
        <f t="shared" si="795"/>
        <v>31</v>
      </c>
      <c r="E2037" s="120">
        <f t="shared" si="796"/>
        <v>3</v>
      </c>
      <c r="F2037" s="275">
        <f t="shared" si="797"/>
        <v>46097.5</v>
      </c>
      <c r="G2037" s="120">
        <f t="shared" si="798"/>
        <v>24314</v>
      </c>
      <c r="H2037" s="245">
        <f t="shared" si="799"/>
        <v>1</v>
      </c>
      <c r="I2037" s="121">
        <f t="shared" si="800"/>
        <v>1.03</v>
      </c>
      <c r="J2037" s="121">
        <f t="shared" si="801"/>
        <v>1.03</v>
      </c>
      <c r="K2037" s="120">
        <f t="shared" si="802"/>
        <v>0</v>
      </c>
      <c r="L2037" s="120">
        <f t="shared" si="803"/>
        <v>0</v>
      </c>
      <c r="M2037" s="246">
        <f t="shared" si="804"/>
        <v>0</v>
      </c>
      <c r="N2037" s="121">
        <f t="shared" si="805"/>
        <v>1.03</v>
      </c>
      <c r="O2037" s="246">
        <f t="shared" si="806"/>
        <v>0.90782822757111603</v>
      </c>
      <c r="P2037" s="121">
        <f t="shared" si="807"/>
        <v>1</v>
      </c>
      <c r="Q2037" s="121">
        <f t="shared" si="808"/>
        <v>0</v>
      </c>
      <c r="R2037" s="121">
        <f t="shared" si="809"/>
        <v>0</v>
      </c>
      <c r="S2037" s="121" t="str">
        <f t="shared" si="810"/>
        <v/>
      </c>
      <c r="T2037" s="121" t="str">
        <f t="shared" si="811"/>
        <v/>
      </c>
      <c r="U2037" s="121">
        <f t="shared" si="812"/>
        <v>1.03</v>
      </c>
    </row>
    <row r="2038" spans="1:21" x14ac:dyDescent="0.3">
      <c r="A2038" s="187">
        <v>16</v>
      </c>
      <c r="B2038" s="242">
        <f t="shared" si="813"/>
        <v>46113</v>
      </c>
      <c r="C2038" s="243">
        <f t="shared" si="794"/>
        <v>46142</v>
      </c>
      <c r="D2038" s="120">
        <f t="shared" si="795"/>
        <v>30</v>
      </c>
      <c r="E2038" s="120">
        <f t="shared" si="796"/>
        <v>4</v>
      </c>
      <c r="F2038" s="275">
        <f t="shared" si="797"/>
        <v>46128</v>
      </c>
      <c r="G2038" s="120">
        <f t="shared" si="798"/>
        <v>24315</v>
      </c>
      <c r="H2038" s="245">
        <f t="shared" si="799"/>
        <v>1</v>
      </c>
      <c r="I2038" s="121">
        <f t="shared" si="800"/>
        <v>1.03</v>
      </c>
      <c r="J2038" s="121">
        <f t="shared" si="801"/>
        <v>1.03</v>
      </c>
      <c r="K2038" s="120">
        <f t="shared" si="802"/>
        <v>0</v>
      </c>
      <c r="L2038" s="120">
        <f t="shared" si="803"/>
        <v>0</v>
      </c>
      <c r="M2038" s="246">
        <f t="shared" si="804"/>
        <v>0</v>
      </c>
      <c r="N2038" s="121">
        <f t="shared" si="805"/>
        <v>1.03</v>
      </c>
      <c r="O2038" s="246">
        <f t="shared" si="806"/>
        <v>0.90816192560175057</v>
      </c>
      <c r="P2038" s="121">
        <f t="shared" si="807"/>
        <v>1</v>
      </c>
      <c r="Q2038" s="121">
        <f t="shared" si="808"/>
        <v>0</v>
      </c>
      <c r="R2038" s="121">
        <f t="shared" si="809"/>
        <v>0</v>
      </c>
      <c r="S2038" s="121" t="str">
        <f t="shared" si="810"/>
        <v/>
      </c>
      <c r="T2038" s="121" t="str">
        <f t="shared" si="811"/>
        <v/>
      </c>
      <c r="U2038" s="121">
        <f t="shared" si="812"/>
        <v>1.03</v>
      </c>
    </row>
    <row r="2039" spans="1:21" x14ac:dyDescent="0.3">
      <c r="A2039" s="187">
        <v>17</v>
      </c>
      <c r="B2039" s="242">
        <f t="shared" si="813"/>
        <v>46143</v>
      </c>
      <c r="C2039" s="243">
        <f t="shared" si="794"/>
        <v>46173</v>
      </c>
      <c r="D2039" s="120">
        <f t="shared" si="795"/>
        <v>31</v>
      </c>
      <c r="E2039" s="120">
        <f t="shared" si="796"/>
        <v>5</v>
      </c>
      <c r="F2039" s="275">
        <f t="shared" si="797"/>
        <v>46158.5</v>
      </c>
      <c r="G2039" s="120">
        <f t="shared" si="798"/>
        <v>24316</v>
      </c>
      <c r="H2039" s="245">
        <f t="shared" si="799"/>
        <v>1</v>
      </c>
      <c r="I2039" s="121">
        <f t="shared" si="800"/>
        <v>1.03</v>
      </c>
      <c r="J2039" s="121">
        <f t="shared" si="801"/>
        <v>1.03</v>
      </c>
      <c r="K2039" s="120">
        <f t="shared" si="802"/>
        <v>0</v>
      </c>
      <c r="L2039" s="120">
        <f t="shared" si="803"/>
        <v>0</v>
      </c>
      <c r="M2039" s="246">
        <f t="shared" si="804"/>
        <v>0</v>
      </c>
      <c r="N2039" s="121">
        <f t="shared" si="805"/>
        <v>1.03</v>
      </c>
      <c r="O2039" s="246">
        <f t="shared" si="806"/>
        <v>0.90849562363238512</v>
      </c>
      <c r="P2039" s="121">
        <f t="shared" si="807"/>
        <v>1</v>
      </c>
      <c r="Q2039" s="121">
        <f t="shared" si="808"/>
        <v>0</v>
      </c>
      <c r="R2039" s="121">
        <f t="shared" si="809"/>
        <v>0</v>
      </c>
      <c r="S2039" s="121" t="str">
        <f t="shared" si="810"/>
        <v/>
      </c>
      <c r="T2039" s="121" t="str">
        <f t="shared" si="811"/>
        <v/>
      </c>
      <c r="U2039" s="121">
        <f t="shared" si="812"/>
        <v>1.03</v>
      </c>
    </row>
    <row r="2040" spans="1:21" x14ac:dyDescent="0.3">
      <c r="A2040" s="187">
        <v>18</v>
      </c>
      <c r="B2040" s="242">
        <f t="shared" si="813"/>
        <v>46174</v>
      </c>
      <c r="C2040" s="243">
        <f t="shared" si="794"/>
        <v>46203</v>
      </c>
      <c r="D2040" s="120">
        <f t="shared" si="795"/>
        <v>30</v>
      </c>
      <c r="E2040" s="120">
        <f t="shared" si="796"/>
        <v>6</v>
      </c>
      <c r="F2040" s="275">
        <f t="shared" si="797"/>
        <v>46189</v>
      </c>
      <c r="G2040" s="120">
        <f t="shared" si="798"/>
        <v>24317</v>
      </c>
      <c r="H2040" s="245">
        <f t="shared" si="799"/>
        <v>1</v>
      </c>
      <c r="I2040" s="121">
        <f t="shared" si="800"/>
        <v>1.03</v>
      </c>
      <c r="J2040" s="121">
        <f t="shared" si="801"/>
        <v>1.03</v>
      </c>
      <c r="K2040" s="120">
        <f t="shared" si="802"/>
        <v>0</v>
      </c>
      <c r="L2040" s="120">
        <f t="shared" si="803"/>
        <v>0</v>
      </c>
      <c r="M2040" s="246">
        <f t="shared" si="804"/>
        <v>0</v>
      </c>
      <c r="N2040" s="121">
        <f t="shared" si="805"/>
        <v>1.03</v>
      </c>
      <c r="O2040" s="246">
        <f t="shared" si="806"/>
        <v>0.90882932166301977</v>
      </c>
      <c r="P2040" s="121">
        <f t="shared" si="807"/>
        <v>1</v>
      </c>
      <c r="Q2040" s="121">
        <f t="shared" si="808"/>
        <v>0</v>
      </c>
      <c r="R2040" s="121">
        <f t="shared" si="809"/>
        <v>0</v>
      </c>
      <c r="S2040" s="121" t="str">
        <f t="shared" si="810"/>
        <v/>
      </c>
      <c r="T2040" s="121" t="str">
        <f t="shared" si="811"/>
        <v/>
      </c>
      <c r="U2040" s="121">
        <f t="shared" si="812"/>
        <v>1.03</v>
      </c>
    </row>
    <row r="2041" spans="1:21" x14ac:dyDescent="0.3">
      <c r="A2041" s="187">
        <v>19</v>
      </c>
      <c r="B2041" s="242">
        <f t="shared" si="813"/>
        <v>46204</v>
      </c>
      <c r="C2041" s="243">
        <f t="shared" si="794"/>
        <v>46234</v>
      </c>
      <c r="D2041" s="120">
        <f t="shared" si="795"/>
        <v>31</v>
      </c>
      <c r="E2041" s="120">
        <f t="shared" si="796"/>
        <v>7</v>
      </c>
      <c r="F2041" s="275">
        <f t="shared" si="797"/>
        <v>46219.5</v>
      </c>
      <c r="G2041" s="120">
        <f t="shared" si="798"/>
        <v>24318</v>
      </c>
      <c r="H2041" s="245">
        <f t="shared" si="799"/>
        <v>1</v>
      </c>
      <c r="I2041" s="121">
        <f t="shared" si="800"/>
        <v>1.03</v>
      </c>
      <c r="J2041" s="121">
        <f t="shared" si="801"/>
        <v>1.03</v>
      </c>
      <c r="K2041" s="120">
        <f t="shared" si="802"/>
        <v>0</v>
      </c>
      <c r="L2041" s="120">
        <f t="shared" si="803"/>
        <v>0</v>
      </c>
      <c r="M2041" s="246">
        <f t="shared" si="804"/>
        <v>0</v>
      </c>
      <c r="N2041" s="121">
        <f t="shared" si="805"/>
        <v>1.03</v>
      </c>
      <c r="O2041" s="246">
        <f t="shared" si="806"/>
        <v>0.90916301969365432</v>
      </c>
      <c r="P2041" s="121">
        <f t="shared" si="807"/>
        <v>0.91666666666666663</v>
      </c>
      <c r="Q2041" s="121">
        <f t="shared" si="808"/>
        <v>8.333333333333337E-2</v>
      </c>
      <c r="R2041" s="121">
        <f t="shared" si="809"/>
        <v>0</v>
      </c>
      <c r="S2041" s="121" t="str">
        <f t="shared" si="810"/>
        <v/>
      </c>
      <c r="T2041" s="121" t="str">
        <f t="shared" si="811"/>
        <v/>
      </c>
      <c r="U2041" s="121">
        <f t="shared" si="812"/>
        <v>1.03</v>
      </c>
    </row>
    <row r="2042" spans="1:21" x14ac:dyDescent="0.3">
      <c r="A2042" s="187">
        <v>20</v>
      </c>
      <c r="B2042" s="242">
        <f t="shared" si="813"/>
        <v>46235</v>
      </c>
      <c r="C2042" s="243">
        <f t="shared" si="794"/>
        <v>46265</v>
      </c>
      <c r="D2042" s="120">
        <f t="shared" si="795"/>
        <v>31</v>
      </c>
      <c r="E2042" s="120">
        <f t="shared" si="796"/>
        <v>8</v>
      </c>
      <c r="F2042" s="275">
        <f t="shared" si="797"/>
        <v>46250.5</v>
      </c>
      <c r="G2042" s="120">
        <f t="shared" si="798"/>
        <v>24319</v>
      </c>
      <c r="H2042" s="245">
        <f t="shared" si="799"/>
        <v>1</v>
      </c>
      <c r="I2042" s="121">
        <f t="shared" si="800"/>
        <v>1.03</v>
      </c>
      <c r="J2042" s="121">
        <f t="shared" si="801"/>
        <v>1.03</v>
      </c>
      <c r="K2042" s="120">
        <f t="shared" si="802"/>
        <v>0</v>
      </c>
      <c r="L2042" s="120">
        <f t="shared" si="803"/>
        <v>0</v>
      </c>
      <c r="M2042" s="246">
        <f t="shared" si="804"/>
        <v>0</v>
      </c>
      <c r="N2042" s="121">
        <f t="shared" si="805"/>
        <v>1.03</v>
      </c>
      <c r="O2042" s="246">
        <f t="shared" si="806"/>
        <v>0.90950218818380746</v>
      </c>
      <c r="P2042" s="121">
        <f t="shared" si="807"/>
        <v>0.75</v>
      </c>
      <c r="Q2042" s="121">
        <f t="shared" si="808"/>
        <v>0.25</v>
      </c>
      <c r="R2042" s="121">
        <f t="shared" si="809"/>
        <v>0</v>
      </c>
      <c r="S2042" s="121" t="str">
        <f t="shared" si="810"/>
        <v/>
      </c>
      <c r="T2042" s="121" t="str">
        <f t="shared" si="811"/>
        <v/>
      </c>
      <c r="U2042" s="121">
        <f t="shared" si="812"/>
        <v>1.03</v>
      </c>
    </row>
    <row r="2043" spans="1:21" x14ac:dyDescent="0.3">
      <c r="A2043" s="187">
        <v>21</v>
      </c>
      <c r="B2043" s="242">
        <f t="shared" si="813"/>
        <v>46266</v>
      </c>
      <c r="C2043" s="243">
        <f t="shared" si="794"/>
        <v>46295</v>
      </c>
      <c r="D2043" s="120">
        <f t="shared" si="795"/>
        <v>30</v>
      </c>
      <c r="E2043" s="120">
        <f t="shared" si="796"/>
        <v>9</v>
      </c>
      <c r="F2043" s="275">
        <f t="shared" si="797"/>
        <v>46281</v>
      </c>
      <c r="G2043" s="120">
        <f t="shared" si="798"/>
        <v>24320</v>
      </c>
      <c r="H2043" s="245">
        <f t="shared" si="799"/>
        <v>1</v>
      </c>
      <c r="I2043" s="121">
        <f t="shared" si="800"/>
        <v>1.03</v>
      </c>
      <c r="J2043" s="121">
        <f t="shared" si="801"/>
        <v>1.03</v>
      </c>
      <c r="K2043" s="120">
        <f t="shared" si="802"/>
        <v>0</v>
      </c>
      <c r="L2043" s="120">
        <f t="shared" si="803"/>
        <v>0</v>
      </c>
      <c r="M2043" s="246">
        <f t="shared" si="804"/>
        <v>0</v>
      </c>
      <c r="N2043" s="121">
        <f t="shared" si="805"/>
        <v>1.03</v>
      </c>
      <c r="O2043" s="246">
        <f t="shared" si="806"/>
        <v>0.909835886214442</v>
      </c>
      <c r="P2043" s="121">
        <f t="shared" si="807"/>
        <v>0.58333333333333337</v>
      </c>
      <c r="Q2043" s="121">
        <f t="shared" si="808"/>
        <v>0.41666666666666663</v>
      </c>
      <c r="R2043" s="121">
        <f t="shared" si="809"/>
        <v>0</v>
      </c>
      <c r="S2043" s="121" t="str">
        <f t="shared" si="810"/>
        <v/>
      </c>
      <c r="T2043" s="121" t="str">
        <f t="shared" si="811"/>
        <v/>
      </c>
      <c r="U2043" s="121">
        <f t="shared" si="812"/>
        <v>1.03</v>
      </c>
    </row>
    <row r="2044" spans="1:21" x14ac:dyDescent="0.3">
      <c r="A2044" s="187">
        <v>22</v>
      </c>
      <c r="B2044" s="242">
        <f t="shared" si="813"/>
        <v>46296</v>
      </c>
      <c r="C2044" s="243">
        <f t="shared" si="794"/>
        <v>46326</v>
      </c>
      <c r="D2044" s="120">
        <f t="shared" si="795"/>
        <v>31</v>
      </c>
      <c r="E2044" s="120">
        <f t="shared" si="796"/>
        <v>10</v>
      </c>
      <c r="F2044" s="275">
        <f t="shared" si="797"/>
        <v>46311.5</v>
      </c>
      <c r="G2044" s="120">
        <f t="shared" si="798"/>
        <v>24321</v>
      </c>
      <c r="H2044" s="245">
        <f t="shared" si="799"/>
        <v>1</v>
      </c>
      <c r="I2044" s="121">
        <f t="shared" si="800"/>
        <v>1.03</v>
      </c>
      <c r="J2044" s="121">
        <f t="shared" si="801"/>
        <v>1.03</v>
      </c>
      <c r="K2044" s="120">
        <f t="shared" si="802"/>
        <v>0</v>
      </c>
      <c r="L2044" s="120">
        <f t="shared" si="803"/>
        <v>0</v>
      </c>
      <c r="M2044" s="246">
        <f t="shared" si="804"/>
        <v>0</v>
      </c>
      <c r="N2044" s="121">
        <f t="shared" si="805"/>
        <v>1.03</v>
      </c>
      <c r="O2044" s="246">
        <f t="shared" si="806"/>
        <v>0.91016958424507666</v>
      </c>
      <c r="P2044" s="121">
        <f t="shared" si="807"/>
        <v>0.41666666666666669</v>
      </c>
      <c r="Q2044" s="121">
        <f t="shared" si="808"/>
        <v>0.58333333333333326</v>
      </c>
      <c r="R2044" s="121">
        <f t="shared" si="809"/>
        <v>0</v>
      </c>
      <c r="S2044" s="121" t="str">
        <f t="shared" si="810"/>
        <v/>
      </c>
      <c r="T2044" s="121" t="str">
        <f t="shared" si="811"/>
        <v/>
      </c>
      <c r="U2044" s="121">
        <f t="shared" si="812"/>
        <v>1.03</v>
      </c>
    </row>
    <row r="2045" spans="1:21" x14ac:dyDescent="0.3">
      <c r="A2045" s="187">
        <v>23</v>
      </c>
      <c r="B2045" s="242">
        <f t="shared" si="813"/>
        <v>46327</v>
      </c>
      <c r="C2045" s="243">
        <f t="shared" si="794"/>
        <v>46356</v>
      </c>
      <c r="D2045" s="120">
        <f t="shared" si="795"/>
        <v>30</v>
      </c>
      <c r="E2045" s="120">
        <f t="shared" si="796"/>
        <v>11</v>
      </c>
      <c r="F2045" s="275">
        <f t="shared" si="797"/>
        <v>46342</v>
      </c>
      <c r="G2045" s="120">
        <f t="shared" si="798"/>
        <v>24322</v>
      </c>
      <c r="H2045" s="245">
        <f t="shared" si="799"/>
        <v>1</v>
      </c>
      <c r="I2045" s="121">
        <f t="shared" si="800"/>
        <v>1.03</v>
      </c>
      <c r="J2045" s="121">
        <f t="shared" si="801"/>
        <v>1.03</v>
      </c>
      <c r="K2045" s="120">
        <f t="shared" si="802"/>
        <v>0</v>
      </c>
      <c r="L2045" s="120">
        <f t="shared" si="803"/>
        <v>0</v>
      </c>
      <c r="M2045" s="246">
        <f t="shared" si="804"/>
        <v>0</v>
      </c>
      <c r="N2045" s="121">
        <f t="shared" si="805"/>
        <v>1.03</v>
      </c>
      <c r="O2045" s="246">
        <f t="shared" si="806"/>
        <v>0.9105032822757112</v>
      </c>
      <c r="P2045" s="121">
        <f t="shared" si="807"/>
        <v>0.25</v>
      </c>
      <c r="Q2045" s="121">
        <f t="shared" si="808"/>
        <v>0.75</v>
      </c>
      <c r="R2045" s="121">
        <f t="shared" si="809"/>
        <v>0</v>
      </c>
      <c r="S2045" s="121" t="str">
        <f t="shared" si="810"/>
        <v/>
      </c>
      <c r="T2045" s="121" t="str">
        <f t="shared" si="811"/>
        <v/>
      </c>
      <c r="U2045" s="121">
        <f t="shared" si="812"/>
        <v>1.03</v>
      </c>
    </row>
    <row r="2046" spans="1:21" x14ac:dyDescent="0.3">
      <c r="A2046" s="187">
        <v>24</v>
      </c>
      <c r="B2046" s="242">
        <f t="shared" si="813"/>
        <v>46357</v>
      </c>
      <c r="C2046" s="243">
        <f t="shared" si="794"/>
        <v>46387</v>
      </c>
      <c r="D2046" s="120">
        <f t="shared" si="795"/>
        <v>31</v>
      </c>
      <c r="E2046" s="120">
        <f t="shared" si="796"/>
        <v>12</v>
      </c>
      <c r="F2046" s="275">
        <f t="shared" si="797"/>
        <v>46372.5</v>
      </c>
      <c r="G2046" s="120">
        <f t="shared" si="798"/>
        <v>24323</v>
      </c>
      <c r="H2046" s="245">
        <f t="shared" si="799"/>
        <v>1</v>
      </c>
      <c r="I2046" s="121">
        <f t="shared" si="800"/>
        <v>1.03</v>
      </c>
      <c r="J2046" s="121">
        <f t="shared" si="801"/>
        <v>1.03</v>
      </c>
      <c r="K2046" s="120">
        <f t="shared" si="802"/>
        <v>0</v>
      </c>
      <c r="L2046" s="120">
        <f t="shared" si="803"/>
        <v>0</v>
      </c>
      <c r="M2046" s="246">
        <f t="shared" si="804"/>
        <v>0</v>
      </c>
      <c r="N2046" s="121">
        <f t="shared" si="805"/>
        <v>1.03</v>
      </c>
      <c r="O2046" s="246">
        <f t="shared" si="806"/>
        <v>0.91083698030634574</v>
      </c>
      <c r="P2046" s="121">
        <f t="shared" si="807"/>
        <v>8.3333333333333329E-2</v>
      </c>
      <c r="Q2046" s="121">
        <f t="shared" si="808"/>
        <v>0.91666666666666663</v>
      </c>
      <c r="R2046" s="121">
        <f t="shared" si="809"/>
        <v>0</v>
      </c>
      <c r="S2046" s="121" t="str">
        <f t="shared" si="810"/>
        <v/>
      </c>
      <c r="T2046" s="121" t="str">
        <f t="shared" si="811"/>
        <v/>
      </c>
      <c r="U2046" s="121">
        <f t="shared" si="812"/>
        <v>1.03</v>
      </c>
    </row>
    <row r="2047" spans="1:21" x14ac:dyDescent="0.3">
      <c r="A2047" s="187">
        <v>25</v>
      </c>
      <c r="B2047" s="242">
        <f t="shared" si="813"/>
        <v>46388</v>
      </c>
      <c r="C2047" s="243">
        <f t="shared" si="794"/>
        <v>46418</v>
      </c>
      <c r="D2047" s="120">
        <f t="shared" si="795"/>
        <v>31</v>
      </c>
      <c r="E2047" s="120">
        <f t="shared" si="796"/>
        <v>1</v>
      </c>
      <c r="F2047" s="275">
        <f t="shared" si="797"/>
        <v>46403.5</v>
      </c>
      <c r="G2047" s="120">
        <f t="shared" si="798"/>
        <v>24324</v>
      </c>
      <c r="H2047" s="245">
        <f t="shared" si="799"/>
        <v>1</v>
      </c>
      <c r="I2047" s="121">
        <f t="shared" si="800"/>
        <v>1.03</v>
      </c>
      <c r="J2047" s="121">
        <f t="shared" si="801"/>
        <v>1.03</v>
      </c>
      <c r="K2047" s="120">
        <f t="shared" si="802"/>
        <v>0</v>
      </c>
      <c r="L2047" s="120">
        <f t="shared" si="803"/>
        <v>0</v>
      </c>
      <c r="M2047" s="246">
        <f t="shared" si="804"/>
        <v>0</v>
      </c>
      <c r="N2047" s="121">
        <f t="shared" si="805"/>
        <v>1.03</v>
      </c>
      <c r="O2047" s="246">
        <f t="shared" si="806"/>
        <v>0.91117614879649889</v>
      </c>
      <c r="P2047" s="121">
        <f t="shared" si="807"/>
        <v>0</v>
      </c>
      <c r="Q2047" s="121">
        <f t="shared" si="808"/>
        <v>1</v>
      </c>
      <c r="R2047" s="121">
        <f t="shared" si="809"/>
        <v>0</v>
      </c>
      <c r="S2047" s="121" t="str">
        <f t="shared" si="810"/>
        <v/>
      </c>
      <c r="T2047" s="121" t="str">
        <f t="shared" si="811"/>
        <v/>
      </c>
      <c r="U2047" s="121">
        <f t="shared" si="812"/>
        <v>1.03</v>
      </c>
    </row>
    <row r="2048" spans="1:21" x14ac:dyDescent="0.3">
      <c r="A2048" s="187">
        <v>26</v>
      </c>
      <c r="B2048" s="242">
        <f t="shared" si="813"/>
        <v>46419</v>
      </c>
      <c r="C2048" s="243">
        <f t="shared" si="794"/>
        <v>46446</v>
      </c>
      <c r="D2048" s="120">
        <f t="shared" si="795"/>
        <v>28</v>
      </c>
      <c r="E2048" s="120">
        <f t="shared" si="796"/>
        <v>2</v>
      </c>
      <c r="F2048" s="275">
        <f t="shared" si="797"/>
        <v>46433</v>
      </c>
      <c r="G2048" s="120">
        <f t="shared" si="798"/>
        <v>24325</v>
      </c>
      <c r="H2048" s="245">
        <f t="shared" si="799"/>
        <v>1</v>
      </c>
      <c r="I2048" s="121">
        <f t="shared" si="800"/>
        <v>1.03</v>
      </c>
      <c r="J2048" s="121">
        <f t="shared" si="801"/>
        <v>1.03</v>
      </c>
      <c r="K2048" s="120">
        <f t="shared" si="802"/>
        <v>0</v>
      </c>
      <c r="L2048" s="120">
        <f t="shared" si="803"/>
        <v>0</v>
      </c>
      <c r="M2048" s="246">
        <f t="shared" si="804"/>
        <v>0</v>
      </c>
      <c r="N2048" s="121">
        <f t="shared" si="805"/>
        <v>1.03</v>
      </c>
      <c r="O2048" s="246">
        <f t="shared" si="806"/>
        <v>0.91149890590809635</v>
      </c>
      <c r="P2048" s="121">
        <f t="shared" si="807"/>
        <v>0</v>
      </c>
      <c r="Q2048" s="121">
        <f t="shared" si="808"/>
        <v>1</v>
      </c>
      <c r="R2048" s="121">
        <f t="shared" si="809"/>
        <v>0</v>
      </c>
      <c r="S2048" s="121" t="str">
        <f t="shared" si="810"/>
        <v/>
      </c>
      <c r="T2048" s="121" t="str">
        <f t="shared" si="811"/>
        <v/>
      </c>
      <c r="U2048" s="121">
        <f t="shared" si="812"/>
        <v>1.03</v>
      </c>
    </row>
    <row r="2049" spans="1:21" x14ac:dyDescent="0.3">
      <c r="A2049" s="187">
        <v>27</v>
      </c>
      <c r="B2049" s="242">
        <f t="shared" si="813"/>
        <v>46447</v>
      </c>
      <c r="C2049" s="243">
        <f t="shared" si="794"/>
        <v>46477</v>
      </c>
      <c r="D2049" s="120">
        <f t="shared" si="795"/>
        <v>31</v>
      </c>
      <c r="E2049" s="120">
        <f t="shared" si="796"/>
        <v>3</v>
      </c>
      <c r="F2049" s="275">
        <f t="shared" si="797"/>
        <v>46462.5</v>
      </c>
      <c r="G2049" s="120">
        <f t="shared" si="798"/>
        <v>24326</v>
      </c>
      <c r="H2049" s="245">
        <f t="shared" si="799"/>
        <v>1</v>
      </c>
      <c r="I2049" s="121">
        <f t="shared" si="800"/>
        <v>1.03</v>
      </c>
      <c r="J2049" s="121">
        <f t="shared" si="801"/>
        <v>1.03</v>
      </c>
      <c r="K2049" s="120">
        <f t="shared" si="802"/>
        <v>0</v>
      </c>
      <c r="L2049" s="120">
        <f t="shared" si="803"/>
        <v>0</v>
      </c>
      <c r="M2049" s="246">
        <f t="shared" si="804"/>
        <v>0</v>
      </c>
      <c r="N2049" s="121">
        <f t="shared" si="805"/>
        <v>1.03</v>
      </c>
      <c r="O2049" s="246">
        <f t="shared" si="806"/>
        <v>0.9118216630196937</v>
      </c>
      <c r="P2049" s="121">
        <f t="shared" si="807"/>
        <v>0</v>
      </c>
      <c r="Q2049" s="121">
        <f t="shared" si="808"/>
        <v>1</v>
      </c>
      <c r="R2049" s="121">
        <f t="shared" si="809"/>
        <v>0</v>
      </c>
      <c r="S2049" s="121" t="str">
        <f t="shared" si="810"/>
        <v/>
      </c>
      <c r="T2049" s="121" t="str">
        <f t="shared" si="811"/>
        <v/>
      </c>
      <c r="U2049" s="121">
        <f t="shared" si="812"/>
        <v>1.03</v>
      </c>
    </row>
    <row r="2050" spans="1:21" x14ac:dyDescent="0.3">
      <c r="A2050" s="187">
        <v>28</v>
      </c>
      <c r="B2050" s="242">
        <f t="shared" si="813"/>
        <v>46478</v>
      </c>
      <c r="C2050" s="243">
        <f t="shared" si="794"/>
        <v>46507</v>
      </c>
      <c r="D2050" s="120">
        <f t="shared" si="795"/>
        <v>30</v>
      </c>
      <c r="E2050" s="120">
        <f t="shared" si="796"/>
        <v>4</v>
      </c>
      <c r="F2050" s="275">
        <f t="shared" si="797"/>
        <v>46493</v>
      </c>
      <c r="G2050" s="120">
        <f t="shared" si="798"/>
        <v>24327</v>
      </c>
      <c r="H2050" s="245">
        <f t="shared" si="799"/>
        <v>1</v>
      </c>
      <c r="I2050" s="121">
        <f t="shared" si="800"/>
        <v>1.03</v>
      </c>
      <c r="J2050" s="121">
        <f t="shared" si="801"/>
        <v>1.03</v>
      </c>
      <c r="K2050" s="120">
        <f t="shared" si="802"/>
        <v>0</v>
      </c>
      <c r="L2050" s="120">
        <f t="shared" si="803"/>
        <v>0</v>
      </c>
      <c r="M2050" s="246">
        <f t="shared" si="804"/>
        <v>0</v>
      </c>
      <c r="N2050" s="121">
        <f t="shared" si="805"/>
        <v>1.03</v>
      </c>
      <c r="O2050" s="246">
        <f t="shared" si="806"/>
        <v>0.91215536105032824</v>
      </c>
      <c r="P2050" s="121">
        <f t="shared" si="807"/>
        <v>0</v>
      </c>
      <c r="Q2050" s="121">
        <f t="shared" si="808"/>
        <v>1</v>
      </c>
      <c r="R2050" s="121">
        <f t="shared" si="809"/>
        <v>0</v>
      </c>
      <c r="S2050" s="121" t="str">
        <f t="shared" si="810"/>
        <v/>
      </c>
      <c r="T2050" s="121" t="str">
        <f t="shared" si="811"/>
        <v/>
      </c>
      <c r="U2050" s="121">
        <f t="shared" si="812"/>
        <v>1.03</v>
      </c>
    </row>
    <row r="2051" spans="1:21" x14ac:dyDescent="0.3">
      <c r="A2051" s="187">
        <v>29</v>
      </c>
      <c r="B2051" s="242">
        <f t="shared" si="813"/>
        <v>46508</v>
      </c>
      <c r="C2051" s="243">
        <f t="shared" si="794"/>
        <v>46538</v>
      </c>
      <c r="D2051" s="120">
        <f t="shared" si="795"/>
        <v>31</v>
      </c>
      <c r="E2051" s="120">
        <f t="shared" si="796"/>
        <v>5</v>
      </c>
      <c r="F2051" s="275">
        <f t="shared" si="797"/>
        <v>46523.5</v>
      </c>
      <c r="G2051" s="120">
        <f t="shared" si="798"/>
        <v>24328</v>
      </c>
      <c r="H2051" s="245">
        <f t="shared" si="799"/>
        <v>1</v>
      </c>
      <c r="I2051" s="121">
        <f t="shared" si="800"/>
        <v>1.03</v>
      </c>
      <c r="J2051" s="121">
        <f t="shared" si="801"/>
        <v>1.03</v>
      </c>
      <c r="K2051" s="120">
        <f t="shared" si="802"/>
        <v>0</v>
      </c>
      <c r="L2051" s="120">
        <f t="shared" si="803"/>
        <v>0</v>
      </c>
      <c r="M2051" s="246">
        <f t="shared" si="804"/>
        <v>0</v>
      </c>
      <c r="N2051" s="121">
        <f t="shared" si="805"/>
        <v>1.03</v>
      </c>
      <c r="O2051" s="246">
        <f t="shared" si="806"/>
        <v>0.91248905908096278</v>
      </c>
      <c r="P2051" s="121">
        <f t="shared" si="807"/>
        <v>0</v>
      </c>
      <c r="Q2051" s="121">
        <f t="shared" si="808"/>
        <v>1</v>
      </c>
      <c r="R2051" s="121">
        <f t="shared" si="809"/>
        <v>0</v>
      </c>
      <c r="S2051" s="121" t="str">
        <f t="shared" si="810"/>
        <v/>
      </c>
      <c r="T2051" s="121" t="str">
        <f t="shared" si="811"/>
        <v/>
      </c>
      <c r="U2051" s="121">
        <f t="shared" si="812"/>
        <v>1.03</v>
      </c>
    </row>
    <row r="2052" spans="1:21" x14ac:dyDescent="0.3">
      <c r="A2052" s="187">
        <v>30</v>
      </c>
      <c r="B2052" s="242">
        <f t="shared" si="813"/>
        <v>46539</v>
      </c>
      <c r="C2052" s="243">
        <f t="shared" si="794"/>
        <v>46568</v>
      </c>
      <c r="D2052" s="120">
        <f t="shared" si="795"/>
        <v>30</v>
      </c>
      <c r="E2052" s="120">
        <f t="shared" si="796"/>
        <v>6</v>
      </c>
      <c r="F2052" s="275">
        <f t="shared" si="797"/>
        <v>46554</v>
      </c>
      <c r="G2052" s="120">
        <f t="shared" si="798"/>
        <v>24329</v>
      </c>
      <c r="H2052" s="245">
        <f t="shared" si="799"/>
        <v>1</v>
      </c>
      <c r="I2052" s="121">
        <f t="shared" si="800"/>
        <v>1.03</v>
      </c>
      <c r="J2052" s="121">
        <f t="shared" si="801"/>
        <v>1.03</v>
      </c>
      <c r="K2052" s="120">
        <f t="shared" si="802"/>
        <v>0</v>
      </c>
      <c r="L2052" s="120">
        <f t="shared" si="803"/>
        <v>0</v>
      </c>
      <c r="M2052" s="246">
        <f t="shared" si="804"/>
        <v>0</v>
      </c>
      <c r="N2052" s="121">
        <f t="shared" si="805"/>
        <v>1.03</v>
      </c>
      <c r="O2052" s="246">
        <f t="shared" si="806"/>
        <v>0.91282275711159744</v>
      </c>
      <c r="P2052" s="121">
        <f t="shared" si="807"/>
        <v>0</v>
      </c>
      <c r="Q2052" s="121">
        <f t="shared" si="808"/>
        <v>1</v>
      </c>
      <c r="R2052" s="121">
        <f t="shared" si="809"/>
        <v>0</v>
      </c>
      <c r="S2052" s="121" t="str">
        <f t="shared" si="810"/>
        <v/>
      </c>
      <c r="T2052" s="121" t="str">
        <f t="shared" si="811"/>
        <v/>
      </c>
      <c r="U2052" s="121">
        <f t="shared" si="812"/>
        <v>1.03</v>
      </c>
    </row>
    <row r="2053" spans="1:21" x14ac:dyDescent="0.3">
      <c r="A2053" s="187">
        <v>31</v>
      </c>
      <c r="B2053" s="242">
        <f t="shared" si="813"/>
        <v>46569</v>
      </c>
      <c r="C2053" s="243">
        <f t="shared" si="794"/>
        <v>46599</v>
      </c>
      <c r="D2053" s="120">
        <f t="shared" si="795"/>
        <v>31</v>
      </c>
      <c r="E2053" s="120">
        <f t="shared" si="796"/>
        <v>7</v>
      </c>
      <c r="F2053" s="275">
        <f t="shared" si="797"/>
        <v>46584.5</v>
      </c>
      <c r="G2053" s="120">
        <f t="shared" si="798"/>
        <v>24330</v>
      </c>
      <c r="H2053" s="245">
        <f t="shared" si="799"/>
        <v>1</v>
      </c>
      <c r="I2053" s="121">
        <f t="shared" si="800"/>
        <v>1.03</v>
      </c>
      <c r="J2053" s="121">
        <f t="shared" si="801"/>
        <v>1.03</v>
      </c>
      <c r="K2053" s="120">
        <f t="shared" si="802"/>
        <v>0</v>
      </c>
      <c r="L2053" s="120">
        <f t="shared" si="803"/>
        <v>0</v>
      </c>
      <c r="M2053" s="246">
        <f t="shared" si="804"/>
        <v>0</v>
      </c>
      <c r="N2053" s="121">
        <f t="shared" si="805"/>
        <v>1.03</v>
      </c>
      <c r="O2053" s="246">
        <f t="shared" si="806"/>
        <v>0.91315645514223198</v>
      </c>
      <c r="P2053" s="121">
        <f t="shared" si="807"/>
        <v>0</v>
      </c>
      <c r="Q2053" s="121">
        <f t="shared" si="808"/>
        <v>0.91666666666666663</v>
      </c>
      <c r="R2053" s="121">
        <f t="shared" si="809"/>
        <v>8.333333333333337E-2</v>
      </c>
      <c r="S2053" s="121" t="str">
        <f t="shared" si="810"/>
        <v/>
      </c>
      <c r="T2053" s="121" t="str">
        <f t="shared" si="811"/>
        <v/>
      </c>
      <c r="U2053" s="121">
        <f t="shared" si="812"/>
        <v>1.03</v>
      </c>
    </row>
    <row r="2054" spans="1:21" x14ac:dyDescent="0.3">
      <c r="A2054" s="187">
        <v>32</v>
      </c>
      <c r="B2054" s="242">
        <f t="shared" si="813"/>
        <v>46600</v>
      </c>
      <c r="C2054" s="243">
        <f t="shared" si="794"/>
        <v>46630</v>
      </c>
      <c r="D2054" s="120">
        <f t="shared" si="795"/>
        <v>31</v>
      </c>
      <c r="E2054" s="120">
        <f t="shared" si="796"/>
        <v>8</v>
      </c>
      <c r="F2054" s="275">
        <f t="shared" si="797"/>
        <v>46615.5</v>
      </c>
      <c r="G2054" s="120">
        <f t="shared" si="798"/>
        <v>24331</v>
      </c>
      <c r="H2054" s="245">
        <f t="shared" si="799"/>
        <v>1</v>
      </c>
      <c r="I2054" s="121">
        <f t="shared" si="800"/>
        <v>1.03</v>
      </c>
      <c r="J2054" s="121">
        <f t="shared" si="801"/>
        <v>1.03</v>
      </c>
      <c r="K2054" s="120">
        <f t="shared" si="802"/>
        <v>0</v>
      </c>
      <c r="L2054" s="120">
        <f t="shared" si="803"/>
        <v>0</v>
      </c>
      <c r="M2054" s="246">
        <f t="shared" si="804"/>
        <v>0</v>
      </c>
      <c r="N2054" s="121">
        <f t="shared" si="805"/>
        <v>1.03</v>
      </c>
      <c r="O2054" s="246">
        <f t="shared" si="806"/>
        <v>0.91349562363238512</v>
      </c>
      <c r="P2054" s="121">
        <f t="shared" si="807"/>
        <v>0</v>
      </c>
      <c r="Q2054" s="121">
        <f t="shared" si="808"/>
        <v>0.75</v>
      </c>
      <c r="R2054" s="121">
        <f t="shared" si="809"/>
        <v>0.25</v>
      </c>
      <c r="S2054" s="121" t="str">
        <f t="shared" si="810"/>
        <v/>
      </c>
      <c r="T2054" s="121" t="str">
        <f t="shared" si="811"/>
        <v/>
      </c>
      <c r="U2054" s="121">
        <f t="shared" si="812"/>
        <v>1.03</v>
      </c>
    </row>
    <row r="2055" spans="1:21" x14ac:dyDescent="0.3">
      <c r="A2055" s="187">
        <v>33</v>
      </c>
      <c r="B2055" s="242">
        <f t="shared" si="813"/>
        <v>46631</v>
      </c>
      <c r="C2055" s="243">
        <f t="shared" si="794"/>
        <v>46660</v>
      </c>
      <c r="D2055" s="120">
        <f t="shared" si="795"/>
        <v>30</v>
      </c>
      <c r="E2055" s="120">
        <f t="shared" si="796"/>
        <v>9</v>
      </c>
      <c r="F2055" s="275">
        <f t="shared" si="797"/>
        <v>46646</v>
      </c>
      <c r="G2055" s="120">
        <f t="shared" si="798"/>
        <v>24332</v>
      </c>
      <c r="H2055" s="245">
        <f t="shared" si="799"/>
        <v>1</v>
      </c>
      <c r="I2055" s="121">
        <f t="shared" si="800"/>
        <v>1.03</v>
      </c>
      <c r="J2055" s="121">
        <f t="shared" si="801"/>
        <v>1.03</v>
      </c>
      <c r="K2055" s="120">
        <f t="shared" si="802"/>
        <v>0</v>
      </c>
      <c r="L2055" s="120">
        <f t="shared" si="803"/>
        <v>0</v>
      </c>
      <c r="M2055" s="246">
        <f t="shared" si="804"/>
        <v>0</v>
      </c>
      <c r="N2055" s="121">
        <f t="shared" si="805"/>
        <v>1.03</v>
      </c>
      <c r="O2055" s="246">
        <f t="shared" si="806"/>
        <v>0.91382932166301978</v>
      </c>
      <c r="P2055" s="121">
        <f t="shared" si="807"/>
        <v>0</v>
      </c>
      <c r="Q2055" s="121">
        <f t="shared" si="808"/>
        <v>0.58333333333333337</v>
      </c>
      <c r="R2055" s="121">
        <f t="shared" si="809"/>
        <v>0.41666666666666663</v>
      </c>
      <c r="S2055" s="121" t="str">
        <f t="shared" si="810"/>
        <v/>
      </c>
      <c r="T2055" s="121" t="str">
        <f t="shared" si="811"/>
        <v/>
      </c>
      <c r="U2055" s="121">
        <f t="shared" si="812"/>
        <v>1.03</v>
      </c>
    </row>
    <row r="2056" spans="1:21" x14ac:dyDescent="0.3">
      <c r="A2056" s="187">
        <v>34</v>
      </c>
      <c r="B2056" s="242">
        <f t="shared" si="813"/>
        <v>46661</v>
      </c>
      <c r="C2056" s="243">
        <f t="shared" si="794"/>
        <v>46691</v>
      </c>
      <c r="D2056" s="120">
        <f t="shared" si="795"/>
        <v>31</v>
      </c>
      <c r="E2056" s="120">
        <f t="shared" si="796"/>
        <v>10</v>
      </c>
      <c r="F2056" s="275">
        <f t="shared" si="797"/>
        <v>46676.5</v>
      </c>
      <c r="G2056" s="120">
        <f t="shared" si="798"/>
        <v>24333</v>
      </c>
      <c r="H2056" s="245">
        <f t="shared" si="799"/>
        <v>1</v>
      </c>
      <c r="I2056" s="121">
        <f t="shared" si="800"/>
        <v>1.03</v>
      </c>
      <c r="J2056" s="121">
        <f t="shared" si="801"/>
        <v>1.03</v>
      </c>
      <c r="K2056" s="120">
        <f t="shared" si="802"/>
        <v>0</v>
      </c>
      <c r="L2056" s="120">
        <f t="shared" si="803"/>
        <v>0</v>
      </c>
      <c r="M2056" s="246">
        <f t="shared" si="804"/>
        <v>0</v>
      </c>
      <c r="N2056" s="121">
        <f t="shared" si="805"/>
        <v>1.03</v>
      </c>
      <c r="O2056" s="246">
        <f t="shared" si="806"/>
        <v>0.91416301969365432</v>
      </c>
      <c r="P2056" s="121">
        <f t="shared" si="807"/>
        <v>0</v>
      </c>
      <c r="Q2056" s="121">
        <f t="shared" si="808"/>
        <v>0.41666666666666669</v>
      </c>
      <c r="R2056" s="121">
        <f t="shared" si="809"/>
        <v>0.58333333333333326</v>
      </c>
      <c r="S2056" s="121" t="str">
        <f t="shared" si="810"/>
        <v/>
      </c>
      <c r="T2056" s="121" t="str">
        <f t="shared" si="811"/>
        <v/>
      </c>
      <c r="U2056" s="121">
        <f t="shared" si="812"/>
        <v>1.03</v>
      </c>
    </row>
    <row r="2057" spans="1:21" x14ac:dyDescent="0.3">
      <c r="A2057" s="187">
        <v>35</v>
      </c>
      <c r="B2057" s="242">
        <f t="shared" si="813"/>
        <v>46692</v>
      </c>
      <c r="C2057" s="243">
        <f t="shared" si="794"/>
        <v>46721</v>
      </c>
      <c r="D2057" s="120">
        <f t="shared" si="795"/>
        <v>30</v>
      </c>
      <c r="E2057" s="120">
        <f t="shared" si="796"/>
        <v>11</v>
      </c>
      <c r="F2057" s="275">
        <f t="shared" si="797"/>
        <v>46707</v>
      </c>
      <c r="G2057" s="120">
        <f t="shared" si="798"/>
        <v>24334</v>
      </c>
      <c r="H2057" s="245">
        <f t="shared" si="799"/>
        <v>1</v>
      </c>
      <c r="I2057" s="121">
        <f t="shared" si="800"/>
        <v>1.03</v>
      </c>
      <c r="J2057" s="121">
        <f t="shared" si="801"/>
        <v>1.03</v>
      </c>
      <c r="K2057" s="120">
        <f t="shared" si="802"/>
        <v>0</v>
      </c>
      <c r="L2057" s="120">
        <f t="shared" si="803"/>
        <v>0</v>
      </c>
      <c r="M2057" s="246">
        <f t="shared" si="804"/>
        <v>0</v>
      </c>
      <c r="N2057" s="121">
        <f t="shared" si="805"/>
        <v>1.03</v>
      </c>
      <c r="O2057" s="246">
        <f t="shared" si="806"/>
        <v>0.91449671772428887</v>
      </c>
      <c r="P2057" s="121">
        <f t="shared" si="807"/>
        <v>0</v>
      </c>
      <c r="Q2057" s="121">
        <f t="shared" si="808"/>
        <v>0.25</v>
      </c>
      <c r="R2057" s="121">
        <f t="shared" si="809"/>
        <v>0.75</v>
      </c>
      <c r="S2057" s="121" t="str">
        <f t="shared" si="810"/>
        <v/>
      </c>
      <c r="T2057" s="121" t="str">
        <f t="shared" si="811"/>
        <v/>
      </c>
      <c r="U2057" s="121">
        <f t="shared" si="812"/>
        <v>1.03</v>
      </c>
    </row>
    <row r="2058" spans="1:21" x14ac:dyDescent="0.3">
      <c r="A2058" s="187">
        <v>36</v>
      </c>
      <c r="B2058" s="242">
        <f t="shared" si="813"/>
        <v>46722</v>
      </c>
      <c r="C2058" s="243">
        <f t="shared" si="794"/>
        <v>46752</v>
      </c>
      <c r="D2058" s="120">
        <f t="shared" si="795"/>
        <v>31</v>
      </c>
      <c r="E2058" s="120">
        <f t="shared" si="796"/>
        <v>12</v>
      </c>
      <c r="F2058" s="275">
        <f t="shared" si="797"/>
        <v>46737.5</v>
      </c>
      <c r="G2058" s="120">
        <f t="shared" si="798"/>
        <v>24335</v>
      </c>
      <c r="H2058" s="245">
        <f t="shared" si="799"/>
        <v>1</v>
      </c>
      <c r="I2058" s="121">
        <f t="shared" si="800"/>
        <v>1.03</v>
      </c>
      <c r="J2058" s="121">
        <f t="shared" si="801"/>
        <v>1.03</v>
      </c>
      <c r="K2058" s="120">
        <f t="shared" si="802"/>
        <v>0</v>
      </c>
      <c r="L2058" s="120">
        <f t="shared" si="803"/>
        <v>0</v>
      </c>
      <c r="M2058" s="246">
        <f t="shared" si="804"/>
        <v>0</v>
      </c>
      <c r="N2058" s="121">
        <f t="shared" si="805"/>
        <v>1.03</v>
      </c>
      <c r="O2058" s="246">
        <f t="shared" si="806"/>
        <v>0.91483041575492341</v>
      </c>
      <c r="P2058" s="121">
        <f t="shared" si="807"/>
        <v>0</v>
      </c>
      <c r="Q2058" s="121">
        <f t="shared" si="808"/>
        <v>8.3333333333333329E-2</v>
      </c>
      <c r="R2058" s="121">
        <f t="shared" si="809"/>
        <v>0.91666666666666663</v>
      </c>
      <c r="S2058" s="121" t="str">
        <f t="shared" si="810"/>
        <v/>
      </c>
      <c r="T2058" s="121" t="str">
        <f t="shared" si="811"/>
        <v/>
      </c>
      <c r="U2058" s="121">
        <f t="shared" si="812"/>
        <v>1.03</v>
      </c>
    </row>
    <row r="2059" spans="1:21" x14ac:dyDescent="0.3">
      <c r="A2059" s="187">
        <v>37</v>
      </c>
      <c r="B2059" s="242">
        <f t="shared" si="813"/>
        <v>46753</v>
      </c>
      <c r="C2059" s="243">
        <f t="shared" si="794"/>
        <v>46783</v>
      </c>
      <c r="D2059" s="120">
        <f t="shared" si="795"/>
        <v>31</v>
      </c>
      <c r="E2059" s="120">
        <f t="shared" si="796"/>
        <v>1</v>
      </c>
      <c r="F2059" s="275">
        <f t="shared" si="797"/>
        <v>46768.5</v>
      </c>
      <c r="G2059" s="120">
        <f t="shared" si="798"/>
        <v>24336</v>
      </c>
      <c r="H2059" s="245">
        <f t="shared" si="799"/>
        <v>1</v>
      </c>
      <c r="I2059" s="121">
        <f t="shared" si="800"/>
        <v>1.03</v>
      </c>
      <c r="J2059" s="121">
        <f t="shared" si="801"/>
        <v>1.03</v>
      </c>
      <c r="K2059" s="120">
        <f t="shared" si="802"/>
        <v>0</v>
      </c>
      <c r="L2059" s="120">
        <f t="shared" si="803"/>
        <v>0</v>
      </c>
      <c r="M2059" s="246">
        <f t="shared" si="804"/>
        <v>0</v>
      </c>
      <c r="N2059" s="121">
        <f t="shared" si="805"/>
        <v>1.03</v>
      </c>
      <c r="O2059" s="246">
        <f t="shared" si="806"/>
        <v>0.91500000000000004</v>
      </c>
      <c r="P2059" s="121">
        <f t="shared" si="807"/>
        <v>0</v>
      </c>
      <c r="Q2059" s="121">
        <f t="shared" si="808"/>
        <v>0</v>
      </c>
      <c r="R2059" s="121">
        <f t="shared" si="809"/>
        <v>1</v>
      </c>
      <c r="S2059" s="121" t="str">
        <f t="shared" si="810"/>
        <v/>
      </c>
      <c r="T2059" s="121" t="str">
        <f t="shared" si="811"/>
        <v/>
      </c>
      <c r="U2059" s="121">
        <f t="shared" si="812"/>
        <v>1.03</v>
      </c>
    </row>
    <row r="2060" spans="1:21" x14ac:dyDescent="0.3">
      <c r="A2060" s="187">
        <v>38</v>
      </c>
      <c r="B2060" s="242">
        <f t="shared" si="813"/>
        <v>46784</v>
      </c>
      <c r="C2060" s="243">
        <f t="shared" si="794"/>
        <v>46812</v>
      </c>
      <c r="D2060" s="120">
        <f t="shared" si="795"/>
        <v>29</v>
      </c>
      <c r="E2060" s="120">
        <f t="shared" si="796"/>
        <v>2</v>
      </c>
      <c r="F2060" s="275">
        <f t="shared" si="797"/>
        <v>46798.5</v>
      </c>
      <c r="G2060" s="120">
        <f t="shared" si="798"/>
        <v>24337</v>
      </c>
      <c r="H2060" s="245">
        <f t="shared" si="799"/>
        <v>1</v>
      </c>
      <c r="I2060" s="121">
        <f t="shared" si="800"/>
        <v>1.03</v>
      </c>
      <c r="J2060" s="121">
        <f t="shared" si="801"/>
        <v>1.03</v>
      </c>
      <c r="K2060" s="120">
        <f t="shared" si="802"/>
        <v>0</v>
      </c>
      <c r="L2060" s="120">
        <f t="shared" si="803"/>
        <v>0</v>
      </c>
      <c r="M2060" s="246">
        <f t="shared" si="804"/>
        <v>0</v>
      </c>
      <c r="N2060" s="121">
        <f t="shared" si="805"/>
        <v>1.03</v>
      </c>
      <c r="O2060" s="246">
        <f t="shared" si="806"/>
        <v>0.91500000000000004</v>
      </c>
      <c r="P2060" s="121">
        <f t="shared" si="807"/>
        <v>0</v>
      </c>
      <c r="Q2060" s="121">
        <f t="shared" si="808"/>
        <v>0</v>
      </c>
      <c r="R2060" s="121">
        <f t="shared" si="809"/>
        <v>1</v>
      </c>
      <c r="S2060" s="121" t="str">
        <f t="shared" si="810"/>
        <v/>
      </c>
      <c r="T2060" s="121" t="str">
        <f t="shared" si="811"/>
        <v/>
      </c>
      <c r="U2060" s="121">
        <f t="shared" si="812"/>
        <v>1.03</v>
      </c>
    </row>
    <row r="2061" spans="1:21" x14ac:dyDescent="0.3">
      <c r="A2061" s="187">
        <v>39</v>
      </c>
      <c r="B2061" s="242">
        <f t="shared" si="813"/>
        <v>46813</v>
      </c>
      <c r="C2061" s="243">
        <f t="shared" si="794"/>
        <v>46843</v>
      </c>
      <c r="D2061" s="120">
        <f t="shared" si="795"/>
        <v>31</v>
      </c>
      <c r="E2061" s="120">
        <f t="shared" si="796"/>
        <v>3</v>
      </c>
      <c r="F2061" s="275">
        <f t="shared" si="797"/>
        <v>46828.5</v>
      </c>
      <c r="G2061" s="120">
        <f t="shared" si="798"/>
        <v>24338</v>
      </c>
      <c r="H2061" s="245">
        <f t="shared" si="799"/>
        <v>1</v>
      </c>
      <c r="I2061" s="121">
        <f t="shared" si="800"/>
        <v>1.03</v>
      </c>
      <c r="J2061" s="121">
        <f t="shared" si="801"/>
        <v>1.03</v>
      </c>
      <c r="K2061" s="120">
        <f t="shared" si="802"/>
        <v>0</v>
      </c>
      <c r="L2061" s="120">
        <f t="shared" si="803"/>
        <v>0</v>
      </c>
      <c r="M2061" s="246">
        <f t="shared" si="804"/>
        <v>0</v>
      </c>
      <c r="N2061" s="121">
        <f t="shared" si="805"/>
        <v>1.03</v>
      </c>
      <c r="O2061" s="246">
        <f t="shared" si="806"/>
        <v>0.91500000000000004</v>
      </c>
      <c r="P2061" s="121">
        <f t="shared" si="807"/>
        <v>0</v>
      </c>
      <c r="Q2061" s="121">
        <f t="shared" si="808"/>
        <v>0</v>
      </c>
      <c r="R2061" s="121">
        <f t="shared" si="809"/>
        <v>1</v>
      </c>
      <c r="S2061" s="121" t="str">
        <f t="shared" si="810"/>
        <v/>
      </c>
      <c r="T2061" s="121" t="str">
        <f t="shared" si="811"/>
        <v/>
      </c>
      <c r="U2061" s="121">
        <f t="shared" si="812"/>
        <v>1.03</v>
      </c>
    </row>
    <row r="2062" spans="1:21" x14ac:dyDescent="0.3">
      <c r="A2062" s="187">
        <v>40</v>
      </c>
      <c r="B2062" s="242">
        <f t="shared" si="813"/>
        <v>46844</v>
      </c>
      <c r="C2062" s="243">
        <f t="shared" si="794"/>
        <v>46873</v>
      </c>
      <c r="D2062" s="120">
        <f t="shared" si="795"/>
        <v>30</v>
      </c>
      <c r="E2062" s="120">
        <f t="shared" si="796"/>
        <v>4</v>
      </c>
      <c r="F2062" s="275">
        <f t="shared" si="797"/>
        <v>46859</v>
      </c>
      <c r="G2062" s="120">
        <f t="shared" si="798"/>
        <v>24339</v>
      </c>
      <c r="H2062" s="245">
        <f t="shared" si="799"/>
        <v>1</v>
      </c>
      <c r="I2062" s="121">
        <f t="shared" si="800"/>
        <v>1.03</v>
      </c>
      <c r="J2062" s="121">
        <f t="shared" si="801"/>
        <v>1.03</v>
      </c>
      <c r="K2062" s="120">
        <f t="shared" si="802"/>
        <v>0</v>
      </c>
      <c r="L2062" s="120">
        <f t="shared" si="803"/>
        <v>0</v>
      </c>
      <c r="M2062" s="246">
        <f t="shared" si="804"/>
        <v>0</v>
      </c>
      <c r="N2062" s="121">
        <f t="shared" si="805"/>
        <v>1.03</v>
      </c>
      <c r="O2062" s="246">
        <f t="shared" si="806"/>
        <v>0.91500000000000004</v>
      </c>
      <c r="P2062" s="121">
        <f t="shared" si="807"/>
        <v>0</v>
      </c>
      <c r="Q2062" s="121">
        <f t="shared" si="808"/>
        <v>0</v>
      </c>
      <c r="R2062" s="121">
        <f t="shared" si="809"/>
        <v>1</v>
      </c>
      <c r="S2062" s="121" t="str">
        <f t="shared" si="810"/>
        <v/>
      </c>
      <c r="T2062" s="121" t="str">
        <f t="shared" si="811"/>
        <v/>
      </c>
      <c r="U2062" s="121">
        <f t="shared" si="812"/>
        <v>1.03</v>
      </c>
    </row>
    <row r="2063" spans="1:21" x14ac:dyDescent="0.3">
      <c r="A2063" s="187">
        <v>41</v>
      </c>
      <c r="B2063" s="242">
        <f t="shared" si="813"/>
        <v>46874</v>
      </c>
      <c r="C2063" s="243">
        <f t="shared" si="794"/>
        <v>46904</v>
      </c>
      <c r="D2063" s="120">
        <f t="shared" si="795"/>
        <v>31</v>
      </c>
      <c r="E2063" s="120">
        <f t="shared" si="796"/>
        <v>5</v>
      </c>
      <c r="F2063" s="275">
        <f t="shared" si="797"/>
        <v>46889.5</v>
      </c>
      <c r="G2063" s="120">
        <f t="shared" si="798"/>
        <v>24340</v>
      </c>
      <c r="H2063" s="245">
        <f t="shared" si="799"/>
        <v>1</v>
      </c>
      <c r="I2063" s="121">
        <f t="shared" si="800"/>
        <v>1.03</v>
      </c>
      <c r="J2063" s="121">
        <f t="shared" si="801"/>
        <v>1.03</v>
      </c>
      <c r="K2063" s="120">
        <f t="shared" si="802"/>
        <v>0</v>
      </c>
      <c r="L2063" s="120">
        <f t="shared" si="803"/>
        <v>0</v>
      </c>
      <c r="M2063" s="246">
        <f t="shared" si="804"/>
        <v>0</v>
      </c>
      <c r="N2063" s="121">
        <f t="shared" si="805"/>
        <v>1.03</v>
      </c>
      <c r="O2063" s="246">
        <f t="shared" si="806"/>
        <v>0.91500000000000004</v>
      </c>
      <c r="P2063" s="121">
        <f t="shared" si="807"/>
        <v>0</v>
      </c>
      <c r="Q2063" s="121">
        <f t="shared" si="808"/>
        <v>0</v>
      </c>
      <c r="R2063" s="121">
        <f t="shared" si="809"/>
        <v>1</v>
      </c>
      <c r="S2063" s="121" t="str">
        <f t="shared" si="810"/>
        <v/>
      </c>
      <c r="T2063" s="121" t="str">
        <f t="shared" si="811"/>
        <v/>
      </c>
      <c r="U2063" s="121">
        <f t="shared" si="812"/>
        <v>1.03</v>
      </c>
    </row>
    <row r="2064" spans="1:21" x14ac:dyDescent="0.3">
      <c r="A2064" s="187">
        <v>42</v>
      </c>
      <c r="B2064" s="242">
        <f t="shared" si="813"/>
        <v>46905</v>
      </c>
      <c r="C2064" s="243">
        <f t="shared" si="794"/>
        <v>46934</v>
      </c>
      <c r="D2064" s="120">
        <f t="shared" si="795"/>
        <v>30</v>
      </c>
      <c r="E2064" s="120">
        <f t="shared" si="796"/>
        <v>6</v>
      </c>
      <c r="F2064" s="275">
        <f t="shared" si="797"/>
        <v>46920</v>
      </c>
      <c r="G2064" s="120">
        <f t="shared" si="798"/>
        <v>24341</v>
      </c>
      <c r="H2064" s="245">
        <f t="shared" si="799"/>
        <v>1</v>
      </c>
      <c r="I2064" s="121">
        <f t="shared" si="800"/>
        <v>1.03</v>
      </c>
      <c r="J2064" s="121">
        <f t="shared" si="801"/>
        <v>1.03</v>
      </c>
      <c r="K2064" s="120">
        <f t="shared" si="802"/>
        <v>0</v>
      </c>
      <c r="L2064" s="120">
        <f t="shared" si="803"/>
        <v>0</v>
      </c>
      <c r="M2064" s="246">
        <f t="shared" si="804"/>
        <v>0</v>
      </c>
      <c r="N2064" s="121">
        <f t="shared" si="805"/>
        <v>1.03</v>
      </c>
      <c r="O2064" s="246">
        <f t="shared" si="806"/>
        <v>0.91500000000000004</v>
      </c>
      <c r="P2064" s="121">
        <f t="shared" si="807"/>
        <v>0</v>
      </c>
      <c r="Q2064" s="121">
        <f t="shared" si="808"/>
        <v>0</v>
      </c>
      <c r="R2064" s="121">
        <f t="shared" si="809"/>
        <v>1</v>
      </c>
      <c r="S2064" s="121" t="str">
        <f t="shared" si="810"/>
        <v/>
      </c>
      <c r="T2064" s="121" t="str">
        <f t="shared" si="811"/>
        <v/>
      </c>
      <c r="U2064" s="121">
        <f t="shared" si="812"/>
        <v>1.03</v>
      </c>
    </row>
    <row r="2065" spans="1:21" x14ac:dyDescent="0.3">
      <c r="A2065" s="187">
        <v>43</v>
      </c>
      <c r="B2065" s="242">
        <f t="shared" si="813"/>
        <v>46935</v>
      </c>
      <c r="C2065" s="243">
        <f t="shared" si="794"/>
        <v>46965</v>
      </c>
      <c r="D2065" s="120">
        <f t="shared" si="795"/>
        <v>31</v>
      </c>
      <c r="E2065" s="120">
        <f t="shared" si="796"/>
        <v>7</v>
      </c>
      <c r="F2065" s="275">
        <f t="shared" si="797"/>
        <v>46950.5</v>
      </c>
      <c r="G2065" s="120">
        <f t="shared" si="798"/>
        <v>24342</v>
      </c>
      <c r="H2065" s="245">
        <f t="shared" si="799"/>
        <v>1</v>
      </c>
      <c r="I2065" s="121">
        <f t="shared" si="800"/>
        <v>1.03</v>
      </c>
      <c r="J2065" s="121">
        <f t="shared" si="801"/>
        <v>1.03</v>
      </c>
      <c r="K2065" s="120">
        <f t="shared" si="802"/>
        <v>0</v>
      </c>
      <c r="L2065" s="120">
        <f t="shared" si="803"/>
        <v>0</v>
      </c>
      <c r="M2065" s="246">
        <f t="shared" si="804"/>
        <v>0</v>
      </c>
      <c r="N2065" s="121">
        <f t="shared" si="805"/>
        <v>1.03</v>
      </c>
      <c r="O2065" s="246">
        <f t="shared" si="806"/>
        <v>0.91500000000000004</v>
      </c>
      <c r="P2065" s="121">
        <f t="shared" si="807"/>
        <v>0</v>
      </c>
      <c r="Q2065" s="121">
        <f t="shared" si="808"/>
        <v>0</v>
      </c>
      <c r="R2065" s="121">
        <f t="shared" si="809"/>
        <v>0.91666666666666663</v>
      </c>
      <c r="S2065" s="121" t="str">
        <f t="shared" si="810"/>
        <v/>
      </c>
      <c r="T2065" s="121" t="str">
        <f t="shared" si="811"/>
        <v/>
      </c>
      <c r="U2065" s="121">
        <f t="shared" si="812"/>
        <v>1.03</v>
      </c>
    </row>
    <row r="2066" spans="1:21" x14ac:dyDescent="0.3">
      <c r="A2066" s="187">
        <v>44</v>
      </c>
      <c r="B2066" s="242">
        <f t="shared" si="813"/>
        <v>46966</v>
      </c>
      <c r="C2066" s="243">
        <f t="shared" si="794"/>
        <v>46996</v>
      </c>
      <c r="D2066" s="120">
        <f t="shared" si="795"/>
        <v>31</v>
      </c>
      <c r="E2066" s="120">
        <f t="shared" si="796"/>
        <v>8</v>
      </c>
      <c r="F2066" s="275">
        <f t="shared" si="797"/>
        <v>46981.5</v>
      </c>
      <c r="G2066" s="120">
        <f t="shared" si="798"/>
        <v>24343</v>
      </c>
      <c r="H2066" s="245">
        <f t="shared" si="799"/>
        <v>1</v>
      </c>
      <c r="I2066" s="121">
        <f t="shared" si="800"/>
        <v>1.03</v>
      </c>
      <c r="J2066" s="121">
        <f t="shared" si="801"/>
        <v>1.03</v>
      </c>
      <c r="K2066" s="120">
        <f t="shared" si="802"/>
        <v>0</v>
      </c>
      <c r="L2066" s="120">
        <f t="shared" si="803"/>
        <v>0</v>
      </c>
      <c r="M2066" s="246">
        <f t="shared" si="804"/>
        <v>0</v>
      </c>
      <c r="N2066" s="121">
        <f t="shared" si="805"/>
        <v>1.03</v>
      </c>
      <c r="O2066" s="246">
        <f t="shared" si="806"/>
        <v>0.91500000000000004</v>
      </c>
      <c r="P2066" s="121">
        <f t="shared" si="807"/>
        <v>0</v>
      </c>
      <c r="Q2066" s="121">
        <f t="shared" si="808"/>
        <v>0</v>
      </c>
      <c r="R2066" s="121">
        <f t="shared" si="809"/>
        <v>0.75</v>
      </c>
      <c r="S2066" s="121" t="str">
        <f t="shared" si="810"/>
        <v/>
      </c>
      <c r="T2066" s="121" t="str">
        <f t="shared" si="811"/>
        <v/>
      </c>
      <c r="U2066" s="121">
        <f t="shared" si="812"/>
        <v>1.03</v>
      </c>
    </row>
    <row r="2067" spans="1:21" x14ac:dyDescent="0.3">
      <c r="A2067" s="187">
        <v>45</v>
      </c>
      <c r="B2067" s="242">
        <f t="shared" si="813"/>
        <v>46997</v>
      </c>
      <c r="C2067" s="243">
        <f t="shared" si="794"/>
        <v>47026</v>
      </c>
      <c r="D2067" s="120">
        <f t="shared" si="795"/>
        <v>30</v>
      </c>
      <c r="E2067" s="120">
        <f t="shared" si="796"/>
        <v>9</v>
      </c>
      <c r="F2067" s="275">
        <f t="shared" si="797"/>
        <v>47012</v>
      </c>
      <c r="G2067" s="120">
        <f t="shared" si="798"/>
        <v>24344</v>
      </c>
      <c r="H2067" s="245">
        <f t="shared" si="799"/>
        <v>1</v>
      </c>
      <c r="I2067" s="121">
        <f t="shared" si="800"/>
        <v>1.03</v>
      </c>
      <c r="J2067" s="121">
        <f t="shared" si="801"/>
        <v>1.03</v>
      </c>
      <c r="K2067" s="120">
        <f t="shared" si="802"/>
        <v>0</v>
      </c>
      <c r="L2067" s="120">
        <f t="shared" si="803"/>
        <v>0</v>
      </c>
      <c r="M2067" s="246">
        <f t="shared" si="804"/>
        <v>0</v>
      </c>
      <c r="N2067" s="121">
        <f t="shared" si="805"/>
        <v>1.03</v>
      </c>
      <c r="O2067" s="246">
        <f t="shared" si="806"/>
        <v>0.91500000000000004</v>
      </c>
      <c r="P2067" s="121">
        <f t="shared" si="807"/>
        <v>0</v>
      </c>
      <c r="Q2067" s="121">
        <f t="shared" si="808"/>
        <v>0</v>
      </c>
      <c r="R2067" s="121">
        <f t="shared" si="809"/>
        <v>0.58333333333333337</v>
      </c>
      <c r="S2067" s="121" t="str">
        <f t="shared" si="810"/>
        <v/>
      </c>
      <c r="T2067" s="121" t="str">
        <f t="shared" si="811"/>
        <v/>
      </c>
      <c r="U2067" s="121">
        <f t="shared" si="812"/>
        <v>1.03</v>
      </c>
    </row>
    <row r="2068" spans="1:21" x14ac:dyDescent="0.3">
      <c r="A2068" s="187">
        <v>46</v>
      </c>
      <c r="B2068" s="242">
        <f t="shared" si="813"/>
        <v>47027</v>
      </c>
      <c r="C2068" s="243">
        <f t="shared" si="794"/>
        <v>47057</v>
      </c>
      <c r="D2068" s="120">
        <f t="shared" si="795"/>
        <v>31</v>
      </c>
      <c r="E2068" s="120">
        <f t="shared" si="796"/>
        <v>10</v>
      </c>
      <c r="F2068" s="275">
        <f t="shared" si="797"/>
        <v>47042.5</v>
      </c>
      <c r="G2068" s="120">
        <f t="shared" si="798"/>
        <v>24345</v>
      </c>
      <c r="H2068" s="245">
        <f t="shared" si="799"/>
        <v>1</v>
      </c>
      <c r="I2068" s="121">
        <f t="shared" si="800"/>
        <v>1.03</v>
      </c>
      <c r="J2068" s="121">
        <f t="shared" si="801"/>
        <v>1.03</v>
      </c>
      <c r="K2068" s="120">
        <f t="shared" si="802"/>
        <v>0</v>
      </c>
      <c r="L2068" s="120">
        <f t="shared" si="803"/>
        <v>0</v>
      </c>
      <c r="M2068" s="246">
        <f t="shared" si="804"/>
        <v>0</v>
      </c>
      <c r="N2068" s="121">
        <f t="shared" si="805"/>
        <v>1.03</v>
      </c>
      <c r="O2068" s="246">
        <f t="shared" si="806"/>
        <v>0.91500000000000004</v>
      </c>
      <c r="P2068" s="121">
        <f t="shared" si="807"/>
        <v>0</v>
      </c>
      <c r="Q2068" s="121">
        <f t="shared" si="808"/>
        <v>0</v>
      </c>
      <c r="R2068" s="121">
        <f t="shared" si="809"/>
        <v>0.41666666666666669</v>
      </c>
      <c r="S2068" s="121" t="str">
        <f t="shared" si="810"/>
        <v/>
      </c>
      <c r="T2068" s="121" t="str">
        <f t="shared" si="811"/>
        <v/>
      </c>
      <c r="U2068" s="121">
        <f t="shared" si="812"/>
        <v>1.03</v>
      </c>
    </row>
    <row r="2069" spans="1:21" x14ac:dyDescent="0.3">
      <c r="A2069" s="187">
        <v>47</v>
      </c>
      <c r="B2069" s="242">
        <f t="shared" si="813"/>
        <v>47058</v>
      </c>
      <c r="C2069" s="243">
        <f t="shared" si="794"/>
        <v>47087</v>
      </c>
      <c r="D2069" s="120">
        <f t="shared" si="795"/>
        <v>30</v>
      </c>
      <c r="E2069" s="120">
        <f t="shared" si="796"/>
        <v>11</v>
      </c>
      <c r="F2069" s="275">
        <f t="shared" si="797"/>
        <v>47073</v>
      </c>
      <c r="G2069" s="120">
        <f t="shared" si="798"/>
        <v>24346</v>
      </c>
      <c r="H2069" s="245">
        <f t="shared" si="799"/>
        <v>1</v>
      </c>
      <c r="I2069" s="121">
        <f t="shared" si="800"/>
        <v>1.03</v>
      </c>
      <c r="J2069" s="121">
        <f t="shared" si="801"/>
        <v>1.03</v>
      </c>
      <c r="K2069" s="120">
        <f t="shared" si="802"/>
        <v>0</v>
      </c>
      <c r="L2069" s="120">
        <f t="shared" si="803"/>
        <v>0</v>
      </c>
      <c r="M2069" s="246">
        <f t="shared" si="804"/>
        <v>0</v>
      </c>
      <c r="N2069" s="121">
        <f t="shared" si="805"/>
        <v>1.03</v>
      </c>
      <c r="O2069" s="246">
        <f t="shared" si="806"/>
        <v>0.91500000000000004</v>
      </c>
      <c r="P2069" s="121">
        <f t="shared" si="807"/>
        <v>0</v>
      </c>
      <c r="Q2069" s="121">
        <f t="shared" si="808"/>
        <v>0</v>
      </c>
      <c r="R2069" s="121">
        <f t="shared" si="809"/>
        <v>0.25</v>
      </c>
      <c r="S2069" s="121" t="str">
        <f t="shared" si="810"/>
        <v/>
      </c>
      <c r="T2069" s="121" t="str">
        <f t="shared" si="811"/>
        <v/>
      </c>
      <c r="U2069" s="121">
        <f t="shared" si="812"/>
        <v>1.03</v>
      </c>
    </row>
    <row r="2070" spans="1:21" x14ac:dyDescent="0.3">
      <c r="A2070" s="187">
        <v>48</v>
      </c>
      <c r="B2070" s="242">
        <f t="shared" si="813"/>
        <v>47088</v>
      </c>
      <c r="C2070" s="243">
        <f t="shared" si="794"/>
        <v>47118</v>
      </c>
      <c r="D2070" s="120">
        <f t="shared" si="795"/>
        <v>31</v>
      </c>
      <c r="E2070" s="120">
        <f t="shared" si="796"/>
        <v>12</v>
      </c>
      <c r="F2070" s="275">
        <f t="shared" si="797"/>
        <v>47103.5</v>
      </c>
      <c r="G2070" s="120">
        <f t="shared" si="798"/>
        <v>24347</v>
      </c>
      <c r="H2070" s="245">
        <f t="shared" si="799"/>
        <v>1</v>
      </c>
      <c r="I2070" s="121">
        <f t="shared" si="800"/>
        <v>1.03</v>
      </c>
      <c r="J2070" s="121">
        <f t="shared" si="801"/>
        <v>1.03</v>
      </c>
      <c r="K2070" s="120">
        <f t="shared" si="802"/>
        <v>0</v>
      </c>
      <c r="L2070" s="120">
        <f t="shared" si="803"/>
        <v>0</v>
      </c>
      <c r="M2070" s="246">
        <f t="shared" si="804"/>
        <v>0</v>
      </c>
      <c r="N2070" s="121">
        <f t="shared" si="805"/>
        <v>1.03</v>
      </c>
      <c r="O2070" s="246">
        <f t="shared" si="806"/>
        <v>0.91500000000000004</v>
      </c>
      <c r="P2070" s="121">
        <f t="shared" si="807"/>
        <v>0</v>
      </c>
      <c r="Q2070" s="121">
        <f t="shared" si="808"/>
        <v>0</v>
      </c>
      <c r="R2070" s="121">
        <f t="shared" si="809"/>
        <v>8.3333333333333329E-2</v>
      </c>
      <c r="S2070" s="121" t="str">
        <f t="shared" si="810"/>
        <v/>
      </c>
      <c r="T2070" s="121" t="str">
        <f t="shared" si="811"/>
        <v/>
      </c>
      <c r="U2070" s="121">
        <f t="shared" si="812"/>
        <v>1.03</v>
      </c>
    </row>
    <row r="2071" spans="1:21" x14ac:dyDescent="0.3">
      <c r="A2071" s="6" t="s">
        <v>1651</v>
      </c>
      <c r="B2071" s="73">
        <f>EXP(SUMPRODUCT((rl_key=$A$2020)*(rl_cons="Y")*rl_ln1p))</f>
        <v>1.03</v>
      </c>
      <c r="C2071" s="73">
        <f>SUMPRODUCT($H$2023:$H$2070,$P$2023:$P$2070,$U$2023:$U$2070)/SUMPRODUCT($H$2023:$H$2070,$P$2023:$P$2070)</f>
        <v>1.0225</v>
      </c>
      <c r="D2071" s="73">
        <f>SUMPRODUCT($H$2023:$H$2070,$Q$2023:$Q$2070,$U$2023:$U$2070)/SUMPRODUCT($H$2023:$H$2070,$Q$2023:$Q$2070)</f>
        <v>1.03</v>
      </c>
      <c r="E2071" s="73">
        <f>SUMPRODUCT($H$2023:$H$2070,$R$2023:$R$2070,$U$2023:$U$2070)/SUMPRODUCT($H$2023:$H$2070,$R$2023:$R$2070)</f>
        <v>1.03</v>
      </c>
      <c r="F2071" s="224">
        <f>SUMPRODUCT($H$2023:$H$2070,$Q$2023:$Q$2070,$O$2023:$O$2070)/SUMPRODUCT($H$2023:$H$2070,$Q$2023:$Q$2070)</f>
        <v>0.91199626185266247</v>
      </c>
      <c r="G2071" s="224">
        <f>SUMPRODUCT($H$2023:$H$2070,$R$2023:$R$2070,$O$2023:$O$2070)/SUMPRODUCT($H$2023:$H$2070,$R$2023:$R$2070)</f>
        <v>0.91483011184050556</v>
      </c>
      <c r="H2071" s="73">
        <f>SUMPRODUCT($H$2047:$H$2058,$N$2047:$N$2058/$N$2035:$N$2046)/SUM($H$2047:$H$2058)</f>
        <v>1</v>
      </c>
      <c r="I2071" s="73">
        <f>SUMPRODUCT($H$2047:$H$2058,$O$2047:$O$2058/$O$2035:$O$2046)/SUM($H$2047:$H$2058)</f>
        <v>1.0043932196204437</v>
      </c>
      <c r="J2071" s="73">
        <f>IF($O$2020=1,SUMPRODUCT($H$2047:$H$2058,$N$2047:$N$2058/$N$2035:$N$2046*$O$2047:$O$2058/$O$2035:$O$2046)/SUM($H$2047:$H$2058),$H2071)</f>
        <v>1.0043932196204437</v>
      </c>
      <c r="K2071" s="73">
        <f>SUMPRODUCT($H$2023:$H$2070,$Q$2023:$Q$2070,$N$2023:$N$2070)/SUMPRODUCT($H$2023:$H$2070,$Q$2023:$Q$2070)</f>
        <v>1.03</v>
      </c>
      <c r="L2071" s="73">
        <f>SUMPRODUCT($H$2023:$H$2070,$R$2023:$R$2070,$N$2023:$N$2070)/SUMPRODUCT($H$2023:$H$2070,$R$2023:$R$2070)</f>
        <v>1.03</v>
      </c>
    </row>
    <row r="2074" spans="1:21" x14ac:dyDescent="0.3">
      <c r="A2074" s="6" t="str">
        <f>INDEX(lr_key,38)</f>
        <v>MM|SC</v>
      </c>
      <c r="B2074" s="6" t="str">
        <f>INDEX(lr_state,38)</f>
        <v>SC</v>
      </c>
      <c r="C2074" s="75">
        <f>nr_TermMonths</f>
        <v>6</v>
      </c>
      <c r="D2074" s="75">
        <f>IF(COUNTIF(se_state,$B2074)=0,0,MATCH($B2074,se_state,0))</f>
        <v>0</v>
      </c>
      <c r="E2074" s="70">
        <f>IF($D2074=0,0,INDEX(se_sum,$D2074))</f>
        <v>0</v>
      </c>
      <c r="F2074" s="224">
        <f>IF(N(INDEX(lr_mind,38))=0,1,INDEX(lr_mind,38))</f>
        <v>0.92</v>
      </c>
      <c r="G2074" s="224">
        <f>IF(N(INDEX(lr_m0,38))=0,1,INDEX(lr_m0,38))</f>
        <v>0.91</v>
      </c>
      <c r="H2074" s="74">
        <f>IF(N(INDEX(lr_m0asof,38))=0,DATE(nr_PlanYear-1,10,1),INDEX(lr_m0asof,38))</f>
        <v>46295</v>
      </c>
      <c r="I2074" s="224">
        <f>IF(N(INDEX(lr_m1,38))=0,1,INDEX(lr_m1,38))</f>
        <v>0.93</v>
      </c>
      <c r="J2074" s="224">
        <f>INDEX(lr_mprior,38)</f>
        <v>0</v>
      </c>
      <c r="K2074" s="224">
        <f>INDEX(lr_m2,38)</f>
        <v>0</v>
      </c>
      <c r="L2074" s="6" t="b">
        <f>NOT(ISBLANK(INDEX(lr_netp,38)))</f>
        <v>0</v>
      </c>
      <c r="M2074" s="72">
        <f>N(INDEX(lr_netp,38))</f>
        <v>0</v>
      </c>
      <c r="N2074" s="72">
        <f>IF(ISBLANK(INDEX(lr_netp1,38)),$M$2074,N(INDEX(lr_netp1,38)))</f>
        <v>0</v>
      </c>
      <c r="O2074" s="75">
        <f>IF(AND(nr_ModAdjMaster="ON",INDEX(lr_modadj,38)="ON"),1,0)</f>
        <v>1</v>
      </c>
    </row>
    <row r="2075" spans="1:21" x14ac:dyDescent="0.3">
      <c r="A2075" s="6">
        <f>EDATE($H$2074,-12)+1</f>
        <v>45931</v>
      </c>
      <c r="B2075" s="6">
        <f>$H$2074+1</f>
        <v>46296</v>
      </c>
      <c r="C2075" s="6">
        <f>DATE(nr_PlanYear,12,31)+1</f>
        <v>46753</v>
      </c>
      <c r="D2075" s="6">
        <f>DATE(nr_PlanYear+1,12,31)+1</f>
        <v>47119</v>
      </c>
      <c r="E2075" s="6">
        <f>IF(N($J$2074)=0,$F$2075-($G$2075-$F$2075)/($C$2075-$B$2075)*($B$2075-$A$2075),$J$2074)</f>
        <v>0.89402625820568926</v>
      </c>
      <c r="F2075" s="6">
        <f>$G$2074</f>
        <v>0.91</v>
      </c>
      <c r="G2075" s="6">
        <f>$I$2074</f>
        <v>0.93</v>
      </c>
      <c r="H2075" s="6">
        <f>IF(N($K$2074)=0,$I$2074,$K$2074)</f>
        <v>0.93</v>
      </c>
      <c r="I2075" s="6">
        <f>($F$2075-$E$2075)/($B$2075-$A$2075)</f>
        <v>4.3763676148796628E-5</v>
      </c>
      <c r="J2075" s="6">
        <f>($G$2075-$F$2075)/($C$2075-$B$2075)</f>
        <v>4.376367614879654E-5</v>
      </c>
      <c r="K2075" s="6">
        <f>($H$2075-$G$2075)/($D$2075-$C$2075)</f>
        <v>0</v>
      </c>
    </row>
    <row r="2076" spans="1:21" ht="36" x14ac:dyDescent="0.3">
      <c r="A2076" s="58" t="s">
        <v>390</v>
      </c>
      <c r="B2076" s="58" t="s">
        <v>449</v>
      </c>
      <c r="C2076" s="58" t="s">
        <v>685</v>
      </c>
      <c r="D2076" s="58" t="s">
        <v>686</v>
      </c>
      <c r="E2076" s="58" t="s">
        <v>687</v>
      </c>
      <c r="F2076" s="58" t="s">
        <v>688</v>
      </c>
      <c r="G2076" s="58" t="s">
        <v>689</v>
      </c>
      <c r="H2076" s="58" t="s">
        <v>452</v>
      </c>
      <c r="I2076" s="58" t="s">
        <v>690</v>
      </c>
      <c r="J2076" s="58" t="s">
        <v>691</v>
      </c>
      <c r="K2076" s="58" t="s">
        <v>692</v>
      </c>
      <c r="L2076" s="58" t="s">
        <v>693</v>
      </c>
      <c r="M2076" s="58" t="s">
        <v>694</v>
      </c>
      <c r="N2076" s="58" t="s">
        <v>695</v>
      </c>
      <c r="O2076" s="58" t="s">
        <v>696</v>
      </c>
      <c r="P2076" s="58" t="s">
        <v>697</v>
      </c>
      <c r="Q2076" s="58" t="s">
        <v>698</v>
      </c>
      <c r="R2076" s="58" t="s">
        <v>699</v>
      </c>
      <c r="S2076" s="58" t="s">
        <v>700</v>
      </c>
      <c r="T2076" s="58" t="s">
        <v>701</v>
      </c>
      <c r="U2076" s="58" t="s">
        <v>702</v>
      </c>
    </row>
    <row r="2077" spans="1:21" x14ac:dyDescent="0.3">
      <c r="A2077" s="187">
        <v>1</v>
      </c>
      <c r="B2077" s="242">
        <f>DATE(nr_PlanYear-2,1,1)</f>
        <v>45658</v>
      </c>
      <c r="C2077" s="243">
        <f t="shared" ref="C2077:C2124" si="814">EOMONTH($B2077,0)</f>
        <v>45688</v>
      </c>
      <c r="D2077" s="120">
        <f t="shared" ref="D2077:D2124" si="815">$C2077-$B2077+1</f>
        <v>31</v>
      </c>
      <c r="E2077" s="120">
        <f t="shared" ref="E2077:E2124" si="816">MONTH($B2077)</f>
        <v>1</v>
      </c>
      <c r="F2077" s="275">
        <f t="shared" ref="F2077:F2124" si="817">($B2077+$C2077+1)/2</f>
        <v>45673.5</v>
      </c>
      <c r="G2077" s="120">
        <f t="shared" ref="G2077:G2124" si="818">YEAR($B2077)*12+MONTH($B2077)-1</f>
        <v>24300</v>
      </c>
      <c r="H2077" s="245">
        <f t="shared" ref="H2077:H2124" si="819">IF(OR(nr_SeasonOn="OFF",$D$2074=0,$E$2074=0),1,12*INDEX(se_block,$D$2074,$E2077)/$E$2074)</f>
        <v>1</v>
      </c>
      <c r="I2077" s="121">
        <f t="shared" ref="I2077:I2124" si="820">EXP(SUMPRODUCT((rl_eff&lt;$B2077)*(rl_key=$A$2074)*rl_ln1p))</f>
        <v>1</v>
      </c>
      <c r="J2077" s="121">
        <f t="shared" ref="J2077:J2124" si="821">EXP(SUMPRODUCT((rl_eff&lt;=$C2077)*(rl_key=$A$2074)*rl_ln1p))</f>
        <v>1</v>
      </c>
      <c r="K2077" s="120">
        <f t="shared" ref="K2077:K2124" si="822">COUNTIFS(rl_key,$A$2074,rl_eff,"&gt;="&amp;$B2077,rl_eff,"&lt;="&amp;$C2077)</f>
        <v>0</v>
      </c>
      <c r="L2077" s="120">
        <f t="shared" ref="L2077:L2124" si="823">SUMIFS(rl_daysafter,rl_key,$A$2074,rl_effmonth,$B2077,rl_first,1)</f>
        <v>0</v>
      </c>
      <c r="M2077" s="246">
        <f t="shared" ref="M2077:M2124" si="824">IF($K2077=0,0,MIN(1,$L2077/$D2077))</f>
        <v>0</v>
      </c>
      <c r="N2077" s="121">
        <f t="shared" ref="N2077:N2124" si="825">IF($K2077=0,$J2077,(1-$M2077)*$I2077+$M2077*$J2077)</f>
        <v>1</v>
      </c>
      <c r="O2077" s="246">
        <f t="shared" ref="O2077:O2124" si="826">IF($F2077&lt;$B$2075,$E$2075+$I$2075*($F2077-$A$2075),IF($F2077&lt;$C$2075,$F$2075+$J$2075*($F2077-$B$2075),$G$2075+$K$2075*($F2077-$C$2075)))</f>
        <v>0.88275711159737413</v>
      </c>
      <c r="P2077" s="121">
        <f t="shared" ref="P2077:P2124" si="827">MIN(1,MAX(0,(nr_MEndPm1-$G2077+0.5)/$C$2074))-MIN(1,MAX(0,(nr_MStartPm1-1-$G2077+0.5)/$C$2074))</f>
        <v>0</v>
      </c>
      <c r="Q2077" s="121">
        <f t="shared" ref="Q2077:Q2124" si="828">MIN(1,MAX(0,(nr_MEndP-$G2077+0.5)/$C$2074))-MIN(1,MAX(0,(nr_MStartP-1-$G2077+0.5)/$C$2074))</f>
        <v>0</v>
      </c>
      <c r="R2077" s="121">
        <f t="shared" ref="R2077:R2124" si="829">MIN(1,MAX(0,(nr_MEndP1-$G2077+0.5)/$C$2074))-MIN(1,MAX(0,(nr_MStartP1-1-$G2077+0.5)/$C$2074))</f>
        <v>0</v>
      </c>
      <c r="S2077" s="121" t="str">
        <f t="shared" ref="S2077:S2124" si="830">IF($L$2074,$N2077*IF($O$2074=1,$O2077/$F$2074,1),"")</f>
        <v/>
      </c>
      <c r="T2077" s="121" t="str">
        <f t="shared" ref="T2077:T2124" si="831">IF(NOT($L$2074),"",IF($G2077&lt;nr_MStartP,$S2077,$T2065*(1+IF($G2077&lt;nr_MStartP1,$M$2074,$N$2074))))</f>
        <v/>
      </c>
      <c r="U2077" s="121">
        <f t="shared" ref="U2077:U2124" si="832">IF($L$2074,$T2077,$N2077)</f>
        <v>1</v>
      </c>
    </row>
    <row r="2078" spans="1:21" x14ac:dyDescent="0.3">
      <c r="A2078" s="187">
        <v>2</v>
      </c>
      <c r="B2078" s="242">
        <f t="shared" ref="B2078:B2124" si="833">EDATE($B2077,1)</f>
        <v>45689</v>
      </c>
      <c r="C2078" s="243">
        <f t="shared" si="814"/>
        <v>45716</v>
      </c>
      <c r="D2078" s="120">
        <f t="shared" si="815"/>
        <v>28</v>
      </c>
      <c r="E2078" s="120">
        <f t="shared" si="816"/>
        <v>2</v>
      </c>
      <c r="F2078" s="275">
        <f t="shared" si="817"/>
        <v>45703</v>
      </c>
      <c r="G2078" s="120">
        <f t="shared" si="818"/>
        <v>24301</v>
      </c>
      <c r="H2078" s="245">
        <f t="shared" si="819"/>
        <v>1</v>
      </c>
      <c r="I2078" s="121">
        <f t="shared" si="820"/>
        <v>1</v>
      </c>
      <c r="J2078" s="121">
        <f t="shared" si="821"/>
        <v>1</v>
      </c>
      <c r="K2078" s="120">
        <f t="shared" si="822"/>
        <v>0</v>
      </c>
      <c r="L2078" s="120">
        <f t="shared" si="823"/>
        <v>0</v>
      </c>
      <c r="M2078" s="246">
        <f t="shared" si="824"/>
        <v>0</v>
      </c>
      <c r="N2078" s="121">
        <f t="shared" si="825"/>
        <v>1</v>
      </c>
      <c r="O2078" s="246">
        <f t="shared" si="826"/>
        <v>0.88404814004376364</v>
      </c>
      <c r="P2078" s="121">
        <f t="shared" si="827"/>
        <v>0</v>
      </c>
      <c r="Q2078" s="121">
        <f t="shared" si="828"/>
        <v>0</v>
      </c>
      <c r="R2078" s="121">
        <f t="shared" si="829"/>
        <v>0</v>
      </c>
      <c r="S2078" s="121" t="str">
        <f t="shared" si="830"/>
        <v/>
      </c>
      <c r="T2078" s="121" t="str">
        <f t="shared" si="831"/>
        <v/>
      </c>
      <c r="U2078" s="121">
        <f t="shared" si="832"/>
        <v>1</v>
      </c>
    </row>
    <row r="2079" spans="1:21" x14ac:dyDescent="0.3">
      <c r="A2079" s="187">
        <v>3</v>
      </c>
      <c r="B2079" s="242">
        <f t="shared" si="833"/>
        <v>45717</v>
      </c>
      <c r="C2079" s="243">
        <f t="shared" si="814"/>
        <v>45747</v>
      </c>
      <c r="D2079" s="120">
        <f t="shared" si="815"/>
        <v>31</v>
      </c>
      <c r="E2079" s="120">
        <f t="shared" si="816"/>
        <v>3</v>
      </c>
      <c r="F2079" s="275">
        <f t="shared" si="817"/>
        <v>45732.5</v>
      </c>
      <c r="G2079" s="120">
        <f t="shared" si="818"/>
        <v>24302</v>
      </c>
      <c r="H2079" s="245">
        <f t="shared" si="819"/>
        <v>1</v>
      </c>
      <c r="I2079" s="121">
        <f t="shared" si="820"/>
        <v>1</v>
      </c>
      <c r="J2079" s="121">
        <f t="shared" si="821"/>
        <v>1</v>
      </c>
      <c r="K2079" s="120">
        <f t="shared" si="822"/>
        <v>0</v>
      </c>
      <c r="L2079" s="120">
        <f t="shared" si="823"/>
        <v>0</v>
      </c>
      <c r="M2079" s="246">
        <f t="shared" si="824"/>
        <v>0</v>
      </c>
      <c r="N2079" s="121">
        <f t="shared" si="825"/>
        <v>1</v>
      </c>
      <c r="O2079" s="246">
        <f t="shared" si="826"/>
        <v>0.88533916849015315</v>
      </c>
      <c r="P2079" s="121">
        <f t="shared" si="827"/>
        <v>0</v>
      </c>
      <c r="Q2079" s="121">
        <f t="shared" si="828"/>
        <v>0</v>
      </c>
      <c r="R2079" s="121">
        <f t="shared" si="829"/>
        <v>0</v>
      </c>
      <c r="S2079" s="121" t="str">
        <f t="shared" si="830"/>
        <v/>
      </c>
      <c r="T2079" s="121" t="str">
        <f t="shared" si="831"/>
        <v/>
      </c>
      <c r="U2079" s="121">
        <f t="shared" si="832"/>
        <v>1</v>
      </c>
    </row>
    <row r="2080" spans="1:21" x14ac:dyDescent="0.3">
      <c r="A2080" s="187">
        <v>4</v>
      </c>
      <c r="B2080" s="242">
        <f t="shared" si="833"/>
        <v>45748</v>
      </c>
      <c r="C2080" s="243">
        <f t="shared" si="814"/>
        <v>45777</v>
      </c>
      <c r="D2080" s="120">
        <f t="shared" si="815"/>
        <v>30</v>
      </c>
      <c r="E2080" s="120">
        <f t="shared" si="816"/>
        <v>4</v>
      </c>
      <c r="F2080" s="275">
        <f t="shared" si="817"/>
        <v>45763</v>
      </c>
      <c r="G2080" s="120">
        <f t="shared" si="818"/>
        <v>24303</v>
      </c>
      <c r="H2080" s="245">
        <f t="shared" si="819"/>
        <v>1</v>
      </c>
      <c r="I2080" s="121">
        <f t="shared" si="820"/>
        <v>1</v>
      </c>
      <c r="J2080" s="121">
        <f t="shared" si="821"/>
        <v>1</v>
      </c>
      <c r="K2080" s="120">
        <f t="shared" si="822"/>
        <v>0</v>
      </c>
      <c r="L2080" s="120">
        <f t="shared" si="823"/>
        <v>0</v>
      </c>
      <c r="M2080" s="246">
        <f t="shared" si="824"/>
        <v>0</v>
      </c>
      <c r="N2080" s="121">
        <f t="shared" si="825"/>
        <v>1</v>
      </c>
      <c r="O2080" s="246">
        <f t="shared" si="826"/>
        <v>0.88667396061269144</v>
      </c>
      <c r="P2080" s="121">
        <f t="shared" si="827"/>
        <v>0</v>
      </c>
      <c r="Q2080" s="121">
        <f t="shared" si="828"/>
        <v>0</v>
      </c>
      <c r="R2080" s="121">
        <f t="shared" si="829"/>
        <v>0</v>
      </c>
      <c r="S2080" s="121" t="str">
        <f t="shared" si="830"/>
        <v/>
      </c>
      <c r="T2080" s="121" t="str">
        <f t="shared" si="831"/>
        <v/>
      </c>
      <c r="U2080" s="121">
        <f t="shared" si="832"/>
        <v>1</v>
      </c>
    </row>
    <row r="2081" spans="1:21" x14ac:dyDescent="0.3">
      <c r="A2081" s="187">
        <v>5</v>
      </c>
      <c r="B2081" s="242">
        <f t="shared" si="833"/>
        <v>45778</v>
      </c>
      <c r="C2081" s="243">
        <f t="shared" si="814"/>
        <v>45808</v>
      </c>
      <c r="D2081" s="120">
        <f t="shared" si="815"/>
        <v>31</v>
      </c>
      <c r="E2081" s="120">
        <f t="shared" si="816"/>
        <v>5</v>
      </c>
      <c r="F2081" s="275">
        <f t="shared" si="817"/>
        <v>45793.5</v>
      </c>
      <c r="G2081" s="120">
        <f t="shared" si="818"/>
        <v>24304</v>
      </c>
      <c r="H2081" s="245">
        <f t="shared" si="819"/>
        <v>1</v>
      </c>
      <c r="I2081" s="121">
        <f t="shared" si="820"/>
        <v>1</v>
      </c>
      <c r="J2081" s="121">
        <f t="shared" si="821"/>
        <v>1</v>
      </c>
      <c r="K2081" s="120">
        <f t="shared" si="822"/>
        <v>0</v>
      </c>
      <c r="L2081" s="120">
        <f t="shared" si="823"/>
        <v>0</v>
      </c>
      <c r="M2081" s="246">
        <f t="shared" si="824"/>
        <v>0</v>
      </c>
      <c r="N2081" s="121">
        <f t="shared" si="825"/>
        <v>1</v>
      </c>
      <c r="O2081" s="246">
        <f t="shared" si="826"/>
        <v>0.88800875273522972</v>
      </c>
      <c r="P2081" s="121">
        <f t="shared" si="827"/>
        <v>0</v>
      </c>
      <c r="Q2081" s="121">
        <f t="shared" si="828"/>
        <v>0</v>
      </c>
      <c r="R2081" s="121">
        <f t="shared" si="829"/>
        <v>0</v>
      </c>
      <c r="S2081" s="121" t="str">
        <f t="shared" si="830"/>
        <v/>
      </c>
      <c r="T2081" s="121" t="str">
        <f t="shared" si="831"/>
        <v/>
      </c>
      <c r="U2081" s="121">
        <f t="shared" si="832"/>
        <v>1</v>
      </c>
    </row>
    <row r="2082" spans="1:21" x14ac:dyDescent="0.3">
      <c r="A2082" s="187">
        <v>6</v>
      </c>
      <c r="B2082" s="242">
        <f t="shared" si="833"/>
        <v>45809</v>
      </c>
      <c r="C2082" s="243">
        <f t="shared" si="814"/>
        <v>45838</v>
      </c>
      <c r="D2082" s="120">
        <f t="shared" si="815"/>
        <v>30</v>
      </c>
      <c r="E2082" s="120">
        <f t="shared" si="816"/>
        <v>6</v>
      </c>
      <c r="F2082" s="275">
        <f t="shared" si="817"/>
        <v>45824</v>
      </c>
      <c r="G2082" s="120">
        <f t="shared" si="818"/>
        <v>24305</v>
      </c>
      <c r="H2082" s="245">
        <f t="shared" si="819"/>
        <v>1</v>
      </c>
      <c r="I2082" s="121">
        <f t="shared" si="820"/>
        <v>1</v>
      </c>
      <c r="J2082" s="121">
        <f t="shared" si="821"/>
        <v>1</v>
      </c>
      <c r="K2082" s="120">
        <f t="shared" si="822"/>
        <v>0</v>
      </c>
      <c r="L2082" s="120">
        <f t="shared" si="823"/>
        <v>0</v>
      </c>
      <c r="M2082" s="246">
        <f t="shared" si="824"/>
        <v>0</v>
      </c>
      <c r="N2082" s="121">
        <f t="shared" si="825"/>
        <v>1</v>
      </c>
      <c r="O2082" s="246">
        <f t="shared" si="826"/>
        <v>0.88934354485776801</v>
      </c>
      <c r="P2082" s="121">
        <f t="shared" si="827"/>
        <v>0</v>
      </c>
      <c r="Q2082" s="121">
        <f t="shared" si="828"/>
        <v>0</v>
      </c>
      <c r="R2082" s="121">
        <f t="shared" si="829"/>
        <v>0</v>
      </c>
      <c r="S2082" s="121" t="str">
        <f t="shared" si="830"/>
        <v/>
      </c>
      <c r="T2082" s="121" t="str">
        <f t="shared" si="831"/>
        <v/>
      </c>
      <c r="U2082" s="121">
        <f t="shared" si="832"/>
        <v>1</v>
      </c>
    </row>
    <row r="2083" spans="1:21" x14ac:dyDescent="0.3">
      <c r="A2083" s="187">
        <v>7</v>
      </c>
      <c r="B2083" s="242">
        <f t="shared" si="833"/>
        <v>45839</v>
      </c>
      <c r="C2083" s="243">
        <f t="shared" si="814"/>
        <v>45869</v>
      </c>
      <c r="D2083" s="120">
        <f t="shared" si="815"/>
        <v>31</v>
      </c>
      <c r="E2083" s="120">
        <f t="shared" si="816"/>
        <v>7</v>
      </c>
      <c r="F2083" s="275">
        <f t="shared" si="817"/>
        <v>45854.5</v>
      </c>
      <c r="G2083" s="120">
        <f t="shared" si="818"/>
        <v>24306</v>
      </c>
      <c r="H2083" s="245">
        <f t="shared" si="819"/>
        <v>1</v>
      </c>
      <c r="I2083" s="121">
        <f t="shared" si="820"/>
        <v>1</v>
      </c>
      <c r="J2083" s="121">
        <f t="shared" si="821"/>
        <v>1</v>
      </c>
      <c r="K2083" s="120">
        <f t="shared" si="822"/>
        <v>0</v>
      </c>
      <c r="L2083" s="120">
        <f t="shared" si="823"/>
        <v>0</v>
      </c>
      <c r="M2083" s="246">
        <f t="shared" si="824"/>
        <v>0</v>
      </c>
      <c r="N2083" s="121">
        <f t="shared" si="825"/>
        <v>1</v>
      </c>
      <c r="O2083" s="246">
        <f t="shared" si="826"/>
        <v>0.8906783369803063</v>
      </c>
      <c r="P2083" s="121">
        <f t="shared" si="827"/>
        <v>8.333333333333337E-2</v>
      </c>
      <c r="Q2083" s="121">
        <f t="shared" si="828"/>
        <v>0</v>
      </c>
      <c r="R2083" s="121">
        <f t="shared" si="829"/>
        <v>0</v>
      </c>
      <c r="S2083" s="121" t="str">
        <f t="shared" si="830"/>
        <v/>
      </c>
      <c r="T2083" s="121" t="str">
        <f t="shared" si="831"/>
        <v/>
      </c>
      <c r="U2083" s="121">
        <f t="shared" si="832"/>
        <v>1</v>
      </c>
    </row>
    <row r="2084" spans="1:21" x14ac:dyDescent="0.3">
      <c r="A2084" s="187">
        <v>8</v>
      </c>
      <c r="B2084" s="242">
        <f t="shared" si="833"/>
        <v>45870</v>
      </c>
      <c r="C2084" s="243">
        <f t="shared" si="814"/>
        <v>45900</v>
      </c>
      <c r="D2084" s="120">
        <f t="shared" si="815"/>
        <v>31</v>
      </c>
      <c r="E2084" s="120">
        <f t="shared" si="816"/>
        <v>8</v>
      </c>
      <c r="F2084" s="275">
        <f t="shared" si="817"/>
        <v>45885.5</v>
      </c>
      <c r="G2084" s="120">
        <f t="shared" si="818"/>
        <v>24307</v>
      </c>
      <c r="H2084" s="245">
        <f t="shared" si="819"/>
        <v>1</v>
      </c>
      <c r="I2084" s="121">
        <f t="shared" si="820"/>
        <v>1</v>
      </c>
      <c r="J2084" s="121">
        <f t="shared" si="821"/>
        <v>1</v>
      </c>
      <c r="K2084" s="120">
        <f t="shared" si="822"/>
        <v>0</v>
      </c>
      <c r="L2084" s="120">
        <f t="shared" si="823"/>
        <v>0</v>
      </c>
      <c r="M2084" s="246">
        <f t="shared" si="824"/>
        <v>0</v>
      </c>
      <c r="N2084" s="121">
        <f t="shared" si="825"/>
        <v>1</v>
      </c>
      <c r="O2084" s="246">
        <f t="shared" si="826"/>
        <v>0.89203501094091897</v>
      </c>
      <c r="P2084" s="121">
        <f t="shared" si="827"/>
        <v>0.25</v>
      </c>
      <c r="Q2084" s="121">
        <f t="shared" si="828"/>
        <v>0</v>
      </c>
      <c r="R2084" s="121">
        <f t="shared" si="829"/>
        <v>0</v>
      </c>
      <c r="S2084" s="121" t="str">
        <f t="shared" si="830"/>
        <v/>
      </c>
      <c r="T2084" s="121" t="str">
        <f t="shared" si="831"/>
        <v/>
      </c>
      <c r="U2084" s="121">
        <f t="shared" si="832"/>
        <v>1</v>
      </c>
    </row>
    <row r="2085" spans="1:21" x14ac:dyDescent="0.3">
      <c r="A2085" s="187">
        <v>9</v>
      </c>
      <c r="B2085" s="242">
        <f t="shared" si="833"/>
        <v>45901</v>
      </c>
      <c r="C2085" s="243">
        <f t="shared" si="814"/>
        <v>45930</v>
      </c>
      <c r="D2085" s="120">
        <f t="shared" si="815"/>
        <v>30</v>
      </c>
      <c r="E2085" s="120">
        <f t="shared" si="816"/>
        <v>9</v>
      </c>
      <c r="F2085" s="275">
        <f t="shared" si="817"/>
        <v>45916</v>
      </c>
      <c r="G2085" s="120">
        <f t="shared" si="818"/>
        <v>24308</v>
      </c>
      <c r="H2085" s="245">
        <f t="shared" si="819"/>
        <v>1</v>
      </c>
      <c r="I2085" s="121">
        <f t="shared" si="820"/>
        <v>1</v>
      </c>
      <c r="J2085" s="121">
        <f t="shared" si="821"/>
        <v>1</v>
      </c>
      <c r="K2085" s="120">
        <f t="shared" si="822"/>
        <v>0</v>
      </c>
      <c r="L2085" s="120">
        <f t="shared" si="823"/>
        <v>0</v>
      </c>
      <c r="M2085" s="246">
        <f t="shared" si="824"/>
        <v>0</v>
      </c>
      <c r="N2085" s="121">
        <f t="shared" si="825"/>
        <v>1</v>
      </c>
      <c r="O2085" s="246">
        <f t="shared" si="826"/>
        <v>0.89336980306345726</v>
      </c>
      <c r="P2085" s="121">
        <f t="shared" si="827"/>
        <v>0.41666666666666663</v>
      </c>
      <c r="Q2085" s="121">
        <f t="shared" si="828"/>
        <v>0</v>
      </c>
      <c r="R2085" s="121">
        <f t="shared" si="829"/>
        <v>0</v>
      </c>
      <c r="S2085" s="121" t="str">
        <f t="shared" si="830"/>
        <v/>
      </c>
      <c r="T2085" s="121" t="str">
        <f t="shared" si="831"/>
        <v/>
      </c>
      <c r="U2085" s="121">
        <f t="shared" si="832"/>
        <v>1</v>
      </c>
    </row>
    <row r="2086" spans="1:21" x14ac:dyDescent="0.3">
      <c r="A2086" s="187">
        <v>10</v>
      </c>
      <c r="B2086" s="242">
        <f t="shared" si="833"/>
        <v>45931</v>
      </c>
      <c r="C2086" s="243">
        <f t="shared" si="814"/>
        <v>45961</v>
      </c>
      <c r="D2086" s="120">
        <f t="shared" si="815"/>
        <v>31</v>
      </c>
      <c r="E2086" s="120">
        <f t="shared" si="816"/>
        <v>10</v>
      </c>
      <c r="F2086" s="275">
        <f t="shared" si="817"/>
        <v>45946.5</v>
      </c>
      <c r="G2086" s="120">
        <f t="shared" si="818"/>
        <v>24309</v>
      </c>
      <c r="H2086" s="245">
        <f t="shared" si="819"/>
        <v>1</v>
      </c>
      <c r="I2086" s="121">
        <f t="shared" si="820"/>
        <v>1</v>
      </c>
      <c r="J2086" s="121">
        <f t="shared" si="821"/>
        <v>1</v>
      </c>
      <c r="K2086" s="120">
        <f t="shared" si="822"/>
        <v>0</v>
      </c>
      <c r="L2086" s="120">
        <f t="shared" si="823"/>
        <v>0</v>
      </c>
      <c r="M2086" s="246">
        <f t="shared" si="824"/>
        <v>0</v>
      </c>
      <c r="N2086" s="121">
        <f t="shared" si="825"/>
        <v>1</v>
      </c>
      <c r="O2086" s="246">
        <f t="shared" si="826"/>
        <v>0.89470459518599565</v>
      </c>
      <c r="P2086" s="121">
        <f t="shared" si="827"/>
        <v>0.58333333333333326</v>
      </c>
      <c r="Q2086" s="121">
        <f t="shared" si="828"/>
        <v>0</v>
      </c>
      <c r="R2086" s="121">
        <f t="shared" si="829"/>
        <v>0</v>
      </c>
      <c r="S2086" s="121" t="str">
        <f t="shared" si="830"/>
        <v/>
      </c>
      <c r="T2086" s="121" t="str">
        <f t="shared" si="831"/>
        <v/>
      </c>
      <c r="U2086" s="121">
        <f t="shared" si="832"/>
        <v>1</v>
      </c>
    </row>
    <row r="2087" spans="1:21" x14ac:dyDescent="0.3">
      <c r="A2087" s="187">
        <v>11</v>
      </c>
      <c r="B2087" s="242">
        <f t="shared" si="833"/>
        <v>45962</v>
      </c>
      <c r="C2087" s="243">
        <f t="shared" si="814"/>
        <v>45991</v>
      </c>
      <c r="D2087" s="120">
        <f t="shared" si="815"/>
        <v>30</v>
      </c>
      <c r="E2087" s="120">
        <f t="shared" si="816"/>
        <v>11</v>
      </c>
      <c r="F2087" s="275">
        <f t="shared" si="817"/>
        <v>45977</v>
      </c>
      <c r="G2087" s="120">
        <f t="shared" si="818"/>
        <v>24310</v>
      </c>
      <c r="H2087" s="245">
        <f t="shared" si="819"/>
        <v>1</v>
      </c>
      <c r="I2087" s="121">
        <f t="shared" si="820"/>
        <v>1</v>
      </c>
      <c r="J2087" s="121">
        <f t="shared" si="821"/>
        <v>1</v>
      </c>
      <c r="K2087" s="120">
        <f t="shared" si="822"/>
        <v>0</v>
      </c>
      <c r="L2087" s="120">
        <f t="shared" si="823"/>
        <v>0</v>
      </c>
      <c r="M2087" s="246">
        <f t="shared" si="824"/>
        <v>0</v>
      </c>
      <c r="N2087" s="121">
        <f t="shared" si="825"/>
        <v>1</v>
      </c>
      <c r="O2087" s="246">
        <f t="shared" si="826"/>
        <v>0.89603938730853394</v>
      </c>
      <c r="P2087" s="121">
        <f t="shared" si="827"/>
        <v>0.75</v>
      </c>
      <c r="Q2087" s="121">
        <f t="shared" si="828"/>
        <v>0</v>
      </c>
      <c r="R2087" s="121">
        <f t="shared" si="829"/>
        <v>0</v>
      </c>
      <c r="S2087" s="121" t="str">
        <f t="shared" si="830"/>
        <v/>
      </c>
      <c r="T2087" s="121" t="str">
        <f t="shared" si="831"/>
        <v/>
      </c>
      <c r="U2087" s="121">
        <f t="shared" si="832"/>
        <v>1</v>
      </c>
    </row>
    <row r="2088" spans="1:21" x14ac:dyDescent="0.3">
      <c r="A2088" s="187">
        <v>12</v>
      </c>
      <c r="B2088" s="242">
        <f t="shared" si="833"/>
        <v>45992</v>
      </c>
      <c r="C2088" s="243">
        <f t="shared" si="814"/>
        <v>46022</v>
      </c>
      <c r="D2088" s="120">
        <f t="shared" si="815"/>
        <v>31</v>
      </c>
      <c r="E2088" s="120">
        <f t="shared" si="816"/>
        <v>12</v>
      </c>
      <c r="F2088" s="275">
        <f t="shared" si="817"/>
        <v>46007.5</v>
      </c>
      <c r="G2088" s="120">
        <f t="shared" si="818"/>
        <v>24311</v>
      </c>
      <c r="H2088" s="245">
        <f t="shared" si="819"/>
        <v>1</v>
      </c>
      <c r="I2088" s="121">
        <f t="shared" si="820"/>
        <v>1</v>
      </c>
      <c r="J2088" s="121">
        <f t="shared" si="821"/>
        <v>1</v>
      </c>
      <c r="K2088" s="120">
        <f t="shared" si="822"/>
        <v>0</v>
      </c>
      <c r="L2088" s="120">
        <f t="shared" si="823"/>
        <v>0</v>
      </c>
      <c r="M2088" s="246">
        <f t="shared" si="824"/>
        <v>0</v>
      </c>
      <c r="N2088" s="121">
        <f t="shared" si="825"/>
        <v>1</v>
      </c>
      <c r="O2088" s="246">
        <f t="shared" si="826"/>
        <v>0.89737417943107223</v>
      </c>
      <c r="P2088" s="121">
        <f t="shared" si="827"/>
        <v>0.91666666666666663</v>
      </c>
      <c r="Q2088" s="121">
        <f t="shared" si="828"/>
        <v>0</v>
      </c>
      <c r="R2088" s="121">
        <f t="shared" si="829"/>
        <v>0</v>
      </c>
      <c r="S2088" s="121" t="str">
        <f t="shared" si="830"/>
        <v/>
      </c>
      <c r="T2088" s="121" t="str">
        <f t="shared" si="831"/>
        <v/>
      </c>
      <c r="U2088" s="121">
        <f t="shared" si="832"/>
        <v>1</v>
      </c>
    </row>
    <row r="2089" spans="1:21" x14ac:dyDescent="0.3">
      <c r="A2089" s="187">
        <v>13</v>
      </c>
      <c r="B2089" s="242">
        <f t="shared" si="833"/>
        <v>46023</v>
      </c>
      <c r="C2089" s="243">
        <f t="shared" si="814"/>
        <v>46053</v>
      </c>
      <c r="D2089" s="120">
        <f t="shared" si="815"/>
        <v>31</v>
      </c>
      <c r="E2089" s="120">
        <f t="shared" si="816"/>
        <v>1</v>
      </c>
      <c r="F2089" s="275">
        <f t="shared" si="817"/>
        <v>46038.5</v>
      </c>
      <c r="G2089" s="120">
        <f t="shared" si="818"/>
        <v>24312</v>
      </c>
      <c r="H2089" s="245">
        <f t="shared" si="819"/>
        <v>1</v>
      </c>
      <c r="I2089" s="121">
        <f t="shared" si="820"/>
        <v>1</v>
      </c>
      <c r="J2089" s="121">
        <f t="shared" si="821"/>
        <v>1</v>
      </c>
      <c r="K2089" s="120">
        <f t="shared" si="822"/>
        <v>0</v>
      </c>
      <c r="L2089" s="120">
        <f t="shared" si="823"/>
        <v>0</v>
      </c>
      <c r="M2089" s="246">
        <f t="shared" si="824"/>
        <v>0</v>
      </c>
      <c r="N2089" s="121">
        <f t="shared" si="825"/>
        <v>1</v>
      </c>
      <c r="O2089" s="246">
        <f t="shared" si="826"/>
        <v>0.8987308533916849</v>
      </c>
      <c r="P2089" s="121">
        <f t="shared" si="827"/>
        <v>1</v>
      </c>
      <c r="Q2089" s="121">
        <f t="shared" si="828"/>
        <v>0</v>
      </c>
      <c r="R2089" s="121">
        <f t="shared" si="829"/>
        <v>0</v>
      </c>
      <c r="S2089" s="121" t="str">
        <f t="shared" si="830"/>
        <v/>
      </c>
      <c r="T2089" s="121" t="str">
        <f t="shared" si="831"/>
        <v/>
      </c>
      <c r="U2089" s="121">
        <f t="shared" si="832"/>
        <v>1</v>
      </c>
    </row>
    <row r="2090" spans="1:21" x14ac:dyDescent="0.3">
      <c r="A2090" s="187">
        <v>14</v>
      </c>
      <c r="B2090" s="242">
        <f t="shared" si="833"/>
        <v>46054</v>
      </c>
      <c r="C2090" s="243">
        <f t="shared" si="814"/>
        <v>46081</v>
      </c>
      <c r="D2090" s="120">
        <f t="shared" si="815"/>
        <v>28</v>
      </c>
      <c r="E2090" s="120">
        <f t="shared" si="816"/>
        <v>2</v>
      </c>
      <c r="F2090" s="275">
        <f t="shared" si="817"/>
        <v>46068</v>
      </c>
      <c r="G2090" s="120">
        <f t="shared" si="818"/>
        <v>24313</v>
      </c>
      <c r="H2090" s="245">
        <f t="shared" si="819"/>
        <v>1</v>
      </c>
      <c r="I2090" s="121">
        <f t="shared" si="820"/>
        <v>1</v>
      </c>
      <c r="J2090" s="121">
        <f t="shared" si="821"/>
        <v>1.04</v>
      </c>
      <c r="K2090" s="120">
        <f t="shared" si="822"/>
        <v>1</v>
      </c>
      <c r="L2090" s="120">
        <f t="shared" si="823"/>
        <v>28</v>
      </c>
      <c r="M2090" s="246">
        <f t="shared" si="824"/>
        <v>1</v>
      </c>
      <c r="N2090" s="121">
        <f t="shared" si="825"/>
        <v>1.04</v>
      </c>
      <c r="O2090" s="246">
        <f t="shared" si="826"/>
        <v>0.90002188183807441</v>
      </c>
      <c r="P2090" s="121">
        <f t="shared" si="827"/>
        <v>1</v>
      </c>
      <c r="Q2090" s="121">
        <f t="shared" si="828"/>
        <v>0</v>
      </c>
      <c r="R2090" s="121">
        <f t="shared" si="829"/>
        <v>0</v>
      </c>
      <c r="S2090" s="121" t="str">
        <f t="shared" si="830"/>
        <v/>
      </c>
      <c r="T2090" s="121" t="str">
        <f t="shared" si="831"/>
        <v/>
      </c>
      <c r="U2090" s="121">
        <f t="shared" si="832"/>
        <v>1.04</v>
      </c>
    </row>
    <row r="2091" spans="1:21" x14ac:dyDescent="0.3">
      <c r="A2091" s="187">
        <v>15</v>
      </c>
      <c r="B2091" s="242">
        <f t="shared" si="833"/>
        <v>46082</v>
      </c>
      <c r="C2091" s="243">
        <f t="shared" si="814"/>
        <v>46112</v>
      </c>
      <c r="D2091" s="120">
        <f t="shared" si="815"/>
        <v>31</v>
      </c>
      <c r="E2091" s="120">
        <f t="shared" si="816"/>
        <v>3</v>
      </c>
      <c r="F2091" s="275">
        <f t="shared" si="817"/>
        <v>46097.5</v>
      </c>
      <c r="G2091" s="120">
        <f t="shared" si="818"/>
        <v>24314</v>
      </c>
      <c r="H2091" s="245">
        <f t="shared" si="819"/>
        <v>1</v>
      </c>
      <c r="I2091" s="121">
        <f t="shared" si="820"/>
        <v>1.04</v>
      </c>
      <c r="J2091" s="121">
        <f t="shared" si="821"/>
        <v>1.04</v>
      </c>
      <c r="K2091" s="120">
        <f t="shared" si="822"/>
        <v>0</v>
      </c>
      <c r="L2091" s="120">
        <f t="shared" si="823"/>
        <v>0</v>
      </c>
      <c r="M2091" s="246">
        <f t="shared" si="824"/>
        <v>0</v>
      </c>
      <c r="N2091" s="121">
        <f t="shared" si="825"/>
        <v>1.04</v>
      </c>
      <c r="O2091" s="246">
        <f t="shared" si="826"/>
        <v>0.90131291028446392</v>
      </c>
      <c r="P2091" s="121">
        <f t="shared" si="827"/>
        <v>1</v>
      </c>
      <c r="Q2091" s="121">
        <f t="shared" si="828"/>
        <v>0</v>
      </c>
      <c r="R2091" s="121">
        <f t="shared" si="829"/>
        <v>0</v>
      </c>
      <c r="S2091" s="121" t="str">
        <f t="shared" si="830"/>
        <v/>
      </c>
      <c r="T2091" s="121" t="str">
        <f t="shared" si="831"/>
        <v/>
      </c>
      <c r="U2091" s="121">
        <f t="shared" si="832"/>
        <v>1.04</v>
      </c>
    </row>
    <row r="2092" spans="1:21" x14ac:dyDescent="0.3">
      <c r="A2092" s="187">
        <v>16</v>
      </c>
      <c r="B2092" s="242">
        <f t="shared" si="833"/>
        <v>46113</v>
      </c>
      <c r="C2092" s="243">
        <f t="shared" si="814"/>
        <v>46142</v>
      </c>
      <c r="D2092" s="120">
        <f t="shared" si="815"/>
        <v>30</v>
      </c>
      <c r="E2092" s="120">
        <f t="shared" si="816"/>
        <v>4</v>
      </c>
      <c r="F2092" s="275">
        <f t="shared" si="817"/>
        <v>46128</v>
      </c>
      <c r="G2092" s="120">
        <f t="shared" si="818"/>
        <v>24315</v>
      </c>
      <c r="H2092" s="245">
        <f t="shared" si="819"/>
        <v>1</v>
      </c>
      <c r="I2092" s="121">
        <f t="shared" si="820"/>
        <v>1.04</v>
      </c>
      <c r="J2092" s="121">
        <f t="shared" si="821"/>
        <v>1.04</v>
      </c>
      <c r="K2092" s="120">
        <f t="shared" si="822"/>
        <v>0</v>
      </c>
      <c r="L2092" s="120">
        <f t="shared" si="823"/>
        <v>0</v>
      </c>
      <c r="M2092" s="246">
        <f t="shared" si="824"/>
        <v>0</v>
      </c>
      <c r="N2092" s="121">
        <f t="shared" si="825"/>
        <v>1.04</v>
      </c>
      <c r="O2092" s="246">
        <f t="shared" si="826"/>
        <v>0.90264770240700221</v>
      </c>
      <c r="P2092" s="121">
        <f t="shared" si="827"/>
        <v>1</v>
      </c>
      <c r="Q2092" s="121">
        <f t="shared" si="828"/>
        <v>0</v>
      </c>
      <c r="R2092" s="121">
        <f t="shared" si="829"/>
        <v>0</v>
      </c>
      <c r="S2092" s="121" t="str">
        <f t="shared" si="830"/>
        <v/>
      </c>
      <c r="T2092" s="121" t="str">
        <f t="shared" si="831"/>
        <v/>
      </c>
      <c r="U2092" s="121">
        <f t="shared" si="832"/>
        <v>1.04</v>
      </c>
    </row>
    <row r="2093" spans="1:21" x14ac:dyDescent="0.3">
      <c r="A2093" s="187">
        <v>17</v>
      </c>
      <c r="B2093" s="242">
        <f t="shared" si="833"/>
        <v>46143</v>
      </c>
      <c r="C2093" s="243">
        <f t="shared" si="814"/>
        <v>46173</v>
      </c>
      <c r="D2093" s="120">
        <f t="shared" si="815"/>
        <v>31</v>
      </c>
      <c r="E2093" s="120">
        <f t="shared" si="816"/>
        <v>5</v>
      </c>
      <c r="F2093" s="275">
        <f t="shared" si="817"/>
        <v>46158.5</v>
      </c>
      <c r="G2093" s="120">
        <f t="shared" si="818"/>
        <v>24316</v>
      </c>
      <c r="H2093" s="245">
        <f t="shared" si="819"/>
        <v>1</v>
      </c>
      <c r="I2093" s="121">
        <f t="shared" si="820"/>
        <v>1.04</v>
      </c>
      <c r="J2093" s="121">
        <f t="shared" si="821"/>
        <v>1.04</v>
      </c>
      <c r="K2093" s="120">
        <f t="shared" si="822"/>
        <v>0</v>
      </c>
      <c r="L2093" s="120">
        <f t="shared" si="823"/>
        <v>0</v>
      </c>
      <c r="M2093" s="246">
        <f t="shared" si="824"/>
        <v>0</v>
      </c>
      <c r="N2093" s="121">
        <f t="shared" si="825"/>
        <v>1.04</v>
      </c>
      <c r="O2093" s="246">
        <f t="shared" si="826"/>
        <v>0.90398249452954049</v>
      </c>
      <c r="P2093" s="121">
        <f t="shared" si="827"/>
        <v>1</v>
      </c>
      <c r="Q2093" s="121">
        <f t="shared" si="828"/>
        <v>0</v>
      </c>
      <c r="R2093" s="121">
        <f t="shared" si="829"/>
        <v>0</v>
      </c>
      <c r="S2093" s="121" t="str">
        <f t="shared" si="830"/>
        <v/>
      </c>
      <c r="T2093" s="121" t="str">
        <f t="shared" si="831"/>
        <v/>
      </c>
      <c r="U2093" s="121">
        <f t="shared" si="832"/>
        <v>1.04</v>
      </c>
    </row>
    <row r="2094" spans="1:21" x14ac:dyDescent="0.3">
      <c r="A2094" s="187">
        <v>18</v>
      </c>
      <c r="B2094" s="242">
        <f t="shared" si="833"/>
        <v>46174</v>
      </c>
      <c r="C2094" s="243">
        <f t="shared" si="814"/>
        <v>46203</v>
      </c>
      <c r="D2094" s="120">
        <f t="shared" si="815"/>
        <v>30</v>
      </c>
      <c r="E2094" s="120">
        <f t="shared" si="816"/>
        <v>6</v>
      </c>
      <c r="F2094" s="275">
        <f t="shared" si="817"/>
        <v>46189</v>
      </c>
      <c r="G2094" s="120">
        <f t="shared" si="818"/>
        <v>24317</v>
      </c>
      <c r="H2094" s="245">
        <f t="shared" si="819"/>
        <v>1</v>
      </c>
      <c r="I2094" s="121">
        <f t="shared" si="820"/>
        <v>1.04</v>
      </c>
      <c r="J2094" s="121">
        <f t="shared" si="821"/>
        <v>1.04</v>
      </c>
      <c r="K2094" s="120">
        <f t="shared" si="822"/>
        <v>0</v>
      </c>
      <c r="L2094" s="120">
        <f t="shared" si="823"/>
        <v>0</v>
      </c>
      <c r="M2094" s="246">
        <f t="shared" si="824"/>
        <v>0</v>
      </c>
      <c r="N2094" s="121">
        <f t="shared" si="825"/>
        <v>1.04</v>
      </c>
      <c r="O2094" s="246">
        <f t="shared" si="826"/>
        <v>0.90531728665207878</v>
      </c>
      <c r="P2094" s="121">
        <f t="shared" si="827"/>
        <v>1</v>
      </c>
      <c r="Q2094" s="121">
        <f t="shared" si="828"/>
        <v>0</v>
      </c>
      <c r="R2094" s="121">
        <f t="shared" si="829"/>
        <v>0</v>
      </c>
      <c r="S2094" s="121" t="str">
        <f t="shared" si="830"/>
        <v/>
      </c>
      <c r="T2094" s="121" t="str">
        <f t="shared" si="831"/>
        <v/>
      </c>
      <c r="U2094" s="121">
        <f t="shared" si="832"/>
        <v>1.04</v>
      </c>
    </row>
    <row r="2095" spans="1:21" x14ac:dyDescent="0.3">
      <c r="A2095" s="187">
        <v>19</v>
      </c>
      <c r="B2095" s="242">
        <f t="shared" si="833"/>
        <v>46204</v>
      </c>
      <c r="C2095" s="243">
        <f t="shared" si="814"/>
        <v>46234</v>
      </c>
      <c r="D2095" s="120">
        <f t="shared" si="815"/>
        <v>31</v>
      </c>
      <c r="E2095" s="120">
        <f t="shared" si="816"/>
        <v>7</v>
      </c>
      <c r="F2095" s="275">
        <f t="shared" si="817"/>
        <v>46219.5</v>
      </c>
      <c r="G2095" s="120">
        <f t="shared" si="818"/>
        <v>24318</v>
      </c>
      <c r="H2095" s="245">
        <f t="shared" si="819"/>
        <v>1</v>
      </c>
      <c r="I2095" s="121">
        <f t="shared" si="820"/>
        <v>1.04</v>
      </c>
      <c r="J2095" s="121">
        <f t="shared" si="821"/>
        <v>1.04</v>
      </c>
      <c r="K2095" s="120">
        <f t="shared" si="822"/>
        <v>0</v>
      </c>
      <c r="L2095" s="120">
        <f t="shared" si="823"/>
        <v>0</v>
      </c>
      <c r="M2095" s="246">
        <f t="shared" si="824"/>
        <v>0</v>
      </c>
      <c r="N2095" s="121">
        <f t="shared" si="825"/>
        <v>1.04</v>
      </c>
      <c r="O2095" s="246">
        <f t="shared" si="826"/>
        <v>0.90665207877461707</v>
      </c>
      <c r="P2095" s="121">
        <f t="shared" si="827"/>
        <v>0.91666666666666663</v>
      </c>
      <c r="Q2095" s="121">
        <f t="shared" si="828"/>
        <v>8.333333333333337E-2</v>
      </c>
      <c r="R2095" s="121">
        <f t="shared" si="829"/>
        <v>0</v>
      </c>
      <c r="S2095" s="121" t="str">
        <f t="shared" si="830"/>
        <v/>
      </c>
      <c r="T2095" s="121" t="str">
        <f t="shared" si="831"/>
        <v/>
      </c>
      <c r="U2095" s="121">
        <f t="shared" si="832"/>
        <v>1.04</v>
      </c>
    </row>
    <row r="2096" spans="1:21" x14ac:dyDescent="0.3">
      <c r="A2096" s="187">
        <v>20</v>
      </c>
      <c r="B2096" s="242">
        <f t="shared" si="833"/>
        <v>46235</v>
      </c>
      <c r="C2096" s="243">
        <f t="shared" si="814"/>
        <v>46265</v>
      </c>
      <c r="D2096" s="120">
        <f t="shared" si="815"/>
        <v>31</v>
      </c>
      <c r="E2096" s="120">
        <f t="shared" si="816"/>
        <v>8</v>
      </c>
      <c r="F2096" s="275">
        <f t="shared" si="817"/>
        <v>46250.5</v>
      </c>
      <c r="G2096" s="120">
        <f t="shared" si="818"/>
        <v>24319</v>
      </c>
      <c r="H2096" s="245">
        <f t="shared" si="819"/>
        <v>1</v>
      </c>
      <c r="I2096" s="121">
        <f t="shared" si="820"/>
        <v>1.04</v>
      </c>
      <c r="J2096" s="121">
        <f t="shared" si="821"/>
        <v>1.04</v>
      </c>
      <c r="K2096" s="120">
        <f t="shared" si="822"/>
        <v>0</v>
      </c>
      <c r="L2096" s="120">
        <f t="shared" si="823"/>
        <v>0</v>
      </c>
      <c r="M2096" s="246">
        <f t="shared" si="824"/>
        <v>0</v>
      </c>
      <c r="N2096" s="121">
        <f t="shared" si="825"/>
        <v>1.04</v>
      </c>
      <c r="O2096" s="246">
        <f t="shared" si="826"/>
        <v>0.90800875273522974</v>
      </c>
      <c r="P2096" s="121">
        <f t="shared" si="827"/>
        <v>0.75</v>
      </c>
      <c r="Q2096" s="121">
        <f t="shared" si="828"/>
        <v>0.25</v>
      </c>
      <c r="R2096" s="121">
        <f t="shared" si="829"/>
        <v>0</v>
      </c>
      <c r="S2096" s="121" t="str">
        <f t="shared" si="830"/>
        <v/>
      </c>
      <c r="T2096" s="121" t="str">
        <f t="shared" si="831"/>
        <v/>
      </c>
      <c r="U2096" s="121">
        <f t="shared" si="832"/>
        <v>1.04</v>
      </c>
    </row>
    <row r="2097" spans="1:21" x14ac:dyDescent="0.3">
      <c r="A2097" s="187">
        <v>21</v>
      </c>
      <c r="B2097" s="242">
        <f t="shared" si="833"/>
        <v>46266</v>
      </c>
      <c r="C2097" s="243">
        <f t="shared" si="814"/>
        <v>46295</v>
      </c>
      <c r="D2097" s="120">
        <f t="shared" si="815"/>
        <v>30</v>
      </c>
      <c r="E2097" s="120">
        <f t="shared" si="816"/>
        <v>9</v>
      </c>
      <c r="F2097" s="275">
        <f t="shared" si="817"/>
        <v>46281</v>
      </c>
      <c r="G2097" s="120">
        <f t="shared" si="818"/>
        <v>24320</v>
      </c>
      <c r="H2097" s="245">
        <f t="shared" si="819"/>
        <v>1</v>
      </c>
      <c r="I2097" s="121">
        <f t="shared" si="820"/>
        <v>1.04</v>
      </c>
      <c r="J2097" s="121">
        <f t="shared" si="821"/>
        <v>1.04</v>
      </c>
      <c r="K2097" s="120">
        <f t="shared" si="822"/>
        <v>0</v>
      </c>
      <c r="L2097" s="120">
        <f t="shared" si="823"/>
        <v>0</v>
      </c>
      <c r="M2097" s="246">
        <f t="shared" si="824"/>
        <v>0</v>
      </c>
      <c r="N2097" s="121">
        <f t="shared" si="825"/>
        <v>1.04</v>
      </c>
      <c r="O2097" s="246">
        <f t="shared" si="826"/>
        <v>0.90934354485776803</v>
      </c>
      <c r="P2097" s="121">
        <f t="shared" si="827"/>
        <v>0.58333333333333337</v>
      </c>
      <c r="Q2097" s="121">
        <f t="shared" si="828"/>
        <v>0.41666666666666663</v>
      </c>
      <c r="R2097" s="121">
        <f t="shared" si="829"/>
        <v>0</v>
      </c>
      <c r="S2097" s="121" t="str">
        <f t="shared" si="830"/>
        <v/>
      </c>
      <c r="T2097" s="121" t="str">
        <f t="shared" si="831"/>
        <v/>
      </c>
      <c r="U2097" s="121">
        <f t="shared" si="832"/>
        <v>1.04</v>
      </c>
    </row>
    <row r="2098" spans="1:21" x14ac:dyDescent="0.3">
      <c r="A2098" s="187">
        <v>22</v>
      </c>
      <c r="B2098" s="242">
        <f t="shared" si="833"/>
        <v>46296</v>
      </c>
      <c r="C2098" s="243">
        <f t="shared" si="814"/>
        <v>46326</v>
      </c>
      <c r="D2098" s="120">
        <f t="shared" si="815"/>
        <v>31</v>
      </c>
      <c r="E2098" s="120">
        <f t="shared" si="816"/>
        <v>10</v>
      </c>
      <c r="F2098" s="275">
        <f t="shared" si="817"/>
        <v>46311.5</v>
      </c>
      <c r="G2098" s="120">
        <f t="shared" si="818"/>
        <v>24321</v>
      </c>
      <c r="H2098" s="245">
        <f t="shared" si="819"/>
        <v>1</v>
      </c>
      <c r="I2098" s="121">
        <f t="shared" si="820"/>
        <v>1.04</v>
      </c>
      <c r="J2098" s="121">
        <f t="shared" si="821"/>
        <v>1.04</v>
      </c>
      <c r="K2098" s="120">
        <f t="shared" si="822"/>
        <v>0</v>
      </c>
      <c r="L2098" s="120">
        <f t="shared" si="823"/>
        <v>0</v>
      </c>
      <c r="M2098" s="246">
        <f t="shared" si="824"/>
        <v>0</v>
      </c>
      <c r="N2098" s="121">
        <f t="shared" si="825"/>
        <v>1.04</v>
      </c>
      <c r="O2098" s="246">
        <f t="shared" si="826"/>
        <v>0.91067833698030642</v>
      </c>
      <c r="P2098" s="121">
        <f t="shared" si="827"/>
        <v>0.41666666666666669</v>
      </c>
      <c r="Q2098" s="121">
        <f t="shared" si="828"/>
        <v>0.58333333333333326</v>
      </c>
      <c r="R2098" s="121">
        <f t="shared" si="829"/>
        <v>0</v>
      </c>
      <c r="S2098" s="121" t="str">
        <f t="shared" si="830"/>
        <v/>
      </c>
      <c r="T2098" s="121" t="str">
        <f t="shared" si="831"/>
        <v/>
      </c>
      <c r="U2098" s="121">
        <f t="shared" si="832"/>
        <v>1.04</v>
      </c>
    </row>
    <row r="2099" spans="1:21" x14ac:dyDescent="0.3">
      <c r="A2099" s="187">
        <v>23</v>
      </c>
      <c r="B2099" s="242">
        <f t="shared" si="833"/>
        <v>46327</v>
      </c>
      <c r="C2099" s="243">
        <f t="shared" si="814"/>
        <v>46356</v>
      </c>
      <c r="D2099" s="120">
        <f t="shared" si="815"/>
        <v>30</v>
      </c>
      <c r="E2099" s="120">
        <f t="shared" si="816"/>
        <v>11</v>
      </c>
      <c r="F2099" s="275">
        <f t="shared" si="817"/>
        <v>46342</v>
      </c>
      <c r="G2099" s="120">
        <f t="shared" si="818"/>
        <v>24322</v>
      </c>
      <c r="H2099" s="245">
        <f t="shared" si="819"/>
        <v>1</v>
      </c>
      <c r="I2099" s="121">
        <f t="shared" si="820"/>
        <v>1.04</v>
      </c>
      <c r="J2099" s="121">
        <f t="shared" si="821"/>
        <v>1.04</v>
      </c>
      <c r="K2099" s="120">
        <f t="shared" si="822"/>
        <v>0</v>
      </c>
      <c r="L2099" s="120">
        <f t="shared" si="823"/>
        <v>0</v>
      </c>
      <c r="M2099" s="246">
        <f t="shared" si="824"/>
        <v>0</v>
      </c>
      <c r="N2099" s="121">
        <f t="shared" si="825"/>
        <v>1.04</v>
      </c>
      <c r="O2099" s="246">
        <f t="shared" si="826"/>
        <v>0.91201312910284471</v>
      </c>
      <c r="P2099" s="121">
        <f t="shared" si="827"/>
        <v>0.25</v>
      </c>
      <c r="Q2099" s="121">
        <f t="shared" si="828"/>
        <v>0.75</v>
      </c>
      <c r="R2099" s="121">
        <f t="shared" si="829"/>
        <v>0</v>
      </c>
      <c r="S2099" s="121" t="str">
        <f t="shared" si="830"/>
        <v/>
      </c>
      <c r="T2099" s="121" t="str">
        <f t="shared" si="831"/>
        <v/>
      </c>
      <c r="U2099" s="121">
        <f t="shared" si="832"/>
        <v>1.04</v>
      </c>
    </row>
    <row r="2100" spans="1:21" x14ac:dyDescent="0.3">
      <c r="A2100" s="187">
        <v>24</v>
      </c>
      <c r="B2100" s="242">
        <f t="shared" si="833"/>
        <v>46357</v>
      </c>
      <c r="C2100" s="243">
        <f t="shared" si="814"/>
        <v>46387</v>
      </c>
      <c r="D2100" s="120">
        <f t="shared" si="815"/>
        <v>31</v>
      </c>
      <c r="E2100" s="120">
        <f t="shared" si="816"/>
        <v>12</v>
      </c>
      <c r="F2100" s="275">
        <f t="shared" si="817"/>
        <v>46372.5</v>
      </c>
      <c r="G2100" s="120">
        <f t="shared" si="818"/>
        <v>24323</v>
      </c>
      <c r="H2100" s="245">
        <f t="shared" si="819"/>
        <v>1</v>
      </c>
      <c r="I2100" s="121">
        <f t="shared" si="820"/>
        <v>1.04</v>
      </c>
      <c r="J2100" s="121">
        <f t="shared" si="821"/>
        <v>1.04</v>
      </c>
      <c r="K2100" s="120">
        <f t="shared" si="822"/>
        <v>0</v>
      </c>
      <c r="L2100" s="120">
        <f t="shared" si="823"/>
        <v>0</v>
      </c>
      <c r="M2100" s="246">
        <f t="shared" si="824"/>
        <v>0</v>
      </c>
      <c r="N2100" s="121">
        <f t="shared" si="825"/>
        <v>1.04</v>
      </c>
      <c r="O2100" s="246">
        <f t="shared" si="826"/>
        <v>0.913347921225383</v>
      </c>
      <c r="P2100" s="121">
        <f t="shared" si="827"/>
        <v>8.3333333333333329E-2</v>
      </c>
      <c r="Q2100" s="121">
        <f t="shared" si="828"/>
        <v>0.91666666666666663</v>
      </c>
      <c r="R2100" s="121">
        <f t="shared" si="829"/>
        <v>0</v>
      </c>
      <c r="S2100" s="121" t="str">
        <f t="shared" si="830"/>
        <v/>
      </c>
      <c r="T2100" s="121" t="str">
        <f t="shared" si="831"/>
        <v/>
      </c>
      <c r="U2100" s="121">
        <f t="shared" si="832"/>
        <v>1.04</v>
      </c>
    </row>
    <row r="2101" spans="1:21" x14ac:dyDescent="0.3">
      <c r="A2101" s="187">
        <v>25</v>
      </c>
      <c r="B2101" s="242">
        <f t="shared" si="833"/>
        <v>46388</v>
      </c>
      <c r="C2101" s="243">
        <f t="shared" si="814"/>
        <v>46418</v>
      </c>
      <c r="D2101" s="120">
        <f t="shared" si="815"/>
        <v>31</v>
      </c>
      <c r="E2101" s="120">
        <f t="shared" si="816"/>
        <v>1</v>
      </c>
      <c r="F2101" s="275">
        <f t="shared" si="817"/>
        <v>46403.5</v>
      </c>
      <c r="G2101" s="120">
        <f t="shared" si="818"/>
        <v>24324</v>
      </c>
      <c r="H2101" s="245">
        <f t="shared" si="819"/>
        <v>1</v>
      </c>
      <c r="I2101" s="121">
        <f t="shared" si="820"/>
        <v>1.04</v>
      </c>
      <c r="J2101" s="121">
        <f t="shared" si="821"/>
        <v>1.04</v>
      </c>
      <c r="K2101" s="120">
        <f t="shared" si="822"/>
        <v>0</v>
      </c>
      <c r="L2101" s="120">
        <f t="shared" si="823"/>
        <v>0</v>
      </c>
      <c r="M2101" s="246">
        <f t="shared" si="824"/>
        <v>0</v>
      </c>
      <c r="N2101" s="121">
        <f t="shared" si="825"/>
        <v>1.04</v>
      </c>
      <c r="O2101" s="246">
        <f t="shared" si="826"/>
        <v>0.91470459518599567</v>
      </c>
      <c r="P2101" s="121">
        <f t="shared" si="827"/>
        <v>0</v>
      </c>
      <c r="Q2101" s="121">
        <f t="shared" si="828"/>
        <v>1</v>
      </c>
      <c r="R2101" s="121">
        <f t="shared" si="829"/>
        <v>0</v>
      </c>
      <c r="S2101" s="121" t="str">
        <f t="shared" si="830"/>
        <v/>
      </c>
      <c r="T2101" s="121" t="str">
        <f t="shared" si="831"/>
        <v/>
      </c>
      <c r="U2101" s="121">
        <f t="shared" si="832"/>
        <v>1.04</v>
      </c>
    </row>
    <row r="2102" spans="1:21" x14ac:dyDescent="0.3">
      <c r="A2102" s="187">
        <v>26</v>
      </c>
      <c r="B2102" s="242">
        <f t="shared" si="833"/>
        <v>46419</v>
      </c>
      <c r="C2102" s="243">
        <f t="shared" si="814"/>
        <v>46446</v>
      </c>
      <c r="D2102" s="120">
        <f t="shared" si="815"/>
        <v>28</v>
      </c>
      <c r="E2102" s="120">
        <f t="shared" si="816"/>
        <v>2</v>
      </c>
      <c r="F2102" s="275">
        <f t="shared" si="817"/>
        <v>46433</v>
      </c>
      <c r="G2102" s="120">
        <f t="shared" si="818"/>
        <v>24325</v>
      </c>
      <c r="H2102" s="245">
        <f t="shared" si="819"/>
        <v>1</v>
      </c>
      <c r="I2102" s="121">
        <f t="shared" si="820"/>
        <v>1.04</v>
      </c>
      <c r="J2102" s="121">
        <f t="shared" si="821"/>
        <v>1.04</v>
      </c>
      <c r="K2102" s="120">
        <f t="shared" si="822"/>
        <v>0</v>
      </c>
      <c r="L2102" s="120">
        <f t="shared" si="823"/>
        <v>0</v>
      </c>
      <c r="M2102" s="246">
        <f t="shared" si="824"/>
        <v>0</v>
      </c>
      <c r="N2102" s="121">
        <f t="shared" si="825"/>
        <v>1.04</v>
      </c>
      <c r="O2102" s="246">
        <f t="shared" si="826"/>
        <v>0.91599562363238518</v>
      </c>
      <c r="P2102" s="121">
        <f t="shared" si="827"/>
        <v>0</v>
      </c>
      <c r="Q2102" s="121">
        <f t="shared" si="828"/>
        <v>1</v>
      </c>
      <c r="R2102" s="121">
        <f t="shared" si="829"/>
        <v>0</v>
      </c>
      <c r="S2102" s="121" t="str">
        <f t="shared" si="830"/>
        <v/>
      </c>
      <c r="T2102" s="121" t="str">
        <f t="shared" si="831"/>
        <v/>
      </c>
      <c r="U2102" s="121">
        <f t="shared" si="832"/>
        <v>1.04</v>
      </c>
    </row>
    <row r="2103" spans="1:21" x14ac:dyDescent="0.3">
      <c r="A2103" s="187">
        <v>27</v>
      </c>
      <c r="B2103" s="242">
        <f t="shared" si="833"/>
        <v>46447</v>
      </c>
      <c r="C2103" s="243">
        <f t="shared" si="814"/>
        <v>46477</v>
      </c>
      <c r="D2103" s="120">
        <f t="shared" si="815"/>
        <v>31</v>
      </c>
      <c r="E2103" s="120">
        <f t="shared" si="816"/>
        <v>3</v>
      </c>
      <c r="F2103" s="275">
        <f t="shared" si="817"/>
        <v>46462.5</v>
      </c>
      <c r="G2103" s="120">
        <f t="shared" si="818"/>
        <v>24326</v>
      </c>
      <c r="H2103" s="245">
        <f t="shared" si="819"/>
        <v>1</v>
      </c>
      <c r="I2103" s="121">
        <f t="shared" si="820"/>
        <v>1.04</v>
      </c>
      <c r="J2103" s="121">
        <f t="shared" si="821"/>
        <v>1.04</v>
      </c>
      <c r="K2103" s="120">
        <f t="shared" si="822"/>
        <v>0</v>
      </c>
      <c r="L2103" s="120">
        <f t="shared" si="823"/>
        <v>0</v>
      </c>
      <c r="M2103" s="246">
        <f t="shared" si="824"/>
        <v>0</v>
      </c>
      <c r="N2103" s="121">
        <f t="shared" si="825"/>
        <v>1.04</v>
      </c>
      <c r="O2103" s="246">
        <f t="shared" si="826"/>
        <v>0.91728665207877469</v>
      </c>
      <c r="P2103" s="121">
        <f t="shared" si="827"/>
        <v>0</v>
      </c>
      <c r="Q2103" s="121">
        <f t="shared" si="828"/>
        <v>1</v>
      </c>
      <c r="R2103" s="121">
        <f t="shared" si="829"/>
        <v>0</v>
      </c>
      <c r="S2103" s="121" t="str">
        <f t="shared" si="830"/>
        <v/>
      </c>
      <c r="T2103" s="121" t="str">
        <f t="shared" si="831"/>
        <v/>
      </c>
      <c r="U2103" s="121">
        <f t="shared" si="832"/>
        <v>1.04</v>
      </c>
    </row>
    <row r="2104" spans="1:21" x14ac:dyDescent="0.3">
      <c r="A2104" s="187">
        <v>28</v>
      </c>
      <c r="B2104" s="242">
        <f t="shared" si="833"/>
        <v>46478</v>
      </c>
      <c r="C2104" s="243">
        <f t="shared" si="814"/>
        <v>46507</v>
      </c>
      <c r="D2104" s="120">
        <f t="shared" si="815"/>
        <v>30</v>
      </c>
      <c r="E2104" s="120">
        <f t="shared" si="816"/>
        <v>4</v>
      </c>
      <c r="F2104" s="275">
        <f t="shared" si="817"/>
        <v>46493</v>
      </c>
      <c r="G2104" s="120">
        <f t="shared" si="818"/>
        <v>24327</v>
      </c>
      <c r="H2104" s="245">
        <f t="shared" si="819"/>
        <v>1</v>
      </c>
      <c r="I2104" s="121">
        <f t="shared" si="820"/>
        <v>1.04</v>
      </c>
      <c r="J2104" s="121">
        <f t="shared" si="821"/>
        <v>1.04</v>
      </c>
      <c r="K2104" s="120">
        <f t="shared" si="822"/>
        <v>0</v>
      </c>
      <c r="L2104" s="120">
        <f t="shared" si="823"/>
        <v>0</v>
      </c>
      <c r="M2104" s="246">
        <f t="shared" si="824"/>
        <v>0</v>
      </c>
      <c r="N2104" s="121">
        <f t="shared" si="825"/>
        <v>1.04</v>
      </c>
      <c r="O2104" s="246">
        <f t="shared" si="826"/>
        <v>0.91862144420131298</v>
      </c>
      <c r="P2104" s="121">
        <f t="shared" si="827"/>
        <v>0</v>
      </c>
      <c r="Q2104" s="121">
        <f t="shared" si="828"/>
        <v>1</v>
      </c>
      <c r="R2104" s="121">
        <f t="shared" si="829"/>
        <v>0</v>
      </c>
      <c r="S2104" s="121" t="str">
        <f t="shared" si="830"/>
        <v/>
      </c>
      <c r="T2104" s="121" t="str">
        <f t="shared" si="831"/>
        <v/>
      </c>
      <c r="U2104" s="121">
        <f t="shared" si="832"/>
        <v>1.04</v>
      </c>
    </row>
    <row r="2105" spans="1:21" x14ac:dyDescent="0.3">
      <c r="A2105" s="187">
        <v>29</v>
      </c>
      <c r="B2105" s="242">
        <f t="shared" si="833"/>
        <v>46508</v>
      </c>
      <c r="C2105" s="243">
        <f t="shared" si="814"/>
        <v>46538</v>
      </c>
      <c r="D2105" s="120">
        <f t="shared" si="815"/>
        <v>31</v>
      </c>
      <c r="E2105" s="120">
        <f t="shared" si="816"/>
        <v>5</v>
      </c>
      <c r="F2105" s="275">
        <f t="shared" si="817"/>
        <v>46523.5</v>
      </c>
      <c r="G2105" s="120">
        <f t="shared" si="818"/>
        <v>24328</v>
      </c>
      <c r="H2105" s="245">
        <f t="shared" si="819"/>
        <v>1</v>
      </c>
      <c r="I2105" s="121">
        <f t="shared" si="820"/>
        <v>1.04</v>
      </c>
      <c r="J2105" s="121">
        <f t="shared" si="821"/>
        <v>1.04</v>
      </c>
      <c r="K2105" s="120">
        <f t="shared" si="822"/>
        <v>0</v>
      </c>
      <c r="L2105" s="120">
        <f t="shared" si="823"/>
        <v>0</v>
      </c>
      <c r="M2105" s="246">
        <f t="shared" si="824"/>
        <v>0</v>
      </c>
      <c r="N2105" s="121">
        <f t="shared" si="825"/>
        <v>1.04</v>
      </c>
      <c r="O2105" s="246">
        <f t="shared" si="826"/>
        <v>0.91995623632385126</v>
      </c>
      <c r="P2105" s="121">
        <f t="shared" si="827"/>
        <v>0</v>
      </c>
      <c r="Q2105" s="121">
        <f t="shared" si="828"/>
        <v>1</v>
      </c>
      <c r="R2105" s="121">
        <f t="shared" si="829"/>
        <v>0</v>
      </c>
      <c r="S2105" s="121" t="str">
        <f t="shared" si="830"/>
        <v/>
      </c>
      <c r="T2105" s="121" t="str">
        <f t="shared" si="831"/>
        <v/>
      </c>
      <c r="U2105" s="121">
        <f t="shared" si="832"/>
        <v>1.04</v>
      </c>
    </row>
    <row r="2106" spans="1:21" x14ac:dyDescent="0.3">
      <c r="A2106" s="187">
        <v>30</v>
      </c>
      <c r="B2106" s="242">
        <f t="shared" si="833"/>
        <v>46539</v>
      </c>
      <c r="C2106" s="243">
        <f t="shared" si="814"/>
        <v>46568</v>
      </c>
      <c r="D2106" s="120">
        <f t="shared" si="815"/>
        <v>30</v>
      </c>
      <c r="E2106" s="120">
        <f t="shared" si="816"/>
        <v>6</v>
      </c>
      <c r="F2106" s="275">
        <f t="shared" si="817"/>
        <v>46554</v>
      </c>
      <c r="G2106" s="120">
        <f t="shared" si="818"/>
        <v>24329</v>
      </c>
      <c r="H2106" s="245">
        <f t="shared" si="819"/>
        <v>1</v>
      </c>
      <c r="I2106" s="121">
        <f t="shared" si="820"/>
        <v>1.04</v>
      </c>
      <c r="J2106" s="121">
        <f t="shared" si="821"/>
        <v>1.04</v>
      </c>
      <c r="K2106" s="120">
        <f t="shared" si="822"/>
        <v>0</v>
      </c>
      <c r="L2106" s="120">
        <f t="shared" si="823"/>
        <v>0</v>
      </c>
      <c r="M2106" s="246">
        <f t="shared" si="824"/>
        <v>0</v>
      </c>
      <c r="N2106" s="121">
        <f t="shared" si="825"/>
        <v>1.04</v>
      </c>
      <c r="O2106" s="246">
        <f t="shared" si="826"/>
        <v>0.92129102844638955</v>
      </c>
      <c r="P2106" s="121">
        <f t="shared" si="827"/>
        <v>0</v>
      </c>
      <c r="Q2106" s="121">
        <f t="shared" si="828"/>
        <v>1</v>
      </c>
      <c r="R2106" s="121">
        <f t="shared" si="829"/>
        <v>0</v>
      </c>
      <c r="S2106" s="121" t="str">
        <f t="shared" si="830"/>
        <v/>
      </c>
      <c r="T2106" s="121" t="str">
        <f t="shared" si="831"/>
        <v/>
      </c>
      <c r="U2106" s="121">
        <f t="shared" si="832"/>
        <v>1.04</v>
      </c>
    </row>
    <row r="2107" spans="1:21" x14ac:dyDescent="0.3">
      <c r="A2107" s="187">
        <v>31</v>
      </c>
      <c r="B2107" s="242">
        <f t="shared" si="833"/>
        <v>46569</v>
      </c>
      <c r="C2107" s="243">
        <f t="shared" si="814"/>
        <v>46599</v>
      </c>
      <c r="D2107" s="120">
        <f t="shared" si="815"/>
        <v>31</v>
      </c>
      <c r="E2107" s="120">
        <f t="shared" si="816"/>
        <v>7</v>
      </c>
      <c r="F2107" s="275">
        <f t="shared" si="817"/>
        <v>46584.5</v>
      </c>
      <c r="G2107" s="120">
        <f t="shared" si="818"/>
        <v>24330</v>
      </c>
      <c r="H2107" s="245">
        <f t="shared" si="819"/>
        <v>1</v>
      </c>
      <c r="I2107" s="121">
        <f t="shared" si="820"/>
        <v>1.04</v>
      </c>
      <c r="J2107" s="121">
        <f t="shared" si="821"/>
        <v>1.04</v>
      </c>
      <c r="K2107" s="120">
        <f t="shared" si="822"/>
        <v>0</v>
      </c>
      <c r="L2107" s="120">
        <f t="shared" si="823"/>
        <v>0</v>
      </c>
      <c r="M2107" s="246">
        <f t="shared" si="824"/>
        <v>0</v>
      </c>
      <c r="N2107" s="121">
        <f t="shared" si="825"/>
        <v>1.04</v>
      </c>
      <c r="O2107" s="246">
        <f t="shared" si="826"/>
        <v>0.92262582056892783</v>
      </c>
      <c r="P2107" s="121">
        <f t="shared" si="827"/>
        <v>0</v>
      </c>
      <c r="Q2107" s="121">
        <f t="shared" si="828"/>
        <v>0.91666666666666663</v>
      </c>
      <c r="R2107" s="121">
        <f t="shared" si="829"/>
        <v>8.333333333333337E-2</v>
      </c>
      <c r="S2107" s="121" t="str">
        <f t="shared" si="830"/>
        <v/>
      </c>
      <c r="T2107" s="121" t="str">
        <f t="shared" si="831"/>
        <v/>
      </c>
      <c r="U2107" s="121">
        <f t="shared" si="832"/>
        <v>1.04</v>
      </c>
    </row>
    <row r="2108" spans="1:21" x14ac:dyDescent="0.3">
      <c r="A2108" s="187">
        <v>32</v>
      </c>
      <c r="B2108" s="242">
        <f t="shared" si="833"/>
        <v>46600</v>
      </c>
      <c r="C2108" s="243">
        <f t="shared" si="814"/>
        <v>46630</v>
      </c>
      <c r="D2108" s="120">
        <f t="shared" si="815"/>
        <v>31</v>
      </c>
      <c r="E2108" s="120">
        <f t="shared" si="816"/>
        <v>8</v>
      </c>
      <c r="F2108" s="275">
        <f t="shared" si="817"/>
        <v>46615.5</v>
      </c>
      <c r="G2108" s="120">
        <f t="shared" si="818"/>
        <v>24331</v>
      </c>
      <c r="H2108" s="245">
        <f t="shared" si="819"/>
        <v>1</v>
      </c>
      <c r="I2108" s="121">
        <f t="shared" si="820"/>
        <v>1.04</v>
      </c>
      <c r="J2108" s="121">
        <f t="shared" si="821"/>
        <v>1.0816000000000001</v>
      </c>
      <c r="K2108" s="120">
        <f t="shared" si="822"/>
        <v>1</v>
      </c>
      <c r="L2108" s="120">
        <f t="shared" si="823"/>
        <v>31</v>
      </c>
      <c r="M2108" s="246">
        <f t="shared" si="824"/>
        <v>1</v>
      </c>
      <c r="N2108" s="121">
        <f t="shared" si="825"/>
        <v>1.0816000000000001</v>
      </c>
      <c r="O2108" s="246">
        <f t="shared" si="826"/>
        <v>0.92398249452954051</v>
      </c>
      <c r="P2108" s="121">
        <f t="shared" si="827"/>
        <v>0</v>
      </c>
      <c r="Q2108" s="121">
        <f t="shared" si="828"/>
        <v>0.75</v>
      </c>
      <c r="R2108" s="121">
        <f t="shared" si="829"/>
        <v>0.25</v>
      </c>
      <c r="S2108" s="121" t="str">
        <f t="shared" si="830"/>
        <v/>
      </c>
      <c r="T2108" s="121" t="str">
        <f t="shared" si="831"/>
        <v/>
      </c>
      <c r="U2108" s="121">
        <f t="shared" si="832"/>
        <v>1.0816000000000001</v>
      </c>
    </row>
    <row r="2109" spans="1:21" x14ac:dyDescent="0.3">
      <c r="A2109" s="187">
        <v>33</v>
      </c>
      <c r="B2109" s="242">
        <f t="shared" si="833"/>
        <v>46631</v>
      </c>
      <c r="C2109" s="243">
        <f t="shared" si="814"/>
        <v>46660</v>
      </c>
      <c r="D2109" s="120">
        <f t="shared" si="815"/>
        <v>30</v>
      </c>
      <c r="E2109" s="120">
        <f t="shared" si="816"/>
        <v>9</v>
      </c>
      <c r="F2109" s="275">
        <f t="shared" si="817"/>
        <v>46646</v>
      </c>
      <c r="G2109" s="120">
        <f t="shared" si="818"/>
        <v>24332</v>
      </c>
      <c r="H2109" s="245">
        <f t="shared" si="819"/>
        <v>1</v>
      </c>
      <c r="I2109" s="121">
        <f t="shared" si="820"/>
        <v>1.0816000000000001</v>
      </c>
      <c r="J2109" s="121">
        <f t="shared" si="821"/>
        <v>1.0816000000000001</v>
      </c>
      <c r="K2109" s="120">
        <f t="shared" si="822"/>
        <v>0</v>
      </c>
      <c r="L2109" s="120">
        <f t="shared" si="823"/>
        <v>0</v>
      </c>
      <c r="M2109" s="246">
        <f t="shared" si="824"/>
        <v>0</v>
      </c>
      <c r="N2109" s="121">
        <f t="shared" si="825"/>
        <v>1.0816000000000001</v>
      </c>
      <c r="O2109" s="246">
        <f t="shared" si="826"/>
        <v>0.9253172866520788</v>
      </c>
      <c r="P2109" s="121">
        <f t="shared" si="827"/>
        <v>0</v>
      </c>
      <c r="Q2109" s="121">
        <f t="shared" si="828"/>
        <v>0.58333333333333337</v>
      </c>
      <c r="R2109" s="121">
        <f t="shared" si="829"/>
        <v>0.41666666666666663</v>
      </c>
      <c r="S2109" s="121" t="str">
        <f t="shared" si="830"/>
        <v/>
      </c>
      <c r="T2109" s="121" t="str">
        <f t="shared" si="831"/>
        <v/>
      </c>
      <c r="U2109" s="121">
        <f t="shared" si="832"/>
        <v>1.0816000000000001</v>
      </c>
    </row>
    <row r="2110" spans="1:21" x14ac:dyDescent="0.3">
      <c r="A2110" s="187">
        <v>34</v>
      </c>
      <c r="B2110" s="242">
        <f t="shared" si="833"/>
        <v>46661</v>
      </c>
      <c r="C2110" s="243">
        <f t="shared" si="814"/>
        <v>46691</v>
      </c>
      <c r="D2110" s="120">
        <f t="shared" si="815"/>
        <v>31</v>
      </c>
      <c r="E2110" s="120">
        <f t="shared" si="816"/>
        <v>10</v>
      </c>
      <c r="F2110" s="275">
        <f t="shared" si="817"/>
        <v>46676.5</v>
      </c>
      <c r="G2110" s="120">
        <f t="shared" si="818"/>
        <v>24333</v>
      </c>
      <c r="H2110" s="245">
        <f t="shared" si="819"/>
        <v>1</v>
      </c>
      <c r="I2110" s="121">
        <f t="shared" si="820"/>
        <v>1.0816000000000001</v>
      </c>
      <c r="J2110" s="121">
        <f t="shared" si="821"/>
        <v>1.0816000000000001</v>
      </c>
      <c r="K2110" s="120">
        <f t="shared" si="822"/>
        <v>0</v>
      </c>
      <c r="L2110" s="120">
        <f t="shared" si="823"/>
        <v>0</v>
      </c>
      <c r="M2110" s="246">
        <f t="shared" si="824"/>
        <v>0</v>
      </c>
      <c r="N2110" s="121">
        <f t="shared" si="825"/>
        <v>1.0816000000000001</v>
      </c>
      <c r="O2110" s="246">
        <f t="shared" si="826"/>
        <v>0.92665207877461708</v>
      </c>
      <c r="P2110" s="121">
        <f t="shared" si="827"/>
        <v>0</v>
      </c>
      <c r="Q2110" s="121">
        <f t="shared" si="828"/>
        <v>0.41666666666666669</v>
      </c>
      <c r="R2110" s="121">
        <f t="shared" si="829"/>
        <v>0.58333333333333326</v>
      </c>
      <c r="S2110" s="121" t="str">
        <f t="shared" si="830"/>
        <v/>
      </c>
      <c r="T2110" s="121" t="str">
        <f t="shared" si="831"/>
        <v/>
      </c>
      <c r="U2110" s="121">
        <f t="shared" si="832"/>
        <v>1.0816000000000001</v>
      </c>
    </row>
    <row r="2111" spans="1:21" x14ac:dyDescent="0.3">
      <c r="A2111" s="187">
        <v>35</v>
      </c>
      <c r="B2111" s="242">
        <f t="shared" si="833"/>
        <v>46692</v>
      </c>
      <c r="C2111" s="243">
        <f t="shared" si="814"/>
        <v>46721</v>
      </c>
      <c r="D2111" s="120">
        <f t="shared" si="815"/>
        <v>30</v>
      </c>
      <c r="E2111" s="120">
        <f t="shared" si="816"/>
        <v>11</v>
      </c>
      <c r="F2111" s="275">
        <f t="shared" si="817"/>
        <v>46707</v>
      </c>
      <c r="G2111" s="120">
        <f t="shared" si="818"/>
        <v>24334</v>
      </c>
      <c r="H2111" s="245">
        <f t="shared" si="819"/>
        <v>1</v>
      </c>
      <c r="I2111" s="121">
        <f t="shared" si="820"/>
        <v>1.0816000000000001</v>
      </c>
      <c r="J2111" s="121">
        <f t="shared" si="821"/>
        <v>1.0816000000000001</v>
      </c>
      <c r="K2111" s="120">
        <f t="shared" si="822"/>
        <v>0</v>
      </c>
      <c r="L2111" s="120">
        <f t="shared" si="823"/>
        <v>0</v>
      </c>
      <c r="M2111" s="246">
        <f t="shared" si="824"/>
        <v>0</v>
      </c>
      <c r="N2111" s="121">
        <f t="shared" si="825"/>
        <v>1.0816000000000001</v>
      </c>
      <c r="O2111" s="246">
        <f t="shared" si="826"/>
        <v>0.92798687089715537</v>
      </c>
      <c r="P2111" s="121">
        <f t="shared" si="827"/>
        <v>0</v>
      </c>
      <c r="Q2111" s="121">
        <f t="shared" si="828"/>
        <v>0.25</v>
      </c>
      <c r="R2111" s="121">
        <f t="shared" si="829"/>
        <v>0.75</v>
      </c>
      <c r="S2111" s="121" t="str">
        <f t="shared" si="830"/>
        <v/>
      </c>
      <c r="T2111" s="121" t="str">
        <f t="shared" si="831"/>
        <v/>
      </c>
      <c r="U2111" s="121">
        <f t="shared" si="832"/>
        <v>1.0816000000000001</v>
      </c>
    </row>
    <row r="2112" spans="1:21" x14ac:dyDescent="0.3">
      <c r="A2112" s="187">
        <v>36</v>
      </c>
      <c r="B2112" s="242">
        <f t="shared" si="833"/>
        <v>46722</v>
      </c>
      <c r="C2112" s="243">
        <f t="shared" si="814"/>
        <v>46752</v>
      </c>
      <c r="D2112" s="120">
        <f t="shared" si="815"/>
        <v>31</v>
      </c>
      <c r="E2112" s="120">
        <f t="shared" si="816"/>
        <v>12</v>
      </c>
      <c r="F2112" s="275">
        <f t="shared" si="817"/>
        <v>46737.5</v>
      </c>
      <c r="G2112" s="120">
        <f t="shared" si="818"/>
        <v>24335</v>
      </c>
      <c r="H2112" s="245">
        <f t="shared" si="819"/>
        <v>1</v>
      </c>
      <c r="I2112" s="121">
        <f t="shared" si="820"/>
        <v>1.0816000000000001</v>
      </c>
      <c r="J2112" s="121">
        <f t="shared" si="821"/>
        <v>1.0816000000000001</v>
      </c>
      <c r="K2112" s="120">
        <f t="shared" si="822"/>
        <v>0</v>
      </c>
      <c r="L2112" s="120">
        <f t="shared" si="823"/>
        <v>0</v>
      </c>
      <c r="M2112" s="246">
        <f t="shared" si="824"/>
        <v>0</v>
      </c>
      <c r="N2112" s="121">
        <f t="shared" si="825"/>
        <v>1.0816000000000001</v>
      </c>
      <c r="O2112" s="246">
        <f t="shared" si="826"/>
        <v>0.92932166301969366</v>
      </c>
      <c r="P2112" s="121">
        <f t="shared" si="827"/>
        <v>0</v>
      </c>
      <c r="Q2112" s="121">
        <f t="shared" si="828"/>
        <v>8.3333333333333329E-2</v>
      </c>
      <c r="R2112" s="121">
        <f t="shared" si="829"/>
        <v>0.91666666666666663</v>
      </c>
      <c r="S2112" s="121" t="str">
        <f t="shared" si="830"/>
        <v/>
      </c>
      <c r="T2112" s="121" t="str">
        <f t="shared" si="831"/>
        <v/>
      </c>
      <c r="U2112" s="121">
        <f t="shared" si="832"/>
        <v>1.0816000000000001</v>
      </c>
    </row>
    <row r="2113" spans="1:21" x14ac:dyDescent="0.3">
      <c r="A2113" s="187">
        <v>37</v>
      </c>
      <c r="B2113" s="242">
        <f t="shared" si="833"/>
        <v>46753</v>
      </c>
      <c r="C2113" s="243">
        <f t="shared" si="814"/>
        <v>46783</v>
      </c>
      <c r="D2113" s="120">
        <f t="shared" si="815"/>
        <v>31</v>
      </c>
      <c r="E2113" s="120">
        <f t="shared" si="816"/>
        <v>1</v>
      </c>
      <c r="F2113" s="275">
        <f t="shared" si="817"/>
        <v>46768.5</v>
      </c>
      <c r="G2113" s="120">
        <f t="shared" si="818"/>
        <v>24336</v>
      </c>
      <c r="H2113" s="245">
        <f t="shared" si="819"/>
        <v>1</v>
      </c>
      <c r="I2113" s="121">
        <f t="shared" si="820"/>
        <v>1.0816000000000001</v>
      </c>
      <c r="J2113" s="121">
        <f t="shared" si="821"/>
        <v>1.0816000000000001</v>
      </c>
      <c r="K2113" s="120">
        <f t="shared" si="822"/>
        <v>0</v>
      </c>
      <c r="L2113" s="120">
        <f t="shared" si="823"/>
        <v>0</v>
      </c>
      <c r="M2113" s="246">
        <f t="shared" si="824"/>
        <v>0</v>
      </c>
      <c r="N2113" s="121">
        <f t="shared" si="825"/>
        <v>1.0816000000000001</v>
      </c>
      <c r="O2113" s="246">
        <f t="shared" si="826"/>
        <v>0.93</v>
      </c>
      <c r="P2113" s="121">
        <f t="shared" si="827"/>
        <v>0</v>
      </c>
      <c r="Q2113" s="121">
        <f t="shared" si="828"/>
        <v>0</v>
      </c>
      <c r="R2113" s="121">
        <f t="shared" si="829"/>
        <v>1</v>
      </c>
      <c r="S2113" s="121" t="str">
        <f t="shared" si="830"/>
        <v/>
      </c>
      <c r="T2113" s="121" t="str">
        <f t="shared" si="831"/>
        <v/>
      </c>
      <c r="U2113" s="121">
        <f t="shared" si="832"/>
        <v>1.0816000000000001</v>
      </c>
    </row>
    <row r="2114" spans="1:21" x14ac:dyDescent="0.3">
      <c r="A2114" s="187">
        <v>38</v>
      </c>
      <c r="B2114" s="242">
        <f t="shared" si="833"/>
        <v>46784</v>
      </c>
      <c r="C2114" s="243">
        <f t="shared" si="814"/>
        <v>46812</v>
      </c>
      <c r="D2114" s="120">
        <f t="shared" si="815"/>
        <v>29</v>
      </c>
      <c r="E2114" s="120">
        <f t="shared" si="816"/>
        <v>2</v>
      </c>
      <c r="F2114" s="275">
        <f t="shared" si="817"/>
        <v>46798.5</v>
      </c>
      <c r="G2114" s="120">
        <f t="shared" si="818"/>
        <v>24337</v>
      </c>
      <c r="H2114" s="245">
        <f t="shared" si="819"/>
        <v>1</v>
      </c>
      <c r="I2114" s="121">
        <f t="shared" si="820"/>
        <v>1.0816000000000001</v>
      </c>
      <c r="J2114" s="121">
        <f t="shared" si="821"/>
        <v>1.0816000000000001</v>
      </c>
      <c r="K2114" s="120">
        <f t="shared" si="822"/>
        <v>0</v>
      </c>
      <c r="L2114" s="120">
        <f t="shared" si="823"/>
        <v>0</v>
      </c>
      <c r="M2114" s="246">
        <f t="shared" si="824"/>
        <v>0</v>
      </c>
      <c r="N2114" s="121">
        <f t="shared" si="825"/>
        <v>1.0816000000000001</v>
      </c>
      <c r="O2114" s="246">
        <f t="shared" si="826"/>
        <v>0.93</v>
      </c>
      <c r="P2114" s="121">
        <f t="shared" si="827"/>
        <v>0</v>
      </c>
      <c r="Q2114" s="121">
        <f t="shared" si="828"/>
        <v>0</v>
      </c>
      <c r="R2114" s="121">
        <f t="shared" si="829"/>
        <v>1</v>
      </c>
      <c r="S2114" s="121" t="str">
        <f t="shared" si="830"/>
        <v/>
      </c>
      <c r="T2114" s="121" t="str">
        <f t="shared" si="831"/>
        <v/>
      </c>
      <c r="U2114" s="121">
        <f t="shared" si="832"/>
        <v>1.0816000000000001</v>
      </c>
    </row>
    <row r="2115" spans="1:21" x14ac:dyDescent="0.3">
      <c r="A2115" s="187">
        <v>39</v>
      </c>
      <c r="B2115" s="242">
        <f t="shared" si="833"/>
        <v>46813</v>
      </c>
      <c r="C2115" s="243">
        <f t="shared" si="814"/>
        <v>46843</v>
      </c>
      <c r="D2115" s="120">
        <f t="shared" si="815"/>
        <v>31</v>
      </c>
      <c r="E2115" s="120">
        <f t="shared" si="816"/>
        <v>3</v>
      </c>
      <c r="F2115" s="275">
        <f t="shared" si="817"/>
        <v>46828.5</v>
      </c>
      <c r="G2115" s="120">
        <f t="shared" si="818"/>
        <v>24338</v>
      </c>
      <c r="H2115" s="245">
        <f t="shared" si="819"/>
        <v>1</v>
      </c>
      <c r="I2115" s="121">
        <f t="shared" si="820"/>
        <v>1.0816000000000001</v>
      </c>
      <c r="J2115" s="121">
        <f t="shared" si="821"/>
        <v>1.0816000000000001</v>
      </c>
      <c r="K2115" s="120">
        <f t="shared" si="822"/>
        <v>0</v>
      </c>
      <c r="L2115" s="120">
        <f t="shared" si="823"/>
        <v>0</v>
      </c>
      <c r="M2115" s="246">
        <f t="shared" si="824"/>
        <v>0</v>
      </c>
      <c r="N2115" s="121">
        <f t="shared" si="825"/>
        <v>1.0816000000000001</v>
      </c>
      <c r="O2115" s="246">
        <f t="shared" si="826"/>
        <v>0.93</v>
      </c>
      <c r="P2115" s="121">
        <f t="shared" si="827"/>
        <v>0</v>
      </c>
      <c r="Q2115" s="121">
        <f t="shared" si="828"/>
        <v>0</v>
      </c>
      <c r="R2115" s="121">
        <f t="shared" si="829"/>
        <v>1</v>
      </c>
      <c r="S2115" s="121" t="str">
        <f t="shared" si="830"/>
        <v/>
      </c>
      <c r="T2115" s="121" t="str">
        <f t="shared" si="831"/>
        <v/>
      </c>
      <c r="U2115" s="121">
        <f t="shared" si="832"/>
        <v>1.0816000000000001</v>
      </c>
    </row>
    <row r="2116" spans="1:21" x14ac:dyDescent="0.3">
      <c r="A2116" s="187">
        <v>40</v>
      </c>
      <c r="B2116" s="242">
        <f t="shared" si="833"/>
        <v>46844</v>
      </c>
      <c r="C2116" s="243">
        <f t="shared" si="814"/>
        <v>46873</v>
      </c>
      <c r="D2116" s="120">
        <f t="shared" si="815"/>
        <v>30</v>
      </c>
      <c r="E2116" s="120">
        <f t="shared" si="816"/>
        <v>4</v>
      </c>
      <c r="F2116" s="275">
        <f t="shared" si="817"/>
        <v>46859</v>
      </c>
      <c r="G2116" s="120">
        <f t="shared" si="818"/>
        <v>24339</v>
      </c>
      <c r="H2116" s="245">
        <f t="shared" si="819"/>
        <v>1</v>
      </c>
      <c r="I2116" s="121">
        <f t="shared" si="820"/>
        <v>1.0816000000000001</v>
      </c>
      <c r="J2116" s="121">
        <f t="shared" si="821"/>
        <v>1.0816000000000001</v>
      </c>
      <c r="K2116" s="120">
        <f t="shared" si="822"/>
        <v>0</v>
      </c>
      <c r="L2116" s="120">
        <f t="shared" si="823"/>
        <v>0</v>
      </c>
      <c r="M2116" s="246">
        <f t="shared" si="824"/>
        <v>0</v>
      </c>
      <c r="N2116" s="121">
        <f t="shared" si="825"/>
        <v>1.0816000000000001</v>
      </c>
      <c r="O2116" s="246">
        <f t="shared" si="826"/>
        <v>0.93</v>
      </c>
      <c r="P2116" s="121">
        <f t="shared" si="827"/>
        <v>0</v>
      </c>
      <c r="Q2116" s="121">
        <f t="shared" si="828"/>
        <v>0</v>
      </c>
      <c r="R2116" s="121">
        <f t="shared" si="829"/>
        <v>1</v>
      </c>
      <c r="S2116" s="121" t="str">
        <f t="shared" si="830"/>
        <v/>
      </c>
      <c r="T2116" s="121" t="str">
        <f t="shared" si="831"/>
        <v/>
      </c>
      <c r="U2116" s="121">
        <f t="shared" si="832"/>
        <v>1.0816000000000001</v>
      </c>
    </row>
    <row r="2117" spans="1:21" x14ac:dyDescent="0.3">
      <c r="A2117" s="187">
        <v>41</v>
      </c>
      <c r="B2117" s="242">
        <f t="shared" si="833"/>
        <v>46874</v>
      </c>
      <c r="C2117" s="243">
        <f t="shared" si="814"/>
        <v>46904</v>
      </c>
      <c r="D2117" s="120">
        <f t="shared" si="815"/>
        <v>31</v>
      </c>
      <c r="E2117" s="120">
        <f t="shared" si="816"/>
        <v>5</v>
      </c>
      <c r="F2117" s="275">
        <f t="shared" si="817"/>
        <v>46889.5</v>
      </c>
      <c r="G2117" s="120">
        <f t="shared" si="818"/>
        <v>24340</v>
      </c>
      <c r="H2117" s="245">
        <f t="shared" si="819"/>
        <v>1</v>
      </c>
      <c r="I2117" s="121">
        <f t="shared" si="820"/>
        <v>1.0816000000000001</v>
      </c>
      <c r="J2117" s="121">
        <f t="shared" si="821"/>
        <v>1.0816000000000001</v>
      </c>
      <c r="K2117" s="120">
        <f t="shared" si="822"/>
        <v>0</v>
      </c>
      <c r="L2117" s="120">
        <f t="shared" si="823"/>
        <v>0</v>
      </c>
      <c r="M2117" s="246">
        <f t="shared" si="824"/>
        <v>0</v>
      </c>
      <c r="N2117" s="121">
        <f t="shared" si="825"/>
        <v>1.0816000000000001</v>
      </c>
      <c r="O2117" s="246">
        <f t="shared" si="826"/>
        <v>0.93</v>
      </c>
      <c r="P2117" s="121">
        <f t="shared" si="827"/>
        <v>0</v>
      </c>
      <c r="Q2117" s="121">
        <f t="shared" si="828"/>
        <v>0</v>
      </c>
      <c r="R2117" s="121">
        <f t="shared" si="829"/>
        <v>1</v>
      </c>
      <c r="S2117" s="121" t="str">
        <f t="shared" si="830"/>
        <v/>
      </c>
      <c r="T2117" s="121" t="str">
        <f t="shared" si="831"/>
        <v/>
      </c>
      <c r="U2117" s="121">
        <f t="shared" si="832"/>
        <v>1.0816000000000001</v>
      </c>
    </row>
    <row r="2118" spans="1:21" x14ac:dyDescent="0.3">
      <c r="A2118" s="187">
        <v>42</v>
      </c>
      <c r="B2118" s="242">
        <f t="shared" si="833"/>
        <v>46905</v>
      </c>
      <c r="C2118" s="243">
        <f t="shared" si="814"/>
        <v>46934</v>
      </c>
      <c r="D2118" s="120">
        <f t="shared" si="815"/>
        <v>30</v>
      </c>
      <c r="E2118" s="120">
        <f t="shared" si="816"/>
        <v>6</v>
      </c>
      <c r="F2118" s="275">
        <f t="shared" si="817"/>
        <v>46920</v>
      </c>
      <c r="G2118" s="120">
        <f t="shared" si="818"/>
        <v>24341</v>
      </c>
      <c r="H2118" s="245">
        <f t="shared" si="819"/>
        <v>1</v>
      </c>
      <c r="I2118" s="121">
        <f t="shared" si="820"/>
        <v>1.0816000000000001</v>
      </c>
      <c r="J2118" s="121">
        <f t="shared" si="821"/>
        <v>1.0816000000000001</v>
      </c>
      <c r="K2118" s="120">
        <f t="shared" si="822"/>
        <v>0</v>
      </c>
      <c r="L2118" s="120">
        <f t="shared" si="823"/>
        <v>0</v>
      </c>
      <c r="M2118" s="246">
        <f t="shared" si="824"/>
        <v>0</v>
      </c>
      <c r="N2118" s="121">
        <f t="shared" si="825"/>
        <v>1.0816000000000001</v>
      </c>
      <c r="O2118" s="246">
        <f t="shared" si="826"/>
        <v>0.93</v>
      </c>
      <c r="P2118" s="121">
        <f t="shared" si="827"/>
        <v>0</v>
      </c>
      <c r="Q2118" s="121">
        <f t="shared" si="828"/>
        <v>0</v>
      </c>
      <c r="R2118" s="121">
        <f t="shared" si="829"/>
        <v>1</v>
      </c>
      <c r="S2118" s="121" t="str">
        <f t="shared" si="830"/>
        <v/>
      </c>
      <c r="T2118" s="121" t="str">
        <f t="shared" si="831"/>
        <v/>
      </c>
      <c r="U2118" s="121">
        <f t="shared" si="832"/>
        <v>1.0816000000000001</v>
      </c>
    </row>
    <row r="2119" spans="1:21" x14ac:dyDescent="0.3">
      <c r="A2119" s="187">
        <v>43</v>
      </c>
      <c r="B2119" s="242">
        <f t="shared" si="833"/>
        <v>46935</v>
      </c>
      <c r="C2119" s="243">
        <f t="shared" si="814"/>
        <v>46965</v>
      </c>
      <c r="D2119" s="120">
        <f t="shared" si="815"/>
        <v>31</v>
      </c>
      <c r="E2119" s="120">
        <f t="shared" si="816"/>
        <v>7</v>
      </c>
      <c r="F2119" s="275">
        <f t="shared" si="817"/>
        <v>46950.5</v>
      </c>
      <c r="G2119" s="120">
        <f t="shared" si="818"/>
        <v>24342</v>
      </c>
      <c r="H2119" s="245">
        <f t="shared" si="819"/>
        <v>1</v>
      </c>
      <c r="I2119" s="121">
        <f t="shared" si="820"/>
        <v>1.0816000000000001</v>
      </c>
      <c r="J2119" s="121">
        <f t="shared" si="821"/>
        <v>1.0816000000000001</v>
      </c>
      <c r="K2119" s="120">
        <f t="shared" si="822"/>
        <v>0</v>
      </c>
      <c r="L2119" s="120">
        <f t="shared" si="823"/>
        <v>0</v>
      </c>
      <c r="M2119" s="246">
        <f t="shared" si="824"/>
        <v>0</v>
      </c>
      <c r="N2119" s="121">
        <f t="shared" si="825"/>
        <v>1.0816000000000001</v>
      </c>
      <c r="O2119" s="246">
        <f t="shared" si="826"/>
        <v>0.93</v>
      </c>
      <c r="P2119" s="121">
        <f t="shared" si="827"/>
        <v>0</v>
      </c>
      <c r="Q2119" s="121">
        <f t="shared" si="828"/>
        <v>0</v>
      </c>
      <c r="R2119" s="121">
        <f t="shared" si="829"/>
        <v>0.91666666666666663</v>
      </c>
      <c r="S2119" s="121" t="str">
        <f t="shared" si="830"/>
        <v/>
      </c>
      <c r="T2119" s="121" t="str">
        <f t="shared" si="831"/>
        <v/>
      </c>
      <c r="U2119" s="121">
        <f t="shared" si="832"/>
        <v>1.0816000000000001</v>
      </c>
    </row>
    <row r="2120" spans="1:21" x14ac:dyDescent="0.3">
      <c r="A2120" s="187">
        <v>44</v>
      </c>
      <c r="B2120" s="242">
        <f t="shared" si="833"/>
        <v>46966</v>
      </c>
      <c r="C2120" s="243">
        <f t="shared" si="814"/>
        <v>46996</v>
      </c>
      <c r="D2120" s="120">
        <f t="shared" si="815"/>
        <v>31</v>
      </c>
      <c r="E2120" s="120">
        <f t="shared" si="816"/>
        <v>8</v>
      </c>
      <c r="F2120" s="275">
        <f t="shared" si="817"/>
        <v>46981.5</v>
      </c>
      <c r="G2120" s="120">
        <f t="shared" si="818"/>
        <v>24343</v>
      </c>
      <c r="H2120" s="245">
        <f t="shared" si="819"/>
        <v>1</v>
      </c>
      <c r="I2120" s="121">
        <f t="shared" si="820"/>
        <v>1.0816000000000001</v>
      </c>
      <c r="J2120" s="121">
        <f t="shared" si="821"/>
        <v>1.0816000000000001</v>
      </c>
      <c r="K2120" s="120">
        <f t="shared" si="822"/>
        <v>0</v>
      </c>
      <c r="L2120" s="120">
        <f t="shared" si="823"/>
        <v>0</v>
      </c>
      <c r="M2120" s="246">
        <f t="shared" si="824"/>
        <v>0</v>
      </c>
      <c r="N2120" s="121">
        <f t="shared" si="825"/>
        <v>1.0816000000000001</v>
      </c>
      <c r="O2120" s="246">
        <f t="shared" si="826"/>
        <v>0.93</v>
      </c>
      <c r="P2120" s="121">
        <f t="shared" si="827"/>
        <v>0</v>
      </c>
      <c r="Q2120" s="121">
        <f t="shared" si="828"/>
        <v>0</v>
      </c>
      <c r="R2120" s="121">
        <f t="shared" si="829"/>
        <v>0.75</v>
      </c>
      <c r="S2120" s="121" t="str">
        <f t="shared" si="830"/>
        <v/>
      </c>
      <c r="T2120" s="121" t="str">
        <f t="shared" si="831"/>
        <v/>
      </c>
      <c r="U2120" s="121">
        <f t="shared" si="832"/>
        <v>1.0816000000000001</v>
      </c>
    </row>
    <row r="2121" spans="1:21" x14ac:dyDescent="0.3">
      <c r="A2121" s="187">
        <v>45</v>
      </c>
      <c r="B2121" s="242">
        <f t="shared" si="833"/>
        <v>46997</v>
      </c>
      <c r="C2121" s="243">
        <f t="shared" si="814"/>
        <v>47026</v>
      </c>
      <c r="D2121" s="120">
        <f t="shared" si="815"/>
        <v>30</v>
      </c>
      <c r="E2121" s="120">
        <f t="shared" si="816"/>
        <v>9</v>
      </c>
      <c r="F2121" s="275">
        <f t="shared" si="817"/>
        <v>47012</v>
      </c>
      <c r="G2121" s="120">
        <f t="shared" si="818"/>
        <v>24344</v>
      </c>
      <c r="H2121" s="245">
        <f t="shared" si="819"/>
        <v>1</v>
      </c>
      <c r="I2121" s="121">
        <f t="shared" si="820"/>
        <v>1.0816000000000001</v>
      </c>
      <c r="J2121" s="121">
        <f t="shared" si="821"/>
        <v>1.0816000000000001</v>
      </c>
      <c r="K2121" s="120">
        <f t="shared" si="822"/>
        <v>0</v>
      </c>
      <c r="L2121" s="120">
        <f t="shared" si="823"/>
        <v>0</v>
      </c>
      <c r="M2121" s="246">
        <f t="shared" si="824"/>
        <v>0</v>
      </c>
      <c r="N2121" s="121">
        <f t="shared" si="825"/>
        <v>1.0816000000000001</v>
      </c>
      <c r="O2121" s="246">
        <f t="shared" si="826"/>
        <v>0.93</v>
      </c>
      <c r="P2121" s="121">
        <f t="shared" si="827"/>
        <v>0</v>
      </c>
      <c r="Q2121" s="121">
        <f t="shared" si="828"/>
        <v>0</v>
      </c>
      <c r="R2121" s="121">
        <f t="shared" si="829"/>
        <v>0.58333333333333337</v>
      </c>
      <c r="S2121" s="121" t="str">
        <f t="shared" si="830"/>
        <v/>
      </c>
      <c r="T2121" s="121" t="str">
        <f t="shared" si="831"/>
        <v/>
      </c>
      <c r="U2121" s="121">
        <f t="shared" si="832"/>
        <v>1.0816000000000001</v>
      </c>
    </row>
    <row r="2122" spans="1:21" x14ac:dyDescent="0.3">
      <c r="A2122" s="187">
        <v>46</v>
      </c>
      <c r="B2122" s="242">
        <f t="shared" si="833"/>
        <v>47027</v>
      </c>
      <c r="C2122" s="243">
        <f t="shared" si="814"/>
        <v>47057</v>
      </c>
      <c r="D2122" s="120">
        <f t="shared" si="815"/>
        <v>31</v>
      </c>
      <c r="E2122" s="120">
        <f t="shared" si="816"/>
        <v>10</v>
      </c>
      <c r="F2122" s="275">
        <f t="shared" si="817"/>
        <v>47042.5</v>
      </c>
      <c r="G2122" s="120">
        <f t="shared" si="818"/>
        <v>24345</v>
      </c>
      <c r="H2122" s="245">
        <f t="shared" si="819"/>
        <v>1</v>
      </c>
      <c r="I2122" s="121">
        <f t="shared" si="820"/>
        <v>1.0816000000000001</v>
      </c>
      <c r="J2122" s="121">
        <f t="shared" si="821"/>
        <v>1.0816000000000001</v>
      </c>
      <c r="K2122" s="120">
        <f t="shared" si="822"/>
        <v>0</v>
      </c>
      <c r="L2122" s="120">
        <f t="shared" si="823"/>
        <v>0</v>
      </c>
      <c r="M2122" s="246">
        <f t="shared" si="824"/>
        <v>0</v>
      </c>
      <c r="N2122" s="121">
        <f t="shared" si="825"/>
        <v>1.0816000000000001</v>
      </c>
      <c r="O2122" s="246">
        <f t="shared" si="826"/>
        <v>0.93</v>
      </c>
      <c r="P2122" s="121">
        <f t="shared" si="827"/>
        <v>0</v>
      </c>
      <c r="Q2122" s="121">
        <f t="shared" si="828"/>
        <v>0</v>
      </c>
      <c r="R2122" s="121">
        <f t="shared" si="829"/>
        <v>0.41666666666666669</v>
      </c>
      <c r="S2122" s="121" t="str">
        <f t="shared" si="830"/>
        <v/>
      </c>
      <c r="T2122" s="121" t="str">
        <f t="shared" si="831"/>
        <v/>
      </c>
      <c r="U2122" s="121">
        <f t="shared" si="832"/>
        <v>1.0816000000000001</v>
      </c>
    </row>
    <row r="2123" spans="1:21" x14ac:dyDescent="0.3">
      <c r="A2123" s="187">
        <v>47</v>
      </c>
      <c r="B2123" s="242">
        <f t="shared" si="833"/>
        <v>47058</v>
      </c>
      <c r="C2123" s="243">
        <f t="shared" si="814"/>
        <v>47087</v>
      </c>
      <c r="D2123" s="120">
        <f t="shared" si="815"/>
        <v>30</v>
      </c>
      <c r="E2123" s="120">
        <f t="shared" si="816"/>
        <v>11</v>
      </c>
      <c r="F2123" s="275">
        <f t="shared" si="817"/>
        <v>47073</v>
      </c>
      <c r="G2123" s="120">
        <f t="shared" si="818"/>
        <v>24346</v>
      </c>
      <c r="H2123" s="245">
        <f t="shared" si="819"/>
        <v>1</v>
      </c>
      <c r="I2123" s="121">
        <f t="shared" si="820"/>
        <v>1.0816000000000001</v>
      </c>
      <c r="J2123" s="121">
        <f t="shared" si="821"/>
        <v>1.0816000000000001</v>
      </c>
      <c r="K2123" s="120">
        <f t="shared" si="822"/>
        <v>0</v>
      </c>
      <c r="L2123" s="120">
        <f t="shared" si="823"/>
        <v>0</v>
      </c>
      <c r="M2123" s="246">
        <f t="shared" si="824"/>
        <v>0</v>
      </c>
      <c r="N2123" s="121">
        <f t="shared" si="825"/>
        <v>1.0816000000000001</v>
      </c>
      <c r="O2123" s="246">
        <f t="shared" si="826"/>
        <v>0.93</v>
      </c>
      <c r="P2123" s="121">
        <f t="shared" si="827"/>
        <v>0</v>
      </c>
      <c r="Q2123" s="121">
        <f t="shared" si="828"/>
        <v>0</v>
      </c>
      <c r="R2123" s="121">
        <f t="shared" si="829"/>
        <v>0.25</v>
      </c>
      <c r="S2123" s="121" t="str">
        <f t="shared" si="830"/>
        <v/>
      </c>
      <c r="T2123" s="121" t="str">
        <f t="shared" si="831"/>
        <v/>
      </c>
      <c r="U2123" s="121">
        <f t="shared" si="832"/>
        <v>1.0816000000000001</v>
      </c>
    </row>
    <row r="2124" spans="1:21" x14ac:dyDescent="0.3">
      <c r="A2124" s="187">
        <v>48</v>
      </c>
      <c r="B2124" s="242">
        <f t="shared" si="833"/>
        <v>47088</v>
      </c>
      <c r="C2124" s="243">
        <f t="shared" si="814"/>
        <v>47118</v>
      </c>
      <c r="D2124" s="120">
        <f t="shared" si="815"/>
        <v>31</v>
      </c>
      <c r="E2124" s="120">
        <f t="shared" si="816"/>
        <v>12</v>
      </c>
      <c r="F2124" s="275">
        <f t="shared" si="817"/>
        <v>47103.5</v>
      </c>
      <c r="G2124" s="120">
        <f t="shared" si="818"/>
        <v>24347</v>
      </c>
      <c r="H2124" s="245">
        <f t="shared" si="819"/>
        <v>1</v>
      </c>
      <c r="I2124" s="121">
        <f t="shared" si="820"/>
        <v>1.0816000000000001</v>
      </c>
      <c r="J2124" s="121">
        <f t="shared" si="821"/>
        <v>1.0816000000000001</v>
      </c>
      <c r="K2124" s="120">
        <f t="shared" si="822"/>
        <v>0</v>
      </c>
      <c r="L2124" s="120">
        <f t="shared" si="823"/>
        <v>0</v>
      </c>
      <c r="M2124" s="246">
        <f t="shared" si="824"/>
        <v>0</v>
      </c>
      <c r="N2124" s="121">
        <f t="shared" si="825"/>
        <v>1.0816000000000001</v>
      </c>
      <c r="O2124" s="246">
        <f t="shared" si="826"/>
        <v>0.93</v>
      </c>
      <c r="P2124" s="121">
        <f t="shared" si="827"/>
        <v>0</v>
      </c>
      <c r="Q2124" s="121">
        <f t="shared" si="828"/>
        <v>0</v>
      </c>
      <c r="R2124" s="121">
        <f t="shared" si="829"/>
        <v>8.3333333333333329E-2</v>
      </c>
      <c r="S2124" s="121" t="str">
        <f t="shared" si="830"/>
        <v/>
      </c>
      <c r="T2124" s="121" t="str">
        <f t="shared" si="831"/>
        <v/>
      </c>
      <c r="U2124" s="121">
        <f t="shared" si="832"/>
        <v>1.0816000000000001</v>
      </c>
    </row>
    <row r="2125" spans="1:21" x14ac:dyDescent="0.3">
      <c r="A2125" s="6" t="s">
        <v>1651</v>
      </c>
      <c r="B2125" s="73">
        <f>EXP(SUMPRODUCT((rl_key=$A$2074)*(rl_cons="Y")*rl_ln1p))</f>
        <v>1.04</v>
      </c>
      <c r="C2125" s="73">
        <f>SUMPRODUCT($H$2077:$H$2124,$P$2077:$P$2124,$U$2077:$U$2124)/SUMPRODUCT($H$2077:$H$2124,$P$2077:$P$2124)</f>
        <v>1.0266666666666666</v>
      </c>
      <c r="D2125" s="73">
        <f>SUMPRODUCT($H$2077:$H$2124,$Q$2077:$Q$2124,$U$2077:$U$2124)/SUMPRODUCT($H$2077:$H$2124,$Q$2077:$Q$2124)</f>
        <v>1.0472222222222223</v>
      </c>
      <c r="E2125" s="73">
        <f>SUMPRODUCT($H$2077:$H$2124,$R$2077:$R$2124,$U$2077:$U$2124)/SUMPRODUCT($H$2077:$H$2124,$R$2077:$R$2124)</f>
        <v>1.0813111111111111</v>
      </c>
      <c r="F2125" s="224">
        <f>SUMPRODUCT($H$2077:$H$2124,$Q$2077:$Q$2124,$O$2077:$O$2124)/SUMPRODUCT($H$2077:$H$2124,$Q$2077:$Q$2124)</f>
        <v>0.91798504741064912</v>
      </c>
      <c r="G2125" s="224">
        <f>SUMPRODUCT($H$2077:$H$2124,$R$2077:$R$2124,$O$2077:$O$2124)/SUMPRODUCT($H$2077:$H$2124,$R$2077:$R$2124)</f>
        <v>0.92932044736202268</v>
      </c>
      <c r="H2125" s="73">
        <f>SUMPRODUCT($H$2101:$H$2112,$N$2101:$N$2112/$N$2089:$N$2100)/SUM($H$2101:$H$2112)</f>
        <v>1.0199999999999998</v>
      </c>
      <c r="I2125" s="73">
        <f>SUMPRODUCT($H$2101:$H$2112,$O$2101:$O$2112/$O$2089:$O$2100)/SUM($H$2101:$H$2112)</f>
        <v>1.0176314239537807</v>
      </c>
      <c r="J2125" s="73">
        <f>IF($O$2074=1,SUMPRODUCT($H$2101:$H$2112,$N$2101:$N$2112/$N$2089:$N$2100*$O$2101:$O$2112/$O$2089:$O$2100)/SUM($H$2101:$H$2112),$H2125)</f>
        <v>1.037983012217216</v>
      </c>
      <c r="K2125" s="73">
        <f>SUMPRODUCT($H$2077:$H$2124,$Q$2077:$Q$2124,$N$2077:$N$2124)/SUMPRODUCT($H$2077:$H$2124,$Q$2077:$Q$2124)</f>
        <v>1.0472222222222223</v>
      </c>
      <c r="L2125" s="73">
        <f>SUMPRODUCT($H$2077:$H$2124,$R$2077:$R$2124,$N$2077:$N$2124)/SUMPRODUCT($H$2077:$H$2124,$R$2077:$R$2124)</f>
        <v>1.0813111111111111</v>
      </c>
    </row>
    <row r="2128" spans="1:21" x14ac:dyDescent="0.3">
      <c r="A2128" s="6" t="str">
        <f>INDEX(lr_key,39)</f>
        <v>MM|TN</v>
      </c>
      <c r="B2128" s="6" t="str">
        <f>INDEX(lr_state,39)</f>
        <v>TN</v>
      </c>
      <c r="C2128" s="75">
        <f>nr_TermMonths</f>
        <v>6</v>
      </c>
      <c r="D2128" s="75">
        <f>IF(COUNTIF(se_state,$B2128)=0,0,MATCH($B2128,se_state,0))</f>
        <v>0</v>
      </c>
      <c r="E2128" s="70">
        <f>IF($D2128=0,0,INDEX(se_sum,$D2128))</f>
        <v>0</v>
      </c>
      <c r="F2128" s="224">
        <f>IF(N(INDEX(lr_mind,39))=0,1,INDEX(lr_mind,39))</f>
        <v>0.92</v>
      </c>
      <c r="G2128" s="224">
        <f>IF(N(INDEX(lr_m0,39))=0,1,INDEX(lr_m0,39))</f>
        <v>0.91</v>
      </c>
      <c r="H2128" s="74">
        <f>IF(N(INDEX(lr_m0asof,39))=0,DATE(nr_PlanYear-1,10,1),INDEX(lr_m0asof,39))</f>
        <v>46295</v>
      </c>
      <c r="I2128" s="224">
        <f>IF(N(INDEX(lr_m1,39))=0,1,INDEX(lr_m1,39))</f>
        <v>0.91</v>
      </c>
      <c r="J2128" s="224">
        <f>INDEX(lr_mprior,39)</f>
        <v>0</v>
      </c>
      <c r="K2128" s="224">
        <f>INDEX(lr_m2,39)</f>
        <v>0</v>
      </c>
      <c r="L2128" s="6" t="b">
        <f>NOT(ISBLANK(INDEX(lr_netp,39)))</f>
        <v>0</v>
      </c>
      <c r="M2128" s="72">
        <f>N(INDEX(lr_netp,39))</f>
        <v>0</v>
      </c>
      <c r="N2128" s="72">
        <f>IF(ISBLANK(INDEX(lr_netp1,39)),$M$2128,N(INDEX(lr_netp1,39)))</f>
        <v>0</v>
      </c>
      <c r="O2128" s="75">
        <f>IF(AND(nr_ModAdjMaster="ON",INDEX(lr_modadj,39)="ON"),1,0)</f>
        <v>1</v>
      </c>
    </row>
    <row r="2129" spans="1:21" x14ac:dyDescent="0.3">
      <c r="A2129" s="6">
        <f>EDATE($H$2128,-12)+1</f>
        <v>45931</v>
      </c>
      <c r="B2129" s="6">
        <f>$H$2128+1</f>
        <v>46296</v>
      </c>
      <c r="C2129" s="6">
        <f>DATE(nr_PlanYear,12,31)+1</f>
        <v>46753</v>
      </c>
      <c r="D2129" s="6">
        <f>DATE(nr_PlanYear+1,12,31)+1</f>
        <v>47119</v>
      </c>
      <c r="E2129" s="6">
        <f>IF(N($J$2128)=0,$F$2129-($G$2129-$F$2129)/($C$2129-$B$2129)*($B$2129-$A$2129),$J$2128)</f>
        <v>0.91</v>
      </c>
      <c r="F2129" s="6">
        <f>$G$2128</f>
        <v>0.91</v>
      </c>
      <c r="G2129" s="6">
        <f>$I$2128</f>
        <v>0.91</v>
      </c>
      <c r="H2129" s="6">
        <f>IF(N($K$2128)=0,$I$2128,$K$2128)</f>
        <v>0.91</v>
      </c>
      <c r="I2129" s="6">
        <f>($F$2129-$E$2129)/($B$2129-$A$2129)</f>
        <v>0</v>
      </c>
      <c r="J2129" s="6">
        <f>($G$2129-$F$2129)/($C$2129-$B$2129)</f>
        <v>0</v>
      </c>
      <c r="K2129" s="6">
        <f>($H$2129-$G$2129)/($D$2129-$C$2129)</f>
        <v>0</v>
      </c>
    </row>
    <row r="2130" spans="1:21" ht="36" x14ac:dyDescent="0.3">
      <c r="A2130" s="58" t="s">
        <v>390</v>
      </c>
      <c r="B2130" s="58" t="s">
        <v>449</v>
      </c>
      <c r="C2130" s="58" t="s">
        <v>685</v>
      </c>
      <c r="D2130" s="58" t="s">
        <v>686</v>
      </c>
      <c r="E2130" s="58" t="s">
        <v>687</v>
      </c>
      <c r="F2130" s="58" t="s">
        <v>688</v>
      </c>
      <c r="G2130" s="58" t="s">
        <v>689</v>
      </c>
      <c r="H2130" s="58" t="s">
        <v>452</v>
      </c>
      <c r="I2130" s="58" t="s">
        <v>690</v>
      </c>
      <c r="J2130" s="58" t="s">
        <v>691</v>
      </c>
      <c r="K2130" s="58" t="s">
        <v>692</v>
      </c>
      <c r="L2130" s="58" t="s">
        <v>693</v>
      </c>
      <c r="M2130" s="58" t="s">
        <v>694</v>
      </c>
      <c r="N2130" s="58" t="s">
        <v>695</v>
      </c>
      <c r="O2130" s="58" t="s">
        <v>696</v>
      </c>
      <c r="P2130" s="58" t="s">
        <v>697</v>
      </c>
      <c r="Q2130" s="58" t="s">
        <v>698</v>
      </c>
      <c r="R2130" s="58" t="s">
        <v>699</v>
      </c>
      <c r="S2130" s="58" t="s">
        <v>700</v>
      </c>
      <c r="T2130" s="58" t="s">
        <v>701</v>
      </c>
      <c r="U2130" s="58" t="s">
        <v>702</v>
      </c>
    </row>
    <row r="2131" spans="1:21" x14ac:dyDescent="0.3">
      <c r="A2131" s="187">
        <v>1</v>
      </c>
      <c r="B2131" s="242">
        <f>DATE(nr_PlanYear-2,1,1)</f>
        <v>45658</v>
      </c>
      <c r="C2131" s="243">
        <f t="shared" ref="C2131:C2178" si="834">EOMONTH($B2131,0)</f>
        <v>45688</v>
      </c>
      <c r="D2131" s="120">
        <f t="shared" ref="D2131:D2178" si="835">$C2131-$B2131+1</f>
        <v>31</v>
      </c>
      <c r="E2131" s="120">
        <f t="shared" ref="E2131:E2178" si="836">MONTH($B2131)</f>
        <v>1</v>
      </c>
      <c r="F2131" s="275">
        <f t="shared" ref="F2131:F2178" si="837">($B2131+$C2131+1)/2</f>
        <v>45673.5</v>
      </c>
      <c r="G2131" s="120">
        <f t="shared" ref="G2131:G2178" si="838">YEAR($B2131)*12+MONTH($B2131)-1</f>
        <v>24300</v>
      </c>
      <c r="H2131" s="245">
        <f t="shared" ref="H2131:H2178" si="839">IF(OR(nr_SeasonOn="OFF",$D$2128=0,$E$2128=0),1,12*INDEX(se_block,$D$2128,$E2131)/$E$2128)</f>
        <v>1</v>
      </c>
      <c r="I2131" s="121">
        <f t="shared" ref="I2131:I2178" si="840">EXP(SUMPRODUCT((rl_eff&lt;$B2131)*(rl_key=$A$2128)*rl_ln1p))</f>
        <v>1</v>
      </c>
      <c r="J2131" s="121">
        <f t="shared" ref="J2131:J2178" si="841">EXP(SUMPRODUCT((rl_eff&lt;=$C2131)*(rl_key=$A$2128)*rl_ln1p))</f>
        <v>1</v>
      </c>
      <c r="K2131" s="120">
        <f t="shared" ref="K2131:K2178" si="842">COUNTIFS(rl_key,$A$2128,rl_eff,"&gt;="&amp;$B2131,rl_eff,"&lt;="&amp;$C2131)</f>
        <v>0</v>
      </c>
      <c r="L2131" s="120">
        <f t="shared" ref="L2131:L2178" si="843">SUMIFS(rl_daysafter,rl_key,$A$2128,rl_effmonth,$B2131,rl_first,1)</f>
        <v>0</v>
      </c>
      <c r="M2131" s="246">
        <f t="shared" ref="M2131:M2178" si="844">IF($K2131=0,0,MIN(1,$L2131/$D2131))</f>
        <v>0</v>
      </c>
      <c r="N2131" s="121">
        <f t="shared" ref="N2131:N2178" si="845">IF($K2131=0,$J2131,(1-$M2131)*$I2131+$M2131*$J2131)</f>
        <v>1</v>
      </c>
      <c r="O2131" s="246">
        <f t="shared" ref="O2131:O2178" si="846">IF($F2131&lt;$B$2129,$E$2129+$I$2129*($F2131-$A$2129),IF($F2131&lt;$C$2129,$F$2129+$J$2129*($F2131-$B$2129),$G$2129+$K$2129*($F2131-$C$2129)))</f>
        <v>0.91</v>
      </c>
      <c r="P2131" s="121">
        <f t="shared" ref="P2131:P2178" si="847">MIN(1,MAX(0,(nr_MEndPm1-$G2131+0.5)/$C$2128))-MIN(1,MAX(0,(nr_MStartPm1-1-$G2131+0.5)/$C$2128))</f>
        <v>0</v>
      </c>
      <c r="Q2131" s="121">
        <f t="shared" ref="Q2131:Q2178" si="848">MIN(1,MAX(0,(nr_MEndP-$G2131+0.5)/$C$2128))-MIN(1,MAX(0,(nr_MStartP-1-$G2131+0.5)/$C$2128))</f>
        <v>0</v>
      </c>
      <c r="R2131" s="121">
        <f t="shared" ref="R2131:R2178" si="849">MIN(1,MAX(0,(nr_MEndP1-$G2131+0.5)/$C$2128))-MIN(1,MAX(0,(nr_MStartP1-1-$G2131+0.5)/$C$2128))</f>
        <v>0</v>
      </c>
      <c r="S2131" s="121" t="str">
        <f t="shared" ref="S2131:S2178" si="850">IF($L$2128,$N2131*IF($O$2128=1,$O2131/$F$2128,1),"")</f>
        <v/>
      </c>
      <c r="T2131" s="121" t="str">
        <f t="shared" ref="T2131:T2178" si="851">IF(NOT($L$2128),"",IF($G2131&lt;nr_MStartP,$S2131,$T2119*(1+IF($G2131&lt;nr_MStartP1,$M$2128,$N$2128))))</f>
        <v/>
      </c>
      <c r="U2131" s="121">
        <f t="shared" ref="U2131:U2178" si="852">IF($L$2128,$T2131,$N2131)</f>
        <v>1</v>
      </c>
    </row>
    <row r="2132" spans="1:21" x14ac:dyDescent="0.3">
      <c r="A2132" s="187">
        <v>2</v>
      </c>
      <c r="B2132" s="242">
        <f t="shared" ref="B2132:B2178" si="853">EDATE($B2131,1)</f>
        <v>45689</v>
      </c>
      <c r="C2132" s="243">
        <f t="shared" si="834"/>
        <v>45716</v>
      </c>
      <c r="D2132" s="120">
        <f t="shared" si="835"/>
        <v>28</v>
      </c>
      <c r="E2132" s="120">
        <f t="shared" si="836"/>
        <v>2</v>
      </c>
      <c r="F2132" s="275">
        <f t="shared" si="837"/>
        <v>45703</v>
      </c>
      <c r="G2132" s="120">
        <f t="shared" si="838"/>
        <v>24301</v>
      </c>
      <c r="H2132" s="245">
        <f t="shared" si="839"/>
        <v>1</v>
      </c>
      <c r="I2132" s="121">
        <f t="shared" si="840"/>
        <v>1</v>
      </c>
      <c r="J2132" s="121">
        <f t="shared" si="841"/>
        <v>1</v>
      </c>
      <c r="K2132" s="120">
        <f t="shared" si="842"/>
        <v>0</v>
      </c>
      <c r="L2132" s="120">
        <f t="shared" si="843"/>
        <v>0</v>
      </c>
      <c r="M2132" s="246">
        <f t="shared" si="844"/>
        <v>0</v>
      </c>
      <c r="N2132" s="121">
        <f t="shared" si="845"/>
        <v>1</v>
      </c>
      <c r="O2132" s="246">
        <f t="shared" si="846"/>
        <v>0.91</v>
      </c>
      <c r="P2132" s="121">
        <f t="shared" si="847"/>
        <v>0</v>
      </c>
      <c r="Q2132" s="121">
        <f t="shared" si="848"/>
        <v>0</v>
      </c>
      <c r="R2132" s="121">
        <f t="shared" si="849"/>
        <v>0</v>
      </c>
      <c r="S2132" s="121" t="str">
        <f t="shared" si="850"/>
        <v/>
      </c>
      <c r="T2132" s="121" t="str">
        <f t="shared" si="851"/>
        <v/>
      </c>
      <c r="U2132" s="121">
        <f t="shared" si="852"/>
        <v>1</v>
      </c>
    </row>
    <row r="2133" spans="1:21" x14ac:dyDescent="0.3">
      <c r="A2133" s="187">
        <v>3</v>
      </c>
      <c r="B2133" s="242">
        <f t="shared" si="853"/>
        <v>45717</v>
      </c>
      <c r="C2133" s="243">
        <f t="shared" si="834"/>
        <v>45747</v>
      </c>
      <c r="D2133" s="120">
        <f t="shared" si="835"/>
        <v>31</v>
      </c>
      <c r="E2133" s="120">
        <f t="shared" si="836"/>
        <v>3</v>
      </c>
      <c r="F2133" s="275">
        <f t="shared" si="837"/>
        <v>45732.5</v>
      </c>
      <c r="G2133" s="120">
        <f t="shared" si="838"/>
        <v>24302</v>
      </c>
      <c r="H2133" s="245">
        <f t="shared" si="839"/>
        <v>1</v>
      </c>
      <c r="I2133" s="121">
        <f t="shared" si="840"/>
        <v>1</v>
      </c>
      <c r="J2133" s="121">
        <f t="shared" si="841"/>
        <v>1</v>
      </c>
      <c r="K2133" s="120">
        <f t="shared" si="842"/>
        <v>0</v>
      </c>
      <c r="L2133" s="120">
        <f t="shared" si="843"/>
        <v>0</v>
      </c>
      <c r="M2133" s="246">
        <f t="shared" si="844"/>
        <v>0</v>
      </c>
      <c r="N2133" s="121">
        <f t="shared" si="845"/>
        <v>1</v>
      </c>
      <c r="O2133" s="246">
        <f t="shared" si="846"/>
        <v>0.91</v>
      </c>
      <c r="P2133" s="121">
        <f t="shared" si="847"/>
        <v>0</v>
      </c>
      <c r="Q2133" s="121">
        <f t="shared" si="848"/>
        <v>0</v>
      </c>
      <c r="R2133" s="121">
        <f t="shared" si="849"/>
        <v>0</v>
      </c>
      <c r="S2133" s="121" t="str">
        <f t="shared" si="850"/>
        <v/>
      </c>
      <c r="T2133" s="121" t="str">
        <f t="shared" si="851"/>
        <v/>
      </c>
      <c r="U2133" s="121">
        <f t="shared" si="852"/>
        <v>1</v>
      </c>
    </row>
    <row r="2134" spans="1:21" x14ac:dyDescent="0.3">
      <c r="A2134" s="187">
        <v>4</v>
      </c>
      <c r="B2134" s="242">
        <f t="shared" si="853"/>
        <v>45748</v>
      </c>
      <c r="C2134" s="243">
        <f t="shared" si="834"/>
        <v>45777</v>
      </c>
      <c r="D2134" s="120">
        <f t="shared" si="835"/>
        <v>30</v>
      </c>
      <c r="E2134" s="120">
        <f t="shared" si="836"/>
        <v>4</v>
      </c>
      <c r="F2134" s="275">
        <f t="shared" si="837"/>
        <v>45763</v>
      </c>
      <c r="G2134" s="120">
        <f t="shared" si="838"/>
        <v>24303</v>
      </c>
      <c r="H2134" s="245">
        <f t="shared" si="839"/>
        <v>1</v>
      </c>
      <c r="I2134" s="121">
        <f t="shared" si="840"/>
        <v>1</v>
      </c>
      <c r="J2134" s="121">
        <f t="shared" si="841"/>
        <v>1</v>
      </c>
      <c r="K2134" s="120">
        <f t="shared" si="842"/>
        <v>0</v>
      </c>
      <c r="L2134" s="120">
        <f t="shared" si="843"/>
        <v>0</v>
      </c>
      <c r="M2134" s="246">
        <f t="shared" si="844"/>
        <v>0</v>
      </c>
      <c r="N2134" s="121">
        <f t="shared" si="845"/>
        <v>1</v>
      </c>
      <c r="O2134" s="246">
        <f t="shared" si="846"/>
        <v>0.91</v>
      </c>
      <c r="P2134" s="121">
        <f t="shared" si="847"/>
        <v>0</v>
      </c>
      <c r="Q2134" s="121">
        <f t="shared" si="848"/>
        <v>0</v>
      </c>
      <c r="R2134" s="121">
        <f t="shared" si="849"/>
        <v>0</v>
      </c>
      <c r="S2134" s="121" t="str">
        <f t="shared" si="850"/>
        <v/>
      </c>
      <c r="T2134" s="121" t="str">
        <f t="shared" si="851"/>
        <v/>
      </c>
      <c r="U2134" s="121">
        <f t="shared" si="852"/>
        <v>1</v>
      </c>
    </row>
    <row r="2135" spans="1:21" x14ac:dyDescent="0.3">
      <c r="A2135" s="187">
        <v>5</v>
      </c>
      <c r="B2135" s="242">
        <f t="shared" si="853"/>
        <v>45778</v>
      </c>
      <c r="C2135" s="243">
        <f t="shared" si="834"/>
        <v>45808</v>
      </c>
      <c r="D2135" s="120">
        <f t="shared" si="835"/>
        <v>31</v>
      </c>
      <c r="E2135" s="120">
        <f t="shared" si="836"/>
        <v>5</v>
      </c>
      <c r="F2135" s="275">
        <f t="shared" si="837"/>
        <v>45793.5</v>
      </c>
      <c r="G2135" s="120">
        <f t="shared" si="838"/>
        <v>24304</v>
      </c>
      <c r="H2135" s="245">
        <f t="shared" si="839"/>
        <v>1</v>
      </c>
      <c r="I2135" s="121">
        <f t="shared" si="840"/>
        <v>1</v>
      </c>
      <c r="J2135" s="121">
        <f t="shared" si="841"/>
        <v>1</v>
      </c>
      <c r="K2135" s="120">
        <f t="shared" si="842"/>
        <v>0</v>
      </c>
      <c r="L2135" s="120">
        <f t="shared" si="843"/>
        <v>0</v>
      </c>
      <c r="M2135" s="246">
        <f t="shared" si="844"/>
        <v>0</v>
      </c>
      <c r="N2135" s="121">
        <f t="shared" si="845"/>
        <v>1</v>
      </c>
      <c r="O2135" s="246">
        <f t="shared" si="846"/>
        <v>0.91</v>
      </c>
      <c r="P2135" s="121">
        <f t="shared" si="847"/>
        <v>0</v>
      </c>
      <c r="Q2135" s="121">
        <f t="shared" si="848"/>
        <v>0</v>
      </c>
      <c r="R2135" s="121">
        <f t="shared" si="849"/>
        <v>0</v>
      </c>
      <c r="S2135" s="121" t="str">
        <f t="shared" si="850"/>
        <v/>
      </c>
      <c r="T2135" s="121" t="str">
        <f t="shared" si="851"/>
        <v/>
      </c>
      <c r="U2135" s="121">
        <f t="shared" si="852"/>
        <v>1</v>
      </c>
    </row>
    <row r="2136" spans="1:21" x14ac:dyDescent="0.3">
      <c r="A2136" s="187">
        <v>6</v>
      </c>
      <c r="B2136" s="242">
        <f t="shared" si="853"/>
        <v>45809</v>
      </c>
      <c r="C2136" s="243">
        <f t="shared" si="834"/>
        <v>45838</v>
      </c>
      <c r="D2136" s="120">
        <f t="shared" si="835"/>
        <v>30</v>
      </c>
      <c r="E2136" s="120">
        <f t="shared" si="836"/>
        <v>6</v>
      </c>
      <c r="F2136" s="275">
        <f t="shared" si="837"/>
        <v>45824</v>
      </c>
      <c r="G2136" s="120">
        <f t="shared" si="838"/>
        <v>24305</v>
      </c>
      <c r="H2136" s="245">
        <f t="shared" si="839"/>
        <v>1</v>
      </c>
      <c r="I2136" s="121">
        <f t="shared" si="840"/>
        <v>1</v>
      </c>
      <c r="J2136" s="121">
        <f t="shared" si="841"/>
        <v>1</v>
      </c>
      <c r="K2136" s="120">
        <f t="shared" si="842"/>
        <v>0</v>
      </c>
      <c r="L2136" s="120">
        <f t="shared" si="843"/>
        <v>0</v>
      </c>
      <c r="M2136" s="246">
        <f t="shared" si="844"/>
        <v>0</v>
      </c>
      <c r="N2136" s="121">
        <f t="shared" si="845"/>
        <v>1</v>
      </c>
      <c r="O2136" s="246">
        <f t="shared" si="846"/>
        <v>0.91</v>
      </c>
      <c r="P2136" s="121">
        <f t="shared" si="847"/>
        <v>0</v>
      </c>
      <c r="Q2136" s="121">
        <f t="shared" si="848"/>
        <v>0</v>
      </c>
      <c r="R2136" s="121">
        <f t="shared" si="849"/>
        <v>0</v>
      </c>
      <c r="S2136" s="121" t="str">
        <f t="shared" si="850"/>
        <v/>
      </c>
      <c r="T2136" s="121" t="str">
        <f t="shared" si="851"/>
        <v/>
      </c>
      <c r="U2136" s="121">
        <f t="shared" si="852"/>
        <v>1</v>
      </c>
    </row>
    <row r="2137" spans="1:21" x14ac:dyDescent="0.3">
      <c r="A2137" s="187">
        <v>7</v>
      </c>
      <c r="B2137" s="242">
        <f t="shared" si="853"/>
        <v>45839</v>
      </c>
      <c r="C2137" s="243">
        <f t="shared" si="834"/>
        <v>45869</v>
      </c>
      <c r="D2137" s="120">
        <f t="shared" si="835"/>
        <v>31</v>
      </c>
      <c r="E2137" s="120">
        <f t="shared" si="836"/>
        <v>7</v>
      </c>
      <c r="F2137" s="275">
        <f t="shared" si="837"/>
        <v>45854.5</v>
      </c>
      <c r="G2137" s="120">
        <f t="shared" si="838"/>
        <v>24306</v>
      </c>
      <c r="H2137" s="245">
        <f t="shared" si="839"/>
        <v>1</v>
      </c>
      <c r="I2137" s="121">
        <f t="shared" si="840"/>
        <v>1</v>
      </c>
      <c r="J2137" s="121">
        <f t="shared" si="841"/>
        <v>1</v>
      </c>
      <c r="K2137" s="120">
        <f t="shared" si="842"/>
        <v>0</v>
      </c>
      <c r="L2137" s="120">
        <f t="shared" si="843"/>
        <v>0</v>
      </c>
      <c r="M2137" s="246">
        <f t="shared" si="844"/>
        <v>0</v>
      </c>
      <c r="N2137" s="121">
        <f t="shared" si="845"/>
        <v>1</v>
      </c>
      <c r="O2137" s="246">
        <f t="shared" si="846"/>
        <v>0.91</v>
      </c>
      <c r="P2137" s="121">
        <f t="shared" si="847"/>
        <v>8.333333333333337E-2</v>
      </c>
      <c r="Q2137" s="121">
        <f t="shared" si="848"/>
        <v>0</v>
      </c>
      <c r="R2137" s="121">
        <f t="shared" si="849"/>
        <v>0</v>
      </c>
      <c r="S2137" s="121" t="str">
        <f t="shared" si="850"/>
        <v/>
      </c>
      <c r="T2137" s="121" t="str">
        <f t="shared" si="851"/>
        <v/>
      </c>
      <c r="U2137" s="121">
        <f t="shared" si="852"/>
        <v>1</v>
      </c>
    </row>
    <row r="2138" spans="1:21" x14ac:dyDescent="0.3">
      <c r="A2138" s="187">
        <v>8</v>
      </c>
      <c r="B2138" s="242">
        <f t="shared" si="853"/>
        <v>45870</v>
      </c>
      <c r="C2138" s="243">
        <f t="shared" si="834"/>
        <v>45900</v>
      </c>
      <c r="D2138" s="120">
        <f t="shared" si="835"/>
        <v>31</v>
      </c>
      <c r="E2138" s="120">
        <f t="shared" si="836"/>
        <v>8</v>
      </c>
      <c r="F2138" s="275">
        <f t="shared" si="837"/>
        <v>45885.5</v>
      </c>
      <c r="G2138" s="120">
        <f t="shared" si="838"/>
        <v>24307</v>
      </c>
      <c r="H2138" s="245">
        <f t="shared" si="839"/>
        <v>1</v>
      </c>
      <c r="I2138" s="121">
        <f t="shared" si="840"/>
        <v>1</v>
      </c>
      <c r="J2138" s="121">
        <f t="shared" si="841"/>
        <v>1</v>
      </c>
      <c r="K2138" s="120">
        <f t="shared" si="842"/>
        <v>0</v>
      </c>
      <c r="L2138" s="120">
        <f t="shared" si="843"/>
        <v>0</v>
      </c>
      <c r="M2138" s="246">
        <f t="shared" si="844"/>
        <v>0</v>
      </c>
      <c r="N2138" s="121">
        <f t="shared" si="845"/>
        <v>1</v>
      </c>
      <c r="O2138" s="246">
        <f t="shared" si="846"/>
        <v>0.91</v>
      </c>
      <c r="P2138" s="121">
        <f t="shared" si="847"/>
        <v>0.25</v>
      </c>
      <c r="Q2138" s="121">
        <f t="shared" si="848"/>
        <v>0</v>
      </c>
      <c r="R2138" s="121">
        <f t="shared" si="849"/>
        <v>0</v>
      </c>
      <c r="S2138" s="121" t="str">
        <f t="shared" si="850"/>
        <v/>
      </c>
      <c r="T2138" s="121" t="str">
        <f t="shared" si="851"/>
        <v/>
      </c>
      <c r="U2138" s="121">
        <f t="shared" si="852"/>
        <v>1</v>
      </c>
    </row>
    <row r="2139" spans="1:21" x14ac:dyDescent="0.3">
      <c r="A2139" s="187">
        <v>9</v>
      </c>
      <c r="B2139" s="242">
        <f t="shared" si="853"/>
        <v>45901</v>
      </c>
      <c r="C2139" s="243">
        <f t="shared" si="834"/>
        <v>45930</v>
      </c>
      <c r="D2139" s="120">
        <f t="shared" si="835"/>
        <v>30</v>
      </c>
      <c r="E2139" s="120">
        <f t="shared" si="836"/>
        <v>9</v>
      </c>
      <c r="F2139" s="275">
        <f t="shared" si="837"/>
        <v>45916</v>
      </c>
      <c r="G2139" s="120">
        <f t="shared" si="838"/>
        <v>24308</v>
      </c>
      <c r="H2139" s="245">
        <f t="shared" si="839"/>
        <v>1</v>
      </c>
      <c r="I2139" s="121">
        <f t="shared" si="840"/>
        <v>1</v>
      </c>
      <c r="J2139" s="121">
        <f t="shared" si="841"/>
        <v>1</v>
      </c>
      <c r="K2139" s="120">
        <f t="shared" si="842"/>
        <v>0</v>
      </c>
      <c r="L2139" s="120">
        <f t="shared" si="843"/>
        <v>0</v>
      </c>
      <c r="M2139" s="246">
        <f t="shared" si="844"/>
        <v>0</v>
      </c>
      <c r="N2139" s="121">
        <f t="shared" si="845"/>
        <v>1</v>
      </c>
      <c r="O2139" s="246">
        <f t="shared" si="846"/>
        <v>0.91</v>
      </c>
      <c r="P2139" s="121">
        <f t="shared" si="847"/>
        <v>0.41666666666666663</v>
      </c>
      <c r="Q2139" s="121">
        <f t="shared" si="848"/>
        <v>0</v>
      </c>
      <c r="R2139" s="121">
        <f t="shared" si="849"/>
        <v>0</v>
      </c>
      <c r="S2139" s="121" t="str">
        <f t="shared" si="850"/>
        <v/>
      </c>
      <c r="T2139" s="121" t="str">
        <f t="shared" si="851"/>
        <v/>
      </c>
      <c r="U2139" s="121">
        <f t="shared" si="852"/>
        <v>1</v>
      </c>
    </row>
    <row r="2140" spans="1:21" x14ac:dyDescent="0.3">
      <c r="A2140" s="187">
        <v>10</v>
      </c>
      <c r="B2140" s="242">
        <f t="shared" si="853"/>
        <v>45931</v>
      </c>
      <c r="C2140" s="243">
        <f t="shared" si="834"/>
        <v>45961</v>
      </c>
      <c r="D2140" s="120">
        <f t="shared" si="835"/>
        <v>31</v>
      </c>
      <c r="E2140" s="120">
        <f t="shared" si="836"/>
        <v>10</v>
      </c>
      <c r="F2140" s="275">
        <f t="shared" si="837"/>
        <v>45946.5</v>
      </c>
      <c r="G2140" s="120">
        <f t="shared" si="838"/>
        <v>24309</v>
      </c>
      <c r="H2140" s="245">
        <f t="shared" si="839"/>
        <v>1</v>
      </c>
      <c r="I2140" s="121">
        <f t="shared" si="840"/>
        <v>1</v>
      </c>
      <c r="J2140" s="121">
        <f t="shared" si="841"/>
        <v>1</v>
      </c>
      <c r="K2140" s="120">
        <f t="shared" si="842"/>
        <v>0</v>
      </c>
      <c r="L2140" s="120">
        <f t="shared" si="843"/>
        <v>0</v>
      </c>
      <c r="M2140" s="246">
        <f t="shared" si="844"/>
        <v>0</v>
      </c>
      <c r="N2140" s="121">
        <f t="shared" si="845"/>
        <v>1</v>
      </c>
      <c r="O2140" s="246">
        <f t="shared" si="846"/>
        <v>0.91</v>
      </c>
      <c r="P2140" s="121">
        <f t="shared" si="847"/>
        <v>0.58333333333333326</v>
      </c>
      <c r="Q2140" s="121">
        <f t="shared" si="848"/>
        <v>0</v>
      </c>
      <c r="R2140" s="121">
        <f t="shared" si="849"/>
        <v>0</v>
      </c>
      <c r="S2140" s="121" t="str">
        <f t="shared" si="850"/>
        <v/>
      </c>
      <c r="T2140" s="121" t="str">
        <f t="shared" si="851"/>
        <v/>
      </c>
      <c r="U2140" s="121">
        <f t="shared" si="852"/>
        <v>1</v>
      </c>
    </row>
    <row r="2141" spans="1:21" x14ac:dyDescent="0.3">
      <c r="A2141" s="187">
        <v>11</v>
      </c>
      <c r="B2141" s="242">
        <f t="shared" si="853"/>
        <v>45962</v>
      </c>
      <c r="C2141" s="243">
        <f t="shared" si="834"/>
        <v>45991</v>
      </c>
      <c r="D2141" s="120">
        <f t="shared" si="835"/>
        <v>30</v>
      </c>
      <c r="E2141" s="120">
        <f t="shared" si="836"/>
        <v>11</v>
      </c>
      <c r="F2141" s="275">
        <f t="shared" si="837"/>
        <v>45977</v>
      </c>
      <c r="G2141" s="120">
        <f t="shared" si="838"/>
        <v>24310</v>
      </c>
      <c r="H2141" s="245">
        <f t="shared" si="839"/>
        <v>1</v>
      </c>
      <c r="I2141" s="121">
        <f t="shared" si="840"/>
        <v>1</v>
      </c>
      <c r="J2141" s="121">
        <f t="shared" si="841"/>
        <v>1</v>
      </c>
      <c r="K2141" s="120">
        <f t="shared" si="842"/>
        <v>0</v>
      </c>
      <c r="L2141" s="120">
        <f t="shared" si="843"/>
        <v>0</v>
      </c>
      <c r="M2141" s="246">
        <f t="shared" si="844"/>
        <v>0</v>
      </c>
      <c r="N2141" s="121">
        <f t="shared" si="845"/>
        <v>1</v>
      </c>
      <c r="O2141" s="246">
        <f t="shared" si="846"/>
        <v>0.91</v>
      </c>
      <c r="P2141" s="121">
        <f t="shared" si="847"/>
        <v>0.75</v>
      </c>
      <c r="Q2141" s="121">
        <f t="shared" si="848"/>
        <v>0</v>
      </c>
      <c r="R2141" s="121">
        <f t="shared" si="849"/>
        <v>0</v>
      </c>
      <c r="S2141" s="121" t="str">
        <f t="shared" si="850"/>
        <v/>
      </c>
      <c r="T2141" s="121" t="str">
        <f t="shared" si="851"/>
        <v/>
      </c>
      <c r="U2141" s="121">
        <f t="shared" si="852"/>
        <v>1</v>
      </c>
    </row>
    <row r="2142" spans="1:21" x14ac:dyDescent="0.3">
      <c r="A2142" s="187">
        <v>12</v>
      </c>
      <c r="B2142" s="242">
        <f t="shared" si="853"/>
        <v>45992</v>
      </c>
      <c r="C2142" s="243">
        <f t="shared" si="834"/>
        <v>46022</v>
      </c>
      <c r="D2142" s="120">
        <f t="shared" si="835"/>
        <v>31</v>
      </c>
      <c r="E2142" s="120">
        <f t="shared" si="836"/>
        <v>12</v>
      </c>
      <c r="F2142" s="275">
        <f t="shared" si="837"/>
        <v>46007.5</v>
      </c>
      <c r="G2142" s="120">
        <f t="shared" si="838"/>
        <v>24311</v>
      </c>
      <c r="H2142" s="245">
        <f t="shared" si="839"/>
        <v>1</v>
      </c>
      <c r="I2142" s="121">
        <f t="shared" si="840"/>
        <v>1</v>
      </c>
      <c r="J2142" s="121">
        <f t="shared" si="841"/>
        <v>1</v>
      </c>
      <c r="K2142" s="120">
        <f t="shared" si="842"/>
        <v>0</v>
      </c>
      <c r="L2142" s="120">
        <f t="shared" si="843"/>
        <v>0</v>
      </c>
      <c r="M2142" s="246">
        <f t="shared" si="844"/>
        <v>0</v>
      </c>
      <c r="N2142" s="121">
        <f t="shared" si="845"/>
        <v>1</v>
      </c>
      <c r="O2142" s="246">
        <f t="shared" si="846"/>
        <v>0.91</v>
      </c>
      <c r="P2142" s="121">
        <f t="shared" si="847"/>
        <v>0.91666666666666663</v>
      </c>
      <c r="Q2142" s="121">
        <f t="shared" si="848"/>
        <v>0</v>
      </c>
      <c r="R2142" s="121">
        <f t="shared" si="849"/>
        <v>0</v>
      </c>
      <c r="S2142" s="121" t="str">
        <f t="shared" si="850"/>
        <v/>
      </c>
      <c r="T2142" s="121" t="str">
        <f t="shared" si="851"/>
        <v/>
      </c>
      <c r="U2142" s="121">
        <f t="shared" si="852"/>
        <v>1</v>
      </c>
    </row>
    <row r="2143" spans="1:21" x14ac:dyDescent="0.3">
      <c r="A2143" s="187">
        <v>13</v>
      </c>
      <c r="B2143" s="242">
        <f t="shared" si="853"/>
        <v>46023</v>
      </c>
      <c r="C2143" s="243">
        <f t="shared" si="834"/>
        <v>46053</v>
      </c>
      <c r="D2143" s="120">
        <f t="shared" si="835"/>
        <v>31</v>
      </c>
      <c r="E2143" s="120">
        <f t="shared" si="836"/>
        <v>1</v>
      </c>
      <c r="F2143" s="275">
        <f t="shared" si="837"/>
        <v>46038.5</v>
      </c>
      <c r="G2143" s="120">
        <f t="shared" si="838"/>
        <v>24312</v>
      </c>
      <c r="H2143" s="245">
        <f t="shared" si="839"/>
        <v>1</v>
      </c>
      <c r="I2143" s="121">
        <f t="shared" si="840"/>
        <v>1</v>
      </c>
      <c r="J2143" s="121">
        <f t="shared" si="841"/>
        <v>1</v>
      </c>
      <c r="K2143" s="120">
        <f t="shared" si="842"/>
        <v>0</v>
      </c>
      <c r="L2143" s="120">
        <f t="shared" si="843"/>
        <v>0</v>
      </c>
      <c r="M2143" s="246">
        <f t="shared" si="844"/>
        <v>0</v>
      </c>
      <c r="N2143" s="121">
        <f t="shared" si="845"/>
        <v>1</v>
      </c>
      <c r="O2143" s="246">
        <f t="shared" si="846"/>
        <v>0.91</v>
      </c>
      <c r="P2143" s="121">
        <f t="shared" si="847"/>
        <v>1</v>
      </c>
      <c r="Q2143" s="121">
        <f t="shared" si="848"/>
        <v>0</v>
      </c>
      <c r="R2143" s="121">
        <f t="shared" si="849"/>
        <v>0</v>
      </c>
      <c r="S2143" s="121" t="str">
        <f t="shared" si="850"/>
        <v/>
      </c>
      <c r="T2143" s="121" t="str">
        <f t="shared" si="851"/>
        <v/>
      </c>
      <c r="U2143" s="121">
        <f t="shared" si="852"/>
        <v>1</v>
      </c>
    </row>
    <row r="2144" spans="1:21" x14ac:dyDescent="0.3">
      <c r="A2144" s="187">
        <v>14</v>
      </c>
      <c r="B2144" s="242">
        <f t="shared" si="853"/>
        <v>46054</v>
      </c>
      <c r="C2144" s="243">
        <f t="shared" si="834"/>
        <v>46081</v>
      </c>
      <c r="D2144" s="120">
        <f t="shared" si="835"/>
        <v>28</v>
      </c>
      <c r="E2144" s="120">
        <f t="shared" si="836"/>
        <v>2</v>
      </c>
      <c r="F2144" s="275">
        <f t="shared" si="837"/>
        <v>46068</v>
      </c>
      <c r="G2144" s="120">
        <f t="shared" si="838"/>
        <v>24313</v>
      </c>
      <c r="H2144" s="245">
        <f t="shared" si="839"/>
        <v>1</v>
      </c>
      <c r="I2144" s="121">
        <f t="shared" si="840"/>
        <v>1</v>
      </c>
      <c r="J2144" s="121">
        <f t="shared" si="841"/>
        <v>1</v>
      </c>
      <c r="K2144" s="120">
        <f t="shared" si="842"/>
        <v>0</v>
      </c>
      <c r="L2144" s="120">
        <f t="shared" si="843"/>
        <v>0</v>
      </c>
      <c r="M2144" s="246">
        <f t="shared" si="844"/>
        <v>0</v>
      </c>
      <c r="N2144" s="121">
        <f t="shared" si="845"/>
        <v>1</v>
      </c>
      <c r="O2144" s="246">
        <f t="shared" si="846"/>
        <v>0.91</v>
      </c>
      <c r="P2144" s="121">
        <f t="shared" si="847"/>
        <v>1</v>
      </c>
      <c r="Q2144" s="121">
        <f t="shared" si="848"/>
        <v>0</v>
      </c>
      <c r="R2144" s="121">
        <f t="shared" si="849"/>
        <v>0</v>
      </c>
      <c r="S2144" s="121" t="str">
        <f t="shared" si="850"/>
        <v/>
      </c>
      <c r="T2144" s="121" t="str">
        <f t="shared" si="851"/>
        <v/>
      </c>
      <c r="U2144" s="121">
        <f t="shared" si="852"/>
        <v>1</v>
      </c>
    </row>
    <row r="2145" spans="1:21" x14ac:dyDescent="0.3">
      <c r="A2145" s="187">
        <v>15</v>
      </c>
      <c r="B2145" s="242">
        <f t="shared" si="853"/>
        <v>46082</v>
      </c>
      <c r="C2145" s="243">
        <f t="shared" si="834"/>
        <v>46112</v>
      </c>
      <c r="D2145" s="120">
        <f t="shared" si="835"/>
        <v>31</v>
      </c>
      <c r="E2145" s="120">
        <f t="shared" si="836"/>
        <v>3</v>
      </c>
      <c r="F2145" s="275">
        <f t="shared" si="837"/>
        <v>46097.5</v>
      </c>
      <c r="G2145" s="120">
        <f t="shared" si="838"/>
        <v>24314</v>
      </c>
      <c r="H2145" s="245">
        <f t="shared" si="839"/>
        <v>1</v>
      </c>
      <c r="I2145" s="121">
        <f t="shared" si="840"/>
        <v>1</v>
      </c>
      <c r="J2145" s="121">
        <f t="shared" si="841"/>
        <v>1</v>
      </c>
      <c r="K2145" s="120">
        <f t="shared" si="842"/>
        <v>0</v>
      </c>
      <c r="L2145" s="120">
        <f t="shared" si="843"/>
        <v>0</v>
      </c>
      <c r="M2145" s="246">
        <f t="shared" si="844"/>
        <v>0</v>
      </c>
      <c r="N2145" s="121">
        <f t="shared" si="845"/>
        <v>1</v>
      </c>
      <c r="O2145" s="246">
        <f t="shared" si="846"/>
        <v>0.91</v>
      </c>
      <c r="P2145" s="121">
        <f t="shared" si="847"/>
        <v>1</v>
      </c>
      <c r="Q2145" s="121">
        <f t="shared" si="848"/>
        <v>0</v>
      </c>
      <c r="R2145" s="121">
        <f t="shared" si="849"/>
        <v>0</v>
      </c>
      <c r="S2145" s="121" t="str">
        <f t="shared" si="850"/>
        <v/>
      </c>
      <c r="T2145" s="121" t="str">
        <f t="shared" si="851"/>
        <v/>
      </c>
      <c r="U2145" s="121">
        <f t="shared" si="852"/>
        <v>1</v>
      </c>
    </row>
    <row r="2146" spans="1:21" x14ac:dyDescent="0.3">
      <c r="A2146" s="187">
        <v>16</v>
      </c>
      <c r="B2146" s="242">
        <f t="shared" si="853"/>
        <v>46113</v>
      </c>
      <c r="C2146" s="243">
        <f t="shared" si="834"/>
        <v>46142</v>
      </c>
      <c r="D2146" s="120">
        <f t="shared" si="835"/>
        <v>30</v>
      </c>
      <c r="E2146" s="120">
        <f t="shared" si="836"/>
        <v>4</v>
      </c>
      <c r="F2146" s="275">
        <f t="shared" si="837"/>
        <v>46128</v>
      </c>
      <c r="G2146" s="120">
        <f t="shared" si="838"/>
        <v>24315</v>
      </c>
      <c r="H2146" s="245">
        <f t="shared" si="839"/>
        <v>1</v>
      </c>
      <c r="I2146" s="121">
        <f t="shared" si="840"/>
        <v>1</v>
      </c>
      <c r="J2146" s="121">
        <f t="shared" si="841"/>
        <v>1</v>
      </c>
      <c r="K2146" s="120">
        <f t="shared" si="842"/>
        <v>0</v>
      </c>
      <c r="L2146" s="120">
        <f t="shared" si="843"/>
        <v>0</v>
      </c>
      <c r="M2146" s="246">
        <f t="shared" si="844"/>
        <v>0</v>
      </c>
      <c r="N2146" s="121">
        <f t="shared" si="845"/>
        <v>1</v>
      </c>
      <c r="O2146" s="246">
        <f t="shared" si="846"/>
        <v>0.91</v>
      </c>
      <c r="P2146" s="121">
        <f t="shared" si="847"/>
        <v>1</v>
      </c>
      <c r="Q2146" s="121">
        <f t="shared" si="848"/>
        <v>0</v>
      </c>
      <c r="R2146" s="121">
        <f t="shared" si="849"/>
        <v>0</v>
      </c>
      <c r="S2146" s="121" t="str">
        <f t="shared" si="850"/>
        <v/>
      </c>
      <c r="T2146" s="121" t="str">
        <f t="shared" si="851"/>
        <v/>
      </c>
      <c r="U2146" s="121">
        <f t="shared" si="852"/>
        <v>1</v>
      </c>
    </row>
    <row r="2147" spans="1:21" x14ac:dyDescent="0.3">
      <c r="A2147" s="187">
        <v>17</v>
      </c>
      <c r="B2147" s="242">
        <f t="shared" si="853"/>
        <v>46143</v>
      </c>
      <c r="C2147" s="243">
        <f t="shared" si="834"/>
        <v>46173</v>
      </c>
      <c r="D2147" s="120">
        <f t="shared" si="835"/>
        <v>31</v>
      </c>
      <c r="E2147" s="120">
        <f t="shared" si="836"/>
        <v>5</v>
      </c>
      <c r="F2147" s="275">
        <f t="shared" si="837"/>
        <v>46158.5</v>
      </c>
      <c r="G2147" s="120">
        <f t="shared" si="838"/>
        <v>24316</v>
      </c>
      <c r="H2147" s="245">
        <f t="shared" si="839"/>
        <v>1</v>
      </c>
      <c r="I2147" s="121">
        <f t="shared" si="840"/>
        <v>1</v>
      </c>
      <c r="J2147" s="121">
        <f t="shared" si="841"/>
        <v>1</v>
      </c>
      <c r="K2147" s="120">
        <f t="shared" si="842"/>
        <v>0</v>
      </c>
      <c r="L2147" s="120">
        <f t="shared" si="843"/>
        <v>0</v>
      </c>
      <c r="M2147" s="246">
        <f t="shared" si="844"/>
        <v>0</v>
      </c>
      <c r="N2147" s="121">
        <f t="shared" si="845"/>
        <v>1</v>
      </c>
      <c r="O2147" s="246">
        <f t="shared" si="846"/>
        <v>0.91</v>
      </c>
      <c r="P2147" s="121">
        <f t="shared" si="847"/>
        <v>1</v>
      </c>
      <c r="Q2147" s="121">
        <f t="shared" si="848"/>
        <v>0</v>
      </c>
      <c r="R2147" s="121">
        <f t="shared" si="849"/>
        <v>0</v>
      </c>
      <c r="S2147" s="121" t="str">
        <f t="shared" si="850"/>
        <v/>
      </c>
      <c r="T2147" s="121" t="str">
        <f t="shared" si="851"/>
        <v/>
      </c>
      <c r="U2147" s="121">
        <f t="shared" si="852"/>
        <v>1</v>
      </c>
    </row>
    <row r="2148" spans="1:21" x14ac:dyDescent="0.3">
      <c r="A2148" s="187">
        <v>18</v>
      </c>
      <c r="B2148" s="242">
        <f t="shared" si="853"/>
        <v>46174</v>
      </c>
      <c r="C2148" s="243">
        <f t="shared" si="834"/>
        <v>46203</v>
      </c>
      <c r="D2148" s="120">
        <f t="shared" si="835"/>
        <v>30</v>
      </c>
      <c r="E2148" s="120">
        <f t="shared" si="836"/>
        <v>6</v>
      </c>
      <c r="F2148" s="275">
        <f t="shared" si="837"/>
        <v>46189</v>
      </c>
      <c r="G2148" s="120">
        <f t="shared" si="838"/>
        <v>24317</v>
      </c>
      <c r="H2148" s="245">
        <f t="shared" si="839"/>
        <v>1</v>
      </c>
      <c r="I2148" s="121">
        <f t="shared" si="840"/>
        <v>1</v>
      </c>
      <c r="J2148" s="121">
        <f t="shared" si="841"/>
        <v>1</v>
      </c>
      <c r="K2148" s="120">
        <f t="shared" si="842"/>
        <v>0</v>
      </c>
      <c r="L2148" s="120">
        <f t="shared" si="843"/>
        <v>0</v>
      </c>
      <c r="M2148" s="246">
        <f t="shared" si="844"/>
        <v>0</v>
      </c>
      <c r="N2148" s="121">
        <f t="shared" si="845"/>
        <v>1</v>
      </c>
      <c r="O2148" s="246">
        <f t="shared" si="846"/>
        <v>0.91</v>
      </c>
      <c r="P2148" s="121">
        <f t="shared" si="847"/>
        <v>1</v>
      </c>
      <c r="Q2148" s="121">
        <f t="shared" si="848"/>
        <v>0</v>
      </c>
      <c r="R2148" s="121">
        <f t="shared" si="849"/>
        <v>0</v>
      </c>
      <c r="S2148" s="121" t="str">
        <f t="shared" si="850"/>
        <v/>
      </c>
      <c r="T2148" s="121" t="str">
        <f t="shared" si="851"/>
        <v/>
      </c>
      <c r="U2148" s="121">
        <f t="shared" si="852"/>
        <v>1</v>
      </c>
    </row>
    <row r="2149" spans="1:21" x14ac:dyDescent="0.3">
      <c r="A2149" s="187">
        <v>19</v>
      </c>
      <c r="B2149" s="242">
        <f t="shared" si="853"/>
        <v>46204</v>
      </c>
      <c r="C2149" s="243">
        <f t="shared" si="834"/>
        <v>46234</v>
      </c>
      <c r="D2149" s="120">
        <f t="shared" si="835"/>
        <v>31</v>
      </c>
      <c r="E2149" s="120">
        <f t="shared" si="836"/>
        <v>7</v>
      </c>
      <c r="F2149" s="275">
        <f t="shared" si="837"/>
        <v>46219.5</v>
      </c>
      <c r="G2149" s="120">
        <f t="shared" si="838"/>
        <v>24318</v>
      </c>
      <c r="H2149" s="245">
        <f t="shared" si="839"/>
        <v>1</v>
      </c>
      <c r="I2149" s="121">
        <f t="shared" si="840"/>
        <v>1</v>
      </c>
      <c r="J2149" s="121">
        <f t="shared" si="841"/>
        <v>1</v>
      </c>
      <c r="K2149" s="120">
        <f t="shared" si="842"/>
        <v>0</v>
      </c>
      <c r="L2149" s="120">
        <f t="shared" si="843"/>
        <v>0</v>
      </c>
      <c r="M2149" s="246">
        <f t="shared" si="844"/>
        <v>0</v>
      </c>
      <c r="N2149" s="121">
        <f t="shared" si="845"/>
        <v>1</v>
      </c>
      <c r="O2149" s="246">
        <f t="shared" si="846"/>
        <v>0.91</v>
      </c>
      <c r="P2149" s="121">
        <f t="shared" si="847"/>
        <v>0.91666666666666663</v>
      </c>
      <c r="Q2149" s="121">
        <f t="shared" si="848"/>
        <v>8.333333333333337E-2</v>
      </c>
      <c r="R2149" s="121">
        <f t="shared" si="849"/>
        <v>0</v>
      </c>
      <c r="S2149" s="121" t="str">
        <f t="shared" si="850"/>
        <v/>
      </c>
      <c r="T2149" s="121" t="str">
        <f t="shared" si="851"/>
        <v/>
      </c>
      <c r="U2149" s="121">
        <f t="shared" si="852"/>
        <v>1</v>
      </c>
    </row>
    <row r="2150" spans="1:21" x14ac:dyDescent="0.3">
      <c r="A2150" s="187">
        <v>20</v>
      </c>
      <c r="B2150" s="242">
        <f t="shared" si="853"/>
        <v>46235</v>
      </c>
      <c r="C2150" s="243">
        <f t="shared" si="834"/>
        <v>46265</v>
      </c>
      <c r="D2150" s="120">
        <f t="shared" si="835"/>
        <v>31</v>
      </c>
      <c r="E2150" s="120">
        <f t="shared" si="836"/>
        <v>8</v>
      </c>
      <c r="F2150" s="275">
        <f t="shared" si="837"/>
        <v>46250.5</v>
      </c>
      <c r="G2150" s="120">
        <f t="shared" si="838"/>
        <v>24319</v>
      </c>
      <c r="H2150" s="245">
        <f t="shared" si="839"/>
        <v>1</v>
      </c>
      <c r="I2150" s="121">
        <f t="shared" si="840"/>
        <v>1</v>
      </c>
      <c r="J2150" s="121">
        <f t="shared" si="841"/>
        <v>1</v>
      </c>
      <c r="K2150" s="120">
        <f t="shared" si="842"/>
        <v>0</v>
      </c>
      <c r="L2150" s="120">
        <f t="shared" si="843"/>
        <v>0</v>
      </c>
      <c r="M2150" s="246">
        <f t="shared" si="844"/>
        <v>0</v>
      </c>
      <c r="N2150" s="121">
        <f t="shared" si="845"/>
        <v>1</v>
      </c>
      <c r="O2150" s="246">
        <f t="shared" si="846"/>
        <v>0.91</v>
      </c>
      <c r="P2150" s="121">
        <f t="shared" si="847"/>
        <v>0.75</v>
      </c>
      <c r="Q2150" s="121">
        <f t="shared" si="848"/>
        <v>0.25</v>
      </c>
      <c r="R2150" s="121">
        <f t="shared" si="849"/>
        <v>0</v>
      </c>
      <c r="S2150" s="121" t="str">
        <f t="shared" si="850"/>
        <v/>
      </c>
      <c r="T2150" s="121" t="str">
        <f t="shared" si="851"/>
        <v/>
      </c>
      <c r="U2150" s="121">
        <f t="shared" si="852"/>
        <v>1</v>
      </c>
    </row>
    <row r="2151" spans="1:21" x14ac:dyDescent="0.3">
      <c r="A2151" s="187">
        <v>21</v>
      </c>
      <c r="B2151" s="242">
        <f t="shared" si="853"/>
        <v>46266</v>
      </c>
      <c r="C2151" s="243">
        <f t="shared" si="834"/>
        <v>46295</v>
      </c>
      <c r="D2151" s="120">
        <f t="shared" si="835"/>
        <v>30</v>
      </c>
      <c r="E2151" s="120">
        <f t="shared" si="836"/>
        <v>9</v>
      </c>
      <c r="F2151" s="275">
        <f t="shared" si="837"/>
        <v>46281</v>
      </c>
      <c r="G2151" s="120">
        <f t="shared" si="838"/>
        <v>24320</v>
      </c>
      <c r="H2151" s="245">
        <f t="shared" si="839"/>
        <v>1</v>
      </c>
      <c r="I2151" s="121">
        <f t="shared" si="840"/>
        <v>1</v>
      </c>
      <c r="J2151" s="121">
        <f t="shared" si="841"/>
        <v>1</v>
      </c>
      <c r="K2151" s="120">
        <f t="shared" si="842"/>
        <v>0</v>
      </c>
      <c r="L2151" s="120">
        <f t="shared" si="843"/>
        <v>0</v>
      </c>
      <c r="M2151" s="246">
        <f t="shared" si="844"/>
        <v>0</v>
      </c>
      <c r="N2151" s="121">
        <f t="shared" si="845"/>
        <v>1</v>
      </c>
      <c r="O2151" s="246">
        <f t="shared" si="846"/>
        <v>0.91</v>
      </c>
      <c r="P2151" s="121">
        <f t="shared" si="847"/>
        <v>0.58333333333333337</v>
      </c>
      <c r="Q2151" s="121">
        <f t="shared" si="848"/>
        <v>0.41666666666666663</v>
      </c>
      <c r="R2151" s="121">
        <f t="shared" si="849"/>
        <v>0</v>
      </c>
      <c r="S2151" s="121" t="str">
        <f t="shared" si="850"/>
        <v/>
      </c>
      <c r="T2151" s="121" t="str">
        <f t="shared" si="851"/>
        <v/>
      </c>
      <c r="U2151" s="121">
        <f t="shared" si="852"/>
        <v>1</v>
      </c>
    </row>
    <row r="2152" spans="1:21" x14ac:dyDescent="0.3">
      <c r="A2152" s="187">
        <v>22</v>
      </c>
      <c r="B2152" s="242">
        <f t="shared" si="853"/>
        <v>46296</v>
      </c>
      <c r="C2152" s="243">
        <f t="shared" si="834"/>
        <v>46326</v>
      </c>
      <c r="D2152" s="120">
        <f t="shared" si="835"/>
        <v>31</v>
      </c>
      <c r="E2152" s="120">
        <f t="shared" si="836"/>
        <v>10</v>
      </c>
      <c r="F2152" s="275">
        <f t="shared" si="837"/>
        <v>46311.5</v>
      </c>
      <c r="G2152" s="120">
        <f t="shared" si="838"/>
        <v>24321</v>
      </c>
      <c r="H2152" s="245">
        <f t="shared" si="839"/>
        <v>1</v>
      </c>
      <c r="I2152" s="121">
        <f t="shared" si="840"/>
        <v>1</v>
      </c>
      <c r="J2152" s="121">
        <f t="shared" si="841"/>
        <v>1</v>
      </c>
      <c r="K2152" s="120">
        <f t="shared" si="842"/>
        <v>0</v>
      </c>
      <c r="L2152" s="120">
        <f t="shared" si="843"/>
        <v>0</v>
      </c>
      <c r="M2152" s="246">
        <f t="shared" si="844"/>
        <v>0</v>
      </c>
      <c r="N2152" s="121">
        <f t="shared" si="845"/>
        <v>1</v>
      </c>
      <c r="O2152" s="246">
        <f t="shared" si="846"/>
        <v>0.91</v>
      </c>
      <c r="P2152" s="121">
        <f t="shared" si="847"/>
        <v>0.41666666666666669</v>
      </c>
      <c r="Q2152" s="121">
        <f t="shared" si="848"/>
        <v>0.58333333333333326</v>
      </c>
      <c r="R2152" s="121">
        <f t="shared" si="849"/>
        <v>0</v>
      </c>
      <c r="S2152" s="121" t="str">
        <f t="shared" si="850"/>
        <v/>
      </c>
      <c r="T2152" s="121" t="str">
        <f t="shared" si="851"/>
        <v/>
      </c>
      <c r="U2152" s="121">
        <f t="shared" si="852"/>
        <v>1</v>
      </c>
    </row>
    <row r="2153" spans="1:21" x14ac:dyDescent="0.3">
      <c r="A2153" s="187">
        <v>23</v>
      </c>
      <c r="B2153" s="242">
        <f t="shared" si="853"/>
        <v>46327</v>
      </c>
      <c r="C2153" s="243">
        <f t="shared" si="834"/>
        <v>46356</v>
      </c>
      <c r="D2153" s="120">
        <f t="shared" si="835"/>
        <v>30</v>
      </c>
      <c r="E2153" s="120">
        <f t="shared" si="836"/>
        <v>11</v>
      </c>
      <c r="F2153" s="275">
        <f t="shared" si="837"/>
        <v>46342</v>
      </c>
      <c r="G2153" s="120">
        <f t="shared" si="838"/>
        <v>24322</v>
      </c>
      <c r="H2153" s="245">
        <f t="shared" si="839"/>
        <v>1</v>
      </c>
      <c r="I2153" s="121">
        <f t="shared" si="840"/>
        <v>1</v>
      </c>
      <c r="J2153" s="121">
        <f t="shared" si="841"/>
        <v>1</v>
      </c>
      <c r="K2153" s="120">
        <f t="shared" si="842"/>
        <v>0</v>
      </c>
      <c r="L2153" s="120">
        <f t="shared" si="843"/>
        <v>0</v>
      </c>
      <c r="M2153" s="246">
        <f t="shared" si="844"/>
        <v>0</v>
      </c>
      <c r="N2153" s="121">
        <f t="shared" si="845"/>
        <v>1</v>
      </c>
      <c r="O2153" s="246">
        <f t="shared" si="846"/>
        <v>0.91</v>
      </c>
      <c r="P2153" s="121">
        <f t="shared" si="847"/>
        <v>0.25</v>
      </c>
      <c r="Q2153" s="121">
        <f t="shared" si="848"/>
        <v>0.75</v>
      </c>
      <c r="R2153" s="121">
        <f t="shared" si="849"/>
        <v>0</v>
      </c>
      <c r="S2153" s="121" t="str">
        <f t="shared" si="850"/>
        <v/>
      </c>
      <c r="T2153" s="121" t="str">
        <f t="shared" si="851"/>
        <v/>
      </c>
      <c r="U2153" s="121">
        <f t="shared" si="852"/>
        <v>1</v>
      </c>
    </row>
    <row r="2154" spans="1:21" x14ac:dyDescent="0.3">
      <c r="A2154" s="187">
        <v>24</v>
      </c>
      <c r="B2154" s="242">
        <f t="shared" si="853"/>
        <v>46357</v>
      </c>
      <c r="C2154" s="243">
        <f t="shared" si="834"/>
        <v>46387</v>
      </c>
      <c r="D2154" s="120">
        <f t="shared" si="835"/>
        <v>31</v>
      </c>
      <c r="E2154" s="120">
        <f t="shared" si="836"/>
        <v>12</v>
      </c>
      <c r="F2154" s="275">
        <f t="shared" si="837"/>
        <v>46372.5</v>
      </c>
      <c r="G2154" s="120">
        <f t="shared" si="838"/>
        <v>24323</v>
      </c>
      <c r="H2154" s="245">
        <f t="shared" si="839"/>
        <v>1</v>
      </c>
      <c r="I2154" s="121">
        <f t="shared" si="840"/>
        <v>1</v>
      </c>
      <c r="J2154" s="121">
        <f t="shared" si="841"/>
        <v>1</v>
      </c>
      <c r="K2154" s="120">
        <f t="shared" si="842"/>
        <v>0</v>
      </c>
      <c r="L2154" s="120">
        <f t="shared" si="843"/>
        <v>0</v>
      </c>
      <c r="M2154" s="246">
        <f t="shared" si="844"/>
        <v>0</v>
      </c>
      <c r="N2154" s="121">
        <f t="shared" si="845"/>
        <v>1</v>
      </c>
      <c r="O2154" s="246">
        <f t="shared" si="846"/>
        <v>0.91</v>
      </c>
      <c r="P2154" s="121">
        <f t="shared" si="847"/>
        <v>8.3333333333333329E-2</v>
      </c>
      <c r="Q2154" s="121">
        <f t="shared" si="848"/>
        <v>0.91666666666666663</v>
      </c>
      <c r="R2154" s="121">
        <f t="shared" si="849"/>
        <v>0</v>
      </c>
      <c r="S2154" s="121" t="str">
        <f t="shared" si="850"/>
        <v/>
      </c>
      <c r="T2154" s="121" t="str">
        <f t="shared" si="851"/>
        <v/>
      </c>
      <c r="U2154" s="121">
        <f t="shared" si="852"/>
        <v>1</v>
      </c>
    </row>
    <row r="2155" spans="1:21" x14ac:dyDescent="0.3">
      <c r="A2155" s="187">
        <v>25</v>
      </c>
      <c r="B2155" s="242">
        <f t="shared" si="853"/>
        <v>46388</v>
      </c>
      <c r="C2155" s="243">
        <f t="shared" si="834"/>
        <v>46418</v>
      </c>
      <c r="D2155" s="120">
        <f t="shared" si="835"/>
        <v>31</v>
      </c>
      <c r="E2155" s="120">
        <f t="shared" si="836"/>
        <v>1</v>
      </c>
      <c r="F2155" s="275">
        <f t="shared" si="837"/>
        <v>46403.5</v>
      </c>
      <c r="G2155" s="120">
        <f t="shared" si="838"/>
        <v>24324</v>
      </c>
      <c r="H2155" s="245">
        <f t="shared" si="839"/>
        <v>1</v>
      </c>
      <c r="I2155" s="121">
        <f t="shared" si="840"/>
        <v>1</v>
      </c>
      <c r="J2155" s="121">
        <f t="shared" si="841"/>
        <v>1</v>
      </c>
      <c r="K2155" s="120">
        <f t="shared" si="842"/>
        <v>0</v>
      </c>
      <c r="L2155" s="120">
        <f t="shared" si="843"/>
        <v>0</v>
      </c>
      <c r="M2155" s="246">
        <f t="shared" si="844"/>
        <v>0</v>
      </c>
      <c r="N2155" s="121">
        <f t="shared" si="845"/>
        <v>1</v>
      </c>
      <c r="O2155" s="246">
        <f t="shared" si="846"/>
        <v>0.91</v>
      </c>
      <c r="P2155" s="121">
        <f t="shared" si="847"/>
        <v>0</v>
      </c>
      <c r="Q2155" s="121">
        <f t="shared" si="848"/>
        <v>1</v>
      </c>
      <c r="R2155" s="121">
        <f t="shared" si="849"/>
        <v>0</v>
      </c>
      <c r="S2155" s="121" t="str">
        <f t="shared" si="850"/>
        <v/>
      </c>
      <c r="T2155" s="121" t="str">
        <f t="shared" si="851"/>
        <v/>
      </c>
      <c r="U2155" s="121">
        <f t="shared" si="852"/>
        <v>1</v>
      </c>
    </row>
    <row r="2156" spans="1:21" x14ac:dyDescent="0.3">
      <c r="A2156" s="187">
        <v>26</v>
      </c>
      <c r="B2156" s="242">
        <f t="shared" si="853"/>
        <v>46419</v>
      </c>
      <c r="C2156" s="243">
        <f t="shared" si="834"/>
        <v>46446</v>
      </c>
      <c r="D2156" s="120">
        <f t="shared" si="835"/>
        <v>28</v>
      </c>
      <c r="E2156" s="120">
        <f t="shared" si="836"/>
        <v>2</v>
      </c>
      <c r="F2156" s="275">
        <f t="shared" si="837"/>
        <v>46433</v>
      </c>
      <c r="G2156" s="120">
        <f t="shared" si="838"/>
        <v>24325</v>
      </c>
      <c r="H2156" s="245">
        <f t="shared" si="839"/>
        <v>1</v>
      </c>
      <c r="I2156" s="121">
        <f t="shared" si="840"/>
        <v>1</v>
      </c>
      <c r="J2156" s="121">
        <f t="shared" si="841"/>
        <v>1</v>
      </c>
      <c r="K2156" s="120">
        <f t="shared" si="842"/>
        <v>0</v>
      </c>
      <c r="L2156" s="120">
        <f t="shared" si="843"/>
        <v>0</v>
      </c>
      <c r="M2156" s="246">
        <f t="shared" si="844"/>
        <v>0</v>
      </c>
      <c r="N2156" s="121">
        <f t="shared" si="845"/>
        <v>1</v>
      </c>
      <c r="O2156" s="246">
        <f t="shared" si="846"/>
        <v>0.91</v>
      </c>
      <c r="P2156" s="121">
        <f t="shared" si="847"/>
        <v>0</v>
      </c>
      <c r="Q2156" s="121">
        <f t="shared" si="848"/>
        <v>1</v>
      </c>
      <c r="R2156" s="121">
        <f t="shared" si="849"/>
        <v>0</v>
      </c>
      <c r="S2156" s="121" t="str">
        <f t="shared" si="850"/>
        <v/>
      </c>
      <c r="T2156" s="121" t="str">
        <f t="shared" si="851"/>
        <v/>
      </c>
      <c r="U2156" s="121">
        <f t="shared" si="852"/>
        <v>1</v>
      </c>
    </row>
    <row r="2157" spans="1:21" x14ac:dyDescent="0.3">
      <c r="A2157" s="187">
        <v>27</v>
      </c>
      <c r="B2157" s="242">
        <f t="shared" si="853"/>
        <v>46447</v>
      </c>
      <c r="C2157" s="243">
        <f t="shared" si="834"/>
        <v>46477</v>
      </c>
      <c r="D2157" s="120">
        <f t="shared" si="835"/>
        <v>31</v>
      </c>
      <c r="E2157" s="120">
        <f t="shared" si="836"/>
        <v>3</v>
      </c>
      <c r="F2157" s="275">
        <f t="shared" si="837"/>
        <v>46462.5</v>
      </c>
      <c r="G2157" s="120">
        <f t="shared" si="838"/>
        <v>24326</v>
      </c>
      <c r="H2157" s="245">
        <f t="shared" si="839"/>
        <v>1</v>
      </c>
      <c r="I2157" s="121">
        <f t="shared" si="840"/>
        <v>1</v>
      </c>
      <c r="J2157" s="121">
        <f t="shared" si="841"/>
        <v>1</v>
      </c>
      <c r="K2157" s="120">
        <f t="shared" si="842"/>
        <v>0</v>
      </c>
      <c r="L2157" s="120">
        <f t="shared" si="843"/>
        <v>0</v>
      </c>
      <c r="M2157" s="246">
        <f t="shared" si="844"/>
        <v>0</v>
      </c>
      <c r="N2157" s="121">
        <f t="shared" si="845"/>
        <v>1</v>
      </c>
      <c r="O2157" s="246">
        <f t="shared" si="846"/>
        <v>0.91</v>
      </c>
      <c r="P2157" s="121">
        <f t="shared" si="847"/>
        <v>0</v>
      </c>
      <c r="Q2157" s="121">
        <f t="shared" si="848"/>
        <v>1</v>
      </c>
      <c r="R2157" s="121">
        <f t="shared" si="849"/>
        <v>0</v>
      </c>
      <c r="S2157" s="121" t="str">
        <f t="shared" si="850"/>
        <v/>
      </c>
      <c r="T2157" s="121" t="str">
        <f t="shared" si="851"/>
        <v/>
      </c>
      <c r="U2157" s="121">
        <f t="shared" si="852"/>
        <v>1</v>
      </c>
    </row>
    <row r="2158" spans="1:21" x14ac:dyDescent="0.3">
      <c r="A2158" s="187">
        <v>28</v>
      </c>
      <c r="B2158" s="242">
        <f t="shared" si="853"/>
        <v>46478</v>
      </c>
      <c r="C2158" s="243">
        <f t="shared" si="834"/>
        <v>46507</v>
      </c>
      <c r="D2158" s="120">
        <f t="shared" si="835"/>
        <v>30</v>
      </c>
      <c r="E2158" s="120">
        <f t="shared" si="836"/>
        <v>4</v>
      </c>
      <c r="F2158" s="275">
        <f t="shared" si="837"/>
        <v>46493</v>
      </c>
      <c r="G2158" s="120">
        <f t="shared" si="838"/>
        <v>24327</v>
      </c>
      <c r="H2158" s="245">
        <f t="shared" si="839"/>
        <v>1</v>
      </c>
      <c r="I2158" s="121">
        <f t="shared" si="840"/>
        <v>1</v>
      </c>
      <c r="J2158" s="121">
        <f t="shared" si="841"/>
        <v>1</v>
      </c>
      <c r="K2158" s="120">
        <f t="shared" si="842"/>
        <v>0</v>
      </c>
      <c r="L2158" s="120">
        <f t="shared" si="843"/>
        <v>0</v>
      </c>
      <c r="M2158" s="246">
        <f t="shared" si="844"/>
        <v>0</v>
      </c>
      <c r="N2158" s="121">
        <f t="shared" si="845"/>
        <v>1</v>
      </c>
      <c r="O2158" s="246">
        <f t="shared" si="846"/>
        <v>0.91</v>
      </c>
      <c r="P2158" s="121">
        <f t="shared" si="847"/>
        <v>0</v>
      </c>
      <c r="Q2158" s="121">
        <f t="shared" si="848"/>
        <v>1</v>
      </c>
      <c r="R2158" s="121">
        <f t="shared" si="849"/>
        <v>0</v>
      </c>
      <c r="S2158" s="121" t="str">
        <f t="shared" si="850"/>
        <v/>
      </c>
      <c r="T2158" s="121" t="str">
        <f t="shared" si="851"/>
        <v/>
      </c>
      <c r="U2158" s="121">
        <f t="shared" si="852"/>
        <v>1</v>
      </c>
    </row>
    <row r="2159" spans="1:21" x14ac:dyDescent="0.3">
      <c r="A2159" s="187">
        <v>29</v>
      </c>
      <c r="B2159" s="242">
        <f t="shared" si="853"/>
        <v>46508</v>
      </c>
      <c r="C2159" s="243">
        <f t="shared" si="834"/>
        <v>46538</v>
      </c>
      <c r="D2159" s="120">
        <f t="shared" si="835"/>
        <v>31</v>
      </c>
      <c r="E2159" s="120">
        <f t="shared" si="836"/>
        <v>5</v>
      </c>
      <c r="F2159" s="275">
        <f t="shared" si="837"/>
        <v>46523.5</v>
      </c>
      <c r="G2159" s="120">
        <f t="shared" si="838"/>
        <v>24328</v>
      </c>
      <c r="H2159" s="245">
        <f t="shared" si="839"/>
        <v>1</v>
      </c>
      <c r="I2159" s="121">
        <f t="shared" si="840"/>
        <v>1</v>
      </c>
      <c r="J2159" s="121">
        <f t="shared" si="841"/>
        <v>1</v>
      </c>
      <c r="K2159" s="120">
        <f t="shared" si="842"/>
        <v>0</v>
      </c>
      <c r="L2159" s="120">
        <f t="shared" si="843"/>
        <v>0</v>
      </c>
      <c r="M2159" s="246">
        <f t="shared" si="844"/>
        <v>0</v>
      </c>
      <c r="N2159" s="121">
        <f t="shared" si="845"/>
        <v>1</v>
      </c>
      <c r="O2159" s="246">
        <f t="shared" si="846"/>
        <v>0.91</v>
      </c>
      <c r="P2159" s="121">
        <f t="shared" si="847"/>
        <v>0</v>
      </c>
      <c r="Q2159" s="121">
        <f t="shared" si="848"/>
        <v>1</v>
      </c>
      <c r="R2159" s="121">
        <f t="shared" si="849"/>
        <v>0</v>
      </c>
      <c r="S2159" s="121" t="str">
        <f t="shared" si="850"/>
        <v/>
      </c>
      <c r="T2159" s="121" t="str">
        <f t="shared" si="851"/>
        <v/>
      </c>
      <c r="U2159" s="121">
        <f t="shared" si="852"/>
        <v>1</v>
      </c>
    </row>
    <row r="2160" spans="1:21" x14ac:dyDescent="0.3">
      <c r="A2160" s="187">
        <v>30</v>
      </c>
      <c r="B2160" s="242">
        <f t="shared" si="853"/>
        <v>46539</v>
      </c>
      <c r="C2160" s="243">
        <f t="shared" si="834"/>
        <v>46568</v>
      </c>
      <c r="D2160" s="120">
        <f t="shared" si="835"/>
        <v>30</v>
      </c>
      <c r="E2160" s="120">
        <f t="shared" si="836"/>
        <v>6</v>
      </c>
      <c r="F2160" s="275">
        <f t="shared" si="837"/>
        <v>46554</v>
      </c>
      <c r="G2160" s="120">
        <f t="shared" si="838"/>
        <v>24329</v>
      </c>
      <c r="H2160" s="245">
        <f t="shared" si="839"/>
        <v>1</v>
      </c>
      <c r="I2160" s="121">
        <f t="shared" si="840"/>
        <v>1</v>
      </c>
      <c r="J2160" s="121">
        <f t="shared" si="841"/>
        <v>1</v>
      </c>
      <c r="K2160" s="120">
        <f t="shared" si="842"/>
        <v>0</v>
      </c>
      <c r="L2160" s="120">
        <f t="shared" si="843"/>
        <v>0</v>
      </c>
      <c r="M2160" s="246">
        <f t="shared" si="844"/>
        <v>0</v>
      </c>
      <c r="N2160" s="121">
        <f t="shared" si="845"/>
        <v>1</v>
      </c>
      <c r="O2160" s="246">
        <f t="shared" si="846"/>
        <v>0.91</v>
      </c>
      <c r="P2160" s="121">
        <f t="shared" si="847"/>
        <v>0</v>
      </c>
      <c r="Q2160" s="121">
        <f t="shared" si="848"/>
        <v>1</v>
      </c>
      <c r="R2160" s="121">
        <f t="shared" si="849"/>
        <v>0</v>
      </c>
      <c r="S2160" s="121" t="str">
        <f t="shared" si="850"/>
        <v/>
      </c>
      <c r="T2160" s="121" t="str">
        <f t="shared" si="851"/>
        <v/>
      </c>
      <c r="U2160" s="121">
        <f t="shared" si="852"/>
        <v>1</v>
      </c>
    </row>
    <row r="2161" spans="1:21" x14ac:dyDescent="0.3">
      <c r="A2161" s="187">
        <v>31</v>
      </c>
      <c r="B2161" s="242">
        <f t="shared" si="853"/>
        <v>46569</v>
      </c>
      <c r="C2161" s="243">
        <f t="shared" si="834"/>
        <v>46599</v>
      </c>
      <c r="D2161" s="120">
        <f t="shared" si="835"/>
        <v>31</v>
      </c>
      <c r="E2161" s="120">
        <f t="shared" si="836"/>
        <v>7</v>
      </c>
      <c r="F2161" s="275">
        <f t="shared" si="837"/>
        <v>46584.5</v>
      </c>
      <c r="G2161" s="120">
        <f t="shared" si="838"/>
        <v>24330</v>
      </c>
      <c r="H2161" s="245">
        <f t="shared" si="839"/>
        <v>1</v>
      </c>
      <c r="I2161" s="121">
        <f t="shared" si="840"/>
        <v>1</v>
      </c>
      <c r="J2161" s="121">
        <f t="shared" si="841"/>
        <v>1</v>
      </c>
      <c r="K2161" s="120">
        <f t="shared" si="842"/>
        <v>0</v>
      </c>
      <c r="L2161" s="120">
        <f t="shared" si="843"/>
        <v>0</v>
      </c>
      <c r="M2161" s="246">
        <f t="shared" si="844"/>
        <v>0</v>
      </c>
      <c r="N2161" s="121">
        <f t="shared" si="845"/>
        <v>1</v>
      </c>
      <c r="O2161" s="246">
        <f t="shared" si="846"/>
        <v>0.91</v>
      </c>
      <c r="P2161" s="121">
        <f t="shared" si="847"/>
        <v>0</v>
      </c>
      <c r="Q2161" s="121">
        <f t="shared" si="848"/>
        <v>0.91666666666666663</v>
      </c>
      <c r="R2161" s="121">
        <f t="shared" si="849"/>
        <v>8.333333333333337E-2</v>
      </c>
      <c r="S2161" s="121" t="str">
        <f t="shared" si="850"/>
        <v/>
      </c>
      <c r="T2161" s="121" t="str">
        <f t="shared" si="851"/>
        <v/>
      </c>
      <c r="U2161" s="121">
        <f t="shared" si="852"/>
        <v>1</v>
      </c>
    </row>
    <row r="2162" spans="1:21" x14ac:dyDescent="0.3">
      <c r="A2162" s="187">
        <v>32</v>
      </c>
      <c r="B2162" s="242">
        <f t="shared" si="853"/>
        <v>46600</v>
      </c>
      <c r="C2162" s="243">
        <f t="shared" si="834"/>
        <v>46630</v>
      </c>
      <c r="D2162" s="120">
        <f t="shared" si="835"/>
        <v>31</v>
      </c>
      <c r="E2162" s="120">
        <f t="shared" si="836"/>
        <v>8</v>
      </c>
      <c r="F2162" s="275">
        <f t="shared" si="837"/>
        <v>46615.5</v>
      </c>
      <c r="G2162" s="120">
        <f t="shared" si="838"/>
        <v>24331</v>
      </c>
      <c r="H2162" s="245">
        <f t="shared" si="839"/>
        <v>1</v>
      </c>
      <c r="I2162" s="121">
        <f t="shared" si="840"/>
        <v>1</v>
      </c>
      <c r="J2162" s="121">
        <f t="shared" si="841"/>
        <v>1</v>
      </c>
      <c r="K2162" s="120">
        <f t="shared" si="842"/>
        <v>0</v>
      </c>
      <c r="L2162" s="120">
        <f t="shared" si="843"/>
        <v>0</v>
      </c>
      <c r="M2162" s="246">
        <f t="shared" si="844"/>
        <v>0</v>
      </c>
      <c r="N2162" s="121">
        <f t="shared" si="845"/>
        <v>1</v>
      </c>
      <c r="O2162" s="246">
        <f t="shared" si="846"/>
        <v>0.91</v>
      </c>
      <c r="P2162" s="121">
        <f t="shared" si="847"/>
        <v>0</v>
      </c>
      <c r="Q2162" s="121">
        <f t="shared" si="848"/>
        <v>0.75</v>
      </c>
      <c r="R2162" s="121">
        <f t="shared" si="849"/>
        <v>0.25</v>
      </c>
      <c r="S2162" s="121" t="str">
        <f t="shared" si="850"/>
        <v/>
      </c>
      <c r="T2162" s="121" t="str">
        <f t="shared" si="851"/>
        <v/>
      </c>
      <c r="U2162" s="121">
        <f t="shared" si="852"/>
        <v>1</v>
      </c>
    </row>
    <row r="2163" spans="1:21" x14ac:dyDescent="0.3">
      <c r="A2163" s="187">
        <v>33</v>
      </c>
      <c r="B2163" s="242">
        <f t="shared" si="853"/>
        <v>46631</v>
      </c>
      <c r="C2163" s="243">
        <f t="shared" si="834"/>
        <v>46660</v>
      </c>
      <c r="D2163" s="120">
        <f t="shared" si="835"/>
        <v>30</v>
      </c>
      <c r="E2163" s="120">
        <f t="shared" si="836"/>
        <v>9</v>
      </c>
      <c r="F2163" s="275">
        <f t="shared" si="837"/>
        <v>46646</v>
      </c>
      <c r="G2163" s="120">
        <f t="shared" si="838"/>
        <v>24332</v>
      </c>
      <c r="H2163" s="245">
        <f t="shared" si="839"/>
        <v>1</v>
      </c>
      <c r="I2163" s="121">
        <f t="shared" si="840"/>
        <v>1</v>
      </c>
      <c r="J2163" s="121">
        <f t="shared" si="841"/>
        <v>1</v>
      </c>
      <c r="K2163" s="120">
        <f t="shared" si="842"/>
        <v>0</v>
      </c>
      <c r="L2163" s="120">
        <f t="shared" si="843"/>
        <v>0</v>
      </c>
      <c r="M2163" s="246">
        <f t="shared" si="844"/>
        <v>0</v>
      </c>
      <c r="N2163" s="121">
        <f t="shared" si="845"/>
        <v>1</v>
      </c>
      <c r="O2163" s="246">
        <f t="shared" si="846"/>
        <v>0.91</v>
      </c>
      <c r="P2163" s="121">
        <f t="shared" si="847"/>
        <v>0</v>
      </c>
      <c r="Q2163" s="121">
        <f t="shared" si="848"/>
        <v>0.58333333333333337</v>
      </c>
      <c r="R2163" s="121">
        <f t="shared" si="849"/>
        <v>0.41666666666666663</v>
      </c>
      <c r="S2163" s="121" t="str">
        <f t="shared" si="850"/>
        <v/>
      </c>
      <c r="T2163" s="121" t="str">
        <f t="shared" si="851"/>
        <v/>
      </c>
      <c r="U2163" s="121">
        <f t="shared" si="852"/>
        <v>1</v>
      </c>
    </row>
    <row r="2164" spans="1:21" x14ac:dyDescent="0.3">
      <c r="A2164" s="187">
        <v>34</v>
      </c>
      <c r="B2164" s="242">
        <f t="shared" si="853"/>
        <v>46661</v>
      </c>
      <c r="C2164" s="243">
        <f t="shared" si="834"/>
        <v>46691</v>
      </c>
      <c r="D2164" s="120">
        <f t="shared" si="835"/>
        <v>31</v>
      </c>
      <c r="E2164" s="120">
        <f t="shared" si="836"/>
        <v>10</v>
      </c>
      <c r="F2164" s="275">
        <f t="shared" si="837"/>
        <v>46676.5</v>
      </c>
      <c r="G2164" s="120">
        <f t="shared" si="838"/>
        <v>24333</v>
      </c>
      <c r="H2164" s="245">
        <f t="shared" si="839"/>
        <v>1</v>
      </c>
      <c r="I2164" s="121">
        <f t="shared" si="840"/>
        <v>1</v>
      </c>
      <c r="J2164" s="121">
        <f t="shared" si="841"/>
        <v>1</v>
      </c>
      <c r="K2164" s="120">
        <f t="shared" si="842"/>
        <v>0</v>
      </c>
      <c r="L2164" s="120">
        <f t="shared" si="843"/>
        <v>0</v>
      </c>
      <c r="M2164" s="246">
        <f t="shared" si="844"/>
        <v>0</v>
      </c>
      <c r="N2164" s="121">
        <f t="shared" si="845"/>
        <v>1</v>
      </c>
      <c r="O2164" s="246">
        <f t="shared" si="846"/>
        <v>0.91</v>
      </c>
      <c r="P2164" s="121">
        <f t="shared" si="847"/>
        <v>0</v>
      </c>
      <c r="Q2164" s="121">
        <f t="shared" si="848"/>
        <v>0.41666666666666669</v>
      </c>
      <c r="R2164" s="121">
        <f t="shared" si="849"/>
        <v>0.58333333333333326</v>
      </c>
      <c r="S2164" s="121" t="str">
        <f t="shared" si="850"/>
        <v/>
      </c>
      <c r="T2164" s="121" t="str">
        <f t="shared" si="851"/>
        <v/>
      </c>
      <c r="U2164" s="121">
        <f t="shared" si="852"/>
        <v>1</v>
      </c>
    </row>
    <row r="2165" spans="1:21" x14ac:dyDescent="0.3">
      <c r="A2165" s="187">
        <v>35</v>
      </c>
      <c r="B2165" s="242">
        <f t="shared" si="853"/>
        <v>46692</v>
      </c>
      <c r="C2165" s="243">
        <f t="shared" si="834"/>
        <v>46721</v>
      </c>
      <c r="D2165" s="120">
        <f t="shared" si="835"/>
        <v>30</v>
      </c>
      <c r="E2165" s="120">
        <f t="shared" si="836"/>
        <v>11</v>
      </c>
      <c r="F2165" s="275">
        <f t="shared" si="837"/>
        <v>46707</v>
      </c>
      <c r="G2165" s="120">
        <f t="shared" si="838"/>
        <v>24334</v>
      </c>
      <c r="H2165" s="245">
        <f t="shared" si="839"/>
        <v>1</v>
      </c>
      <c r="I2165" s="121">
        <f t="shared" si="840"/>
        <v>1</v>
      </c>
      <c r="J2165" s="121">
        <f t="shared" si="841"/>
        <v>1</v>
      </c>
      <c r="K2165" s="120">
        <f t="shared" si="842"/>
        <v>0</v>
      </c>
      <c r="L2165" s="120">
        <f t="shared" si="843"/>
        <v>0</v>
      </c>
      <c r="M2165" s="246">
        <f t="shared" si="844"/>
        <v>0</v>
      </c>
      <c r="N2165" s="121">
        <f t="shared" si="845"/>
        <v>1</v>
      </c>
      <c r="O2165" s="246">
        <f t="shared" si="846"/>
        <v>0.91</v>
      </c>
      <c r="P2165" s="121">
        <f t="shared" si="847"/>
        <v>0</v>
      </c>
      <c r="Q2165" s="121">
        <f t="shared" si="848"/>
        <v>0.25</v>
      </c>
      <c r="R2165" s="121">
        <f t="shared" si="849"/>
        <v>0.75</v>
      </c>
      <c r="S2165" s="121" t="str">
        <f t="shared" si="850"/>
        <v/>
      </c>
      <c r="T2165" s="121" t="str">
        <f t="shared" si="851"/>
        <v/>
      </c>
      <c r="U2165" s="121">
        <f t="shared" si="852"/>
        <v>1</v>
      </c>
    </row>
    <row r="2166" spans="1:21" x14ac:dyDescent="0.3">
      <c r="A2166" s="187">
        <v>36</v>
      </c>
      <c r="B2166" s="242">
        <f t="shared" si="853"/>
        <v>46722</v>
      </c>
      <c r="C2166" s="243">
        <f t="shared" si="834"/>
        <v>46752</v>
      </c>
      <c r="D2166" s="120">
        <f t="shared" si="835"/>
        <v>31</v>
      </c>
      <c r="E2166" s="120">
        <f t="shared" si="836"/>
        <v>12</v>
      </c>
      <c r="F2166" s="275">
        <f t="shared" si="837"/>
        <v>46737.5</v>
      </c>
      <c r="G2166" s="120">
        <f t="shared" si="838"/>
        <v>24335</v>
      </c>
      <c r="H2166" s="245">
        <f t="shared" si="839"/>
        <v>1</v>
      </c>
      <c r="I2166" s="121">
        <f t="shared" si="840"/>
        <v>1</v>
      </c>
      <c r="J2166" s="121">
        <f t="shared" si="841"/>
        <v>1</v>
      </c>
      <c r="K2166" s="120">
        <f t="shared" si="842"/>
        <v>0</v>
      </c>
      <c r="L2166" s="120">
        <f t="shared" si="843"/>
        <v>0</v>
      </c>
      <c r="M2166" s="246">
        <f t="shared" si="844"/>
        <v>0</v>
      </c>
      <c r="N2166" s="121">
        <f t="shared" si="845"/>
        <v>1</v>
      </c>
      <c r="O2166" s="246">
        <f t="shared" si="846"/>
        <v>0.91</v>
      </c>
      <c r="P2166" s="121">
        <f t="shared" si="847"/>
        <v>0</v>
      </c>
      <c r="Q2166" s="121">
        <f t="shared" si="848"/>
        <v>8.3333333333333329E-2</v>
      </c>
      <c r="R2166" s="121">
        <f t="shared" si="849"/>
        <v>0.91666666666666663</v>
      </c>
      <c r="S2166" s="121" t="str">
        <f t="shared" si="850"/>
        <v/>
      </c>
      <c r="T2166" s="121" t="str">
        <f t="shared" si="851"/>
        <v/>
      </c>
      <c r="U2166" s="121">
        <f t="shared" si="852"/>
        <v>1</v>
      </c>
    </row>
    <row r="2167" spans="1:21" x14ac:dyDescent="0.3">
      <c r="A2167" s="187">
        <v>37</v>
      </c>
      <c r="B2167" s="242">
        <f t="shared" si="853"/>
        <v>46753</v>
      </c>
      <c r="C2167" s="243">
        <f t="shared" si="834"/>
        <v>46783</v>
      </c>
      <c r="D2167" s="120">
        <f t="shared" si="835"/>
        <v>31</v>
      </c>
      <c r="E2167" s="120">
        <f t="shared" si="836"/>
        <v>1</v>
      </c>
      <c r="F2167" s="275">
        <f t="shared" si="837"/>
        <v>46768.5</v>
      </c>
      <c r="G2167" s="120">
        <f t="shared" si="838"/>
        <v>24336</v>
      </c>
      <c r="H2167" s="245">
        <f t="shared" si="839"/>
        <v>1</v>
      </c>
      <c r="I2167" s="121">
        <f t="shared" si="840"/>
        <v>1</v>
      </c>
      <c r="J2167" s="121">
        <f t="shared" si="841"/>
        <v>1</v>
      </c>
      <c r="K2167" s="120">
        <f t="shared" si="842"/>
        <v>0</v>
      </c>
      <c r="L2167" s="120">
        <f t="shared" si="843"/>
        <v>0</v>
      </c>
      <c r="M2167" s="246">
        <f t="shared" si="844"/>
        <v>0</v>
      </c>
      <c r="N2167" s="121">
        <f t="shared" si="845"/>
        <v>1</v>
      </c>
      <c r="O2167" s="246">
        <f t="shared" si="846"/>
        <v>0.91</v>
      </c>
      <c r="P2167" s="121">
        <f t="shared" si="847"/>
        <v>0</v>
      </c>
      <c r="Q2167" s="121">
        <f t="shared" si="848"/>
        <v>0</v>
      </c>
      <c r="R2167" s="121">
        <f t="shared" si="849"/>
        <v>1</v>
      </c>
      <c r="S2167" s="121" t="str">
        <f t="shared" si="850"/>
        <v/>
      </c>
      <c r="T2167" s="121" t="str">
        <f t="shared" si="851"/>
        <v/>
      </c>
      <c r="U2167" s="121">
        <f t="shared" si="852"/>
        <v>1</v>
      </c>
    </row>
    <row r="2168" spans="1:21" x14ac:dyDescent="0.3">
      <c r="A2168" s="187">
        <v>38</v>
      </c>
      <c r="B2168" s="242">
        <f t="shared" si="853"/>
        <v>46784</v>
      </c>
      <c r="C2168" s="243">
        <f t="shared" si="834"/>
        <v>46812</v>
      </c>
      <c r="D2168" s="120">
        <f t="shared" si="835"/>
        <v>29</v>
      </c>
      <c r="E2168" s="120">
        <f t="shared" si="836"/>
        <v>2</v>
      </c>
      <c r="F2168" s="275">
        <f t="shared" si="837"/>
        <v>46798.5</v>
      </c>
      <c r="G2168" s="120">
        <f t="shared" si="838"/>
        <v>24337</v>
      </c>
      <c r="H2168" s="245">
        <f t="shared" si="839"/>
        <v>1</v>
      </c>
      <c r="I2168" s="121">
        <f t="shared" si="840"/>
        <v>1</v>
      </c>
      <c r="J2168" s="121">
        <f t="shared" si="841"/>
        <v>1</v>
      </c>
      <c r="K2168" s="120">
        <f t="shared" si="842"/>
        <v>0</v>
      </c>
      <c r="L2168" s="120">
        <f t="shared" si="843"/>
        <v>0</v>
      </c>
      <c r="M2168" s="246">
        <f t="shared" si="844"/>
        <v>0</v>
      </c>
      <c r="N2168" s="121">
        <f t="shared" si="845"/>
        <v>1</v>
      </c>
      <c r="O2168" s="246">
        <f t="shared" si="846"/>
        <v>0.91</v>
      </c>
      <c r="P2168" s="121">
        <f t="shared" si="847"/>
        <v>0</v>
      </c>
      <c r="Q2168" s="121">
        <f t="shared" si="848"/>
        <v>0</v>
      </c>
      <c r="R2168" s="121">
        <f t="shared" si="849"/>
        <v>1</v>
      </c>
      <c r="S2168" s="121" t="str">
        <f t="shared" si="850"/>
        <v/>
      </c>
      <c r="T2168" s="121" t="str">
        <f t="shared" si="851"/>
        <v/>
      </c>
      <c r="U2168" s="121">
        <f t="shared" si="852"/>
        <v>1</v>
      </c>
    </row>
    <row r="2169" spans="1:21" x14ac:dyDescent="0.3">
      <c r="A2169" s="187">
        <v>39</v>
      </c>
      <c r="B2169" s="242">
        <f t="shared" si="853"/>
        <v>46813</v>
      </c>
      <c r="C2169" s="243">
        <f t="shared" si="834"/>
        <v>46843</v>
      </c>
      <c r="D2169" s="120">
        <f t="shared" si="835"/>
        <v>31</v>
      </c>
      <c r="E2169" s="120">
        <f t="shared" si="836"/>
        <v>3</v>
      </c>
      <c r="F2169" s="275">
        <f t="shared" si="837"/>
        <v>46828.5</v>
      </c>
      <c r="G2169" s="120">
        <f t="shared" si="838"/>
        <v>24338</v>
      </c>
      <c r="H2169" s="245">
        <f t="shared" si="839"/>
        <v>1</v>
      </c>
      <c r="I2169" s="121">
        <f t="shared" si="840"/>
        <v>1</v>
      </c>
      <c r="J2169" s="121">
        <f t="shared" si="841"/>
        <v>1</v>
      </c>
      <c r="K2169" s="120">
        <f t="shared" si="842"/>
        <v>0</v>
      </c>
      <c r="L2169" s="120">
        <f t="shared" si="843"/>
        <v>0</v>
      </c>
      <c r="M2169" s="246">
        <f t="shared" si="844"/>
        <v>0</v>
      </c>
      <c r="N2169" s="121">
        <f t="shared" si="845"/>
        <v>1</v>
      </c>
      <c r="O2169" s="246">
        <f t="shared" si="846"/>
        <v>0.91</v>
      </c>
      <c r="P2169" s="121">
        <f t="shared" si="847"/>
        <v>0</v>
      </c>
      <c r="Q2169" s="121">
        <f t="shared" si="848"/>
        <v>0</v>
      </c>
      <c r="R2169" s="121">
        <f t="shared" si="849"/>
        <v>1</v>
      </c>
      <c r="S2169" s="121" t="str">
        <f t="shared" si="850"/>
        <v/>
      </c>
      <c r="T2169" s="121" t="str">
        <f t="shared" si="851"/>
        <v/>
      </c>
      <c r="U2169" s="121">
        <f t="shared" si="852"/>
        <v>1</v>
      </c>
    </row>
    <row r="2170" spans="1:21" x14ac:dyDescent="0.3">
      <c r="A2170" s="187">
        <v>40</v>
      </c>
      <c r="B2170" s="242">
        <f t="shared" si="853"/>
        <v>46844</v>
      </c>
      <c r="C2170" s="243">
        <f t="shared" si="834"/>
        <v>46873</v>
      </c>
      <c r="D2170" s="120">
        <f t="shared" si="835"/>
        <v>30</v>
      </c>
      <c r="E2170" s="120">
        <f t="shared" si="836"/>
        <v>4</v>
      </c>
      <c r="F2170" s="275">
        <f t="shared" si="837"/>
        <v>46859</v>
      </c>
      <c r="G2170" s="120">
        <f t="shared" si="838"/>
        <v>24339</v>
      </c>
      <c r="H2170" s="245">
        <f t="shared" si="839"/>
        <v>1</v>
      </c>
      <c r="I2170" s="121">
        <f t="shared" si="840"/>
        <v>1</v>
      </c>
      <c r="J2170" s="121">
        <f t="shared" si="841"/>
        <v>1</v>
      </c>
      <c r="K2170" s="120">
        <f t="shared" si="842"/>
        <v>0</v>
      </c>
      <c r="L2170" s="120">
        <f t="shared" si="843"/>
        <v>0</v>
      </c>
      <c r="M2170" s="246">
        <f t="shared" si="844"/>
        <v>0</v>
      </c>
      <c r="N2170" s="121">
        <f t="shared" si="845"/>
        <v>1</v>
      </c>
      <c r="O2170" s="246">
        <f t="shared" si="846"/>
        <v>0.91</v>
      </c>
      <c r="P2170" s="121">
        <f t="shared" si="847"/>
        <v>0</v>
      </c>
      <c r="Q2170" s="121">
        <f t="shared" si="848"/>
        <v>0</v>
      </c>
      <c r="R2170" s="121">
        <f t="shared" si="849"/>
        <v>1</v>
      </c>
      <c r="S2170" s="121" t="str">
        <f t="shared" si="850"/>
        <v/>
      </c>
      <c r="T2170" s="121" t="str">
        <f t="shared" si="851"/>
        <v/>
      </c>
      <c r="U2170" s="121">
        <f t="shared" si="852"/>
        <v>1</v>
      </c>
    </row>
    <row r="2171" spans="1:21" x14ac:dyDescent="0.3">
      <c r="A2171" s="187">
        <v>41</v>
      </c>
      <c r="B2171" s="242">
        <f t="shared" si="853"/>
        <v>46874</v>
      </c>
      <c r="C2171" s="243">
        <f t="shared" si="834"/>
        <v>46904</v>
      </c>
      <c r="D2171" s="120">
        <f t="shared" si="835"/>
        <v>31</v>
      </c>
      <c r="E2171" s="120">
        <f t="shared" si="836"/>
        <v>5</v>
      </c>
      <c r="F2171" s="275">
        <f t="shared" si="837"/>
        <v>46889.5</v>
      </c>
      <c r="G2171" s="120">
        <f t="shared" si="838"/>
        <v>24340</v>
      </c>
      <c r="H2171" s="245">
        <f t="shared" si="839"/>
        <v>1</v>
      </c>
      <c r="I2171" s="121">
        <f t="shared" si="840"/>
        <v>1</v>
      </c>
      <c r="J2171" s="121">
        <f t="shared" si="841"/>
        <v>1</v>
      </c>
      <c r="K2171" s="120">
        <f t="shared" si="842"/>
        <v>0</v>
      </c>
      <c r="L2171" s="120">
        <f t="shared" si="843"/>
        <v>0</v>
      </c>
      <c r="M2171" s="246">
        <f t="shared" si="844"/>
        <v>0</v>
      </c>
      <c r="N2171" s="121">
        <f t="shared" si="845"/>
        <v>1</v>
      </c>
      <c r="O2171" s="246">
        <f t="shared" si="846"/>
        <v>0.91</v>
      </c>
      <c r="P2171" s="121">
        <f t="shared" si="847"/>
        <v>0</v>
      </c>
      <c r="Q2171" s="121">
        <f t="shared" si="848"/>
        <v>0</v>
      </c>
      <c r="R2171" s="121">
        <f t="shared" si="849"/>
        <v>1</v>
      </c>
      <c r="S2171" s="121" t="str">
        <f t="shared" si="850"/>
        <v/>
      </c>
      <c r="T2171" s="121" t="str">
        <f t="shared" si="851"/>
        <v/>
      </c>
      <c r="U2171" s="121">
        <f t="shared" si="852"/>
        <v>1</v>
      </c>
    </row>
    <row r="2172" spans="1:21" x14ac:dyDescent="0.3">
      <c r="A2172" s="187">
        <v>42</v>
      </c>
      <c r="B2172" s="242">
        <f t="shared" si="853"/>
        <v>46905</v>
      </c>
      <c r="C2172" s="243">
        <f t="shared" si="834"/>
        <v>46934</v>
      </c>
      <c r="D2172" s="120">
        <f t="shared" si="835"/>
        <v>30</v>
      </c>
      <c r="E2172" s="120">
        <f t="shared" si="836"/>
        <v>6</v>
      </c>
      <c r="F2172" s="275">
        <f t="shared" si="837"/>
        <v>46920</v>
      </c>
      <c r="G2172" s="120">
        <f t="shared" si="838"/>
        <v>24341</v>
      </c>
      <c r="H2172" s="245">
        <f t="shared" si="839"/>
        <v>1</v>
      </c>
      <c r="I2172" s="121">
        <f t="shared" si="840"/>
        <v>1</v>
      </c>
      <c r="J2172" s="121">
        <f t="shared" si="841"/>
        <v>1</v>
      </c>
      <c r="K2172" s="120">
        <f t="shared" si="842"/>
        <v>0</v>
      </c>
      <c r="L2172" s="120">
        <f t="shared" si="843"/>
        <v>0</v>
      </c>
      <c r="M2172" s="246">
        <f t="shared" si="844"/>
        <v>0</v>
      </c>
      <c r="N2172" s="121">
        <f t="shared" si="845"/>
        <v>1</v>
      </c>
      <c r="O2172" s="246">
        <f t="shared" si="846"/>
        <v>0.91</v>
      </c>
      <c r="P2172" s="121">
        <f t="shared" si="847"/>
        <v>0</v>
      </c>
      <c r="Q2172" s="121">
        <f t="shared" si="848"/>
        <v>0</v>
      </c>
      <c r="R2172" s="121">
        <f t="shared" si="849"/>
        <v>1</v>
      </c>
      <c r="S2172" s="121" t="str">
        <f t="shared" si="850"/>
        <v/>
      </c>
      <c r="T2172" s="121" t="str">
        <f t="shared" si="851"/>
        <v/>
      </c>
      <c r="U2172" s="121">
        <f t="shared" si="852"/>
        <v>1</v>
      </c>
    </row>
    <row r="2173" spans="1:21" x14ac:dyDescent="0.3">
      <c r="A2173" s="187">
        <v>43</v>
      </c>
      <c r="B2173" s="242">
        <f t="shared" si="853"/>
        <v>46935</v>
      </c>
      <c r="C2173" s="243">
        <f t="shared" si="834"/>
        <v>46965</v>
      </c>
      <c r="D2173" s="120">
        <f t="shared" si="835"/>
        <v>31</v>
      </c>
      <c r="E2173" s="120">
        <f t="shared" si="836"/>
        <v>7</v>
      </c>
      <c r="F2173" s="275">
        <f t="shared" si="837"/>
        <v>46950.5</v>
      </c>
      <c r="G2173" s="120">
        <f t="shared" si="838"/>
        <v>24342</v>
      </c>
      <c r="H2173" s="245">
        <f t="shared" si="839"/>
        <v>1</v>
      </c>
      <c r="I2173" s="121">
        <f t="shared" si="840"/>
        <v>1</v>
      </c>
      <c r="J2173" s="121">
        <f t="shared" si="841"/>
        <v>1</v>
      </c>
      <c r="K2173" s="120">
        <f t="shared" si="842"/>
        <v>0</v>
      </c>
      <c r="L2173" s="120">
        <f t="shared" si="843"/>
        <v>0</v>
      </c>
      <c r="M2173" s="246">
        <f t="shared" si="844"/>
        <v>0</v>
      </c>
      <c r="N2173" s="121">
        <f t="shared" si="845"/>
        <v>1</v>
      </c>
      <c r="O2173" s="246">
        <f t="shared" si="846"/>
        <v>0.91</v>
      </c>
      <c r="P2173" s="121">
        <f t="shared" si="847"/>
        <v>0</v>
      </c>
      <c r="Q2173" s="121">
        <f t="shared" si="848"/>
        <v>0</v>
      </c>
      <c r="R2173" s="121">
        <f t="shared" si="849"/>
        <v>0.91666666666666663</v>
      </c>
      <c r="S2173" s="121" t="str">
        <f t="shared" si="850"/>
        <v/>
      </c>
      <c r="T2173" s="121" t="str">
        <f t="shared" si="851"/>
        <v/>
      </c>
      <c r="U2173" s="121">
        <f t="shared" si="852"/>
        <v>1</v>
      </c>
    </row>
    <row r="2174" spans="1:21" x14ac:dyDescent="0.3">
      <c r="A2174" s="187">
        <v>44</v>
      </c>
      <c r="B2174" s="242">
        <f t="shared" si="853"/>
        <v>46966</v>
      </c>
      <c r="C2174" s="243">
        <f t="shared" si="834"/>
        <v>46996</v>
      </c>
      <c r="D2174" s="120">
        <f t="shared" si="835"/>
        <v>31</v>
      </c>
      <c r="E2174" s="120">
        <f t="shared" si="836"/>
        <v>8</v>
      </c>
      <c r="F2174" s="275">
        <f t="shared" si="837"/>
        <v>46981.5</v>
      </c>
      <c r="G2174" s="120">
        <f t="shared" si="838"/>
        <v>24343</v>
      </c>
      <c r="H2174" s="245">
        <f t="shared" si="839"/>
        <v>1</v>
      </c>
      <c r="I2174" s="121">
        <f t="shared" si="840"/>
        <v>1</v>
      </c>
      <c r="J2174" s="121">
        <f t="shared" si="841"/>
        <v>1</v>
      </c>
      <c r="K2174" s="120">
        <f t="shared" si="842"/>
        <v>0</v>
      </c>
      <c r="L2174" s="120">
        <f t="shared" si="843"/>
        <v>0</v>
      </c>
      <c r="M2174" s="246">
        <f t="shared" si="844"/>
        <v>0</v>
      </c>
      <c r="N2174" s="121">
        <f t="shared" si="845"/>
        <v>1</v>
      </c>
      <c r="O2174" s="246">
        <f t="shared" si="846"/>
        <v>0.91</v>
      </c>
      <c r="P2174" s="121">
        <f t="shared" si="847"/>
        <v>0</v>
      </c>
      <c r="Q2174" s="121">
        <f t="shared" si="848"/>
        <v>0</v>
      </c>
      <c r="R2174" s="121">
        <f t="shared" si="849"/>
        <v>0.75</v>
      </c>
      <c r="S2174" s="121" t="str">
        <f t="shared" si="850"/>
        <v/>
      </c>
      <c r="T2174" s="121" t="str">
        <f t="shared" si="851"/>
        <v/>
      </c>
      <c r="U2174" s="121">
        <f t="shared" si="852"/>
        <v>1</v>
      </c>
    </row>
    <row r="2175" spans="1:21" x14ac:dyDescent="0.3">
      <c r="A2175" s="187">
        <v>45</v>
      </c>
      <c r="B2175" s="242">
        <f t="shared" si="853"/>
        <v>46997</v>
      </c>
      <c r="C2175" s="243">
        <f t="shared" si="834"/>
        <v>47026</v>
      </c>
      <c r="D2175" s="120">
        <f t="shared" si="835"/>
        <v>30</v>
      </c>
      <c r="E2175" s="120">
        <f t="shared" si="836"/>
        <v>9</v>
      </c>
      <c r="F2175" s="275">
        <f t="shared" si="837"/>
        <v>47012</v>
      </c>
      <c r="G2175" s="120">
        <f t="shared" si="838"/>
        <v>24344</v>
      </c>
      <c r="H2175" s="245">
        <f t="shared" si="839"/>
        <v>1</v>
      </c>
      <c r="I2175" s="121">
        <f t="shared" si="840"/>
        <v>1</v>
      </c>
      <c r="J2175" s="121">
        <f t="shared" si="841"/>
        <v>1</v>
      </c>
      <c r="K2175" s="120">
        <f t="shared" si="842"/>
        <v>0</v>
      </c>
      <c r="L2175" s="120">
        <f t="shared" si="843"/>
        <v>0</v>
      </c>
      <c r="M2175" s="246">
        <f t="shared" si="844"/>
        <v>0</v>
      </c>
      <c r="N2175" s="121">
        <f t="shared" si="845"/>
        <v>1</v>
      </c>
      <c r="O2175" s="246">
        <f t="shared" si="846"/>
        <v>0.91</v>
      </c>
      <c r="P2175" s="121">
        <f t="shared" si="847"/>
        <v>0</v>
      </c>
      <c r="Q2175" s="121">
        <f t="shared" si="848"/>
        <v>0</v>
      </c>
      <c r="R2175" s="121">
        <f t="shared" si="849"/>
        <v>0.58333333333333337</v>
      </c>
      <c r="S2175" s="121" t="str">
        <f t="shared" si="850"/>
        <v/>
      </c>
      <c r="T2175" s="121" t="str">
        <f t="shared" si="851"/>
        <v/>
      </c>
      <c r="U2175" s="121">
        <f t="shared" si="852"/>
        <v>1</v>
      </c>
    </row>
    <row r="2176" spans="1:21" x14ac:dyDescent="0.3">
      <c r="A2176" s="187">
        <v>46</v>
      </c>
      <c r="B2176" s="242">
        <f t="shared" si="853"/>
        <v>47027</v>
      </c>
      <c r="C2176" s="243">
        <f t="shared" si="834"/>
        <v>47057</v>
      </c>
      <c r="D2176" s="120">
        <f t="shared" si="835"/>
        <v>31</v>
      </c>
      <c r="E2176" s="120">
        <f t="shared" si="836"/>
        <v>10</v>
      </c>
      <c r="F2176" s="275">
        <f t="shared" si="837"/>
        <v>47042.5</v>
      </c>
      <c r="G2176" s="120">
        <f t="shared" si="838"/>
        <v>24345</v>
      </c>
      <c r="H2176" s="245">
        <f t="shared" si="839"/>
        <v>1</v>
      </c>
      <c r="I2176" s="121">
        <f t="shared" si="840"/>
        <v>1</v>
      </c>
      <c r="J2176" s="121">
        <f t="shared" si="841"/>
        <v>1</v>
      </c>
      <c r="K2176" s="120">
        <f t="shared" si="842"/>
        <v>0</v>
      </c>
      <c r="L2176" s="120">
        <f t="shared" si="843"/>
        <v>0</v>
      </c>
      <c r="M2176" s="246">
        <f t="shared" si="844"/>
        <v>0</v>
      </c>
      <c r="N2176" s="121">
        <f t="shared" si="845"/>
        <v>1</v>
      </c>
      <c r="O2176" s="246">
        <f t="shared" si="846"/>
        <v>0.91</v>
      </c>
      <c r="P2176" s="121">
        <f t="shared" si="847"/>
        <v>0</v>
      </c>
      <c r="Q2176" s="121">
        <f t="shared" si="848"/>
        <v>0</v>
      </c>
      <c r="R2176" s="121">
        <f t="shared" si="849"/>
        <v>0.41666666666666669</v>
      </c>
      <c r="S2176" s="121" t="str">
        <f t="shared" si="850"/>
        <v/>
      </c>
      <c r="T2176" s="121" t="str">
        <f t="shared" si="851"/>
        <v/>
      </c>
      <c r="U2176" s="121">
        <f t="shared" si="852"/>
        <v>1</v>
      </c>
    </row>
    <row r="2177" spans="1:21" x14ac:dyDescent="0.3">
      <c r="A2177" s="187">
        <v>47</v>
      </c>
      <c r="B2177" s="242">
        <f t="shared" si="853"/>
        <v>47058</v>
      </c>
      <c r="C2177" s="243">
        <f t="shared" si="834"/>
        <v>47087</v>
      </c>
      <c r="D2177" s="120">
        <f t="shared" si="835"/>
        <v>30</v>
      </c>
      <c r="E2177" s="120">
        <f t="shared" si="836"/>
        <v>11</v>
      </c>
      <c r="F2177" s="275">
        <f t="shared" si="837"/>
        <v>47073</v>
      </c>
      <c r="G2177" s="120">
        <f t="shared" si="838"/>
        <v>24346</v>
      </c>
      <c r="H2177" s="245">
        <f t="shared" si="839"/>
        <v>1</v>
      </c>
      <c r="I2177" s="121">
        <f t="shared" si="840"/>
        <v>1</v>
      </c>
      <c r="J2177" s="121">
        <f t="shared" si="841"/>
        <v>1</v>
      </c>
      <c r="K2177" s="120">
        <f t="shared" si="842"/>
        <v>0</v>
      </c>
      <c r="L2177" s="120">
        <f t="shared" si="843"/>
        <v>0</v>
      </c>
      <c r="M2177" s="246">
        <f t="shared" si="844"/>
        <v>0</v>
      </c>
      <c r="N2177" s="121">
        <f t="shared" si="845"/>
        <v>1</v>
      </c>
      <c r="O2177" s="246">
        <f t="shared" si="846"/>
        <v>0.91</v>
      </c>
      <c r="P2177" s="121">
        <f t="shared" si="847"/>
        <v>0</v>
      </c>
      <c r="Q2177" s="121">
        <f t="shared" si="848"/>
        <v>0</v>
      </c>
      <c r="R2177" s="121">
        <f t="shared" si="849"/>
        <v>0.25</v>
      </c>
      <c r="S2177" s="121" t="str">
        <f t="shared" si="850"/>
        <v/>
      </c>
      <c r="T2177" s="121" t="str">
        <f t="shared" si="851"/>
        <v/>
      </c>
      <c r="U2177" s="121">
        <f t="shared" si="852"/>
        <v>1</v>
      </c>
    </row>
    <row r="2178" spans="1:21" x14ac:dyDescent="0.3">
      <c r="A2178" s="187">
        <v>48</v>
      </c>
      <c r="B2178" s="242">
        <f t="shared" si="853"/>
        <v>47088</v>
      </c>
      <c r="C2178" s="243">
        <f t="shared" si="834"/>
        <v>47118</v>
      </c>
      <c r="D2178" s="120">
        <f t="shared" si="835"/>
        <v>31</v>
      </c>
      <c r="E2178" s="120">
        <f t="shared" si="836"/>
        <v>12</v>
      </c>
      <c r="F2178" s="275">
        <f t="shared" si="837"/>
        <v>47103.5</v>
      </c>
      <c r="G2178" s="120">
        <f t="shared" si="838"/>
        <v>24347</v>
      </c>
      <c r="H2178" s="245">
        <f t="shared" si="839"/>
        <v>1</v>
      </c>
      <c r="I2178" s="121">
        <f t="shared" si="840"/>
        <v>1</v>
      </c>
      <c r="J2178" s="121">
        <f t="shared" si="841"/>
        <v>1</v>
      </c>
      <c r="K2178" s="120">
        <f t="shared" si="842"/>
        <v>0</v>
      </c>
      <c r="L2178" s="120">
        <f t="shared" si="843"/>
        <v>0</v>
      </c>
      <c r="M2178" s="246">
        <f t="shared" si="844"/>
        <v>0</v>
      </c>
      <c r="N2178" s="121">
        <f t="shared" si="845"/>
        <v>1</v>
      </c>
      <c r="O2178" s="246">
        <f t="shared" si="846"/>
        <v>0.91</v>
      </c>
      <c r="P2178" s="121">
        <f t="shared" si="847"/>
        <v>0</v>
      </c>
      <c r="Q2178" s="121">
        <f t="shared" si="848"/>
        <v>0</v>
      </c>
      <c r="R2178" s="121">
        <f t="shared" si="849"/>
        <v>8.3333333333333329E-2</v>
      </c>
      <c r="S2178" s="121" t="str">
        <f t="shared" si="850"/>
        <v/>
      </c>
      <c r="T2178" s="121" t="str">
        <f t="shared" si="851"/>
        <v/>
      </c>
      <c r="U2178" s="121">
        <f t="shared" si="852"/>
        <v>1</v>
      </c>
    </row>
    <row r="2179" spans="1:21" x14ac:dyDescent="0.3">
      <c r="A2179" s="6" t="s">
        <v>1651</v>
      </c>
      <c r="B2179" s="73">
        <f>EXP(SUMPRODUCT((rl_key=$A$2128)*(rl_cons="Y")*rl_ln1p))</f>
        <v>1</v>
      </c>
      <c r="C2179" s="73">
        <f>SUMPRODUCT($H$2131:$H$2178,$P$2131:$P$2178,$U$2131:$U$2178)/SUMPRODUCT($H$2131:$H$2178,$P$2131:$P$2178)</f>
        <v>1</v>
      </c>
      <c r="D2179" s="73">
        <f>SUMPRODUCT($H$2131:$H$2178,$Q$2131:$Q$2178,$U$2131:$U$2178)/SUMPRODUCT($H$2131:$H$2178,$Q$2131:$Q$2178)</f>
        <v>1</v>
      </c>
      <c r="E2179" s="73">
        <f>SUMPRODUCT($H$2131:$H$2178,$R$2131:$R$2178,$U$2131:$U$2178)/SUMPRODUCT($H$2131:$H$2178,$R$2131:$R$2178)</f>
        <v>1</v>
      </c>
      <c r="F2179" s="224">
        <f>SUMPRODUCT($H$2131:$H$2178,$Q$2131:$Q$2178,$O$2131:$O$2178)/SUMPRODUCT($H$2131:$H$2178,$Q$2131:$Q$2178)</f>
        <v>0.90999999999999981</v>
      </c>
      <c r="G2179" s="224">
        <f>SUMPRODUCT($H$2131:$H$2178,$R$2131:$R$2178,$O$2131:$O$2178)/SUMPRODUCT($H$2131:$H$2178,$R$2131:$R$2178)</f>
        <v>0.90999999999999981</v>
      </c>
      <c r="H2179" s="73">
        <f>SUMPRODUCT($H$2155:$H$2166,$N$2155:$N$2166/$N$2143:$N$2154)/SUM($H$2155:$H$2166)</f>
        <v>1</v>
      </c>
      <c r="I2179" s="73">
        <f>SUMPRODUCT($H$2155:$H$2166,$O$2155:$O$2166/$O$2143:$O$2154)/SUM($H$2155:$H$2166)</f>
        <v>1</v>
      </c>
      <c r="J2179" s="73">
        <f>IF($O$2128=1,SUMPRODUCT($H$2155:$H$2166,$N$2155:$N$2166/$N$2143:$N$2154*$O$2155:$O$2166/$O$2143:$O$2154)/SUM($H$2155:$H$2166),$H2179)</f>
        <v>1</v>
      </c>
      <c r="K2179" s="73">
        <f>SUMPRODUCT($H$2131:$H$2178,$Q$2131:$Q$2178,$N$2131:$N$2178)/SUMPRODUCT($H$2131:$H$2178,$Q$2131:$Q$2178)</f>
        <v>1</v>
      </c>
      <c r="L2179" s="73">
        <f>SUMPRODUCT($H$2131:$H$2178,$R$2131:$R$2178,$N$2131:$N$2178)/SUMPRODUCT($H$2131:$H$2178,$R$2131:$R$2178)</f>
        <v>1</v>
      </c>
    </row>
    <row r="2182" spans="1:21" x14ac:dyDescent="0.3">
      <c r="A2182" s="6" t="str">
        <f>INDEX(lr_key,40)</f>
        <v>MM|VA</v>
      </c>
      <c r="B2182" s="6" t="str">
        <f>INDEX(lr_state,40)</f>
        <v>VA</v>
      </c>
      <c r="C2182" s="75">
        <f>nr_TermMonths</f>
        <v>6</v>
      </c>
      <c r="D2182" s="75">
        <f>IF(COUNTIF(se_state,$B2182)=0,0,MATCH($B2182,se_state,0))</f>
        <v>0</v>
      </c>
      <c r="E2182" s="70">
        <f>IF($D2182=0,0,INDEX(se_sum,$D2182))</f>
        <v>0</v>
      </c>
      <c r="F2182" s="224">
        <f>IF(N(INDEX(lr_mind,40))=0,1,INDEX(lr_mind,40))</f>
        <v>0.92</v>
      </c>
      <c r="G2182" s="224">
        <f>IF(N(INDEX(lr_m0,40))=0,1,INDEX(lr_m0,40))</f>
        <v>0.91</v>
      </c>
      <c r="H2182" s="74">
        <f>IF(N(INDEX(lr_m0asof,40))=0,DATE(nr_PlanYear-1,10,1),INDEX(lr_m0asof,40))</f>
        <v>46295</v>
      </c>
      <c r="I2182" s="224">
        <f>IF(N(INDEX(lr_m1,40))=0,1,INDEX(lr_m1,40))</f>
        <v>0.92500000000000004</v>
      </c>
      <c r="J2182" s="224">
        <f>INDEX(lr_mprior,40)</f>
        <v>0</v>
      </c>
      <c r="K2182" s="224">
        <f>INDEX(lr_m2,40)</f>
        <v>0</v>
      </c>
      <c r="L2182" s="6" t="b">
        <f>NOT(ISBLANK(INDEX(lr_netp,40)))</f>
        <v>0</v>
      </c>
      <c r="M2182" s="72">
        <f>N(INDEX(lr_netp,40))</f>
        <v>0</v>
      </c>
      <c r="N2182" s="72">
        <f>IF(ISBLANK(INDEX(lr_netp1,40)),$M$2182,N(INDEX(lr_netp1,40)))</f>
        <v>0</v>
      </c>
      <c r="O2182" s="75">
        <f>IF(AND(nr_ModAdjMaster="ON",INDEX(lr_modadj,40)="ON"),1,0)</f>
        <v>1</v>
      </c>
    </row>
    <row r="2183" spans="1:21" x14ac:dyDescent="0.3">
      <c r="A2183" s="6">
        <f>EDATE($H$2182,-12)+1</f>
        <v>45931</v>
      </c>
      <c r="B2183" s="6">
        <f>$H$2182+1</f>
        <v>46296</v>
      </c>
      <c r="C2183" s="6">
        <f>DATE(nr_PlanYear,12,31)+1</f>
        <v>46753</v>
      </c>
      <c r="D2183" s="6">
        <f>DATE(nr_PlanYear+1,12,31)+1</f>
        <v>47119</v>
      </c>
      <c r="E2183" s="6">
        <f>IF(N($J$2182)=0,$F$2183-($G$2183-$F$2183)/($C$2183-$B$2183)*($B$2183-$A$2183),$J$2182)</f>
        <v>0.89801969365426693</v>
      </c>
      <c r="F2183" s="6">
        <f>$G$2182</f>
        <v>0.91</v>
      </c>
      <c r="G2183" s="6">
        <f>$I$2182</f>
        <v>0.92500000000000004</v>
      </c>
      <c r="H2183" s="6">
        <f>IF(N($K$2182)=0,$I$2182,$K$2182)</f>
        <v>0.92500000000000004</v>
      </c>
      <c r="I2183" s="6">
        <f>($F$2183-$E$2183)/($B$2183-$A$2183)</f>
        <v>3.2822757111597549E-5</v>
      </c>
      <c r="J2183" s="6">
        <f>($G$2183-$F$2183)/($C$2183-$B$2183)</f>
        <v>3.2822757111597407E-5</v>
      </c>
      <c r="K2183" s="6">
        <f>($H$2183-$G$2183)/($D$2183-$C$2183)</f>
        <v>0</v>
      </c>
    </row>
    <row r="2184" spans="1:21" ht="36" x14ac:dyDescent="0.3">
      <c r="A2184" s="58" t="s">
        <v>390</v>
      </c>
      <c r="B2184" s="58" t="s">
        <v>449</v>
      </c>
      <c r="C2184" s="58" t="s">
        <v>685</v>
      </c>
      <c r="D2184" s="58" t="s">
        <v>686</v>
      </c>
      <c r="E2184" s="58" t="s">
        <v>687</v>
      </c>
      <c r="F2184" s="58" t="s">
        <v>688</v>
      </c>
      <c r="G2184" s="58" t="s">
        <v>689</v>
      </c>
      <c r="H2184" s="58" t="s">
        <v>452</v>
      </c>
      <c r="I2184" s="58" t="s">
        <v>690</v>
      </c>
      <c r="J2184" s="58" t="s">
        <v>691</v>
      </c>
      <c r="K2184" s="58" t="s">
        <v>692</v>
      </c>
      <c r="L2184" s="58" t="s">
        <v>693</v>
      </c>
      <c r="M2184" s="58" t="s">
        <v>694</v>
      </c>
      <c r="N2184" s="58" t="s">
        <v>695</v>
      </c>
      <c r="O2184" s="58" t="s">
        <v>696</v>
      </c>
      <c r="P2184" s="58" t="s">
        <v>697</v>
      </c>
      <c r="Q2184" s="58" t="s">
        <v>698</v>
      </c>
      <c r="R2184" s="58" t="s">
        <v>699</v>
      </c>
      <c r="S2184" s="58" t="s">
        <v>700</v>
      </c>
      <c r="T2184" s="58" t="s">
        <v>701</v>
      </c>
      <c r="U2184" s="58" t="s">
        <v>702</v>
      </c>
    </row>
    <row r="2185" spans="1:21" x14ac:dyDescent="0.3">
      <c r="A2185" s="187">
        <v>1</v>
      </c>
      <c r="B2185" s="242">
        <f>DATE(nr_PlanYear-2,1,1)</f>
        <v>45658</v>
      </c>
      <c r="C2185" s="243">
        <f t="shared" ref="C2185:C2232" si="854">EOMONTH($B2185,0)</f>
        <v>45688</v>
      </c>
      <c r="D2185" s="120">
        <f t="shared" ref="D2185:D2232" si="855">$C2185-$B2185+1</f>
        <v>31</v>
      </c>
      <c r="E2185" s="120">
        <f t="shared" ref="E2185:E2232" si="856">MONTH($B2185)</f>
        <v>1</v>
      </c>
      <c r="F2185" s="275">
        <f t="shared" ref="F2185:F2232" si="857">($B2185+$C2185+1)/2</f>
        <v>45673.5</v>
      </c>
      <c r="G2185" s="120">
        <f t="shared" ref="G2185:G2232" si="858">YEAR($B2185)*12+MONTH($B2185)-1</f>
        <v>24300</v>
      </c>
      <c r="H2185" s="245">
        <f t="shared" ref="H2185:H2232" si="859">IF(OR(nr_SeasonOn="OFF",$D$2182=0,$E$2182=0),1,12*INDEX(se_block,$D$2182,$E2185)/$E$2182)</f>
        <v>1</v>
      </c>
      <c r="I2185" s="121">
        <f t="shared" ref="I2185:I2232" si="860">EXP(SUMPRODUCT((rl_eff&lt;$B2185)*(rl_key=$A$2182)*rl_ln1p))</f>
        <v>1</v>
      </c>
      <c r="J2185" s="121">
        <f t="shared" ref="J2185:J2232" si="861">EXP(SUMPRODUCT((rl_eff&lt;=$C2185)*(rl_key=$A$2182)*rl_ln1p))</f>
        <v>1</v>
      </c>
      <c r="K2185" s="120">
        <f t="shared" ref="K2185:K2232" si="862">COUNTIFS(rl_key,$A$2182,rl_eff,"&gt;="&amp;$B2185,rl_eff,"&lt;="&amp;$C2185)</f>
        <v>0</v>
      </c>
      <c r="L2185" s="120">
        <f t="shared" ref="L2185:L2232" si="863">SUMIFS(rl_daysafter,rl_key,$A$2182,rl_effmonth,$B2185,rl_first,1)</f>
        <v>0</v>
      </c>
      <c r="M2185" s="246">
        <f t="shared" ref="M2185:M2232" si="864">IF($K2185=0,0,MIN(1,$L2185/$D2185))</f>
        <v>0</v>
      </c>
      <c r="N2185" s="121">
        <f t="shared" ref="N2185:N2232" si="865">IF($K2185=0,$J2185,(1-$M2185)*$I2185+$M2185*$J2185)</f>
        <v>1</v>
      </c>
      <c r="O2185" s="246">
        <f t="shared" ref="O2185:O2232" si="866">IF($F2185&lt;$B$2183,$E$2183+$I$2183*($F2185-$A$2183),IF($F2185&lt;$C$2183,$F$2183+$J$2183*($F2185-$B$2183),$G$2183+$K$2183*($F2185-$C$2183)))</f>
        <v>0.88956783369803061</v>
      </c>
      <c r="P2185" s="121">
        <f t="shared" ref="P2185:P2232" si="867">MIN(1,MAX(0,(nr_MEndPm1-$G2185+0.5)/$C$2182))-MIN(1,MAX(0,(nr_MStartPm1-1-$G2185+0.5)/$C$2182))</f>
        <v>0</v>
      </c>
      <c r="Q2185" s="121">
        <f t="shared" ref="Q2185:Q2232" si="868">MIN(1,MAX(0,(nr_MEndP-$G2185+0.5)/$C$2182))-MIN(1,MAX(0,(nr_MStartP-1-$G2185+0.5)/$C$2182))</f>
        <v>0</v>
      </c>
      <c r="R2185" s="121">
        <f t="shared" ref="R2185:R2232" si="869">MIN(1,MAX(0,(nr_MEndP1-$G2185+0.5)/$C$2182))-MIN(1,MAX(0,(nr_MStartP1-1-$G2185+0.5)/$C$2182))</f>
        <v>0</v>
      </c>
      <c r="S2185" s="121" t="str">
        <f t="shared" ref="S2185:S2232" si="870">IF($L$2182,$N2185*IF($O$2182=1,$O2185/$F$2182,1),"")</f>
        <v/>
      </c>
      <c r="T2185" s="121" t="str">
        <f t="shared" ref="T2185:T2232" si="871">IF(NOT($L$2182),"",IF($G2185&lt;nr_MStartP,$S2185,$T2173*(1+IF($G2185&lt;nr_MStartP1,$M$2182,$N$2182))))</f>
        <v/>
      </c>
      <c r="U2185" s="121">
        <f t="shared" ref="U2185:U2232" si="872">IF($L$2182,$T2185,$N2185)</f>
        <v>1</v>
      </c>
    </row>
    <row r="2186" spans="1:21" x14ac:dyDescent="0.3">
      <c r="A2186" s="187">
        <v>2</v>
      </c>
      <c r="B2186" s="242">
        <f t="shared" ref="B2186:B2232" si="873">EDATE($B2185,1)</f>
        <v>45689</v>
      </c>
      <c r="C2186" s="243">
        <f t="shared" si="854"/>
        <v>45716</v>
      </c>
      <c r="D2186" s="120">
        <f t="shared" si="855"/>
        <v>28</v>
      </c>
      <c r="E2186" s="120">
        <f t="shared" si="856"/>
        <v>2</v>
      </c>
      <c r="F2186" s="275">
        <f t="shared" si="857"/>
        <v>45703</v>
      </c>
      <c r="G2186" s="120">
        <f t="shared" si="858"/>
        <v>24301</v>
      </c>
      <c r="H2186" s="245">
        <f t="shared" si="859"/>
        <v>1</v>
      </c>
      <c r="I2186" s="121">
        <f t="shared" si="860"/>
        <v>1</v>
      </c>
      <c r="J2186" s="121">
        <f t="shared" si="861"/>
        <v>1</v>
      </c>
      <c r="K2186" s="120">
        <f t="shared" si="862"/>
        <v>0</v>
      </c>
      <c r="L2186" s="120">
        <f t="shared" si="863"/>
        <v>0</v>
      </c>
      <c r="M2186" s="246">
        <f t="shared" si="864"/>
        <v>0</v>
      </c>
      <c r="N2186" s="121">
        <f t="shared" si="865"/>
        <v>1</v>
      </c>
      <c r="O2186" s="246">
        <f t="shared" si="866"/>
        <v>0.89053610503282266</v>
      </c>
      <c r="P2186" s="121">
        <f t="shared" si="867"/>
        <v>0</v>
      </c>
      <c r="Q2186" s="121">
        <f t="shared" si="868"/>
        <v>0</v>
      </c>
      <c r="R2186" s="121">
        <f t="shared" si="869"/>
        <v>0</v>
      </c>
      <c r="S2186" s="121" t="str">
        <f t="shared" si="870"/>
        <v/>
      </c>
      <c r="T2186" s="121" t="str">
        <f t="shared" si="871"/>
        <v/>
      </c>
      <c r="U2186" s="121">
        <f t="shared" si="872"/>
        <v>1</v>
      </c>
    </row>
    <row r="2187" spans="1:21" x14ac:dyDescent="0.3">
      <c r="A2187" s="187">
        <v>3</v>
      </c>
      <c r="B2187" s="242">
        <f t="shared" si="873"/>
        <v>45717</v>
      </c>
      <c r="C2187" s="243">
        <f t="shared" si="854"/>
        <v>45747</v>
      </c>
      <c r="D2187" s="120">
        <f t="shared" si="855"/>
        <v>31</v>
      </c>
      <c r="E2187" s="120">
        <f t="shared" si="856"/>
        <v>3</v>
      </c>
      <c r="F2187" s="275">
        <f t="shared" si="857"/>
        <v>45732.5</v>
      </c>
      <c r="G2187" s="120">
        <f t="shared" si="858"/>
        <v>24302</v>
      </c>
      <c r="H2187" s="245">
        <f t="shared" si="859"/>
        <v>1</v>
      </c>
      <c r="I2187" s="121">
        <f t="shared" si="860"/>
        <v>1</v>
      </c>
      <c r="J2187" s="121">
        <f t="shared" si="861"/>
        <v>1</v>
      </c>
      <c r="K2187" s="120">
        <f t="shared" si="862"/>
        <v>0</v>
      </c>
      <c r="L2187" s="120">
        <f t="shared" si="863"/>
        <v>0</v>
      </c>
      <c r="M2187" s="246">
        <f t="shared" si="864"/>
        <v>0</v>
      </c>
      <c r="N2187" s="121">
        <f t="shared" si="865"/>
        <v>1</v>
      </c>
      <c r="O2187" s="246">
        <f t="shared" si="866"/>
        <v>0.89150437636761481</v>
      </c>
      <c r="P2187" s="121">
        <f t="shared" si="867"/>
        <v>0</v>
      </c>
      <c r="Q2187" s="121">
        <f t="shared" si="868"/>
        <v>0</v>
      </c>
      <c r="R2187" s="121">
        <f t="shared" si="869"/>
        <v>0</v>
      </c>
      <c r="S2187" s="121" t="str">
        <f t="shared" si="870"/>
        <v/>
      </c>
      <c r="T2187" s="121" t="str">
        <f t="shared" si="871"/>
        <v/>
      </c>
      <c r="U2187" s="121">
        <f t="shared" si="872"/>
        <v>1</v>
      </c>
    </row>
    <row r="2188" spans="1:21" x14ac:dyDescent="0.3">
      <c r="A2188" s="187">
        <v>4</v>
      </c>
      <c r="B2188" s="242">
        <f t="shared" si="873"/>
        <v>45748</v>
      </c>
      <c r="C2188" s="243">
        <f t="shared" si="854"/>
        <v>45777</v>
      </c>
      <c r="D2188" s="120">
        <f t="shared" si="855"/>
        <v>30</v>
      </c>
      <c r="E2188" s="120">
        <f t="shared" si="856"/>
        <v>4</v>
      </c>
      <c r="F2188" s="275">
        <f t="shared" si="857"/>
        <v>45763</v>
      </c>
      <c r="G2188" s="120">
        <f t="shared" si="858"/>
        <v>24303</v>
      </c>
      <c r="H2188" s="245">
        <f t="shared" si="859"/>
        <v>1</v>
      </c>
      <c r="I2188" s="121">
        <f t="shared" si="860"/>
        <v>1</v>
      </c>
      <c r="J2188" s="121">
        <f t="shared" si="861"/>
        <v>1</v>
      </c>
      <c r="K2188" s="120">
        <f t="shared" si="862"/>
        <v>0</v>
      </c>
      <c r="L2188" s="120">
        <f t="shared" si="863"/>
        <v>0</v>
      </c>
      <c r="M2188" s="246">
        <f t="shared" si="864"/>
        <v>0</v>
      </c>
      <c r="N2188" s="121">
        <f t="shared" si="865"/>
        <v>1</v>
      </c>
      <c r="O2188" s="246">
        <f t="shared" si="866"/>
        <v>0.89250547045951856</v>
      </c>
      <c r="P2188" s="121">
        <f t="shared" si="867"/>
        <v>0</v>
      </c>
      <c r="Q2188" s="121">
        <f t="shared" si="868"/>
        <v>0</v>
      </c>
      <c r="R2188" s="121">
        <f t="shared" si="869"/>
        <v>0</v>
      </c>
      <c r="S2188" s="121" t="str">
        <f t="shared" si="870"/>
        <v/>
      </c>
      <c r="T2188" s="121" t="str">
        <f t="shared" si="871"/>
        <v/>
      </c>
      <c r="U2188" s="121">
        <f t="shared" si="872"/>
        <v>1</v>
      </c>
    </row>
    <row r="2189" spans="1:21" x14ac:dyDescent="0.3">
      <c r="A2189" s="187">
        <v>5</v>
      </c>
      <c r="B2189" s="242">
        <f t="shared" si="873"/>
        <v>45778</v>
      </c>
      <c r="C2189" s="243">
        <f t="shared" si="854"/>
        <v>45808</v>
      </c>
      <c r="D2189" s="120">
        <f t="shared" si="855"/>
        <v>31</v>
      </c>
      <c r="E2189" s="120">
        <f t="shared" si="856"/>
        <v>5</v>
      </c>
      <c r="F2189" s="275">
        <f t="shared" si="857"/>
        <v>45793.5</v>
      </c>
      <c r="G2189" s="120">
        <f t="shared" si="858"/>
        <v>24304</v>
      </c>
      <c r="H2189" s="245">
        <f t="shared" si="859"/>
        <v>1</v>
      </c>
      <c r="I2189" s="121">
        <f t="shared" si="860"/>
        <v>1</v>
      </c>
      <c r="J2189" s="121">
        <f t="shared" si="861"/>
        <v>1</v>
      </c>
      <c r="K2189" s="120">
        <f t="shared" si="862"/>
        <v>0</v>
      </c>
      <c r="L2189" s="120">
        <f t="shared" si="863"/>
        <v>0</v>
      </c>
      <c r="M2189" s="246">
        <f t="shared" si="864"/>
        <v>0</v>
      </c>
      <c r="N2189" s="121">
        <f t="shared" si="865"/>
        <v>1</v>
      </c>
      <c r="O2189" s="246">
        <f t="shared" si="866"/>
        <v>0.8935065645514223</v>
      </c>
      <c r="P2189" s="121">
        <f t="shared" si="867"/>
        <v>0</v>
      </c>
      <c r="Q2189" s="121">
        <f t="shared" si="868"/>
        <v>0</v>
      </c>
      <c r="R2189" s="121">
        <f t="shared" si="869"/>
        <v>0</v>
      </c>
      <c r="S2189" s="121" t="str">
        <f t="shared" si="870"/>
        <v/>
      </c>
      <c r="T2189" s="121" t="str">
        <f t="shared" si="871"/>
        <v/>
      </c>
      <c r="U2189" s="121">
        <f t="shared" si="872"/>
        <v>1</v>
      </c>
    </row>
    <row r="2190" spans="1:21" x14ac:dyDescent="0.3">
      <c r="A2190" s="187">
        <v>6</v>
      </c>
      <c r="B2190" s="242">
        <f t="shared" si="873"/>
        <v>45809</v>
      </c>
      <c r="C2190" s="243">
        <f t="shared" si="854"/>
        <v>45838</v>
      </c>
      <c r="D2190" s="120">
        <f t="shared" si="855"/>
        <v>30</v>
      </c>
      <c r="E2190" s="120">
        <f t="shared" si="856"/>
        <v>6</v>
      </c>
      <c r="F2190" s="275">
        <f t="shared" si="857"/>
        <v>45824</v>
      </c>
      <c r="G2190" s="120">
        <f t="shared" si="858"/>
        <v>24305</v>
      </c>
      <c r="H2190" s="245">
        <f t="shared" si="859"/>
        <v>1</v>
      </c>
      <c r="I2190" s="121">
        <f t="shared" si="860"/>
        <v>1</v>
      </c>
      <c r="J2190" s="121">
        <f t="shared" si="861"/>
        <v>1</v>
      </c>
      <c r="K2190" s="120">
        <f t="shared" si="862"/>
        <v>0</v>
      </c>
      <c r="L2190" s="120">
        <f t="shared" si="863"/>
        <v>0</v>
      </c>
      <c r="M2190" s="246">
        <f t="shared" si="864"/>
        <v>0</v>
      </c>
      <c r="N2190" s="121">
        <f t="shared" si="865"/>
        <v>1</v>
      </c>
      <c r="O2190" s="246">
        <f t="shared" si="866"/>
        <v>0.89450765864332604</v>
      </c>
      <c r="P2190" s="121">
        <f t="shared" si="867"/>
        <v>0</v>
      </c>
      <c r="Q2190" s="121">
        <f t="shared" si="868"/>
        <v>0</v>
      </c>
      <c r="R2190" s="121">
        <f t="shared" si="869"/>
        <v>0</v>
      </c>
      <c r="S2190" s="121" t="str">
        <f t="shared" si="870"/>
        <v/>
      </c>
      <c r="T2190" s="121" t="str">
        <f t="shared" si="871"/>
        <v/>
      </c>
      <c r="U2190" s="121">
        <f t="shared" si="872"/>
        <v>1</v>
      </c>
    </row>
    <row r="2191" spans="1:21" x14ac:dyDescent="0.3">
      <c r="A2191" s="187">
        <v>7</v>
      </c>
      <c r="B2191" s="242">
        <f t="shared" si="873"/>
        <v>45839</v>
      </c>
      <c r="C2191" s="243">
        <f t="shared" si="854"/>
        <v>45869</v>
      </c>
      <c r="D2191" s="120">
        <f t="shared" si="855"/>
        <v>31</v>
      </c>
      <c r="E2191" s="120">
        <f t="shared" si="856"/>
        <v>7</v>
      </c>
      <c r="F2191" s="275">
        <f t="shared" si="857"/>
        <v>45854.5</v>
      </c>
      <c r="G2191" s="120">
        <f t="shared" si="858"/>
        <v>24306</v>
      </c>
      <c r="H2191" s="245">
        <f t="shared" si="859"/>
        <v>1</v>
      </c>
      <c r="I2191" s="121">
        <f t="shared" si="860"/>
        <v>1</v>
      </c>
      <c r="J2191" s="121">
        <f t="shared" si="861"/>
        <v>1</v>
      </c>
      <c r="K2191" s="120">
        <f t="shared" si="862"/>
        <v>0</v>
      </c>
      <c r="L2191" s="120">
        <f t="shared" si="863"/>
        <v>0</v>
      </c>
      <c r="M2191" s="246">
        <f t="shared" si="864"/>
        <v>0</v>
      </c>
      <c r="N2191" s="121">
        <f t="shared" si="865"/>
        <v>1</v>
      </c>
      <c r="O2191" s="246">
        <f t="shared" si="866"/>
        <v>0.89550875273522967</v>
      </c>
      <c r="P2191" s="121">
        <f t="shared" si="867"/>
        <v>8.333333333333337E-2</v>
      </c>
      <c r="Q2191" s="121">
        <f t="shared" si="868"/>
        <v>0</v>
      </c>
      <c r="R2191" s="121">
        <f t="shared" si="869"/>
        <v>0</v>
      </c>
      <c r="S2191" s="121" t="str">
        <f t="shared" si="870"/>
        <v/>
      </c>
      <c r="T2191" s="121" t="str">
        <f t="shared" si="871"/>
        <v/>
      </c>
      <c r="U2191" s="121">
        <f t="shared" si="872"/>
        <v>1</v>
      </c>
    </row>
    <row r="2192" spans="1:21" x14ac:dyDescent="0.3">
      <c r="A2192" s="187">
        <v>8</v>
      </c>
      <c r="B2192" s="242">
        <f t="shared" si="873"/>
        <v>45870</v>
      </c>
      <c r="C2192" s="243">
        <f t="shared" si="854"/>
        <v>45900</v>
      </c>
      <c r="D2192" s="120">
        <f t="shared" si="855"/>
        <v>31</v>
      </c>
      <c r="E2192" s="120">
        <f t="shared" si="856"/>
        <v>8</v>
      </c>
      <c r="F2192" s="275">
        <f t="shared" si="857"/>
        <v>45885.5</v>
      </c>
      <c r="G2192" s="120">
        <f t="shared" si="858"/>
        <v>24307</v>
      </c>
      <c r="H2192" s="245">
        <f t="shared" si="859"/>
        <v>1</v>
      </c>
      <c r="I2192" s="121">
        <f t="shared" si="860"/>
        <v>1</v>
      </c>
      <c r="J2192" s="121">
        <f t="shared" si="861"/>
        <v>1</v>
      </c>
      <c r="K2192" s="120">
        <f t="shared" si="862"/>
        <v>0</v>
      </c>
      <c r="L2192" s="120">
        <f t="shared" si="863"/>
        <v>0</v>
      </c>
      <c r="M2192" s="246">
        <f t="shared" si="864"/>
        <v>0</v>
      </c>
      <c r="N2192" s="121">
        <f t="shared" si="865"/>
        <v>1</v>
      </c>
      <c r="O2192" s="246">
        <f t="shared" si="866"/>
        <v>0.89652625820568921</v>
      </c>
      <c r="P2192" s="121">
        <f t="shared" si="867"/>
        <v>0.25</v>
      </c>
      <c r="Q2192" s="121">
        <f t="shared" si="868"/>
        <v>0</v>
      </c>
      <c r="R2192" s="121">
        <f t="shared" si="869"/>
        <v>0</v>
      </c>
      <c r="S2192" s="121" t="str">
        <f t="shared" si="870"/>
        <v/>
      </c>
      <c r="T2192" s="121" t="str">
        <f t="shared" si="871"/>
        <v/>
      </c>
      <c r="U2192" s="121">
        <f t="shared" si="872"/>
        <v>1</v>
      </c>
    </row>
    <row r="2193" spans="1:21" x14ac:dyDescent="0.3">
      <c r="A2193" s="187">
        <v>9</v>
      </c>
      <c r="B2193" s="242">
        <f t="shared" si="873"/>
        <v>45901</v>
      </c>
      <c r="C2193" s="243">
        <f t="shared" si="854"/>
        <v>45930</v>
      </c>
      <c r="D2193" s="120">
        <f t="shared" si="855"/>
        <v>30</v>
      </c>
      <c r="E2193" s="120">
        <f t="shared" si="856"/>
        <v>9</v>
      </c>
      <c r="F2193" s="275">
        <f t="shared" si="857"/>
        <v>45916</v>
      </c>
      <c r="G2193" s="120">
        <f t="shared" si="858"/>
        <v>24308</v>
      </c>
      <c r="H2193" s="245">
        <f t="shared" si="859"/>
        <v>1</v>
      </c>
      <c r="I2193" s="121">
        <f t="shared" si="860"/>
        <v>1</v>
      </c>
      <c r="J2193" s="121">
        <f t="shared" si="861"/>
        <v>1</v>
      </c>
      <c r="K2193" s="120">
        <f t="shared" si="862"/>
        <v>0</v>
      </c>
      <c r="L2193" s="120">
        <f t="shared" si="863"/>
        <v>0</v>
      </c>
      <c r="M2193" s="246">
        <f t="shared" si="864"/>
        <v>0</v>
      </c>
      <c r="N2193" s="121">
        <f t="shared" si="865"/>
        <v>1</v>
      </c>
      <c r="O2193" s="246">
        <f t="shared" si="866"/>
        <v>0.89752735229759295</v>
      </c>
      <c r="P2193" s="121">
        <f t="shared" si="867"/>
        <v>0.41666666666666663</v>
      </c>
      <c r="Q2193" s="121">
        <f t="shared" si="868"/>
        <v>0</v>
      </c>
      <c r="R2193" s="121">
        <f t="shared" si="869"/>
        <v>0</v>
      </c>
      <c r="S2193" s="121" t="str">
        <f t="shared" si="870"/>
        <v/>
      </c>
      <c r="T2193" s="121" t="str">
        <f t="shared" si="871"/>
        <v/>
      </c>
      <c r="U2193" s="121">
        <f t="shared" si="872"/>
        <v>1</v>
      </c>
    </row>
    <row r="2194" spans="1:21" x14ac:dyDescent="0.3">
      <c r="A2194" s="187">
        <v>10</v>
      </c>
      <c r="B2194" s="242">
        <f t="shared" si="873"/>
        <v>45931</v>
      </c>
      <c r="C2194" s="243">
        <f t="shared" si="854"/>
        <v>45961</v>
      </c>
      <c r="D2194" s="120">
        <f t="shared" si="855"/>
        <v>31</v>
      </c>
      <c r="E2194" s="120">
        <f t="shared" si="856"/>
        <v>10</v>
      </c>
      <c r="F2194" s="275">
        <f t="shared" si="857"/>
        <v>45946.5</v>
      </c>
      <c r="G2194" s="120">
        <f t="shared" si="858"/>
        <v>24309</v>
      </c>
      <c r="H2194" s="245">
        <f t="shared" si="859"/>
        <v>1</v>
      </c>
      <c r="I2194" s="121">
        <f t="shared" si="860"/>
        <v>1</v>
      </c>
      <c r="J2194" s="121">
        <f t="shared" si="861"/>
        <v>1</v>
      </c>
      <c r="K2194" s="120">
        <f t="shared" si="862"/>
        <v>0</v>
      </c>
      <c r="L2194" s="120">
        <f t="shared" si="863"/>
        <v>0</v>
      </c>
      <c r="M2194" s="246">
        <f t="shared" si="864"/>
        <v>0</v>
      </c>
      <c r="N2194" s="121">
        <f t="shared" si="865"/>
        <v>1</v>
      </c>
      <c r="O2194" s="246">
        <f t="shared" si="866"/>
        <v>0.89852844638949669</v>
      </c>
      <c r="P2194" s="121">
        <f t="shared" si="867"/>
        <v>0.58333333333333326</v>
      </c>
      <c r="Q2194" s="121">
        <f t="shared" si="868"/>
        <v>0</v>
      </c>
      <c r="R2194" s="121">
        <f t="shared" si="869"/>
        <v>0</v>
      </c>
      <c r="S2194" s="121" t="str">
        <f t="shared" si="870"/>
        <v/>
      </c>
      <c r="T2194" s="121" t="str">
        <f t="shared" si="871"/>
        <v/>
      </c>
      <c r="U2194" s="121">
        <f t="shared" si="872"/>
        <v>1</v>
      </c>
    </row>
    <row r="2195" spans="1:21" x14ac:dyDescent="0.3">
      <c r="A2195" s="187">
        <v>11</v>
      </c>
      <c r="B2195" s="242">
        <f t="shared" si="873"/>
        <v>45962</v>
      </c>
      <c r="C2195" s="243">
        <f t="shared" si="854"/>
        <v>45991</v>
      </c>
      <c r="D2195" s="120">
        <f t="shared" si="855"/>
        <v>30</v>
      </c>
      <c r="E2195" s="120">
        <f t="shared" si="856"/>
        <v>11</v>
      </c>
      <c r="F2195" s="275">
        <f t="shared" si="857"/>
        <v>45977</v>
      </c>
      <c r="G2195" s="120">
        <f t="shared" si="858"/>
        <v>24310</v>
      </c>
      <c r="H2195" s="245">
        <f t="shared" si="859"/>
        <v>1</v>
      </c>
      <c r="I2195" s="121">
        <f t="shared" si="860"/>
        <v>1</v>
      </c>
      <c r="J2195" s="121">
        <f t="shared" si="861"/>
        <v>1</v>
      </c>
      <c r="K2195" s="120">
        <f t="shared" si="862"/>
        <v>0</v>
      </c>
      <c r="L2195" s="120">
        <f t="shared" si="863"/>
        <v>0</v>
      </c>
      <c r="M2195" s="246">
        <f t="shared" si="864"/>
        <v>0</v>
      </c>
      <c r="N2195" s="121">
        <f t="shared" si="865"/>
        <v>1</v>
      </c>
      <c r="O2195" s="246">
        <f t="shared" si="866"/>
        <v>0.89952954048140044</v>
      </c>
      <c r="P2195" s="121">
        <f t="shared" si="867"/>
        <v>0.75</v>
      </c>
      <c r="Q2195" s="121">
        <f t="shared" si="868"/>
        <v>0</v>
      </c>
      <c r="R2195" s="121">
        <f t="shared" si="869"/>
        <v>0</v>
      </c>
      <c r="S2195" s="121" t="str">
        <f t="shared" si="870"/>
        <v/>
      </c>
      <c r="T2195" s="121" t="str">
        <f t="shared" si="871"/>
        <v/>
      </c>
      <c r="U2195" s="121">
        <f t="shared" si="872"/>
        <v>1</v>
      </c>
    </row>
    <row r="2196" spans="1:21" x14ac:dyDescent="0.3">
      <c r="A2196" s="187">
        <v>12</v>
      </c>
      <c r="B2196" s="242">
        <f t="shared" si="873"/>
        <v>45992</v>
      </c>
      <c r="C2196" s="243">
        <f t="shared" si="854"/>
        <v>46022</v>
      </c>
      <c r="D2196" s="120">
        <f t="shared" si="855"/>
        <v>31</v>
      </c>
      <c r="E2196" s="120">
        <f t="shared" si="856"/>
        <v>12</v>
      </c>
      <c r="F2196" s="275">
        <f t="shared" si="857"/>
        <v>46007.5</v>
      </c>
      <c r="G2196" s="120">
        <f t="shared" si="858"/>
        <v>24311</v>
      </c>
      <c r="H2196" s="245">
        <f t="shared" si="859"/>
        <v>1</v>
      </c>
      <c r="I2196" s="121">
        <f t="shared" si="860"/>
        <v>1</v>
      </c>
      <c r="J2196" s="121">
        <f t="shared" si="861"/>
        <v>1</v>
      </c>
      <c r="K2196" s="120">
        <f t="shared" si="862"/>
        <v>0</v>
      </c>
      <c r="L2196" s="120">
        <f t="shared" si="863"/>
        <v>0</v>
      </c>
      <c r="M2196" s="246">
        <f t="shared" si="864"/>
        <v>0</v>
      </c>
      <c r="N2196" s="121">
        <f t="shared" si="865"/>
        <v>1</v>
      </c>
      <c r="O2196" s="246">
        <f t="shared" si="866"/>
        <v>0.90053063457330418</v>
      </c>
      <c r="P2196" s="121">
        <f t="shared" si="867"/>
        <v>0.91666666666666663</v>
      </c>
      <c r="Q2196" s="121">
        <f t="shared" si="868"/>
        <v>0</v>
      </c>
      <c r="R2196" s="121">
        <f t="shared" si="869"/>
        <v>0</v>
      </c>
      <c r="S2196" s="121" t="str">
        <f t="shared" si="870"/>
        <v/>
      </c>
      <c r="T2196" s="121" t="str">
        <f t="shared" si="871"/>
        <v/>
      </c>
      <c r="U2196" s="121">
        <f t="shared" si="872"/>
        <v>1</v>
      </c>
    </row>
    <row r="2197" spans="1:21" x14ac:dyDescent="0.3">
      <c r="A2197" s="187">
        <v>13</v>
      </c>
      <c r="B2197" s="242">
        <f t="shared" si="873"/>
        <v>46023</v>
      </c>
      <c r="C2197" s="243">
        <f t="shared" si="854"/>
        <v>46053</v>
      </c>
      <c r="D2197" s="120">
        <f t="shared" si="855"/>
        <v>31</v>
      </c>
      <c r="E2197" s="120">
        <f t="shared" si="856"/>
        <v>1</v>
      </c>
      <c r="F2197" s="275">
        <f t="shared" si="857"/>
        <v>46038.5</v>
      </c>
      <c r="G2197" s="120">
        <f t="shared" si="858"/>
        <v>24312</v>
      </c>
      <c r="H2197" s="245">
        <f t="shared" si="859"/>
        <v>1</v>
      </c>
      <c r="I2197" s="121">
        <f t="shared" si="860"/>
        <v>1</v>
      </c>
      <c r="J2197" s="121">
        <f t="shared" si="861"/>
        <v>1</v>
      </c>
      <c r="K2197" s="120">
        <f t="shared" si="862"/>
        <v>0</v>
      </c>
      <c r="L2197" s="120">
        <f t="shared" si="863"/>
        <v>0</v>
      </c>
      <c r="M2197" s="246">
        <f t="shared" si="864"/>
        <v>0</v>
      </c>
      <c r="N2197" s="121">
        <f t="shared" si="865"/>
        <v>1</v>
      </c>
      <c r="O2197" s="246">
        <f t="shared" si="866"/>
        <v>0.90154814004376371</v>
      </c>
      <c r="P2197" s="121">
        <f t="shared" si="867"/>
        <v>1</v>
      </c>
      <c r="Q2197" s="121">
        <f t="shared" si="868"/>
        <v>0</v>
      </c>
      <c r="R2197" s="121">
        <f t="shared" si="869"/>
        <v>0</v>
      </c>
      <c r="S2197" s="121" t="str">
        <f t="shared" si="870"/>
        <v/>
      </c>
      <c r="T2197" s="121" t="str">
        <f t="shared" si="871"/>
        <v/>
      </c>
      <c r="U2197" s="121">
        <f t="shared" si="872"/>
        <v>1</v>
      </c>
    </row>
    <row r="2198" spans="1:21" x14ac:dyDescent="0.3">
      <c r="A2198" s="187">
        <v>14</v>
      </c>
      <c r="B2198" s="242">
        <f t="shared" si="873"/>
        <v>46054</v>
      </c>
      <c r="C2198" s="243">
        <f t="shared" si="854"/>
        <v>46081</v>
      </c>
      <c r="D2198" s="120">
        <f t="shared" si="855"/>
        <v>28</v>
      </c>
      <c r="E2198" s="120">
        <f t="shared" si="856"/>
        <v>2</v>
      </c>
      <c r="F2198" s="275">
        <f t="shared" si="857"/>
        <v>46068</v>
      </c>
      <c r="G2198" s="120">
        <f t="shared" si="858"/>
        <v>24313</v>
      </c>
      <c r="H2198" s="245">
        <f t="shared" si="859"/>
        <v>1</v>
      </c>
      <c r="I2198" s="121">
        <f t="shared" si="860"/>
        <v>1</v>
      </c>
      <c r="J2198" s="121">
        <f t="shared" si="861"/>
        <v>1</v>
      </c>
      <c r="K2198" s="120">
        <f t="shared" si="862"/>
        <v>0</v>
      </c>
      <c r="L2198" s="120">
        <f t="shared" si="863"/>
        <v>0</v>
      </c>
      <c r="M2198" s="246">
        <f t="shared" si="864"/>
        <v>0</v>
      </c>
      <c r="N2198" s="121">
        <f t="shared" si="865"/>
        <v>1</v>
      </c>
      <c r="O2198" s="246">
        <f t="shared" si="866"/>
        <v>0.90251641137855576</v>
      </c>
      <c r="P2198" s="121">
        <f t="shared" si="867"/>
        <v>1</v>
      </c>
      <c r="Q2198" s="121">
        <f t="shared" si="868"/>
        <v>0</v>
      </c>
      <c r="R2198" s="121">
        <f t="shared" si="869"/>
        <v>0</v>
      </c>
      <c r="S2198" s="121" t="str">
        <f t="shared" si="870"/>
        <v/>
      </c>
      <c r="T2198" s="121" t="str">
        <f t="shared" si="871"/>
        <v/>
      </c>
      <c r="U2198" s="121">
        <f t="shared" si="872"/>
        <v>1</v>
      </c>
    </row>
    <row r="2199" spans="1:21" x14ac:dyDescent="0.3">
      <c r="A2199" s="187">
        <v>15</v>
      </c>
      <c r="B2199" s="242">
        <f t="shared" si="873"/>
        <v>46082</v>
      </c>
      <c r="C2199" s="243">
        <f t="shared" si="854"/>
        <v>46112</v>
      </c>
      <c r="D2199" s="120">
        <f t="shared" si="855"/>
        <v>31</v>
      </c>
      <c r="E2199" s="120">
        <f t="shared" si="856"/>
        <v>3</v>
      </c>
      <c r="F2199" s="275">
        <f t="shared" si="857"/>
        <v>46097.5</v>
      </c>
      <c r="G2199" s="120">
        <f t="shared" si="858"/>
        <v>24314</v>
      </c>
      <c r="H2199" s="245">
        <f t="shared" si="859"/>
        <v>1</v>
      </c>
      <c r="I2199" s="121">
        <f t="shared" si="860"/>
        <v>1</v>
      </c>
      <c r="J2199" s="121">
        <f t="shared" si="861"/>
        <v>1</v>
      </c>
      <c r="K2199" s="120">
        <f t="shared" si="862"/>
        <v>0</v>
      </c>
      <c r="L2199" s="120">
        <f t="shared" si="863"/>
        <v>0</v>
      </c>
      <c r="M2199" s="246">
        <f t="shared" si="864"/>
        <v>0</v>
      </c>
      <c r="N2199" s="121">
        <f t="shared" si="865"/>
        <v>1</v>
      </c>
      <c r="O2199" s="246">
        <f t="shared" si="866"/>
        <v>0.90348468271334792</v>
      </c>
      <c r="P2199" s="121">
        <f t="shared" si="867"/>
        <v>1</v>
      </c>
      <c r="Q2199" s="121">
        <f t="shared" si="868"/>
        <v>0</v>
      </c>
      <c r="R2199" s="121">
        <f t="shared" si="869"/>
        <v>0</v>
      </c>
      <c r="S2199" s="121" t="str">
        <f t="shared" si="870"/>
        <v/>
      </c>
      <c r="T2199" s="121" t="str">
        <f t="shared" si="871"/>
        <v/>
      </c>
      <c r="U2199" s="121">
        <f t="shared" si="872"/>
        <v>1</v>
      </c>
    </row>
    <row r="2200" spans="1:21" x14ac:dyDescent="0.3">
      <c r="A2200" s="187">
        <v>16</v>
      </c>
      <c r="B2200" s="242">
        <f t="shared" si="873"/>
        <v>46113</v>
      </c>
      <c r="C2200" s="243">
        <f t="shared" si="854"/>
        <v>46142</v>
      </c>
      <c r="D2200" s="120">
        <f t="shared" si="855"/>
        <v>30</v>
      </c>
      <c r="E2200" s="120">
        <f t="shared" si="856"/>
        <v>4</v>
      </c>
      <c r="F2200" s="275">
        <f t="shared" si="857"/>
        <v>46128</v>
      </c>
      <c r="G2200" s="120">
        <f t="shared" si="858"/>
        <v>24315</v>
      </c>
      <c r="H2200" s="245">
        <f t="shared" si="859"/>
        <v>1</v>
      </c>
      <c r="I2200" s="121">
        <f t="shared" si="860"/>
        <v>1</v>
      </c>
      <c r="J2200" s="121">
        <f t="shared" si="861"/>
        <v>1.06</v>
      </c>
      <c r="K2200" s="120">
        <f t="shared" si="862"/>
        <v>1</v>
      </c>
      <c r="L2200" s="120">
        <f t="shared" si="863"/>
        <v>30</v>
      </c>
      <c r="M2200" s="246">
        <f t="shared" si="864"/>
        <v>1</v>
      </c>
      <c r="N2200" s="121">
        <f t="shared" si="865"/>
        <v>1.06</v>
      </c>
      <c r="O2200" s="246">
        <f t="shared" si="866"/>
        <v>0.90448577680525166</v>
      </c>
      <c r="P2200" s="121">
        <f t="shared" si="867"/>
        <v>1</v>
      </c>
      <c r="Q2200" s="121">
        <f t="shared" si="868"/>
        <v>0</v>
      </c>
      <c r="R2200" s="121">
        <f t="shared" si="869"/>
        <v>0</v>
      </c>
      <c r="S2200" s="121" t="str">
        <f t="shared" si="870"/>
        <v/>
      </c>
      <c r="T2200" s="121" t="str">
        <f t="shared" si="871"/>
        <v/>
      </c>
      <c r="U2200" s="121">
        <f t="shared" si="872"/>
        <v>1.06</v>
      </c>
    </row>
    <row r="2201" spans="1:21" x14ac:dyDescent="0.3">
      <c r="A2201" s="187">
        <v>17</v>
      </c>
      <c r="B2201" s="242">
        <f t="shared" si="873"/>
        <v>46143</v>
      </c>
      <c r="C2201" s="243">
        <f t="shared" si="854"/>
        <v>46173</v>
      </c>
      <c r="D2201" s="120">
        <f t="shared" si="855"/>
        <v>31</v>
      </c>
      <c r="E2201" s="120">
        <f t="shared" si="856"/>
        <v>5</v>
      </c>
      <c r="F2201" s="275">
        <f t="shared" si="857"/>
        <v>46158.5</v>
      </c>
      <c r="G2201" s="120">
        <f t="shared" si="858"/>
        <v>24316</v>
      </c>
      <c r="H2201" s="245">
        <f t="shared" si="859"/>
        <v>1</v>
      </c>
      <c r="I2201" s="121">
        <f t="shared" si="860"/>
        <v>1.06</v>
      </c>
      <c r="J2201" s="121">
        <f t="shared" si="861"/>
        <v>1.06</v>
      </c>
      <c r="K2201" s="120">
        <f t="shared" si="862"/>
        <v>0</v>
      </c>
      <c r="L2201" s="120">
        <f t="shared" si="863"/>
        <v>0</v>
      </c>
      <c r="M2201" s="246">
        <f t="shared" si="864"/>
        <v>0</v>
      </c>
      <c r="N2201" s="121">
        <f t="shared" si="865"/>
        <v>1.06</v>
      </c>
      <c r="O2201" s="246">
        <f t="shared" si="866"/>
        <v>0.9054868708971554</v>
      </c>
      <c r="P2201" s="121">
        <f t="shared" si="867"/>
        <v>1</v>
      </c>
      <c r="Q2201" s="121">
        <f t="shared" si="868"/>
        <v>0</v>
      </c>
      <c r="R2201" s="121">
        <f t="shared" si="869"/>
        <v>0</v>
      </c>
      <c r="S2201" s="121" t="str">
        <f t="shared" si="870"/>
        <v/>
      </c>
      <c r="T2201" s="121" t="str">
        <f t="shared" si="871"/>
        <v/>
      </c>
      <c r="U2201" s="121">
        <f t="shared" si="872"/>
        <v>1.06</v>
      </c>
    </row>
    <row r="2202" spans="1:21" x14ac:dyDescent="0.3">
      <c r="A2202" s="187">
        <v>18</v>
      </c>
      <c r="B2202" s="242">
        <f t="shared" si="873"/>
        <v>46174</v>
      </c>
      <c r="C2202" s="243">
        <f t="shared" si="854"/>
        <v>46203</v>
      </c>
      <c r="D2202" s="120">
        <f t="shared" si="855"/>
        <v>30</v>
      </c>
      <c r="E2202" s="120">
        <f t="shared" si="856"/>
        <v>6</v>
      </c>
      <c r="F2202" s="275">
        <f t="shared" si="857"/>
        <v>46189</v>
      </c>
      <c r="G2202" s="120">
        <f t="shared" si="858"/>
        <v>24317</v>
      </c>
      <c r="H2202" s="245">
        <f t="shared" si="859"/>
        <v>1</v>
      </c>
      <c r="I2202" s="121">
        <f t="shared" si="860"/>
        <v>1.06</v>
      </c>
      <c r="J2202" s="121">
        <f t="shared" si="861"/>
        <v>1.06</v>
      </c>
      <c r="K2202" s="120">
        <f t="shared" si="862"/>
        <v>0</v>
      </c>
      <c r="L2202" s="120">
        <f t="shared" si="863"/>
        <v>0</v>
      </c>
      <c r="M2202" s="246">
        <f t="shared" si="864"/>
        <v>0</v>
      </c>
      <c r="N2202" s="121">
        <f t="shared" si="865"/>
        <v>1.06</v>
      </c>
      <c r="O2202" s="246">
        <f t="shared" si="866"/>
        <v>0.90648796498905915</v>
      </c>
      <c r="P2202" s="121">
        <f t="shared" si="867"/>
        <v>1</v>
      </c>
      <c r="Q2202" s="121">
        <f t="shared" si="868"/>
        <v>0</v>
      </c>
      <c r="R2202" s="121">
        <f t="shared" si="869"/>
        <v>0</v>
      </c>
      <c r="S2202" s="121" t="str">
        <f t="shared" si="870"/>
        <v/>
      </c>
      <c r="T2202" s="121" t="str">
        <f t="shared" si="871"/>
        <v/>
      </c>
      <c r="U2202" s="121">
        <f t="shared" si="872"/>
        <v>1.06</v>
      </c>
    </row>
    <row r="2203" spans="1:21" x14ac:dyDescent="0.3">
      <c r="A2203" s="187">
        <v>19</v>
      </c>
      <c r="B2203" s="242">
        <f t="shared" si="873"/>
        <v>46204</v>
      </c>
      <c r="C2203" s="243">
        <f t="shared" si="854"/>
        <v>46234</v>
      </c>
      <c r="D2203" s="120">
        <f t="shared" si="855"/>
        <v>31</v>
      </c>
      <c r="E2203" s="120">
        <f t="shared" si="856"/>
        <v>7</v>
      </c>
      <c r="F2203" s="275">
        <f t="shared" si="857"/>
        <v>46219.5</v>
      </c>
      <c r="G2203" s="120">
        <f t="shared" si="858"/>
        <v>24318</v>
      </c>
      <c r="H2203" s="245">
        <f t="shared" si="859"/>
        <v>1</v>
      </c>
      <c r="I2203" s="121">
        <f t="shared" si="860"/>
        <v>1.06</v>
      </c>
      <c r="J2203" s="121">
        <f t="shared" si="861"/>
        <v>1.06</v>
      </c>
      <c r="K2203" s="120">
        <f t="shared" si="862"/>
        <v>0</v>
      </c>
      <c r="L2203" s="120">
        <f t="shared" si="863"/>
        <v>0</v>
      </c>
      <c r="M2203" s="246">
        <f t="shared" si="864"/>
        <v>0</v>
      </c>
      <c r="N2203" s="121">
        <f t="shared" si="865"/>
        <v>1.06</v>
      </c>
      <c r="O2203" s="246">
        <f t="shared" si="866"/>
        <v>0.90748905908096278</v>
      </c>
      <c r="P2203" s="121">
        <f t="shared" si="867"/>
        <v>0.91666666666666663</v>
      </c>
      <c r="Q2203" s="121">
        <f t="shared" si="868"/>
        <v>8.333333333333337E-2</v>
      </c>
      <c r="R2203" s="121">
        <f t="shared" si="869"/>
        <v>0</v>
      </c>
      <c r="S2203" s="121" t="str">
        <f t="shared" si="870"/>
        <v/>
      </c>
      <c r="T2203" s="121" t="str">
        <f t="shared" si="871"/>
        <v/>
      </c>
      <c r="U2203" s="121">
        <f t="shared" si="872"/>
        <v>1.06</v>
      </c>
    </row>
    <row r="2204" spans="1:21" x14ac:dyDescent="0.3">
      <c r="A2204" s="187">
        <v>20</v>
      </c>
      <c r="B2204" s="242">
        <f t="shared" si="873"/>
        <v>46235</v>
      </c>
      <c r="C2204" s="243">
        <f t="shared" si="854"/>
        <v>46265</v>
      </c>
      <c r="D2204" s="120">
        <f t="shared" si="855"/>
        <v>31</v>
      </c>
      <c r="E2204" s="120">
        <f t="shared" si="856"/>
        <v>8</v>
      </c>
      <c r="F2204" s="275">
        <f t="shared" si="857"/>
        <v>46250.5</v>
      </c>
      <c r="G2204" s="120">
        <f t="shared" si="858"/>
        <v>24319</v>
      </c>
      <c r="H2204" s="245">
        <f t="shared" si="859"/>
        <v>1</v>
      </c>
      <c r="I2204" s="121">
        <f t="shared" si="860"/>
        <v>1.06</v>
      </c>
      <c r="J2204" s="121">
        <f t="shared" si="861"/>
        <v>1.06</v>
      </c>
      <c r="K2204" s="120">
        <f t="shared" si="862"/>
        <v>0</v>
      </c>
      <c r="L2204" s="120">
        <f t="shared" si="863"/>
        <v>0</v>
      </c>
      <c r="M2204" s="246">
        <f t="shared" si="864"/>
        <v>0</v>
      </c>
      <c r="N2204" s="121">
        <f t="shared" si="865"/>
        <v>1.06</v>
      </c>
      <c r="O2204" s="246">
        <f t="shared" si="866"/>
        <v>0.90850656455142231</v>
      </c>
      <c r="P2204" s="121">
        <f t="shared" si="867"/>
        <v>0.75</v>
      </c>
      <c r="Q2204" s="121">
        <f t="shared" si="868"/>
        <v>0.25</v>
      </c>
      <c r="R2204" s="121">
        <f t="shared" si="869"/>
        <v>0</v>
      </c>
      <c r="S2204" s="121" t="str">
        <f t="shared" si="870"/>
        <v/>
      </c>
      <c r="T2204" s="121" t="str">
        <f t="shared" si="871"/>
        <v/>
      </c>
      <c r="U2204" s="121">
        <f t="shared" si="872"/>
        <v>1.06</v>
      </c>
    </row>
    <row r="2205" spans="1:21" x14ac:dyDescent="0.3">
      <c r="A2205" s="187">
        <v>21</v>
      </c>
      <c r="B2205" s="242">
        <f t="shared" si="873"/>
        <v>46266</v>
      </c>
      <c r="C2205" s="243">
        <f t="shared" si="854"/>
        <v>46295</v>
      </c>
      <c r="D2205" s="120">
        <f t="shared" si="855"/>
        <v>30</v>
      </c>
      <c r="E2205" s="120">
        <f t="shared" si="856"/>
        <v>9</v>
      </c>
      <c r="F2205" s="275">
        <f t="shared" si="857"/>
        <v>46281</v>
      </c>
      <c r="G2205" s="120">
        <f t="shared" si="858"/>
        <v>24320</v>
      </c>
      <c r="H2205" s="245">
        <f t="shared" si="859"/>
        <v>1</v>
      </c>
      <c r="I2205" s="121">
        <f t="shared" si="860"/>
        <v>1.06</v>
      </c>
      <c r="J2205" s="121">
        <f t="shared" si="861"/>
        <v>1.06</v>
      </c>
      <c r="K2205" s="120">
        <f t="shared" si="862"/>
        <v>0</v>
      </c>
      <c r="L2205" s="120">
        <f t="shared" si="863"/>
        <v>0</v>
      </c>
      <c r="M2205" s="246">
        <f t="shared" si="864"/>
        <v>0</v>
      </c>
      <c r="N2205" s="121">
        <f t="shared" si="865"/>
        <v>1.06</v>
      </c>
      <c r="O2205" s="246">
        <f t="shared" si="866"/>
        <v>0.90950765864332606</v>
      </c>
      <c r="P2205" s="121">
        <f t="shared" si="867"/>
        <v>0.58333333333333337</v>
      </c>
      <c r="Q2205" s="121">
        <f t="shared" si="868"/>
        <v>0.41666666666666663</v>
      </c>
      <c r="R2205" s="121">
        <f t="shared" si="869"/>
        <v>0</v>
      </c>
      <c r="S2205" s="121" t="str">
        <f t="shared" si="870"/>
        <v/>
      </c>
      <c r="T2205" s="121" t="str">
        <f t="shared" si="871"/>
        <v/>
      </c>
      <c r="U2205" s="121">
        <f t="shared" si="872"/>
        <v>1.06</v>
      </c>
    </row>
    <row r="2206" spans="1:21" x14ac:dyDescent="0.3">
      <c r="A2206" s="187">
        <v>22</v>
      </c>
      <c r="B2206" s="242">
        <f t="shared" si="873"/>
        <v>46296</v>
      </c>
      <c r="C2206" s="243">
        <f t="shared" si="854"/>
        <v>46326</v>
      </c>
      <c r="D2206" s="120">
        <f t="shared" si="855"/>
        <v>31</v>
      </c>
      <c r="E2206" s="120">
        <f t="shared" si="856"/>
        <v>10</v>
      </c>
      <c r="F2206" s="275">
        <f t="shared" si="857"/>
        <v>46311.5</v>
      </c>
      <c r="G2206" s="120">
        <f t="shared" si="858"/>
        <v>24321</v>
      </c>
      <c r="H2206" s="245">
        <f t="shared" si="859"/>
        <v>1</v>
      </c>
      <c r="I2206" s="121">
        <f t="shared" si="860"/>
        <v>1.06</v>
      </c>
      <c r="J2206" s="121">
        <f t="shared" si="861"/>
        <v>1.06</v>
      </c>
      <c r="K2206" s="120">
        <f t="shared" si="862"/>
        <v>0</v>
      </c>
      <c r="L2206" s="120">
        <f t="shared" si="863"/>
        <v>0</v>
      </c>
      <c r="M2206" s="246">
        <f t="shared" si="864"/>
        <v>0</v>
      </c>
      <c r="N2206" s="121">
        <f t="shared" si="865"/>
        <v>1.06</v>
      </c>
      <c r="O2206" s="246">
        <f t="shared" si="866"/>
        <v>0.9105087527352298</v>
      </c>
      <c r="P2206" s="121">
        <f t="shared" si="867"/>
        <v>0.41666666666666669</v>
      </c>
      <c r="Q2206" s="121">
        <f t="shared" si="868"/>
        <v>0.58333333333333326</v>
      </c>
      <c r="R2206" s="121">
        <f t="shared" si="869"/>
        <v>0</v>
      </c>
      <c r="S2206" s="121" t="str">
        <f t="shared" si="870"/>
        <v/>
      </c>
      <c r="T2206" s="121" t="str">
        <f t="shared" si="871"/>
        <v/>
      </c>
      <c r="U2206" s="121">
        <f t="shared" si="872"/>
        <v>1.06</v>
      </c>
    </row>
    <row r="2207" spans="1:21" x14ac:dyDescent="0.3">
      <c r="A2207" s="187">
        <v>23</v>
      </c>
      <c r="B2207" s="242">
        <f t="shared" si="873"/>
        <v>46327</v>
      </c>
      <c r="C2207" s="243">
        <f t="shared" si="854"/>
        <v>46356</v>
      </c>
      <c r="D2207" s="120">
        <f t="shared" si="855"/>
        <v>30</v>
      </c>
      <c r="E2207" s="120">
        <f t="shared" si="856"/>
        <v>11</v>
      </c>
      <c r="F2207" s="275">
        <f t="shared" si="857"/>
        <v>46342</v>
      </c>
      <c r="G2207" s="120">
        <f t="shared" si="858"/>
        <v>24322</v>
      </c>
      <c r="H2207" s="245">
        <f t="shared" si="859"/>
        <v>1</v>
      </c>
      <c r="I2207" s="121">
        <f t="shared" si="860"/>
        <v>1.06</v>
      </c>
      <c r="J2207" s="121">
        <f t="shared" si="861"/>
        <v>1.06</v>
      </c>
      <c r="K2207" s="120">
        <f t="shared" si="862"/>
        <v>0</v>
      </c>
      <c r="L2207" s="120">
        <f t="shared" si="863"/>
        <v>0</v>
      </c>
      <c r="M2207" s="246">
        <f t="shared" si="864"/>
        <v>0</v>
      </c>
      <c r="N2207" s="121">
        <f t="shared" si="865"/>
        <v>1.06</v>
      </c>
      <c r="O2207" s="246">
        <f t="shared" si="866"/>
        <v>0.91150984682713354</v>
      </c>
      <c r="P2207" s="121">
        <f t="shared" si="867"/>
        <v>0.25</v>
      </c>
      <c r="Q2207" s="121">
        <f t="shared" si="868"/>
        <v>0.75</v>
      </c>
      <c r="R2207" s="121">
        <f t="shared" si="869"/>
        <v>0</v>
      </c>
      <c r="S2207" s="121" t="str">
        <f t="shared" si="870"/>
        <v/>
      </c>
      <c r="T2207" s="121" t="str">
        <f t="shared" si="871"/>
        <v/>
      </c>
      <c r="U2207" s="121">
        <f t="shared" si="872"/>
        <v>1.06</v>
      </c>
    </row>
    <row r="2208" spans="1:21" x14ac:dyDescent="0.3">
      <c r="A2208" s="187">
        <v>24</v>
      </c>
      <c r="B2208" s="242">
        <f t="shared" si="873"/>
        <v>46357</v>
      </c>
      <c r="C2208" s="243">
        <f t="shared" si="854"/>
        <v>46387</v>
      </c>
      <c r="D2208" s="120">
        <f t="shared" si="855"/>
        <v>31</v>
      </c>
      <c r="E2208" s="120">
        <f t="shared" si="856"/>
        <v>12</v>
      </c>
      <c r="F2208" s="275">
        <f t="shared" si="857"/>
        <v>46372.5</v>
      </c>
      <c r="G2208" s="120">
        <f t="shared" si="858"/>
        <v>24323</v>
      </c>
      <c r="H2208" s="245">
        <f t="shared" si="859"/>
        <v>1</v>
      </c>
      <c r="I2208" s="121">
        <f t="shared" si="860"/>
        <v>1.06</v>
      </c>
      <c r="J2208" s="121">
        <f t="shared" si="861"/>
        <v>1.06</v>
      </c>
      <c r="K2208" s="120">
        <f t="shared" si="862"/>
        <v>0</v>
      </c>
      <c r="L2208" s="120">
        <f t="shared" si="863"/>
        <v>0</v>
      </c>
      <c r="M2208" s="246">
        <f t="shared" si="864"/>
        <v>0</v>
      </c>
      <c r="N2208" s="121">
        <f t="shared" si="865"/>
        <v>1.06</v>
      </c>
      <c r="O2208" s="246">
        <f t="shared" si="866"/>
        <v>0.91251094091903728</v>
      </c>
      <c r="P2208" s="121">
        <f t="shared" si="867"/>
        <v>8.3333333333333329E-2</v>
      </c>
      <c r="Q2208" s="121">
        <f t="shared" si="868"/>
        <v>0.91666666666666663</v>
      </c>
      <c r="R2208" s="121">
        <f t="shared" si="869"/>
        <v>0</v>
      </c>
      <c r="S2208" s="121" t="str">
        <f t="shared" si="870"/>
        <v/>
      </c>
      <c r="T2208" s="121" t="str">
        <f t="shared" si="871"/>
        <v/>
      </c>
      <c r="U2208" s="121">
        <f t="shared" si="872"/>
        <v>1.06</v>
      </c>
    </row>
    <row r="2209" spans="1:21" x14ac:dyDescent="0.3">
      <c r="A2209" s="187">
        <v>25</v>
      </c>
      <c r="B2209" s="242">
        <f t="shared" si="873"/>
        <v>46388</v>
      </c>
      <c r="C2209" s="243">
        <f t="shared" si="854"/>
        <v>46418</v>
      </c>
      <c r="D2209" s="120">
        <f t="shared" si="855"/>
        <v>31</v>
      </c>
      <c r="E2209" s="120">
        <f t="shared" si="856"/>
        <v>1</v>
      </c>
      <c r="F2209" s="275">
        <f t="shared" si="857"/>
        <v>46403.5</v>
      </c>
      <c r="G2209" s="120">
        <f t="shared" si="858"/>
        <v>24324</v>
      </c>
      <c r="H2209" s="245">
        <f t="shared" si="859"/>
        <v>1</v>
      </c>
      <c r="I2209" s="121">
        <f t="shared" si="860"/>
        <v>1.06</v>
      </c>
      <c r="J2209" s="121">
        <f t="shared" si="861"/>
        <v>1.06</v>
      </c>
      <c r="K2209" s="120">
        <f t="shared" si="862"/>
        <v>0</v>
      </c>
      <c r="L2209" s="120">
        <f t="shared" si="863"/>
        <v>0</v>
      </c>
      <c r="M2209" s="246">
        <f t="shared" si="864"/>
        <v>0</v>
      </c>
      <c r="N2209" s="121">
        <f t="shared" si="865"/>
        <v>1.06</v>
      </c>
      <c r="O2209" s="246">
        <f t="shared" si="866"/>
        <v>0.91352844638949671</v>
      </c>
      <c r="P2209" s="121">
        <f t="shared" si="867"/>
        <v>0</v>
      </c>
      <c r="Q2209" s="121">
        <f t="shared" si="868"/>
        <v>1</v>
      </c>
      <c r="R2209" s="121">
        <f t="shared" si="869"/>
        <v>0</v>
      </c>
      <c r="S2209" s="121" t="str">
        <f t="shared" si="870"/>
        <v/>
      </c>
      <c r="T2209" s="121" t="str">
        <f t="shared" si="871"/>
        <v/>
      </c>
      <c r="U2209" s="121">
        <f t="shared" si="872"/>
        <v>1.06</v>
      </c>
    </row>
    <row r="2210" spans="1:21" x14ac:dyDescent="0.3">
      <c r="A2210" s="187">
        <v>26</v>
      </c>
      <c r="B2210" s="242">
        <f t="shared" si="873"/>
        <v>46419</v>
      </c>
      <c r="C2210" s="243">
        <f t="shared" si="854"/>
        <v>46446</v>
      </c>
      <c r="D2210" s="120">
        <f t="shared" si="855"/>
        <v>28</v>
      </c>
      <c r="E2210" s="120">
        <f t="shared" si="856"/>
        <v>2</v>
      </c>
      <c r="F2210" s="275">
        <f t="shared" si="857"/>
        <v>46433</v>
      </c>
      <c r="G2210" s="120">
        <f t="shared" si="858"/>
        <v>24325</v>
      </c>
      <c r="H2210" s="245">
        <f t="shared" si="859"/>
        <v>1</v>
      </c>
      <c r="I2210" s="121">
        <f t="shared" si="860"/>
        <v>1.06</v>
      </c>
      <c r="J2210" s="121">
        <f t="shared" si="861"/>
        <v>1.06</v>
      </c>
      <c r="K2210" s="120">
        <f t="shared" si="862"/>
        <v>0</v>
      </c>
      <c r="L2210" s="120">
        <f t="shared" si="863"/>
        <v>0</v>
      </c>
      <c r="M2210" s="246">
        <f t="shared" si="864"/>
        <v>0</v>
      </c>
      <c r="N2210" s="121">
        <f t="shared" si="865"/>
        <v>1.06</v>
      </c>
      <c r="O2210" s="246">
        <f t="shared" si="866"/>
        <v>0.91449671772428887</v>
      </c>
      <c r="P2210" s="121">
        <f t="shared" si="867"/>
        <v>0</v>
      </c>
      <c r="Q2210" s="121">
        <f t="shared" si="868"/>
        <v>1</v>
      </c>
      <c r="R2210" s="121">
        <f t="shared" si="869"/>
        <v>0</v>
      </c>
      <c r="S2210" s="121" t="str">
        <f t="shared" si="870"/>
        <v/>
      </c>
      <c r="T2210" s="121" t="str">
        <f t="shared" si="871"/>
        <v/>
      </c>
      <c r="U2210" s="121">
        <f t="shared" si="872"/>
        <v>1.06</v>
      </c>
    </row>
    <row r="2211" spans="1:21" x14ac:dyDescent="0.3">
      <c r="A2211" s="187">
        <v>27</v>
      </c>
      <c r="B2211" s="242">
        <f t="shared" si="873"/>
        <v>46447</v>
      </c>
      <c r="C2211" s="243">
        <f t="shared" si="854"/>
        <v>46477</v>
      </c>
      <c r="D2211" s="120">
        <f t="shared" si="855"/>
        <v>31</v>
      </c>
      <c r="E2211" s="120">
        <f t="shared" si="856"/>
        <v>3</v>
      </c>
      <c r="F2211" s="275">
        <f t="shared" si="857"/>
        <v>46462.5</v>
      </c>
      <c r="G2211" s="120">
        <f t="shared" si="858"/>
        <v>24326</v>
      </c>
      <c r="H2211" s="245">
        <f t="shared" si="859"/>
        <v>1</v>
      </c>
      <c r="I2211" s="121">
        <f t="shared" si="860"/>
        <v>1.06</v>
      </c>
      <c r="J2211" s="121">
        <f t="shared" si="861"/>
        <v>1.06</v>
      </c>
      <c r="K2211" s="120">
        <f t="shared" si="862"/>
        <v>0</v>
      </c>
      <c r="L2211" s="120">
        <f t="shared" si="863"/>
        <v>0</v>
      </c>
      <c r="M2211" s="246">
        <f t="shared" si="864"/>
        <v>0</v>
      </c>
      <c r="N2211" s="121">
        <f t="shared" si="865"/>
        <v>1.06</v>
      </c>
      <c r="O2211" s="246">
        <f t="shared" si="866"/>
        <v>0.91546498905908102</v>
      </c>
      <c r="P2211" s="121">
        <f t="shared" si="867"/>
        <v>0</v>
      </c>
      <c r="Q2211" s="121">
        <f t="shared" si="868"/>
        <v>1</v>
      </c>
      <c r="R2211" s="121">
        <f t="shared" si="869"/>
        <v>0</v>
      </c>
      <c r="S2211" s="121" t="str">
        <f t="shared" si="870"/>
        <v/>
      </c>
      <c r="T2211" s="121" t="str">
        <f t="shared" si="871"/>
        <v/>
      </c>
      <c r="U2211" s="121">
        <f t="shared" si="872"/>
        <v>1.06</v>
      </c>
    </row>
    <row r="2212" spans="1:21" x14ac:dyDescent="0.3">
      <c r="A2212" s="187">
        <v>28</v>
      </c>
      <c r="B2212" s="242">
        <f t="shared" si="873"/>
        <v>46478</v>
      </c>
      <c r="C2212" s="243">
        <f t="shared" si="854"/>
        <v>46507</v>
      </c>
      <c r="D2212" s="120">
        <f t="shared" si="855"/>
        <v>30</v>
      </c>
      <c r="E2212" s="120">
        <f t="shared" si="856"/>
        <v>4</v>
      </c>
      <c r="F2212" s="275">
        <f t="shared" si="857"/>
        <v>46493</v>
      </c>
      <c r="G2212" s="120">
        <f t="shared" si="858"/>
        <v>24327</v>
      </c>
      <c r="H2212" s="245">
        <f t="shared" si="859"/>
        <v>1</v>
      </c>
      <c r="I2212" s="121">
        <f t="shared" si="860"/>
        <v>1.06</v>
      </c>
      <c r="J2212" s="121">
        <f t="shared" si="861"/>
        <v>1.06</v>
      </c>
      <c r="K2212" s="120">
        <f t="shared" si="862"/>
        <v>0</v>
      </c>
      <c r="L2212" s="120">
        <f t="shared" si="863"/>
        <v>0</v>
      </c>
      <c r="M2212" s="246">
        <f t="shared" si="864"/>
        <v>0</v>
      </c>
      <c r="N2212" s="121">
        <f t="shared" si="865"/>
        <v>1.06</v>
      </c>
      <c r="O2212" s="246">
        <f t="shared" si="866"/>
        <v>0.91646608315098477</v>
      </c>
      <c r="P2212" s="121">
        <f t="shared" si="867"/>
        <v>0</v>
      </c>
      <c r="Q2212" s="121">
        <f t="shared" si="868"/>
        <v>1</v>
      </c>
      <c r="R2212" s="121">
        <f t="shared" si="869"/>
        <v>0</v>
      </c>
      <c r="S2212" s="121" t="str">
        <f t="shared" si="870"/>
        <v/>
      </c>
      <c r="T2212" s="121" t="str">
        <f t="shared" si="871"/>
        <v/>
      </c>
      <c r="U2212" s="121">
        <f t="shared" si="872"/>
        <v>1.06</v>
      </c>
    </row>
    <row r="2213" spans="1:21" x14ac:dyDescent="0.3">
      <c r="A2213" s="187">
        <v>29</v>
      </c>
      <c r="B2213" s="242">
        <f t="shared" si="873"/>
        <v>46508</v>
      </c>
      <c r="C2213" s="243">
        <f t="shared" si="854"/>
        <v>46538</v>
      </c>
      <c r="D2213" s="120">
        <f t="shared" si="855"/>
        <v>31</v>
      </c>
      <c r="E2213" s="120">
        <f t="shared" si="856"/>
        <v>5</v>
      </c>
      <c r="F2213" s="275">
        <f t="shared" si="857"/>
        <v>46523.5</v>
      </c>
      <c r="G2213" s="120">
        <f t="shared" si="858"/>
        <v>24328</v>
      </c>
      <c r="H2213" s="245">
        <f t="shared" si="859"/>
        <v>1</v>
      </c>
      <c r="I2213" s="121">
        <f t="shared" si="860"/>
        <v>1.06</v>
      </c>
      <c r="J2213" s="121">
        <f t="shared" si="861"/>
        <v>1.06</v>
      </c>
      <c r="K2213" s="120">
        <f t="shared" si="862"/>
        <v>0</v>
      </c>
      <c r="L2213" s="120">
        <f t="shared" si="863"/>
        <v>0</v>
      </c>
      <c r="M2213" s="246">
        <f t="shared" si="864"/>
        <v>0</v>
      </c>
      <c r="N2213" s="121">
        <f t="shared" si="865"/>
        <v>1.06</v>
      </c>
      <c r="O2213" s="246">
        <f t="shared" si="866"/>
        <v>0.9174671772428884</v>
      </c>
      <c r="P2213" s="121">
        <f t="shared" si="867"/>
        <v>0</v>
      </c>
      <c r="Q2213" s="121">
        <f t="shared" si="868"/>
        <v>1</v>
      </c>
      <c r="R2213" s="121">
        <f t="shared" si="869"/>
        <v>0</v>
      </c>
      <c r="S2213" s="121" t="str">
        <f t="shared" si="870"/>
        <v/>
      </c>
      <c r="T2213" s="121" t="str">
        <f t="shared" si="871"/>
        <v/>
      </c>
      <c r="U2213" s="121">
        <f t="shared" si="872"/>
        <v>1.06</v>
      </c>
    </row>
    <row r="2214" spans="1:21" x14ac:dyDescent="0.3">
      <c r="A2214" s="187">
        <v>30</v>
      </c>
      <c r="B2214" s="242">
        <f t="shared" si="873"/>
        <v>46539</v>
      </c>
      <c r="C2214" s="243">
        <f t="shared" si="854"/>
        <v>46568</v>
      </c>
      <c r="D2214" s="120">
        <f t="shared" si="855"/>
        <v>30</v>
      </c>
      <c r="E2214" s="120">
        <f t="shared" si="856"/>
        <v>6</v>
      </c>
      <c r="F2214" s="275">
        <f t="shared" si="857"/>
        <v>46554</v>
      </c>
      <c r="G2214" s="120">
        <f t="shared" si="858"/>
        <v>24329</v>
      </c>
      <c r="H2214" s="245">
        <f t="shared" si="859"/>
        <v>1</v>
      </c>
      <c r="I2214" s="121">
        <f t="shared" si="860"/>
        <v>1.06</v>
      </c>
      <c r="J2214" s="121">
        <f t="shared" si="861"/>
        <v>1.06</v>
      </c>
      <c r="K2214" s="120">
        <f t="shared" si="862"/>
        <v>0</v>
      </c>
      <c r="L2214" s="120">
        <f t="shared" si="863"/>
        <v>0</v>
      </c>
      <c r="M2214" s="246">
        <f t="shared" si="864"/>
        <v>0</v>
      </c>
      <c r="N2214" s="121">
        <f t="shared" si="865"/>
        <v>1.06</v>
      </c>
      <c r="O2214" s="246">
        <f t="shared" si="866"/>
        <v>0.91846827133479214</v>
      </c>
      <c r="P2214" s="121">
        <f t="shared" si="867"/>
        <v>0</v>
      </c>
      <c r="Q2214" s="121">
        <f t="shared" si="868"/>
        <v>1</v>
      </c>
      <c r="R2214" s="121">
        <f t="shared" si="869"/>
        <v>0</v>
      </c>
      <c r="S2214" s="121" t="str">
        <f t="shared" si="870"/>
        <v/>
      </c>
      <c r="T2214" s="121" t="str">
        <f t="shared" si="871"/>
        <v/>
      </c>
      <c r="U2214" s="121">
        <f t="shared" si="872"/>
        <v>1.06</v>
      </c>
    </row>
    <row r="2215" spans="1:21" x14ac:dyDescent="0.3">
      <c r="A2215" s="187">
        <v>31</v>
      </c>
      <c r="B2215" s="242">
        <f t="shared" si="873"/>
        <v>46569</v>
      </c>
      <c r="C2215" s="243">
        <f t="shared" si="854"/>
        <v>46599</v>
      </c>
      <c r="D2215" s="120">
        <f t="shared" si="855"/>
        <v>31</v>
      </c>
      <c r="E2215" s="120">
        <f t="shared" si="856"/>
        <v>7</v>
      </c>
      <c r="F2215" s="275">
        <f t="shared" si="857"/>
        <v>46584.5</v>
      </c>
      <c r="G2215" s="120">
        <f t="shared" si="858"/>
        <v>24330</v>
      </c>
      <c r="H2215" s="245">
        <f t="shared" si="859"/>
        <v>1</v>
      </c>
      <c r="I2215" s="121">
        <f t="shared" si="860"/>
        <v>1.06</v>
      </c>
      <c r="J2215" s="121">
        <f t="shared" si="861"/>
        <v>1.06</v>
      </c>
      <c r="K2215" s="120">
        <f t="shared" si="862"/>
        <v>0</v>
      </c>
      <c r="L2215" s="120">
        <f t="shared" si="863"/>
        <v>0</v>
      </c>
      <c r="M2215" s="246">
        <f t="shared" si="864"/>
        <v>0</v>
      </c>
      <c r="N2215" s="121">
        <f t="shared" si="865"/>
        <v>1.06</v>
      </c>
      <c r="O2215" s="246">
        <f t="shared" si="866"/>
        <v>0.91946936542669588</v>
      </c>
      <c r="P2215" s="121">
        <f t="shared" si="867"/>
        <v>0</v>
      </c>
      <c r="Q2215" s="121">
        <f t="shared" si="868"/>
        <v>0.91666666666666663</v>
      </c>
      <c r="R2215" s="121">
        <f t="shared" si="869"/>
        <v>8.333333333333337E-2</v>
      </c>
      <c r="S2215" s="121" t="str">
        <f t="shared" si="870"/>
        <v/>
      </c>
      <c r="T2215" s="121" t="str">
        <f t="shared" si="871"/>
        <v/>
      </c>
      <c r="U2215" s="121">
        <f t="shared" si="872"/>
        <v>1.06</v>
      </c>
    </row>
    <row r="2216" spans="1:21" x14ac:dyDescent="0.3">
      <c r="A2216" s="187">
        <v>32</v>
      </c>
      <c r="B2216" s="242">
        <f t="shared" si="873"/>
        <v>46600</v>
      </c>
      <c r="C2216" s="243">
        <f t="shared" si="854"/>
        <v>46630</v>
      </c>
      <c r="D2216" s="120">
        <f t="shared" si="855"/>
        <v>31</v>
      </c>
      <c r="E2216" s="120">
        <f t="shared" si="856"/>
        <v>8</v>
      </c>
      <c r="F2216" s="275">
        <f t="shared" si="857"/>
        <v>46615.5</v>
      </c>
      <c r="G2216" s="120">
        <f t="shared" si="858"/>
        <v>24331</v>
      </c>
      <c r="H2216" s="245">
        <f t="shared" si="859"/>
        <v>1</v>
      </c>
      <c r="I2216" s="121">
        <f t="shared" si="860"/>
        <v>1.06</v>
      </c>
      <c r="J2216" s="121">
        <f t="shared" si="861"/>
        <v>1.06</v>
      </c>
      <c r="K2216" s="120">
        <f t="shared" si="862"/>
        <v>0</v>
      </c>
      <c r="L2216" s="120">
        <f t="shared" si="863"/>
        <v>0</v>
      </c>
      <c r="M2216" s="246">
        <f t="shared" si="864"/>
        <v>0</v>
      </c>
      <c r="N2216" s="121">
        <f t="shared" si="865"/>
        <v>1.06</v>
      </c>
      <c r="O2216" s="246">
        <f t="shared" si="866"/>
        <v>0.92048687089715542</v>
      </c>
      <c r="P2216" s="121">
        <f t="shared" si="867"/>
        <v>0</v>
      </c>
      <c r="Q2216" s="121">
        <f t="shared" si="868"/>
        <v>0.75</v>
      </c>
      <c r="R2216" s="121">
        <f t="shared" si="869"/>
        <v>0.25</v>
      </c>
      <c r="S2216" s="121" t="str">
        <f t="shared" si="870"/>
        <v/>
      </c>
      <c r="T2216" s="121" t="str">
        <f t="shared" si="871"/>
        <v/>
      </c>
      <c r="U2216" s="121">
        <f t="shared" si="872"/>
        <v>1.06</v>
      </c>
    </row>
    <row r="2217" spans="1:21" x14ac:dyDescent="0.3">
      <c r="A2217" s="187">
        <v>33</v>
      </c>
      <c r="B2217" s="242">
        <f t="shared" si="873"/>
        <v>46631</v>
      </c>
      <c r="C2217" s="243">
        <f t="shared" si="854"/>
        <v>46660</v>
      </c>
      <c r="D2217" s="120">
        <f t="shared" si="855"/>
        <v>30</v>
      </c>
      <c r="E2217" s="120">
        <f t="shared" si="856"/>
        <v>9</v>
      </c>
      <c r="F2217" s="275">
        <f t="shared" si="857"/>
        <v>46646</v>
      </c>
      <c r="G2217" s="120">
        <f t="shared" si="858"/>
        <v>24332</v>
      </c>
      <c r="H2217" s="245">
        <f t="shared" si="859"/>
        <v>1</v>
      </c>
      <c r="I2217" s="121">
        <f t="shared" si="860"/>
        <v>1.06</v>
      </c>
      <c r="J2217" s="121">
        <f t="shared" si="861"/>
        <v>1.06</v>
      </c>
      <c r="K2217" s="120">
        <f t="shared" si="862"/>
        <v>0</v>
      </c>
      <c r="L2217" s="120">
        <f t="shared" si="863"/>
        <v>0</v>
      </c>
      <c r="M2217" s="246">
        <f t="shared" si="864"/>
        <v>0</v>
      </c>
      <c r="N2217" s="121">
        <f t="shared" si="865"/>
        <v>1.06</v>
      </c>
      <c r="O2217" s="246">
        <f t="shared" si="866"/>
        <v>0.92148796498905916</v>
      </c>
      <c r="P2217" s="121">
        <f t="shared" si="867"/>
        <v>0</v>
      </c>
      <c r="Q2217" s="121">
        <f t="shared" si="868"/>
        <v>0.58333333333333337</v>
      </c>
      <c r="R2217" s="121">
        <f t="shared" si="869"/>
        <v>0.41666666666666663</v>
      </c>
      <c r="S2217" s="121" t="str">
        <f t="shared" si="870"/>
        <v/>
      </c>
      <c r="T2217" s="121" t="str">
        <f t="shared" si="871"/>
        <v/>
      </c>
      <c r="U2217" s="121">
        <f t="shared" si="872"/>
        <v>1.06</v>
      </c>
    </row>
    <row r="2218" spans="1:21" x14ac:dyDescent="0.3">
      <c r="A2218" s="187">
        <v>34</v>
      </c>
      <c r="B2218" s="242">
        <f t="shared" si="873"/>
        <v>46661</v>
      </c>
      <c r="C2218" s="243">
        <f t="shared" si="854"/>
        <v>46691</v>
      </c>
      <c r="D2218" s="120">
        <f t="shared" si="855"/>
        <v>31</v>
      </c>
      <c r="E2218" s="120">
        <f t="shared" si="856"/>
        <v>10</v>
      </c>
      <c r="F2218" s="275">
        <f t="shared" si="857"/>
        <v>46676.5</v>
      </c>
      <c r="G2218" s="120">
        <f t="shared" si="858"/>
        <v>24333</v>
      </c>
      <c r="H2218" s="245">
        <f t="shared" si="859"/>
        <v>1</v>
      </c>
      <c r="I2218" s="121">
        <f t="shared" si="860"/>
        <v>1.06</v>
      </c>
      <c r="J2218" s="121">
        <f t="shared" si="861"/>
        <v>1.06</v>
      </c>
      <c r="K2218" s="120">
        <f t="shared" si="862"/>
        <v>0</v>
      </c>
      <c r="L2218" s="120">
        <f t="shared" si="863"/>
        <v>0</v>
      </c>
      <c r="M2218" s="246">
        <f t="shared" si="864"/>
        <v>0</v>
      </c>
      <c r="N2218" s="121">
        <f t="shared" si="865"/>
        <v>1.06</v>
      </c>
      <c r="O2218" s="246">
        <f t="shared" si="866"/>
        <v>0.92248905908096279</v>
      </c>
      <c r="P2218" s="121">
        <f t="shared" si="867"/>
        <v>0</v>
      </c>
      <c r="Q2218" s="121">
        <f t="shared" si="868"/>
        <v>0.41666666666666669</v>
      </c>
      <c r="R2218" s="121">
        <f t="shared" si="869"/>
        <v>0.58333333333333326</v>
      </c>
      <c r="S2218" s="121" t="str">
        <f t="shared" si="870"/>
        <v/>
      </c>
      <c r="T2218" s="121" t="str">
        <f t="shared" si="871"/>
        <v/>
      </c>
      <c r="U2218" s="121">
        <f t="shared" si="872"/>
        <v>1.06</v>
      </c>
    </row>
    <row r="2219" spans="1:21" x14ac:dyDescent="0.3">
      <c r="A2219" s="187">
        <v>35</v>
      </c>
      <c r="B2219" s="242">
        <f t="shared" si="873"/>
        <v>46692</v>
      </c>
      <c r="C2219" s="243">
        <f t="shared" si="854"/>
        <v>46721</v>
      </c>
      <c r="D2219" s="120">
        <f t="shared" si="855"/>
        <v>30</v>
      </c>
      <c r="E2219" s="120">
        <f t="shared" si="856"/>
        <v>11</v>
      </c>
      <c r="F2219" s="275">
        <f t="shared" si="857"/>
        <v>46707</v>
      </c>
      <c r="G2219" s="120">
        <f t="shared" si="858"/>
        <v>24334</v>
      </c>
      <c r="H2219" s="245">
        <f t="shared" si="859"/>
        <v>1</v>
      </c>
      <c r="I2219" s="121">
        <f t="shared" si="860"/>
        <v>1.06</v>
      </c>
      <c r="J2219" s="121">
        <f t="shared" si="861"/>
        <v>1.06</v>
      </c>
      <c r="K2219" s="120">
        <f t="shared" si="862"/>
        <v>0</v>
      </c>
      <c r="L2219" s="120">
        <f t="shared" si="863"/>
        <v>0</v>
      </c>
      <c r="M2219" s="246">
        <f t="shared" si="864"/>
        <v>0</v>
      </c>
      <c r="N2219" s="121">
        <f t="shared" si="865"/>
        <v>1.06</v>
      </c>
      <c r="O2219" s="246">
        <f t="shared" si="866"/>
        <v>0.92349015317286653</v>
      </c>
      <c r="P2219" s="121">
        <f t="shared" si="867"/>
        <v>0</v>
      </c>
      <c r="Q2219" s="121">
        <f t="shared" si="868"/>
        <v>0.25</v>
      </c>
      <c r="R2219" s="121">
        <f t="shared" si="869"/>
        <v>0.75</v>
      </c>
      <c r="S2219" s="121" t="str">
        <f t="shared" si="870"/>
        <v/>
      </c>
      <c r="T2219" s="121" t="str">
        <f t="shared" si="871"/>
        <v/>
      </c>
      <c r="U2219" s="121">
        <f t="shared" si="872"/>
        <v>1.06</v>
      </c>
    </row>
    <row r="2220" spans="1:21" x14ac:dyDescent="0.3">
      <c r="A2220" s="187">
        <v>36</v>
      </c>
      <c r="B2220" s="242">
        <f t="shared" si="873"/>
        <v>46722</v>
      </c>
      <c r="C2220" s="243">
        <f t="shared" si="854"/>
        <v>46752</v>
      </c>
      <c r="D2220" s="120">
        <f t="shared" si="855"/>
        <v>31</v>
      </c>
      <c r="E2220" s="120">
        <f t="shared" si="856"/>
        <v>12</v>
      </c>
      <c r="F2220" s="275">
        <f t="shared" si="857"/>
        <v>46737.5</v>
      </c>
      <c r="G2220" s="120">
        <f t="shared" si="858"/>
        <v>24335</v>
      </c>
      <c r="H2220" s="245">
        <f t="shared" si="859"/>
        <v>1</v>
      </c>
      <c r="I2220" s="121">
        <f t="shared" si="860"/>
        <v>1.06</v>
      </c>
      <c r="J2220" s="121">
        <f t="shared" si="861"/>
        <v>1.06</v>
      </c>
      <c r="K2220" s="120">
        <f t="shared" si="862"/>
        <v>0</v>
      </c>
      <c r="L2220" s="120">
        <f t="shared" si="863"/>
        <v>0</v>
      </c>
      <c r="M2220" s="246">
        <f t="shared" si="864"/>
        <v>0</v>
      </c>
      <c r="N2220" s="121">
        <f t="shared" si="865"/>
        <v>1.06</v>
      </c>
      <c r="O2220" s="246">
        <f t="shared" si="866"/>
        <v>0.92449124726477028</v>
      </c>
      <c r="P2220" s="121">
        <f t="shared" si="867"/>
        <v>0</v>
      </c>
      <c r="Q2220" s="121">
        <f t="shared" si="868"/>
        <v>8.3333333333333329E-2</v>
      </c>
      <c r="R2220" s="121">
        <f t="shared" si="869"/>
        <v>0.91666666666666663</v>
      </c>
      <c r="S2220" s="121" t="str">
        <f t="shared" si="870"/>
        <v/>
      </c>
      <c r="T2220" s="121" t="str">
        <f t="shared" si="871"/>
        <v/>
      </c>
      <c r="U2220" s="121">
        <f t="shared" si="872"/>
        <v>1.06</v>
      </c>
    </row>
    <row r="2221" spans="1:21" x14ac:dyDescent="0.3">
      <c r="A2221" s="187">
        <v>37</v>
      </c>
      <c r="B2221" s="242">
        <f t="shared" si="873"/>
        <v>46753</v>
      </c>
      <c r="C2221" s="243">
        <f t="shared" si="854"/>
        <v>46783</v>
      </c>
      <c r="D2221" s="120">
        <f t="shared" si="855"/>
        <v>31</v>
      </c>
      <c r="E2221" s="120">
        <f t="shared" si="856"/>
        <v>1</v>
      </c>
      <c r="F2221" s="275">
        <f t="shared" si="857"/>
        <v>46768.5</v>
      </c>
      <c r="G2221" s="120">
        <f t="shared" si="858"/>
        <v>24336</v>
      </c>
      <c r="H2221" s="245">
        <f t="shared" si="859"/>
        <v>1</v>
      </c>
      <c r="I2221" s="121">
        <f t="shared" si="860"/>
        <v>1.06</v>
      </c>
      <c r="J2221" s="121">
        <f t="shared" si="861"/>
        <v>1.06</v>
      </c>
      <c r="K2221" s="120">
        <f t="shared" si="862"/>
        <v>0</v>
      </c>
      <c r="L2221" s="120">
        <f t="shared" si="863"/>
        <v>0</v>
      </c>
      <c r="M2221" s="246">
        <f t="shared" si="864"/>
        <v>0</v>
      </c>
      <c r="N2221" s="121">
        <f t="shared" si="865"/>
        <v>1.06</v>
      </c>
      <c r="O2221" s="246">
        <f t="shared" si="866"/>
        <v>0.92500000000000004</v>
      </c>
      <c r="P2221" s="121">
        <f t="shared" si="867"/>
        <v>0</v>
      </c>
      <c r="Q2221" s="121">
        <f t="shared" si="868"/>
        <v>0</v>
      </c>
      <c r="R2221" s="121">
        <f t="shared" si="869"/>
        <v>1</v>
      </c>
      <c r="S2221" s="121" t="str">
        <f t="shared" si="870"/>
        <v/>
      </c>
      <c r="T2221" s="121" t="str">
        <f t="shared" si="871"/>
        <v/>
      </c>
      <c r="U2221" s="121">
        <f t="shared" si="872"/>
        <v>1.06</v>
      </c>
    </row>
    <row r="2222" spans="1:21" x14ac:dyDescent="0.3">
      <c r="A2222" s="187">
        <v>38</v>
      </c>
      <c r="B2222" s="242">
        <f t="shared" si="873"/>
        <v>46784</v>
      </c>
      <c r="C2222" s="243">
        <f t="shared" si="854"/>
        <v>46812</v>
      </c>
      <c r="D2222" s="120">
        <f t="shared" si="855"/>
        <v>29</v>
      </c>
      <c r="E2222" s="120">
        <f t="shared" si="856"/>
        <v>2</v>
      </c>
      <c r="F2222" s="275">
        <f t="shared" si="857"/>
        <v>46798.5</v>
      </c>
      <c r="G2222" s="120">
        <f t="shared" si="858"/>
        <v>24337</v>
      </c>
      <c r="H2222" s="245">
        <f t="shared" si="859"/>
        <v>1</v>
      </c>
      <c r="I2222" s="121">
        <f t="shared" si="860"/>
        <v>1.06</v>
      </c>
      <c r="J2222" s="121">
        <f t="shared" si="861"/>
        <v>1.06</v>
      </c>
      <c r="K2222" s="120">
        <f t="shared" si="862"/>
        <v>0</v>
      </c>
      <c r="L2222" s="120">
        <f t="shared" si="863"/>
        <v>0</v>
      </c>
      <c r="M2222" s="246">
        <f t="shared" si="864"/>
        <v>0</v>
      </c>
      <c r="N2222" s="121">
        <f t="shared" si="865"/>
        <v>1.06</v>
      </c>
      <c r="O2222" s="246">
        <f t="shared" si="866"/>
        <v>0.92500000000000004</v>
      </c>
      <c r="P2222" s="121">
        <f t="shared" si="867"/>
        <v>0</v>
      </c>
      <c r="Q2222" s="121">
        <f t="shared" si="868"/>
        <v>0</v>
      </c>
      <c r="R2222" s="121">
        <f t="shared" si="869"/>
        <v>1</v>
      </c>
      <c r="S2222" s="121" t="str">
        <f t="shared" si="870"/>
        <v/>
      </c>
      <c r="T2222" s="121" t="str">
        <f t="shared" si="871"/>
        <v/>
      </c>
      <c r="U2222" s="121">
        <f t="shared" si="872"/>
        <v>1.06</v>
      </c>
    </row>
    <row r="2223" spans="1:21" x14ac:dyDescent="0.3">
      <c r="A2223" s="187">
        <v>39</v>
      </c>
      <c r="B2223" s="242">
        <f t="shared" si="873"/>
        <v>46813</v>
      </c>
      <c r="C2223" s="243">
        <f t="shared" si="854"/>
        <v>46843</v>
      </c>
      <c r="D2223" s="120">
        <f t="shared" si="855"/>
        <v>31</v>
      </c>
      <c r="E2223" s="120">
        <f t="shared" si="856"/>
        <v>3</v>
      </c>
      <c r="F2223" s="275">
        <f t="shared" si="857"/>
        <v>46828.5</v>
      </c>
      <c r="G2223" s="120">
        <f t="shared" si="858"/>
        <v>24338</v>
      </c>
      <c r="H2223" s="245">
        <f t="shared" si="859"/>
        <v>1</v>
      </c>
      <c r="I2223" s="121">
        <f t="shared" si="860"/>
        <v>1.06</v>
      </c>
      <c r="J2223" s="121">
        <f t="shared" si="861"/>
        <v>1.06</v>
      </c>
      <c r="K2223" s="120">
        <f t="shared" si="862"/>
        <v>0</v>
      </c>
      <c r="L2223" s="120">
        <f t="shared" si="863"/>
        <v>0</v>
      </c>
      <c r="M2223" s="246">
        <f t="shared" si="864"/>
        <v>0</v>
      </c>
      <c r="N2223" s="121">
        <f t="shared" si="865"/>
        <v>1.06</v>
      </c>
      <c r="O2223" s="246">
        <f t="shared" si="866"/>
        <v>0.92500000000000004</v>
      </c>
      <c r="P2223" s="121">
        <f t="shared" si="867"/>
        <v>0</v>
      </c>
      <c r="Q2223" s="121">
        <f t="shared" si="868"/>
        <v>0</v>
      </c>
      <c r="R2223" s="121">
        <f t="shared" si="869"/>
        <v>1</v>
      </c>
      <c r="S2223" s="121" t="str">
        <f t="shared" si="870"/>
        <v/>
      </c>
      <c r="T2223" s="121" t="str">
        <f t="shared" si="871"/>
        <v/>
      </c>
      <c r="U2223" s="121">
        <f t="shared" si="872"/>
        <v>1.06</v>
      </c>
    </row>
    <row r="2224" spans="1:21" x14ac:dyDescent="0.3">
      <c r="A2224" s="187">
        <v>40</v>
      </c>
      <c r="B2224" s="242">
        <f t="shared" si="873"/>
        <v>46844</v>
      </c>
      <c r="C2224" s="243">
        <f t="shared" si="854"/>
        <v>46873</v>
      </c>
      <c r="D2224" s="120">
        <f t="shared" si="855"/>
        <v>30</v>
      </c>
      <c r="E2224" s="120">
        <f t="shared" si="856"/>
        <v>4</v>
      </c>
      <c r="F2224" s="275">
        <f t="shared" si="857"/>
        <v>46859</v>
      </c>
      <c r="G2224" s="120">
        <f t="shared" si="858"/>
        <v>24339</v>
      </c>
      <c r="H2224" s="245">
        <f t="shared" si="859"/>
        <v>1</v>
      </c>
      <c r="I2224" s="121">
        <f t="shared" si="860"/>
        <v>1.06</v>
      </c>
      <c r="J2224" s="121">
        <f t="shared" si="861"/>
        <v>1.06</v>
      </c>
      <c r="K2224" s="120">
        <f t="shared" si="862"/>
        <v>0</v>
      </c>
      <c r="L2224" s="120">
        <f t="shared" si="863"/>
        <v>0</v>
      </c>
      <c r="M2224" s="246">
        <f t="shared" si="864"/>
        <v>0</v>
      </c>
      <c r="N2224" s="121">
        <f t="shared" si="865"/>
        <v>1.06</v>
      </c>
      <c r="O2224" s="246">
        <f t="shared" si="866"/>
        <v>0.92500000000000004</v>
      </c>
      <c r="P2224" s="121">
        <f t="shared" si="867"/>
        <v>0</v>
      </c>
      <c r="Q2224" s="121">
        <f t="shared" si="868"/>
        <v>0</v>
      </c>
      <c r="R2224" s="121">
        <f t="shared" si="869"/>
        <v>1</v>
      </c>
      <c r="S2224" s="121" t="str">
        <f t="shared" si="870"/>
        <v/>
      </c>
      <c r="T2224" s="121" t="str">
        <f t="shared" si="871"/>
        <v/>
      </c>
      <c r="U2224" s="121">
        <f t="shared" si="872"/>
        <v>1.06</v>
      </c>
    </row>
    <row r="2225" spans="1:21" x14ac:dyDescent="0.3">
      <c r="A2225" s="187">
        <v>41</v>
      </c>
      <c r="B2225" s="242">
        <f t="shared" si="873"/>
        <v>46874</v>
      </c>
      <c r="C2225" s="243">
        <f t="shared" si="854"/>
        <v>46904</v>
      </c>
      <c r="D2225" s="120">
        <f t="shared" si="855"/>
        <v>31</v>
      </c>
      <c r="E2225" s="120">
        <f t="shared" si="856"/>
        <v>5</v>
      </c>
      <c r="F2225" s="275">
        <f t="shared" si="857"/>
        <v>46889.5</v>
      </c>
      <c r="G2225" s="120">
        <f t="shared" si="858"/>
        <v>24340</v>
      </c>
      <c r="H2225" s="245">
        <f t="shared" si="859"/>
        <v>1</v>
      </c>
      <c r="I2225" s="121">
        <f t="shared" si="860"/>
        <v>1.06</v>
      </c>
      <c r="J2225" s="121">
        <f t="shared" si="861"/>
        <v>1.06</v>
      </c>
      <c r="K2225" s="120">
        <f t="shared" si="862"/>
        <v>0</v>
      </c>
      <c r="L2225" s="120">
        <f t="shared" si="863"/>
        <v>0</v>
      </c>
      <c r="M2225" s="246">
        <f t="shared" si="864"/>
        <v>0</v>
      </c>
      <c r="N2225" s="121">
        <f t="shared" si="865"/>
        <v>1.06</v>
      </c>
      <c r="O2225" s="246">
        <f t="shared" si="866"/>
        <v>0.92500000000000004</v>
      </c>
      <c r="P2225" s="121">
        <f t="shared" si="867"/>
        <v>0</v>
      </c>
      <c r="Q2225" s="121">
        <f t="shared" si="868"/>
        <v>0</v>
      </c>
      <c r="R2225" s="121">
        <f t="shared" si="869"/>
        <v>1</v>
      </c>
      <c r="S2225" s="121" t="str">
        <f t="shared" si="870"/>
        <v/>
      </c>
      <c r="T2225" s="121" t="str">
        <f t="shared" si="871"/>
        <v/>
      </c>
      <c r="U2225" s="121">
        <f t="shared" si="872"/>
        <v>1.06</v>
      </c>
    </row>
    <row r="2226" spans="1:21" x14ac:dyDescent="0.3">
      <c r="A2226" s="187">
        <v>42</v>
      </c>
      <c r="B2226" s="242">
        <f t="shared" si="873"/>
        <v>46905</v>
      </c>
      <c r="C2226" s="243">
        <f t="shared" si="854"/>
        <v>46934</v>
      </c>
      <c r="D2226" s="120">
        <f t="shared" si="855"/>
        <v>30</v>
      </c>
      <c r="E2226" s="120">
        <f t="shared" si="856"/>
        <v>6</v>
      </c>
      <c r="F2226" s="275">
        <f t="shared" si="857"/>
        <v>46920</v>
      </c>
      <c r="G2226" s="120">
        <f t="shared" si="858"/>
        <v>24341</v>
      </c>
      <c r="H2226" s="245">
        <f t="shared" si="859"/>
        <v>1</v>
      </c>
      <c r="I2226" s="121">
        <f t="shared" si="860"/>
        <v>1.06</v>
      </c>
      <c r="J2226" s="121">
        <f t="shared" si="861"/>
        <v>1.06</v>
      </c>
      <c r="K2226" s="120">
        <f t="shared" si="862"/>
        <v>0</v>
      </c>
      <c r="L2226" s="120">
        <f t="shared" si="863"/>
        <v>0</v>
      </c>
      <c r="M2226" s="246">
        <f t="shared" si="864"/>
        <v>0</v>
      </c>
      <c r="N2226" s="121">
        <f t="shared" si="865"/>
        <v>1.06</v>
      </c>
      <c r="O2226" s="246">
        <f t="shared" si="866"/>
        <v>0.92500000000000004</v>
      </c>
      <c r="P2226" s="121">
        <f t="shared" si="867"/>
        <v>0</v>
      </c>
      <c r="Q2226" s="121">
        <f t="shared" si="868"/>
        <v>0</v>
      </c>
      <c r="R2226" s="121">
        <f t="shared" si="869"/>
        <v>1</v>
      </c>
      <c r="S2226" s="121" t="str">
        <f t="shared" si="870"/>
        <v/>
      </c>
      <c r="T2226" s="121" t="str">
        <f t="shared" si="871"/>
        <v/>
      </c>
      <c r="U2226" s="121">
        <f t="shared" si="872"/>
        <v>1.06</v>
      </c>
    </row>
    <row r="2227" spans="1:21" x14ac:dyDescent="0.3">
      <c r="A2227" s="187">
        <v>43</v>
      </c>
      <c r="B2227" s="242">
        <f t="shared" si="873"/>
        <v>46935</v>
      </c>
      <c r="C2227" s="243">
        <f t="shared" si="854"/>
        <v>46965</v>
      </c>
      <c r="D2227" s="120">
        <f t="shared" si="855"/>
        <v>31</v>
      </c>
      <c r="E2227" s="120">
        <f t="shared" si="856"/>
        <v>7</v>
      </c>
      <c r="F2227" s="275">
        <f t="shared" si="857"/>
        <v>46950.5</v>
      </c>
      <c r="G2227" s="120">
        <f t="shared" si="858"/>
        <v>24342</v>
      </c>
      <c r="H2227" s="245">
        <f t="shared" si="859"/>
        <v>1</v>
      </c>
      <c r="I2227" s="121">
        <f t="shared" si="860"/>
        <v>1.06</v>
      </c>
      <c r="J2227" s="121">
        <f t="shared" si="861"/>
        <v>1.06</v>
      </c>
      <c r="K2227" s="120">
        <f t="shared" si="862"/>
        <v>0</v>
      </c>
      <c r="L2227" s="120">
        <f t="shared" si="863"/>
        <v>0</v>
      </c>
      <c r="M2227" s="246">
        <f t="shared" si="864"/>
        <v>0</v>
      </c>
      <c r="N2227" s="121">
        <f t="shared" si="865"/>
        <v>1.06</v>
      </c>
      <c r="O2227" s="246">
        <f t="shared" si="866"/>
        <v>0.92500000000000004</v>
      </c>
      <c r="P2227" s="121">
        <f t="shared" si="867"/>
        <v>0</v>
      </c>
      <c r="Q2227" s="121">
        <f t="shared" si="868"/>
        <v>0</v>
      </c>
      <c r="R2227" s="121">
        <f t="shared" si="869"/>
        <v>0.91666666666666663</v>
      </c>
      <c r="S2227" s="121" t="str">
        <f t="shared" si="870"/>
        <v/>
      </c>
      <c r="T2227" s="121" t="str">
        <f t="shared" si="871"/>
        <v/>
      </c>
      <c r="U2227" s="121">
        <f t="shared" si="872"/>
        <v>1.06</v>
      </c>
    </row>
    <row r="2228" spans="1:21" x14ac:dyDescent="0.3">
      <c r="A2228" s="187">
        <v>44</v>
      </c>
      <c r="B2228" s="242">
        <f t="shared" si="873"/>
        <v>46966</v>
      </c>
      <c r="C2228" s="243">
        <f t="shared" si="854"/>
        <v>46996</v>
      </c>
      <c r="D2228" s="120">
        <f t="shared" si="855"/>
        <v>31</v>
      </c>
      <c r="E2228" s="120">
        <f t="shared" si="856"/>
        <v>8</v>
      </c>
      <c r="F2228" s="275">
        <f t="shared" si="857"/>
        <v>46981.5</v>
      </c>
      <c r="G2228" s="120">
        <f t="shared" si="858"/>
        <v>24343</v>
      </c>
      <c r="H2228" s="245">
        <f t="shared" si="859"/>
        <v>1</v>
      </c>
      <c r="I2228" s="121">
        <f t="shared" si="860"/>
        <v>1.06</v>
      </c>
      <c r="J2228" s="121">
        <f t="shared" si="861"/>
        <v>1.06</v>
      </c>
      <c r="K2228" s="120">
        <f t="shared" si="862"/>
        <v>0</v>
      </c>
      <c r="L2228" s="120">
        <f t="shared" si="863"/>
        <v>0</v>
      </c>
      <c r="M2228" s="246">
        <f t="shared" si="864"/>
        <v>0</v>
      </c>
      <c r="N2228" s="121">
        <f t="shared" si="865"/>
        <v>1.06</v>
      </c>
      <c r="O2228" s="246">
        <f t="shared" si="866"/>
        <v>0.92500000000000004</v>
      </c>
      <c r="P2228" s="121">
        <f t="shared" si="867"/>
        <v>0</v>
      </c>
      <c r="Q2228" s="121">
        <f t="shared" si="868"/>
        <v>0</v>
      </c>
      <c r="R2228" s="121">
        <f t="shared" si="869"/>
        <v>0.75</v>
      </c>
      <c r="S2228" s="121" t="str">
        <f t="shared" si="870"/>
        <v/>
      </c>
      <c r="T2228" s="121" t="str">
        <f t="shared" si="871"/>
        <v/>
      </c>
      <c r="U2228" s="121">
        <f t="shared" si="872"/>
        <v>1.06</v>
      </c>
    </row>
    <row r="2229" spans="1:21" x14ac:dyDescent="0.3">
      <c r="A2229" s="187">
        <v>45</v>
      </c>
      <c r="B2229" s="242">
        <f t="shared" si="873"/>
        <v>46997</v>
      </c>
      <c r="C2229" s="243">
        <f t="shared" si="854"/>
        <v>47026</v>
      </c>
      <c r="D2229" s="120">
        <f t="shared" si="855"/>
        <v>30</v>
      </c>
      <c r="E2229" s="120">
        <f t="shared" si="856"/>
        <v>9</v>
      </c>
      <c r="F2229" s="275">
        <f t="shared" si="857"/>
        <v>47012</v>
      </c>
      <c r="G2229" s="120">
        <f t="shared" si="858"/>
        <v>24344</v>
      </c>
      <c r="H2229" s="245">
        <f t="shared" si="859"/>
        <v>1</v>
      </c>
      <c r="I2229" s="121">
        <f t="shared" si="860"/>
        <v>1.06</v>
      </c>
      <c r="J2229" s="121">
        <f t="shared" si="861"/>
        <v>1.06</v>
      </c>
      <c r="K2229" s="120">
        <f t="shared" si="862"/>
        <v>0</v>
      </c>
      <c r="L2229" s="120">
        <f t="shared" si="863"/>
        <v>0</v>
      </c>
      <c r="M2229" s="246">
        <f t="shared" si="864"/>
        <v>0</v>
      </c>
      <c r="N2229" s="121">
        <f t="shared" si="865"/>
        <v>1.06</v>
      </c>
      <c r="O2229" s="246">
        <f t="shared" si="866"/>
        <v>0.92500000000000004</v>
      </c>
      <c r="P2229" s="121">
        <f t="shared" si="867"/>
        <v>0</v>
      </c>
      <c r="Q2229" s="121">
        <f t="shared" si="868"/>
        <v>0</v>
      </c>
      <c r="R2229" s="121">
        <f t="shared" si="869"/>
        <v>0.58333333333333337</v>
      </c>
      <c r="S2229" s="121" t="str">
        <f t="shared" si="870"/>
        <v/>
      </c>
      <c r="T2229" s="121" t="str">
        <f t="shared" si="871"/>
        <v/>
      </c>
      <c r="U2229" s="121">
        <f t="shared" si="872"/>
        <v>1.06</v>
      </c>
    </row>
    <row r="2230" spans="1:21" x14ac:dyDescent="0.3">
      <c r="A2230" s="187">
        <v>46</v>
      </c>
      <c r="B2230" s="242">
        <f t="shared" si="873"/>
        <v>47027</v>
      </c>
      <c r="C2230" s="243">
        <f t="shared" si="854"/>
        <v>47057</v>
      </c>
      <c r="D2230" s="120">
        <f t="shared" si="855"/>
        <v>31</v>
      </c>
      <c r="E2230" s="120">
        <f t="shared" si="856"/>
        <v>10</v>
      </c>
      <c r="F2230" s="275">
        <f t="shared" si="857"/>
        <v>47042.5</v>
      </c>
      <c r="G2230" s="120">
        <f t="shared" si="858"/>
        <v>24345</v>
      </c>
      <c r="H2230" s="245">
        <f t="shared" si="859"/>
        <v>1</v>
      </c>
      <c r="I2230" s="121">
        <f t="shared" si="860"/>
        <v>1.06</v>
      </c>
      <c r="J2230" s="121">
        <f t="shared" si="861"/>
        <v>1.06</v>
      </c>
      <c r="K2230" s="120">
        <f t="shared" si="862"/>
        <v>0</v>
      </c>
      <c r="L2230" s="120">
        <f t="shared" si="863"/>
        <v>0</v>
      </c>
      <c r="M2230" s="246">
        <f t="shared" si="864"/>
        <v>0</v>
      </c>
      <c r="N2230" s="121">
        <f t="shared" si="865"/>
        <v>1.06</v>
      </c>
      <c r="O2230" s="246">
        <f t="shared" si="866"/>
        <v>0.92500000000000004</v>
      </c>
      <c r="P2230" s="121">
        <f t="shared" si="867"/>
        <v>0</v>
      </c>
      <c r="Q2230" s="121">
        <f t="shared" si="868"/>
        <v>0</v>
      </c>
      <c r="R2230" s="121">
        <f t="shared" si="869"/>
        <v>0.41666666666666669</v>
      </c>
      <c r="S2230" s="121" t="str">
        <f t="shared" si="870"/>
        <v/>
      </c>
      <c r="T2230" s="121" t="str">
        <f t="shared" si="871"/>
        <v/>
      </c>
      <c r="U2230" s="121">
        <f t="shared" si="872"/>
        <v>1.06</v>
      </c>
    </row>
    <row r="2231" spans="1:21" x14ac:dyDescent="0.3">
      <c r="A2231" s="187">
        <v>47</v>
      </c>
      <c r="B2231" s="242">
        <f t="shared" si="873"/>
        <v>47058</v>
      </c>
      <c r="C2231" s="243">
        <f t="shared" si="854"/>
        <v>47087</v>
      </c>
      <c r="D2231" s="120">
        <f t="shared" si="855"/>
        <v>30</v>
      </c>
      <c r="E2231" s="120">
        <f t="shared" si="856"/>
        <v>11</v>
      </c>
      <c r="F2231" s="275">
        <f t="shared" si="857"/>
        <v>47073</v>
      </c>
      <c r="G2231" s="120">
        <f t="shared" si="858"/>
        <v>24346</v>
      </c>
      <c r="H2231" s="245">
        <f t="shared" si="859"/>
        <v>1</v>
      </c>
      <c r="I2231" s="121">
        <f t="shared" si="860"/>
        <v>1.06</v>
      </c>
      <c r="J2231" s="121">
        <f t="shared" si="861"/>
        <v>1.06</v>
      </c>
      <c r="K2231" s="120">
        <f t="shared" si="862"/>
        <v>0</v>
      </c>
      <c r="L2231" s="120">
        <f t="shared" si="863"/>
        <v>0</v>
      </c>
      <c r="M2231" s="246">
        <f t="shared" si="864"/>
        <v>0</v>
      </c>
      <c r="N2231" s="121">
        <f t="shared" si="865"/>
        <v>1.06</v>
      </c>
      <c r="O2231" s="246">
        <f t="shared" si="866"/>
        <v>0.92500000000000004</v>
      </c>
      <c r="P2231" s="121">
        <f t="shared" si="867"/>
        <v>0</v>
      </c>
      <c r="Q2231" s="121">
        <f t="shared" si="868"/>
        <v>0</v>
      </c>
      <c r="R2231" s="121">
        <f t="shared" si="869"/>
        <v>0.25</v>
      </c>
      <c r="S2231" s="121" t="str">
        <f t="shared" si="870"/>
        <v/>
      </c>
      <c r="T2231" s="121" t="str">
        <f t="shared" si="871"/>
        <v/>
      </c>
      <c r="U2231" s="121">
        <f t="shared" si="872"/>
        <v>1.06</v>
      </c>
    </row>
    <row r="2232" spans="1:21" x14ac:dyDescent="0.3">
      <c r="A2232" s="187">
        <v>48</v>
      </c>
      <c r="B2232" s="242">
        <f t="shared" si="873"/>
        <v>47088</v>
      </c>
      <c r="C2232" s="243">
        <f t="shared" si="854"/>
        <v>47118</v>
      </c>
      <c r="D2232" s="120">
        <f t="shared" si="855"/>
        <v>31</v>
      </c>
      <c r="E2232" s="120">
        <f t="shared" si="856"/>
        <v>12</v>
      </c>
      <c r="F2232" s="275">
        <f t="shared" si="857"/>
        <v>47103.5</v>
      </c>
      <c r="G2232" s="120">
        <f t="shared" si="858"/>
        <v>24347</v>
      </c>
      <c r="H2232" s="245">
        <f t="shared" si="859"/>
        <v>1</v>
      </c>
      <c r="I2232" s="121">
        <f t="shared" si="860"/>
        <v>1.06</v>
      </c>
      <c r="J2232" s="121">
        <f t="shared" si="861"/>
        <v>1.06</v>
      </c>
      <c r="K2232" s="120">
        <f t="shared" si="862"/>
        <v>0</v>
      </c>
      <c r="L2232" s="120">
        <f t="shared" si="863"/>
        <v>0</v>
      </c>
      <c r="M2232" s="246">
        <f t="shared" si="864"/>
        <v>0</v>
      </c>
      <c r="N2232" s="121">
        <f t="shared" si="865"/>
        <v>1.06</v>
      </c>
      <c r="O2232" s="246">
        <f t="shared" si="866"/>
        <v>0.92500000000000004</v>
      </c>
      <c r="P2232" s="121">
        <f t="shared" si="867"/>
        <v>0</v>
      </c>
      <c r="Q2232" s="121">
        <f t="shared" si="868"/>
        <v>0</v>
      </c>
      <c r="R2232" s="121">
        <f t="shared" si="869"/>
        <v>8.3333333333333329E-2</v>
      </c>
      <c r="S2232" s="121" t="str">
        <f t="shared" si="870"/>
        <v/>
      </c>
      <c r="T2232" s="121" t="str">
        <f t="shared" si="871"/>
        <v/>
      </c>
      <c r="U2232" s="121">
        <f t="shared" si="872"/>
        <v>1.06</v>
      </c>
    </row>
    <row r="2233" spans="1:21" x14ac:dyDescent="0.3">
      <c r="A2233" s="6" t="s">
        <v>1651</v>
      </c>
      <c r="B2233" s="73">
        <f>EXP(SUMPRODUCT((rl_key=$A$2182)*(rl_cons="Y")*rl_ln1p))</f>
        <v>1.06</v>
      </c>
      <c r="C2233" s="73">
        <f>SUMPRODUCT($H$2185:$H$2232,$P$2185:$P$2232,$U$2185:$U$2232)/SUMPRODUCT($H$2185:$H$2232,$P$2185:$P$2232)</f>
        <v>1.03</v>
      </c>
      <c r="D2233" s="73">
        <f>SUMPRODUCT($H$2185:$H$2232,$Q$2185:$Q$2232,$U$2185:$U$2232)/SUMPRODUCT($H$2185:$H$2232,$Q$2185:$Q$2232)</f>
        <v>1.0600000000000003</v>
      </c>
      <c r="E2233" s="73">
        <f>SUMPRODUCT($H$2185:$H$2232,$R$2185:$R$2232,$U$2185:$U$2232)/SUMPRODUCT($H$2185:$H$2232,$R$2185:$R$2232)</f>
        <v>1.0600000000000003</v>
      </c>
      <c r="F2233" s="224">
        <f>SUMPRODUCT($H$2185:$H$2232,$Q$2185:$Q$2232,$O$2185:$O$2232)/SUMPRODUCT($H$2185:$H$2232,$Q$2185:$Q$2232)</f>
        <v>0.91598878555798668</v>
      </c>
      <c r="G2233" s="224">
        <f>SUMPRODUCT($H$2185:$H$2232,$R$2185:$R$2232,$O$2185:$O$2232)/SUMPRODUCT($H$2185:$H$2232,$R$2185:$R$2232)</f>
        <v>0.92449033552151683</v>
      </c>
      <c r="H2233" s="73">
        <f>SUMPRODUCT($H$2209:$H$2220,$N$2209:$N$2220/$N$2197:$N$2208)/SUM($H$2209:$H$2220)</f>
        <v>1.0149999999999999</v>
      </c>
      <c r="I2233" s="73">
        <f>SUMPRODUCT($H$2209:$H$2220,$O$2209:$O$2220/$O$2197:$O$2208)/SUM($H$2209:$H$2220)</f>
        <v>1.0132088564102013</v>
      </c>
      <c r="J2233" s="73">
        <f>IF($O$2182=1,SUMPRODUCT($H$2209:$H$2220,$N$2209:$N$2220/$N$2197:$N$2208*$O$2209:$O$2220/$O$2197:$O$2208)/SUM($H$2209:$H$2220),$H2233)</f>
        <v>1.0284079716072398</v>
      </c>
      <c r="K2233" s="73">
        <f>SUMPRODUCT($H$2185:$H$2232,$Q$2185:$Q$2232,$N$2185:$N$2232)/SUMPRODUCT($H$2185:$H$2232,$Q$2185:$Q$2232)</f>
        <v>1.0600000000000003</v>
      </c>
      <c r="L2233" s="73">
        <f>SUMPRODUCT($H$2185:$H$2232,$R$2185:$R$2232,$N$2185:$N$2232)/SUMPRODUCT($H$2185:$H$2232,$R$2185:$R$2232)</f>
        <v>1.0600000000000003</v>
      </c>
    </row>
    <row r="2236" spans="1:21" x14ac:dyDescent="0.3">
      <c r="A2236" s="6" t="str">
        <f>INDEX(lr_key,41)</f>
        <v>MM|WV</v>
      </c>
      <c r="B2236" s="6" t="str">
        <f>INDEX(lr_state,41)</f>
        <v>WV</v>
      </c>
      <c r="C2236" s="75">
        <f>nr_TermMonths</f>
        <v>6</v>
      </c>
      <c r="D2236" s="75">
        <f>IF(COUNTIF(se_state,$B2236)=0,0,MATCH($B2236,se_state,0))</f>
        <v>0</v>
      </c>
      <c r="E2236" s="70">
        <f>IF($D2236=0,0,INDEX(se_sum,$D2236))</f>
        <v>0</v>
      </c>
      <c r="F2236" s="224">
        <f>IF(N(INDEX(lr_mind,41))=0,1,INDEX(lr_mind,41))</f>
        <v>0.92</v>
      </c>
      <c r="G2236" s="224">
        <f>IF(N(INDEX(lr_m0,41))=0,1,INDEX(lr_m0,41))</f>
        <v>0.91</v>
      </c>
      <c r="H2236" s="74">
        <f>IF(N(INDEX(lr_m0asof,41))=0,DATE(nr_PlanYear-1,10,1),INDEX(lr_m0asof,41))</f>
        <v>46295</v>
      </c>
      <c r="I2236" s="224">
        <f>IF(N(INDEX(lr_m1,41))=0,1,INDEX(lr_m1,41))</f>
        <v>0.90500000000000003</v>
      </c>
      <c r="J2236" s="224">
        <f>INDEX(lr_mprior,41)</f>
        <v>0</v>
      </c>
      <c r="K2236" s="224">
        <f>INDEX(lr_m2,41)</f>
        <v>0</v>
      </c>
      <c r="L2236" s="6" t="b">
        <f>NOT(ISBLANK(INDEX(lr_netp,41)))</f>
        <v>0</v>
      </c>
      <c r="M2236" s="72">
        <f>N(INDEX(lr_netp,41))</f>
        <v>0</v>
      </c>
      <c r="N2236" s="72">
        <f>IF(ISBLANK(INDEX(lr_netp1,41)),$M$2236,N(INDEX(lr_netp1,41)))</f>
        <v>0</v>
      </c>
      <c r="O2236" s="75">
        <f>IF(AND(nr_ModAdjMaster="ON",INDEX(lr_modadj,41)="ON"),1,0)</f>
        <v>1</v>
      </c>
    </row>
    <row r="2237" spans="1:21" x14ac:dyDescent="0.3">
      <c r="A2237" s="6">
        <f>EDATE($H$2236,-12)+1</f>
        <v>45931</v>
      </c>
      <c r="B2237" s="6">
        <f>$H$2236+1</f>
        <v>46296</v>
      </c>
      <c r="C2237" s="6">
        <f>DATE(nr_PlanYear,12,31)+1</f>
        <v>46753</v>
      </c>
      <c r="D2237" s="6">
        <f>DATE(nr_PlanYear+1,12,31)+1</f>
        <v>47119</v>
      </c>
      <c r="E2237" s="6">
        <f>IF(N($J$2236)=0,$F$2237-($G$2237-$F$2237)/($C$2237-$B$2237)*($B$2237-$A$2237),$J$2236)</f>
        <v>0.9139934354485777</v>
      </c>
      <c r="F2237" s="6">
        <f>$G$2236</f>
        <v>0.91</v>
      </c>
      <c r="G2237" s="6">
        <f>$I$2236</f>
        <v>0.90500000000000003</v>
      </c>
      <c r="H2237" s="6">
        <f>IF(N($K$2236)=0,$I$2236,$K$2236)</f>
        <v>0.90500000000000003</v>
      </c>
      <c r="I2237" s="6">
        <f>($F$2237-$E$2237)/($B$2237-$A$2237)</f>
        <v>-1.0940919037199081E-5</v>
      </c>
      <c r="J2237" s="6">
        <f>($G$2237-$F$2237)/($C$2237-$B$2237)</f>
        <v>-1.0940919037199135E-5</v>
      </c>
      <c r="K2237" s="6">
        <f>($H$2237-$G$2237)/($D$2237-$C$2237)</f>
        <v>0</v>
      </c>
    </row>
    <row r="2238" spans="1:21" ht="36" x14ac:dyDescent="0.3">
      <c r="A2238" s="58" t="s">
        <v>390</v>
      </c>
      <c r="B2238" s="58" t="s">
        <v>449</v>
      </c>
      <c r="C2238" s="58" t="s">
        <v>685</v>
      </c>
      <c r="D2238" s="58" t="s">
        <v>686</v>
      </c>
      <c r="E2238" s="58" t="s">
        <v>687</v>
      </c>
      <c r="F2238" s="58" t="s">
        <v>688</v>
      </c>
      <c r="G2238" s="58" t="s">
        <v>689</v>
      </c>
      <c r="H2238" s="58" t="s">
        <v>452</v>
      </c>
      <c r="I2238" s="58" t="s">
        <v>690</v>
      </c>
      <c r="J2238" s="58" t="s">
        <v>691</v>
      </c>
      <c r="K2238" s="58" t="s">
        <v>692</v>
      </c>
      <c r="L2238" s="58" t="s">
        <v>693</v>
      </c>
      <c r="M2238" s="58" t="s">
        <v>694</v>
      </c>
      <c r="N2238" s="58" t="s">
        <v>695</v>
      </c>
      <c r="O2238" s="58" t="s">
        <v>696</v>
      </c>
      <c r="P2238" s="58" t="s">
        <v>697</v>
      </c>
      <c r="Q2238" s="58" t="s">
        <v>698</v>
      </c>
      <c r="R2238" s="58" t="s">
        <v>699</v>
      </c>
      <c r="S2238" s="58" t="s">
        <v>700</v>
      </c>
      <c r="T2238" s="58" t="s">
        <v>701</v>
      </c>
      <c r="U2238" s="58" t="s">
        <v>702</v>
      </c>
    </row>
    <row r="2239" spans="1:21" x14ac:dyDescent="0.3">
      <c r="A2239" s="187">
        <v>1</v>
      </c>
      <c r="B2239" s="242">
        <f>DATE(nr_PlanYear-2,1,1)</f>
        <v>45658</v>
      </c>
      <c r="C2239" s="243">
        <f t="shared" ref="C2239:C2286" si="874">EOMONTH($B2239,0)</f>
        <v>45688</v>
      </c>
      <c r="D2239" s="120">
        <f t="shared" ref="D2239:D2286" si="875">$C2239-$B2239+1</f>
        <v>31</v>
      </c>
      <c r="E2239" s="120">
        <f t="shared" ref="E2239:E2286" si="876">MONTH($B2239)</f>
        <v>1</v>
      </c>
      <c r="F2239" s="275">
        <f t="shared" ref="F2239:F2286" si="877">($B2239+$C2239+1)/2</f>
        <v>45673.5</v>
      </c>
      <c r="G2239" s="120">
        <f t="shared" ref="G2239:G2286" si="878">YEAR($B2239)*12+MONTH($B2239)-1</f>
        <v>24300</v>
      </c>
      <c r="H2239" s="245">
        <f t="shared" ref="H2239:H2286" si="879">IF(OR(nr_SeasonOn="OFF",$D$2236=0,$E$2236=0),1,12*INDEX(se_block,$D$2236,$E2239)/$E$2236)</f>
        <v>1</v>
      </c>
      <c r="I2239" s="121">
        <f t="shared" ref="I2239:I2286" si="880">EXP(SUMPRODUCT((rl_eff&lt;$B2239)*(rl_key=$A$2236)*rl_ln1p))</f>
        <v>1</v>
      </c>
      <c r="J2239" s="121">
        <f t="shared" ref="J2239:J2286" si="881">EXP(SUMPRODUCT((rl_eff&lt;=$C2239)*(rl_key=$A$2236)*rl_ln1p))</f>
        <v>1</v>
      </c>
      <c r="K2239" s="120">
        <f t="shared" ref="K2239:K2286" si="882">COUNTIFS(rl_key,$A$2236,rl_eff,"&gt;="&amp;$B2239,rl_eff,"&lt;="&amp;$C2239)</f>
        <v>0</v>
      </c>
      <c r="L2239" s="120">
        <f t="shared" ref="L2239:L2286" si="883">SUMIFS(rl_daysafter,rl_key,$A$2236,rl_effmonth,$B2239,rl_first,1)</f>
        <v>0</v>
      </c>
      <c r="M2239" s="246">
        <f t="shared" ref="M2239:M2286" si="884">IF($K2239=0,0,MIN(1,$L2239/$D2239))</f>
        <v>0</v>
      </c>
      <c r="N2239" s="121">
        <f t="shared" ref="N2239:N2286" si="885">IF($K2239=0,$J2239,(1-$M2239)*$I2239+$M2239*$J2239)</f>
        <v>1</v>
      </c>
      <c r="O2239" s="246">
        <f t="shared" ref="O2239:O2286" si="886">IF($F2239&lt;$B$2237,$E$2237+$I$2237*($F2239-$A$2237),IF($F2239&lt;$C$2237,$F$2237+$J$2237*($F2239-$B$2237),$G$2237+$K$2237*($F2239-$C$2237)))</f>
        <v>0.91681072210065651</v>
      </c>
      <c r="P2239" s="121">
        <f t="shared" ref="P2239:P2286" si="887">MIN(1,MAX(0,(nr_MEndPm1-$G2239+0.5)/$C$2236))-MIN(1,MAX(0,(nr_MStartPm1-1-$G2239+0.5)/$C$2236))</f>
        <v>0</v>
      </c>
      <c r="Q2239" s="121">
        <f t="shared" ref="Q2239:Q2286" si="888">MIN(1,MAX(0,(nr_MEndP-$G2239+0.5)/$C$2236))-MIN(1,MAX(0,(nr_MStartP-1-$G2239+0.5)/$C$2236))</f>
        <v>0</v>
      </c>
      <c r="R2239" s="121">
        <f t="shared" ref="R2239:R2286" si="889">MIN(1,MAX(0,(nr_MEndP1-$G2239+0.5)/$C$2236))-MIN(1,MAX(0,(nr_MStartP1-1-$G2239+0.5)/$C$2236))</f>
        <v>0</v>
      </c>
      <c r="S2239" s="121" t="str">
        <f t="shared" ref="S2239:S2286" si="890">IF($L$2236,$N2239*IF($O$2236=1,$O2239/$F$2236,1),"")</f>
        <v/>
      </c>
      <c r="T2239" s="121" t="str">
        <f t="shared" ref="T2239:T2286" si="891">IF(NOT($L$2236),"",IF($G2239&lt;nr_MStartP,$S2239,$T2227*(1+IF($G2239&lt;nr_MStartP1,$M$2236,$N$2236))))</f>
        <v/>
      </c>
      <c r="U2239" s="121">
        <f t="shared" ref="U2239:U2286" si="892">IF($L$2236,$T2239,$N2239)</f>
        <v>1</v>
      </c>
    </row>
    <row r="2240" spans="1:21" x14ac:dyDescent="0.3">
      <c r="A2240" s="187">
        <v>2</v>
      </c>
      <c r="B2240" s="242">
        <f t="shared" ref="B2240:B2286" si="893">EDATE($B2239,1)</f>
        <v>45689</v>
      </c>
      <c r="C2240" s="243">
        <f t="shared" si="874"/>
        <v>45716</v>
      </c>
      <c r="D2240" s="120">
        <f t="shared" si="875"/>
        <v>28</v>
      </c>
      <c r="E2240" s="120">
        <f t="shared" si="876"/>
        <v>2</v>
      </c>
      <c r="F2240" s="275">
        <f t="shared" si="877"/>
        <v>45703</v>
      </c>
      <c r="G2240" s="120">
        <f t="shared" si="878"/>
        <v>24301</v>
      </c>
      <c r="H2240" s="245">
        <f t="shared" si="879"/>
        <v>1</v>
      </c>
      <c r="I2240" s="121">
        <f t="shared" si="880"/>
        <v>1</v>
      </c>
      <c r="J2240" s="121">
        <f t="shared" si="881"/>
        <v>1</v>
      </c>
      <c r="K2240" s="120">
        <f t="shared" si="882"/>
        <v>0</v>
      </c>
      <c r="L2240" s="120">
        <f t="shared" si="883"/>
        <v>0</v>
      </c>
      <c r="M2240" s="246">
        <f t="shared" si="884"/>
        <v>0</v>
      </c>
      <c r="N2240" s="121">
        <f t="shared" si="885"/>
        <v>1</v>
      </c>
      <c r="O2240" s="246">
        <f t="shared" si="886"/>
        <v>0.91648796498905905</v>
      </c>
      <c r="P2240" s="121">
        <f t="shared" si="887"/>
        <v>0</v>
      </c>
      <c r="Q2240" s="121">
        <f t="shared" si="888"/>
        <v>0</v>
      </c>
      <c r="R2240" s="121">
        <f t="shared" si="889"/>
        <v>0</v>
      </c>
      <c r="S2240" s="121" t="str">
        <f t="shared" si="890"/>
        <v/>
      </c>
      <c r="T2240" s="121" t="str">
        <f t="shared" si="891"/>
        <v/>
      </c>
      <c r="U2240" s="121">
        <f t="shared" si="892"/>
        <v>1</v>
      </c>
    </row>
    <row r="2241" spans="1:21" x14ac:dyDescent="0.3">
      <c r="A2241" s="187">
        <v>3</v>
      </c>
      <c r="B2241" s="242">
        <f t="shared" si="893"/>
        <v>45717</v>
      </c>
      <c r="C2241" s="243">
        <f t="shared" si="874"/>
        <v>45747</v>
      </c>
      <c r="D2241" s="120">
        <f t="shared" si="875"/>
        <v>31</v>
      </c>
      <c r="E2241" s="120">
        <f t="shared" si="876"/>
        <v>3</v>
      </c>
      <c r="F2241" s="275">
        <f t="shared" si="877"/>
        <v>45732.5</v>
      </c>
      <c r="G2241" s="120">
        <f t="shared" si="878"/>
        <v>24302</v>
      </c>
      <c r="H2241" s="245">
        <f t="shared" si="879"/>
        <v>1</v>
      </c>
      <c r="I2241" s="121">
        <f t="shared" si="880"/>
        <v>1</v>
      </c>
      <c r="J2241" s="121">
        <f t="shared" si="881"/>
        <v>1</v>
      </c>
      <c r="K2241" s="120">
        <f t="shared" si="882"/>
        <v>0</v>
      </c>
      <c r="L2241" s="120">
        <f t="shared" si="883"/>
        <v>0</v>
      </c>
      <c r="M2241" s="246">
        <f t="shared" si="884"/>
        <v>0</v>
      </c>
      <c r="N2241" s="121">
        <f t="shared" si="885"/>
        <v>1</v>
      </c>
      <c r="O2241" s="246">
        <f t="shared" si="886"/>
        <v>0.9161652078774617</v>
      </c>
      <c r="P2241" s="121">
        <f t="shared" si="887"/>
        <v>0</v>
      </c>
      <c r="Q2241" s="121">
        <f t="shared" si="888"/>
        <v>0</v>
      </c>
      <c r="R2241" s="121">
        <f t="shared" si="889"/>
        <v>0</v>
      </c>
      <c r="S2241" s="121" t="str">
        <f t="shared" si="890"/>
        <v/>
      </c>
      <c r="T2241" s="121" t="str">
        <f t="shared" si="891"/>
        <v/>
      </c>
      <c r="U2241" s="121">
        <f t="shared" si="892"/>
        <v>1</v>
      </c>
    </row>
    <row r="2242" spans="1:21" x14ac:dyDescent="0.3">
      <c r="A2242" s="187">
        <v>4</v>
      </c>
      <c r="B2242" s="242">
        <f t="shared" si="893"/>
        <v>45748</v>
      </c>
      <c r="C2242" s="243">
        <f t="shared" si="874"/>
        <v>45777</v>
      </c>
      <c r="D2242" s="120">
        <f t="shared" si="875"/>
        <v>30</v>
      </c>
      <c r="E2242" s="120">
        <f t="shared" si="876"/>
        <v>4</v>
      </c>
      <c r="F2242" s="275">
        <f t="shared" si="877"/>
        <v>45763</v>
      </c>
      <c r="G2242" s="120">
        <f t="shared" si="878"/>
        <v>24303</v>
      </c>
      <c r="H2242" s="245">
        <f t="shared" si="879"/>
        <v>1</v>
      </c>
      <c r="I2242" s="121">
        <f t="shared" si="880"/>
        <v>1</v>
      </c>
      <c r="J2242" s="121">
        <f t="shared" si="881"/>
        <v>1</v>
      </c>
      <c r="K2242" s="120">
        <f t="shared" si="882"/>
        <v>0</v>
      </c>
      <c r="L2242" s="120">
        <f t="shared" si="883"/>
        <v>0</v>
      </c>
      <c r="M2242" s="246">
        <f t="shared" si="884"/>
        <v>0</v>
      </c>
      <c r="N2242" s="121">
        <f t="shared" si="885"/>
        <v>1</v>
      </c>
      <c r="O2242" s="246">
        <f t="shared" si="886"/>
        <v>0.91583150984682715</v>
      </c>
      <c r="P2242" s="121">
        <f t="shared" si="887"/>
        <v>0</v>
      </c>
      <c r="Q2242" s="121">
        <f t="shared" si="888"/>
        <v>0</v>
      </c>
      <c r="R2242" s="121">
        <f t="shared" si="889"/>
        <v>0</v>
      </c>
      <c r="S2242" s="121" t="str">
        <f t="shared" si="890"/>
        <v/>
      </c>
      <c r="T2242" s="121" t="str">
        <f t="shared" si="891"/>
        <v/>
      </c>
      <c r="U2242" s="121">
        <f t="shared" si="892"/>
        <v>1</v>
      </c>
    </row>
    <row r="2243" spans="1:21" x14ac:dyDescent="0.3">
      <c r="A2243" s="187">
        <v>5</v>
      </c>
      <c r="B2243" s="242">
        <f t="shared" si="893"/>
        <v>45778</v>
      </c>
      <c r="C2243" s="243">
        <f t="shared" si="874"/>
        <v>45808</v>
      </c>
      <c r="D2243" s="120">
        <f t="shared" si="875"/>
        <v>31</v>
      </c>
      <c r="E2243" s="120">
        <f t="shared" si="876"/>
        <v>5</v>
      </c>
      <c r="F2243" s="275">
        <f t="shared" si="877"/>
        <v>45793.5</v>
      </c>
      <c r="G2243" s="120">
        <f t="shared" si="878"/>
        <v>24304</v>
      </c>
      <c r="H2243" s="245">
        <f t="shared" si="879"/>
        <v>1</v>
      </c>
      <c r="I2243" s="121">
        <f t="shared" si="880"/>
        <v>1</v>
      </c>
      <c r="J2243" s="121">
        <f t="shared" si="881"/>
        <v>1</v>
      </c>
      <c r="K2243" s="120">
        <f t="shared" si="882"/>
        <v>0</v>
      </c>
      <c r="L2243" s="120">
        <f t="shared" si="883"/>
        <v>0</v>
      </c>
      <c r="M2243" s="246">
        <f t="shared" si="884"/>
        <v>0</v>
      </c>
      <c r="N2243" s="121">
        <f t="shared" si="885"/>
        <v>1</v>
      </c>
      <c r="O2243" s="246">
        <f t="shared" si="886"/>
        <v>0.91549781181619261</v>
      </c>
      <c r="P2243" s="121">
        <f t="shared" si="887"/>
        <v>0</v>
      </c>
      <c r="Q2243" s="121">
        <f t="shared" si="888"/>
        <v>0</v>
      </c>
      <c r="R2243" s="121">
        <f t="shared" si="889"/>
        <v>0</v>
      </c>
      <c r="S2243" s="121" t="str">
        <f t="shared" si="890"/>
        <v/>
      </c>
      <c r="T2243" s="121" t="str">
        <f t="shared" si="891"/>
        <v/>
      </c>
      <c r="U2243" s="121">
        <f t="shared" si="892"/>
        <v>1</v>
      </c>
    </row>
    <row r="2244" spans="1:21" x14ac:dyDescent="0.3">
      <c r="A2244" s="187">
        <v>6</v>
      </c>
      <c r="B2244" s="242">
        <f t="shared" si="893"/>
        <v>45809</v>
      </c>
      <c r="C2244" s="243">
        <f t="shared" si="874"/>
        <v>45838</v>
      </c>
      <c r="D2244" s="120">
        <f t="shared" si="875"/>
        <v>30</v>
      </c>
      <c r="E2244" s="120">
        <f t="shared" si="876"/>
        <v>6</v>
      </c>
      <c r="F2244" s="275">
        <f t="shared" si="877"/>
        <v>45824</v>
      </c>
      <c r="G2244" s="120">
        <f t="shared" si="878"/>
        <v>24305</v>
      </c>
      <c r="H2244" s="245">
        <f t="shared" si="879"/>
        <v>1</v>
      </c>
      <c r="I2244" s="121">
        <f t="shared" si="880"/>
        <v>1</v>
      </c>
      <c r="J2244" s="121">
        <f t="shared" si="881"/>
        <v>1</v>
      </c>
      <c r="K2244" s="120">
        <f t="shared" si="882"/>
        <v>0</v>
      </c>
      <c r="L2244" s="120">
        <f t="shared" si="883"/>
        <v>0</v>
      </c>
      <c r="M2244" s="246">
        <f t="shared" si="884"/>
        <v>0</v>
      </c>
      <c r="N2244" s="121">
        <f t="shared" si="885"/>
        <v>1</v>
      </c>
      <c r="O2244" s="246">
        <f t="shared" si="886"/>
        <v>0.91516411378555795</v>
      </c>
      <c r="P2244" s="121">
        <f t="shared" si="887"/>
        <v>0</v>
      </c>
      <c r="Q2244" s="121">
        <f t="shared" si="888"/>
        <v>0</v>
      </c>
      <c r="R2244" s="121">
        <f t="shared" si="889"/>
        <v>0</v>
      </c>
      <c r="S2244" s="121" t="str">
        <f t="shared" si="890"/>
        <v/>
      </c>
      <c r="T2244" s="121" t="str">
        <f t="shared" si="891"/>
        <v/>
      </c>
      <c r="U2244" s="121">
        <f t="shared" si="892"/>
        <v>1</v>
      </c>
    </row>
    <row r="2245" spans="1:21" x14ac:dyDescent="0.3">
      <c r="A2245" s="187">
        <v>7</v>
      </c>
      <c r="B2245" s="242">
        <f t="shared" si="893"/>
        <v>45839</v>
      </c>
      <c r="C2245" s="243">
        <f t="shared" si="874"/>
        <v>45869</v>
      </c>
      <c r="D2245" s="120">
        <f t="shared" si="875"/>
        <v>31</v>
      </c>
      <c r="E2245" s="120">
        <f t="shared" si="876"/>
        <v>7</v>
      </c>
      <c r="F2245" s="275">
        <f t="shared" si="877"/>
        <v>45854.5</v>
      </c>
      <c r="G2245" s="120">
        <f t="shared" si="878"/>
        <v>24306</v>
      </c>
      <c r="H2245" s="245">
        <f t="shared" si="879"/>
        <v>1</v>
      </c>
      <c r="I2245" s="121">
        <f t="shared" si="880"/>
        <v>1</v>
      </c>
      <c r="J2245" s="121">
        <f t="shared" si="881"/>
        <v>1</v>
      </c>
      <c r="K2245" s="120">
        <f t="shared" si="882"/>
        <v>0</v>
      </c>
      <c r="L2245" s="120">
        <f t="shared" si="883"/>
        <v>0</v>
      </c>
      <c r="M2245" s="246">
        <f t="shared" si="884"/>
        <v>0</v>
      </c>
      <c r="N2245" s="121">
        <f t="shared" si="885"/>
        <v>1</v>
      </c>
      <c r="O2245" s="246">
        <f t="shared" si="886"/>
        <v>0.91483041575492341</v>
      </c>
      <c r="P2245" s="121">
        <f t="shared" si="887"/>
        <v>8.333333333333337E-2</v>
      </c>
      <c r="Q2245" s="121">
        <f t="shared" si="888"/>
        <v>0</v>
      </c>
      <c r="R2245" s="121">
        <f t="shared" si="889"/>
        <v>0</v>
      </c>
      <c r="S2245" s="121" t="str">
        <f t="shared" si="890"/>
        <v/>
      </c>
      <c r="T2245" s="121" t="str">
        <f t="shared" si="891"/>
        <v/>
      </c>
      <c r="U2245" s="121">
        <f t="shared" si="892"/>
        <v>1</v>
      </c>
    </row>
    <row r="2246" spans="1:21" x14ac:dyDescent="0.3">
      <c r="A2246" s="187">
        <v>8</v>
      </c>
      <c r="B2246" s="242">
        <f t="shared" si="893"/>
        <v>45870</v>
      </c>
      <c r="C2246" s="243">
        <f t="shared" si="874"/>
        <v>45900</v>
      </c>
      <c r="D2246" s="120">
        <f t="shared" si="875"/>
        <v>31</v>
      </c>
      <c r="E2246" s="120">
        <f t="shared" si="876"/>
        <v>8</v>
      </c>
      <c r="F2246" s="275">
        <f t="shared" si="877"/>
        <v>45885.5</v>
      </c>
      <c r="G2246" s="120">
        <f t="shared" si="878"/>
        <v>24307</v>
      </c>
      <c r="H2246" s="245">
        <f t="shared" si="879"/>
        <v>1</v>
      </c>
      <c r="I2246" s="121">
        <f t="shared" si="880"/>
        <v>1</v>
      </c>
      <c r="J2246" s="121">
        <f t="shared" si="881"/>
        <v>1</v>
      </c>
      <c r="K2246" s="120">
        <f t="shared" si="882"/>
        <v>0</v>
      </c>
      <c r="L2246" s="120">
        <f t="shared" si="883"/>
        <v>0</v>
      </c>
      <c r="M2246" s="246">
        <f t="shared" si="884"/>
        <v>0</v>
      </c>
      <c r="N2246" s="121">
        <f t="shared" si="885"/>
        <v>1</v>
      </c>
      <c r="O2246" s="246">
        <f t="shared" si="886"/>
        <v>0.91449124726477027</v>
      </c>
      <c r="P2246" s="121">
        <f t="shared" si="887"/>
        <v>0.25</v>
      </c>
      <c r="Q2246" s="121">
        <f t="shared" si="888"/>
        <v>0</v>
      </c>
      <c r="R2246" s="121">
        <f t="shared" si="889"/>
        <v>0</v>
      </c>
      <c r="S2246" s="121" t="str">
        <f t="shared" si="890"/>
        <v/>
      </c>
      <c r="T2246" s="121" t="str">
        <f t="shared" si="891"/>
        <v/>
      </c>
      <c r="U2246" s="121">
        <f t="shared" si="892"/>
        <v>1</v>
      </c>
    </row>
    <row r="2247" spans="1:21" x14ac:dyDescent="0.3">
      <c r="A2247" s="187">
        <v>9</v>
      </c>
      <c r="B2247" s="242">
        <f t="shared" si="893"/>
        <v>45901</v>
      </c>
      <c r="C2247" s="243">
        <f t="shared" si="874"/>
        <v>45930</v>
      </c>
      <c r="D2247" s="120">
        <f t="shared" si="875"/>
        <v>30</v>
      </c>
      <c r="E2247" s="120">
        <f t="shared" si="876"/>
        <v>9</v>
      </c>
      <c r="F2247" s="275">
        <f t="shared" si="877"/>
        <v>45916</v>
      </c>
      <c r="G2247" s="120">
        <f t="shared" si="878"/>
        <v>24308</v>
      </c>
      <c r="H2247" s="245">
        <f t="shared" si="879"/>
        <v>1</v>
      </c>
      <c r="I2247" s="121">
        <f t="shared" si="880"/>
        <v>1</v>
      </c>
      <c r="J2247" s="121">
        <f t="shared" si="881"/>
        <v>1</v>
      </c>
      <c r="K2247" s="120">
        <f t="shared" si="882"/>
        <v>0</v>
      </c>
      <c r="L2247" s="120">
        <f t="shared" si="883"/>
        <v>0</v>
      </c>
      <c r="M2247" s="246">
        <f t="shared" si="884"/>
        <v>0</v>
      </c>
      <c r="N2247" s="121">
        <f t="shared" si="885"/>
        <v>1</v>
      </c>
      <c r="O2247" s="246">
        <f t="shared" si="886"/>
        <v>0.91415754923413572</v>
      </c>
      <c r="P2247" s="121">
        <f t="shared" si="887"/>
        <v>0.41666666666666663</v>
      </c>
      <c r="Q2247" s="121">
        <f t="shared" si="888"/>
        <v>0</v>
      </c>
      <c r="R2247" s="121">
        <f t="shared" si="889"/>
        <v>0</v>
      </c>
      <c r="S2247" s="121" t="str">
        <f t="shared" si="890"/>
        <v/>
      </c>
      <c r="T2247" s="121" t="str">
        <f t="shared" si="891"/>
        <v/>
      </c>
      <c r="U2247" s="121">
        <f t="shared" si="892"/>
        <v>1</v>
      </c>
    </row>
    <row r="2248" spans="1:21" x14ac:dyDescent="0.3">
      <c r="A2248" s="187">
        <v>10</v>
      </c>
      <c r="B2248" s="242">
        <f t="shared" si="893"/>
        <v>45931</v>
      </c>
      <c r="C2248" s="243">
        <f t="shared" si="874"/>
        <v>45961</v>
      </c>
      <c r="D2248" s="120">
        <f t="shared" si="875"/>
        <v>31</v>
      </c>
      <c r="E2248" s="120">
        <f t="shared" si="876"/>
        <v>10</v>
      </c>
      <c r="F2248" s="275">
        <f t="shared" si="877"/>
        <v>45946.5</v>
      </c>
      <c r="G2248" s="120">
        <f t="shared" si="878"/>
        <v>24309</v>
      </c>
      <c r="H2248" s="245">
        <f t="shared" si="879"/>
        <v>1</v>
      </c>
      <c r="I2248" s="121">
        <f t="shared" si="880"/>
        <v>1</v>
      </c>
      <c r="J2248" s="121">
        <f t="shared" si="881"/>
        <v>1</v>
      </c>
      <c r="K2248" s="120">
        <f t="shared" si="882"/>
        <v>0</v>
      </c>
      <c r="L2248" s="120">
        <f t="shared" si="883"/>
        <v>0</v>
      </c>
      <c r="M2248" s="246">
        <f t="shared" si="884"/>
        <v>0</v>
      </c>
      <c r="N2248" s="121">
        <f t="shared" si="885"/>
        <v>1</v>
      </c>
      <c r="O2248" s="246">
        <f t="shared" si="886"/>
        <v>0.91382385120350107</v>
      </c>
      <c r="P2248" s="121">
        <f t="shared" si="887"/>
        <v>0.58333333333333326</v>
      </c>
      <c r="Q2248" s="121">
        <f t="shared" si="888"/>
        <v>0</v>
      </c>
      <c r="R2248" s="121">
        <f t="shared" si="889"/>
        <v>0</v>
      </c>
      <c r="S2248" s="121" t="str">
        <f t="shared" si="890"/>
        <v/>
      </c>
      <c r="T2248" s="121" t="str">
        <f t="shared" si="891"/>
        <v/>
      </c>
      <c r="U2248" s="121">
        <f t="shared" si="892"/>
        <v>1</v>
      </c>
    </row>
    <row r="2249" spans="1:21" x14ac:dyDescent="0.3">
      <c r="A2249" s="187">
        <v>11</v>
      </c>
      <c r="B2249" s="242">
        <f t="shared" si="893"/>
        <v>45962</v>
      </c>
      <c r="C2249" s="243">
        <f t="shared" si="874"/>
        <v>45991</v>
      </c>
      <c r="D2249" s="120">
        <f t="shared" si="875"/>
        <v>30</v>
      </c>
      <c r="E2249" s="120">
        <f t="shared" si="876"/>
        <v>11</v>
      </c>
      <c r="F2249" s="275">
        <f t="shared" si="877"/>
        <v>45977</v>
      </c>
      <c r="G2249" s="120">
        <f t="shared" si="878"/>
        <v>24310</v>
      </c>
      <c r="H2249" s="245">
        <f t="shared" si="879"/>
        <v>1</v>
      </c>
      <c r="I2249" s="121">
        <f t="shared" si="880"/>
        <v>1</v>
      </c>
      <c r="J2249" s="121">
        <f t="shared" si="881"/>
        <v>1</v>
      </c>
      <c r="K2249" s="120">
        <f t="shared" si="882"/>
        <v>0</v>
      </c>
      <c r="L2249" s="120">
        <f t="shared" si="883"/>
        <v>0</v>
      </c>
      <c r="M2249" s="246">
        <f t="shared" si="884"/>
        <v>0</v>
      </c>
      <c r="N2249" s="121">
        <f t="shared" si="885"/>
        <v>1</v>
      </c>
      <c r="O2249" s="246">
        <f t="shared" si="886"/>
        <v>0.91349015317286653</v>
      </c>
      <c r="P2249" s="121">
        <f t="shared" si="887"/>
        <v>0.75</v>
      </c>
      <c r="Q2249" s="121">
        <f t="shared" si="888"/>
        <v>0</v>
      </c>
      <c r="R2249" s="121">
        <f t="shared" si="889"/>
        <v>0</v>
      </c>
      <c r="S2249" s="121" t="str">
        <f t="shared" si="890"/>
        <v/>
      </c>
      <c r="T2249" s="121" t="str">
        <f t="shared" si="891"/>
        <v/>
      </c>
      <c r="U2249" s="121">
        <f t="shared" si="892"/>
        <v>1</v>
      </c>
    </row>
    <row r="2250" spans="1:21" x14ac:dyDescent="0.3">
      <c r="A2250" s="187">
        <v>12</v>
      </c>
      <c r="B2250" s="242">
        <f t="shared" si="893"/>
        <v>45992</v>
      </c>
      <c r="C2250" s="243">
        <f t="shared" si="874"/>
        <v>46022</v>
      </c>
      <c r="D2250" s="120">
        <f t="shared" si="875"/>
        <v>31</v>
      </c>
      <c r="E2250" s="120">
        <f t="shared" si="876"/>
        <v>12</v>
      </c>
      <c r="F2250" s="275">
        <f t="shared" si="877"/>
        <v>46007.5</v>
      </c>
      <c r="G2250" s="120">
        <f t="shared" si="878"/>
        <v>24311</v>
      </c>
      <c r="H2250" s="245">
        <f t="shared" si="879"/>
        <v>1</v>
      </c>
      <c r="I2250" s="121">
        <f t="shared" si="880"/>
        <v>1</v>
      </c>
      <c r="J2250" s="121">
        <f t="shared" si="881"/>
        <v>1</v>
      </c>
      <c r="K2250" s="120">
        <f t="shared" si="882"/>
        <v>0</v>
      </c>
      <c r="L2250" s="120">
        <f t="shared" si="883"/>
        <v>0</v>
      </c>
      <c r="M2250" s="246">
        <f t="shared" si="884"/>
        <v>0</v>
      </c>
      <c r="N2250" s="121">
        <f t="shared" si="885"/>
        <v>1</v>
      </c>
      <c r="O2250" s="246">
        <f t="shared" si="886"/>
        <v>0.91315645514223198</v>
      </c>
      <c r="P2250" s="121">
        <f t="shared" si="887"/>
        <v>0.91666666666666663</v>
      </c>
      <c r="Q2250" s="121">
        <f t="shared" si="888"/>
        <v>0</v>
      </c>
      <c r="R2250" s="121">
        <f t="shared" si="889"/>
        <v>0</v>
      </c>
      <c r="S2250" s="121" t="str">
        <f t="shared" si="890"/>
        <v/>
      </c>
      <c r="T2250" s="121" t="str">
        <f t="shared" si="891"/>
        <v/>
      </c>
      <c r="U2250" s="121">
        <f t="shared" si="892"/>
        <v>1</v>
      </c>
    </row>
    <row r="2251" spans="1:21" x14ac:dyDescent="0.3">
      <c r="A2251" s="187">
        <v>13</v>
      </c>
      <c r="B2251" s="242">
        <f t="shared" si="893"/>
        <v>46023</v>
      </c>
      <c r="C2251" s="243">
        <f t="shared" si="874"/>
        <v>46053</v>
      </c>
      <c r="D2251" s="120">
        <f t="shared" si="875"/>
        <v>31</v>
      </c>
      <c r="E2251" s="120">
        <f t="shared" si="876"/>
        <v>1</v>
      </c>
      <c r="F2251" s="275">
        <f t="shared" si="877"/>
        <v>46038.5</v>
      </c>
      <c r="G2251" s="120">
        <f t="shared" si="878"/>
        <v>24312</v>
      </c>
      <c r="H2251" s="245">
        <f t="shared" si="879"/>
        <v>1</v>
      </c>
      <c r="I2251" s="121">
        <f t="shared" si="880"/>
        <v>1</v>
      </c>
      <c r="J2251" s="121">
        <f t="shared" si="881"/>
        <v>1</v>
      </c>
      <c r="K2251" s="120">
        <f t="shared" si="882"/>
        <v>0</v>
      </c>
      <c r="L2251" s="120">
        <f t="shared" si="883"/>
        <v>0</v>
      </c>
      <c r="M2251" s="246">
        <f t="shared" si="884"/>
        <v>0</v>
      </c>
      <c r="N2251" s="121">
        <f t="shared" si="885"/>
        <v>1</v>
      </c>
      <c r="O2251" s="246">
        <f t="shared" si="886"/>
        <v>0.91281728665207884</v>
      </c>
      <c r="P2251" s="121">
        <f t="shared" si="887"/>
        <v>1</v>
      </c>
      <c r="Q2251" s="121">
        <f t="shared" si="888"/>
        <v>0</v>
      </c>
      <c r="R2251" s="121">
        <f t="shared" si="889"/>
        <v>0</v>
      </c>
      <c r="S2251" s="121" t="str">
        <f t="shared" si="890"/>
        <v/>
      </c>
      <c r="T2251" s="121" t="str">
        <f t="shared" si="891"/>
        <v/>
      </c>
      <c r="U2251" s="121">
        <f t="shared" si="892"/>
        <v>1</v>
      </c>
    </row>
    <row r="2252" spans="1:21" x14ac:dyDescent="0.3">
      <c r="A2252" s="187">
        <v>14</v>
      </c>
      <c r="B2252" s="242">
        <f t="shared" si="893"/>
        <v>46054</v>
      </c>
      <c r="C2252" s="243">
        <f t="shared" si="874"/>
        <v>46081</v>
      </c>
      <c r="D2252" s="120">
        <f t="shared" si="875"/>
        <v>28</v>
      </c>
      <c r="E2252" s="120">
        <f t="shared" si="876"/>
        <v>2</v>
      </c>
      <c r="F2252" s="275">
        <f t="shared" si="877"/>
        <v>46068</v>
      </c>
      <c r="G2252" s="120">
        <f t="shared" si="878"/>
        <v>24313</v>
      </c>
      <c r="H2252" s="245">
        <f t="shared" si="879"/>
        <v>1</v>
      </c>
      <c r="I2252" s="121">
        <f t="shared" si="880"/>
        <v>1</v>
      </c>
      <c r="J2252" s="121">
        <f t="shared" si="881"/>
        <v>1</v>
      </c>
      <c r="K2252" s="120">
        <f t="shared" si="882"/>
        <v>0</v>
      </c>
      <c r="L2252" s="120">
        <f t="shared" si="883"/>
        <v>0</v>
      </c>
      <c r="M2252" s="246">
        <f t="shared" si="884"/>
        <v>0</v>
      </c>
      <c r="N2252" s="121">
        <f t="shared" si="885"/>
        <v>1</v>
      </c>
      <c r="O2252" s="246">
        <f t="shared" si="886"/>
        <v>0.91249452954048138</v>
      </c>
      <c r="P2252" s="121">
        <f t="shared" si="887"/>
        <v>1</v>
      </c>
      <c r="Q2252" s="121">
        <f t="shared" si="888"/>
        <v>0</v>
      </c>
      <c r="R2252" s="121">
        <f t="shared" si="889"/>
        <v>0</v>
      </c>
      <c r="S2252" s="121" t="str">
        <f t="shared" si="890"/>
        <v/>
      </c>
      <c r="T2252" s="121" t="str">
        <f t="shared" si="891"/>
        <v/>
      </c>
      <c r="U2252" s="121">
        <f t="shared" si="892"/>
        <v>1</v>
      </c>
    </row>
    <row r="2253" spans="1:21" x14ac:dyDescent="0.3">
      <c r="A2253" s="187">
        <v>15</v>
      </c>
      <c r="B2253" s="242">
        <f t="shared" si="893"/>
        <v>46082</v>
      </c>
      <c r="C2253" s="243">
        <f t="shared" si="874"/>
        <v>46112</v>
      </c>
      <c r="D2253" s="120">
        <f t="shared" si="875"/>
        <v>31</v>
      </c>
      <c r="E2253" s="120">
        <f t="shared" si="876"/>
        <v>3</v>
      </c>
      <c r="F2253" s="275">
        <f t="shared" si="877"/>
        <v>46097.5</v>
      </c>
      <c r="G2253" s="120">
        <f t="shared" si="878"/>
        <v>24314</v>
      </c>
      <c r="H2253" s="245">
        <f t="shared" si="879"/>
        <v>1</v>
      </c>
      <c r="I2253" s="121">
        <f t="shared" si="880"/>
        <v>1</v>
      </c>
      <c r="J2253" s="121">
        <f t="shared" si="881"/>
        <v>1</v>
      </c>
      <c r="K2253" s="120">
        <f t="shared" si="882"/>
        <v>0</v>
      </c>
      <c r="L2253" s="120">
        <f t="shared" si="883"/>
        <v>0</v>
      </c>
      <c r="M2253" s="246">
        <f t="shared" si="884"/>
        <v>0</v>
      </c>
      <c r="N2253" s="121">
        <f t="shared" si="885"/>
        <v>1</v>
      </c>
      <c r="O2253" s="246">
        <f t="shared" si="886"/>
        <v>0.91217177242888403</v>
      </c>
      <c r="P2253" s="121">
        <f t="shared" si="887"/>
        <v>1</v>
      </c>
      <c r="Q2253" s="121">
        <f t="shared" si="888"/>
        <v>0</v>
      </c>
      <c r="R2253" s="121">
        <f t="shared" si="889"/>
        <v>0</v>
      </c>
      <c r="S2253" s="121" t="str">
        <f t="shared" si="890"/>
        <v/>
      </c>
      <c r="T2253" s="121" t="str">
        <f t="shared" si="891"/>
        <v/>
      </c>
      <c r="U2253" s="121">
        <f t="shared" si="892"/>
        <v>1</v>
      </c>
    </row>
    <row r="2254" spans="1:21" x14ac:dyDescent="0.3">
      <c r="A2254" s="187">
        <v>16</v>
      </c>
      <c r="B2254" s="242">
        <f t="shared" si="893"/>
        <v>46113</v>
      </c>
      <c r="C2254" s="243">
        <f t="shared" si="874"/>
        <v>46142</v>
      </c>
      <c r="D2254" s="120">
        <f t="shared" si="875"/>
        <v>30</v>
      </c>
      <c r="E2254" s="120">
        <f t="shared" si="876"/>
        <v>4</v>
      </c>
      <c r="F2254" s="275">
        <f t="shared" si="877"/>
        <v>46128</v>
      </c>
      <c r="G2254" s="120">
        <f t="shared" si="878"/>
        <v>24315</v>
      </c>
      <c r="H2254" s="245">
        <f t="shared" si="879"/>
        <v>1</v>
      </c>
      <c r="I2254" s="121">
        <f t="shared" si="880"/>
        <v>1</v>
      </c>
      <c r="J2254" s="121">
        <f t="shared" si="881"/>
        <v>1</v>
      </c>
      <c r="K2254" s="120">
        <f t="shared" si="882"/>
        <v>0</v>
      </c>
      <c r="L2254" s="120">
        <f t="shared" si="883"/>
        <v>0</v>
      </c>
      <c r="M2254" s="246">
        <f t="shared" si="884"/>
        <v>0</v>
      </c>
      <c r="N2254" s="121">
        <f t="shared" si="885"/>
        <v>1</v>
      </c>
      <c r="O2254" s="246">
        <f t="shared" si="886"/>
        <v>0.91183807439824949</v>
      </c>
      <c r="P2254" s="121">
        <f t="shared" si="887"/>
        <v>1</v>
      </c>
      <c r="Q2254" s="121">
        <f t="shared" si="888"/>
        <v>0</v>
      </c>
      <c r="R2254" s="121">
        <f t="shared" si="889"/>
        <v>0</v>
      </c>
      <c r="S2254" s="121" t="str">
        <f t="shared" si="890"/>
        <v/>
      </c>
      <c r="T2254" s="121" t="str">
        <f t="shared" si="891"/>
        <v/>
      </c>
      <c r="U2254" s="121">
        <f t="shared" si="892"/>
        <v>1</v>
      </c>
    </row>
    <row r="2255" spans="1:21" x14ac:dyDescent="0.3">
      <c r="A2255" s="187">
        <v>17</v>
      </c>
      <c r="B2255" s="242">
        <f t="shared" si="893"/>
        <v>46143</v>
      </c>
      <c r="C2255" s="243">
        <f t="shared" si="874"/>
        <v>46173</v>
      </c>
      <c r="D2255" s="120">
        <f t="shared" si="875"/>
        <v>31</v>
      </c>
      <c r="E2255" s="120">
        <f t="shared" si="876"/>
        <v>5</v>
      </c>
      <c r="F2255" s="275">
        <f t="shared" si="877"/>
        <v>46158.5</v>
      </c>
      <c r="G2255" s="120">
        <f t="shared" si="878"/>
        <v>24316</v>
      </c>
      <c r="H2255" s="245">
        <f t="shared" si="879"/>
        <v>1</v>
      </c>
      <c r="I2255" s="121">
        <f t="shared" si="880"/>
        <v>1</v>
      </c>
      <c r="J2255" s="121">
        <f t="shared" si="881"/>
        <v>1.02</v>
      </c>
      <c r="K2255" s="120">
        <f t="shared" si="882"/>
        <v>1</v>
      </c>
      <c r="L2255" s="120">
        <f t="shared" si="883"/>
        <v>31</v>
      </c>
      <c r="M2255" s="246">
        <f t="shared" si="884"/>
        <v>1</v>
      </c>
      <c r="N2255" s="121">
        <f t="shared" si="885"/>
        <v>1.02</v>
      </c>
      <c r="O2255" s="246">
        <f t="shared" si="886"/>
        <v>0.91150437636761494</v>
      </c>
      <c r="P2255" s="121">
        <f t="shared" si="887"/>
        <v>1</v>
      </c>
      <c r="Q2255" s="121">
        <f t="shared" si="888"/>
        <v>0</v>
      </c>
      <c r="R2255" s="121">
        <f t="shared" si="889"/>
        <v>0</v>
      </c>
      <c r="S2255" s="121" t="str">
        <f t="shared" si="890"/>
        <v/>
      </c>
      <c r="T2255" s="121" t="str">
        <f t="shared" si="891"/>
        <v/>
      </c>
      <c r="U2255" s="121">
        <f t="shared" si="892"/>
        <v>1.02</v>
      </c>
    </row>
    <row r="2256" spans="1:21" x14ac:dyDescent="0.3">
      <c r="A2256" s="187">
        <v>18</v>
      </c>
      <c r="B2256" s="242">
        <f t="shared" si="893"/>
        <v>46174</v>
      </c>
      <c r="C2256" s="243">
        <f t="shared" si="874"/>
        <v>46203</v>
      </c>
      <c r="D2256" s="120">
        <f t="shared" si="875"/>
        <v>30</v>
      </c>
      <c r="E2256" s="120">
        <f t="shared" si="876"/>
        <v>6</v>
      </c>
      <c r="F2256" s="275">
        <f t="shared" si="877"/>
        <v>46189</v>
      </c>
      <c r="G2256" s="120">
        <f t="shared" si="878"/>
        <v>24317</v>
      </c>
      <c r="H2256" s="245">
        <f t="shared" si="879"/>
        <v>1</v>
      </c>
      <c r="I2256" s="121">
        <f t="shared" si="880"/>
        <v>1.02</v>
      </c>
      <c r="J2256" s="121">
        <f t="shared" si="881"/>
        <v>1.02</v>
      </c>
      <c r="K2256" s="120">
        <f t="shared" si="882"/>
        <v>0</v>
      </c>
      <c r="L2256" s="120">
        <f t="shared" si="883"/>
        <v>0</v>
      </c>
      <c r="M2256" s="246">
        <f t="shared" si="884"/>
        <v>0</v>
      </c>
      <c r="N2256" s="121">
        <f t="shared" si="885"/>
        <v>1.02</v>
      </c>
      <c r="O2256" s="246">
        <f t="shared" si="886"/>
        <v>0.91117067833698029</v>
      </c>
      <c r="P2256" s="121">
        <f t="shared" si="887"/>
        <v>1</v>
      </c>
      <c r="Q2256" s="121">
        <f t="shared" si="888"/>
        <v>0</v>
      </c>
      <c r="R2256" s="121">
        <f t="shared" si="889"/>
        <v>0</v>
      </c>
      <c r="S2256" s="121" t="str">
        <f t="shared" si="890"/>
        <v/>
      </c>
      <c r="T2256" s="121" t="str">
        <f t="shared" si="891"/>
        <v/>
      </c>
      <c r="U2256" s="121">
        <f t="shared" si="892"/>
        <v>1.02</v>
      </c>
    </row>
    <row r="2257" spans="1:21" x14ac:dyDescent="0.3">
      <c r="A2257" s="187">
        <v>19</v>
      </c>
      <c r="B2257" s="242">
        <f t="shared" si="893"/>
        <v>46204</v>
      </c>
      <c r="C2257" s="243">
        <f t="shared" si="874"/>
        <v>46234</v>
      </c>
      <c r="D2257" s="120">
        <f t="shared" si="875"/>
        <v>31</v>
      </c>
      <c r="E2257" s="120">
        <f t="shared" si="876"/>
        <v>7</v>
      </c>
      <c r="F2257" s="275">
        <f t="shared" si="877"/>
        <v>46219.5</v>
      </c>
      <c r="G2257" s="120">
        <f t="shared" si="878"/>
        <v>24318</v>
      </c>
      <c r="H2257" s="245">
        <f t="shared" si="879"/>
        <v>1</v>
      </c>
      <c r="I2257" s="121">
        <f t="shared" si="880"/>
        <v>1.02</v>
      </c>
      <c r="J2257" s="121">
        <f t="shared" si="881"/>
        <v>1.02</v>
      </c>
      <c r="K2257" s="120">
        <f t="shared" si="882"/>
        <v>0</v>
      </c>
      <c r="L2257" s="120">
        <f t="shared" si="883"/>
        <v>0</v>
      </c>
      <c r="M2257" s="246">
        <f t="shared" si="884"/>
        <v>0</v>
      </c>
      <c r="N2257" s="121">
        <f t="shared" si="885"/>
        <v>1.02</v>
      </c>
      <c r="O2257" s="246">
        <f t="shared" si="886"/>
        <v>0.91083698030634574</v>
      </c>
      <c r="P2257" s="121">
        <f t="shared" si="887"/>
        <v>0.91666666666666663</v>
      </c>
      <c r="Q2257" s="121">
        <f t="shared" si="888"/>
        <v>8.333333333333337E-2</v>
      </c>
      <c r="R2257" s="121">
        <f t="shared" si="889"/>
        <v>0</v>
      </c>
      <c r="S2257" s="121" t="str">
        <f t="shared" si="890"/>
        <v/>
      </c>
      <c r="T2257" s="121" t="str">
        <f t="shared" si="891"/>
        <v/>
      </c>
      <c r="U2257" s="121">
        <f t="shared" si="892"/>
        <v>1.02</v>
      </c>
    </row>
    <row r="2258" spans="1:21" x14ac:dyDescent="0.3">
      <c r="A2258" s="187">
        <v>20</v>
      </c>
      <c r="B2258" s="242">
        <f t="shared" si="893"/>
        <v>46235</v>
      </c>
      <c r="C2258" s="243">
        <f t="shared" si="874"/>
        <v>46265</v>
      </c>
      <c r="D2258" s="120">
        <f t="shared" si="875"/>
        <v>31</v>
      </c>
      <c r="E2258" s="120">
        <f t="shared" si="876"/>
        <v>8</v>
      </c>
      <c r="F2258" s="275">
        <f t="shared" si="877"/>
        <v>46250.5</v>
      </c>
      <c r="G2258" s="120">
        <f t="shared" si="878"/>
        <v>24319</v>
      </c>
      <c r="H2258" s="245">
        <f t="shared" si="879"/>
        <v>1</v>
      </c>
      <c r="I2258" s="121">
        <f t="shared" si="880"/>
        <v>1.02</v>
      </c>
      <c r="J2258" s="121">
        <f t="shared" si="881"/>
        <v>1.02</v>
      </c>
      <c r="K2258" s="120">
        <f t="shared" si="882"/>
        <v>0</v>
      </c>
      <c r="L2258" s="120">
        <f t="shared" si="883"/>
        <v>0</v>
      </c>
      <c r="M2258" s="246">
        <f t="shared" si="884"/>
        <v>0</v>
      </c>
      <c r="N2258" s="121">
        <f t="shared" si="885"/>
        <v>1.02</v>
      </c>
      <c r="O2258" s="246">
        <f t="shared" si="886"/>
        <v>0.9104978118161926</v>
      </c>
      <c r="P2258" s="121">
        <f t="shared" si="887"/>
        <v>0.75</v>
      </c>
      <c r="Q2258" s="121">
        <f t="shared" si="888"/>
        <v>0.25</v>
      </c>
      <c r="R2258" s="121">
        <f t="shared" si="889"/>
        <v>0</v>
      </c>
      <c r="S2258" s="121" t="str">
        <f t="shared" si="890"/>
        <v/>
      </c>
      <c r="T2258" s="121" t="str">
        <f t="shared" si="891"/>
        <v/>
      </c>
      <c r="U2258" s="121">
        <f t="shared" si="892"/>
        <v>1.02</v>
      </c>
    </row>
    <row r="2259" spans="1:21" x14ac:dyDescent="0.3">
      <c r="A2259" s="187">
        <v>21</v>
      </c>
      <c r="B2259" s="242">
        <f t="shared" si="893"/>
        <v>46266</v>
      </c>
      <c r="C2259" s="243">
        <f t="shared" si="874"/>
        <v>46295</v>
      </c>
      <c r="D2259" s="120">
        <f t="shared" si="875"/>
        <v>30</v>
      </c>
      <c r="E2259" s="120">
        <f t="shared" si="876"/>
        <v>9</v>
      </c>
      <c r="F2259" s="275">
        <f t="shared" si="877"/>
        <v>46281</v>
      </c>
      <c r="G2259" s="120">
        <f t="shared" si="878"/>
        <v>24320</v>
      </c>
      <c r="H2259" s="245">
        <f t="shared" si="879"/>
        <v>1</v>
      </c>
      <c r="I2259" s="121">
        <f t="shared" si="880"/>
        <v>1.02</v>
      </c>
      <c r="J2259" s="121">
        <f t="shared" si="881"/>
        <v>1.02</v>
      </c>
      <c r="K2259" s="120">
        <f t="shared" si="882"/>
        <v>0</v>
      </c>
      <c r="L2259" s="120">
        <f t="shared" si="883"/>
        <v>0</v>
      </c>
      <c r="M2259" s="246">
        <f t="shared" si="884"/>
        <v>0</v>
      </c>
      <c r="N2259" s="121">
        <f t="shared" si="885"/>
        <v>1.02</v>
      </c>
      <c r="O2259" s="246">
        <f t="shared" si="886"/>
        <v>0.91016411378555806</v>
      </c>
      <c r="P2259" s="121">
        <f t="shared" si="887"/>
        <v>0.58333333333333337</v>
      </c>
      <c r="Q2259" s="121">
        <f t="shared" si="888"/>
        <v>0.41666666666666663</v>
      </c>
      <c r="R2259" s="121">
        <f t="shared" si="889"/>
        <v>0</v>
      </c>
      <c r="S2259" s="121" t="str">
        <f t="shared" si="890"/>
        <v/>
      </c>
      <c r="T2259" s="121" t="str">
        <f t="shared" si="891"/>
        <v/>
      </c>
      <c r="U2259" s="121">
        <f t="shared" si="892"/>
        <v>1.02</v>
      </c>
    </row>
    <row r="2260" spans="1:21" x14ac:dyDescent="0.3">
      <c r="A2260" s="187">
        <v>22</v>
      </c>
      <c r="B2260" s="242">
        <f t="shared" si="893"/>
        <v>46296</v>
      </c>
      <c r="C2260" s="243">
        <f t="shared" si="874"/>
        <v>46326</v>
      </c>
      <c r="D2260" s="120">
        <f t="shared" si="875"/>
        <v>31</v>
      </c>
      <c r="E2260" s="120">
        <f t="shared" si="876"/>
        <v>10</v>
      </c>
      <c r="F2260" s="275">
        <f t="shared" si="877"/>
        <v>46311.5</v>
      </c>
      <c r="G2260" s="120">
        <f t="shared" si="878"/>
        <v>24321</v>
      </c>
      <c r="H2260" s="245">
        <f t="shared" si="879"/>
        <v>1</v>
      </c>
      <c r="I2260" s="121">
        <f t="shared" si="880"/>
        <v>1.02</v>
      </c>
      <c r="J2260" s="121">
        <f t="shared" si="881"/>
        <v>1.02</v>
      </c>
      <c r="K2260" s="120">
        <f t="shared" si="882"/>
        <v>0</v>
      </c>
      <c r="L2260" s="120">
        <f t="shared" si="883"/>
        <v>0</v>
      </c>
      <c r="M2260" s="246">
        <f t="shared" si="884"/>
        <v>0</v>
      </c>
      <c r="N2260" s="121">
        <f t="shared" si="885"/>
        <v>1.02</v>
      </c>
      <c r="O2260" s="246">
        <f t="shared" si="886"/>
        <v>0.90983041575492341</v>
      </c>
      <c r="P2260" s="121">
        <f t="shared" si="887"/>
        <v>0.41666666666666669</v>
      </c>
      <c r="Q2260" s="121">
        <f t="shared" si="888"/>
        <v>0.58333333333333326</v>
      </c>
      <c r="R2260" s="121">
        <f t="shared" si="889"/>
        <v>0</v>
      </c>
      <c r="S2260" s="121" t="str">
        <f t="shared" si="890"/>
        <v/>
      </c>
      <c r="T2260" s="121" t="str">
        <f t="shared" si="891"/>
        <v/>
      </c>
      <c r="U2260" s="121">
        <f t="shared" si="892"/>
        <v>1.02</v>
      </c>
    </row>
    <row r="2261" spans="1:21" x14ac:dyDescent="0.3">
      <c r="A2261" s="187">
        <v>23</v>
      </c>
      <c r="B2261" s="242">
        <f t="shared" si="893"/>
        <v>46327</v>
      </c>
      <c r="C2261" s="243">
        <f t="shared" si="874"/>
        <v>46356</v>
      </c>
      <c r="D2261" s="120">
        <f t="shared" si="875"/>
        <v>30</v>
      </c>
      <c r="E2261" s="120">
        <f t="shared" si="876"/>
        <v>11</v>
      </c>
      <c r="F2261" s="275">
        <f t="shared" si="877"/>
        <v>46342</v>
      </c>
      <c r="G2261" s="120">
        <f t="shared" si="878"/>
        <v>24322</v>
      </c>
      <c r="H2261" s="245">
        <f t="shared" si="879"/>
        <v>1</v>
      </c>
      <c r="I2261" s="121">
        <f t="shared" si="880"/>
        <v>1.02</v>
      </c>
      <c r="J2261" s="121">
        <f t="shared" si="881"/>
        <v>1.02</v>
      </c>
      <c r="K2261" s="120">
        <f t="shared" si="882"/>
        <v>0</v>
      </c>
      <c r="L2261" s="120">
        <f t="shared" si="883"/>
        <v>0</v>
      </c>
      <c r="M2261" s="246">
        <f t="shared" si="884"/>
        <v>0</v>
      </c>
      <c r="N2261" s="121">
        <f t="shared" si="885"/>
        <v>1.02</v>
      </c>
      <c r="O2261" s="246">
        <f t="shared" si="886"/>
        <v>0.90949671772428886</v>
      </c>
      <c r="P2261" s="121">
        <f t="shared" si="887"/>
        <v>0.25</v>
      </c>
      <c r="Q2261" s="121">
        <f t="shared" si="888"/>
        <v>0.75</v>
      </c>
      <c r="R2261" s="121">
        <f t="shared" si="889"/>
        <v>0</v>
      </c>
      <c r="S2261" s="121" t="str">
        <f t="shared" si="890"/>
        <v/>
      </c>
      <c r="T2261" s="121" t="str">
        <f t="shared" si="891"/>
        <v/>
      </c>
      <c r="U2261" s="121">
        <f t="shared" si="892"/>
        <v>1.02</v>
      </c>
    </row>
    <row r="2262" spans="1:21" x14ac:dyDescent="0.3">
      <c r="A2262" s="187">
        <v>24</v>
      </c>
      <c r="B2262" s="242">
        <f t="shared" si="893"/>
        <v>46357</v>
      </c>
      <c r="C2262" s="243">
        <f t="shared" si="874"/>
        <v>46387</v>
      </c>
      <c r="D2262" s="120">
        <f t="shared" si="875"/>
        <v>31</v>
      </c>
      <c r="E2262" s="120">
        <f t="shared" si="876"/>
        <v>12</v>
      </c>
      <c r="F2262" s="275">
        <f t="shared" si="877"/>
        <v>46372.5</v>
      </c>
      <c r="G2262" s="120">
        <f t="shared" si="878"/>
        <v>24323</v>
      </c>
      <c r="H2262" s="245">
        <f t="shared" si="879"/>
        <v>1</v>
      </c>
      <c r="I2262" s="121">
        <f t="shared" si="880"/>
        <v>1.02</v>
      </c>
      <c r="J2262" s="121">
        <f t="shared" si="881"/>
        <v>1.02</v>
      </c>
      <c r="K2262" s="120">
        <f t="shared" si="882"/>
        <v>0</v>
      </c>
      <c r="L2262" s="120">
        <f t="shared" si="883"/>
        <v>0</v>
      </c>
      <c r="M2262" s="246">
        <f t="shared" si="884"/>
        <v>0</v>
      </c>
      <c r="N2262" s="121">
        <f t="shared" si="885"/>
        <v>1.02</v>
      </c>
      <c r="O2262" s="246">
        <f t="shared" si="886"/>
        <v>0.90916301969365432</v>
      </c>
      <c r="P2262" s="121">
        <f t="shared" si="887"/>
        <v>8.3333333333333329E-2</v>
      </c>
      <c r="Q2262" s="121">
        <f t="shared" si="888"/>
        <v>0.91666666666666663</v>
      </c>
      <c r="R2262" s="121">
        <f t="shared" si="889"/>
        <v>0</v>
      </c>
      <c r="S2262" s="121" t="str">
        <f t="shared" si="890"/>
        <v/>
      </c>
      <c r="T2262" s="121" t="str">
        <f t="shared" si="891"/>
        <v/>
      </c>
      <c r="U2262" s="121">
        <f t="shared" si="892"/>
        <v>1.02</v>
      </c>
    </row>
    <row r="2263" spans="1:21" x14ac:dyDescent="0.3">
      <c r="A2263" s="187">
        <v>25</v>
      </c>
      <c r="B2263" s="242">
        <f t="shared" si="893"/>
        <v>46388</v>
      </c>
      <c r="C2263" s="243">
        <f t="shared" si="874"/>
        <v>46418</v>
      </c>
      <c r="D2263" s="120">
        <f t="shared" si="875"/>
        <v>31</v>
      </c>
      <c r="E2263" s="120">
        <f t="shared" si="876"/>
        <v>1</v>
      </c>
      <c r="F2263" s="275">
        <f t="shared" si="877"/>
        <v>46403.5</v>
      </c>
      <c r="G2263" s="120">
        <f t="shared" si="878"/>
        <v>24324</v>
      </c>
      <c r="H2263" s="245">
        <f t="shared" si="879"/>
        <v>1</v>
      </c>
      <c r="I2263" s="121">
        <f t="shared" si="880"/>
        <v>1.02</v>
      </c>
      <c r="J2263" s="121">
        <f t="shared" si="881"/>
        <v>1.02</v>
      </c>
      <c r="K2263" s="120">
        <f t="shared" si="882"/>
        <v>0</v>
      </c>
      <c r="L2263" s="120">
        <f t="shared" si="883"/>
        <v>0</v>
      </c>
      <c r="M2263" s="246">
        <f t="shared" si="884"/>
        <v>0</v>
      </c>
      <c r="N2263" s="121">
        <f t="shared" si="885"/>
        <v>1.02</v>
      </c>
      <c r="O2263" s="246">
        <f t="shared" si="886"/>
        <v>0.90882385120350118</v>
      </c>
      <c r="P2263" s="121">
        <f t="shared" si="887"/>
        <v>0</v>
      </c>
      <c r="Q2263" s="121">
        <f t="shared" si="888"/>
        <v>1</v>
      </c>
      <c r="R2263" s="121">
        <f t="shared" si="889"/>
        <v>0</v>
      </c>
      <c r="S2263" s="121" t="str">
        <f t="shared" si="890"/>
        <v/>
      </c>
      <c r="T2263" s="121" t="str">
        <f t="shared" si="891"/>
        <v/>
      </c>
      <c r="U2263" s="121">
        <f t="shared" si="892"/>
        <v>1.02</v>
      </c>
    </row>
    <row r="2264" spans="1:21" x14ac:dyDescent="0.3">
      <c r="A2264" s="187">
        <v>26</v>
      </c>
      <c r="B2264" s="242">
        <f t="shared" si="893"/>
        <v>46419</v>
      </c>
      <c r="C2264" s="243">
        <f t="shared" si="874"/>
        <v>46446</v>
      </c>
      <c r="D2264" s="120">
        <f t="shared" si="875"/>
        <v>28</v>
      </c>
      <c r="E2264" s="120">
        <f t="shared" si="876"/>
        <v>2</v>
      </c>
      <c r="F2264" s="275">
        <f t="shared" si="877"/>
        <v>46433</v>
      </c>
      <c r="G2264" s="120">
        <f t="shared" si="878"/>
        <v>24325</v>
      </c>
      <c r="H2264" s="245">
        <f t="shared" si="879"/>
        <v>1</v>
      </c>
      <c r="I2264" s="121">
        <f t="shared" si="880"/>
        <v>1.02</v>
      </c>
      <c r="J2264" s="121">
        <f t="shared" si="881"/>
        <v>1.02</v>
      </c>
      <c r="K2264" s="120">
        <f t="shared" si="882"/>
        <v>0</v>
      </c>
      <c r="L2264" s="120">
        <f t="shared" si="883"/>
        <v>0</v>
      </c>
      <c r="M2264" s="246">
        <f t="shared" si="884"/>
        <v>0</v>
      </c>
      <c r="N2264" s="121">
        <f t="shared" si="885"/>
        <v>1.02</v>
      </c>
      <c r="O2264" s="246">
        <f t="shared" si="886"/>
        <v>0.90850109409190372</v>
      </c>
      <c r="P2264" s="121">
        <f t="shared" si="887"/>
        <v>0</v>
      </c>
      <c r="Q2264" s="121">
        <f t="shared" si="888"/>
        <v>1</v>
      </c>
      <c r="R2264" s="121">
        <f t="shared" si="889"/>
        <v>0</v>
      </c>
      <c r="S2264" s="121" t="str">
        <f t="shared" si="890"/>
        <v/>
      </c>
      <c r="T2264" s="121" t="str">
        <f t="shared" si="891"/>
        <v/>
      </c>
      <c r="U2264" s="121">
        <f t="shared" si="892"/>
        <v>1.02</v>
      </c>
    </row>
    <row r="2265" spans="1:21" x14ac:dyDescent="0.3">
      <c r="A2265" s="187">
        <v>27</v>
      </c>
      <c r="B2265" s="242">
        <f t="shared" si="893"/>
        <v>46447</v>
      </c>
      <c r="C2265" s="243">
        <f t="shared" si="874"/>
        <v>46477</v>
      </c>
      <c r="D2265" s="120">
        <f t="shared" si="875"/>
        <v>31</v>
      </c>
      <c r="E2265" s="120">
        <f t="shared" si="876"/>
        <v>3</v>
      </c>
      <c r="F2265" s="275">
        <f t="shared" si="877"/>
        <v>46462.5</v>
      </c>
      <c r="G2265" s="120">
        <f t="shared" si="878"/>
        <v>24326</v>
      </c>
      <c r="H2265" s="245">
        <f t="shared" si="879"/>
        <v>1</v>
      </c>
      <c r="I2265" s="121">
        <f t="shared" si="880"/>
        <v>1.02</v>
      </c>
      <c r="J2265" s="121">
        <f t="shared" si="881"/>
        <v>1.02</v>
      </c>
      <c r="K2265" s="120">
        <f t="shared" si="882"/>
        <v>0</v>
      </c>
      <c r="L2265" s="120">
        <f t="shared" si="883"/>
        <v>0</v>
      </c>
      <c r="M2265" s="246">
        <f t="shared" si="884"/>
        <v>0</v>
      </c>
      <c r="N2265" s="121">
        <f t="shared" si="885"/>
        <v>1.02</v>
      </c>
      <c r="O2265" s="246">
        <f t="shared" si="886"/>
        <v>0.90817833698030637</v>
      </c>
      <c r="P2265" s="121">
        <f t="shared" si="887"/>
        <v>0</v>
      </c>
      <c r="Q2265" s="121">
        <f t="shared" si="888"/>
        <v>1</v>
      </c>
      <c r="R2265" s="121">
        <f t="shared" si="889"/>
        <v>0</v>
      </c>
      <c r="S2265" s="121" t="str">
        <f t="shared" si="890"/>
        <v/>
      </c>
      <c r="T2265" s="121" t="str">
        <f t="shared" si="891"/>
        <v/>
      </c>
      <c r="U2265" s="121">
        <f t="shared" si="892"/>
        <v>1.02</v>
      </c>
    </row>
    <row r="2266" spans="1:21" x14ac:dyDescent="0.3">
      <c r="A2266" s="187">
        <v>28</v>
      </c>
      <c r="B2266" s="242">
        <f t="shared" si="893"/>
        <v>46478</v>
      </c>
      <c r="C2266" s="243">
        <f t="shared" si="874"/>
        <v>46507</v>
      </c>
      <c r="D2266" s="120">
        <f t="shared" si="875"/>
        <v>30</v>
      </c>
      <c r="E2266" s="120">
        <f t="shared" si="876"/>
        <v>4</v>
      </c>
      <c r="F2266" s="275">
        <f t="shared" si="877"/>
        <v>46493</v>
      </c>
      <c r="G2266" s="120">
        <f t="shared" si="878"/>
        <v>24327</v>
      </c>
      <c r="H2266" s="245">
        <f t="shared" si="879"/>
        <v>1</v>
      </c>
      <c r="I2266" s="121">
        <f t="shared" si="880"/>
        <v>1.02</v>
      </c>
      <c r="J2266" s="121">
        <f t="shared" si="881"/>
        <v>1.02</v>
      </c>
      <c r="K2266" s="120">
        <f t="shared" si="882"/>
        <v>0</v>
      </c>
      <c r="L2266" s="120">
        <f t="shared" si="883"/>
        <v>0</v>
      </c>
      <c r="M2266" s="246">
        <f t="shared" si="884"/>
        <v>0</v>
      </c>
      <c r="N2266" s="121">
        <f t="shared" si="885"/>
        <v>1.02</v>
      </c>
      <c r="O2266" s="246">
        <f t="shared" si="886"/>
        <v>0.90784463894967182</v>
      </c>
      <c r="P2266" s="121">
        <f t="shared" si="887"/>
        <v>0</v>
      </c>
      <c r="Q2266" s="121">
        <f t="shared" si="888"/>
        <v>1</v>
      </c>
      <c r="R2266" s="121">
        <f t="shared" si="889"/>
        <v>0</v>
      </c>
      <c r="S2266" s="121" t="str">
        <f t="shared" si="890"/>
        <v/>
      </c>
      <c r="T2266" s="121" t="str">
        <f t="shared" si="891"/>
        <v/>
      </c>
      <c r="U2266" s="121">
        <f t="shared" si="892"/>
        <v>1.02</v>
      </c>
    </row>
    <row r="2267" spans="1:21" x14ac:dyDescent="0.3">
      <c r="A2267" s="187">
        <v>29</v>
      </c>
      <c r="B2267" s="242">
        <f t="shared" si="893"/>
        <v>46508</v>
      </c>
      <c r="C2267" s="243">
        <f t="shared" si="874"/>
        <v>46538</v>
      </c>
      <c r="D2267" s="120">
        <f t="shared" si="875"/>
        <v>31</v>
      </c>
      <c r="E2267" s="120">
        <f t="shared" si="876"/>
        <v>5</v>
      </c>
      <c r="F2267" s="275">
        <f t="shared" si="877"/>
        <v>46523.5</v>
      </c>
      <c r="G2267" s="120">
        <f t="shared" si="878"/>
        <v>24328</v>
      </c>
      <c r="H2267" s="245">
        <f t="shared" si="879"/>
        <v>1</v>
      </c>
      <c r="I2267" s="121">
        <f t="shared" si="880"/>
        <v>1.02</v>
      </c>
      <c r="J2267" s="121">
        <f t="shared" si="881"/>
        <v>1.02</v>
      </c>
      <c r="K2267" s="120">
        <f t="shared" si="882"/>
        <v>0</v>
      </c>
      <c r="L2267" s="120">
        <f t="shared" si="883"/>
        <v>0</v>
      </c>
      <c r="M2267" s="246">
        <f t="shared" si="884"/>
        <v>0</v>
      </c>
      <c r="N2267" s="121">
        <f t="shared" si="885"/>
        <v>1.02</v>
      </c>
      <c r="O2267" s="246">
        <f t="shared" si="886"/>
        <v>0.90751094091903728</v>
      </c>
      <c r="P2267" s="121">
        <f t="shared" si="887"/>
        <v>0</v>
      </c>
      <c r="Q2267" s="121">
        <f t="shared" si="888"/>
        <v>1</v>
      </c>
      <c r="R2267" s="121">
        <f t="shared" si="889"/>
        <v>0</v>
      </c>
      <c r="S2267" s="121" t="str">
        <f t="shared" si="890"/>
        <v/>
      </c>
      <c r="T2267" s="121" t="str">
        <f t="shared" si="891"/>
        <v/>
      </c>
      <c r="U2267" s="121">
        <f t="shared" si="892"/>
        <v>1.02</v>
      </c>
    </row>
    <row r="2268" spans="1:21" x14ac:dyDescent="0.3">
      <c r="A2268" s="187">
        <v>30</v>
      </c>
      <c r="B2268" s="242">
        <f t="shared" si="893"/>
        <v>46539</v>
      </c>
      <c r="C2268" s="243">
        <f t="shared" si="874"/>
        <v>46568</v>
      </c>
      <c r="D2268" s="120">
        <f t="shared" si="875"/>
        <v>30</v>
      </c>
      <c r="E2268" s="120">
        <f t="shared" si="876"/>
        <v>6</v>
      </c>
      <c r="F2268" s="275">
        <f t="shared" si="877"/>
        <v>46554</v>
      </c>
      <c r="G2268" s="120">
        <f t="shared" si="878"/>
        <v>24329</v>
      </c>
      <c r="H2268" s="245">
        <f t="shared" si="879"/>
        <v>1</v>
      </c>
      <c r="I2268" s="121">
        <f t="shared" si="880"/>
        <v>1.02</v>
      </c>
      <c r="J2268" s="121">
        <f t="shared" si="881"/>
        <v>1.02</v>
      </c>
      <c r="K2268" s="120">
        <f t="shared" si="882"/>
        <v>0</v>
      </c>
      <c r="L2268" s="120">
        <f t="shared" si="883"/>
        <v>0</v>
      </c>
      <c r="M2268" s="246">
        <f t="shared" si="884"/>
        <v>0</v>
      </c>
      <c r="N2268" s="121">
        <f t="shared" si="885"/>
        <v>1.02</v>
      </c>
      <c r="O2268" s="246">
        <f t="shared" si="886"/>
        <v>0.90717724288840262</v>
      </c>
      <c r="P2268" s="121">
        <f t="shared" si="887"/>
        <v>0</v>
      </c>
      <c r="Q2268" s="121">
        <f t="shared" si="888"/>
        <v>1</v>
      </c>
      <c r="R2268" s="121">
        <f t="shared" si="889"/>
        <v>0</v>
      </c>
      <c r="S2268" s="121" t="str">
        <f t="shared" si="890"/>
        <v/>
      </c>
      <c r="T2268" s="121" t="str">
        <f t="shared" si="891"/>
        <v/>
      </c>
      <c r="U2268" s="121">
        <f t="shared" si="892"/>
        <v>1.02</v>
      </c>
    </row>
    <row r="2269" spans="1:21" x14ac:dyDescent="0.3">
      <c r="A2269" s="187">
        <v>31</v>
      </c>
      <c r="B2269" s="242">
        <f t="shared" si="893"/>
        <v>46569</v>
      </c>
      <c r="C2269" s="243">
        <f t="shared" si="874"/>
        <v>46599</v>
      </c>
      <c r="D2269" s="120">
        <f t="shared" si="875"/>
        <v>31</v>
      </c>
      <c r="E2269" s="120">
        <f t="shared" si="876"/>
        <v>7</v>
      </c>
      <c r="F2269" s="275">
        <f t="shared" si="877"/>
        <v>46584.5</v>
      </c>
      <c r="G2269" s="120">
        <f t="shared" si="878"/>
        <v>24330</v>
      </c>
      <c r="H2269" s="245">
        <f t="shared" si="879"/>
        <v>1</v>
      </c>
      <c r="I2269" s="121">
        <f t="shared" si="880"/>
        <v>1.02</v>
      </c>
      <c r="J2269" s="121">
        <f t="shared" si="881"/>
        <v>1.02</v>
      </c>
      <c r="K2269" s="120">
        <f t="shared" si="882"/>
        <v>0</v>
      </c>
      <c r="L2269" s="120">
        <f t="shared" si="883"/>
        <v>0</v>
      </c>
      <c r="M2269" s="246">
        <f t="shared" si="884"/>
        <v>0</v>
      </c>
      <c r="N2269" s="121">
        <f t="shared" si="885"/>
        <v>1.02</v>
      </c>
      <c r="O2269" s="246">
        <f t="shared" si="886"/>
        <v>0.90684354485776808</v>
      </c>
      <c r="P2269" s="121">
        <f t="shared" si="887"/>
        <v>0</v>
      </c>
      <c r="Q2269" s="121">
        <f t="shared" si="888"/>
        <v>0.91666666666666663</v>
      </c>
      <c r="R2269" s="121">
        <f t="shared" si="889"/>
        <v>8.333333333333337E-2</v>
      </c>
      <c r="S2269" s="121" t="str">
        <f t="shared" si="890"/>
        <v/>
      </c>
      <c r="T2269" s="121" t="str">
        <f t="shared" si="891"/>
        <v/>
      </c>
      <c r="U2269" s="121">
        <f t="shared" si="892"/>
        <v>1.02</v>
      </c>
    </row>
    <row r="2270" spans="1:21" x14ac:dyDescent="0.3">
      <c r="A2270" s="187">
        <v>32</v>
      </c>
      <c r="B2270" s="242">
        <f t="shared" si="893"/>
        <v>46600</v>
      </c>
      <c r="C2270" s="243">
        <f t="shared" si="874"/>
        <v>46630</v>
      </c>
      <c r="D2270" s="120">
        <f t="shared" si="875"/>
        <v>31</v>
      </c>
      <c r="E2270" s="120">
        <f t="shared" si="876"/>
        <v>8</v>
      </c>
      <c r="F2270" s="275">
        <f t="shared" si="877"/>
        <v>46615.5</v>
      </c>
      <c r="G2270" s="120">
        <f t="shared" si="878"/>
        <v>24331</v>
      </c>
      <c r="H2270" s="245">
        <f t="shared" si="879"/>
        <v>1</v>
      </c>
      <c r="I2270" s="121">
        <f t="shared" si="880"/>
        <v>1.02</v>
      </c>
      <c r="J2270" s="121">
        <f t="shared" si="881"/>
        <v>1.02</v>
      </c>
      <c r="K2270" s="120">
        <f t="shared" si="882"/>
        <v>0</v>
      </c>
      <c r="L2270" s="120">
        <f t="shared" si="883"/>
        <v>0</v>
      </c>
      <c r="M2270" s="246">
        <f t="shared" si="884"/>
        <v>0</v>
      </c>
      <c r="N2270" s="121">
        <f t="shared" si="885"/>
        <v>1.02</v>
      </c>
      <c r="O2270" s="246">
        <f t="shared" si="886"/>
        <v>0.90650437636761494</v>
      </c>
      <c r="P2270" s="121">
        <f t="shared" si="887"/>
        <v>0</v>
      </c>
      <c r="Q2270" s="121">
        <f t="shared" si="888"/>
        <v>0.75</v>
      </c>
      <c r="R2270" s="121">
        <f t="shared" si="889"/>
        <v>0.25</v>
      </c>
      <c r="S2270" s="121" t="str">
        <f t="shared" si="890"/>
        <v/>
      </c>
      <c r="T2270" s="121" t="str">
        <f t="shared" si="891"/>
        <v/>
      </c>
      <c r="U2270" s="121">
        <f t="shared" si="892"/>
        <v>1.02</v>
      </c>
    </row>
    <row r="2271" spans="1:21" x14ac:dyDescent="0.3">
      <c r="A2271" s="187">
        <v>33</v>
      </c>
      <c r="B2271" s="242">
        <f t="shared" si="893"/>
        <v>46631</v>
      </c>
      <c r="C2271" s="243">
        <f t="shared" si="874"/>
        <v>46660</v>
      </c>
      <c r="D2271" s="120">
        <f t="shared" si="875"/>
        <v>30</v>
      </c>
      <c r="E2271" s="120">
        <f t="shared" si="876"/>
        <v>9</v>
      </c>
      <c r="F2271" s="275">
        <f t="shared" si="877"/>
        <v>46646</v>
      </c>
      <c r="G2271" s="120">
        <f t="shared" si="878"/>
        <v>24332</v>
      </c>
      <c r="H2271" s="245">
        <f t="shared" si="879"/>
        <v>1</v>
      </c>
      <c r="I2271" s="121">
        <f t="shared" si="880"/>
        <v>1.02</v>
      </c>
      <c r="J2271" s="121">
        <f t="shared" si="881"/>
        <v>1.02</v>
      </c>
      <c r="K2271" s="120">
        <f t="shared" si="882"/>
        <v>0</v>
      </c>
      <c r="L2271" s="120">
        <f t="shared" si="883"/>
        <v>0</v>
      </c>
      <c r="M2271" s="246">
        <f t="shared" si="884"/>
        <v>0</v>
      </c>
      <c r="N2271" s="121">
        <f t="shared" si="885"/>
        <v>1.02</v>
      </c>
      <c r="O2271" s="246">
        <f t="shared" si="886"/>
        <v>0.90617067833698028</v>
      </c>
      <c r="P2271" s="121">
        <f t="shared" si="887"/>
        <v>0</v>
      </c>
      <c r="Q2271" s="121">
        <f t="shared" si="888"/>
        <v>0.58333333333333337</v>
      </c>
      <c r="R2271" s="121">
        <f t="shared" si="889"/>
        <v>0.41666666666666663</v>
      </c>
      <c r="S2271" s="121" t="str">
        <f t="shared" si="890"/>
        <v/>
      </c>
      <c r="T2271" s="121" t="str">
        <f t="shared" si="891"/>
        <v/>
      </c>
      <c r="U2271" s="121">
        <f t="shared" si="892"/>
        <v>1.02</v>
      </c>
    </row>
    <row r="2272" spans="1:21" x14ac:dyDescent="0.3">
      <c r="A2272" s="187">
        <v>34</v>
      </c>
      <c r="B2272" s="242">
        <f t="shared" si="893"/>
        <v>46661</v>
      </c>
      <c r="C2272" s="243">
        <f t="shared" si="874"/>
        <v>46691</v>
      </c>
      <c r="D2272" s="120">
        <f t="shared" si="875"/>
        <v>31</v>
      </c>
      <c r="E2272" s="120">
        <f t="shared" si="876"/>
        <v>10</v>
      </c>
      <c r="F2272" s="275">
        <f t="shared" si="877"/>
        <v>46676.5</v>
      </c>
      <c r="G2272" s="120">
        <f t="shared" si="878"/>
        <v>24333</v>
      </c>
      <c r="H2272" s="245">
        <f t="shared" si="879"/>
        <v>1</v>
      </c>
      <c r="I2272" s="121">
        <f t="shared" si="880"/>
        <v>1.02</v>
      </c>
      <c r="J2272" s="121">
        <f t="shared" si="881"/>
        <v>1.02</v>
      </c>
      <c r="K2272" s="120">
        <f t="shared" si="882"/>
        <v>0</v>
      </c>
      <c r="L2272" s="120">
        <f t="shared" si="883"/>
        <v>0</v>
      </c>
      <c r="M2272" s="246">
        <f t="shared" si="884"/>
        <v>0</v>
      </c>
      <c r="N2272" s="121">
        <f t="shared" si="885"/>
        <v>1.02</v>
      </c>
      <c r="O2272" s="246">
        <f t="shared" si="886"/>
        <v>0.90583698030634574</v>
      </c>
      <c r="P2272" s="121">
        <f t="shared" si="887"/>
        <v>0</v>
      </c>
      <c r="Q2272" s="121">
        <f t="shared" si="888"/>
        <v>0.41666666666666669</v>
      </c>
      <c r="R2272" s="121">
        <f t="shared" si="889"/>
        <v>0.58333333333333326</v>
      </c>
      <c r="S2272" s="121" t="str">
        <f t="shared" si="890"/>
        <v/>
      </c>
      <c r="T2272" s="121" t="str">
        <f t="shared" si="891"/>
        <v/>
      </c>
      <c r="U2272" s="121">
        <f t="shared" si="892"/>
        <v>1.02</v>
      </c>
    </row>
    <row r="2273" spans="1:21" x14ac:dyDescent="0.3">
      <c r="A2273" s="187">
        <v>35</v>
      </c>
      <c r="B2273" s="242">
        <f t="shared" si="893"/>
        <v>46692</v>
      </c>
      <c r="C2273" s="243">
        <f t="shared" si="874"/>
        <v>46721</v>
      </c>
      <c r="D2273" s="120">
        <f t="shared" si="875"/>
        <v>30</v>
      </c>
      <c r="E2273" s="120">
        <f t="shared" si="876"/>
        <v>11</v>
      </c>
      <c r="F2273" s="275">
        <f t="shared" si="877"/>
        <v>46707</v>
      </c>
      <c r="G2273" s="120">
        <f t="shared" si="878"/>
        <v>24334</v>
      </c>
      <c r="H2273" s="245">
        <f t="shared" si="879"/>
        <v>1</v>
      </c>
      <c r="I2273" s="121">
        <f t="shared" si="880"/>
        <v>1.02</v>
      </c>
      <c r="J2273" s="121">
        <f t="shared" si="881"/>
        <v>1.02</v>
      </c>
      <c r="K2273" s="120">
        <f t="shared" si="882"/>
        <v>0</v>
      </c>
      <c r="L2273" s="120">
        <f t="shared" si="883"/>
        <v>0</v>
      </c>
      <c r="M2273" s="246">
        <f t="shared" si="884"/>
        <v>0</v>
      </c>
      <c r="N2273" s="121">
        <f t="shared" si="885"/>
        <v>1.02</v>
      </c>
      <c r="O2273" s="246">
        <f t="shared" si="886"/>
        <v>0.9055032822757112</v>
      </c>
      <c r="P2273" s="121">
        <f t="shared" si="887"/>
        <v>0</v>
      </c>
      <c r="Q2273" s="121">
        <f t="shared" si="888"/>
        <v>0.25</v>
      </c>
      <c r="R2273" s="121">
        <f t="shared" si="889"/>
        <v>0.75</v>
      </c>
      <c r="S2273" s="121" t="str">
        <f t="shared" si="890"/>
        <v/>
      </c>
      <c r="T2273" s="121" t="str">
        <f t="shared" si="891"/>
        <v/>
      </c>
      <c r="U2273" s="121">
        <f t="shared" si="892"/>
        <v>1.02</v>
      </c>
    </row>
    <row r="2274" spans="1:21" x14ac:dyDescent="0.3">
      <c r="A2274" s="187">
        <v>36</v>
      </c>
      <c r="B2274" s="242">
        <f t="shared" si="893"/>
        <v>46722</v>
      </c>
      <c r="C2274" s="243">
        <f t="shared" si="874"/>
        <v>46752</v>
      </c>
      <c r="D2274" s="120">
        <f t="shared" si="875"/>
        <v>31</v>
      </c>
      <c r="E2274" s="120">
        <f t="shared" si="876"/>
        <v>12</v>
      </c>
      <c r="F2274" s="275">
        <f t="shared" si="877"/>
        <v>46737.5</v>
      </c>
      <c r="G2274" s="120">
        <f t="shared" si="878"/>
        <v>24335</v>
      </c>
      <c r="H2274" s="245">
        <f t="shared" si="879"/>
        <v>1</v>
      </c>
      <c r="I2274" s="121">
        <f t="shared" si="880"/>
        <v>1.02</v>
      </c>
      <c r="J2274" s="121">
        <f t="shared" si="881"/>
        <v>1.02</v>
      </c>
      <c r="K2274" s="120">
        <f t="shared" si="882"/>
        <v>0</v>
      </c>
      <c r="L2274" s="120">
        <f t="shared" si="883"/>
        <v>0</v>
      </c>
      <c r="M2274" s="246">
        <f t="shared" si="884"/>
        <v>0</v>
      </c>
      <c r="N2274" s="121">
        <f t="shared" si="885"/>
        <v>1.02</v>
      </c>
      <c r="O2274" s="246">
        <f t="shared" si="886"/>
        <v>0.90516958424507665</v>
      </c>
      <c r="P2274" s="121">
        <f t="shared" si="887"/>
        <v>0</v>
      </c>
      <c r="Q2274" s="121">
        <f t="shared" si="888"/>
        <v>8.3333333333333329E-2</v>
      </c>
      <c r="R2274" s="121">
        <f t="shared" si="889"/>
        <v>0.91666666666666663</v>
      </c>
      <c r="S2274" s="121" t="str">
        <f t="shared" si="890"/>
        <v/>
      </c>
      <c r="T2274" s="121" t="str">
        <f t="shared" si="891"/>
        <v/>
      </c>
      <c r="U2274" s="121">
        <f t="shared" si="892"/>
        <v>1.02</v>
      </c>
    </row>
    <row r="2275" spans="1:21" x14ac:dyDescent="0.3">
      <c r="A2275" s="187">
        <v>37</v>
      </c>
      <c r="B2275" s="242">
        <f t="shared" si="893"/>
        <v>46753</v>
      </c>
      <c r="C2275" s="243">
        <f t="shared" si="874"/>
        <v>46783</v>
      </c>
      <c r="D2275" s="120">
        <f t="shared" si="875"/>
        <v>31</v>
      </c>
      <c r="E2275" s="120">
        <f t="shared" si="876"/>
        <v>1</v>
      </c>
      <c r="F2275" s="275">
        <f t="shared" si="877"/>
        <v>46768.5</v>
      </c>
      <c r="G2275" s="120">
        <f t="shared" si="878"/>
        <v>24336</v>
      </c>
      <c r="H2275" s="245">
        <f t="shared" si="879"/>
        <v>1</v>
      </c>
      <c r="I2275" s="121">
        <f t="shared" si="880"/>
        <v>1.02</v>
      </c>
      <c r="J2275" s="121">
        <f t="shared" si="881"/>
        <v>1.02</v>
      </c>
      <c r="K2275" s="120">
        <f t="shared" si="882"/>
        <v>0</v>
      </c>
      <c r="L2275" s="120">
        <f t="shared" si="883"/>
        <v>0</v>
      </c>
      <c r="M2275" s="246">
        <f t="shared" si="884"/>
        <v>0</v>
      </c>
      <c r="N2275" s="121">
        <f t="shared" si="885"/>
        <v>1.02</v>
      </c>
      <c r="O2275" s="246">
        <f t="shared" si="886"/>
        <v>0.90500000000000003</v>
      </c>
      <c r="P2275" s="121">
        <f t="shared" si="887"/>
        <v>0</v>
      </c>
      <c r="Q2275" s="121">
        <f t="shared" si="888"/>
        <v>0</v>
      </c>
      <c r="R2275" s="121">
        <f t="shared" si="889"/>
        <v>1</v>
      </c>
      <c r="S2275" s="121" t="str">
        <f t="shared" si="890"/>
        <v/>
      </c>
      <c r="T2275" s="121" t="str">
        <f t="shared" si="891"/>
        <v/>
      </c>
      <c r="U2275" s="121">
        <f t="shared" si="892"/>
        <v>1.02</v>
      </c>
    </row>
    <row r="2276" spans="1:21" x14ac:dyDescent="0.3">
      <c r="A2276" s="187">
        <v>38</v>
      </c>
      <c r="B2276" s="242">
        <f t="shared" si="893"/>
        <v>46784</v>
      </c>
      <c r="C2276" s="243">
        <f t="shared" si="874"/>
        <v>46812</v>
      </c>
      <c r="D2276" s="120">
        <f t="shared" si="875"/>
        <v>29</v>
      </c>
      <c r="E2276" s="120">
        <f t="shared" si="876"/>
        <v>2</v>
      </c>
      <c r="F2276" s="275">
        <f t="shared" si="877"/>
        <v>46798.5</v>
      </c>
      <c r="G2276" s="120">
        <f t="shared" si="878"/>
        <v>24337</v>
      </c>
      <c r="H2276" s="245">
        <f t="shared" si="879"/>
        <v>1</v>
      </c>
      <c r="I2276" s="121">
        <f t="shared" si="880"/>
        <v>1.02</v>
      </c>
      <c r="J2276" s="121">
        <f t="shared" si="881"/>
        <v>1.02</v>
      </c>
      <c r="K2276" s="120">
        <f t="shared" si="882"/>
        <v>0</v>
      </c>
      <c r="L2276" s="120">
        <f t="shared" si="883"/>
        <v>0</v>
      </c>
      <c r="M2276" s="246">
        <f t="shared" si="884"/>
        <v>0</v>
      </c>
      <c r="N2276" s="121">
        <f t="shared" si="885"/>
        <v>1.02</v>
      </c>
      <c r="O2276" s="246">
        <f t="shared" si="886"/>
        <v>0.90500000000000003</v>
      </c>
      <c r="P2276" s="121">
        <f t="shared" si="887"/>
        <v>0</v>
      </c>
      <c r="Q2276" s="121">
        <f t="shared" si="888"/>
        <v>0</v>
      </c>
      <c r="R2276" s="121">
        <f t="shared" si="889"/>
        <v>1</v>
      </c>
      <c r="S2276" s="121" t="str">
        <f t="shared" si="890"/>
        <v/>
      </c>
      <c r="T2276" s="121" t="str">
        <f t="shared" si="891"/>
        <v/>
      </c>
      <c r="U2276" s="121">
        <f t="shared" si="892"/>
        <v>1.02</v>
      </c>
    </row>
    <row r="2277" spans="1:21" x14ac:dyDescent="0.3">
      <c r="A2277" s="187">
        <v>39</v>
      </c>
      <c r="B2277" s="242">
        <f t="shared" si="893"/>
        <v>46813</v>
      </c>
      <c r="C2277" s="243">
        <f t="shared" si="874"/>
        <v>46843</v>
      </c>
      <c r="D2277" s="120">
        <f t="shared" si="875"/>
        <v>31</v>
      </c>
      <c r="E2277" s="120">
        <f t="shared" si="876"/>
        <v>3</v>
      </c>
      <c r="F2277" s="275">
        <f t="shared" si="877"/>
        <v>46828.5</v>
      </c>
      <c r="G2277" s="120">
        <f t="shared" si="878"/>
        <v>24338</v>
      </c>
      <c r="H2277" s="245">
        <f t="shared" si="879"/>
        <v>1</v>
      </c>
      <c r="I2277" s="121">
        <f t="shared" si="880"/>
        <v>1.02</v>
      </c>
      <c r="J2277" s="121">
        <f t="shared" si="881"/>
        <v>1.02</v>
      </c>
      <c r="K2277" s="120">
        <f t="shared" si="882"/>
        <v>0</v>
      </c>
      <c r="L2277" s="120">
        <f t="shared" si="883"/>
        <v>0</v>
      </c>
      <c r="M2277" s="246">
        <f t="shared" si="884"/>
        <v>0</v>
      </c>
      <c r="N2277" s="121">
        <f t="shared" si="885"/>
        <v>1.02</v>
      </c>
      <c r="O2277" s="246">
        <f t="shared" si="886"/>
        <v>0.90500000000000003</v>
      </c>
      <c r="P2277" s="121">
        <f t="shared" si="887"/>
        <v>0</v>
      </c>
      <c r="Q2277" s="121">
        <f t="shared" si="888"/>
        <v>0</v>
      </c>
      <c r="R2277" s="121">
        <f t="shared" si="889"/>
        <v>1</v>
      </c>
      <c r="S2277" s="121" t="str">
        <f t="shared" si="890"/>
        <v/>
      </c>
      <c r="T2277" s="121" t="str">
        <f t="shared" si="891"/>
        <v/>
      </c>
      <c r="U2277" s="121">
        <f t="shared" si="892"/>
        <v>1.02</v>
      </c>
    </row>
    <row r="2278" spans="1:21" x14ac:dyDescent="0.3">
      <c r="A2278" s="187">
        <v>40</v>
      </c>
      <c r="B2278" s="242">
        <f t="shared" si="893"/>
        <v>46844</v>
      </c>
      <c r="C2278" s="243">
        <f t="shared" si="874"/>
        <v>46873</v>
      </c>
      <c r="D2278" s="120">
        <f t="shared" si="875"/>
        <v>30</v>
      </c>
      <c r="E2278" s="120">
        <f t="shared" si="876"/>
        <v>4</v>
      </c>
      <c r="F2278" s="275">
        <f t="shared" si="877"/>
        <v>46859</v>
      </c>
      <c r="G2278" s="120">
        <f t="shared" si="878"/>
        <v>24339</v>
      </c>
      <c r="H2278" s="245">
        <f t="shared" si="879"/>
        <v>1</v>
      </c>
      <c r="I2278" s="121">
        <f t="shared" si="880"/>
        <v>1.02</v>
      </c>
      <c r="J2278" s="121">
        <f t="shared" si="881"/>
        <v>1.02</v>
      </c>
      <c r="K2278" s="120">
        <f t="shared" si="882"/>
        <v>0</v>
      </c>
      <c r="L2278" s="120">
        <f t="shared" si="883"/>
        <v>0</v>
      </c>
      <c r="M2278" s="246">
        <f t="shared" si="884"/>
        <v>0</v>
      </c>
      <c r="N2278" s="121">
        <f t="shared" si="885"/>
        <v>1.02</v>
      </c>
      <c r="O2278" s="246">
        <f t="shared" si="886"/>
        <v>0.90500000000000003</v>
      </c>
      <c r="P2278" s="121">
        <f t="shared" si="887"/>
        <v>0</v>
      </c>
      <c r="Q2278" s="121">
        <f t="shared" si="888"/>
        <v>0</v>
      </c>
      <c r="R2278" s="121">
        <f t="shared" si="889"/>
        <v>1</v>
      </c>
      <c r="S2278" s="121" t="str">
        <f t="shared" si="890"/>
        <v/>
      </c>
      <c r="T2278" s="121" t="str">
        <f t="shared" si="891"/>
        <v/>
      </c>
      <c r="U2278" s="121">
        <f t="shared" si="892"/>
        <v>1.02</v>
      </c>
    </row>
    <row r="2279" spans="1:21" x14ac:dyDescent="0.3">
      <c r="A2279" s="187">
        <v>41</v>
      </c>
      <c r="B2279" s="242">
        <f t="shared" si="893"/>
        <v>46874</v>
      </c>
      <c r="C2279" s="243">
        <f t="shared" si="874"/>
        <v>46904</v>
      </c>
      <c r="D2279" s="120">
        <f t="shared" si="875"/>
        <v>31</v>
      </c>
      <c r="E2279" s="120">
        <f t="shared" si="876"/>
        <v>5</v>
      </c>
      <c r="F2279" s="275">
        <f t="shared" si="877"/>
        <v>46889.5</v>
      </c>
      <c r="G2279" s="120">
        <f t="shared" si="878"/>
        <v>24340</v>
      </c>
      <c r="H2279" s="245">
        <f t="shared" si="879"/>
        <v>1</v>
      </c>
      <c r="I2279" s="121">
        <f t="shared" si="880"/>
        <v>1.02</v>
      </c>
      <c r="J2279" s="121">
        <f t="shared" si="881"/>
        <v>1.02</v>
      </c>
      <c r="K2279" s="120">
        <f t="shared" si="882"/>
        <v>0</v>
      </c>
      <c r="L2279" s="120">
        <f t="shared" si="883"/>
        <v>0</v>
      </c>
      <c r="M2279" s="246">
        <f t="shared" si="884"/>
        <v>0</v>
      </c>
      <c r="N2279" s="121">
        <f t="shared" si="885"/>
        <v>1.02</v>
      </c>
      <c r="O2279" s="246">
        <f t="shared" si="886"/>
        <v>0.90500000000000003</v>
      </c>
      <c r="P2279" s="121">
        <f t="shared" si="887"/>
        <v>0</v>
      </c>
      <c r="Q2279" s="121">
        <f t="shared" si="888"/>
        <v>0</v>
      </c>
      <c r="R2279" s="121">
        <f t="shared" si="889"/>
        <v>1</v>
      </c>
      <c r="S2279" s="121" t="str">
        <f t="shared" si="890"/>
        <v/>
      </c>
      <c r="T2279" s="121" t="str">
        <f t="shared" si="891"/>
        <v/>
      </c>
      <c r="U2279" s="121">
        <f t="shared" si="892"/>
        <v>1.02</v>
      </c>
    </row>
    <row r="2280" spans="1:21" x14ac:dyDescent="0.3">
      <c r="A2280" s="187">
        <v>42</v>
      </c>
      <c r="B2280" s="242">
        <f t="shared" si="893"/>
        <v>46905</v>
      </c>
      <c r="C2280" s="243">
        <f t="shared" si="874"/>
        <v>46934</v>
      </c>
      <c r="D2280" s="120">
        <f t="shared" si="875"/>
        <v>30</v>
      </c>
      <c r="E2280" s="120">
        <f t="shared" si="876"/>
        <v>6</v>
      </c>
      <c r="F2280" s="275">
        <f t="shared" si="877"/>
        <v>46920</v>
      </c>
      <c r="G2280" s="120">
        <f t="shared" si="878"/>
        <v>24341</v>
      </c>
      <c r="H2280" s="245">
        <f t="shared" si="879"/>
        <v>1</v>
      </c>
      <c r="I2280" s="121">
        <f t="shared" si="880"/>
        <v>1.02</v>
      </c>
      <c r="J2280" s="121">
        <f t="shared" si="881"/>
        <v>1.02</v>
      </c>
      <c r="K2280" s="120">
        <f t="shared" si="882"/>
        <v>0</v>
      </c>
      <c r="L2280" s="120">
        <f t="shared" si="883"/>
        <v>0</v>
      </c>
      <c r="M2280" s="246">
        <f t="shared" si="884"/>
        <v>0</v>
      </c>
      <c r="N2280" s="121">
        <f t="shared" si="885"/>
        <v>1.02</v>
      </c>
      <c r="O2280" s="246">
        <f t="shared" si="886"/>
        <v>0.90500000000000003</v>
      </c>
      <c r="P2280" s="121">
        <f t="shared" si="887"/>
        <v>0</v>
      </c>
      <c r="Q2280" s="121">
        <f t="shared" si="888"/>
        <v>0</v>
      </c>
      <c r="R2280" s="121">
        <f t="shared" si="889"/>
        <v>1</v>
      </c>
      <c r="S2280" s="121" t="str">
        <f t="shared" si="890"/>
        <v/>
      </c>
      <c r="T2280" s="121" t="str">
        <f t="shared" si="891"/>
        <v/>
      </c>
      <c r="U2280" s="121">
        <f t="shared" si="892"/>
        <v>1.02</v>
      </c>
    </row>
    <row r="2281" spans="1:21" x14ac:dyDescent="0.3">
      <c r="A2281" s="187">
        <v>43</v>
      </c>
      <c r="B2281" s="242">
        <f t="shared" si="893"/>
        <v>46935</v>
      </c>
      <c r="C2281" s="243">
        <f t="shared" si="874"/>
        <v>46965</v>
      </c>
      <c r="D2281" s="120">
        <f t="shared" si="875"/>
        <v>31</v>
      </c>
      <c r="E2281" s="120">
        <f t="shared" si="876"/>
        <v>7</v>
      </c>
      <c r="F2281" s="275">
        <f t="shared" si="877"/>
        <v>46950.5</v>
      </c>
      <c r="G2281" s="120">
        <f t="shared" si="878"/>
        <v>24342</v>
      </c>
      <c r="H2281" s="245">
        <f t="shared" si="879"/>
        <v>1</v>
      </c>
      <c r="I2281" s="121">
        <f t="shared" si="880"/>
        <v>1.02</v>
      </c>
      <c r="J2281" s="121">
        <f t="shared" si="881"/>
        <v>1.02</v>
      </c>
      <c r="K2281" s="120">
        <f t="shared" si="882"/>
        <v>0</v>
      </c>
      <c r="L2281" s="120">
        <f t="shared" si="883"/>
        <v>0</v>
      </c>
      <c r="M2281" s="246">
        <f t="shared" si="884"/>
        <v>0</v>
      </c>
      <c r="N2281" s="121">
        <f t="shared" si="885"/>
        <v>1.02</v>
      </c>
      <c r="O2281" s="246">
        <f t="shared" si="886"/>
        <v>0.90500000000000003</v>
      </c>
      <c r="P2281" s="121">
        <f t="shared" si="887"/>
        <v>0</v>
      </c>
      <c r="Q2281" s="121">
        <f t="shared" si="888"/>
        <v>0</v>
      </c>
      <c r="R2281" s="121">
        <f t="shared" si="889"/>
        <v>0.91666666666666663</v>
      </c>
      <c r="S2281" s="121" t="str">
        <f t="shared" si="890"/>
        <v/>
      </c>
      <c r="T2281" s="121" t="str">
        <f t="shared" si="891"/>
        <v/>
      </c>
      <c r="U2281" s="121">
        <f t="shared" si="892"/>
        <v>1.02</v>
      </c>
    </row>
    <row r="2282" spans="1:21" x14ac:dyDescent="0.3">
      <c r="A2282" s="187">
        <v>44</v>
      </c>
      <c r="B2282" s="242">
        <f t="shared" si="893"/>
        <v>46966</v>
      </c>
      <c r="C2282" s="243">
        <f t="shared" si="874"/>
        <v>46996</v>
      </c>
      <c r="D2282" s="120">
        <f t="shared" si="875"/>
        <v>31</v>
      </c>
      <c r="E2282" s="120">
        <f t="shared" si="876"/>
        <v>8</v>
      </c>
      <c r="F2282" s="275">
        <f t="shared" si="877"/>
        <v>46981.5</v>
      </c>
      <c r="G2282" s="120">
        <f t="shared" si="878"/>
        <v>24343</v>
      </c>
      <c r="H2282" s="245">
        <f t="shared" si="879"/>
        <v>1</v>
      </c>
      <c r="I2282" s="121">
        <f t="shared" si="880"/>
        <v>1.02</v>
      </c>
      <c r="J2282" s="121">
        <f t="shared" si="881"/>
        <v>1.02</v>
      </c>
      <c r="K2282" s="120">
        <f t="shared" si="882"/>
        <v>0</v>
      </c>
      <c r="L2282" s="120">
        <f t="shared" si="883"/>
        <v>0</v>
      </c>
      <c r="M2282" s="246">
        <f t="shared" si="884"/>
        <v>0</v>
      </c>
      <c r="N2282" s="121">
        <f t="shared" si="885"/>
        <v>1.02</v>
      </c>
      <c r="O2282" s="246">
        <f t="shared" si="886"/>
        <v>0.90500000000000003</v>
      </c>
      <c r="P2282" s="121">
        <f t="shared" si="887"/>
        <v>0</v>
      </c>
      <c r="Q2282" s="121">
        <f t="shared" si="888"/>
        <v>0</v>
      </c>
      <c r="R2282" s="121">
        <f t="shared" si="889"/>
        <v>0.75</v>
      </c>
      <c r="S2282" s="121" t="str">
        <f t="shared" si="890"/>
        <v/>
      </c>
      <c r="T2282" s="121" t="str">
        <f t="shared" si="891"/>
        <v/>
      </c>
      <c r="U2282" s="121">
        <f t="shared" si="892"/>
        <v>1.02</v>
      </c>
    </row>
    <row r="2283" spans="1:21" x14ac:dyDescent="0.3">
      <c r="A2283" s="187">
        <v>45</v>
      </c>
      <c r="B2283" s="242">
        <f t="shared" si="893"/>
        <v>46997</v>
      </c>
      <c r="C2283" s="243">
        <f t="shared" si="874"/>
        <v>47026</v>
      </c>
      <c r="D2283" s="120">
        <f t="shared" si="875"/>
        <v>30</v>
      </c>
      <c r="E2283" s="120">
        <f t="shared" si="876"/>
        <v>9</v>
      </c>
      <c r="F2283" s="275">
        <f t="shared" si="877"/>
        <v>47012</v>
      </c>
      <c r="G2283" s="120">
        <f t="shared" si="878"/>
        <v>24344</v>
      </c>
      <c r="H2283" s="245">
        <f t="shared" si="879"/>
        <v>1</v>
      </c>
      <c r="I2283" s="121">
        <f t="shared" si="880"/>
        <v>1.02</v>
      </c>
      <c r="J2283" s="121">
        <f t="shared" si="881"/>
        <v>1.02</v>
      </c>
      <c r="K2283" s="120">
        <f t="shared" si="882"/>
        <v>0</v>
      </c>
      <c r="L2283" s="120">
        <f t="shared" si="883"/>
        <v>0</v>
      </c>
      <c r="M2283" s="246">
        <f t="shared" si="884"/>
        <v>0</v>
      </c>
      <c r="N2283" s="121">
        <f t="shared" si="885"/>
        <v>1.02</v>
      </c>
      <c r="O2283" s="246">
        <f t="shared" si="886"/>
        <v>0.90500000000000003</v>
      </c>
      <c r="P2283" s="121">
        <f t="shared" si="887"/>
        <v>0</v>
      </c>
      <c r="Q2283" s="121">
        <f t="shared" si="888"/>
        <v>0</v>
      </c>
      <c r="R2283" s="121">
        <f t="shared" si="889"/>
        <v>0.58333333333333337</v>
      </c>
      <c r="S2283" s="121" t="str">
        <f t="shared" si="890"/>
        <v/>
      </c>
      <c r="T2283" s="121" t="str">
        <f t="shared" si="891"/>
        <v/>
      </c>
      <c r="U2283" s="121">
        <f t="shared" si="892"/>
        <v>1.02</v>
      </c>
    </row>
    <row r="2284" spans="1:21" x14ac:dyDescent="0.3">
      <c r="A2284" s="187">
        <v>46</v>
      </c>
      <c r="B2284" s="242">
        <f t="shared" si="893"/>
        <v>47027</v>
      </c>
      <c r="C2284" s="243">
        <f t="shared" si="874"/>
        <v>47057</v>
      </c>
      <c r="D2284" s="120">
        <f t="shared" si="875"/>
        <v>31</v>
      </c>
      <c r="E2284" s="120">
        <f t="shared" si="876"/>
        <v>10</v>
      </c>
      <c r="F2284" s="275">
        <f t="shared" si="877"/>
        <v>47042.5</v>
      </c>
      <c r="G2284" s="120">
        <f t="shared" si="878"/>
        <v>24345</v>
      </c>
      <c r="H2284" s="245">
        <f t="shared" si="879"/>
        <v>1</v>
      </c>
      <c r="I2284" s="121">
        <f t="shared" si="880"/>
        <v>1.02</v>
      </c>
      <c r="J2284" s="121">
        <f t="shared" si="881"/>
        <v>1.02</v>
      </c>
      <c r="K2284" s="120">
        <f t="shared" si="882"/>
        <v>0</v>
      </c>
      <c r="L2284" s="120">
        <f t="shared" si="883"/>
        <v>0</v>
      </c>
      <c r="M2284" s="246">
        <f t="shared" si="884"/>
        <v>0</v>
      </c>
      <c r="N2284" s="121">
        <f t="shared" si="885"/>
        <v>1.02</v>
      </c>
      <c r="O2284" s="246">
        <f t="shared" si="886"/>
        <v>0.90500000000000003</v>
      </c>
      <c r="P2284" s="121">
        <f t="shared" si="887"/>
        <v>0</v>
      </c>
      <c r="Q2284" s="121">
        <f t="shared" si="888"/>
        <v>0</v>
      </c>
      <c r="R2284" s="121">
        <f t="shared" si="889"/>
        <v>0.41666666666666669</v>
      </c>
      <c r="S2284" s="121" t="str">
        <f t="shared" si="890"/>
        <v/>
      </c>
      <c r="T2284" s="121" t="str">
        <f t="shared" si="891"/>
        <v/>
      </c>
      <c r="U2284" s="121">
        <f t="shared" si="892"/>
        <v>1.02</v>
      </c>
    </row>
    <row r="2285" spans="1:21" x14ac:dyDescent="0.3">
      <c r="A2285" s="187">
        <v>47</v>
      </c>
      <c r="B2285" s="242">
        <f t="shared" si="893"/>
        <v>47058</v>
      </c>
      <c r="C2285" s="243">
        <f t="shared" si="874"/>
        <v>47087</v>
      </c>
      <c r="D2285" s="120">
        <f t="shared" si="875"/>
        <v>30</v>
      </c>
      <c r="E2285" s="120">
        <f t="shared" si="876"/>
        <v>11</v>
      </c>
      <c r="F2285" s="275">
        <f t="shared" si="877"/>
        <v>47073</v>
      </c>
      <c r="G2285" s="120">
        <f t="shared" si="878"/>
        <v>24346</v>
      </c>
      <c r="H2285" s="245">
        <f t="shared" si="879"/>
        <v>1</v>
      </c>
      <c r="I2285" s="121">
        <f t="shared" si="880"/>
        <v>1.02</v>
      </c>
      <c r="J2285" s="121">
        <f t="shared" si="881"/>
        <v>1.02</v>
      </c>
      <c r="K2285" s="120">
        <f t="shared" si="882"/>
        <v>0</v>
      </c>
      <c r="L2285" s="120">
        <f t="shared" si="883"/>
        <v>0</v>
      </c>
      <c r="M2285" s="246">
        <f t="shared" si="884"/>
        <v>0</v>
      </c>
      <c r="N2285" s="121">
        <f t="shared" si="885"/>
        <v>1.02</v>
      </c>
      <c r="O2285" s="246">
        <f t="shared" si="886"/>
        <v>0.90500000000000003</v>
      </c>
      <c r="P2285" s="121">
        <f t="shared" si="887"/>
        <v>0</v>
      </c>
      <c r="Q2285" s="121">
        <f t="shared" si="888"/>
        <v>0</v>
      </c>
      <c r="R2285" s="121">
        <f t="shared" si="889"/>
        <v>0.25</v>
      </c>
      <c r="S2285" s="121" t="str">
        <f t="shared" si="890"/>
        <v/>
      </c>
      <c r="T2285" s="121" t="str">
        <f t="shared" si="891"/>
        <v/>
      </c>
      <c r="U2285" s="121">
        <f t="shared" si="892"/>
        <v>1.02</v>
      </c>
    </row>
    <row r="2286" spans="1:21" x14ac:dyDescent="0.3">
      <c r="A2286" s="187">
        <v>48</v>
      </c>
      <c r="B2286" s="242">
        <f t="shared" si="893"/>
        <v>47088</v>
      </c>
      <c r="C2286" s="243">
        <f t="shared" si="874"/>
        <v>47118</v>
      </c>
      <c r="D2286" s="120">
        <f t="shared" si="875"/>
        <v>31</v>
      </c>
      <c r="E2286" s="120">
        <f t="shared" si="876"/>
        <v>12</v>
      </c>
      <c r="F2286" s="275">
        <f t="shared" si="877"/>
        <v>47103.5</v>
      </c>
      <c r="G2286" s="120">
        <f t="shared" si="878"/>
        <v>24347</v>
      </c>
      <c r="H2286" s="245">
        <f t="shared" si="879"/>
        <v>1</v>
      </c>
      <c r="I2286" s="121">
        <f t="shared" si="880"/>
        <v>1.02</v>
      </c>
      <c r="J2286" s="121">
        <f t="shared" si="881"/>
        <v>1.02</v>
      </c>
      <c r="K2286" s="120">
        <f t="shared" si="882"/>
        <v>0</v>
      </c>
      <c r="L2286" s="120">
        <f t="shared" si="883"/>
        <v>0</v>
      </c>
      <c r="M2286" s="246">
        <f t="shared" si="884"/>
        <v>0</v>
      </c>
      <c r="N2286" s="121">
        <f t="shared" si="885"/>
        <v>1.02</v>
      </c>
      <c r="O2286" s="246">
        <f t="shared" si="886"/>
        <v>0.90500000000000003</v>
      </c>
      <c r="P2286" s="121">
        <f t="shared" si="887"/>
        <v>0</v>
      </c>
      <c r="Q2286" s="121">
        <f t="shared" si="888"/>
        <v>0</v>
      </c>
      <c r="R2286" s="121">
        <f t="shared" si="889"/>
        <v>8.3333333333333329E-2</v>
      </c>
      <c r="S2286" s="121" t="str">
        <f t="shared" si="890"/>
        <v/>
      </c>
      <c r="T2286" s="121" t="str">
        <f t="shared" si="891"/>
        <v/>
      </c>
      <c r="U2286" s="121">
        <f t="shared" si="892"/>
        <v>1.02</v>
      </c>
    </row>
    <row r="2287" spans="1:21" x14ac:dyDescent="0.3">
      <c r="A2287" s="6" t="s">
        <v>1651</v>
      </c>
      <c r="B2287" s="73">
        <f>EXP(SUMPRODUCT((rl_key=$A$2236)*(rl_cons="Y")*rl_ln1p))</f>
        <v>1.02</v>
      </c>
      <c r="C2287" s="73">
        <f>SUMPRODUCT($H$2239:$H$2286,$P$2239:$P$2286,$U$2239:$U$2286)/SUMPRODUCT($H$2239:$H$2286,$P$2239:$P$2286)</f>
        <v>1.0083333333333335</v>
      </c>
      <c r="D2287" s="73">
        <f>SUMPRODUCT($H$2239:$H$2286,$Q$2239:$Q$2286,$U$2239:$U$2286)/SUMPRODUCT($H$2239:$H$2286,$Q$2239:$Q$2286)</f>
        <v>1.0200000000000002</v>
      </c>
      <c r="E2287" s="73">
        <f>SUMPRODUCT($H$2239:$H$2286,$R$2239:$R$2286,$U$2239:$U$2286)/SUMPRODUCT($H$2239:$H$2286,$R$2239:$R$2286)</f>
        <v>1.0200000000000002</v>
      </c>
      <c r="F2287" s="224">
        <f>SUMPRODUCT($H$2239:$H$2286,$Q$2239:$Q$2286,$O$2239:$O$2286)/SUMPRODUCT($H$2239:$H$2286,$Q$2239:$Q$2286)</f>
        <v>0.9080037381473377</v>
      </c>
      <c r="G2287" s="224">
        <f>SUMPRODUCT($H$2239:$H$2286,$R$2239:$R$2286,$O$2239:$O$2286)/SUMPRODUCT($H$2239:$H$2286,$R$2239:$R$2286)</f>
        <v>0.90516988815949428</v>
      </c>
      <c r="H2287" s="73">
        <f>SUMPRODUCT($H$2263:$H$2274,$N$2263:$N$2274/$N$2251:$N$2262)/SUM($H$2263:$H$2274)</f>
        <v>1.0066666666666666</v>
      </c>
      <c r="I2287" s="73">
        <f>SUMPRODUCT($H$2263:$H$2274,$O$2263:$O$2274/$O$2251:$O$2262)/SUM($H$2263:$H$2274)</f>
        <v>0.99561641381999111</v>
      </c>
      <c r="J2287" s="73">
        <f>IF($O$2236=1,SUMPRODUCT($H$2263:$H$2274,$N$2263:$N$2274/$N$2251:$N$2262*$O$2263:$O$2274/$O$2251:$O$2262)/SUM($H$2263:$H$2274),$H2287)</f>
        <v>1.0022538992746963</v>
      </c>
      <c r="K2287" s="73">
        <f>SUMPRODUCT($H$2239:$H$2286,$Q$2239:$Q$2286,$N$2239:$N$2286)/SUMPRODUCT($H$2239:$H$2286,$Q$2239:$Q$2286)</f>
        <v>1.0200000000000002</v>
      </c>
      <c r="L2287" s="73">
        <f>SUMPRODUCT($H$2239:$H$2286,$R$2239:$R$2286,$N$2239:$N$2286)/SUMPRODUCT($H$2239:$H$2286,$R$2239:$R$2286)</f>
        <v>1.0200000000000002</v>
      </c>
    </row>
    <row r="2290" spans="1:21" x14ac:dyDescent="0.3">
      <c r="A2290" s="6" t="str">
        <f>INDEX(lr_key,42)</f>
        <v>MM|WI</v>
      </c>
      <c r="B2290" s="6" t="str">
        <f>INDEX(lr_state,42)</f>
        <v>WI</v>
      </c>
      <c r="C2290" s="75">
        <f>nr_TermMonths</f>
        <v>6</v>
      </c>
      <c r="D2290" s="75">
        <f>IF(COUNTIF(se_state,$B2290)=0,0,MATCH($B2290,se_state,0))</f>
        <v>0</v>
      </c>
      <c r="E2290" s="70">
        <f>IF($D2290=0,0,INDEX(se_sum,$D2290))</f>
        <v>0</v>
      </c>
      <c r="F2290" s="224">
        <f>IF(N(INDEX(lr_mind,42))=0,1,INDEX(lr_mind,42))</f>
        <v>0.92</v>
      </c>
      <c r="G2290" s="224">
        <f>IF(N(INDEX(lr_m0,42))=0,1,INDEX(lr_m0,42))</f>
        <v>0.91</v>
      </c>
      <c r="H2290" s="74">
        <f>IF(N(INDEX(lr_m0asof,42))=0,DATE(nr_PlanYear-1,10,1),INDEX(lr_m0asof,42))</f>
        <v>46295</v>
      </c>
      <c r="I2290" s="224">
        <f>IF(N(INDEX(lr_m1,42))=0,1,INDEX(lr_m1,42))</f>
        <v>0.92</v>
      </c>
      <c r="J2290" s="224">
        <f>INDEX(lr_mprior,42)</f>
        <v>0</v>
      </c>
      <c r="K2290" s="224">
        <f>INDEX(lr_m2,42)</f>
        <v>0</v>
      </c>
      <c r="L2290" s="6" t="b">
        <f>NOT(ISBLANK(INDEX(lr_netp,42)))</f>
        <v>0</v>
      </c>
      <c r="M2290" s="72">
        <f>N(INDEX(lr_netp,42))</f>
        <v>0</v>
      </c>
      <c r="N2290" s="72">
        <f>IF(ISBLANK(INDEX(lr_netp1,42)),$M$2290,N(INDEX(lr_netp1,42)))</f>
        <v>0</v>
      </c>
      <c r="O2290" s="75">
        <f>IF(AND(nr_ModAdjMaster="ON",INDEX(lr_modadj,42)="ON"),1,0)</f>
        <v>1</v>
      </c>
    </row>
    <row r="2291" spans="1:21" x14ac:dyDescent="0.3">
      <c r="A2291" s="6">
        <f>EDATE($H$2290,-12)+1</f>
        <v>45931</v>
      </c>
      <c r="B2291" s="6">
        <f>$H$2290+1</f>
        <v>46296</v>
      </c>
      <c r="C2291" s="6">
        <f>DATE(nr_PlanYear,12,31)+1</f>
        <v>46753</v>
      </c>
      <c r="D2291" s="6">
        <f>DATE(nr_PlanYear+1,12,31)+1</f>
        <v>47119</v>
      </c>
      <c r="E2291" s="6">
        <f>IF(N($J$2290)=0,$F$2291-($G$2291-$F$2291)/($C$2291-$B$2291)*($B$2291-$A$2291),$J$2290)</f>
        <v>0.9020131291028447</v>
      </c>
      <c r="F2291" s="6">
        <f>$G$2290</f>
        <v>0.91</v>
      </c>
      <c r="G2291" s="6">
        <f>$I$2290</f>
        <v>0.92</v>
      </c>
      <c r="H2291" s="6">
        <f>IF(N($K$2290)=0,$I$2290,$K$2290)</f>
        <v>0.92</v>
      </c>
      <c r="I2291" s="6">
        <f>($F$2291-$E$2291)/($B$2291-$A$2291)</f>
        <v>2.1881838074398162E-5</v>
      </c>
      <c r="J2291" s="6">
        <f>($G$2291-$F$2291)/($C$2291-$B$2291)</f>
        <v>2.188183807439827E-5</v>
      </c>
      <c r="K2291" s="6">
        <f>($H$2291-$G$2291)/($D$2291-$C$2291)</f>
        <v>0</v>
      </c>
    </row>
    <row r="2292" spans="1:21" ht="36" x14ac:dyDescent="0.3">
      <c r="A2292" s="58" t="s">
        <v>390</v>
      </c>
      <c r="B2292" s="58" t="s">
        <v>449</v>
      </c>
      <c r="C2292" s="58" t="s">
        <v>685</v>
      </c>
      <c r="D2292" s="58" t="s">
        <v>686</v>
      </c>
      <c r="E2292" s="58" t="s">
        <v>687</v>
      </c>
      <c r="F2292" s="58" t="s">
        <v>688</v>
      </c>
      <c r="G2292" s="58" t="s">
        <v>689</v>
      </c>
      <c r="H2292" s="58" t="s">
        <v>452</v>
      </c>
      <c r="I2292" s="58" t="s">
        <v>690</v>
      </c>
      <c r="J2292" s="58" t="s">
        <v>691</v>
      </c>
      <c r="K2292" s="58" t="s">
        <v>692</v>
      </c>
      <c r="L2292" s="58" t="s">
        <v>693</v>
      </c>
      <c r="M2292" s="58" t="s">
        <v>694</v>
      </c>
      <c r="N2292" s="58" t="s">
        <v>695</v>
      </c>
      <c r="O2292" s="58" t="s">
        <v>696</v>
      </c>
      <c r="P2292" s="58" t="s">
        <v>697</v>
      </c>
      <c r="Q2292" s="58" t="s">
        <v>698</v>
      </c>
      <c r="R2292" s="58" t="s">
        <v>699</v>
      </c>
      <c r="S2292" s="58" t="s">
        <v>700</v>
      </c>
      <c r="T2292" s="58" t="s">
        <v>701</v>
      </c>
      <c r="U2292" s="58" t="s">
        <v>702</v>
      </c>
    </row>
    <row r="2293" spans="1:21" x14ac:dyDescent="0.3">
      <c r="A2293" s="187">
        <v>1</v>
      </c>
      <c r="B2293" s="242">
        <f>DATE(nr_PlanYear-2,1,1)</f>
        <v>45658</v>
      </c>
      <c r="C2293" s="243">
        <f t="shared" ref="C2293:C2340" si="894">EOMONTH($B2293,0)</f>
        <v>45688</v>
      </c>
      <c r="D2293" s="120">
        <f t="shared" ref="D2293:D2340" si="895">$C2293-$B2293+1</f>
        <v>31</v>
      </c>
      <c r="E2293" s="120">
        <f t="shared" ref="E2293:E2340" si="896">MONTH($B2293)</f>
        <v>1</v>
      </c>
      <c r="F2293" s="275">
        <f t="shared" ref="F2293:F2340" si="897">($B2293+$C2293+1)/2</f>
        <v>45673.5</v>
      </c>
      <c r="G2293" s="120">
        <f t="shared" ref="G2293:G2340" si="898">YEAR($B2293)*12+MONTH($B2293)-1</f>
        <v>24300</v>
      </c>
      <c r="H2293" s="245">
        <f t="shared" ref="H2293:H2340" si="899">IF(OR(nr_SeasonOn="OFF",$D$2290=0,$E$2290=0),1,12*INDEX(se_block,$D$2290,$E2293)/$E$2290)</f>
        <v>1</v>
      </c>
      <c r="I2293" s="121">
        <f t="shared" ref="I2293:I2340" si="900">EXP(SUMPRODUCT((rl_eff&lt;$B2293)*(rl_key=$A$2290)*rl_ln1p))</f>
        <v>1</v>
      </c>
      <c r="J2293" s="121">
        <f t="shared" ref="J2293:J2340" si="901">EXP(SUMPRODUCT((rl_eff&lt;=$C2293)*(rl_key=$A$2290)*rl_ln1p))</f>
        <v>1</v>
      </c>
      <c r="K2293" s="120">
        <f t="shared" ref="K2293:K2340" si="902">COUNTIFS(rl_key,$A$2290,rl_eff,"&gt;="&amp;$B2293,rl_eff,"&lt;="&amp;$C2293)</f>
        <v>0</v>
      </c>
      <c r="L2293" s="120">
        <f t="shared" ref="L2293:L2340" si="903">SUMIFS(rl_daysafter,rl_key,$A$2290,rl_effmonth,$B2293,rl_first,1)</f>
        <v>0</v>
      </c>
      <c r="M2293" s="246">
        <f t="shared" ref="M2293:M2340" si="904">IF($K2293=0,0,MIN(1,$L2293/$D2293))</f>
        <v>0</v>
      </c>
      <c r="N2293" s="121">
        <f t="shared" ref="N2293:N2340" si="905">IF($K2293=0,$J2293,(1-$M2293)*$I2293+$M2293*$J2293)</f>
        <v>1</v>
      </c>
      <c r="O2293" s="246">
        <f t="shared" ref="O2293:O2340" si="906">IF($F2293&lt;$B$2291,$E$2291+$I$2291*($F2293-$A$2291),IF($F2293&lt;$C$2291,$F$2291+$J$2291*($F2293-$B$2291),$G$2291+$K$2291*($F2293-$C$2291)))</f>
        <v>0.89637855579868719</v>
      </c>
      <c r="P2293" s="121">
        <f t="shared" ref="P2293:P2340" si="907">MIN(1,MAX(0,(nr_MEndPm1-$G2293+0.5)/$C$2290))-MIN(1,MAX(0,(nr_MStartPm1-1-$G2293+0.5)/$C$2290))</f>
        <v>0</v>
      </c>
      <c r="Q2293" s="121">
        <f t="shared" ref="Q2293:Q2340" si="908">MIN(1,MAX(0,(nr_MEndP-$G2293+0.5)/$C$2290))-MIN(1,MAX(0,(nr_MStartP-1-$G2293+0.5)/$C$2290))</f>
        <v>0</v>
      </c>
      <c r="R2293" s="121">
        <f t="shared" ref="R2293:R2340" si="909">MIN(1,MAX(0,(nr_MEndP1-$G2293+0.5)/$C$2290))-MIN(1,MAX(0,(nr_MStartP1-1-$G2293+0.5)/$C$2290))</f>
        <v>0</v>
      </c>
      <c r="S2293" s="121" t="str">
        <f t="shared" ref="S2293:S2340" si="910">IF($L$2290,$N2293*IF($O$2290=1,$O2293/$F$2290,1),"")</f>
        <v/>
      </c>
      <c r="T2293" s="121" t="str">
        <f t="shared" ref="T2293:T2340" si="911">IF(NOT($L$2290),"",IF($G2293&lt;nr_MStartP,$S2293,$T2281*(1+IF($G2293&lt;nr_MStartP1,$M$2290,$N$2290))))</f>
        <v/>
      </c>
      <c r="U2293" s="121">
        <f t="shared" ref="U2293:U2340" si="912">IF($L$2290,$T2293,$N2293)</f>
        <v>1</v>
      </c>
    </row>
    <row r="2294" spans="1:21" x14ac:dyDescent="0.3">
      <c r="A2294" s="187">
        <v>2</v>
      </c>
      <c r="B2294" s="242">
        <f t="shared" ref="B2294:B2340" si="913">EDATE($B2293,1)</f>
        <v>45689</v>
      </c>
      <c r="C2294" s="243">
        <f t="shared" si="894"/>
        <v>45716</v>
      </c>
      <c r="D2294" s="120">
        <f t="shared" si="895"/>
        <v>28</v>
      </c>
      <c r="E2294" s="120">
        <f t="shared" si="896"/>
        <v>2</v>
      </c>
      <c r="F2294" s="275">
        <f t="shared" si="897"/>
        <v>45703</v>
      </c>
      <c r="G2294" s="120">
        <f t="shared" si="898"/>
        <v>24301</v>
      </c>
      <c r="H2294" s="245">
        <f t="shared" si="899"/>
        <v>1</v>
      </c>
      <c r="I2294" s="121">
        <f t="shared" si="900"/>
        <v>1</v>
      </c>
      <c r="J2294" s="121">
        <f t="shared" si="901"/>
        <v>1</v>
      </c>
      <c r="K2294" s="120">
        <f t="shared" si="902"/>
        <v>0</v>
      </c>
      <c r="L2294" s="120">
        <f t="shared" si="903"/>
        <v>0</v>
      </c>
      <c r="M2294" s="246">
        <f t="shared" si="904"/>
        <v>0</v>
      </c>
      <c r="N2294" s="121">
        <f t="shared" si="905"/>
        <v>1</v>
      </c>
      <c r="O2294" s="246">
        <f t="shared" si="906"/>
        <v>0.89702407002188189</v>
      </c>
      <c r="P2294" s="121">
        <f t="shared" si="907"/>
        <v>0</v>
      </c>
      <c r="Q2294" s="121">
        <f t="shared" si="908"/>
        <v>0</v>
      </c>
      <c r="R2294" s="121">
        <f t="shared" si="909"/>
        <v>0</v>
      </c>
      <c r="S2294" s="121" t="str">
        <f t="shared" si="910"/>
        <v/>
      </c>
      <c r="T2294" s="121" t="str">
        <f t="shared" si="911"/>
        <v/>
      </c>
      <c r="U2294" s="121">
        <f t="shared" si="912"/>
        <v>1</v>
      </c>
    </row>
    <row r="2295" spans="1:21" x14ac:dyDescent="0.3">
      <c r="A2295" s="187">
        <v>3</v>
      </c>
      <c r="B2295" s="242">
        <f t="shared" si="913"/>
        <v>45717</v>
      </c>
      <c r="C2295" s="243">
        <f t="shared" si="894"/>
        <v>45747</v>
      </c>
      <c r="D2295" s="120">
        <f t="shared" si="895"/>
        <v>31</v>
      </c>
      <c r="E2295" s="120">
        <f t="shared" si="896"/>
        <v>3</v>
      </c>
      <c r="F2295" s="275">
        <f t="shared" si="897"/>
        <v>45732.5</v>
      </c>
      <c r="G2295" s="120">
        <f t="shared" si="898"/>
        <v>24302</v>
      </c>
      <c r="H2295" s="245">
        <f t="shared" si="899"/>
        <v>1</v>
      </c>
      <c r="I2295" s="121">
        <f t="shared" si="900"/>
        <v>1</v>
      </c>
      <c r="J2295" s="121">
        <f t="shared" si="901"/>
        <v>1</v>
      </c>
      <c r="K2295" s="120">
        <f t="shared" si="902"/>
        <v>0</v>
      </c>
      <c r="L2295" s="120">
        <f t="shared" si="903"/>
        <v>0</v>
      </c>
      <c r="M2295" s="246">
        <f t="shared" si="904"/>
        <v>0</v>
      </c>
      <c r="N2295" s="121">
        <f t="shared" si="905"/>
        <v>1</v>
      </c>
      <c r="O2295" s="246">
        <f t="shared" si="906"/>
        <v>0.8976695842450767</v>
      </c>
      <c r="P2295" s="121">
        <f t="shared" si="907"/>
        <v>0</v>
      </c>
      <c r="Q2295" s="121">
        <f t="shared" si="908"/>
        <v>0</v>
      </c>
      <c r="R2295" s="121">
        <f t="shared" si="909"/>
        <v>0</v>
      </c>
      <c r="S2295" s="121" t="str">
        <f t="shared" si="910"/>
        <v/>
      </c>
      <c r="T2295" s="121" t="str">
        <f t="shared" si="911"/>
        <v/>
      </c>
      <c r="U2295" s="121">
        <f t="shared" si="912"/>
        <v>1</v>
      </c>
    </row>
    <row r="2296" spans="1:21" x14ac:dyDescent="0.3">
      <c r="A2296" s="187">
        <v>4</v>
      </c>
      <c r="B2296" s="242">
        <f t="shared" si="913"/>
        <v>45748</v>
      </c>
      <c r="C2296" s="243">
        <f t="shared" si="894"/>
        <v>45777</v>
      </c>
      <c r="D2296" s="120">
        <f t="shared" si="895"/>
        <v>30</v>
      </c>
      <c r="E2296" s="120">
        <f t="shared" si="896"/>
        <v>4</v>
      </c>
      <c r="F2296" s="275">
        <f t="shared" si="897"/>
        <v>45763</v>
      </c>
      <c r="G2296" s="120">
        <f t="shared" si="898"/>
        <v>24303</v>
      </c>
      <c r="H2296" s="245">
        <f t="shared" si="899"/>
        <v>1</v>
      </c>
      <c r="I2296" s="121">
        <f t="shared" si="900"/>
        <v>1</v>
      </c>
      <c r="J2296" s="121">
        <f t="shared" si="901"/>
        <v>1</v>
      </c>
      <c r="K2296" s="120">
        <f t="shared" si="902"/>
        <v>0</v>
      </c>
      <c r="L2296" s="120">
        <f t="shared" si="903"/>
        <v>0</v>
      </c>
      <c r="M2296" s="246">
        <f t="shared" si="904"/>
        <v>0</v>
      </c>
      <c r="N2296" s="121">
        <f t="shared" si="905"/>
        <v>1</v>
      </c>
      <c r="O2296" s="246">
        <f t="shared" si="906"/>
        <v>0.89833698030634579</v>
      </c>
      <c r="P2296" s="121">
        <f t="shared" si="907"/>
        <v>0</v>
      </c>
      <c r="Q2296" s="121">
        <f t="shared" si="908"/>
        <v>0</v>
      </c>
      <c r="R2296" s="121">
        <f t="shared" si="909"/>
        <v>0</v>
      </c>
      <c r="S2296" s="121" t="str">
        <f t="shared" si="910"/>
        <v/>
      </c>
      <c r="T2296" s="121" t="str">
        <f t="shared" si="911"/>
        <v/>
      </c>
      <c r="U2296" s="121">
        <f t="shared" si="912"/>
        <v>1</v>
      </c>
    </row>
    <row r="2297" spans="1:21" x14ac:dyDescent="0.3">
      <c r="A2297" s="187">
        <v>5</v>
      </c>
      <c r="B2297" s="242">
        <f t="shared" si="913"/>
        <v>45778</v>
      </c>
      <c r="C2297" s="243">
        <f t="shared" si="894"/>
        <v>45808</v>
      </c>
      <c r="D2297" s="120">
        <f t="shared" si="895"/>
        <v>31</v>
      </c>
      <c r="E2297" s="120">
        <f t="shared" si="896"/>
        <v>5</v>
      </c>
      <c r="F2297" s="275">
        <f t="shared" si="897"/>
        <v>45793.5</v>
      </c>
      <c r="G2297" s="120">
        <f t="shared" si="898"/>
        <v>24304</v>
      </c>
      <c r="H2297" s="245">
        <f t="shared" si="899"/>
        <v>1</v>
      </c>
      <c r="I2297" s="121">
        <f t="shared" si="900"/>
        <v>1</v>
      </c>
      <c r="J2297" s="121">
        <f t="shared" si="901"/>
        <v>1</v>
      </c>
      <c r="K2297" s="120">
        <f t="shared" si="902"/>
        <v>0</v>
      </c>
      <c r="L2297" s="120">
        <f t="shared" si="903"/>
        <v>0</v>
      </c>
      <c r="M2297" s="246">
        <f t="shared" si="904"/>
        <v>0</v>
      </c>
      <c r="N2297" s="121">
        <f t="shared" si="905"/>
        <v>1</v>
      </c>
      <c r="O2297" s="246">
        <f t="shared" si="906"/>
        <v>0.89900437636761499</v>
      </c>
      <c r="P2297" s="121">
        <f t="shared" si="907"/>
        <v>0</v>
      </c>
      <c r="Q2297" s="121">
        <f t="shared" si="908"/>
        <v>0</v>
      </c>
      <c r="R2297" s="121">
        <f t="shared" si="909"/>
        <v>0</v>
      </c>
      <c r="S2297" s="121" t="str">
        <f t="shared" si="910"/>
        <v/>
      </c>
      <c r="T2297" s="121" t="str">
        <f t="shared" si="911"/>
        <v/>
      </c>
      <c r="U2297" s="121">
        <f t="shared" si="912"/>
        <v>1</v>
      </c>
    </row>
    <row r="2298" spans="1:21" x14ac:dyDescent="0.3">
      <c r="A2298" s="187">
        <v>6</v>
      </c>
      <c r="B2298" s="242">
        <f t="shared" si="913"/>
        <v>45809</v>
      </c>
      <c r="C2298" s="243">
        <f t="shared" si="894"/>
        <v>45838</v>
      </c>
      <c r="D2298" s="120">
        <f t="shared" si="895"/>
        <v>30</v>
      </c>
      <c r="E2298" s="120">
        <f t="shared" si="896"/>
        <v>6</v>
      </c>
      <c r="F2298" s="275">
        <f t="shared" si="897"/>
        <v>45824</v>
      </c>
      <c r="G2298" s="120">
        <f t="shared" si="898"/>
        <v>24305</v>
      </c>
      <c r="H2298" s="245">
        <f t="shared" si="899"/>
        <v>1</v>
      </c>
      <c r="I2298" s="121">
        <f t="shared" si="900"/>
        <v>1</v>
      </c>
      <c r="J2298" s="121">
        <f t="shared" si="901"/>
        <v>1</v>
      </c>
      <c r="K2298" s="120">
        <f t="shared" si="902"/>
        <v>0</v>
      </c>
      <c r="L2298" s="120">
        <f t="shared" si="903"/>
        <v>0</v>
      </c>
      <c r="M2298" s="246">
        <f t="shared" si="904"/>
        <v>0</v>
      </c>
      <c r="N2298" s="121">
        <f t="shared" si="905"/>
        <v>1</v>
      </c>
      <c r="O2298" s="246">
        <f t="shared" si="906"/>
        <v>0.89967177242888408</v>
      </c>
      <c r="P2298" s="121">
        <f t="shared" si="907"/>
        <v>0</v>
      </c>
      <c r="Q2298" s="121">
        <f t="shared" si="908"/>
        <v>0</v>
      </c>
      <c r="R2298" s="121">
        <f t="shared" si="909"/>
        <v>0</v>
      </c>
      <c r="S2298" s="121" t="str">
        <f t="shared" si="910"/>
        <v/>
      </c>
      <c r="T2298" s="121" t="str">
        <f t="shared" si="911"/>
        <v/>
      </c>
      <c r="U2298" s="121">
        <f t="shared" si="912"/>
        <v>1</v>
      </c>
    </row>
    <row r="2299" spans="1:21" x14ac:dyDescent="0.3">
      <c r="A2299" s="187">
        <v>7</v>
      </c>
      <c r="B2299" s="242">
        <f t="shared" si="913"/>
        <v>45839</v>
      </c>
      <c r="C2299" s="243">
        <f t="shared" si="894"/>
        <v>45869</v>
      </c>
      <c r="D2299" s="120">
        <f t="shared" si="895"/>
        <v>31</v>
      </c>
      <c r="E2299" s="120">
        <f t="shared" si="896"/>
        <v>7</v>
      </c>
      <c r="F2299" s="275">
        <f t="shared" si="897"/>
        <v>45854.5</v>
      </c>
      <c r="G2299" s="120">
        <f t="shared" si="898"/>
        <v>24306</v>
      </c>
      <c r="H2299" s="245">
        <f t="shared" si="899"/>
        <v>1</v>
      </c>
      <c r="I2299" s="121">
        <f t="shared" si="900"/>
        <v>1</v>
      </c>
      <c r="J2299" s="121">
        <f t="shared" si="901"/>
        <v>1</v>
      </c>
      <c r="K2299" s="120">
        <f t="shared" si="902"/>
        <v>0</v>
      </c>
      <c r="L2299" s="120">
        <f t="shared" si="903"/>
        <v>0</v>
      </c>
      <c r="M2299" s="246">
        <f t="shared" si="904"/>
        <v>0</v>
      </c>
      <c r="N2299" s="121">
        <f t="shared" si="905"/>
        <v>1</v>
      </c>
      <c r="O2299" s="246">
        <f t="shared" si="906"/>
        <v>0.90033916849015327</v>
      </c>
      <c r="P2299" s="121">
        <f t="shared" si="907"/>
        <v>8.333333333333337E-2</v>
      </c>
      <c r="Q2299" s="121">
        <f t="shared" si="908"/>
        <v>0</v>
      </c>
      <c r="R2299" s="121">
        <f t="shared" si="909"/>
        <v>0</v>
      </c>
      <c r="S2299" s="121" t="str">
        <f t="shared" si="910"/>
        <v/>
      </c>
      <c r="T2299" s="121" t="str">
        <f t="shared" si="911"/>
        <v/>
      </c>
      <c r="U2299" s="121">
        <f t="shared" si="912"/>
        <v>1</v>
      </c>
    </row>
    <row r="2300" spans="1:21" x14ac:dyDescent="0.3">
      <c r="A2300" s="187">
        <v>8</v>
      </c>
      <c r="B2300" s="242">
        <f t="shared" si="913"/>
        <v>45870</v>
      </c>
      <c r="C2300" s="243">
        <f t="shared" si="894"/>
        <v>45900</v>
      </c>
      <c r="D2300" s="120">
        <f t="shared" si="895"/>
        <v>31</v>
      </c>
      <c r="E2300" s="120">
        <f t="shared" si="896"/>
        <v>8</v>
      </c>
      <c r="F2300" s="275">
        <f t="shared" si="897"/>
        <v>45885.5</v>
      </c>
      <c r="G2300" s="120">
        <f t="shared" si="898"/>
        <v>24307</v>
      </c>
      <c r="H2300" s="245">
        <f t="shared" si="899"/>
        <v>1</v>
      </c>
      <c r="I2300" s="121">
        <f t="shared" si="900"/>
        <v>1</v>
      </c>
      <c r="J2300" s="121">
        <f t="shared" si="901"/>
        <v>1</v>
      </c>
      <c r="K2300" s="120">
        <f t="shared" si="902"/>
        <v>0</v>
      </c>
      <c r="L2300" s="120">
        <f t="shared" si="903"/>
        <v>0</v>
      </c>
      <c r="M2300" s="246">
        <f t="shared" si="904"/>
        <v>0</v>
      </c>
      <c r="N2300" s="121">
        <f t="shared" si="905"/>
        <v>1</v>
      </c>
      <c r="O2300" s="246">
        <f t="shared" si="906"/>
        <v>0.90101750547045956</v>
      </c>
      <c r="P2300" s="121">
        <f t="shared" si="907"/>
        <v>0.25</v>
      </c>
      <c r="Q2300" s="121">
        <f t="shared" si="908"/>
        <v>0</v>
      </c>
      <c r="R2300" s="121">
        <f t="shared" si="909"/>
        <v>0</v>
      </c>
      <c r="S2300" s="121" t="str">
        <f t="shared" si="910"/>
        <v/>
      </c>
      <c r="T2300" s="121" t="str">
        <f t="shared" si="911"/>
        <v/>
      </c>
      <c r="U2300" s="121">
        <f t="shared" si="912"/>
        <v>1</v>
      </c>
    </row>
    <row r="2301" spans="1:21" x14ac:dyDescent="0.3">
      <c r="A2301" s="187">
        <v>9</v>
      </c>
      <c r="B2301" s="242">
        <f t="shared" si="913"/>
        <v>45901</v>
      </c>
      <c r="C2301" s="243">
        <f t="shared" si="894"/>
        <v>45930</v>
      </c>
      <c r="D2301" s="120">
        <f t="shared" si="895"/>
        <v>30</v>
      </c>
      <c r="E2301" s="120">
        <f t="shared" si="896"/>
        <v>9</v>
      </c>
      <c r="F2301" s="275">
        <f t="shared" si="897"/>
        <v>45916</v>
      </c>
      <c r="G2301" s="120">
        <f t="shared" si="898"/>
        <v>24308</v>
      </c>
      <c r="H2301" s="245">
        <f t="shared" si="899"/>
        <v>1</v>
      </c>
      <c r="I2301" s="121">
        <f t="shared" si="900"/>
        <v>1</v>
      </c>
      <c r="J2301" s="121">
        <f t="shared" si="901"/>
        <v>1</v>
      </c>
      <c r="K2301" s="120">
        <f t="shared" si="902"/>
        <v>0</v>
      </c>
      <c r="L2301" s="120">
        <f t="shared" si="903"/>
        <v>0</v>
      </c>
      <c r="M2301" s="246">
        <f t="shared" si="904"/>
        <v>0</v>
      </c>
      <c r="N2301" s="121">
        <f t="shared" si="905"/>
        <v>1</v>
      </c>
      <c r="O2301" s="246">
        <f t="shared" si="906"/>
        <v>0.90168490153172876</v>
      </c>
      <c r="P2301" s="121">
        <f t="shared" si="907"/>
        <v>0.41666666666666663</v>
      </c>
      <c r="Q2301" s="121">
        <f t="shared" si="908"/>
        <v>0</v>
      </c>
      <c r="R2301" s="121">
        <f t="shared" si="909"/>
        <v>0</v>
      </c>
      <c r="S2301" s="121" t="str">
        <f t="shared" si="910"/>
        <v/>
      </c>
      <c r="T2301" s="121" t="str">
        <f t="shared" si="911"/>
        <v/>
      </c>
      <c r="U2301" s="121">
        <f t="shared" si="912"/>
        <v>1</v>
      </c>
    </row>
    <row r="2302" spans="1:21" x14ac:dyDescent="0.3">
      <c r="A2302" s="187">
        <v>10</v>
      </c>
      <c r="B2302" s="242">
        <f t="shared" si="913"/>
        <v>45931</v>
      </c>
      <c r="C2302" s="243">
        <f t="shared" si="894"/>
        <v>45961</v>
      </c>
      <c r="D2302" s="120">
        <f t="shared" si="895"/>
        <v>31</v>
      </c>
      <c r="E2302" s="120">
        <f t="shared" si="896"/>
        <v>10</v>
      </c>
      <c r="F2302" s="275">
        <f t="shared" si="897"/>
        <v>45946.5</v>
      </c>
      <c r="G2302" s="120">
        <f t="shared" si="898"/>
        <v>24309</v>
      </c>
      <c r="H2302" s="245">
        <f t="shared" si="899"/>
        <v>1</v>
      </c>
      <c r="I2302" s="121">
        <f t="shared" si="900"/>
        <v>1</v>
      </c>
      <c r="J2302" s="121">
        <f t="shared" si="901"/>
        <v>1</v>
      </c>
      <c r="K2302" s="120">
        <f t="shared" si="902"/>
        <v>0</v>
      </c>
      <c r="L2302" s="120">
        <f t="shared" si="903"/>
        <v>0</v>
      </c>
      <c r="M2302" s="246">
        <f t="shared" si="904"/>
        <v>0</v>
      </c>
      <c r="N2302" s="121">
        <f t="shared" si="905"/>
        <v>1</v>
      </c>
      <c r="O2302" s="246">
        <f t="shared" si="906"/>
        <v>0.90235229759299784</v>
      </c>
      <c r="P2302" s="121">
        <f t="shared" si="907"/>
        <v>0.58333333333333326</v>
      </c>
      <c r="Q2302" s="121">
        <f t="shared" si="908"/>
        <v>0</v>
      </c>
      <c r="R2302" s="121">
        <f t="shared" si="909"/>
        <v>0</v>
      </c>
      <c r="S2302" s="121" t="str">
        <f t="shared" si="910"/>
        <v/>
      </c>
      <c r="T2302" s="121" t="str">
        <f t="shared" si="911"/>
        <v/>
      </c>
      <c r="U2302" s="121">
        <f t="shared" si="912"/>
        <v>1</v>
      </c>
    </row>
    <row r="2303" spans="1:21" x14ac:dyDescent="0.3">
      <c r="A2303" s="187">
        <v>11</v>
      </c>
      <c r="B2303" s="242">
        <f t="shared" si="913"/>
        <v>45962</v>
      </c>
      <c r="C2303" s="243">
        <f t="shared" si="894"/>
        <v>45991</v>
      </c>
      <c r="D2303" s="120">
        <f t="shared" si="895"/>
        <v>30</v>
      </c>
      <c r="E2303" s="120">
        <f t="shared" si="896"/>
        <v>11</v>
      </c>
      <c r="F2303" s="275">
        <f t="shared" si="897"/>
        <v>45977</v>
      </c>
      <c r="G2303" s="120">
        <f t="shared" si="898"/>
        <v>24310</v>
      </c>
      <c r="H2303" s="245">
        <f t="shared" si="899"/>
        <v>1</v>
      </c>
      <c r="I2303" s="121">
        <f t="shared" si="900"/>
        <v>1</v>
      </c>
      <c r="J2303" s="121">
        <f t="shared" si="901"/>
        <v>1</v>
      </c>
      <c r="K2303" s="120">
        <f t="shared" si="902"/>
        <v>0</v>
      </c>
      <c r="L2303" s="120">
        <f t="shared" si="903"/>
        <v>0</v>
      </c>
      <c r="M2303" s="246">
        <f t="shared" si="904"/>
        <v>0</v>
      </c>
      <c r="N2303" s="121">
        <f t="shared" si="905"/>
        <v>1</v>
      </c>
      <c r="O2303" s="246">
        <f t="shared" si="906"/>
        <v>0.90301969365426704</v>
      </c>
      <c r="P2303" s="121">
        <f t="shared" si="907"/>
        <v>0.75</v>
      </c>
      <c r="Q2303" s="121">
        <f t="shared" si="908"/>
        <v>0</v>
      </c>
      <c r="R2303" s="121">
        <f t="shared" si="909"/>
        <v>0</v>
      </c>
      <c r="S2303" s="121" t="str">
        <f t="shared" si="910"/>
        <v/>
      </c>
      <c r="T2303" s="121" t="str">
        <f t="shared" si="911"/>
        <v/>
      </c>
      <c r="U2303" s="121">
        <f t="shared" si="912"/>
        <v>1</v>
      </c>
    </row>
    <row r="2304" spans="1:21" x14ac:dyDescent="0.3">
      <c r="A2304" s="187">
        <v>12</v>
      </c>
      <c r="B2304" s="242">
        <f t="shared" si="913"/>
        <v>45992</v>
      </c>
      <c r="C2304" s="243">
        <f t="shared" si="894"/>
        <v>46022</v>
      </c>
      <c r="D2304" s="120">
        <f t="shared" si="895"/>
        <v>31</v>
      </c>
      <c r="E2304" s="120">
        <f t="shared" si="896"/>
        <v>12</v>
      </c>
      <c r="F2304" s="275">
        <f t="shared" si="897"/>
        <v>46007.5</v>
      </c>
      <c r="G2304" s="120">
        <f t="shared" si="898"/>
        <v>24311</v>
      </c>
      <c r="H2304" s="245">
        <f t="shared" si="899"/>
        <v>1</v>
      </c>
      <c r="I2304" s="121">
        <f t="shared" si="900"/>
        <v>1</v>
      </c>
      <c r="J2304" s="121">
        <f t="shared" si="901"/>
        <v>1</v>
      </c>
      <c r="K2304" s="120">
        <f t="shared" si="902"/>
        <v>0</v>
      </c>
      <c r="L2304" s="120">
        <f t="shared" si="903"/>
        <v>0</v>
      </c>
      <c r="M2304" s="246">
        <f t="shared" si="904"/>
        <v>0</v>
      </c>
      <c r="N2304" s="121">
        <f t="shared" si="905"/>
        <v>1</v>
      </c>
      <c r="O2304" s="246">
        <f t="shared" si="906"/>
        <v>0.90368708971553613</v>
      </c>
      <c r="P2304" s="121">
        <f t="shared" si="907"/>
        <v>0.91666666666666663</v>
      </c>
      <c r="Q2304" s="121">
        <f t="shared" si="908"/>
        <v>0</v>
      </c>
      <c r="R2304" s="121">
        <f t="shared" si="909"/>
        <v>0</v>
      </c>
      <c r="S2304" s="121" t="str">
        <f t="shared" si="910"/>
        <v/>
      </c>
      <c r="T2304" s="121" t="str">
        <f t="shared" si="911"/>
        <v/>
      </c>
      <c r="U2304" s="121">
        <f t="shared" si="912"/>
        <v>1</v>
      </c>
    </row>
    <row r="2305" spans="1:21" x14ac:dyDescent="0.3">
      <c r="A2305" s="187">
        <v>13</v>
      </c>
      <c r="B2305" s="242">
        <f t="shared" si="913"/>
        <v>46023</v>
      </c>
      <c r="C2305" s="243">
        <f t="shared" si="894"/>
        <v>46053</v>
      </c>
      <c r="D2305" s="120">
        <f t="shared" si="895"/>
        <v>31</v>
      </c>
      <c r="E2305" s="120">
        <f t="shared" si="896"/>
        <v>1</v>
      </c>
      <c r="F2305" s="275">
        <f t="shared" si="897"/>
        <v>46038.5</v>
      </c>
      <c r="G2305" s="120">
        <f t="shared" si="898"/>
        <v>24312</v>
      </c>
      <c r="H2305" s="245">
        <f t="shared" si="899"/>
        <v>1</v>
      </c>
      <c r="I2305" s="121">
        <f t="shared" si="900"/>
        <v>1</v>
      </c>
      <c r="J2305" s="121">
        <f t="shared" si="901"/>
        <v>1</v>
      </c>
      <c r="K2305" s="120">
        <f t="shared" si="902"/>
        <v>0</v>
      </c>
      <c r="L2305" s="120">
        <f t="shared" si="903"/>
        <v>0</v>
      </c>
      <c r="M2305" s="246">
        <f t="shared" si="904"/>
        <v>0</v>
      </c>
      <c r="N2305" s="121">
        <f t="shared" si="905"/>
        <v>1</v>
      </c>
      <c r="O2305" s="246">
        <f t="shared" si="906"/>
        <v>0.90436542669584252</v>
      </c>
      <c r="P2305" s="121">
        <f t="shared" si="907"/>
        <v>1</v>
      </c>
      <c r="Q2305" s="121">
        <f t="shared" si="908"/>
        <v>0</v>
      </c>
      <c r="R2305" s="121">
        <f t="shared" si="909"/>
        <v>0</v>
      </c>
      <c r="S2305" s="121" t="str">
        <f t="shared" si="910"/>
        <v/>
      </c>
      <c r="T2305" s="121" t="str">
        <f t="shared" si="911"/>
        <v/>
      </c>
      <c r="U2305" s="121">
        <f t="shared" si="912"/>
        <v>1</v>
      </c>
    </row>
    <row r="2306" spans="1:21" x14ac:dyDescent="0.3">
      <c r="A2306" s="187">
        <v>14</v>
      </c>
      <c r="B2306" s="242">
        <f t="shared" si="913"/>
        <v>46054</v>
      </c>
      <c r="C2306" s="243">
        <f t="shared" si="894"/>
        <v>46081</v>
      </c>
      <c r="D2306" s="120">
        <f t="shared" si="895"/>
        <v>28</v>
      </c>
      <c r="E2306" s="120">
        <f t="shared" si="896"/>
        <v>2</v>
      </c>
      <c r="F2306" s="275">
        <f t="shared" si="897"/>
        <v>46068</v>
      </c>
      <c r="G2306" s="120">
        <f t="shared" si="898"/>
        <v>24313</v>
      </c>
      <c r="H2306" s="245">
        <f t="shared" si="899"/>
        <v>1</v>
      </c>
      <c r="I2306" s="121">
        <f t="shared" si="900"/>
        <v>1</v>
      </c>
      <c r="J2306" s="121">
        <f t="shared" si="901"/>
        <v>1</v>
      </c>
      <c r="K2306" s="120">
        <f t="shared" si="902"/>
        <v>0</v>
      </c>
      <c r="L2306" s="120">
        <f t="shared" si="903"/>
        <v>0</v>
      </c>
      <c r="M2306" s="246">
        <f t="shared" si="904"/>
        <v>0</v>
      </c>
      <c r="N2306" s="121">
        <f t="shared" si="905"/>
        <v>1</v>
      </c>
      <c r="O2306" s="246">
        <f t="shared" si="906"/>
        <v>0.90501094091903722</v>
      </c>
      <c r="P2306" s="121">
        <f t="shared" si="907"/>
        <v>1</v>
      </c>
      <c r="Q2306" s="121">
        <f t="shared" si="908"/>
        <v>0</v>
      </c>
      <c r="R2306" s="121">
        <f t="shared" si="909"/>
        <v>0</v>
      </c>
      <c r="S2306" s="121" t="str">
        <f t="shared" si="910"/>
        <v/>
      </c>
      <c r="T2306" s="121" t="str">
        <f t="shared" si="911"/>
        <v/>
      </c>
      <c r="U2306" s="121">
        <f t="shared" si="912"/>
        <v>1</v>
      </c>
    </row>
    <row r="2307" spans="1:21" x14ac:dyDescent="0.3">
      <c r="A2307" s="187">
        <v>15</v>
      </c>
      <c r="B2307" s="242">
        <f t="shared" si="913"/>
        <v>46082</v>
      </c>
      <c r="C2307" s="243">
        <f t="shared" si="894"/>
        <v>46112</v>
      </c>
      <c r="D2307" s="120">
        <f t="shared" si="895"/>
        <v>31</v>
      </c>
      <c r="E2307" s="120">
        <f t="shared" si="896"/>
        <v>3</v>
      </c>
      <c r="F2307" s="275">
        <f t="shared" si="897"/>
        <v>46097.5</v>
      </c>
      <c r="G2307" s="120">
        <f t="shared" si="898"/>
        <v>24314</v>
      </c>
      <c r="H2307" s="245">
        <f t="shared" si="899"/>
        <v>1</v>
      </c>
      <c r="I2307" s="121">
        <f t="shared" si="900"/>
        <v>1</v>
      </c>
      <c r="J2307" s="121">
        <f t="shared" si="901"/>
        <v>1</v>
      </c>
      <c r="K2307" s="120">
        <f t="shared" si="902"/>
        <v>0</v>
      </c>
      <c r="L2307" s="120">
        <f t="shared" si="903"/>
        <v>0</v>
      </c>
      <c r="M2307" s="246">
        <f t="shared" si="904"/>
        <v>0</v>
      </c>
      <c r="N2307" s="121">
        <f t="shared" si="905"/>
        <v>1</v>
      </c>
      <c r="O2307" s="246">
        <f t="shared" si="906"/>
        <v>0.90565645514223203</v>
      </c>
      <c r="P2307" s="121">
        <f t="shared" si="907"/>
        <v>1</v>
      </c>
      <c r="Q2307" s="121">
        <f t="shared" si="908"/>
        <v>0</v>
      </c>
      <c r="R2307" s="121">
        <f t="shared" si="909"/>
        <v>0</v>
      </c>
      <c r="S2307" s="121" t="str">
        <f t="shared" si="910"/>
        <v/>
      </c>
      <c r="T2307" s="121" t="str">
        <f t="shared" si="911"/>
        <v/>
      </c>
      <c r="U2307" s="121">
        <f t="shared" si="912"/>
        <v>1</v>
      </c>
    </row>
    <row r="2308" spans="1:21" x14ac:dyDescent="0.3">
      <c r="A2308" s="187">
        <v>16</v>
      </c>
      <c r="B2308" s="242">
        <f t="shared" si="913"/>
        <v>46113</v>
      </c>
      <c r="C2308" s="243">
        <f t="shared" si="894"/>
        <v>46142</v>
      </c>
      <c r="D2308" s="120">
        <f t="shared" si="895"/>
        <v>30</v>
      </c>
      <c r="E2308" s="120">
        <f t="shared" si="896"/>
        <v>4</v>
      </c>
      <c r="F2308" s="275">
        <f t="shared" si="897"/>
        <v>46128</v>
      </c>
      <c r="G2308" s="120">
        <f t="shared" si="898"/>
        <v>24315</v>
      </c>
      <c r="H2308" s="245">
        <f t="shared" si="899"/>
        <v>1</v>
      </c>
      <c r="I2308" s="121">
        <f t="shared" si="900"/>
        <v>1</v>
      </c>
      <c r="J2308" s="121">
        <f t="shared" si="901"/>
        <v>1</v>
      </c>
      <c r="K2308" s="120">
        <f t="shared" si="902"/>
        <v>0</v>
      </c>
      <c r="L2308" s="120">
        <f t="shared" si="903"/>
        <v>0</v>
      </c>
      <c r="M2308" s="246">
        <f t="shared" si="904"/>
        <v>0</v>
      </c>
      <c r="N2308" s="121">
        <f t="shared" si="905"/>
        <v>1</v>
      </c>
      <c r="O2308" s="246">
        <f t="shared" si="906"/>
        <v>0.90632385120350112</v>
      </c>
      <c r="P2308" s="121">
        <f t="shared" si="907"/>
        <v>1</v>
      </c>
      <c r="Q2308" s="121">
        <f t="shared" si="908"/>
        <v>0</v>
      </c>
      <c r="R2308" s="121">
        <f t="shared" si="909"/>
        <v>0</v>
      </c>
      <c r="S2308" s="121" t="str">
        <f t="shared" si="910"/>
        <v/>
      </c>
      <c r="T2308" s="121" t="str">
        <f t="shared" si="911"/>
        <v/>
      </c>
      <c r="U2308" s="121">
        <f t="shared" si="912"/>
        <v>1</v>
      </c>
    </row>
    <row r="2309" spans="1:21" x14ac:dyDescent="0.3">
      <c r="A2309" s="187">
        <v>17</v>
      </c>
      <c r="B2309" s="242">
        <f t="shared" si="913"/>
        <v>46143</v>
      </c>
      <c r="C2309" s="243">
        <f t="shared" si="894"/>
        <v>46173</v>
      </c>
      <c r="D2309" s="120">
        <f t="shared" si="895"/>
        <v>31</v>
      </c>
      <c r="E2309" s="120">
        <f t="shared" si="896"/>
        <v>5</v>
      </c>
      <c r="F2309" s="275">
        <f t="shared" si="897"/>
        <v>46158.5</v>
      </c>
      <c r="G2309" s="120">
        <f t="shared" si="898"/>
        <v>24316</v>
      </c>
      <c r="H2309" s="245">
        <f t="shared" si="899"/>
        <v>1</v>
      </c>
      <c r="I2309" s="121">
        <f t="shared" si="900"/>
        <v>1</v>
      </c>
      <c r="J2309" s="121">
        <f t="shared" si="901"/>
        <v>1</v>
      </c>
      <c r="K2309" s="120">
        <f t="shared" si="902"/>
        <v>0</v>
      </c>
      <c r="L2309" s="120">
        <f t="shared" si="903"/>
        <v>0</v>
      </c>
      <c r="M2309" s="246">
        <f t="shared" si="904"/>
        <v>0</v>
      </c>
      <c r="N2309" s="121">
        <f t="shared" si="905"/>
        <v>1</v>
      </c>
      <c r="O2309" s="246">
        <f t="shared" si="906"/>
        <v>0.90699124726477032</v>
      </c>
      <c r="P2309" s="121">
        <f t="shared" si="907"/>
        <v>1</v>
      </c>
      <c r="Q2309" s="121">
        <f t="shared" si="908"/>
        <v>0</v>
      </c>
      <c r="R2309" s="121">
        <f t="shared" si="909"/>
        <v>0</v>
      </c>
      <c r="S2309" s="121" t="str">
        <f t="shared" si="910"/>
        <v/>
      </c>
      <c r="T2309" s="121" t="str">
        <f t="shared" si="911"/>
        <v/>
      </c>
      <c r="U2309" s="121">
        <f t="shared" si="912"/>
        <v>1</v>
      </c>
    </row>
    <row r="2310" spans="1:21" x14ac:dyDescent="0.3">
      <c r="A2310" s="187">
        <v>18</v>
      </c>
      <c r="B2310" s="242">
        <f t="shared" si="913"/>
        <v>46174</v>
      </c>
      <c r="C2310" s="243">
        <f t="shared" si="894"/>
        <v>46203</v>
      </c>
      <c r="D2310" s="120">
        <f t="shared" si="895"/>
        <v>30</v>
      </c>
      <c r="E2310" s="120">
        <f t="shared" si="896"/>
        <v>6</v>
      </c>
      <c r="F2310" s="275">
        <f t="shared" si="897"/>
        <v>46189</v>
      </c>
      <c r="G2310" s="120">
        <f t="shared" si="898"/>
        <v>24317</v>
      </c>
      <c r="H2310" s="245">
        <f t="shared" si="899"/>
        <v>1</v>
      </c>
      <c r="I2310" s="121">
        <f t="shared" si="900"/>
        <v>1</v>
      </c>
      <c r="J2310" s="121">
        <f t="shared" si="901"/>
        <v>1</v>
      </c>
      <c r="K2310" s="120">
        <f t="shared" si="902"/>
        <v>0</v>
      </c>
      <c r="L2310" s="120">
        <f t="shared" si="903"/>
        <v>0</v>
      </c>
      <c r="M2310" s="246">
        <f t="shared" si="904"/>
        <v>0</v>
      </c>
      <c r="N2310" s="121">
        <f t="shared" si="905"/>
        <v>1</v>
      </c>
      <c r="O2310" s="246">
        <f t="shared" si="906"/>
        <v>0.9076586433260394</v>
      </c>
      <c r="P2310" s="121">
        <f t="shared" si="907"/>
        <v>1</v>
      </c>
      <c r="Q2310" s="121">
        <f t="shared" si="908"/>
        <v>0</v>
      </c>
      <c r="R2310" s="121">
        <f t="shared" si="909"/>
        <v>0</v>
      </c>
      <c r="S2310" s="121" t="str">
        <f t="shared" si="910"/>
        <v/>
      </c>
      <c r="T2310" s="121" t="str">
        <f t="shared" si="911"/>
        <v/>
      </c>
      <c r="U2310" s="121">
        <f t="shared" si="912"/>
        <v>1</v>
      </c>
    </row>
    <row r="2311" spans="1:21" x14ac:dyDescent="0.3">
      <c r="A2311" s="187">
        <v>19</v>
      </c>
      <c r="B2311" s="242">
        <f t="shared" si="913"/>
        <v>46204</v>
      </c>
      <c r="C2311" s="243">
        <f t="shared" si="894"/>
        <v>46234</v>
      </c>
      <c r="D2311" s="120">
        <f t="shared" si="895"/>
        <v>31</v>
      </c>
      <c r="E2311" s="120">
        <f t="shared" si="896"/>
        <v>7</v>
      </c>
      <c r="F2311" s="275">
        <f t="shared" si="897"/>
        <v>46219.5</v>
      </c>
      <c r="G2311" s="120">
        <f t="shared" si="898"/>
        <v>24318</v>
      </c>
      <c r="H2311" s="245">
        <f t="shared" si="899"/>
        <v>1</v>
      </c>
      <c r="I2311" s="121">
        <f t="shared" si="900"/>
        <v>1</v>
      </c>
      <c r="J2311" s="121">
        <f t="shared" si="901"/>
        <v>1</v>
      </c>
      <c r="K2311" s="120">
        <f t="shared" si="902"/>
        <v>0</v>
      </c>
      <c r="L2311" s="120">
        <f t="shared" si="903"/>
        <v>0</v>
      </c>
      <c r="M2311" s="246">
        <f t="shared" si="904"/>
        <v>0</v>
      </c>
      <c r="N2311" s="121">
        <f t="shared" si="905"/>
        <v>1</v>
      </c>
      <c r="O2311" s="246">
        <f t="shared" si="906"/>
        <v>0.9083260393873086</v>
      </c>
      <c r="P2311" s="121">
        <f t="shared" si="907"/>
        <v>0.91666666666666663</v>
      </c>
      <c r="Q2311" s="121">
        <f t="shared" si="908"/>
        <v>8.333333333333337E-2</v>
      </c>
      <c r="R2311" s="121">
        <f t="shared" si="909"/>
        <v>0</v>
      </c>
      <c r="S2311" s="121" t="str">
        <f t="shared" si="910"/>
        <v/>
      </c>
      <c r="T2311" s="121" t="str">
        <f t="shared" si="911"/>
        <v/>
      </c>
      <c r="U2311" s="121">
        <f t="shared" si="912"/>
        <v>1</v>
      </c>
    </row>
    <row r="2312" spans="1:21" x14ac:dyDescent="0.3">
      <c r="A2312" s="187">
        <v>20</v>
      </c>
      <c r="B2312" s="242">
        <f t="shared" si="913"/>
        <v>46235</v>
      </c>
      <c r="C2312" s="243">
        <f t="shared" si="894"/>
        <v>46265</v>
      </c>
      <c r="D2312" s="120">
        <f t="shared" si="895"/>
        <v>31</v>
      </c>
      <c r="E2312" s="120">
        <f t="shared" si="896"/>
        <v>8</v>
      </c>
      <c r="F2312" s="275">
        <f t="shared" si="897"/>
        <v>46250.5</v>
      </c>
      <c r="G2312" s="120">
        <f t="shared" si="898"/>
        <v>24319</v>
      </c>
      <c r="H2312" s="245">
        <f t="shared" si="899"/>
        <v>1</v>
      </c>
      <c r="I2312" s="121">
        <f t="shared" si="900"/>
        <v>1</v>
      </c>
      <c r="J2312" s="121">
        <f t="shared" si="901"/>
        <v>1</v>
      </c>
      <c r="K2312" s="120">
        <f t="shared" si="902"/>
        <v>0</v>
      </c>
      <c r="L2312" s="120">
        <f t="shared" si="903"/>
        <v>0</v>
      </c>
      <c r="M2312" s="246">
        <f t="shared" si="904"/>
        <v>0</v>
      </c>
      <c r="N2312" s="121">
        <f t="shared" si="905"/>
        <v>1</v>
      </c>
      <c r="O2312" s="246">
        <f t="shared" si="906"/>
        <v>0.90900437636761489</v>
      </c>
      <c r="P2312" s="121">
        <f t="shared" si="907"/>
        <v>0.75</v>
      </c>
      <c r="Q2312" s="121">
        <f t="shared" si="908"/>
        <v>0.25</v>
      </c>
      <c r="R2312" s="121">
        <f t="shared" si="909"/>
        <v>0</v>
      </c>
      <c r="S2312" s="121" t="str">
        <f t="shared" si="910"/>
        <v/>
      </c>
      <c r="T2312" s="121" t="str">
        <f t="shared" si="911"/>
        <v/>
      </c>
      <c r="U2312" s="121">
        <f t="shared" si="912"/>
        <v>1</v>
      </c>
    </row>
    <row r="2313" spans="1:21" x14ac:dyDescent="0.3">
      <c r="A2313" s="187">
        <v>21</v>
      </c>
      <c r="B2313" s="242">
        <f t="shared" si="913"/>
        <v>46266</v>
      </c>
      <c r="C2313" s="243">
        <f t="shared" si="894"/>
        <v>46295</v>
      </c>
      <c r="D2313" s="120">
        <f t="shared" si="895"/>
        <v>30</v>
      </c>
      <c r="E2313" s="120">
        <f t="shared" si="896"/>
        <v>9</v>
      </c>
      <c r="F2313" s="275">
        <f t="shared" si="897"/>
        <v>46281</v>
      </c>
      <c r="G2313" s="120">
        <f t="shared" si="898"/>
        <v>24320</v>
      </c>
      <c r="H2313" s="245">
        <f t="shared" si="899"/>
        <v>1</v>
      </c>
      <c r="I2313" s="121">
        <f t="shared" si="900"/>
        <v>1</v>
      </c>
      <c r="J2313" s="121">
        <f t="shared" si="901"/>
        <v>1</v>
      </c>
      <c r="K2313" s="120">
        <f t="shared" si="902"/>
        <v>0</v>
      </c>
      <c r="L2313" s="120">
        <f t="shared" si="903"/>
        <v>0</v>
      </c>
      <c r="M2313" s="246">
        <f t="shared" si="904"/>
        <v>0</v>
      </c>
      <c r="N2313" s="121">
        <f t="shared" si="905"/>
        <v>1</v>
      </c>
      <c r="O2313" s="246">
        <f t="shared" si="906"/>
        <v>0.90967177242888408</v>
      </c>
      <c r="P2313" s="121">
        <f t="shared" si="907"/>
        <v>0.58333333333333337</v>
      </c>
      <c r="Q2313" s="121">
        <f t="shared" si="908"/>
        <v>0.41666666666666663</v>
      </c>
      <c r="R2313" s="121">
        <f t="shared" si="909"/>
        <v>0</v>
      </c>
      <c r="S2313" s="121" t="str">
        <f t="shared" si="910"/>
        <v/>
      </c>
      <c r="T2313" s="121" t="str">
        <f t="shared" si="911"/>
        <v/>
      </c>
      <c r="U2313" s="121">
        <f t="shared" si="912"/>
        <v>1</v>
      </c>
    </row>
    <row r="2314" spans="1:21" x14ac:dyDescent="0.3">
      <c r="A2314" s="187">
        <v>22</v>
      </c>
      <c r="B2314" s="242">
        <f t="shared" si="913"/>
        <v>46296</v>
      </c>
      <c r="C2314" s="243">
        <f t="shared" si="894"/>
        <v>46326</v>
      </c>
      <c r="D2314" s="120">
        <f t="shared" si="895"/>
        <v>31</v>
      </c>
      <c r="E2314" s="120">
        <f t="shared" si="896"/>
        <v>10</v>
      </c>
      <c r="F2314" s="275">
        <f t="shared" si="897"/>
        <v>46311.5</v>
      </c>
      <c r="G2314" s="120">
        <f t="shared" si="898"/>
        <v>24321</v>
      </c>
      <c r="H2314" s="245">
        <f t="shared" si="899"/>
        <v>1</v>
      </c>
      <c r="I2314" s="121">
        <f t="shared" si="900"/>
        <v>1</v>
      </c>
      <c r="J2314" s="121">
        <f t="shared" si="901"/>
        <v>1</v>
      </c>
      <c r="K2314" s="120">
        <f t="shared" si="902"/>
        <v>0</v>
      </c>
      <c r="L2314" s="120">
        <f t="shared" si="903"/>
        <v>0</v>
      </c>
      <c r="M2314" s="246">
        <f t="shared" si="904"/>
        <v>0</v>
      </c>
      <c r="N2314" s="121">
        <f t="shared" si="905"/>
        <v>1</v>
      </c>
      <c r="O2314" s="246">
        <f t="shared" si="906"/>
        <v>0.91033916849015317</v>
      </c>
      <c r="P2314" s="121">
        <f t="shared" si="907"/>
        <v>0.41666666666666669</v>
      </c>
      <c r="Q2314" s="121">
        <f t="shared" si="908"/>
        <v>0.58333333333333326</v>
      </c>
      <c r="R2314" s="121">
        <f t="shared" si="909"/>
        <v>0</v>
      </c>
      <c r="S2314" s="121" t="str">
        <f t="shared" si="910"/>
        <v/>
      </c>
      <c r="T2314" s="121" t="str">
        <f t="shared" si="911"/>
        <v/>
      </c>
      <c r="U2314" s="121">
        <f t="shared" si="912"/>
        <v>1</v>
      </c>
    </row>
    <row r="2315" spans="1:21" x14ac:dyDescent="0.3">
      <c r="A2315" s="187">
        <v>23</v>
      </c>
      <c r="B2315" s="242">
        <f t="shared" si="913"/>
        <v>46327</v>
      </c>
      <c r="C2315" s="243">
        <f t="shared" si="894"/>
        <v>46356</v>
      </c>
      <c r="D2315" s="120">
        <f t="shared" si="895"/>
        <v>30</v>
      </c>
      <c r="E2315" s="120">
        <f t="shared" si="896"/>
        <v>11</v>
      </c>
      <c r="F2315" s="275">
        <f t="shared" si="897"/>
        <v>46342</v>
      </c>
      <c r="G2315" s="120">
        <f t="shared" si="898"/>
        <v>24322</v>
      </c>
      <c r="H2315" s="245">
        <f t="shared" si="899"/>
        <v>1</v>
      </c>
      <c r="I2315" s="121">
        <f t="shared" si="900"/>
        <v>1</v>
      </c>
      <c r="J2315" s="121">
        <f t="shared" si="901"/>
        <v>1</v>
      </c>
      <c r="K2315" s="120">
        <f t="shared" si="902"/>
        <v>0</v>
      </c>
      <c r="L2315" s="120">
        <f t="shared" si="903"/>
        <v>0</v>
      </c>
      <c r="M2315" s="246">
        <f t="shared" si="904"/>
        <v>0</v>
      </c>
      <c r="N2315" s="121">
        <f t="shared" si="905"/>
        <v>1</v>
      </c>
      <c r="O2315" s="246">
        <f t="shared" si="906"/>
        <v>0.91100656455142237</v>
      </c>
      <c r="P2315" s="121">
        <f t="shared" si="907"/>
        <v>0.25</v>
      </c>
      <c r="Q2315" s="121">
        <f t="shared" si="908"/>
        <v>0.75</v>
      </c>
      <c r="R2315" s="121">
        <f t="shared" si="909"/>
        <v>0</v>
      </c>
      <c r="S2315" s="121" t="str">
        <f t="shared" si="910"/>
        <v/>
      </c>
      <c r="T2315" s="121" t="str">
        <f t="shared" si="911"/>
        <v/>
      </c>
      <c r="U2315" s="121">
        <f t="shared" si="912"/>
        <v>1</v>
      </c>
    </row>
    <row r="2316" spans="1:21" x14ac:dyDescent="0.3">
      <c r="A2316" s="187">
        <v>24</v>
      </c>
      <c r="B2316" s="242">
        <f t="shared" si="913"/>
        <v>46357</v>
      </c>
      <c r="C2316" s="243">
        <f t="shared" si="894"/>
        <v>46387</v>
      </c>
      <c r="D2316" s="120">
        <f t="shared" si="895"/>
        <v>31</v>
      </c>
      <c r="E2316" s="120">
        <f t="shared" si="896"/>
        <v>12</v>
      </c>
      <c r="F2316" s="275">
        <f t="shared" si="897"/>
        <v>46372.5</v>
      </c>
      <c r="G2316" s="120">
        <f t="shared" si="898"/>
        <v>24323</v>
      </c>
      <c r="H2316" s="245">
        <f t="shared" si="899"/>
        <v>1</v>
      </c>
      <c r="I2316" s="121">
        <f t="shared" si="900"/>
        <v>1</v>
      </c>
      <c r="J2316" s="121">
        <f t="shared" si="901"/>
        <v>1</v>
      </c>
      <c r="K2316" s="120">
        <f t="shared" si="902"/>
        <v>0</v>
      </c>
      <c r="L2316" s="120">
        <f t="shared" si="903"/>
        <v>0</v>
      </c>
      <c r="M2316" s="246">
        <f t="shared" si="904"/>
        <v>0</v>
      </c>
      <c r="N2316" s="121">
        <f t="shared" si="905"/>
        <v>1</v>
      </c>
      <c r="O2316" s="246">
        <f t="shared" si="906"/>
        <v>0.91167396061269146</v>
      </c>
      <c r="P2316" s="121">
        <f t="shared" si="907"/>
        <v>8.3333333333333329E-2</v>
      </c>
      <c r="Q2316" s="121">
        <f t="shared" si="908"/>
        <v>0.91666666666666663</v>
      </c>
      <c r="R2316" s="121">
        <f t="shared" si="909"/>
        <v>0</v>
      </c>
      <c r="S2316" s="121" t="str">
        <f t="shared" si="910"/>
        <v/>
      </c>
      <c r="T2316" s="121" t="str">
        <f t="shared" si="911"/>
        <v/>
      </c>
      <c r="U2316" s="121">
        <f t="shared" si="912"/>
        <v>1</v>
      </c>
    </row>
    <row r="2317" spans="1:21" x14ac:dyDescent="0.3">
      <c r="A2317" s="187">
        <v>25</v>
      </c>
      <c r="B2317" s="242">
        <f t="shared" si="913"/>
        <v>46388</v>
      </c>
      <c r="C2317" s="243">
        <f t="shared" si="894"/>
        <v>46418</v>
      </c>
      <c r="D2317" s="120">
        <f t="shared" si="895"/>
        <v>31</v>
      </c>
      <c r="E2317" s="120">
        <f t="shared" si="896"/>
        <v>1</v>
      </c>
      <c r="F2317" s="275">
        <f t="shared" si="897"/>
        <v>46403.5</v>
      </c>
      <c r="G2317" s="120">
        <f t="shared" si="898"/>
        <v>24324</v>
      </c>
      <c r="H2317" s="245">
        <f t="shared" si="899"/>
        <v>1</v>
      </c>
      <c r="I2317" s="121">
        <f t="shared" si="900"/>
        <v>1</v>
      </c>
      <c r="J2317" s="121">
        <f t="shared" si="901"/>
        <v>1</v>
      </c>
      <c r="K2317" s="120">
        <f t="shared" si="902"/>
        <v>0</v>
      </c>
      <c r="L2317" s="120">
        <f t="shared" si="903"/>
        <v>0</v>
      </c>
      <c r="M2317" s="246">
        <f t="shared" si="904"/>
        <v>0</v>
      </c>
      <c r="N2317" s="121">
        <f t="shared" si="905"/>
        <v>1</v>
      </c>
      <c r="O2317" s="246">
        <f t="shared" si="906"/>
        <v>0.91235229759299785</v>
      </c>
      <c r="P2317" s="121">
        <f t="shared" si="907"/>
        <v>0</v>
      </c>
      <c r="Q2317" s="121">
        <f t="shared" si="908"/>
        <v>1</v>
      </c>
      <c r="R2317" s="121">
        <f t="shared" si="909"/>
        <v>0</v>
      </c>
      <c r="S2317" s="121" t="str">
        <f t="shared" si="910"/>
        <v/>
      </c>
      <c r="T2317" s="121" t="str">
        <f t="shared" si="911"/>
        <v/>
      </c>
      <c r="U2317" s="121">
        <f t="shared" si="912"/>
        <v>1</v>
      </c>
    </row>
    <row r="2318" spans="1:21" x14ac:dyDescent="0.3">
      <c r="A2318" s="187">
        <v>26</v>
      </c>
      <c r="B2318" s="242">
        <f t="shared" si="913"/>
        <v>46419</v>
      </c>
      <c r="C2318" s="243">
        <f t="shared" si="894"/>
        <v>46446</v>
      </c>
      <c r="D2318" s="120">
        <f t="shared" si="895"/>
        <v>28</v>
      </c>
      <c r="E2318" s="120">
        <f t="shared" si="896"/>
        <v>2</v>
      </c>
      <c r="F2318" s="275">
        <f t="shared" si="897"/>
        <v>46433</v>
      </c>
      <c r="G2318" s="120">
        <f t="shared" si="898"/>
        <v>24325</v>
      </c>
      <c r="H2318" s="245">
        <f t="shared" si="899"/>
        <v>1</v>
      </c>
      <c r="I2318" s="121">
        <f t="shared" si="900"/>
        <v>1</v>
      </c>
      <c r="J2318" s="121">
        <f t="shared" si="901"/>
        <v>1.04</v>
      </c>
      <c r="K2318" s="120">
        <f t="shared" si="902"/>
        <v>1</v>
      </c>
      <c r="L2318" s="120">
        <f t="shared" si="903"/>
        <v>28</v>
      </c>
      <c r="M2318" s="246">
        <f t="shared" si="904"/>
        <v>1</v>
      </c>
      <c r="N2318" s="121">
        <f t="shared" si="905"/>
        <v>1.04</v>
      </c>
      <c r="O2318" s="246">
        <f t="shared" si="906"/>
        <v>0.91299781181619255</v>
      </c>
      <c r="P2318" s="121">
        <f t="shared" si="907"/>
        <v>0</v>
      </c>
      <c r="Q2318" s="121">
        <f t="shared" si="908"/>
        <v>1</v>
      </c>
      <c r="R2318" s="121">
        <f t="shared" si="909"/>
        <v>0</v>
      </c>
      <c r="S2318" s="121" t="str">
        <f t="shared" si="910"/>
        <v/>
      </c>
      <c r="T2318" s="121" t="str">
        <f t="shared" si="911"/>
        <v/>
      </c>
      <c r="U2318" s="121">
        <f t="shared" si="912"/>
        <v>1.04</v>
      </c>
    </row>
    <row r="2319" spans="1:21" x14ac:dyDescent="0.3">
      <c r="A2319" s="187">
        <v>27</v>
      </c>
      <c r="B2319" s="242">
        <f t="shared" si="913"/>
        <v>46447</v>
      </c>
      <c r="C2319" s="243">
        <f t="shared" si="894"/>
        <v>46477</v>
      </c>
      <c r="D2319" s="120">
        <f t="shared" si="895"/>
        <v>31</v>
      </c>
      <c r="E2319" s="120">
        <f t="shared" si="896"/>
        <v>3</v>
      </c>
      <c r="F2319" s="275">
        <f t="shared" si="897"/>
        <v>46462.5</v>
      </c>
      <c r="G2319" s="120">
        <f t="shared" si="898"/>
        <v>24326</v>
      </c>
      <c r="H2319" s="245">
        <f t="shared" si="899"/>
        <v>1</v>
      </c>
      <c r="I2319" s="121">
        <f t="shared" si="900"/>
        <v>1.04</v>
      </c>
      <c r="J2319" s="121">
        <f t="shared" si="901"/>
        <v>1.04</v>
      </c>
      <c r="K2319" s="120">
        <f t="shared" si="902"/>
        <v>0</v>
      </c>
      <c r="L2319" s="120">
        <f t="shared" si="903"/>
        <v>0</v>
      </c>
      <c r="M2319" s="246">
        <f t="shared" si="904"/>
        <v>0</v>
      </c>
      <c r="N2319" s="121">
        <f t="shared" si="905"/>
        <v>1.04</v>
      </c>
      <c r="O2319" s="246">
        <f t="shared" si="906"/>
        <v>0.91364332603938736</v>
      </c>
      <c r="P2319" s="121">
        <f t="shared" si="907"/>
        <v>0</v>
      </c>
      <c r="Q2319" s="121">
        <f t="shared" si="908"/>
        <v>1</v>
      </c>
      <c r="R2319" s="121">
        <f t="shared" si="909"/>
        <v>0</v>
      </c>
      <c r="S2319" s="121" t="str">
        <f t="shared" si="910"/>
        <v/>
      </c>
      <c r="T2319" s="121" t="str">
        <f t="shared" si="911"/>
        <v/>
      </c>
      <c r="U2319" s="121">
        <f t="shared" si="912"/>
        <v>1.04</v>
      </c>
    </row>
    <row r="2320" spans="1:21" x14ac:dyDescent="0.3">
      <c r="A2320" s="187">
        <v>28</v>
      </c>
      <c r="B2320" s="242">
        <f t="shared" si="913"/>
        <v>46478</v>
      </c>
      <c r="C2320" s="243">
        <f t="shared" si="894"/>
        <v>46507</v>
      </c>
      <c r="D2320" s="120">
        <f t="shared" si="895"/>
        <v>30</v>
      </c>
      <c r="E2320" s="120">
        <f t="shared" si="896"/>
        <v>4</v>
      </c>
      <c r="F2320" s="275">
        <f t="shared" si="897"/>
        <v>46493</v>
      </c>
      <c r="G2320" s="120">
        <f t="shared" si="898"/>
        <v>24327</v>
      </c>
      <c r="H2320" s="245">
        <f t="shared" si="899"/>
        <v>1</v>
      </c>
      <c r="I2320" s="121">
        <f t="shared" si="900"/>
        <v>1.04</v>
      </c>
      <c r="J2320" s="121">
        <f t="shared" si="901"/>
        <v>1.04</v>
      </c>
      <c r="K2320" s="120">
        <f t="shared" si="902"/>
        <v>0</v>
      </c>
      <c r="L2320" s="120">
        <f t="shared" si="903"/>
        <v>0</v>
      </c>
      <c r="M2320" s="246">
        <f t="shared" si="904"/>
        <v>0</v>
      </c>
      <c r="N2320" s="121">
        <f t="shared" si="905"/>
        <v>1.04</v>
      </c>
      <c r="O2320" s="246">
        <f t="shared" si="906"/>
        <v>0.91431072210065645</v>
      </c>
      <c r="P2320" s="121">
        <f t="shared" si="907"/>
        <v>0</v>
      </c>
      <c r="Q2320" s="121">
        <f t="shared" si="908"/>
        <v>1</v>
      </c>
      <c r="R2320" s="121">
        <f t="shared" si="909"/>
        <v>0</v>
      </c>
      <c r="S2320" s="121" t="str">
        <f t="shared" si="910"/>
        <v/>
      </c>
      <c r="T2320" s="121" t="str">
        <f t="shared" si="911"/>
        <v/>
      </c>
      <c r="U2320" s="121">
        <f t="shared" si="912"/>
        <v>1.04</v>
      </c>
    </row>
    <row r="2321" spans="1:21" x14ac:dyDescent="0.3">
      <c r="A2321" s="187">
        <v>29</v>
      </c>
      <c r="B2321" s="242">
        <f t="shared" si="913"/>
        <v>46508</v>
      </c>
      <c r="C2321" s="243">
        <f t="shared" si="894"/>
        <v>46538</v>
      </c>
      <c r="D2321" s="120">
        <f t="shared" si="895"/>
        <v>31</v>
      </c>
      <c r="E2321" s="120">
        <f t="shared" si="896"/>
        <v>5</v>
      </c>
      <c r="F2321" s="275">
        <f t="shared" si="897"/>
        <v>46523.5</v>
      </c>
      <c r="G2321" s="120">
        <f t="shared" si="898"/>
        <v>24328</v>
      </c>
      <c r="H2321" s="245">
        <f t="shared" si="899"/>
        <v>1</v>
      </c>
      <c r="I2321" s="121">
        <f t="shared" si="900"/>
        <v>1.04</v>
      </c>
      <c r="J2321" s="121">
        <f t="shared" si="901"/>
        <v>1.04</v>
      </c>
      <c r="K2321" s="120">
        <f t="shared" si="902"/>
        <v>0</v>
      </c>
      <c r="L2321" s="120">
        <f t="shared" si="903"/>
        <v>0</v>
      </c>
      <c r="M2321" s="246">
        <f t="shared" si="904"/>
        <v>0</v>
      </c>
      <c r="N2321" s="121">
        <f t="shared" si="905"/>
        <v>1.04</v>
      </c>
      <c r="O2321" s="246">
        <f t="shared" si="906"/>
        <v>0.91497811816192565</v>
      </c>
      <c r="P2321" s="121">
        <f t="shared" si="907"/>
        <v>0</v>
      </c>
      <c r="Q2321" s="121">
        <f t="shared" si="908"/>
        <v>1</v>
      </c>
      <c r="R2321" s="121">
        <f t="shared" si="909"/>
        <v>0</v>
      </c>
      <c r="S2321" s="121" t="str">
        <f t="shared" si="910"/>
        <v/>
      </c>
      <c r="T2321" s="121" t="str">
        <f t="shared" si="911"/>
        <v/>
      </c>
      <c r="U2321" s="121">
        <f t="shared" si="912"/>
        <v>1.04</v>
      </c>
    </row>
    <row r="2322" spans="1:21" x14ac:dyDescent="0.3">
      <c r="A2322" s="187">
        <v>30</v>
      </c>
      <c r="B2322" s="242">
        <f t="shared" si="913"/>
        <v>46539</v>
      </c>
      <c r="C2322" s="243">
        <f t="shared" si="894"/>
        <v>46568</v>
      </c>
      <c r="D2322" s="120">
        <f t="shared" si="895"/>
        <v>30</v>
      </c>
      <c r="E2322" s="120">
        <f t="shared" si="896"/>
        <v>6</v>
      </c>
      <c r="F2322" s="275">
        <f t="shared" si="897"/>
        <v>46554</v>
      </c>
      <c r="G2322" s="120">
        <f t="shared" si="898"/>
        <v>24329</v>
      </c>
      <c r="H2322" s="245">
        <f t="shared" si="899"/>
        <v>1</v>
      </c>
      <c r="I2322" s="121">
        <f t="shared" si="900"/>
        <v>1.04</v>
      </c>
      <c r="J2322" s="121">
        <f t="shared" si="901"/>
        <v>1.04</v>
      </c>
      <c r="K2322" s="120">
        <f t="shared" si="902"/>
        <v>0</v>
      </c>
      <c r="L2322" s="120">
        <f t="shared" si="903"/>
        <v>0</v>
      </c>
      <c r="M2322" s="246">
        <f t="shared" si="904"/>
        <v>0</v>
      </c>
      <c r="N2322" s="121">
        <f t="shared" si="905"/>
        <v>1.04</v>
      </c>
      <c r="O2322" s="246">
        <f t="shared" si="906"/>
        <v>0.91564551422319473</v>
      </c>
      <c r="P2322" s="121">
        <f t="shared" si="907"/>
        <v>0</v>
      </c>
      <c r="Q2322" s="121">
        <f t="shared" si="908"/>
        <v>1</v>
      </c>
      <c r="R2322" s="121">
        <f t="shared" si="909"/>
        <v>0</v>
      </c>
      <c r="S2322" s="121" t="str">
        <f t="shared" si="910"/>
        <v/>
      </c>
      <c r="T2322" s="121" t="str">
        <f t="shared" si="911"/>
        <v/>
      </c>
      <c r="U2322" s="121">
        <f t="shared" si="912"/>
        <v>1.04</v>
      </c>
    </row>
    <row r="2323" spans="1:21" x14ac:dyDescent="0.3">
      <c r="A2323" s="187">
        <v>31</v>
      </c>
      <c r="B2323" s="242">
        <f t="shared" si="913"/>
        <v>46569</v>
      </c>
      <c r="C2323" s="243">
        <f t="shared" si="894"/>
        <v>46599</v>
      </c>
      <c r="D2323" s="120">
        <f t="shared" si="895"/>
        <v>31</v>
      </c>
      <c r="E2323" s="120">
        <f t="shared" si="896"/>
        <v>7</v>
      </c>
      <c r="F2323" s="275">
        <f t="shared" si="897"/>
        <v>46584.5</v>
      </c>
      <c r="G2323" s="120">
        <f t="shared" si="898"/>
        <v>24330</v>
      </c>
      <c r="H2323" s="245">
        <f t="shared" si="899"/>
        <v>1</v>
      </c>
      <c r="I2323" s="121">
        <f t="shared" si="900"/>
        <v>1.04</v>
      </c>
      <c r="J2323" s="121">
        <f t="shared" si="901"/>
        <v>1.04</v>
      </c>
      <c r="K2323" s="120">
        <f t="shared" si="902"/>
        <v>0</v>
      </c>
      <c r="L2323" s="120">
        <f t="shared" si="903"/>
        <v>0</v>
      </c>
      <c r="M2323" s="246">
        <f t="shared" si="904"/>
        <v>0</v>
      </c>
      <c r="N2323" s="121">
        <f t="shared" si="905"/>
        <v>1.04</v>
      </c>
      <c r="O2323" s="246">
        <f t="shared" si="906"/>
        <v>0.91631291028446393</v>
      </c>
      <c r="P2323" s="121">
        <f t="shared" si="907"/>
        <v>0</v>
      </c>
      <c r="Q2323" s="121">
        <f t="shared" si="908"/>
        <v>0.91666666666666663</v>
      </c>
      <c r="R2323" s="121">
        <f t="shared" si="909"/>
        <v>8.333333333333337E-2</v>
      </c>
      <c r="S2323" s="121" t="str">
        <f t="shared" si="910"/>
        <v/>
      </c>
      <c r="T2323" s="121" t="str">
        <f t="shared" si="911"/>
        <v/>
      </c>
      <c r="U2323" s="121">
        <f t="shared" si="912"/>
        <v>1.04</v>
      </c>
    </row>
    <row r="2324" spans="1:21" x14ac:dyDescent="0.3">
      <c r="A2324" s="187">
        <v>32</v>
      </c>
      <c r="B2324" s="242">
        <f t="shared" si="913"/>
        <v>46600</v>
      </c>
      <c r="C2324" s="243">
        <f t="shared" si="894"/>
        <v>46630</v>
      </c>
      <c r="D2324" s="120">
        <f t="shared" si="895"/>
        <v>31</v>
      </c>
      <c r="E2324" s="120">
        <f t="shared" si="896"/>
        <v>8</v>
      </c>
      <c r="F2324" s="275">
        <f t="shared" si="897"/>
        <v>46615.5</v>
      </c>
      <c r="G2324" s="120">
        <f t="shared" si="898"/>
        <v>24331</v>
      </c>
      <c r="H2324" s="245">
        <f t="shared" si="899"/>
        <v>1</v>
      </c>
      <c r="I2324" s="121">
        <f t="shared" si="900"/>
        <v>1.04</v>
      </c>
      <c r="J2324" s="121">
        <f t="shared" si="901"/>
        <v>1.04</v>
      </c>
      <c r="K2324" s="120">
        <f t="shared" si="902"/>
        <v>0</v>
      </c>
      <c r="L2324" s="120">
        <f t="shared" si="903"/>
        <v>0</v>
      </c>
      <c r="M2324" s="246">
        <f t="shared" si="904"/>
        <v>0</v>
      </c>
      <c r="N2324" s="121">
        <f t="shared" si="905"/>
        <v>1.04</v>
      </c>
      <c r="O2324" s="246">
        <f t="shared" si="906"/>
        <v>0.91699124726477033</v>
      </c>
      <c r="P2324" s="121">
        <f t="shared" si="907"/>
        <v>0</v>
      </c>
      <c r="Q2324" s="121">
        <f t="shared" si="908"/>
        <v>0.75</v>
      </c>
      <c r="R2324" s="121">
        <f t="shared" si="909"/>
        <v>0.25</v>
      </c>
      <c r="S2324" s="121" t="str">
        <f t="shared" si="910"/>
        <v/>
      </c>
      <c r="T2324" s="121" t="str">
        <f t="shared" si="911"/>
        <v/>
      </c>
      <c r="U2324" s="121">
        <f t="shared" si="912"/>
        <v>1.04</v>
      </c>
    </row>
    <row r="2325" spans="1:21" x14ac:dyDescent="0.3">
      <c r="A2325" s="187">
        <v>33</v>
      </c>
      <c r="B2325" s="242">
        <f t="shared" si="913"/>
        <v>46631</v>
      </c>
      <c r="C2325" s="243">
        <f t="shared" si="894"/>
        <v>46660</v>
      </c>
      <c r="D2325" s="120">
        <f t="shared" si="895"/>
        <v>30</v>
      </c>
      <c r="E2325" s="120">
        <f t="shared" si="896"/>
        <v>9</v>
      </c>
      <c r="F2325" s="275">
        <f t="shared" si="897"/>
        <v>46646</v>
      </c>
      <c r="G2325" s="120">
        <f t="shared" si="898"/>
        <v>24332</v>
      </c>
      <c r="H2325" s="245">
        <f t="shared" si="899"/>
        <v>1</v>
      </c>
      <c r="I2325" s="121">
        <f t="shared" si="900"/>
        <v>1.04</v>
      </c>
      <c r="J2325" s="121">
        <f t="shared" si="901"/>
        <v>1.04</v>
      </c>
      <c r="K2325" s="120">
        <f t="shared" si="902"/>
        <v>0</v>
      </c>
      <c r="L2325" s="120">
        <f t="shared" si="903"/>
        <v>0</v>
      </c>
      <c r="M2325" s="246">
        <f t="shared" si="904"/>
        <v>0</v>
      </c>
      <c r="N2325" s="121">
        <f t="shared" si="905"/>
        <v>1.04</v>
      </c>
      <c r="O2325" s="246">
        <f t="shared" si="906"/>
        <v>0.91765864332603941</v>
      </c>
      <c r="P2325" s="121">
        <f t="shared" si="907"/>
        <v>0</v>
      </c>
      <c r="Q2325" s="121">
        <f t="shared" si="908"/>
        <v>0.58333333333333337</v>
      </c>
      <c r="R2325" s="121">
        <f t="shared" si="909"/>
        <v>0.41666666666666663</v>
      </c>
      <c r="S2325" s="121" t="str">
        <f t="shared" si="910"/>
        <v/>
      </c>
      <c r="T2325" s="121" t="str">
        <f t="shared" si="911"/>
        <v/>
      </c>
      <c r="U2325" s="121">
        <f t="shared" si="912"/>
        <v>1.04</v>
      </c>
    </row>
    <row r="2326" spans="1:21" x14ac:dyDescent="0.3">
      <c r="A2326" s="187">
        <v>34</v>
      </c>
      <c r="B2326" s="242">
        <f t="shared" si="913"/>
        <v>46661</v>
      </c>
      <c r="C2326" s="243">
        <f t="shared" si="894"/>
        <v>46691</v>
      </c>
      <c r="D2326" s="120">
        <f t="shared" si="895"/>
        <v>31</v>
      </c>
      <c r="E2326" s="120">
        <f t="shared" si="896"/>
        <v>10</v>
      </c>
      <c r="F2326" s="275">
        <f t="shared" si="897"/>
        <v>46676.5</v>
      </c>
      <c r="G2326" s="120">
        <f t="shared" si="898"/>
        <v>24333</v>
      </c>
      <c r="H2326" s="245">
        <f t="shared" si="899"/>
        <v>1</v>
      </c>
      <c r="I2326" s="121">
        <f t="shared" si="900"/>
        <v>1.04</v>
      </c>
      <c r="J2326" s="121">
        <f t="shared" si="901"/>
        <v>1.04</v>
      </c>
      <c r="K2326" s="120">
        <f t="shared" si="902"/>
        <v>0</v>
      </c>
      <c r="L2326" s="120">
        <f t="shared" si="903"/>
        <v>0</v>
      </c>
      <c r="M2326" s="246">
        <f t="shared" si="904"/>
        <v>0</v>
      </c>
      <c r="N2326" s="121">
        <f t="shared" si="905"/>
        <v>1.04</v>
      </c>
      <c r="O2326" s="246">
        <f t="shared" si="906"/>
        <v>0.91832603938730861</v>
      </c>
      <c r="P2326" s="121">
        <f t="shared" si="907"/>
        <v>0</v>
      </c>
      <c r="Q2326" s="121">
        <f t="shared" si="908"/>
        <v>0.41666666666666669</v>
      </c>
      <c r="R2326" s="121">
        <f t="shared" si="909"/>
        <v>0.58333333333333326</v>
      </c>
      <c r="S2326" s="121" t="str">
        <f t="shared" si="910"/>
        <v/>
      </c>
      <c r="T2326" s="121" t="str">
        <f t="shared" si="911"/>
        <v/>
      </c>
      <c r="U2326" s="121">
        <f t="shared" si="912"/>
        <v>1.04</v>
      </c>
    </row>
    <row r="2327" spans="1:21" x14ac:dyDescent="0.3">
      <c r="A2327" s="187">
        <v>35</v>
      </c>
      <c r="B2327" s="242">
        <f t="shared" si="913"/>
        <v>46692</v>
      </c>
      <c r="C2327" s="243">
        <f t="shared" si="894"/>
        <v>46721</v>
      </c>
      <c r="D2327" s="120">
        <f t="shared" si="895"/>
        <v>30</v>
      </c>
      <c r="E2327" s="120">
        <f t="shared" si="896"/>
        <v>11</v>
      </c>
      <c r="F2327" s="275">
        <f t="shared" si="897"/>
        <v>46707</v>
      </c>
      <c r="G2327" s="120">
        <f t="shared" si="898"/>
        <v>24334</v>
      </c>
      <c r="H2327" s="245">
        <f t="shared" si="899"/>
        <v>1</v>
      </c>
      <c r="I2327" s="121">
        <f t="shared" si="900"/>
        <v>1.04</v>
      </c>
      <c r="J2327" s="121">
        <f t="shared" si="901"/>
        <v>1.04</v>
      </c>
      <c r="K2327" s="120">
        <f t="shared" si="902"/>
        <v>0</v>
      </c>
      <c r="L2327" s="120">
        <f t="shared" si="903"/>
        <v>0</v>
      </c>
      <c r="M2327" s="246">
        <f t="shared" si="904"/>
        <v>0</v>
      </c>
      <c r="N2327" s="121">
        <f t="shared" si="905"/>
        <v>1.04</v>
      </c>
      <c r="O2327" s="246">
        <f t="shared" si="906"/>
        <v>0.9189934354485777</v>
      </c>
      <c r="P2327" s="121">
        <f t="shared" si="907"/>
        <v>0</v>
      </c>
      <c r="Q2327" s="121">
        <f t="shared" si="908"/>
        <v>0.25</v>
      </c>
      <c r="R2327" s="121">
        <f t="shared" si="909"/>
        <v>0.75</v>
      </c>
      <c r="S2327" s="121" t="str">
        <f t="shared" si="910"/>
        <v/>
      </c>
      <c r="T2327" s="121" t="str">
        <f t="shared" si="911"/>
        <v/>
      </c>
      <c r="U2327" s="121">
        <f t="shared" si="912"/>
        <v>1.04</v>
      </c>
    </row>
    <row r="2328" spans="1:21" x14ac:dyDescent="0.3">
      <c r="A2328" s="187">
        <v>36</v>
      </c>
      <c r="B2328" s="242">
        <f t="shared" si="913"/>
        <v>46722</v>
      </c>
      <c r="C2328" s="243">
        <f t="shared" si="894"/>
        <v>46752</v>
      </c>
      <c r="D2328" s="120">
        <f t="shared" si="895"/>
        <v>31</v>
      </c>
      <c r="E2328" s="120">
        <f t="shared" si="896"/>
        <v>12</v>
      </c>
      <c r="F2328" s="275">
        <f t="shared" si="897"/>
        <v>46737.5</v>
      </c>
      <c r="G2328" s="120">
        <f t="shared" si="898"/>
        <v>24335</v>
      </c>
      <c r="H2328" s="245">
        <f t="shared" si="899"/>
        <v>1</v>
      </c>
      <c r="I2328" s="121">
        <f t="shared" si="900"/>
        <v>1.04</v>
      </c>
      <c r="J2328" s="121">
        <f t="shared" si="901"/>
        <v>1.04</v>
      </c>
      <c r="K2328" s="120">
        <f t="shared" si="902"/>
        <v>0</v>
      </c>
      <c r="L2328" s="120">
        <f t="shared" si="903"/>
        <v>0</v>
      </c>
      <c r="M2328" s="246">
        <f t="shared" si="904"/>
        <v>0</v>
      </c>
      <c r="N2328" s="121">
        <f t="shared" si="905"/>
        <v>1.04</v>
      </c>
      <c r="O2328" s="246">
        <f t="shared" si="906"/>
        <v>0.9196608315098469</v>
      </c>
      <c r="P2328" s="121">
        <f t="shared" si="907"/>
        <v>0</v>
      </c>
      <c r="Q2328" s="121">
        <f t="shared" si="908"/>
        <v>8.3333333333333329E-2</v>
      </c>
      <c r="R2328" s="121">
        <f t="shared" si="909"/>
        <v>0.91666666666666663</v>
      </c>
      <c r="S2328" s="121" t="str">
        <f t="shared" si="910"/>
        <v/>
      </c>
      <c r="T2328" s="121" t="str">
        <f t="shared" si="911"/>
        <v/>
      </c>
      <c r="U2328" s="121">
        <f t="shared" si="912"/>
        <v>1.04</v>
      </c>
    </row>
    <row r="2329" spans="1:21" x14ac:dyDescent="0.3">
      <c r="A2329" s="187">
        <v>37</v>
      </c>
      <c r="B2329" s="242">
        <f t="shared" si="913"/>
        <v>46753</v>
      </c>
      <c r="C2329" s="243">
        <f t="shared" si="894"/>
        <v>46783</v>
      </c>
      <c r="D2329" s="120">
        <f t="shared" si="895"/>
        <v>31</v>
      </c>
      <c r="E2329" s="120">
        <f t="shared" si="896"/>
        <v>1</v>
      </c>
      <c r="F2329" s="275">
        <f t="shared" si="897"/>
        <v>46768.5</v>
      </c>
      <c r="G2329" s="120">
        <f t="shared" si="898"/>
        <v>24336</v>
      </c>
      <c r="H2329" s="245">
        <f t="shared" si="899"/>
        <v>1</v>
      </c>
      <c r="I2329" s="121">
        <f t="shared" si="900"/>
        <v>1.04</v>
      </c>
      <c r="J2329" s="121">
        <f t="shared" si="901"/>
        <v>1.04</v>
      </c>
      <c r="K2329" s="120">
        <f t="shared" si="902"/>
        <v>0</v>
      </c>
      <c r="L2329" s="120">
        <f t="shared" si="903"/>
        <v>0</v>
      </c>
      <c r="M2329" s="246">
        <f t="shared" si="904"/>
        <v>0</v>
      </c>
      <c r="N2329" s="121">
        <f t="shared" si="905"/>
        <v>1.04</v>
      </c>
      <c r="O2329" s="246">
        <f t="shared" si="906"/>
        <v>0.92</v>
      </c>
      <c r="P2329" s="121">
        <f t="shared" si="907"/>
        <v>0</v>
      </c>
      <c r="Q2329" s="121">
        <f t="shared" si="908"/>
        <v>0</v>
      </c>
      <c r="R2329" s="121">
        <f t="shared" si="909"/>
        <v>1</v>
      </c>
      <c r="S2329" s="121" t="str">
        <f t="shared" si="910"/>
        <v/>
      </c>
      <c r="T2329" s="121" t="str">
        <f t="shared" si="911"/>
        <v/>
      </c>
      <c r="U2329" s="121">
        <f t="shared" si="912"/>
        <v>1.04</v>
      </c>
    </row>
    <row r="2330" spans="1:21" x14ac:dyDescent="0.3">
      <c r="A2330" s="187">
        <v>38</v>
      </c>
      <c r="B2330" s="242">
        <f t="shared" si="913"/>
        <v>46784</v>
      </c>
      <c r="C2330" s="243">
        <f t="shared" si="894"/>
        <v>46812</v>
      </c>
      <c r="D2330" s="120">
        <f t="shared" si="895"/>
        <v>29</v>
      </c>
      <c r="E2330" s="120">
        <f t="shared" si="896"/>
        <v>2</v>
      </c>
      <c r="F2330" s="275">
        <f t="shared" si="897"/>
        <v>46798.5</v>
      </c>
      <c r="G2330" s="120">
        <f t="shared" si="898"/>
        <v>24337</v>
      </c>
      <c r="H2330" s="245">
        <f t="shared" si="899"/>
        <v>1</v>
      </c>
      <c r="I2330" s="121">
        <f t="shared" si="900"/>
        <v>1.04</v>
      </c>
      <c r="J2330" s="121">
        <f t="shared" si="901"/>
        <v>1.04</v>
      </c>
      <c r="K2330" s="120">
        <f t="shared" si="902"/>
        <v>0</v>
      </c>
      <c r="L2330" s="120">
        <f t="shared" si="903"/>
        <v>0</v>
      </c>
      <c r="M2330" s="246">
        <f t="shared" si="904"/>
        <v>0</v>
      </c>
      <c r="N2330" s="121">
        <f t="shared" si="905"/>
        <v>1.04</v>
      </c>
      <c r="O2330" s="246">
        <f t="shared" si="906"/>
        <v>0.92</v>
      </c>
      <c r="P2330" s="121">
        <f t="shared" si="907"/>
        <v>0</v>
      </c>
      <c r="Q2330" s="121">
        <f t="shared" si="908"/>
        <v>0</v>
      </c>
      <c r="R2330" s="121">
        <f t="shared" si="909"/>
        <v>1</v>
      </c>
      <c r="S2330" s="121" t="str">
        <f t="shared" si="910"/>
        <v/>
      </c>
      <c r="T2330" s="121" t="str">
        <f t="shared" si="911"/>
        <v/>
      </c>
      <c r="U2330" s="121">
        <f t="shared" si="912"/>
        <v>1.04</v>
      </c>
    </row>
    <row r="2331" spans="1:21" x14ac:dyDescent="0.3">
      <c r="A2331" s="187">
        <v>39</v>
      </c>
      <c r="B2331" s="242">
        <f t="shared" si="913"/>
        <v>46813</v>
      </c>
      <c r="C2331" s="243">
        <f t="shared" si="894"/>
        <v>46843</v>
      </c>
      <c r="D2331" s="120">
        <f t="shared" si="895"/>
        <v>31</v>
      </c>
      <c r="E2331" s="120">
        <f t="shared" si="896"/>
        <v>3</v>
      </c>
      <c r="F2331" s="275">
        <f t="shared" si="897"/>
        <v>46828.5</v>
      </c>
      <c r="G2331" s="120">
        <f t="shared" si="898"/>
        <v>24338</v>
      </c>
      <c r="H2331" s="245">
        <f t="shared" si="899"/>
        <v>1</v>
      </c>
      <c r="I2331" s="121">
        <f t="shared" si="900"/>
        <v>1.04</v>
      </c>
      <c r="J2331" s="121">
        <f t="shared" si="901"/>
        <v>1.04</v>
      </c>
      <c r="K2331" s="120">
        <f t="shared" si="902"/>
        <v>0</v>
      </c>
      <c r="L2331" s="120">
        <f t="shared" si="903"/>
        <v>0</v>
      </c>
      <c r="M2331" s="246">
        <f t="shared" si="904"/>
        <v>0</v>
      </c>
      <c r="N2331" s="121">
        <f t="shared" si="905"/>
        <v>1.04</v>
      </c>
      <c r="O2331" s="246">
        <f t="shared" si="906"/>
        <v>0.92</v>
      </c>
      <c r="P2331" s="121">
        <f t="shared" si="907"/>
        <v>0</v>
      </c>
      <c r="Q2331" s="121">
        <f t="shared" si="908"/>
        <v>0</v>
      </c>
      <c r="R2331" s="121">
        <f t="shared" si="909"/>
        <v>1</v>
      </c>
      <c r="S2331" s="121" t="str">
        <f t="shared" si="910"/>
        <v/>
      </c>
      <c r="T2331" s="121" t="str">
        <f t="shared" si="911"/>
        <v/>
      </c>
      <c r="U2331" s="121">
        <f t="shared" si="912"/>
        <v>1.04</v>
      </c>
    </row>
    <row r="2332" spans="1:21" x14ac:dyDescent="0.3">
      <c r="A2332" s="187">
        <v>40</v>
      </c>
      <c r="B2332" s="242">
        <f t="shared" si="913"/>
        <v>46844</v>
      </c>
      <c r="C2332" s="243">
        <f t="shared" si="894"/>
        <v>46873</v>
      </c>
      <c r="D2332" s="120">
        <f t="shared" si="895"/>
        <v>30</v>
      </c>
      <c r="E2332" s="120">
        <f t="shared" si="896"/>
        <v>4</v>
      </c>
      <c r="F2332" s="275">
        <f t="shared" si="897"/>
        <v>46859</v>
      </c>
      <c r="G2332" s="120">
        <f t="shared" si="898"/>
        <v>24339</v>
      </c>
      <c r="H2332" s="245">
        <f t="shared" si="899"/>
        <v>1</v>
      </c>
      <c r="I2332" s="121">
        <f t="shared" si="900"/>
        <v>1.04</v>
      </c>
      <c r="J2332" s="121">
        <f t="shared" si="901"/>
        <v>1.04</v>
      </c>
      <c r="K2332" s="120">
        <f t="shared" si="902"/>
        <v>0</v>
      </c>
      <c r="L2332" s="120">
        <f t="shared" si="903"/>
        <v>0</v>
      </c>
      <c r="M2332" s="246">
        <f t="shared" si="904"/>
        <v>0</v>
      </c>
      <c r="N2332" s="121">
        <f t="shared" si="905"/>
        <v>1.04</v>
      </c>
      <c r="O2332" s="246">
        <f t="shared" si="906"/>
        <v>0.92</v>
      </c>
      <c r="P2332" s="121">
        <f t="shared" si="907"/>
        <v>0</v>
      </c>
      <c r="Q2332" s="121">
        <f t="shared" si="908"/>
        <v>0</v>
      </c>
      <c r="R2332" s="121">
        <f t="shared" si="909"/>
        <v>1</v>
      </c>
      <c r="S2332" s="121" t="str">
        <f t="shared" si="910"/>
        <v/>
      </c>
      <c r="T2332" s="121" t="str">
        <f t="shared" si="911"/>
        <v/>
      </c>
      <c r="U2332" s="121">
        <f t="shared" si="912"/>
        <v>1.04</v>
      </c>
    </row>
    <row r="2333" spans="1:21" x14ac:dyDescent="0.3">
      <c r="A2333" s="187">
        <v>41</v>
      </c>
      <c r="B2333" s="242">
        <f t="shared" si="913"/>
        <v>46874</v>
      </c>
      <c r="C2333" s="243">
        <f t="shared" si="894"/>
        <v>46904</v>
      </c>
      <c r="D2333" s="120">
        <f t="shared" si="895"/>
        <v>31</v>
      </c>
      <c r="E2333" s="120">
        <f t="shared" si="896"/>
        <v>5</v>
      </c>
      <c r="F2333" s="275">
        <f t="shared" si="897"/>
        <v>46889.5</v>
      </c>
      <c r="G2333" s="120">
        <f t="shared" si="898"/>
        <v>24340</v>
      </c>
      <c r="H2333" s="245">
        <f t="shared" si="899"/>
        <v>1</v>
      </c>
      <c r="I2333" s="121">
        <f t="shared" si="900"/>
        <v>1.04</v>
      </c>
      <c r="J2333" s="121">
        <f t="shared" si="901"/>
        <v>1.04</v>
      </c>
      <c r="K2333" s="120">
        <f t="shared" si="902"/>
        <v>0</v>
      </c>
      <c r="L2333" s="120">
        <f t="shared" si="903"/>
        <v>0</v>
      </c>
      <c r="M2333" s="246">
        <f t="shared" si="904"/>
        <v>0</v>
      </c>
      <c r="N2333" s="121">
        <f t="shared" si="905"/>
        <v>1.04</v>
      </c>
      <c r="O2333" s="246">
        <f t="shared" si="906"/>
        <v>0.92</v>
      </c>
      <c r="P2333" s="121">
        <f t="shared" si="907"/>
        <v>0</v>
      </c>
      <c r="Q2333" s="121">
        <f t="shared" si="908"/>
        <v>0</v>
      </c>
      <c r="R2333" s="121">
        <f t="shared" si="909"/>
        <v>1</v>
      </c>
      <c r="S2333" s="121" t="str">
        <f t="shared" si="910"/>
        <v/>
      </c>
      <c r="T2333" s="121" t="str">
        <f t="shared" si="911"/>
        <v/>
      </c>
      <c r="U2333" s="121">
        <f t="shared" si="912"/>
        <v>1.04</v>
      </c>
    </row>
    <row r="2334" spans="1:21" x14ac:dyDescent="0.3">
      <c r="A2334" s="187">
        <v>42</v>
      </c>
      <c r="B2334" s="242">
        <f t="shared" si="913"/>
        <v>46905</v>
      </c>
      <c r="C2334" s="243">
        <f t="shared" si="894"/>
        <v>46934</v>
      </c>
      <c r="D2334" s="120">
        <f t="shared" si="895"/>
        <v>30</v>
      </c>
      <c r="E2334" s="120">
        <f t="shared" si="896"/>
        <v>6</v>
      </c>
      <c r="F2334" s="275">
        <f t="shared" si="897"/>
        <v>46920</v>
      </c>
      <c r="G2334" s="120">
        <f t="shared" si="898"/>
        <v>24341</v>
      </c>
      <c r="H2334" s="245">
        <f t="shared" si="899"/>
        <v>1</v>
      </c>
      <c r="I2334" s="121">
        <f t="shared" si="900"/>
        <v>1.04</v>
      </c>
      <c r="J2334" s="121">
        <f t="shared" si="901"/>
        <v>1.04</v>
      </c>
      <c r="K2334" s="120">
        <f t="shared" si="902"/>
        <v>0</v>
      </c>
      <c r="L2334" s="120">
        <f t="shared" si="903"/>
        <v>0</v>
      </c>
      <c r="M2334" s="246">
        <f t="shared" si="904"/>
        <v>0</v>
      </c>
      <c r="N2334" s="121">
        <f t="shared" si="905"/>
        <v>1.04</v>
      </c>
      <c r="O2334" s="246">
        <f t="shared" si="906"/>
        <v>0.92</v>
      </c>
      <c r="P2334" s="121">
        <f t="shared" si="907"/>
        <v>0</v>
      </c>
      <c r="Q2334" s="121">
        <f t="shared" si="908"/>
        <v>0</v>
      </c>
      <c r="R2334" s="121">
        <f t="shared" si="909"/>
        <v>1</v>
      </c>
      <c r="S2334" s="121" t="str">
        <f t="shared" si="910"/>
        <v/>
      </c>
      <c r="T2334" s="121" t="str">
        <f t="shared" si="911"/>
        <v/>
      </c>
      <c r="U2334" s="121">
        <f t="shared" si="912"/>
        <v>1.04</v>
      </c>
    </row>
    <row r="2335" spans="1:21" x14ac:dyDescent="0.3">
      <c r="A2335" s="187">
        <v>43</v>
      </c>
      <c r="B2335" s="242">
        <f t="shared" si="913"/>
        <v>46935</v>
      </c>
      <c r="C2335" s="243">
        <f t="shared" si="894"/>
        <v>46965</v>
      </c>
      <c r="D2335" s="120">
        <f t="shared" si="895"/>
        <v>31</v>
      </c>
      <c r="E2335" s="120">
        <f t="shared" si="896"/>
        <v>7</v>
      </c>
      <c r="F2335" s="275">
        <f t="shared" si="897"/>
        <v>46950.5</v>
      </c>
      <c r="G2335" s="120">
        <f t="shared" si="898"/>
        <v>24342</v>
      </c>
      <c r="H2335" s="245">
        <f t="shared" si="899"/>
        <v>1</v>
      </c>
      <c r="I2335" s="121">
        <f t="shared" si="900"/>
        <v>1.04</v>
      </c>
      <c r="J2335" s="121">
        <f t="shared" si="901"/>
        <v>1.04</v>
      </c>
      <c r="K2335" s="120">
        <f t="shared" si="902"/>
        <v>0</v>
      </c>
      <c r="L2335" s="120">
        <f t="shared" si="903"/>
        <v>0</v>
      </c>
      <c r="M2335" s="246">
        <f t="shared" si="904"/>
        <v>0</v>
      </c>
      <c r="N2335" s="121">
        <f t="shared" si="905"/>
        <v>1.04</v>
      </c>
      <c r="O2335" s="246">
        <f t="shared" si="906"/>
        <v>0.92</v>
      </c>
      <c r="P2335" s="121">
        <f t="shared" si="907"/>
        <v>0</v>
      </c>
      <c r="Q2335" s="121">
        <f t="shared" si="908"/>
        <v>0</v>
      </c>
      <c r="R2335" s="121">
        <f t="shared" si="909"/>
        <v>0.91666666666666663</v>
      </c>
      <c r="S2335" s="121" t="str">
        <f t="shared" si="910"/>
        <v/>
      </c>
      <c r="T2335" s="121" t="str">
        <f t="shared" si="911"/>
        <v/>
      </c>
      <c r="U2335" s="121">
        <f t="shared" si="912"/>
        <v>1.04</v>
      </c>
    </row>
    <row r="2336" spans="1:21" x14ac:dyDescent="0.3">
      <c r="A2336" s="187">
        <v>44</v>
      </c>
      <c r="B2336" s="242">
        <f t="shared" si="913"/>
        <v>46966</v>
      </c>
      <c r="C2336" s="243">
        <f t="shared" si="894"/>
        <v>46996</v>
      </c>
      <c r="D2336" s="120">
        <f t="shared" si="895"/>
        <v>31</v>
      </c>
      <c r="E2336" s="120">
        <f t="shared" si="896"/>
        <v>8</v>
      </c>
      <c r="F2336" s="275">
        <f t="shared" si="897"/>
        <v>46981.5</v>
      </c>
      <c r="G2336" s="120">
        <f t="shared" si="898"/>
        <v>24343</v>
      </c>
      <c r="H2336" s="245">
        <f t="shared" si="899"/>
        <v>1</v>
      </c>
      <c r="I2336" s="121">
        <f t="shared" si="900"/>
        <v>1.04</v>
      </c>
      <c r="J2336" s="121">
        <f t="shared" si="901"/>
        <v>1.04</v>
      </c>
      <c r="K2336" s="120">
        <f t="shared" si="902"/>
        <v>0</v>
      </c>
      <c r="L2336" s="120">
        <f t="shared" si="903"/>
        <v>0</v>
      </c>
      <c r="M2336" s="246">
        <f t="shared" si="904"/>
        <v>0</v>
      </c>
      <c r="N2336" s="121">
        <f t="shared" si="905"/>
        <v>1.04</v>
      </c>
      <c r="O2336" s="246">
        <f t="shared" si="906"/>
        <v>0.92</v>
      </c>
      <c r="P2336" s="121">
        <f t="shared" si="907"/>
        <v>0</v>
      </c>
      <c r="Q2336" s="121">
        <f t="shared" si="908"/>
        <v>0</v>
      </c>
      <c r="R2336" s="121">
        <f t="shared" si="909"/>
        <v>0.75</v>
      </c>
      <c r="S2336" s="121" t="str">
        <f t="shared" si="910"/>
        <v/>
      </c>
      <c r="T2336" s="121" t="str">
        <f t="shared" si="911"/>
        <v/>
      </c>
      <c r="U2336" s="121">
        <f t="shared" si="912"/>
        <v>1.04</v>
      </c>
    </row>
    <row r="2337" spans="1:21" x14ac:dyDescent="0.3">
      <c r="A2337" s="187">
        <v>45</v>
      </c>
      <c r="B2337" s="242">
        <f t="shared" si="913"/>
        <v>46997</v>
      </c>
      <c r="C2337" s="243">
        <f t="shared" si="894"/>
        <v>47026</v>
      </c>
      <c r="D2337" s="120">
        <f t="shared" si="895"/>
        <v>30</v>
      </c>
      <c r="E2337" s="120">
        <f t="shared" si="896"/>
        <v>9</v>
      </c>
      <c r="F2337" s="275">
        <f t="shared" si="897"/>
        <v>47012</v>
      </c>
      <c r="G2337" s="120">
        <f t="shared" si="898"/>
        <v>24344</v>
      </c>
      <c r="H2337" s="245">
        <f t="shared" si="899"/>
        <v>1</v>
      </c>
      <c r="I2337" s="121">
        <f t="shared" si="900"/>
        <v>1.04</v>
      </c>
      <c r="J2337" s="121">
        <f t="shared" si="901"/>
        <v>1.04</v>
      </c>
      <c r="K2337" s="120">
        <f t="shared" si="902"/>
        <v>0</v>
      </c>
      <c r="L2337" s="120">
        <f t="shared" si="903"/>
        <v>0</v>
      </c>
      <c r="M2337" s="246">
        <f t="shared" si="904"/>
        <v>0</v>
      </c>
      <c r="N2337" s="121">
        <f t="shared" si="905"/>
        <v>1.04</v>
      </c>
      <c r="O2337" s="246">
        <f t="shared" si="906"/>
        <v>0.92</v>
      </c>
      <c r="P2337" s="121">
        <f t="shared" si="907"/>
        <v>0</v>
      </c>
      <c r="Q2337" s="121">
        <f t="shared" si="908"/>
        <v>0</v>
      </c>
      <c r="R2337" s="121">
        <f t="shared" si="909"/>
        <v>0.58333333333333337</v>
      </c>
      <c r="S2337" s="121" t="str">
        <f t="shared" si="910"/>
        <v/>
      </c>
      <c r="T2337" s="121" t="str">
        <f t="shared" si="911"/>
        <v/>
      </c>
      <c r="U2337" s="121">
        <f t="shared" si="912"/>
        <v>1.04</v>
      </c>
    </row>
    <row r="2338" spans="1:21" x14ac:dyDescent="0.3">
      <c r="A2338" s="187">
        <v>46</v>
      </c>
      <c r="B2338" s="242">
        <f t="shared" si="913"/>
        <v>47027</v>
      </c>
      <c r="C2338" s="243">
        <f t="shared" si="894"/>
        <v>47057</v>
      </c>
      <c r="D2338" s="120">
        <f t="shared" si="895"/>
        <v>31</v>
      </c>
      <c r="E2338" s="120">
        <f t="shared" si="896"/>
        <v>10</v>
      </c>
      <c r="F2338" s="275">
        <f t="shared" si="897"/>
        <v>47042.5</v>
      </c>
      <c r="G2338" s="120">
        <f t="shared" si="898"/>
        <v>24345</v>
      </c>
      <c r="H2338" s="245">
        <f t="shared" si="899"/>
        <v>1</v>
      </c>
      <c r="I2338" s="121">
        <f t="shared" si="900"/>
        <v>1.04</v>
      </c>
      <c r="J2338" s="121">
        <f t="shared" si="901"/>
        <v>1.04</v>
      </c>
      <c r="K2338" s="120">
        <f t="shared" si="902"/>
        <v>0</v>
      </c>
      <c r="L2338" s="120">
        <f t="shared" si="903"/>
        <v>0</v>
      </c>
      <c r="M2338" s="246">
        <f t="shared" si="904"/>
        <v>0</v>
      </c>
      <c r="N2338" s="121">
        <f t="shared" si="905"/>
        <v>1.04</v>
      </c>
      <c r="O2338" s="246">
        <f t="shared" si="906"/>
        <v>0.92</v>
      </c>
      <c r="P2338" s="121">
        <f t="shared" si="907"/>
        <v>0</v>
      </c>
      <c r="Q2338" s="121">
        <f t="shared" si="908"/>
        <v>0</v>
      </c>
      <c r="R2338" s="121">
        <f t="shared" si="909"/>
        <v>0.41666666666666669</v>
      </c>
      <c r="S2338" s="121" t="str">
        <f t="shared" si="910"/>
        <v/>
      </c>
      <c r="T2338" s="121" t="str">
        <f t="shared" si="911"/>
        <v/>
      </c>
      <c r="U2338" s="121">
        <f t="shared" si="912"/>
        <v>1.04</v>
      </c>
    </row>
    <row r="2339" spans="1:21" x14ac:dyDescent="0.3">
      <c r="A2339" s="187">
        <v>47</v>
      </c>
      <c r="B2339" s="242">
        <f t="shared" si="913"/>
        <v>47058</v>
      </c>
      <c r="C2339" s="243">
        <f t="shared" si="894"/>
        <v>47087</v>
      </c>
      <c r="D2339" s="120">
        <f t="shared" si="895"/>
        <v>30</v>
      </c>
      <c r="E2339" s="120">
        <f t="shared" si="896"/>
        <v>11</v>
      </c>
      <c r="F2339" s="275">
        <f t="shared" si="897"/>
        <v>47073</v>
      </c>
      <c r="G2339" s="120">
        <f t="shared" si="898"/>
        <v>24346</v>
      </c>
      <c r="H2339" s="245">
        <f t="shared" si="899"/>
        <v>1</v>
      </c>
      <c r="I2339" s="121">
        <f t="shared" si="900"/>
        <v>1.04</v>
      </c>
      <c r="J2339" s="121">
        <f t="shared" si="901"/>
        <v>1.04</v>
      </c>
      <c r="K2339" s="120">
        <f t="shared" si="902"/>
        <v>0</v>
      </c>
      <c r="L2339" s="120">
        <f t="shared" si="903"/>
        <v>0</v>
      </c>
      <c r="M2339" s="246">
        <f t="shared" si="904"/>
        <v>0</v>
      </c>
      <c r="N2339" s="121">
        <f t="shared" si="905"/>
        <v>1.04</v>
      </c>
      <c r="O2339" s="246">
        <f t="shared" si="906"/>
        <v>0.92</v>
      </c>
      <c r="P2339" s="121">
        <f t="shared" si="907"/>
        <v>0</v>
      </c>
      <c r="Q2339" s="121">
        <f t="shared" si="908"/>
        <v>0</v>
      </c>
      <c r="R2339" s="121">
        <f t="shared" si="909"/>
        <v>0.25</v>
      </c>
      <c r="S2339" s="121" t="str">
        <f t="shared" si="910"/>
        <v/>
      </c>
      <c r="T2339" s="121" t="str">
        <f t="shared" si="911"/>
        <v/>
      </c>
      <c r="U2339" s="121">
        <f t="shared" si="912"/>
        <v>1.04</v>
      </c>
    </row>
    <row r="2340" spans="1:21" x14ac:dyDescent="0.3">
      <c r="A2340" s="187">
        <v>48</v>
      </c>
      <c r="B2340" s="242">
        <f t="shared" si="913"/>
        <v>47088</v>
      </c>
      <c r="C2340" s="243">
        <f t="shared" si="894"/>
        <v>47118</v>
      </c>
      <c r="D2340" s="120">
        <f t="shared" si="895"/>
        <v>31</v>
      </c>
      <c r="E2340" s="120">
        <f t="shared" si="896"/>
        <v>12</v>
      </c>
      <c r="F2340" s="275">
        <f t="shared" si="897"/>
        <v>47103.5</v>
      </c>
      <c r="G2340" s="120">
        <f t="shared" si="898"/>
        <v>24347</v>
      </c>
      <c r="H2340" s="245">
        <f t="shared" si="899"/>
        <v>1</v>
      </c>
      <c r="I2340" s="121">
        <f t="shared" si="900"/>
        <v>1.04</v>
      </c>
      <c r="J2340" s="121">
        <f t="shared" si="901"/>
        <v>1.04</v>
      </c>
      <c r="K2340" s="120">
        <f t="shared" si="902"/>
        <v>0</v>
      </c>
      <c r="L2340" s="120">
        <f t="shared" si="903"/>
        <v>0</v>
      </c>
      <c r="M2340" s="246">
        <f t="shared" si="904"/>
        <v>0</v>
      </c>
      <c r="N2340" s="121">
        <f t="shared" si="905"/>
        <v>1.04</v>
      </c>
      <c r="O2340" s="246">
        <f t="shared" si="906"/>
        <v>0.92</v>
      </c>
      <c r="P2340" s="121">
        <f t="shared" si="907"/>
        <v>0</v>
      </c>
      <c r="Q2340" s="121">
        <f t="shared" si="908"/>
        <v>0</v>
      </c>
      <c r="R2340" s="121">
        <f t="shared" si="909"/>
        <v>8.3333333333333329E-2</v>
      </c>
      <c r="S2340" s="121" t="str">
        <f t="shared" si="910"/>
        <v/>
      </c>
      <c r="T2340" s="121" t="str">
        <f t="shared" si="911"/>
        <v/>
      </c>
      <c r="U2340" s="121">
        <f t="shared" si="912"/>
        <v>1.04</v>
      </c>
    </row>
    <row r="2341" spans="1:21" x14ac:dyDescent="0.3">
      <c r="A2341" s="6" t="s">
        <v>1651</v>
      </c>
      <c r="B2341" s="73">
        <f>EXP(SUMPRODUCT((rl_key=$A$2290)*(rl_cons="Y")*rl_ln1p))</f>
        <v>1</v>
      </c>
      <c r="C2341" s="73">
        <f>SUMPRODUCT($H$2293:$H$2340,$P$2293:$P$2340,$U$2293:$U$2340)/SUMPRODUCT($H$2293:$H$2340,$P$2293:$P$2340)</f>
        <v>1</v>
      </c>
      <c r="D2341" s="73">
        <f>SUMPRODUCT($H$2293:$H$2340,$Q$2293:$Q$2340,$U$2293:$U$2340)/SUMPRODUCT($H$2293:$H$2340,$Q$2293:$Q$2340)</f>
        <v>1.0266666666666666</v>
      </c>
      <c r="E2341" s="73">
        <f>SUMPRODUCT($H$2293:$H$2340,$R$2293:$R$2340,$U$2293:$U$2340)/SUMPRODUCT($H$2293:$H$2340,$R$2293:$R$2340)</f>
        <v>1.0399999999999998</v>
      </c>
      <c r="F2341" s="224">
        <f>SUMPRODUCT($H$2293:$H$2340,$Q$2293:$Q$2340,$O$2293:$O$2340)/SUMPRODUCT($H$2293:$H$2340,$Q$2293:$Q$2340)</f>
        <v>0.91399252370532447</v>
      </c>
      <c r="G2341" s="224">
        <f>SUMPRODUCT($H$2293:$H$2340,$R$2293:$R$2340,$O$2293:$O$2340)/SUMPRODUCT($H$2293:$H$2340,$R$2293:$R$2340)</f>
        <v>0.91966022368101141</v>
      </c>
      <c r="H2341" s="73">
        <f>SUMPRODUCT($H$2317:$H$2328,$N$2317:$N$2328/$N$2305:$N$2316)/SUM($H$2317:$H$2328)</f>
        <v>1.0366666666666664</v>
      </c>
      <c r="I2341" s="73">
        <f>SUMPRODUCT($H$2317:$H$2328,$O$2317:$O$2328/$O$2305:$O$2316)/SUM($H$2317:$H$2328)</f>
        <v>1.0087961468131064</v>
      </c>
      <c r="J2341" s="73">
        <f>IF($O$2290=1,SUMPRODUCT($H$2317:$H$2328,$N$2317:$N$2328/$N$2305:$N$2316*$O$2317:$O$2328/$O$2305:$O$2316)/SUM($H$2317:$H$2328),$H2341)</f>
        <v>1.0457852211382692</v>
      </c>
      <c r="K2341" s="73">
        <f>SUMPRODUCT($H$2293:$H$2340,$Q$2293:$Q$2340,$N$2293:$N$2340)/SUMPRODUCT($H$2293:$H$2340,$Q$2293:$Q$2340)</f>
        <v>1.0266666666666666</v>
      </c>
      <c r="L2341" s="73">
        <f>SUMPRODUCT($H$2293:$H$2340,$R$2293:$R$2340,$N$2293:$N$2340)/SUMPRODUCT($H$2293:$H$2340,$R$2293:$R$2340)</f>
        <v>1.0399999999999998</v>
      </c>
    </row>
    <row r="2344" spans="1:21" x14ac:dyDescent="0.3">
      <c r="A2344" s="6" t="str">
        <f>INDEX(lr_key,43)</f>
        <v>SBA|AZ</v>
      </c>
      <c r="B2344" s="6" t="str">
        <f>INDEX(lr_state,43)</f>
        <v>AZ</v>
      </c>
      <c r="C2344" s="75">
        <f>nr_TermMonths</f>
        <v>6</v>
      </c>
      <c r="D2344" s="75">
        <f>IF(COUNTIF(se_state,$B2344)=0,0,MATCH($B2344,se_state,0))</f>
        <v>0</v>
      </c>
      <c r="E2344" s="70">
        <f>IF($D2344=0,0,INDEX(se_sum,$D2344))</f>
        <v>0</v>
      </c>
      <c r="F2344" s="224">
        <f>IF(N(INDEX(lr_mind,43))=0,1,INDEX(lr_mind,43))</f>
        <v>0.92</v>
      </c>
      <c r="G2344" s="224">
        <f>IF(N(INDEX(lr_m0,43))=0,1,INDEX(lr_m0,43))</f>
        <v>0.91</v>
      </c>
      <c r="H2344" s="74">
        <f>IF(N(INDEX(lr_m0asof,43))=0,DATE(nr_PlanYear-1,10,1),INDEX(lr_m0asof,43))</f>
        <v>46295</v>
      </c>
      <c r="I2344" s="224">
        <f>IF(N(INDEX(lr_m1,43))=0,1,INDEX(lr_m1,43))</f>
        <v>0.9</v>
      </c>
      <c r="J2344" s="224">
        <f>INDEX(lr_mprior,43)</f>
        <v>0</v>
      </c>
      <c r="K2344" s="224">
        <f>INDEX(lr_m2,43)</f>
        <v>0</v>
      </c>
      <c r="L2344" s="6" t="b">
        <f>NOT(ISBLANK(INDEX(lr_netp,43)))</f>
        <v>0</v>
      </c>
      <c r="M2344" s="72">
        <f>N(INDEX(lr_netp,43))</f>
        <v>0</v>
      </c>
      <c r="N2344" s="72">
        <f>IF(ISBLANK(INDEX(lr_netp1,43)),$M$2344,N(INDEX(lr_netp1,43)))</f>
        <v>0</v>
      </c>
      <c r="O2344" s="75">
        <f>IF(AND(nr_ModAdjMaster="ON",INDEX(lr_modadj,43)="ON"),1,0)</f>
        <v>1</v>
      </c>
    </row>
    <row r="2345" spans="1:21" x14ac:dyDescent="0.3">
      <c r="A2345" s="6">
        <f>EDATE($H$2344,-12)+1</f>
        <v>45931</v>
      </c>
      <c r="B2345" s="6">
        <f>$H$2344+1</f>
        <v>46296</v>
      </c>
      <c r="C2345" s="6">
        <f>DATE(nr_PlanYear,12,31)+1</f>
        <v>46753</v>
      </c>
      <c r="D2345" s="6">
        <f>DATE(nr_PlanYear+1,12,31)+1</f>
        <v>47119</v>
      </c>
      <c r="E2345" s="6">
        <f>IF(N($J$2344)=0,$F$2345-($G$2345-$F$2345)/($C$2345-$B$2345)*($B$2345-$A$2345),$J$2344)</f>
        <v>0.91798687089715536</v>
      </c>
      <c r="F2345" s="6">
        <f>$G$2344</f>
        <v>0.91</v>
      </c>
      <c r="G2345" s="6">
        <f>$I$2344</f>
        <v>0.9</v>
      </c>
      <c r="H2345" s="6">
        <f>IF(N($K$2344)=0,$I$2344,$K$2344)</f>
        <v>0.9</v>
      </c>
      <c r="I2345" s="6">
        <f>($F$2345-$E$2345)/($B$2345-$A$2345)</f>
        <v>-2.1881838074398162E-5</v>
      </c>
      <c r="J2345" s="6">
        <f>($G$2345-$F$2345)/($C$2345-$B$2345)</f>
        <v>-2.188183807439827E-5</v>
      </c>
      <c r="K2345" s="6">
        <f>($H$2345-$G$2345)/($D$2345-$C$2345)</f>
        <v>0</v>
      </c>
    </row>
    <row r="2346" spans="1:21" ht="36" x14ac:dyDescent="0.3">
      <c r="A2346" s="58" t="s">
        <v>390</v>
      </c>
      <c r="B2346" s="58" t="s">
        <v>449</v>
      </c>
      <c r="C2346" s="58" t="s">
        <v>685</v>
      </c>
      <c r="D2346" s="58" t="s">
        <v>686</v>
      </c>
      <c r="E2346" s="58" t="s">
        <v>687</v>
      </c>
      <c r="F2346" s="58" t="s">
        <v>688</v>
      </c>
      <c r="G2346" s="58" t="s">
        <v>689</v>
      </c>
      <c r="H2346" s="58" t="s">
        <v>452</v>
      </c>
      <c r="I2346" s="58" t="s">
        <v>690</v>
      </c>
      <c r="J2346" s="58" t="s">
        <v>691</v>
      </c>
      <c r="K2346" s="58" t="s">
        <v>692</v>
      </c>
      <c r="L2346" s="58" t="s">
        <v>693</v>
      </c>
      <c r="M2346" s="58" t="s">
        <v>694</v>
      </c>
      <c r="N2346" s="58" t="s">
        <v>695</v>
      </c>
      <c r="O2346" s="58" t="s">
        <v>696</v>
      </c>
      <c r="P2346" s="58" t="s">
        <v>697</v>
      </c>
      <c r="Q2346" s="58" t="s">
        <v>698</v>
      </c>
      <c r="R2346" s="58" t="s">
        <v>699</v>
      </c>
      <c r="S2346" s="58" t="s">
        <v>700</v>
      </c>
      <c r="T2346" s="58" t="s">
        <v>701</v>
      </c>
      <c r="U2346" s="58" t="s">
        <v>702</v>
      </c>
    </row>
    <row r="2347" spans="1:21" x14ac:dyDescent="0.3">
      <c r="A2347" s="187">
        <v>1</v>
      </c>
      <c r="B2347" s="242">
        <f>DATE(nr_PlanYear-2,1,1)</f>
        <v>45658</v>
      </c>
      <c r="C2347" s="243">
        <f t="shared" ref="C2347:C2394" si="914">EOMONTH($B2347,0)</f>
        <v>45688</v>
      </c>
      <c r="D2347" s="120">
        <f t="shared" ref="D2347:D2394" si="915">$C2347-$B2347+1</f>
        <v>31</v>
      </c>
      <c r="E2347" s="120">
        <f t="shared" ref="E2347:E2394" si="916">MONTH($B2347)</f>
        <v>1</v>
      </c>
      <c r="F2347" s="275">
        <f t="shared" ref="F2347:F2394" si="917">($B2347+$C2347+1)/2</f>
        <v>45673.5</v>
      </c>
      <c r="G2347" s="120">
        <f t="shared" ref="G2347:G2394" si="918">YEAR($B2347)*12+MONTH($B2347)-1</f>
        <v>24300</v>
      </c>
      <c r="H2347" s="245">
        <f t="shared" ref="H2347:H2394" si="919">IF(OR(nr_SeasonOn="OFF",$D$2344=0,$E$2344=0),1,12*INDEX(se_block,$D$2344,$E2347)/$E$2344)</f>
        <v>1</v>
      </c>
      <c r="I2347" s="121">
        <f t="shared" ref="I2347:I2394" si="920">EXP(SUMPRODUCT((rl_eff&lt;$B2347)*(rl_key=$A$2344)*rl_ln1p))</f>
        <v>1</v>
      </c>
      <c r="J2347" s="121">
        <f t="shared" ref="J2347:J2394" si="921">EXP(SUMPRODUCT((rl_eff&lt;=$C2347)*(rl_key=$A$2344)*rl_ln1p))</f>
        <v>1</v>
      </c>
      <c r="K2347" s="120">
        <f t="shared" ref="K2347:K2394" si="922">COUNTIFS(rl_key,$A$2344,rl_eff,"&gt;="&amp;$B2347,rl_eff,"&lt;="&amp;$C2347)</f>
        <v>0</v>
      </c>
      <c r="L2347" s="120">
        <f t="shared" ref="L2347:L2394" si="923">SUMIFS(rl_daysafter,rl_key,$A$2344,rl_effmonth,$B2347,rl_first,1)</f>
        <v>0</v>
      </c>
      <c r="M2347" s="246">
        <f t="shared" ref="M2347:M2394" si="924">IF($K2347=0,0,MIN(1,$L2347/$D2347))</f>
        <v>0</v>
      </c>
      <c r="N2347" s="121">
        <f t="shared" ref="N2347:N2394" si="925">IF($K2347=0,$J2347,(1-$M2347)*$I2347+$M2347*$J2347)</f>
        <v>1</v>
      </c>
      <c r="O2347" s="246">
        <f t="shared" ref="O2347:O2394" si="926">IF($F2347&lt;$B$2345,$E$2345+$I$2345*($F2347-$A$2345),IF($F2347&lt;$C$2345,$F$2345+$J$2345*($F2347-$B$2345),$G$2345+$K$2345*($F2347-$C$2345)))</f>
        <v>0.92362144420131287</v>
      </c>
      <c r="P2347" s="121">
        <f t="shared" ref="P2347:P2394" si="927">MIN(1,MAX(0,(nr_MEndPm1-$G2347+0.5)/$C$2344))-MIN(1,MAX(0,(nr_MStartPm1-1-$G2347+0.5)/$C$2344))</f>
        <v>0</v>
      </c>
      <c r="Q2347" s="121">
        <f t="shared" ref="Q2347:Q2394" si="928">MIN(1,MAX(0,(nr_MEndP-$G2347+0.5)/$C$2344))-MIN(1,MAX(0,(nr_MStartP-1-$G2347+0.5)/$C$2344))</f>
        <v>0</v>
      </c>
      <c r="R2347" s="121">
        <f t="shared" ref="R2347:R2394" si="929">MIN(1,MAX(0,(nr_MEndP1-$G2347+0.5)/$C$2344))-MIN(1,MAX(0,(nr_MStartP1-1-$G2347+0.5)/$C$2344))</f>
        <v>0</v>
      </c>
      <c r="S2347" s="121" t="str">
        <f t="shared" ref="S2347:S2394" si="930">IF($L$2344,$N2347*IF($O$2344=1,$O2347/$F$2344,1),"")</f>
        <v/>
      </c>
      <c r="T2347" s="121" t="str">
        <f t="shared" ref="T2347:T2394" si="931">IF(NOT($L$2344),"",IF($G2347&lt;nr_MStartP,$S2347,$T2335*(1+IF($G2347&lt;nr_MStartP1,$M$2344,$N$2344))))</f>
        <v/>
      </c>
      <c r="U2347" s="121">
        <f t="shared" ref="U2347:U2394" si="932">IF($L$2344,$T2347,$N2347)</f>
        <v>1</v>
      </c>
    </row>
    <row r="2348" spans="1:21" x14ac:dyDescent="0.3">
      <c r="A2348" s="187">
        <v>2</v>
      </c>
      <c r="B2348" s="242">
        <f t="shared" ref="B2348:B2394" si="933">EDATE($B2347,1)</f>
        <v>45689</v>
      </c>
      <c r="C2348" s="243">
        <f t="shared" si="914"/>
        <v>45716</v>
      </c>
      <c r="D2348" s="120">
        <f t="shared" si="915"/>
        <v>28</v>
      </c>
      <c r="E2348" s="120">
        <f t="shared" si="916"/>
        <v>2</v>
      </c>
      <c r="F2348" s="275">
        <f t="shared" si="917"/>
        <v>45703</v>
      </c>
      <c r="G2348" s="120">
        <f t="shared" si="918"/>
        <v>24301</v>
      </c>
      <c r="H2348" s="245">
        <f t="shared" si="919"/>
        <v>1</v>
      </c>
      <c r="I2348" s="121">
        <f t="shared" si="920"/>
        <v>1</v>
      </c>
      <c r="J2348" s="121">
        <f t="shared" si="921"/>
        <v>1</v>
      </c>
      <c r="K2348" s="120">
        <f t="shared" si="922"/>
        <v>0</v>
      </c>
      <c r="L2348" s="120">
        <f t="shared" si="923"/>
        <v>0</v>
      </c>
      <c r="M2348" s="246">
        <f t="shared" si="924"/>
        <v>0</v>
      </c>
      <c r="N2348" s="121">
        <f t="shared" si="925"/>
        <v>1</v>
      </c>
      <c r="O2348" s="246">
        <f t="shared" si="926"/>
        <v>0.92297592997811817</v>
      </c>
      <c r="P2348" s="121">
        <f t="shared" si="927"/>
        <v>0</v>
      </c>
      <c r="Q2348" s="121">
        <f t="shared" si="928"/>
        <v>0</v>
      </c>
      <c r="R2348" s="121">
        <f t="shared" si="929"/>
        <v>0</v>
      </c>
      <c r="S2348" s="121" t="str">
        <f t="shared" si="930"/>
        <v/>
      </c>
      <c r="T2348" s="121" t="str">
        <f t="shared" si="931"/>
        <v/>
      </c>
      <c r="U2348" s="121">
        <f t="shared" si="932"/>
        <v>1</v>
      </c>
    </row>
    <row r="2349" spans="1:21" x14ac:dyDescent="0.3">
      <c r="A2349" s="187">
        <v>3</v>
      </c>
      <c r="B2349" s="242">
        <f t="shared" si="933"/>
        <v>45717</v>
      </c>
      <c r="C2349" s="243">
        <f t="shared" si="914"/>
        <v>45747</v>
      </c>
      <c r="D2349" s="120">
        <f t="shared" si="915"/>
        <v>31</v>
      </c>
      <c r="E2349" s="120">
        <f t="shared" si="916"/>
        <v>3</v>
      </c>
      <c r="F2349" s="275">
        <f t="shared" si="917"/>
        <v>45732.5</v>
      </c>
      <c r="G2349" s="120">
        <f t="shared" si="918"/>
        <v>24302</v>
      </c>
      <c r="H2349" s="245">
        <f t="shared" si="919"/>
        <v>1</v>
      </c>
      <c r="I2349" s="121">
        <f t="shared" si="920"/>
        <v>1</v>
      </c>
      <c r="J2349" s="121">
        <f t="shared" si="921"/>
        <v>1</v>
      </c>
      <c r="K2349" s="120">
        <f t="shared" si="922"/>
        <v>0</v>
      </c>
      <c r="L2349" s="120">
        <f t="shared" si="923"/>
        <v>0</v>
      </c>
      <c r="M2349" s="246">
        <f t="shared" si="924"/>
        <v>0</v>
      </c>
      <c r="N2349" s="121">
        <f t="shared" si="925"/>
        <v>1</v>
      </c>
      <c r="O2349" s="246">
        <f t="shared" si="926"/>
        <v>0.92233041575492336</v>
      </c>
      <c r="P2349" s="121">
        <f t="shared" si="927"/>
        <v>0</v>
      </c>
      <c r="Q2349" s="121">
        <f t="shared" si="928"/>
        <v>0</v>
      </c>
      <c r="R2349" s="121">
        <f t="shared" si="929"/>
        <v>0</v>
      </c>
      <c r="S2349" s="121" t="str">
        <f t="shared" si="930"/>
        <v/>
      </c>
      <c r="T2349" s="121" t="str">
        <f t="shared" si="931"/>
        <v/>
      </c>
      <c r="U2349" s="121">
        <f t="shared" si="932"/>
        <v>1</v>
      </c>
    </row>
    <row r="2350" spans="1:21" x14ac:dyDescent="0.3">
      <c r="A2350" s="187">
        <v>4</v>
      </c>
      <c r="B2350" s="242">
        <f t="shared" si="933"/>
        <v>45748</v>
      </c>
      <c r="C2350" s="243">
        <f t="shared" si="914"/>
        <v>45777</v>
      </c>
      <c r="D2350" s="120">
        <f t="shared" si="915"/>
        <v>30</v>
      </c>
      <c r="E2350" s="120">
        <f t="shared" si="916"/>
        <v>4</v>
      </c>
      <c r="F2350" s="275">
        <f t="shared" si="917"/>
        <v>45763</v>
      </c>
      <c r="G2350" s="120">
        <f t="shared" si="918"/>
        <v>24303</v>
      </c>
      <c r="H2350" s="245">
        <f t="shared" si="919"/>
        <v>1</v>
      </c>
      <c r="I2350" s="121">
        <f t="shared" si="920"/>
        <v>1</v>
      </c>
      <c r="J2350" s="121">
        <f t="shared" si="921"/>
        <v>1</v>
      </c>
      <c r="K2350" s="120">
        <f t="shared" si="922"/>
        <v>0</v>
      </c>
      <c r="L2350" s="120">
        <f t="shared" si="923"/>
        <v>0</v>
      </c>
      <c r="M2350" s="246">
        <f t="shared" si="924"/>
        <v>0</v>
      </c>
      <c r="N2350" s="121">
        <f t="shared" si="925"/>
        <v>1</v>
      </c>
      <c r="O2350" s="246">
        <f t="shared" si="926"/>
        <v>0.92166301969365427</v>
      </c>
      <c r="P2350" s="121">
        <f t="shared" si="927"/>
        <v>0</v>
      </c>
      <c r="Q2350" s="121">
        <f t="shared" si="928"/>
        <v>0</v>
      </c>
      <c r="R2350" s="121">
        <f t="shared" si="929"/>
        <v>0</v>
      </c>
      <c r="S2350" s="121" t="str">
        <f t="shared" si="930"/>
        <v/>
      </c>
      <c r="T2350" s="121" t="str">
        <f t="shared" si="931"/>
        <v/>
      </c>
      <c r="U2350" s="121">
        <f t="shared" si="932"/>
        <v>1</v>
      </c>
    </row>
    <row r="2351" spans="1:21" x14ac:dyDescent="0.3">
      <c r="A2351" s="187">
        <v>5</v>
      </c>
      <c r="B2351" s="242">
        <f t="shared" si="933"/>
        <v>45778</v>
      </c>
      <c r="C2351" s="243">
        <f t="shared" si="914"/>
        <v>45808</v>
      </c>
      <c r="D2351" s="120">
        <f t="shared" si="915"/>
        <v>31</v>
      </c>
      <c r="E2351" s="120">
        <f t="shared" si="916"/>
        <v>5</v>
      </c>
      <c r="F2351" s="275">
        <f t="shared" si="917"/>
        <v>45793.5</v>
      </c>
      <c r="G2351" s="120">
        <f t="shared" si="918"/>
        <v>24304</v>
      </c>
      <c r="H2351" s="245">
        <f t="shared" si="919"/>
        <v>1</v>
      </c>
      <c r="I2351" s="121">
        <f t="shared" si="920"/>
        <v>1</v>
      </c>
      <c r="J2351" s="121">
        <f t="shared" si="921"/>
        <v>1</v>
      </c>
      <c r="K2351" s="120">
        <f t="shared" si="922"/>
        <v>0</v>
      </c>
      <c r="L2351" s="120">
        <f t="shared" si="923"/>
        <v>0</v>
      </c>
      <c r="M2351" s="246">
        <f t="shared" si="924"/>
        <v>0</v>
      </c>
      <c r="N2351" s="121">
        <f t="shared" si="925"/>
        <v>1</v>
      </c>
      <c r="O2351" s="246">
        <f t="shared" si="926"/>
        <v>0.92099562363238507</v>
      </c>
      <c r="P2351" s="121">
        <f t="shared" si="927"/>
        <v>0</v>
      </c>
      <c r="Q2351" s="121">
        <f t="shared" si="928"/>
        <v>0</v>
      </c>
      <c r="R2351" s="121">
        <f t="shared" si="929"/>
        <v>0</v>
      </c>
      <c r="S2351" s="121" t="str">
        <f t="shared" si="930"/>
        <v/>
      </c>
      <c r="T2351" s="121" t="str">
        <f t="shared" si="931"/>
        <v/>
      </c>
      <c r="U2351" s="121">
        <f t="shared" si="932"/>
        <v>1</v>
      </c>
    </row>
    <row r="2352" spans="1:21" x14ac:dyDescent="0.3">
      <c r="A2352" s="187">
        <v>6</v>
      </c>
      <c r="B2352" s="242">
        <f t="shared" si="933"/>
        <v>45809</v>
      </c>
      <c r="C2352" s="243">
        <f t="shared" si="914"/>
        <v>45838</v>
      </c>
      <c r="D2352" s="120">
        <f t="shared" si="915"/>
        <v>30</v>
      </c>
      <c r="E2352" s="120">
        <f t="shared" si="916"/>
        <v>6</v>
      </c>
      <c r="F2352" s="275">
        <f t="shared" si="917"/>
        <v>45824</v>
      </c>
      <c r="G2352" s="120">
        <f t="shared" si="918"/>
        <v>24305</v>
      </c>
      <c r="H2352" s="245">
        <f t="shared" si="919"/>
        <v>1</v>
      </c>
      <c r="I2352" s="121">
        <f t="shared" si="920"/>
        <v>1</v>
      </c>
      <c r="J2352" s="121">
        <f t="shared" si="921"/>
        <v>1</v>
      </c>
      <c r="K2352" s="120">
        <f t="shared" si="922"/>
        <v>0</v>
      </c>
      <c r="L2352" s="120">
        <f t="shared" si="923"/>
        <v>0</v>
      </c>
      <c r="M2352" s="246">
        <f t="shared" si="924"/>
        <v>0</v>
      </c>
      <c r="N2352" s="121">
        <f t="shared" si="925"/>
        <v>1</v>
      </c>
      <c r="O2352" s="246">
        <f t="shared" si="926"/>
        <v>0.92032822757111599</v>
      </c>
      <c r="P2352" s="121">
        <f t="shared" si="927"/>
        <v>0</v>
      </c>
      <c r="Q2352" s="121">
        <f t="shared" si="928"/>
        <v>0</v>
      </c>
      <c r="R2352" s="121">
        <f t="shared" si="929"/>
        <v>0</v>
      </c>
      <c r="S2352" s="121" t="str">
        <f t="shared" si="930"/>
        <v/>
      </c>
      <c r="T2352" s="121" t="str">
        <f t="shared" si="931"/>
        <v/>
      </c>
      <c r="U2352" s="121">
        <f t="shared" si="932"/>
        <v>1</v>
      </c>
    </row>
    <row r="2353" spans="1:21" x14ac:dyDescent="0.3">
      <c r="A2353" s="187">
        <v>7</v>
      </c>
      <c r="B2353" s="242">
        <f t="shared" si="933"/>
        <v>45839</v>
      </c>
      <c r="C2353" s="243">
        <f t="shared" si="914"/>
        <v>45869</v>
      </c>
      <c r="D2353" s="120">
        <f t="shared" si="915"/>
        <v>31</v>
      </c>
      <c r="E2353" s="120">
        <f t="shared" si="916"/>
        <v>7</v>
      </c>
      <c r="F2353" s="275">
        <f t="shared" si="917"/>
        <v>45854.5</v>
      </c>
      <c r="G2353" s="120">
        <f t="shared" si="918"/>
        <v>24306</v>
      </c>
      <c r="H2353" s="245">
        <f t="shared" si="919"/>
        <v>1</v>
      </c>
      <c r="I2353" s="121">
        <f t="shared" si="920"/>
        <v>1</v>
      </c>
      <c r="J2353" s="121">
        <f t="shared" si="921"/>
        <v>1</v>
      </c>
      <c r="K2353" s="120">
        <f t="shared" si="922"/>
        <v>0</v>
      </c>
      <c r="L2353" s="120">
        <f t="shared" si="923"/>
        <v>0</v>
      </c>
      <c r="M2353" s="246">
        <f t="shared" si="924"/>
        <v>0</v>
      </c>
      <c r="N2353" s="121">
        <f t="shared" si="925"/>
        <v>1</v>
      </c>
      <c r="O2353" s="246">
        <f t="shared" si="926"/>
        <v>0.91966083150984679</v>
      </c>
      <c r="P2353" s="121">
        <f t="shared" si="927"/>
        <v>8.333333333333337E-2</v>
      </c>
      <c r="Q2353" s="121">
        <f t="shared" si="928"/>
        <v>0</v>
      </c>
      <c r="R2353" s="121">
        <f t="shared" si="929"/>
        <v>0</v>
      </c>
      <c r="S2353" s="121" t="str">
        <f t="shared" si="930"/>
        <v/>
      </c>
      <c r="T2353" s="121" t="str">
        <f t="shared" si="931"/>
        <v/>
      </c>
      <c r="U2353" s="121">
        <f t="shared" si="932"/>
        <v>1</v>
      </c>
    </row>
    <row r="2354" spans="1:21" x14ac:dyDescent="0.3">
      <c r="A2354" s="187">
        <v>8</v>
      </c>
      <c r="B2354" s="242">
        <f t="shared" si="933"/>
        <v>45870</v>
      </c>
      <c r="C2354" s="243">
        <f t="shared" si="914"/>
        <v>45900</v>
      </c>
      <c r="D2354" s="120">
        <f t="shared" si="915"/>
        <v>31</v>
      </c>
      <c r="E2354" s="120">
        <f t="shared" si="916"/>
        <v>8</v>
      </c>
      <c r="F2354" s="275">
        <f t="shared" si="917"/>
        <v>45885.5</v>
      </c>
      <c r="G2354" s="120">
        <f t="shared" si="918"/>
        <v>24307</v>
      </c>
      <c r="H2354" s="245">
        <f t="shared" si="919"/>
        <v>1</v>
      </c>
      <c r="I2354" s="121">
        <f t="shared" si="920"/>
        <v>1</v>
      </c>
      <c r="J2354" s="121">
        <f t="shared" si="921"/>
        <v>1</v>
      </c>
      <c r="K2354" s="120">
        <f t="shared" si="922"/>
        <v>0</v>
      </c>
      <c r="L2354" s="120">
        <f t="shared" si="923"/>
        <v>0</v>
      </c>
      <c r="M2354" s="246">
        <f t="shared" si="924"/>
        <v>0</v>
      </c>
      <c r="N2354" s="121">
        <f t="shared" si="925"/>
        <v>1</v>
      </c>
      <c r="O2354" s="246">
        <f t="shared" si="926"/>
        <v>0.91898249452954051</v>
      </c>
      <c r="P2354" s="121">
        <f t="shared" si="927"/>
        <v>0.25</v>
      </c>
      <c r="Q2354" s="121">
        <f t="shared" si="928"/>
        <v>0</v>
      </c>
      <c r="R2354" s="121">
        <f t="shared" si="929"/>
        <v>0</v>
      </c>
      <c r="S2354" s="121" t="str">
        <f t="shared" si="930"/>
        <v/>
      </c>
      <c r="T2354" s="121" t="str">
        <f t="shared" si="931"/>
        <v/>
      </c>
      <c r="U2354" s="121">
        <f t="shared" si="932"/>
        <v>1</v>
      </c>
    </row>
    <row r="2355" spans="1:21" x14ac:dyDescent="0.3">
      <c r="A2355" s="187">
        <v>9</v>
      </c>
      <c r="B2355" s="242">
        <f t="shared" si="933"/>
        <v>45901</v>
      </c>
      <c r="C2355" s="243">
        <f t="shared" si="914"/>
        <v>45930</v>
      </c>
      <c r="D2355" s="120">
        <f t="shared" si="915"/>
        <v>30</v>
      </c>
      <c r="E2355" s="120">
        <f t="shared" si="916"/>
        <v>9</v>
      </c>
      <c r="F2355" s="275">
        <f t="shared" si="917"/>
        <v>45916</v>
      </c>
      <c r="G2355" s="120">
        <f t="shared" si="918"/>
        <v>24308</v>
      </c>
      <c r="H2355" s="245">
        <f t="shared" si="919"/>
        <v>1</v>
      </c>
      <c r="I2355" s="121">
        <f t="shared" si="920"/>
        <v>1</v>
      </c>
      <c r="J2355" s="121">
        <f t="shared" si="921"/>
        <v>1</v>
      </c>
      <c r="K2355" s="120">
        <f t="shared" si="922"/>
        <v>0</v>
      </c>
      <c r="L2355" s="120">
        <f t="shared" si="923"/>
        <v>0</v>
      </c>
      <c r="M2355" s="246">
        <f t="shared" si="924"/>
        <v>0</v>
      </c>
      <c r="N2355" s="121">
        <f t="shared" si="925"/>
        <v>1</v>
      </c>
      <c r="O2355" s="246">
        <f t="shared" si="926"/>
        <v>0.91831509846827131</v>
      </c>
      <c r="P2355" s="121">
        <f t="shared" si="927"/>
        <v>0.41666666666666663</v>
      </c>
      <c r="Q2355" s="121">
        <f t="shared" si="928"/>
        <v>0</v>
      </c>
      <c r="R2355" s="121">
        <f t="shared" si="929"/>
        <v>0</v>
      </c>
      <c r="S2355" s="121" t="str">
        <f t="shared" si="930"/>
        <v/>
      </c>
      <c r="T2355" s="121" t="str">
        <f t="shared" si="931"/>
        <v/>
      </c>
      <c r="U2355" s="121">
        <f t="shared" si="932"/>
        <v>1</v>
      </c>
    </row>
    <row r="2356" spans="1:21" x14ac:dyDescent="0.3">
      <c r="A2356" s="187">
        <v>10</v>
      </c>
      <c r="B2356" s="242">
        <f t="shared" si="933"/>
        <v>45931</v>
      </c>
      <c r="C2356" s="243">
        <f t="shared" si="914"/>
        <v>45961</v>
      </c>
      <c r="D2356" s="120">
        <f t="shared" si="915"/>
        <v>31</v>
      </c>
      <c r="E2356" s="120">
        <f t="shared" si="916"/>
        <v>10</v>
      </c>
      <c r="F2356" s="275">
        <f t="shared" si="917"/>
        <v>45946.5</v>
      </c>
      <c r="G2356" s="120">
        <f t="shared" si="918"/>
        <v>24309</v>
      </c>
      <c r="H2356" s="245">
        <f t="shared" si="919"/>
        <v>1</v>
      </c>
      <c r="I2356" s="121">
        <f t="shared" si="920"/>
        <v>1</v>
      </c>
      <c r="J2356" s="121">
        <f t="shared" si="921"/>
        <v>1</v>
      </c>
      <c r="K2356" s="120">
        <f t="shared" si="922"/>
        <v>0</v>
      </c>
      <c r="L2356" s="120">
        <f t="shared" si="923"/>
        <v>0</v>
      </c>
      <c r="M2356" s="246">
        <f t="shared" si="924"/>
        <v>0</v>
      </c>
      <c r="N2356" s="121">
        <f t="shared" si="925"/>
        <v>1</v>
      </c>
      <c r="O2356" s="246">
        <f t="shared" si="926"/>
        <v>0.91764770240700222</v>
      </c>
      <c r="P2356" s="121">
        <f t="shared" si="927"/>
        <v>0.58333333333333326</v>
      </c>
      <c r="Q2356" s="121">
        <f t="shared" si="928"/>
        <v>0</v>
      </c>
      <c r="R2356" s="121">
        <f t="shared" si="929"/>
        <v>0</v>
      </c>
      <c r="S2356" s="121" t="str">
        <f t="shared" si="930"/>
        <v/>
      </c>
      <c r="T2356" s="121" t="str">
        <f t="shared" si="931"/>
        <v/>
      </c>
      <c r="U2356" s="121">
        <f t="shared" si="932"/>
        <v>1</v>
      </c>
    </row>
    <row r="2357" spans="1:21" x14ac:dyDescent="0.3">
      <c r="A2357" s="187">
        <v>11</v>
      </c>
      <c r="B2357" s="242">
        <f t="shared" si="933"/>
        <v>45962</v>
      </c>
      <c r="C2357" s="243">
        <f t="shared" si="914"/>
        <v>45991</v>
      </c>
      <c r="D2357" s="120">
        <f t="shared" si="915"/>
        <v>30</v>
      </c>
      <c r="E2357" s="120">
        <f t="shared" si="916"/>
        <v>11</v>
      </c>
      <c r="F2357" s="275">
        <f t="shared" si="917"/>
        <v>45977</v>
      </c>
      <c r="G2357" s="120">
        <f t="shared" si="918"/>
        <v>24310</v>
      </c>
      <c r="H2357" s="245">
        <f t="shared" si="919"/>
        <v>1</v>
      </c>
      <c r="I2357" s="121">
        <f t="shared" si="920"/>
        <v>1</v>
      </c>
      <c r="J2357" s="121">
        <f t="shared" si="921"/>
        <v>1</v>
      </c>
      <c r="K2357" s="120">
        <f t="shared" si="922"/>
        <v>0</v>
      </c>
      <c r="L2357" s="120">
        <f t="shared" si="923"/>
        <v>0</v>
      </c>
      <c r="M2357" s="246">
        <f t="shared" si="924"/>
        <v>0</v>
      </c>
      <c r="N2357" s="121">
        <f t="shared" si="925"/>
        <v>1</v>
      </c>
      <c r="O2357" s="246">
        <f t="shared" si="926"/>
        <v>0.91698030634573302</v>
      </c>
      <c r="P2357" s="121">
        <f t="shared" si="927"/>
        <v>0.75</v>
      </c>
      <c r="Q2357" s="121">
        <f t="shared" si="928"/>
        <v>0</v>
      </c>
      <c r="R2357" s="121">
        <f t="shared" si="929"/>
        <v>0</v>
      </c>
      <c r="S2357" s="121" t="str">
        <f t="shared" si="930"/>
        <v/>
      </c>
      <c r="T2357" s="121" t="str">
        <f t="shared" si="931"/>
        <v/>
      </c>
      <c r="U2357" s="121">
        <f t="shared" si="932"/>
        <v>1</v>
      </c>
    </row>
    <row r="2358" spans="1:21" x14ac:dyDescent="0.3">
      <c r="A2358" s="187">
        <v>12</v>
      </c>
      <c r="B2358" s="242">
        <f t="shared" si="933"/>
        <v>45992</v>
      </c>
      <c r="C2358" s="243">
        <f t="shared" si="914"/>
        <v>46022</v>
      </c>
      <c r="D2358" s="120">
        <f t="shared" si="915"/>
        <v>31</v>
      </c>
      <c r="E2358" s="120">
        <f t="shared" si="916"/>
        <v>12</v>
      </c>
      <c r="F2358" s="275">
        <f t="shared" si="917"/>
        <v>46007.5</v>
      </c>
      <c r="G2358" s="120">
        <f t="shared" si="918"/>
        <v>24311</v>
      </c>
      <c r="H2358" s="245">
        <f t="shared" si="919"/>
        <v>1</v>
      </c>
      <c r="I2358" s="121">
        <f t="shared" si="920"/>
        <v>1</v>
      </c>
      <c r="J2358" s="121">
        <f t="shared" si="921"/>
        <v>1</v>
      </c>
      <c r="K2358" s="120">
        <f t="shared" si="922"/>
        <v>0</v>
      </c>
      <c r="L2358" s="120">
        <f t="shared" si="923"/>
        <v>0</v>
      </c>
      <c r="M2358" s="246">
        <f t="shared" si="924"/>
        <v>0</v>
      </c>
      <c r="N2358" s="121">
        <f t="shared" si="925"/>
        <v>1</v>
      </c>
      <c r="O2358" s="246">
        <f t="shared" si="926"/>
        <v>0.91631291028446393</v>
      </c>
      <c r="P2358" s="121">
        <f t="shared" si="927"/>
        <v>0.91666666666666663</v>
      </c>
      <c r="Q2358" s="121">
        <f t="shared" si="928"/>
        <v>0</v>
      </c>
      <c r="R2358" s="121">
        <f t="shared" si="929"/>
        <v>0</v>
      </c>
      <c r="S2358" s="121" t="str">
        <f t="shared" si="930"/>
        <v/>
      </c>
      <c r="T2358" s="121" t="str">
        <f t="shared" si="931"/>
        <v/>
      </c>
      <c r="U2358" s="121">
        <f t="shared" si="932"/>
        <v>1</v>
      </c>
    </row>
    <row r="2359" spans="1:21" x14ac:dyDescent="0.3">
      <c r="A2359" s="187">
        <v>13</v>
      </c>
      <c r="B2359" s="242">
        <f t="shared" si="933"/>
        <v>46023</v>
      </c>
      <c r="C2359" s="243">
        <f t="shared" si="914"/>
        <v>46053</v>
      </c>
      <c r="D2359" s="120">
        <f t="shared" si="915"/>
        <v>31</v>
      </c>
      <c r="E2359" s="120">
        <f t="shared" si="916"/>
        <v>1</v>
      </c>
      <c r="F2359" s="275">
        <f t="shared" si="917"/>
        <v>46038.5</v>
      </c>
      <c r="G2359" s="120">
        <f t="shared" si="918"/>
        <v>24312</v>
      </c>
      <c r="H2359" s="245">
        <f t="shared" si="919"/>
        <v>1</v>
      </c>
      <c r="I2359" s="121">
        <f t="shared" si="920"/>
        <v>1</v>
      </c>
      <c r="J2359" s="121">
        <f t="shared" si="921"/>
        <v>1</v>
      </c>
      <c r="K2359" s="120">
        <f t="shared" si="922"/>
        <v>0</v>
      </c>
      <c r="L2359" s="120">
        <f t="shared" si="923"/>
        <v>0</v>
      </c>
      <c r="M2359" s="246">
        <f t="shared" si="924"/>
        <v>0</v>
      </c>
      <c r="N2359" s="121">
        <f t="shared" si="925"/>
        <v>1</v>
      </c>
      <c r="O2359" s="246">
        <f t="shared" si="926"/>
        <v>0.91563457330415754</v>
      </c>
      <c r="P2359" s="121">
        <f t="shared" si="927"/>
        <v>1</v>
      </c>
      <c r="Q2359" s="121">
        <f t="shared" si="928"/>
        <v>0</v>
      </c>
      <c r="R2359" s="121">
        <f t="shared" si="929"/>
        <v>0</v>
      </c>
      <c r="S2359" s="121" t="str">
        <f t="shared" si="930"/>
        <v/>
      </c>
      <c r="T2359" s="121" t="str">
        <f t="shared" si="931"/>
        <v/>
      </c>
      <c r="U2359" s="121">
        <f t="shared" si="932"/>
        <v>1</v>
      </c>
    </row>
    <row r="2360" spans="1:21" x14ac:dyDescent="0.3">
      <c r="A2360" s="187">
        <v>14</v>
      </c>
      <c r="B2360" s="242">
        <f t="shared" si="933"/>
        <v>46054</v>
      </c>
      <c r="C2360" s="243">
        <f t="shared" si="914"/>
        <v>46081</v>
      </c>
      <c r="D2360" s="120">
        <f t="shared" si="915"/>
        <v>28</v>
      </c>
      <c r="E2360" s="120">
        <f t="shared" si="916"/>
        <v>2</v>
      </c>
      <c r="F2360" s="275">
        <f t="shared" si="917"/>
        <v>46068</v>
      </c>
      <c r="G2360" s="120">
        <f t="shared" si="918"/>
        <v>24313</v>
      </c>
      <c r="H2360" s="245">
        <f t="shared" si="919"/>
        <v>1</v>
      </c>
      <c r="I2360" s="121">
        <f t="shared" si="920"/>
        <v>1</v>
      </c>
      <c r="J2360" s="121">
        <f t="shared" si="921"/>
        <v>1</v>
      </c>
      <c r="K2360" s="120">
        <f t="shared" si="922"/>
        <v>0</v>
      </c>
      <c r="L2360" s="120">
        <f t="shared" si="923"/>
        <v>0</v>
      </c>
      <c r="M2360" s="246">
        <f t="shared" si="924"/>
        <v>0</v>
      </c>
      <c r="N2360" s="121">
        <f t="shared" si="925"/>
        <v>1</v>
      </c>
      <c r="O2360" s="246">
        <f t="shared" si="926"/>
        <v>0.91498905908096284</v>
      </c>
      <c r="P2360" s="121">
        <f t="shared" si="927"/>
        <v>1</v>
      </c>
      <c r="Q2360" s="121">
        <f t="shared" si="928"/>
        <v>0</v>
      </c>
      <c r="R2360" s="121">
        <f t="shared" si="929"/>
        <v>0</v>
      </c>
      <c r="S2360" s="121" t="str">
        <f t="shared" si="930"/>
        <v/>
      </c>
      <c r="T2360" s="121" t="str">
        <f t="shared" si="931"/>
        <v/>
      </c>
      <c r="U2360" s="121">
        <f t="shared" si="932"/>
        <v>1</v>
      </c>
    </row>
    <row r="2361" spans="1:21" x14ac:dyDescent="0.3">
      <c r="A2361" s="187">
        <v>15</v>
      </c>
      <c r="B2361" s="242">
        <f t="shared" si="933"/>
        <v>46082</v>
      </c>
      <c r="C2361" s="243">
        <f t="shared" si="914"/>
        <v>46112</v>
      </c>
      <c r="D2361" s="120">
        <f t="shared" si="915"/>
        <v>31</v>
      </c>
      <c r="E2361" s="120">
        <f t="shared" si="916"/>
        <v>3</v>
      </c>
      <c r="F2361" s="275">
        <f t="shared" si="917"/>
        <v>46097.5</v>
      </c>
      <c r="G2361" s="120">
        <f t="shared" si="918"/>
        <v>24314</v>
      </c>
      <c r="H2361" s="245">
        <f t="shared" si="919"/>
        <v>1</v>
      </c>
      <c r="I2361" s="121">
        <f t="shared" si="920"/>
        <v>1</v>
      </c>
      <c r="J2361" s="121">
        <f t="shared" si="921"/>
        <v>1</v>
      </c>
      <c r="K2361" s="120">
        <f t="shared" si="922"/>
        <v>0</v>
      </c>
      <c r="L2361" s="120">
        <f t="shared" si="923"/>
        <v>0</v>
      </c>
      <c r="M2361" s="246">
        <f t="shared" si="924"/>
        <v>0</v>
      </c>
      <c r="N2361" s="121">
        <f t="shared" si="925"/>
        <v>1</v>
      </c>
      <c r="O2361" s="246">
        <f t="shared" si="926"/>
        <v>0.91434354485776803</v>
      </c>
      <c r="P2361" s="121">
        <f t="shared" si="927"/>
        <v>1</v>
      </c>
      <c r="Q2361" s="121">
        <f t="shared" si="928"/>
        <v>0</v>
      </c>
      <c r="R2361" s="121">
        <f t="shared" si="929"/>
        <v>0</v>
      </c>
      <c r="S2361" s="121" t="str">
        <f t="shared" si="930"/>
        <v/>
      </c>
      <c r="T2361" s="121" t="str">
        <f t="shared" si="931"/>
        <v/>
      </c>
      <c r="U2361" s="121">
        <f t="shared" si="932"/>
        <v>1</v>
      </c>
    </row>
    <row r="2362" spans="1:21" x14ac:dyDescent="0.3">
      <c r="A2362" s="187">
        <v>16</v>
      </c>
      <c r="B2362" s="242">
        <f t="shared" si="933"/>
        <v>46113</v>
      </c>
      <c r="C2362" s="243">
        <f t="shared" si="914"/>
        <v>46142</v>
      </c>
      <c r="D2362" s="120">
        <f t="shared" si="915"/>
        <v>30</v>
      </c>
      <c r="E2362" s="120">
        <f t="shared" si="916"/>
        <v>4</v>
      </c>
      <c r="F2362" s="275">
        <f t="shared" si="917"/>
        <v>46128</v>
      </c>
      <c r="G2362" s="120">
        <f t="shared" si="918"/>
        <v>24315</v>
      </c>
      <c r="H2362" s="245">
        <f t="shared" si="919"/>
        <v>1</v>
      </c>
      <c r="I2362" s="121">
        <f t="shared" si="920"/>
        <v>1</v>
      </c>
      <c r="J2362" s="121">
        <f t="shared" si="921"/>
        <v>1</v>
      </c>
      <c r="K2362" s="120">
        <f t="shared" si="922"/>
        <v>0</v>
      </c>
      <c r="L2362" s="120">
        <f t="shared" si="923"/>
        <v>0</v>
      </c>
      <c r="M2362" s="246">
        <f t="shared" si="924"/>
        <v>0</v>
      </c>
      <c r="N2362" s="121">
        <f t="shared" si="925"/>
        <v>1</v>
      </c>
      <c r="O2362" s="246">
        <f t="shared" si="926"/>
        <v>0.91367614879649894</v>
      </c>
      <c r="P2362" s="121">
        <f t="shared" si="927"/>
        <v>1</v>
      </c>
      <c r="Q2362" s="121">
        <f t="shared" si="928"/>
        <v>0</v>
      </c>
      <c r="R2362" s="121">
        <f t="shared" si="929"/>
        <v>0</v>
      </c>
      <c r="S2362" s="121" t="str">
        <f t="shared" si="930"/>
        <v/>
      </c>
      <c r="T2362" s="121" t="str">
        <f t="shared" si="931"/>
        <v/>
      </c>
      <c r="U2362" s="121">
        <f t="shared" si="932"/>
        <v>1</v>
      </c>
    </row>
    <row r="2363" spans="1:21" x14ac:dyDescent="0.3">
      <c r="A2363" s="187">
        <v>17</v>
      </c>
      <c r="B2363" s="242">
        <f t="shared" si="933"/>
        <v>46143</v>
      </c>
      <c r="C2363" s="243">
        <f t="shared" si="914"/>
        <v>46173</v>
      </c>
      <c r="D2363" s="120">
        <f t="shared" si="915"/>
        <v>31</v>
      </c>
      <c r="E2363" s="120">
        <f t="shared" si="916"/>
        <v>5</v>
      </c>
      <c r="F2363" s="275">
        <f t="shared" si="917"/>
        <v>46158.5</v>
      </c>
      <c r="G2363" s="120">
        <f t="shared" si="918"/>
        <v>24316</v>
      </c>
      <c r="H2363" s="245">
        <f t="shared" si="919"/>
        <v>1</v>
      </c>
      <c r="I2363" s="121">
        <f t="shared" si="920"/>
        <v>1</v>
      </c>
      <c r="J2363" s="121">
        <f t="shared" si="921"/>
        <v>1</v>
      </c>
      <c r="K2363" s="120">
        <f t="shared" si="922"/>
        <v>0</v>
      </c>
      <c r="L2363" s="120">
        <f t="shared" si="923"/>
        <v>0</v>
      </c>
      <c r="M2363" s="246">
        <f t="shared" si="924"/>
        <v>0</v>
      </c>
      <c r="N2363" s="121">
        <f t="shared" si="925"/>
        <v>1</v>
      </c>
      <c r="O2363" s="246">
        <f t="shared" si="926"/>
        <v>0.91300875273522974</v>
      </c>
      <c r="P2363" s="121">
        <f t="shared" si="927"/>
        <v>1</v>
      </c>
      <c r="Q2363" s="121">
        <f t="shared" si="928"/>
        <v>0</v>
      </c>
      <c r="R2363" s="121">
        <f t="shared" si="929"/>
        <v>0</v>
      </c>
      <c r="S2363" s="121" t="str">
        <f t="shared" si="930"/>
        <v/>
      </c>
      <c r="T2363" s="121" t="str">
        <f t="shared" si="931"/>
        <v/>
      </c>
      <c r="U2363" s="121">
        <f t="shared" si="932"/>
        <v>1</v>
      </c>
    </row>
    <row r="2364" spans="1:21" x14ac:dyDescent="0.3">
      <c r="A2364" s="187">
        <v>18</v>
      </c>
      <c r="B2364" s="242">
        <f t="shared" si="933"/>
        <v>46174</v>
      </c>
      <c r="C2364" s="243">
        <f t="shared" si="914"/>
        <v>46203</v>
      </c>
      <c r="D2364" s="120">
        <f t="shared" si="915"/>
        <v>30</v>
      </c>
      <c r="E2364" s="120">
        <f t="shared" si="916"/>
        <v>6</v>
      </c>
      <c r="F2364" s="275">
        <f t="shared" si="917"/>
        <v>46189</v>
      </c>
      <c r="G2364" s="120">
        <f t="shared" si="918"/>
        <v>24317</v>
      </c>
      <c r="H2364" s="245">
        <f t="shared" si="919"/>
        <v>1</v>
      </c>
      <c r="I2364" s="121">
        <f t="shared" si="920"/>
        <v>1</v>
      </c>
      <c r="J2364" s="121">
        <f t="shared" si="921"/>
        <v>1</v>
      </c>
      <c r="K2364" s="120">
        <f t="shared" si="922"/>
        <v>0</v>
      </c>
      <c r="L2364" s="120">
        <f t="shared" si="923"/>
        <v>0</v>
      </c>
      <c r="M2364" s="246">
        <f t="shared" si="924"/>
        <v>0</v>
      </c>
      <c r="N2364" s="121">
        <f t="shared" si="925"/>
        <v>1</v>
      </c>
      <c r="O2364" s="246">
        <f t="shared" si="926"/>
        <v>0.91234135667396066</v>
      </c>
      <c r="P2364" s="121">
        <f t="shared" si="927"/>
        <v>1</v>
      </c>
      <c r="Q2364" s="121">
        <f t="shared" si="928"/>
        <v>0</v>
      </c>
      <c r="R2364" s="121">
        <f t="shared" si="929"/>
        <v>0</v>
      </c>
      <c r="S2364" s="121" t="str">
        <f t="shared" si="930"/>
        <v/>
      </c>
      <c r="T2364" s="121" t="str">
        <f t="shared" si="931"/>
        <v/>
      </c>
      <c r="U2364" s="121">
        <f t="shared" si="932"/>
        <v>1</v>
      </c>
    </row>
    <row r="2365" spans="1:21" x14ac:dyDescent="0.3">
      <c r="A2365" s="187">
        <v>19</v>
      </c>
      <c r="B2365" s="242">
        <f t="shared" si="933"/>
        <v>46204</v>
      </c>
      <c r="C2365" s="243">
        <f t="shared" si="914"/>
        <v>46234</v>
      </c>
      <c r="D2365" s="120">
        <f t="shared" si="915"/>
        <v>31</v>
      </c>
      <c r="E2365" s="120">
        <f t="shared" si="916"/>
        <v>7</v>
      </c>
      <c r="F2365" s="275">
        <f t="shared" si="917"/>
        <v>46219.5</v>
      </c>
      <c r="G2365" s="120">
        <f t="shared" si="918"/>
        <v>24318</v>
      </c>
      <c r="H2365" s="245">
        <f t="shared" si="919"/>
        <v>1</v>
      </c>
      <c r="I2365" s="121">
        <f t="shared" si="920"/>
        <v>1</v>
      </c>
      <c r="J2365" s="121">
        <f t="shared" si="921"/>
        <v>1.04</v>
      </c>
      <c r="K2365" s="120">
        <f t="shared" si="922"/>
        <v>1</v>
      </c>
      <c r="L2365" s="120">
        <f t="shared" si="923"/>
        <v>31</v>
      </c>
      <c r="M2365" s="246">
        <f t="shared" si="924"/>
        <v>1</v>
      </c>
      <c r="N2365" s="121">
        <f t="shared" si="925"/>
        <v>1.04</v>
      </c>
      <c r="O2365" s="246">
        <f t="shared" si="926"/>
        <v>0.91167396061269146</v>
      </c>
      <c r="P2365" s="121">
        <f t="shared" si="927"/>
        <v>0.91666666666666663</v>
      </c>
      <c r="Q2365" s="121">
        <f t="shared" si="928"/>
        <v>8.333333333333337E-2</v>
      </c>
      <c r="R2365" s="121">
        <f t="shared" si="929"/>
        <v>0</v>
      </c>
      <c r="S2365" s="121" t="str">
        <f t="shared" si="930"/>
        <v/>
      </c>
      <c r="T2365" s="121" t="str">
        <f t="shared" si="931"/>
        <v/>
      </c>
      <c r="U2365" s="121">
        <f t="shared" si="932"/>
        <v>1.04</v>
      </c>
    </row>
    <row r="2366" spans="1:21" x14ac:dyDescent="0.3">
      <c r="A2366" s="187">
        <v>20</v>
      </c>
      <c r="B2366" s="242">
        <f t="shared" si="933"/>
        <v>46235</v>
      </c>
      <c r="C2366" s="243">
        <f t="shared" si="914"/>
        <v>46265</v>
      </c>
      <c r="D2366" s="120">
        <f t="shared" si="915"/>
        <v>31</v>
      </c>
      <c r="E2366" s="120">
        <f t="shared" si="916"/>
        <v>8</v>
      </c>
      <c r="F2366" s="275">
        <f t="shared" si="917"/>
        <v>46250.5</v>
      </c>
      <c r="G2366" s="120">
        <f t="shared" si="918"/>
        <v>24319</v>
      </c>
      <c r="H2366" s="245">
        <f t="shared" si="919"/>
        <v>1</v>
      </c>
      <c r="I2366" s="121">
        <f t="shared" si="920"/>
        <v>1.04</v>
      </c>
      <c r="J2366" s="121">
        <f t="shared" si="921"/>
        <v>1.04</v>
      </c>
      <c r="K2366" s="120">
        <f t="shared" si="922"/>
        <v>0</v>
      </c>
      <c r="L2366" s="120">
        <f t="shared" si="923"/>
        <v>0</v>
      </c>
      <c r="M2366" s="246">
        <f t="shared" si="924"/>
        <v>0</v>
      </c>
      <c r="N2366" s="121">
        <f t="shared" si="925"/>
        <v>1.04</v>
      </c>
      <c r="O2366" s="246">
        <f t="shared" si="926"/>
        <v>0.91099562363238518</v>
      </c>
      <c r="P2366" s="121">
        <f t="shared" si="927"/>
        <v>0.75</v>
      </c>
      <c r="Q2366" s="121">
        <f t="shared" si="928"/>
        <v>0.25</v>
      </c>
      <c r="R2366" s="121">
        <f t="shared" si="929"/>
        <v>0</v>
      </c>
      <c r="S2366" s="121" t="str">
        <f t="shared" si="930"/>
        <v/>
      </c>
      <c r="T2366" s="121" t="str">
        <f t="shared" si="931"/>
        <v/>
      </c>
      <c r="U2366" s="121">
        <f t="shared" si="932"/>
        <v>1.04</v>
      </c>
    </row>
    <row r="2367" spans="1:21" x14ac:dyDescent="0.3">
      <c r="A2367" s="187">
        <v>21</v>
      </c>
      <c r="B2367" s="242">
        <f t="shared" si="933"/>
        <v>46266</v>
      </c>
      <c r="C2367" s="243">
        <f t="shared" si="914"/>
        <v>46295</v>
      </c>
      <c r="D2367" s="120">
        <f t="shared" si="915"/>
        <v>30</v>
      </c>
      <c r="E2367" s="120">
        <f t="shared" si="916"/>
        <v>9</v>
      </c>
      <c r="F2367" s="275">
        <f t="shared" si="917"/>
        <v>46281</v>
      </c>
      <c r="G2367" s="120">
        <f t="shared" si="918"/>
        <v>24320</v>
      </c>
      <c r="H2367" s="245">
        <f t="shared" si="919"/>
        <v>1</v>
      </c>
      <c r="I2367" s="121">
        <f t="shared" si="920"/>
        <v>1.04</v>
      </c>
      <c r="J2367" s="121">
        <f t="shared" si="921"/>
        <v>1.04</v>
      </c>
      <c r="K2367" s="120">
        <f t="shared" si="922"/>
        <v>0</v>
      </c>
      <c r="L2367" s="120">
        <f t="shared" si="923"/>
        <v>0</v>
      </c>
      <c r="M2367" s="246">
        <f t="shared" si="924"/>
        <v>0</v>
      </c>
      <c r="N2367" s="121">
        <f t="shared" si="925"/>
        <v>1.04</v>
      </c>
      <c r="O2367" s="246">
        <f t="shared" si="926"/>
        <v>0.91032822757111598</v>
      </c>
      <c r="P2367" s="121">
        <f t="shared" si="927"/>
        <v>0.58333333333333337</v>
      </c>
      <c r="Q2367" s="121">
        <f t="shared" si="928"/>
        <v>0.41666666666666663</v>
      </c>
      <c r="R2367" s="121">
        <f t="shared" si="929"/>
        <v>0</v>
      </c>
      <c r="S2367" s="121" t="str">
        <f t="shared" si="930"/>
        <v/>
      </c>
      <c r="T2367" s="121" t="str">
        <f t="shared" si="931"/>
        <v/>
      </c>
      <c r="U2367" s="121">
        <f t="shared" si="932"/>
        <v>1.04</v>
      </c>
    </row>
    <row r="2368" spans="1:21" x14ac:dyDescent="0.3">
      <c r="A2368" s="187">
        <v>22</v>
      </c>
      <c r="B2368" s="242">
        <f t="shared" si="933"/>
        <v>46296</v>
      </c>
      <c r="C2368" s="243">
        <f t="shared" si="914"/>
        <v>46326</v>
      </c>
      <c r="D2368" s="120">
        <f t="shared" si="915"/>
        <v>31</v>
      </c>
      <c r="E2368" s="120">
        <f t="shared" si="916"/>
        <v>10</v>
      </c>
      <c r="F2368" s="275">
        <f t="shared" si="917"/>
        <v>46311.5</v>
      </c>
      <c r="G2368" s="120">
        <f t="shared" si="918"/>
        <v>24321</v>
      </c>
      <c r="H2368" s="245">
        <f t="shared" si="919"/>
        <v>1</v>
      </c>
      <c r="I2368" s="121">
        <f t="shared" si="920"/>
        <v>1.04</v>
      </c>
      <c r="J2368" s="121">
        <f t="shared" si="921"/>
        <v>1.04</v>
      </c>
      <c r="K2368" s="120">
        <f t="shared" si="922"/>
        <v>0</v>
      </c>
      <c r="L2368" s="120">
        <f t="shared" si="923"/>
        <v>0</v>
      </c>
      <c r="M2368" s="246">
        <f t="shared" si="924"/>
        <v>0</v>
      </c>
      <c r="N2368" s="121">
        <f t="shared" si="925"/>
        <v>1.04</v>
      </c>
      <c r="O2368" s="246">
        <f t="shared" si="926"/>
        <v>0.90966083150984689</v>
      </c>
      <c r="P2368" s="121">
        <f t="shared" si="927"/>
        <v>0.41666666666666669</v>
      </c>
      <c r="Q2368" s="121">
        <f t="shared" si="928"/>
        <v>0.58333333333333326</v>
      </c>
      <c r="R2368" s="121">
        <f t="shared" si="929"/>
        <v>0</v>
      </c>
      <c r="S2368" s="121" t="str">
        <f t="shared" si="930"/>
        <v/>
      </c>
      <c r="T2368" s="121" t="str">
        <f t="shared" si="931"/>
        <v/>
      </c>
      <c r="U2368" s="121">
        <f t="shared" si="932"/>
        <v>1.04</v>
      </c>
    </row>
    <row r="2369" spans="1:21" x14ac:dyDescent="0.3">
      <c r="A2369" s="187">
        <v>23</v>
      </c>
      <c r="B2369" s="242">
        <f t="shared" si="933"/>
        <v>46327</v>
      </c>
      <c r="C2369" s="243">
        <f t="shared" si="914"/>
        <v>46356</v>
      </c>
      <c r="D2369" s="120">
        <f t="shared" si="915"/>
        <v>30</v>
      </c>
      <c r="E2369" s="120">
        <f t="shared" si="916"/>
        <v>11</v>
      </c>
      <c r="F2369" s="275">
        <f t="shared" si="917"/>
        <v>46342</v>
      </c>
      <c r="G2369" s="120">
        <f t="shared" si="918"/>
        <v>24322</v>
      </c>
      <c r="H2369" s="245">
        <f t="shared" si="919"/>
        <v>1</v>
      </c>
      <c r="I2369" s="121">
        <f t="shared" si="920"/>
        <v>1.04</v>
      </c>
      <c r="J2369" s="121">
        <f t="shared" si="921"/>
        <v>1.04</v>
      </c>
      <c r="K2369" s="120">
        <f t="shared" si="922"/>
        <v>0</v>
      </c>
      <c r="L2369" s="120">
        <f t="shared" si="923"/>
        <v>0</v>
      </c>
      <c r="M2369" s="246">
        <f t="shared" si="924"/>
        <v>0</v>
      </c>
      <c r="N2369" s="121">
        <f t="shared" si="925"/>
        <v>1.04</v>
      </c>
      <c r="O2369" s="246">
        <f t="shared" si="926"/>
        <v>0.90899343544857769</v>
      </c>
      <c r="P2369" s="121">
        <f t="shared" si="927"/>
        <v>0.25</v>
      </c>
      <c r="Q2369" s="121">
        <f t="shared" si="928"/>
        <v>0.75</v>
      </c>
      <c r="R2369" s="121">
        <f t="shared" si="929"/>
        <v>0</v>
      </c>
      <c r="S2369" s="121" t="str">
        <f t="shared" si="930"/>
        <v/>
      </c>
      <c r="T2369" s="121" t="str">
        <f t="shared" si="931"/>
        <v/>
      </c>
      <c r="U2369" s="121">
        <f t="shared" si="932"/>
        <v>1.04</v>
      </c>
    </row>
    <row r="2370" spans="1:21" x14ac:dyDescent="0.3">
      <c r="A2370" s="187">
        <v>24</v>
      </c>
      <c r="B2370" s="242">
        <f t="shared" si="933"/>
        <v>46357</v>
      </c>
      <c r="C2370" s="243">
        <f t="shared" si="914"/>
        <v>46387</v>
      </c>
      <c r="D2370" s="120">
        <f t="shared" si="915"/>
        <v>31</v>
      </c>
      <c r="E2370" s="120">
        <f t="shared" si="916"/>
        <v>12</v>
      </c>
      <c r="F2370" s="275">
        <f t="shared" si="917"/>
        <v>46372.5</v>
      </c>
      <c r="G2370" s="120">
        <f t="shared" si="918"/>
        <v>24323</v>
      </c>
      <c r="H2370" s="245">
        <f t="shared" si="919"/>
        <v>1</v>
      </c>
      <c r="I2370" s="121">
        <f t="shared" si="920"/>
        <v>1.04</v>
      </c>
      <c r="J2370" s="121">
        <f t="shared" si="921"/>
        <v>1.04</v>
      </c>
      <c r="K2370" s="120">
        <f t="shared" si="922"/>
        <v>0</v>
      </c>
      <c r="L2370" s="120">
        <f t="shared" si="923"/>
        <v>0</v>
      </c>
      <c r="M2370" s="246">
        <f t="shared" si="924"/>
        <v>0</v>
      </c>
      <c r="N2370" s="121">
        <f t="shared" si="925"/>
        <v>1.04</v>
      </c>
      <c r="O2370" s="246">
        <f t="shared" si="926"/>
        <v>0.9083260393873086</v>
      </c>
      <c r="P2370" s="121">
        <f t="shared" si="927"/>
        <v>8.3333333333333329E-2</v>
      </c>
      <c r="Q2370" s="121">
        <f t="shared" si="928"/>
        <v>0.91666666666666663</v>
      </c>
      <c r="R2370" s="121">
        <f t="shared" si="929"/>
        <v>0</v>
      </c>
      <c r="S2370" s="121" t="str">
        <f t="shared" si="930"/>
        <v/>
      </c>
      <c r="T2370" s="121" t="str">
        <f t="shared" si="931"/>
        <v/>
      </c>
      <c r="U2370" s="121">
        <f t="shared" si="932"/>
        <v>1.04</v>
      </c>
    </row>
    <row r="2371" spans="1:21" x14ac:dyDescent="0.3">
      <c r="A2371" s="187">
        <v>25</v>
      </c>
      <c r="B2371" s="242">
        <f t="shared" si="933"/>
        <v>46388</v>
      </c>
      <c r="C2371" s="243">
        <f t="shared" si="914"/>
        <v>46418</v>
      </c>
      <c r="D2371" s="120">
        <f t="shared" si="915"/>
        <v>31</v>
      </c>
      <c r="E2371" s="120">
        <f t="shared" si="916"/>
        <v>1</v>
      </c>
      <c r="F2371" s="275">
        <f t="shared" si="917"/>
        <v>46403.5</v>
      </c>
      <c r="G2371" s="120">
        <f t="shared" si="918"/>
        <v>24324</v>
      </c>
      <c r="H2371" s="245">
        <f t="shared" si="919"/>
        <v>1</v>
      </c>
      <c r="I2371" s="121">
        <f t="shared" si="920"/>
        <v>1.04</v>
      </c>
      <c r="J2371" s="121">
        <f t="shared" si="921"/>
        <v>1.04</v>
      </c>
      <c r="K2371" s="120">
        <f t="shared" si="922"/>
        <v>0</v>
      </c>
      <c r="L2371" s="120">
        <f t="shared" si="923"/>
        <v>0</v>
      </c>
      <c r="M2371" s="246">
        <f t="shared" si="924"/>
        <v>0</v>
      </c>
      <c r="N2371" s="121">
        <f t="shared" si="925"/>
        <v>1.04</v>
      </c>
      <c r="O2371" s="246">
        <f t="shared" si="926"/>
        <v>0.90764770240700221</v>
      </c>
      <c r="P2371" s="121">
        <f t="shared" si="927"/>
        <v>0</v>
      </c>
      <c r="Q2371" s="121">
        <f t="shared" si="928"/>
        <v>1</v>
      </c>
      <c r="R2371" s="121">
        <f t="shared" si="929"/>
        <v>0</v>
      </c>
      <c r="S2371" s="121" t="str">
        <f t="shared" si="930"/>
        <v/>
      </c>
      <c r="T2371" s="121" t="str">
        <f t="shared" si="931"/>
        <v/>
      </c>
      <c r="U2371" s="121">
        <f t="shared" si="932"/>
        <v>1.04</v>
      </c>
    </row>
    <row r="2372" spans="1:21" x14ac:dyDescent="0.3">
      <c r="A2372" s="187">
        <v>26</v>
      </c>
      <c r="B2372" s="242">
        <f t="shared" si="933"/>
        <v>46419</v>
      </c>
      <c r="C2372" s="243">
        <f t="shared" si="914"/>
        <v>46446</v>
      </c>
      <c r="D2372" s="120">
        <f t="shared" si="915"/>
        <v>28</v>
      </c>
      <c r="E2372" s="120">
        <f t="shared" si="916"/>
        <v>2</v>
      </c>
      <c r="F2372" s="275">
        <f t="shared" si="917"/>
        <v>46433</v>
      </c>
      <c r="G2372" s="120">
        <f t="shared" si="918"/>
        <v>24325</v>
      </c>
      <c r="H2372" s="245">
        <f t="shared" si="919"/>
        <v>1</v>
      </c>
      <c r="I2372" s="121">
        <f t="shared" si="920"/>
        <v>1.04</v>
      </c>
      <c r="J2372" s="121">
        <f t="shared" si="921"/>
        <v>1.04</v>
      </c>
      <c r="K2372" s="120">
        <f t="shared" si="922"/>
        <v>0</v>
      </c>
      <c r="L2372" s="120">
        <f t="shared" si="923"/>
        <v>0</v>
      </c>
      <c r="M2372" s="246">
        <f t="shared" si="924"/>
        <v>0</v>
      </c>
      <c r="N2372" s="121">
        <f t="shared" si="925"/>
        <v>1.04</v>
      </c>
      <c r="O2372" s="246">
        <f t="shared" si="926"/>
        <v>0.90700218818380751</v>
      </c>
      <c r="P2372" s="121">
        <f t="shared" si="927"/>
        <v>0</v>
      </c>
      <c r="Q2372" s="121">
        <f t="shared" si="928"/>
        <v>1</v>
      </c>
      <c r="R2372" s="121">
        <f t="shared" si="929"/>
        <v>0</v>
      </c>
      <c r="S2372" s="121" t="str">
        <f t="shared" si="930"/>
        <v/>
      </c>
      <c r="T2372" s="121" t="str">
        <f t="shared" si="931"/>
        <v/>
      </c>
      <c r="U2372" s="121">
        <f t="shared" si="932"/>
        <v>1.04</v>
      </c>
    </row>
    <row r="2373" spans="1:21" x14ac:dyDescent="0.3">
      <c r="A2373" s="187">
        <v>27</v>
      </c>
      <c r="B2373" s="242">
        <f t="shared" si="933"/>
        <v>46447</v>
      </c>
      <c r="C2373" s="243">
        <f t="shared" si="914"/>
        <v>46477</v>
      </c>
      <c r="D2373" s="120">
        <f t="shared" si="915"/>
        <v>31</v>
      </c>
      <c r="E2373" s="120">
        <f t="shared" si="916"/>
        <v>3</v>
      </c>
      <c r="F2373" s="275">
        <f t="shared" si="917"/>
        <v>46462.5</v>
      </c>
      <c r="G2373" s="120">
        <f t="shared" si="918"/>
        <v>24326</v>
      </c>
      <c r="H2373" s="245">
        <f t="shared" si="919"/>
        <v>1</v>
      </c>
      <c r="I2373" s="121">
        <f t="shared" si="920"/>
        <v>1.04</v>
      </c>
      <c r="J2373" s="121">
        <f t="shared" si="921"/>
        <v>1.04</v>
      </c>
      <c r="K2373" s="120">
        <f t="shared" si="922"/>
        <v>0</v>
      </c>
      <c r="L2373" s="120">
        <f t="shared" si="923"/>
        <v>0</v>
      </c>
      <c r="M2373" s="246">
        <f t="shared" si="924"/>
        <v>0</v>
      </c>
      <c r="N2373" s="121">
        <f t="shared" si="925"/>
        <v>1.04</v>
      </c>
      <c r="O2373" s="246">
        <f t="shared" si="926"/>
        <v>0.9063566739606127</v>
      </c>
      <c r="P2373" s="121">
        <f t="shared" si="927"/>
        <v>0</v>
      </c>
      <c r="Q2373" s="121">
        <f t="shared" si="928"/>
        <v>1</v>
      </c>
      <c r="R2373" s="121">
        <f t="shared" si="929"/>
        <v>0</v>
      </c>
      <c r="S2373" s="121" t="str">
        <f t="shared" si="930"/>
        <v/>
      </c>
      <c r="T2373" s="121" t="str">
        <f t="shared" si="931"/>
        <v/>
      </c>
      <c r="U2373" s="121">
        <f t="shared" si="932"/>
        <v>1.04</v>
      </c>
    </row>
    <row r="2374" spans="1:21" x14ac:dyDescent="0.3">
      <c r="A2374" s="187">
        <v>28</v>
      </c>
      <c r="B2374" s="242">
        <f t="shared" si="933"/>
        <v>46478</v>
      </c>
      <c r="C2374" s="243">
        <f t="shared" si="914"/>
        <v>46507</v>
      </c>
      <c r="D2374" s="120">
        <f t="shared" si="915"/>
        <v>30</v>
      </c>
      <c r="E2374" s="120">
        <f t="shared" si="916"/>
        <v>4</v>
      </c>
      <c r="F2374" s="275">
        <f t="shared" si="917"/>
        <v>46493</v>
      </c>
      <c r="G2374" s="120">
        <f t="shared" si="918"/>
        <v>24327</v>
      </c>
      <c r="H2374" s="245">
        <f t="shared" si="919"/>
        <v>1</v>
      </c>
      <c r="I2374" s="121">
        <f t="shared" si="920"/>
        <v>1.04</v>
      </c>
      <c r="J2374" s="121">
        <f t="shared" si="921"/>
        <v>1.04</v>
      </c>
      <c r="K2374" s="120">
        <f t="shared" si="922"/>
        <v>0</v>
      </c>
      <c r="L2374" s="120">
        <f t="shared" si="923"/>
        <v>0</v>
      </c>
      <c r="M2374" s="246">
        <f t="shared" si="924"/>
        <v>0</v>
      </c>
      <c r="N2374" s="121">
        <f t="shared" si="925"/>
        <v>1.04</v>
      </c>
      <c r="O2374" s="246">
        <f t="shared" si="926"/>
        <v>0.90568927789934361</v>
      </c>
      <c r="P2374" s="121">
        <f t="shared" si="927"/>
        <v>0</v>
      </c>
      <c r="Q2374" s="121">
        <f t="shared" si="928"/>
        <v>1</v>
      </c>
      <c r="R2374" s="121">
        <f t="shared" si="929"/>
        <v>0</v>
      </c>
      <c r="S2374" s="121" t="str">
        <f t="shared" si="930"/>
        <v/>
      </c>
      <c r="T2374" s="121" t="str">
        <f t="shared" si="931"/>
        <v/>
      </c>
      <c r="U2374" s="121">
        <f t="shared" si="932"/>
        <v>1.04</v>
      </c>
    </row>
    <row r="2375" spans="1:21" x14ac:dyDescent="0.3">
      <c r="A2375" s="187">
        <v>29</v>
      </c>
      <c r="B2375" s="242">
        <f t="shared" si="933"/>
        <v>46508</v>
      </c>
      <c r="C2375" s="243">
        <f t="shared" si="914"/>
        <v>46538</v>
      </c>
      <c r="D2375" s="120">
        <f t="shared" si="915"/>
        <v>31</v>
      </c>
      <c r="E2375" s="120">
        <f t="shared" si="916"/>
        <v>5</v>
      </c>
      <c r="F2375" s="275">
        <f t="shared" si="917"/>
        <v>46523.5</v>
      </c>
      <c r="G2375" s="120">
        <f t="shared" si="918"/>
        <v>24328</v>
      </c>
      <c r="H2375" s="245">
        <f t="shared" si="919"/>
        <v>1</v>
      </c>
      <c r="I2375" s="121">
        <f t="shared" si="920"/>
        <v>1.04</v>
      </c>
      <c r="J2375" s="121">
        <f t="shared" si="921"/>
        <v>1.04</v>
      </c>
      <c r="K2375" s="120">
        <f t="shared" si="922"/>
        <v>0</v>
      </c>
      <c r="L2375" s="120">
        <f t="shared" si="923"/>
        <v>0</v>
      </c>
      <c r="M2375" s="246">
        <f t="shared" si="924"/>
        <v>0</v>
      </c>
      <c r="N2375" s="121">
        <f t="shared" si="925"/>
        <v>1.04</v>
      </c>
      <c r="O2375" s="246">
        <f t="shared" si="926"/>
        <v>0.90502188183807442</v>
      </c>
      <c r="P2375" s="121">
        <f t="shared" si="927"/>
        <v>0</v>
      </c>
      <c r="Q2375" s="121">
        <f t="shared" si="928"/>
        <v>1</v>
      </c>
      <c r="R2375" s="121">
        <f t="shared" si="929"/>
        <v>0</v>
      </c>
      <c r="S2375" s="121" t="str">
        <f t="shared" si="930"/>
        <v/>
      </c>
      <c r="T2375" s="121" t="str">
        <f t="shared" si="931"/>
        <v/>
      </c>
      <c r="U2375" s="121">
        <f t="shared" si="932"/>
        <v>1.04</v>
      </c>
    </row>
    <row r="2376" spans="1:21" x14ac:dyDescent="0.3">
      <c r="A2376" s="187">
        <v>30</v>
      </c>
      <c r="B2376" s="242">
        <f t="shared" si="933"/>
        <v>46539</v>
      </c>
      <c r="C2376" s="243">
        <f t="shared" si="914"/>
        <v>46568</v>
      </c>
      <c r="D2376" s="120">
        <f t="shared" si="915"/>
        <v>30</v>
      </c>
      <c r="E2376" s="120">
        <f t="shared" si="916"/>
        <v>6</v>
      </c>
      <c r="F2376" s="275">
        <f t="shared" si="917"/>
        <v>46554</v>
      </c>
      <c r="G2376" s="120">
        <f t="shared" si="918"/>
        <v>24329</v>
      </c>
      <c r="H2376" s="245">
        <f t="shared" si="919"/>
        <v>1</v>
      </c>
      <c r="I2376" s="121">
        <f t="shared" si="920"/>
        <v>1.04</v>
      </c>
      <c r="J2376" s="121">
        <f t="shared" si="921"/>
        <v>1.04</v>
      </c>
      <c r="K2376" s="120">
        <f t="shared" si="922"/>
        <v>0</v>
      </c>
      <c r="L2376" s="120">
        <f t="shared" si="923"/>
        <v>0</v>
      </c>
      <c r="M2376" s="246">
        <f t="shared" si="924"/>
        <v>0</v>
      </c>
      <c r="N2376" s="121">
        <f t="shared" si="925"/>
        <v>1.04</v>
      </c>
      <c r="O2376" s="246">
        <f t="shared" si="926"/>
        <v>0.90435448577680533</v>
      </c>
      <c r="P2376" s="121">
        <f t="shared" si="927"/>
        <v>0</v>
      </c>
      <c r="Q2376" s="121">
        <f t="shared" si="928"/>
        <v>1</v>
      </c>
      <c r="R2376" s="121">
        <f t="shared" si="929"/>
        <v>0</v>
      </c>
      <c r="S2376" s="121" t="str">
        <f t="shared" si="930"/>
        <v/>
      </c>
      <c r="T2376" s="121" t="str">
        <f t="shared" si="931"/>
        <v/>
      </c>
      <c r="U2376" s="121">
        <f t="shared" si="932"/>
        <v>1.04</v>
      </c>
    </row>
    <row r="2377" spans="1:21" x14ac:dyDescent="0.3">
      <c r="A2377" s="187">
        <v>31</v>
      </c>
      <c r="B2377" s="242">
        <f t="shared" si="933"/>
        <v>46569</v>
      </c>
      <c r="C2377" s="243">
        <f t="shared" si="914"/>
        <v>46599</v>
      </c>
      <c r="D2377" s="120">
        <f t="shared" si="915"/>
        <v>31</v>
      </c>
      <c r="E2377" s="120">
        <f t="shared" si="916"/>
        <v>7</v>
      </c>
      <c r="F2377" s="275">
        <f t="shared" si="917"/>
        <v>46584.5</v>
      </c>
      <c r="G2377" s="120">
        <f t="shared" si="918"/>
        <v>24330</v>
      </c>
      <c r="H2377" s="245">
        <f t="shared" si="919"/>
        <v>1</v>
      </c>
      <c r="I2377" s="121">
        <f t="shared" si="920"/>
        <v>1.04</v>
      </c>
      <c r="J2377" s="121">
        <f t="shared" si="921"/>
        <v>1.04</v>
      </c>
      <c r="K2377" s="120">
        <f t="shared" si="922"/>
        <v>0</v>
      </c>
      <c r="L2377" s="120">
        <f t="shared" si="923"/>
        <v>0</v>
      </c>
      <c r="M2377" s="246">
        <f t="shared" si="924"/>
        <v>0</v>
      </c>
      <c r="N2377" s="121">
        <f t="shared" si="925"/>
        <v>1.04</v>
      </c>
      <c r="O2377" s="246">
        <f t="shared" si="926"/>
        <v>0.90368708971553613</v>
      </c>
      <c r="P2377" s="121">
        <f t="shared" si="927"/>
        <v>0</v>
      </c>
      <c r="Q2377" s="121">
        <f t="shared" si="928"/>
        <v>0.91666666666666663</v>
      </c>
      <c r="R2377" s="121">
        <f t="shared" si="929"/>
        <v>8.333333333333337E-2</v>
      </c>
      <c r="S2377" s="121" t="str">
        <f t="shared" si="930"/>
        <v/>
      </c>
      <c r="T2377" s="121" t="str">
        <f t="shared" si="931"/>
        <v/>
      </c>
      <c r="U2377" s="121">
        <f t="shared" si="932"/>
        <v>1.04</v>
      </c>
    </row>
    <row r="2378" spans="1:21" x14ac:dyDescent="0.3">
      <c r="A2378" s="187">
        <v>32</v>
      </c>
      <c r="B2378" s="242">
        <f t="shared" si="933"/>
        <v>46600</v>
      </c>
      <c r="C2378" s="243">
        <f t="shared" si="914"/>
        <v>46630</v>
      </c>
      <c r="D2378" s="120">
        <f t="shared" si="915"/>
        <v>31</v>
      </c>
      <c r="E2378" s="120">
        <f t="shared" si="916"/>
        <v>8</v>
      </c>
      <c r="F2378" s="275">
        <f t="shared" si="917"/>
        <v>46615.5</v>
      </c>
      <c r="G2378" s="120">
        <f t="shared" si="918"/>
        <v>24331</v>
      </c>
      <c r="H2378" s="245">
        <f t="shared" si="919"/>
        <v>1</v>
      </c>
      <c r="I2378" s="121">
        <f t="shared" si="920"/>
        <v>1.04</v>
      </c>
      <c r="J2378" s="121">
        <f t="shared" si="921"/>
        <v>1.04</v>
      </c>
      <c r="K2378" s="120">
        <f t="shared" si="922"/>
        <v>0</v>
      </c>
      <c r="L2378" s="120">
        <f t="shared" si="923"/>
        <v>0</v>
      </c>
      <c r="M2378" s="246">
        <f t="shared" si="924"/>
        <v>0</v>
      </c>
      <c r="N2378" s="121">
        <f t="shared" si="925"/>
        <v>1.04</v>
      </c>
      <c r="O2378" s="246">
        <f t="shared" si="926"/>
        <v>0.90300875273522974</v>
      </c>
      <c r="P2378" s="121">
        <f t="shared" si="927"/>
        <v>0</v>
      </c>
      <c r="Q2378" s="121">
        <f t="shared" si="928"/>
        <v>0.75</v>
      </c>
      <c r="R2378" s="121">
        <f t="shared" si="929"/>
        <v>0.25</v>
      </c>
      <c r="S2378" s="121" t="str">
        <f t="shared" si="930"/>
        <v/>
      </c>
      <c r="T2378" s="121" t="str">
        <f t="shared" si="931"/>
        <v/>
      </c>
      <c r="U2378" s="121">
        <f t="shared" si="932"/>
        <v>1.04</v>
      </c>
    </row>
    <row r="2379" spans="1:21" x14ac:dyDescent="0.3">
      <c r="A2379" s="187">
        <v>33</v>
      </c>
      <c r="B2379" s="242">
        <f t="shared" si="933"/>
        <v>46631</v>
      </c>
      <c r="C2379" s="243">
        <f t="shared" si="914"/>
        <v>46660</v>
      </c>
      <c r="D2379" s="120">
        <f t="shared" si="915"/>
        <v>30</v>
      </c>
      <c r="E2379" s="120">
        <f t="shared" si="916"/>
        <v>9</v>
      </c>
      <c r="F2379" s="275">
        <f t="shared" si="917"/>
        <v>46646</v>
      </c>
      <c r="G2379" s="120">
        <f t="shared" si="918"/>
        <v>24332</v>
      </c>
      <c r="H2379" s="245">
        <f t="shared" si="919"/>
        <v>1</v>
      </c>
      <c r="I2379" s="121">
        <f t="shared" si="920"/>
        <v>1.04</v>
      </c>
      <c r="J2379" s="121">
        <f t="shared" si="921"/>
        <v>1.04</v>
      </c>
      <c r="K2379" s="120">
        <f t="shared" si="922"/>
        <v>0</v>
      </c>
      <c r="L2379" s="120">
        <f t="shared" si="923"/>
        <v>0</v>
      </c>
      <c r="M2379" s="246">
        <f t="shared" si="924"/>
        <v>0</v>
      </c>
      <c r="N2379" s="121">
        <f t="shared" si="925"/>
        <v>1.04</v>
      </c>
      <c r="O2379" s="246">
        <f t="shared" si="926"/>
        <v>0.90234135667396065</v>
      </c>
      <c r="P2379" s="121">
        <f t="shared" si="927"/>
        <v>0</v>
      </c>
      <c r="Q2379" s="121">
        <f t="shared" si="928"/>
        <v>0.58333333333333337</v>
      </c>
      <c r="R2379" s="121">
        <f t="shared" si="929"/>
        <v>0.41666666666666663</v>
      </c>
      <c r="S2379" s="121" t="str">
        <f t="shared" si="930"/>
        <v/>
      </c>
      <c r="T2379" s="121" t="str">
        <f t="shared" si="931"/>
        <v/>
      </c>
      <c r="U2379" s="121">
        <f t="shared" si="932"/>
        <v>1.04</v>
      </c>
    </row>
    <row r="2380" spans="1:21" x14ac:dyDescent="0.3">
      <c r="A2380" s="187">
        <v>34</v>
      </c>
      <c r="B2380" s="242">
        <f t="shared" si="933"/>
        <v>46661</v>
      </c>
      <c r="C2380" s="243">
        <f t="shared" si="914"/>
        <v>46691</v>
      </c>
      <c r="D2380" s="120">
        <f t="shared" si="915"/>
        <v>31</v>
      </c>
      <c r="E2380" s="120">
        <f t="shared" si="916"/>
        <v>10</v>
      </c>
      <c r="F2380" s="275">
        <f t="shared" si="917"/>
        <v>46676.5</v>
      </c>
      <c r="G2380" s="120">
        <f t="shared" si="918"/>
        <v>24333</v>
      </c>
      <c r="H2380" s="245">
        <f t="shared" si="919"/>
        <v>1</v>
      </c>
      <c r="I2380" s="121">
        <f t="shared" si="920"/>
        <v>1.04</v>
      </c>
      <c r="J2380" s="121">
        <f t="shared" si="921"/>
        <v>1.04</v>
      </c>
      <c r="K2380" s="120">
        <f t="shared" si="922"/>
        <v>0</v>
      </c>
      <c r="L2380" s="120">
        <f t="shared" si="923"/>
        <v>0</v>
      </c>
      <c r="M2380" s="246">
        <f t="shared" si="924"/>
        <v>0</v>
      </c>
      <c r="N2380" s="121">
        <f t="shared" si="925"/>
        <v>1.04</v>
      </c>
      <c r="O2380" s="246">
        <f t="shared" si="926"/>
        <v>0.90167396061269145</v>
      </c>
      <c r="P2380" s="121">
        <f t="shared" si="927"/>
        <v>0</v>
      </c>
      <c r="Q2380" s="121">
        <f t="shared" si="928"/>
        <v>0.41666666666666669</v>
      </c>
      <c r="R2380" s="121">
        <f t="shared" si="929"/>
        <v>0.58333333333333326</v>
      </c>
      <c r="S2380" s="121" t="str">
        <f t="shared" si="930"/>
        <v/>
      </c>
      <c r="T2380" s="121" t="str">
        <f t="shared" si="931"/>
        <v/>
      </c>
      <c r="U2380" s="121">
        <f t="shared" si="932"/>
        <v>1.04</v>
      </c>
    </row>
    <row r="2381" spans="1:21" x14ac:dyDescent="0.3">
      <c r="A2381" s="187">
        <v>35</v>
      </c>
      <c r="B2381" s="242">
        <f t="shared" si="933"/>
        <v>46692</v>
      </c>
      <c r="C2381" s="243">
        <f t="shared" si="914"/>
        <v>46721</v>
      </c>
      <c r="D2381" s="120">
        <f t="shared" si="915"/>
        <v>30</v>
      </c>
      <c r="E2381" s="120">
        <f t="shared" si="916"/>
        <v>11</v>
      </c>
      <c r="F2381" s="275">
        <f t="shared" si="917"/>
        <v>46707</v>
      </c>
      <c r="G2381" s="120">
        <f t="shared" si="918"/>
        <v>24334</v>
      </c>
      <c r="H2381" s="245">
        <f t="shared" si="919"/>
        <v>1</v>
      </c>
      <c r="I2381" s="121">
        <f t="shared" si="920"/>
        <v>1.04</v>
      </c>
      <c r="J2381" s="121">
        <f t="shared" si="921"/>
        <v>1.04</v>
      </c>
      <c r="K2381" s="120">
        <f t="shared" si="922"/>
        <v>0</v>
      </c>
      <c r="L2381" s="120">
        <f t="shared" si="923"/>
        <v>0</v>
      </c>
      <c r="M2381" s="246">
        <f t="shared" si="924"/>
        <v>0</v>
      </c>
      <c r="N2381" s="121">
        <f t="shared" si="925"/>
        <v>1.04</v>
      </c>
      <c r="O2381" s="246">
        <f t="shared" si="926"/>
        <v>0.90100656455142236</v>
      </c>
      <c r="P2381" s="121">
        <f t="shared" si="927"/>
        <v>0</v>
      </c>
      <c r="Q2381" s="121">
        <f t="shared" si="928"/>
        <v>0.25</v>
      </c>
      <c r="R2381" s="121">
        <f t="shared" si="929"/>
        <v>0.75</v>
      </c>
      <c r="S2381" s="121" t="str">
        <f t="shared" si="930"/>
        <v/>
      </c>
      <c r="T2381" s="121" t="str">
        <f t="shared" si="931"/>
        <v/>
      </c>
      <c r="U2381" s="121">
        <f t="shared" si="932"/>
        <v>1.04</v>
      </c>
    </row>
    <row r="2382" spans="1:21" x14ac:dyDescent="0.3">
      <c r="A2382" s="187">
        <v>36</v>
      </c>
      <c r="B2382" s="242">
        <f t="shared" si="933"/>
        <v>46722</v>
      </c>
      <c r="C2382" s="243">
        <f t="shared" si="914"/>
        <v>46752</v>
      </c>
      <c r="D2382" s="120">
        <f t="shared" si="915"/>
        <v>31</v>
      </c>
      <c r="E2382" s="120">
        <f t="shared" si="916"/>
        <v>12</v>
      </c>
      <c r="F2382" s="275">
        <f t="shared" si="917"/>
        <v>46737.5</v>
      </c>
      <c r="G2382" s="120">
        <f t="shared" si="918"/>
        <v>24335</v>
      </c>
      <c r="H2382" s="245">
        <f t="shared" si="919"/>
        <v>1</v>
      </c>
      <c r="I2382" s="121">
        <f t="shared" si="920"/>
        <v>1.04</v>
      </c>
      <c r="J2382" s="121">
        <f t="shared" si="921"/>
        <v>1.04</v>
      </c>
      <c r="K2382" s="120">
        <f t="shared" si="922"/>
        <v>0</v>
      </c>
      <c r="L2382" s="120">
        <f t="shared" si="923"/>
        <v>0</v>
      </c>
      <c r="M2382" s="246">
        <f t="shared" si="924"/>
        <v>0</v>
      </c>
      <c r="N2382" s="121">
        <f t="shared" si="925"/>
        <v>1.04</v>
      </c>
      <c r="O2382" s="246">
        <f t="shared" si="926"/>
        <v>0.90033916849015316</v>
      </c>
      <c r="P2382" s="121">
        <f t="shared" si="927"/>
        <v>0</v>
      </c>
      <c r="Q2382" s="121">
        <f t="shared" si="928"/>
        <v>8.3333333333333329E-2</v>
      </c>
      <c r="R2382" s="121">
        <f t="shared" si="929"/>
        <v>0.91666666666666663</v>
      </c>
      <c r="S2382" s="121" t="str">
        <f t="shared" si="930"/>
        <v/>
      </c>
      <c r="T2382" s="121" t="str">
        <f t="shared" si="931"/>
        <v/>
      </c>
      <c r="U2382" s="121">
        <f t="shared" si="932"/>
        <v>1.04</v>
      </c>
    </row>
    <row r="2383" spans="1:21" x14ac:dyDescent="0.3">
      <c r="A2383" s="187">
        <v>37</v>
      </c>
      <c r="B2383" s="242">
        <f t="shared" si="933"/>
        <v>46753</v>
      </c>
      <c r="C2383" s="243">
        <f t="shared" si="914"/>
        <v>46783</v>
      </c>
      <c r="D2383" s="120">
        <f t="shared" si="915"/>
        <v>31</v>
      </c>
      <c r="E2383" s="120">
        <f t="shared" si="916"/>
        <v>1</v>
      </c>
      <c r="F2383" s="275">
        <f t="shared" si="917"/>
        <v>46768.5</v>
      </c>
      <c r="G2383" s="120">
        <f t="shared" si="918"/>
        <v>24336</v>
      </c>
      <c r="H2383" s="245">
        <f t="shared" si="919"/>
        <v>1</v>
      </c>
      <c r="I2383" s="121">
        <f t="shared" si="920"/>
        <v>1.04</v>
      </c>
      <c r="J2383" s="121">
        <f t="shared" si="921"/>
        <v>1.04</v>
      </c>
      <c r="K2383" s="120">
        <f t="shared" si="922"/>
        <v>0</v>
      </c>
      <c r="L2383" s="120">
        <f t="shared" si="923"/>
        <v>0</v>
      </c>
      <c r="M2383" s="246">
        <f t="shared" si="924"/>
        <v>0</v>
      </c>
      <c r="N2383" s="121">
        <f t="shared" si="925"/>
        <v>1.04</v>
      </c>
      <c r="O2383" s="246">
        <f t="shared" si="926"/>
        <v>0.9</v>
      </c>
      <c r="P2383" s="121">
        <f t="shared" si="927"/>
        <v>0</v>
      </c>
      <c r="Q2383" s="121">
        <f t="shared" si="928"/>
        <v>0</v>
      </c>
      <c r="R2383" s="121">
        <f t="shared" si="929"/>
        <v>1</v>
      </c>
      <c r="S2383" s="121" t="str">
        <f t="shared" si="930"/>
        <v/>
      </c>
      <c r="T2383" s="121" t="str">
        <f t="shared" si="931"/>
        <v/>
      </c>
      <c r="U2383" s="121">
        <f t="shared" si="932"/>
        <v>1.04</v>
      </c>
    </row>
    <row r="2384" spans="1:21" x14ac:dyDescent="0.3">
      <c r="A2384" s="187">
        <v>38</v>
      </c>
      <c r="B2384" s="242">
        <f t="shared" si="933"/>
        <v>46784</v>
      </c>
      <c r="C2384" s="243">
        <f t="shared" si="914"/>
        <v>46812</v>
      </c>
      <c r="D2384" s="120">
        <f t="shared" si="915"/>
        <v>29</v>
      </c>
      <c r="E2384" s="120">
        <f t="shared" si="916"/>
        <v>2</v>
      </c>
      <c r="F2384" s="275">
        <f t="shared" si="917"/>
        <v>46798.5</v>
      </c>
      <c r="G2384" s="120">
        <f t="shared" si="918"/>
        <v>24337</v>
      </c>
      <c r="H2384" s="245">
        <f t="shared" si="919"/>
        <v>1</v>
      </c>
      <c r="I2384" s="121">
        <f t="shared" si="920"/>
        <v>1.04</v>
      </c>
      <c r="J2384" s="121">
        <f t="shared" si="921"/>
        <v>1.04</v>
      </c>
      <c r="K2384" s="120">
        <f t="shared" si="922"/>
        <v>0</v>
      </c>
      <c r="L2384" s="120">
        <f t="shared" si="923"/>
        <v>0</v>
      </c>
      <c r="M2384" s="246">
        <f t="shared" si="924"/>
        <v>0</v>
      </c>
      <c r="N2384" s="121">
        <f t="shared" si="925"/>
        <v>1.04</v>
      </c>
      <c r="O2384" s="246">
        <f t="shared" si="926"/>
        <v>0.9</v>
      </c>
      <c r="P2384" s="121">
        <f t="shared" si="927"/>
        <v>0</v>
      </c>
      <c r="Q2384" s="121">
        <f t="shared" si="928"/>
        <v>0</v>
      </c>
      <c r="R2384" s="121">
        <f t="shared" si="929"/>
        <v>1</v>
      </c>
      <c r="S2384" s="121" t="str">
        <f t="shared" si="930"/>
        <v/>
      </c>
      <c r="T2384" s="121" t="str">
        <f t="shared" si="931"/>
        <v/>
      </c>
      <c r="U2384" s="121">
        <f t="shared" si="932"/>
        <v>1.04</v>
      </c>
    </row>
    <row r="2385" spans="1:21" x14ac:dyDescent="0.3">
      <c r="A2385" s="187">
        <v>39</v>
      </c>
      <c r="B2385" s="242">
        <f t="shared" si="933"/>
        <v>46813</v>
      </c>
      <c r="C2385" s="243">
        <f t="shared" si="914"/>
        <v>46843</v>
      </c>
      <c r="D2385" s="120">
        <f t="shared" si="915"/>
        <v>31</v>
      </c>
      <c r="E2385" s="120">
        <f t="shared" si="916"/>
        <v>3</v>
      </c>
      <c r="F2385" s="275">
        <f t="shared" si="917"/>
        <v>46828.5</v>
      </c>
      <c r="G2385" s="120">
        <f t="shared" si="918"/>
        <v>24338</v>
      </c>
      <c r="H2385" s="245">
        <f t="shared" si="919"/>
        <v>1</v>
      </c>
      <c r="I2385" s="121">
        <f t="shared" si="920"/>
        <v>1.04</v>
      </c>
      <c r="J2385" s="121">
        <f t="shared" si="921"/>
        <v>1.04</v>
      </c>
      <c r="K2385" s="120">
        <f t="shared" si="922"/>
        <v>0</v>
      </c>
      <c r="L2385" s="120">
        <f t="shared" si="923"/>
        <v>0</v>
      </c>
      <c r="M2385" s="246">
        <f t="shared" si="924"/>
        <v>0</v>
      </c>
      <c r="N2385" s="121">
        <f t="shared" si="925"/>
        <v>1.04</v>
      </c>
      <c r="O2385" s="246">
        <f t="shared" si="926"/>
        <v>0.9</v>
      </c>
      <c r="P2385" s="121">
        <f t="shared" si="927"/>
        <v>0</v>
      </c>
      <c r="Q2385" s="121">
        <f t="shared" si="928"/>
        <v>0</v>
      </c>
      <c r="R2385" s="121">
        <f t="shared" si="929"/>
        <v>1</v>
      </c>
      <c r="S2385" s="121" t="str">
        <f t="shared" si="930"/>
        <v/>
      </c>
      <c r="T2385" s="121" t="str">
        <f t="shared" si="931"/>
        <v/>
      </c>
      <c r="U2385" s="121">
        <f t="shared" si="932"/>
        <v>1.04</v>
      </c>
    </row>
    <row r="2386" spans="1:21" x14ac:dyDescent="0.3">
      <c r="A2386" s="187">
        <v>40</v>
      </c>
      <c r="B2386" s="242">
        <f t="shared" si="933"/>
        <v>46844</v>
      </c>
      <c r="C2386" s="243">
        <f t="shared" si="914"/>
        <v>46873</v>
      </c>
      <c r="D2386" s="120">
        <f t="shared" si="915"/>
        <v>30</v>
      </c>
      <c r="E2386" s="120">
        <f t="shared" si="916"/>
        <v>4</v>
      </c>
      <c r="F2386" s="275">
        <f t="shared" si="917"/>
        <v>46859</v>
      </c>
      <c r="G2386" s="120">
        <f t="shared" si="918"/>
        <v>24339</v>
      </c>
      <c r="H2386" s="245">
        <f t="shared" si="919"/>
        <v>1</v>
      </c>
      <c r="I2386" s="121">
        <f t="shared" si="920"/>
        <v>1.04</v>
      </c>
      <c r="J2386" s="121">
        <f t="shared" si="921"/>
        <v>1.04</v>
      </c>
      <c r="K2386" s="120">
        <f t="shared" si="922"/>
        <v>0</v>
      </c>
      <c r="L2386" s="120">
        <f t="shared" si="923"/>
        <v>0</v>
      </c>
      <c r="M2386" s="246">
        <f t="shared" si="924"/>
        <v>0</v>
      </c>
      <c r="N2386" s="121">
        <f t="shared" si="925"/>
        <v>1.04</v>
      </c>
      <c r="O2386" s="246">
        <f t="shared" si="926"/>
        <v>0.9</v>
      </c>
      <c r="P2386" s="121">
        <f t="shared" si="927"/>
        <v>0</v>
      </c>
      <c r="Q2386" s="121">
        <f t="shared" si="928"/>
        <v>0</v>
      </c>
      <c r="R2386" s="121">
        <f t="shared" si="929"/>
        <v>1</v>
      </c>
      <c r="S2386" s="121" t="str">
        <f t="shared" si="930"/>
        <v/>
      </c>
      <c r="T2386" s="121" t="str">
        <f t="shared" si="931"/>
        <v/>
      </c>
      <c r="U2386" s="121">
        <f t="shared" si="932"/>
        <v>1.04</v>
      </c>
    </row>
    <row r="2387" spans="1:21" x14ac:dyDescent="0.3">
      <c r="A2387" s="187">
        <v>41</v>
      </c>
      <c r="B2387" s="242">
        <f t="shared" si="933"/>
        <v>46874</v>
      </c>
      <c r="C2387" s="243">
        <f t="shared" si="914"/>
        <v>46904</v>
      </c>
      <c r="D2387" s="120">
        <f t="shared" si="915"/>
        <v>31</v>
      </c>
      <c r="E2387" s="120">
        <f t="shared" si="916"/>
        <v>5</v>
      </c>
      <c r="F2387" s="275">
        <f t="shared" si="917"/>
        <v>46889.5</v>
      </c>
      <c r="G2387" s="120">
        <f t="shared" si="918"/>
        <v>24340</v>
      </c>
      <c r="H2387" s="245">
        <f t="shared" si="919"/>
        <v>1</v>
      </c>
      <c r="I2387" s="121">
        <f t="shared" si="920"/>
        <v>1.04</v>
      </c>
      <c r="J2387" s="121">
        <f t="shared" si="921"/>
        <v>1.04</v>
      </c>
      <c r="K2387" s="120">
        <f t="shared" si="922"/>
        <v>0</v>
      </c>
      <c r="L2387" s="120">
        <f t="shared" si="923"/>
        <v>0</v>
      </c>
      <c r="M2387" s="246">
        <f t="shared" si="924"/>
        <v>0</v>
      </c>
      <c r="N2387" s="121">
        <f t="shared" si="925"/>
        <v>1.04</v>
      </c>
      <c r="O2387" s="246">
        <f t="shared" si="926"/>
        <v>0.9</v>
      </c>
      <c r="P2387" s="121">
        <f t="shared" si="927"/>
        <v>0</v>
      </c>
      <c r="Q2387" s="121">
        <f t="shared" si="928"/>
        <v>0</v>
      </c>
      <c r="R2387" s="121">
        <f t="shared" si="929"/>
        <v>1</v>
      </c>
      <c r="S2387" s="121" t="str">
        <f t="shared" si="930"/>
        <v/>
      </c>
      <c r="T2387" s="121" t="str">
        <f t="shared" si="931"/>
        <v/>
      </c>
      <c r="U2387" s="121">
        <f t="shared" si="932"/>
        <v>1.04</v>
      </c>
    </row>
    <row r="2388" spans="1:21" x14ac:dyDescent="0.3">
      <c r="A2388" s="187">
        <v>42</v>
      </c>
      <c r="B2388" s="242">
        <f t="shared" si="933"/>
        <v>46905</v>
      </c>
      <c r="C2388" s="243">
        <f t="shared" si="914"/>
        <v>46934</v>
      </c>
      <c r="D2388" s="120">
        <f t="shared" si="915"/>
        <v>30</v>
      </c>
      <c r="E2388" s="120">
        <f t="shared" si="916"/>
        <v>6</v>
      </c>
      <c r="F2388" s="275">
        <f t="shared" si="917"/>
        <v>46920</v>
      </c>
      <c r="G2388" s="120">
        <f t="shared" si="918"/>
        <v>24341</v>
      </c>
      <c r="H2388" s="245">
        <f t="shared" si="919"/>
        <v>1</v>
      </c>
      <c r="I2388" s="121">
        <f t="shared" si="920"/>
        <v>1.04</v>
      </c>
      <c r="J2388" s="121">
        <f t="shared" si="921"/>
        <v>1.04</v>
      </c>
      <c r="K2388" s="120">
        <f t="shared" si="922"/>
        <v>0</v>
      </c>
      <c r="L2388" s="120">
        <f t="shared" si="923"/>
        <v>0</v>
      </c>
      <c r="M2388" s="246">
        <f t="shared" si="924"/>
        <v>0</v>
      </c>
      <c r="N2388" s="121">
        <f t="shared" si="925"/>
        <v>1.04</v>
      </c>
      <c r="O2388" s="246">
        <f t="shared" si="926"/>
        <v>0.9</v>
      </c>
      <c r="P2388" s="121">
        <f t="shared" si="927"/>
        <v>0</v>
      </c>
      <c r="Q2388" s="121">
        <f t="shared" si="928"/>
        <v>0</v>
      </c>
      <c r="R2388" s="121">
        <f t="shared" si="929"/>
        <v>1</v>
      </c>
      <c r="S2388" s="121" t="str">
        <f t="shared" si="930"/>
        <v/>
      </c>
      <c r="T2388" s="121" t="str">
        <f t="shared" si="931"/>
        <v/>
      </c>
      <c r="U2388" s="121">
        <f t="shared" si="932"/>
        <v>1.04</v>
      </c>
    </row>
    <row r="2389" spans="1:21" x14ac:dyDescent="0.3">
      <c r="A2389" s="187">
        <v>43</v>
      </c>
      <c r="B2389" s="242">
        <f t="shared" si="933"/>
        <v>46935</v>
      </c>
      <c r="C2389" s="243">
        <f t="shared" si="914"/>
        <v>46965</v>
      </c>
      <c r="D2389" s="120">
        <f t="shared" si="915"/>
        <v>31</v>
      </c>
      <c r="E2389" s="120">
        <f t="shared" si="916"/>
        <v>7</v>
      </c>
      <c r="F2389" s="275">
        <f t="shared" si="917"/>
        <v>46950.5</v>
      </c>
      <c r="G2389" s="120">
        <f t="shared" si="918"/>
        <v>24342</v>
      </c>
      <c r="H2389" s="245">
        <f t="shared" si="919"/>
        <v>1</v>
      </c>
      <c r="I2389" s="121">
        <f t="shared" si="920"/>
        <v>1.04</v>
      </c>
      <c r="J2389" s="121">
        <f t="shared" si="921"/>
        <v>1.04</v>
      </c>
      <c r="K2389" s="120">
        <f t="shared" si="922"/>
        <v>0</v>
      </c>
      <c r="L2389" s="120">
        <f t="shared" si="923"/>
        <v>0</v>
      </c>
      <c r="M2389" s="246">
        <f t="shared" si="924"/>
        <v>0</v>
      </c>
      <c r="N2389" s="121">
        <f t="shared" si="925"/>
        <v>1.04</v>
      </c>
      <c r="O2389" s="246">
        <f t="shared" si="926"/>
        <v>0.9</v>
      </c>
      <c r="P2389" s="121">
        <f t="shared" si="927"/>
        <v>0</v>
      </c>
      <c r="Q2389" s="121">
        <f t="shared" si="928"/>
        <v>0</v>
      </c>
      <c r="R2389" s="121">
        <f t="shared" si="929"/>
        <v>0.91666666666666663</v>
      </c>
      <c r="S2389" s="121" t="str">
        <f t="shared" si="930"/>
        <v/>
      </c>
      <c r="T2389" s="121" t="str">
        <f t="shared" si="931"/>
        <v/>
      </c>
      <c r="U2389" s="121">
        <f t="shared" si="932"/>
        <v>1.04</v>
      </c>
    </row>
    <row r="2390" spans="1:21" x14ac:dyDescent="0.3">
      <c r="A2390" s="187">
        <v>44</v>
      </c>
      <c r="B2390" s="242">
        <f t="shared" si="933"/>
        <v>46966</v>
      </c>
      <c r="C2390" s="243">
        <f t="shared" si="914"/>
        <v>46996</v>
      </c>
      <c r="D2390" s="120">
        <f t="shared" si="915"/>
        <v>31</v>
      </c>
      <c r="E2390" s="120">
        <f t="shared" si="916"/>
        <v>8</v>
      </c>
      <c r="F2390" s="275">
        <f t="shared" si="917"/>
        <v>46981.5</v>
      </c>
      <c r="G2390" s="120">
        <f t="shared" si="918"/>
        <v>24343</v>
      </c>
      <c r="H2390" s="245">
        <f t="shared" si="919"/>
        <v>1</v>
      </c>
      <c r="I2390" s="121">
        <f t="shared" si="920"/>
        <v>1.04</v>
      </c>
      <c r="J2390" s="121">
        <f t="shared" si="921"/>
        <v>1.04</v>
      </c>
      <c r="K2390" s="120">
        <f t="shared" si="922"/>
        <v>0</v>
      </c>
      <c r="L2390" s="120">
        <f t="shared" si="923"/>
        <v>0</v>
      </c>
      <c r="M2390" s="246">
        <f t="shared" si="924"/>
        <v>0</v>
      </c>
      <c r="N2390" s="121">
        <f t="shared" si="925"/>
        <v>1.04</v>
      </c>
      <c r="O2390" s="246">
        <f t="shared" si="926"/>
        <v>0.9</v>
      </c>
      <c r="P2390" s="121">
        <f t="shared" si="927"/>
        <v>0</v>
      </c>
      <c r="Q2390" s="121">
        <f t="shared" si="928"/>
        <v>0</v>
      </c>
      <c r="R2390" s="121">
        <f t="shared" si="929"/>
        <v>0.75</v>
      </c>
      <c r="S2390" s="121" t="str">
        <f t="shared" si="930"/>
        <v/>
      </c>
      <c r="T2390" s="121" t="str">
        <f t="shared" si="931"/>
        <v/>
      </c>
      <c r="U2390" s="121">
        <f t="shared" si="932"/>
        <v>1.04</v>
      </c>
    </row>
    <row r="2391" spans="1:21" x14ac:dyDescent="0.3">
      <c r="A2391" s="187">
        <v>45</v>
      </c>
      <c r="B2391" s="242">
        <f t="shared" si="933"/>
        <v>46997</v>
      </c>
      <c r="C2391" s="243">
        <f t="shared" si="914"/>
        <v>47026</v>
      </c>
      <c r="D2391" s="120">
        <f t="shared" si="915"/>
        <v>30</v>
      </c>
      <c r="E2391" s="120">
        <f t="shared" si="916"/>
        <v>9</v>
      </c>
      <c r="F2391" s="275">
        <f t="shared" si="917"/>
        <v>47012</v>
      </c>
      <c r="G2391" s="120">
        <f t="shared" si="918"/>
        <v>24344</v>
      </c>
      <c r="H2391" s="245">
        <f t="shared" si="919"/>
        <v>1</v>
      </c>
      <c r="I2391" s="121">
        <f t="shared" si="920"/>
        <v>1.04</v>
      </c>
      <c r="J2391" s="121">
        <f t="shared" si="921"/>
        <v>1.04</v>
      </c>
      <c r="K2391" s="120">
        <f t="shared" si="922"/>
        <v>0</v>
      </c>
      <c r="L2391" s="120">
        <f t="shared" si="923"/>
        <v>0</v>
      </c>
      <c r="M2391" s="246">
        <f t="shared" si="924"/>
        <v>0</v>
      </c>
      <c r="N2391" s="121">
        <f t="shared" si="925"/>
        <v>1.04</v>
      </c>
      <c r="O2391" s="246">
        <f t="shared" si="926"/>
        <v>0.9</v>
      </c>
      <c r="P2391" s="121">
        <f t="shared" si="927"/>
        <v>0</v>
      </c>
      <c r="Q2391" s="121">
        <f t="shared" si="928"/>
        <v>0</v>
      </c>
      <c r="R2391" s="121">
        <f t="shared" si="929"/>
        <v>0.58333333333333337</v>
      </c>
      <c r="S2391" s="121" t="str">
        <f t="shared" si="930"/>
        <v/>
      </c>
      <c r="T2391" s="121" t="str">
        <f t="shared" si="931"/>
        <v/>
      </c>
      <c r="U2391" s="121">
        <f t="shared" si="932"/>
        <v>1.04</v>
      </c>
    </row>
    <row r="2392" spans="1:21" x14ac:dyDescent="0.3">
      <c r="A2392" s="187">
        <v>46</v>
      </c>
      <c r="B2392" s="242">
        <f t="shared" si="933"/>
        <v>47027</v>
      </c>
      <c r="C2392" s="243">
        <f t="shared" si="914"/>
        <v>47057</v>
      </c>
      <c r="D2392" s="120">
        <f t="shared" si="915"/>
        <v>31</v>
      </c>
      <c r="E2392" s="120">
        <f t="shared" si="916"/>
        <v>10</v>
      </c>
      <c r="F2392" s="275">
        <f t="shared" si="917"/>
        <v>47042.5</v>
      </c>
      <c r="G2392" s="120">
        <f t="shared" si="918"/>
        <v>24345</v>
      </c>
      <c r="H2392" s="245">
        <f t="shared" si="919"/>
        <v>1</v>
      </c>
      <c r="I2392" s="121">
        <f t="shared" si="920"/>
        <v>1.04</v>
      </c>
      <c r="J2392" s="121">
        <f t="shared" si="921"/>
        <v>1.04</v>
      </c>
      <c r="K2392" s="120">
        <f t="shared" si="922"/>
        <v>0</v>
      </c>
      <c r="L2392" s="120">
        <f t="shared" si="923"/>
        <v>0</v>
      </c>
      <c r="M2392" s="246">
        <f t="shared" si="924"/>
        <v>0</v>
      </c>
      <c r="N2392" s="121">
        <f t="shared" si="925"/>
        <v>1.04</v>
      </c>
      <c r="O2392" s="246">
        <f t="shared" si="926"/>
        <v>0.9</v>
      </c>
      <c r="P2392" s="121">
        <f t="shared" si="927"/>
        <v>0</v>
      </c>
      <c r="Q2392" s="121">
        <f t="shared" si="928"/>
        <v>0</v>
      </c>
      <c r="R2392" s="121">
        <f t="shared" si="929"/>
        <v>0.41666666666666669</v>
      </c>
      <c r="S2392" s="121" t="str">
        <f t="shared" si="930"/>
        <v/>
      </c>
      <c r="T2392" s="121" t="str">
        <f t="shared" si="931"/>
        <v/>
      </c>
      <c r="U2392" s="121">
        <f t="shared" si="932"/>
        <v>1.04</v>
      </c>
    </row>
    <row r="2393" spans="1:21" x14ac:dyDescent="0.3">
      <c r="A2393" s="187">
        <v>47</v>
      </c>
      <c r="B2393" s="242">
        <f t="shared" si="933"/>
        <v>47058</v>
      </c>
      <c r="C2393" s="243">
        <f t="shared" si="914"/>
        <v>47087</v>
      </c>
      <c r="D2393" s="120">
        <f t="shared" si="915"/>
        <v>30</v>
      </c>
      <c r="E2393" s="120">
        <f t="shared" si="916"/>
        <v>11</v>
      </c>
      <c r="F2393" s="275">
        <f t="shared" si="917"/>
        <v>47073</v>
      </c>
      <c r="G2393" s="120">
        <f t="shared" si="918"/>
        <v>24346</v>
      </c>
      <c r="H2393" s="245">
        <f t="shared" si="919"/>
        <v>1</v>
      </c>
      <c r="I2393" s="121">
        <f t="shared" si="920"/>
        <v>1.04</v>
      </c>
      <c r="J2393" s="121">
        <f t="shared" si="921"/>
        <v>1.04</v>
      </c>
      <c r="K2393" s="120">
        <f t="shared" si="922"/>
        <v>0</v>
      </c>
      <c r="L2393" s="120">
        <f t="shared" si="923"/>
        <v>0</v>
      </c>
      <c r="M2393" s="246">
        <f t="shared" si="924"/>
        <v>0</v>
      </c>
      <c r="N2393" s="121">
        <f t="shared" si="925"/>
        <v>1.04</v>
      </c>
      <c r="O2393" s="246">
        <f t="shared" si="926"/>
        <v>0.9</v>
      </c>
      <c r="P2393" s="121">
        <f t="shared" si="927"/>
        <v>0</v>
      </c>
      <c r="Q2393" s="121">
        <f t="shared" si="928"/>
        <v>0</v>
      </c>
      <c r="R2393" s="121">
        <f t="shared" si="929"/>
        <v>0.25</v>
      </c>
      <c r="S2393" s="121" t="str">
        <f t="shared" si="930"/>
        <v/>
      </c>
      <c r="T2393" s="121" t="str">
        <f t="shared" si="931"/>
        <v/>
      </c>
      <c r="U2393" s="121">
        <f t="shared" si="932"/>
        <v>1.04</v>
      </c>
    </row>
    <row r="2394" spans="1:21" x14ac:dyDescent="0.3">
      <c r="A2394" s="187">
        <v>48</v>
      </c>
      <c r="B2394" s="242">
        <f t="shared" si="933"/>
        <v>47088</v>
      </c>
      <c r="C2394" s="243">
        <f t="shared" si="914"/>
        <v>47118</v>
      </c>
      <c r="D2394" s="120">
        <f t="shared" si="915"/>
        <v>31</v>
      </c>
      <c r="E2394" s="120">
        <f t="shared" si="916"/>
        <v>12</v>
      </c>
      <c r="F2394" s="275">
        <f t="shared" si="917"/>
        <v>47103.5</v>
      </c>
      <c r="G2394" s="120">
        <f t="shared" si="918"/>
        <v>24347</v>
      </c>
      <c r="H2394" s="245">
        <f t="shared" si="919"/>
        <v>1</v>
      </c>
      <c r="I2394" s="121">
        <f t="shared" si="920"/>
        <v>1.04</v>
      </c>
      <c r="J2394" s="121">
        <f t="shared" si="921"/>
        <v>1.04</v>
      </c>
      <c r="K2394" s="120">
        <f t="shared" si="922"/>
        <v>0</v>
      </c>
      <c r="L2394" s="120">
        <f t="shared" si="923"/>
        <v>0</v>
      </c>
      <c r="M2394" s="246">
        <f t="shared" si="924"/>
        <v>0</v>
      </c>
      <c r="N2394" s="121">
        <f t="shared" si="925"/>
        <v>1.04</v>
      </c>
      <c r="O2394" s="246">
        <f t="shared" si="926"/>
        <v>0.9</v>
      </c>
      <c r="P2394" s="121">
        <f t="shared" si="927"/>
        <v>0</v>
      </c>
      <c r="Q2394" s="121">
        <f t="shared" si="928"/>
        <v>0</v>
      </c>
      <c r="R2394" s="121">
        <f t="shared" si="929"/>
        <v>8.3333333333333329E-2</v>
      </c>
      <c r="S2394" s="121" t="str">
        <f t="shared" si="930"/>
        <v/>
      </c>
      <c r="T2394" s="121" t="str">
        <f t="shared" si="931"/>
        <v/>
      </c>
      <c r="U2394" s="121">
        <f t="shared" si="932"/>
        <v>1.04</v>
      </c>
    </row>
    <row r="2395" spans="1:21" x14ac:dyDescent="0.3">
      <c r="A2395" s="6" t="s">
        <v>1651</v>
      </c>
      <c r="B2395" s="73">
        <f>EXP(SUMPRODUCT((rl_key=$A$2344)*(rl_cons="Y")*rl_ln1p))</f>
        <v>1.04</v>
      </c>
      <c r="C2395" s="73">
        <f>SUMPRODUCT($H$2347:$H$2394,$P$2347:$P$2394,$U$2347:$U$2394)/SUMPRODUCT($H$2347:$H$2394,$P$2347:$P$2394)</f>
        <v>1.01</v>
      </c>
      <c r="D2395" s="73">
        <f>SUMPRODUCT($H$2347:$H$2394,$Q$2347:$Q$2394,$U$2347:$U$2394)/SUMPRODUCT($H$2347:$H$2394,$Q$2347:$Q$2394)</f>
        <v>1.0399999999999998</v>
      </c>
      <c r="E2395" s="73">
        <f>SUMPRODUCT($H$2347:$H$2394,$R$2347:$R$2394,$U$2347:$U$2394)/SUMPRODUCT($H$2347:$H$2394,$R$2347:$R$2394)</f>
        <v>1.0399999999999998</v>
      </c>
      <c r="F2395" s="224">
        <f>SUMPRODUCT($H$2347:$H$2394,$Q$2347:$Q$2394,$O$2347:$O$2394)/SUMPRODUCT($H$2347:$H$2394,$Q$2347:$Q$2394)</f>
        <v>0.90600747629467537</v>
      </c>
      <c r="G2395" s="224">
        <f>SUMPRODUCT($H$2347:$H$2394,$R$2347:$R$2394,$O$2347:$O$2394)/SUMPRODUCT($H$2347:$H$2394,$R$2347:$R$2394)</f>
        <v>0.90033977631898854</v>
      </c>
      <c r="H2395" s="73">
        <f>SUMPRODUCT($H$2371:$H$2382,$N$2371:$N$2382/$N$2359:$N$2370)/SUM($H$2371:$H$2382)</f>
        <v>1.02</v>
      </c>
      <c r="I2395" s="73">
        <f>SUMPRODUCT($H$2371:$H$2382,$O$2371:$O$2382/$O$2359:$O$2370)/SUM($H$2371:$H$2382)</f>
        <v>0.99124238763980388</v>
      </c>
      <c r="J2395" s="73">
        <f>IF($O$2344=1,SUMPRODUCT($H$2371:$H$2382,$N$2371:$N$2382/$N$2359:$N$2370*$O$2371:$O$2382/$O$2359:$O$2370)/SUM($H$2371:$H$2382),$H2395)</f>
        <v>1.0110676197496777</v>
      </c>
      <c r="K2395" s="73">
        <f>SUMPRODUCT($H$2347:$H$2394,$Q$2347:$Q$2394,$N$2347:$N$2394)/SUMPRODUCT($H$2347:$H$2394,$Q$2347:$Q$2394)</f>
        <v>1.0399999999999998</v>
      </c>
      <c r="L2395" s="73">
        <f>SUMPRODUCT($H$2347:$H$2394,$R$2347:$R$2394,$N$2347:$N$2394)/SUMPRODUCT($H$2347:$H$2394,$R$2347:$R$2394)</f>
        <v>1.0399999999999998</v>
      </c>
    </row>
    <row r="2398" spans="1:21" x14ac:dyDescent="0.3">
      <c r="A2398" s="6" t="str">
        <f>INDEX(lr_key,44)</f>
        <v>SBA|CO</v>
      </c>
      <c r="B2398" s="6" t="str">
        <f>INDEX(lr_state,44)</f>
        <v>CO</v>
      </c>
      <c r="C2398" s="75">
        <f>nr_TermMonths</f>
        <v>6</v>
      </c>
      <c r="D2398" s="75">
        <f>IF(COUNTIF(se_state,$B2398)=0,0,MATCH($B2398,se_state,0))</f>
        <v>0</v>
      </c>
      <c r="E2398" s="70">
        <f>IF($D2398=0,0,INDEX(se_sum,$D2398))</f>
        <v>0</v>
      </c>
      <c r="F2398" s="224">
        <f>IF(N(INDEX(lr_mind,44))=0,1,INDEX(lr_mind,44))</f>
        <v>0.92</v>
      </c>
      <c r="G2398" s="224">
        <f>IF(N(INDEX(lr_m0,44))=0,1,INDEX(lr_m0,44))</f>
        <v>0.91</v>
      </c>
      <c r="H2398" s="74">
        <f>IF(N(INDEX(lr_m0asof,44))=0,DATE(nr_PlanYear-1,10,1),INDEX(lr_m0asof,44))</f>
        <v>46295</v>
      </c>
      <c r="I2398" s="224">
        <f>IF(N(INDEX(lr_m1,44))=0,1,INDEX(lr_m1,44))</f>
        <v>0.91500000000000004</v>
      </c>
      <c r="J2398" s="224">
        <f>INDEX(lr_mprior,44)</f>
        <v>0</v>
      </c>
      <c r="K2398" s="224">
        <f>INDEX(lr_m2,44)</f>
        <v>0</v>
      </c>
      <c r="L2398" s="6" t="b">
        <f>NOT(ISBLANK(INDEX(lr_netp,44)))</f>
        <v>0</v>
      </c>
      <c r="M2398" s="72">
        <f>N(INDEX(lr_netp,44))</f>
        <v>0</v>
      </c>
      <c r="N2398" s="72">
        <f>IF(ISBLANK(INDEX(lr_netp1,44)),$M$2398,N(INDEX(lr_netp1,44)))</f>
        <v>0</v>
      </c>
      <c r="O2398" s="75">
        <f>IF(AND(nr_ModAdjMaster="ON",INDEX(lr_modadj,44)="ON"),1,0)</f>
        <v>1</v>
      </c>
    </row>
    <row r="2399" spans="1:21" x14ac:dyDescent="0.3">
      <c r="A2399" s="6">
        <f>EDATE($H$2398,-12)+1</f>
        <v>45931</v>
      </c>
      <c r="B2399" s="6">
        <f>$H$2398+1</f>
        <v>46296</v>
      </c>
      <c r="C2399" s="6">
        <f>DATE(nr_PlanYear,12,31)+1</f>
        <v>46753</v>
      </c>
      <c r="D2399" s="6">
        <f>DATE(nr_PlanYear+1,12,31)+1</f>
        <v>47119</v>
      </c>
      <c r="E2399" s="6">
        <f>IF(N($J$2398)=0,$F$2399-($G$2399-$F$2399)/($C$2399-$B$2399)*($B$2399-$A$2399),$J$2398)</f>
        <v>0.90600656455142237</v>
      </c>
      <c r="F2399" s="6">
        <f>$G$2398</f>
        <v>0.91</v>
      </c>
      <c r="G2399" s="6">
        <f>$I$2398</f>
        <v>0.91500000000000004</v>
      </c>
      <c r="H2399" s="6">
        <f>IF(N($K$2398)=0,$I$2398,$K$2398)</f>
        <v>0.91500000000000004</v>
      </c>
      <c r="I2399" s="6">
        <f>($F$2399-$E$2399)/($B$2399-$A$2399)</f>
        <v>1.0940919037199081E-5</v>
      </c>
      <c r="J2399" s="6">
        <f>($G$2399-$F$2399)/($C$2399-$B$2399)</f>
        <v>1.0940919037199135E-5</v>
      </c>
      <c r="K2399" s="6">
        <f>($H$2399-$G$2399)/($D$2399-$C$2399)</f>
        <v>0</v>
      </c>
    </row>
    <row r="2400" spans="1:21" ht="36" x14ac:dyDescent="0.3">
      <c r="A2400" s="58" t="s">
        <v>390</v>
      </c>
      <c r="B2400" s="58" t="s">
        <v>449</v>
      </c>
      <c r="C2400" s="58" t="s">
        <v>685</v>
      </c>
      <c r="D2400" s="58" t="s">
        <v>686</v>
      </c>
      <c r="E2400" s="58" t="s">
        <v>687</v>
      </c>
      <c r="F2400" s="58" t="s">
        <v>688</v>
      </c>
      <c r="G2400" s="58" t="s">
        <v>689</v>
      </c>
      <c r="H2400" s="58" t="s">
        <v>452</v>
      </c>
      <c r="I2400" s="58" t="s">
        <v>690</v>
      </c>
      <c r="J2400" s="58" t="s">
        <v>691</v>
      </c>
      <c r="K2400" s="58" t="s">
        <v>692</v>
      </c>
      <c r="L2400" s="58" t="s">
        <v>693</v>
      </c>
      <c r="M2400" s="58" t="s">
        <v>694</v>
      </c>
      <c r="N2400" s="58" t="s">
        <v>695</v>
      </c>
      <c r="O2400" s="58" t="s">
        <v>696</v>
      </c>
      <c r="P2400" s="58" t="s">
        <v>697</v>
      </c>
      <c r="Q2400" s="58" t="s">
        <v>698</v>
      </c>
      <c r="R2400" s="58" t="s">
        <v>699</v>
      </c>
      <c r="S2400" s="58" t="s">
        <v>700</v>
      </c>
      <c r="T2400" s="58" t="s">
        <v>701</v>
      </c>
      <c r="U2400" s="58" t="s">
        <v>702</v>
      </c>
    </row>
    <row r="2401" spans="1:21" x14ac:dyDescent="0.3">
      <c r="A2401" s="187">
        <v>1</v>
      </c>
      <c r="B2401" s="242">
        <f>DATE(nr_PlanYear-2,1,1)</f>
        <v>45658</v>
      </c>
      <c r="C2401" s="243">
        <f t="shared" ref="C2401:C2448" si="934">EOMONTH($B2401,0)</f>
        <v>45688</v>
      </c>
      <c r="D2401" s="120">
        <f t="shared" ref="D2401:D2448" si="935">$C2401-$B2401+1</f>
        <v>31</v>
      </c>
      <c r="E2401" s="120">
        <f t="shared" ref="E2401:E2448" si="936">MONTH($B2401)</f>
        <v>1</v>
      </c>
      <c r="F2401" s="275">
        <f t="shared" ref="F2401:F2448" si="937">($B2401+$C2401+1)/2</f>
        <v>45673.5</v>
      </c>
      <c r="G2401" s="120">
        <f t="shared" ref="G2401:G2448" si="938">YEAR($B2401)*12+MONTH($B2401)-1</f>
        <v>24300</v>
      </c>
      <c r="H2401" s="245">
        <f t="shared" ref="H2401:H2448" si="939">IF(OR(nr_SeasonOn="OFF",$D$2398=0,$E$2398=0),1,12*INDEX(se_block,$D$2398,$E2401)/$E$2398)</f>
        <v>1</v>
      </c>
      <c r="I2401" s="121">
        <f t="shared" ref="I2401:I2448" si="940">EXP(SUMPRODUCT((rl_eff&lt;$B2401)*(rl_key=$A$2398)*rl_ln1p))</f>
        <v>1</v>
      </c>
      <c r="J2401" s="121">
        <f t="shared" ref="J2401:J2448" si="941">EXP(SUMPRODUCT((rl_eff&lt;=$C2401)*(rl_key=$A$2398)*rl_ln1p))</f>
        <v>1</v>
      </c>
      <c r="K2401" s="120">
        <f t="shared" ref="K2401:K2448" si="942">COUNTIFS(rl_key,$A$2398,rl_eff,"&gt;="&amp;$B2401,rl_eff,"&lt;="&amp;$C2401)</f>
        <v>0</v>
      </c>
      <c r="L2401" s="120">
        <f t="shared" ref="L2401:L2448" si="943">SUMIFS(rl_daysafter,rl_key,$A$2398,rl_effmonth,$B2401,rl_first,1)</f>
        <v>0</v>
      </c>
      <c r="M2401" s="246">
        <f t="shared" ref="M2401:M2448" si="944">IF($K2401=0,0,MIN(1,$L2401/$D2401))</f>
        <v>0</v>
      </c>
      <c r="N2401" s="121">
        <f t="shared" ref="N2401:N2448" si="945">IF($K2401=0,$J2401,(1-$M2401)*$I2401+$M2401*$J2401)</f>
        <v>1</v>
      </c>
      <c r="O2401" s="246">
        <f t="shared" ref="O2401:O2448" si="946">IF($F2401&lt;$B$2399,$E$2399+$I$2399*($F2401-$A$2399),IF($F2401&lt;$C$2399,$F$2399+$J$2399*($F2401-$B$2399),$G$2399+$K$2399*($F2401-$C$2399)))</f>
        <v>0.90318927789934356</v>
      </c>
      <c r="P2401" s="121">
        <f t="shared" ref="P2401:P2448" si="947">MIN(1,MAX(0,(nr_MEndPm1-$G2401+0.5)/$C$2398))-MIN(1,MAX(0,(nr_MStartPm1-1-$G2401+0.5)/$C$2398))</f>
        <v>0</v>
      </c>
      <c r="Q2401" s="121">
        <f t="shared" ref="Q2401:Q2448" si="948">MIN(1,MAX(0,(nr_MEndP-$G2401+0.5)/$C$2398))-MIN(1,MAX(0,(nr_MStartP-1-$G2401+0.5)/$C$2398))</f>
        <v>0</v>
      </c>
      <c r="R2401" s="121">
        <f t="shared" ref="R2401:R2448" si="949">MIN(1,MAX(0,(nr_MEndP1-$G2401+0.5)/$C$2398))-MIN(1,MAX(0,(nr_MStartP1-1-$G2401+0.5)/$C$2398))</f>
        <v>0</v>
      </c>
      <c r="S2401" s="121" t="str">
        <f t="shared" ref="S2401:S2448" si="950">IF($L$2398,$N2401*IF($O$2398=1,$O2401/$F$2398,1),"")</f>
        <v/>
      </c>
      <c r="T2401" s="121" t="str">
        <f t="shared" ref="T2401:T2448" si="951">IF(NOT($L$2398),"",IF($G2401&lt;nr_MStartP,$S2401,$T2389*(1+IF($G2401&lt;nr_MStartP1,$M$2398,$N$2398))))</f>
        <v/>
      </c>
      <c r="U2401" s="121">
        <f t="shared" ref="U2401:U2448" si="952">IF($L$2398,$T2401,$N2401)</f>
        <v>1</v>
      </c>
    </row>
    <row r="2402" spans="1:21" x14ac:dyDescent="0.3">
      <c r="A2402" s="187">
        <v>2</v>
      </c>
      <c r="B2402" s="242">
        <f t="shared" ref="B2402:B2448" si="953">EDATE($B2401,1)</f>
        <v>45689</v>
      </c>
      <c r="C2402" s="243">
        <f t="shared" si="934"/>
        <v>45716</v>
      </c>
      <c r="D2402" s="120">
        <f t="shared" si="935"/>
        <v>28</v>
      </c>
      <c r="E2402" s="120">
        <f t="shared" si="936"/>
        <v>2</v>
      </c>
      <c r="F2402" s="275">
        <f t="shared" si="937"/>
        <v>45703</v>
      </c>
      <c r="G2402" s="120">
        <f t="shared" si="938"/>
        <v>24301</v>
      </c>
      <c r="H2402" s="245">
        <f t="shared" si="939"/>
        <v>1</v>
      </c>
      <c r="I2402" s="121">
        <f t="shared" si="940"/>
        <v>1</v>
      </c>
      <c r="J2402" s="121">
        <f t="shared" si="941"/>
        <v>1</v>
      </c>
      <c r="K2402" s="120">
        <f t="shared" si="942"/>
        <v>0</v>
      </c>
      <c r="L2402" s="120">
        <f t="shared" si="943"/>
        <v>0</v>
      </c>
      <c r="M2402" s="246">
        <f t="shared" si="944"/>
        <v>0</v>
      </c>
      <c r="N2402" s="121">
        <f t="shared" si="945"/>
        <v>1</v>
      </c>
      <c r="O2402" s="246">
        <f t="shared" si="946"/>
        <v>0.90351203501094102</v>
      </c>
      <c r="P2402" s="121">
        <f t="shared" si="947"/>
        <v>0</v>
      </c>
      <c r="Q2402" s="121">
        <f t="shared" si="948"/>
        <v>0</v>
      </c>
      <c r="R2402" s="121">
        <f t="shared" si="949"/>
        <v>0</v>
      </c>
      <c r="S2402" s="121" t="str">
        <f t="shared" si="950"/>
        <v/>
      </c>
      <c r="T2402" s="121" t="str">
        <f t="shared" si="951"/>
        <v/>
      </c>
      <c r="U2402" s="121">
        <f t="shared" si="952"/>
        <v>1</v>
      </c>
    </row>
    <row r="2403" spans="1:21" x14ac:dyDescent="0.3">
      <c r="A2403" s="187">
        <v>3</v>
      </c>
      <c r="B2403" s="242">
        <f t="shared" si="953"/>
        <v>45717</v>
      </c>
      <c r="C2403" s="243">
        <f t="shared" si="934"/>
        <v>45747</v>
      </c>
      <c r="D2403" s="120">
        <f t="shared" si="935"/>
        <v>31</v>
      </c>
      <c r="E2403" s="120">
        <f t="shared" si="936"/>
        <v>3</v>
      </c>
      <c r="F2403" s="275">
        <f t="shared" si="937"/>
        <v>45732.5</v>
      </c>
      <c r="G2403" s="120">
        <f t="shared" si="938"/>
        <v>24302</v>
      </c>
      <c r="H2403" s="245">
        <f t="shared" si="939"/>
        <v>1</v>
      </c>
      <c r="I2403" s="121">
        <f t="shared" si="940"/>
        <v>1</v>
      </c>
      <c r="J2403" s="121">
        <f t="shared" si="941"/>
        <v>1</v>
      </c>
      <c r="K2403" s="120">
        <f t="shared" si="942"/>
        <v>0</v>
      </c>
      <c r="L2403" s="120">
        <f t="shared" si="943"/>
        <v>0</v>
      </c>
      <c r="M2403" s="246">
        <f t="shared" si="944"/>
        <v>0</v>
      </c>
      <c r="N2403" s="121">
        <f t="shared" si="945"/>
        <v>1</v>
      </c>
      <c r="O2403" s="246">
        <f t="shared" si="946"/>
        <v>0.90383479212253837</v>
      </c>
      <c r="P2403" s="121">
        <f t="shared" si="947"/>
        <v>0</v>
      </c>
      <c r="Q2403" s="121">
        <f t="shared" si="948"/>
        <v>0</v>
      </c>
      <c r="R2403" s="121">
        <f t="shared" si="949"/>
        <v>0</v>
      </c>
      <c r="S2403" s="121" t="str">
        <f t="shared" si="950"/>
        <v/>
      </c>
      <c r="T2403" s="121" t="str">
        <f t="shared" si="951"/>
        <v/>
      </c>
      <c r="U2403" s="121">
        <f t="shared" si="952"/>
        <v>1</v>
      </c>
    </row>
    <row r="2404" spans="1:21" x14ac:dyDescent="0.3">
      <c r="A2404" s="187">
        <v>4</v>
      </c>
      <c r="B2404" s="242">
        <f t="shared" si="953"/>
        <v>45748</v>
      </c>
      <c r="C2404" s="243">
        <f t="shared" si="934"/>
        <v>45777</v>
      </c>
      <c r="D2404" s="120">
        <f t="shared" si="935"/>
        <v>30</v>
      </c>
      <c r="E2404" s="120">
        <f t="shared" si="936"/>
        <v>4</v>
      </c>
      <c r="F2404" s="275">
        <f t="shared" si="937"/>
        <v>45763</v>
      </c>
      <c r="G2404" s="120">
        <f t="shared" si="938"/>
        <v>24303</v>
      </c>
      <c r="H2404" s="245">
        <f t="shared" si="939"/>
        <v>1</v>
      </c>
      <c r="I2404" s="121">
        <f t="shared" si="940"/>
        <v>1</v>
      </c>
      <c r="J2404" s="121">
        <f t="shared" si="941"/>
        <v>1</v>
      </c>
      <c r="K2404" s="120">
        <f t="shared" si="942"/>
        <v>0</v>
      </c>
      <c r="L2404" s="120">
        <f t="shared" si="943"/>
        <v>0</v>
      </c>
      <c r="M2404" s="246">
        <f t="shared" si="944"/>
        <v>0</v>
      </c>
      <c r="N2404" s="121">
        <f t="shared" si="945"/>
        <v>1</v>
      </c>
      <c r="O2404" s="246">
        <f t="shared" si="946"/>
        <v>0.90416849015317291</v>
      </c>
      <c r="P2404" s="121">
        <f t="shared" si="947"/>
        <v>0</v>
      </c>
      <c r="Q2404" s="121">
        <f t="shared" si="948"/>
        <v>0</v>
      </c>
      <c r="R2404" s="121">
        <f t="shared" si="949"/>
        <v>0</v>
      </c>
      <c r="S2404" s="121" t="str">
        <f t="shared" si="950"/>
        <v/>
      </c>
      <c r="T2404" s="121" t="str">
        <f t="shared" si="951"/>
        <v/>
      </c>
      <c r="U2404" s="121">
        <f t="shared" si="952"/>
        <v>1</v>
      </c>
    </row>
    <row r="2405" spans="1:21" x14ac:dyDescent="0.3">
      <c r="A2405" s="187">
        <v>5</v>
      </c>
      <c r="B2405" s="242">
        <f t="shared" si="953"/>
        <v>45778</v>
      </c>
      <c r="C2405" s="243">
        <f t="shared" si="934"/>
        <v>45808</v>
      </c>
      <c r="D2405" s="120">
        <f t="shared" si="935"/>
        <v>31</v>
      </c>
      <c r="E2405" s="120">
        <f t="shared" si="936"/>
        <v>5</v>
      </c>
      <c r="F2405" s="275">
        <f t="shared" si="937"/>
        <v>45793.5</v>
      </c>
      <c r="G2405" s="120">
        <f t="shared" si="938"/>
        <v>24304</v>
      </c>
      <c r="H2405" s="245">
        <f t="shared" si="939"/>
        <v>1</v>
      </c>
      <c r="I2405" s="121">
        <f t="shared" si="940"/>
        <v>1</v>
      </c>
      <c r="J2405" s="121">
        <f t="shared" si="941"/>
        <v>1</v>
      </c>
      <c r="K2405" s="120">
        <f t="shared" si="942"/>
        <v>0</v>
      </c>
      <c r="L2405" s="120">
        <f t="shared" si="943"/>
        <v>0</v>
      </c>
      <c r="M2405" s="246">
        <f t="shared" si="944"/>
        <v>0</v>
      </c>
      <c r="N2405" s="121">
        <f t="shared" si="945"/>
        <v>1</v>
      </c>
      <c r="O2405" s="246">
        <f t="shared" si="946"/>
        <v>0.90450218818380745</v>
      </c>
      <c r="P2405" s="121">
        <f t="shared" si="947"/>
        <v>0</v>
      </c>
      <c r="Q2405" s="121">
        <f t="shared" si="948"/>
        <v>0</v>
      </c>
      <c r="R2405" s="121">
        <f t="shared" si="949"/>
        <v>0</v>
      </c>
      <c r="S2405" s="121" t="str">
        <f t="shared" si="950"/>
        <v/>
      </c>
      <c r="T2405" s="121" t="str">
        <f t="shared" si="951"/>
        <v/>
      </c>
      <c r="U2405" s="121">
        <f t="shared" si="952"/>
        <v>1</v>
      </c>
    </row>
    <row r="2406" spans="1:21" x14ac:dyDescent="0.3">
      <c r="A2406" s="187">
        <v>6</v>
      </c>
      <c r="B2406" s="242">
        <f t="shared" si="953"/>
        <v>45809</v>
      </c>
      <c r="C2406" s="243">
        <f t="shared" si="934"/>
        <v>45838</v>
      </c>
      <c r="D2406" s="120">
        <f t="shared" si="935"/>
        <v>30</v>
      </c>
      <c r="E2406" s="120">
        <f t="shared" si="936"/>
        <v>6</v>
      </c>
      <c r="F2406" s="275">
        <f t="shared" si="937"/>
        <v>45824</v>
      </c>
      <c r="G2406" s="120">
        <f t="shared" si="938"/>
        <v>24305</v>
      </c>
      <c r="H2406" s="245">
        <f t="shared" si="939"/>
        <v>1</v>
      </c>
      <c r="I2406" s="121">
        <f t="shared" si="940"/>
        <v>1</v>
      </c>
      <c r="J2406" s="121">
        <f t="shared" si="941"/>
        <v>1</v>
      </c>
      <c r="K2406" s="120">
        <f t="shared" si="942"/>
        <v>0</v>
      </c>
      <c r="L2406" s="120">
        <f t="shared" si="943"/>
        <v>0</v>
      </c>
      <c r="M2406" s="246">
        <f t="shared" si="944"/>
        <v>0</v>
      </c>
      <c r="N2406" s="121">
        <f t="shared" si="945"/>
        <v>1</v>
      </c>
      <c r="O2406" s="246">
        <f t="shared" si="946"/>
        <v>0.90483588621444211</v>
      </c>
      <c r="P2406" s="121">
        <f t="shared" si="947"/>
        <v>0</v>
      </c>
      <c r="Q2406" s="121">
        <f t="shared" si="948"/>
        <v>0</v>
      </c>
      <c r="R2406" s="121">
        <f t="shared" si="949"/>
        <v>0</v>
      </c>
      <c r="S2406" s="121" t="str">
        <f t="shared" si="950"/>
        <v/>
      </c>
      <c r="T2406" s="121" t="str">
        <f t="shared" si="951"/>
        <v/>
      </c>
      <c r="U2406" s="121">
        <f t="shared" si="952"/>
        <v>1</v>
      </c>
    </row>
    <row r="2407" spans="1:21" x14ac:dyDescent="0.3">
      <c r="A2407" s="187">
        <v>7</v>
      </c>
      <c r="B2407" s="242">
        <f t="shared" si="953"/>
        <v>45839</v>
      </c>
      <c r="C2407" s="243">
        <f t="shared" si="934"/>
        <v>45869</v>
      </c>
      <c r="D2407" s="120">
        <f t="shared" si="935"/>
        <v>31</v>
      </c>
      <c r="E2407" s="120">
        <f t="shared" si="936"/>
        <v>7</v>
      </c>
      <c r="F2407" s="275">
        <f t="shared" si="937"/>
        <v>45854.5</v>
      </c>
      <c r="G2407" s="120">
        <f t="shared" si="938"/>
        <v>24306</v>
      </c>
      <c r="H2407" s="245">
        <f t="shared" si="939"/>
        <v>1</v>
      </c>
      <c r="I2407" s="121">
        <f t="shared" si="940"/>
        <v>1</v>
      </c>
      <c r="J2407" s="121">
        <f t="shared" si="941"/>
        <v>1</v>
      </c>
      <c r="K2407" s="120">
        <f t="shared" si="942"/>
        <v>0</v>
      </c>
      <c r="L2407" s="120">
        <f t="shared" si="943"/>
        <v>0</v>
      </c>
      <c r="M2407" s="246">
        <f t="shared" si="944"/>
        <v>0</v>
      </c>
      <c r="N2407" s="121">
        <f t="shared" si="945"/>
        <v>1</v>
      </c>
      <c r="O2407" s="246">
        <f t="shared" si="946"/>
        <v>0.90516958424507665</v>
      </c>
      <c r="P2407" s="121">
        <f t="shared" si="947"/>
        <v>8.333333333333337E-2</v>
      </c>
      <c r="Q2407" s="121">
        <f t="shared" si="948"/>
        <v>0</v>
      </c>
      <c r="R2407" s="121">
        <f t="shared" si="949"/>
        <v>0</v>
      </c>
      <c r="S2407" s="121" t="str">
        <f t="shared" si="950"/>
        <v/>
      </c>
      <c r="T2407" s="121" t="str">
        <f t="shared" si="951"/>
        <v/>
      </c>
      <c r="U2407" s="121">
        <f t="shared" si="952"/>
        <v>1</v>
      </c>
    </row>
    <row r="2408" spans="1:21" x14ac:dyDescent="0.3">
      <c r="A2408" s="187">
        <v>8</v>
      </c>
      <c r="B2408" s="242">
        <f t="shared" si="953"/>
        <v>45870</v>
      </c>
      <c r="C2408" s="243">
        <f t="shared" si="934"/>
        <v>45900</v>
      </c>
      <c r="D2408" s="120">
        <f t="shared" si="935"/>
        <v>31</v>
      </c>
      <c r="E2408" s="120">
        <f t="shared" si="936"/>
        <v>8</v>
      </c>
      <c r="F2408" s="275">
        <f t="shared" si="937"/>
        <v>45885.5</v>
      </c>
      <c r="G2408" s="120">
        <f t="shared" si="938"/>
        <v>24307</v>
      </c>
      <c r="H2408" s="245">
        <f t="shared" si="939"/>
        <v>1</v>
      </c>
      <c r="I2408" s="121">
        <f t="shared" si="940"/>
        <v>1</v>
      </c>
      <c r="J2408" s="121">
        <f t="shared" si="941"/>
        <v>1</v>
      </c>
      <c r="K2408" s="120">
        <f t="shared" si="942"/>
        <v>0</v>
      </c>
      <c r="L2408" s="120">
        <f t="shared" si="943"/>
        <v>0</v>
      </c>
      <c r="M2408" s="246">
        <f t="shared" si="944"/>
        <v>0</v>
      </c>
      <c r="N2408" s="121">
        <f t="shared" si="945"/>
        <v>1</v>
      </c>
      <c r="O2408" s="246">
        <f t="shared" si="946"/>
        <v>0.90550875273522979</v>
      </c>
      <c r="P2408" s="121">
        <f t="shared" si="947"/>
        <v>0.25</v>
      </c>
      <c r="Q2408" s="121">
        <f t="shared" si="948"/>
        <v>0</v>
      </c>
      <c r="R2408" s="121">
        <f t="shared" si="949"/>
        <v>0</v>
      </c>
      <c r="S2408" s="121" t="str">
        <f t="shared" si="950"/>
        <v/>
      </c>
      <c r="T2408" s="121" t="str">
        <f t="shared" si="951"/>
        <v/>
      </c>
      <c r="U2408" s="121">
        <f t="shared" si="952"/>
        <v>1</v>
      </c>
    </row>
    <row r="2409" spans="1:21" x14ac:dyDescent="0.3">
      <c r="A2409" s="187">
        <v>9</v>
      </c>
      <c r="B2409" s="242">
        <f t="shared" si="953"/>
        <v>45901</v>
      </c>
      <c r="C2409" s="243">
        <f t="shared" si="934"/>
        <v>45930</v>
      </c>
      <c r="D2409" s="120">
        <f t="shared" si="935"/>
        <v>30</v>
      </c>
      <c r="E2409" s="120">
        <f t="shared" si="936"/>
        <v>9</v>
      </c>
      <c r="F2409" s="275">
        <f t="shared" si="937"/>
        <v>45916</v>
      </c>
      <c r="G2409" s="120">
        <f t="shared" si="938"/>
        <v>24308</v>
      </c>
      <c r="H2409" s="245">
        <f t="shared" si="939"/>
        <v>1</v>
      </c>
      <c r="I2409" s="121">
        <f t="shared" si="940"/>
        <v>1</v>
      </c>
      <c r="J2409" s="121">
        <f t="shared" si="941"/>
        <v>1</v>
      </c>
      <c r="K2409" s="120">
        <f t="shared" si="942"/>
        <v>0</v>
      </c>
      <c r="L2409" s="120">
        <f t="shared" si="943"/>
        <v>0</v>
      </c>
      <c r="M2409" s="246">
        <f t="shared" si="944"/>
        <v>0</v>
      </c>
      <c r="N2409" s="121">
        <f t="shared" si="945"/>
        <v>1</v>
      </c>
      <c r="O2409" s="246">
        <f t="shared" si="946"/>
        <v>0.90584245076586434</v>
      </c>
      <c r="P2409" s="121">
        <f t="shared" si="947"/>
        <v>0.41666666666666663</v>
      </c>
      <c r="Q2409" s="121">
        <f t="shared" si="948"/>
        <v>0</v>
      </c>
      <c r="R2409" s="121">
        <f t="shared" si="949"/>
        <v>0</v>
      </c>
      <c r="S2409" s="121" t="str">
        <f t="shared" si="950"/>
        <v/>
      </c>
      <c r="T2409" s="121" t="str">
        <f t="shared" si="951"/>
        <v/>
      </c>
      <c r="U2409" s="121">
        <f t="shared" si="952"/>
        <v>1</v>
      </c>
    </row>
    <row r="2410" spans="1:21" x14ac:dyDescent="0.3">
      <c r="A2410" s="187">
        <v>10</v>
      </c>
      <c r="B2410" s="242">
        <f t="shared" si="953"/>
        <v>45931</v>
      </c>
      <c r="C2410" s="243">
        <f t="shared" si="934"/>
        <v>45961</v>
      </c>
      <c r="D2410" s="120">
        <f t="shared" si="935"/>
        <v>31</v>
      </c>
      <c r="E2410" s="120">
        <f t="shared" si="936"/>
        <v>10</v>
      </c>
      <c r="F2410" s="275">
        <f t="shared" si="937"/>
        <v>45946.5</v>
      </c>
      <c r="G2410" s="120">
        <f t="shared" si="938"/>
        <v>24309</v>
      </c>
      <c r="H2410" s="245">
        <f t="shared" si="939"/>
        <v>1</v>
      </c>
      <c r="I2410" s="121">
        <f t="shared" si="940"/>
        <v>1</v>
      </c>
      <c r="J2410" s="121">
        <f t="shared" si="941"/>
        <v>1</v>
      </c>
      <c r="K2410" s="120">
        <f t="shared" si="942"/>
        <v>0</v>
      </c>
      <c r="L2410" s="120">
        <f t="shared" si="943"/>
        <v>0</v>
      </c>
      <c r="M2410" s="246">
        <f t="shared" si="944"/>
        <v>0</v>
      </c>
      <c r="N2410" s="121">
        <f t="shared" si="945"/>
        <v>1</v>
      </c>
      <c r="O2410" s="246">
        <f t="shared" si="946"/>
        <v>0.90617614879649899</v>
      </c>
      <c r="P2410" s="121">
        <f t="shared" si="947"/>
        <v>0.58333333333333326</v>
      </c>
      <c r="Q2410" s="121">
        <f t="shared" si="948"/>
        <v>0</v>
      </c>
      <c r="R2410" s="121">
        <f t="shared" si="949"/>
        <v>0</v>
      </c>
      <c r="S2410" s="121" t="str">
        <f t="shared" si="950"/>
        <v/>
      </c>
      <c r="T2410" s="121" t="str">
        <f t="shared" si="951"/>
        <v/>
      </c>
      <c r="U2410" s="121">
        <f t="shared" si="952"/>
        <v>1</v>
      </c>
    </row>
    <row r="2411" spans="1:21" x14ac:dyDescent="0.3">
      <c r="A2411" s="187">
        <v>11</v>
      </c>
      <c r="B2411" s="242">
        <f t="shared" si="953"/>
        <v>45962</v>
      </c>
      <c r="C2411" s="243">
        <f t="shared" si="934"/>
        <v>45991</v>
      </c>
      <c r="D2411" s="120">
        <f t="shared" si="935"/>
        <v>30</v>
      </c>
      <c r="E2411" s="120">
        <f t="shared" si="936"/>
        <v>11</v>
      </c>
      <c r="F2411" s="275">
        <f t="shared" si="937"/>
        <v>45977</v>
      </c>
      <c r="G2411" s="120">
        <f t="shared" si="938"/>
        <v>24310</v>
      </c>
      <c r="H2411" s="245">
        <f t="shared" si="939"/>
        <v>1</v>
      </c>
      <c r="I2411" s="121">
        <f t="shared" si="940"/>
        <v>1</v>
      </c>
      <c r="J2411" s="121">
        <f t="shared" si="941"/>
        <v>1</v>
      </c>
      <c r="K2411" s="120">
        <f t="shared" si="942"/>
        <v>0</v>
      </c>
      <c r="L2411" s="120">
        <f t="shared" si="943"/>
        <v>0</v>
      </c>
      <c r="M2411" s="246">
        <f t="shared" si="944"/>
        <v>0</v>
      </c>
      <c r="N2411" s="121">
        <f t="shared" si="945"/>
        <v>1</v>
      </c>
      <c r="O2411" s="246">
        <f t="shared" si="946"/>
        <v>0.90650984682713354</v>
      </c>
      <c r="P2411" s="121">
        <f t="shared" si="947"/>
        <v>0.75</v>
      </c>
      <c r="Q2411" s="121">
        <f t="shared" si="948"/>
        <v>0</v>
      </c>
      <c r="R2411" s="121">
        <f t="shared" si="949"/>
        <v>0</v>
      </c>
      <c r="S2411" s="121" t="str">
        <f t="shared" si="950"/>
        <v/>
      </c>
      <c r="T2411" s="121" t="str">
        <f t="shared" si="951"/>
        <v/>
      </c>
      <c r="U2411" s="121">
        <f t="shared" si="952"/>
        <v>1</v>
      </c>
    </row>
    <row r="2412" spans="1:21" x14ac:dyDescent="0.3">
      <c r="A2412" s="187">
        <v>12</v>
      </c>
      <c r="B2412" s="242">
        <f t="shared" si="953"/>
        <v>45992</v>
      </c>
      <c r="C2412" s="243">
        <f t="shared" si="934"/>
        <v>46022</v>
      </c>
      <c r="D2412" s="120">
        <f t="shared" si="935"/>
        <v>31</v>
      </c>
      <c r="E2412" s="120">
        <f t="shared" si="936"/>
        <v>12</v>
      </c>
      <c r="F2412" s="275">
        <f t="shared" si="937"/>
        <v>46007.5</v>
      </c>
      <c r="G2412" s="120">
        <f t="shared" si="938"/>
        <v>24311</v>
      </c>
      <c r="H2412" s="245">
        <f t="shared" si="939"/>
        <v>1</v>
      </c>
      <c r="I2412" s="121">
        <f t="shared" si="940"/>
        <v>1</v>
      </c>
      <c r="J2412" s="121">
        <f t="shared" si="941"/>
        <v>1</v>
      </c>
      <c r="K2412" s="120">
        <f t="shared" si="942"/>
        <v>0</v>
      </c>
      <c r="L2412" s="120">
        <f t="shared" si="943"/>
        <v>0</v>
      </c>
      <c r="M2412" s="246">
        <f t="shared" si="944"/>
        <v>0</v>
      </c>
      <c r="N2412" s="121">
        <f t="shared" si="945"/>
        <v>1</v>
      </c>
      <c r="O2412" s="246">
        <f t="shared" si="946"/>
        <v>0.90684354485776808</v>
      </c>
      <c r="P2412" s="121">
        <f t="shared" si="947"/>
        <v>0.91666666666666663</v>
      </c>
      <c r="Q2412" s="121">
        <f t="shared" si="948"/>
        <v>0</v>
      </c>
      <c r="R2412" s="121">
        <f t="shared" si="949"/>
        <v>0</v>
      </c>
      <c r="S2412" s="121" t="str">
        <f t="shared" si="950"/>
        <v/>
      </c>
      <c r="T2412" s="121" t="str">
        <f t="shared" si="951"/>
        <v/>
      </c>
      <c r="U2412" s="121">
        <f t="shared" si="952"/>
        <v>1</v>
      </c>
    </row>
    <row r="2413" spans="1:21" x14ac:dyDescent="0.3">
      <c r="A2413" s="187">
        <v>13</v>
      </c>
      <c r="B2413" s="242">
        <f t="shared" si="953"/>
        <v>46023</v>
      </c>
      <c r="C2413" s="243">
        <f t="shared" si="934"/>
        <v>46053</v>
      </c>
      <c r="D2413" s="120">
        <f t="shared" si="935"/>
        <v>31</v>
      </c>
      <c r="E2413" s="120">
        <f t="shared" si="936"/>
        <v>1</v>
      </c>
      <c r="F2413" s="275">
        <f t="shared" si="937"/>
        <v>46038.5</v>
      </c>
      <c r="G2413" s="120">
        <f t="shared" si="938"/>
        <v>24312</v>
      </c>
      <c r="H2413" s="245">
        <f t="shared" si="939"/>
        <v>1</v>
      </c>
      <c r="I2413" s="121">
        <f t="shared" si="940"/>
        <v>1</v>
      </c>
      <c r="J2413" s="121">
        <f t="shared" si="941"/>
        <v>1</v>
      </c>
      <c r="K2413" s="120">
        <f t="shared" si="942"/>
        <v>0</v>
      </c>
      <c r="L2413" s="120">
        <f t="shared" si="943"/>
        <v>0</v>
      </c>
      <c r="M2413" s="246">
        <f t="shared" si="944"/>
        <v>0</v>
      </c>
      <c r="N2413" s="121">
        <f t="shared" si="945"/>
        <v>1</v>
      </c>
      <c r="O2413" s="246">
        <f t="shared" si="946"/>
        <v>0.90718271334792122</v>
      </c>
      <c r="P2413" s="121">
        <f t="shared" si="947"/>
        <v>1</v>
      </c>
      <c r="Q2413" s="121">
        <f t="shared" si="948"/>
        <v>0</v>
      </c>
      <c r="R2413" s="121">
        <f t="shared" si="949"/>
        <v>0</v>
      </c>
      <c r="S2413" s="121" t="str">
        <f t="shared" si="950"/>
        <v/>
      </c>
      <c r="T2413" s="121" t="str">
        <f t="shared" si="951"/>
        <v/>
      </c>
      <c r="U2413" s="121">
        <f t="shared" si="952"/>
        <v>1</v>
      </c>
    </row>
    <row r="2414" spans="1:21" x14ac:dyDescent="0.3">
      <c r="A2414" s="187">
        <v>14</v>
      </c>
      <c r="B2414" s="242">
        <f t="shared" si="953"/>
        <v>46054</v>
      </c>
      <c r="C2414" s="243">
        <f t="shared" si="934"/>
        <v>46081</v>
      </c>
      <c r="D2414" s="120">
        <f t="shared" si="935"/>
        <v>28</v>
      </c>
      <c r="E2414" s="120">
        <f t="shared" si="936"/>
        <v>2</v>
      </c>
      <c r="F2414" s="275">
        <f t="shared" si="937"/>
        <v>46068</v>
      </c>
      <c r="G2414" s="120">
        <f t="shared" si="938"/>
        <v>24313</v>
      </c>
      <c r="H2414" s="245">
        <f t="shared" si="939"/>
        <v>1</v>
      </c>
      <c r="I2414" s="121">
        <f t="shared" si="940"/>
        <v>1</v>
      </c>
      <c r="J2414" s="121">
        <f t="shared" si="941"/>
        <v>1</v>
      </c>
      <c r="K2414" s="120">
        <f t="shared" si="942"/>
        <v>0</v>
      </c>
      <c r="L2414" s="120">
        <f t="shared" si="943"/>
        <v>0</v>
      </c>
      <c r="M2414" s="246">
        <f t="shared" si="944"/>
        <v>0</v>
      </c>
      <c r="N2414" s="121">
        <f t="shared" si="945"/>
        <v>1</v>
      </c>
      <c r="O2414" s="246">
        <f t="shared" si="946"/>
        <v>0.90750547045951868</v>
      </c>
      <c r="P2414" s="121">
        <f t="shared" si="947"/>
        <v>1</v>
      </c>
      <c r="Q2414" s="121">
        <f t="shared" si="948"/>
        <v>0</v>
      </c>
      <c r="R2414" s="121">
        <f t="shared" si="949"/>
        <v>0</v>
      </c>
      <c r="S2414" s="121" t="str">
        <f t="shared" si="950"/>
        <v/>
      </c>
      <c r="T2414" s="121" t="str">
        <f t="shared" si="951"/>
        <v/>
      </c>
      <c r="U2414" s="121">
        <f t="shared" si="952"/>
        <v>1</v>
      </c>
    </row>
    <row r="2415" spans="1:21" x14ac:dyDescent="0.3">
      <c r="A2415" s="187">
        <v>15</v>
      </c>
      <c r="B2415" s="242">
        <f t="shared" si="953"/>
        <v>46082</v>
      </c>
      <c r="C2415" s="243">
        <f t="shared" si="934"/>
        <v>46112</v>
      </c>
      <c r="D2415" s="120">
        <f t="shared" si="935"/>
        <v>31</v>
      </c>
      <c r="E2415" s="120">
        <f t="shared" si="936"/>
        <v>3</v>
      </c>
      <c r="F2415" s="275">
        <f t="shared" si="937"/>
        <v>46097.5</v>
      </c>
      <c r="G2415" s="120">
        <f t="shared" si="938"/>
        <v>24314</v>
      </c>
      <c r="H2415" s="245">
        <f t="shared" si="939"/>
        <v>1</v>
      </c>
      <c r="I2415" s="121">
        <f t="shared" si="940"/>
        <v>1</v>
      </c>
      <c r="J2415" s="121">
        <f t="shared" si="941"/>
        <v>1</v>
      </c>
      <c r="K2415" s="120">
        <f t="shared" si="942"/>
        <v>0</v>
      </c>
      <c r="L2415" s="120">
        <f t="shared" si="943"/>
        <v>0</v>
      </c>
      <c r="M2415" s="246">
        <f t="shared" si="944"/>
        <v>0</v>
      </c>
      <c r="N2415" s="121">
        <f t="shared" si="945"/>
        <v>1</v>
      </c>
      <c r="O2415" s="246">
        <f t="shared" si="946"/>
        <v>0.90782822757111603</v>
      </c>
      <c r="P2415" s="121">
        <f t="shared" si="947"/>
        <v>1</v>
      </c>
      <c r="Q2415" s="121">
        <f t="shared" si="948"/>
        <v>0</v>
      </c>
      <c r="R2415" s="121">
        <f t="shared" si="949"/>
        <v>0</v>
      </c>
      <c r="S2415" s="121" t="str">
        <f t="shared" si="950"/>
        <v/>
      </c>
      <c r="T2415" s="121" t="str">
        <f t="shared" si="951"/>
        <v/>
      </c>
      <c r="U2415" s="121">
        <f t="shared" si="952"/>
        <v>1</v>
      </c>
    </row>
    <row r="2416" spans="1:21" x14ac:dyDescent="0.3">
      <c r="A2416" s="187">
        <v>16</v>
      </c>
      <c r="B2416" s="242">
        <f t="shared" si="953"/>
        <v>46113</v>
      </c>
      <c r="C2416" s="243">
        <f t="shared" si="934"/>
        <v>46142</v>
      </c>
      <c r="D2416" s="120">
        <f t="shared" si="935"/>
        <v>30</v>
      </c>
      <c r="E2416" s="120">
        <f t="shared" si="936"/>
        <v>4</v>
      </c>
      <c r="F2416" s="275">
        <f t="shared" si="937"/>
        <v>46128</v>
      </c>
      <c r="G2416" s="120">
        <f t="shared" si="938"/>
        <v>24315</v>
      </c>
      <c r="H2416" s="245">
        <f t="shared" si="939"/>
        <v>1</v>
      </c>
      <c r="I2416" s="121">
        <f t="shared" si="940"/>
        <v>1</v>
      </c>
      <c r="J2416" s="121">
        <f t="shared" si="941"/>
        <v>1</v>
      </c>
      <c r="K2416" s="120">
        <f t="shared" si="942"/>
        <v>0</v>
      </c>
      <c r="L2416" s="120">
        <f t="shared" si="943"/>
        <v>0</v>
      </c>
      <c r="M2416" s="246">
        <f t="shared" si="944"/>
        <v>0</v>
      </c>
      <c r="N2416" s="121">
        <f t="shared" si="945"/>
        <v>1</v>
      </c>
      <c r="O2416" s="246">
        <f t="shared" si="946"/>
        <v>0.90816192560175057</v>
      </c>
      <c r="P2416" s="121">
        <f t="shared" si="947"/>
        <v>1</v>
      </c>
      <c r="Q2416" s="121">
        <f t="shared" si="948"/>
        <v>0</v>
      </c>
      <c r="R2416" s="121">
        <f t="shared" si="949"/>
        <v>0</v>
      </c>
      <c r="S2416" s="121" t="str">
        <f t="shared" si="950"/>
        <v/>
      </c>
      <c r="T2416" s="121" t="str">
        <f t="shared" si="951"/>
        <v/>
      </c>
      <c r="U2416" s="121">
        <f t="shared" si="952"/>
        <v>1</v>
      </c>
    </row>
    <row r="2417" spans="1:21" x14ac:dyDescent="0.3">
      <c r="A2417" s="187">
        <v>17</v>
      </c>
      <c r="B2417" s="242">
        <f t="shared" si="953"/>
        <v>46143</v>
      </c>
      <c r="C2417" s="243">
        <f t="shared" si="934"/>
        <v>46173</v>
      </c>
      <c r="D2417" s="120">
        <f t="shared" si="935"/>
        <v>31</v>
      </c>
      <c r="E2417" s="120">
        <f t="shared" si="936"/>
        <v>5</v>
      </c>
      <c r="F2417" s="275">
        <f t="shared" si="937"/>
        <v>46158.5</v>
      </c>
      <c r="G2417" s="120">
        <f t="shared" si="938"/>
        <v>24316</v>
      </c>
      <c r="H2417" s="245">
        <f t="shared" si="939"/>
        <v>1</v>
      </c>
      <c r="I2417" s="121">
        <f t="shared" si="940"/>
        <v>1</v>
      </c>
      <c r="J2417" s="121">
        <f t="shared" si="941"/>
        <v>1</v>
      </c>
      <c r="K2417" s="120">
        <f t="shared" si="942"/>
        <v>0</v>
      </c>
      <c r="L2417" s="120">
        <f t="shared" si="943"/>
        <v>0</v>
      </c>
      <c r="M2417" s="246">
        <f t="shared" si="944"/>
        <v>0</v>
      </c>
      <c r="N2417" s="121">
        <f t="shared" si="945"/>
        <v>1</v>
      </c>
      <c r="O2417" s="246">
        <f t="shared" si="946"/>
        <v>0.90849562363238512</v>
      </c>
      <c r="P2417" s="121">
        <f t="shared" si="947"/>
        <v>1</v>
      </c>
      <c r="Q2417" s="121">
        <f t="shared" si="948"/>
        <v>0</v>
      </c>
      <c r="R2417" s="121">
        <f t="shared" si="949"/>
        <v>0</v>
      </c>
      <c r="S2417" s="121" t="str">
        <f t="shared" si="950"/>
        <v/>
      </c>
      <c r="T2417" s="121" t="str">
        <f t="shared" si="951"/>
        <v/>
      </c>
      <c r="U2417" s="121">
        <f t="shared" si="952"/>
        <v>1</v>
      </c>
    </row>
    <row r="2418" spans="1:21" x14ac:dyDescent="0.3">
      <c r="A2418" s="187">
        <v>18</v>
      </c>
      <c r="B2418" s="242">
        <f t="shared" si="953"/>
        <v>46174</v>
      </c>
      <c r="C2418" s="243">
        <f t="shared" si="934"/>
        <v>46203</v>
      </c>
      <c r="D2418" s="120">
        <f t="shared" si="935"/>
        <v>30</v>
      </c>
      <c r="E2418" s="120">
        <f t="shared" si="936"/>
        <v>6</v>
      </c>
      <c r="F2418" s="275">
        <f t="shared" si="937"/>
        <v>46189</v>
      </c>
      <c r="G2418" s="120">
        <f t="shared" si="938"/>
        <v>24317</v>
      </c>
      <c r="H2418" s="245">
        <f t="shared" si="939"/>
        <v>1</v>
      </c>
      <c r="I2418" s="121">
        <f t="shared" si="940"/>
        <v>1</v>
      </c>
      <c r="J2418" s="121">
        <f t="shared" si="941"/>
        <v>1</v>
      </c>
      <c r="K2418" s="120">
        <f t="shared" si="942"/>
        <v>0</v>
      </c>
      <c r="L2418" s="120">
        <f t="shared" si="943"/>
        <v>0</v>
      </c>
      <c r="M2418" s="246">
        <f t="shared" si="944"/>
        <v>0</v>
      </c>
      <c r="N2418" s="121">
        <f t="shared" si="945"/>
        <v>1</v>
      </c>
      <c r="O2418" s="246">
        <f t="shared" si="946"/>
        <v>0.90882932166301977</v>
      </c>
      <c r="P2418" s="121">
        <f t="shared" si="947"/>
        <v>1</v>
      </c>
      <c r="Q2418" s="121">
        <f t="shared" si="948"/>
        <v>0</v>
      </c>
      <c r="R2418" s="121">
        <f t="shared" si="949"/>
        <v>0</v>
      </c>
      <c r="S2418" s="121" t="str">
        <f t="shared" si="950"/>
        <v/>
      </c>
      <c r="T2418" s="121" t="str">
        <f t="shared" si="951"/>
        <v/>
      </c>
      <c r="U2418" s="121">
        <f t="shared" si="952"/>
        <v>1</v>
      </c>
    </row>
    <row r="2419" spans="1:21" x14ac:dyDescent="0.3">
      <c r="A2419" s="187">
        <v>19</v>
      </c>
      <c r="B2419" s="242">
        <f t="shared" si="953"/>
        <v>46204</v>
      </c>
      <c r="C2419" s="243">
        <f t="shared" si="934"/>
        <v>46234</v>
      </c>
      <c r="D2419" s="120">
        <f t="shared" si="935"/>
        <v>31</v>
      </c>
      <c r="E2419" s="120">
        <f t="shared" si="936"/>
        <v>7</v>
      </c>
      <c r="F2419" s="275">
        <f t="shared" si="937"/>
        <v>46219.5</v>
      </c>
      <c r="G2419" s="120">
        <f t="shared" si="938"/>
        <v>24318</v>
      </c>
      <c r="H2419" s="245">
        <f t="shared" si="939"/>
        <v>1</v>
      </c>
      <c r="I2419" s="121">
        <f t="shared" si="940"/>
        <v>1</v>
      </c>
      <c r="J2419" s="121">
        <f t="shared" si="941"/>
        <v>1</v>
      </c>
      <c r="K2419" s="120">
        <f t="shared" si="942"/>
        <v>0</v>
      </c>
      <c r="L2419" s="120">
        <f t="shared" si="943"/>
        <v>0</v>
      </c>
      <c r="M2419" s="246">
        <f t="shared" si="944"/>
        <v>0</v>
      </c>
      <c r="N2419" s="121">
        <f t="shared" si="945"/>
        <v>1</v>
      </c>
      <c r="O2419" s="246">
        <f t="shared" si="946"/>
        <v>0.90916301969365432</v>
      </c>
      <c r="P2419" s="121">
        <f t="shared" si="947"/>
        <v>0.91666666666666663</v>
      </c>
      <c r="Q2419" s="121">
        <f t="shared" si="948"/>
        <v>8.333333333333337E-2</v>
      </c>
      <c r="R2419" s="121">
        <f t="shared" si="949"/>
        <v>0</v>
      </c>
      <c r="S2419" s="121" t="str">
        <f t="shared" si="950"/>
        <v/>
      </c>
      <c r="T2419" s="121" t="str">
        <f t="shared" si="951"/>
        <v/>
      </c>
      <c r="U2419" s="121">
        <f t="shared" si="952"/>
        <v>1</v>
      </c>
    </row>
    <row r="2420" spans="1:21" x14ac:dyDescent="0.3">
      <c r="A2420" s="187">
        <v>20</v>
      </c>
      <c r="B2420" s="242">
        <f t="shared" si="953"/>
        <v>46235</v>
      </c>
      <c r="C2420" s="243">
        <f t="shared" si="934"/>
        <v>46265</v>
      </c>
      <c r="D2420" s="120">
        <f t="shared" si="935"/>
        <v>31</v>
      </c>
      <c r="E2420" s="120">
        <f t="shared" si="936"/>
        <v>8</v>
      </c>
      <c r="F2420" s="275">
        <f t="shared" si="937"/>
        <v>46250.5</v>
      </c>
      <c r="G2420" s="120">
        <f t="shared" si="938"/>
        <v>24319</v>
      </c>
      <c r="H2420" s="245">
        <f t="shared" si="939"/>
        <v>1</v>
      </c>
      <c r="I2420" s="121">
        <f t="shared" si="940"/>
        <v>1</v>
      </c>
      <c r="J2420" s="121">
        <f t="shared" si="941"/>
        <v>1.05</v>
      </c>
      <c r="K2420" s="120">
        <f t="shared" si="942"/>
        <v>1</v>
      </c>
      <c r="L2420" s="120">
        <f t="shared" si="943"/>
        <v>31</v>
      </c>
      <c r="M2420" s="246">
        <f t="shared" si="944"/>
        <v>1</v>
      </c>
      <c r="N2420" s="121">
        <f t="shared" si="945"/>
        <v>1.05</v>
      </c>
      <c r="O2420" s="246">
        <f t="shared" si="946"/>
        <v>0.90950218818380746</v>
      </c>
      <c r="P2420" s="121">
        <f t="shared" si="947"/>
        <v>0.75</v>
      </c>
      <c r="Q2420" s="121">
        <f t="shared" si="948"/>
        <v>0.25</v>
      </c>
      <c r="R2420" s="121">
        <f t="shared" si="949"/>
        <v>0</v>
      </c>
      <c r="S2420" s="121" t="str">
        <f t="shared" si="950"/>
        <v/>
      </c>
      <c r="T2420" s="121" t="str">
        <f t="shared" si="951"/>
        <v/>
      </c>
      <c r="U2420" s="121">
        <f t="shared" si="952"/>
        <v>1.05</v>
      </c>
    </row>
    <row r="2421" spans="1:21" x14ac:dyDescent="0.3">
      <c r="A2421" s="187">
        <v>21</v>
      </c>
      <c r="B2421" s="242">
        <f t="shared" si="953"/>
        <v>46266</v>
      </c>
      <c r="C2421" s="243">
        <f t="shared" si="934"/>
        <v>46295</v>
      </c>
      <c r="D2421" s="120">
        <f t="shared" si="935"/>
        <v>30</v>
      </c>
      <c r="E2421" s="120">
        <f t="shared" si="936"/>
        <v>9</v>
      </c>
      <c r="F2421" s="275">
        <f t="shared" si="937"/>
        <v>46281</v>
      </c>
      <c r="G2421" s="120">
        <f t="shared" si="938"/>
        <v>24320</v>
      </c>
      <c r="H2421" s="245">
        <f t="shared" si="939"/>
        <v>1</v>
      </c>
      <c r="I2421" s="121">
        <f t="shared" si="940"/>
        <v>1.05</v>
      </c>
      <c r="J2421" s="121">
        <f t="shared" si="941"/>
        <v>1.05</v>
      </c>
      <c r="K2421" s="120">
        <f t="shared" si="942"/>
        <v>0</v>
      </c>
      <c r="L2421" s="120">
        <f t="shared" si="943"/>
        <v>0</v>
      </c>
      <c r="M2421" s="246">
        <f t="shared" si="944"/>
        <v>0</v>
      </c>
      <c r="N2421" s="121">
        <f t="shared" si="945"/>
        <v>1.05</v>
      </c>
      <c r="O2421" s="246">
        <f t="shared" si="946"/>
        <v>0.909835886214442</v>
      </c>
      <c r="P2421" s="121">
        <f t="shared" si="947"/>
        <v>0.58333333333333337</v>
      </c>
      <c r="Q2421" s="121">
        <f t="shared" si="948"/>
        <v>0.41666666666666663</v>
      </c>
      <c r="R2421" s="121">
        <f t="shared" si="949"/>
        <v>0</v>
      </c>
      <c r="S2421" s="121" t="str">
        <f t="shared" si="950"/>
        <v/>
      </c>
      <c r="T2421" s="121" t="str">
        <f t="shared" si="951"/>
        <v/>
      </c>
      <c r="U2421" s="121">
        <f t="shared" si="952"/>
        <v>1.05</v>
      </c>
    </row>
    <row r="2422" spans="1:21" x14ac:dyDescent="0.3">
      <c r="A2422" s="187">
        <v>22</v>
      </c>
      <c r="B2422" s="242">
        <f t="shared" si="953"/>
        <v>46296</v>
      </c>
      <c r="C2422" s="243">
        <f t="shared" si="934"/>
        <v>46326</v>
      </c>
      <c r="D2422" s="120">
        <f t="shared" si="935"/>
        <v>31</v>
      </c>
      <c r="E2422" s="120">
        <f t="shared" si="936"/>
        <v>10</v>
      </c>
      <c r="F2422" s="275">
        <f t="shared" si="937"/>
        <v>46311.5</v>
      </c>
      <c r="G2422" s="120">
        <f t="shared" si="938"/>
        <v>24321</v>
      </c>
      <c r="H2422" s="245">
        <f t="shared" si="939"/>
        <v>1</v>
      </c>
      <c r="I2422" s="121">
        <f t="shared" si="940"/>
        <v>1.05</v>
      </c>
      <c r="J2422" s="121">
        <f t="shared" si="941"/>
        <v>1.05</v>
      </c>
      <c r="K2422" s="120">
        <f t="shared" si="942"/>
        <v>0</v>
      </c>
      <c r="L2422" s="120">
        <f t="shared" si="943"/>
        <v>0</v>
      </c>
      <c r="M2422" s="246">
        <f t="shared" si="944"/>
        <v>0</v>
      </c>
      <c r="N2422" s="121">
        <f t="shared" si="945"/>
        <v>1.05</v>
      </c>
      <c r="O2422" s="246">
        <f t="shared" si="946"/>
        <v>0.91016958424507666</v>
      </c>
      <c r="P2422" s="121">
        <f t="shared" si="947"/>
        <v>0.41666666666666669</v>
      </c>
      <c r="Q2422" s="121">
        <f t="shared" si="948"/>
        <v>0.58333333333333326</v>
      </c>
      <c r="R2422" s="121">
        <f t="shared" si="949"/>
        <v>0</v>
      </c>
      <c r="S2422" s="121" t="str">
        <f t="shared" si="950"/>
        <v/>
      </c>
      <c r="T2422" s="121" t="str">
        <f t="shared" si="951"/>
        <v/>
      </c>
      <c r="U2422" s="121">
        <f t="shared" si="952"/>
        <v>1.05</v>
      </c>
    </row>
    <row r="2423" spans="1:21" x14ac:dyDescent="0.3">
      <c r="A2423" s="187">
        <v>23</v>
      </c>
      <c r="B2423" s="242">
        <f t="shared" si="953"/>
        <v>46327</v>
      </c>
      <c r="C2423" s="243">
        <f t="shared" si="934"/>
        <v>46356</v>
      </c>
      <c r="D2423" s="120">
        <f t="shared" si="935"/>
        <v>30</v>
      </c>
      <c r="E2423" s="120">
        <f t="shared" si="936"/>
        <v>11</v>
      </c>
      <c r="F2423" s="275">
        <f t="shared" si="937"/>
        <v>46342</v>
      </c>
      <c r="G2423" s="120">
        <f t="shared" si="938"/>
        <v>24322</v>
      </c>
      <c r="H2423" s="245">
        <f t="shared" si="939"/>
        <v>1</v>
      </c>
      <c r="I2423" s="121">
        <f t="shared" si="940"/>
        <v>1.05</v>
      </c>
      <c r="J2423" s="121">
        <f t="shared" si="941"/>
        <v>1.05</v>
      </c>
      <c r="K2423" s="120">
        <f t="shared" si="942"/>
        <v>0</v>
      </c>
      <c r="L2423" s="120">
        <f t="shared" si="943"/>
        <v>0</v>
      </c>
      <c r="M2423" s="246">
        <f t="shared" si="944"/>
        <v>0</v>
      </c>
      <c r="N2423" s="121">
        <f t="shared" si="945"/>
        <v>1.05</v>
      </c>
      <c r="O2423" s="246">
        <f t="shared" si="946"/>
        <v>0.9105032822757112</v>
      </c>
      <c r="P2423" s="121">
        <f t="shared" si="947"/>
        <v>0.25</v>
      </c>
      <c r="Q2423" s="121">
        <f t="shared" si="948"/>
        <v>0.75</v>
      </c>
      <c r="R2423" s="121">
        <f t="shared" si="949"/>
        <v>0</v>
      </c>
      <c r="S2423" s="121" t="str">
        <f t="shared" si="950"/>
        <v/>
      </c>
      <c r="T2423" s="121" t="str">
        <f t="shared" si="951"/>
        <v/>
      </c>
      <c r="U2423" s="121">
        <f t="shared" si="952"/>
        <v>1.05</v>
      </c>
    </row>
    <row r="2424" spans="1:21" x14ac:dyDescent="0.3">
      <c r="A2424" s="187">
        <v>24</v>
      </c>
      <c r="B2424" s="242">
        <f t="shared" si="953"/>
        <v>46357</v>
      </c>
      <c r="C2424" s="243">
        <f t="shared" si="934"/>
        <v>46387</v>
      </c>
      <c r="D2424" s="120">
        <f t="shared" si="935"/>
        <v>31</v>
      </c>
      <c r="E2424" s="120">
        <f t="shared" si="936"/>
        <v>12</v>
      </c>
      <c r="F2424" s="275">
        <f t="shared" si="937"/>
        <v>46372.5</v>
      </c>
      <c r="G2424" s="120">
        <f t="shared" si="938"/>
        <v>24323</v>
      </c>
      <c r="H2424" s="245">
        <f t="shared" si="939"/>
        <v>1</v>
      </c>
      <c r="I2424" s="121">
        <f t="shared" si="940"/>
        <v>1.05</v>
      </c>
      <c r="J2424" s="121">
        <f t="shared" si="941"/>
        <v>1.05</v>
      </c>
      <c r="K2424" s="120">
        <f t="shared" si="942"/>
        <v>0</v>
      </c>
      <c r="L2424" s="120">
        <f t="shared" si="943"/>
        <v>0</v>
      </c>
      <c r="M2424" s="246">
        <f t="shared" si="944"/>
        <v>0</v>
      </c>
      <c r="N2424" s="121">
        <f t="shared" si="945"/>
        <v>1.05</v>
      </c>
      <c r="O2424" s="246">
        <f t="shared" si="946"/>
        <v>0.91083698030634574</v>
      </c>
      <c r="P2424" s="121">
        <f t="shared" si="947"/>
        <v>8.3333333333333329E-2</v>
      </c>
      <c r="Q2424" s="121">
        <f t="shared" si="948"/>
        <v>0.91666666666666663</v>
      </c>
      <c r="R2424" s="121">
        <f t="shared" si="949"/>
        <v>0</v>
      </c>
      <c r="S2424" s="121" t="str">
        <f t="shared" si="950"/>
        <v/>
      </c>
      <c r="T2424" s="121" t="str">
        <f t="shared" si="951"/>
        <v/>
      </c>
      <c r="U2424" s="121">
        <f t="shared" si="952"/>
        <v>1.05</v>
      </c>
    </row>
    <row r="2425" spans="1:21" x14ac:dyDescent="0.3">
      <c r="A2425" s="187">
        <v>25</v>
      </c>
      <c r="B2425" s="242">
        <f t="shared" si="953"/>
        <v>46388</v>
      </c>
      <c r="C2425" s="243">
        <f t="shared" si="934"/>
        <v>46418</v>
      </c>
      <c r="D2425" s="120">
        <f t="shared" si="935"/>
        <v>31</v>
      </c>
      <c r="E2425" s="120">
        <f t="shared" si="936"/>
        <v>1</v>
      </c>
      <c r="F2425" s="275">
        <f t="shared" si="937"/>
        <v>46403.5</v>
      </c>
      <c r="G2425" s="120">
        <f t="shared" si="938"/>
        <v>24324</v>
      </c>
      <c r="H2425" s="245">
        <f t="shared" si="939"/>
        <v>1</v>
      </c>
      <c r="I2425" s="121">
        <f t="shared" si="940"/>
        <v>1.05</v>
      </c>
      <c r="J2425" s="121">
        <f t="shared" si="941"/>
        <v>1.05</v>
      </c>
      <c r="K2425" s="120">
        <f t="shared" si="942"/>
        <v>0</v>
      </c>
      <c r="L2425" s="120">
        <f t="shared" si="943"/>
        <v>0</v>
      </c>
      <c r="M2425" s="246">
        <f t="shared" si="944"/>
        <v>0</v>
      </c>
      <c r="N2425" s="121">
        <f t="shared" si="945"/>
        <v>1.05</v>
      </c>
      <c r="O2425" s="246">
        <f t="shared" si="946"/>
        <v>0.91117614879649889</v>
      </c>
      <c r="P2425" s="121">
        <f t="shared" si="947"/>
        <v>0</v>
      </c>
      <c r="Q2425" s="121">
        <f t="shared" si="948"/>
        <v>1</v>
      </c>
      <c r="R2425" s="121">
        <f t="shared" si="949"/>
        <v>0</v>
      </c>
      <c r="S2425" s="121" t="str">
        <f t="shared" si="950"/>
        <v/>
      </c>
      <c r="T2425" s="121" t="str">
        <f t="shared" si="951"/>
        <v/>
      </c>
      <c r="U2425" s="121">
        <f t="shared" si="952"/>
        <v>1.05</v>
      </c>
    </row>
    <row r="2426" spans="1:21" x14ac:dyDescent="0.3">
      <c r="A2426" s="187">
        <v>26</v>
      </c>
      <c r="B2426" s="242">
        <f t="shared" si="953"/>
        <v>46419</v>
      </c>
      <c r="C2426" s="243">
        <f t="shared" si="934"/>
        <v>46446</v>
      </c>
      <c r="D2426" s="120">
        <f t="shared" si="935"/>
        <v>28</v>
      </c>
      <c r="E2426" s="120">
        <f t="shared" si="936"/>
        <v>2</v>
      </c>
      <c r="F2426" s="275">
        <f t="shared" si="937"/>
        <v>46433</v>
      </c>
      <c r="G2426" s="120">
        <f t="shared" si="938"/>
        <v>24325</v>
      </c>
      <c r="H2426" s="245">
        <f t="shared" si="939"/>
        <v>1</v>
      </c>
      <c r="I2426" s="121">
        <f t="shared" si="940"/>
        <v>1.05</v>
      </c>
      <c r="J2426" s="121">
        <f t="shared" si="941"/>
        <v>1.05</v>
      </c>
      <c r="K2426" s="120">
        <f t="shared" si="942"/>
        <v>0</v>
      </c>
      <c r="L2426" s="120">
        <f t="shared" si="943"/>
        <v>0</v>
      </c>
      <c r="M2426" s="246">
        <f t="shared" si="944"/>
        <v>0</v>
      </c>
      <c r="N2426" s="121">
        <f t="shared" si="945"/>
        <v>1.05</v>
      </c>
      <c r="O2426" s="246">
        <f t="shared" si="946"/>
        <v>0.91149890590809635</v>
      </c>
      <c r="P2426" s="121">
        <f t="shared" si="947"/>
        <v>0</v>
      </c>
      <c r="Q2426" s="121">
        <f t="shared" si="948"/>
        <v>1</v>
      </c>
      <c r="R2426" s="121">
        <f t="shared" si="949"/>
        <v>0</v>
      </c>
      <c r="S2426" s="121" t="str">
        <f t="shared" si="950"/>
        <v/>
      </c>
      <c r="T2426" s="121" t="str">
        <f t="shared" si="951"/>
        <v/>
      </c>
      <c r="U2426" s="121">
        <f t="shared" si="952"/>
        <v>1.05</v>
      </c>
    </row>
    <row r="2427" spans="1:21" x14ac:dyDescent="0.3">
      <c r="A2427" s="187">
        <v>27</v>
      </c>
      <c r="B2427" s="242">
        <f t="shared" si="953"/>
        <v>46447</v>
      </c>
      <c r="C2427" s="243">
        <f t="shared" si="934"/>
        <v>46477</v>
      </c>
      <c r="D2427" s="120">
        <f t="shared" si="935"/>
        <v>31</v>
      </c>
      <c r="E2427" s="120">
        <f t="shared" si="936"/>
        <v>3</v>
      </c>
      <c r="F2427" s="275">
        <f t="shared" si="937"/>
        <v>46462.5</v>
      </c>
      <c r="G2427" s="120">
        <f t="shared" si="938"/>
        <v>24326</v>
      </c>
      <c r="H2427" s="245">
        <f t="shared" si="939"/>
        <v>1</v>
      </c>
      <c r="I2427" s="121">
        <f t="shared" si="940"/>
        <v>1.05</v>
      </c>
      <c r="J2427" s="121">
        <f t="shared" si="941"/>
        <v>1.05</v>
      </c>
      <c r="K2427" s="120">
        <f t="shared" si="942"/>
        <v>0</v>
      </c>
      <c r="L2427" s="120">
        <f t="shared" si="943"/>
        <v>0</v>
      </c>
      <c r="M2427" s="246">
        <f t="shared" si="944"/>
        <v>0</v>
      </c>
      <c r="N2427" s="121">
        <f t="shared" si="945"/>
        <v>1.05</v>
      </c>
      <c r="O2427" s="246">
        <f t="shared" si="946"/>
        <v>0.9118216630196937</v>
      </c>
      <c r="P2427" s="121">
        <f t="shared" si="947"/>
        <v>0</v>
      </c>
      <c r="Q2427" s="121">
        <f t="shared" si="948"/>
        <v>1</v>
      </c>
      <c r="R2427" s="121">
        <f t="shared" si="949"/>
        <v>0</v>
      </c>
      <c r="S2427" s="121" t="str">
        <f t="shared" si="950"/>
        <v/>
      </c>
      <c r="T2427" s="121" t="str">
        <f t="shared" si="951"/>
        <v/>
      </c>
      <c r="U2427" s="121">
        <f t="shared" si="952"/>
        <v>1.05</v>
      </c>
    </row>
    <row r="2428" spans="1:21" x14ac:dyDescent="0.3">
      <c r="A2428" s="187">
        <v>28</v>
      </c>
      <c r="B2428" s="242">
        <f t="shared" si="953"/>
        <v>46478</v>
      </c>
      <c r="C2428" s="243">
        <f t="shared" si="934"/>
        <v>46507</v>
      </c>
      <c r="D2428" s="120">
        <f t="shared" si="935"/>
        <v>30</v>
      </c>
      <c r="E2428" s="120">
        <f t="shared" si="936"/>
        <v>4</v>
      </c>
      <c r="F2428" s="275">
        <f t="shared" si="937"/>
        <v>46493</v>
      </c>
      <c r="G2428" s="120">
        <f t="shared" si="938"/>
        <v>24327</v>
      </c>
      <c r="H2428" s="245">
        <f t="shared" si="939"/>
        <v>1</v>
      </c>
      <c r="I2428" s="121">
        <f t="shared" si="940"/>
        <v>1.05</v>
      </c>
      <c r="J2428" s="121">
        <f t="shared" si="941"/>
        <v>1.05</v>
      </c>
      <c r="K2428" s="120">
        <f t="shared" si="942"/>
        <v>0</v>
      </c>
      <c r="L2428" s="120">
        <f t="shared" si="943"/>
        <v>0</v>
      </c>
      <c r="M2428" s="246">
        <f t="shared" si="944"/>
        <v>0</v>
      </c>
      <c r="N2428" s="121">
        <f t="shared" si="945"/>
        <v>1.05</v>
      </c>
      <c r="O2428" s="246">
        <f t="shared" si="946"/>
        <v>0.91215536105032824</v>
      </c>
      <c r="P2428" s="121">
        <f t="shared" si="947"/>
        <v>0</v>
      </c>
      <c r="Q2428" s="121">
        <f t="shared" si="948"/>
        <v>1</v>
      </c>
      <c r="R2428" s="121">
        <f t="shared" si="949"/>
        <v>0</v>
      </c>
      <c r="S2428" s="121" t="str">
        <f t="shared" si="950"/>
        <v/>
      </c>
      <c r="T2428" s="121" t="str">
        <f t="shared" si="951"/>
        <v/>
      </c>
      <c r="U2428" s="121">
        <f t="shared" si="952"/>
        <v>1.05</v>
      </c>
    </row>
    <row r="2429" spans="1:21" x14ac:dyDescent="0.3">
      <c r="A2429" s="187">
        <v>29</v>
      </c>
      <c r="B2429" s="242">
        <f t="shared" si="953"/>
        <v>46508</v>
      </c>
      <c r="C2429" s="243">
        <f t="shared" si="934"/>
        <v>46538</v>
      </c>
      <c r="D2429" s="120">
        <f t="shared" si="935"/>
        <v>31</v>
      </c>
      <c r="E2429" s="120">
        <f t="shared" si="936"/>
        <v>5</v>
      </c>
      <c r="F2429" s="275">
        <f t="shared" si="937"/>
        <v>46523.5</v>
      </c>
      <c r="G2429" s="120">
        <f t="shared" si="938"/>
        <v>24328</v>
      </c>
      <c r="H2429" s="245">
        <f t="shared" si="939"/>
        <v>1</v>
      </c>
      <c r="I2429" s="121">
        <f t="shared" si="940"/>
        <v>1.05</v>
      </c>
      <c r="J2429" s="121">
        <f t="shared" si="941"/>
        <v>1.05</v>
      </c>
      <c r="K2429" s="120">
        <f t="shared" si="942"/>
        <v>0</v>
      </c>
      <c r="L2429" s="120">
        <f t="shared" si="943"/>
        <v>0</v>
      </c>
      <c r="M2429" s="246">
        <f t="shared" si="944"/>
        <v>0</v>
      </c>
      <c r="N2429" s="121">
        <f t="shared" si="945"/>
        <v>1.05</v>
      </c>
      <c r="O2429" s="246">
        <f t="shared" si="946"/>
        <v>0.91248905908096278</v>
      </c>
      <c r="P2429" s="121">
        <f t="shared" si="947"/>
        <v>0</v>
      </c>
      <c r="Q2429" s="121">
        <f t="shared" si="948"/>
        <v>1</v>
      </c>
      <c r="R2429" s="121">
        <f t="shared" si="949"/>
        <v>0</v>
      </c>
      <c r="S2429" s="121" t="str">
        <f t="shared" si="950"/>
        <v/>
      </c>
      <c r="T2429" s="121" t="str">
        <f t="shared" si="951"/>
        <v/>
      </c>
      <c r="U2429" s="121">
        <f t="shared" si="952"/>
        <v>1.05</v>
      </c>
    </row>
    <row r="2430" spans="1:21" x14ac:dyDescent="0.3">
      <c r="A2430" s="187">
        <v>30</v>
      </c>
      <c r="B2430" s="242">
        <f t="shared" si="953"/>
        <v>46539</v>
      </c>
      <c r="C2430" s="243">
        <f t="shared" si="934"/>
        <v>46568</v>
      </c>
      <c r="D2430" s="120">
        <f t="shared" si="935"/>
        <v>30</v>
      </c>
      <c r="E2430" s="120">
        <f t="shared" si="936"/>
        <v>6</v>
      </c>
      <c r="F2430" s="275">
        <f t="shared" si="937"/>
        <v>46554</v>
      </c>
      <c r="G2430" s="120">
        <f t="shared" si="938"/>
        <v>24329</v>
      </c>
      <c r="H2430" s="245">
        <f t="shared" si="939"/>
        <v>1</v>
      </c>
      <c r="I2430" s="121">
        <f t="shared" si="940"/>
        <v>1.05</v>
      </c>
      <c r="J2430" s="121">
        <f t="shared" si="941"/>
        <v>1.05</v>
      </c>
      <c r="K2430" s="120">
        <f t="shared" si="942"/>
        <v>0</v>
      </c>
      <c r="L2430" s="120">
        <f t="shared" si="943"/>
        <v>0</v>
      </c>
      <c r="M2430" s="246">
        <f t="shared" si="944"/>
        <v>0</v>
      </c>
      <c r="N2430" s="121">
        <f t="shared" si="945"/>
        <v>1.05</v>
      </c>
      <c r="O2430" s="246">
        <f t="shared" si="946"/>
        <v>0.91282275711159744</v>
      </c>
      <c r="P2430" s="121">
        <f t="shared" si="947"/>
        <v>0</v>
      </c>
      <c r="Q2430" s="121">
        <f t="shared" si="948"/>
        <v>1</v>
      </c>
      <c r="R2430" s="121">
        <f t="shared" si="949"/>
        <v>0</v>
      </c>
      <c r="S2430" s="121" t="str">
        <f t="shared" si="950"/>
        <v/>
      </c>
      <c r="T2430" s="121" t="str">
        <f t="shared" si="951"/>
        <v/>
      </c>
      <c r="U2430" s="121">
        <f t="shared" si="952"/>
        <v>1.05</v>
      </c>
    </row>
    <row r="2431" spans="1:21" x14ac:dyDescent="0.3">
      <c r="A2431" s="187">
        <v>31</v>
      </c>
      <c r="B2431" s="242">
        <f t="shared" si="953"/>
        <v>46569</v>
      </c>
      <c r="C2431" s="243">
        <f t="shared" si="934"/>
        <v>46599</v>
      </c>
      <c r="D2431" s="120">
        <f t="shared" si="935"/>
        <v>31</v>
      </c>
      <c r="E2431" s="120">
        <f t="shared" si="936"/>
        <v>7</v>
      </c>
      <c r="F2431" s="275">
        <f t="shared" si="937"/>
        <v>46584.5</v>
      </c>
      <c r="G2431" s="120">
        <f t="shared" si="938"/>
        <v>24330</v>
      </c>
      <c r="H2431" s="245">
        <f t="shared" si="939"/>
        <v>1</v>
      </c>
      <c r="I2431" s="121">
        <f t="shared" si="940"/>
        <v>1.05</v>
      </c>
      <c r="J2431" s="121">
        <f t="shared" si="941"/>
        <v>1.05</v>
      </c>
      <c r="K2431" s="120">
        <f t="shared" si="942"/>
        <v>0</v>
      </c>
      <c r="L2431" s="120">
        <f t="shared" si="943"/>
        <v>0</v>
      </c>
      <c r="M2431" s="246">
        <f t="shared" si="944"/>
        <v>0</v>
      </c>
      <c r="N2431" s="121">
        <f t="shared" si="945"/>
        <v>1.05</v>
      </c>
      <c r="O2431" s="246">
        <f t="shared" si="946"/>
        <v>0.91315645514223198</v>
      </c>
      <c r="P2431" s="121">
        <f t="shared" si="947"/>
        <v>0</v>
      </c>
      <c r="Q2431" s="121">
        <f t="shared" si="948"/>
        <v>0.91666666666666663</v>
      </c>
      <c r="R2431" s="121">
        <f t="shared" si="949"/>
        <v>8.333333333333337E-2</v>
      </c>
      <c r="S2431" s="121" t="str">
        <f t="shared" si="950"/>
        <v/>
      </c>
      <c r="T2431" s="121" t="str">
        <f t="shared" si="951"/>
        <v/>
      </c>
      <c r="U2431" s="121">
        <f t="shared" si="952"/>
        <v>1.05</v>
      </c>
    </row>
    <row r="2432" spans="1:21" x14ac:dyDescent="0.3">
      <c r="A2432" s="187">
        <v>32</v>
      </c>
      <c r="B2432" s="242">
        <f t="shared" si="953"/>
        <v>46600</v>
      </c>
      <c r="C2432" s="243">
        <f t="shared" si="934"/>
        <v>46630</v>
      </c>
      <c r="D2432" s="120">
        <f t="shared" si="935"/>
        <v>31</v>
      </c>
      <c r="E2432" s="120">
        <f t="shared" si="936"/>
        <v>8</v>
      </c>
      <c r="F2432" s="275">
        <f t="shared" si="937"/>
        <v>46615.5</v>
      </c>
      <c r="G2432" s="120">
        <f t="shared" si="938"/>
        <v>24331</v>
      </c>
      <c r="H2432" s="245">
        <f t="shared" si="939"/>
        <v>1</v>
      </c>
      <c r="I2432" s="121">
        <f t="shared" si="940"/>
        <v>1.05</v>
      </c>
      <c r="J2432" s="121">
        <f t="shared" si="941"/>
        <v>1.05</v>
      </c>
      <c r="K2432" s="120">
        <f t="shared" si="942"/>
        <v>0</v>
      </c>
      <c r="L2432" s="120">
        <f t="shared" si="943"/>
        <v>0</v>
      </c>
      <c r="M2432" s="246">
        <f t="shared" si="944"/>
        <v>0</v>
      </c>
      <c r="N2432" s="121">
        <f t="shared" si="945"/>
        <v>1.05</v>
      </c>
      <c r="O2432" s="246">
        <f t="shared" si="946"/>
        <v>0.91349562363238512</v>
      </c>
      <c r="P2432" s="121">
        <f t="shared" si="947"/>
        <v>0</v>
      </c>
      <c r="Q2432" s="121">
        <f t="shared" si="948"/>
        <v>0.75</v>
      </c>
      <c r="R2432" s="121">
        <f t="shared" si="949"/>
        <v>0.25</v>
      </c>
      <c r="S2432" s="121" t="str">
        <f t="shared" si="950"/>
        <v/>
      </c>
      <c r="T2432" s="121" t="str">
        <f t="shared" si="951"/>
        <v/>
      </c>
      <c r="U2432" s="121">
        <f t="shared" si="952"/>
        <v>1.05</v>
      </c>
    </row>
    <row r="2433" spans="1:21" x14ac:dyDescent="0.3">
      <c r="A2433" s="187">
        <v>33</v>
      </c>
      <c r="B2433" s="242">
        <f t="shared" si="953"/>
        <v>46631</v>
      </c>
      <c r="C2433" s="243">
        <f t="shared" si="934"/>
        <v>46660</v>
      </c>
      <c r="D2433" s="120">
        <f t="shared" si="935"/>
        <v>30</v>
      </c>
      <c r="E2433" s="120">
        <f t="shared" si="936"/>
        <v>9</v>
      </c>
      <c r="F2433" s="275">
        <f t="shared" si="937"/>
        <v>46646</v>
      </c>
      <c r="G2433" s="120">
        <f t="shared" si="938"/>
        <v>24332</v>
      </c>
      <c r="H2433" s="245">
        <f t="shared" si="939"/>
        <v>1</v>
      </c>
      <c r="I2433" s="121">
        <f t="shared" si="940"/>
        <v>1.05</v>
      </c>
      <c r="J2433" s="121">
        <f t="shared" si="941"/>
        <v>1.05</v>
      </c>
      <c r="K2433" s="120">
        <f t="shared" si="942"/>
        <v>0</v>
      </c>
      <c r="L2433" s="120">
        <f t="shared" si="943"/>
        <v>0</v>
      </c>
      <c r="M2433" s="246">
        <f t="shared" si="944"/>
        <v>0</v>
      </c>
      <c r="N2433" s="121">
        <f t="shared" si="945"/>
        <v>1.05</v>
      </c>
      <c r="O2433" s="246">
        <f t="shared" si="946"/>
        <v>0.91382932166301978</v>
      </c>
      <c r="P2433" s="121">
        <f t="shared" si="947"/>
        <v>0</v>
      </c>
      <c r="Q2433" s="121">
        <f t="shared" si="948"/>
        <v>0.58333333333333337</v>
      </c>
      <c r="R2433" s="121">
        <f t="shared" si="949"/>
        <v>0.41666666666666663</v>
      </c>
      <c r="S2433" s="121" t="str">
        <f t="shared" si="950"/>
        <v/>
      </c>
      <c r="T2433" s="121" t="str">
        <f t="shared" si="951"/>
        <v/>
      </c>
      <c r="U2433" s="121">
        <f t="shared" si="952"/>
        <v>1.05</v>
      </c>
    </row>
    <row r="2434" spans="1:21" x14ac:dyDescent="0.3">
      <c r="A2434" s="187">
        <v>34</v>
      </c>
      <c r="B2434" s="242">
        <f t="shared" si="953"/>
        <v>46661</v>
      </c>
      <c r="C2434" s="243">
        <f t="shared" si="934"/>
        <v>46691</v>
      </c>
      <c r="D2434" s="120">
        <f t="shared" si="935"/>
        <v>31</v>
      </c>
      <c r="E2434" s="120">
        <f t="shared" si="936"/>
        <v>10</v>
      </c>
      <c r="F2434" s="275">
        <f t="shared" si="937"/>
        <v>46676.5</v>
      </c>
      <c r="G2434" s="120">
        <f t="shared" si="938"/>
        <v>24333</v>
      </c>
      <c r="H2434" s="245">
        <f t="shared" si="939"/>
        <v>1</v>
      </c>
      <c r="I2434" s="121">
        <f t="shared" si="940"/>
        <v>1.05</v>
      </c>
      <c r="J2434" s="121">
        <f t="shared" si="941"/>
        <v>1.05</v>
      </c>
      <c r="K2434" s="120">
        <f t="shared" si="942"/>
        <v>0</v>
      </c>
      <c r="L2434" s="120">
        <f t="shared" si="943"/>
        <v>0</v>
      </c>
      <c r="M2434" s="246">
        <f t="shared" si="944"/>
        <v>0</v>
      </c>
      <c r="N2434" s="121">
        <f t="shared" si="945"/>
        <v>1.05</v>
      </c>
      <c r="O2434" s="246">
        <f t="shared" si="946"/>
        <v>0.91416301969365432</v>
      </c>
      <c r="P2434" s="121">
        <f t="shared" si="947"/>
        <v>0</v>
      </c>
      <c r="Q2434" s="121">
        <f t="shared" si="948"/>
        <v>0.41666666666666669</v>
      </c>
      <c r="R2434" s="121">
        <f t="shared" si="949"/>
        <v>0.58333333333333326</v>
      </c>
      <c r="S2434" s="121" t="str">
        <f t="shared" si="950"/>
        <v/>
      </c>
      <c r="T2434" s="121" t="str">
        <f t="shared" si="951"/>
        <v/>
      </c>
      <c r="U2434" s="121">
        <f t="shared" si="952"/>
        <v>1.05</v>
      </c>
    </row>
    <row r="2435" spans="1:21" x14ac:dyDescent="0.3">
      <c r="A2435" s="187">
        <v>35</v>
      </c>
      <c r="B2435" s="242">
        <f t="shared" si="953"/>
        <v>46692</v>
      </c>
      <c r="C2435" s="243">
        <f t="shared" si="934"/>
        <v>46721</v>
      </c>
      <c r="D2435" s="120">
        <f t="shared" si="935"/>
        <v>30</v>
      </c>
      <c r="E2435" s="120">
        <f t="shared" si="936"/>
        <v>11</v>
      </c>
      <c r="F2435" s="275">
        <f t="shared" si="937"/>
        <v>46707</v>
      </c>
      <c r="G2435" s="120">
        <f t="shared" si="938"/>
        <v>24334</v>
      </c>
      <c r="H2435" s="245">
        <f t="shared" si="939"/>
        <v>1</v>
      </c>
      <c r="I2435" s="121">
        <f t="shared" si="940"/>
        <v>1.05</v>
      </c>
      <c r="J2435" s="121">
        <f t="shared" si="941"/>
        <v>1.05</v>
      </c>
      <c r="K2435" s="120">
        <f t="shared" si="942"/>
        <v>0</v>
      </c>
      <c r="L2435" s="120">
        <f t="shared" si="943"/>
        <v>0</v>
      </c>
      <c r="M2435" s="246">
        <f t="shared" si="944"/>
        <v>0</v>
      </c>
      <c r="N2435" s="121">
        <f t="shared" si="945"/>
        <v>1.05</v>
      </c>
      <c r="O2435" s="246">
        <f t="shared" si="946"/>
        <v>0.91449671772428887</v>
      </c>
      <c r="P2435" s="121">
        <f t="shared" si="947"/>
        <v>0</v>
      </c>
      <c r="Q2435" s="121">
        <f t="shared" si="948"/>
        <v>0.25</v>
      </c>
      <c r="R2435" s="121">
        <f t="shared" si="949"/>
        <v>0.75</v>
      </c>
      <c r="S2435" s="121" t="str">
        <f t="shared" si="950"/>
        <v/>
      </c>
      <c r="T2435" s="121" t="str">
        <f t="shared" si="951"/>
        <v/>
      </c>
      <c r="U2435" s="121">
        <f t="shared" si="952"/>
        <v>1.05</v>
      </c>
    </row>
    <row r="2436" spans="1:21" x14ac:dyDescent="0.3">
      <c r="A2436" s="187">
        <v>36</v>
      </c>
      <c r="B2436" s="242">
        <f t="shared" si="953"/>
        <v>46722</v>
      </c>
      <c r="C2436" s="243">
        <f t="shared" si="934"/>
        <v>46752</v>
      </c>
      <c r="D2436" s="120">
        <f t="shared" si="935"/>
        <v>31</v>
      </c>
      <c r="E2436" s="120">
        <f t="shared" si="936"/>
        <v>12</v>
      </c>
      <c r="F2436" s="275">
        <f t="shared" si="937"/>
        <v>46737.5</v>
      </c>
      <c r="G2436" s="120">
        <f t="shared" si="938"/>
        <v>24335</v>
      </c>
      <c r="H2436" s="245">
        <f t="shared" si="939"/>
        <v>1</v>
      </c>
      <c r="I2436" s="121">
        <f t="shared" si="940"/>
        <v>1.05</v>
      </c>
      <c r="J2436" s="121">
        <f t="shared" si="941"/>
        <v>1.05</v>
      </c>
      <c r="K2436" s="120">
        <f t="shared" si="942"/>
        <v>0</v>
      </c>
      <c r="L2436" s="120">
        <f t="shared" si="943"/>
        <v>0</v>
      </c>
      <c r="M2436" s="246">
        <f t="shared" si="944"/>
        <v>0</v>
      </c>
      <c r="N2436" s="121">
        <f t="shared" si="945"/>
        <v>1.05</v>
      </c>
      <c r="O2436" s="246">
        <f t="shared" si="946"/>
        <v>0.91483041575492341</v>
      </c>
      <c r="P2436" s="121">
        <f t="shared" si="947"/>
        <v>0</v>
      </c>
      <c r="Q2436" s="121">
        <f t="shared" si="948"/>
        <v>8.3333333333333329E-2</v>
      </c>
      <c r="R2436" s="121">
        <f t="shared" si="949"/>
        <v>0.91666666666666663</v>
      </c>
      <c r="S2436" s="121" t="str">
        <f t="shared" si="950"/>
        <v/>
      </c>
      <c r="T2436" s="121" t="str">
        <f t="shared" si="951"/>
        <v/>
      </c>
      <c r="U2436" s="121">
        <f t="shared" si="952"/>
        <v>1.05</v>
      </c>
    </row>
    <row r="2437" spans="1:21" x14ac:dyDescent="0.3">
      <c r="A2437" s="187">
        <v>37</v>
      </c>
      <c r="B2437" s="242">
        <f t="shared" si="953"/>
        <v>46753</v>
      </c>
      <c r="C2437" s="243">
        <f t="shared" si="934"/>
        <v>46783</v>
      </c>
      <c r="D2437" s="120">
        <f t="shared" si="935"/>
        <v>31</v>
      </c>
      <c r="E2437" s="120">
        <f t="shared" si="936"/>
        <v>1</v>
      </c>
      <c r="F2437" s="275">
        <f t="shared" si="937"/>
        <v>46768.5</v>
      </c>
      <c r="G2437" s="120">
        <f t="shared" si="938"/>
        <v>24336</v>
      </c>
      <c r="H2437" s="245">
        <f t="shared" si="939"/>
        <v>1</v>
      </c>
      <c r="I2437" s="121">
        <f t="shared" si="940"/>
        <v>1.05</v>
      </c>
      <c r="J2437" s="121">
        <f t="shared" si="941"/>
        <v>1.05</v>
      </c>
      <c r="K2437" s="120">
        <f t="shared" si="942"/>
        <v>0</v>
      </c>
      <c r="L2437" s="120">
        <f t="shared" si="943"/>
        <v>0</v>
      </c>
      <c r="M2437" s="246">
        <f t="shared" si="944"/>
        <v>0</v>
      </c>
      <c r="N2437" s="121">
        <f t="shared" si="945"/>
        <v>1.05</v>
      </c>
      <c r="O2437" s="246">
        <f t="shared" si="946"/>
        <v>0.91500000000000004</v>
      </c>
      <c r="P2437" s="121">
        <f t="shared" si="947"/>
        <v>0</v>
      </c>
      <c r="Q2437" s="121">
        <f t="shared" si="948"/>
        <v>0</v>
      </c>
      <c r="R2437" s="121">
        <f t="shared" si="949"/>
        <v>1</v>
      </c>
      <c r="S2437" s="121" t="str">
        <f t="shared" si="950"/>
        <v/>
      </c>
      <c r="T2437" s="121" t="str">
        <f t="shared" si="951"/>
        <v/>
      </c>
      <c r="U2437" s="121">
        <f t="shared" si="952"/>
        <v>1.05</v>
      </c>
    </row>
    <row r="2438" spans="1:21" x14ac:dyDescent="0.3">
      <c r="A2438" s="187">
        <v>38</v>
      </c>
      <c r="B2438" s="242">
        <f t="shared" si="953"/>
        <v>46784</v>
      </c>
      <c r="C2438" s="243">
        <f t="shared" si="934"/>
        <v>46812</v>
      </c>
      <c r="D2438" s="120">
        <f t="shared" si="935"/>
        <v>29</v>
      </c>
      <c r="E2438" s="120">
        <f t="shared" si="936"/>
        <v>2</v>
      </c>
      <c r="F2438" s="275">
        <f t="shared" si="937"/>
        <v>46798.5</v>
      </c>
      <c r="G2438" s="120">
        <f t="shared" si="938"/>
        <v>24337</v>
      </c>
      <c r="H2438" s="245">
        <f t="shared" si="939"/>
        <v>1</v>
      </c>
      <c r="I2438" s="121">
        <f t="shared" si="940"/>
        <v>1.05</v>
      </c>
      <c r="J2438" s="121">
        <f t="shared" si="941"/>
        <v>1.05</v>
      </c>
      <c r="K2438" s="120">
        <f t="shared" si="942"/>
        <v>0</v>
      </c>
      <c r="L2438" s="120">
        <f t="shared" si="943"/>
        <v>0</v>
      </c>
      <c r="M2438" s="246">
        <f t="shared" si="944"/>
        <v>0</v>
      </c>
      <c r="N2438" s="121">
        <f t="shared" si="945"/>
        <v>1.05</v>
      </c>
      <c r="O2438" s="246">
        <f t="shared" si="946"/>
        <v>0.91500000000000004</v>
      </c>
      <c r="P2438" s="121">
        <f t="shared" si="947"/>
        <v>0</v>
      </c>
      <c r="Q2438" s="121">
        <f t="shared" si="948"/>
        <v>0</v>
      </c>
      <c r="R2438" s="121">
        <f t="shared" si="949"/>
        <v>1</v>
      </c>
      <c r="S2438" s="121" t="str">
        <f t="shared" si="950"/>
        <v/>
      </c>
      <c r="T2438" s="121" t="str">
        <f t="shared" si="951"/>
        <v/>
      </c>
      <c r="U2438" s="121">
        <f t="shared" si="952"/>
        <v>1.05</v>
      </c>
    </row>
    <row r="2439" spans="1:21" x14ac:dyDescent="0.3">
      <c r="A2439" s="187">
        <v>39</v>
      </c>
      <c r="B2439" s="242">
        <f t="shared" si="953"/>
        <v>46813</v>
      </c>
      <c r="C2439" s="243">
        <f t="shared" si="934"/>
        <v>46843</v>
      </c>
      <c r="D2439" s="120">
        <f t="shared" si="935"/>
        <v>31</v>
      </c>
      <c r="E2439" s="120">
        <f t="shared" si="936"/>
        <v>3</v>
      </c>
      <c r="F2439" s="275">
        <f t="shared" si="937"/>
        <v>46828.5</v>
      </c>
      <c r="G2439" s="120">
        <f t="shared" si="938"/>
        <v>24338</v>
      </c>
      <c r="H2439" s="245">
        <f t="shared" si="939"/>
        <v>1</v>
      </c>
      <c r="I2439" s="121">
        <f t="shared" si="940"/>
        <v>1.05</v>
      </c>
      <c r="J2439" s="121">
        <f t="shared" si="941"/>
        <v>1.05</v>
      </c>
      <c r="K2439" s="120">
        <f t="shared" si="942"/>
        <v>0</v>
      </c>
      <c r="L2439" s="120">
        <f t="shared" si="943"/>
        <v>0</v>
      </c>
      <c r="M2439" s="246">
        <f t="shared" si="944"/>
        <v>0</v>
      </c>
      <c r="N2439" s="121">
        <f t="shared" si="945"/>
        <v>1.05</v>
      </c>
      <c r="O2439" s="246">
        <f t="shared" si="946"/>
        <v>0.91500000000000004</v>
      </c>
      <c r="P2439" s="121">
        <f t="shared" si="947"/>
        <v>0</v>
      </c>
      <c r="Q2439" s="121">
        <f t="shared" si="948"/>
        <v>0</v>
      </c>
      <c r="R2439" s="121">
        <f t="shared" si="949"/>
        <v>1</v>
      </c>
      <c r="S2439" s="121" t="str">
        <f t="shared" si="950"/>
        <v/>
      </c>
      <c r="T2439" s="121" t="str">
        <f t="shared" si="951"/>
        <v/>
      </c>
      <c r="U2439" s="121">
        <f t="shared" si="952"/>
        <v>1.05</v>
      </c>
    </row>
    <row r="2440" spans="1:21" x14ac:dyDescent="0.3">
      <c r="A2440" s="187">
        <v>40</v>
      </c>
      <c r="B2440" s="242">
        <f t="shared" si="953"/>
        <v>46844</v>
      </c>
      <c r="C2440" s="243">
        <f t="shared" si="934"/>
        <v>46873</v>
      </c>
      <c r="D2440" s="120">
        <f t="shared" si="935"/>
        <v>30</v>
      </c>
      <c r="E2440" s="120">
        <f t="shared" si="936"/>
        <v>4</v>
      </c>
      <c r="F2440" s="275">
        <f t="shared" si="937"/>
        <v>46859</v>
      </c>
      <c r="G2440" s="120">
        <f t="shared" si="938"/>
        <v>24339</v>
      </c>
      <c r="H2440" s="245">
        <f t="shared" si="939"/>
        <v>1</v>
      </c>
      <c r="I2440" s="121">
        <f t="shared" si="940"/>
        <v>1.05</v>
      </c>
      <c r="J2440" s="121">
        <f t="shared" si="941"/>
        <v>1.05</v>
      </c>
      <c r="K2440" s="120">
        <f t="shared" si="942"/>
        <v>0</v>
      </c>
      <c r="L2440" s="120">
        <f t="shared" si="943"/>
        <v>0</v>
      </c>
      <c r="M2440" s="246">
        <f t="shared" si="944"/>
        <v>0</v>
      </c>
      <c r="N2440" s="121">
        <f t="shared" si="945"/>
        <v>1.05</v>
      </c>
      <c r="O2440" s="246">
        <f t="shared" si="946"/>
        <v>0.91500000000000004</v>
      </c>
      <c r="P2440" s="121">
        <f t="shared" si="947"/>
        <v>0</v>
      </c>
      <c r="Q2440" s="121">
        <f t="shared" si="948"/>
        <v>0</v>
      </c>
      <c r="R2440" s="121">
        <f t="shared" si="949"/>
        <v>1</v>
      </c>
      <c r="S2440" s="121" t="str">
        <f t="shared" si="950"/>
        <v/>
      </c>
      <c r="T2440" s="121" t="str">
        <f t="shared" si="951"/>
        <v/>
      </c>
      <c r="U2440" s="121">
        <f t="shared" si="952"/>
        <v>1.05</v>
      </c>
    </row>
    <row r="2441" spans="1:21" x14ac:dyDescent="0.3">
      <c r="A2441" s="187">
        <v>41</v>
      </c>
      <c r="B2441" s="242">
        <f t="shared" si="953"/>
        <v>46874</v>
      </c>
      <c r="C2441" s="243">
        <f t="shared" si="934"/>
        <v>46904</v>
      </c>
      <c r="D2441" s="120">
        <f t="shared" si="935"/>
        <v>31</v>
      </c>
      <c r="E2441" s="120">
        <f t="shared" si="936"/>
        <v>5</v>
      </c>
      <c r="F2441" s="275">
        <f t="shared" si="937"/>
        <v>46889.5</v>
      </c>
      <c r="G2441" s="120">
        <f t="shared" si="938"/>
        <v>24340</v>
      </c>
      <c r="H2441" s="245">
        <f t="shared" si="939"/>
        <v>1</v>
      </c>
      <c r="I2441" s="121">
        <f t="shared" si="940"/>
        <v>1.05</v>
      </c>
      <c r="J2441" s="121">
        <f t="shared" si="941"/>
        <v>1.05</v>
      </c>
      <c r="K2441" s="120">
        <f t="shared" si="942"/>
        <v>0</v>
      </c>
      <c r="L2441" s="120">
        <f t="shared" si="943"/>
        <v>0</v>
      </c>
      <c r="M2441" s="246">
        <f t="shared" si="944"/>
        <v>0</v>
      </c>
      <c r="N2441" s="121">
        <f t="shared" si="945"/>
        <v>1.05</v>
      </c>
      <c r="O2441" s="246">
        <f t="shared" si="946"/>
        <v>0.91500000000000004</v>
      </c>
      <c r="P2441" s="121">
        <f t="shared" si="947"/>
        <v>0</v>
      </c>
      <c r="Q2441" s="121">
        <f t="shared" si="948"/>
        <v>0</v>
      </c>
      <c r="R2441" s="121">
        <f t="shared" si="949"/>
        <v>1</v>
      </c>
      <c r="S2441" s="121" t="str">
        <f t="shared" si="950"/>
        <v/>
      </c>
      <c r="T2441" s="121" t="str">
        <f t="shared" si="951"/>
        <v/>
      </c>
      <c r="U2441" s="121">
        <f t="shared" si="952"/>
        <v>1.05</v>
      </c>
    </row>
    <row r="2442" spans="1:21" x14ac:dyDescent="0.3">
      <c r="A2442" s="187">
        <v>42</v>
      </c>
      <c r="B2442" s="242">
        <f t="shared" si="953"/>
        <v>46905</v>
      </c>
      <c r="C2442" s="243">
        <f t="shared" si="934"/>
        <v>46934</v>
      </c>
      <c r="D2442" s="120">
        <f t="shared" si="935"/>
        <v>30</v>
      </c>
      <c r="E2442" s="120">
        <f t="shared" si="936"/>
        <v>6</v>
      </c>
      <c r="F2442" s="275">
        <f t="shared" si="937"/>
        <v>46920</v>
      </c>
      <c r="G2442" s="120">
        <f t="shared" si="938"/>
        <v>24341</v>
      </c>
      <c r="H2442" s="245">
        <f t="shared" si="939"/>
        <v>1</v>
      </c>
      <c r="I2442" s="121">
        <f t="shared" si="940"/>
        <v>1.05</v>
      </c>
      <c r="J2442" s="121">
        <f t="shared" si="941"/>
        <v>1.05</v>
      </c>
      <c r="K2442" s="120">
        <f t="shared" si="942"/>
        <v>0</v>
      </c>
      <c r="L2442" s="120">
        <f t="shared" si="943"/>
        <v>0</v>
      </c>
      <c r="M2442" s="246">
        <f t="shared" si="944"/>
        <v>0</v>
      </c>
      <c r="N2442" s="121">
        <f t="shared" si="945"/>
        <v>1.05</v>
      </c>
      <c r="O2442" s="246">
        <f t="shared" si="946"/>
        <v>0.91500000000000004</v>
      </c>
      <c r="P2442" s="121">
        <f t="shared" si="947"/>
        <v>0</v>
      </c>
      <c r="Q2442" s="121">
        <f t="shared" si="948"/>
        <v>0</v>
      </c>
      <c r="R2442" s="121">
        <f t="shared" si="949"/>
        <v>1</v>
      </c>
      <c r="S2442" s="121" t="str">
        <f t="shared" si="950"/>
        <v/>
      </c>
      <c r="T2442" s="121" t="str">
        <f t="shared" si="951"/>
        <v/>
      </c>
      <c r="U2442" s="121">
        <f t="shared" si="952"/>
        <v>1.05</v>
      </c>
    </row>
    <row r="2443" spans="1:21" x14ac:dyDescent="0.3">
      <c r="A2443" s="187">
        <v>43</v>
      </c>
      <c r="B2443" s="242">
        <f t="shared" si="953"/>
        <v>46935</v>
      </c>
      <c r="C2443" s="243">
        <f t="shared" si="934"/>
        <v>46965</v>
      </c>
      <c r="D2443" s="120">
        <f t="shared" si="935"/>
        <v>31</v>
      </c>
      <c r="E2443" s="120">
        <f t="shared" si="936"/>
        <v>7</v>
      </c>
      <c r="F2443" s="275">
        <f t="shared" si="937"/>
        <v>46950.5</v>
      </c>
      <c r="G2443" s="120">
        <f t="shared" si="938"/>
        <v>24342</v>
      </c>
      <c r="H2443" s="245">
        <f t="shared" si="939"/>
        <v>1</v>
      </c>
      <c r="I2443" s="121">
        <f t="shared" si="940"/>
        <v>1.05</v>
      </c>
      <c r="J2443" s="121">
        <f t="shared" si="941"/>
        <v>1.05</v>
      </c>
      <c r="K2443" s="120">
        <f t="shared" si="942"/>
        <v>0</v>
      </c>
      <c r="L2443" s="120">
        <f t="shared" si="943"/>
        <v>0</v>
      </c>
      <c r="M2443" s="246">
        <f t="shared" si="944"/>
        <v>0</v>
      </c>
      <c r="N2443" s="121">
        <f t="shared" si="945"/>
        <v>1.05</v>
      </c>
      <c r="O2443" s="246">
        <f t="shared" si="946"/>
        <v>0.91500000000000004</v>
      </c>
      <c r="P2443" s="121">
        <f t="shared" si="947"/>
        <v>0</v>
      </c>
      <c r="Q2443" s="121">
        <f t="shared" si="948"/>
        <v>0</v>
      </c>
      <c r="R2443" s="121">
        <f t="shared" si="949"/>
        <v>0.91666666666666663</v>
      </c>
      <c r="S2443" s="121" t="str">
        <f t="shared" si="950"/>
        <v/>
      </c>
      <c r="T2443" s="121" t="str">
        <f t="shared" si="951"/>
        <v/>
      </c>
      <c r="U2443" s="121">
        <f t="shared" si="952"/>
        <v>1.05</v>
      </c>
    </row>
    <row r="2444" spans="1:21" x14ac:dyDescent="0.3">
      <c r="A2444" s="187">
        <v>44</v>
      </c>
      <c r="B2444" s="242">
        <f t="shared" si="953"/>
        <v>46966</v>
      </c>
      <c r="C2444" s="243">
        <f t="shared" si="934"/>
        <v>46996</v>
      </c>
      <c r="D2444" s="120">
        <f t="shared" si="935"/>
        <v>31</v>
      </c>
      <c r="E2444" s="120">
        <f t="shared" si="936"/>
        <v>8</v>
      </c>
      <c r="F2444" s="275">
        <f t="shared" si="937"/>
        <v>46981.5</v>
      </c>
      <c r="G2444" s="120">
        <f t="shared" si="938"/>
        <v>24343</v>
      </c>
      <c r="H2444" s="245">
        <f t="shared" si="939"/>
        <v>1</v>
      </c>
      <c r="I2444" s="121">
        <f t="shared" si="940"/>
        <v>1.05</v>
      </c>
      <c r="J2444" s="121">
        <f t="shared" si="941"/>
        <v>1.05</v>
      </c>
      <c r="K2444" s="120">
        <f t="shared" si="942"/>
        <v>0</v>
      </c>
      <c r="L2444" s="120">
        <f t="shared" si="943"/>
        <v>0</v>
      </c>
      <c r="M2444" s="246">
        <f t="shared" si="944"/>
        <v>0</v>
      </c>
      <c r="N2444" s="121">
        <f t="shared" si="945"/>
        <v>1.05</v>
      </c>
      <c r="O2444" s="246">
        <f t="shared" si="946"/>
        <v>0.91500000000000004</v>
      </c>
      <c r="P2444" s="121">
        <f t="shared" si="947"/>
        <v>0</v>
      </c>
      <c r="Q2444" s="121">
        <f t="shared" si="948"/>
        <v>0</v>
      </c>
      <c r="R2444" s="121">
        <f t="shared" si="949"/>
        <v>0.75</v>
      </c>
      <c r="S2444" s="121" t="str">
        <f t="shared" si="950"/>
        <v/>
      </c>
      <c r="T2444" s="121" t="str">
        <f t="shared" si="951"/>
        <v/>
      </c>
      <c r="U2444" s="121">
        <f t="shared" si="952"/>
        <v>1.05</v>
      </c>
    </row>
    <row r="2445" spans="1:21" x14ac:dyDescent="0.3">
      <c r="A2445" s="187">
        <v>45</v>
      </c>
      <c r="B2445" s="242">
        <f t="shared" si="953"/>
        <v>46997</v>
      </c>
      <c r="C2445" s="243">
        <f t="shared" si="934"/>
        <v>47026</v>
      </c>
      <c r="D2445" s="120">
        <f t="shared" si="935"/>
        <v>30</v>
      </c>
      <c r="E2445" s="120">
        <f t="shared" si="936"/>
        <v>9</v>
      </c>
      <c r="F2445" s="275">
        <f t="shared" si="937"/>
        <v>47012</v>
      </c>
      <c r="G2445" s="120">
        <f t="shared" si="938"/>
        <v>24344</v>
      </c>
      <c r="H2445" s="245">
        <f t="shared" si="939"/>
        <v>1</v>
      </c>
      <c r="I2445" s="121">
        <f t="shared" si="940"/>
        <v>1.05</v>
      </c>
      <c r="J2445" s="121">
        <f t="shared" si="941"/>
        <v>1.05</v>
      </c>
      <c r="K2445" s="120">
        <f t="shared" si="942"/>
        <v>0</v>
      </c>
      <c r="L2445" s="120">
        <f t="shared" si="943"/>
        <v>0</v>
      </c>
      <c r="M2445" s="246">
        <f t="shared" si="944"/>
        <v>0</v>
      </c>
      <c r="N2445" s="121">
        <f t="shared" si="945"/>
        <v>1.05</v>
      </c>
      <c r="O2445" s="246">
        <f t="shared" si="946"/>
        <v>0.91500000000000004</v>
      </c>
      <c r="P2445" s="121">
        <f t="shared" si="947"/>
        <v>0</v>
      </c>
      <c r="Q2445" s="121">
        <f t="shared" si="948"/>
        <v>0</v>
      </c>
      <c r="R2445" s="121">
        <f t="shared" si="949"/>
        <v>0.58333333333333337</v>
      </c>
      <c r="S2445" s="121" t="str">
        <f t="shared" si="950"/>
        <v/>
      </c>
      <c r="T2445" s="121" t="str">
        <f t="shared" si="951"/>
        <v/>
      </c>
      <c r="U2445" s="121">
        <f t="shared" si="952"/>
        <v>1.05</v>
      </c>
    </row>
    <row r="2446" spans="1:21" x14ac:dyDescent="0.3">
      <c r="A2446" s="187">
        <v>46</v>
      </c>
      <c r="B2446" s="242">
        <f t="shared" si="953"/>
        <v>47027</v>
      </c>
      <c r="C2446" s="243">
        <f t="shared" si="934"/>
        <v>47057</v>
      </c>
      <c r="D2446" s="120">
        <f t="shared" si="935"/>
        <v>31</v>
      </c>
      <c r="E2446" s="120">
        <f t="shared" si="936"/>
        <v>10</v>
      </c>
      <c r="F2446" s="275">
        <f t="shared" si="937"/>
        <v>47042.5</v>
      </c>
      <c r="G2446" s="120">
        <f t="shared" si="938"/>
        <v>24345</v>
      </c>
      <c r="H2446" s="245">
        <f t="shared" si="939"/>
        <v>1</v>
      </c>
      <c r="I2446" s="121">
        <f t="shared" si="940"/>
        <v>1.05</v>
      </c>
      <c r="J2446" s="121">
        <f t="shared" si="941"/>
        <v>1.05</v>
      </c>
      <c r="K2446" s="120">
        <f t="shared" si="942"/>
        <v>0</v>
      </c>
      <c r="L2446" s="120">
        <f t="shared" si="943"/>
        <v>0</v>
      </c>
      <c r="M2446" s="246">
        <f t="shared" si="944"/>
        <v>0</v>
      </c>
      <c r="N2446" s="121">
        <f t="shared" si="945"/>
        <v>1.05</v>
      </c>
      <c r="O2446" s="246">
        <f t="shared" si="946"/>
        <v>0.91500000000000004</v>
      </c>
      <c r="P2446" s="121">
        <f t="shared" si="947"/>
        <v>0</v>
      </c>
      <c r="Q2446" s="121">
        <f t="shared" si="948"/>
        <v>0</v>
      </c>
      <c r="R2446" s="121">
        <f t="shared" si="949"/>
        <v>0.41666666666666669</v>
      </c>
      <c r="S2446" s="121" t="str">
        <f t="shared" si="950"/>
        <v/>
      </c>
      <c r="T2446" s="121" t="str">
        <f t="shared" si="951"/>
        <v/>
      </c>
      <c r="U2446" s="121">
        <f t="shared" si="952"/>
        <v>1.05</v>
      </c>
    </row>
    <row r="2447" spans="1:21" x14ac:dyDescent="0.3">
      <c r="A2447" s="187">
        <v>47</v>
      </c>
      <c r="B2447" s="242">
        <f t="shared" si="953"/>
        <v>47058</v>
      </c>
      <c r="C2447" s="243">
        <f t="shared" si="934"/>
        <v>47087</v>
      </c>
      <c r="D2447" s="120">
        <f t="shared" si="935"/>
        <v>30</v>
      </c>
      <c r="E2447" s="120">
        <f t="shared" si="936"/>
        <v>11</v>
      </c>
      <c r="F2447" s="275">
        <f t="shared" si="937"/>
        <v>47073</v>
      </c>
      <c r="G2447" s="120">
        <f t="shared" si="938"/>
        <v>24346</v>
      </c>
      <c r="H2447" s="245">
        <f t="shared" si="939"/>
        <v>1</v>
      </c>
      <c r="I2447" s="121">
        <f t="shared" si="940"/>
        <v>1.05</v>
      </c>
      <c r="J2447" s="121">
        <f t="shared" si="941"/>
        <v>1.05</v>
      </c>
      <c r="K2447" s="120">
        <f t="shared" si="942"/>
        <v>0</v>
      </c>
      <c r="L2447" s="120">
        <f t="shared" si="943"/>
        <v>0</v>
      </c>
      <c r="M2447" s="246">
        <f t="shared" si="944"/>
        <v>0</v>
      </c>
      <c r="N2447" s="121">
        <f t="shared" si="945"/>
        <v>1.05</v>
      </c>
      <c r="O2447" s="246">
        <f t="shared" si="946"/>
        <v>0.91500000000000004</v>
      </c>
      <c r="P2447" s="121">
        <f t="shared" si="947"/>
        <v>0</v>
      </c>
      <c r="Q2447" s="121">
        <f t="shared" si="948"/>
        <v>0</v>
      </c>
      <c r="R2447" s="121">
        <f t="shared" si="949"/>
        <v>0.25</v>
      </c>
      <c r="S2447" s="121" t="str">
        <f t="shared" si="950"/>
        <v/>
      </c>
      <c r="T2447" s="121" t="str">
        <f t="shared" si="951"/>
        <v/>
      </c>
      <c r="U2447" s="121">
        <f t="shared" si="952"/>
        <v>1.05</v>
      </c>
    </row>
    <row r="2448" spans="1:21" x14ac:dyDescent="0.3">
      <c r="A2448" s="187">
        <v>48</v>
      </c>
      <c r="B2448" s="242">
        <f t="shared" si="953"/>
        <v>47088</v>
      </c>
      <c r="C2448" s="243">
        <f t="shared" si="934"/>
        <v>47118</v>
      </c>
      <c r="D2448" s="120">
        <f t="shared" si="935"/>
        <v>31</v>
      </c>
      <c r="E2448" s="120">
        <f t="shared" si="936"/>
        <v>12</v>
      </c>
      <c r="F2448" s="275">
        <f t="shared" si="937"/>
        <v>47103.5</v>
      </c>
      <c r="G2448" s="120">
        <f t="shared" si="938"/>
        <v>24347</v>
      </c>
      <c r="H2448" s="245">
        <f t="shared" si="939"/>
        <v>1</v>
      </c>
      <c r="I2448" s="121">
        <f t="shared" si="940"/>
        <v>1.05</v>
      </c>
      <c r="J2448" s="121">
        <f t="shared" si="941"/>
        <v>1.05</v>
      </c>
      <c r="K2448" s="120">
        <f t="shared" si="942"/>
        <v>0</v>
      </c>
      <c r="L2448" s="120">
        <f t="shared" si="943"/>
        <v>0</v>
      </c>
      <c r="M2448" s="246">
        <f t="shared" si="944"/>
        <v>0</v>
      </c>
      <c r="N2448" s="121">
        <f t="shared" si="945"/>
        <v>1.05</v>
      </c>
      <c r="O2448" s="246">
        <f t="shared" si="946"/>
        <v>0.91500000000000004</v>
      </c>
      <c r="P2448" s="121">
        <f t="shared" si="947"/>
        <v>0</v>
      </c>
      <c r="Q2448" s="121">
        <f t="shared" si="948"/>
        <v>0</v>
      </c>
      <c r="R2448" s="121">
        <f t="shared" si="949"/>
        <v>8.3333333333333329E-2</v>
      </c>
      <c r="S2448" s="121" t="str">
        <f t="shared" si="950"/>
        <v/>
      </c>
      <c r="T2448" s="121" t="str">
        <f t="shared" si="951"/>
        <v/>
      </c>
      <c r="U2448" s="121">
        <f t="shared" si="952"/>
        <v>1.05</v>
      </c>
    </row>
    <row r="2449" spans="1:21" x14ac:dyDescent="0.3">
      <c r="A2449" s="6" t="s">
        <v>1651</v>
      </c>
      <c r="B2449" s="73">
        <f>EXP(SUMPRODUCT((rl_key=$A$2398)*(rl_cons="Y")*rl_ln1p))</f>
        <v>1.05</v>
      </c>
      <c r="C2449" s="73">
        <f>SUMPRODUCT($H$2401:$H$2448,$P$2401:$P$2448,$U$2401:$U$2448)/SUMPRODUCT($H$2401:$H$2448,$P$2401:$P$2448)</f>
        <v>1.0086805555555556</v>
      </c>
      <c r="D2449" s="73">
        <f>SUMPRODUCT($H$2401:$H$2448,$Q$2401:$Q$2448,$U$2401:$U$2448)/SUMPRODUCT($H$2401:$H$2448,$Q$2401:$Q$2448)</f>
        <v>1.049652777777778</v>
      </c>
      <c r="E2449" s="73">
        <f>SUMPRODUCT($H$2401:$H$2448,$R$2401:$R$2448,$U$2401:$U$2448)/SUMPRODUCT($H$2401:$H$2448,$R$2401:$R$2448)</f>
        <v>1.05</v>
      </c>
      <c r="F2449" s="224">
        <f>SUMPRODUCT($H$2401:$H$2448,$Q$2401:$Q$2448,$O$2401:$O$2448)/SUMPRODUCT($H$2401:$H$2448,$Q$2401:$Q$2448)</f>
        <v>0.91199626185266247</v>
      </c>
      <c r="G2449" s="224">
        <f>SUMPRODUCT($H$2401:$H$2448,$R$2401:$R$2448,$O$2401:$O$2448)/SUMPRODUCT($H$2401:$H$2448,$R$2401:$R$2448)</f>
        <v>0.91483011184050556</v>
      </c>
      <c r="H2449" s="73">
        <f>SUMPRODUCT($H$2425:$H$2436,$N$2425:$N$2436/$N$2413:$N$2424)/SUM($H$2425:$H$2436)</f>
        <v>1.0291666666666666</v>
      </c>
      <c r="I2449" s="73">
        <f>SUMPRODUCT($H$2425:$H$2436,$O$2425:$O$2436/$O$2413:$O$2424)/SUM($H$2425:$H$2436)</f>
        <v>1.0043932196204437</v>
      </c>
      <c r="J2449" s="73">
        <f>IF($O$2398=1,SUMPRODUCT($H$2425:$H$2436,$N$2425:$N$2436/$N$2413:$N$2424*$O$2425:$O$2436/$O$2413:$O$2424)/SUM($H$2425:$H$2436),$H2449)</f>
        <v>1.0336881394737478</v>
      </c>
      <c r="K2449" s="73">
        <f>SUMPRODUCT($H$2401:$H$2448,$Q$2401:$Q$2448,$N$2401:$N$2448)/SUMPRODUCT($H$2401:$H$2448,$Q$2401:$Q$2448)</f>
        <v>1.049652777777778</v>
      </c>
      <c r="L2449" s="73">
        <f>SUMPRODUCT($H$2401:$H$2448,$R$2401:$R$2448,$N$2401:$N$2448)/SUMPRODUCT($H$2401:$H$2448,$R$2401:$R$2448)</f>
        <v>1.05</v>
      </c>
    </row>
    <row r="2452" spans="1:21" x14ac:dyDescent="0.3">
      <c r="A2452" s="6" t="str">
        <f>INDEX(lr_key,45)</f>
        <v>SBA|DE</v>
      </c>
      <c r="B2452" s="6" t="str">
        <f>INDEX(lr_state,45)</f>
        <v>DE</v>
      </c>
      <c r="C2452" s="75">
        <f>nr_TermMonths</f>
        <v>6</v>
      </c>
      <c r="D2452" s="75">
        <f>IF(COUNTIF(se_state,$B2452)=0,0,MATCH($B2452,se_state,0))</f>
        <v>0</v>
      </c>
      <c r="E2452" s="70">
        <f>IF($D2452=0,0,INDEX(se_sum,$D2452))</f>
        <v>0</v>
      </c>
      <c r="F2452" s="224">
        <f>IF(N(INDEX(lr_mind,45))=0,1,INDEX(lr_mind,45))</f>
        <v>0.92</v>
      </c>
      <c r="G2452" s="224">
        <f>IF(N(INDEX(lr_m0,45))=0,1,INDEX(lr_m0,45))</f>
        <v>0.91</v>
      </c>
      <c r="H2452" s="74">
        <f>IF(N(INDEX(lr_m0asof,45))=0,DATE(nr_PlanYear-1,10,1),INDEX(lr_m0asof,45))</f>
        <v>46295</v>
      </c>
      <c r="I2452" s="224">
        <f>IF(N(INDEX(lr_m1,45))=0,1,INDEX(lr_m1,45))</f>
        <v>0.93</v>
      </c>
      <c r="J2452" s="224">
        <f>INDEX(lr_mprior,45)</f>
        <v>0</v>
      </c>
      <c r="K2452" s="224">
        <f>INDEX(lr_m2,45)</f>
        <v>0</v>
      </c>
      <c r="L2452" s="6" t="b">
        <f>NOT(ISBLANK(INDEX(lr_netp,45)))</f>
        <v>0</v>
      </c>
      <c r="M2452" s="72">
        <f>N(INDEX(lr_netp,45))</f>
        <v>0</v>
      </c>
      <c r="N2452" s="72">
        <f>IF(ISBLANK(INDEX(lr_netp1,45)),$M$2452,N(INDEX(lr_netp1,45)))</f>
        <v>0</v>
      </c>
      <c r="O2452" s="75">
        <f>IF(AND(nr_ModAdjMaster="ON",INDEX(lr_modadj,45)="ON"),1,0)</f>
        <v>1</v>
      </c>
    </row>
    <row r="2453" spans="1:21" x14ac:dyDescent="0.3">
      <c r="A2453" s="6">
        <f>EDATE($H$2452,-12)+1</f>
        <v>45931</v>
      </c>
      <c r="B2453" s="6">
        <f>$H$2452+1</f>
        <v>46296</v>
      </c>
      <c r="C2453" s="6">
        <f>DATE(nr_PlanYear,12,31)+1</f>
        <v>46753</v>
      </c>
      <c r="D2453" s="6">
        <f>DATE(nr_PlanYear+1,12,31)+1</f>
        <v>47119</v>
      </c>
      <c r="E2453" s="6">
        <f>IF(N($J$2452)=0,$F$2453-($G$2453-$F$2453)/($C$2453-$B$2453)*($B$2453-$A$2453),$J$2452)</f>
        <v>0.89402625820568926</v>
      </c>
      <c r="F2453" s="6">
        <f>$G$2452</f>
        <v>0.91</v>
      </c>
      <c r="G2453" s="6">
        <f>$I$2452</f>
        <v>0.93</v>
      </c>
      <c r="H2453" s="6">
        <f>IF(N($K$2452)=0,$I$2452,$K$2452)</f>
        <v>0.93</v>
      </c>
      <c r="I2453" s="6">
        <f>($F$2453-$E$2453)/($B$2453-$A$2453)</f>
        <v>4.3763676148796628E-5</v>
      </c>
      <c r="J2453" s="6">
        <f>($G$2453-$F$2453)/($C$2453-$B$2453)</f>
        <v>4.376367614879654E-5</v>
      </c>
      <c r="K2453" s="6">
        <f>($H$2453-$G$2453)/($D$2453-$C$2453)</f>
        <v>0</v>
      </c>
    </row>
    <row r="2454" spans="1:21" ht="36" x14ac:dyDescent="0.3">
      <c r="A2454" s="58" t="s">
        <v>390</v>
      </c>
      <c r="B2454" s="58" t="s">
        <v>449</v>
      </c>
      <c r="C2454" s="58" t="s">
        <v>685</v>
      </c>
      <c r="D2454" s="58" t="s">
        <v>686</v>
      </c>
      <c r="E2454" s="58" t="s">
        <v>687</v>
      </c>
      <c r="F2454" s="58" t="s">
        <v>688</v>
      </c>
      <c r="G2454" s="58" t="s">
        <v>689</v>
      </c>
      <c r="H2454" s="58" t="s">
        <v>452</v>
      </c>
      <c r="I2454" s="58" t="s">
        <v>690</v>
      </c>
      <c r="J2454" s="58" t="s">
        <v>691</v>
      </c>
      <c r="K2454" s="58" t="s">
        <v>692</v>
      </c>
      <c r="L2454" s="58" t="s">
        <v>693</v>
      </c>
      <c r="M2454" s="58" t="s">
        <v>694</v>
      </c>
      <c r="N2454" s="58" t="s">
        <v>695</v>
      </c>
      <c r="O2454" s="58" t="s">
        <v>696</v>
      </c>
      <c r="P2454" s="58" t="s">
        <v>697</v>
      </c>
      <c r="Q2454" s="58" t="s">
        <v>698</v>
      </c>
      <c r="R2454" s="58" t="s">
        <v>699</v>
      </c>
      <c r="S2454" s="58" t="s">
        <v>700</v>
      </c>
      <c r="T2454" s="58" t="s">
        <v>701</v>
      </c>
      <c r="U2454" s="58" t="s">
        <v>702</v>
      </c>
    </row>
    <row r="2455" spans="1:21" x14ac:dyDescent="0.3">
      <c r="A2455" s="187">
        <v>1</v>
      </c>
      <c r="B2455" s="242">
        <f>DATE(nr_PlanYear-2,1,1)</f>
        <v>45658</v>
      </c>
      <c r="C2455" s="243">
        <f t="shared" ref="C2455:C2502" si="954">EOMONTH($B2455,0)</f>
        <v>45688</v>
      </c>
      <c r="D2455" s="120">
        <f t="shared" ref="D2455:D2502" si="955">$C2455-$B2455+1</f>
        <v>31</v>
      </c>
      <c r="E2455" s="120">
        <f t="shared" ref="E2455:E2502" si="956">MONTH($B2455)</f>
        <v>1</v>
      </c>
      <c r="F2455" s="275">
        <f t="shared" ref="F2455:F2502" si="957">($B2455+$C2455+1)/2</f>
        <v>45673.5</v>
      </c>
      <c r="G2455" s="120">
        <f t="shared" ref="G2455:G2502" si="958">YEAR($B2455)*12+MONTH($B2455)-1</f>
        <v>24300</v>
      </c>
      <c r="H2455" s="245">
        <f t="shared" ref="H2455:H2502" si="959">IF(OR(nr_SeasonOn="OFF",$D$2452=0,$E$2452=0),1,12*INDEX(se_block,$D$2452,$E2455)/$E$2452)</f>
        <v>1</v>
      </c>
      <c r="I2455" s="121">
        <f t="shared" ref="I2455:I2502" si="960">EXP(SUMPRODUCT((rl_eff&lt;$B2455)*(rl_key=$A$2452)*rl_ln1p))</f>
        <v>1</v>
      </c>
      <c r="J2455" s="121">
        <f t="shared" ref="J2455:J2502" si="961">EXP(SUMPRODUCT((rl_eff&lt;=$C2455)*(rl_key=$A$2452)*rl_ln1p))</f>
        <v>1</v>
      </c>
      <c r="K2455" s="120">
        <f t="shared" ref="K2455:K2502" si="962">COUNTIFS(rl_key,$A$2452,rl_eff,"&gt;="&amp;$B2455,rl_eff,"&lt;="&amp;$C2455)</f>
        <v>0</v>
      </c>
      <c r="L2455" s="120">
        <f t="shared" ref="L2455:L2502" si="963">SUMIFS(rl_daysafter,rl_key,$A$2452,rl_effmonth,$B2455,rl_first,1)</f>
        <v>0</v>
      </c>
      <c r="M2455" s="246">
        <f t="shared" ref="M2455:M2502" si="964">IF($K2455=0,0,MIN(1,$L2455/$D2455))</f>
        <v>0</v>
      </c>
      <c r="N2455" s="121">
        <f t="shared" ref="N2455:N2502" si="965">IF($K2455=0,$J2455,(1-$M2455)*$I2455+$M2455*$J2455)</f>
        <v>1</v>
      </c>
      <c r="O2455" s="246">
        <f t="shared" ref="O2455:O2502" si="966">IF($F2455&lt;$B$2453,$E$2453+$I$2453*($F2455-$A$2453),IF($F2455&lt;$C$2453,$F$2453+$J$2453*($F2455-$B$2453),$G$2453+$K$2453*($F2455-$C$2453)))</f>
        <v>0.88275711159737413</v>
      </c>
      <c r="P2455" s="121">
        <f t="shared" ref="P2455:P2502" si="967">MIN(1,MAX(0,(nr_MEndPm1-$G2455+0.5)/$C$2452))-MIN(1,MAX(0,(nr_MStartPm1-1-$G2455+0.5)/$C$2452))</f>
        <v>0</v>
      </c>
      <c r="Q2455" s="121">
        <f t="shared" ref="Q2455:Q2502" si="968">MIN(1,MAX(0,(nr_MEndP-$G2455+0.5)/$C$2452))-MIN(1,MAX(0,(nr_MStartP-1-$G2455+0.5)/$C$2452))</f>
        <v>0</v>
      </c>
      <c r="R2455" s="121">
        <f t="shared" ref="R2455:R2502" si="969">MIN(1,MAX(0,(nr_MEndP1-$G2455+0.5)/$C$2452))-MIN(1,MAX(0,(nr_MStartP1-1-$G2455+0.5)/$C$2452))</f>
        <v>0</v>
      </c>
      <c r="S2455" s="121" t="str">
        <f t="shared" ref="S2455:S2502" si="970">IF($L$2452,$N2455*IF($O$2452=1,$O2455/$F$2452,1),"")</f>
        <v/>
      </c>
      <c r="T2455" s="121" t="str">
        <f t="shared" ref="T2455:T2502" si="971">IF(NOT($L$2452),"",IF($G2455&lt;nr_MStartP,$S2455,$T2443*(1+IF($G2455&lt;nr_MStartP1,$M$2452,$N$2452))))</f>
        <v/>
      </c>
      <c r="U2455" s="121">
        <f t="shared" ref="U2455:U2502" si="972">IF($L$2452,$T2455,$N2455)</f>
        <v>1</v>
      </c>
    </row>
    <row r="2456" spans="1:21" x14ac:dyDescent="0.3">
      <c r="A2456" s="187">
        <v>2</v>
      </c>
      <c r="B2456" s="242">
        <f t="shared" ref="B2456:B2502" si="973">EDATE($B2455,1)</f>
        <v>45689</v>
      </c>
      <c r="C2456" s="243">
        <f t="shared" si="954"/>
        <v>45716</v>
      </c>
      <c r="D2456" s="120">
        <f t="shared" si="955"/>
        <v>28</v>
      </c>
      <c r="E2456" s="120">
        <f t="shared" si="956"/>
        <v>2</v>
      </c>
      <c r="F2456" s="275">
        <f t="shared" si="957"/>
        <v>45703</v>
      </c>
      <c r="G2456" s="120">
        <f t="shared" si="958"/>
        <v>24301</v>
      </c>
      <c r="H2456" s="245">
        <f t="shared" si="959"/>
        <v>1</v>
      </c>
      <c r="I2456" s="121">
        <f t="shared" si="960"/>
        <v>1</v>
      </c>
      <c r="J2456" s="121">
        <f t="shared" si="961"/>
        <v>1</v>
      </c>
      <c r="K2456" s="120">
        <f t="shared" si="962"/>
        <v>0</v>
      </c>
      <c r="L2456" s="120">
        <f t="shared" si="963"/>
        <v>0</v>
      </c>
      <c r="M2456" s="246">
        <f t="shared" si="964"/>
        <v>0</v>
      </c>
      <c r="N2456" s="121">
        <f t="shared" si="965"/>
        <v>1</v>
      </c>
      <c r="O2456" s="246">
        <f t="shared" si="966"/>
        <v>0.88404814004376364</v>
      </c>
      <c r="P2456" s="121">
        <f t="shared" si="967"/>
        <v>0</v>
      </c>
      <c r="Q2456" s="121">
        <f t="shared" si="968"/>
        <v>0</v>
      </c>
      <c r="R2456" s="121">
        <f t="shared" si="969"/>
        <v>0</v>
      </c>
      <c r="S2456" s="121" t="str">
        <f t="shared" si="970"/>
        <v/>
      </c>
      <c r="T2456" s="121" t="str">
        <f t="shared" si="971"/>
        <v/>
      </c>
      <c r="U2456" s="121">
        <f t="shared" si="972"/>
        <v>1</v>
      </c>
    </row>
    <row r="2457" spans="1:21" x14ac:dyDescent="0.3">
      <c r="A2457" s="187">
        <v>3</v>
      </c>
      <c r="B2457" s="242">
        <f t="shared" si="973"/>
        <v>45717</v>
      </c>
      <c r="C2457" s="243">
        <f t="shared" si="954"/>
        <v>45747</v>
      </c>
      <c r="D2457" s="120">
        <f t="shared" si="955"/>
        <v>31</v>
      </c>
      <c r="E2457" s="120">
        <f t="shared" si="956"/>
        <v>3</v>
      </c>
      <c r="F2457" s="275">
        <f t="shared" si="957"/>
        <v>45732.5</v>
      </c>
      <c r="G2457" s="120">
        <f t="shared" si="958"/>
        <v>24302</v>
      </c>
      <c r="H2457" s="245">
        <f t="shared" si="959"/>
        <v>1</v>
      </c>
      <c r="I2457" s="121">
        <f t="shared" si="960"/>
        <v>1</v>
      </c>
      <c r="J2457" s="121">
        <f t="shared" si="961"/>
        <v>1</v>
      </c>
      <c r="K2457" s="120">
        <f t="shared" si="962"/>
        <v>0</v>
      </c>
      <c r="L2457" s="120">
        <f t="shared" si="963"/>
        <v>0</v>
      </c>
      <c r="M2457" s="246">
        <f t="shared" si="964"/>
        <v>0</v>
      </c>
      <c r="N2457" s="121">
        <f t="shared" si="965"/>
        <v>1</v>
      </c>
      <c r="O2457" s="246">
        <f t="shared" si="966"/>
        <v>0.88533916849015315</v>
      </c>
      <c r="P2457" s="121">
        <f t="shared" si="967"/>
        <v>0</v>
      </c>
      <c r="Q2457" s="121">
        <f t="shared" si="968"/>
        <v>0</v>
      </c>
      <c r="R2457" s="121">
        <f t="shared" si="969"/>
        <v>0</v>
      </c>
      <c r="S2457" s="121" t="str">
        <f t="shared" si="970"/>
        <v/>
      </c>
      <c r="T2457" s="121" t="str">
        <f t="shared" si="971"/>
        <v/>
      </c>
      <c r="U2457" s="121">
        <f t="shared" si="972"/>
        <v>1</v>
      </c>
    </row>
    <row r="2458" spans="1:21" x14ac:dyDescent="0.3">
      <c r="A2458" s="187">
        <v>4</v>
      </c>
      <c r="B2458" s="242">
        <f t="shared" si="973"/>
        <v>45748</v>
      </c>
      <c r="C2458" s="243">
        <f t="shared" si="954"/>
        <v>45777</v>
      </c>
      <c r="D2458" s="120">
        <f t="shared" si="955"/>
        <v>30</v>
      </c>
      <c r="E2458" s="120">
        <f t="shared" si="956"/>
        <v>4</v>
      </c>
      <c r="F2458" s="275">
        <f t="shared" si="957"/>
        <v>45763</v>
      </c>
      <c r="G2458" s="120">
        <f t="shared" si="958"/>
        <v>24303</v>
      </c>
      <c r="H2458" s="245">
        <f t="shared" si="959"/>
        <v>1</v>
      </c>
      <c r="I2458" s="121">
        <f t="shared" si="960"/>
        <v>1</v>
      </c>
      <c r="J2458" s="121">
        <f t="shared" si="961"/>
        <v>1</v>
      </c>
      <c r="K2458" s="120">
        <f t="shared" si="962"/>
        <v>0</v>
      </c>
      <c r="L2458" s="120">
        <f t="shared" si="963"/>
        <v>0</v>
      </c>
      <c r="M2458" s="246">
        <f t="shared" si="964"/>
        <v>0</v>
      </c>
      <c r="N2458" s="121">
        <f t="shared" si="965"/>
        <v>1</v>
      </c>
      <c r="O2458" s="246">
        <f t="shared" si="966"/>
        <v>0.88667396061269144</v>
      </c>
      <c r="P2458" s="121">
        <f t="shared" si="967"/>
        <v>0</v>
      </c>
      <c r="Q2458" s="121">
        <f t="shared" si="968"/>
        <v>0</v>
      </c>
      <c r="R2458" s="121">
        <f t="shared" si="969"/>
        <v>0</v>
      </c>
      <c r="S2458" s="121" t="str">
        <f t="shared" si="970"/>
        <v/>
      </c>
      <c r="T2458" s="121" t="str">
        <f t="shared" si="971"/>
        <v/>
      </c>
      <c r="U2458" s="121">
        <f t="shared" si="972"/>
        <v>1</v>
      </c>
    </row>
    <row r="2459" spans="1:21" x14ac:dyDescent="0.3">
      <c r="A2459" s="187">
        <v>5</v>
      </c>
      <c r="B2459" s="242">
        <f t="shared" si="973"/>
        <v>45778</v>
      </c>
      <c r="C2459" s="243">
        <f t="shared" si="954"/>
        <v>45808</v>
      </c>
      <c r="D2459" s="120">
        <f t="shared" si="955"/>
        <v>31</v>
      </c>
      <c r="E2459" s="120">
        <f t="shared" si="956"/>
        <v>5</v>
      </c>
      <c r="F2459" s="275">
        <f t="shared" si="957"/>
        <v>45793.5</v>
      </c>
      <c r="G2459" s="120">
        <f t="shared" si="958"/>
        <v>24304</v>
      </c>
      <c r="H2459" s="245">
        <f t="shared" si="959"/>
        <v>1</v>
      </c>
      <c r="I2459" s="121">
        <f t="shared" si="960"/>
        <v>1</v>
      </c>
      <c r="J2459" s="121">
        <f t="shared" si="961"/>
        <v>1</v>
      </c>
      <c r="K2459" s="120">
        <f t="shared" si="962"/>
        <v>0</v>
      </c>
      <c r="L2459" s="120">
        <f t="shared" si="963"/>
        <v>0</v>
      </c>
      <c r="M2459" s="246">
        <f t="shared" si="964"/>
        <v>0</v>
      </c>
      <c r="N2459" s="121">
        <f t="shared" si="965"/>
        <v>1</v>
      </c>
      <c r="O2459" s="246">
        <f t="shared" si="966"/>
        <v>0.88800875273522972</v>
      </c>
      <c r="P2459" s="121">
        <f t="shared" si="967"/>
        <v>0</v>
      </c>
      <c r="Q2459" s="121">
        <f t="shared" si="968"/>
        <v>0</v>
      </c>
      <c r="R2459" s="121">
        <f t="shared" si="969"/>
        <v>0</v>
      </c>
      <c r="S2459" s="121" t="str">
        <f t="shared" si="970"/>
        <v/>
      </c>
      <c r="T2459" s="121" t="str">
        <f t="shared" si="971"/>
        <v/>
      </c>
      <c r="U2459" s="121">
        <f t="shared" si="972"/>
        <v>1</v>
      </c>
    </row>
    <row r="2460" spans="1:21" x14ac:dyDescent="0.3">
      <c r="A2460" s="187">
        <v>6</v>
      </c>
      <c r="B2460" s="242">
        <f t="shared" si="973"/>
        <v>45809</v>
      </c>
      <c r="C2460" s="243">
        <f t="shared" si="954"/>
        <v>45838</v>
      </c>
      <c r="D2460" s="120">
        <f t="shared" si="955"/>
        <v>30</v>
      </c>
      <c r="E2460" s="120">
        <f t="shared" si="956"/>
        <v>6</v>
      </c>
      <c r="F2460" s="275">
        <f t="shared" si="957"/>
        <v>45824</v>
      </c>
      <c r="G2460" s="120">
        <f t="shared" si="958"/>
        <v>24305</v>
      </c>
      <c r="H2460" s="245">
        <f t="shared" si="959"/>
        <v>1</v>
      </c>
      <c r="I2460" s="121">
        <f t="shared" si="960"/>
        <v>1</v>
      </c>
      <c r="J2460" s="121">
        <f t="shared" si="961"/>
        <v>1</v>
      </c>
      <c r="K2460" s="120">
        <f t="shared" si="962"/>
        <v>0</v>
      </c>
      <c r="L2460" s="120">
        <f t="shared" si="963"/>
        <v>0</v>
      </c>
      <c r="M2460" s="246">
        <f t="shared" si="964"/>
        <v>0</v>
      </c>
      <c r="N2460" s="121">
        <f t="shared" si="965"/>
        <v>1</v>
      </c>
      <c r="O2460" s="246">
        <f t="shared" si="966"/>
        <v>0.88934354485776801</v>
      </c>
      <c r="P2460" s="121">
        <f t="shared" si="967"/>
        <v>0</v>
      </c>
      <c r="Q2460" s="121">
        <f t="shared" si="968"/>
        <v>0</v>
      </c>
      <c r="R2460" s="121">
        <f t="shared" si="969"/>
        <v>0</v>
      </c>
      <c r="S2460" s="121" t="str">
        <f t="shared" si="970"/>
        <v/>
      </c>
      <c r="T2460" s="121" t="str">
        <f t="shared" si="971"/>
        <v/>
      </c>
      <c r="U2460" s="121">
        <f t="shared" si="972"/>
        <v>1</v>
      </c>
    </row>
    <row r="2461" spans="1:21" x14ac:dyDescent="0.3">
      <c r="A2461" s="187">
        <v>7</v>
      </c>
      <c r="B2461" s="242">
        <f t="shared" si="973"/>
        <v>45839</v>
      </c>
      <c r="C2461" s="243">
        <f t="shared" si="954"/>
        <v>45869</v>
      </c>
      <c r="D2461" s="120">
        <f t="shared" si="955"/>
        <v>31</v>
      </c>
      <c r="E2461" s="120">
        <f t="shared" si="956"/>
        <v>7</v>
      </c>
      <c r="F2461" s="275">
        <f t="shared" si="957"/>
        <v>45854.5</v>
      </c>
      <c r="G2461" s="120">
        <f t="shared" si="958"/>
        <v>24306</v>
      </c>
      <c r="H2461" s="245">
        <f t="shared" si="959"/>
        <v>1</v>
      </c>
      <c r="I2461" s="121">
        <f t="shared" si="960"/>
        <v>1</v>
      </c>
      <c r="J2461" s="121">
        <f t="shared" si="961"/>
        <v>1</v>
      </c>
      <c r="K2461" s="120">
        <f t="shared" si="962"/>
        <v>0</v>
      </c>
      <c r="L2461" s="120">
        <f t="shared" si="963"/>
        <v>0</v>
      </c>
      <c r="M2461" s="246">
        <f t="shared" si="964"/>
        <v>0</v>
      </c>
      <c r="N2461" s="121">
        <f t="shared" si="965"/>
        <v>1</v>
      </c>
      <c r="O2461" s="246">
        <f t="shared" si="966"/>
        <v>0.8906783369803063</v>
      </c>
      <c r="P2461" s="121">
        <f t="shared" si="967"/>
        <v>8.333333333333337E-2</v>
      </c>
      <c r="Q2461" s="121">
        <f t="shared" si="968"/>
        <v>0</v>
      </c>
      <c r="R2461" s="121">
        <f t="shared" si="969"/>
        <v>0</v>
      </c>
      <c r="S2461" s="121" t="str">
        <f t="shared" si="970"/>
        <v/>
      </c>
      <c r="T2461" s="121" t="str">
        <f t="shared" si="971"/>
        <v/>
      </c>
      <c r="U2461" s="121">
        <f t="shared" si="972"/>
        <v>1</v>
      </c>
    </row>
    <row r="2462" spans="1:21" x14ac:dyDescent="0.3">
      <c r="A2462" s="187">
        <v>8</v>
      </c>
      <c r="B2462" s="242">
        <f t="shared" si="973"/>
        <v>45870</v>
      </c>
      <c r="C2462" s="243">
        <f t="shared" si="954"/>
        <v>45900</v>
      </c>
      <c r="D2462" s="120">
        <f t="shared" si="955"/>
        <v>31</v>
      </c>
      <c r="E2462" s="120">
        <f t="shared" si="956"/>
        <v>8</v>
      </c>
      <c r="F2462" s="275">
        <f t="shared" si="957"/>
        <v>45885.5</v>
      </c>
      <c r="G2462" s="120">
        <f t="shared" si="958"/>
        <v>24307</v>
      </c>
      <c r="H2462" s="245">
        <f t="shared" si="959"/>
        <v>1</v>
      </c>
      <c r="I2462" s="121">
        <f t="shared" si="960"/>
        <v>1</v>
      </c>
      <c r="J2462" s="121">
        <f t="shared" si="961"/>
        <v>1</v>
      </c>
      <c r="K2462" s="120">
        <f t="shared" si="962"/>
        <v>0</v>
      </c>
      <c r="L2462" s="120">
        <f t="shared" si="963"/>
        <v>0</v>
      </c>
      <c r="M2462" s="246">
        <f t="shared" si="964"/>
        <v>0</v>
      </c>
      <c r="N2462" s="121">
        <f t="shared" si="965"/>
        <v>1</v>
      </c>
      <c r="O2462" s="246">
        <f t="shared" si="966"/>
        <v>0.89203501094091897</v>
      </c>
      <c r="P2462" s="121">
        <f t="shared" si="967"/>
        <v>0.25</v>
      </c>
      <c r="Q2462" s="121">
        <f t="shared" si="968"/>
        <v>0</v>
      </c>
      <c r="R2462" s="121">
        <f t="shared" si="969"/>
        <v>0</v>
      </c>
      <c r="S2462" s="121" t="str">
        <f t="shared" si="970"/>
        <v/>
      </c>
      <c r="T2462" s="121" t="str">
        <f t="shared" si="971"/>
        <v/>
      </c>
      <c r="U2462" s="121">
        <f t="shared" si="972"/>
        <v>1</v>
      </c>
    </row>
    <row r="2463" spans="1:21" x14ac:dyDescent="0.3">
      <c r="A2463" s="187">
        <v>9</v>
      </c>
      <c r="B2463" s="242">
        <f t="shared" si="973"/>
        <v>45901</v>
      </c>
      <c r="C2463" s="243">
        <f t="shared" si="954"/>
        <v>45930</v>
      </c>
      <c r="D2463" s="120">
        <f t="shared" si="955"/>
        <v>30</v>
      </c>
      <c r="E2463" s="120">
        <f t="shared" si="956"/>
        <v>9</v>
      </c>
      <c r="F2463" s="275">
        <f t="shared" si="957"/>
        <v>45916</v>
      </c>
      <c r="G2463" s="120">
        <f t="shared" si="958"/>
        <v>24308</v>
      </c>
      <c r="H2463" s="245">
        <f t="shared" si="959"/>
        <v>1</v>
      </c>
      <c r="I2463" s="121">
        <f t="shared" si="960"/>
        <v>1</v>
      </c>
      <c r="J2463" s="121">
        <f t="shared" si="961"/>
        <v>1</v>
      </c>
      <c r="K2463" s="120">
        <f t="shared" si="962"/>
        <v>0</v>
      </c>
      <c r="L2463" s="120">
        <f t="shared" si="963"/>
        <v>0</v>
      </c>
      <c r="M2463" s="246">
        <f t="shared" si="964"/>
        <v>0</v>
      </c>
      <c r="N2463" s="121">
        <f t="shared" si="965"/>
        <v>1</v>
      </c>
      <c r="O2463" s="246">
        <f t="shared" si="966"/>
        <v>0.89336980306345726</v>
      </c>
      <c r="P2463" s="121">
        <f t="shared" si="967"/>
        <v>0.41666666666666663</v>
      </c>
      <c r="Q2463" s="121">
        <f t="shared" si="968"/>
        <v>0</v>
      </c>
      <c r="R2463" s="121">
        <f t="shared" si="969"/>
        <v>0</v>
      </c>
      <c r="S2463" s="121" t="str">
        <f t="shared" si="970"/>
        <v/>
      </c>
      <c r="T2463" s="121" t="str">
        <f t="shared" si="971"/>
        <v/>
      </c>
      <c r="U2463" s="121">
        <f t="shared" si="972"/>
        <v>1</v>
      </c>
    </row>
    <row r="2464" spans="1:21" x14ac:dyDescent="0.3">
      <c r="A2464" s="187">
        <v>10</v>
      </c>
      <c r="B2464" s="242">
        <f t="shared" si="973"/>
        <v>45931</v>
      </c>
      <c r="C2464" s="243">
        <f t="shared" si="954"/>
        <v>45961</v>
      </c>
      <c r="D2464" s="120">
        <f t="shared" si="955"/>
        <v>31</v>
      </c>
      <c r="E2464" s="120">
        <f t="shared" si="956"/>
        <v>10</v>
      </c>
      <c r="F2464" s="275">
        <f t="shared" si="957"/>
        <v>45946.5</v>
      </c>
      <c r="G2464" s="120">
        <f t="shared" si="958"/>
        <v>24309</v>
      </c>
      <c r="H2464" s="245">
        <f t="shared" si="959"/>
        <v>1</v>
      </c>
      <c r="I2464" s="121">
        <f t="shared" si="960"/>
        <v>1</v>
      </c>
      <c r="J2464" s="121">
        <f t="shared" si="961"/>
        <v>1</v>
      </c>
      <c r="K2464" s="120">
        <f t="shared" si="962"/>
        <v>0</v>
      </c>
      <c r="L2464" s="120">
        <f t="shared" si="963"/>
        <v>0</v>
      </c>
      <c r="M2464" s="246">
        <f t="shared" si="964"/>
        <v>0</v>
      </c>
      <c r="N2464" s="121">
        <f t="shared" si="965"/>
        <v>1</v>
      </c>
      <c r="O2464" s="246">
        <f t="shared" si="966"/>
        <v>0.89470459518599565</v>
      </c>
      <c r="P2464" s="121">
        <f t="shared" si="967"/>
        <v>0.58333333333333326</v>
      </c>
      <c r="Q2464" s="121">
        <f t="shared" si="968"/>
        <v>0</v>
      </c>
      <c r="R2464" s="121">
        <f t="shared" si="969"/>
        <v>0</v>
      </c>
      <c r="S2464" s="121" t="str">
        <f t="shared" si="970"/>
        <v/>
      </c>
      <c r="T2464" s="121" t="str">
        <f t="shared" si="971"/>
        <v/>
      </c>
      <c r="U2464" s="121">
        <f t="shared" si="972"/>
        <v>1</v>
      </c>
    </row>
    <row r="2465" spans="1:21" x14ac:dyDescent="0.3">
      <c r="A2465" s="187">
        <v>11</v>
      </c>
      <c r="B2465" s="242">
        <f t="shared" si="973"/>
        <v>45962</v>
      </c>
      <c r="C2465" s="243">
        <f t="shared" si="954"/>
        <v>45991</v>
      </c>
      <c r="D2465" s="120">
        <f t="shared" si="955"/>
        <v>30</v>
      </c>
      <c r="E2465" s="120">
        <f t="shared" si="956"/>
        <v>11</v>
      </c>
      <c r="F2465" s="275">
        <f t="shared" si="957"/>
        <v>45977</v>
      </c>
      <c r="G2465" s="120">
        <f t="shared" si="958"/>
        <v>24310</v>
      </c>
      <c r="H2465" s="245">
        <f t="shared" si="959"/>
        <v>1</v>
      </c>
      <c r="I2465" s="121">
        <f t="shared" si="960"/>
        <v>1</v>
      </c>
      <c r="J2465" s="121">
        <f t="shared" si="961"/>
        <v>1</v>
      </c>
      <c r="K2465" s="120">
        <f t="shared" si="962"/>
        <v>0</v>
      </c>
      <c r="L2465" s="120">
        <f t="shared" si="963"/>
        <v>0</v>
      </c>
      <c r="M2465" s="246">
        <f t="shared" si="964"/>
        <v>0</v>
      </c>
      <c r="N2465" s="121">
        <f t="shared" si="965"/>
        <v>1</v>
      </c>
      <c r="O2465" s="246">
        <f t="shared" si="966"/>
        <v>0.89603938730853394</v>
      </c>
      <c r="P2465" s="121">
        <f t="shared" si="967"/>
        <v>0.75</v>
      </c>
      <c r="Q2465" s="121">
        <f t="shared" si="968"/>
        <v>0</v>
      </c>
      <c r="R2465" s="121">
        <f t="shared" si="969"/>
        <v>0</v>
      </c>
      <c r="S2465" s="121" t="str">
        <f t="shared" si="970"/>
        <v/>
      </c>
      <c r="T2465" s="121" t="str">
        <f t="shared" si="971"/>
        <v/>
      </c>
      <c r="U2465" s="121">
        <f t="shared" si="972"/>
        <v>1</v>
      </c>
    </row>
    <row r="2466" spans="1:21" x14ac:dyDescent="0.3">
      <c r="A2466" s="187">
        <v>12</v>
      </c>
      <c r="B2466" s="242">
        <f t="shared" si="973"/>
        <v>45992</v>
      </c>
      <c r="C2466" s="243">
        <f t="shared" si="954"/>
        <v>46022</v>
      </c>
      <c r="D2466" s="120">
        <f t="shared" si="955"/>
        <v>31</v>
      </c>
      <c r="E2466" s="120">
        <f t="shared" si="956"/>
        <v>12</v>
      </c>
      <c r="F2466" s="275">
        <f t="shared" si="957"/>
        <v>46007.5</v>
      </c>
      <c r="G2466" s="120">
        <f t="shared" si="958"/>
        <v>24311</v>
      </c>
      <c r="H2466" s="245">
        <f t="shared" si="959"/>
        <v>1</v>
      </c>
      <c r="I2466" s="121">
        <f t="shared" si="960"/>
        <v>1</v>
      </c>
      <c r="J2466" s="121">
        <f t="shared" si="961"/>
        <v>1</v>
      </c>
      <c r="K2466" s="120">
        <f t="shared" si="962"/>
        <v>0</v>
      </c>
      <c r="L2466" s="120">
        <f t="shared" si="963"/>
        <v>0</v>
      </c>
      <c r="M2466" s="246">
        <f t="shared" si="964"/>
        <v>0</v>
      </c>
      <c r="N2466" s="121">
        <f t="shared" si="965"/>
        <v>1</v>
      </c>
      <c r="O2466" s="246">
        <f t="shared" si="966"/>
        <v>0.89737417943107223</v>
      </c>
      <c r="P2466" s="121">
        <f t="shared" si="967"/>
        <v>0.91666666666666663</v>
      </c>
      <c r="Q2466" s="121">
        <f t="shared" si="968"/>
        <v>0</v>
      </c>
      <c r="R2466" s="121">
        <f t="shared" si="969"/>
        <v>0</v>
      </c>
      <c r="S2466" s="121" t="str">
        <f t="shared" si="970"/>
        <v/>
      </c>
      <c r="T2466" s="121" t="str">
        <f t="shared" si="971"/>
        <v/>
      </c>
      <c r="U2466" s="121">
        <f t="shared" si="972"/>
        <v>1</v>
      </c>
    </row>
    <row r="2467" spans="1:21" x14ac:dyDescent="0.3">
      <c r="A2467" s="187">
        <v>13</v>
      </c>
      <c r="B2467" s="242">
        <f t="shared" si="973"/>
        <v>46023</v>
      </c>
      <c r="C2467" s="243">
        <f t="shared" si="954"/>
        <v>46053</v>
      </c>
      <c r="D2467" s="120">
        <f t="shared" si="955"/>
        <v>31</v>
      </c>
      <c r="E2467" s="120">
        <f t="shared" si="956"/>
        <v>1</v>
      </c>
      <c r="F2467" s="275">
        <f t="shared" si="957"/>
        <v>46038.5</v>
      </c>
      <c r="G2467" s="120">
        <f t="shared" si="958"/>
        <v>24312</v>
      </c>
      <c r="H2467" s="245">
        <f t="shared" si="959"/>
        <v>1</v>
      </c>
      <c r="I2467" s="121">
        <f t="shared" si="960"/>
        <v>1</v>
      </c>
      <c r="J2467" s="121">
        <f t="shared" si="961"/>
        <v>1</v>
      </c>
      <c r="K2467" s="120">
        <f t="shared" si="962"/>
        <v>0</v>
      </c>
      <c r="L2467" s="120">
        <f t="shared" si="963"/>
        <v>0</v>
      </c>
      <c r="M2467" s="246">
        <f t="shared" si="964"/>
        <v>0</v>
      </c>
      <c r="N2467" s="121">
        <f t="shared" si="965"/>
        <v>1</v>
      </c>
      <c r="O2467" s="246">
        <f t="shared" si="966"/>
        <v>0.8987308533916849</v>
      </c>
      <c r="P2467" s="121">
        <f t="shared" si="967"/>
        <v>1</v>
      </c>
      <c r="Q2467" s="121">
        <f t="shared" si="968"/>
        <v>0</v>
      </c>
      <c r="R2467" s="121">
        <f t="shared" si="969"/>
        <v>0</v>
      </c>
      <c r="S2467" s="121" t="str">
        <f t="shared" si="970"/>
        <v/>
      </c>
      <c r="T2467" s="121" t="str">
        <f t="shared" si="971"/>
        <v/>
      </c>
      <c r="U2467" s="121">
        <f t="shared" si="972"/>
        <v>1</v>
      </c>
    </row>
    <row r="2468" spans="1:21" x14ac:dyDescent="0.3">
      <c r="A2468" s="187">
        <v>14</v>
      </c>
      <c r="B2468" s="242">
        <f t="shared" si="973"/>
        <v>46054</v>
      </c>
      <c r="C2468" s="243">
        <f t="shared" si="954"/>
        <v>46081</v>
      </c>
      <c r="D2468" s="120">
        <f t="shared" si="955"/>
        <v>28</v>
      </c>
      <c r="E2468" s="120">
        <f t="shared" si="956"/>
        <v>2</v>
      </c>
      <c r="F2468" s="275">
        <f t="shared" si="957"/>
        <v>46068</v>
      </c>
      <c r="G2468" s="120">
        <f t="shared" si="958"/>
        <v>24313</v>
      </c>
      <c r="H2468" s="245">
        <f t="shared" si="959"/>
        <v>1</v>
      </c>
      <c r="I2468" s="121">
        <f t="shared" si="960"/>
        <v>1</v>
      </c>
      <c r="J2468" s="121">
        <f t="shared" si="961"/>
        <v>1</v>
      </c>
      <c r="K2468" s="120">
        <f t="shared" si="962"/>
        <v>0</v>
      </c>
      <c r="L2468" s="120">
        <f t="shared" si="963"/>
        <v>0</v>
      </c>
      <c r="M2468" s="246">
        <f t="shared" si="964"/>
        <v>0</v>
      </c>
      <c r="N2468" s="121">
        <f t="shared" si="965"/>
        <v>1</v>
      </c>
      <c r="O2468" s="246">
        <f t="shared" si="966"/>
        <v>0.90002188183807441</v>
      </c>
      <c r="P2468" s="121">
        <f t="shared" si="967"/>
        <v>1</v>
      </c>
      <c r="Q2468" s="121">
        <f t="shared" si="968"/>
        <v>0</v>
      </c>
      <c r="R2468" s="121">
        <f t="shared" si="969"/>
        <v>0</v>
      </c>
      <c r="S2468" s="121" t="str">
        <f t="shared" si="970"/>
        <v/>
      </c>
      <c r="T2468" s="121" t="str">
        <f t="shared" si="971"/>
        <v/>
      </c>
      <c r="U2468" s="121">
        <f t="shared" si="972"/>
        <v>1</v>
      </c>
    </row>
    <row r="2469" spans="1:21" x14ac:dyDescent="0.3">
      <c r="A2469" s="187">
        <v>15</v>
      </c>
      <c r="B2469" s="242">
        <f t="shared" si="973"/>
        <v>46082</v>
      </c>
      <c r="C2469" s="243">
        <f t="shared" si="954"/>
        <v>46112</v>
      </c>
      <c r="D2469" s="120">
        <f t="shared" si="955"/>
        <v>31</v>
      </c>
      <c r="E2469" s="120">
        <f t="shared" si="956"/>
        <v>3</v>
      </c>
      <c r="F2469" s="275">
        <f t="shared" si="957"/>
        <v>46097.5</v>
      </c>
      <c r="G2469" s="120">
        <f t="shared" si="958"/>
        <v>24314</v>
      </c>
      <c r="H2469" s="245">
        <f t="shared" si="959"/>
        <v>1</v>
      </c>
      <c r="I2469" s="121">
        <f t="shared" si="960"/>
        <v>1</v>
      </c>
      <c r="J2469" s="121">
        <f t="shared" si="961"/>
        <v>1</v>
      </c>
      <c r="K2469" s="120">
        <f t="shared" si="962"/>
        <v>0</v>
      </c>
      <c r="L2469" s="120">
        <f t="shared" si="963"/>
        <v>0</v>
      </c>
      <c r="M2469" s="246">
        <f t="shared" si="964"/>
        <v>0</v>
      </c>
      <c r="N2469" s="121">
        <f t="shared" si="965"/>
        <v>1</v>
      </c>
      <c r="O2469" s="246">
        <f t="shared" si="966"/>
        <v>0.90131291028446392</v>
      </c>
      <c r="P2469" s="121">
        <f t="shared" si="967"/>
        <v>1</v>
      </c>
      <c r="Q2469" s="121">
        <f t="shared" si="968"/>
        <v>0</v>
      </c>
      <c r="R2469" s="121">
        <f t="shared" si="969"/>
        <v>0</v>
      </c>
      <c r="S2469" s="121" t="str">
        <f t="shared" si="970"/>
        <v/>
      </c>
      <c r="T2469" s="121" t="str">
        <f t="shared" si="971"/>
        <v/>
      </c>
      <c r="U2469" s="121">
        <f t="shared" si="972"/>
        <v>1</v>
      </c>
    </row>
    <row r="2470" spans="1:21" x14ac:dyDescent="0.3">
      <c r="A2470" s="187">
        <v>16</v>
      </c>
      <c r="B2470" s="242">
        <f t="shared" si="973"/>
        <v>46113</v>
      </c>
      <c r="C2470" s="243">
        <f t="shared" si="954"/>
        <v>46142</v>
      </c>
      <c r="D2470" s="120">
        <f t="shared" si="955"/>
        <v>30</v>
      </c>
      <c r="E2470" s="120">
        <f t="shared" si="956"/>
        <v>4</v>
      </c>
      <c r="F2470" s="275">
        <f t="shared" si="957"/>
        <v>46128</v>
      </c>
      <c r="G2470" s="120">
        <f t="shared" si="958"/>
        <v>24315</v>
      </c>
      <c r="H2470" s="245">
        <f t="shared" si="959"/>
        <v>1</v>
      </c>
      <c r="I2470" s="121">
        <f t="shared" si="960"/>
        <v>1</v>
      </c>
      <c r="J2470" s="121">
        <f t="shared" si="961"/>
        <v>1</v>
      </c>
      <c r="K2470" s="120">
        <f t="shared" si="962"/>
        <v>0</v>
      </c>
      <c r="L2470" s="120">
        <f t="shared" si="963"/>
        <v>0</v>
      </c>
      <c r="M2470" s="246">
        <f t="shared" si="964"/>
        <v>0</v>
      </c>
      <c r="N2470" s="121">
        <f t="shared" si="965"/>
        <v>1</v>
      </c>
      <c r="O2470" s="246">
        <f t="shared" si="966"/>
        <v>0.90264770240700221</v>
      </c>
      <c r="P2470" s="121">
        <f t="shared" si="967"/>
        <v>1</v>
      </c>
      <c r="Q2470" s="121">
        <f t="shared" si="968"/>
        <v>0</v>
      </c>
      <c r="R2470" s="121">
        <f t="shared" si="969"/>
        <v>0</v>
      </c>
      <c r="S2470" s="121" t="str">
        <f t="shared" si="970"/>
        <v/>
      </c>
      <c r="T2470" s="121" t="str">
        <f t="shared" si="971"/>
        <v/>
      </c>
      <c r="U2470" s="121">
        <f t="shared" si="972"/>
        <v>1</v>
      </c>
    </row>
    <row r="2471" spans="1:21" x14ac:dyDescent="0.3">
      <c r="A2471" s="187">
        <v>17</v>
      </c>
      <c r="B2471" s="242">
        <f t="shared" si="973"/>
        <v>46143</v>
      </c>
      <c r="C2471" s="243">
        <f t="shared" si="954"/>
        <v>46173</v>
      </c>
      <c r="D2471" s="120">
        <f t="shared" si="955"/>
        <v>31</v>
      </c>
      <c r="E2471" s="120">
        <f t="shared" si="956"/>
        <v>5</v>
      </c>
      <c r="F2471" s="275">
        <f t="shared" si="957"/>
        <v>46158.5</v>
      </c>
      <c r="G2471" s="120">
        <f t="shared" si="958"/>
        <v>24316</v>
      </c>
      <c r="H2471" s="245">
        <f t="shared" si="959"/>
        <v>1</v>
      </c>
      <c r="I2471" s="121">
        <f t="shared" si="960"/>
        <v>1</v>
      </c>
      <c r="J2471" s="121">
        <f t="shared" si="961"/>
        <v>1</v>
      </c>
      <c r="K2471" s="120">
        <f t="shared" si="962"/>
        <v>0</v>
      </c>
      <c r="L2471" s="120">
        <f t="shared" si="963"/>
        <v>0</v>
      </c>
      <c r="M2471" s="246">
        <f t="shared" si="964"/>
        <v>0</v>
      </c>
      <c r="N2471" s="121">
        <f t="shared" si="965"/>
        <v>1</v>
      </c>
      <c r="O2471" s="246">
        <f t="shared" si="966"/>
        <v>0.90398249452954049</v>
      </c>
      <c r="P2471" s="121">
        <f t="shared" si="967"/>
        <v>1</v>
      </c>
      <c r="Q2471" s="121">
        <f t="shared" si="968"/>
        <v>0</v>
      </c>
      <c r="R2471" s="121">
        <f t="shared" si="969"/>
        <v>0</v>
      </c>
      <c r="S2471" s="121" t="str">
        <f t="shared" si="970"/>
        <v/>
      </c>
      <c r="T2471" s="121" t="str">
        <f t="shared" si="971"/>
        <v/>
      </c>
      <c r="U2471" s="121">
        <f t="shared" si="972"/>
        <v>1</v>
      </c>
    </row>
    <row r="2472" spans="1:21" x14ac:dyDescent="0.3">
      <c r="A2472" s="187">
        <v>18</v>
      </c>
      <c r="B2472" s="242">
        <f t="shared" si="973"/>
        <v>46174</v>
      </c>
      <c r="C2472" s="243">
        <f t="shared" si="954"/>
        <v>46203</v>
      </c>
      <c r="D2472" s="120">
        <f t="shared" si="955"/>
        <v>30</v>
      </c>
      <c r="E2472" s="120">
        <f t="shared" si="956"/>
        <v>6</v>
      </c>
      <c r="F2472" s="275">
        <f t="shared" si="957"/>
        <v>46189</v>
      </c>
      <c r="G2472" s="120">
        <f t="shared" si="958"/>
        <v>24317</v>
      </c>
      <c r="H2472" s="245">
        <f t="shared" si="959"/>
        <v>1</v>
      </c>
      <c r="I2472" s="121">
        <f t="shared" si="960"/>
        <v>1</v>
      </c>
      <c r="J2472" s="121">
        <f t="shared" si="961"/>
        <v>1</v>
      </c>
      <c r="K2472" s="120">
        <f t="shared" si="962"/>
        <v>0</v>
      </c>
      <c r="L2472" s="120">
        <f t="shared" si="963"/>
        <v>0</v>
      </c>
      <c r="M2472" s="246">
        <f t="shared" si="964"/>
        <v>0</v>
      </c>
      <c r="N2472" s="121">
        <f t="shared" si="965"/>
        <v>1</v>
      </c>
      <c r="O2472" s="246">
        <f t="shared" si="966"/>
        <v>0.90531728665207878</v>
      </c>
      <c r="P2472" s="121">
        <f t="shared" si="967"/>
        <v>1</v>
      </c>
      <c r="Q2472" s="121">
        <f t="shared" si="968"/>
        <v>0</v>
      </c>
      <c r="R2472" s="121">
        <f t="shared" si="969"/>
        <v>0</v>
      </c>
      <c r="S2472" s="121" t="str">
        <f t="shared" si="970"/>
        <v/>
      </c>
      <c r="T2472" s="121" t="str">
        <f t="shared" si="971"/>
        <v/>
      </c>
      <c r="U2472" s="121">
        <f t="shared" si="972"/>
        <v>1</v>
      </c>
    </row>
    <row r="2473" spans="1:21" x14ac:dyDescent="0.3">
      <c r="A2473" s="187">
        <v>19</v>
      </c>
      <c r="B2473" s="242">
        <f t="shared" si="973"/>
        <v>46204</v>
      </c>
      <c r="C2473" s="243">
        <f t="shared" si="954"/>
        <v>46234</v>
      </c>
      <c r="D2473" s="120">
        <f t="shared" si="955"/>
        <v>31</v>
      </c>
      <c r="E2473" s="120">
        <f t="shared" si="956"/>
        <v>7</v>
      </c>
      <c r="F2473" s="275">
        <f t="shared" si="957"/>
        <v>46219.5</v>
      </c>
      <c r="G2473" s="120">
        <f t="shared" si="958"/>
        <v>24318</v>
      </c>
      <c r="H2473" s="245">
        <f t="shared" si="959"/>
        <v>1</v>
      </c>
      <c r="I2473" s="121">
        <f t="shared" si="960"/>
        <v>1</v>
      </c>
      <c r="J2473" s="121">
        <f t="shared" si="961"/>
        <v>1</v>
      </c>
      <c r="K2473" s="120">
        <f t="shared" si="962"/>
        <v>0</v>
      </c>
      <c r="L2473" s="120">
        <f t="shared" si="963"/>
        <v>0</v>
      </c>
      <c r="M2473" s="246">
        <f t="shared" si="964"/>
        <v>0</v>
      </c>
      <c r="N2473" s="121">
        <f t="shared" si="965"/>
        <v>1</v>
      </c>
      <c r="O2473" s="246">
        <f t="shared" si="966"/>
        <v>0.90665207877461707</v>
      </c>
      <c r="P2473" s="121">
        <f t="shared" si="967"/>
        <v>0.91666666666666663</v>
      </c>
      <c r="Q2473" s="121">
        <f t="shared" si="968"/>
        <v>8.333333333333337E-2</v>
      </c>
      <c r="R2473" s="121">
        <f t="shared" si="969"/>
        <v>0</v>
      </c>
      <c r="S2473" s="121" t="str">
        <f t="shared" si="970"/>
        <v/>
      </c>
      <c r="T2473" s="121" t="str">
        <f t="shared" si="971"/>
        <v/>
      </c>
      <c r="U2473" s="121">
        <f t="shared" si="972"/>
        <v>1</v>
      </c>
    </row>
    <row r="2474" spans="1:21" x14ac:dyDescent="0.3">
      <c r="A2474" s="187">
        <v>20</v>
      </c>
      <c r="B2474" s="242">
        <f t="shared" si="973"/>
        <v>46235</v>
      </c>
      <c r="C2474" s="243">
        <f t="shared" si="954"/>
        <v>46265</v>
      </c>
      <c r="D2474" s="120">
        <f t="shared" si="955"/>
        <v>31</v>
      </c>
      <c r="E2474" s="120">
        <f t="shared" si="956"/>
        <v>8</v>
      </c>
      <c r="F2474" s="275">
        <f t="shared" si="957"/>
        <v>46250.5</v>
      </c>
      <c r="G2474" s="120">
        <f t="shared" si="958"/>
        <v>24319</v>
      </c>
      <c r="H2474" s="245">
        <f t="shared" si="959"/>
        <v>1</v>
      </c>
      <c r="I2474" s="121">
        <f t="shared" si="960"/>
        <v>1</v>
      </c>
      <c r="J2474" s="121">
        <f t="shared" si="961"/>
        <v>1</v>
      </c>
      <c r="K2474" s="120">
        <f t="shared" si="962"/>
        <v>0</v>
      </c>
      <c r="L2474" s="120">
        <f t="shared" si="963"/>
        <v>0</v>
      </c>
      <c r="M2474" s="246">
        <f t="shared" si="964"/>
        <v>0</v>
      </c>
      <c r="N2474" s="121">
        <f t="shared" si="965"/>
        <v>1</v>
      </c>
      <c r="O2474" s="246">
        <f t="shared" si="966"/>
        <v>0.90800875273522974</v>
      </c>
      <c r="P2474" s="121">
        <f t="shared" si="967"/>
        <v>0.75</v>
      </c>
      <c r="Q2474" s="121">
        <f t="shared" si="968"/>
        <v>0.25</v>
      </c>
      <c r="R2474" s="121">
        <f t="shared" si="969"/>
        <v>0</v>
      </c>
      <c r="S2474" s="121" t="str">
        <f t="shared" si="970"/>
        <v/>
      </c>
      <c r="T2474" s="121" t="str">
        <f t="shared" si="971"/>
        <v/>
      </c>
      <c r="U2474" s="121">
        <f t="shared" si="972"/>
        <v>1</v>
      </c>
    </row>
    <row r="2475" spans="1:21" x14ac:dyDescent="0.3">
      <c r="A2475" s="187">
        <v>21</v>
      </c>
      <c r="B2475" s="242">
        <f t="shared" si="973"/>
        <v>46266</v>
      </c>
      <c r="C2475" s="243">
        <f t="shared" si="954"/>
        <v>46295</v>
      </c>
      <c r="D2475" s="120">
        <f t="shared" si="955"/>
        <v>30</v>
      </c>
      <c r="E2475" s="120">
        <f t="shared" si="956"/>
        <v>9</v>
      </c>
      <c r="F2475" s="275">
        <f t="shared" si="957"/>
        <v>46281</v>
      </c>
      <c r="G2475" s="120">
        <f t="shared" si="958"/>
        <v>24320</v>
      </c>
      <c r="H2475" s="245">
        <f t="shared" si="959"/>
        <v>1</v>
      </c>
      <c r="I2475" s="121">
        <f t="shared" si="960"/>
        <v>1</v>
      </c>
      <c r="J2475" s="121">
        <f t="shared" si="961"/>
        <v>1</v>
      </c>
      <c r="K2475" s="120">
        <f t="shared" si="962"/>
        <v>0</v>
      </c>
      <c r="L2475" s="120">
        <f t="shared" si="963"/>
        <v>0</v>
      </c>
      <c r="M2475" s="246">
        <f t="shared" si="964"/>
        <v>0</v>
      </c>
      <c r="N2475" s="121">
        <f t="shared" si="965"/>
        <v>1</v>
      </c>
      <c r="O2475" s="246">
        <f t="shared" si="966"/>
        <v>0.90934354485776803</v>
      </c>
      <c r="P2475" s="121">
        <f t="shared" si="967"/>
        <v>0.58333333333333337</v>
      </c>
      <c r="Q2475" s="121">
        <f t="shared" si="968"/>
        <v>0.41666666666666663</v>
      </c>
      <c r="R2475" s="121">
        <f t="shared" si="969"/>
        <v>0</v>
      </c>
      <c r="S2475" s="121" t="str">
        <f t="shared" si="970"/>
        <v/>
      </c>
      <c r="T2475" s="121" t="str">
        <f t="shared" si="971"/>
        <v/>
      </c>
      <c r="U2475" s="121">
        <f t="shared" si="972"/>
        <v>1</v>
      </c>
    </row>
    <row r="2476" spans="1:21" x14ac:dyDescent="0.3">
      <c r="A2476" s="187">
        <v>22</v>
      </c>
      <c r="B2476" s="242">
        <f t="shared" si="973"/>
        <v>46296</v>
      </c>
      <c r="C2476" s="243">
        <f t="shared" si="954"/>
        <v>46326</v>
      </c>
      <c r="D2476" s="120">
        <f t="shared" si="955"/>
        <v>31</v>
      </c>
      <c r="E2476" s="120">
        <f t="shared" si="956"/>
        <v>10</v>
      </c>
      <c r="F2476" s="275">
        <f t="shared" si="957"/>
        <v>46311.5</v>
      </c>
      <c r="G2476" s="120">
        <f t="shared" si="958"/>
        <v>24321</v>
      </c>
      <c r="H2476" s="245">
        <f t="shared" si="959"/>
        <v>1</v>
      </c>
      <c r="I2476" s="121">
        <f t="shared" si="960"/>
        <v>1</v>
      </c>
      <c r="J2476" s="121">
        <f t="shared" si="961"/>
        <v>1</v>
      </c>
      <c r="K2476" s="120">
        <f t="shared" si="962"/>
        <v>0</v>
      </c>
      <c r="L2476" s="120">
        <f t="shared" si="963"/>
        <v>0</v>
      </c>
      <c r="M2476" s="246">
        <f t="shared" si="964"/>
        <v>0</v>
      </c>
      <c r="N2476" s="121">
        <f t="shared" si="965"/>
        <v>1</v>
      </c>
      <c r="O2476" s="246">
        <f t="shared" si="966"/>
        <v>0.91067833698030642</v>
      </c>
      <c r="P2476" s="121">
        <f t="shared" si="967"/>
        <v>0.41666666666666669</v>
      </c>
      <c r="Q2476" s="121">
        <f t="shared" si="968"/>
        <v>0.58333333333333326</v>
      </c>
      <c r="R2476" s="121">
        <f t="shared" si="969"/>
        <v>0</v>
      </c>
      <c r="S2476" s="121" t="str">
        <f t="shared" si="970"/>
        <v/>
      </c>
      <c r="T2476" s="121" t="str">
        <f t="shared" si="971"/>
        <v/>
      </c>
      <c r="U2476" s="121">
        <f t="shared" si="972"/>
        <v>1</v>
      </c>
    </row>
    <row r="2477" spans="1:21" x14ac:dyDescent="0.3">
      <c r="A2477" s="187">
        <v>23</v>
      </c>
      <c r="B2477" s="242">
        <f t="shared" si="973"/>
        <v>46327</v>
      </c>
      <c r="C2477" s="243">
        <f t="shared" si="954"/>
        <v>46356</v>
      </c>
      <c r="D2477" s="120">
        <f t="shared" si="955"/>
        <v>30</v>
      </c>
      <c r="E2477" s="120">
        <f t="shared" si="956"/>
        <v>11</v>
      </c>
      <c r="F2477" s="275">
        <f t="shared" si="957"/>
        <v>46342</v>
      </c>
      <c r="G2477" s="120">
        <f t="shared" si="958"/>
        <v>24322</v>
      </c>
      <c r="H2477" s="245">
        <f t="shared" si="959"/>
        <v>1</v>
      </c>
      <c r="I2477" s="121">
        <f t="shared" si="960"/>
        <v>1</v>
      </c>
      <c r="J2477" s="121">
        <f t="shared" si="961"/>
        <v>1</v>
      </c>
      <c r="K2477" s="120">
        <f t="shared" si="962"/>
        <v>0</v>
      </c>
      <c r="L2477" s="120">
        <f t="shared" si="963"/>
        <v>0</v>
      </c>
      <c r="M2477" s="246">
        <f t="shared" si="964"/>
        <v>0</v>
      </c>
      <c r="N2477" s="121">
        <f t="shared" si="965"/>
        <v>1</v>
      </c>
      <c r="O2477" s="246">
        <f t="shared" si="966"/>
        <v>0.91201312910284471</v>
      </c>
      <c r="P2477" s="121">
        <f t="shared" si="967"/>
        <v>0.25</v>
      </c>
      <c r="Q2477" s="121">
        <f t="shared" si="968"/>
        <v>0.75</v>
      </c>
      <c r="R2477" s="121">
        <f t="shared" si="969"/>
        <v>0</v>
      </c>
      <c r="S2477" s="121" t="str">
        <f t="shared" si="970"/>
        <v/>
      </c>
      <c r="T2477" s="121" t="str">
        <f t="shared" si="971"/>
        <v/>
      </c>
      <c r="U2477" s="121">
        <f t="shared" si="972"/>
        <v>1</v>
      </c>
    </row>
    <row r="2478" spans="1:21" x14ac:dyDescent="0.3">
      <c r="A2478" s="187">
        <v>24</v>
      </c>
      <c r="B2478" s="242">
        <f t="shared" si="973"/>
        <v>46357</v>
      </c>
      <c r="C2478" s="243">
        <f t="shared" si="954"/>
        <v>46387</v>
      </c>
      <c r="D2478" s="120">
        <f t="shared" si="955"/>
        <v>31</v>
      </c>
      <c r="E2478" s="120">
        <f t="shared" si="956"/>
        <v>12</v>
      </c>
      <c r="F2478" s="275">
        <f t="shared" si="957"/>
        <v>46372.5</v>
      </c>
      <c r="G2478" s="120">
        <f t="shared" si="958"/>
        <v>24323</v>
      </c>
      <c r="H2478" s="245">
        <f t="shared" si="959"/>
        <v>1</v>
      </c>
      <c r="I2478" s="121">
        <f t="shared" si="960"/>
        <v>1</v>
      </c>
      <c r="J2478" s="121">
        <f t="shared" si="961"/>
        <v>1</v>
      </c>
      <c r="K2478" s="120">
        <f t="shared" si="962"/>
        <v>0</v>
      </c>
      <c r="L2478" s="120">
        <f t="shared" si="963"/>
        <v>0</v>
      </c>
      <c r="M2478" s="246">
        <f t="shared" si="964"/>
        <v>0</v>
      </c>
      <c r="N2478" s="121">
        <f t="shared" si="965"/>
        <v>1</v>
      </c>
      <c r="O2478" s="246">
        <f t="shared" si="966"/>
        <v>0.913347921225383</v>
      </c>
      <c r="P2478" s="121">
        <f t="shared" si="967"/>
        <v>8.3333333333333329E-2</v>
      </c>
      <c r="Q2478" s="121">
        <f t="shared" si="968"/>
        <v>0.91666666666666663</v>
      </c>
      <c r="R2478" s="121">
        <f t="shared" si="969"/>
        <v>0</v>
      </c>
      <c r="S2478" s="121" t="str">
        <f t="shared" si="970"/>
        <v/>
      </c>
      <c r="T2478" s="121" t="str">
        <f t="shared" si="971"/>
        <v/>
      </c>
      <c r="U2478" s="121">
        <f t="shared" si="972"/>
        <v>1</v>
      </c>
    </row>
    <row r="2479" spans="1:21" x14ac:dyDescent="0.3">
      <c r="A2479" s="187">
        <v>25</v>
      </c>
      <c r="B2479" s="242">
        <f t="shared" si="973"/>
        <v>46388</v>
      </c>
      <c r="C2479" s="243">
        <f t="shared" si="954"/>
        <v>46418</v>
      </c>
      <c r="D2479" s="120">
        <f t="shared" si="955"/>
        <v>31</v>
      </c>
      <c r="E2479" s="120">
        <f t="shared" si="956"/>
        <v>1</v>
      </c>
      <c r="F2479" s="275">
        <f t="shared" si="957"/>
        <v>46403.5</v>
      </c>
      <c r="G2479" s="120">
        <f t="shared" si="958"/>
        <v>24324</v>
      </c>
      <c r="H2479" s="245">
        <f t="shared" si="959"/>
        <v>1</v>
      </c>
      <c r="I2479" s="121">
        <f t="shared" si="960"/>
        <v>1</v>
      </c>
      <c r="J2479" s="121">
        <f t="shared" si="961"/>
        <v>1</v>
      </c>
      <c r="K2479" s="120">
        <f t="shared" si="962"/>
        <v>0</v>
      </c>
      <c r="L2479" s="120">
        <f t="shared" si="963"/>
        <v>0</v>
      </c>
      <c r="M2479" s="246">
        <f t="shared" si="964"/>
        <v>0</v>
      </c>
      <c r="N2479" s="121">
        <f t="shared" si="965"/>
        <v>1</v>
      </c>
      <c r="O2479" s="246">
        <f t="shared" si="966"/>
        <v>0.91470459518599567</v>
      </c>
      <c r="P2479" s="121">
        <f t="shared" si="967"/>
        <v>0</v>
      </c>
      <c r="Q2479" s="121">
        <f t="shared" si="968"/>
        <v>1</v>
      </c>
      <c r="R2479" s="121">
        <f t="shared" si="969"/>
        <v>0</v>
      </c>
      <c r="S2479" s="121" t="str">
        <f t="shared" si="970"/>
        <v/>
      </c>
      <c r="T2479" s="121" t="str">
        <f t="shared" si="971"/>
        <v/>
      </c>
      <c r="U2479" s="121">
        <f t="shared" si="972"/>
        <v>1</v>
      </c>
    </row>
    <row r="2480" spans="1:21" x14ac:dyDescent="0.3">
      <c r="A2480" s="187">
        <v>26</v>
      </c>
      <c r="B2480" s="242">
        <f t="shared" si="973"/>
        <v>46419</v>
      </c>
      <c r="C2480" s="243">
        <f t="shared" si="954"/>
        <v>46446</v>
      </c>
      <c r="D2480" s="120">
        <f t="shared" si="955"/>
        <v>28</v>
      </c>
      <c r="E2480" s="120">
        <f t="shared" si="956"/>
        <v>2</v>
      </c>
      <c r="F2480" s="275">
        <f t="shared" si="957"/>
        <v>46433</v>
      </c>
      <c r="G2480" s="120">
        <f t="shared" si="958"/>
        <v>24325</v>
      </c>
      <c r="H2480" s="245">
        <f t="shared" si="959"/>
        <v>1</v>
      </c>
      <c r="I2480" s="121">
        <f t="shared" si="960"/>
        <v>1</v>
      </c>
      <c r="J2480" s="121">
        <f t="shared" si="961"/>
        <v>1</v>
      </c>
      <c r="K2480" s="120">
        <f t="shared" si="962"/>
        <v>0</v>
      </c>
      <c r="L2480" s="120">
        <f t="shared" si="963"/>
        <v>0</v>
      </c>
      <c r="M2480" s="246">
        <f t="shared" si="964"/>
        <v>0</v>
      </c>
      <c r="N2480" s="121">
        <f t="shared" si="965"/>
        <v>1</v>
      </c>
      <c r="O2480" s="246">
        <f t="shared" si="966"/>
        <v>0.91599562363238518</v>
      </c>
      <c r="P2480" s="121">
        <f t="shared" si="967"/>
        <v>0</v>
      </c>
      <c r="Q2480" s="121">
        <f t="shared" si="968"/>
        <v>1</v>
      </c>
      <c r="R2480" s="121">
        <f t="shared" si="969"/>
        <v>0</v>
      </c>
      <c r="S2480" s="121" t="str">
        <f t="shared" si="970"/>
        <v/>
      </c>
      <c r="T2480" s="121" t="str">
        <f t="shared" si="971"/>
        <v/>
      </c>
      <c r="U2480" s="121">
        <f t="shared" si="972"/>
        <v>1</v>
      </c>
    </row>
    <row r="2481" spans="1:21" x14ac:dyDescent="0.3">
      <c r="A2481" s="187">
        <v>27</v>
      </c>
      <c r="B2481" s="242">
        <f t="shared" si="973"/>
        <v>46447</v>
      </c>
      <c r="C2481" s="243">
        <f t="shared" si="954"/>
        <v>46477</v>
      </c>
      <c r="D2481" s="120">
        <f t="shared" si="955"/>
        <v>31</v>
      </c>
      <c r="E2481" s="120">
        <f t="shared" si="956"/>
        <v>3</v>
      </c>
      <c r="F2481" s="275">
        <f t="shared" si="957"/>
        <v>46462.5</v>
      </c>
      <c r="G2481" s="120">
        <f t="shared" si="958"/>
        <v>24326</v>
      </c>
      <c r="H2481" s="245">
        <f t="shared" si="959"/>
        <v>1</v>
      </c>
      <c r="I2481" s="121">
        <f t="shared" si="960"/>
        <v>1</v>
      </c>
      <c r="J2481" s="121">
        <f t="shared" si="961"/>
        <v>1</v>
      </c>
      <c r="K2481" s="120">
        <f t="shared" si="962"/>
        <v>0</v>
      </c>
      <c r="L2481" s="120">
        <f t="shared" si="963"/>
        <v>0</v>
      </c>
      <c r="M2481" s="246">
        <f t="shared" si="964"/>
        <v>0</v>
      </c>
      <c r="N2481" s="121">
        <f t="shared" si="965"/>
        <v>1</v>
      </c>
      <c r="O2481" s="246">
        <f t="shared" si="966"/>
        <v>0.91728665207877469</v>
      </c>
      <c r="P2481" s="121">
        <f t="shared" si="967"/>
        <v>0</v>
      </c>
      <c r="Q2481" s="121">
        <f t="shared" si="968"/>
        <v>1</v>
      </c>
      <c r="R2481" s="121">
        <f t="shared" si="969"/>
        <v>0</v>
      </c>
      <c r="S2481" s="121" t="str">
        <f t="shared" si="970"/>
        <v/>
      </c>
      <c r="T2481" s="121" t="str">
        <f t="shared" si="971"/>
        <v/>
      </c>
      <c r="U2481" s="121">
        <f t="shared" si="972"/>
        <v>1</v>
      </c>
    </row>
    <row r="2482" spans="1:21" x14ac:dyDescent="0.3">
      <c r="A2482" s="187">
        <v>28</v>
      </c>
      <c r="B2482" s="242">
        <f t="shared" si="973"/>
        <v>46478</v>
      </c>
      <c r="C2482" s="243">
        <f t="shared" si="954"/>
        <v>46507</v>
      </c>
      <c r="D2482" s="120">
        <f t="shared" si="955"/>
        <v>30</v>
      </c>
      <c r="E2482" s="120">
        <f t="shared" si="956"/>
        <v>4</v>
      </c>
      <c r="F2482" s="275">
        <f t="shared" si="957"/>
        <v>46493</v>
      </c>
      <c r="G2482" s="120">
        <f t="shared" si="958"/>
        <v>24327</v>
      </c>
      <c r="H2482" s="245">
        <f t="shared" si="959"/>
        <v>1</v>
      </c>
      <c r="I2482" s="121">
        <f t="shared" si="960"/>
        <v>1</v>
      </c>
      <c r="J2482" s="121">
        <f t="shared" si="961"/>
        <v>1</v>
      </c>
      <c r="K2482" s="120">
        <f t="shared" si="962"/>
        <v>0</v>
      </c>
      <c r="L2482" s="120">
        <f t="shared" si="963"/>
        <v>0</v>
      </c>
      <c r="M2482" s="246">
        <f t="shared" si="964"/>
        <v>0</v>
      </c>
      <c r="N2482" s="121">
        <f t="shared" si="965"/>
        <v>1</v>
      </c>
      <c r="O2482" s="246">
        <f t="shared" si="966"/>
        <v>0.91862144420131298</v>
      </c>
      <c r="P2482" s="121">
        <f t="shared" si="967"/>
        <v>0</v>
      </c>
      <c r="Q2482" s="121">
        <f t="shared" si="968"/>
        <v>1</v>
      </c>
      <c r="R2482" s="121">
        <f t="shared" si="969"/>
        <v>0</v>
      </c>
      <c r="S2482" s="121" t="str">
        <f t="shared" si="970"/>
        <v/>
      </c>
      <c r="T2482" s="121" t="str">
        <f t="shared" si="971"/>
        <v/>
      </c>
      <c r="U2482" s="121">
        <f t="shared" si="972"/>
        <v>1</v>
      </c>
    </row>
    <row r="2483" spans="1:21" x14ac:dyDescent="0.3">
      <c r="A2483" s="187">
        <v>29</v>
      </c>
      <c r="B2483" s="242">
        <f t="shared" si="973"/>
        <v>46508</v>
      </c>
      <c r="C2483" s="243">
        <f t="shared" si="954"/>
        <v>46538</v>
      </c>
      <c r="D2483" s="120">
        <f t="shared" si="955"/>
        <v>31</v>
      </c>
      <c r="E2483" s="120">
        <f t="shared" si="956"/>
        <v>5</v>
      </c>
      <c r="F2483" s="275">
        <f t="shared" si="957"/>
        <v>46523.5</v>
      </c>
      <c r="G2483" s="120">
        <f t="shared" si="958"/>
        <v>24328</v>
      </c>
      <c r="H2483" s="245">
        <f t="shared" si="959"/>
        <v>1</v>
      </c>
      <c r="I2483" s="121">
        <f t="shared" si="960"/>
        <v>1</v>
      </c>
      <c r="J2483" s="121">
        <f t="shared" si="961"/>
        <v>1</v>
      </c>
      <c r="K2483" s="120">
        <f t="shared" si="962"/>
        <v>0</v>
      </c>
      <c r="L2483" s="120">
        <f t="shared" si="963"/>
        <v>0</v>
      </c>
      <c r="M2483" s="246">
        <f t="shared" si="964"/>
        <v>0</v>
      </c>
      <c r="N2483" s="121">
        <f t="shared" si="965"/>
        <v>1</v>
      </c>
      <c r="O2483" s="246">
        <f t="shared" si="966"/>
        <v>0.91995623632385126</v>
      </c>
      <c r="P2483" s="121">
        <f t="shared" si="967"/>
        <v>0</v>
      </c>
      <c r="Q2483" s="121">
        <f t="shared" si="968"/>
        <v>1</v>
      </c>
      <c r="R2483" s="121">
        <f t="shared" si="969"/>
        <v>0</v>
      </c>
      <c r="S2483" s="121" t="str">
        <f t="shared" si="970"/>
        <v/>
      </c>
      <c r="T2483" s="121" t="str">
        <f t="shared" si="971"/>
        <v/>
      </c>
      <c r="U2483" s="121">
        <f t="shared" si="972"/>
        <v>1</v>
      </c>
    </row>
    <row r="2484" spans="1:21" x14ac:dyDescent="0.3">
      <c r="A2484" s="187">
        <v>30</v>
      </c>
      <c r="B2484" s="242">
        <f t="shared" si="973"/>
        <v>46539</v>
      </c>
      <c r="C2484" s="243">
        <f t="shared" si="954"/>
        <v>46568</v>
      </c>
      <c r="D2484" s="120">
        <f t="shared" si="955"/>
        <v>30</v>
      </c>
      <c r="E2484" s="120">
        <f t="shared" si="956"/>
        <v>6</v>
      </c>
      <c r="F2484" s="275">
        <f t="shared" si="957"/>
        <v>46554</v>
      </c>
      <c r="G2484" s="120">
        <f t="shared" si="958"/>
        <v>24329</v>
      </c>
      <c r="H2484" s="245">
        <f t="shared" si="959"/>
        <v>1</v>
      </c>
      <c r="I2484" s="121">
        <f t="shared" si="960"/>
        <v>1</v>
      </c>
      <c r="J2484" s="121">
        <f t="shared" si="961"/>
        <v>1</v>
      </c>
      <c r="K2484" s="120">
        <f t="shared" si="962"/>
        <v>0</v>
      </c>
      <c r="L2484" s="120">
        <f t="shared" si="963"/>
        <v>0</v>
      </c>
      <c r="M2484" s="246">
        <f t="shared" si="964"/>
        <v>0</v>
      </c>
      <c r="N2484" s="121">
        <f t="shared" si="965"/>
        <v>1</v>
      </c>
      <c r="O2484" s="246">
        <f t="shared" si="966"/>
        <v>0.92129102844638955</v>
      </c>
      <c r="P2484" s="121">
        <f t="shared" si="967"/>
        <v>0</v>
      </c>
      <c r="Q2484" s="121">
        <f t="shared" si="968"/>
        <v>1</v>
      </c>
      <c r="R2484" s="121">
        <f t="shared" si="969"/>
        <v>0</v>
      </c>
      <c r="S2484" s="121" t="str">
        <f t="shared" si="970"/>
        <v/>
      </c>
      <c r="T2484" s="121" t="str">
        <f t="shared" si="971"/>
        <v/>
      </c>
      <c r="U2484" s="121">
        <f t="shared" si="972"/>
        <v>1</v>
      </c>
    </row>
    <row r="2485" spans="1:21" x14ac:dyDescent="0.3">
      <c r="A2485" s="187">
        <v>31</v>
      </c>
      <c r="B2485" s="242">
        <f t="shared" si="973"/>
        <v>46569</v>
      </c>
      <c r="C2485" s="243">
        <f t="shared" si="954"/>
        <v>46599</v>
      </c>
      <c r="D2485" s="120">
        <f t="shared" si="955"/>
        <v>31</v>
      </c>
      <c r="E2485" s="120">
        <f t="shared" si="956"/>
        <v>7</v>
      </c>
      <c r="F2485" s="275">
        <f t="shared" si="957"/>
        <v>46584.5</v>
      </c>
      <c r="G2485" s="120">
        <f t="shared" si="958"/>
        <v>24330</v>
      </c>
      <c r="H2485" s="245">
        <f t="shared" si="959"/>
        <v>1</v>
      </c>
      <c r="I2485" s="121">
        <f t="shared" si="960"/>
        <v>1</v>
      </c>
      <c r="J2485" s="121">
        <f t="shared" si="961"/>
        <v>1</v>
      </c>
      <c r="K2485" s="120">
        <f t="shared" si="962"/>
        <v>0</v>
      </c>
      <c r="L2485" s="120">
        <f t="shared" si="963"/>
        <v>0</v>
      </c>
      <c r="M2485" s="246">
        <f t="shared" si="964"/>
        <v>0</v>
      </c>
      <c r="N2485" s="121">
        <f t="shared" si="965"/>
        <v>1</v>
      </c>
      <c r="O2485" s="246">
        <f t="shared" si="966"/>
        <v>0.92262582056892783</v>
      </c>
      <c r="P2485" s="121">
        <f t="shared" si="967"/>
        <v>0</v>
      </c>
      <c r="Q2485" s="121">
        <f t="shared" si="968"/>
        <v>0.91666666666666663</v>
      </c>
      <c r="R2485" s="121">
        <f t="shared" si="969"/>
        <v>8.333333333333337E-2</v>
      </c>
      <c r="S2485" s="121" t="str">
        <f t="shared" si="970"/>
        <v/>
      </c>
      <c r="T2485" s="121" t="str">
        <f t="shared" si="971"/>
        <v/>
      </c>
      <c r="U2485" s="121">
        <f t="shared" si="972"/>
        <v>1</v>
      </c>
    </row>
    <row r="2486" spans="1:21" x14ac:dyDescent="0.3">
      <c r="A2486" s="187">
        <v>32</v>
      </c>
      <c r="B2486" s="242">
        <f t="shared" si="973"/>
        <v>46600</v>
      </c>
      <c r="C2486" s="243">
        <f t="shared" si="954"/>
        <v>46630</v>
      </c>
      <c r="D2486" s="120">
        <f t="shared" si="955"/>
        <v>31</v>
      </c>
      <c r="E2486" s="120">
        <f t="shared" si="956"/>
        <v>8</v>
      </c>
      <c r="F2486" s="275">
        <f t="shared" si="957"/>
        <v>46615.5</v>
      </c>
      <c r="G2486" s="120">
        <f t="shared" si="958"/>
        <v>24331</v>
      </c>
      <c r="H2486" s="245">
        <f t="shared" si="959"/>
        <v>1</v>
      </c>
      <c r="I2486" s="121">
        <f t="shared" si="960"/>
        <v>1</v>
      </c>
      <c r="J2486" s="121">
        <f t="shared" si="961"/>
        <v>1</v>
      </c>
      <c r="K2486" s="120">
        <f t="shared" si="962"/>
        <v>0</v>
      </c>
      <c r="L2486" s="120">
        <f t="shared" si="963"/>
        <v>0</v>
      </c>
      <c r="M2486" s="246">
        <f t="shared" si="964"/>
        <v>0</v>
      </c>
      <c r="N2486" s="121">
        <f t="shared" si="965"/>
        <v>1</v>
      </c>
      <c r="O2486" s="246">
        <f t="shared" si="966"/>
        <v>0.92398249452954051</v>
      </c>
      <c r="P2486" s="121">
        <f t="shared" si="967"/>
        <v>0</v>
      </c>
      <c r="Q2486" s="121">
        <f t="shared" si="968"/>
        <v>0.75</v>
      </c>
      <c r="R2486" s="121">
        <f t="shared" si="969"/>
        <v>0.25</v>
      </c>
      <c r="S2486" s="121" t="str">
        <f t="shared" si="970"/>
        <v/>
      </c>
      <c r="T2486" s="121" t="str">
        <f t="shared" si="971"/>
        <v/>
      </c>
      <c r="U2486" s="121">
        <f t="shared" si="972"/>
        <v>1</v>
      </c>
    </row>
    <row r="2487" spans="1:21" x14ac:dyDescent="0.3">
      <c r="A2487" s="187">
        <v>33</v>
      </c>
      <c r="B2487" s="242">
        <f t="shared" si="973"/>
        <v>46631</v>
      </c>
      <c r="C2487" s="243">
        <f t="shared" si="954"/>
        <v>46660</v>
      </c>
      <c r="D2487" s="120">
        <f t="shared" si="955"/>
        <v>30</v>
      </c>
      <c r="E2487" s="120">
        <f t="shared" si="956"/>
        <v>9</v>
      </c>
      <c r="F2487" s="275">
        <f t="shared" si="957"/>
        <v>46646</v>
      </c>
      <c r="G2487" s="120">
        <f t="shared" si="958"/>
        <v>24332</v>
      </c>
      <c r="H2487" s="245">
        <f t="shared" si="959"/>
        <v>1</v>
      </c>
      <c r="I2487" s="121">
        <f t="shared" si="960"/>
        <v>1</v>
      </c>
      <c r="J2487" s="121">
        <f t="shared" si="961"/>
        <v>1</v>
      </c>
      <c r="K2487" s="120">
        <f t="shared" si="962"/>
        <v>0</v>
      </c>
      <c r="L2487" s="120">
        <f t="shared" si="963"/>
        <v>0</v>
      </c>
      <c r="M2487" s="246">
        <f t="shared" si="964"/>
        <v>0</v>
      </c>
      <c r="N2487" s="121">
        <f t="shared" si="965"/>
        <v>1</v>
      </c>
      <c r="O2487" s="246">
        <f t="shared" si="966"/>
        <v>0.9253172866520788</v>
      </c>
      <c r="P2487" s="121">
        <f t="shared" si="967"/>
        <v>0</v>
      </c>
      <c r="Q2487" s="121">
        <f t="shared" si="968"/>
        <v>0.58333333333333337</v>
      </c>
      <c r="R2487" s="121">
        <f t="shared" si="969"/>
        <v>0.41666666666666663</v>
      </c>
      <c r="S2487" s="121" t="str">
        <f t="shared" si="970"/>
        <v/>
      </c>
      <c r="T2487" s="121" t="str">
        <f t="shared" si="971"/>
        <v/>
      </c>
      <c r="U2487" s="121">
        <f t="shared" si="972"/>
        <v>1</v>
      </c>
    </row>
    <row r="2488" spans="1:21" x14ac:dyDescent="0.3">
      <c r="A2488" s="187">
        <v>34</v>
      </c>
      <c r="B2488" s="242">
        <f t="shared" si="973"/>
        <v>46661</v>
      </c>
      <c r="C2488" s="243">
        <f t="shared" si="954"/>
        <v>46691</v>
      </c>
      <c r="D2488" s="120">
        <f t="shared" si="955"/>
        <v>31</v>
      </c>
      <c r="E2488" s="120">
        <f t="shared" si="956"/>
        <v>10</v>
      </c>
      <c r="F2488" s="275">
        <f t="shared" si="957"/>
        <v>46676.5</v>
      </c>
      <c r="G2488" s="120">
        <f t="shared" si="958"/>
        <v>24333</v>
      </c>
      <c r="H2488" s="245">
        <f t="shared" si="959"/>
        <v>1</v>
      </c>
      <c r="I2488" s="121">
        <f t="shared" si="960"/>
        <v>1</v>
      </c>
      <c r="J2488" s="121">
        <f t="shared" si="961"/>
        <v>1</v>
      </c>
      <c r="K2488" s="120">
        <f t="shared" si="962"/>
        <v>0</v>
      </c>
      <c r="L2488" s="120">
        <f t="shared" si="963"/>
        <v>0</v>
      </c>
      <c r="M2488" s="246">
        <f t="shared" si="964"/>
        <v>0</v>
      </c>
      <c r="N2488" s="121">
        <f t="shared" si="965"/>
        <v>1</v>
      </c>
      <c r="O2488" s="246">
        <f t="shared" si="966"/>
        <v>0.92665207877461708</v>
      </c>
      <c r="P2488" s="121">
        <f t="shared" si="967"/>
        <v>0</v>
      </c>
      <c r="Q2488" s="121">
        <f t="shared" si="968"/>
        <v>0.41666666666666669</v>
      </c>
      <c r="R2488" s="121">
        <f t="shared" si="969"/>
        <v>0.58333333333333326</v>
      </c>
      <c r="S2488" s="121" t="str">
        <f t="shared" si="970"/>
        <v/>
      </c>
      <c r="T2488" s="121" t="str">
        <f t="shared" si="971"/>
        <v/>
      </c>
      <c r="U2488" s="121">
        <f t="shared" si="972"/>
        <v>1</v>
      </c>
    </row>
    <row r="2489" spans="1:21" x14ac:dyDescent="0.3">
      <c r="A2489" s="187">
        <v>35</v>
      </c>
      <c r="B2489" s="242">
        <f t="shared" si="973"/>
        <v>46692</v>
      </c>
      <c r="C2489" s="243">
        <f t="shared" si="954"/>
        <v>46721</v>
      </c>
      <c r="D2489" s="120">
        <f t="shared" si="955"/>
        <v>30</v>
      </c>
      <c r="E2489" s="120">
        <f t="shared" si="956"/>
        <v>11</v>
      </c>
      <c r="F2489" s="275">
        <f t="shared" si="957"/>
        <v>46707</v>
      </c>
      <c r="G2489" s="120">
        <f t="shared" si="958"/>
        <v>24334</v>
      </c>
      <c r="H2489" s="245">
        <f t="shared" si="959"/>
        <v>1</v>
      </c>
      <c r="I2489" s="121">
        <f t="shared" si="960"/>
        <v>1</v>
      </c>
      <c r="J2489" s="121">
        <f t="shared" si="961"/>
        <v>1</v>
      </c>
      <c r="K2489" s="120">
        <f t="shared" si="962"/>
        <v>0</v>
      </c>
      <c r="L2489" s="120">
        <f t="shared" si="963"/>
        <v>0</v>
      </c>
      <c r="M2489" s="246">
        <f t="shared" si="964"/>
        <v>0</v>
      </c>
      <c r="N2489" s="121">
        <f t="shared" si="965"/>
        <v>1</v>
      </c>
      <c r="O2489" s="246">
        <f t="shared" si="966"/>
        <v>0.92798687089715537</v>
      </c>
      <c r="P2489" s="121">
        <f t="shared" si="967"/>
        <v>0</v>
      </c>
      <c r="Q2489" s="121">
        <f t="shared" si="968"/>
        <v>0.25</v>
      </c>
      <c r="R2489" s="121">
        <f t="shared" si="969"/>
        <v>0.75</v>
      </c>
      <c r="S2489" s="121" t="str">
        <f t="shared" si="970"/>
        <v/>
      </c>
      <c r="T2489" s="121" t="str">
        <f t="shared" si="971"/>
        <v/>
      </c>
      <c r="U2489" s="121">
        <f t="shared" si="972"/>
        <v>1</v>
      </c>
    </row>
    <row r="2490" spans="1:21" x14ac:dyDescent="0.3">
      <c r="A2490" s="187">
        <v>36</v>
      </c>
      <c r="B2490" s="242">
        <f t="shared" si="973"/>
        <v>46722</v>
      </c>
      <c r="C2490" s="243">
        <f t="shared" si="954"/>
        <v>46752</v>
      </c>
      <c r="D2490" s="120">
        <f t="shared" si="955"/>
        <v>31</v>
      </c>
      <c r="E2490" s="120">
        <f t="shared" si="956"/>
        <v>12</v>
      </c>
      <c r="F2490" s="275">
        <f t="shared" si="957"/>
        <v>46737.5</v>
      </c>
      <c r="G2490" s="120">
        <f t="shared" si="958"/>
        <v>24335</v>
      </c>
      <c r="H2490" s="245">
        <f t="shared" si="959"/>
        <v>1</v>
      </c>
      <c r="I2490" s="121">
        <f t="shared" si="960"/>
        <v>1</v>
      </c>
      <c r="J2490" s="121">
        <f t="shared" si="961"/>
        <v>1</v>
      </c>
      <c r="K2490" s="120">
        <f t="shared" si="962"/>
        <v>0</v>
      </c>
      <c r="L2490" s="120">
        <f t="shared" si="963"/>
        <v>0</v>
      </c>
      <c r="M2490" s="246">
        <f t="shared" si="964"/>
        <v>0</v>
      </c>
      <c r="N2490" s="121">
        <f t="shared" si="965"/>
        <v>1</v>
      </c>
      <c r="O2490" s="246">
        <f t="shared" si="966"/>
        <v>0.92932166301969366</v>
      </c>
      <c r="P2490" s="121">
        <f t="shared" si="967"/>
        <v>0</v>
      </c>
      <c r="Q2490" s="121">
        <f t="shared" si="968"/>
        <v>8.3333333333333329E-2</v>
      </c>
      <c r="R2490" s="121">
        <f t="shared" si="969"/>
        <v>0.91666666666666663</v>
      </c>
      <c r="S2490" s="121" t="str">
        <f t="shared" si="970"/>
        <v/>
      </c>
      <c r="T2490" s="121" t="str">
        <f t="shared" si="971"/>
        <v/>
      </c>
      <c r="U2490" s="121">
        <f t="shared" si="972"/>
        <v>1</v>
      </c>
    </row>
    <row r="2491" spans="1:21" x14ac:dyDescent="0.3">
      <c r="A2491" s="187">
        <v>37</v>
      </c>
      <c r="B2491" s="242">
        <f t="shared" si="973"/>
        <v>46753</v>
      </c>
      <c r="C2491" s="243">
        <f t="shared" si="954"/>
        <v>46783</v>
      </c>
      <c r="D2491" s="120">
        <f t="shared" si="955"/>
        <v>31</v>
      </c>
      <c r="E2491" s="120">
        <f t="shared" si="956"/>
        <v>1</v>
      </c>
      <c r="F2491" s="275">
        <f t="shared" si="957"/>
        <v>46768.5</v>
      </c>
      <c r="G2491" s="120">
        <f t="shared" si="958"/>
        <v>24336</v>
      </c>
      <c r="H2491" s="245">
        <f t="shared" si="959"/>
        <v>1</v>
      </c>
      <c r="I2491" s="121">
        <f t="shared" si="960"/>
        <v>1</v>
      </c>
      <c r="J2491" s="121">
        <f t="shared" si="961"/>
        <v>1</v>
      </c>
      <c r="K2491" s="120">
        <f t="shared" si="962"/>
        <v>0</v>
      </c>
      <c r="L2491" s="120">
        <f t="shared" si="963"/>
        <v>0</v>
      </c>
      <c r="M2491" s="246">
        <f t="shared" si="964"/>
        <v>0</v>
      </c>
      <c r="N2491" s="121">
        <f t="shared" si="965"/>
        <v>1</v>
      </c>
      <c r="O2491" s="246">
        <f t="shared" si="966"/>
        <v>0.93</v>
      </c>
      <c r="P2491" s="121">
        <f t="shared" si="967"/>
        <v>0</v>
      </c>
      <c r="Q2491" s="121">
        <f t="shared" si="968"/>
        <v>0</v>
      </c>
      <c r="R2491" s="121">
        <f t="shared" si="969"/>
        <v>1</v>
      </c>
      <c r="S2491" s="121" t="str">
        <f t="shared" si="970"/>
        <v/>
      </c>
      <c r="T2491" s="121" t="str">
        <f t="shared" si="971"/>
        <v/>
      </c>
      <c r="U2491" s="121">
        <f t="shared" si="972"/>
        <v>1</v>
      </c>
    </row>
    <row r="2492" spans="1:21" x14ac:dyDescent="0.3">
      <c r="A2492" s="187">
        <v>38</v>
      </c>
      <c r="B2492" s="242">
        <f t="shared" si="973"/>
        <v>46784</v>
      </c>
      <c r="C2492" s="243">
        <f t="shared" si="954"/>
        <v>46812</v>
      </c>
      <c r="D2492" s="120">
        <f t="shared" si="955"/>
        <v>29</v>
      </c>
      <c r="E2492" s="120">
        <f t="shared" si="956"/>
        <v>2</v>
      </c>
      <c r="F2492" s="275">
        <f t="shared" si="957"/>
        <v>46798.5</v>
      </c>
      <c r="G2492" s="120">
        <f t="shared" si="958"/>
        <v>24337</v>
      </c>
      <c r="H2492" s="245">
        <f t="shared" si="959"/>
        <v>1</v>
      </c>
      <c r="I2492" s="121">
        <f t="shared" si="960"/>
        <v>1</v>
      </c>
      <c r="J2492" s="121">
        <f t="shared" si="961"/>
        <v>1</v>
      </c>
      <c r="K2492" s="120">
        <f t="shared" si="962"/>
        <v>0</v>
      </c>
      <c r="L2492" s="120">
        <f t="shared" si="963"/>
        <v>0</v>
      </c>
      <c r="M2492" s="246">
        <f t="shared" si="964"/>
        <v>0</v>
      </c>
      <c r="N2492" s="121">
        <f t="shared" si="965"/>
        <v>1</v>
      </c>
      <c r="O2492" s="246">
        <f t="shared" si="966"/>
        <v>0.93</v>
      </c>
      <c r="P2492" s="121">
        <f t="shared" si="967"/>
        <v>0</v>
      </c>
      <c r="Q2492" s="121">
        <f t="shared" si="968"/>
        <v>0</v>
      </c>
      <c r="R2492" s="121">
        <f t="shared" si="969"/>
        <v>1</v>
      </c>
      <c r="S2492" s="121" t="str">
        <f t="shared" si="970"/>
        <v/>
      </c>
      <c r="T2492" s="121" t="str">
        <f t="shared" si="971"/>
        <v/>
      </c>
      <c r="U2492" s="121">
        <f t="shared" si="972"/>
        <v>1</v>
      </c>
    </row>
    <row r="2493" spans="1:21" x14ac:dyDescent="0.3">
      <c r="A2493" s="187">
        <v>39</v>
      </c>
      <c r="B2493" s="242">
        <f t="shared" si="973"/>
        <v>46813</v>
      </c>
      <c r="C2493" s="243">
        <f t="shared" si="954"/>
        <v>46843</v>
      </c>
      <c r="D2493" s="120">
        <f t="shared" si="955"/>
        <v>31</v>
      </c>
      <c r="E2493" s="120">
        <f t="shared" si="956"/>
        <v>3</v>
      </c>
      <c r="F2493" s="275">
        <f t="shared" si="957"/>
        <v>46828.5</v>
      </c>
      <c r="G2493" s="120">
        <f t="shared" si="958"/>
        <v>24338</v>
      </c>
      <c r="H2493" s="245">
        <f t="shared" si="959"/>
        <v>1</v>
      </c>
      <c r="I2493" s="121">
        <f t="shared" si="960"/>
        <v>1</v>
      </c>
      <c r="J2493" s="121">
        <f t="shared" si="961"/>
        <v>1</v>
      </c>
      <c r="K2493" s="120">
        <f t="shared" si="962"/>
        <v>0</v>
      </c>
      <c r="L2493" s="120">
        <f t="shared" si="963"/>
        <v>0</v>
      </c>
      <c r="M2493" s="246">
        <f t="shared" si="964"/>
        <v>0</v>
      </c>
      <c r="N2493" s="121">
        <f t="shared" si="965"/>
        <v>1</v>
      </c>
      <c r="O2493" s="246">
        <f t="shared" si="966"/>
        <v>0.93</v>
      </c>
      <c r="P2493" s="121">
        <f t="shared" si="967"/>
        <v>0</v>
      </c>
      <c r="Q2493" s="121">
        <f t="shared" si="968"/>
        <v>0</v>
      </c>
      <c r="R2493" s="121">
        <f t="shared" si="969"/>
        <v>1</v>
      </c>
      <c r="S2493" s="121" t="str">
        <f t="shared" si="970"/>
        <v/>
      </c>
      <c r="T2493" s="121" t="str">
        <f t="shared" si="971"/>
        <v/>
      </c>
      <c r="U2493" s="121">
        <f t="shared" si="972"/>
        <v>1</v>
      </c>
    </row>
    <row r="2494" spans="1:21" x14ac:dyDescent="0.3">
      <c r="A2494" s="187">
        <v>40</v>
      </c>
      <c r="B2494" s="242">
        <f t="shared" si="973"/>
        <v>46844</v>
      </c>
      <c r="C2494" s="243">
        <f t="shared" si="954"/>
        <v>46873</v>
      </c>
      <c r="D2494" s="120">
        <f t="shared" si="955"/>
        <v>30</v>
      </c>
      <c r="E2494" s="120">
        <f t="shared" si="956"/>
        <v>4</v>
      </c>
      <c r="F2494" s="275">
        <f t="shared" si="957"/>
        <v>46859</v>
      </c>
      <c r="G2494" s="120">
        <f t="shared" si="958"/>
        <v>24339</v>
      </c>
      <c r="H2494" s="245">
        <f t="shared" si="959"/>
        <v>1</v>
      </c>
      <c r="I2494" s="121">
        <f t="shared" si="960"/>
        <v>1</v>
      </c>
      <c r="J2494" s="121">
        <f t="shared" si="961"/>
        <v>1</v>
      </c>
      <c r="K2494" s="120">
        <f t="shared" si="962"/>
        <v>0</v>
      </c>
      <c r="L2494" s="120">
        <f t="shared" si="963"/>
        <v>0</v>
      </c>
      <c r="M2494" s="246">
        <f t="shared" si="964"/>
        <v>0</v>
      </c>
      <c r="N2494" s="121">
        <f t="shared" si="965"/>
        <v>1</v>
      </c>
      <c r="O2494" s="246">
        <f t="shared" si="966"/>
        <v>0.93</v>
      </c>
      <c r="P2494" s="121">
        <f t="shared" si="967"/>
        <v>0</v>
      </c>
      <c r="Q2494" s="121">
        <f t="shared" si="968"/>
        <v>0</v>
      </c>
      <c r="R2494" s="121">
        <f t="shared" si="969"/>
        <v>1</v>
      </c>
      <c r="S2494" s="121" t="str">
        <f t="shared" si="970"/>
        <v/>
      </c>
      <c r="T2494" s="121" t="str">
        <f t="shared" si="971"/>
        <v/>
      </c>
      <c r="U2494" s="121">
        <f t="shared" si="972"/>
        <v>1</v>
      </c>
    </row>
    <row r="2495" spans="1:21" x14ac:dyDescent="0.3">
      <c r="A2495" s="187">
        <v>41</v>
      </c>
      <c r="B2495" s="242">
        <f t="shared" si="973"/>
        <v>46874</v>
      </c>
      <c r="C2495" s="243">
        <f t="shared" si="954"/>
        <v>46904</v>
      </c>
      <c r="D2495" s="120">
        <f t="shared" si="955"/>
        <v>31</v>
      </c>
      <c r="E2495" s="120">
        <f t="shared" si="956"/>
        <v>5</v>
      </c>
      <c r="F2495" s="275">
        <f t="shared" si="957"/>
        <v>46889.5</v>
      </c>
      <c r="G2495" s="120">
        <f t="shared" si="958"/>
        <v>24340</v>
      </c>
      <c r="H2495" s="245">
        <f t="shared" si="959"/>
        <v>1</v>
      </c>
      <c r="I2495" s="121">
        <f t="shared" si="960"/>
        <v>1</v>
      </c>
      <c r="J2495" s="121">
        <f t="shared" si="961"/>
        <v>1</v>
      </c>
      <c r="K2495" s="120">
        <f t="shared" si="962"/>
        <v>0</v>
      </c>
      <c r="L2495" s="120">
        <f t="shared" si="963"/>
        <v>0</v>
      </c>
      <c r="M2495" s="246">
        <f t="shared" si="964"/>
        <v>0</v>
      </c>
      <c r="N2495" s="121">
        <f t="shared" si="965"/>
        <v>1</v>
      </c>
      <c r="O2495" s="246">
        <f t="shared" si="966"/>
        <v>0.93</v>
      </c>
      <c r="P2495" s="121">
        <f t="shared" si="967"/>
        <v>0</v>
      </c>
      <c r="Q2495" s="121">
        <f t="shared" si="968"/>
        <v>0</v>
      </c>
      <c r="R2495" s="121">
        <f t="shared" si="969"/>
        <v>1</v>
      </c>
      <c r="S2495" s="121" t="str">
        <f t="shared" si="970"/>
        <v/>
      </c>
      <c r="T2495" s="121" t="str">
        <f t="shared" si="971"/>
        <v/>
      </c>
      <c r="U2495" s="121">
        <f t="shared" si="972"/>
        <v>1</v>
      </c>
    </row>
    <row r="2496" spans="1:21" x14ac:dyDescent="0.3">
      <c r="A2496" s="187">
        <v>42</v>
      </c>
      <c r="B2496" s="242">
        <f t="shared" si="973"/>
        <v>46905</v>
      </c>
      <c r="C2496" s="243">
        <f t="shared" si="954"/>
        <v>46934</v>
      </c>
      <c r="D2496" s="120">
        <f t="shared" si="955"/>
        <v>30</v>
      </c>
      <c r="E2496" s="120">
        <f t="shared" si="956"/>
        <v>6</v>
      </c>
      <c r="F2496" s="275">
        <f t="shared" si="957"/>
        <v>46920</v>
      </c>
      <c r="G2496" s="120">
        <f t="shared" si="958"/>
        <v>24341</v>
      </c>
      <c r="H2496" s="245">
        <f t="shared" si="959"/>
        <v>1</v>
      </c>
      <c r="I2496" s="121">
        <f t="shared" si="960"/>
        <v>1</v>
      </c>
      <c r="J2496" s="121">
        <f t="shared" si="961"/>
        <v>1</v>
      </c>
      <c r="K2496" s="120">
        <f t="shared" si="962"/>
        <v>0</v>
      </c>
      <c r="L2496" s="120">
        <f t="shared" si="963"/>
        <v>0</v>
      </c>
      <c r="M2496" s="246">
        <f t="shared" si="964"/>
        <v>0</v>
      </c>
      <c r="N2496" s="121">
        <f t="shared" si="965"/>
        <v>1</v>
      </c>
      <c r="O2496" s="246">
        <f t="shared" si="966"/>
        <v>0.93</v>
      </c>
      <c r="P2496" s="121">
        <f t="shared" si="967"/>
        <v>0</v>
      </c>
      <c r="Q2496" s="121">
        <f t="shared" si="968"/>
        <v>0</v>
      </c>
      <c r="R2496" s="121">
        <f t="shared" si="969"/>
        <v>1</v>
      </c>
      <c r="S2496" s="121" t="str">
        <f t="shared" si="970"/>
        <v/>
      </c>
      <c r="T2496" s="121" t="str">
        <f t="shared" si="971"/>
        <v/>
      </c>
      <c r="U2496" s="121">
        <f t="shared" si="972"/>
        <v>1</v>
      </c>
    </row>
    <row r="2497" spans="1:21" x14ac:dyDescent="0.3">
      <c r="A2497" s="187">
        <v>43</v>
      </c>
      <c r="B2497" s="242">
        <f t="shared" si="973"/>
        <v>46935</v>
      </c>
      <c r="C2497" s="243">
        <f t="shared" si="954"/>
        <v>46965</v>
      </c>
      <c r="D2497" s="120">
        <f t="shared" si="955"/>
        <v>31</v>
      </c>
      <c r="E2497" s="120">
        <f t="shared" si="956"/>
        <v>7</v>
      </c>
      <c r="F2497" s="275">
        <f t="shared" si="957"/>
        <v>46950.5</v>
      </c>
      <c r="G2497" s="120">
        <f t="shared" si="958"/>
        <v>24342</v>
      </c>
      <c r="H2497" s="245">
        <f t="shared" si="959"/>
        <v>1</v>
      </c>
      <c r="I2497" s="121">
        <f t="shared" si="960"/>
        <v>1</v>
      </c>
      <c r="J2497" s="121">
        <f t="shared" si="961"/>
        <v>1</v>
      </c>
      <c r="K2497" s="120">
        <f t="shared" si="962"/>
        <v>0</v>
      </c>
      <c r="L2497" s="120">
        <f t="shared" si="963"/>
        <v>0</v>
      </c>
      <c r="M2497" s="246">
        <f t="shared" si="964"/>
        <v>0</v>
      </c>
      <c r="N2497" s="121">
        <f t="shared" si="965"/>
        <v>1</v>
      </c>
      <c r="O2497" s="246">
        <f t="shared" si="966"/>
        <v>0.93</v>
      </c>
      <c r="P2497" s="121">
        <f t="shared" si="967"/>
        <v>0</v>
      </c>
      <c r="Q2497" s="121">
        <f t="shared" si="968"/>
        <v>0</v>
      </c>
      <c r="R2497" s="121">
        <f t="shared" si="969"/>
        <v>0.91666666666666663</v>
      </c>
      <c r="S2497" s="121" t="str">
        <f t="shared" si="970"/>
        <v/>
      </c>
      <c r="T2497" s="121" t="str">
        <f t="shared" si="971"/>
        <v/>
      </c>
      <c r="U2497" s="121">
        <f t="shared" si="972"/>
        <v>1</v>
      </c>
    </row>
    <row r="2498" spans="1:21" x14ac:dyDescent="0.3">
      <c r="A2498" s="187">
        <v>44</v>
      </c>
      <c r="B2498" s="242">
        <f t="shared" si="973"/>
        <v>46966</v>
      </c>
      <c r="C2498" s="243">
        <f t="shared" si="954"/>
        <v>46996</v>
      </c>
      <c r="D2498" s="120">
        <f t="shared" si="955"/>
        <v>31</v>
      </c>
      <c r="E2498" s="120">
        <f t="shared" si="956"/>
        <v>8</v>
      </c>
      <c r="F2498" s="275">
        <f t="shared" si="957"/>
        <v>46981.5</v>
      </c>
      <c r="G2498" s="120">
        <f t="shared" si="958"/>
        <v>24343</v>
      </c>
      <c r="H2498" s="245">
        <f t="shared" si="959"/>
        <v>1</v>
      </c>
      <c r="I2498" s="121">
        <f t="shared" si="960"/>
        <v>1</v>
      </c>
      <c r="J2498" s="121">
        <f t="shared" si="961"/>
        <v>1</v>
      </c>
      <c r="K2498" s="120">
        <f t="shared" si="962"/>
        <v>0</v>
      </c>
      <c r="L2498" s="120">
        <f t="shared" si="963"/>
        <v>0</v>
      </c>
      <c r="M2498" s="246">
        <f t="shared" si="964"/>
        <v>0</v>
      </c>
      <c r="N2498" s="121">
        <f t="shared" si="965"/>
        <v>1</v>
      </c>
      <c r="O2498" s="246">
        <f t="shared" si="966"/>
        <v>0.93</v>
      </c>
      <c r="P2498" s="121">
        <f t="shared" si="967"/>
        <v>0</v>
      </c>
      <c r="Q2498" s="121">
        <f t="shared" si="968"/>
        <v>0</v>
      </c>
      <c r="R2498" s="121">
        <f t="shared" si="969"/>
        <v>0.75</v>
      </c>
      <c r="S2498" s="121" t="str">
        <f t="shared" si="970"/>
        <v/>
      </c>
      <c r="T2498" s="121" t="str">
        <f t="shared" si="971"/>
        <v/>
      </c>
      <c r="U2498" s="121">
        <f t="shared" si="972"/>
        <v>1</v>
      </c>
    </row>
    <row r="2499" spans="1:21" x14ac:dyDescent="0.3">
      <c r="A2499" s="187">
        <v>45</v>
      </c>
      <c r="B2499" s="242">
        <f t="shared" si="973"/>
        <v>46997</v>
      </c>
      <c r="C2499" s="243">
        <f t="shared" si="954"/>
        <v>47026</v>
      </c>
      <c r="D2499" s="120">
        <f t="shared" si="955"/>
        <v>30</v>
      </c>
      <c r="E2499" s="120">
        <f t="shared" si="956"/>
        <v>9</v>
      </c>
      <c r="F2499" s="275">
        <f t="shared" si="957"/>
        <v>47012</v>
      </c>
      <c r="G2499" s="120">
        <f t="shared" si="958"/>
        <v>24344</v>
      </c>
      <c r="H2499" s="245">
        <f t="shared" si="959"/>
        <v>1</v>
      </c>
      <c r="I2499" s="121">
        <f t="shared" si="960"/>
        <v>1</v>
      </c>
      <c r="J2499" s="121">
        <f t="shared" si="961"/>
        <v>1</v>
      </c>
      <c r="K2499" s="120">
        <f t="shared" si="962"/>
        <v>0</v>
      </c>
      <c r="L2499" s="120">
        <f t="shared" si="963"/>
        <v>0</v>
      </c>
      <c r="M2499" s="246">
        <f t="shared" si="964"/>
        <v>0</v>
      </c>
      <c r="N2499" s="121">
        <f t="shared" si="965"/>
        <v>1</v>
      </c>
      <c r="O2499" s="246">
        <f t="shared" si="966"/>
        <v>0.93</v>
      </c>
      <c r="P2499" s="121">
        <f t="shared" si="967"/>
        <v>0</v>
      </c>
      <c r="Q2499" s="121">
        <f t="shared" si="968"/>
        <v>0</v>
      </c>
      <c r="R2499" s="121">
        <f t="shared" si="969"/>
        <v>0.58333333333333337</v>
      </c>
      <c r="S2499" s="121" t="str">
        <f t="shared" si="970"/>
        <v/>
      </c>
      <c r="T2499" s="121" t="str">
        <f t="shared" si="971"/>
        <v/>
      </c>
      <c r="U2499" s="121">
        <f t="shared" si="972"/>
        <v>1</v>
      </c>
    </row>
    <row r="2500" spans="1:21" x14ac:dyDescent="0.3">
      <c r="A2500" s="187">
        <v>46</v>
      </c>
      <c r="B2500" s="242">
        <f t="shared" si="973"/>
        <v>47027</v>
      </c>
      <c r="C2500" s="243">
        <f t="shared" si="954"/>
        <v>47057</v>
      </c>
      <c r="D2500" s="120">
        <f t="shared" si="955"/>
        <v>31</v>
      </c>
      <c r="E2500" s="120">
        <f t="shared" si="956"/>
        <v>10</v>
      </c>
      <c r="F2500" s="275">
        <f t="shared" si="957"/>
        <v>47042.5</v>
      </c>
      <c r="G2500" s="120">
        <f t="shared" si="958"/>
        <v>24345</v>
      </c>
      <c r="H2500" s="245">
        <f t="shared" si="959"/>
        <v>1</v>
      </c>
      <c r="I2500" s="121">
        <f t="shared" si="960"/>
        <v>1</v>
      </c>
      <c r="J2500" s="121">
        <f t="shared" si="961"/>
        <v>1</v>
      </c>
      <c r="K2500" s="120">
        <f t="shared" si="962"/>
        <v>0</v>
      </c>
      <c r="L2500" s="120">
        <f t="shared" si="963"/>
        <v>0</v>
      </c>
      <c r="M2500" s="246">
        <f t="shared" si="964"/>
        <v>0</v>
      </c>
      <c r="N2500" s="121">
        <f t="shared" si="965"/>
        <v>1</v>
      </c>
      <c r="O2500" s="246">
        <f t="shared" si="966"/>
        <v>0.93</v>
      </c>
      <c r="P2500" s="121">
        <f t="shared" si="967"/>
        <v>0</v>
      </c>
      <c r="Q2500" s="121">
        <f t="shared" si="968"/>
        <v>0</v>
      </c>
      <c r="R2500" s="121">
        <f t="shared" si="969"/>
        <v>0.41666666666666669</v>
      </c>
      <c r="S2500" s="121" t="str">
        <f t="shared" si="970"/>
        <v/>
      </c>
      <c r="T2500" s="121" t="str">
        <f t="shared" si="971"/>
        <v/>
      </c>
      <c r="U2500" s="121">
        <f t="shared" si="972"/>
        <v>1</v>
      </c>
    </row>
    <row r="2501" spans="1:21" x14ac:dyDescent="0.3">
      <c r="A2501" s="187">
        <v>47</v>
      </c>
      <c r="B2501" s="242">
        <f t="shared" si="973"/>
        <v>47058</v>
      </c>
      <c r="C2501" s="243">
        <f t="shared" si="954"/>
        <v>47087</v>
      </c>
      <c r="D2501" s="120">
        <f t="shared" si="955"/>
        <v>30</v>
      </c>
      <c r="E2501" s="120">
        <f t="shared" si="956"/>
        <v>11</v>
      </c>
      <c r="F2501" s="275">
        <f t="shared" si="957"/>
        <v>47073</v>
      </c>
      <c r="G2501" s="120">
        <f t="shared" si="958"/>
        <v>24346</v>
      </c>
      <c r="H2501" s="245">
        <f t="shared" si="959"/>
        <v>1</v>
      </c>
      <c r="I2501" s="121">
        <f t="shared" si="960"/>
        <v>1</v>
      </c>
      <c r="J2501" s="121">
        <f t="shared" si="961"/>
        <v>1</v>
      </c>
      <c r="K2501" s="120">
        <f t="shared" si="962"/>
        <v>0</v>
      </c>
      <c r="L2501" s="120">
        <f t="shared" si="963"/>
        <v>0</v>
      </c>
      <c r="M2501" s="246">
        <f t="shared" si="964"/>
        <v>0</v>
      </c>
      <c r="N2501" s="121">
        <f t="shared" si="965"/>
        <v>1</v>
      </c>
      <c r="O2501" s="246">
        <f t="shared" si="966"/>
        <v>0.93</v>
      </c>
      <c r="P2501" s="121">
        <f t="shared" si="967"/>
        <v>0</v>
      </c>
      <c r="Q2501" s="121">
        <f t="shared" si="968"/>
        <v>0</v>
      </c>
      <c r="R2501" s="121">
        <f t="shared" si="969"/>
        <v>0.25</v>
      </c>
      <c r="S2501" s="121" t="str">
        <f t="shared" si="970"/>
        <v/>
      </c>
      <c r="T2501" s="121" t="str">
        <f t="shared" si="971"/>
        <v/>
      </c>
      <c r="U2501" s="121">
        <f t="shared" si="972"/>
        <v>1</v>
      </c>
    </row>
    <row r="2502" spans="1:21" x14ac:dyDescent="0.3">
      <c r="A2502" s="187">
        <v>48</v>
      </c>
      <c r="B2502" s="242">
        <f t="shared" si="973"/>
        <v>47088</v>
      </c>
      <c r="C2502" s="243">
        <f t="shared" si="954"/>
        <v>47118</v>
      </c>
      <c r="D2502" s="120">
        <f t="shared" si="955"/>
        <v>31</v>
      </c>
      <c r="E2502" s="120">
        <f t="shared" si="956"/>
        <v>12</v>
      </c>
      <c r="F2502" s="275">
        <f t="shared" si="957"/>
        <v>47103.5</v>
      </c>
      <c r="G2502" s="120">
        <f t="shared" si="958"/>
        <v>24347</v>
      </c>
      <c r="H2502" s="245">
        <f t="shared" si="959"/>
        <v>1</v>
      </c>
      <c r="I2502" s="121">
        <f t="shared" si="960"/>
        <v>1</v>
      </c>
      <c r="J2502" s="121">
        <f t="shared" si="961"/>
        <v>1</v>
      </c>
      <c r="K2502" s="120">
        <f t="shared" si="962"/>
        <v>0</v>
      </c>
      <c r="L2502" s="120">
        <f t="shared" si="963"/>
        <v>0</v>
      </c>
      <c r="M2502" s="246">
        <f t="shared" si="964"/>
        <v>0</v>
      </c>
      <c r="N2502" s="121">
        <f t="shared" si="965"/>
        <v>1</v>
      </c>
      <c r="O2502" s="246">
        <f t="shared" si="966"/>
        <v>0.93</v>
      </c>
      <c r="P2502" s="121">
        <f t="shared" si="967"/>
        <v>0</v>
      </c>
      <c r="Q2502" s="121">
        <f t="shared" si="968"/>
        <v>0</v>
      </c>
      <c r="R2502" s="121">
        <f t="shared" si="969"/>
        <v>8.3333333333333329E-2</v>
      </c>
      <c r="S2502" s="121" t="str">
        <f t="shared" si="970"/>
        <v/>
      </c>
      <c r="T2502" s="121" t="str">
        <f t="shared" si="971"/>
        <v/>
      </c>
      <c r="U2502" s="121">
        <f t="shared" si="972"/>
        <v>1</v>
      </c>
    </row>
    <row r="2503" spans="1:21" x14ac:dyDescent="0.3">
      <c r="A2503" s="6" t="s">
        <v>1651</v>
      </c>
      <c r="B2503" s="73">
        <f>EXP(SUMPRODUCT((rl_key=$A$2452)*(rl_cons="Y")*rl_ln1p))</f>
        <v>1</v>
      </c>
      <c r="C2503" s="73">
        <f>SUMPRODUCT($H$2455:$H$2502,$P$2455:$P$2502,$U$2455:$U$2502)/SUMPRODUCT($H$2455:$H$2502,$P$2455:$P$2502)</f>
        <v>1</v>
      </c>
      <c r="D2503" s="73">
        <f>SUMPRODUCT($H$2455:$H$2502,$Q$2455:$Q$2502,$U$2455:$U$2502)/SUMPRODUCT($H$2455:$H$2502,$Q$2455:$Q$2502)</f>
        <v>1</v>
      </c>
      <c r="E2503" s="73">
        <f>SUMPRODUCT($H$2455:$H$2502,$R$2455:$R$2502,$U$2455:$U$2502)/SUMPRODUCT($H$2455:$H$2502,$R$2455:$R$2502)</f>
        <v>1</v>
      </c>
      <c r="F2503" s="224">
        <f>SUMPRODUCT($H$2455:$H$2502,$Q$2455:$Q$2502,$O$2455:$O$2502)/SUMPRODUCT($H$2455:$H$2502,$Q$2455:$Q$2502)</f>
        <v>0.91798504741064912</v>
      </c>
      <c r="G2503" s="224">
        <f>SUMPRODUCT($H$2455:$H$2502,$R$2455:$R$2502,$O$2455:$O$2502)/SUMPRODUCT($H$2455:$H$2502,$R$2455:$R$2502)</f>
        <v>0.92932044736202268</v>
      </c>
      <c r="H2503" s="73">
        <f>SUMPRODUCT($H$2479:$H$2490,$N$2479:$N$2490/$N$2467:$N$2478)/SUM($H$2479:$H$2490)</f>
        <v>1</v>
      </c>
      <c r="I2503" s="73">
        <f>SUMPRODUCT($H$2479:$H$2490,$O$2479:$O$2490/$O$2467:$O$2478)/SUM($H$2479:$H$2490)</f>
        <v>1.0176314239537807</v>
      </c>
      <c r="J2503" s="73">
        <f>IF($O$2452=1,SUMPRODUCT($H$2479:$H$2490,$N$2479:$N$2490/$N$2467:$N$2478*$O$2479:$O$2490/$O$2467:$O$2478)/SUM($H$2479:$H$2490),$H2503)</f>
        <v>1.0176314239537807</v>
      </c>
      <c r="K2503" s="73">
        <f>SUMPRODUCT($H$2455:$H$2502,$Q$2455:$Q$2502,$N$2455:$N$2502)/SUMPRODUCT($H$2455:$H$2502,$Q$2455:$Q$2502)</f>
        <v>1</v>
      </c>
      <c r="L2503" s="73">
        <f>SUMPRODUCT($H$2455:$H$2502,$R$2455:$R$2502,$N$2455:$N$2502)/SUMPRODUCT($H$2455:$H$2502,$R$2455:$R$2502)</f>
        <v>1</v>
      </c>
    </row>
    <row r="2506" spans="1:21" x14ac:dyDescent="0.3">
      <c r="A2506" s="6" t="str">
        <f>INDEX(lr_key,46)</f>
        <v>SBA|FL</v>
      </c>
      <c r="B2506" s="6" t="str">
        <f>INDEX(lr_state,46)</f>
        <v>FL</v>
      </c>
      <c r="C2506" s="75">
        <f>nr_TermMonths</f>
        <v>6</v>
      </c>
      <c r="D2506" s="75">
        <f>IF(COUNTIF(se_state,$B2506)=0,0,MATCH($B2506,se_state,0))</f>
        <v>0</v>
      </c>
      <c r="E2506" s="70">
        <f>IF($D2506=0,0,INDEX(se_sum,$D2506))</f>
        <v>0</v>
      </c>
      <c r="F2506" s="224">
        <f>IF(N(INDEX(lr_mind,46))=0,1,INDEX(lr_mind,46))</f>
        <v>0.92</v>
      </c>
      <c r="G2506" s="224">
        <f>IF(N(INDEX(lr_m0,46))=0,1,INDEX(lr_m0,46))</f>
        <v>0.91</v>
      </c>
      <c r="H2506" s="74">
        <f>IF(N(INDEX(lr_m0asof,46))=0,DATE(nr_PlanYear-1,10,1),INDEX(lr_m0asof,46))</f>
        <v>46295</v>
      </c>
      <c r="I2506" s="224">
        <f>IF(N(INDEX(lr_m1,46))=0,1,INDEX(lr_m1,46))</f>
        <v>0.91</v>
      </c>
      <c r="J2506" s="224">
        <f>INDEX(lr_mprior,46)</f>
        <v>0</v>
      </c>
      <c r="K2506" s="224">
        <f>INDEX(lr_m2,46)</f>
        <v>0</v>
      </c>
      <c r="L2506" s="6" t="b">
        <f>NOT(ISBLANK(INDEX(lr_netp,46)))</f>
        <v>0</v>
      </c>
      <c r="M2506" s="72">
        <f>N(INDEX(lr_netp,46))</f>
        <v>0</v>
      </c>
      <c r="N2506" s="72">
        <f>IF(ISBLANK(INDEX(lr_netp1,46)),$M$2506,N(INDEX(lr_netp1,46)))</f>
        <v>0</v>
      </c>
      <c r="O2506" s="75">
        <f>IF(AND(nr_ModAdjMaster="ON",INDEX(lr_modadj,46)="ON"),1,0)</f>
        <v>1</v>
      </c>
    </row>
    <row r="2507" spans="1:21" x14ac:dyDescent="0.3">
      <c r="A2507" s="6">
        <f>EDATE($H$2506,-12)+1</f>
        <v>45931</v>
      </c>
      <c r="B2507" s="6">
        <f>$H$2506+1</f>
        <v>46296</v>
      </c>
      <c r="C2507" s="6">
        <f>DATE(nr_PlanYear,12,31)+1</f>
        <v>46753</v>
      </c>
      <c r="D2507" s="6">
        <f>DATE(nr_PlanYear+1,12,31)+1</f>
        <v>47119</v>
      </c>
      <c r="E2507" s="6">
        <f>IF(N($J$2506)=0,$F$2507-($G$2507-$F$2507)/($C$2507-$B$2507)*($B$2507-$A$2507),$J$2506)</f>
        <v>0.91</v>
      </c>
      <c r="F2507" s="6">
        <f>$G$2506</f>
        <v>0.91</v>
      </c>
      <c r="G2507" s="6">
        <f>$I$2506</f>
        <v>0.91</v>
      </c>
      <c r="H2507" s="6">
        <f>IF(N($K$2506)=0,$I$2506,$K$2506)</f>
        <v>0.91</v>
      </c>
      <c r="I2507" s="6">
        <f>($F$2507-$E$2507)/($B$2507-$A$2507)</f>
        <v>0</v>
      </c>
      <c r="J2507" s="6">
        <f>($G$2507-$F$2507)/($C$2507-$B$2507)</f>
        <v>0</v>
      </c>
      <c r="K2507" s="6">
        <f>($H$2507-$G$2507)/($D$2507-$C$2507)</f>
        <v>0</v>
      </c>
    </row>
    <row r="2508" spans="1:21" ht="36" x14ac:dyDescent="0.3">
      <c r="A2508" s="58" t="s">
        <v>390</v>
      </c>
      <c r="B2508" s="58" t="s">
        <v>449</v>
      </c>
      <c r="C2508" s="58" t="s">
        <v>685</v>
      </c>
      <c r="D2508" s="58" t="s">
        <v>686</v>
      </c>
      <c r="E2508" s="58" t="s">
        <v>687</v>
      </c>
      <c r="F2508" s="58" t="s">
        <v>688</v>
      </c>
      <c r="G2508" s="58" t="s">
        <v>689</v>
      </c>
      <c r="H2508" s="58" t="s">
        <v>452</v>
      </c>
      <c r="I2508" s="58" t="s">
        <v>690</v>
      </c>
      <c r="J2508" s="58" t="s">
        <v>691</v>
      </c>
      <c r="K2508" s="58" t="s">
        <v>692</v>
      </c>
      <c r="L2508" s="58" t="s">
        <v>693</v>
      </c>
      <c r="M2508" s="58" t="s">
        <v>694</v>
      </c>
      <c r="N2508" s="58" t="s">
        <v>695</v>
      </c>
      <c r="O2508" s="58" t="s">
        <v>696</v>
      </c>
      <c r="P2508" s="58" t="s">
        <v>697</v>
      </c>
      <c r="Q2508" s="58" t="s">
        <v>698</v>
      </c>
      <c r="R2508" s="58" t="s">
        <v>699</v>
      </c>
      <c r="S2508" s="58" t="s">
        <v>700</v>
      </c>
      <c r="T2508" s="58" t="s">
        <v>701</v>
      </c>
      <c r="U2508" s="58" t="s">
        <v>702</v>
      </c>
    </row>
    <row r="2509" spans="1:21" x14ac:dyDescent="0.3">
      <c r="A2509" s="187">
        <v>1</v>
      </c>
      <c r="B2509" s="242">
        <f>DATE(nr_PlanYear-2,1,1)</f>
        <v>45658</v>
      </c>
      <c r="C2509" s="243">
        <f t="shared" ref="C2509:C2556" si="974">EOMONTH($B2509,0)</f>
        <v>45688</v>
      </c>
      <c r="D2509" s="120">
        <f t="shared" ref="D2509:D2556" si="975">$C2509-$B2509+1</f>
        <v>31</v>
      </c>
      <c r="E2509" s="120">
        <f t="shared" ref="E2509:E2556" si="976">MONTH($B2509)</f>
        <v>1</v>
      </c>
      <c r="F2509" s="275">
        <f t="shared" ref="F2509:F2556" si="977">($B2509+$C2509+1)/2</f>
        <v>45673.5</v>
      </c>
      <c r="G2509" s="120">
        <f t="shared" ref="G2509:G2556" si="978">YEAR($B2509)*12+MONTH($B2509)-1</f>
        <v>24300</v>
      </c>
      <c r="H2509" s="245">
        <f t="shared" ref="H2509:H2556" si="979">IF(OR(nr_SeasonOn="OFF",$D$2506=0,$E$2506=0),1,12*INDEX(se_block,$D$2506,$E2509)/$E$2506)</f>
        <v>1</v>
      </c>
      <c r="I2509" s="121">
        <f t="shared" ref="I2509:I2556" si="980">EXP(SUMPRODUCT((rl_eff&lt;$B2509)*(rl_key=$A$2506)*rl_ln1p))</f>
        <v>1</v>
      </c>
      <c r="J2509" s="121">
        <f t="shared" ref="J2509:J2556" si="981">EXP(SUMPRODUCT((rl_eff&lt;=$C2509)*(rl_key=$A$2506)*rl_ln1p))</f>
        <v>1</v>
      </c>
      <c r="K2509" s="120">
        <f t="shared" ref="K2509:K2556" si="982">COUNTIFS(rl_key,$A$2506,rl_eff,"&gt;="&amp;$B2509,rl_eff,"&lt;="&amp;$C2509)</f>
        <v>0</v>
      </c>
      <c r="L2509" s="120">
        <f t="shared" ref="L2509:L2556" si="983">SUMIFS(rl_daysafter,rl_key,$A$2506,rl_effmonth,$B2509,rl_first,1)</f>
        <v>0</v>
      </c>
      <c r="M2509" s="246">
        <f t="shared" ref="M2509:M2556" si="984">IF($K2509=0,0,MIN(1,$L2509/$D2509))</f>
        <v>0</v>
      </c>
      <c r="N2509" s="121">
        <f t="shared" ref="N2509:N2556" si="985">IF($K2509=0,$J2509,(1-$M2509)*$I2509+$M2509*$J2509)</f>
        <v>1</v>
      </c>
      <c r="O2509" s="246">
        <f t="shared" ref="O2509:O2556" si="986">IF($F2509&lt;$B$2507,$E$2507+$I$2507*($F2509-$A$2507),IF($F2509&lt;$C$2507,$F$2507+$J$2507*($F2509-$B$2507),$G$2507+$K$2507*($F2509-$C$2507)))</f>
        <v>0.91</v>
      </c>
      <c r="P2509" s="121">
        <f t="shared" ref="P2509:P2556" si="987">MIN(1,MAX(0,(nr_MEndPm1-$G2509+0.5)/$C$2506))-MIN(1,MAX(0,(nr_MStartPm1-1-$G2509+0.5)/$C$2506))</f>
        <v>0</v>
      </c>
      <c r="Q2509" s="121">
        <f t="shared" ref="Q2509:Q2556" si="988">MIN(1,MAX(0,(nr_MEndP-$G2509+0.5)/$C$2506))-MIN(1,MAX(0,(nr_MStartP-1-$G2509+0.5)/$C$2506))</f>
        <v>0</v>
      </c>
      <c r="R2509" s="121">
        <f t="shared" ref="R2509:R2556" si="989">MIN(1,MAX(0,(nr_MEndP1-$G2509+0.5)/$C$2506))-MIN(1,MAX(0,(nr_MStartP1-1-$G2509+0.5)/$C$2506))</f>
        <v>0</v>
      </c>
      <c r="S2509" s="121" t="str">
        <f t="shared" ref="S2509:S2556" si="990">IF($L$2506,$N2509*IF($O$2506=1,$O2509/$F$2506,1),"")</f>
        <v/>
      </c>
      <c r="T2509" s="121" t="str">
        <f t="shared" ref="T2509:T2556" si="991">IF(NOT($L$2506),"",IF($G2509&lt;nr_MStartP,$S2509,$T2497*(1+IF($G2509&lt;nr_MStartP1,$M$2506,$N$2506))))</f>
        <v/>
      </c>
      <c r="U2509" s="121">
        <f t="shared" ref="U2509:U2556" si="992">IF($L$2506,$T2509,$N2509)</f>
        <v>1</v>
      </c>
    </row>
    <row r="2510" spans="1:21" x14ac:dyDescent="0.3">
      <c r="A2510" s="187">
        <v>2</v>
      </c>
      <c r="B2510" s="242">
        <f t="shared" ref="B2510:B2556" si="993">EDATE($B2509,1)</f>
        <v>45689</v>
      </c>
      <c r="C2510" s="243">
        <f t="shared" si="974"/>
        <v>45716</v>
      </c>
      <c r="D2510" s="120">
        <f t="shared" si="975"/>
        <v>28</v>
      </c>
      <c r="E2510" s="120">
        <f t="shared" si="976"/>
        <v>2</v>
      </c>
      <c r="F2510" s="275">
        <f t="shared" si="977"/>
        <v>45703</v>
      </c>
      <c r="G2510" s="120">
        <f t="shared" si="978"/>
        <v>24301</v>
      </c>
      <c r="H2510" s="245">
        <f t="shared" si="979"/>
        <v>1</v>
      </c>
      <c r="I2510" s="121">
        <f t="shared" si="980"/>
        <v>1</v>
      </c>
      <c r="J2510" s="121">
        <f t="shared" si="981"/>
        <v>1</v>
      </c>
      <c r="K2510" s="120">
        <f t="shared" si="982"/>
        <v>0</v>
      </c>
      <c r="L2510" s="120">
        <f t="shared" si="983"/>
        <v>0</v>
      </c>
      <c r="M2510" s="246">
        <f t="shared" si="984"/>
        <v>0</v>
      </c>
      <c r="N2510" s="121">
        <f t="shared" si="985"/>
        <v>1</v>
      </c>
      <c r="O2510" s="246">
        <f t="shared" si="986"/>
        <v>0.91</v>
      </c>
      <c r="P2510" s="121">
        <f t="shared" si="987"/>
        <v>0</v>
      </c>
      <c r="Q2510" s="121">
        <f t="shared" si="988"/>
        <v>0</v>
      </c>
      <c r="R2510" s="121">
        <f t="shared" si="989"/>
        <v>0</v>
      </c>
      <c r="S2510" s="121" t="str">
        <f t="shared" si="990"/>
        <v/>
      </c>
      <c r="T2510" s="121" t="str">
        <f t="shared" si="991"/>
        <v/>
      </c>
      <c r="U2510" s="121">
        <f t="shared" si="992"/>
        <v>1</v>
      </c>
    </row>
    <row r="2511" spans="1:21" x14ac:dyDescent="0.3">
      <c r="A2511" s="187">
        <v>3</v>
      </c>
      <c r="B2511" s="242">
        <f t="shared" si="993"/>
        <v>45717</v>
      </c>
      <c r="C2511" s="243">
        <f t="shared" si="974"/>
        <v>45747</v>
      </c>
      <c r="D2511" s="120">
        <f t="shared" si="975"/>
        <v>31</v>
      </c>
      <c r="E2511" s="120">
        <f t="shared" si="976"/>
        <v>3</v>
      </c>
      <c r="F2511" s="275">
        <f t="shared" si="977"/>
        <v>45732.5</v>
      </c>
      <c r="G2511" s="120">
        <f t="shared" si="978"/>
        <v>24302</v>
      </c>
      <c r="H2511" s="245">
        <f t="shared" si="979"/>
        <v>1</v>
      </c>
      <c r="I2511" s="121">
        <f t="shared" si="980"/>
        <v>1</v>
      </c>
      <c r="J2511" s="121">
        <f t="shared" si="981"/>
        <v>1</v>
      </c>
      <c r="K2511" s="120">
        <f t="shared" si="982"/>
        <v>0</v>
      </c>
      <c r="L2511" s="120">
        <f t="shared" si="983"/>
        <v>0</v>
      </c>
      <c r="M2511" s="246">
        <f t="shared" si="984"/>
        <v>0</v>
      </c>
      <c r="N2511" s="121">
        <f t="shared" si="985"/>
        <v>1</v>
      </c>
      <c r="O2511" s="246">
        <f t="shared" si="986"/>
        <v>0.91</v>
      </c>
      <c r="P2511" s="121">
        <f t="shared" si="987"/>
        <v>0</v>
      </c>
      <c r="Q2511" s="121">
        <f t="shared" si="988"/>
        <v>0</v>
      </c>
      <c r="R2511" s="121">
        <f t="shared" si="989"/>
        <v>0</v>
      </c>
      <c r="S2511" s="121" t="str">
        <f t="shared" si="990"/>
        <v/>
      </c>
      <c r="T2511" s="121" t="str">
        <f t="shared" si="991"/>
        <v/>
      </c>
      <c r="U2511" s="121">
        <f t="shared" si="992"/>
        <v>1</v>
      </c>
    </row>
    <row r="2512" spans="1:21" x14ac:dyDescent="0.3">
      <c r="A2512" s="187">
        <v>4</v>
      </c>
      <c r="B2512" s="242">
        <f t="shared" si="993"/>
        <v>45748</v>
      </c>
      <c r="C2512" s="243">
        <f t="shared" si="974"/>
        <v>45777</v>
      </c>
      <c r="D2512" s="120">
        <f t="shared" si="975"/>
        <v>30</v>
      </c>
      <c r="E2512" s="120">
        <f t="shared" si="976"/>
        <v>4</v>
      </c>
      <c r="F2512" s="275">
        <f t="shared" si="977"/>
        <v>45763</v>
      </c>
      <c r="G2512" s="120">
        <f t="shared" si="978"/>
        <v>24303</v>
      </c>
      <c r="H2512" s="245">
        <f t="shared" si="979"/>
        <v>1</v>
      </c>
      <c r="I2512" s="121">
        <f t="shared" si="980"/>
        <v>1</v>
      </c>
      <c r="J2512" s="121">
        <f t="shared" si="981"/>
        <v>1</v>
      </c>
      <c r="K2512" s="120">
        <f t="shared" si="982"/>
        <v>0</v>
      </c>
      <c r="L2512" s="120">
        <f t="shared" si="983"/>
        <v>0</v>
      </c>
      <c r="M2512" s="246">
        <f t="shared" si="984"/>
        <v>0</v>
      </c>
      <c r="N2512" s="121">
        <f t="shared" si="985"/>
        <v>1</v>
      </c>
      <c r="O2512" s="246">
        <f t="shared" si="986"/>
        <v>0.91</v>
      </c>
      <c r="P2512" s="121">
        <f t="shared" si="987"/>
        <v>0</v>
      </c>
      <c r="Q2512" s="121">
        <f t="shared" si="988"/>
        <v>0</v>
      </c>
      <c r="R2512" s="121">
        <f t="shared" si="989"/>
        <v>0</v>
      </c>
      <c r="S2512" s="121" t="str">
        <f t="shared" si="990"/>
        <v/>
      </c>
      <c r="T2512" s="121" t="str">
        <f t="shared" si="991"/>
        <v/>
      </c>
      <c r="U2512" s="121">
        <f t="shared" si="992"/>
        <v>1</v>
      </c>
    </row>
    <row r="2513" spans="1:21" x14ac:dyDescent="0.3">
      <c r="A2513" s="187">
        <v>5</v>
      </c>
      <c r="B2513" s="242">
        <f t="shared" si="993"/>
        <v>45778</v>
      </c>
      <c r="C2513" s="243">
        <f t="shared" si="974"/>
        <v>45808</v>
      </c>
      <c r="D2513" s="120">
        <f t="shared" si="975"/>
        <v>31</v>
      </c>
      <c r="E2513" s="120">
        <f t="shared" si="976"/>
        <v>5</v>
      </c>
      <c r="F2513" s="275">
        <f t="shared" si="977"/>
        <v>45793.5</v>
      </c>
      <c r="G2513" s="120">
        <f t="shared" si="978"/>
        <v>24304</v>
      </c>
      <c r="H2513" s="245">
        <f t="shared" si="979"/>
        <v>1</v>
      </c>
      <c r="I2513" s="121">
        <f t="shared" si="980"/>
        <v>1</v>
      </c>
      <c r="J2513" s="121">
        <f t="shared" si="981"/>
        <v>1</v>
      </c>
      <c r="K2513" s="120">
        <f t="shared" si="982"/>
        <v>0</v>
      </c>
      <c r="L2513" s="120">
        <f t="shared" si="983"/>
        <v>0</v>
      </c>
      <c r="M2513" s="246">
        <f t="shared" si="984"/>
        <v>0</v>
      </c>
      <c r="N2513" s="121">
        <f t="shared" si="985"/>
        <v>1</v>
      </c>
      <c r="O2513" s="246">
        <f t="shared" si="986"/>
        <v>0.91</v>
      </c>
      <c r="P2513" s="121">
        <f t="shared" si="987"/>
        <v>0</v>
      </c>
      <c r="Q2513" s="121">
        <f t="shared" si="988"/>
        <v>0</v>
      </c>
      <c r="R2513" s="121">
        <f t="shared" si="989"/>
        <v>0</v>
      </c>
      <c r="S2513" s="121" t="str">
        <f t="shared" si="990"/>
        <v/>
      </c>
      <c r="T2513" s="121" t="str">
        <f t="shared" si="991"/>
        <v/>
      </c>
      <c r="U2513" s="121">
        <f t="shared" si="992"/>
        <v>1</v>
      </c>
    </row>
    <row r="2514" spans="1:21" x14ac:dyDescent="0.3">
      <c r="A2514" s="187">
        <v>6</v>
      </c>
      <c r="B2514" s="242">
        <f t="shared" si="993"/>
        <v>45809</v>
      </c>
      <c r="C2514" s="243">
        <f t="shared" si="974"/>
        <v>45838</v>
      </c>
      <c r="D2514" s="120">
        <f t="shared" si="975"/>
        <v>30</v>
      </c>
      <c r="E2514" s="120">
        <f t="shared" si="976"/>
        <v>6</v>
      </c>
      <c r="F2514" s="275">
        <f t="shared" si="977"/>
        <v>45824</v>
      </c>
      <c r="G2514" s="120">
        <f t="shared" si="978"/>
        <v>24305</v>
      </c>
      <c r="H2514" s="245">
        <f t="shared" si="979"/>
        <v>1</v>
      </c>
      <c r="I2514" s="121">
        <f t="shared" si="980"/>
        <v>1</v>
      </c>
      <c r="J2514" s="121">
        <f t="shared" si="981"/>
        <v>1</v>
      </c>
      <c r="K2514" s="120">
        <f t="shared" si="982"/>
        <v>0</v>
      </c>
      <c r="L2514" s="120">
        <f t="shared" si="983"/>
        <v>0</v>
      </c>
      <c r="M2514" s="246">
        <f t="shared" si="984"/>
        <v>0</v>
      </c>
      <c r="N2514" s="121">
        <f t="shared" si="985"/>
        <v>1</v>
      </c>
      <c r="O2514" s="246">
        <f t="shared" si="986"/>
        <v>0.91</v>
      </c>
      <c r="P2514" s="121">
        <f t="shared" si="987"/>
        <v>0</v>
      </c>
      <c r="Q2514" s="121">
        <f t="shared" si="988"/>
        <v>0</v>
      </c>
      <c r="R2514" s="121">
        <f t="shared" si="989"/>
        <v>0</v>
      </c>
      <c r="S2514" s="121" t="str">
        <f t="shared" si="990"/>
        <v/>
      </c>
      <c r="T2514" s="121" t="str">
        <f t="shared" si="991"/>
        <v/>
      </c>
      <c r="U2514" s="121">
        <f t="shared" si="992"/>
        <v>1</v>
      </c>
    </row>
    <row r="2515" spans="1:21" x14ac:dyDescent="0.3">
      <c r="A2515" s="187">
        <v>7</v>
      </c>
      <c r="B2515" s="242">
        <f t="shared" si="993"/>
        <v>45839</v>
      </c>
      <c r="C2515" s="243">
        <f t="shared" si="974"/>
        <v>45869</v>
      </c>
      <c r="D2515" s="120">
        <f t="shared" si="975"/>
        <v>31</v>
      </c>
      <c r="E2515" s="120">
        <f t="shared" si="976"/>
        <v>7</v>
      </c>
      <c r="F2515" s="275">
        <f t="shared" si="977"/>
        <v>45854.5</v>
      </c>
      <c r="G2515" s="120">
        <f t="shared" si="978"/>
        <v>24306</v>
      </c>
      <c r="H2515" s="245">
        <f t="shared" si="979"/>
        <v>1</v>
      </c>
      <c r="I2515" s="121">
        <f t="shared" si="980"/>
        <v>1</v>
      </c>
      <c r="J2515" s="121">
        <f t="shared" si="981"/>
        <v>1</v>
      </c>
      <c r="K2515" s="120">
        <f t="shared" si="982"/>
        <v>0</v>
      </c>
      <c r="L2515" s="120">
        <f t="shared" si="983"/>
        <v>0</v>
      </c>
      <c r="M2515" s="246">
        <f t="shared" si="984"/>
        <v>0</v>
      </c>
      <c r="N2515" s="121">
        <f t="shared" si="985"/>
        <v>1</v>
      </c>
      <c r="O2515" s="246">
        <f t="shared" si="986"/>
        <v>0.91</v>
      </c>
      <c r="P2515" s="121">
        <f t="shared" si="987"/>
        <v>8.333333333333337E-2</v>
      </c>
      <c r="Q2515" s="121">
        <f t="shared" si="988"/>
        <v>0</v>
      </c>
      <c r="R2515" s="121">
        <f t="shared" si="989"/>
        <v>0</v>
      </c>
      <c r="S2515" s="121" t="str">
        <f t="shared" si="990"/>
        <v/>
      </c>
      <c r="T2515" s="121" t="str">
        <f t="shared" si="991"/>
        <v/>
      </c>
      <c r="U2515" s="121">
        <f t="shared" si="992"/>
        <v>1</v>
      </c>
    </row>
    <row r="2516" spans="1:21" x14ac:dyDescent="0.3">
      <c r="A2516" s="187">
        <v>8</v>
      </c>
      <c r="B2516" s="242">
        <f t="shared" si="993"/>
        <v>45870</v>
      </c>
      <c r="C2516" s="243">
        <f t="shared" si="974"/>
        <v>45900</v>
      </c>
      <c r="D2516" s="120">
        <f t="shared" si="975"/>
        <v>31</v>
      </c>
      <c r="E2516" s="120">
        <f t="shared" si="976"/>
        <v>8</v>
      </c>
      <c r="F2516" s="275">
        <f t="shared" si="977"/>
        <v>45885.5</v>
      </c>
      <c r="G2516" s="120">
        <f t="shared" si="978"/>
        <v>24307</v>
      </c>
      <c r="H2516" s="245">
        <f t="shared" si="979"/>
        <v>1</v>
      </c>
      <c r="I2516" s="121">
        <f t="shared" si="980"/>
        <v>1</v>
      </c>
      <c r="J2516" s="121">
        <f t="shared" si="981"/>
        <v>1</v>
      </c>
      <c r="K2516" s="120">
        <f t="shared" si="982"/>
        <v>0</v>
      </c>
      <c r="L2516" s="120">
        <f t="shared" si="983"/>
        <v>0</v>
      </c>
      <c r="M2516" s="246">
        <f t="shared" si="984"/>
        <v>0</v>
      </c>
      <c r="N2516" s="121">
        <f t="shared" si="985"/>
        <v>1</v>
      </c>
      <c r="O2516" s="246">
        <f t="shared" si="986"/>
        <v>0.91</v>
      </c>
      <c r="P2516" s="121">
        <f t="shared" si="987"/>
        <v>0.25</v>
      </c>
      <c r="Q2516" s="121">
        <f t="shared" si="988"/>
        <v>0</v>
      </c>
      <c r="R2516" s="121">
        <f t="shared" si="989"/>
        <v>0</v>
      </c>
      <c r="S2516" s="121" t="str">
        <f t="shared" si="990"/>
        <v/>
      </c>
      <c r="T2516" s="121" t="str">
        <f t="shared" si="991"/>
        <v/>
      </c>
      <c r="U2516" s="121">
        <f t="shared" si="992"/>
        <v>1</v>
      </c>
    </row>
    <row r="2517" spans="1:21" x14ac:dyDescent="0.3">
      <c r="A2517" s="187">
        <v>9</v>
      </c>
      <c r="B2517" s="242">
        <f t="shared" si="993"/>
        <v>45901</v>
      </c>
      <c r="C2517" s="243">
        <f t="shared" si="974"/>
        <v>45930</v>
      </c>
      <c r="D2517" s="120">
        <f t="shared" si="975"/>
        <v>30</v>
      </c>
      <c r="E2517" s="120">
        <f t="shared" si="976"/>
        <v>9</v>
      </c>
      <c r="F2517" s="275">
        <f t="shared" si="977"/>
        <v>45916</v>
      </c>
      <c r="G2517" s="120">
        <f t="shared" si="978"/>
        <v>24308</v>
      </c>
      <c r="H2517" s="245">
        <f t="shared" si="979"/>
        <v>1</v>
      </c>
      <c r="I2517" s="121">
        <f t="shared" si="980"/>
        <v>1</v>
      </c>
      <c r="J2517" s="121">
        <f t="shared" si="981"/>
        <v>1</v>
      </c>
      <c r="K2517" s="120">
        <f t="shared" si="982"/>
        <v>0</v>
      </c>
      <c r="L2517" s="120">
        <f t="shared" si="983"/>
        <v>0</v>
      </c>
      <c r="M2517" s="246">
        <f t="shared" si="984"/>
        <v>0</v>
      </c>
      <c r="N2517" s="121">
        <f t="shared" si="985"/>
        <v>1</v>
      </c>
      <c r="O2517" s="246">
        <f t="shared" si="986"/>
        <v>0.91</v>
      </c>
      <c r="P2517" s="121">
        <f t="shared" si="987"/>
        <v>0.41666666666666663</v>
      </c>
      <c r="Q2517" s="121">
        <f t="shared" si="988"/>
        <v>0</v>
      </c>
      <c r="R2517" s="121">
        <f t="shared" si="989"/>
        <v>0</v>
      </c>
      <c r="S2517" s="121" t="str">
        <f t="shared" si="990"/>
        <v/>
      </c>
      <c r="T2517" s="121" t="str">
        <f t="shared" si="991"/>
        <v/>
      </c>
      <c r="U2517" s="121">
        <f t="shared" si="992"/>
        <v>1</v>
      </c>
    </row>
    <row r="2518" spans="1:21" x14ac:dyDescent="0.3">
      <c r="A2518" s="187">
        <v>10</v>
      </c>
      <c r="B2518" s="242">
        <f t="shared" si="993"/>
        <v>45931</v>
      </c>
      <c r="C2518" s="243">
        <f t="shared" si="974"/>
        <v>45961</v>
      </c>
      <c r="D2518" s="120">
        <f t="shared" si="975"/>
        <v>31</v>
      </c>
      <c r="E2518" s="120">
        <f t="shared" si="976"/>
        <v>10</v>
      </c>
      <c r="F2518" s="275">
        <f t="shared" si="977"/>
        <v>45946.5</v>
      </c>
      <c r="G2518" s="120">
        <f t="shared" si="978"/>
        <v>24309</v>
      </c>
      <c r="H2518" s="245">
        <f t="shared" si="979"/>
        <v>1</v>
      </c>
      <c r="I2518" s="121">
        <f t="shared" si="980"/>
        <v>1</v>
      </c>
      <c r="J2518" s="121">
        <f t="shared" si="981"/>
        <v>1</v>
      </c>
      <c r="K2518" s="120">
        <f t="shared" si="982"/>
        <v>0</v>
      </c>
      <c r="L2518" s="120">
        <f t="shared" si="983"/>
        <v>0</v>
      </c>
      <c r="M2518" s="246">
        <f t="shared" si="984"/>
        <v>0</v>
      </c>
      <c r="N2518" s="121">
        <f t="shared" si="985"/>
        <v>1</v>
      </c>
      <c r="O2518" s="246">
        <f t="shared" si="986"/>
        <v>0.91</v>
      </c>
      <c r="P2518" s="121">
        <f t="shared" si="987"/>
        <v>0.58333333333333326</v>
      </c>
      <c r="Q2518" s="121">
        <f t="shared" si="988"/>
        <v>0</v>
      </c>
      <c r="R2518" s="121">
        <f t="shared" si="989"/>
        <v>0</v>
      </c>
      <c r="S2518" s="121" t="str">
        <f t="shared" si="990"/>
        <v/>
      </c>
      <c r="T2518" s="121" t="str">
        <f t="shared" si="991"/>
        <v/>
      </c>
      <c r="U2518" s="121">
        <f t="shared" si="992"/>
        <v>1</v>
      </c>
    </row>
    <row r="2519" spans="1:21" x14ac:dyDescent="0.3">
      <c r="A2519" s="187">
        <v>11</v>
      </c>
      <c r="B2519" s="242">
        <f t="shared" si="993"/>
        <v>45962</v>
      </c>
      <c r="C2519" s="243">
        <f t="shared" si="974"/>
        <v>45991</v>
      </c>
      <c r="D2519" s="120">
        <f t="shared" si="975"/>
        <v>30</v>
      </c>
      <c r="E2519" s="120">
        <f t="shared" si="976"/>
        <v>11</v>
      </c>
      <c r="F2519" s="275">
        <f t="shared" si="977"/>
        <v>45977</v>
      </c>
      <c r="G2519" s="120">
        <f t="shared" si="978"/>
        <v>24310</v>
      </c>
      <c r="H2519" s="245">
        <f t="shared" si="979"/>
        <v>1</v>
      </c>
      <c r="I2519" s="121">
        <f t="shared" si="980"/>
        <v>1</v>
      </c>
      <c r="J2519" s="121">
        <f t="shared" si="981"/>
        <v>1</v>
      </c>
      <c r="K2519" s="120">
        <f t="shared" si="982"/>
        <v>0</v>
      </c>
      <c r="L2519" s="120">
        <f t="shared" si="983"/>
        <v>0</v>
      </c>
      <c r="M2519" s="246">
        <f t="shared" si="984"/>
        <v>0</v>
      </c>
      <c r="N2519" s="121">
        <f t="shared" si="985"/>
        <v>1</v>
      </c>
      <c r="O2519" s="246">
        <f t="shared" si="986"/>
        <v>0.91</v>
      </c>
      <c r="P2519" s="121">
        <f t="shared" si="987"/>
        <v>0.75</v>
      </c>
      <c r="Q2519" s="121">
        <f t="shared" si="988"/>
        <v>0</v>
      </c>
      <c r="R2519" s="121">
        <f t="shared" si="989"/>
        <v>0</v>
      </c>
      <c r="S2519" s="121" t="str">
        <f t="shared" si="990"/>
        <v/>
      </c>
      <c r="T2519" s="121" t="str">
        <f t="shared" si="991"/>
        <v/>
      </c>
      <c r="U2519" s="121">
        <f t="shared" si="992"/>
        <v>1</v>
      </c>
    </row>
    <row r="2520" spans="1:21" x14ac:dyDescent="0.3">
      <c r="A2520" s="187">
        <v>12</v>
      </c>
      <c r="B2520" s="242">
        <f t="shared" si="993"/>
        <v>45992</v>
      </c>
      <c r="C2520" s="243">
        <f t="shared" si="974"/>
        <v>46022</v>
      </c>
      <c r="D2520" s="120">
        <f t="shared" si="975"/>
        <v>31</v>
      </c>
      <c r="E2520" s="120">
        <f t="shared" si="976"/>
        <v>12</v>
      </c>
      <c r="F2520" s="275">
        <f t="shared" si="977"/>
        <v>46007.5</v>
      </c>
      <c r="G2520" s="120">
        <f t="shared" si="978"/>
        <v>24311</v>
      </c>
      <c r="H2520" s="245">
        <f t="shared" si="979"/>
        <v>1</v>
      </c>
      <c r="I2520" s="121">
        <f t="shared" si="980"/>
        <v>1</v>
      </c>
      <c r="J2520" s="121">
        <f t="shared" si="981"/>
        <v>1</v>
      </c>
      <c r="K2520" s="120">
        <f t="shared" si="982"/>
        <v>0</v>
      </c>
      <c r="L2520" s="120">
        <f t="shared" si="983"/>
        <v>0</v>
      </c>
      <c r="M2520" s="246">
        <f t="shared" si="984"/>
        <v>0</v>
      </c>
      <c r="N2520" s="121">
        <f t="shared" si="985"/>
        <v>1</v>
      </c>
      <c r="O2520" s="246">
        <f t="shared" si="986"/>
        <v>0.91</v>
      </c>
      <c r="P2520" s="121">
        <f t="shared" si="987"/>
        <v>0.91666666666666663</v>
      </c>
      <c r="Q2520" s="121">
        <f t="shared" si="988"/>
        <v>0</v>
      </c>
      <c r="R2520" s="121">
        <f t="shared" si="989"/>
        <v>0</v>
      </c>
      <c r="S2520" s="121" t="str">
        <f t="shared" si="990"/>
        <v/>
      </c>
      <c r="T2520" s="121" t="str">
        <f t="shared" si="991"/>
        <v/>
      </c>
      <c r="U2520" s="121">
        <f t="shared" si="992"/>
        <v>1</v>
      </c>
    </row>
    <row r="2521" spans="1:21" x14ac:dyDescent="0.3">
      <c r="A2521" s="187">
        <v>13</v>
      </c>
      <c r="B2521" s="242">
        <f t="shared" si="993"/>
        <v>46023</v>
      </c>
      <c r="C2521" s="243">
        <f t="shared" si="974"/>
        <v>46053</v>
      </c>
      <c r="D2521" s="120">
        <f t="shared" si="975"/>
        <v>31</v>
      </c>
      <c r="E2521" s="120">
        <f t="shared" si="976"/>
        <v>1</v>
      </c>
      <c r="F2521" s="275">
        <f t="shared" si="977"/>
        <v>46038.5</v>
      </c>
      <c r="G2521" s="120">
        <f t="shared" si="978"/>
        <v>24312</v>
      </c>
      <c r="H2521" s="245">
        <f t="shared" si="979"/>
        <v>1</v>
      </c>
      <c r="I2521" s="121">
        <f t="shared" si="980"/>
        <v>1</v>
      </c>
      <c r="J2521" s="121">
        <f t="shared" si="981"/>
        <v>1</v>
      </c>
      <c r="K2521" s="120">
        <f t="shared" si="982"/>
        <v>0</v>
      </c>
      <c r="L2521" s="120">
        <f t="shared" si="983"/>
        <v>0</v>
      </c>
      <c r="M2521" s="246">
        <f t="shared" si="984"/>
        <v>0</v>
      </c>
      <c r="N2521" s="121">
        <f t="shared" si="985"/>
        <v>1</v>
      </c>
      <c r="O2521" s="246">
        <f t="shared" si="986"/>
        <v>0.91</v>
      </c>
      <c r="P2521" s="121">
        <f t="shared" si="987"/>
        <v>1</v>
      </c>
      <c r="Q2521" s="121">
        <f t="shared" si="988"/>
        <v>0</v>
      </c>
      <c r="R2521" s="121">
        <f t="shared" si="989"/>
        <v>0</v>
      </c>
      <c r="S2521" s="121" t="str">
        <f t="shared" si="990"/>
        <v/>
      </c>
      <c r="T2521" s="121" t="str">
        <f t="shared" si="991"/>
        <v/>
      </c>
      <c r="U2521" s="121">
        <f t="shared" si="992"/>
        <v>1</v>
      </c>
    </row>
    <row r="2522" spans="1:21" x14ac:dyDescent="0.3">
      <c r="A2522" s="187">
        <v>14</v>
      </c>
      <c r="B2522" s="242">
        <f t="shared" si="993"/>
        <v>46054</v>
      </c>
      <c r="C2522" s="243">
        <f t="shared" si="974"/>
        <v>46081</v>
      </c>
      <c r="D2522" s="120">
        <f t="shared" si="975"/>
        <v>28</v>
      </c>
      <c r="E2522" s="120">
        <f t="shared" si="976"/>
        <v>2</v>
      </c>
      <c r="F2522" s="275">
        <f t="shared" si="977"/>
        <v>46068</v>
      </c>
      <c r="G2522" s="120">
        <f t="shared" si="978"/>
        <v>24313</v>
      </c>
      <c r="H2522" s="245">
        <f t="shared" si="979"/>
        <v>1</v>
      </c>
      <c r="I2522" s="121">
        <f t="shared" si="980"/>
        <v>1</v>
      </c>
      <c r="J2522" s="121">
        <f t="shared" si="981"/>
        <v>1</v>
      </c>
      <c r="K2522" s="120">
        <f t="shared" si="982"/>
        <v>0</v>
      </c>
      <c r="L2522" s="120">
        <f t="shared" si="983"/>
        <v>0</v>
      </c>
      <c r="M2522" s="246">
        <f t="shared" si="984"/>
        <v>0</v>
      </c>
      <c r="N2522" s="121">
        <f t="shared" si="985"/>
        <v>1</v>
      </c>
      <c r="O2522" s="246">
        <f t="shared" si="986"/>
        <v>0.91</v>
      </c>
      <c r="P2522" s="121">
        <f t="shared" si="987"/>
        <v>1</v>
      </c>
      <c r="Q2522" s="121">
        <f t="shared" si="988"/>
        <v>0</v>
      </c>
      <c r="R2522" s="121">
        <f t="shared" si="989"/>
        <v>0</v>
      </c>
      <c r="S2522" s="121" t="str">
        <f t="shared" si="990"/>
        <v/>
      </c>
      <c r="T2522" s="121" t="str">
        <f t="shared" si="991"/>
        <v/>
      </c>
      <c r="U2522" s="121">
        <f t="shared" si="992"/>
        <v>1</v>
      </c>
    </row>
    <row r="2523" spans="1:21" x14ac:dyDescent="0.3">
      <c r="A2523" s="187">
        <v>15</v>
      </c>
      <c r="B2523" s="242">
        <f t="shared" si="993"/>
        <v>46082</v>
      </c>
      <c r="C2523" s="243">
        <f t="shared" si="974"/>
        <v>46112</v>
      </c>
      <c r="D2523" s="120">
        <f t="shared" si="975"/>
        <v>31</v>
      </c>
      <c r="E2523" s="120">
        <f t="shared" si="976"/>
        <v>3</v>
      </c>
      <c r="F2523" s="275">
        <f t="shared" si="977"/>
        <v>46097.5</v>
      </c>
      <c r="G2523" s="120">
        <f t="shared" si="978"/>
        <v>24314</v>
      </c>
      <c r="H2523" s="245">
        <f t="shared" si="979"/>
        <v>1</v>
      </c>
      <c r="I2523" s="121">
        <f t="shared" si="980"/>
        <v>1</v>
      </c>
      <c r="J2523" s="121">
        <f t="shared" si="981"/>
        <v>1</v>
      </c>
      <c r="K2523" s="120">
        <f t="shared" si="982"/>
        <v>0</v>
      </c>
      <c r="L2523" s="120">
        <f t="shared" si="983"/>
        <v>0</v>
      </c>
      <c r="M2523" s="246">
        <f t="shared" si="984"/>
        <v>0</v>
      </c>
      <c r="N2523" s="121">
        <f t="shared" si="985"/>
        <v>1</v>
      </c>
      <c r="O2523" s="246">
        <f t="shared" si="986"/>
        <v>0.91</v>
      </c>
      <c r="P2523" s="121">
        <f t="shared" si="987"/>
        <v>1</v>
      </c>
      <c r="Q2523" s="121">
        <f t="shared" si="988"/>
        <v>0</v>
      </c>
      <c r="R2523" s="121">
        <f t="shared" si="989"/>
        <v>0</v>
      </c>
      <c r="S2523" s="121" t="str">
        <f t="shared" si="990"/>
        <v/>
      </c>
      <c r="T2523" s="121" t="str">
        <f t="shared" si="991"/>
        <v/>
      </c>
      <c r="U2523" s="121">
        <f t="shared" si="992"/>
        <v>1</v>
      </c>
    </row>
    <row r="2524" spans="1:21" x14ac:dyDescent="0.3">
      <c r="A2524" s="187">
        <v>16</v>
      </c>
      <c r="B2524" s="242">
        <f t="shared" si="993"/>
        <v>46113</v>
      </c>
      <c r="C2524" s="243">
        <f t="shared" si="974"/>
        <v>46142</v>
      </c>
      <c r="D2524" s="120">
        <f t="shared" si="975"/>
        <v>30</v>
      </c>
      <c r="E2524" s="120">
        <f t="shared" si="976"/>
        <v>4</v>
      </c>
      <c r="F2524" s="275">
        <f t="shared" si="977"/>
        <v>46128</v>
      </c>
      <c r="G2524" s="120">
        <f t="shared" si="978"/>
        <v>24315</v>
      </c>
      <c r="H2524" s="245">
        <f t="shared" si="979"/>
        <v>1</v>
      </c>
      <c r="I2524" s="121">
        <f t="shared" si="980"/>
        <v>1</v>
      </c>
      <c r="J2524" s="121">
        <f t="shared" si="981"/>
        <v>1</v>
      </c>
      <c r="K2524" s="120">
        <f t="shared" si="982"/>
        <v>0</v>
      </c>
      <c r="L2524" s="120">
        <f t="shared" si="983"/>
        <v>0</v>
      </c>
      <c r="M2524" s="246">
        <f t="shared" si="984"/>
        <v>0</v>
      </c>
      <c r="N2524" s="121">
        <f t="shared" si="985"/>
        <v>1</v>
      </c>
      <c r="O2524" s="246">
        <f t="shared" si="986"/>
        <v>0.91</v>
      </c>
      <c r="P2524" s="121">
        <f t="shared" si="987"/>
        <v>1</v>
      </c>
      <c r="Q2524" s="121">
        <f t="shared" si="988"/>
        <v>0</v>
      </c>
      <c r="R2524" s="121">
        <f t="shared" si="989"/>
        <v>0</v>
      </c>
      <c r="S2524" s="121" t="str">
        <f t="shared" si="990"/>
        <v/>
      </c>
      <c r="T2524" s="121" t="str">
        <f t="shared" si="991"/>
        <v/>
      </c>
      <c r="U2524" s="121">
        <f t="shared" si="992"/>
        <v>1</v>
      </c>
    </row>
    <row r="2525" spans="1:21" x14ac:dyDescent="0.3">
      <c r="A2525" s="187">
        <v>17</v>
      </c>
      <c r="B2525" s="242">
        <f t="shared" si="993"/>
        <v>46143</v>
      </c>
      <c r="C2525" s="243">
        <f t="shared" si="974"/>
        <v>46173</v>
      </c>
      <c r="D2525" s="120">
        <f t="shared" si="975"/>
        <v>31</v>
      </c>
      <c r="E2525" s="120">
        <f t="shared" si="976"/>
        <v>5</v>
      </c>
      <c r="F2525" s="275">
        <f t="shared" si="977"/>
        <v>46158.5</v>
      </c>
      <c r="G2525" s="120">
        <f t="shared" si="978"/>
        <v>24316</v>
      </c>
      <c r="H2525" s="245">
        <f t="shared" si="979"/>
        <v>1</v>
      </c>
      <c r="I2525" s="121">
        <f t="shared" si="980"/>
        <v>1</v>
      </c>
      <c r="J2525" s="121">
        <f t="shared" si="981"/>
        <v>1</v>
      </c>
      <c r="K2525" s="120">
        <f t="shared" si="982"/>
        <v>0</v>
      </c>
      <c r="L2525" s="120">
        <f t="shared" si="983"/>
        <v>0</v>
      </c>
      <c r="M2525" s="246">
        <f t="shared" si="984"/>
        <v>0</v>
      </c>
      <c r="N2525" s="121">
        <f t="shared" si="985"/>
        <v>1</v>
      </c>
      <c r="O2525" s="246">
        <f t="shared" si="986"/>
        <v>0.91</v>
      </c>
      <c r="P2525" s="121">
        <f t="shared" si="987"/>
        <v>1</v>
      </c>
      <c r="Q2525" s="121">
        <f t="shared" si="988"/>
        <v>0</v>
      </c>
      <c r="R2525" s="121">
        <f t="shared" si="989"/>
        <v>0</v>
      </c>
      <c r="S2525" s="121" t="str">
        <f t="shared" si="990"/>
        <v/>
      </c>
      <c r="T2525" s="121" t="str">
        <f t="shared" si="991"/>
        <v/>
      </c>
      <c r="U2525" s="121">
        <f t="shared" si="992"/>
        <v>1</v>
      </c>
    </row>
    <row r="2526" spans="1:21" x14ac:dyDescent="0.3">
      <c r="A2526" s="187">
        <v>18</v>
      </c>
      <c r="B2526" s="242">
        <f t="shared" si="993"/>
        <v>46174</v>
      </c>
      <c r="C2526" s="243">
        <f t="shared" si="974"/>
        <v>46203</v>
      </c>
      <c r="D2526" s="120">
        <f t="shared" si="975"/>
        <v>30</v>
      </c>
      <c r="E2526" s="120">
        <f t="shared" si="976"/>
        <v>6</v>
      </c>
      <c r="F2526" s="275">
        <f t="shared" si="977"/>
        <v>46189</v>
      </c>
      <c r="G2526" s="120">
        <f t="shared" si="978"/>
        <v>24317</v>
      </c>
      <c r="H2526" s="245">
        <f t="shared" si="979"/>
        <v>1</v>
      </c>
      <c r="I2526" s="121">
        <f t="shared" si="980"/>
        <v>1</v>
      </c>
      <c r="J2526" s="121">
        <f t="shared" si="981"/>
        <v>1</v>
      </c>
      <c r="K2526" s="120">
        <f t="shared" si="982"/>
        <v>0</v>
      </c>
      <c r="L2526" s="120">
        <f t="shared" si="983"/>
        <v>0</v>
      </c>
      <c r="M2526" s="246">
        <f t="shared" si="984"/>
        <v>0</v>
      </c>
      <c r="N2526" s="121">
        <f t="shared" si="985"/>
        <v>1</v>
      </c>
      <c r="O2526" s="246">
        <f t="shared" si="986"/>
        <v>0.91</v>
      </c>
      <c r="P2526" s="121">
        <f t="shared" si="987"/>
        <v>1</v>
      </c>
      <c r="Q2526" s="121">
        <f t="shared" si="988"/>
        <v>0</v>
      </c>
      <c r="R2526" s="121">
        <f t="shared" si="989"/>
        <v>0</v>
      </c>
      <c r="S2526" s="121" t="str">
        <f t="shared" si="990"/>
        <v/>
      </c>
      <c r="T2526" s="121" t="str">
        <f t="shared" si="991"/>
        <v/>
      </c>
      <c r="U2526" s="121">
        <f t="shared" si="992"/>
        <v>1</v>
      </c>
    </row>
    <row r="2527" spans="1:21" x14ac:dyDescent="0.3">
      <c r="A2527" s="187">
        <v>19</v>
      </c>
      <c r="B2527" s="242">
        <f t="shared" si="993"/>
        <v>46204</v>
      </c>
      <c r="C2527" s="243">
        <f t="shared" si="974"/>
        <v>46234</v>
      </c>
      <c r="D2527" s="120">
        <f t="shared" si="975"/>
        <v>31</v>
      </c>
      <c r="E2527" s="120">
        <f t="shared" si="976"/>
        <v>7</v>
      </c>
      <c r="F2527" s="275">
        <f t="shared" si="977"/>
        <v>46219.5</v>
      </c>
      <c r="G2527" s="120">
        <f t="shared" si="978"/>
        <v>24318</v>
      </c>
      <c r="H2527" s="245">
        <f t="shared" si="979"/>
        <v>1</v>
      </c>
      <c r="I2527" s="121">
        <f t="shared" si="980"/>
        <v>1</v>
      </c>
      <c r="J2527" s="121">
        <f t="shared" si="981"/>
        <v>1</v>
      </c>
      <c r="K2527" s="120">
        <f t="shared" si="982"/>
        <v>0</v>
      </c>
      <c r="L2527" s="120">
        <f t="shared" si="983"/>
        <v>0</v>
      </c>
      <c r="M2527" s="246">
        <f t="shared" si="984"/>
        <v>0</v>
      </c>
      <c r="N2527" s="121">
        <f t="shared" si="985"/>
        <v>1</v>
      </c>
      <c r="O2527" s="246">
        <f t="shared" si="986"/>
        <v>0.91</v>
      </c>
      <c r="P2527" s="121">
        <f t="shared" si="987"/>
        <v>0.91666666666666663</v>
      </c>
      <c r="Q2527" s="121">
        <f t="shared" si="988"/>
        <v>8.333333333333337E-2</v>
      </c>
      <c r="R2527" s="121">
        <f t="shared" si="989"/>
        <v>0</v>
      </c>
      <c r="S2527" s="121" t="str">
        <f t="shared" si="990"/>
        <v/>
      </c>
      <c r="T2527" s="121" t="str">
        <f t="shared" si="991"/>
        <v/>
      </c>
      <c r="U2527" s="121">
        <f t="shared" si="992"/>
        <v>1</v>
      </c>
    </row>
    <row r="2528" spans="1:21" x14ac:dyDescent="0.3">
      <c r="A2528" s="187">
        <v>20</v>
      </c>
      <c r="B2528" s="242">
        <f t="shared" si="993"/>
        <v>46235</v>
      </c>
      <c r="C2528" s="243">
        <f t="shared" si="974"/>
        <v>46265</v>
      </c>
      <c r="D2528" s="120">
        <f t="shared" si="975"/>
        <v>31</v>
      </c>
      <c r="E2528" s="120">
        <f t="shared" si="976"/>
        <v>8</v>
      </c>
      <c r="F2528" s="275">
        <f t="shared" si="977"/>
        <v>46250.5</v>
      </c>
      <c r="G2528" s="120">
        <f t="shared" si="978"/>
        <v>24319</v>
      </c>
      <c r="H2528" s="245">
        <f t="shared" si="979"/>
        <v>1</v>
      </c>
      <c r="I2528" s="121">
        <f t="shared" si="980"/>
        <v>1</v>
      </c>
      <c r="J2528" s="121">
        <f t="shared" si="981"/>
        <v>1</v>
      </c>
      <c r="K2528" s="120">
        <f t="shared" si="982"/>
        <v>0</v>
      </c>
      <c r="L2528" s="120">
        <f t="shared" si="983"/>
        <v>0</v>
      </c>
      <c r="M2528" s="246">
        <f t="shared" si="984"/>
        <v>0</v>
      </c>
      <c r="N2528" s="121">
        <f t="shared" si="985"/>
        <v>1</v>
      </c>
      <c r="O2528" s="246">
        <f t="shared" si="986"/>
        <v>0.91</v>
      </c>
      <c r="P2528" s="121">
        <f t="shared" si="987"/>
        <v>0.75</v>
      </c>
      <c r="Q2528" s="121">
        <f t="shared" si="988"/>
        <v>0.25</v>
      </c>
      <c r="R2528" s="121">
        <f t="shared" si="989"/>
        <v>0</v>
      </c>
      <c r="S2528" s="121" t="str">
        <f t="shared" si="990"/>
        <v/>
      </c>
      <c r="T2528" s="121" t="str">
        <f t="shared" si="991"/>
        <v/>
      </c>
      <c r="U2528" s="121">
        <f t="shared" si="992"/>
        <v>1</v>
      </c>
    </row>
    <row r="2529" spans="1:21" x14ac:dyDescent="0.3">
      <c r="A2529" s="187">
        <v>21</v>
      </c>
      <c r="B2529" s="242">
        <f t="shared" si="993"/>
        <v>46266</v>
      </c>
      <c r="C2529" s="243">
        <f t="shared" si="974"/>
        <v>46295</v>
      </c>
      <c r="D2529" s="120">
        <f t="shared" si="975"/>
        <v>30</v>
      </c>
      <c r="E2529" s="120">
        <f t="shared" si="976"/>
        <v>9</v>
      </c>
      <c r="F2529" s="275">
        <f t="shared" si="977"/>
        <v>46281</v>
      </c>
      <c r="G2529" s="120">
        <f t="shared" si="978"/>
        <v>24320</v>
      </c>
      <c r="H2529" s="245">
        <f t="shared" si="979"/>
        <v>1</v>
      </c>
      <c r="I2529" s="121">
        <f t="shared" si="980"/>
        <v>1</v>
      </c>
      <c r="J2529" s="121">
        <f t="shared" si="981"/>
        <v>1</v>
      </c>
      <c r="K2529" s="120">
        <f t="shared" si="982"/>
        <v>0</v>
      </c>
      <c r="L2529" s="120">
        <f t="shared" si="983"/>
        <v>0</v>
      </c>
      <c r="M2529" s="246">
        <f t="shared" si="984"/>
        <v>0</v>
      </c>
      <c r="N2529" s="121">
        <f t="shared" si="985"/>
        <v>1</v>
      </c>
      <c r="O2529" s="246">
        <f t="shared" si="986"/>
        <v>0.91</v>
      </c>
      <c r="P2529" s="121">
        <f t="shared" si="987"/>
        <v>0.58333333333333337</v>
      </c>
      <c r="Q2529" s="121">
        <f t="shared" si="988"/>
        <v>0.41666666666666663</v>
      </c>
      <c r="R2529" s="121">
        <f t="shared" si="989"/>
        <v>0</v>
      </c>
      <c r="S2529" s="121" t="str">
        <f t="shared" si="990"/>
        <v/>
      </c>
      <c r="T2529" s="121" t="str">
        <f t="shared" si="991"/>
        <v/>
      </c>
      <c r="U2529" s="121">
        <f t="shared" si="992"/>
        <v>1</v>
      </c>
    </row>
    <row r="2530" spans="1:21" x14ac:dyDescent="0.3">
      <c r="A2530" s="187">
        <v>22</v>
      </c>
      <c r="B2530" s="242">
        <f t="shared" si="993"/>
        <v>46296</v>
      </c>
      <c r="C2530" s="243">
        <f t="shared" si="974"/>
        <v>46326</v>
      </c>
      <c r="D2530" s="120">
        <f t="shared" si="975"/>
        <v>31</v>
      </c>
      <c r="E2530" s="120">
        <f t="shared" si="976"/>
        <v>10</v>
      </c>
      <c r="F2530" s="275">
        <f t="shared" si="977"/>
        <v>46311.5</v>
      </c>
      <c r="G2530" s="120">
        <f t="shared" si="978"/>
        <v>24321</v>
      </c>
      <c r="H2530" s="245">
        <f t="shared" si="979"/>
        <v>1</v>
      </c>
      <c r="I2530" s="121">
        <f t="shared" si="980"/>
        <v>1</v>
      </c>
      <c r="J2530" s="121">
        <f t="shared" si="981"/>
        <v>1.02</v>
      </c>
      <c r="K2530" s="120">
        <f t="shared" si="982"/>
        <v>1</v>
      </c>
      <c r="L2530" s="120">
        <f t="shared" si="983"/>
        <v>31</v>
      </c>
      <c r="M2530" s="246">
        <f t="shared" si="984"/>
        <v>1</v>
      </c>
      <c r="N2530" s="121">
        <f t="shared" si="985"/>
        <v>1.02</v>
      </c>
      <c r="O2530" s="246">
        <f t="shared" si="986"/>
        <v>0.91</v>
      </c>
      <c r="P2530" s="121">
        <f t="shared" si="987"/>
        <v>0.41666666666666669</v>
      </c>
      <c r="Q2530" s="121">
        <f t="shared" si="988"/>
        <v>0.58333333333333326</v>
      </c>
      <c r="R2530" s="121">
        <f t="shared" si="989"/>
        <v>0</v>
      </c>
      <c r="S2530" s="121" t="str">
        <f t="shared" si="990"/>
        <v/>
      </c>
      <c r="T2530" s="121" t="str">
        <f t="shared" si="991"/>
        <v/>
      </c>
      <c r="U2530" s="121">
        <f t="shared" si="992"/>
        <v>1.02</v>
      </c>
    </row>
    <row r="2531" spans="1:21" x14ac:dyDescent="0.3">
      <c r="A2531" s="187">
        <v>23</v>
      </c>
      <c r="B2531" s="242">
        <f t="shared" si="993"/>
        <v>46327</v>
      </c>
      <c r="C2531" s="243">
        <f t="shared" si="974"/>
        <v>46356</v>
      </c>
      <c r="D2531" s="120">
        <f t="shared" si="975"/>
        <v>30</v>
      </c>
      <c r="E2531" s="120">
        <f t="shared" si="976"/>
        <v>11</v>
      </c>
      <c r="F2531" s="275">
        <f t="shared" si="977"/>
        <v>46342</v>
      </c>
      <c r="G2531" s="120">
        <f t="shared" si="978"/>
        <v>24322</v>
      </c>
      <c r="H2531" s="245">
        <f t="shared" si="979"/>
        <v>1</v>
      </c>
      <c r="I2531" s="121">
        <f t="shared" si="980"/>
        <v>1.02</v>
      </c>
      <c r="J2531" s="121">
        <f t="shared" si="981"/>
        <v>1.02</v>
      </c>
      <c r="K2531" s="120">
        <f t="shared" si="982"/>
        <v>0</v>
      </c>
      <c r="L2531" s="120">
        <f t="shared" si="983"/>
        <v>0</v>
      </c>
      <c r="M2531" s="246">
        <f t="shared" si="984"/>
        <v>0</v>
      </c>
      <c r="N2531" s="121">
        <f t="shared" si="985"/>
        <v>1.02</v>
      </c>
      <c r="O2531" s="246">
        <f t="shared" si="986"/>
        <v>0.91</v>
      </c>
      <c r="P2531" s="121">
        <f t="shared" si="987"/>
        <v>0.25</v>
      </c>
      <c r="Q2531" s="121">
        <f t="shared" si="988"/>
        <v>0.75</v>
      </c>
      <c r="R2531" s="121">
        <f t="shared" si="989"/>
        <v>0</v>
      </c>
      <c r="S2531" s="121" t="str">
        <f t="shared" si="990"/>
        <v/>
      </c>
      <c r="T2531" s="121" t="str">
        <f t="shared" si="991"/>
        <v/>
      </c>
      <c r="U2531" s="121">
        <f t="shared" si="992"/>
        <v>1.02</v>
      </c>
    </row>
    <row r="2532" spans="1:21" x14ac:dyDescent="0.3">
      <c r="A2532" s="187">
        <v>24</v>
      </c>
      <c r="B2532" s="242">
        <f t="shared" si="993"/>
        <v>46357</v>
      </c>
      <c r="C2532" s="243">
        <f t="shared" si="974"/>
        <v>46387</v>
      </c>
      <c r="D2532" s="120">
        <f t="shared" si="975"/>
        <v>31</v>
      </c>
      <c r="E2532" s="120">
        <f t="shared" si="976"/>
        <v>12</v>
      </c>
      <c r="F2532" s="275">
        <f t="shared" si="977"/>
        <v>46372.5</v>
      </c>
      <c r="G2532" s="120">
        <f t="shared" si="978"/>
        <v>24323</v>
      </c>
      <c r="H2532" s="245">
        <f t="shared" si="979"/>
        <v>1</v>
      </c>
      <c r="I2532" s="121">
        <f t="shared" si="980"/>
        <v>1.02</v>
      </c>
      <c r="J2532" s="121">
        <f t="shared" si="981"/>
        <v>1.02</v>
      </c>
      <c r="K2532" s="120">
        <f t="shared" si="982"/>
        <v>0</v>
      </c>
      <c r="L2532" s="120">
        <f t="shared" si="983"/>
        <v>0</v>
      </c>
      <c r="M2532" s="246">
        <f t="shared" si="984"/>
        <v>0</v>
      </c>
      <c r="N2532" s="121">
        <f t="shared" si="985"/>
        <v>1.02</v>
      </c>
      <c r="O2532" s="246">
        <f t="shared" si="986"/>
        <v>0.91</v>
      </c>
      <c r="P2532" s="121">
        <f t="shared" si="987"/>
        <v>8.3333333333333329E-2</v>
      </c>
      <c r="Q2532" s="121">
        <f t="shared" si="988"/>
        <v>0.91666666666666663</v>
      </c>
      <c r="R2532" s="121">
        <f t="shared" si="989"/>
        <v>0</v>
      </c>
      <c r="S2532" s="121" t="str">
        <f t="shared" si="990"/>
        <v/>
      </c>
      <c r="T2532" s="121" t="str">
        <f t="shared" si="991"/>
        <v/>
      </c>
      <c r="U2532" s="121">
        <f t="shared" si="992"/>
        <v>1.02</v>
      </c>
    </row>
    <row r="2533" spans="1:21" x14ac:dyDescent="0.3">
      <c r="A2533" s="187">
        <v>25</v>
      </c>
      <c r="B2533" s="242">
        <f t="shared" si="993"/>
        <v>46388</v>
      </c>
      <c r="C2533" s="243">
        <f t="shared" si="974"/>
        <v>46418</v>
      </c>
      <c r="D2533" s="120">
        <f t="shared" si="975"/>
        <v>31</v>
      </c>
      <c r="E2533" s="120">
        <f t="shared" si="976"/>
        <v>1</v>
      </c>
      <c r="F2533" s="275">
        <f t="shared" si="977"/>
        <v>46403.5</v>
      </c>
      <c r="G2533" s="120">
        <f t="shared" si="978"/>
        <v>24324</v>
      </c>
      <c r="H2533" s="245">
        <f t="shared" si="979"/>
        <v>1</v>
      </c>
      <c r="I2533" s="121">
        <f t="shared" si="980"/>
        <v>1.02</v>
      </c>
      <c r="J2533" s="121">
        <f t="shared" si="981"/>
        <v>1.02</v>
      </c>
      <c r="K2533" s="120">
        <f t="shared" si="982"/>
        <v>0</v>
      </c>
      <c r="L2533" s="120">
        <f t="shared" si="983"/>
        <v>0</v>
      </c>
      <c r="M2533" s="246">
        <f t="shared" si="984"/>
        <v>0</v>
      </c>
      <c r="N2533" s="121">
        <f t="shared" si="985"/>
        <v>1.02</v>
      </c>
      <c r="O2533" s="246">
        <f t="shared" si="986"/>
        <v>0.91</v>
      </c>
      <c r="P2533" s="121">
        <f t="shared" si="987"/>
        <v>0</v>
      </c>
      <c r="Q2533" s="121">
        <f t="shared" si="988"/>
        <v>1</v>
      </c>
      <c r="R2533" s="121">
        <f t="shared" si="989"/>
        <v>0</v>
      </c>
      <c r="S2533" s="121" t="str">
        <f t="shared" si="990"/>
        <v/>
      </c>
      <c r="T2533" s="121" t="str">
        <f t="shared" si="991"/>
        <v/>
      </c>
      <c r="U2533" s="121">
        <f t="shared" si="992"/>
        <v>1.02</v>
      </c>
    </row>
    <row r="2534" spans="1:21" x14ac:dyDescent="0.3">
      <c r="A2534" s="187">
        <v>26</v>
      </c>
      <c r="B2534" s="242">
        <f t="shared" si="993"/>
        <v>46419</v>
      </c>
      <c r="C2534" s="243">
        <f t="shared" si="974"/>
        <v>46446</v>
      </c>
      <c r="D2534" s="120">
        <f t="shared" si="975"/>
        <v>28</v>
      </c>
      <c r="E2534" s="120">
        <f t="shared" si="976"/>
        <v>2</v>
      </c>
      <c r="F2534" s="275">
        <f t="shared" si="977"/>
        <v>46433</v>
      </c>
      <c r="G2534" s="120">
        <f t="shared" si="978"/>
        <v>24325</v>
      </c>
      <c r="H2534" s="245">
        <f t="shared" si="979"/>
        <v>1</v>
      </c>
      <c r="I2534" s="121">
        <f t="shared" si="980"/>
        <v>1.02</v>
      </c>
      <c r="J2534" s="121">
        <f t="shared" si="981"/>
        <v>1.02</v>
      </c>
      <c r="K2534" s="120">
        <f t="shared" si="982"/>
        <v>0</v>
      </c>
      <c r="L2534" s="120">
        <f t="shared" si="983"/>
        <v>0</v>
      </c>
      <c r="M2534" s="246">
        <f t="shared" si="984"/>
        <v>0</v>
      </c>
      <c r="N2534" s="121">
        <f t="shared" si="985"/>
        <v>1.02</v>
      </c>
      <c r="O2534" s="246">
        <f t="shared" si="986"/>
        <v>0.91</v>
      </c>
      <c r="P2534" s="121">
        <f t="shared" si="987"/>
        <v>0</v>
      </c>
      <c r="Q2534" s="121">
        <f t="shared" si="988"/>
        <v>1</v>
      </c>
      <c r="R2534" s="121">
        <f t="shared" si="989"/>
        <v>0</v>
      </c>
      <c r="S2534" s="121" t="str">
        <f t="shared" si="990"/>
        <v/>
      </c>
      <c r="T2534" s="121" t="str">
        <f t="shared" si="991"/>
        <v/>
      </c>
      <c r="U2534" s="121">
        <f t="shared" si="992"/>
        <v>1.02</v>
      </c>
    </row>
    <row r="2535" spans="1:21" x14ac:dyDescent="0.3">
      <c r="A2535" s="187">
        <v>27</v>
      </c>
      <c r="B2535" s="242">
        <f t="shared" si="993"/>
        <v>46447</v>
      </c>
      <c r="C2535" s="243">
        <f t="shared" si="974"/>
        <v>46477</v>
      </c>
      <c r="D2535" s="120">
        <f t="shared" si="975"/>
        <v>31</v>
      </c>
      <c r="E2535" s="120">
        <f t="shared" si="976"/>
        <v>3</v>
      </c>
      <c r="F2535" s="275">
        <f t="shared" si="977"/>
        <v>46462.5</v>
      </c>
      <c r="G2535" s="120">
        <f t="shared" si="978"/>
        <v>24326</v>
      </c>
      <c r="H2535" s="245">
        <f t="shared" si="979"/>
        <v>1</v>
      </c>
      <c r="I2535" s="121">
        <f t="shared" si="980"/>
        <v>1.02</v>
      </c>
      <c r="J2535" s="121">
        <f t="shared" si="981"/>
        <v>1.02</v>
      </c>
      <c r="K2535" s="120">
        <f t="shared" si="982"/>
        <v>0</v>
      </c>
      <c r="L2535" s="120">
        <f t="shared" si="983"/>
        <v>0</v>
      </c>
      <c r="M2535" s="246">
        <f t="shared" si="984"/>
        <v>0</v>
      </c>
      <c r="N2535" s="121">
        <f t="shared" si="985"/>
        <v>1.02</v>
      </c>
      <c r="O2535" s="246">
        <f t="shared" si="986"/>
        <v>0.91</v>
      </c>
      <c r="P2535" s="121">
        <f t="shared" si="987"/>
        <v>0</v>
      </c>
      <c r="Q2535" s="121">
        <f t="shared" si="988"/>
        <v>1</v>
      </c>
      <c r="R2535" s="121">
        <f t="shared" si="989"/>
        <v>0</v>
      </c>
      <c r="S2535" s="121" t="str">
        <f t="shared" si="990"/>
        <v/>
      </c>
      <c r="T2535" s="121" t="str">
        <f t="shared" si="991"/>
        <v/>
      </c>
      <c r="U2535" s="121">
        <f t="shared" si="992"/>
        <v>1.02</v>
      </c>
    </row>
    <row r="2536" spans="1:21" x14ac:dyDescent="0.3">
      <c r="A2536" s="187">
        <v>28</v>
      </c>
      <c r="B2536" s="242">
        <f t="shared" si="993"/>
        <v>46478</v>
      </c>
      <c r="C2536" s="243">
        <f t="shared" si="974"/>
        <v>46507</v>
      </c>
      <c r="D2536" s="120">
        <f t="shared" si="975"/>
        <v>30</v>
      </c>
      <c r="E2536" s="120">
        <f t="shared" si="976"/>
        <v>4</v>
      </c>
      <c r="F2536" s="275">
        <f t="shared" si="977"/>
        <v>46493</v>
      </c>
      <c r="G2536" s="120">
        <f t="shared" si="978"/>
        <v>24327</v>
      </c>
      <c r="H2536" s="245">
        <f t="shared" si="979"/>
        <v>1</v>
      </c>
      <c r="I2536" s="121">
        <f t="shared" si="980"/>
        <v>1.02</v>
      </c>
      <c r="J2536" s="121">
        <f t="shared" si="981"/>
        <v>1.02</v>
      </c>
      <c r="K2536" s="120">
        <f t="shared" si="982"/>
        <v>0</v>
      </c>
      <c r="L2536" s="120">
        <f t="shared" si="983"/>
        <v>0</v>
      </c>
      <c r="M2536" s="246">
        <f t="shared" si="984"/>
        <v>0</v>
      </c>
      <c r="N2536" s="121">
        <f t="shared" si="985"/>
        <v>1.02</v>
      </c>
      <c r="O2536" s="246">
        <f t="shared" si="986"/>
        <v>0.91</v>
      </c>
      <c r="P2536" s="121">
        <f t="shared" si="987"/>
        <v>0</v>
      </c>
      <c r="Q2536" s="121">
        <f t="shared" si="988"/>
        <v>1</v>
      </c>
      <c r="R2536" s="121">
        <f t="shared" si="989"/>
        <v>0</v>
      </c>
      <c r="S2536" s="121" t="str">
        <f t="shared" si="990"/>
        <v/>
      </c>
      <c r="T2536" s="121" t="str">
        <f t="shared" si="991"/>
        <v/>
      </c>
      <c r="U2536" s="121">
        <f t="shared" si="992"/>
        <v>1.02</v>
      </c>
    </row>
    <row r="2537" spans="1:21" x14ac:dyDescent="0.3">
      <c r="A2537" s="187">
        <v>29</v>
      </c>
      <c r="B2537" s="242">
        <f t="shared" si="993"/>
        <v>46508</v>
      </c>
      <c r="C2537" s="243">
        <f t="shared" si="974"/>
        <v>46538</v>
      </c>
      <c r="D2537" s="120">
        <f t="shared" si="975"/>
        <v>31</v>
      </c>
      <c r="E2537" s="120">
        <f t="shared" si="976"/>
        <v>5</v>
      </c>
      <c r="F2537" s="275">
        <f t="shared" si="977"/>
        <v>46523.5</v>
      </c>
      <c r="G2537" s="120">
        <f t="shared" si="978"/>
        <v>24328</v>
      </c>
      <c r="H2537" s="245">
        <f t="shared" si="979"/>
        <v>1</v>
      </c>
      <c r="I2537" s="121">
        <f t="shared" si="980"/>
        <v>1.02</v>
      </c>
      <c r="J2537" s="121">
        <f t="shared" si="981"/>
        <v>1.02</v>
      </c>
      <c r="K2537" s="120">
        <f t="shared" si="982"/>
        <v>0</v>
      </c>
      <c r="L2537" s="120">
        <f t="shared" si="983"/>
        <v>0</v>
      </c>
      <c r="M2537" s="246">
        <f t="shared" si="984"/>
        <v>0</v>
      </c>
      <c r="N2537" s="121">
        <f t="shared" si="985"/>
        <v>1.02</v>
      </c>
      <c r="O2537" s="246">
        <f t="shared" si="986"/>
        <v>0.91</v>
      </c>
      <c r="P2537" s="121">
        <f t="shared" si="987"/>
        <v>0</v>
      </c>
      <c r="Q2537" s="121">
        <f t="shared" si="988"/>
        <v>1</v>
      </c>
      <c r="R2537" s="121">
        <f t="shared" si="989"/>
        <v>0</v>
      </c>
      <c r="S2537" s="121" t="str">
        <f t="shared" si="990"/>
        <v/>
      </c>
      <c r="T2537" s="121" t="str">
        <f t="shared" si="991"/>
        <v/>
      </c>
      <c r="U2537" s="121">
        <f t="shared" si="992"/>
        <v>1.02</v>
      </c>
    </row>
    <row r="2538" spans="1:21" x14ac:dyDescent="0.3">
      <c r="A2538" s="187">
        <v>30</v>
      </c>
      <c r="B2538" s="242">
        <f t="shared" si="993"/>
        <v>46539</v>
      </c>
      <c r="C2538" s="243">
        <f t="shared" si="974"/>
        <v>46568</v>
      </c>
      <c r="D2538" s="120">
        <f t="shared" si="975"/>
        <v>30</v>
      </c>
      <c r="E2538" s="120">
        <f t="shared" si="976"/>
        <v>6</v>
      </c>
      <c r="F2538" s="275">
        <f t="shared" si="977"/>
        <v>46554</v>
      </c>
      <c r="G2538" s="120">
        <f t="shared" si="978"/>
        <v>24329</v>
      </c>
      <c r="H2538" s="245">
        <f t="shared" si="979"/>
        <v>1</v>
      </c>
      <c r="I2538" s="121">
        <f t="shared" si="980"/>
        <v>1.02</v>
      </c>
      <c r="J2538" s="121">
        <f t="shared" si="981"/>
        <v>1.0608</v>
      </c>
      <c r="K2538" s="120">
        <f t="shared" si="982"/>
        <v>1</v>
      </c>
      <c r="L2538" s="120">
        <f t="shared" si="983"/>
        <v>30</v>
      </c>
      <c r="M2538" s="246">
        <f t="shared" si="984"/>
        <v>1</v>
      </c>
      <c r="N2538" s="121">
        <f t="shared" si="985"/>
        <v>1.0608</v>
      </c>
      <c r="O2538" s="246">
        <f t="shared" si="986"/>
        <v>0.91</v>
      </c>
      <c r="P2538" s="121">
        <f t="shared" si="987"/>
        <v>0</v>
      </c>
      <c r="Q2538" s="121">
        <f t="shared" si="988"/>
        <v>1</v>
      </c>
      <c r="R2538" s="121">
        <f t="shared" si="989"/>
        <v>0</v>
      </c>
      <c r="S2538" s="121" t="str">
        <f t="shared" si="990"/>
        <v/>
      </c>
      <c r="T2538" s="121" t="str">
        <f t="shared" si="991"/>
        <v/>
      </c>
      <c r="U2538" s="121">
        <f t="shared" si="992"/>
        <v>1.0608</v>
      </c>
    </row>
    <row r="2539" spans="1:21" x14ac:dyDescent="0.3">
      <c r="A2539" s="187">
        <v>31</v>
      </c>
      <c r="B2539" s="242">
        <f t="shared" si="993"/>
        <v>46569</v>
      </c>
      <c r="C2539" s="243">
        <f t="shared" si="974"/>
        <v>46599</v>
      </c>
      <c r="D2539" s="120">
        <f t="shared" si="975"/>
        <v>31</v>
      </c>
      <c r="E2539" s="120">
        <f t="shared" si="976"/>
        <v>7</v>
      </c>
      <c r="F2539" s="275">
        <f t="shared" si="977"/>
        <v>46584.5</v>
      </c>
      <c r="G2539" s="120">
        <f t="shared" si="978"/>
        <v>24330</v>
      </c>
      <c r="H2539" s="245">
        <f t="shared" si="979"/>
        <v>1</v>
      </c>
      <c r="I2539" s="121">
        <f t="shared" si="980"/>
        <v>1.0608</v>
      </c>
      <c r="J2539" s="121">
        <f t="shared" si="981"/>
        <v>1.0608</v>
      </c>
      <c r="K2539" s="120">
        <f t="shared" si="982"/>
        <v>0</v>
      </c>
      <c r="L2539" s="120">
        <f t="shared" si="983"/>
        <v>0</v>
      </c>
      <c r="M2539" s="246">
        <f t="shared" si="984"/>
        <v>0</v>
      </c>
      <c r="N2539" s="121">
        <f t="shared" si="985"/>
        <v>1.0608</v>
      </c>
      <c r="O2539" s="246">
        <f t="shared" si="986"/>
        <v>0.91</v>
      </c>
      <c r="P2539" s="121">
        <f t="shared" si="987"/>
        <v>0</v>
      </c>
      <c r="Q2539" s="121">
        <f t="shared" si="988"/>
        <v>0.91666666666666663</v>
      </c>
      <c r="R2539" s="121">
        <f t="shared" si="989"/>
        <v>8.333333333333337E-2</v>
      </c>
      <c r="S2539" s="121" t="str">
        <f t="shared" si="990"/>
        <v/>
      </c>
      <c r="T2539" s="121" t="str">
        <f t="shared" si="991"/>
        <v/>
      </c>
      <c r="U2539" s="121">
        <f t="shared" si="992"/>
        <v>1.0608</v>
      </c>
    </row>
    <row r="2540" spans="1:21" x14ac:dyDescent="0.3">
      <c r="A2540" s="187">
        <v>32</v>
      </c>
      <c r="B2540" s="242">
        <f t="shared" si="993"/>
        <v>46600</v>
      </c>
      <c r="C2540" s="243">
        <f t="shared" si="974"/>
        <v>46630</v>
      </c>
      <c r="D2540" s="120">
        <f t="shared" si="975"/>
        <v>31</v>
      </c>
      <c r="E2540" s="120">
        <f t="shared" si="976"/>
        <v>8</v>
      </c>
      <c r="F2540" s="275">
        <f t="shared" si="977"/>
        <v>46615.5</v>
      </c>
      <c r="G2540" s="120">
        <f t="shared" si="978"/>
        <v>24331</v>
      </c>
      <c r="H2540" s="245">
        <f t="shared" si="979"/>
        <v>1</v>
      </c>
      <c r="I2540" s="121">
        <f t="shared" si="980"/>
        <v>1.0608</v>
      </c>
      <c r="J2540" s="121">
        <f t="shared" si="981"/>
        <v>1.0608</v>
      </c>
      <c r="K2540" s="120">
        <f t="shared" si="982"/>
        <v>0</v>
      </c>
      <c r="L2540" s="120">
        <f t="shared" si="983"/>
        <v>0</v>
      </c>
      <c r="M2540" s="246">
        <f t="shared" si="984"/>
        <v>0</v>
      </c>
      <c r="N2540" s="121">
        <f t="shared" si="985"/>
        <v>1.0608</v>
      </c>
      <c r="O2540" s="246">
        <f t="shared" si="986"/>
        <v>0.91</v>
      </c>
      <c r="P2540" s="121">
        <f t="shared" si="987"/>
        <v>0</v>
      </c>
      <c r="Q2540" s="121">
        <f t="shared" si="988"/>
        <v>0.75</v>
      </c>
      <c r="R2540" s="121">
        <f t="shared" si="989"/>
        <v>0.25</v>
      </c>
      <c r="S2540" s="121" t="str">
        <f t="shared" si="990"/>
        <v/>
      </c>
      <c r="T2540" s="121" t="str">
        <f t="shared" si="991"/>
        <v/>
      </c>
      <c r="U2540" s="121">
        <f t="shared" si="992"/>
        <v>1.0608</v>
      </c>
    </row>
    <row r="2541" spans="1:21" x14ac:dyDescent="0.3">
      <c r="A2541" s="187">
        <v>33</v>
      </c>
      <c r="B2541" s="242">
        <f t="shared" si="993"/>
        <v>46631</v>
      </c>
      <c r="C2541" s="243">
        <f t="shared" si="974"/>
        <v>46660</v>
      </c>
      <c r="D2541" s="120">
        <f t="shared" si="975"/>
        <v>30</v>
      </c>
      <c r="E2541" s="120">
        <f t="shared" si="976"/>
        <v>9</v>
      </c>
      <c r="F2541" s="275">
        <f t="shared" si="977"/>
        <v>46646</v>
      </c>
      <c r="G2541" s="120">
        <f t="shared" si="978"/>
        <v>24332</v>
      </c>
      <c r="H2541" s="245">
        <f t="shared" si="979"/>
        <v>1</v>
      </c>
      <c r="I2541" s="121">
        <f t="shared" si="980"/>
        <v>1.0608</v>
      </c>
      <c r="J2541" s="121">
        <f t="shared" si="981"/>
        <v>1.0608</v>
      </c>
      <c r="K2541" s="120">
        <f t="shared" si="982"/>
        <v>0</v>
      </c>
      <c r="L2541" s="120">
        <f t="shared" si="983"/>
        <v>0</v>
      </c>
      <c r="M2541" s="246">
        <f t="shared" si="984"/>
        <v>0</v>
      </c>
      <c r="N2541" s="121">
        <f t="shared" si="985"/>
        <v>1.0608</v>
      </c>
      <c r="O2541" s="246">
        <f t="shared" si="986"/>
        <v>0.91</v>
      </c>
      <c r="P2541" s="121">
        <f t="shared" si="987"/>
        <v>0</v>
      </c>
      <c r="Q2541" s="121">
        <f t="shared" si="988"/>
        <v>0.58333333333333337</v>
      </c>
      <c r="R2541" s="121">
        <f t="shared" si="989"/>
        <v>0.41666666666666663</v>
      </c>
      <c r="S2541" s="121" t="str">
        <f t="shared" si="990"/>
        <v/>
      </c>
      <c r="T2541" s="121" t="str">
        <f t="shared" si="991"/>
        <v/>
      </c>
      <c r="U2541" s="121">
        <f t="shared" si="992"/>
        <v>1.0608</v>
      </c>
    </row>
    <row r="2542" spans="1:21" x14ac:dyDescent="0.3">
      <c r="A2542" s="187">
        <v>34</v>
      </c>
      <c r="B2542" s="242">
        <f t="shared" si="993"/>
        <v>46661</v>
      </c>
      <c r="C2542" s="243">
        <f t="shared" si="974"/>
        <v>46691</v>
      </c>
      <c r="D2542" s="120">
        <f t="shared" si="975"/>
        <v>31</v>
      </c>
      <c r="E2542" s="120">
        <f t="shared" si="976"/>
        <v>10</v>
      </c>
      <c r="F2542" s="275">
        <f t="shared" si="977"/>
        <v>46676.5</v>
      </c>
      <c r="G2542" s="120">
        <f t="shared" si="978"/>
        <v>24333</v>
      </c>
      <c r="H2542" s="245">
        <f t="shared" si="979"/>
        <v>1</v>
      </c>
      <c r="I2542" s="121">
        <f t="shared" si="980"/>
        <v>1.0608</v>
      </c>
      <c r="J2542" s="121">
        <f t="shared" si="981"/>
        <v>1.0608</v>
      </c>
      <c r="K2542" s="120">
        <f t="shared" si="982"/>
        <v>0</v>
      </c>
      <c r="L2542" s="120">
        <f t="shared" si="983"/>
        <v>0</v>
      </c>
      <c r="M2542" s="246">
        <f t="shared" si="984"/>
        <v>0</v>
      </c>
      <c r="N2542" s="121">
        <f t="shared" si="985"/>
        <v>1.0608</v>
      </c>
      <c r="O2542" s="246">
        <f t="shared" si="986"/>
        <v>0.91</v>
      </c>
      <c r="P2542" s="121">
        <f t="shared" si="987"/>
        <v>0</v>
      </c>
      <c r="Q2542" s="121">
        <f t="shared" si="988"/>
        <v>0.41666666666666669</v>
      </c>
      <c r="R2542" s="121">
        <f t="shared" si="989"/>
        <v>0.58333333333333326</v>
      </c>
      <c r="S2542" s="121" t="str">
        <f t="shared" si="990"/>
        <v/>
      </c>
      <c r="T2542" s="121" t="str">
        <f t="shared" si="991"/>
        <v/>
      </c>
      <c r="U2542" s="121">
        <f t="shared" si="992"/>
        <v>1.0608</v>
      </c>
    </row>
    <row r="2543" spans="1:21" x14ac:dyDescent="0.3">
      <c r="A2543" s="187">
        <v>35</v>
      </c>
      <c r="B2543" s="242">
        <f t="shared" si="993"/>
        <v>46692</v>
      </c>
      <c r="C2543" s="243">
        <f t="shared" si="974"/>
        <v>46721</v>
      </c>
      <c r="D2543" s="120">
        <f t="shared" si="975"/>
        <v>30</v>
      </c>
      <c r="E2543" s="120">
        <f t="shared" si="976"/>
        <v>11</v>
      </c>
      <c r="F2543" s="275">
        <f t="shared" si="977"/>
        <v>46707</v>
      </c>
      <c r="G2543" s="120">
        <f t="shared" si="978"/>
        <v>24334</v>
      </c>
      <c r="H2543" s="245">
        <f t="shared" si="979"/>
        <v>1</v>
      </c>
      <c r="I2543" s="121">
        <f t="shared" si="980"/>
        <v>1.0608</v>
      </c>
      <c r="J2543" s="121">
        <f t="shared" si="981"/>
        <v>1.0608</v>
      </c>
      <c r="K2543" s="120">
        <f t="shared" si="982"/>
        <v>0</v>
      </c>
      <c r="L2543" s="120">
        <f t="shared" si="983"/>
        <v>0</v>
      </c>
      <c r="M2543" s="246">
        <f t="shared" si="984"/>
        <v>0</v>
      </c>
      <c r="N2543" s="121">
        <f t="shared" si="985"/>
        <v>1.0608</v>
      </c>
      <c r="O2543" s="246">
        <f t="shared" si="986"/>
        <v>0.91</v>
      </c>
      <c r="P2543" s="121">
        <f t="shared" si="987"/>
        <v>0</v>
      </c>
      <c r="Q2543" s="121">
        <f t="shared" si="988"/>
        <v>0.25</v>
      </c>
      <c r="R2543" s="121">
        <f t="shared" si="989"/>
        <v>0.75</v>
      </c>
      <c r="S2543" s="121" t="str">
        <f t="shared" si="990"/>
        <v/>
      </c>
      <c r="T2543" s="121" t="str">
        <f t="shared" si="991"/>
        <v/>
      </c>
      <c r="U2543" s="121">
        <f t="shared" si="992"/>
        <v>1.0608</v>
      </c>
    </row>
    <row r="2544" spans="1:21" x14ac:dyDescent="0.3">
      <c r="A2544" s="187">
        <v>36</v>
      </c>
      <c r="B2544" s="242">
        <f t="shared" si="993"/>
        <v>46722</v>
      </c>
      <c r="C2544" s="243">
        <f t="shared" si="974"/>
        <v>46752</v>
      </c>
      <c r="D2544" s="120">
        <f t="shared" si="975"/>
        <v>31</v>
      </c>
      <c r="E2544" s="120">
        <f t="shared" si="976"/>
        <v>12</v>
      </c>
      <c r="F2544" s="275">
        <f t="shared" si="977"/>
        <v>46737.5</v>
      </c>
      <c r="G2544" s="120">
        <f t="shared" si="978"/>
        <v>24335</v>
      </c>
      <c r="H2544" s="245">
        <f t="shared" si="979"/>
        <v>1</v>
      </c>
      <c r="I2544" s="121">
        <f t="shared" si="980"/>
        <v>1.0608</v>
      </c>
      <c r="J2544" s="121">
        <f t="shared" si="981"/>
        <v>1.0608</v>
      </c>
      <c r="K2544" s="120">
        <f t="shared" si="982"/>
        <v>0</v>
      </c>
      <c r="L2544" s="120">
        <f t="shared" si="983"/>
        <v>0</v>
      </c>
      <c r="M2544" s="246">
        <f t="shared" si="984"/>
        <v>0</v>
      </c>
      <c r="N2544" s="121">
        <f t="shared" si="985"/>
        <v>1.0608</v>
      </c>
      <c r="O2544" s="246">
        <f t="shared" si="986"/>
        <v>0.91</v>
      </c>
      <c r="P2544" s="121">
        <f t="shared" si="987"/>
        <v>0</v>
      </c>
      <c r="Q2544" s="121">
        <f t="shared" si="988"/>
        <v>8.3333333333333329E-2</v>
      </c>
      <c r="R2544" s="121">
        <f t="shared" si="989"/>
        <v>0.91666666666666663</v>
      </c>
      <c r="S2544" s="121" t="str">
        <f t="shared" si="990"/>
        <v/>
      </c>
      <c r="T2544" s="121" t="str">
        <f t="shared" si="991"/>
        <v/>
      </c>
      <c r="U2544" s="121">
        <f t="shared" si="992"/>
        <v>1.0608</v>
      </c>
    </row>
    <row r="2545" spans="1:21" x14ac:dyDescent="0.3">
      <c r="A2545" s="187">
        <v>37</v>
      </c>
      <c r="B2545" s="242">
        <f t="shared" si="993"/>
        <v>46753</v>
      </c>
      <c r="C2545" s="243">
        <f t="shared" si="974"/>
        <v>46783</v>
      </c>
      <c r="D2545" s="120">
        <f t="shared" si="975"/>
        <v>31</v>
      </c>
      <c r="E2545" s="120">
        <f t="shared" si="976"/>
        <v>1</v>
      </c>
      <c r="F2545" s="275">
        <f t="shared" si="977"/>
        <v>46768.5</v>
      </c>
      <c r="G2545" s="120">
        <f t="shared" si="978"/>
        <v>24336</v>
      </c>
      <c r="H2545" s="245">
        <f t="shared" si="979"/>
        <v>1</v>
      </c>
      <c r="I2545" s="121">
        <f t="shared" si="980"/>
        <v>1.0608</v>
      </c>
      <c r="J2545" s="121">
        <f t="shared" si="981"/>
        <v>1.0608</v>
      </c>
      <c r="K2545" s="120">
        <f t="shared" si="982"/>
        <v>0</v>
      </c>
      <c r="L2545" s="120">
        <f t="shared" si="983"/>
        <v>0</v>
      </c>
      <c r="M2545" s="246">
        <f t="shared" si="984"/>
        <v>0</v>
      </c>
      <c r="N2545" s="121">
        <f t="shared" si="985"/>
        <v>1.0608</v>
      </c>
      <c r="O2545" s="246">
        <f t="shared" si="986"/>
        <v>0.91</v>
      </c>
      <c r="P2545" s="121">
        <f t="shared" si="987"/>
        <v>0</v>
      </c>
      <c r="Q2545" s="121">
        <f t="shared" si="988"/>
        <v>0</v>
      </c>
      <c r="R2545" s="121">
        <f t="shared" si="989"/>
        <v>1</v>
      </c>
      <c r="S2545" s="121" t="str">
        <f t="shared" si="990"/>
        <v/>
      </c>
      <c r="T2545" s="121" t="str">
        <f t="shared" si="991"/>
        <v/>
      </c>
      <c r="U2545" s="121">
        <f t="shared" si="992"/>
        <v>1.0608</v>
      </c>
    </row>
    <row r="2546" spans="1:21" x14ac:dyDescent="0.3">
      <c r="A2546" s="187">
        <v>38</v>
      </c>
      <c r="B2546" s="242">
        <f t="shared" si="993"/>
        <v>46784</v>
      </c>
      <c r="C2546" s="243">
        <f t="shared" si="974"/>
        <v>46812</v>
      </c>
      <c r="D2546" s="120">
        <f t="shared" si="975"/>
        <v>29</v>
      </c>
      <c r="E2546" s="120">
        <f t="shared" si="976"/>
        <v>2</v>
      </c>
      <c r="F2546" s="275">
        <f t="shared" si="977"/>
        <v>46798.5</v>
      </c>
      <c r="G2546" s="120">
        <f t="shared" si="978"/>
        <v>24337</v>
      </c>
      <c r="H2546" s="245">
        <f t="shared" si="979"/>
        <v>1</v>
      </c>
      <c r="I2546" s="121">
        <f t="shared" si="980"/>
        <v>1.0608</v>
      </c>
      <c r="J2546" s="121">
        <f t="shared" si="981"/>
        <v>1.0608</v>
      </c>
      <c r="K2546" s="120">
        <f t="shared" si="982"/>
        <v>0</v>
      </c>
      <c r="L2546" s="120">
        <f t="shared" si="983"/>
        <v>0</v>
      </c>
      <c r="M2546" s="246">
        <f t="shared" si="984"/>
        <v>0</v>
      </c>
      <c r="N2546" s="121">
        <f t="shared" si="985"/>
        <v>1.0608</v>
      </c>
      <c r="O2546" s="246">
        <f t="shared" si="986"/>
        <v>0.91</v>
      </c>
      <c r="P2546" s="121">
        <f t="shared" si="987"/>
        <v>0</v>
      </c>
      <c r="Q2546" s="121">
        <f t="shared" si="988"/>
        <v>0</v>
      </c>
      <c r="R2546" s="121">
        <f t="shared" si="989"/>
        <v>1</v>
      </c>
      <c r="S2546" s="121" t="str">
        <f t="shared" si="990"/>
        <v/>
      </c>
      <c r="T2546" s="121" t="str">
        <f t="shared" si="991"/>
        <v/>
      </c>
      <c r="U2546" s="121">
        <f t="shared" si="992"/>
        <v>1.0608</v>
      </c>
    </row>
    <row r="2547" spans="1:21" x14ac:dyDescent="0.3">
      <c r="A2547" s="187">
        <v>39</v>
      </c>
      <c r="B2547" s="242">
        <f t="shared" si="993"/>
        <v>46813</v>
      </c>
      <c r="C2547" s="243">
        <f t="shared" si="974"/>
        <v>46843</v>
      </c>
      <c r="D2547" s="120">
        <f t="shared" si="975"/>
        <v>31</v>
      </c>
      <c r="E2547" s="120">
        <f t="shared" si="976"/>
        <v>3</v>
      </c>
      <c r="F2547" s="275">
        <f t="shared" si="977"/>
        <v>46828.5</v>
      </c>
      <c r="G2547" s="120">
        <f t="shared" si="978"/>
        <v>24338</v>
      </c>
      <c r="H2547" s="245">
        <f t="shared" si="979"/>
        <v>1</v>
      </c>
      <c r="I2547" s="121">
        <f t="shared" si="980"/>
        <v>1.0608</v>
      </c>
      <c r="J2547" s="121">
        <f t="shared" si="981"/>
        <v>1.0608</v>
      </c>
      <c r="K2547" s="120">
        <f t="shared" si="982"/>
        <v>0</v>
      </c>
      <c r="L2547" s="120">
        <f t="shared" si="983"/>
        <v>0</v>
      </c>
      <c r="M2547" s="246">
        <f t="shared" si="984"/>
        <v>0</v>
      </c>
      <c r="N2547" s="121">
        <f t="shared" si="985"/>
        <v>1.0608</v>
      </c>
      <c r="O2547" s="246">
        <f t="shared" si="986"/>
        <v>0.91</v>
      </c>
      <c r="P2547" s="121">
        <f t="shared" si="987"/>
        <v>0</v>
      </c>
      <c r="Q2547" s="121">
        <f t="shared" si="988"/>
        <v>0</v>
      </c>
      <c r="R2547" s="121">
        <f t="shared" si="989"/>
        <v>1</v>
      </c>
      <c r="S2547" s="121" t="str">
        <f t="shared" si="990"/>
        <v/>
      </c>
      <c r="T2547" s="121" t="str">
        <f t="shared" si="991"/>
        <v/>
      </c>
      <c r="U2547" s="121">
        <f t="shared" si="992"/>
        <v>1.0608</v>
      </c>
    </row>
    <row r="2548" spans="1:21" x14ac:dyDescent="0.3">
      <c r="A2548" s="187">
        <v>40</v>
      </c>
      <c r="B2548" s="242">
        <f t="shared" si="993"/>
        <v>46844</v>
      </c>
      <c r="C2548" s="243">
        <f t="shared" si="974"/>
        <v>46873</v>
      </c>
      <c r="D2548" s="120">
        <f t="shared" si="975"/>
        <v>30</v>
      </c>
      <c r="E2548" s="120">
        <f t="shared" si="976"/>
        <v>4</v>
      </c>
      <c r="F2548" s="275">
        <f t="shared" si="977"/>
        <v>46859</v>
      </c>
      <c r="G2548" s="120">
        <f t="shared" si="978"/>
        <v>24339</v>
      </c>
      <c r="H2548" s="245">
        <f t="shared" si="979"/>
        <v>1</v>
      </c>
      <c r="I2548" s="121">
        <f t="shared" si="980"/>
        <v>1.0608</v>
      </c>
      <c r="J2548" s="121">
        <f t="shared" si="981"/>
        <v>1.0608</v>
      </c>
      <c r="K2548" s="120">
        <f t="shared" si="982"/>
        <v>0</v>
      </c>
      <c r="L2548" s="120">
        <f t="shared" si="983"/>
        <v>0</v>
      </c>
      <c r="M2548" s="246">
        <f t="shared" si="984"/>
        <v>0</v>
      </c>
      <c r="N2548" s="121">
        <f t="shared" si="985"/>
        <v>1.0608</v>
      </c>
      <c r="O2548" s="246">
        <f t="shared" si="986"/>
        <v>0.91</v>
      </c>
      <c r="P2548" s="121">
        <f t="shared" si="987"/>
        <v>0</v>
      </c>
      <c r="Q2548" s="121">
        <f t="shared" si="988"/>
        <v>0</v>
      </c>
      <c r="R2548" s="121">
        <f t="shared" si="989"/>
        <v>1</v>
      </c>
      <c r="S2548" s="121" t="str">
        <f t="shared" si="990"/>
        <v/>
      </c>
      <c r="T2548" s="121" t="str">
        <f t="shared" si="991"/>
        <v/>
      </c>
      <c r="U2548" s="121">
        <f t="shared" si="992"/>
        <v>1.0608</v>
      </c>
    </row>
    <row r="2549" spans="1:21" x14ac:dyDescent="0.3">
      <c r="A2549" s="187">
        <v>41</v>
      </c>
      <c r="B2549" s="242">
        <f t="shared" si="993"/>
        <v>46874</v>
      </c>
      <c r="C2549" s="243">
        <f t="shared" si="974"/>
        <v>46904</v>
      </c>
      <c r="D2549" s="120">
        <f t="shared" si="975"/>
        <v>31</v>
      </c>
      <c r="E2549" s="120">
        <f t="shared" si="976"/>
        <v>5</v>
      </c>
      <c r="F2549" s="275">
        <f t="shared" si="977"/>
        <v>46889.5</v>
      </c>
      <c r="G2549" s="120">
        <f t="shared" si="978"/>
        <v>24340</v>
      </c>
      <c r="H2549" s="245">
        <f t="shared" si="979"/>
        <v>1</v>
      </c>
      <c r="I2549" s="121">
        <f t="shared" si="980"/>
        <v>1.0608</v>
      </c>
      <c r="J2549" s="121">
        <f t="shared" si="981"/>
        <v>1.0608</v>
      </c>
      <c r="K2549" s="120">
        <f t="shared" si="982"/>
        <v>0</v>
      </c>
      <c r="L2549" s="120">
        <f t="shared" si="983"/>
        <v>0</v>
      </c>
      <c r="M2549" s="246">
        <f t="shared" si="984"/>
        <v>0</v>
      </c>
      <c r="N2549" s="121">
        <f t="shared" si="985"/>
        <v>1.0608</v>
      </c>
      <c r="O2549" s="246">
        <f t="shared" si="986"/>
        <v>0.91</v>
      </c>
      <c r="P2549" s="121">
        <f t="shared" si="987"/>
        <v>0</v>
      </c>
      <c r="Q2549" s="121">
        <f t="shared" si="988"/>
        <v>0</v>
      </c>
      <c r="R2549" s="121">
        <f t="shared" si="989"/>
        <v>1</v>
      </c>
      <c r="S2549" s="121" t="str">
        <f t="shared" si="990"/>
        <v/>
      </c>
      <c r="T2549" s="121" t="str">
        <f t="shared" si="991"/>
        <v/>
      </c>
      <c r="U2549" s="121">
        <f t="shared" si="992"/>
        <v>1.0608</v>
      </c>
    </row>
    <row r="2550" spans="1:21" x14ac:dyDescent="0.3">
      <c r="A2550" s="187">
        <v>42</v>
      </c>
      <c r="B2550" s="242">
        <f t="shared" si="993"/>
        <v>46905</v>
      </c>
      <c r="C2550" s="243">
        <f t="shared" si="974"/>
        <v>46934</v>
      </c>
      <c r="D2550" s="120">
        <f t="shared" si="975"/>
        <v>30</v>
      </c>
      <c r="E2550" s="120">
        <f t="shared" si="976"/>
        <v>6</v>
      </c>
      <c r="F2550" s="275">
        <f t="shared" si="977"/>
        <v>46920</v>
      </c>
      <c r="G2550" s="120">
        <f t="shared" si="978"/>
        <v>24341</v>
      </c>
      <c r="H2550" s="245">
        <f t="shared" si="979"/>
        <v>1</v>
      </c>
      <c r="I2550" s="121">
        <f t="shared" si="980"/>
        <v>1.0608</v>
      </c>
      <c r="J2550" s="121">
        <f t="shared" si="981"/>
        <v>1.0608</v>
      </c>
      <c r="K2550" s="120">
        <f t="shared" si="982"/>
        <v>0</v>
      </c>
      <c r="L2550" s="120">
        <f t="shared" si="983"/>
        <v>0</v>
      </c>
      <c r="M2550" s="246">
        <f t="shared" si="984"/>
        <v>0</v>
      </c>
      <c r="N2550" s="121">
        <f t="shared" si="985"/>
        <v>1.0608</v>
      </c>
      <c r="O2550" s="246">
        <f t="shared" si="986"/>
        <v>0.91</v>
      </c>
      <c r="P2550" s="121">
        <f t="shared" si="987"/>
        <v>0</v>
      </c>
      <c r="Q2550" s="121">
        <f t="shared" si="988"/>
        <v>0</v>
      </c>
      <c r="R2550" s="121">
        <f t="shared" si="989"/>
        <v>1</v>
      </c>
      <c r="S2550" s="121" t="str">
        <f t="shared" si="990"/>
        <v/>
      </c>
      <c r="T2550" s="121" t="str">
        <f t="shared" si="991"/>
        <v/>
      </c>
      <c r="U2550" s="121">
        <f t="shared" si="992"/>
        <v>1.0608</v>
      </c>
    </row>
    <row r="2551" spans="1:21" x14ac:dyDescent="0.3">
      <c r="A2551" s="187">
        <v>43</v>
      </c>
      <c r="B2551" s="242">
        <f t="shared" si="993"/>
        <v>46935</v>
      </c>
      <c r="C2551" s="243">
        <f t="shared" si="974"/>
        <v>46965</v>
      </c>
      <c r="D2551" s="120">
        <f t="shared" si="975"/>
        <v>31</v>
      </c>
      <c r="E2551" s="120">
        <f t="shared" si="976"/>
        <v>7</v>
      </c>
      <c r="F2551" s="275">
        <f t="shared" si="977"/>
        <v>46950.5</v>
      </c>
      <c r="G2551" s="120">
        <f t="shared" si="978"/>
        <v>24342</v>
      </c>
      <c r="H2551" s="245">
        <f t="shared" si="979"/>
        <v>1</v>
      </c>
      <c r="I2551" s="121">
        <f t="shared" si="980"/>
        <v>1.0608</v>
      </c>
      <c r="J2551" s="121">
        <f t="shared" si="981"/>
        <v>1.0608</v>
      </c>
      <c r="K2551" s="120">
        <f t="shared" si="982"/>
        <v>0</v>
      </c>
      <c r="L2551" s="120">
        <f t="shared" si="983"/>
        <v>0</v>
      </c>
      <c r="M2551" s="246">
        <f t="shared" si="984"/>
        <v>0</v>
      </c>
      <c r="N2551" s="121">
        <f t="shared" si="985"/>
        <v>1.0608</v>
      </c>
      <c r="O2551" s="246">
        <f t="shared" si="986"/>
        <v>0.91</v>
      </c>
      <c r="P2551" s="121">
        <f t="shared" si="987"/>
        <v>0</v>
      </c>
      <c r="Q2551" s="121">
        <f t="shared" si="988"/>
        <v>0</v>
      </c>
      <c r="R2551" s="121">
        <f t="shared" si="989"/>
        <v>0.91666666666666663</v>
      </c>
      <c r="S2551" s="121" t="str">
        <f t="shared" si="990"/>
        <v/>
      </c>
      <c r="T2551" s="121" t="str">
        <f t="shared" si="991"/>
        <v/>
      </c>
      <c r="U2551" s="121">
        <f t="shared" si="992"/>
        <v>1.0608</v>
      </c>
    </row>
    <row r="2552" spans="1:21" x14ac:dyDescent="0.3">
      <c r="A2552" s="187">
        <v>44</v>
      </c>
      <c r="B2552" s="242">
        <f t="shared" si="993"/>
        <v>46966</v>
      </c>
      <c r="C2552" s="243">
        <f t="shared" si="974"/>
        <v>46996</v>
      </c>
      <c r="D2552" s="120">
        <f t="shared" si="975"/>
        <v>31</v>
      </c>
      <c r="E2552" s="120">
        <f t="shared" si="976"/>
        <v>8</v>
      </c>
      <c r="F2552" s="275">
        <f t="shared" si="977"/>
        <v>46981.5</v>
      </c>
      <c r="G2552" s="120">
        <f t="shared" si="978"/>
        <v>24343</v>
      </c>
      <c r="H2552" s="245">
        <f t="shared" si="979"/>
        <v>1</v>
      </c>
      <c r="I2552" s="121">
        <f t="shared" si="980"/>
        <v>1.0608</v>
      </c>
      <c r="J2552" s="121">
        <f t="shared" si="981"/>
        <v>1.0608</v>
      </c>
      <c r="K2552" s="120">
        <f t="shared" si="982"/>
        <v>0</v>
      </c>
      <c r="L2552" s="120">
        <f t="shared" si="983"/>
        <v>0</v>
      </c>
      <c r="M2552" s="246">
        <f t="shared" si="984"/>
        <v>0</v>
      </c>
      <c r="N2552" s="121">
        <f t="shared" si="985"/>
        <v>1.0608</v>
      </c>
      <c r="O2552" s="246">
        <f t="shared" si="986"/>
        <v>0.91</v>
      </c>
      <c r="P2552" s="121">
        <f t="shared" si="987"/>
        <v>0</v>
      </c>
      <c r="Q2552" s="121">
        <f t="shared" si="988"/>
        <v>0</v>
      </c>
      <c r="R2552" s="121">
        <f t="shared" si="989"/>
        <v>0.75</v>
      </c>
      <c r="S2552" s="121" t="str">
        <f t="shared" si="990"/>
        <v/>
      </c>
      <c r="T2552" s="121" t="str">
        <f t="shared" si="991"/>
        <v/>
      </c>
      <c r="U2552" s="121">
        <f t="shared" si="992"/>
        <v>1.0608</v>
      </c>
    </row>
    <row r="2553" spans="1:21" x14ac:dyDescent="0.3">
      <c r="A2553" s="187">
        <v>45</v>
      </c>
      <c r="B2553" s="242">
        <f t="shared" si="993"/>
        <v>46997</v>
      </c>
      <c r="C2553" s="243">
        <f t="shared" si="974"/>
        <v>47026</v>
      </c>
      <c r="D2553" s="120">
        <f t="shared" si="975"/>
        <v>30</v>
      </c>
      <c r="E2553" s="120">
        <f t="shared" si="976"/>
        <v>9</v>
      </c>
      <c r="F2553" s="275">
        <f t="shared" si="977"/>
        <v>47012</v>
      </c>
      <c r="G2553" s="120">
        <f t="shared" si="978"/>
        <v>24344</v>
      </c>
      <c r="H2553" s="245">
        <f t="shared" si="979"/>
        <v>1</v>
      </c>
      <c r="I2553" s="121">
        <f t="shared" si="980"/>
        <v>1.0608</v>
      </c>
      <c r="J2553" s="121">
        <f t="shared" si="981"/>
        <v>1.0608</v>
      </c>
      <c r="K2553" s="120">
        <f t="shared" si="982"/>
        <v>0</v>
      </c>
      <c r="L2553" s="120">
        <f t="shared" si="983"/>
        <v>0</v>
      </c>
      <c r="M2553" s="246">
        <f t="shared" si="984"/>
        <v>0</v>
      </c>
      <c r="N2553" s="121">
        <f t="shared" si="985"/>
        <v>1.0608</v>
      </c>
      <c r="O2553" s="246">
        <f t="shared" si="986"/>
        <v>0.91</v>
      </c>
      <c r="P2553" s="121">
        <f t="shared" si="987"/>
        <v>0</v>
      </c>
      <c r="Q2553" s="121">
        <f t="shared" si="988"/>
        <v>0</v>
      </c>
      <c r="R2553" s="121">
        <f t="shared" si="989"/>
        <v>0.58333333333333337</v>
      </c>
      <c r="S2553" s="121" t="str">
        <f t="shared" si="990"/>
        <v/>
      </c>
      <c r="T2553" s="121" t="str">
        <f t="shared" si="991"/>
        <v/>
      </c>
      <c r="U2553" s="121">
        <f t="shared" si="992"/>
        <v>1.0608</v>
      </c>
    </row>
    <row r="2554" spans="1:21" x14ac:dyDescent="0.3">
      <c r="A2554" s="187">
        <v>46</v>
      </c>
      <c r="B2554" s="242">
        <f t="shared" si="993"/>
        <v>47027</v>
      </c>
      <c r="C2554" s="243">
        <f t="shared" si="974"/>
        <v>47057</v>
      </c>
      <c r="D2554" s="120">
        <f t="shared" si="975"/>
        <v>31</v>
      </c>
      <c r="E2554" s="120">
        <f t="shared" si="976"/>
        <v>10</v>
      </c>
      <c r="F2554" s="275">
        <f t="shared" si="977"/>
        <v>47042.5</v>
      </c>
      <c r="G2554" s="120">
        <f t="shared" si="978"/>
        <v>24345</v>
      </c>
      <c r="H2554" s="245">
        <f t="shared" si="979"/>
        <v>1</v>
      </c>
      <c r="I2554" s="121">
        <f t="shared" si="980"/>
        <v>1.0608</v>
      </c>
      <c r="J2554" s="121">
        <f t="shared" si="981"/>
        <v>1.0608</v>
      </c>
      <c r="K2554" s="120">
        <f t="shared" si="982"/>
        <v>0</v>
      </c>
      <c r="L2554" s="120">
        <f t="shared" si="983"/>
        <v>0</v>
      </c>
      <c r="M2554" s="246">
        <f t="shared" si="984"/>
        <v>0</v>
      </c>
      <c r="N2554" s="121">
        <f t="shared" si="985"/>
        <v>1.0608</v>
      </c>
      <c r="O2554" s="246">
        <f t="shared" si="986"/>
        <v>0.91</v>
      </c>
      <c r="P2554" s="121">
        <f t="shared" si="987"/>
        <v>0</v>
      </c>
      <c r="Q2554" s="121">
        <f t="shared" si="988"/>
        <v>0</v>
      </c>
      <c r="R2554" s="121">
        <f t="shared" si="989"/>
        <v>0.41666666666666669</v>
      </c>
      <c r="S2554" s="121" t="str">
        <f t="shared" si="990"/>
        <v/>
      </c>
      <c r="T2554" s="121" t="str">
        <f t="shared" si="991"/>
        <v/>
      </c>
      <c r="U2554" s="121">
        <f t="shared" si="992"/>
        <v>1.0608</v>
      </c>
    </row>
    <row r="2555" spans="1:21" x14ac:dyDescent="0.3">
      <c r="A2555" s="187">
        <v>47</v>
      </c>
      <c r="B2555" s="242">
        <f t="shared" si="993"/>
        <v>47058</v>
      </c>
      <c r="C2555" s="243">
        <f t="shared" si="974"/>
        <v>47087</v>
      </c>
      <c r="D2555" s="120">
        <f t="shared" si="975"/>
        <v>30</v>
      </c>
      <c r="E2555" s="120">
        <f t="shared" si="976"/>
        <v>11</v>
      </c>
      <c r="F2555" s="275">
        <f t="shared" si="977"/>
        <v>47073</v>
      </c>
      <c r="G2555" s="120">
        <f t="shared" si="978"/>
        <v>24346</v>
      </c>
      <c r="H2555" s="245">
        <f t="shared" si="979"/>
        <v>1</v>
      </c>
      <c r="I2555" s="121">
        <f t="shared" si="980"/>
        <v>1.0608</v>
      </c>
      <c r="J2555" s="121">
        <f t="shared" si="981"/>
        <v>1.0608</v>
      </c>
      <c r="K2555" s="120">
        <f t="shared" si="982"/>
        <v>0</v>
      </c>
      <c r="L2555" s="120">
        <f t="shared" si="983"/>
        <v>0</v>
      </c>
      <c r="M2555" s="246">
        <f t="shared" si="984"/>
        <v>0</v>
      </c>
      <c r="N2555" s="121">
        <f t="shared" si="985"/>
        <v>1.0608</v>
      </c>
      <c r="O2555" s="246">
        <f t="shared" si="986"/>
        <v>0.91</v>
      </c>
      <c r="P2555" s="121">
        <f t="shared" si="987"/>
        <v>0</v>
      </c>
      <c r="Q2555" s="121">
        <f t="shared" si="988"/>
        <v>0</v>
      </c>
      <c r="R2555" s="121">
        <f t="shared" si="989"/>
        <v>0.25</v>
      </c>
      <c r="S2555" s="121" t="str">
        <f t="shared" si="990"/>
        <v/>
      </c>
      <c r="T2555" s="121" t="str">
        <f t="shared" si="991"/>
        <v/>
      </c>
      <c r="U2555" s="121">
        <f t="shared" si="992"/>
        <v>1.0608</v>
      </c>
    </row>
    <row r="2556" spans="1:21" x14ac:dyDescent="0.3">
      <c r="A2556" s="187">
        <v>48</v>
      </c>
      <c r="B2556" s="242">
        <f t="shared" si="993"/>
        <v>47088</v>
      </c>
      <c r="C2556" s="243">
        <f t="shared" si="974"/>
        <v>47118</v>
      </c>
      <c r="D2556" s="120">
        <f t="shared" si="975"/>
        <v>31</v>
      </c>
      <c r="E2556" s="120">
        <f t="shared" si="976"/>
        <v>12</v>
      </c>
      <c r="F2556" s="275">
        <f t="shared" si="977"/>
        <v>47103.5</v>
      </c>
      <c r="G2556" s="120">
        <f t="shared" si="978"/>
        <v>24347</v>
      </c>
      <c r="H2556" s="245">
        <f t="shared" si="979"/>
        <v>1</v>
      </c>
      <c r="I2556" s="121">
        <f t="shared" si="980"/>
        <v>1.0608</v>
      </c>
      <c r="J2556" s="121">
        <f t="shared" si="981"/>
        <v>1.0608</v>
      </c>
      <c r="K2556" s="120">
        <f t="shared" si="982"/>
        <v>0</v>
      </c>
      <c r="L2556" s="120">
        <f t="shared" si="983"/>
        <v>0</v>
      </c>
      <c r="M2556" s="246">
        <f t="shared" si="984"/>
        <v>0</v>
      </c>
      <c r="N2556" s="121">
        <f t="shared" si="985"/>
        <v>1.0608</v>
      </c>
      <c r="O2556" s="246">
        <f t="shared" si="986"/>
        <v>0.91</v>
      </c>
      <c r="P2556" s="121">
        <f t="shared" si="987"/>
        <v>0</v>
      </c>
      <c r="Q2556" s="121">
        <f t="shared" si="988"/>
        <v>0</v>
      </c>
      <c r="R2556" s="121">
        <f t="shared" si="989"/>
        <v>8.3333333333333329E-2</v>
      </c>
      <c r="S2556" s="121" t="str">
        <f t="shared" si="990"/>
        <v/>
      </c>
      <c r="T2556" s="121" t="str">
        <f t="shared" si="991"/>
        <v/>
      </c>
      <c r="U2556" s="121">
        <f t="shared" si="992"/>
        <v>1.0608</v>
      </c>
    </row>
    <row r="2557" spans="1:21" x14ac:dyDescent="0.3">
      <c r="A2557" s="6" t="s">
        <v>1651</v>
      </c>
      <c r="B2557" s="73">
        <f>EXP(SUMPRODUCT((rl_key=$A$2506)*(rl_cons="Y")*rl_ln1p))</f>
        <v>1.02</v>
      </c>
      <c r="C2557" s="73">
        <f>SUMPRODUCT($H$2509:$H$2556,$P$2509:$P$2556,$U$2509:$U$2556)/SUMPRODUCT($H$2509:$H$2556,$P$2509:$P$2556)</f>
        <v>1.0012500000000002</v>
      </c>
      <c r="D2557" s="73">
        <f>SUMPRODUCT($H$2509:$H$2556,$Q$2509:$Q$2556,$U$2509:$U$2556)/SUMPRODUCT($H$2509:$H$2556,$Q$2509:$Q$2556)</f>
        <v>1.0323499999999999</v>
      </c>
      <c r="E2557" s="73">
        <f>SUMPRODUCT($H$2509:$H$2556,$R$2509:$R$2556,$U$2509:$U$2556)/SUMPRODUCT($H$2509:$H$2556,$R$2509:$R$2556)</f>
        <v>1.0608000000000002</v>
      </c>
      <c r="F2557" s="224">
        <f>SUMPRODUCT($H$2509:$H$2556,$Q$2509:$Q$2556,$O$2509:$O$2556)/SUMPRODUCT($H$2509:$H$2556,$Q$2509:$Q$2556)</f>
        <v>0.90999999999999981</v>
      </c>
      <c r="G2557" s="224">
        <f>SUMPRODUCT($H$2509:$H$2556,$R$2509:$R$2556,$O$2509:$O$2556)/SUMPRODUCT($H$2509:$H$2556,$R$2509:$R$2556)</f>
        <v>0.90999999999999981</v>
      </c>
      <c r="H2557" s="73">
        <f>SUMPRODUCT($H$2533:$H$2544,$N$2533:$N$2544/$N$2521:$N$2532)/SUM($H$2533:$H$2544)</f>
        <v>1.0386</v>
      </c>
      <c r="I2557" s="73">
        <f>SUMPRODUCT($H$2533:$H$2544,$O$2533:$O$2544/$O$2521:$O$2532)/SUM($H$2533:$H$2544)</f>
        <v>1</v>
      </c>
      <c r="J2557" s="73">
        <f>IF($O$2506=1,SUMPRODUCT($H$2533:$H$2544,$N$2533:$N$2544/$N$2521:$N$2532*$O$2533:$O$2544/$O$2521:$O$2532)/SUM($H$2533:$H$2544),$H2557)</f>
        <v>1.0386</v>
      </c>
      <c r="K2557" s="73">
        <f>SUMPRODUCT($H$2509:$H$2556,$Q$2509:$Q$2556,$N$2509:$N$2556)/SUMPRODUCT($H$2509:$H$2556,$Q$2509:$Q$2556)</f>
        <v>1.0323499999999999</v>
      </c>
      <c r="L2557" s="73">
        <f>SUMPRODUCT($H$2509:$H$2556,$R$2509:$R$2556,$N$2509:$N$2556)/SUMPRODUCT($H$2509:$H$2556,$R$2509:$R$2556)</f>
        <v>1.0608000000000002</v>
      </c>
    </row>
    <row r="2560" spans="1:21" x14ac:dyDescent="0.3">
      <c r="A2560" s="6" t="str">
        <f>INDEX(lr_key,47)</f>
        <v>SBA|GA</v>
      </c>
      <c r="B2560" s="6" t="str">
        <f>INDEX(lr_state,47)</f>
        <v>GA</v>
      </c>
      <c r="C2560" s="75">
        <f>nr_TermMonths</f>
        <v>6</v>
      </c>
      <c r="D2560" s="75">
        <f>IF(COUNTIF(se_state,$B2560)=0,0,MATCH($B2560,se_state,0))</f>
        <v>0</v>
      </c>
      <c r="E2560" s="70">
        <f>IF($D2560=0,0,INDEX(se_sum,$D2560))</f>
        <v>0</v>
      </c>
      <c r="F2560" s="224">
        <f>IF(N(INDEX(lr_mind,47))=0,1,INDEX(lr_mind,47))</f>
        <v>0.92</v>
      </c>
      <c r="G2560" s="224">
        <f>IF(N(INDEX(lr_m0,47))=0,1,INDEX(lr_m0,47))</f>
        <v>0.91</v>
      </c>
      <c r="H2560" s="74">
        <f>IF(N(INDEX(lr_m0asof,47))=0,DATE(nr_PlanYear-1,10,1),INDEX(lr_m0asof,47))</f>
        <v>46295</v>
      </c>
      <c r="I2560" s="224">
        <f>IF(N(INDEX(lr_m1,47))=0,1,INDEX(lr_m1,47))</f>
        <v>0.92500000000000004</v>
      </c>
      <c r="J2560" s="224">
        <f>INDEX(lr_mprior,47)</f>
        <v>0</v>
      </c>
      <c r="K2560" s="224">
        <f>INDEX(lr_m2,47)</f>
        <v>0</v>
      </c>
      <c r="L2560" s="6" t="b">
        <f>NOT(ISBLANK(INDEX(lr_netp,47)))</f>
        <v>0</v>
      </c>
      <c r="M2560" s="72">
        <f>N(INDEX(lr_netp,47))</f>
        <v>0</v>
      </c>
      <c r="N2560" s="72">
        <f>IF(ISBLANK(INDEX(lr_netp1,47)),$M$2560,N(INDEX(lr_netp1,47)))</f>
        <v>0</v>
      </c>
      <c r="O2560" s="75">
        <f>IF(AND(nr_ModAdjMaster="ON",INDEX(lr_modadj,47)="ON"),1,0)</f>
        <v>1</v>
      </c>
    </row>
    <row r="2561" spans="1:21" x14ac:dyDescent="0.3">
      <c r="A2561" s="6">
        <f>EDATE($H$2560,-12)+1</f>
        <v>45931</v>
      </c>
      <c r="B2561" s="6">
        <f>$H$2560+1</f>
        <v>46296</v>
      </c>
      <c r="C2561" s="6">
        <f>DATE(nr_PlanYear,12,31)+1</f>
        <v>46753</v>
      </c>
      <c r="D2561" s="6">
        <f>DATE(nr_PlanYear+1,12,31)+1</f>
        <v>47119</v>
      </c>
      <c r="E2561" s="6">
        <f>IF(N($J$2560)=0,$F$2561-($G$2561-$F$2561)/($C$2561-$B$2561)*($B$2561-$A$2561),$J$2560)</f>
        <v>0.89801969365426693</v>
      </c>
      <c r="F2561" s="6">
        <f>$G$2560</f>
        <v>0.91</v>
      </c>
      <c r="G2561" s="6">
        <f>$I$2560</f>
        <v>0.92500000000000004</v>
      </c>
      <c r="H2561" s="6">
        <f>IF(N($K$2560)=0,$I$2560,$K$2560)</f>
        <v>0.92500000000000004</v>
      </c>
      <c r="I2561" s="6">
        <f>($F$2561-$E$2561)/($B$2561-$A$2561)</f>
        <v>3.2822757111597549E-5</v>
      </c>
      <c r="J2561" s="6">
        <f>($G$2561-$F$2561)/($C$2561-$B$2561)</f>
        <v>3.2822757111597407E-5</v>
      </c>
      <c r="K2561" s="6">
        <f>($H$2561-$G$2561)/($D$2561-$C$2561)</f>
        <v>0</v>
      </c>
    </row>
    <row r="2562" spans="1:21" ht="36" x14ac:dyDescent="0.3">
      <c r="A2562" s="58" t="s">
        <v>390</v>
      </c>
      <c r="B2562" s="58" t="s">
        <v>449</v>
      </c>
      <c r="C2562" s="58" t="s">
        <v>685</v>
      </c>
      <c r="D2562" s="58" t="s">
        <v>686</v>
      </c>
      <c r="E2562" s="58" t="s">
        <v>687</v>
      </c>
      <c r="F2562" s="58" t="s">
        <v>688</v>
      </c>
      <c r="G2562" s="58" t="s">
        <v>689</v>
      </c>
      <c r="H2562" s="58" t="s">
        <v>452</v>
      </c>
      <c r="I2562" s="58" t="s">
        <v>690</v>
      </c>
      <c r="J2562" s="58" t="s">
        <v>691</v>
      </c>
      <c r="K2562" s="58" t="s">
        <v>692</v>
      </c>
      <c r="L2562" s="58" t="s">
        <v>693</v>
      </c>
      <c r="M2562" s="58" t="s">
        <v>694</v>
      </c>
      <c r="N2562" s="58" t="s">
        <v>695</v>
      </c>
      <c r="O2562" s="58" t="s">
        <v>696</v>
      </c>
      <c r="P2562" s="58" t="s">
        <v>697</v>
      </c>
      <c r="Q2562" s="58" t="s">
        <v>698</v>
      </c>
      <c r="R2562" s="58" t="s">
        <v>699</v>
      </c>
      <c r="S2562" s="58" t="s">
        <v>700</v>
      </c>
      <c r="T2562" s="58" t="s">
        <v>701</v>
      </c>
      <c r="U2562" s="58" t="s">
        <v>702</v>
      </c>
    </row>
    <row r="2563" spans="1:21" x14ac:dyDescent="0.3">
      <c r="A2563" s="187">
        <v>1</v>
      </c>
      <c r="B2563" s="242">
        <f>DATE(nr_PlanYear-2,1,1)</f>
        <v>45658</v>
      </c>
      <c r="C2563" s="243">
        <f t="shared" ref="C2563:C2610" si="994">EOMONTH($B2563,0)</f>
        <v>45688</v>
      </c>
      <c r="D2563" s="120">
        <f t="shared" ref="D2563:D2610" si="995">$C2563-$B2563+1</f>
        <v>31</v>
      </c>
      <c r="E2563" s="120">
        <f t="shared" ref="E2563:E2610" si="996">MONTH($B2563)</f>
        <v>1</v>
      </c>
      <c r="F2563" s="275">
        <f t="shared" ref="F2563:F2610" si="997">($B2563+$C2563+1)/2</f>
        <v>45673.5</v>
      </c>
      <c r="G2563" s="120">
        <f t="shared" ref="G2563:G2610" si="998">YEAR($B2563)*12+MONTH($B2563)-1</f>
        <v>24300</v>
      </c>
      <c r="H2563" s="245">
        <f t="shared" ref="H2563:H2610" si="999">IF(OR(nr_SeasonOn="OFF",$D$2560=0,$E$2560=0),1,12*INDEX(se_block,$D$2560,$E2563)/$E$2560)</f>
        <v>1</v>
      </c>
      <c r="I2563" s="121">
        <f t="shared" ref="I2563:I2610" si="1000">EXP(SUMPRODUCT((rl_eff&lt;$B2563)*(rl_key=$A$2560)*rl_ln1p))</f>
        <v>1</v>
      </c>
      <c r="J2563" s="121">
        <f t="shared" ref="J2563:J2610" si="1001">EXP(SUMPRODUCT((rl_eff&lt;=$C2563)*(rl_key=$A$2560)*rl_ln1p))</f>
        <v>1</v>
      </c>
      <c r="K2563" s="120">
        <f t="shared" ref="K2563:K2610" si="1002">COUNTIFS(rl_key,$A$2560,rl_eff,"&gt;="&amp;$B2563,rl_eff,"&lt;="&amp;$C2563)</f>
        <v>0</v>
      </c>
      <c r="L2563" s="120">
        <f t="shared" ref="L2563:L2610" si="1003">SUMIFS(rl_daysafter,rl_key,$A$2560,rl_effmonth,$B2563,rl_first,1)</f>
        <v>0</v>
      </c>
      <c r="M2563" s="246">
        <f t="shared" ref="M2563:M2610" si="1004">IF($K2563=0,0,MIN(1,$L2563/$D2563))</f>
        <v>0</v>
      </c>
      <c r="N2563" s="121">
        <f t="shared" ref="N2563:N2610" si="1005">IF($K2563=0,$J2563,(1-$M2563)*$I2563+$M2563*$J2563)</f>
        <v>1</v>
      </c>
      <c r="O2563" s="246">
        <f t="shared" ref="O2563:O2610" si="1006">IF($F2563&lt;$B$2561,$E$2561+$I$2561*($F2563-$A$2561),IF($F2563&lt;$C$2561,$F$2561+$J$2561*($F2563-$B$2561),$G$2561+$K$2561*($F2563-$C$2561)))</f>
        <v>0.88956783369803061</v>
      </c>
      <c r="P2563" s="121">
        <f t="shared" ref="P2563:P2610" si="1007">MIN(1,MAX(0,(nr_MEndPm1-$G2563+0.5)/$C$2560))-MIN(1,MAX(0,(nr_MStartPm1-1-$G2563+0.5)/$C$2560))</f>
        <v>0</v>
      </c>
      <c r="Q2563" s="121">
        <f t="shared" ref="Q2563:Q2610" si="1008">MIN(1,MAX(0,(nr_MEndP-$G2563+0.5)/$C$2560))-MIN(1,MAX(0,(nr_MStartP-1-$G2563+0.5)/$C$2560))</f>
        <v>0</v>
      </c>
      <c r="R2563" s="121">
        <f t="shared" ref="R2563:R2610" si="1009">MIN(1,MAX(0,(nr_MEndP1-$G2563+0.5)/$C$2560))-MIN(1,MAX(0,(nr_MStartP1-1-$G2563+0.5)/$C$2560))</f>
        <v>0</v>
      </c>
      <c r="S2563" s="121" t="str">
        <f t="shared" ref="S2563:S2610" si="1010">IF($L$2560,$N2563*IF($O$2560=1,$O2563/$F$2560,1),"")</f>
        <v/>
      </c>
      <c r="T2563" s="121" t="str">
        <f t="shared" ref="T2563:T2610" si="1011">IF(NOT($L$2560),"",IF($G2563&lt;nr_MStartP,$S2563,$T2551*(1+IF($G2563&lt;nr_MStartP1,$M$2560,$N$2560))))</f>
        <v/>
      </c>
      <c r="U2563" s="121">
        <f t="shared" ref="U2563:U2610" si="1012">IF($L$2560,$T2563,$N2563)</f>
        <v>1</v>
      </c>
    </row>
    <row r="2564" spans="1:21" x14ac:dyDescent="0.3">
      <c r="A2564" s="187">
        <v>2</v>
      </c>
      <c r="B2564" s="242">
        <f t="shared" ref="B2564:B2610" si="1013">EDATE($B2563,1)</f>
        <v>45689</v>
      </c>
      <c r="C2564" s="243">
        <f t="shared" si="994"/>
        <v>45716</v>
      </c>
      <c r="D2564" s="120">
        <f t="shared" si="995"/>
        <v>28</v>
      </c>
      <c r="E2564" s="120">
        <f t="shared" si="996"/>
        <v>2</v>
      </c>
      <c r="F2564" s="275">
        <f t="shared" si="997"/>
        <v>45703</v>
      </c>
      <c r="G2564" s="120">
        <f t="shared" si="998"/>
        <v>24301</v>
      </c>
      <c r="H2564" s="245">
        <f t="shared" si="999"/>
        <v>1</v>
      </c>
      <c r="I2564" s="121">
        <f t="shared" si="1000"/>
        <v>1</v>
      </c>
      <c r="J2564" s="121">
        <f t="shared" si="1001"/>
        <v>1</v>
      </c>
      <c r="K2564" s="120">
        <f t="shared" si="1002"/>
        <v>0</v>
      </c>
      <c r="L2564" s="120">
        <f t="shared" si="1003"/>
        <v>0</v>
      </c>
      <c r="M2564" s="246">
        <f t="shared" si="1004"/>
        <v>0</v>
      </c>
      <c r="N2564" s="121">
        <f t="shared" si="1005"/>
        <v>1</v>
      </c>
      <c r="O2564" s="246">
        <f t="shared" si="1006"/>
        <v>0.89053610503282266</v>
      </c>
      <c r="P2564" s="121">
        <f t="shared" si="1007"/>
        <v>0</v>
      </c>
      <c r="Q2564" s="121">
        <f t="shared" si="1008"/>
        <v>0</v>
      </c>
      <c r="R2564" s="121">
        <f t="shared" si="1009"/>
        <v>0</v>
      </c>
      <c r="S2564" s="121" t="str">
        <f t="shared" si="1010"/>
        <v/>
      </c>
      <c r="T2564" s="121" t="str">
        <f t="shared" si="1011"/>
        <v/>
      </c>
      <c r="U2564" s="121">
        <f t="shared" si="1012"/>
        <v>1</v>
      </c>
    </row>
    <row r="2565" spans="1:21" x14ac:dyDescent="0.3">
      <c r="A2565" s="187">
        <v>3</v>
      </c>
      <c r="B2565" s="242">
        <f t="shared" si="1013"/>
        <v>45717</v>
      </c>
      <c r="C2565" s="243">
        <f t="shared" si="994"/>
        <v>45747</v>
      </c>
      <c r="D2565" s="120">
        <f t="shared" si="995"/>
        <v>31</v>
      </c>
      <c r="E2565" s="120">
        <f t="shared" si="996"/>
        <v>3</v>
      </c>
      <c r="F2565" s="275">
        <f t="shared" si="997"/>
        <v>45732.5</v>
      </c>
      <c r="G2565" s="120">
        <f t="shared" si="998"/>
        <v>24302</v>
      </c>
      <c r="H2565" s="245">
        <f t="shared" si="999"/>
        <v>1</v>
      </c>
      <c r="I2565" s="121">
        <f t="shared" si="1000"/>
        <v>1</v>
      </c>
      <c r="J2565" s="121">
        <f t="shared" si="1001"/>
        <v>1</v>
      </c>
      <c r="K2565" s="120">
        <f t="shared" si="1002"/>
        <v>0</v>
      </c>
      <c r="L2565" s="120">
        <f t="shared" si="1003"/>
        <v>0</v>
      </c>
      <c r="M2565" s="246">
        <f t="shared" si="1004"/>
        <v>0</v>
      </c>
      <c r="N2565" s="121">
        <f t="shared" si="1005"/>
        <v>1</v>
      </c>
      <c r="O2565" s="246">
        <f t="shared" si="1006"/>
        <v>0.89150437636761481</v>
      </c>
      <c r="P2565" s="121">
        <f t="shared" si="1007"/>
        <v>0</v>
      </c>
      <c r="Q2565" s="121">
        <f t="shared" si="1008"/>
        <v>0</v>
      </c>
      <c r="R2565" s="121">
        <f t="shared" si="1009"/>
        <v>0</v>
      </c>
      <c r="S2565" s="121" t="str">
        <f t="shared" si="1010"/>
        <v/>
      </c>
      <c r="T2565" s="121" t="str">
        <f t="shared" si="1011"/>
        <v/>
      </c>
      <c r="U2565" s="121">
        <f t="shared" si="1012"/>
        <v>1</v>
      </c>
    </row>
    <row r="2566" spans="1:21" x14ac:dyDescent="0.3">
      <c r="A2566" s="187">
        <v>4</v>
      </c>
      <c r="B2566" s="242">
        <f t="shared" si="1013"/>
        <v>45748</v>
      </c>
      <c r="C2566" s="243">
        <f t="shared" si="994"/>
        <v>45777</v>
      </c>
      <c r="D2566" s="120">
        <f t="shared" si="995"/>
        <v>30</v>
      </c>
      <c r="E2566" s="120">
        <f t="shared" si="996"/>
        <v>4</v>
      </c>
      <c r="F2566" s="275">
        <f t="shared" si="997"/>
        <v>45763</v>
      </c>
      <c r="G2566" s="120">
        <f t="shared" si="998"/>
        <v>24303</v>
      </c>
      <c r="H2566" s="245">
        <f t="shared" si="999"/>
        <v>1</v>
      </c>
      <c r="I2566" s="121">
        <f t="shared" si="1000"/>
        <v>1</v>
      </c>
      <c r="J2566" s="121">
        <f t="shared" si="1001"/>
        <v>1</v>
      </c>
      <c r="K2566" s="120">
        <f t="shared" si="1002"/>
        <v>0</v>
      </c>
      <c r="L2566" s="120">
        <f t="shared" si="1003"/>
        <v>0</v>
      </c>
      <c r="M2566" s="246">
        <f t="shared" si="1004"/>
        <v>0</v>
      </c>
      <c r="N2566" s="121">
        <f t="shared" si="1005"/>
        <v>1</v>
      </c>
      <c r="O2566" s="246">
        <f t="shared" si="1006"/>
        <v>0.89250547045951856</v>
      </c>
      <c r="P2566" s="121">
        <f t="shared" si="1007"/>
        <v>0</v>
      </c>
      <c r="Q2566" s="121">
        <f t="shared" si="1008"/>
        <v>0</v>
      </c>
      <c r="R2566" s="121">
        <f t="shared" si="1009"/>
        <v>0</v>
      </c>
      <c r="S2566" s="121" t="str">
        <f t="shared" si="1010"/>
        <v/>
      </c>
      <c r="T2566" s="121" t="str">
        <f t="shared" si="1011"/>
        <v/>
      </c>
      <c r="U2566" s="121">
        <f t="shared" si="1012"/>
        <v>1</v>
      </c>
    </row>
    <row r="2567" spans="1:21" x14ac:dyDescent="0.3">
      <c r="A2567" s="187">
        <v>5</v>
      </c>
      <c r="B2567" s="242">
        <f t="shared" si="1013"/>
        <v>45778</v>
      </c>
      <c r="C2567" s="243">
        <f t="shared" si="994"/>
        <v>45808</v>
      </c>
      <c r="D2567" s="120">
        <f t="shared" si="995"/>
        <v>31</v>
      </c>
      <c r="E2567" s="120">
        <f t="shared" si="996"/>
        <v>5</v>
      </c>
      <c r="F2567" s="275">
        <f t="shared" si="997"/>
        <v>45793.5</v>
      </c>
      <c r="G2567" s="120">
        <f t="shared" si="998"/>
        <v>24304</v>
      </c>
      <c r="H2567" s="245">
        <f t="shared" si="999"/>
        <v>1</v>
      </c>
      <c r="I2567" s="121">
        <f t="shared" si="1000"/>
        <v>1</v>
      </c>
      <c r="J2567" s="121">
        <f t="shared" si="1001"/>
        <v>1</v>
      </c>
      <c r="K2567" s="120">
        <f t="shared" si="1002"/>
        <v>0</v>
      </c>
      <c r="L2567" s="120">
        <f t="shared" si="1003"/>
        <v>0</v>
      </c>
      <c r="M2567" s="246">
        <f t="shared" si="1004"/>
        <v>0</v>
      </c>
      <c r="N2567" s="121">
        <f t="shared" si="1005"/>
        <v>1</v>
      </c>
      <c r="O2567" s="246">
        <f t="shared" si="1006"/>
        <v>0.8935065645514223</v>
      </c>
      <c r="P2567" s="121">
        <f t="shared" si="1007"/>
        <v>0</v>
      </c>
      <c r="Q2567" s="121">
        <f t="shared" si="1008"/>
        <v>0</v>
      </c>
      <c r="R2567" s="121">
        <f t="shared" si="1009"/>
        <v>0</v>
      </c>
      <c r="S2567" s="121" t="str">
        <f t="shared" si="1010"/>
        <v/>
      </c>
      <c r="T2567" s="121" t="str">
        <f t="shared" si="1011"/>
        <v/>
      </c>
      <c r="U2567" s="121">
        <f t="shared" si="1012"/>
        <v>1</v>
      </c>
    </row>
    <row r="2568" spans="1:21" x14ac:dyDescent="0.3">
      <c r="A2568" s="187">
        <v>6</v>
      </c>
      <c r="B2568" s="242">
        <f t="shared" si="1013"/>
        <v>45809</v>
      </c>
      <c r="C2568" s="243">
        <f t="shared" si="994"/>
        <v>45838</v>
      </c>
      <c r="D2568" s="120">
        <f t="shared" si="995"/>
        <v>30</v>
      </c>
      <c r="E2568" s="120">
        <f t="shared" si="996"/>
        <v>6</v>
      </c>
      <c r="F2568" s="275">
        <f t="shared" si="997"/>
        <v>45824</v>
      </c>
      <c r="G2568" s="120">
        <f t="shared" si="998"/>
        <v>24305</v>
      </c>
      <c r="H2568" s="245">
        <f t="shared" si="999"/>
        <v>1</v>
      </c>
      <c r="I2568" s="121">
        <f t="shared" si="1000"/>
        <v>1</v>
      </c>
      <c r="J2568" s="121">
        <f t="shared" si="1001"/>
        <v>1</v>
      </c>
      <c r="K2568" s="120">
        <f t="shared" si="1002"/>
        <v>0</v>
      </c>
      <c r="L2568" s="120">
        <f t="shared" si="1003"/>
        <v>0</v>
      </c>
      <c r="M2568" s="246">
        <f t="shared" si="1004"/>
        <v>0</v>
      </c>
      <c r="N2568" s="121">
        <f t="shared" si="1005"/>
        <v>1</v>
      </c>
      <c r="O2568" s="246">
        <f t="shared" si="1006"/>
        <v>0.89450765864332604</v>
      </c>
      <c r="P2568" s="121">
        <f t="shared" si="1007"/>
        <v>0</v>
      </c>
      <c r="Q2568" s="121">
        <f t="shared" si="1008"/>
        <v>0</v>
      </c>
      <c r="R2568" s="121">
        <f t="shared" si="1009"/>
        <v>0</v>
      </c>
      <c r="S2568" s="121" t="str">
        <f t="shared" si="1010"/>
        <v/>
      </c>
      <c r="T2568" s="121" t="str">
        <f t="shared" si="1011"/>
        <v/>
      </c>
      <c r="U2568" s="121">
        <f t="shared" si="1012"/>
        <v>1</v>
      </c>
    </row>
    <row r="2569" spans="1:21" x14ac:dyDescent="0.3">
      <c r="A2569" s="187">
        <v>7</v>
      </c>
      <c r="B2569" s="242">
        <f t="shared" si="1013"/>
        <v>45839</v>
      </c>
      <c r="C2569" s="243">
        <f t="shared" si="994"/>
        <v>45869</v>
      </c>
      <c r="D2569" s="120">
        <f t="shared" si="995"/>
        <v>31</v>
      </c>
      <c r="E2569" s="120">
        <f t="shared" si="996"/>
        <v>7</v>
      </c>
      <c r="F2569" s="275">
        <f t="shared" si="997"/>
        <v>45854.5</v>
      </c>
      <c r="G2569" s="120">
        <f t="shared" si="998"/>
        <v>24306</v>
      </c>
      <c r="H2569" s="245">
        <f t="shared" si="999"/>
        <v>1</v>
      </c>
      <c r="I2569" s="121">
        <f t="shared" si="1000"/>
        <v>1</v>
      </c>
      <c r="J2569" s="121">
        <f t="shared" si="1001"/>
        <v>1</v>
      </c>
      <c r="K2569" s="120">
        <f t="shared" si="1002"/>
        <v>0</v>
      </c>
      <c r="L2569" s="120">
        <f t="shared" si="1003"/>
        <v>0</v>
      </c>
      <c r="M2569" s="246">
        <f t="shared" si="1004"/>
        <v>0</v>
      </c>
      <c r="N2569" s="121">
        <f t="shared" si="1005"/>
        <v>1</v>
      </c>
      <c r="O2569" s="246">
        <f t="shared" si="1006"/>
        <v>0.89550875273522967</v>
      </c>
      <c r="P2569" s="121">
        <f t="shared" si="1007"/>
        <v>8.333333333333337E-2</v>
      </c>
      <c r="Q2569" s="121">
        <f t="shared" si="1008"/>
        <v>0</v>
      </c>
      <c r="R2569" s="121">
        <f t="shared" si="1009"/>
        <v>0</v>
      </c>
      <c r="S2569" s="121" t="str">
        <f t="shared" si="1010"/>
        <v/>
      </c>
      <c r="T2569" s="121" t="str">
        <f t="shared" si="1011"/>
        <v/>
      </c>
      <c r="U2569" s="121">
        <f t="shared" si="1012"/>
        <v>1</v>
      </c>
    </row>
    <row r="2570" spans="1:21" x14ac:dyDescent="0.3">
      <c r="A2570" s="187">
        <v>8</v>
      </c>
      <c r="B2570" s="242">
        <f t="shared" si="1013"/>
        <v>45870</v>
      </c>
      <c r="C2570" s="243">
        <f t="shared" si="994"/>
        <v>45900</v>
      </c>
      <c r="D2570" s="120">
        <f t="shared" si="995"/>
        <v>31</v>
      </c>
      <c r="E2570" s="120">
        <f t="shared" si="996"/>
        <v>8</v>
      </c>
      <c r="F2570" s="275">
        <f t="shared" si="997"/>
        <v>45885.5</v>
      </c>
      <c r="G2570" s="120">
        <f t="shared" si="998"/>
        <v>24307</v>
      </c>
      <c r="H2570" s="245">
        <f t="shared" si="999"/>
        <v>1</v>
      </c>
      <c r="I2570" s="121">
        <f t="shared" si="1000"/>
        <v>1</v>
      </c>
      <c r="J2570" s="121">
        <f t="shared" si="1001"/>
        <v>1</v>
      </c>
      <c r="K2570" s="120">
        <f t="shared" si="1002"/>
        <v>0</v>
      </c>
      <c r="L2570" s="120">
        <f t="shared" si="1003"/>
        <v>0</v>
      </c>
      <c r="M2570" s="246">
        <f t="shared" si="1004"/>
        <v>0</v>
      </c>
      <c r="N2570" s="121">
        <f t="shared" si="1005"/>
        <v>1</v>
      </c>
      <c r="O2570" s="246">
        <f t="shared" si="1006"/>
        <v>0.89652625820568921</v>
      </c>
      <c r="P2570" s="121">
        <f t="shared" si="1007"/>
        <v>0.25</v>
      </c>
      <c r="Q2570" s="121">
        <f t="shared" si="1008"/>
        <v>0</v>
      </c>
      <c r="R2570" s="121">
        <f t="shared" si="1009"/>
        <v>0</v>
      </c>
      <c r="S2570" s="121" t="str">
        <f t="shared" si="1010"/>
        <v/>
      </c>
      <c r="T2570" s="121" t="str">
        <f t="shared" si="1011"/>
        <v/>
      </c>
      <c r="U2570" s="121">
        <f t="shared" si="1012"/>
        <v>1</v>
      </c>
    </row>
    <row r="2571" spans="1:21" x14ac:dyDescent="0.3">
      <c r="A2571" s="187">
        <v>9</v>
      </c>
      <c r="B2571" s="242">
        <f t="shared" si="1013"/>
        <v>45901</v>
      </c>
      <c r="C2571" s="243">
        <f t="shared" si="994"/>
        <v>45930</v>
      </c>
      <c r="D2571" s="120">
        <f t="shared" si="995"/>
        <v>30</v>
      </c>
      <c r="E2571" s="120">
        <f t="shared" si="996"/>
        <v>9</v>
      </c>
      <c r="F2571" s="275">
        <f t="shared" si="997"/>
        <v>45916</v>
      </c>
      <c r="G2571" s="120">
        <f t="shared" si="998"/>
        <v>24308</v>
      </c>
      <c r="H2571" s="245">
        <f t="shared" si="999"/>
        <v>1</v>
      </c>
      <c r="I2571" s="121">
        <f t="shared" si="1000"/>
        <v>1</v>
      </c>
      <c r="J2571" s="121">
        <f t="shared" si="1001"/>
        <v>1</v>
      </c>
      <c r="K2571" s="120">
        <f t="shared" si="1002"/>
        <v>0</v>
      </c>
      <c r="L2571" s="120">
        <f t="shared" si="1003"/>
        <v>0</v>
      </c>
      <c r="M2571" s="246">
        <f t="shared" si="1004"/>
        <v>0</v>
      </c>
      <c r="N2571" s="121">
        <f t="shared" si="1005"/>
        <v>1</v>
      </c>
      <c r="O2571" s="246">
        <f t="shared" si="1006"/>
        <v>0.89752735229759295</v>
      </c>
      <c r="P2571" s="121">
        <f t="shared" si="1007"/>
        <v>0.41666666666666663</v>
      </c>
      <c r="Q2571" s="121">
        <f t="shared" si="1008"/>
        <v>0</v>
      </c>
      <c r="R2571" s="121">
        <f t="shared" si="1009"/>
        <v>0</v>
      </c>
      <c r="S2571" s="121" t="str">
        <f t="shared" si="1010"/>
        <v/>
      </c>
      <c r="T2571" s="121" t="str">
        <f t="shared" si="1011"/>
        <v/>
      </c>
      <c r="U2571" s="121">
        <f t="shared" si="1012"/>
        <v>1</v>
      </c>
    </row>
    <row r="2572" spans="1:21" x14ac:dyDescent="0.3">
      <c r="A2572" s="187">
        <v>10</v>
      </c>
      <c r="B2572" s="242">
        <f t="shared" si="1013"/>
        <v>45931</v>
      </c>
      <c r="C2572" s="243">
        <f t="shared" si="994"/>
        <v>45961</v>
      </c>
      <c r="D2572" s="120">
        <f t="shared" si="995"/>
        <v>31</v>
      </c>
      <c r="E2572" s="120">
        <f t="shared" si="996"/>
        <v>10</v>
      </c>
      <c r="F2572" s="275">
        <f t="shared" si="997"/>
        <v>45946.5</v>
      </c>
      <c r="G2572" s="120">
        <f t="shared" si="998"/>
        <v>24309</v>
      </c>
      <c r="H2572" s="245">
        <f t="shared" si="999"/>
        <v>1</v>
      </c>
      <c r="I2572" s="121">
        <f t="shared" si="1000"/>
        <v>1</v>
      </c>
      <c r="J2572" s="121">
        <f t="shared" si="1001"/>
        <v>1</v>
      </c>
      <c r="K2572" s="120">
        <f t="shared" si="1002"/>
        <v>0</v>
      </c>
      <c r="L2572" s="120">
        <f t="shared" si="1003"/>
        <v>0</v>
      </c>
      <c r="M2572" s="246">
        <f t="shared" si="1004"/>
        <v>0</v>
      </c>
      <c r="N2572" s="121">
        <f t="shared" si="1005"/>
        <v>1</v>
      </c>
      <c r="O2572" s="246">
        <f t="shared" si="1006"/>
        <v>0.89852844638949669</v>
      </c>
      <c r="P2572" s="121">
        <f t="shared" si="1007"/>
        <v>0.58333333333333326</v>
      </c>
      <c r="Q2572" s="121">
        <f t="shared" si="1008"/>
        <v>0</v>
      </c>
      <c r="R2572" s="121">
        <f t="shared" si="1009"/>
        <v>0</v>
      </c>
      <c r="S2572" s="121" t="str">
        <f t="shared" si="1010"/>
        <v/>
      </c>
      <c r="T2572" s="121" t="str">
        <f t="shared" si="1011"/>
        <v/>
      </c>
      <c r="U2572" s="121">
        <f t="shared" si="1012"/>
        <v>1</v>
      </c>
    </row>
    <row r="2573" spans="1:21" x14ac:dyDescent="0.3">
      <c r="A2573" s="187">
        <v>11</v>
      </c>
      <c r="B2573" s="242">
        <f t="shared" si="1013"/>
        <v>45962</v>
      </c>
      <c r="C2573" s="243">
        <f t="shared" si="994"/>
        <v>45991</v>
      </c>
      <c r="D2573" s="120">
        <f t="shared" si="995"/>
        <v>30</v>
      </c>
      <c r="E2573" s="120">
        <f t="shared" si="996"/>
        <v>11</v>
      </c>
      <c r="F2573" s="275">
        <f t="shared" si="997"/>
        <v>45977</v>
      </c>
      <c r="G2573" s="120">
        <f t="shared" si="998"/>
        <v>24310</v>
      </c>
      <c r="H2573" s="245">
        <f t="shared" si="999"/>
        <v>1</v>
      </c>
      <c r="I2573" s="121">
        <f t="shared" si="1000"/>
        <v>1</v>
      </c>
      <c r="J2573" s="121">
        <f t="shared" si="1001"/>
        <v>1</v>
      </c>
      <c r="K2573" s="120">
        <f t="shared" si="1002"/>
        <v>0</v>
      </c>
      <c r="L2573" s="120">
        <f t="shared" si="1003"/>
        <v>0</v>
      </c>
      <c r="M2573" s="246">
        <f t="shared" si="1004"/>
        <v>0</v>
      </c>
      <c r="N2573" s="121">
        <f t="shared" si="1005"/>
        <v>1</v>
      </c>
      <c r="O2573" s="246">
        <f t="shared" si="1006"/>
        <v>0.89952954048140044</v>
      </c>
      <c r="P2573" s="121">
        <f t="shared" si="1007"/>
        <v>0.75</v>
      </c>
      <c r="Q2573" s="121">
        <f t="shared" si="1008"/>
        <v>0</v>
      </c>
      <c r="R2573" s="121">
        <f t="shared" si="1009"/>
        <v>0</v>
      </c>
      <c r="S2573" s="121" t="str">
        <f t="shared" si="1010"/>
        <v/>
      </c>
      <c r="T2573" s="121" t="str">
        <f t="shared" si="1011"/>
        <v/>
      </c>
      <c r="U2573" s="121">
        <f t="shared" si="1012"/>
        <v>1</v>
      </c>
    </row>
    <row r="2574" spans="1:21" x14ac:dyDescent="0.3">
      <c r="A2574" s="187">
        <v>12</v>
      </c>
      <c r="B2574" s="242">
        <f t="shared" si="1013"/>
        <v>45992</v>
      </c>
      <c r="C2574" s="243">
        <f t="shared" si="994"/>
        <v>46022</v>
      </c>
      <c r="D2574" s="120">
        <f t="shared" si="995"/>
        <v>31</v>
      </c>
      <c r="E2574" s="120">
        <f t="shared" si="996"/>
        <v>12</v>
      </c>
      <c r="F2574" s="275">
        <f t="shared" si="997"/>
        <v>46007.5</v>
      </c>
      <c r="G2574" s="120">
        <f t="shared" si="998"/>
        <v>24311</v>
      </c>
      <c r="H2574" s="245">
        <f t="shared" si="999"/>
        <v>1</v>
      </c>
      <c r="I2574" s="121">
        <f t="shared" si="1000"/>
        <v>1</v>
      </c>
      <c r="J2574" s="121">
        <f t="shared" si="1001"/>
        <v>1</v>
      </c>
      <c r="K2574" s="120">
        <f t="shared" si="1002"/>
        <v>0</v>
      </c>
      <c r="L2574" s="120">
        <f t="shared" si="1003"/>
        <v>0</v>
      </c>
      <c r="M2574" s="246">
        <f t="shared" si="1004"/>
        <v>0</v>
      </c>
      <c r="N2574" s="121">
        <f t="shared" si="1005"/>
        <v>1</v>
      </c>
      <c r="O2574" s="246">
        <f t="shared" si="1006"/>
        <v>0.90053063457330418</v>
      </c>
      <c r="P2574" s="121">
        <f t="shared" si="1007"/>
        <v>0.91666666666666663</v>
      </c>
      <c r="Q2574" s="121">
        <f t="shared" si="1008"/>
        <v>0</v>
      </c>
      <c r="R2574" s="121">
        <f t="shared" si="1009"/>
        <v>0</v>
      </c>
      <c r="S2574" s="121" t="str">
        <f t="shared" si="1010"/>
        <v/>
      </c>
      <c r="T2574" s="121" t="str">
        <f t="shared" si="1011"/>
        <v/>
      </c>
      <c r="U2574" s="121">
        <f t="shared" si="1012"/>
        <v>1</v>
      </c>
    </row>
    <row r="2575" spans="1:21" x14ac:dyDescent="0.3">
      <c r="A2575" s="187">
        <v>13</v>
      </c>
      <c r="B2575" s="242">
        <f t="shared" si="1013"/>
        <v>46023</v>
      </c>
      <c r="C2575" s="243">
        <f t="shared" si="994"/>
        <v>46053</v>
      </c>
      <c r="D2575" s="120">
        <f t="shared" si="995"/>
        <v>31</v>
      </c>
      <c r="E2575" s="120">
        <f t="shared" si="996"/>
        <v>1</v>
      </c>
      <c r="F2575" s="275">
        <f t="shared" si="997"/>
        <v>46038.5</v>
      </c>
      <c r="G2575" s="120">
        <f t="shared" si="998"/>
        <v>24312</v>
      </c>
      <c r="H2575" s="245">
        <f t="shared" si="999"/>
        <v>1</v>
      </c>
      <c r="I2575" s="121">
        <f t="shared" si="1000"/>
        <v>1</v>
      </c>
      <c r="J2575" s="121">
        <f t="shared" si="1001"/>
        <v>1</v>
      </c>
      <c r="K2575" s="120">
        <f t="shared" si="1002"/>
        <v>0</v>
      </c>
      <c r="L2575" s="120">
        <f t="shared" si="1003"/>
        <v>0</v>
      </c>
      <c r="M2575" s="246">
        <f t="shared" si="1004"/>
        <v>0</v>
      </c>
      <c r="N2575" s="121">
        <f t="shared" si="1005"/>
        <v>1</v>
      </c>
      <c r="O2575" s="246">
        <f t="shared" si="1006"/>
        <v>0.90154814004376371</v>
      </c>
      <c r="P2575" s="121">
        <f t="shared" si="1007"/>
        <v>1</v>
      </c>
      <c r="Q2575" s="121">
        <f t="shared" si="1008"/>
        <v>0</v>
      </c>
      <c r="R2575" s="121">
        <f t="shared" si="1009"/>
        <v>0</v>
      </c>
      <c r="S2575" s="121" t="str">
        <f t="shared" si="1010"/>
        <v/>
      </c>
      <c r="T2575" s="121" t="str">
        <f t="shared" si="1011"/>
        <v/>
      </c>
      <c r="U2575" s="121">
        <f t="shared" si="1012"/>
        <v>1</v>
      </c>
    </row>
    <row r="2576" spans="1:21" x14ac:dyDescent="0.3">
      <c r="A2576" s="187">
        <v>14</v>
      </c>
      <c r="B2576" s="242">
        <f t="shared" si="1013"/>
        <v>46054</v>
      </c>
      <c r="C2576" s="243">
        <f t="shared" si="994"/>
        <v>46081</v>
      </c>
      <c r="D2576" s="120">
        <f t="shared" si="995"/>
        <v>28</v>
      </c>
      <c r="E2576" s="120">
        <f t="shared" si="996"/>
        <v>2</v>
      </c>
      <c r="F2576" s="275">
        <f t="shared" si="997"/>
        <v>46068</v>
      </c>
      <c r="G2576" s="120">
        <f t="shared" si="998"/>
        <v>24313</v>
      </c>
      <c r="H2576" s="245">
        <f t="shared" si="999"/>
        <v>1</v>
      </c>
      <c r="I2576" s="121">
        <f t="shared" si="1000"/>
        <v>1</v>
      </c>
      <c r="J2576" s="121">
        <f t="shared" si="1001"/>
        <v>1</v>
      </c>
      <c r="K2576" s="120">
        <f t="shared" si="1002"/>
        <v>0</v>
      </c>
      <c r="L2576" s="120">
        <f t="shared" si="1003"/>
        <v>0</v>
      </c>
      <c r="M2576" s="246">
        <f t="shared" si="1004"/>
        <v>0</v>
      </c>
      <c r="N2576" s="121">
        <f t="shared" si="1005"/>
        <v>1</v>
      </c>
      <c r="O2576" s="246">
        <f t="shared" si="1006"/>
        <v>0.90251641137855576</v>
      </c>
      <c r="P2576" s="121">
        <f t="shared" si="1007"/>
        <v>1</v>
      </c>
      <c r="Q2576" s="121">
        <f t="shared" si="1008"/>
        <v>0</v>
      </c>
      <c r="R2576" s="121">
        <f t="shared" si="1009"/>
        <v>0</v>
      </c>
      <c r="S2576" s="121" t="str">
        <f t="shared" si="1010"/>
        <v/>
      </c>
      <c r="T2576" s="121" t="str">
        <f t="shared" si="1011"/>
        <v/>
      </c>
      <c r="U2576" s="121">
        <f t="shared" si="1012"/>
        <v>1</v>
      </c>
    </row>
    <row r="2577" spans="1:21" x14ac:dyDescent="0.3">
      <c r="A2577" s="187">
        <v>15</v>
      </c>
      <c r="B2577" s="242">
        <f t="shared" si="1013"/>
        <v>46082</v>
      </c>
      <c r="C2577" s="243">
        <f t="shared" si="994"/>
        <v>46112</v>
      </c>
      <c r="D2577" s="120">
        <f t="shared" si="995"/>
        <v>31</v>
      </c>
      <c r="E2577" s="120">
        <f t="shared" si="996"/>
        <v>3</v>
      </c>
      <c r="F2577" s="275">
        <f t="shared" si="997"/>
        <v>46097.5</v>
      </c>
      <c r="G2577" s="120">
        <f t="shared" si="998"/>
        <v>24314</v>
      </c>
      <c r="H2577" s="245">
        <f t="shared" si="999"/>
        <v>1</v>
      </c>
      <c r="I2577" s="121">
        <f t="shared" si="1000"/>
        <v>1</v>
      </c>
      <c r="J2577" s="121">
        <f t="shared" si="1001"/>
        <v>1</v>
      </c>
      <c r="K2577" s="120">
        <f t="shared" si="1002"/>
        <v>0</v>
      </c>
      <c r="L2577" s="120">
        <f t="shared" si="1003"/>
        <v>0</v>
      </c>
      <c r="M2577" s="246">
        <f t="shared" si="1004"/>
        <v>0</v>
      </c>
      <c r="N2577" s="121">
        <f t="shared" si="1005"/>
        <v>1</v>
      </c>
      <c r="O2577" s="246">
        <f t="shared" si="1006"/>
        <v>0.90348468271334792</v>
      </c>
      <c r="P2577" s="121">
        <f t="shared" si="1007"/>
        <v>1</v>
      </c>
      <c r="Q2577" s="121">
        <f t="shared" si="1008"/>
        <v>0</v>
      </c>
      <c r="R2577" s="121">
        <f t="shared" si="1009"/>
        <v>0</v>
      </c>
      <c r="S2577" s="121" t="str">
        <f t="shared" si="1010"/>
        <v/>
      </c>
      <c r="T2577" s="121" t="str">
        <f t="shared" si="1011"/>
        <v/>
      </c>
      <c r="U2577" s="121">
        <f t="shared" si="1012"/>
        <v>1</v>
      </c>
    </row>
    <row r="2578" spans="1:21" x14ac:dyDescent="0.3">
      <c r="A2578" s="187">
        <v>16</v>
      </c>
      <c r="B2578" s="242">
        <f t="shared" si="1013"/>
        <v>46113</v>
      </c>
      <c r="C2578" s="243">
        <f t="shared" si="994"/>
        <v>46142</v>
      </c>
      <c r="D2578" s="120">
        <f t="shared" si="995"/>
        <v>30</v>
      </c>
      <c r="E2578" s="120">
        <f t="shared" si="996"/>
        <v>4</v>
      </c>
      <c r="F2578" s="275">
        <f t="shared" si="997"/>
        <v>46128</v>
      </c>
      <c r="G2578" s="120">
        <f t="shared" si="998"/>
        <v>24315</v>
      </c>
      <c r="H2578" s="245">
        <f t="shared" si="999"/>
        <v>1</v>
      </c>
      <c r="I2578" s="121">
        <f t="shared" si="1000"/>
        <v>1</v>
      </c>
      <c r="J2578" s="121">
        <f t="shared" si="1001"/>
        <v>1</v>
      </c>
      <c r="K2578" s="120">
        <f t="shared" si="1002"/>
        <v>0</v>
      </c>
      <c r="L2578" s="120">
        <f t="shared" si="1003"/>
        <v>0</v>
      </c>
      <c r="M2578" s="246">
        <f t="shared" si="1004"/>
        <v>0</v>
      </c>
      <c r="N2578" s="121">
        <f t="shared" si="1005"/>
        <v>1</v>
      </c>
      <c r="O2578" s="246">
        <f t="shared" si="1006"/>
        <v>0.90448577680525166</v>
      </c>
      <c r="P2578" s="121">
        <f t="shared" si="1007"/>
        <v>1</v>
      </c>
      <c r="Q2578" s="121">
        <f t="shared" si="1008"/>
        <v>0</v>
      </c>
      <c r="R2578" s="121">
        <f t="shared" si="1009"/>
        <v>0</v>
      </c>
      <c r="S2578" s="121" t="str">
        <f t="shared" si="1010"/>
        <v/>
      </c>
      <c r="T2578" s="121" t="str">
        <f t="shared" si="1011"/>
        <v/>
      </c>
      <c r="U2578" s="121">
        <f t="shared" si="1012"/>
        <v>1</v>
      </c>
    </row>
    <row r="2579" spans="1:21" x14ac:dyDescent="0.3">
      <c r="A2579" s="187">
        <v>17</v>
      </c>
      <c r="B2579" s="242">
        <f t="shared" si="1013"/>
        <v>46143</v>
      </c>
      <c r="C2579" s="243">
        <f t="shared" si="994"/>
        <v>46173</v>
      </c>
      <c r="D2579" s="120">
        <f t="shared" si="995"/>
        <v>31</v>
      </c>
      <c r="E2579" s="120">
        <f t="shared" si="996"/>
        <v>5</v>
      </c>
      <c r="F2579" s="275">
        <f t="shared" si="997"/>
        <v>46158.5</v>
      </c>
      <c r="G2579" s="120">
        <f t="shared" si="998"/>
        <v>24316</v>
      </c>
      <c r="H2579" s="245">
        <f t="shared" si="999"/>
        <v>1</v>
      </c>
      <c r="I2579" s="121">
        <f t="shared" si="1000"/>
        <v>1</v>
      </c>
      <c r="J2579" s="121">
        <f t="shared" si="1001"/>
        <v>1</v>
      </c>
      <c r="K2579" s="120">
        <f t="shared" si="1002"/>
        <v>0</v>
      </c>
      <c r="L2579" s="120">
        <f t="shared" si="1003"/>
        <v>0</v>
      </c>
      <c r="M2579" s="246">
        <f t="shared" si="1004"/>
        <v>0</v>
      </c>
      <c r="N2579" s="121">
        <f t="shared" si="1005"/>
        <v>1</v>
      </c>
      <c r="O2579" s="246">
        <f t="shared" si="1006"/>
        <v>0.9054868708971554</v>
      </c>
      <c r="P2579" s="121">
        <f t="shared" si="1007"/>
        <v>1</v>
      </c>
      <c r="Q2579" s="121">
        <f t="shared" si="1008"/>
        <v>0</v>
      </c>
      <c r="R2579" s="121">
        <f t="shared" si="1009"/>
        <v>0</v>
      </c>
      <c r="S2579" s="121" t="str">
        <f t="shared" si="1010"/>
        <v/>
      </c>
      <c r="T2579" s="121" t="str">
        <f t="shared" si="1011"/>
        <v/>
      </c>
      <c r="U2579" s="121">
        <f t="shared" si="1012"/>
        <v>1</v>
      </c>
    </row>
    <row r="2580" spans="1:21" x14ac:dyDescent="0.3">
      <c r="A2580" s="187">
        <v>18</v>
      </c>
      <c r="B2580" s="242">
        <f t="shared" si="1013"/>
        <v>46174</v>
      </c>
      <c r="C2580" s="243">
        <f t="shared" si="994"/>
        <v>46203</v>
      </c>
      <c r="D2580" s="120">
        <f t="shared" si="995"/>
        <v>30</v>
      </c>
      <c r="E2580" s="120">
        <f t="shared" si="996"/>
        <v>6</v>
      </c>
      <c r="F2580" s="275">
        <f t="shared" si="997"/>
        <v>46189</v>
      </c>
      <c r="G2580" s="120">
        <f t="shared" si="998"/>
        <v>24317</v>
      </c>
      <c r="H2580" s="245">
        <f t="shared" si="999"/>
        <v>1</v>
      </c>
      <c r="I2580" s="121">
        <f t="shared" si="1000"/>
        <v>1</v>
      </c>
      <c r="J2580" s="121">
        <f t="shared" si="1001"/>
        <v>1</v>
      </c>
      <c r="K2580" s="120">
        <f t="shared" si="1002"/>
        <v>0</v>
      </c>
      <c r="L2580" s="120">
        <f t="shared" si="1003"/>
        <v>0</v>
      </c>
      <c r="M2580" s="246">
        <f t="shared" si="1004"/>
        <v>0</v>
      </c>
      <c r="N2580" s="121">
        <f t="shared" si="1005"/>
        <v>1</v>
      </c>
      <c r="O2580" s="246">
        <f t="shared" si="1006"/>
        <v>0.90648796498905915</v>
      </c>
      <c r="P2580" s="121">
        <f t="shared" si="1007"/>
        <v>1</v>
      </c>
      <c r="Q2580" s="121">
        <f t="shared" si="1008"/>
        <v>0</v>
      </c>
      <c r="R2580" s="121">
        <f t="shared" si="1009"/>
        <v>0</v>
      </c>
      <c r="S2580" s="121" t="str">
        <f t="shared" si="1010"/>
        <v/>
      </c>
      <c r="T2580" s="121" t="str">
        <f t="shared" si="1011"/>
        <v/>
      </c>
      <c r="U2580" s="121">
        <f t="shared" si="1012"/>
        <v>1</v>
      </c>
    </row>
    <row r="2581" spans="1:21" x14ac:dyDescent="0.3">
      <c r="A2581" s="187">
        <v>19</v>
      </c>
      <c r="B2581" s="242">
        <f t="shared" si="1013"/>
        <v>46204</v>
      </c>
      <c r="C2581" s="243">
        <f t="shared" si="994"/>
        <v>46234</v>
      </c>
      <c r="D2581" s="120">
        <f t="shared" si="995"/>
        <v>31</v>
      </c>
      <c r="E2581" s="120">
        <f t="shared" si="996"/>
        <v>7</v>
      </c>
      <c r="F2581" s="275">
        <f t="shared" si="997"/>
        <v>46219.5</v>
      </c>
      <c r="G2581" s="120">
        <f t="shared" si="998"/>
        <v>24318</v>
      </c>
      <c r="H2581" s="245">
        <f t="shared" si="999"/>
        <v>1</v>
      </c>
      <c r="I2581" s="121">
        <f t="shared" si="1000"/>
        <v>1</v>
      </c>
      <c r="J2581" s="121">
        <f t="shared" si="1001"/>
        <v>1</v>
      </c>
      <c r="K2581" s="120">
        <f t="shared" si="1002"/>
        <v>0</v>
      </c>
      <c r="L2581" s="120">
        <f t="shared" si="1003"/>
        <v>0</v>
      </c>
      <c r="M2581" s="246">
        <f t="shared" si="1004"/>
        <v>0</v>
      </c>
      <c r="N2581" s="121">
        <f t="shared" si="1005"/>
        <v>1</v>
      </c>
      <c r="O2581" s="246">
        <f t="shared" si="1006"/>
        <v>0.90748905908096278</v>
      </c>
      <c r="P2581" s="121">
        <f t="shared" si="1007"/>
        <v>0.91666666666666663</v>
      </c>
      <c r="Q2581" s="121">
        <f t="shared" si="1008"/>
        <v>8.333333333333337E-2</v>
      </c>
      <c r="R2581" s="121">
        <f t="shared" si="1009"/>
        <v>0</v>
      </c>
      <c r="S2581" s="121" t="str">
        <f t="shared" si="1010"/>
        <v/>
      </c>
      <c r="T2581" s="121" t="str">
        <f t="shared" si="1011"/>
        <v/>
      </c>
      <c r="U2581" s="121">
        <f t="shared" si="1012"/>
        <v>1</v>
      </c>
    </row>
    <row r="2582" spans="1:21" x14ac:dyDescent="0.3">
      <c r="A2582" s="187">
        <v>20</v>
      </c>
      <c r="B2582" s="242">
        <f t="shared" si="1013"/>
        <v>46235</v>
      </c>
      <c r="C2582" s="243">
        <f t="shared" si="994"/>
        <v>46265</v>
      </c>
      <c r="D2582" s="120">
        <f t="shared" si="995"/>
        <v>31</v>
      </c>
      <c r="E2582" s="120">
        <f t="shared" si="996"/>
        <v>8</v>
      </c>
      <c r="F2582" s="275">
        <f t="shared" si="997"/>
        <v>46250.5</v>
      </c>
      <c r="G2582" s="120">
        <f t="shared" si="998"/>
        <v>24319</v>
      </c>
      <c r="H2582" s="245">
        <f t="shared" si="999"/>
        <v>1</v>
      </c>
      <c r="I2582" s="121">
        <f t="shared" si="1000"/>
        <v>1</v>
      </c>
      <c r="J2582" s="121">
        <f t="shared" si="1001"/>
        <v>1</v>
      </c>
      <c r="K2582" s="120">
        <f t="shared" si="1002"/>
        <v>0</v>
      </c>
      <c r="L2582" s="120">
        <f t="shared" si="1003"/>
        <v>0</v>
      </c>
      <c r="M2582" s="246">
        <f t="shared" si="1004"/>
        <v>0</v>
      </c>
      <c r="N2582" s="121">
        <f t="shared" si="1005"/>
        <v>1</v>
      </c>
      <c r="O2582" s="246">
        <f t="shared" si="1006"/>
        <v>0.90850656455142231</v>
      </c>
      <c r="P2582" s="121">
        <f t="shared" si="1007"/>
        <v>0.75</v>
      </c>
      <c r="Q2582" s="121">
        <f t="shared" si="1008"/>
        <v>0.25</v>
      </c>
      <c r="R2582" s="121">
        <f t="shared" si="1009"/>
        <v>0</v>
      </c>
      <c r="S2582" s="121" t="str">
        <f t="shared" si="1010"/>
        <v/>
      </c>
      <c r="T2582" s="121" t="str">
        <f t="shared" si="1011"/>
        <v/>
      </c>
      <c r="U2582" s="121">
        <f t="shared" si="1012"/>
        <v>1</v>
      </c>
    </row>
    <row r="2583" spans="1:21" x14ac:dyDescent="0.3">
      <c r="A2583" s="187">
        <v>21</v>
      </c>
      <c r="B2583" s="242">
        <f t="shared" si="1013"/>
        <v>46266</v>
      </c>
      <c r="C2583" s="243">
        <f t="shared" si="994"/>
        <v>46295</v>
      </c>
      <c r="D2583" s="120">
        <f t="shared" si="995"/>
        <v>30</v>
      </c>
      <c r="E2583" s="120">
        <f t="shared" si="996"/>
        <v>9</v>
      </c>
      <c r="F2583" s="275">
        <f t="shared" si="997"/>
        <v>46281</v>
      </c>
      <c r="G2583" s="120">
        <f t="shared" si="998"/>
        <v>24320</v>
      </c>
      <c r="H2583" s="245">
        <f t="shared" si="999"/>
        <v>1</v>
      </c>
      <c r="I2583" s="121">
        <f t="shared" si="1000"/>
        <v>1</v>
      </c>
      <c r="J2583" s="121">
        <f t="shared" si="1001"/>
        <v>1</v>
      </c>
      <c r="K2583" s="120">
        <f t="shared" si="1002"/>
        <v>0</v>
      </c>
      <c r="L2583" s="120">
        <f t="shared" si="1003"/>
        <v>0</v>
      </c>
      <c r="M2583" s="246">
        <f t="shared" si="1004"/>
        <v>0</v>
      </c>
      <c r="N2583" s="121">
        <f t="shared" si="1005"/>
        <v>1</v>
      </c>
      <c r="O2583" s="246">
        <f t="shared" si="1006"/>
        <v>0.90950765864332606</v>
      </c>
      <c r="P2583" s="121">
        <f t="shared" si="1007"/>
        <v>0.58333333333333337</v>
      </c>
      <c r="Q2583" s="121">
        <f t="shared" si="1008"/>
        <v>0.41666666666666663</v>
      </c>
      <c r="R2583" s="121">
        <f t="shared" si="1009"/>
        <v>0</v>
      </c>
      <c r="S2583" s="121" t="str">
        <f t="shared" si="1010"/>
        <v/>
      </c>
      <c r="T2583" s="121" t="str">
        <f t="shared" si="1011"/>
        <v/>
      </c>
      <c r="U2583" s="121">
        <f t="shared" si="1012"/>
        <v>1</v>
      </c>
    </row>
    <row r="2584" spans="1:21" x14ac:dyDescent="0.3">
      <c r="A2584" s="187">
        <v>22</v>
      </c>
      <c r="B2584" s="242">
        <f t="shared" si="1013"/>
        <v>46296</v>
      </c>
      <c r="C2584" s="243">
        <f t="shared" si="994"/>
        <v>46326</v>
      </c>
      <c r="D2584" s="120">
        <f t="shared" si="995"/>
        <v>31</v>
      </c>
      <c r="E2584" s="120">
        <f t="shared" si="996"/>
        <v>10</v>
      </c>
      <c r="F2584" s="275">
        <f t="shared" si="997"/>
        <v>46311.5</v>
      </c>
      <c r="G2584" s="120">
        <f t="shared" si="998"/>
        <v>24321</v>
      </c>
      <c r="H2584" s="245">
        <f t="shared" si="999"/>
        <v>1</v>
      </c>
      <c r="I2584" s="121">
        <f t="shared" si="1000"/>
        <v>1</v>
      </c>
      <c r="J2584" s="121">
        <f t="shared" si="1001"/>
        <v>1</v>
      </c>
      <c r="K2584" s="120">
        <f t="shared" si="1002"/>
        <v>0</v>
      </c>
      <c r="L2584" s="120">
        <f t="shared" si="1003"/>
        <v>0</v>
      </c>
      <c r="M2584" s="246">
        <f t="shared" si="1004"/>
        <v>0</v>
      </c>
      <c r="N2584" s="121">
        <f t="shared" si="1005"/>
        <v>1</v>
      </c>
      <c r="O2584" s="246">
        <f t="shared" si="1006"/>
        <v>0.9105087527352298</v>
      </c>
      <c r="P2584" s="121">
        <f t="shared" si="1007"/>
        <v>0.41666666666666669</v>
      </c>
      <c r="Q2584" s="121">
        <f t="shared" si="1008"/>
        <v>0.58333333333333326</v>
      </c>
      <c r="R2584" s="121">
        <f t="shared" si="1009"/>
        <v>0</v>
      </c>
      <c r="S2584" s="121" t="str">
        <f t="shared" si="1010"/>
        <v/>
      </c>
      <c r="T2584" s="121" t="str">
        <f t="shared" si="1011"/>
        <v/>
      </c>
      <c r="U2584" s="121">
        <f t="shared" si="1012"/>
        <v>1</v>
      </c>
    </row>
    <row r="2585" spans="1:21" x14ac:dyDescent="0.3">
      <c r="A2585" s="187">
        <v>23</v>
      </c>
      <c r="B2585" s="242">
        <f t="shared" si="1013"/>
        <v>46327</v>
      </c>
      <c r="C2585" s="243">
        <f t="shared" si="994"/>
        <v>46356</v>
      </c>
      <c r="D2585" s="120">
        <f t="shared" si="995"/>
        <v>30</v>
      </c>
      <c r="E2585" s="120">
        <f t="shared" si="996"/>
        <v>11</v>
      </c>
      <c r="F2585" s="275">
        <f t="shared" si="997"/>
        <v>46342</v>
      </c>
      <c r="G2585" s="120">
        <f t="shared" si="998"/>
        <v>24322</v>
      </c>
      <c r="H2585" s="245">
        <f t="shared" si="999"/>
        <v>1</v>
      </c>
      <c r="I2585" s="121">
        <f t="shared" si="1000"/>
        <v>1</v>
      </c>
      <c r="J2585" s="121">
        <f t="shared" si="1001"/>
        <v>1</v>
      </c>
      <c r="K2585" s="120">
        <f t="shared" si="1002"/>
        <v>0</v>
      </c>
      <c r="L2585" s="120">
        <f t="shared" si="1003"/>
        <v>0</v>
      </c>
      <c r="M2585" s="246">
        <f t="shared" si="1004"/>
        <v>0</v>
      </c>
      <c r="N2585" s="121">
        <f t="shared" si="1005"/>
        <v>1</v>
      </c>
      <c r="O2585" s="246">
        <f t="shared" si="1006"/>
        <v>0.91150984682713354</v>
      </c>
      <c r="P2585" s="121">
        <f t="shared" si="1007"/>
        <v>0.25</v>
      </c>
      <c r="Q2585" s="121">
        <f t="shared" si="1008"/>
        <v>0.75</v>
      </c>
      <c r="R2585" s="121">
        <f t="shared" si="1009"/>
        <v>0</v>
      </c>
      <c r="S2585" s="121" t="str">
        <f t="shared" si="1010"/>
        <v/>
      </c>
      <c r="T2585" s="121" t="str">
        <f t="shared" si="1011"/>
        <v/>
      </c>
      <c r="U2585" s="121">
        <f t="shared" si="1012"/>
        <v>1</v>
      </c>
    </row>
    <row r="2586" spans="1:21" x14ac:dyDescent="0.3">
      <c r="A2586" s="187">
        <v>24</v>
      </c>
      <c r="B2586" s="242">
        <f t="shared" si="1013"/>
        <v>46357</v>
      </c>
      <c r="C2586" s="243">
        <f t="shared" si="994"/>
        <v>46387</v>
      </c>
      <c r="D2586" s="120">
        <f t="shared" si="995"/>
        <v>31</v>
      </c>
      <c r="E2586" s="120">
        <f t="shared" si="996"/>
        <v>12</v>
      </c>
      <c r="F2586" s="275">
        <f t="shared" si="997"/>
        <v>46372.5</v>
      </c>
      <c r="G2586" s="120">
        <f t="shared" si="998"/>
        <v>24323</v>
      </c>
      <c r="H2586" s="245">
        <f t="shared" si="999"/>
        <v>1</v>
      </c>
      <c r="I2586" s="121">
        <f t="shared" si="1000"/>
        <v>1</v>
      </c>
      <c r="J2586" s="121">
        <f t="shared" si="1001"/>
        <v>1</v>
      </c>
      <c r="K2586" s="120">
        <f t="shared" si="1002"/>
        <v>0</v>
      </c>
      <c r="L2586" s="120">
        <f t="shared" si="1003"/>
        <v>0</v>
      </c>
      <c r="M2586" s="246">
        <f t="shared" si="1004"/>
        <v>0</v>
      </c>
      <c r="N2586" s="121">
        <f t="shared" si="1005"/>
        <v>1</v>
      </c>
      <c r="O2586" s="246">
        <f t="shared" si="1006"/>
        <v>0.91251094091903728</v>
      </c>
      <c r="P2586" s="121">
        <f t="shared" si="1007"/>
        <v>8.3333333333333329E-2</v>
      </c>
      <c r="Q2586" s="121">
        <f t="shared" si="1008"/>
        <v>0.91666666666666663</v>
      </c>
      <c r="R2586" s="121">
        <f t="shared" si="1009"/>
        <v>0</v>
      </c>
      <c r="S2586" s="121" t="str">
        <f t="shared" si="1010"/>
        <v/>
      </c>
      <c r="T2586" s="121" t="str">
        <f t="shared" si="1011"/>
        <v/>
      </c>
      <c r="U2586" s="121">
        <f t="shared" si="1012"/>
        <v>1</v>
      </c>
    </row>
    <row r="2587" spans="1:21" x14ac:dyDescent="0.3">
      <c r="A2587" s="187">
        <v>25</v>
      </c>
      <c r="B2587" s="242">
        <f t="shared" si="1013"/>
        <v>46388</v>
      </c>
      <c r="C2587" s="243">
        <f t="shared" si="994"/>
        <v>46418</v>
      </c>
      <c r="D2587" s="120">
        <f t="shared" si="995"/>
        <v>31</v>
      </c>
      <c r="E2587" s="120">
        <f t="shared" si="996"/>
        <v>1</v>
      </c>
      <c r="F2587" s="275">
        <f t="shared" si="997"/>
        <v>46403.5</v>
      </c>
      <c r="G2587" s="120">
        <f t="shared" si="998"/>
        <v>24324</v>
      </c>
      <c r="H2587" s="245">
        <f t="shared" si="999"/>
        <v>1</v>
      </c>
      <c r="I2587" s="121">
        <f t="shared" si="1000"/>
        <v>1</v>
      </c>
      <c r="J2587" s="121">
        <f t="shared" si="1001"/>
        <v>1</v>
      </c>
      <c r="K2587" s="120">
        <f t="shared" si="1002"/>
        <v>0</v>
      </c>
      <c r="L2587" s="120">
        <f t="shared" si="1003"/>
        <v>0</v>
      </c>
      <c r="M2587" s="246">
        <f t="shared" si="1004"/>
        <v>0</v>
      </c>
      <c r="N2587" s="121">
        <f t="shared" si="1005"/>
        <v>1</v>
      </c>
      <c r="O2587" s="246">
        <f t="shared" si="1006"/>
        <v>0.91352844638949671</v>
      </c>
      <c r="P2587" s="121">
        <f t="shared" si="1007"/>
        <v>0</v>
      </c>
      <c r="Q2587" s="121">
        <f t="shared" si="1008"/>
        <v>1</v>
      </c>
      <c r="R2587" s="121">
        <f t="shared" si="1009"/>
        <v>0</v>
      </c>
      <c r="S2587" s="121" t="str">
        <f t="shared" si="1010"/>
        <v/>
      </c>
      <c r="T2587" s="121" t="str">
        <f t="shared" si="1011"/>
        <v/>
      </c>
      <c r="U2587" s="121">
        <f t="shared" si="1012"/>
        <v>1</v>
      </c>
    </row>
    <row r="2588" spans="1:21" x14ac:dyDescent="0.3">
      <c r="A2588" s="187">
        <v>26</v>
      </c>
      <c r="B2588" s="242">
        <f t="shared" si="1013"/>
        <v>46419</v>
      </c>
      <c r="C2588" s="243">
        <f t="shared" si="994"/>
        <v>46446</v>
      </c>
      <c r="D2588" s="120">
        <f t="shared" si="995"/>
        <v>28</v>
      </c>
      <c r="E2588" s="120">
        <f t="shared" si="996"/>
        <v>2</v>
      </c>
      <c r="F2588" s="275">
        <f t="shared" si="997"/>
        <v>46433</v>
      </c>
      <c r="G2588" s="120">
        <f t="shared" si="998"/>
        <v>24325</v>
      </c>
      <c r="H2588" s="245">
        <f t="shared" si="999"/>
        <v>1</v>
      </c>
      <c r="I2588" s="121">
        <f t="shared" si="1000"/>
        <v>1</v>
      </c>
      <c r="J2588" s="121">
        <f t="shared" si="1001"/>
        <v>1</v>
      </c>
      <c r="K2588" s="120">
        <f t="shared" si="1002"/>
        <v>0</v>
      </c>
      <c r="L2588" s="120">
        <f t="shared" si="1003"/>
        <v>0</v>
      </c>
      <c r="M2588" s="246">
        <f t="shared" si="1004"/>
        <v>0</v>
      </c>
      <c r="N2588" s="121">
        <f t="shared" si="1005"/>
        <v>1</v>
      </c>
      <c r="O2588" s="246">
        <f t="shared" si="1006"/>
        <v>0.91449671772428887</v>
      </c>
      <c r="P2588" s="121">
        <f t="shared" si="1007"/>
        <v>0</v>
      </c>
      <c r="Q2588" s="121">
        <f t="shared" si="1008"/>
        <v>1</v>
      </c>
      <c r="R2588" s="121">
        <f t="shared" si="1009"/>
        <v>0</v>
      </c>
      <c r="S2588" s="121" t="str">
        <f t="shared" si="1010"/>
        <v/>
      </c>
      <c r="T2588" s="121" t="str">
        <f t="shared" si="1011"/>
        <v/>
      </c>
      <c r="U2588" s="121">
        <f t="shared" si="1012"/>
        <v>1</v>
      </c>
    </row>
    <row r="2589" spans="1:21" x14ac:dyDescent="0.3">
      <c r="A2589" s="187">
        <v>27</v>
      </c>
      <c r="B2589" s="242">
        <f t="shared" si="1013"/>
        <v>46447</v>
      </c>
      <c r="C2589" s="243">
        <f t="shared" si="994"/>
        <v>46477</v>
      </c>
      <c r="D2589" s="120">
        <f t="shared" si="995"/>
        <v>31</v>
      </c>
      <c r="E2589" s="120">
        <f t="shared" si="996"/>
        <v>3</v>
      </c>
      <c r="F2589" s="275">
        <f t="shared" si="997"/>
        <v>46462.5</v>
      </c>
      <c r="G2589" s="120">
        <f t="shared" si="998"/>
        <v>24326</v>
      </c>
      <c r="H2589" s="245">
        <f t="shared" si="999"/>
        <v>1</v>
      </c>
      <c r="I2589" s="121">
        <f t="shared" si="1000"/>
        <v>1</v>
      </c>
      <c r="J2589" s="121">
        <f t="shared" si="1001"/>
        <v>1</v>
      </c>
      <c r="K2589" s="120">
        <f t="shared" si="1002"/>
        <v>0</v>
      </c>
      <c r="L2589" s="120">
        <f t="shared" si="1003"/>
        <v>0</v>
      </c>
      <c r="M2589" s="246">
        <f t="shared" si="1004"/>
        <v>0</v>
      </c>
      <c r="N2589" s="121">
        <f t="shared" si="1005"/>
        <v>1</v>
      </c>
      <c r="O2589" s="246">
        <f t="shared" si="1006"/>
        <v>0.91546498905908102</v>
      </c>
      <c r="P2589" s="121">
        <f t="shared" si="1007"/>
        <v>0</v>
      </c>
      <c r="Q2589" s="121">
        <f t="shared" si="1008"/>
        <v>1</v>
      </c>
      <c r="R2589" s="121">
        <f t="shared" si="1009"/>
        <v>0</v>
      </c>
      <c r="S2589" s="121" t="str">
        <f t="shared" si="1010"/>
        <v/>
      </c>
      <c r="T2589" s="121" t="str">
        <f t="shared" si="1011"/>
        <v/>
      </c>
      <c r="U2589" s="121">
        <f t="shared" si="1012"/>
        <v>1</v>
      </c>
    </row>
    <row r="2590" spans="1:21" x14ac:dyDescent="0.3">
      <c r="A2590" s="187">
        <v>28</v>
      </c>
      <c r="B2590" s="242">
        <f t="shared" si="1013"/>
        <v>46478</v>
      </c>
      <c r="C2590" s="243">
        <f t="shared" si="994"/>
        <v>46507</v>
      </c>
      <c r="D2590" s="120">
        <f t="shared" si="995"/>
        <v>30</v>
      </c>
      <c r="E2590" s="120">
        <f t="shared" si="996"/>
        <v>4</v>
      </c>
      <c r="F2590" s="275">
        <f t="shared" si="997"/>
        <v>46493</v>
      </c>
      <c r="G2590" s="120">
        <f t="shared" si="998"/>
        <v>24327</v>
      </c>
      <c r="H2590" s="245">
        <f t="shared" si="999"/>
        <v>1</v>
      </c>
      <c r="I2590" s="121">
        <f t="shared" si="1000"/>
        <v>1</v>
      </c>
      <c r="J2590" s="121">
        <f t="shared" si="1001"/>
        <v>1</v>
      </c>
      <c r="K2590" s="120">
        <f t="shared" si="1002"/>
        <v>0</v>
      </c>
      <c r="L2590" s="120">
        <f t="shared" si="1003"/>
        <v>0</v>
      </c>
      <c r="M2590" s="246">
        <f t="shared" si="1004"/>
        <v>0</v>
      </c>
      <c r="N2590" s="121">
        <f t="shared" si="1005"/>
        <v>1</v>
      </c>
      <c r="O2590" s="246">
        <f t="shared" si="1006"/>
        <v>0.91646608315098477</v>
      </c>
      <c r="P2590" s="121">
        <f t="shared" si="1007"/>
        <v>0</v>
      </c>
      <c r="Q2590" s="121">
        <f t="shared" si="1008"/>
        <v>1</v>
      </c>
      <c r="R2590" s="121">
        <f t="shared" si="1009"/>
        <v>0</v>
      </c>
      <c r="S2590" s="121" t="str">
        <f t="shared" si="1010"/>
        <v/>
      </c>
      <c r="T2590" s="121" t="str">
        <f t="shared" si="1011"/>
        <v/>
      </c>
      <c r="U2590" s="121">
        <f t="shared" si="1012"/>
        <v>1</v>
      </c>
    </row>
    <row r="2591" spans="1:21" x14ac:dyDescent="0.3">
      <c r="A2591" s="187">
        <v>29</v>
      </c>
      <c r="B2591" s="242">
        <f t="shared" si="1013"/>
        <v>46508</v>
      </c>
      <c r="C2591" s="243">
        <f t="shared" si="994"/>
        <v>46538</v>
      </c>
      <c r="D2591" s="120">
        <f t="shared" si="995"/>
        <v>31</v>
      </c>
      <c r="E2591" s="120">
        <f t="shared" si="996"/>
        <v>5</v>
      </c>
      <c r="F2591" s="275">
        <f t="shared" si="997"/>
        <v>46523.5</v>
      </c>
      <c r="G2591" s="120">
        <f t="shared" si="998"/>
        <v>24328</v>
      </c>
      <c r="H2591" s="245">
        <f t="shared" si="999"/>
        <v>1</v>
      </c>
      <c r="I2591" s="121">
        <f t="shared" si="1000"/>
        <v>1</v>
      </c>
      <c r="J2591" s="121">
        <f t="shared" si="1001"/>
        <v>1</v>
      </c>
      <c r="K2591" s="120">
        <f t="shared" si="1002"/>
        <v>0</v>
      </c>
      <c r="L2591" s="120">
        <f t="shared" si="1003"/>
        <v>0</v>
      </c>
      <c r="M2591" s="246">
        <f t="shared" si="1004"/>
        <v>0</v>
      </c>
      <c r="N2591" s="121">
        <f t="shared" si="1005"/>
        <v>1</v>
      </c>
      <c r="O2591" s="246">
        <f t="shared" si="1006"/>
        <v>0.9174671772428884</v>
      </c>
      <c r="P2591" s="121">
        <f t="shared" si="1007"/>
        <v>0</v>
      </c>
      <c r="Q2591" s="121">
        <f t="shared" si="1008"/>
        <v>1</v>
      </c>
      <c r="R2591" s="121">
        <f t="shared" si="1009"/>
        <v>0</v>
      </c>
      <c r="S2591" s="121" t="str">
        <f t="shared" si="1010"/>
        <v/>
      </c>
      <c r="T2591" s="121" t="str">
        <f t="shared" si="1011"/>
        <v/>
      </c>
      <c r="U2591" s="121">
        <f t="shared" si="1012"/>
        <v>1</v>
      </c>
    </row>
    <row r="2592" spans="1:21" x14ac:dyDescent="0.3">
      <c r="A2592" s="187">
        <v>30</v>
      </c>
      <c r="B2592" s="242">
        <f t="shared" si="1013"/>
        <v>46539</v>
      </c>
      <c r="C2592" s="243">
        <f t="shared" si="994"/>
        <v>46568</v>
      </c>
      <c r="D2592" s="120">
        <f t="shared" si="995"/>
        <v>30</v>
      </c>
      <c r="E2592" s="120">
        <f t="shared" si="996"/>
        <v>6</v>
      </c>
      <c r="F2592" s="275">
        <f t="shared" si="997"/>
        <v>46554</v>
      </c>
      <c r="G2592" s="120">
        <f t="shared" si="998"/>
        <v>24329</v>
      </c>
      <c r="H2592" s="245">
        <f t="shared" si="999"/>
        <v>1</v>
      </c>
      <c r="I2592" s="121">
        <f t="shared" si="1000"/>
        <v>1</v>
      </c>
      <c r="J2592" s="121">
        <f t="shared" si="1001"/>
        <v>1</v>
      </c>
      <c r="K2592" s="120">
        <f t="shared" si="1002"/>
        <v>0</v>
      </c>
      <c r="L2592" s="120">
        <f t="shared" si="1003"/>
        <v>0</v>
      </c>
      <c r="M2592" s="246">
        <f t="shared" si="1004"/>
        <v>0</v>
      </c>
      <c r="N2592" s="121">
        <f t="shared" si="1005"/>
        <v>1</v>
      </c>
      <c r="O2592" s="246">
        <f t="shared" si="1006"/>
        <v>0.91846827133479214</v>
      </c>
      <c r="P2592" s="121">
        <f t="shared" si="1007"/>
        <v>0</v>
      </c>
      <c r="Q2592" s="121">
        <f t="shared" si="1008"/>
        <v>1</v>
      </c>
      <c r="R2592" s="121">
        <f t="shared" si="1009"/>
        <v>0</v>
      </c>
      <c r="S2592" s="121" t="str">
        <f t="shared" si="1010"/>
        <v/>
      </c>
      <c r="T2592" s="121" t="str">
        <f t="shared" si="1011"/>
        <v/>
      </c>
      <c r="U2592" s="121">
        <f t="shared" si="1012"/>
        <v>1</v>
      </c>
    </row>
    <row r="2593" spans="1:21" x14ac:dyDescent="0.3">
      <c r="A2593" s="187">
        <v>31</v>
      </c>
      <c r="B2593" s="242">
        <f t="shared" si="1013"/>
        <v>46569</v>
      </c>
      <c r="C2593" s="243">
        <f t="shared" si="994"/>
        <v>46599</v>
      </c>
      <c r="D2593" s="120">
        <f t="shared" si="995"/>
        <v>31</v>
      </c>
      <c r="E2593" s="120">
        <f t="shared" si="996"/>
        <v>7</v>
      </c>
      <c r="F2593" s="275">
        <f t="shared" si="997"/>
        <v>46584.5</v>
      </c>
      <c r="G2593" s="120">
        <f t="shared" si="998"/>
        <v>24330</v>
      </c>
      <c r="H2593" s="245">
        <f t="shared" si="999"/>
        <v>1</v>
      </c>
      <c r="I2593" s="121">
        <f t="shared" si="1000"/>
        <v>1</v>
      </c>
      <c r="J2593" s="121">
        <f t="shared" si="1001"/>
        <v>1</v>
      </c>
      <c r="K2593" s="120">
        <f t="shared" si="1002"/>
        <v>0</v>
      </c>
      <c r="L2593" s="120">
        <f t="shared" si="1003"/>
        <v>0</v>
      </c>
      <c r="M2593" s="246">
        <f t="shared" si="1004"/>
        <v>0</v>
      </c>
      <c r="N2593" s="121">
        <f t="shared" si="1005"/>
        <v>1</v>
      </c>
      <c r="O2593" s="246">
        <f t="shared" si="1006"/>
        <v>0.91946936542669588</v>
      </c>
      <c r="P2593" s="121">
        <f t="shared" si="1007"/>
        <v>0</v>
      </c>
      <c r="Q2593" s="121">
        <f t="shared" si="1008"/>
        <v>0.91666666666666663</v>
      </c>
      <c r="R2593" s="121">
        <f t="shared" si="1009"/>
        <v>8.333333333333337E-2</v>
      </c>
      <c r="S2593" s="121" t="str">
        <f t="shared" si="1010"/>
        <v/>
      </c>
      <c r="T2593" s="121" t="str">
        <f t="shared" si="1011"/>
        <v/>
      </c>
      <c r="U2593" s="121">
        <f t="shared" si="1012"/>
        <v>1</v>
      </c>
    </row>
    <row r="2594" spans="1:21" x14ac:dyDescent="0.3">
      <c r="A2594" s="187">
        <v>32</v>
      </c>
      <c r="B2594" s="242">
        <f t="shared" si="1013"/>
        <v>46600</v>
      </c>
      <c r="C2594" s="243">
        <f t="shared" si="994"/>
        <v>46630</v>
      </c>
      <c r="D2594" s="120">
        <f t="shared" si="995"/>
        <v>31</v>
      </c>
      <c r="E2594" s="120">
        <f t="shared" si="996"/>
        <v>8</v>
      </c>
      <c r="F2594" s="275">
        <f t="shared" si="997"/>
        <v>46615.5</v>
      </c>
      <c r="G2594" s="120">
        <f t="shared" si="998"/>
        <v>24331</v>
      </c>
      <c r="H2594" s="245">
        <f t="shared" si="999"/>
        <v>1</v>
      </c>
      <c r="I2594" s="121">
        <f t="shared" si="1000"/>
        <v>1</v>
      </c>
      <c r="J2594" s="121">
        <f t="shared" si="1001"/>
        <v>1</v>
      </c>
      <c r="K2594" s="120">
        <f t="shared" si="1002"/>
        <v>0</v>
      </c>
      <c r="L2594" s="120">
        <f t="shared" si="1003"/>
        <v>0</v>
      </c>
      <c r="M2594" s="246">
        <f t="shared" si="1004"/>
        <v>0</v>
      </c>
      <c r="N2594" s="121">
        <f t="shared" si="1005"/>
        <v>1</v>
      </c>
      <c r="O2594" s="246">
        <f t="shared" si="1006"/>
        <v>0.92048687089715542</v>
      </c>
      <c r="P2594" s="121">
        <f t="shared" si="1007"/>
        <v>0</v>
      </c>
      <c r="Q2594" s="121">
        <f t="shared" si="1008"/>
        <v>0.75</v>
      </c>
      <c r="R2594" s="121">
        <f t="shared" si="1009"/>
        <v>0.25</v>
      </c>
      <c r="S2594" s="121" t="str">
        <f t="shared" si="1010"/>
        <v/>
      </c>
      <c r="T2594" s="121" t="str">
        <f t="shared" si="1011"/>
        <v/>
      </c>
      <c r="U2594" s="121">
        <f t="shared" si="1012"/>
        <v>1</v>
      </c>
    </row>
    <row r="2595" spans="1:21" x14ac:dyDescent="0.3">
      <c r="A2595" s="187">
        <v>33</v>
      </c>
      <c r="B2595" s="242">
        <f t="shared" si="1013"/>
        <v>46631</v>
      </c>
      <c r="C2595" s="243">
        <f t="shared" si="994"/>
        <v>46660</v>
      </c>
      <c r="D2595" s="120">
        <f t="shared" si="995"/>
        <v>30</v>
      </c>
      <c r="E2595" s="120">
        <f t="shared" si="996"/>
        <v>9</v>
      </c>
      <c r="F2595" s="275">
        <f t="shared" si="997"/>
        <v>46646</v>
      </c>
      <c r="G2595" s="120">
        <f t="shared" si="998"/>
        <v>24332</v>
      </c>
      <c r="H2595" s="245">
        <f t="shared" si="999"/>
        <v>1</v>
      </c>
      <c r="I2595" s="121">
        <f t="shared" si="1000"/>
        <v>1</v>
      </c>
      <c r="J2595" s="121">
        <f t="shared" si="1001"/>
        <v>1</v>
      </c>
      <c r="K2595" s="120">
        <f t="shared" si="1002"/>
        <v>0</v>
      </c>
      <c r="L2595" s="120">
        <f t="shared" si="1003"/>
        <v>0</v>
      </c>
      <c r="M2595" s="246">
        <f t="shared" si="1004"/>
        <v>0</v>
      </c>
      <c r="N2595" s="121">
        <f t="shared" si="1005"/>
        <v>1</v>
      </c>
      <c r="O2595" s="246">
        <f t="shared" si="1006"/>
        <v>0.92148796498905916</v>
      </c>
      <c r="P2595" s="121">
        <f t="shared" si="1007"/>
        <v>0</v>
      </c>
      <c r="Q2595" s="121">
        <f t="shared" si="1008"/>
        <v>0.58333333333333337</v>
      </c>
      <c r="R2595" s="121">
        <f t="shared" si="1009"/>
        <v>0.41666666666666663</v>
      </c>
      <c r="S2595" s="121" t="str">
        <f t="shared" si="1010"/>
        <v/>
      </c>
      <c r="T2595" s="121" t="str">
        <f t="shared" si="1011"/>
        <v/>
      </c>
      <c r="U2595" s="121">
        <f t="shared" si="1012"/>
        <v>1</v>
      </c>
    </row>
    <row r="2596" spans="1:21" x14ac:dyDescent="0.3">
      <c r="A2596" s="187">
        <v>34</v>
      </c>
      <c r="B2596" s="242">
        <f t="shared" si="1013"/>
        <v>46661</v>
      </c>
      <c r="C2596" s="243">
        <f t="shared" si="994"/>
        <v>46691</v>
      </c>
      <c r="D2596" s="120">
        <f t="shared" si="995"/>
        <v>31</v>
      </c>
      <c r="E2596" s="120">
        <f t="shared" si="996"/>
        <v>10</v>
      </c>
      <c r="F2596" s="275">
        <f t="shared" si="997"/>
        <v>46676.5</v>
      </c>
      <c r="G2596" s="120">
        <f t="shared" si="998"/>
        <v>24333</v>
      </c>
      <c r="H2596" s="245">
        <f t="shared" si="999"/>
        <v>1</v>
      </c>
      <c r="I2596" s="121">
        <f t="shared" si="1000"/>
        <v>1</v>
      </c>
      <c r="J2596" s="121">
        <f t="shared" si="1001"/>
        <v>1</v>
      </c>
      <c r="K2596" s="120">
        <f t="shared" si="1002"/>
        <v>0</v>
      </c>
      <c r="L2596" s="120">
        <f t="shared" si="1003"/>
        <v>0</v>
      </c>
      <c r="M2596" s="246">
        <f t="shared" si="1004"/>
        <v>0</v>
      </c>
      <c r="N2596" s="121">
        <f t="shared" si="1005"/>
        <v>1</v>
      </c>
      <c r="O2596" s="246">
        <f t="shared" si="1006"/>
        <v>0.92248905908096279</v>
      </c>
      <c r="P2596" s="121">
        <f t="shared" si="1007"/>
        <v>0</v>
      </c>
      <c r="Q2596" s="121">
        <f t="shared" si="1008"/>
        <v>0.41666666666666669</v>
      </c>
      <c r="R2596" s="121">
        <f t="shared" si="1009"/>
        <v>0.58333333333333326</v>
      </c>
      <c r="S2596" s="121" t="str">
        <f t="shared" si="1010"/>
        <v/>
      </c>
      <c r="T2596" s="121" t="str">
        <f t="shared" si="1011"/>
        <v/>
      </c>
      <c r="U2596" s="121">
        <f t="shared" si="1012"/>
        <v>1</v>
      </c>
    </row>
    <row r="2597" spans="1:21" x14ac:dyDescent="0.3">
      <c r="A2597" s="187">
        <v>35</v>
      </c>
      <c r="B2597" s="242">
        <f t="shared" si="1013"/>
        <v>46692</v>
      </c>
      <c r="C2597" s="243">
        <f t="shared" si="994"/>
        <v>46721</v>
      </c>
      <c r="D2597" s="120">
        <f t="shared" si="995"/>
        <v>30</v>
      </c>
      <c r="E2597" s="120">
        <f t="shared" si="996"/>
        <v>11</v>
      </c>
      <c r="F2597" s="275">
        <f t="shared" si="997"/>
        <v>46707</v>
      </c>
      <c r="G2597" s="120">
        <f t="shared" si="998"/>
        <v>24334</v>
      </c>
      <c r="H2597" s="245">
        <f t="shared" si="999"/>
        <v>1</v>
      </c>
      <c r="I2597" s="121">
        <f t="shared" si="1000"/>
        <v>1</v>
      </c>
      <c r="J2597" s="121">
        <f t="shared" si="1001"/>
        <v>1</v>
      </c>
      <c r="K2597" s="120">
        <f t="shared" si="1002"/>
        <v>0</v>
      </c>
      <c r="L2597" s="120">
        <f t="shared" si="1003"/>
        <v>0</v>
      </c>
      <c r="M2597" s="246">
        <f t="shared" si="1004"/>
        <v>0</v>
      </c>
      <c r="N2597" s="121">
        <f t="shared" si="1005"/>
        <v>1</v>
      </c>
      <c r="O2597" s="246">
        <f t="shared" si="1006"/>
        <v>0.92349015317286653</v>
      </c>
      <c r="P2597" s="121">
        <f t="shared" si="1007"/>
        <v>0</v>
      </c>
      <c r="Q2597" s="121">
        <f t="shared" si="1008"/>
        <v>0.25</v>
      </c>
      <c r="R2597" s="121">
        <f t="shared" si="1009"/>
        <v>0.75</v>
      </c>
      <c r="S2597" s="121" t="str">
        <f t="shared" si="1010"/>
        <v/>
      </c>
      <c r="T2597" s="121" t="str">
        <f t="shared" si="1011"/>
        <v/>
      </c>
      <c r="U2597" s="121">
        <f t="shared" si="1012"/>
        <v>1</v>
      </c>
    </row>
    <row r="2598" spans="1:21" x14ac:dyDescent="0.3">
      <c r="A2598" s="187">
        <v>36</v>
      </c>
      <c r="B2598" s="242">
        <f t="shared" si="1013"/>
        <v>46722</v>
      </c>
      <c r="C2598" s="243">
        <f t="shared" si="994"/>
        <v>46752</v>
      </c>
      <c r="D2598" s="120">
        <f t="shared" si="995"/>
        <v>31</v>
      </c>
      <c r="E2598" s="120">
        <f t="shared" si="996"/>
        <v>12</v>
      </c>
      <c r="F2598" s="275">
        <f t="shared" si="997"/>
        <v>46737.5</v>
      </c>
      <c r="G2598" s="120">
        <f t="shared" si="998"/>
        <v>24335</v>
      </c>
      <c r="H2598" s="245">
        <f t="shared" si="999"/>
        <v>1</v>
      </c>
      <c r="I2598" s="121">
        <f t="shared" si="1000"/>
        <v>1</v>
      </c>
      <c r="J2598" s="121">
        <f t="shared" si="1001"/>
        <v>1</v>
      </c>
      <c r="K2598" s="120">
        <f t="shared" si="1002"/>
        <v>0</v>
      </c>
      <c r="L2598" s="120">
        <f t="shared" si="1003"/>
        <v>0</v>
      </c>
      <c r="M2598" s="246">
        <f t="shared" si="1004"/>
        <v>0</v>
      </c>
      <c r="N2598" s="121">
        <f t="shared" si="1005"/>
        <v>1</v>
      </c>
      <c r="O2598" s="246">
        <f t="shared" si="1006"/>
        <v>0.92449124726477028</v>
      </c>
      <c r="P2598" s="121">
        <f t="shared" si="1007"/>
        <v>0</v>
      </c>
      <c r="Q2598" s="121">
        <f t="shared" si="1008"/>
        <v>8.3333333333333329E-2</v>
      </c>
      <c r="R2598" s="121">
        <f t="shared" si="1009"/>
        <v>0.91666666666666663</v>
      </c>
      <c r="S2598" s="121" t="str">
        <f t="shared" si="1010"/>
        <v/>
      </c>
      <c r="T2598" s="121" t="str">
        <f t="shared" si="1011"/>
        <v/>
      </c>
      <c r="U2598" s="121">
        <f t="shared" si="1012"/>
        <v>1</v>
      </c>
    </row>
    <row r="2599" spans="1:21" x14ac:dyDescent="0.3">
      <c r="A2599" s="187">
        <v>37</v>
      </c>
      <c r="B2599" s="242">
        <f t="shared" si="1013"/>
        <v>46753</v>
      </c>
      <c r="C2599" s="243">
        <f t="shared" si="994"/>
        <v>46783</v>
      </c>
      <c r="D2599" s="120">
        <f t="shared" si="995"/>
        <v>31</v>
      </c>
      <c r="E2599" s="120">
        <f t="shared" si="996"/>
        <v>1</v>
      </c>
      <c r="F2599" s="275">
        <f t="shared" si="997"/>
        <v>46768.5</v>
      </c>
      <c r="G2599" s="120">
        <f t="shared" si="998"/>
        <v>24336</v>
      </c>
      <c r="H2599" s="245">
        <f t="shared" si="999"/>
        <v>1</v>
      </c>
      <c r="I2599" s="121">
        <f t="shared" si="1000"/>
        <v>1</v>
      </c>
      <c r="J2599" s="121">
        <f t="shared" si="1001"/>
        <v>1</v>
      </c>
      <c r="K2599" s="120">
        <f t="shared" si="1002"/>
        <v>0</v>
      </c>
      <c r="L2599" s="120">
        <f t="shared" si="1003"/>
        <v>0</v>
      </c>
      <c r="M2599" s="246">
        <f t="shared" si="1004"/>
        <v>0</v>
      </c>
      <c r="N2599" s="121">
        <f t="shared" si="1005"/>
        <v>1</v>
      </c>
      <c r="O2599" s="246">
        <f t="shared" si="1006"/>
        <v>0.92500000000000004</v>
      </c>
      <c r="P2599" s="121">
        <f t="shared" si="1007"/>
        <v>0</v>
      </c>
      <c r="Q2599" s="121">
        <f t="shared" si="1008"/>
        <v>0</v>
      </c>
      <c r="R2599" s="121">
        <f t="shared" si="1009"/>
        <v>1</v>
      </c>
      <c r="S2599" s="121" t="str">
        <f t="shared" si="1010"/>
        <v/>
      </c>
      <c r="T2599" s="121" t="str">
        <f t="shared" si="1011"/>
        <v/>
      </c>
      <c r="U2599" s="121">
        <f t="shared" si="1012"/>
        <v>1</v>
      </c>
    </row>
    <row r="2600" spans="1:21" x14ac:dyDescent="0.3">
      <c r="A2600" s="187">
        <v>38</v>
      </c>
      <c r="B2600" s="242">
        <f t="shared" si="1013"/>
        <v>46784</v>
      </c>
      <c r="C2600" s="243">
        <f t="shared" si="994"/>
        <v>46812</v>
      </c>
      <c r="D2600" s="120">
        <f t="shared" si="995"/>
        <v>29</v>
      </c>
      <c r="E2600" s="120">
        <f t="shared" si="996"/>
        <v>2</v>
      </c>
      <c r="F2600" s="275">
        <f t="shared" si="997"/>
        <v>46798.5</v>
      </c>
      <c r="G2600" s="120">
        <f t="shared" si="998"/>
        <v>24337</v>
      </c>
      <c r="H2600" s="245">
        <f t="shared" si="999"/>
        <v>1</v>
      </c>
      <c r="I2600" s="121">
        <f t="shared" si="1000"/>
        <v>1</v>
      </c>
      <c r="J2600" s="121">
        <f t="shared" si="1001"/>
        <v>1</v>
      </c>
      <c r="K2600" s="120">
        <f t="shared" si="1002"/>
        <v>0</v>
      </c>
      <c r="L2600" s="120">
        <f t="shared" si="1003"/>
        <v>0</v>
      </c>
      <c r="M2600" s="246">
        <f t="shared" si="1004"/>
        <v>0</v>
      </c>
      <c r="N2600" s="121">
        <f t="shared" si="1005"/>
        <v>1</v>
      </c>
      <c r="O2600" s="246">
        <f t="shared" si="1006"/>
        <v>0.92500000000000004</v>
      </c>
      <c r="P2600" s="121">
        <f t="shared" si="1007"/>
        <v>0</v>
      </c>
      <c r="Q2600" s="121">
        <f t="shared" si="1008"/>
        <v>0</v>
      </c>
      <c r="R2600" s="121">
        <f t="shared" si="1009"/>
        <v>1</v>
      </c>
      <c r="S2600" s="121" t="str">
        <f t="shared" si="1010"/>
        <v/>
      </c>
      <c r="T2600" s="121" t="str">
        <f t="shared" si="1011"/>
        <v/>
      </c>
      <c r="U2600" s="121">
        <f t="shared" si="1012"/>
        <v>1</v>
      </c>
    </row>
    <row r="2601" spans="1:21" x14ac:dyDescent="0.3">
      <c r="A2601" s="187">
        <v>39</v>
      </c>
      <c r="B2601" s="242">
        <f t="shared" si="1013"/>
        <v>46813</v>
      </c>
      <c r="C2601" s="243">
        <f t="shared" si="994"/>
        <v>46843</v>
      </c>
      <c r="D2601" s="120">
        <f t="shared" si="995"/>
        <v>31</v>
      </c>
      <c r="E2601" s="120">
        <f t="shared" si="996"/>
        <v>3</v>
      </c>
      <c r="F2601" s="275">
        <f t="shared" si="997"/>
        <v>46828.5</v>
      </c>
      <c r="G2601" s="120">
        <f t="shared" si="998"/>
        <v>24338</v>
      </c>
      <c r="H2601" s="245">
        <f t="shared" si="999"/>
        <v>1</v>
      </c>
      <c r="I2601" s="121">
        <f t="shared" si="1000"/>
        <v>1</v>
      </c>
      <c r="J2601" s="121">
        <f t="shared" si="1001"/>
        <v>1</v>
      </c>
      <c r="K2601" s="120">
        <f t="shared" si="1002"/>
        <v>0</v>
      </c>
      <c r="L2601" s="120">
        <f t="shared" si="1003"/>
        <v>0</v>
      </c>
      <c r="M2601" s="246">
        <f t="shared" si="1004"/>
        <v>0</v>
      </c>
      <c r="N2601" s="121">
        <f t="shared" si="1005"/>
        <v>1</v>
      </c>
      <c r="O2601" s="246">
        <f t="shared" si="1006"/>
        <v>0.92500000000000004</v>
      </c>
      <c r="P2601" s="121">
        <f t="shared" si="1007"/>
        <v>0</v>
      </c>
      <c r="Q2601" s="121">
        <f t="shared" si="1008"/>
        <v>0</v>
      </c>
      <c r="R2601" s="121">
        <f t="shared" si="1009"/>
        <v>1</v>
      </c>
      <c r="S2601" s="121" t="str">
        <f t="shared" si="1010"/>
        <v/>
      </c>
      <c r="T2601" s="121" t="str">
        <f t="shared" si="1011"/>
        <v/>
      </c>
      <c r="U2601" s="121">
        <f t="shared" si="1012"/>
        <v>1</v>
      </c>
    </row>
    <row r="2602" spans="1:21" x14ac:dyDescent="0.3">
      <c r="A2602" s="187">
        <v>40</v>
      </c>
      <c r="B2602" s="242">
        <f t="shared" si="1013"/>
        <v>46844</v>
      </c>
      <c r="C2602" s="243">
        <f t="shared" si="994"/>
        <v>46873</v>
      </c>
      <c r="D2602" s="120">
        <f t="shared" si="995"/>
        <v>30</v>
      </c>
      <c r="E2602" s="120">
        <f t="shared" si="996"/>
        <v>4</v>
      </c>
      <c r="F2602" s="275">
        <f t="shared" si="997"/>
        <v>46859</v>
      </c>
      <c r="G2602" s="120">
        <f t="shared" si="998"/>
        <v>24339</v>
      </c>
      <c r="H2602" s="245">
        <f t="shared" si="999"/>
        <v>1</v>
      </c>
      <c r="I2602" s="121">
        <f t="shared" si="1000"/>
        <v>1</v>
      </c>
      <c r="J2602" s="121">
        <f t="shared" si="1001"/>
        <v>1</v>
      </c>
      <c r="K2602" s="120">
        <f t="shared" si="1002"/>
        <v>0</v>
      </c>
      <c r="L2602" s="120">
        <f t="shared" si="1003"/>
        <v>0</v>
      </c>
      <c r="M2602" s="246">
        <f t="shared" si="1004"/>
        <v>0</v>
      </c>
      <c r="N2602" s="121">
        <f t="shared" si="1005"/>
        <v>1</v>
      </c>
      <c r="O2602" s="246">
        <f t="shared" si="1006"/>
        <v>0.92500000000000004</v>
      </c>
      <c r="P2602" s="121">
        <f t="shared" si="1007"/>
        <v>0</v>
      </c>
      <c r="Q2602" s="121">
        <f t="shared" si="1008"/>
        <v>0</v>
      </c>
      <c r="R2602" s="121">
        <f t="shared" si="1009"/>
        <v>1</v>
      </c>
      <c r="S2602" s="121" t="str">
        <f t="shared" si="1010"/>
        <v/>
      </c>
      <c r="T2602" s="121" t="str">
        <f t="shared" si="1011"/>
        <v/>
      </c>
      <c r="U2602" s="121">
        <f t="shared" si="1012"/>
        <v>1</v>
      </c>
    </row>
    <row r="2603" spans="1:21" x14ac:dyDescent="0.3">
      <c r="A2603" s="187">
        <v>41</v>
      </c>
      <c r="B2603" s="242">
        <f t="shared" si="1013"/>
        <v>46874</v>
      </c>
      <c r="C2603" s="243">
        <f t="shared" si="994"/>
        <v>46904</v>
      </c>
      <c r="D2603" s="120">
        <f t="shared" si="995"/>
        <v>31</v>
      </c>
      <c r="E2603" s="120">
        <f t="shared" si="996"/>
        <v>5</v>
      </c>
      <c r="F2603" s="275">
        <f t="shared" si="997"/>
        <v>46889.5</v>
      </c>
      <c r="G2603" s="120">
        <f t="shared" si="998"/>
        <v>24340</v>
      </c>
      <c r="H2603" s="245">
        <f t="shared" si="999"/>
        <v>1</v>
      </c>
      <c r="I2603" s="121">
        <f t="shared" si="1000"/>
        <v>1</v>
      </c>
      <c r="J2603" s="121">
        <f t="shared" si="1001"/>
        <v>1</v>
      </c>
      <c r="K2603" s="120">
        <f t="shared" si="1002"/>
        <v>0</v>
      </c>
      <c r="L2603" s="120">
        <f t="shared" si="1003"/>
        <v>0</v>
      </c>
      <c r="M2603" s="246">
        <f t="shared" si="1004"/>
        <v>0</v>
      </c>
      <c r="N2603" s="121">
        <f t="shared" si="1005"/>
        <v>1</v>
      </c>
      <c r="O2603" s="246">
        <f t="shared" si="1006"/>
        <v>0.92500000000000004</v>
      </c>
      <c r="P2603" s="121">
        <f t="shared" si="1007"/>
        <v>0</v>
      </c>
      <c r="Q2603" s="121">
        <f t="shared" si="1008"/>
        <v>0</v>
      </c>
      <c r="R2603" s="121">
        <f t="shared" si="1009"/>
        <v>1</v>
      </c>
      <c r="S2603" s="121" t="str">
        <f t="shared" si="1010"/>
        <v/>
      </c>
      <c r="T2603" s="121" t="str">
        <f t="shared" si="1011"/>
        <v/>
      </c>
      <c r="U2603" s="121">
        <f t="shared" si="1012"/>
        <v>1</v>
      </c>
    </row>
    <row r="2604" spans="1:21" x14ac:dyDescent="0.3">
      <c r="A2604" s="187">
        <v>42</v>
      </c>
      <c r="B2604" s="242">
        <f t="shared" si="1013"/>
        <v>46905</v>
      </c>
      <c r="C2604" s="243">
        <f t="shared" si="994"/>
        <v>46934</v>
      </c>
      <c r="D2604" s="120">
        <f t="shared" si="995"/>
        <v>30</v>
      </c>
      <c r="E2604" s="120">
        <f t="shared" si="996"/>
        <v>6</v>
      </c>
      <c r="F2604" s="275">
        <f t="shared" si="997"/>
        <v>46920</v>
      </c>
      <c r="G2604" s="120">
        <f t="shared" si="998"/>
        <v>24341</v>
      </c>
      <c r="H2604" s="245">
        <f t="shared" si="999"/>
        <v>1</v>
      </c>
      <c r="I2604" s="121">
        <f t="shared" si="1000"/>
        <v>1</v>
      </c>
      <c r="J2604" s="121">
        <f t="shared" si="1001"/>
        <v>1</v>
      </c>
      <c r="K2604" s="120">
        <f t="shared" si="1002"/>
        <v>0</v>
      </c>
      <c r="L2604" s="120">
        <f t="shared" si="1003"/>
        <v>0</v>
      </c>
      <c r="M2604" s="246">
        <f t="shared" si="1004"/>
        <v>0</v>
      </c>
      <c r="N2604" s="121">
        <f t="shared" si="1005"/>
        <v>1</v>
      </c>
      <c r="O2604" s="246">
        <f t="shared" si="1006"/>
        <v>0.92500000000000004</v>
      </c>
      <c r="P2604" s="121">
        <f t="shared" si="1007"/>
        <v>0</v>
      </c>
      <c r="Q2604" s="121">
        <f t="shared" si="1008"/>
        <v>0</v>
      </c>
      <c r="R2604" s="121">
        <f t="shared" si="1009"/>
        <v>1</v>
      </c>
      <c r="S2604" s="121" t="str">
        <f t="shared" si="1010"/>
        <v/>
      </c>
      <c r="T2604" s="121" t="str">
        <f t="shared" si="1011"/>
        <v/>
      </c>
      <c r="U2604" s="121">
        <f t="shared" si="1012"/>
        <v>1</v>
      </c>
    </row>
    <row r="2605" spans="1:21" x14ac:dyDescent="0.3">
      <c r="A2605" s="187">
        <v>43</v>
      </c>
      <c r="B2605" s="242">
        <f t="shared" si="1013"/>
        <v>46935</v>
      </c>
      <c r="C2605" s="243">
        <f t="shared" si="994"/>
        <v>46965</v>
      </c>
      <c r="D2605" s="120">
        <f t="shared" si="995"/>
        <v>31</v>
      </c>
      <c r="E2605" s="120">
        <f t="shared" si="996"/>
        <v>7</v>
      </c>
      <c r="F2605" s="275">
        <f t="shared" si="997"/>
        <v>46950.5</v>
      </c>
      <c r="G2605" s="120">
        <f t="shared" si="998"/>
        <v>24342</v>
      </c>
      <c r="H2605" s="245">
        <f t="shared" si="999"/>
        <v>1</v>
      </c>
      <c r="I2605" s="121">
        <f t="shared" si="1000"/>
        <v>1</v>
      </c>
      <c r="J2605" s="121">
        <f t="shared" si="1001"/>
        <v>1</v>
      </c>
      <c r="K2605" s="120">
        <f t="shared" si="1002"/>
        <v>0</v>
      </c>
      <c r="L2605" s="120">
        <f t="shared" si="1003"/>
        <v>0</v>
      </c>
      <c r="M2605" s="246">
        <f t="shared" si="1004"/>
        <v>0</v>
      </c>
      <c r="N2605" s="121">
        <f t="shared" si="1005"/>
        <v>1</v>
      </c>
      <c r="O2605" s="246">
        <f t="shared" si="1006"/>
        <v>0.92500000000000004</v>
      </c>
      <c r="P2605" s="121">
        <f t="shared" si="1007"/>
        <v>0</v>
      </c>
      <c r="Q2605" s="121">
        <f t="shared" si="1008"/>
        <v>0</v>
      </c>
      <c r="R2605" s="121">
        <f t="shared" si="1009"/>
        <v>0.91666666666666663</v>
      </c>
      <c r="S2605" s="121" t="str">
        <f t="shared" si="1010"/>
        <v/>
      </c>
      <c r="T2605" s="121" t="str">
        <f t="shared" si="1011"/>
        <v/>
      </c>
      <c r="U2605" s="121">
        <f t="shared" si="1012"/>
        <v>1</v>
      </c>
    </row>
    <row r="2606" spans="1:21" x14ac:dyDescent="0.3">
      <c r="A2606" s="187">
        <v>44</v>
      </c>
      <c r="B2606" s="242">
        <f t="shared" si="1013"/>
        <v>46966</v>
      </c>
      <c r="C2606" s="243">
        <f t="shared" si="994"/>
        <v>46996</v>
      </c>
      <c r="D2606" s="120">
        <f t="shared" si="995"/>
        <v>31</v>
      </c>
      <c r="E2606" s="120">
        <f t="shared" si="996"/>
        <v>8</v>
      </c>
      <c r="F2606" s="275">
        <f t="shared" si="997"/>
        <v>46981.5</v>
      </c>
      <c r="G2606" s="120">
        <f t="shared" si="998"/>
        <v>24343</v>
      </c>
      <c r="H2606" s="245">
        <f t="shared" si="999"/>
        <v>1</v>
      </c>
      <c r="I2606" s="121">
        <f t="shared" si="1000"/>
        <v>1</v>
      </c>
      <c r="J2606" s="121">
        <f t="shared" si="1001"/>
        <v>1</v>
      </c>
      <c r="K2606" s="120">
        <f t="shared" si="1002"/>
        <v>0</v>
      </c>
      <c r="L2606" s="120">
        <f t="shared" si="1003"/>
        <v>0</v>
      </c>
      <c r="M2606" s="246">
        <f t="shared" si="1004"/>
        <v>0</v>
      </c>
      <c r="N2606" s="121">
        <f t="shared" si="1005"/>
        <v>1</v>
      </c>
      <c r="O2606" s="246">
        <f t="shared" si="1006"/>
        <v>0.92500000000000004</v>
      </c>
      <c r="P2606" s="121">
        <f t="shared" si="1007"/>
        <v>0</v>
      </c>
      <c r="Q2606" s="121">
        <f t="shared" si="1008"/>
        <v>0</v>
      </c>
      <c r="R2606" s="121">
        <f t="shared" si="1009"/>
        <v>0.75</v>
      </c>
      <c r="S2606" s="121" t="str">
        <f t="shared" si="1010"/>
        <v/>
      </c>
      <c r="T2606" s="121" t="str">
        <f t="shared" si="1011"/>
        <v/>
      </c>
      <c r="U2606" s="121">
        <f t="shared" si="1012"/>
        <v>1</v>
      </c>
    </row>
    <row r="2607" spans="1:21" x14ac:dyDescent="0.3">
      <c r="A2607" s="187">
        <v>45</v>
      </c>
      <c r="B2607" s="242">
        <f t="shared" si="1013"/>
        <v>46997</v>
      </c>
      <c r="C2607" s="243">
        <f t="shared" si="994"/>
        <v>47026</v>
      </c>
      <c r="D2607" s="120">
        <f t="shared" si="995"/>
        <v>30</v>
      </c>
      <c r="E2607" s="120">
        <f t="shared" si="996"/>
        <v>9</v>
      </c>
      <c r="F2607" s="275">
        <f t="shared" si="997"/>
        <v>47012</v>
      </c>
      <c r="G2607" s="120">
        <f t="shared" si="998"/>
        <v>24344</v>
      </c>
      <c r="H2607" s="245">
        <f t="shared" si="999"/>
        <v>1</v>
      </c>
      <c r="I2607" s="121">
        <f t="shared" si="1000"/>
        <v>1</v>
      </c>
      <c r="J2607" s="121">
        <f t="shared" si="1001"/>
        <v>1</v>
      </c>
      <c r="K2607" s="120">
        <f t="shared" si="1002"/>
        <v>0</v>
      </c>
      <c r="L2607" s="120">
        <f t="shared" si="1003"/>
        <v>0</v>
      </c>
      <c r="M2607" s="246">
        <f t="shared" si="1004"/>
        <v>0</v>
      </c>
      <c r="N2607" s="121">
        <f t="shared" si="1005"/>
        <v>1</v>
      </c>
      <c r="O2607" s="246">
        <f t="shared" si="1006"/>
        <v>0.92500000000000004</v>
      </c>
      <c r="P2607" s="121">
        <f t="shared" si="1007"/>
        <v>0</v>
      </c>
      <c r="Q2607" s="121">
        <f t="shared" si="1008"/>
        <v>0</v>
      </c>
      <c r="R2607" s="121">
        <f t="shared" si="1009"/>
        <v>0.58333333333333337</v>
      </c>
      <c r="S2607" s="121" t="str">
        <f t="shared" si="1010"/>
        <v/>
      </c>
      <c r="T2607" s="121" t="str">
        <f t="shared" si="1011"/>
        <v/>
      </c>
      <c r="U2607" s="121">
        <f t="shared" si="1012"/>
        <v>1</v>
      </c>
    </row>
    <row r="2608" spans="1:21" x14ac:dyDescent="0.3">
      <c r="A2608" s="187">
        <v>46</v>
      </c>
      <c r="B2608" s="242">
        <f t="shared" si="1013"/>
        <v>47027</v>
      </c>
      <c r="C2608" s="243">
        <f t="shared" si="994"/>
        <v>47057</v>
      </c>
      <c r="D2608" s="120">
        <f t="shared" si="995"/>
        <v>31</v>
      </c>
      <c r="E2608" s="120">
        <f t="shared" si="996"/>
        <v>10</v>
      </c>
      <c r="F2608" s="275">
        <f t="shared" si="997"/>
        <v>47042.5</v>
      </c>
      <c r="G2608" s="120">
        <f t="shared" si="998"/>
        <v>24345</v>
      </c>
      <c r="H2608" s="245">
        <f t="shared" si="999"/>
        <v>1</v>
      </c>
      <c r="I2608" s="121">
        <f t="shared" si="1000"/>
        <v>1</v>
      </c>
      <c r="J2608" s="121">
        <f t="shared" si="1001"/>
        <v>1</v>
      </c>
      <c r="K2608" s="120">
        <f t="shared" si="1002"/>
        <v>0</v>
      </c>
      <c r="L2608" s="120">
        <f t="shared" si="1003"/>
        <v>0</v>
      </c>
      <c r="M2608" s="246">
        <f t="shared" si="1004"/>
        <v>0</v>
      </c>
      <c r="N2608" s="121">
        <f t="shared" si="1005"/>
        <v>1</v>
      </c>
      <c r="O2608" s="246">
        <f t="shared" si="1006"/>
        <v>0.92500000000000004</v>
      </c>
      <c r="P2608" s="121">
        <f t="shared" si="1007"/>
        <v>0</v>
      </c>
      <c r="Q2608" s="121">
        <f t="shared" si="1008"/>
        <v>0</v>
      </c>
      <c r="R2608" s="121">
        <f t="shared" si="1009"/>
        <v>0.41666666666666669</v>
      </c>
      <c r="S2608" s="121" t="str">
        <f t="shared" si="1010"/>
        <v/>
      </c>
      <c r="T2608" s="121" t="str">
        <f t="shared" si="1011"/>
        <v/>
      </c>
      <c r="U2608" s="121">
        <f t="shared" si="1012"/>
        <v>1</v>
      </c>
    </row>
    <row r="2609" spans="1:21" x14ac:dyDescent="0.3">
      <c r="A2609" s="187">
        <v>47</v>
      </c>
      <c r="B2609" s="242">
        <f t="shared" si="1013"/>
        <v>47058</v>
      </c>
      <c r="C2609" s="243">
        <f t="shared" si="994"/>
        <v>47087</v>
      </c>
      <c r="D2609" s="120">
        <f t="shared" si="995"/>
        <v>30</v>
      </c>
      <c r="E2609" s="120">
        <f t="shared" si="996"/>
        <v>11</v>
      </c>
      <c r="F2609" s="275">
        <f t="shared" si="997"/>
        <v>47073</v>
      </c>
      <c r="G2609" s="120">
        <f t="shared" si="998"/>
        <v>24346</v>
      </c>
      <c r="H2609" s="245">
        <f t="shared" si="999"/>
        <v>1</v>
      </c>
      <c r="I2609" s="121">
        <f t="shared" si="1000"/>
        <v>1</v>
      </c>
      <c r="J2609" s="121">
        <f t="shared" si="1001"/>
        <v>1</v>
      </c>
      <c r="K2609" s="120">
        <f t="shared" si="1002"/>
        <v>0</v>
      </c>
      <c r="L2609" s="120">
        <f t="shared" si="1003"/>
        <v>0</v>
      </c>
      <c r="M2609" s="246">
        <f t="shared" si="1004"/>
        <v>0</v>
      </c>
      <c r="N2609" s="121">
        <f t="shared" si="1005"/>
        <v>1</v>
      </c>
      <c r="O2609" s="246">
        <f t="shared" si="1006"/>
        <v>0.92500000000000004</v>
      </c>
      <c r="P2609" s="121">
        <f t="shared" si="1007"/>
        <v>0</v>
      </c>
      <c r="Q2609" s="121">
        <f t="shared" si="1008"/>
        <v>0</v>
      </c>
      <c r="R2609" s="121">
        <f t="shared" si="1009"/>
        <v>0.25</v>
      </c>
      <c r="S2609" s="121" t="str">
        <f t="shared" si="1010"/>
        <v/>
      </c>
      <c r="T2609" s="121" t="str">
        <f t="shared" si="1011"/>
        <v/>
      </c>
      <c r="U2609" s="121">
        <f t="shared" si="1012"/>
        <v>1</v>
      </c>
    </row>
    <row r="2610" spans="1:21" x14ac:dyDescent="0.3">
      <c r="A2610" s="187">
        <v>48</v>
      </c>
      <c r="B2610" s="242">
        <f t="shared" si="1013"/>
        <v>47088</v>
      </c>
      <c r="C2610" s="243">
        <f t="shared" si="994"/>
        <v>47118</v>
      </c>
      <c r="D2610" s="120">
        <f t="shared" si="995"/>
        <v>31</v>
      </c>
      <c r="E2610" s="120">
        <f t="shared" si="996"/>
        <v>12</v>
      </c>
      <c r="F2610" s="275">
        <f t="shared" si="997"/>
        <v>47103.5</v>
      </c>
      <c r="G2610" s="120">
        <f t="shared" si="998"/>
        <v>24347</v>
      </c>
      <c r="H2610" s="245">
        <f t="shared" si="999"/>
        <v>1</v>
      </c>
      <c r="I2610" s="121">
        <f t="shared" si="1000"/>
        <v>1</v>
      </c>
      <c r="J2610" s="121">
        <f t="shared" si="1001"/>
        <v>1</v>
      </c>
      <c r="K2610" s="120">
        <f t="shared" si="1002"/>
        <v>0</v>
      </c>
      <c r="L2610" s="120">
        <f t="shared" si="1003"/>
        <v>0</v>
      </c>
      <c r="M2610" s="246">
        <f t="shared" si="1004"/>
        <v>0</v>
      </c>
      <c r="N2610" s="121">
        <f t="shared" si="1005"/>
        <v>1</v>
      </c>
      <c r="O2610" s="246">
        <f t="shared" si="1006"/>
        <v>0.92500000000000004</v>
      </c>
      <c r="P2610" s="121">
        <f t="shared" si="1007"/>
        <v>0</v>
      </c>
      <c r="Q2610" s="121">
        <f t="shared" si="1008"/>
        <v>0</v>
      </c>
      <c r="R2610" s="121">
        <f t="shared" si="1009"/>
        <v>8.3333333333333329E-2</v>
      </c>
      <c r="S2610" s="121" t="str">
        <f t="shared" si="1010"/>
        <v/>
      </c>
      <c r="T2610" s="121" t="str">
        <f t="shared" si="1011"/>
        <v/>
      </c>
      <c r="U2610" s="121">
        <f t="shared" si="1012"/>
        <v>1</v>
      </c>
    </row>
    <row r="2611" spans="1:21" x14ac:dyDescent="0.3">
      <c r="A2611" s="6" t="s">
        <v>1651</v>
      </c>
      <c r="B2611" s="73">
        <f>EXP(SUMPRODUCT((rl_key=$A$2560)*(rl_cons="Y")*rl_ln1p))</f>
        <v>1</v>
      </c>
      <c r="C2611" s="73">
        <f>SUMPRODUCT($H$2563:$H$2610,$P$2563:$P$2610,$U$2563:$U$2610)/SUMPRODUCT($H$2563:$H$2610,$P$2563:$P$2610)</f>
        <v>1</v>
      </c>
      <c r="D2611" s="73">
        <f>SUMPRODUCT($H$2563:$H$2610,$Q$2563:$Q$2610,$U$2563:$U$2610)/SUMPRODUCT($H$2563:$H$2610,$Q$2563:$Q$2610)</f>
        <v>1</v>
      </c>
      <c r="E2611" s="73">
        <f>SUMPRODUCT($H$2563:$H$2610,$R$2563:$R$2610,$U$2563:$U$2610)/SUMPRODUCT($H$2563:$H$2610,$R$2563:$R$2610)</f>
        <v>1</v>
      </c>
      <c r="F2611" s="224">
        <f>SUMPRODUCT($H$2563:$H$2610,$Q$2563:$Q$2610,$O$2563:$O$2610)/SUMPRODUCT($H$2563:$H$2610,$Q$2563:$Q$2610)</f>
        <v>0.91598878555798668</v>
      </c>
      <c r="G2611" s="224">
        <f>SUMPRODUCT($H$2563:$H$2610,$R$2563:$R$2610,$O$2563:$O$2610)/SUMPRODUCT($H$2563:$H$2610,$R$2563:$R$2610)</f>
        <v>0.92449033552151683</v>
      </c>
      <c r="H2611" s="73">
        <f>SUMPRODUCT($H$2587:$H$2598,$N$2587:$N$2598/$N$2575:$N$2586)/SUM($H$2587:$H$2598)</f>
        <v>1</v>
      </c>
      <c r="I2611" s="73">
        <f>SUMPRODUCT($H$2587:$H$2598,$O$2587:$O$2598/$O$2575:$O$2586)/SUM($H$2587:$H$2598)</f>
        <v>1.0132088564102013</v>
      </c>
      <c r="J2611" s="73">
        <f>IF($O$2560=1,SUMPRODUCT($H$2587:$H$2598,$N$2587:$N$2598/$N$2575:$N$2586*$O$2587:$O$2598/$O$2575:$O$2586)/SUM($H$2587:$H$2598),$H2611)</f>
        <v>1.0132088564102013</v>
      </c>
      <c r="K2611" s="73">
        <f>SUMPRODUCT($H$2563:$H$2610,$Q$2563:$Q$2610,$N$2563:$N$2610)/SUMPRODUCT($H$2563:$H$2610,$Q$2563:$Q$2610)</f>
        <v>1</v>
      </c>
      <c r="L2611" s="73">
        <f>SUMPRODUCT($H$2563:$H$2610,$R$2563:$R$2610,$N$2563:$N$2610)/SUMPRODUCT($H$2563:$H$2610,$R$2563:$R$2610)</f>
        <v>1</v>
      </c>
    </row>
    <row r="2614" spans="1:21" x14ac:dyDescent="0.3">
      <c r="A2614" s="6" t="str">
        <f>INDEX(lr_key,48)</f>
        <v>SBA|IA</v>
      </c>
      <c r="B2614" s="6" t="str">
        <f>INDEX(lr_state,48)</f>
        <v>IA</v>
      </c>
      <c r="C2614" s="75">
        <f>nr_TermMonths</f>
        <v>6</v>
      </c>
      <c r="D2614" s="75">
        <f>IF(COUNTIF(se_state,$B2614)=0,0,MATCH($B2614,se_state,0))</f>
        <v>0</v>
      </c>
      <c r="E2614" s="70">
        <f>IF($D2614=0,0,INDEX(se_sum,$D2614))</f>
        <v>0</v>
      </c>
      <c r="F2614" s="224">
        <f>IF(N(INDEX(lr_mind,48))=0,1,INDEX(lr_mind,48))</f>
        <v>0.92</v>
      </c>
      <c r="G2614" s="224">
        <f>IF(N(INDEX(lr_m0,48))=0,1,INDEX(lr_m0,48))</f>
        <v>0.91</v>
      </c>
      <c r="H2614" s="74">
        <f>IF(N(INDEX(lr_m0asof,48))=0,DATE(nr_PlanYear-1,10,1),INDEX(lr_m0asof,48))</f>
        <v>46295</v>
      </c>
      <c r="I2614" s="224">
        <f>IF(N(INDEX(lr_m1,48))=0,1,INDEX(lr_m1,48))</f>
        <v>0.90500000000000003</v>
      </c>
      <c r="J2614" s="224">
        <f>INDEX(lr_mprior,48)</f>
        <v>0</v>
      </c>
      <c r="K2614" s="224">
        <f>INDEX(lr_m2,48)</f>
        <v>0</v>
      </c>
      <c r="L2614" s="6" t="b">
        <f>NOT(ISBLANK(INDEX(lr_netp,48)))</f>
        <v>0</v>
      </c>
      <c r="M2614" s="72">
        <f>N(INDEX(lr_netp,48))</f>
        <v>0</v>
      </c>
      <c r="N2614" s="72">
        <f>IF(ISBLANK(INDEX(lr_netp1,48)),$M$2614,N(INDEX(lr_netp1,48)))</f>
        <v>0</v>
      </c>
      <c r="O2614" s="75">
        <f>IF(AND(nr_ModAdjMaster="ON",INDEX(lr_modadj,48)="ON"),1,0)</f>
        <v>1</v>
      </c>
    </row>
    <row r="2615" spans="1:21" x14ac:dyDescent="0.3">
      <c r="A2615" s="6">
        <f>EDATE($H$2614,-12)+1</f>
        <v>45931</v>
      </c>
      <c r="B2615" s="6">
        <f>$H$2614+1</f>
        <v>46296</v>
      </c>
      <c r="C2615" s="6">
        <f>DATE(nr_PlanYear,12,31)+1</f>
        <v>46753</v>
      </c>
      <c r="D2615" s="6">
        <f>DATE(nr_PlanYear+1,12,31)+1</f>
        <v>47119</v>
      </c>
      <c r="E2615" s="6">
        <f>IF(N($J$2614)=0,$F$2615-($G$2615-$F$2615)/($C$2615-$B$2615)*($B$2615-$A$2615),$J$2614)</f>
        <v>0.9139934354485777</v>
      </c>
      <c r="F2615" s="6">
        <f>$G$2614</f>
        <v>0.91</v>
      </c>
      <c r="G2615" s="6">
        <f>$I$2614</f>
        <v>0.90500000000000003</v>
      </c>
      <c r="H2615" s="6">
        <f>IF(N($K$2614)=0,$I$2614,$K$2614)</f>
        <v>0.90500000000000003</v>
      </c>
      <c r="I2615" s="6">
        <f>($F$2615-$E$2615)/($B$2615-$A$2615)</f>
        <v>-1.0940919037199081E-5</v>
      </c>
      <c r="J2615" s="6">
        <f>($G$2615-$F$2615)/($C$2615-$B$2615)</f>
        <v>-1.0940919037199135E-5</v>
      </c>
      <c r="K2615" s="6">
        <f>($H$2615-$G$2615)/($D$2615-$C$2615)</f>
        <v>0</v>
      </c>
    </row>
    <row r="2616" spans="1:21" ht="36" x14ac:dyDescent="0.3">
      <c r="A2616" s="58" t="s">
        <v>390</v>
      </c>
      <c r="B2616" s="58" t="s">
        <v>449</v>
      </c>
      <c r="C2616" s="58" t="s">
        <v>685</v>
      </c>
      <c r="D2616" s="58" t="s">
        <v>686</v>
      </c>
      <c r="E2616" s="58" t="s">
        <v>687</v>
      </c>
      <c r="F2616" s="58" t="s">
        <v>688</v>
      </c>
      <c r="G2616" s="58" t="s">
        <v>689</v>
      </c>
      <c r="H2616" s="58" t="s">
        <v>452</v>
      </c>
      <c r="I2616" s="58" t="s">
        <v>690</v>
      </c>
      <c r="J2616" s="58" t="s">
        <v>691</v>
      </c>
      <c r="K2616" s="58" t="s">
        <v>692</v>
      </c>
      <c r="L2616" s="58" t="s">
        <v>693</v>
      </c>
      <c r="M2616" s="58" t="s">
        <v>694</v>
      </c>
      <c r="N2616" s="58" t="s">
        <v>695</v>
      </c>
      <c r="O2616" s="58" t="s">
        <v>696</v>
      </c>
      <c r="P2616" s="58" t="s">
        <v>697</v>
      </c>
      <c r="Q2616" s="58" t="s">
        <v>698</v>
      </c>
      <c r="R2616" s="58" t="s">
        <v>699</v>
      </c>
      <c r="S2616" s="58" t="s">
        <v>700</v>
      </c>
      <c r="T2616" s="58" t="s">
        <v>701</v>
      </c>
      <c r="U2616" s="58" t="s">
        <v>702</v>
      </c>
    </row>
    <row r="2617" spans="1:21" x14ac:dyDescent="0.3">
      <c r="A2617" s="187">
        <v>1</v>
      </c>
      <c r="B2617" s="242">
        <f>DATE(nr_PlanYear-2,1,1)</f>
        <v>45658</v>
      </c>
      <c r="C2617" s="243">
        <f t="shared" ref="C2617:C2664" si="1014">EOMONTH($B2617,0)</f>
        <v>45688</v>
      </c>
      <c r="D2617" s="120">
        <f t="shared" ref="D2617:D2664" si="1015">$C2617-$B2617+1</f>
        <v>31</v>
      </c>
      <c r="E2617" s="120">
        <f t="shared" ref="E2617:E2664" si="1016">MONTH($B2617)</f>
        <v>1</v>
      </c>
      <c r="F2617" s="275">
        <f t="shared" ref="F2617:F2664" si="1017">($B2617+$C2617+1)/2</f>
        <v>45673.5</v>
      </c>
      <c r="G2617" s="120">
        <f t="shared" ref="G2617:G2664" si="1018">YEAR($B2617)*12+MONTH($B2617)-1</f>
        <v>24300</v>
      </c>
      <c r="H2617" s="245">
        <f t="shared" ref="H2617:H2664" si="1019">IF(OR(nr_SeasonOn="OFF",$D$2614=0,$E$2614=0),1,12*INDEX(se_block,$D$2614,$E2617)/$E$2614)</f>
        <v>1</v>
      </c>
      <c r="I2617" s="121">
        <f t="shared" ref="I2617:I2664" si="1020">EXP(SUMPRODUCT((rl_eff&lt;$B2617)*(rl_key=$A$2614)*rl_ln1p))</f>
        <v>1</v>
      </c>
      <c r="J2617" s="121">
        <f t="shared" ref="J2617:J2664" si="1021">EXP(SUMPRODUCT((rl_eff&lt;=$C2617)*(rl_key=$A$2614)*rl_ln1p))</f>
        <v>1</v>
      </c>
      <c r="K2617" s="120">
        <f t="shared" ref="K2617:K2664" si="1022">COUNTIFS(rl_key,$A$2614,rl_eff,"&gt;="&amp;$B2617,rl_eff,"&lt;="&amp;$C2617)</f>
        <v>0</v>
      </c>
      <c r="L2617" s="120">
        <f t="shared" ref="L2617:L2664" si="1023">SUMIFS(rl_daysafter,rl_key,$A$2614,rl_effmonth,$B2617,rl_first,1)</f>
        <v>0</v>
      </c>
      <c r="M2617" s="246">
        <f t="shared" ref="M2617:M2664" si="1024">IF($K2617=0,0,MIN(1,$L2617/$D2617))</f>
        <v>0</v>
      </c>
      <c r="N2617" s="121">
        <f t="shared" ref="N2617:N2664" si="1025">IF($K2617=0,$J2617,(1-$M2617)*$I2617+$M2617*$J2617)</f>
        <v>1</v>
      </c>
      <c r="O2617" s="246">
        <f t="shared" ref="O2617:O2664" si="1026">IF($F2617&lt;$B$2615,$E$2615+$I$2615*($F2617-$A$2615),IF($F2617&lt;$C$2615,$F$2615+$J$2615*($F2617-$B$2615),$G$2615+$K$2615*($F2617-$C$2615)))</f>
        <v>0.91681072210065651</v>
      </c>
      <c r="P2617" s="121">
        <f t="shared" ref="P2617:P2664" si="1027">MIN(1,MAX(0,(nr_MEndPm1-$G2617+0.5)/$C$2614))-MIN(1,MAX(0,(nr_MStartPm1-1-$G2617+0.5)/$C$2614))</f>
        <v>0</v>
      </c>
      <c r="Q2617" s="121">
        <f t="shared" ref="Q2617:Q2664" si="1028">MIN(1,MAX(0,(nr_MEndP-$G2617+0.5)/$C$2614))-MIN(1,MAX(0,(nr_MStartP-1-$G2617+0.5)/$C$2614))</f>
        <v>0</v>
      </c>
      <c r="R2617" s="121">
        <f t="shared" ref="R2617:R2664" si="1029">MIN(1,MAX(0,(nr_MEndP1-$G2617+0.5)/$C$2614))-MIN(1,MAX(0,(nr_MStartP1-1-$G2617+0.5)/$C$2614))</f>
        <v>0</v>
      </c>
      <c r="S2617" s="121" t="str">
        <f t="shared" ref="S2617:S2664" si="1030">IF($L$2614,$N2617*IF($O$2614=1,$O2617/$F$2614,1),"")</f>
        <v/>
      </c>
      <c r="T2617" s="121" t="str">
        <f t="shared" ref="T2617:T2664" si="1031">IF(NOT($L$2614),"",IF($G2617&lt;nr_MStartP,$S2617,$T2605*(1+IF($G2617&lt;nr_MStartP1,$M$2614,$N$2614))))</f>
        <v/>
      </c>
      <c r="U2617" s="121">
        <f t="shared" ref="U2617:U2664" si="1032">IF($L$2614,$T2617,$N2617)</f>
        <v>1</v>
      </c>
    </row>
    <row r="2618" spans="1:21" x14ac:dyDescent="0.3">
      <c r="A2618" s="187">
        <v>2</v>
      </c>
      <c r="B2618" s="242">
        <f t="shared" ref="B2618:B2664" si="1033">EDATE($B2617,1)</f>
        <v>45689</v>
      </c>
      <c r="C2618" s="243">
        <f t="shared" si="1014"/>
        <v>45716</v>
      </c>
      <c r="D2618" s="120">
        <f t="shared" si="1015"/>
        <v>28</v>
      </c>
      <c r="E2618" s="120">
        <f t="shared" si="1016"/>
        <v>2</v>
      </c>
      <c r="F2618" s="275">
        <f t="shared" si="1017"/>
        <v>45703</v>
      </c>
      <c r="G2618" s="120">
        <f t="shared" si="1018"/>
        <v>24301</v>
      </c>
      <c r="H2618" s="245">
        <f t="shared" si="1019"/>
        <v>1</v>
      </c>
      <c r="I2618" s="121">
        <f t="shared" si="1020"/>
        <v>1</v>
      </c>
      <c r="J2618" s="121">
        <f t="shared" si="1021"/>
        <v>1</v>
      </c>
      <c r="K2618" s="120">
        <f t="shared" si="1022"/>
        <v>0</v>
      </c>
      <c r="L2618" s="120">
        <f t="shared" si="1023"/>
        <v>0</v>
      </c>
      <c r="M2618" s="246">
        <f t="shared" si="1024"/>
        <v>0</v>
      </c>
      <c r="N2618" s="121">
        <f t="shared" si="1025"/>
        <v>1</v>
      </c>
      <c r="O2618" s="246">
        <f t="shared" si="1026"/>
        <v>0.91648796498905905</v>
      </c>
      <c r="P2618" s="121">
        <f t="shared" si="1027"/>
        <v>0</v>
      </c>
      <c r="Q2618" s="121">
        <f t="shared" si="1028"/>
        <v>0</v>
      </c>
      <c r="R2618" s="121">
        <f t="shared" si="1029"/>
        <v>0</v>
      </c>
      <c r="S2618" s="121" t="str">
        <f t="shared" si="1030"/>
        <v/>
      </c>
      <c r="T2618" s="121" t="str">
        <f t="shared" si="1031"/>
        <v/>
      </c>
      <c r="U2618" s="121">
        <f t="shared" si="1032"/>
        <v>1</v>
      </c>
    </row>
    <row r="2619" spans="1:21" x14ac:dyDescent="0.3">
      <c r="A2619" s="187">
        <v>3</v>
      </c>
      <c r="B2619" s="242">
        <f t="shared" si="1033"/>
        <v>45717</v>
      </c>
      <c r="C2619" s="243">
        <f t="shared" si="1014"/>
        <v>45747</v>
      </c>
      <c r="D2619" s="120">
        <f t="shared" si="1015"/>
        <v>31</v>
      </c>
      <c r="E2619" s="120">
        <f t="shared" si="1016"/>
        <v>3</v>
      </c>
      <c r="F2619" s="275">
        <f t="shared" si="1017"/>
        <v>45732.5</v>
      </c>
      <c r="G2619" s="120">
        <f t="shared" si="1018"/>
        <v>24302</v>
      </c>
      <c r="H2619" s="245">
        <f t="shared" si="1019"/>
        <v>1</v>
      </c>
      <c r="I2619" s="121">
        <f t="shared" si="1020"/>
        <v>1</v>
      </c>
      <c r="J2619" s="121">
        <f t="shared" si="1021"/>
        <v>1</v>
      </c>
      <c r="K2619" s="120">
        <f t="shared" si="1022"/>
        <v>0</v>
      </c>
      <c r="L2619" s="120">
        <f t="shared" si="1023"/>
        <v>0</v>
      </c>
      <c r="M2619" s="246">
        <f t="shared" si="1024"/>
        <v>0</v>
      </c>
      <c r="N2619" s="121">
        <f t="shared" si="1025"/>
        <v>1</v>
      </c>
      <c r="O2619" s="246">
        <f t="shared" si="1026"/>
        <v>0.9161652078774617</v>
      </c>
      <c r="P2619" s="121">
        <f t="shared" si="1027"/>
        <v>0</v>
      </c>
      <c r="Q2619" s="121">
        <f t="shared" si="1028"/>
        <v>0</v>
      </c>
      <c r="R2619" s="121">
        <f t="shared" si="1029"/>
        <v>0</v>
      </c>
      <c r="S2619" s="121" t="str">
        <f t="shared" si="1030"/>
        <v/>
      </c>
      <c r="T2619" s="121" t="str">
        <f t="shared" si="1031"/>
        <v/>
      </c>
      <c r="U2619" s="121">
        <f t="shared" si="1032"/>
        <v>1</v>
      </c>
    </row>
    <row r="2620" spans="1:21" x14ac:dyDescent="0.3">
      <c r="A2620" s="187">
        <v>4</v>
      </c>
      <c r="B2620" s="242">
        <f t="shared" si="1033"/>
        <v>45748</v>
      </c>
      <c r="C2620" s="243">
        <f t="shared" si="1014"/>
        <v>45777</v>
      </c>
      <c r="D2620" s="120">
        <f t="shared" si="1015"/>
        <v>30</v>
      </c>
      <c r="E2620" s="120">
        <f t="shared" si="1016"/>
        <v>4</v>
      </c>
      <c r="F2620" s="275">
        <f t="shared" si="1017"/>
        <v>45763</v>
      </c>
      <c r="G2620" s="120">
        <f t="shared" si="1018"/>
        <v>24303</v>
      </c>
      <c r="H2620" s="245">
        <f t="shared" si="1019"/>
        <v>1</v>
      </c>
      <c r="I2620" s="121">
        <f t="shared" si="1020"/>
        <v>1</v>
      </c>
      <c r="J2620" s="121">
        <f t="shared" si="1021"/>
        <v>1</v>
      </c>
      <c r="K2620" s="120">
        <f t="shared" si="1022"/>
        <v>0</v>
      </c>
      <c r="L2620" s="120">
        <f t="shared" si="1023"/>
        <v>0</v>
      </c>
      <c r="M2620" s="246">
        <f t="shared" si="1024"/>
        <v>0</v>
      </c>
      <c r="N2620" s="121">
        <f t="shared" si="1025"/>
        <v>1</v>
      </c>
      <c r="O2620" s="246">
        <f t="shared" si="1026"/>
        <v>0.91583150984682715</v>
      </c>
      <c r="P2620" s="121">
        <f t="shared" si="1027"/>
        <v>0</v>
      </c>
      <c r="Q2620" s="121">
        <f t="shared" si="1028"/>
        <v>0</v>
      </c>
      <c r="R2620" s="121">
        <f t="shared" si="1029"/>
        <v>0</v>
      </c>
      <c r="S2620" s="121" t="str">
        <f t="shared" si="1030"/>
        <v/>
      </c>
      <c r="T2620" s="121" t="str">
        <f t="shared" si="1031"/>
        <v/>
      </c>
      <c r="U2620" s="121">
        <f t="shared" si="1032"/>
        <v>1</v>
      </c>
    </row>
    <row r="2621" spans="1:21" x14ac:dyDescent="0.3">
      <c r="A2621" s="187">
        <v>5</v>
      </c>
      <c r="B2621" s="242">
        <f t="shared" si="1033"/>
        <v>45778</v>
      </c>
      <c r="C2621" s="243">
        <f t="shared" si="1014"/>
        <v>45808</v>
      </c>
      <c r="D2621" s="120">
        <f t="shared" si="1015"/>
        <v>31</v>
      </c>
      <c r="E2621" s="120">
        <f t="shared" si="1016"/>
        <v>5</v>
      </c>
      <c r="F2621" s="275">
        <f t="shared" si="1017"/>
        <v>45793.5</v>
      </c>
      <c r="G2621" s="120">
        <f t="shared" si="1018"/>
        <v>24304</v>
      </c>
      <c r="H2621" s="245">
        <f t="shared" si="1019"/>
        <v>1</v>
      </c>
      <c r="I2621" s="121">
        <f t="shared" si="1020"/>
        <v>1</v>
      </c>
      <c r="J2621" s="121">
        <f t="shared" si="1021"/>
        <v>1</v>
      </c>
      <c r="K2621" s="120">
        <f t="shared" si="1022"/>
        <v>0</v>
      </c>
      <c r="L2621" s="120">
        <f t="shared" si="1023"/>
        <v>0</v>
      </c>
      <c r="M2621" s="246">
        <f t="shared" si="1024"/>
        <v>0</v>
      </c>
      <c r="N2621" s="121">
        <f t="shared" si="1025"/>
        <v>1</v>
      </c>
      <c r="O2621" s="246">
        <f t="shared" si="1026"/>
        <v>0.91549781181619261</v>
      </c>
      <c r="P2621" s="121">
        <f t="shared" si="1027"/>
        <v>0</v>
      </c>
      <c r="Q2621" s="121">
        <f t="shared" si="1028"/>
        <v>0</v>
      </c>
      <c r="R2621" s="121">
        <f t="shared" si="1029"/>
        <v>0</v>
      </c>
      <c r="S2621" s="121" t="str">
        <f t="shared" si="1030"/>
        <v/>
      </c>
      <c r="T2621" s="121" t="str">
        <f t="shared" si="1031"/>
        <v/>
      </c>
      <c r="U2621" s="121">
        <f t="shared" si="1032"/>
        <v>1</v>
      </c>
    </row>
    <row r="2622" spans="1:21" x14ac:dyDescent="0.3">
      <c r="A2622" s="187">
        <v>6</v>
      </c>
      <c r="B2622" s="242">
        <f t="shared" si="1033"/>
        <v>45809</v>
      </c>
      <c r="C2622" s="243">
        <f t="shared" si="1014"/>
        <v>45838</v>
      </c>
      <c r="D2622" s="120">
        <f t="shared" si="1015"/>
        <v>30</v>
      </c>
      <c r="E2622" s="120">
        <f t="shared" si="1016"/>
        <v>6</v>
      </c>
      <c r="F2622" s="275">
        <f t="shared" si="1017"/>
        <v>45824</v>
      </c>
      <c r="G2622" s="120">
        <f t="shared" si="1018"/>
        <v>24305</v>
      </c>
      <c r="H2622" s="245">
        <f t="shared" si="1019"/>
        <v>1</v>
      </c>
      <c r="I2622" s="121">
        <f t="shared" si="1020"/>
        <v>1</v>
      </c>
      <c r="J2622" s="121">
        <f t="shared" si="1021"/>
        <v>1</v>
      </c>
      <c r="K2622" s="120">
        <f t="shared" si="1022"/>
        <v>0</v>
      </c>
      <c r="L2622" s="120">
        <f t="shared" si="1023"/>
        <v>0</v>
      </c>
      <c r="M2622" s="246">
        <f t="shared" si="1024"/>
        <v>0</v>
      </c>
      <c r="N2622" s="121">
        <f t="shared" si="1025"/>
        <v>1</v>
      </c>
      <c r="O2622" s="246">
        <f t="shared" si="1026"/>
        <v>0.91516411378555795</v>
      </c>
      <c r="P2622" s="121">
        <f t="shared" si="1027"/>
        <v>0</v>
      </c>
      <c r="Q2622" s="121">
        <f t="shared" si="1028"/>
        <v>0</v>
      </c>
      <c r="R2622" s="121">
        <f t="shared" si="1029"/>
        <v>0</v>
      </c>
      <c r="S2622" s="121" t="str">
        <f t="shared" si="1030"/>
        <v/>
      </c>
      <c r="T2622" s="121" t="str">
        <f t="shared" si="1031"/>
        <v/>
      </c>
      <c r="U2622" s="121">
        <f t="shared" si="1032"/>
        <v>1</v>
      </c>
    </row>
    <row r="2623" spans="1:21" x14ac:dyDescent="0.3">
      <c r="A2623" s="187">
        <v>7</v>
      </c>
      <c r="B2623" s="242">
        <f t="shared" si="1033"/>
        <v>45839</v>
      </c>
      <c r="C2623" s="243">
        <f t="shared" si="1014"/>
        <v>45869</v>
      </c>
      <c r="D2623" s="120">
        <f t="shared" si="1015"/>
        <v>31</v>
      </c>
      <c r="E2623" s="120">
        <f t="shared" si="1016"/>
        <v>7</v>
      </c>
      <c r="F2623" s="275">
        <f t="shared" si="1017"/>
        <v>45854.5</v>
      </c>
      <c r="G2623" s="120">
        <f t="shared" si="1018"/>
        <v>24306</v>
      </c>
      <c r="H2623" s="245">
        <f t="shared" si="1019"/>
        <v>1</v>
      </c>
      <c r="I2623" s="121">
        <f t="shared" si="1020"/>
        <v>1</v>
      </c>
      <c r="J2623" s="121">
        <f t="shared" si="1021"/>
        <v>1</v>
      </c>
      <c r="K2623" s="120">
        <f t="shared" si="1022"/>
        <v>0</v>
      </c>
      <c r="L2623" s="120">
        <f t="shared" si="1023"/>
        <v>0</v>
      </c>
      <c r="M2623" s="246">
        <f t="shared" si="1024"/>
        <v>0</v>
      </c>
      <c r="N2623" s="121">
        <f t="shared" si="1025"/>
        <v>1</v>
      </c>
      <c r="O2623" s="246">
        <f t="shared" si="1026"/>
        <v>0.91483041575492341</v>
      </c>
      <c r="P2623" s="121">
        <f t="shared" si="1027"/>
        <v>8.333333333333337E-2</v>
      </c>
      <c r="Q2623" s="121">
        <f t="shared" si="1028"/>
        <v>0</v>
      </c>
      <c r="R2623" s="121">
        <f t="shared" si="1029"/>
        <v>0</v>
      </c>
      <c r="S2623" s="121" t="str">
        <f t="shared" si="1030"/>
        <v/>
      </c>
      <c r="T2623" s="121" t="str">
        <f t="shared" si="1031"/>
        <v/>
      </c>
      <c r="U2623" s="121">
        <f t="shared" si="1032"/>
        <v>1</v>
      </c>
    </row>
    <row r="2624" spans="1:21" x14ac:dyDescent="0.3">
      <c r="A2624" s="187">
        <v>8</v>
      </c>
      <c r="B2624" s="242">
        <f t="shared" si="1033"/>
        <v>45870</v>
      </c>
      <c r="C2624" s="243">
        <f t="shared" si="1014"/>
        <v>45900</v>
      </c>
      <c r="D2624" s="120">
        <f t="shared" si="1015"/>
        <v>31</v>
      </c>
      <c r="E2624" s="120">
        <f t="shared" si="1016"/>
        <v>8</v>
      </c>
      <c r="F2624" s="275">
        <f t="shared" si="1017"/>
        <v>45885.5</v>
      </c>
      <c r="G2624" s="120">
        <f t="shared" si="1018"/>
        <v>24307</v>
      </c>
      <c r="H2624" s="245">
        <f t="shared" si="1019"/>
        <v>1</v>
      </c>
      <c r="I2624" s="121">
        <f t="shared" si="1020"/>
        <v>1</v>
      </c>
      <c r="J2624" s="121">
        <f t="shared" si="1021"/>
        <v>1</v>
      </c>
      <c r="K2624" s="120">
        <f t="shared" si="1022"/>
        <v>0</v>
      </c>
      <c r="L2624" s="120">
        <f t="shared" si="1023"/>
        <v>0</v>
      </c>
      <c r="M2624" s="246">
        <f t="shared" si="1024"/>
        <v>0</v>
      </c>
      <c r="N2624" s="121">
        <f t="shared" si="1025"/>
        <v>1</v>
      </c>
      <c r="O2624" s="246">
        <f t="shared" si="1026"/>
        <v>0.91449124726477027</v>
      </c>
      <c r="P2624" s="121">
        <f t="shared" si="1027"/>
        <v>0.25</v>
      </c>
      <c r="Q2624" s="121">
        <f t="shared" si="1028"/>
        <v>0</v>
      </c>
      <c r="R2624" s="121">
        <f t="shared" si="1029"/>
        <v>0</v>
      </c>
      <c r="S2624" s="121" t="str">
        <f t="shared" si="1030"/>
        <v/>
      </c>
      <c r="T2624" s="121" t="str">
        <f t="shared" si="1031"/>
        <v/>
      </c>
      <c r="U2624" s="121">
        <f t="shared" si="1032"/>
        <v>1</v>
      </c>
    </row>
    <row r="2625" spans="1:21" x14ac:dyDescent="0.3">
      <c r="A2625" s="187">
        <v>9</v>
      </c>
      <c r="B2625" s="242">
        <f t="shared" si="1033"/>
        <v>45901</v>
      </c>
      <c r="C2625" s="243">
        <f t="shared" si="1014"/>
        <v>45930</v>
      </c>
      <c r="D2625" s="120">
        <f t="shared" si="1015"/>
        <v>30</v>
      </c>
      <c r="E2625" s="120">
        <f t="shared" si="1016"/>
        <v>9</v>
      </c>
      <c r="F2625" s="275">
        <f t="shared" si="1017"/>
        <v>45916</v>
      </c>
      <c r="G2625" s="120">
        <f t="shared" si="1018"/>
        <v>24308</v>
      </c>
      <c r="H2625" s="245">
        <f t="shared" si="1019"/>
        <v>1</v>
      </c>
      <c r="I2625" s="121">
        <f t="shared" si="1020"/>
        <v>1</v>
      </c>
      <c r="J2625" s="121">
        <f t="shared" si="1021"/>
        <v>1</v>
      </c>
      <c r="K2625" s="120">
        <f t="shared" si="1022"/>
        <v>0</v>
      </c>
      <c r="L2625" s="120">
        <f t="shared" si="1023"/>
        <v>0</v>
      </c>
      <c r="M2625" s="246">
        <f t="shared" si="1024"/>
        <v>0</v>
      </c>
      <c r="N2625" s="121">
        <f t="shared" si="1025"/>
        <v>1</v>
      </c>
      <c r="O2625" s="246">
        <f t="shared" si="1026"/>
        <v>0.91415754923413572</v>
      </c>
      <c r="P2625" s="121">
        <f t="shared" si="1027"/>
        <v>0.41666666666666663</v>
      </c>
      <c r="Q2625" s="121">
        <f t="shared" si="1028"/>
        <v>0</v>
      </c>
      <c r="R2625" s="121">
        <f t="shared" si="1029"/>
        <v>0</v>
      </c>
      <c r="S2625" s="121" t="str">
        <f t="shared" si="1030"/>
        <v/>
      </c>
      <c r="T2625" s="121" t="str">
        <f t="shared" si="1031"/>
        <v/>
      </c>
      <c r="U2625" s="121">
        <f t="shared" si="1032"/>
        <v>1</v>
      </c>
    </row>
    <row r="2626" spans="1:21" x14ac:dyDescent="0.3">
      <c r="A2626" s="187">
        <v>10</v>
      </c>
      <c r="B2626" s="242">
        <f t="shared" si="1033"/>
        <v>45931</v>
      </c>
      <c r="C2626" s="243">
        <f t="shared" si="1014"/>
        <v>45961</v>
      </c>
      <c r="D2626" s="120">
        <f t="shared" si="1015"/>
        <v>31</v>
      </c>
      <c r="E2626" s="120">
        <f t="shared" si="1016"/>
        <v>10</v>
      </c>
      <c r="F2626" s="275">
        <f t="shared" si="1017"/>
        <v>45946.5</v>
      </c>
      <c r="G2626" s="120">
        <f t="shared" si="1018"/>
        <v>24309</v>
      </c>
      <c r="H2626" s="245">
        <f t="shared" si="1019"/>
        <v>1</v>
      </c>
      <c r="I2626" s="121">
        <f t="shared" si="1020"/>
        <v>1</v>
      </c>
      <c r="J2626" s="121">
        <f t="shared" si="1021"/>
        <v>1</v>
      </c>
      <c r="K2626" s="120">
        <f t="shared" si="1022"/>
        <v>0</v>
      </c>
      <c r="L2626" s="120">
        <f t="shared" si="1023"/>
        <v>0</v>
      </c>
      <c r="M2626" s="246">
        <f t="shared" si="1024"/>
        <v>0</v>
      </c>
      <c r="N2626" s="121">
        <f t="shared" si="1025"/>
        <v>1</v>
      </c>
      <c r="O2626" s="246">
        <f t="shared" si="1026"/>
        <v>0.91382385120350107</v>
      </c>
      <c r="P2626" s="121">
        <f t="shared" si="1027"/>
        <v>0.58333333333333326</v>
      </c>
      <c r="Q2626" s="121">
        <f t="shared" si="1028"/>
        <v>0</v>
      </c>
      <c r="R2626" s="121">
        <f t="shared" si="1029"/>
        <v>0</v>
      </c>
      <c r="S2626" s="121" t="str">
        <f t="shared" si="1030"/>
        <v/>
      </c>
      <c r="T2626" s="121" t="str">
        <f t="shared" si="1031"/>
        <v/>
      </c>
      <c r="U2626" s="121">
        <f t="shared" si="1032"/>
        <v>1</v>
      </c>
    </row>
    <row r="2627" spans="1:21" x14ac:dyDescent="0.3">
      <c r="A2627" s="187">
        <v>11</v>
      </c>
      <c r="B2627" s="242">
        <f t="shared" si="1033"/>
        <v>45962</v>
      </c>
      <c r="C2627" s="243">
        <f t="shared" si="1014"/>
        <v>45991</v>
      </c>
      <c r="D2627" s="120">
        <f t="shared" si="1015"/>
        <v>30</v>
      </c>
      <c r="E2627" s="120">
        <f t="shared" si="1016"/>
        <v>11</v>
      </c>
      <c r="F2627" s="275">
        <f t="shared" si="1017"/>
        <v>45977</v>
      </c>
      <c r="G2627" s="120">
        <f t="shared" si="1018"/>
        <v>24310</v>
      </c>
      <c r="H2627" s="245">
        <f t="shared" si="1019"/>
        <v>1</v>
      </c>
      <c r="I2627" s="121">
        <f t="shared" si="1020"/>
        <v>1</v>
      </c>
      <c r="J2627" s="121">
        <f t="shared" si="1021"/>
        <v>1</v>
      </c>
      <c r="K2627" s="120">
        <f t="shared" si="1022"/>
        <v>0</v>
      </c>
      <c r="L2627" s="120">
        <f t="shared" si="1023"/>
        <v>0</v>
      </c>
      <c r="M2627" s="246">
        <f t="shared" si="1024"/>
        <v>0</v>
      </c>
      <c r="N2627" s="121">
        <f t="shared" si="1025"/>
        <v>1</v>
      </c>
      <c r="O2627" s="246">
        <f t="shared" si="1026"/>
        <v>0.91349015317286653</v>
      </c>
      <c r="P2627" s="121">
        <f t="shared" si="1027"/>
        <v>0.75</v>
      </c>
      <c r="Q2627" s="121">
        <f t="shared" si="1028"/>
        <v>0</v>
      </c>
      <c r="R2627" s="121">
        <f t="shared" si="1029"/>
        <v>0</v>
      </c>
      <c r="S2627" s="121" t="str">
        <f t="shared" si="1030"/>
        <v/>
      </c>
      <c r="T2627" s="121" t="str">
        <f t="shared" si="1031"/>
        <v/>
      </c>
      <c r="U2627" s="121">
        <f t="shared" si="1032"/>
        <v>1</v>
      </c>
    </row>
    <row r="2628" spans="1:21" x14ac:dyDescent="0.3">
      <c r="A2628" s="187">
        <v>12</v>
      </c>
      <c r="B2628" s="242">
        <f t="shared" si="1033"/>
        <v>45992</v>
      </c>
      <c r="C2628" s="243">
        <f t="shared" si="1014"/>
        <v>46022</v>
      </c>
      <c r="D2628" s="120">
        <f t="shared" si="1015"/>
        <v>31</v>
      </c>
      <c r="E2628" s="120">
        <f t="shared" si="1016"/>
        <v>12</v>
      </c>
      <c r="F2628" s="275">
        <f t="shared" si="1017"/>
        <v>46007.5</v>
      </c>
      <c r="G2628" s="120">
        <f t="shared" si="1018"/>
        <v>24311</v>
      </c>
      <c r="H2628" s="245">
        <f t="shared" si="1019"/>
        <v>1</v>
      </c>
      <c r="I2628" s="121">
        <f t="shared" si="1020"/>
        <v>1</v>
      </c>
      <c r="J2628" s="121">
        <f t="shared" si="1021"/>
        <v>1</v>
      </c>
      <c r="K2628" s="120">
        <f t="shared" si="1022"/>
        <v>0</v>
      </c>
      <c r="L2628" s="120">
        <f t="shared" si="1023"/>
        <v>0</v>
      </c>
      <c r="M2628" s="246">
        <f t="shared" si="1024"/>
        <v>0</v>
      </c>
      <c r="N2628" s="121">
        <f t="shared" si="1025"/>
        <v>1</v>
      </c>
      <c r="O2628" s="246">
        <f t="shared" si="1026"/>
        <v>0.91315645514223198</v>
      </c>
      <c r="P2628" s="121">
        <f t="shared" si="1027"/>
        <v>0.91666666666666663</v>
      </c>
      <c r="Q2628" s="121">
        <f t="shared" si="1028"/>
        <v>0</v>
      </c>
      <c r="R2628" s="121">
        <f t="shared" si="1029"/>
        <v>0</v>
      </c>
      <c r="S2628" s="121" t="str">
        <f t="shared" si="1030"/>
        <v/>
      </c>
      <c r="T2628" s="121" t="str">
        <f t="shared" si="1031"/>
        <v/>
      </c>
      <c r="U2628" s="121">
        <f t="shared" si="1032"/>
        <v>1</v>
      </c>
    </row>
    <row r="2629" spans="1:21" x14ac:dyDescent="0.3">
      <c r="A2629" s="187">
        <v>13</v>
      </c>
      <c r="B2629" s="242">
        <f t="shared" si="1033"/>
        <v>46023</v>
      </c>
      <c r="C2629" s="243">
        <f t="shared" si="1014"/>
        <v>46053</v>
      </c>
      <c r="D2629" s="120">
        <f t="shared" si="1015"/>
        <v>31</v>
      </c>
      <c r="E2629" s="120">
        <f t="shared" si="1016"/>
        <v>1</v>
      </c>
      <c r="F2629" s="275">
        <f t="shared" si="1017"/>
        <v>46038.5</v>
      </c>
      <c r="G2629" s="120">
        <f t="shared" si="1018"/>
        <v>24312</v>
      </c>
      <c r="H2629" s="245">
        <f t="shared" si="1019"/>
        <v>1</v>
      </c>
      <c r="I2629" s="121">
        <f t="shared" si="1020"/>
        <v>1</v>
      </c>
      <c r="J2629" s="121">
        <f t="shared" si="1021"/>
        <v>1</v>
      </c>
      <c r="K2629" s="120">
        <f t="shared" si="1022"/>
        <v>0</v>
      </c>
      <c r="L2629" s="120">
        <f t="shared" si="1023"/>
        <v>0</v>
      </c>
      <c r="M2629" s="246">
        <f t="shared" si="1024"/>
        <v>0</v>
      </c>
      <c r="N2629" s="121">
        <f t="shared" si="1025"/>
        <v>1</v>
      </c>
      <c r="O2629" s="246">
        <f t="shared" si="1026"/>
        <v>0.91281728665207884</v>
      </c>
      <c r="P2629" s="121">
        <f t="shared" si="1027"/>
        <v>1</v>
      </c>
      <c r="Q2629" s="121">
        <f t="shared" si="1028"/>
        <v>0</v>
      </c>
      <c r="R2629" s="121">
        <f t="shared" si="1029"/>
        <v>0</v>
      </c>
      <c r="S2629" s="121" t="str">
        <f t="shared" si="1030"/>
        <v/>
      </c>
      <c r="T2629" s="121" t="str">
        <f t="shared" si="1031"/>
        <v/>
      </c>
      <c r="U2629" s="121">
        <f t="shared" si="1032"/>
        <v>1</v>
      </c>
    </row>
    <row r="2630" spans="1:21" x14ac:dyDescent="0.3">
      <c r="A2630" s="187">
        <v>14</v>
      </c>
      <c r="B2630" s="242">
        <f t="shared" si="1033"/>
        <v>46054</v>
      </c>
      <c r="C2630" s="243">
        <f t="shared" si="1014"/>
        <v>46081</v>
      </c>
      <c r="D2630" s="120">
        <f t="shared" si="1015"/>
        <v>28</v>
      </c>
      <c r="E2630" s="120">
        <f t="shared" si="1016"/>
        <v>2</v>
      </c>
      <c r="F2630" s="275">
        <f t="shared" si="1017"/>
        <v>46068</v>
      </c>
      <c r="G2630" s="120">
        <f t="shared" si="1018"/>
        <v>24313</v>
      </c>
      <c r="H2630" s="245">
        <f t="shared" si="1019"/>
        <v>1</v>
      </c>
      <c r="I2630" s="121">
        <f t="shared" si="1020"/>
        <v>1</v>
      </c>
      <c r="J2630" s="121">
        <f t="shared" si="1021"/>
        <v>1</v>
      </c>
      <c r="K2630" s="120">
        <f t="shared" si="1022"/>
        <v>0</v>
      </c>
      <c r="L2630" s="120">
        <f t="shared" si="1023"/>
        <v>0</v>
      </c>
      <c r="M2630" s="246">
        <f t="shared" si="1024"/>
        <v>0</v>
      </c>
      <c r="N2630" s="121">
        <f t="shared" si="1025"/>
        <v>1</v>
      </c>
      <c r="O2630" s="246">
        <f t="shared" si="1026"/>
        <v>0.91249452954048138</v>
      </c>
      <c r="P2630" s="121">
        <f t="shared" si="1027"/>
        <v>1</v>
      </c>
      <c r="Q2630" s="121">
        <f t="shared" si="1028"/>
        <v>0</v>
      </c>
      <c r="R2630" s="121">
        <f t="shared" si="1029"/>
        <v>0</v>
      </c>
      <c r="S2630" s="121" t="str">
        <f t="shared" si="1030"/>
        <v/>
      </c>
      <c r="T2630" s="121" t="str">
        <f t="shared" si="1031"/>
        <v/>
      </c>
      <c r="U2630" s="121">
        <f t="shared" si="1032"/>
        <v>1</v>
      </c>
    </row>
    <row r="2631" spans="1:21" x14ac:dyDescent="0.3">
      <c r="A2631" s="187">
        <v>15</v>
      </c>
      <c r="B2631" s="242">
        <f t="shared" si="1033"/>
        <v>46082</v>
      </c>
      <c r="C2631" s="243">
        <f t="shared" si="1014"/>
        <v>46112</v>
      </c>
      <c r="D2631" s="120">
        <f t="shared" si="1015"/>
        <v>31</v>
      </c>
      <c r="E2631" s="120">
        <f t="shared" si="1016"/>
        <v>3</v>
      </c>
      <c r="F2631" s="275">
        <f t="shared" si="1017"/>
        <v>46097.5</v>
      </c>
      <c r="G2631" s="120">
        <f t="shared" si="1018"/>
        <v>24314</v>
      </c>
      <c r="H2631" s="245">
        <f t="shared" si="1019"/>
        <v>1</v>
      </c>
      <c r="I2631" s="121">
        <f t="shared" si="1020"/>
        <v>1</v>
      </c>
      <c r="J2631" s="121">
        <f t="shared" si="1021"/>
        <v>1</v>
      </c>
      <c r="K2631" s="120">
        <f t="shared" si="1022"/>
        <v>0</v>
      </c>
      <c r="L2631" s="120">
        <f t="shared" si="1023"/>
        <v>0</v>
      </c>
      <c r="M2631" s="246">
        <f t="shared" si="1024"/>
        <v>0</v>
      </c>
      <c r="N2631" s="121">
        <f t="shared" si="1025"/>
        <v>1</v>
      </c>
      <c r="O2631" s="246">
        <f t="shared" si="1026"/>
        <v>0.91217177242888403</v>
      </c>
      <c r="P2631" s="121">
        <f t="shared" si="1027"/>
        <v>1</v>
      </c>
      <c r="Q2631" s="121">
        <f t="shared" si="1028"/>
        <v>0</v>
      </c>
      <c r="R2631" s="121">
        <f t="shared" si="1029"/>
        <v>0</v>
      </c>
      <c r="S2631" s="121" t="str">
        <f t="shared" si="1030"/>
        <v/>
      </c>
      <c r="T2631" s="121" t="str">
        <f t="shared" si="1031"/>
        <v/>
      </c>
      <c r="U2631" s="121">
        <f t="shared" si="1032"/>
        <v>1</v>
      </c>
    </row>
    <row r="2632" spans="1:21" x14ac:dyDescent="0.3">
      <c r="A2632" s="187">
        <v>16</v>
      </c>
      <c r="B2632" s="242">
        <f t="shared" si="1033"/>
        <v>46113</v>
      </c>
      <c r="C2632" s="243">
        <f t="shared" si="1014"/>
        <v>46142</v>
      </c>
      <c r="D2632" s="120">
        <f t="shared" si="1015"/>
        <v>30</v>
      </c>
      <c r="E2632" s="120">
        <f t="shared" si="1016"/>
        <v>4</v>
      </c>
      <c r="F2632" s="275">
        <f t="shared" si="1017"/>
        <v>46128</v>
      </c>
      <c r="G2632" s="120">
        <f t="shared" si="1018"/>
        <v>24315</v>
      </c>
      <c r="H2632" s="245">
        <f t="shared" si="1019"/>
        <v>1</v>
      </c>
      <c r="I2632" s="121">
        <f t="shared" si="1020"/>
        <v>1</v>
      </c>
      <c r="J2632" s="121">
        <f t="shared" si="1021"/>
        <v>1</v>
      </c>
      <c r="K2632" s="120">
        <f t="shared" si="1022"/>
        <v>0</v>
      </c>
      <c r="L2632" s="120">
        <f t="shared" si="1023"/>
        <v>0</v>
      </c>
      <c r="M2632" s="246">
        <f t="shared" si="1024"/>
        <v>0</v>
      </c>
      <c r="N2632" s="121">
        <f t="shared" si="1025"/>
        <v>1</v>
      </c>
      <c r="O2632" s="246">
        <f t="shared" si="1026"/>
        <v>0.91183807439824949</v>
      </c>
      <c r="P2632" s="121">
        <f t="shared" si="1027"/>
        <v>1</v>
      </c>
      <c r="Q2632" s="121">
        <f t="shared" si="1028"/>
        <v>0</v>
      </c>
      <c r="R2632" s="121">
        <f t="shared" si="1029"/>
        <v>0</v>
      </c>
      <c r="S2632" s="121" t="str">
        <f t="shared" si="1030"/>
        <v/>
      </c>
      <c r="T2632" s="121" t="str">
        <f t="shared" si="1031"/>
        <v/>
      </c>
      <c r="U2632" s="121">
        <f t="shared" si="1032"/>
        <v>1</v>
      </c>
    </row>
    <row r="2633" spans="1:21" x14ac:dyDescent="0.3">
      <c r="A2633" s="187">
        <v>17</v>
      </c>
      <c r="B2633" s="242">
        <f t="shared" si="1033"/>
        <v>46143</v>
      </c>
      <c r="C2633" s="243">
        <f t="shared" si="1014"/>
        <v>46173</v>
      </c>
      <c r="D2633" s="120">
        <f t="shared" si="1015"/>
        <v>31</v>
      </c>
      <c r="E2633" s="120">
        <f t="shared" si="1016"/>
        <v>5</v>
      </c>
      <c r="F2633" s="275">
        <f t="shared" si="1017"/>
        <v>46158.5</v>
      </c>
      <c r="G2633" s="120">
        <f t="shared" si="1018"/>
        <v>24316</v>
      </c>
      <c r="H2633" s="245">
        <f t="shared" si="1019"/>
        <v>1</v>
      </c>
      <c r="I2633" s="121">
        <f t="shared" si="1020"/>
        <v>1</v>
      </c>
      <c r="J2633" s="121">
        <f t="shared" si="1021"/>
        <v>1</v>
      </c>
      <c r="K2633" s="120">
        <f t="shared" si="1022"/>
        <v>0</v>
      </c>
      <c r="L2633" s="120">
        <f t="shared" si="1023"/>
        <v>0</v>
      </c>
      <c r="M2633" s="246">
        <f t="shared" si="1024"/>
        <v>0</v>
      </c>
      <c r="N2633" s="121">
        <f t="shared" si="1025"/>
        <v>1</v>
      </c>
      <c r="O2633" s="246">
        <f t="shared" si="1026"/>
        <v>0.91150437636761494</v>
      </c>
      <c r="P2633" s="121">
        <f t="shared" si="1027"/>
        <v>1</v>
      </c>
      <c r="Q2633" s="121">
        <f t="shared" si="1028"/>
        <v>0</v>
      </c>
      <c r="R2633" s="121">
        <f t="shared" si="1029"/>
        <v>0</v>
      </c>
      <c r="S2633" s="121" t="str">
        <f t="shared" si="1030"/>
        <v/>
      </c>
      <c r="T2633" s="121" t="str">
        <f t="shared" si="1031"/>
        <v/>
      </c>
      <c r="U2633" s="121">
        <f t="shared" si="1032"/>
        <v>1</v>
      </c>
    </row>
    <row r="2634" spans="1:21" x14ac:dyDescent="0.3">
      <c r="A2634" s="187">
        <v>18</v>
      </c>
      <c r="B2634" s="242">
        <f t="shared" si="1033"/>
        <v>46174</v>
      </c>
      <c r="C2634" s="243">
        <f t="shared" si="1014"/>
        <v>46203</v>
      </c>
      <c r="D2634" s="120">
        <f t="shared" si="1015"/>
        <v>30</v>
      </c>
      <c r="E2634" s="120">
        <f t="shared" si="1016"/>
        <v>6</v>
      </c>
      <c r="F2634" s="275">
        <f t="shared" si="1017"/>
        <v>46189</v>
      </c>
      <c r="G2634" s="120">
        <f t="shared" si="1018"/>
        <v>24317</v>
      </c>
      <c r="H2634" s="245">
        <f t="shared" si="1019"/>
        <v>1</v>
      </c>
      <c r="I2634" s="121">
        <f t="shared" si="1020"/>
        <v>1</v>
      </c>
      <c r="J2634" s="121">
        <f t="shared" si="1021"/>
        <v>1</v>
      </c>
      <c r="K2634" s="120">
        <f t="shared" si="1022"/>
        <v>0</v>
      </c>
      <c r="L2634" s="120">
        <f t="shared" si="1023"/>
        <v>0</v>
      </c>
      <c r="M2634" s="246">
        <f t="shared" si="1024"/>
        <v>0</v>
      </c>
      <c r="N2634" s="121">
        <f t="shared" si="1025"/>
        <v>1</v>
      </c>
      <c r="O2634" s="246">
        <f t="shared" si="1026"/>
        <v>0.91117067833698029</v>
      </c>
      <c r="P2634" s="121">
        <f t="shared" si="1027"/>
        <v>1</v>
      </c>
      <c r="Q2634" s="121">
        <f t="shared" si="1028"/>
        <v>0</v>
      </c>
      <c r="R2634" s="121">
        <f t="shared" si="1029"/>
        <v>0</v>
      </c>
      <c r="S2634" s="121" t="str">
        <f t="shared" si="1030"/>
        <v/>
      </c>
      <c r="T2634" s="121" t="str">
        <f t="shared" si="1031"/>
        <v/>
      </c>
      <c r="U2634" s="121">
        <f t="shared" si="1032"/>
        <v>1</v>
      </c>
    </row>
    <row r="2635" spans="1:21" x14ac:dyDescent="0.3">
      <c r="A2635" s="187">
        <v>19</v>
      </c>
      <c r="B2635" s="242">
        <f t="shared" si="1033"/>
        <v>46204</v>
      </c>
      <c r="C2635" s="243">
        <f t="shared" si="1014"/>
        <v>46234</v>
      </c>
      <c r="D2635" s="120">
        <f t="shared" si="1015"/>
        <v>31</v>
      </c>
      <c r="E2635" s="120">
        <f t="shared" si="1016"/>
        <v>7</v>
      </c>
      <c r="F2635" s="275">
        <f t="shared" si="1017"/>
        <v>46219.5</v>
      </c>
      <c r="G2635" s="120">
        <f t="shared" si="1018"/>
        <v>24318</v>
      </c>
      <c r="H2635" s="245">
        <f t="shared" si="1019"/>
        <v>1</v>
      </c>
      <c r="I2635" s="121">
        <f t="shared" si="1020"/>
        <v>1</v>
      </c>
      <c r="J2635" s="121">
        <f t="shared" si="1021"/>
        <v>1</v>
      </c>
      <c r="K2635" s="120">
        <f t="shared" si="1022"/>
        <v>0</v>
      </c>
      <c r="L2635" s="120">
        <f t="shared" si="1023"/>
        <v>0</v>
      </c>
      <c r="M2635" s="246">
        <f t="shared" si="1024"/>
        <v>0</v>
      </c>
      <c r="N2635" s="121">
        <f t="shared" si="1025"/>
        <v>1</v>
      </c>
      <c r="O2635" s="246">
        <f t="shared" si="1026"/>
        <v>0.91083698030634574</v>
      </c>
      <c r="P2635" s="121">
        <f t="shared" si="1027"/>
        <v>0.91666666666666663</v>
      </c>
      <c r="Q2635" s="121">
        <f t="shared" si="1028"/>
        <v>8.333333333333337E-2</v>
      </c>
      <c r="R2635" s="121">
        <f t="shared" si="1029"/>
        <v>0</v>
      </c>
      <c r="S2635" s="121" t="str">
        <f t="shared" si="1030"/>
        <v/>
      </c>
      <c r="T2635" s="121" t="str">
        <f t="shared" si="1031"/>
        <v/>
      </c>
      <c r="U2635" s="121">
        <f t="shared" si="1032"/>
        <v>1</v>
      </c>
    </row>
    <row r="2636" spans="1:21" x14ac:dyDescent="0.3">
      <c r="A2636" s="187">
        <v>20</v>
      </c>
      <c r="B2636" s="242">
        <f t="shared" si="1033"/>
        <v>46235</v>
      </c>
      <c r="C2636" s="243">
        <f t="shared" si="1014"/>
        <v>46265</v>
      </c>
      <c r="D2636" s="120">
        <f t="shared" si="1015"/>
        <v>31</v>
      </c>
      <c r="E2636" s="120">
        <f t="shared" si="1016"/>
        <v>8</v>
      </c>
      <c r="F2636" s="275">
        <f t="shared" si="1017"/>
        <v>46250.5</v>
      </c>
      <c r="G2636" s="120">
        <f t="shared" si="1018"/>
        <v>24319</v>
      </c>
      <c r="H2636" s="245">
        <f t="shared" si="1019"/>
        <v>1</v>
      </c>
      <c r="I2636" s="121">
        <f t="shared" si="1020"/>
        <v>1</v>
      </c>
      <c r="J2636" s="121">
        <f t="shared" si="1021"/>
        <v>1</v>
      </c>
      <c r="K2636" s="120">
        <f t="shared" si="1022"/>
        <v>0</v>
      </c>
      <c r="L2636" s="120">
        <f t="shared" si="1023"/>
        <v>0</v>
      </c>
      <c r="M2636" s="246">
        <f t="shared" si="1024"/>
        <v>0</v>
      </c>
      <c r="N2636" s="121">
        <f t="shared" si="1025"/>
        <v>1</v>
      </c>
      <c r="O2636" s="246">
        <f t="shared" si="1026"/>
        <v>0.9104978118161926</v>
      </c>
      <c r="P2636" s="121">
        <f t="shared" si="1027"/>
        <v>0.75</v>
      </c>
      <c r="Q2636" s="121">
        <f t="shared" si="1028"/>
        <v>0.25</v>
      </c>
      <c r="R2636" s="121">
        <f t="shared" si="1029"/>
        <v>0</v>
      </c>
      <c r="S2636" s="121" t="str">
        <f t="shared" si="1030"/>
        <v/>
      </c>
      <c r="T2636" s="121" t="str">
        <f t="shared" si="1031"/>
        <v/>
      </c>
      <c r="U2636" s="121">
        <f t="shared" si="1032"/>
        <v>1</v>
      </c>
    </row>
    <row r="2637" spans="1:21" x14ac:dyDescent="0.3">
      <c r="A2637" s="187">
        <v>21</v>
      </c>
      <c r="B2637" s="242">
        <f t="shared" si="1033"/>
        <v>46266</v>
      </c>
      <c r="C2637" s="243">
        <f t="shared" si="1014"/>
        <v>46295</v>
      </c>
      <c r="D2637" s="120">
        <f t="shared" si="1015"/>
        <v>30</v>
      </c>
      <c r="E2637" s="120">
        <f t="shared" si="1016"/>
        <v>9</v>
      </c>
      <c r="F2637" s="275">
        <f t="shared" si="1017"/>
        <v>46281</v>
      </c>
      <c r="G2637" s="120">
        <f t="shared" si="1018"/>
        <v>24320</v>
      </c>
      <c r="H2637" s="245">
        <f t="shared" si="1019"/>
        <v>1</v>
      </c>
      <c r="I2637" s="121">
        <f t="shared" si="1020"/>
        <v>1</v>
      </c>
      <c r="J2637" s="121">
        <f t="shared" si="1021"/>
        <v>1</v>
      </c>
      <c r="K2637" s="120">
        <f t="shared" si="1022"/>
        <v>0</v>
      </c>
      <c r="L2637" s="120">
        <f t="shared" si="1023"/>
        <v>0</v>
      </c>
      <c r="M2637" s="246">
        <f t="shared" si="1024"/>
        <v>0</v>
      </c>
      <c r="N2637" s="121">
        <f t="shared" si="1025"/>
        <v>1</v>
      </c>
      <c r="O2637" s="246">
        <f t="shared" si="1026"/>
        <v>0.91016411378555806</v>
      </c>
      <c r="P2637" s="121">
        <f t="shared" si="1027"/>
        <v>0.58333333333333337</v>
      </c>
      <c r="Q2637" s="121">
        <f t="shared" si="1028"/>
        <v>0.41666666666666663</v>
      </c>
      <c r="R2637" s="121">
        <f t="shared" si="1029"/>
        <v>0</v>
      </c>
      <c r="S2637" s="121" t="str">
        <f t="shared" si="1030"/>
        <v/>
      </c>
      <c r="T2637" s="121" t="str">
        <f t="shared" si="1031"/>
        <v/>
      </c>
      <c r="U2637" s="121">
        <f t="shared" si="1032"/>
        <v>1</v>
      </c>
    </row>
    <row r="2638" spans="1:21" x14ac:dyDescent="0.3">
      <c r="A2638" s="187">
        <v>22</v>
      </c>
      <c r="B2638" s="242">
        <f t="shared" si="1033"/>
        <v>46296</v>
      </c>
      <c r="C2638" s="243">
        <f t="shared" si="1014"/>
        <v>46326</v>
      </c>
      <c r="D2638" s="120">
        <f t="shared" si="1015"/>
        <v>31</v>
      </c>
      <c r="E2638" s="120">
        <f t="shared" si="1016"/>
        <v>10</v>
      </c>
      <c r="F2638" s="275">
        <f t="shared" si="1017"/>
        <v>46311.5</v>
      </c>
      <c r="G2638" s="120">
        <f t="shared" si="1018"/>
        <v>24321</v>
      </c>
      <c r="H2638" s="245">
        <f t="shared" si="1019"/>
        <v>1</v>
      </c>
      <c r="I2638" s="121">
        <f t="shared" si="1020"/>
        <v>1</v>
      </c>
      <c r="J2638" s="121">
        <f t="shared" si="1021"/>
        <v>1</v>
      </c>
      <c r="K2638" s="120">
        <f t="shared" si="1022"/>
        <v>0</v>
      </c>
      <c r="L2638" s="120">
        <f t="shared" si="1023"/>
        <v>0</v>
      </c>
      <c r="M2638" s="246">
        <f t="shared" si="1024"/>
        <v>0</v>
      </c>
      <c r="N2638" s="121">
        <f t="shared" si="1025"/>
        <v>1</v>
      </c>
      <c r="O2638" s="246">
        <f t="shared" si="1026"/>
        <v>0.90983041575492341</v>
      </c>
      <c r="P2638" s="121">
        <f t="shared" si="1027"/>
        <v>0.41666666666666669</v>
      </c>
      <c r="Q2638" s="121">
        <f t="shared" si="1028"/>
        <v>0.58333333333333326</v>
      </c>
      <c r="R2638" s="121">
        <f t="shared" si="1029"/>
        <v>0</v>
      </c>
      <c r="S2638" s="121" t="str">
        <f t="shared" si="1030"/>
        <v/>
      </c>
      <c r="T2638" s="121" t="str">
        <f t="shared" si="1031"/>
        <v/>
      </c>
      <c r="U2638" s="121">
        <f t="shared" si="1032"/>
        <v>1</v>
      </c>
    </row>
    <row r="2639" spans="1:21" x14ac:dyDescent="0.3">
      <c r="A2639" s="187">
        <v>23</v>
      </c>
      <c r="B2639" s="242">
        <f t="shared" si="1033"/>
        <v>46327</v>
      </c>
      <c r="C2639" s="243">
        <f t="shared" si="1014"/>
        <v>46356</v>
      </c>
      <c r="D2639" s="120">
        <f t="shared" si="1015"/>
        <v>30</v>
      </c>
      <c r="E2639" s="120">
        <f t="shared" si="1016"/>
        <v>11</v>
      </c>
      <c r="F2639" s="275">
        <f t="shared" si="1017"/>
        <v>46342</v>
      </c>
      <c r="G2639" s="120">
        <f t="shared" si="1018"/>
        <v>24322</v>
      </c>
      <c r="H2639" s="245">
        <f t="shared" si="1019"/>
        <v>1</v>
      </c>
      <c r="I2639" s="121">
        <f t="shared" si="1020"/>
        <v>1</v>
      </c>
      <c r="J2639" s="121">
        <f t="shared" si="1021"/>
        <v>1</v>
      </c>
      <c r="K2639" s="120">
        <f t="shared" si="1022"/>
        <v>0</v>
      </c>
      <c r="L2639" s="120">
        <f t="shared" si="1023"/>
        <v>0</v>
      </c>
      <c r="M2639" s="246">
        <f t="shared" si="1024"/>
        <v>0</v>
      </c>
      <c r="N2639" s="121">
        <f t="shared" si="1025"/>
        <v>1</v>
      </c>
      <c r="O2639" s="246">
        <f t="shared" si="1026"/>
        <v>0.90949671772428886</v>
      </c>
      <c r="P2639" s="121">
        <f t="shared" si="1027"/>
        <v>0.25</v>
      </c>
      <c r="Q2639" s="121">
        <f t="shared" si="1028"/>
        <v>0.75</v>
      </c>
      <c r="R2639" s="121">
        <f t="shared" si="1029"/>
        <v>0</v>
      </c>
      <c r="S2639" s="121" t="str">
        <f t="shared" si="1030"/>
        <v/>
      </c>
      <c r="T2639" s="121" t="str">
        <f t="shared" si="1031"/>
        <v/>
      </c>
      <c r="U2639" s="121">
        <f t="shared" si="1032"/>
        <v>1</v>
      </c>
    </row>
    <row r="2640" spans="1:21" x14ac:dyDescent="0.3">
      <c r="A2640" s="187">
        <v>24</v>
      </c>
      <c r="B2640" s="242">
        <f t="shared" si="1033"/>
        <v>46357</v>
      </c>
      <c r="C2640" s="243">
        <f t="shared" si="1014"/>
        <v>46387</v>
      </c>
      <c r="D2640" s="120">
        <f t="shared" si="1015"/>
        <v>31</v>
      </c>
      <c r="E2640" s="120">
        <f t="shared" si="1016"/>
        <v>12</v>
      </c>
      <c r="F2640" s="275">
        <f t="shared" si="1017"/>
        <v>46372.5</v>
      </c>
      <c r="G2640" s="120">
        <f t="shared" si="1018"/>
        <v>24323</v>
      </c>
      <c r="H2640" s="245">
        <f t="shared" si="1019"/>
        <v>1</v>
      </c>
      <c r="I2640" s="121">
        <f t="shared" si="1020"/>
        <v>1</v>
      </c>
      <c r="J2640" s="121">
        <f t="shared" si="1021"/>
        <v>1</v>
      </c>
      <c r="K2640" s="120">
        <f t="shared" si="1022"/>
        <v>0</v>
      </c>
      <c r="L2640" s="120">
        <f t="shared" si="1023"/>
        <v>0</v>
      </c>
      <c r="M2640" s="246">
        <f t="shared" si="1024"/>
        <v>0</v>
      </c>
      <c r="N2640" s="121">
        <f t="shared" si="1025"/>
        <v>1</v>
      </c>
      <c r="O2640" s="246">
        <f t="shared" si="1026"/>
        <v>0.90916301969365432</v>
      </c>
      <c r="P2640" s="121">
        <f t="shared" si="1027"/>
        <v>8.3333333333333329E-2</v>
      </c>
      <c r="Q2640" s="121">
        <f t="shared" si="1028"/>
        <v>0.91666666666666663</v>
      </c>
      <c r="R2640" s="121">
        <f t="shared" si="1029"/>
        <v>0</v>
      </c>
      <c r="S2640" s="121" t="str">
        <f t="shared" si="1030"/>
        <v/>
      </c>
      <c r="T2640" s="121" t="str">
        <f t="shared" si="1031"/>
        <v/>
      </c>
      <c r="U2640" s="121">
        <f t="shared" si="1032"/>
        <v>1</v>
      </c>
    </row>
    <row r="2641" spans="1:21" x14ac:dyDescent="0.3">
      <c r="A2641" s="187">
        <v>25</v>
      </c>
      <c r="B2641" s="242">
        <f t="shared" si="1033"/>
        <v>46388</v>
      </c>
      <c r="C2641" s="243">
        <f t="shared" si="1014"/>
        <v>46418</v>
      </c>
      <c r="D2641" s="120">
        <f t="shared" si="1015"/>
        <v>31</v>
      </c>
      <c r="E2641" s="120">
        <f t="shared" si="1016"/>
        <v>1</v>
      </c>
      <c r="F2641" s="275">
        <f t="shared" si="1017"/>
        <v>46403.5</v>
      </c>
      <c r="G2641" s="120">
        <f t="shared" si="1018"/>
        <v>24324</v>
      </c>
      <c r="H2641" s="245">
        <f t="shared" si="1019"/>
        <v>1</v>
      </c>
      <c r="I2641" s="121">
        <f t="shared" si="1020"/>
        <v>1</v>
      </c>
      <c r="J2641" s="121">
        <f t="shared" si="1021"/>
        <v>1</v>
      </c>
      <c r="K2641" s="120">
        <f t="shared" si="1022"/>
        <v>0</v>
      </c>
      <c r="L2641" s="120">
        <f t="shared" si="1023"/>
        <v>0</v>
      </c>
      <c r="M2641" s="246">
        <f t="shared" si="1024"/>
        <v>0</v>
      </c>
      <c r="N2641" s="121">
        <f t="shared" si="1025"/>
        <v>1</v>
      </c>
      <c r="O2641" s="246">
        <f t="shared" si="1026"/>
        <v>0.90882385120350118</v>
      </c>
      <c r="P2641" s="121">
        <f t="shared" si="1027"/>
        <v>0</v>
      </c>
      <c r="Q2641" s="121">
        <f t="shared" si="1028"/>
        <v>1</v>
      </c>
      <c r="R2641" s="121">
        <f t="shared" si="1029"/>
        <v>0</v>
      </c>
      <c r="S2641" s="121" t="str">
        <f t="shared" si="1030"/>
        <v/>
      </c>
      <c r="T2641" s="121" t="str">
        <f t="shared" si="1031"/>
        <v/>
      </c>
      <c r="U2641" s="121">
        <f t="shared" si="1032"/>
        <v>1</v>
      </c>
    </row>
    <row r="2642" spans="1:21" x14ac:dyDescent="0.3">
      <c r="A2642" s="187">
        <v>26</v>
      </c>
      <c r="B2642" s="242">
        <f t="shared" si="1033"/>
        <v>46419</v>
      </c>
      <c r="C2642" s="243">
        <f t="shared" si="1014"/>
        <v>46446</v>
      </c>
      <c r="D2642" s="120">
        <f t="shared" si="1015"/>
        <v>28</v>
      </c>
      <c r="E2642" s="120">
        <f t="shared" si="1016"/>
        <v>2</v>
      </c>
      <c r="F2642" s="275">
        <f t="shared" si="1017"/>
        <v>46433</v>
      </c>
      <c r="G2642" s="120">
        <f t="shared" si="1018"/>
        <v>24325</v>
      </c>
      <c r="H2642" s="245">
        <f t="shared" si="1019"/>
        <v>1</v>
      </c>
      <c r="I2642" s="121">
        <f t="shared" si="1020"/>
        <v>1</v>
      </c>
      <c r="J2642" s="121">
        <f t="shared" si="1021"/>
        <v>1</v>
      </c>
      <c r="K2642" s="120">
        <f t="shared" si="1022"/>
        <v>0</v>
      </c>
      <c r="L2642" s="120">
        <f t="shared" si="1023"/>
        <v>0</v>
      </c>
      <c r="M2642" s="246">
        <f t="shared" si="1024"/>
        <v>0</v>
      </c>
      <c r="N2642" s="121">
        <f t="shared" si="1025"/>
        <v>1</v>
      </c>
      <c r="O2642" s="246">
        <f t="shared" si="1026"/>
        <v>0.90850109409190372</v>
      </c>
      <c r="P2642" s="121">
        <f t="shared" si="1027"/>
        <v>0</v>
      </c>
      <c r="Q2642" s="121">
        <f t="shared" si="1028"/>
        <v>1</v>
      </c>
      <c r="R2642" s="121">
        <f t="shared" si="1029"/>
        <v>0</v>
      </c>
      <c r="S2642" s="121" t="str">
        <f t="shared" si="1030"/>
        <v/>
      </c>
      <c r="T2642" s="121" t="str">
        <f t="shared" si="1031"/>
        <v/>
      </c>
      <c r="U2642" s="121">
        <f t="shared" si="1032"/>
        <v>1</v>
      </c>
    </row>
    <row r="2643" spans="1:21" x14ac:dyDescent="0.3">
      <c r="A2643" s="187">
        <v>27</v>
      </c>
      <c r="B2643" s="242">
        <f t="shared" si="1033"/>
        <v>46447</v>
      </c>
      <c r="C2643" s="243">
        <f t="shared" si="1014"/>
        <v>46477</v>
      </c>
      <c r="D2643" s="120">
        <f t="shared" si="1015"/>
        <v>31</v>
      </c>
      <c r="E2643" s="120">
        <f t="shared" si="1016"/>
        <v>3</v>
      </c>
      <c r="F2643" s="275">
        <f t="shared" si="1017"/>
        <v>46462.5</v>
      </c>
      <c r="G2643" s="120">
        <f t="shared" si="1018"/>
        <v>24326</v>
      </c>
      <c r="H2643" s="245">
        <f t="shared" si="1019"/>
        <v>1</v>
      </c>
      <c r="I2643" s="121">
        <f t="shared" si="1020"/>
        <v>1</v>
      </c>
      <c r="J2643" s="121">
        <f t="shared" si="1021"/>
        <v>1</v>
      </c>
      <c r="K2643" s="120">
        <f t="shared" si="1022"/>
        <v>0</v>
      </c>
      <c r="L2643" s="120">
        <f t="shared" si="1023"/>
        <v>0</v>
      </c>
      <c r="M2643" s="246">
        <f t="shared" si="1024"/>
        <v>0</v>
      </c>
      <c r="N2643" s="121">
        <f t="shared" si="1025"/>
        <v>1</v>
      </c>
      <c r="O2643" s="246">
        <f t="shared" si="1026"/>
        <v>0.90817833698030637</v>
      </c>
      <c r="P2643" s="121">
        <f t="shared" si="1027"/>
        <v>0</v>
      </c>
      <c r="Q2643" s="121">
        <f t="shared" si="1028"/>
        <v>1</v>
      </c>
      <c r="R2643" s="121">
        <f t="shared" si="1029"/>
        <v>0</v>
      </c>
      <c r="S2643" s="121" t="str">
        <f t="shared" si="1030"/>
        <v/>
      </c>
      <c r="T2643" s="121" t="str">
        <f t="shared" si="1031"/>
        <v/>
      </c>
      <c r="U2643" s="121">
        <f t="shared" si="1032"/>
        <v>1</v>
      </c>
    </row>
    <row r="2644" spans="1:21" x14ac:dyDescent="0.3">
      <c r="A2644" s="187">
        <v>28</v>
      </c>
      <c r="B2644" s="242">
        <f t="shared" si="1033"/>
        <v>46478</v>
      </c>
      <c r="C2644" s="243">
        <f t="shared" si="1014"/>
        <v>46507</v>
      </c>
      <c r="D2644" s="120">
        <f t="shared" si="1015"/>
        <v>30</v>
      </c>
      <c r="E2644" s="120">
        <f t="shared" si="1016"/>
        <v>4</v>
      </c>
      <c r="F2644" s="275">
        <f t="shared" si="1017"/>
        <v>46493</v>
      </c>
      <c r="G2644" s="120">
        <f t="shared" si="1018"/>
        <v>24327</v>
      </c>
      <c r="H2644" s="245">
        <f t="shared" si="1019"/>
        <v>1</v>
      </c>
      <c r="I2644" s="121">
        <f t="shared" si="1020"/>
        <v>1</v>
      </c>
      <c r="J2644" s="121">
        <f t="shared" si="1021"/>
        <v>1</v>
      </c>
      <c r="K2644" s="120">
        <f t="shared" si="1022"/>
        <v>0</v>
      </c>
      <c r="L2644" s="120">
        <f t="shared" si="1023"/>
        <v>0</v>
      </c>
      <c r="M2644" s="246">
        <f t="shared" si="1024"/>
        <v>0</v>
      </c>
      <c r="N2644" s="121">
        <f t="shared" si="1025"/>
        <v>1</v>
      </c>
      <c r="O2644" s="246">
        <f t="shared" si="1026"/>
        <v>0.90784463894967182</v>
      </c>
      <c r="P2644" s="121">
        <f t="shared" si="1027"/>
        <v>0</v>
      </c>
      <c r="Q2644" s="121">
        <f t="shared" si="1028"/>
        <v>1</v>
      </c>
      <c r="R2644" s="121">
        <f t="shared" si="1029"/>
        <v>0</v>
      </c>
      <c r="S2644" s="121" t="str">
        <f t="shared" si="1030"/>
        <v/>
      </c>
      <c r="T2644" s="121" t="str">
        <f t="shared" si="1031"/>
        <v/>
      </c>
      <c r="U2644" s="121">
        <f t="shared" si="1032"/>
        <v>1</v>
      </c>
    </row>
    <row r="2645" spans="1:21" x14ac:dyDescent="0.3">
      <c r="A2645" s="187">
        <v>29</v>
      </c>
      <c r="B2645" s="242">
        <f t="shared" si="1033"/>
        <v>46508</v>
      </c>
      <c r="C2645" s="243">
        <f t="shared" si="1014"/>
        <v>46538</v>
      </c>
      <c r="D2645" s="120">
        <f t="shared" si="1015"/>
        <v>31</v>
      </c>
      <c r="E2645" s="120">
        <f t="shared" si="1016"/>
        <v>5</v>
      </c>
      <c r="F2645" s="275">
        <f t="shared" si="1017"/>
        <v>46523.5</v>
      </c>
      <c r="G2645" s="120">
        <f t="shared" si="1018"/>
        <v>24328</v>
      </c>
      <c r="H2645" s="245">
        <f t="shared" si="1019"/>
        <v>1</v>
      </c>
      <c r="I2645" s="121">
        <f t="shared" si="1020"/>
        <v>1</v>
      </c>
      <c r="J2645" s="121">
        <f t="shared" si="1021"/>
        <v>1</v>
      </c>
      <c r="K2645" s="120">
        <f t="shared" si="1022"/>
        <v>0</v>
      </c>
      <c r="L2645" s="120">
        <f t="shared" si="1023"/>
        <v>0</v>
      </c>
      <c r="M2645" s="246">
        <f t="shared" si="1024"/>
        <v>0</v>
      </c>
      <c r="N2645" s="121">
        <f t="shared" si="1025"/>
        <v>1</v>
      </c>
      <c r="O2645" s="246">
        <f t="shared" si="1026"/>
        <v>0.90751094091903728</v>
      </c>
      <c r="P2645" s="121">
        <f t="shared" si="1027"/>
        <v>0</v>
      </c>
      <c r="Q2645" s="121">
        <f t="shared" si="1028"/>
        <v>1</v>
      </c>
      <c r="R2645" s="121">
        <f t="shared" si="1029"/>
        <v>0</v>
      </c>
      <c r="S2645" s="121" t="str">
        <f t="shared" si="1030"/>
        <v/>
      </c>
      <c r="T2645" s="121" t="str">
        <f t="shared" si="1031"/>
        <v/>
      </c>
      <c r="U2645" s="121">
        <f t="shared" si="1032"/>
        <v>1</v>
      </c>
    </row>
    <row r="2646" spans="1:21" x14ac:dyDescent="0.3">
      <c r="A2646" s="187">
        <v>30</v>
      </c>
      <c r="B2646" s="242">
        <f t="shared" si="1033"/>
        <v>46539</v>
      </c>
      <c r="C2646" s="243">
        <f t="shared" si="1014"/>
        <v>46568</v>
      </c>
      <c r="D2646" s="120">
        <f t="shared" si="1015"/>
        <v>30</v>
      </c>
      <c r="E2646" s="120">
        <f t="shared" si="1016"/>
        <v>6</v>
      </c>
      <c r="F2646" s="275">
        <f t="shared" si="1017"/>
        <v>46554</v>
      </c>
      <c r="G2646" s="120">
        <f t="shared" si="1018"/>
        <v>24329</v>
      </c>
      <c r="H2646" s="245">
        <f t="shared" si="1019"/>
        <v>1</v>
      </c>
      <c r="I2646" s="121">
        <f t="shared" si="1020"/>
        <v>1</v>
      </c>
      <c r="J2646" s="121">
        <f t="shared" si="1021"/>
        <v>1</v>
      </c>
      <c r="K2646" s="120">
        <f t="shared" si="1022"/>
        <v>0</v>
      </c>
      <c r="L2646" s="120">
        <f t="shared" si="1023"/>
        <v>0</v>
      </c>
      <c r="M2646" s="246">
        <f t="shared" si="1024"/>
        <v>0</v>
      </c>
      <c r="N2646" s="121">
        <f t="shared" si="1025"/>
        <v>1</v>
      </c>
      <c r="O2646" s="246">
        <f t="shared" si="1026"/>
        <v>0.90717724288840262</v>
      </c>
      <c r="P2646" s="121">
        <f t="shared" si="1027"/>
        <v>0</v>
      </c>
      <c r="Q2646" s="121">
        <f t="shared" si="1028"/>
        <v>1</v>
      </c>
      <c r="R2646" s="121">
        <f t="shared" si="1029"/>
        <v>0</v>
      </c>
      <c r="S2646" s="121" t="str">
        <f t="shared" si="1030"/>
        <v/>
      </c>
      <c r="T2646" s="121" t="str">
        <f t="shared" si="1031"/>
        <v/>
      </c>
      <c r="U2646" s="121">
        <f t="shared" si="1032"/>
        <v>1</v>
      </c>
    </row>
    <row r="2647" spans="1:21" x14ac:dyDescent="0.3">
      <c r="A2647" s="187">
        <v>31</v>
      </c>
      <c r="B2647" s="242">
        <f t="shared" si="1033"/>
        <v>46569</v>
      </c>
      <c r="C2647" s="243">
        <f t="shared" si="1014"/>
        <v>46599</v>
      </c>
      <c r="D2647" s="120">
        <f t="shared" si="1015"/>
        <v>31</v>
      </c>
      <c r="E2647" s="120">
        <f t="shared" si="1016"/>
        <v>7</v>
      </c>
      <c r="F2647" s="275">
        <f t="shared" si="1017"/>
        <v>46584.5</v>
      </c>
      <c r="G2647" s="120">
        <f t="shared" si="1018"/>
        <v>24330</v>
      </c>
      <c r="H2647" s="245">
        <f t="shared" si="1019"/>
        <v>1</v>
      </c>
      <c r="I2647" s="121">
        <f t="shared" si="1020"/>
        <v>1</v>
      </c>
      <c r="J2647" s="121">
        <f t="shared" si="1021"/>
        <v>1</v>
      </c>
      <c r="K2647" s="120">
        <f t="shared" si="1022"/>
        <v>0</v>
      </c>
      <c r="L2647" s="120">
        <f t="shared" si="1023"/>
        <v>0</v>
      </c>
      <c r="M2647" s="246">
        <f t="shared" si="1024"/>
        <v>0</v>
      </c>
      <c r="N2647" s="121">
        <f t="shared" si="1025"/>
        <v>1</v>
      </c>
      <c r="O2647" s="246">
        <f t="shared" si="1026"/>
        <v>0.90684354485776808</v>
      </c>
      <c r="P2647" s="121">
        <f t="shared" si="1027"/>
        <v>0</v>
      </c>
      <c r="Q2647" s="121">
        <f t="shared" si="1028"/>
        <v>0.91666666666666663</v>
      </c>
      <c r="R2647" s="121">
        <f t="shared" si="1029"/>
        <v>8.333333333333337E-2</v>
      </c>
      <c r="S2647" s="121" t="str">
        <f t="shared" si="1030"/>
        <v/>
      </c>
      <c r="T2647" s="121" t="str">
        <f t="shared" si="1031"/>
        <v/>
      </c>
      <c r="U2647" s="121">
        <f t="shared" si="1032"/>
        <v>1</v>
      </c>
    </row>
    <row r="2648" spans="1:21" x14ac:dyDescent="0.3">
      <c r="A2648" s="187">
        <v>32</v>
      </c>
      <c r="B2648" s="242">
        <f t="shared" si="1033"/>
        <v>46600</v>
      </c>
      <c r="C2648" s="243">
        <f t="shared" si="1014"/>
        <v>46630</v>
      </c>
      <c r="D2648" s="120">
        <f t="shared" si="1015"/>
        <v>31</v>
      </c>
      <c r="E2648" s="120">
        <f t="shared" si="1016"/>
        <v>8</v>
      </c>
      <c r="F2648" s="275">
        <f t="shared" si="1017"/>
        <v>46615.5</v>
      </c>
      <c r="G2648" s="120">
        <f t="shared" si="1018"/>
        <v>24331</v>
      </c>
      <c r="H2648" s="245">
        <f t="shared" si="1019"/>
        <v>1</v>
      </c>
      <c r="I2648" s="121">
        <f t="shared" si="1020"/>
        <v>1</v>
      </c>
      <c r="J2648" s="121">
        <f t="shared" si="1021"/>
        <v>1</v>
      </c>
      <c r="K2648" s="120">
        <f t="shared" si="1022"/>
        <v>0</v>
      </c>
      <c r="L2648" s="120">
        <f t="shared" si="1023"/>
        <v>0</v>
      </c>
      <c r="M2648" s="246">
        <f t="shared" si="1024"/>
        <v>0</v>
      </c>
      <c r="N2648" s="121">
        <f t="shared" si="1025"/>
        <v>1</v>
      </c>
      <c r="O2648" s="246">
        <f t="shared" si="1026"/>
        <v>0.90650437636761494</v>
      </c>
      <c r="P2648" s="121">
        <f t="shared" si="1027"/>
        <v>0</v>
      </c>
      <c r="Q2648" s="121">
        <f t="shared" si="1028"/>
        <v>0.75</v>
      </c>
      <c r="R2648" s="121">
        <f t="shared" si="1029"/>
        <v>0.25</v>
      </c>
      <c r="S2648" s="121" t="str">
        <f t="shared" si="1030"/>
        <v/>
      </c>
      <c r="T2648" s="121" t="str">
        <f t="shared" si="1031"/>
        <v/>
      </c>
      <c r="U2648" s="121">
        <f t="shared" si="1032"/>
        <v>1</v>
      </c>
    </row>
    <row r="2649" spans="1:21" x14ac:dyDescent="0.3">
      <c r="A2649" s="187">
        <v>33</v>
      </c>
      <c r="B2649" s="242">
        <f t="shared" si="1033"/>
        <v>46631</v>
      </c>
      <c r="C2649" s="243">
        <f t="shared" si="1014"/>
        <v>46660</v>
      </c>
      <c r="D2649" s="120">
        <f t="shared" si="1015"/>
        <v>30</v>
      </c>
      <c r="E2649" s="120">
        <f t="shared" si="1016"/>
        <v>9</v>
      </c>
      <c r="F2649" s="275">
        <f t="shared" si="1017"/>
        <v>46646</v>
      </c>
      <c r="G2649" s="120">
        <f t="shared" si="1018"/>
        <v>24332</v>
      </c>
      <c r="H2649" s="245">
        <f t="shared" si="1019"/>
        <v>1</v>
      </c>
      <c r="I2649" s="121">
        <f t="shared" si="1020"/>
        <v>1</v>
      </c>
      <c r="J2649" s="121">
        <f t="shared" si="1021"/>
        <v>1</v>
      </c>
      <c r="K2649" s="120">
        <f t="shared" si="1022"/>
        <v>0</v>
      </c>
      <c r="L2649" s="120">
        <f t="shared" si="1023"/>
        <v>0</v>
      </c>
      <c r="M2649" s="246">
        <f t="shared" si="1024"/>
        <v>0</v>
      </c>
      <c r="N2649" s="121">
        <f t="shared" si="1025"/>
        <v>1</v>
      </c>
      <c r="O2649" s="246">
        <f t="shared" si="1026"/>
        <v>0.90617067833698028</v>
      </c>
      <c r="P2649" s="121">
        <f t="shared" si="1027"/>
        <v>0</v>
      </c>
      <c r="Q2649" s="121">
        <f t="shared" si="1028"/>
        <v>0.58333333333333337</v>
      </c>
      <c r="R2649" s="121">
        <f t="shared" si="1029"/>
        <v>0.41666666666666663</v>
      </c>
      <c r="S2649" s="121" t="str">
        <f t="shared" si="1030"/>
        <v/>
      </c>
      <c r="T2649" s="121" t="str">
        <f t="shared" si="1031"/>
        <v/>
      </c>
      <c r="U2649" s="121">
        <f t="shared" si="1032"/>
        <v>1</v>
      </c>
    </row>
    <row r="2650" spans="1:21" x14ac:dyDescent="0.3">
      <c r="A2650" s="187">
        <v>34</v>
      </c>
      <c r="B2650" s="242">
        <f t="shared" si="1033"/>
        <v>46661</v>
      </c>
      <c r="C2650" s="243">
        <f t="shared" si="1014"/>
        <v>46691</v>
      </c>
      <c r="D2650" s="120">
        <f t="shared" si="1015"/>
        <v>31</v>
      </c>
      <c r="E2650" s="120">
        <f t="shared" si="1016"/>
        <v>10</v>
      </c>
      <c r="F2650" s="275">
        <f t="shared" si="1017"/>
        <v>46676.5</v>
      </c>
      <c r="G2650" s="120">
        <f t="shared" si="1018"/>
        <v>24333</v>
      </c>
      <c r="H2650" s="245">
        <f t="shared" si="1019"/>
        <v>1</v>
      </c>
      <c r="I2650" s="121">
        <f t="shared" si="1020"/>
        <v>1</v>
      </c>
      <c r="J2650" s="121">
        <f t="shared" si="1021"/>
        <v>1</v>
      </c>
      <c r="K2650" s="120">
        <f t="shared" si="1022"/>
        <v>0</v>
      </c>
      <c r="L2650" s="120">
        <f t="shared" si="1023"/>
        <v>0</v>
      </c>
      <c r="M2650" s="246">
        <f t="shared" si="1024"/>
        <v>0</v>
      </c>
      <c r="N2650" s="121">
        <f t="shared" si="1025"/>
        <v>1</v>
      </c>
      <c r="O2650" s="246">
        <f t="shared" si="1026"/>
        <v>0.90583698030634574</v>
      </c>
      <c r="P2650" s="121">
        <f t="shared" si="1027"/>
        <v>0</v>
      </c>
      <c r="Q2650" s="121">
        <f t="shared" si="1028"/>
        <v>0.41666666666666669</v>
      </c>
      <c r="R2650" s="121">
        <f t="shared" si="1029"/>
        <v>0.58333333333333326</v>
      </c>
      <c r="S2650" s="121" t="str">
        <f t="shared" si="1030"/>
        <v/>
      </c>
      <c r="T2650" s="121" t="str">
        <f t="shared" si="1031"/>
        <v/>
      </c>
      <c r="U2650" s="121">
        <f t="shared" si="1032"/>
        <v>1</v>
      </c>
    </row>
    <row r="2651" spans="1:21" x14ac:dyDescent="0.3">
      <c r="A2651" s="187">
        <v>35</v>
      </c>
      <c r="B2651" s="242">
        <f t="shared" si="1033"/>
        <v>46692</v>
      </c>
      <c r="C2651" s="243">
        <f t="shared" si="1014"/>
        <v>46721</v>
      </c>
      <c r="D2651" s="120">
        <f t="shared" si="1015"/>
        <v>30</v>
      </c>
      <c r="E2651" s="120">
        <f t="shared" si="1016"/>
        <v>11</v>
      </c>
      <c r="F2651" s="275">
        <f t="shared" si="1017"/>
        <v>46707</v>
      </c>
      <c r="G2651" s="120">
        <f t="shared" si="1018"/>
        <v>24334</v>
      </c>
      <c r="H2651" s="245">
        <f t="shared" si="1019"/>
        <v>1</v>
      </c>
      <c r="I2651" s="121">
        <f t="shared" si="1020"/>
        <v>1</v>
      </c>
      <c r="J2651" s="121">
        <f t="shared" si="1021"/>
        <v>1</v>
      </c>
      <c r="K2651" s="120">
        <f t="shared" si="1022"/>
        <v>0</v>
      </c>
      <c r="L2651" s="120">
        <f t="shared" si="1023"/>
        <v>0</v>
      </c>
      <c r="M2651" s="246">
        <f t="shared" si="1024"/>
        <v>0</v>
      </c>
      <c r="N2651" s="121">
        <f t="shared" si="1025"/>
        <v>1</v>
      </c>
      <c r="O2651" s="246">
        <f t="shared" si="1026"/>
        <v>0.9055032822757112</v>
      </c>
      <c r="P2651" s="121">
        <f t="shared" si="1027"/>
        <v>0</v>
      </c>
      <c r="Q2651" s="121">
        <f t="shared" si="1028"/>
        <v>0.25</v>
      </c>
      <c r="R2651" s="121">
        <f t="shared" si="1029"/>
        <v>0.75</v>
      </c>
      <c r="S2651" s="121" t="str">
        <f t="shared" si="1030"/>
        <v/>
      </c>
      <c r="T2651" s="121" t="str">
        <f t="shared" si="1031"/>
        <v/>
      </c>
      <c r="U2651" s="121">
        <f t="shared" si="1032"/>
        <v>1</v>
      </c>
    </row>
    <row r="2652" spans="1:21" x14ac:dyDescent="0.3">
      <c r="A2652" s="187">
        <v>36</v>
      </c>
      <c r="B2652" s="242">
        <f t="shared" si="1033"/>
        <v>46722</v>
      </c>
      <c r="C2652" s="243">
        <f t="shared" si="1014"/>
        <v>46752</v>
      </c>
      <c r="D2652" s="120">
        <f t="shared" si="1015"/>
        <v>31</v>
      </c>
      <c r="E2652" s="120">
        <f t="shared" si="1016"/>
        <v>12</v>
      </c>
      <c r="F2652" s="275">
        <f t="shared" si="1017"/>
        <v>46737.5</v>
      </c>
      <c r="G2652" s="120">
        <f t="shared" si="1018"/>
        <v>24335</v>
      </c>
      <c r="H2652" s="245">
        <f t="shared" si="1019"/>
        <v>1</v>
      </c>
      <c r="I2652" s="121">
        <f t="shared" si="1020"/>
        <v>1</v>
      </c>
      <c r="J2652" s="121">
        <f t="shared" si="1021"/>
        <v>1</v>
      </c>
      <c r="K2652" s="120">
        <f t="shared" si="1022"/>
        <v>0</v>
      </c>
      <c r="L2652" s="120">
        <f t="shared" si="1023"/>
        <v>0</v>
      </c>
      <c r="M2652" s="246">
        <f t="shared" si="1024"/>
        <v>0</v>
      </c>
      <c r="N2652" s="121">
        <f t="shared" si="1025"/>
        <v>1</v>
      </c>
      <c r="O2652" s="246">
        <f t="shared" si="1026"/>
        <v>0.90516958424507665</v>
      </c>
      <c r="P2652" s="121">
        <f t="shared" si="1027"/>
        <v>0</v>
      </c>
      <c r="Q2652" s="121">
        <f t="shared" si="1028"/>
        <v>8.3333333333333329E-2</v>
      </c>
      <c r="R2652" s="121">
        <f t="shared" si="1029"/>
        <v>0.91666666666666663</v>
      </c>
      <c r="S2652" s="121" t="str">
        <f t="shared" si="1030"/>
        <v/>
      </c>
      <c r="T2652" s="121" t="str">
        <f t="shared" si="1031"/>
        <v/>
      </c>
      <c r="U2652" s="121">
        <f t="shared" si="1032"/>
        <v>1</v>
      </c>
    </row>
    <row r="2653" spans="1:21" x14ac:dyDescent="0.3">
      <c r="A2653" s="187">
        <v>37</v>
      </c>
      <c r="B2653" s="242">
        <f t="shared" si="1033"/>
        <v>46753</v>
      </c>
      <c r="C2653" s="243">
        <f t="shared" si="1014"/>
        <v>46783</v>
      </c>
      <c r="D2653" s="120">
        <f t="shared" si="1015"/>
        <v>31</v>
      </c>
      <c r="E2653" s="120">
        <f t="shared" si="1016"/>
        <v>1</v>
      </c>
      <c r="F2653" s="275">
        <f t="shared" si="1017"/>
        <v>46768.5</v>
      </c>
      <c r="G2653" s="120">
        <f t="shared" si="1018"/>
        <v>24336</v>
      </c>
      <c r="H2653" s="245">
        <f t="shared" si="1019"/>
        <v>1</v>
      </c>
      <c r="I2653" s="121">
        <f t="shared" si="1020"/>
        <v>1</v>
      </c>
      <c r="J2653" s="121">
        <f t="shared" si="1021"/>
        <v>1</v>
      </c>
      <c r="K2653" s="120">
        <f t="shared" si="1022"/>
        <v>0</v>
      </c>
      <c r="L2653" s="120">
        <f t="shared" si="1023"/>
        <v>0</v>
      </c>
      <c r="M2653" s="246">
        <f t="shared" si="1024"/>
        <v>0</v>
      </c>
      <c r="N2653" s="121">
        <f t="shared" si="1025"/>
        <v>1</v>
      </c>
      <c r="O2653" s="246">
        <f t="shared" si="1026"/>
        <v>0.90500000000000003</v>
      </c>
      <c r="P2653" s="121">
        <f t="shared" si="1027"/>
        <v>0</v>
      </c>
      <c r="Q2653" s="121">
        <f t="shared" si="1028"/>
        <v>0</v>
      </c>
      <c r="R2653" s="121">
        <f t="shared" si="1029"/>
        <v>1</v>
      </c>
      <c r="S2653" s="121" t="str">
        <f t="shared" si="1030"/>
        <v/>
      </c>
      <c r="T2653" s="121" t="str">
        <f t="shared" si="1031"/>
        <v/>
      </c>
      <c r="U2653" s="121">
        <f t="shared" si="1032"/>
        <v>1</v>
      </c>
    </row>
    <row r="2654" spans="1:21" x14ac:dyDescent="0.3">
      <c r="A2654" s="187">
        <v>38</v>
      </c>
      <c r="B2654" s="242">
        <f t="shared" si="1033"/>
        <v>46784</v>
      </c>
      <c r="C2654" s="243">
        <f t="shared" si="1014"/>
        <v>46812</v>
      </c>
      <c r="D2654" s="120">
        <f t="shared" si="1015"/>
        <v>29</v>
      </c>
      <c r="E2654" s="120">
        <f t="shared" si="1016"/>
        <v>2</v>
      </c>
      <c r="F2654" s="275">
        <f t="shared" si="1017"/>
        <v>46798.5</v>
      </c>
      <c r="G2654" s="120">
        <f t="shared" si="1018"/>
        <v>24337</v>
      </c>
      <c r="H2654" s="245">
        <f t="shared" si="1019"/>
        <v>1</v>
      </c>
      <c r="I2654" s="121">
        <f t="shared" si="1020"/>
        <v>1</v>
      </c>
      <c r="J2654" s="121">
        <f t="shared" si="1021"/>
        <v>1</v>
      </c>
      <c r="K2654" s="120">
        <f t="shared" si="1022"/>
        <v>0</v>
      </c>
      <c r="L2654" s="120">
        <f t="shared" si="1023"/>
        <v>0</v>
      </c>
      <c r="M2654" s="246">
        <f t="shared" si="1024"/>
        <v>0</v>
      </c>
      <c r="N2654" s="121">
        <f t="shared" si="1025"/>
        <v>1</v>
      </c>
      <c r="O2654" s="246">
        <f t="shared" si="1026"/>
        <v>0.90500000000000003</v>
      </c>
      <c r="P2654" s="121">
        <f t="shared" si="1027"/>
        <v>0</v>
      </c>
      <c r="Q2654" s="121">
        <f t="shared" si="1028"/>
        <v>0</v>
      </c>
      <c r="R2654" s="121">
        <f t="shared" si="1029"/>
        <v>1</v>
      </c>
      <c r="S2654" s="121" t="str">
        <f t="shared" si="1030"/>
        <v/>
      </c>
      <c r="T2654" s="121" t="str">
        <f t="shared" si="1031"/>
        <v/>
      </c>
      <c r="U2654" s="121">
        <f t="shared" si="1032"/>
        <v>1</v>
      </c>
    </row>
    <row r="2655" spans="1:21" x14ac:dyDescent="0.3">
      <c r="A2655" s="187">
        <v>39</v>
      </c>
      <c r="B2655" s="242">
        <f t="shared" si="1033"/>
        <v>46813</v>
      </c>
      <c r="C2655" s="243">
        <f t="shared" si="1014"/>
        <v>46843</v>
      </c>
      <c r="D2655" s="120">
        <f t="shared" si="1015"/>
        <v>31</v>
      </c>
      <c r="E2655" s="120">
        <f t="shared" si="1016"/>
        <v>3</v>
      </c>
      <c r="F2655" s="275">
        <f t="shared" si="1017"/>
        <v>46828.5</v>
      </c>
      <c r="G2655" s="120">
        <f t="shared" si="1018"/>
        <v>24338</v>
      </c>
      <c r="H2655" s="245">
        <f t="shared" si="1019"/>
        <v>1</v>
      </c>
      <c r="I2655" s="121">
        <f t="shared" si="1020"/>
        <v>1</v>
      </c>
      <c r="J2655" s="121">
        <f t="shared" si="1021"/>
        <v>1</v>
      </c>
      <c r="K2655" s="120">
        <f t="shared" si="1022"/>
        <v>0</v>
      </c>
      <c r="L2655" s="120">
        <f t="shared" si="1023"/>
        <v>0</v>
      </c>
      <c r="M2655" s="246">
        <f t="shared" si="1024"/>
        <v>0</v>
      </c>
      <c r="N2655" s="121">
        <f t="shared" si="1025"/>
        <v>1</v>
      </c>
      <c r="O2655" s="246">
        <f t="shared" si="1026"/>
        <v>0.90500000000000003</v>
      </c>
      <c r="P2655" s="121">
        <f t="shared" si="1027"/>
        <v>0</v>
      </c>
      <c r="Q2655" s="121">
        <f t="shared" si="1028"/>
        <v>0</v>
      </c>
      <c r="R2655" s="121">
        <f t="shared" si="1029"/>
        <v>1</v>
      </c>
      <c r="S2655" s="121" t="str">
        <f t="shared" si="1030"/>
        <v/>
      </c>
      <c r="T2655" s="121" t="str">
        <f t="shared" si="1031"/>
        <v/>
      </c>
      <c r="U2655" s="121">
        <f t="shared" si="1032"/>
        <v>1</v>
      </c>
    </row>
    <row r="2656" spans="1:21" x14ac:dyDescent="0.3">
      <c r="A2656" s="187">
        <v>40</v>
      </c>
      <c r="B2656" s="242">
        <f t="shared" si="1033"/>
        <v>46844</v>
      </c>
      <c r="C2656" s="243">
        <f t="shared" si="1014"/>
        <v>46873</v>
      </c>
      <c r="D2656" s="120">
        <f t="shared" si="1015"/>
        <v>30</v>
      </c>
      <c r="E2656" s="120">
        <f t="shared" si="1016"/>
        <v>4</v>
      </c>
      <c r="F2656" s="275">
        <f t="shared" si="1017"/>
        <v>46859</v>
      </c>
      <c r="G2656" s="120">
        <f t="shared" si="1018"/>
        <v>24339</v>
      </c>
      <c r="H2656" s="245">
        <f t="shared" si="1019"/>
        <v>1</v>
      </c>
      <c r="I2656" s="121">
        <f t="shared" si="1020"/>
        <v>1</v>
      </c>
      <c r="J2656" s="121">
        <f t="shared" si="1021"/>
        <v>1</v>
      </c>
      <c r="K2656" s="120">
        <f t="shared" si="1022"/>
        <v>0</v>
      </c>
      <c r="L2656" s="120">
        <f t="shared" si="1023"/>
        <v>0</v>
      </c>
      <c r="M2656" s="246">
        <f t="shared" si="1024"/>
        <v>0</v>
      </c>
      <c r="N2656" s="121">
        <f t="shared" si="1025"/>
        <v>1</v>
      </c>
      <c r="O2656" s="246">
        <f t="shared" si="1026"/>
        <v>0.90500000000000003</v>
      </c>
      <c r="P2656" s="121">
        <f t="shared" si="1027"/>
        <v>0</v>
      </c>
      <c r="Q2656" s="121">
        <f t="shared" si="1028"/>
        <v>0</v>
      </c>
      <c r="R2656" s="121">
        <f t="shared" si="1029"/>
        <v>1</v>
      </c>
      <c r="S2656" s="121" t="str">
        <f t="shared" si="1030"/>
        <v/>
      </c>
      <c r="T2656" s="121" t="str">
        <f t="shared" si="1031"/>
        <v/>
      </c>
      <c r="U2656" s="121">
        <f t="shared" si="1032"/>
        <v>1</v>
      </c>
    </row>
    <row r="2657" spans="1:21" x14ac:dyDescent="0.3">
      <c r="A2657" s="187">
        <v>41</v>
      </c>
      <c r="B2657" s="242">
        <f t="shared" si="1033"/>
        <v>46874</v>
      </c>
      <c r="C2657" s="243">
        <f t="shared" si="1014"/>
        <v>46904</v>
      </c>
      <c r="D2657" s="120">
        <f t="shared" si="1015"/>
        <v>31</v>
      </c>
      <c r="E2657" s="120">
        <f t="shared" si="1016"/>
        <v>5</v>
      </c>
      <c r="F2657" s="275">
        <f t="shared" si="1017"/>
        <v>46889.5</v>
      </c>
      <c r="G2657" s="120">
        <f t="shared" si="1018"/>
        <v>24340</v>
      </c>
      <c r="H2657" s="245">
        <f t="shared" si="1019"/>
        <v>1</v>
      </c>
      <c r="I2657" s="121">
        <f t="shared" si="1020"/>
        <v>1</v>
      </c>
      <c r="J2657" s="121">
        <f t="shared" si="1021"/>
        <v>1</v>
      </c>
      <c r="K2657" s="120">
        <f t="shared" si="1022"/>
        <v>0</v>
      </c>
      <c r="L2657" s="120">
        <f t="shared" si="1023"/>
        <v>0</v>
      </c>
      <c r="M2657" s="246">
        <f t="shared" si="1024"/>
        <v>0</v>
      </c>
      <c r="N2657" s="121">
        <f t="shared" si="1025"/>
        <v>1</v>
      </c>
      <c r="O2657" s="246">
        <f t="shared" si="1026"/>
        <v>0.90500000000000003</v>
      </c>
      <c r="P2657" s="121">
        <f t="shared" si="1027"/>
        <v>0</v>
      </c>
      <c r="Q2657" s="121">
        <f t="shared" si="1028"/>
        <v>0</v>
      </c>
      <c r="R2657" s="121">
        <f t="shared" si="1029"/>
        <v>1</v>
      </c>
      <c r="S2657" s="121" t="str">
        <f t="shared" si="1030"/>
        <v/>
      </c>
      <c r="T2657" s="121" t="str">
        <f t="shared" si="1031"/>
        <v/>
      </c>
      <c r="U2657" s="121">
        <f t="shared" si="1032"/>
        <v>1</v>
      </c>
    </row>
    <row r="2658" spans="1:21" x14ac:dyDescent="0.3">
      <c r="A2658" s="187">
        <v>42</v>
      </c>
      <c r="B2658" s="242">
        <f t="shared" si="1033"/>
        <v>46905</v>
      </c>
      <c r="C2658" s="243">
        <f t="shared" si="1014"/>
        <v>46934</v>
      </c>
      <c r="D2658" s="120">
        <f t="shared" si="1015"/>
        <v>30</v>
      </c>
      <c r="E2658" s="120">
        <f t="shared" si="1016"/>
        <v>6</v>
      </c>
      <c r="F2658" s="275">
        <f t="shared" si="1017"/>
        <v>46920</v>
      </c>
      <c r="G2658" s="120">
        <f t="shared" si="1018"/>
        <v>24341</v>
      </c>
      <c r="H2658" s="245">
        <f t="shared" si="1019"/>
        <v>1</v>
      </c>
      <c r="I2658" s="121">
        <f t="shared" si="1020"/>
        <v>1</v>
      </c>
      <c r="J2658" s="121">
        <f t="shared" si="1021"/>
        <v>1</v>
      </c>
      <c r="K2658" s="120">
        <f t="shared" si="1022"/>
        <v>0</v>
      </c>
      <c r="L2658" s="120">
        <f t="shared" si="1023"/>
        <v>0</v>
      </c>
      <c r="M2658" s="246">
        <f t="shared" si="1024"/>
        <v>0</v>
      </c>
      <c r="N2658" s="121">
        <f t="shared" si="1025"/>
        <v>1</v>
      </c>
      <c r="O2658" s="246">
        <f t="shared" si="1026"/>
        <v>0.90500000000000003</v>
      </c>
      <c r="P2658" s="121">
        <f t="shared" si="1027"/>
        <v>0</v>
      </c>
      <c r="Q2658" s="121">
        <f t="shared" si="1028"/>
        <v>0</v>
      </c>
      <c r="R2658" s="121">
        <f t="shared" si="1029"/>
        <v>1</v>
      </c>
      <c r="S2658" s="121" t="str">
        <f t="shared" si="1030"/>
        <v/>
      </c>
      <c r="T2658" s="121" t="str">
        <f t="shared" si="1031"/>
        <v/>
      </c>
      <c r="U2658" s="121">
        <f t="shared" si="1032"/>
        <v>1</v>
      </c>
    </row>
    <row r="2659" spans="1:21" x14ac:dyDescent="0.3">
      <c r="A2659" s="187">
        <v>43</v>
      </c>
      <c r="B2659" s="242">
        <f t="shared" si="1033"/>
        <v>46935</v>
      </c>
      <c r="C2659" s="243">
        <f t="shared" si="1014"/>
        <v>46965</v>
      </c>
      <c r="D2659" s="120">
        <f t="shared" si="1015"/>
        <v>31</v>
      </c>
      <c r="E2659" s="120">
        <f t="shared" si="1016"/>
        <v>7</v>
      </c>
      <c r="F2659" s="275">
        <f t="shared" si="1017"/>
        <v>46950.5</v>
      </c>
      <c r="G2659" s="120">
        <f t="shared" si="1018"/>
        <v>24342</v>
      </c>
      <c r="H2659" s="245">
        <f t="shared" si="1019"/>
        <v>1</v>
      </c>
      <c r="I2659" s="121">
        <f t="shared" si="1020"/>
        <v>1</v>
      </c>
      <c r="J2659" s="121">
        <f t="shared" si="1021"/>
        <v>1</v>
      </c>
      <c r="K2659" s="120">
        <f t="shared" si="1022"/>
        <v>0</v>
      </c>
      <c r="L2659" s="120">
        <f t="shared" si="1023"/>
        <v>0</v>
      </c>
      <c r="M2659" s="246">
        <f t="shared" si="1024"/>
        <v>0</v>
      </c>
      <c r="N2659" s="121">
        <f t="shared" si="1025"/>
        <v>1</v>
      </c>
      <c r="O2659" s="246">
        <f t="shared" si="1026"/>
        <v>0.90500000000000003</v>
      </c>
      <c r="P2659" s="121">
        <f t="shared" si="1027"/>
        <v>0</v>
      </c>
      <c r="Q2659" s="121">
        <f t="shared" si="1028"/>
        <v>0</v>
      </c>
      <c r="R2659" s="121">
        <f t="shared" si="1029"/>
        <v>0.91666666666666663</v>
      </c>
      <c r="S2659" s="121" t="str">
        <f t="shared" si="1030"/>
        <v/>
      </c>
      <c r="T2659" s="121" t="str">
        <f t="shared" si="1031"/>
        <v/>
      </c>
      <c r="U2659" s="121">
        <f t="shared" si="1032"/>
        <v>1</v>
      </c>
    </row>
    <row r="2660" spans="1:21" x14ac:dyDescent="0.3">
      <c r="A2660" s="187">
        <v>44</v>
      </c>
      <c r="B2660" s="242">
        <f t="shared" si="1033"/>
        <v>46966</v>
      </c>
      <c r="C2660" s="243">
        <f t="shared" si="1014"/>
        <v>46996</v>
      </c>
      <c r="D2660" s="120">
        <f t="shared" si="1015"/>
        <v>31</v>
      </c>
      <c r="E2660" s="120">
        <f t="shared" si="1016"/>
        <v>8</v>
      </c>
      <c r="F2660" s="275">
        <f t="shared" si="1017"/>
        <v>46981.5</v>
      </c>
      <c r="G2660" s="120">
        <f t="shared" si="1018"/>
        <v>24343</v>
      </c>
      <c r="H2660" s="245">
        <f t="shared" si="1019"/>
        <v>1</v>
      </c>
      <c r="I2660" s="121">
        <f t="shared" si="1020"/>
        <v>1</v>
      </c>
      <c r="J2660" s="121">
        <f t="shared" si="1021"/>
        <v>1</v>
      </c>
      <c r="K2660" s="120">
        <f t="shared" si="1022"/>
        <v>0</v>
      </c>
      <c r="L2660" s="120">
        <f t="shared" si="1023"/>
        <v>0</v>
      </c>
      <c r="M2660" s="246">
        <f t="shared" si="1024"/>
        <v>0</v>
      </c>
      <c r="N2660" s="121">
        <f t="shared" si="1025"/>
        <v>1</v>
      </c>
      <c r="O2660" s="246">
        <f t="shared" si="1026"/>
        <v>0.90500000000000003</v>
      </c>
      <c r="P2660" s="121">
        <f t="shared" si="1027"/>
        <v>0</v>
      </c>
      <c r="Q2660" s="121">
        <f t="shared" si="1028"/>
        <v>0</v>
      </c>
      <c r="R2660" s="121">
        <f t="shared" si="1029"/>
        <v>0.75</v>
      </c>
      <c r="S2660" s="121" t="str">
        <f t="shared" si="1030"/>
        <v/>
      </c>
      <c r="T2660" s="121" t="str">
        <f t="shared" si="1031"/>
        <v/>
      </c>
      <c r="U2660" s="121">
        <f t="shared" si="1032"/>
        <v>1</v>
      </c>
    </row>
    <row r="2661" spans="1:21" x14ac:dyDescent="0.3">
      <c r="A2661" s="187">
        <v>45</v>
      </c>
      <c r="B2661" s="242">
        <f t="shared" si="1033"/>
        <v>46997</v>
      </c>
      <c r="C2661" s="243">
        <f t="shared" si="1014"/>
        <v>47026</v>
      </c>
      <c r="D2661" s="120">
        <f t="shared" si="1015"/>
        <v>30</v>
      </c>
      <c r="E2661" s="120">
        <f t="shared" si="1016"/>
        <v>9</v>
      </c>
      <c r="F2661" s="275">
        <f t="shared" si="1017"/>
        <v>47012</v>
      </c>
      <c r="G2661" s="120">
        <f t="shared" si="1018"/>
        <v>24344</v>
      </c>
      <c r="H2661" s="245">
        <f t="shared" si="1019"/>
        <v>1</v>
      </c>
      <c r="I2661" s="121">
        <f t="shared" si="1020"/>
        <v>1</v>
      </c>
      <c r="J2661" s="121">
        <f t="shared" si="1021"/>
        <v>1</v>
      </c>
      <c r="K2661" s="120">
        <f t="shared" si="1022"/>
        <v>0</v>
      </c>
      <c r="L2661" s="120">
        <f t="shared" si="1023"/>
        <v>0</v>
      </c>
      <c r="M2661" s="246">
        <f t="shared" si="1024"/>
        <v>0</v>
      </c>
      <c r="N2661" s="121">
        <f t="shared" si="1025"/>
        <v>1</v>
      </c>
      <c r="O2661" s="246">
        <f t="shared" si="1026"/>
        <v>0.90500000000000003</v>
      </c>
      <c r="P2661" s="121">
        <f t="shared" si="1027"/>
        <v>0</v>
      </c>
      <c r="Q2661" s="121">
        <f t="shared" si="1028"/>
        <v>0</v>
      </c>
      <c r="R2661" s="121">
        <f t="shared" si="1029"/>
        <v>0.58333333333333337</v>
      </c>
      <c r="S2661" s="121" t="str">
        <f t="shared" si="1030"/>
        <v/>
      </c>
      <c r="T2661" s="121" t="str">
        <f t="shared" si="1031"/>
        <v/>
      </c>
      <c r="U2661" s="121">
        <f t="shared" si="1032"/>
        <v>1</v>
      </c>
    </row>
    <row r="2662" spans="1:21" x14ac:dyDescent="0.3">
      <c r="A2662" s="187">
        <v>46</v>
      </c>
      <c r="B2662" s="242">
        <f t="shared" si="1033"/>
        <v>47027</v>
      </c>
      <c r="C2662" s="243">
        <f t="shared" si="1014"/>
        <v>47057</v>
      </c>
      <c r="D2662" s="120">
        <f t="shared" si="1015"/>
        <v>31</v>
      </c>
      <c r="E2662" s="120">
        <f t="shared" si="1016"/>
        <v>10</v>
      </c>
      <c r="F2662" s="275">
        <f t="shared" si="1017"/>
        <v>47042.5</v>
      </c>
      <c r="G2662" s="120">
        <f t="shared" si="1018"/>
        <v>24345</v>
      </c>
      <c r="H2662" s="245">
        <f t="shared" si="1019"/>
        <v>1</v>
      </c>
      <c r="I2662" s="121">
        <f t="shared" si="1020"/>
        <v>1</v>
      </c>
      <c r="J2662" s="121">
        <f t="shared" si="1021"/>
        <v>1</v>
      </c>
      <c r="K2662" s="120">
        <f t="shared" si="1022"/>
        <v>0</v>
      </c>
      <c r="L2662" s="120">
        <f t="shared" si="1023"/>
        <v>0</v>
      </c>
      <c r="M2662" s="246">
        <f t="shared" si="1024"/>
        <v>0</v>
      </c>
      <c r="N2662" s="121">
        <f t="shared" si="1025"/>
        <v>1</v>
      </c>
      <c r="O2662" s="246">
        <f t="shared" si="1026"/>
        <v>0.90500000000000003</v>
      </c>
      <c r="P2662" s="121">
        <f t="shared" si="1027"/>
        <v>0</v>
      </c>
      <c r="Q2662" s="121">
        <f t="shared" si="1028"/>
        <v>0</v>
      </c>
      <c r="R2662" s="121">
        <f t="shared" si="1029"/>
        <v>0.41666666666666669</v>
      </c>
      <c r="S2662" s="121" t="str">
        <f t="shared" si="1030"/>
        <v/>
      </c>
      <c r="T2662" s="121" t="str">
        <f t="shared" si="1031"/>
        <v/>
      </c>
      <c r="U2662" s="121">
        <f t="shared" si="1032"/>
        <v>1</v>
      </c>
    </row>
    <row r="2663" spans="1:21" x14ac:dyDescent="0.3">
      <c r="A2663" s="187">
        <v>47</v>
      </c>
      <c r="B2663" s="242">
        <f t="shared" si="1033"/>
        <v>47058</v>
      </c>
      <c r="C2663" s="243">
        <f t="shared" si="1014"/>
        <v>47087</v>
      </c>
      <c r="D2663" s="120">
        <f t="shared" si="1015"/>
        <v>30</v>
      </c>
      <c r="E2663" s="120">
        <f t="shared" si="1016"/>
        <v>11</v>
      </c>
      <c r="F2663" s="275">
        <f t="shared" si="1017"/>
        <v>47073</v>
      </c>
      <c r="G2663" s="120">
        <f t="shared" si="1018"/>
        <v>24346</v>
      </c>
      <c r="H2663" s="245">
        <f t="shared" si="1019"/>
        <v>1</v>
      </c>
      <c r="I2663" s="121">
        <f t="shared" si="1020"/>
        <v>1</v>
      </c>
      <c r="J2663" s="121">
        <f t="shared" si="1021"/>
        <v>1</v>
      </c>
      <c r="K2663" s="120">
        <f t="shared" si="1022"/>
        <v>0</v>
      </c>
      <c r="L2663" s="120">
        <f t="shared" si="1023"/>
        <v>0</v>
      </c>
      <c r="M2663" s="246">
        <f t="shared" si="1024"/>
        <v>0</v>
      </c>
      <c r="N2663" s="121">
        <f t="shared" si="1025"/>
        <v>1</v>
      </c>
      <c r="O2663" s="246">
        <f t="shared" si="1026"/>
        <v>0.90500000000000003</v>
      </c>
      <c r="P2663" s="121">
        <f t="shared" si="1027"/>
        <v>0</v>
      </c>
      <c r="Q2663" s="121">
        <f t="shared" si="1028"/>
        <v>0</v>
      </c>
      <c r="R2663" s="121">
        <f t="shared" si="1029"/>
        <v>0.25</v>
      </c>
      <c r="S2663" s="121" t="str">
        <f t="shared" si="1030"/>
        <v/>
      </c>
      <c r="T2663" s="121" t="str">
        <f t="shared" si="1031"/>
        <v/>
      </c>
      <c r="U2663" s="121">
        <f t="shared" si="1032"/>
        <v>1</v>
      </c>
    </row>
    <row r="2664" spans="1:21" x14ac:dyDescent="0.3">
      <c r="A2664" s="187">
        <v>48</v>
      </c>
      <c r="B2664" s="242">
        <f t="shared" si="1033"/>
        <v>47088</v>
      </c>
      <c r="C2664" s="243">
        <f t="shared" si="1014"/>
        <v>47118</v>
      </c>
      <c r="D2664" s="120">
        <f t="shared" si="1015"/>
        <v>31</v>
      </c>
      <c r="E2664" s="120">
        <f t="shared" si="1016"/>
        <v>12</v>
      </c>
      <c r="F2664" s="275">
        <f t="shared" si="1017"/>
        <v>47103.5</v>
      </c>
      <c r="G2664" s="120">
        <f t="shared" si="1018"/>
        <v>24347</v>
      </c>
      <c r="H2664" s="245">
        <f t="shared" si="1019"/>
        <v>1</v>
      </c>
      <c r="I2664" s="121">
        <f t="shared" si="1020"/>
        <v>1</v>
      </c>
      <c r="J2664" s="121">
        <f t="shared" si="1021"/>
        <v>1</v>
      </c>
      <c r="K2664" s="120">
        <f t="shared" si="1022"/>
        <v>0</v>
      </c>
      <c r="L2664" s="120">
        <f t="shared" si="1023"/>
        <v>0</v>
      </c>
      <c r="M2664" s="246">
        <f t="shared" si="1024"/>
        <v>0</v>
      </c>
      <c r="N2664" s="121">
        <f t="shared" si="1025"/>
        <v>1</v>
      </c>
      <c r="O2664" s="246">
        <f t="shared" si="1026"/>
        <v>0.90500000000000003</v>
      </c>
      <c r="P2664" s="121">
        <f t="shared" si="1027"/>
        <v>0</v>
      </c>
      <c r="Q2664" s="121">
        <f t="shared" si="1028"/>
        <v>0</v>
      </c>
      <c r="R2664" s="121">
        <f t="shared" si="1029"/>
        <v>8.3333333333333329E-2</v>
      </c>
      <c r="S2664" s="121" t="str">
        <f t="shared" si="1030"/>
        <v/>
      </c>
      <c r="T2664" s="121" t="str">
        <f t="shared" si="1031"/>
        <v/>
      </c>
      <c r="U2664" s="121">
        <f t="shared" si="1032"/>
        <v>1</v>
      </c>
    </row>
    <row r="2665" spans="1:21" x14ac:dyDescent="0.3">
      <c r="A2665" s="6" t="s">
        <v>1651</v>
      </c>
      <c r="B2665" s="73">
        <f>EXP(SUMPRODUCT((rl_key=$A$2614)*(rl_cons="Y")*rl_ln1p))</f>
        <v>1</v>
      </c>
      <c r="C2665" s="73">
        <f>SUMPRODUCT($H$2617:$H$2664,$P$2617:$P$2664,$U$2617:$U$2664)/SUMPRODUCT($H$2617:$H$2664,$P$2617:$P$2664)</f>
        <v>1</v>
      </c>
      <c r="D2665" s="73">
        <f>SUMPRODUCT($H$2617:$H$2664,$Q$2617:$Q$2664,$U$2617:$U$2664)/SUMPRODUCT($H$2617:$H$2664,$Q$2617:$Q$2664)</f>
        <v>1</v>
      </c>
      <c r="E2665" s="73">
        <f>SUMPRODUCT($H$2617:$H$2664,$R$2617:$R$2664,$U$2617:$U$2664)/SUMPRODUCT($H$2617:$H$2664,$R$2617:$R$2664)</f>
        <v>1</v>
      </c>
      <c r="F2665" s="224">
        <f>SUMPRODUCT($H$2617:$H$2664,$Q$2617:$Q$2664,$O$2617:$O$2664)/SUMPRODUCT($H$2617:$H$2664,$Q$2617:$Q$2664)</f>
        <v>0.9080037381473377</v>
      </c>
      <c r="G2665" s="224">
        <f>SUMPRODUCT($H$2617:$H$2664,$R$2617:$R$2664,$O$2617:$O$2664)/SUMPRODUCT($H$2617:$H$2664,$R$2617:$R$2664)</f>
        <v>0.90516988815949428</v>
      </c>
      <c r="H2665" s="73">
        <f>SUMPRODUCT($H$2641:$H$2652,$N$2641:$N$2652/$N$2629:$N$2640)/SUM($H$2641:$H$2652)</f>
        <v>1</v>
      </c>
      <c r="I2665" s="73">
        <f>SUMPRODUCT($H$2641:$H$2652,$O$2641:$O$2652/$O$2629:$O$2640)/SUM($H$2641:$H$2652)</f>
        <v>0.99561641381999111</v>
      </c>
      <c r="J2665" s="73">
        <f>IF($O$2614=1,SUMPRODUCT($H$2641:$H$2652,$N$2641:$N$2652/$N$2629:$N$2640*$O$2641:$O$2652/$O$2629:$O$2640)/SUM($H$2641:$H$2652),$H2665)</f>
        <v>0.99561641381999111</v>
      </c>
      <c r="K2665" s="73">
        <f>SUMPRODUCT($H$2617:$H$2664,$Q$2617:$Q$2664,$N$2617:$N$2664)/SUMPRODUCT($H$2617:$H$2664,$Q$2617:$Q$2664)</f>
        <v>1</v>
      </c>
      <c r="L2665" s="73">
        <f>SUMPRODUCT($H$2617:$H$2664,$R$2617:$R$2664,$N$2617:$N$2664)/SUMPRODUCT($H$2617:$H$2664,$R$2617:$R$2664)</f>
        <v>1</v>
      </c>
    </row>
    <row r="2668" spans="1:21" x14ac:dyDescent="0.3">
      <c r="A2668" s="6" t="str">
        <f>INDEX(lr_key,49)</f>
        <v>SBA|IL</v>
      </c>
      <c r="B2668" s="6" t="str">
        <f>INDEX(lr_state,49)</f>
        <v>IL</v>
      </c>
      <c r="C2668" s="75">
        <f>nr_TermMonths</f>
        <v>6</v>
      </c>
      <c r="D2668" s="75">
        <f>IF(COUNTIF(se_state,$B2668)=0,0,MATCH($B2668,se_state,0))</f>
        <v>1</v>
      </c>
      <c r="E2668" s="70">
        <f>IF($D2668=0,0,INDEX(se_sum,$D2668))</f>
        <v>11.999999999999998</v>
      </c>
      <c r="F2668" s="224">
        <f>IF(N(INDEX(lr_mind,49))=0,1,INDEX(lr_mind,49))</f>
        <v>0.92</v>
      </c>
      <c r="G2668" s="224">
        <f>IF(N(INDEX(lr_m0,49))=0,1,INDEX(lr_m0,49))</f>
        <v>0.91</v>
      </c>
      <c r="H2668" s="74">
        <f>IF(N(INDEX(lr_m0asof,49))=0,DATE(nr_PlanYear-1,10,1),INDEX(lr_m0asof,49))</f>
        <v>46295</v>
      </c>
      <c r="I2668" s="224">
        <f>IF(N(INDEX(lr_m1,49))=0,1,INDEX(lr_m1,49))</f>
        <v>0.92</v>
      </c>
      <c r="J2668" s="224">
        <f>INDEX(lr_mprior,49)</f>
        <v>0</v>
      </c>
      <c r="K2668" s="224">
        <f>INDEX(lr_m2,49)</f>
        <v>0</v>
      </c>
      <c r="L2668" s="6" t="b">
        <f>NOT(ISBLANK(INDEX(lr_netp,49)))</f>
        <v>0</v>
      </c>
      <c r="M2668" s="72">
        <f>N(INDEX(lr_netp,49))</f>
        <v>0</v>
      </c>
      <c r="N2668" s="72">
        <f>IF(ISBLANK(INDEX(lr_netp1,49)),$M$2668,N(INDEX(lr_netp1,49)))</f>
        <v>0</v>
      </c>
      <c r="O2668" s="75">
        <f>IF(AND(nr_ModAdjMaster="ON",INDEX(lr_modadj,49)="ON"),1,0)</f>
        <v>1</v>
      </c>
    </row>
    <row r="2669" spans="1:21" x14ac:dyDescent="0.3">
      <c r="A2669" s="6">
        <f>EDATE($H$2668,-12)+1</f>
        <v>45931</v>
      </c>
      <c r="B2669" s="6">
        <f>$H$2668+1</f>
        <v>46296</v>
      </c>
      <c r="C2669" s="6">
        <f>DATE(nr_PlanYear,12,31)+1</f>
        <v>46753</v>
      </c>
      <c r="D2669" s="6">
        <f>DATE(nr_PlanYear+1,12,31)+1</f>
        <v>47119</v>
      </c>
      <c r="E2669" s="6">
        <f>IF(N($J$2668)=0,$F$2669-($G$2669-$F$2669)/($C$2669-$B$2669)*($B$2669-$A$2669),$J$2668)</f>
        <v>0.9020131291028447</v>
      </c>
      <c r="F2669" s="6">
        <f>$G$2668</f>
        <v>0.91</v>
      </c>
      <c r="G2669" s="6">
        <f>$I$2668</f>
        <v>0.92</v>
      </c>
      <c r="H2669" s="6">
        <f>IF(N($K$2668)=0,$I$2668,$K$2668)</f>
        <v>0.92</v>
      </c>
      <c r="I2669" s="6">
        <f>($F$2669-$E$2669)/($B$2669-$A$2669)</f>
        <v>2.1881838074398162E-5</v>
      </c>
      <c r="J2669" s="6">
        <f>($G$2669-$F$2669)/($C$2669-$B$2669)</f>
        <v>2.188183807439827E-5</v>
      </c>
      <c r="K2669" s="6">
        <f>($H$2669-$G$2669)/($D$2669-$C$2669)</f>
        <v>0</v>
      </c>
    </row>
    <row r="2670" spans="1:21" ht="36" x14ac:dyDescent="0.3">
      <c r="A2670" s="58" t="s">
        <v>390</v>
      </c>
      <c r="B2670" s="58" t="s">
        <v>449</v>
      </c>
      <c r="C2670" s="58" t="s">
        <v>685</v>
      </c>
      <c r="D2670" s="58" t="s">
        <v>686</v>
      </c>
      <c r="E2670" s="58" t="s">
        <v>687</v>
      </c>
      <c r="F2670" s="58" t="s">
        <v>688</v>
      </c>
      <c r="G2670" s="58" t="s">
        <v>689</v>
      </c>
      <c r="H2670" s="58" t="s">
        <v>452</v>
      </c>
      <c r="I2670" s="58" t="s">
        <v>690</v>
      </c>
      <c r="J2670" s="58" t="s">
        <v>691</v>
      </c>
      <c r="K2670" s="58" t="s">
        <v>692</v>
      </c>
      <c r="L2670" s="58" t="s">
        <v>693</v>
      </c>
      <c r="M2670" s="58" t="s">
        <v>694</v>
      </c>
      <c r="N2670" s="58" t="s">
        <v>695</v>
      </c>
      <c r="O2670" s="58" t="s">
        <v>696</v>
      </c>
      <c r="P2670" s="58" t="s">
        <v>697</v>
      </c>
      <c r="Q2670" s="58" t="s">
        <v>698</v>
      </c>
      <c r="R2670" s="58" t="s">
        <v>699</v>
      </c>
      <c r="S2670" s="58" t="s">
        <v>700</v>
      </c>
      <c r="T2670" s="58" t="s">
        <v>701</v>
      </c>
      <c r="U2670" s="58" t="s">
        <v>702</v>
      </c>
    </row>
    <row r="2671" spans="1:21" x14ac:dyDescent="0.3">
      <c r="A2671" s="187">
        <v>1</v>
      </c>
      <c r="B2671" s="242">
        <f>DATE(nr_PlanYear-2,1,1)</f>
        <v>45658</v>
      </c>
      <c r="C2671" s="243">
        <f t="shared" ref="C2671:C2718" si="1034">EOMONTH($B2671,0)</f>
        <v>45688</v>
      </c>
      <c r="D2671" s="120">
        <f t="shared" ref="D2671:D2718" si="1035">$C2671-$B2671+1</f>
        <v>31</v>
      </c>
      <c r="E2671" s="120">
        <f t="shared" ref="E2671:E2718" si="1036">MONTH($B2671)</f>
        <v>1</v>
      </c>
      <c r="F2671" s="275">
        <f t="shared" ref="F2671:F2718" si="1037">($B2671+$C2671+1)/2</f>
        <v>45673.5</v>
      </c>
      <c r="G2671" s="120">
        <f t="shared" ref="G2671:G2718" si="1038">YEAR($B2671)*12+MONTH($B2671)-1</f>
        <v>24300</v>
      </c>
      <c r="H2671" s="245">
        <f t="shared" ref="H2671:H2718" si="1039">IF(OR(nr_SeasonOn="OFF",$D$2668=0,$E$2668=0),1,12*INDEX(se_block,$D$2668,$E2671)/$E$2668)</f>
        <v>1</v>
      </c>
      <c r="I2671" s="121">
        <f t="shared" ref="I2671:I2718" si="1040">EXP(SUMPRODUCT((rl_eff&lt;$B2671)*(rl_key=$A$2668)*rl_ln1p))</f>
        <v>1</v>
      </c>
      <c r="J2671" s="121">
        <f t="shared" ref="J2671:J2718" si="1041">EXP(SUMPRODUCT((rl_eff&lt;=$C2671)*(rl_key=$A$2668)*rl_ln1p))</f>
        <v>1</v>
      </c>
      <c r="K2671" s="120">
        <f t="shared" ref="K2671:K2718" si="1042">COUNTIFS(rl_key,$A$2668,rl_eff,"&gt;="&amp;$B2671,rl_eff,"&lt;="&amp;$C2671)</f>
        <v>0</v>
      </c>
      <c r="L2671" s="120">
        <f t="shared" ref="L2671:L2718" si="1043">SUMIFS(rl_daysafter,rl_key,$A$2668,rl_effmonth,$B2671,rl_first,1)</f>
        <v>0</v>
      </c>
      <c r="M2671" s="246">
        <f t="shared" ref="M2671:M2718" si="1044">IF($K2671=0,0,MIN(1,$L2671/$D2671))</f>
        <v>0</v>
      </c>
      <c r="N2671" s="121">
        <f t="shared" ref="N2671:N2718" si="1045">IF($K2671=0,$J2671,(1-$M2671)*$I2671+$M2671*$J2671)</f>
        <v>1</v>
      </c>
      <c r="O2671" s="246">
        <f t="shared" ref="O2671:O2718" si="1046">IF($F2671&lt;$B$2669,$E$2669+$I$2669*($F2671-$A$2669),IF($F2671&lt;$C$2669,$F$2669+$J$2669*($F2671-$B$2669),$G$2669+$K$2669*($F2671-$C$2669)))</f>
        <v>0.89637855579868719</v>
      </c>
      <c r="P2671" s="121">
        <f t="shared" ref="P2671:P2718" si="1047">MIN(1,MAX(0,(nr_MEndPm1-$G2671+0.5)/$C$2668))-MIN(1,MAX(0,(nr_MStartPm1-1-$G2671+0.5)/$C$2668))</f>
        <v>0</v>
      </c>
      <c r="Q2671" s="121">
        <f t="shared" ref="Q2671:Q2718" si="1048">MIN(1,MAX(0,(nr_MEndP-$G2671+0.5)/$C$2668))-MIN(1,MAX(0,(nr_MStartP-1-$G2671+0.5)/$C$2668))</f>
        <v>0</v>
      </c>
      <c r="R2671" s="121">
        <f t="shared" ref="R2671:R2718" si="1049">MIN(1,MAX(0,(nr_MEndP1-$G2671+0.5)/$C$2668))-MIN(1,MAX(0,(nr_MStartP1-1-$G2671+0.5)/$C$2668))</f>
        <v>0</v>
      </c>
      <c r="S2671" s="121" t="str">
        <f t="shared" ref="S2671:S2718" si="1050">IF($L$2668,$N2671*IF($O$2668=1,$O2671/$F$2668,1),"")</f>
        <v/>
      </c>
      <c r="T2671" s="121" t="str">
        <f t="shared" ref="T2671:T2718" si="1051">IF(NOT($L$2668),"",IF($G2671&lt;nr_MStartP,$S2671,$T2659*(1+IF($G2671&lt;nr_MStartP1,$M$2668,$N$2668))))</f>
        <v/>
      </c>
      <c r="U2671" s="121">
        <f t="shared" ref="U2671:U2718" si="1052">IF($L$2668,$T2671,$N2671)</f>
        <v>1</v>
      </c>
    </row>
    <row r="2672" spans="1:21" x14ac:dyDescent="0.3">
      <c r="A2672" s="187">
        <v>2</v>
      </c>
      <c r="B2672" s="242">
        <f t="shared" ref="B2672:B2718" si="1053">EDATE($B2671,1)</f>
        <v>45689</v>
      </c>
      <c r="C2672" s="243">
        <f t="shared" si="1034"/>
        <v>45716</v>
      </c>
      <c r="D2672" s="120">
        <f t="shared" si="1035"/>
        <v>28</v>
      </c>
      <c r="E2672" s="120">
        <f t="shared" si="1036"/>
        <v>2</v>
      </c>
      <c r="F2672" s="275">
        <f t="shared" si="1037"/>
        <v>45703</v>
      </c>
      <c r="G2672" s="120">
        <f t="shared" si="1038"/>
        <v>24301</v>
      </c>
      <c r="H2672" s="245">
        <f t="shared" si="1039"/>
        <v>1</v>
      </c>
      <c r="I2672" s="121">
        <f t="shared" si="1040"/>
        <v>1</v>
      </c>
      <c r="J2672" s="121">
        <f t="shared" si="1041"/>
        <v>1</v>
      </c>
      <c r="K2672" s="120">
        <f t="shared" si="1042"/>
        <v>0</v>
      </c>
      <c r="L2672" s="120">
        <f t="shared" si="1043"/>
        <v>0</v>
      </c>
      <c r="M2672" s="246">
        <f t="shared" si="1044"/>
        <v>0</v>
      </c>
      <c r="N2672" s="121">
        <f t="shared" si="1045"/>
        <v>1</v>
      </c>
      <c r="O2672" s="246">
        <f t="shared" si="1046"/>
        <v>0.89702407002188189</v>
      </c>
      <c r="P2672" s="121">
        <f t="shared" si="1047"/>
        <v>0</v>
      </c>
      <c r="Q2672" s="121">
        <f t="shared" si="1048"/>
        <v>0</v>
      </c>
      <c r="R2672" s="121">
        <f t="shared" si="1049"/>
        <v>0</v>
      </c>
      <c r="S2672" s="121" t="str">
        <f t="shared" si="1050"/>
        <v/>
      </c>
      <c r="T2672" s="121" t="str">
        <f t="shared" si="1051"/>
        <v/>
      </c>
      <c r="U2672" s="121">
        <f t="shared" si="1052"/>
        <v>1</v>
      </c>
    </row>
    <row r="2673" spans="1:21" x14ac:dyDescent="0.3">
      <c r="A2673" s="187">
        <v>3</v>
      </c>
      <c r="B2673" s="242">
        <f t="shared" si="1053"/>
        <v>45717</v>
      </c>
      <c r="C2673" s="243">
        <f t="shared" si="1034"/>
        <v>45747</v>
      </c>
      <c r="D2673" s="120">
        <f t="shared" si="1035"/>
        <v>31</v>
      </c>
      <c r="E2673" s="120">
        <f t="shared" si="1036"/>
        <v>3</v>
      </c>
      <c r="F2673" s="275">
        <f t="shared" si="1037"/>
        <v>45732.5</v>
      </c>
      <c r="G2673" s="120">
        <f t="shared" si="1038"/>
        <v>24302</v>
      </c>
      <c r="H2673" s="245">
        <f t="shared" si="1039"/>
        <v>1</v>
      </c>
      <c r="I2673" s="121">
        <f t="shared" si="1040"/>
        <v>1</v>
      </c>
      <c r="J2673" s="121">
        <f t="shared" si="1041"/>
        <v>1</v>
      </c>
      <c r="K2673" s="120">
        <f t="shared" si="1042"/>
        <v>0</v>
      </c>
      <c r="L2673" s="120">
        <f t="shared" si="1043"/>
        <v>0</v>
      </c>
      <c r="M2673" s="246">
        <f t="shared" si="1044"/>
        <v>0</v>
      </c>
      <c r="N2673" s="121">
        <f t="shared" si="1045"/>
        <v>1</v>
      </c>
      <c r="O2673" s="246">
        <f t="shared" si="1046"/>
        <v>0.8976695842450767</v>
      </c>
      <c r="P2673" s="121">
        <f t="shared" si="1047"/>
        <v>0</v>
      </c>
      <c r="Q2673" s="121">
        <f t="shared" si="1048"/>
        <v>0</v>
      </c>
      <c r="R2673" s="121">
        <f t="shared" si="1049"/>
        <v>0</v>
      </c>
      <c r="S2673" s="121" t="str">
        <f t="shared" si="1050"/>
        <v/>
      </c>
      <c r="T2673" s="121" t="str">
        <f t="shared" si="1051"/>
        <v/>
      </c>
      <c r="U2673" s="121">
        <f t="shared" si="1052"/>
        <v>1</v>
      </c>
    </row>
    <row r="2674" spans="1:21" x14ac:dyDescent="0.3">
      <c r="A2674" s="187">
        <v>4</v>
      </c>
      <c r="B2674" s="242">
        <f t="shared" si="1053"/>
        <v>45748</v>
      </c>
      <c r="C2674" s="243">
        <f t="shared" si="1034"/>
        <v>45777</v>
      </c>
      <c r="D2674" s="120">
        <f t="shared" si="1035"/>
        <v>30</v>
      </c>
      <c r="E2674" s="120">
        <f t="shared" si="1036"/>
        <v>4</v>
      </c>
      <c r="F2674" s="275">
        <f t="shared" si="1037"/>
        <v>45763</v>
      </c>
      <c r="G2674" s="120">
        <f t="shared" si="1038"/>
        <v>24303</v>
      </c>
      <c r="H2674" s="245">
        <f t="shared" si="1039"/>
        <v>1</v>
      </c>
      <c r="I2674" s="121">
        <f t="shared" si="1040"/>
        <v>1</v>
      </c>
      <c r="J2674" s="121">
        <f t="shared" si="1041"/>
        <v>1</v>
      </c>
      <c r="K2674" s="120">
        <f t="shared" si="1042"/>
        <v>0</v>
      </c>
      <c r="L2674" s="120">
        <f t="shared" si="1043"/>
        <v>0</v>
      </c>
      <c r="M2674" s="246">
        <f t="shared" si="1044"/>
        <v>0</v>
      </c>
      <c r="N2674" s="121">
        <f t="shared" si="1045"/>
        <v>1</v>
      </c>
      <c r="O2674" s="246">
        <f t="shared" si="1046"/>
        <v>0.89833698030634579</v>
      </c>
      <c r="P2674" s="121">
        <f t="shared" si="1047"/>
        <v>0</v>
      </c>
      <c r="Q2674" s="121">
        <f t="shared" si="1048"/>
        <v>0</v>
      </c>
      <c r="R2674" s="121">
        <f t="shared" si="1049"/>
        <v>0</v>
      </c>
      <c r="S2674" s="121" t="str">
        <f t="shared" si="1050"/>
        <v/>
      </c>
      <c r="T2674" s="121" t="str">
        <f t="shared" si="1051"/>
        <v/>
      </c>
      <c r="U2674" s="121">
        <f t="shared" si="1052"/>
        <v>1</v>
      </c>
    </row>
    <row r="2675" spans="1:21" x14ac:dyDescent="0.3">
      <c r="A2675" s="187">
        <v>5</v>
      </c>
      <c r="B2675" s="242">
        <f t="shared" si="1053"/>
        <v>45778</v>
      </c>
      <c r="C2675" s="243">
        <f t="shared" si="1034"/>
        <v>45808</v>
      </c>
      <c r="D2675" s="120">
        <f t="shared" si="1035"/>
        <v>31</v>
      </c>
      <c r="E2675" s="120">
        <f t="shared" si="1036"/>
        <v>5</v>
      </c>
      <c r="F2675" s="275">
        <f t="shared" si="1037"/>
        <v>45793.5</v>
      </c>
      <c r="G2675" s="120">
        <f t="shared" si="1038"/>
        <v>24304</v>
      </c>
      <c r="H2675" s="245">
        <f t="shared" si="1039"/>
        <v>1</v>
      </c>
      <c r="I2675" s="121">
        <f t="shared" si="1040"/>
        <v>1</v>
      </c>
      <c r="J2675" s="121">
        <f t="shared" si="1041"/>
        <v>1</v>
      </c>
      <c r="K2675" s="120">
        <f t="shared" si="1042"/>
        <v>0</v>
      </c>
      <c r="L2675" s="120">
        <f t="shared" si="1043"/>
        <v>0</v>
      </c>
      <c r="M2675" s="246">
        <f t="shared" si="1044"/>
        <v>0</v>
      </c>
      <c r="N2675" s="121">
        <f t="shared" si="1045"/>
        <v>1</v>
      </c>
      <c r="O2675" s="246">
        <f t="shared" si="1046"/>
        <v>0.89900437636761499</v>
      </c>
      <c r="P2675" s="121">
        <f t="shared" si="1047"/>
        <v>0</v>
      </c>
      <c r="Q2675" s="121">
        <f t="shared" si="1048"/>
        <v>0</v>
      </c>
      <c r="R2675" s="121">
        <f t="shared" si="1049"/>
        <v>0</v>
      </c>
      <c r="S2675" s="121" t="str">
        <f t="shared" si="1050"/>
        <v/>
      </c>
      <c r="T2675" s="121" t="str">
        <f t="shared" si="1051"/>
        <v/>
      </c>
      <c r="U2675" s="121">
        <f t="shared" si="1052"/>
        <v>1</v>
      </c>
    </row>
    <row r="2676" spans="1:21" x14ac:dyDescent="0.3">
      <c r="A2676" s="187">
        <v>6</v>
      </c>
      <c r="B2676" s="242">
        <f t="shared" si="1053"/>
        <v>45809</v>
      </c>
      <c r="C2676" s="243">
        <f t="shared" si="1034"/>
        <v>45838</v>
      </c>
      <c r="D2676" s="120">
        <f t="shared" si="1035"/>
        <v>30</v>
      </c>
      <c r="E2676" s="120">
        <f t="shared" si="1036"/>
        <v>6</v>
      </c>
      <c r="F2676" s="275">
        <f t="shared" si="1037"/>
        <v>45824</v>
      </c>
      <c r="G2676" s="120">
        <f t="shared" si="1038"/>
        <v>24305</v>
      </c>
      <c r="H2676" s="245">
        <f t="shared" si="1039"/>
        <v>1</v>
      </c>
      <c r="I2676" s="121">
        <f t="shared" si="1040"/>
        <v>1</v>
      </c>
      <c r="J2676" s="121">
        <f t="shared" si="1041"/>
        <v>1</v>
      </c>
      <c r="K2676" s="120">
        <f t="shared" si="1042"/>
        <v>0</v>
      </c>
      <c r="L2676" s="120">
        <f t="shared" si="1043"/>
        <v>0</v>
      </c>
      <c r="M2676" s="246">
        <f t="shared" si="1044"/>
        <v>0</v>
      </c>
      <c r="N2676" s="121">
        <f t="shared" si="1045"/>
        <v>1</v>
      </c>
      <c r="O2676" s="246">
        <f t="shared" si="1046"/>
        <v>0.89967177242888408</v>
      </c>
      <c r="P2676" s="121">
        <f t="shared" si="1047"/>
        <v>0</v>
      </c>
      <c r="Q2676" s="121">
        <f t="shared" si="1048"/>
        <v>0</v>
      </c>
      <c r="R2676" s="121">
        <f t="shared" si="1049"/>
        <v>0</v>
      </c>
      <c r="S2676" s="121" t="str">
        <f t="shared" si="1050"/>
        <v/>
      </c>
      <c r="T2676" s="121" t="str">
        <f t="shared" si="1051"/>
        <v/>
      </c>
      <c r="U2676" s="121">
        <f t="shared" si="1052"/>
        <v>1</v>
      </c>
    </row>
    <row r="2677" spans="1:21" x14ac:dyDescent="0.3">
      <c r="A2677" s="187">
        <v>7</v>
      </c>
      <c r="B2677" s="242">
        <f t="shared" si="1053"/>
        <v>45839</v>
      </c>
      <c r="C2677" s="243">
        <f t="shared" si="1034"/>
        <v>45869</v>
      </c>
      <c r="D2677" s="120">
        <f t="shared" si="1035"/>
        <v>31</v>
      </c>
      <c r="E2677" s="120">
        <f t="shared" si="1036"/>
        <v>7</v>
      </c>
      <c r="F2677" s="275">
        <f t="shared" si="1037"/>
        <v>45854.5</v>
      </c>
      <c r="G2677" s="120">
        <f t="shared" si="1038"/>
        <v>24306</v>
      </c>
      <c r="H2677" s="245">
        <f t="shared" si="1039"/>
        <v>1</v>
      </c>
      <c r="I2677" s="121">
        <f t="shared" si="1040"/>
        <v>1</v>
      </c>
      <c r="J2677" s="121">
        <f t="shared" si="1041"/>
        <v>1</v>
      </c>
      <c r="K2677" s="120">
        <f t="shared" si="1042"/>
        <v>0</v>
      </c>
      <c r="L2677" s="120">
        <f t="shared" si="1043"/>
        <v>0</v>
      </c>
      <c r="M2677" s="246">
        <f t="shared" si="1044"/>
        <v>0</v>
      </c>
      <c r="N2677" s="121">
        <f t="shared" si="1045"/>
        <v>1</v>
      </c>
      <c r="O2677" s="246">
        <f t="shared" si="1046"/>
        <v>0.90033916849015327</v>
      </c>
      <c r="P2677" s="121">
        <f t="shared" si="1047"/>
        <v>8.333333333333337E-2</v>
      </c>
      <c r="Q2677" s="121">
        <f t="shared" si="1048"/>
        <v>0</v>
      </c>
      <c r="R2677" s="121">
        <f t="shared" si="1049"/>
        <v>0</v>
      </c>
      <c r="S2677" s="121" t="str">
        <f t="shared" si="1050"/>
        <v/>
      </c>
      <c r="T2677" s="121" t="str">
        <f t="shared" si="1051"/>
        <v/>
      </c>
      <c r="U2677" s="121">
        <f t="shared" si="1052"/>
        <v>1</v>
      </c>
    </row>
    <row r="2678" spans="1:21" x14ac:dyDescent="0.3">
      <c r="A2678" s="187">
        <v>8</v>
      </c>
      <c r="B2678" s="242">
        <f t="shared" si="1053"/>
        <v>45870</v>
      </c>
      <c r="C2678" s="243">
        <f t="shared" si="1034"/>
        <v>45900</v>
      </c>
      <c r="D2678" s="120">
        <f t="shared" si="1035"/>
        <v>31</v>
      </c>
      <c r="E2678" s="120">
        <f t="shared" si="1036"/>
        <v>8</v>
      </c>
      <c r="F2678" s="275">
        <f t="shared" si="1037"/>
        <v>45885.5</v>
      </c>
      <c r="G2678" s="120">
        <f t="shared" si="1038"/>
        <v>24307</v>
      </c>
      <c r="H2678" s="245">
        <f t="shared" si="1039"/>
        <v>1</v>
      </c>
      <c r="I2678" s="121">
        <f t="shared" si="1040"/>
        <v>1</v>
      </c>
      <c r="J2678" s="121">
        <f t="shared" si="1041"/>
        <v>1</v>
      </c>
      <c r="K2678" s="120">
        <f t="shared" si="1042"/>
        <v>0</v>
      </c>
      <c r="L2678" s="120">
        <f t="shared" si="1043"/>
        <v>0</v>
      </c>
      <c r="M2678" s="246">
        <f t="shared" si="1044"/>
        <v>0</v>
      </c>
      <c r="N2678" s="121">
        <f t="shared" si="1045"/>
        <v>1</v>
      </c>
      <c r="O2678" s="246">
        <f t="shared" si="1046"/>
        <v>0.90101750547045956</v>
      </c>
      <c r="P2678" s="121">
        <f t="shared" si="1047"/>
        <v>0.25</v>
      </c>
      <c r="Q2678" s="121">
        <f t="shared" si="1048"/>
        <v>0</v>
      </c>
      <c r="R2678" s="121">
        <f t="shared" si="1049"/>
        <v>0</v>
      </c>
      <c r="S2678" s="121" t="str">
        <f t="shared" si="1050"/>
        <v/>
      </c>
      <c r="T2678" s="121" t="str">
        <f t="shared" si="1051"/>
        <v/>
      </c>
      <c r="U2678" s="121">
        <f t="shared" si="1052"/>
        <v>1</v>
      </c>
    </row>
    <row r="2679" spans="1:21" x14ac:dyDescent="0.3">
      <c r="A2679" s="187">
        <v>9</v>
      </c>
      <c r="B2679" s="242">
        <f t="shared" si="1053"/>
        <v>45901</v>
      </c>
      <c r="C2679" s="243">
        <f t="shared" si="1034"/>
        <v>45930</v>
      </c>
      <c r="D2679" s="120">
        <f t="shared" si="1035"/>
        <v>30</v>
      </c>
      <c r="E2679" s="120">
        <f t="shared" si="1036"/>
        <v>9</v>
      </c>
      <c r="F2679" s="275">
        <f t="shared" si="1037"/>
        <v>45916</v>
      </c>
      <c r="G2679" s="120">
        <f t="shared" si="1038"/>
        <v>24308</v>
      </c>
      <c r="H2679" s="245">
        <f t="shared" si="1039"/>
        <v>1</v>
      </c>
      <c r="I2679" s="121">
        <f t="shared" si="1040"/>
        <v>1</v>
      </c>
      <c r="J2679" s="121">
        <f t="shared" si="1041"/>
        <v>1</v>
      </c>
      <c r="K2679" s="120">
        <f t="shared" si="1042"/>
        <v>0</v>
      </c>
      <c r="L2679" s="120">
        <f t="shared" si="1043"/>
        <v>0</v>
      </c>
      <c r="M2679" s="246">
        <f t="shared" si="1044"/>
        <v>0</v>
      </c>
      <c r="N2679" s="121">
        <f t="shared" si="1045"/>
        <v>1</v>
      </c>
      <c r="O2679" s="246">
        <f t="shared" si="1046"/>
        <v>0.90168490153172876</v>
      </c>
      <c r="P2679" s="121">
        <f t="shared" si="1047"/>
        <v>0.41666666666666663</v>
      </c>
      <c r="Q2679" s="121">
        <f t="shared" si="1048"/>
        <v>0</v>
      </c>
      <c r="R2679" s="121">
        <f t="shared" si="1049"/>
        <v>0</v>
      </c>
      <c r="S2679" s="121" t="str">
        <f t="shared" si="1050"/>
        <v/>
      </c>
      <c r="T2679" s="121" t="str">
        <f t="shared" si="1051"/>
        <v/>
      </c>
      <c r="U2679" s="121">
        <f t="shared" si="1052"/>
        <v>1</v>
      </c>
    </row>
    <row r="2680" spans="1:21" x14ac:dyDescent="0.3">
      <c r="A2680" s="187">
        <v>10</v>
      </c>
      <c r="B2680" s="242">
        <f t="shared" si="1053"/>
        <v>45931</v>
      </c>
      <c r="C2680" s="243">
        <f t="shared" si="1034"/>
        <v>45961</v>
      </c>
      <c r="D2680" s="120">
        <f t="shared" si="1035"/>
        <v>31</v>
      </c>
      <c r="E2680" s="120">
        <f t="shared" si="1036"/>
        <v>10</v>
      </c>
      <c r="F2680" s="275">
        <f t="shared" si="1037"/>
        <v>45946.5</v>
      </c>
      <c r="G2680" s="120">
        <f t="shared" si="1038"/>
        <v>24309</v>
      </c>
      <c r="H2680" s="245">
        <f t="shared" si="1039"/>
        <v>1</v>
      </c>
      <c r="I2680" s="121">
        <f t="shared" si="1040"/>
        <v>1</v>
      </c>
      <c r="J2680" s="121">
        <f t="shared" si="1041"/>
        <v>1</v>
      </c>
      <c r="K2680" s="120">
        <f t="shared" si="1042"/>
        <v>0</v>
      </c>
      <c r="L2680" s="120">
        <f t="shared" si="1043"/>
        <v>0</v>
      </c>
      <c r="M2680" s="246">
        <f t="shared" si="1044"/>
        <v>0</v>
      </c>
      <c r="N2680" s="121">
        <f t="shared" si="1045"/>
        <v>1</v>
      </c>
      <c r="O2680" s="246">
        <f t="shared" si="1046"/>
        <v>0.90235229759299784</v>
      </c>
      <c r="P2680" s="121">
        <f t="shared" si="1047"/>
        <v>0.58333333333333326</v>
      </c>
      <c r="Q2680" s="121">
        <f t="shared" si="1048"/>
        <v>0</v>
      </c>
      <c r="R2680" s="121">
        <f t="shared" si="1049"/>
        <v>0</v>
      </c>
      <c r="S2680" s="121" t="str">
        <f t="shared" si="1050"/>
        <v/>
      </c>
      <c r="T2680" s="121" t="str">
        <f t="shared" si="1051"/>
        <v/>
      </c>
      <c r="U2680" s="121">
        <f t="shared" si="1052"/>
        <v>1</v>
      </c>
    </row>
    <row r="2681" spans="1:21" x14ac:dyDescent="0.3">
      <c r="A2681" s="187">
        <v>11</v>
      </c>
      <c r="B2681" s="242">
        <f t="shared" si="1053"/>
        <v>45962</v>
      </c>
      <c r="C2681" s="243">
        <f t="shared" si="1034"/>
        <v>45991</v>
      </c>
      <c r="D2681" s="120">
        <f t="shared" si="1035"/>
        <v>30</v>
      </c>
      <c r="E2681" s="120">
        <f t="shared" si="1036"/>
        <v>11</v>
      </c>
      <c r="F2681" s="275">
        <f t="shared" si="1037"/>
        <v>45977</v>
      </c>
      <c r="G2681" s="120">
        <f t="shared" si="1038"/>
        <v>24310</v>
      </c>
      <c r="H2681" s="245">
        <f t="shared" si="1039"/>
        <v>1</v>
      </c>
      <c r="I2681" s="121">
        <f t="shared" si="1040"/>
        <v>1</v>
      </c>
      <c r="J2681" s="121">
        <f t="shared" si="1041"/>
        <v>1</v>
      </c>
      <c r="K2681" s="120">
        <f t="shared" si="1042"/>
        <v>0</v>
      </c>
      <c r="L2681" s="120">
        <f t="shared" si="1043"/>
        <v>0</v>
      </c>
      <c r="M2681" s="246">
        <f t="shared" si="1044"/>
        <v>0</v>
      </c>
      <c r="N2681" s="121">
        <f t="shared" si="1045"/>
        <v>1</v>
      </c>
      <c r="O2681" s="246">
        <f t="shared" si="1046"/>
        <v>0.90301969365426704</v>
      </c>
      <c r="P2681" s="121">
        <f t="shared" si="1047"/>
        <v>0.75</v>
      </c>
      <c r="Q2681" s="121">
        <f t="shared" si="1048"/>
        <v>0</v>
      </c>
      <c r="R2681" s="121">
        <f t="shared" si="1049"/>
        <v>0</v>
      </c>
      <c r="S2681" s="121" t="str">
        <f t="shared" si="1050"/>
        <v/>
      </c>
      <c r="T2681" s="121" t="str">
        <f t="shared" si="1051"/>
        <v/>
      </c>
      <c r="U2681" s="121">
        <f t="shared" si="1052"/>
        <v>1</v>
      </c>
    </row>
    <row r="2682" spans="1:21" x14ac:dyDescent="0.3">
      <c r="A2682" s="187">
        <v>12</v>
      </c>
      <c r="B2682" s="242">
        <f t="shared" si="1053"/>
        <v>45992</v>
      </c>
      <c r="C2682" s="243">
        <f t="shared" si="1034"/>
        <v>46022</v>
      </c>
      <c r="D2682" s="120">
        <f t="shared" si="1035"/>
        <v>31</v>
      </c>
      <c r="E2682" s="120">
        <f t="shared" si="1036"/>
        <v>12</v>
      </c>
      <c r="F2682" s="275">
        <f t="shared" si="1037"/>
        <v>46007.5</v>
      </c>
      <c r="G2682" s="120">
        <f t="shared" si="1038"/>
        <v>24311</v>
      </c>
      <c r="H2682" s="245">
        <f t="shared" si="1039"/>
        <v>1</v>
      </c>
      <c r="I2682" s="121">
        <f t="shared" si="1040"/>
        <v>1</v>
      </c>
      <c r="J2682" s="121">
        <f t="shared" si="1041"/>
        <v>1</v>
      </c>
      <c r="K2682" s="120">
        <f t="shared" si="1042"/>
        <v>0</v>
      </c>
      <c r="L2682" s="120">
        <f t="shared" si="1043"/>
        <v>0</v>
      </c>
      <c r="M2682" s="246">
        <f t="shared" si="1044"/>
        <v>0</v>
      </c>
      <c r="N2682" s="121">
        <f t="shared" si="1045"/>
        <v>1</v>
      </c>
      <c r="O2682" s="246">
        <f t="shared" si="1046"/>
        <v>0.90368708971553613</v>
      </c>
      <c r="P2682" s="121">
        <f t="shared" si="1047"/>
        <v>0.91666666666666663</v>
      </c>
      <c r="Q2682" s="121">
        <f t="shared" si="1048"/>
        <v>0</v>
      </c>
      <c r="R2682" s="121">
        <f t="shared" si="1049"/>
        <v>0</v>
      </c>
      <c r="S2682" s="121" t="str">
        <f t="shared" si="1050"/>
        <v/>
      </c>
      <c r="T2682" s="121" t="str">
        <f t="shared" si="1051"/>
        <v/>
      </c>
      <c r="U2682" s="121">
        <f t="shared" si="1052"/>
        <v>1</v>
      </c>
    </row>
    <row r="2683" spans="1:21" x14ac:dyDescent="0.3">
      <c r="A2683" s="187">
        <v>13</v>
      </c>
      <c r="B2683" s="242">
        <f t="shared" si="1053"/>
        <v>46023</v>
      </c>
      <c r="C2683" s="243">
        <f t="shared" si="1034"/>
        <v>46053</v>
      </c>
      <c r="D2683" s="120">
        <f t="shared" si="1035"/>
        <v>31</v>
      </c>
      <c r="E2683" s="120">
        <f t="shared" si="1036"/>
        <v>1</v>
      </c>
      <c r="F2683" s="275">
        <f t="shared" si="1037"/>
        <v>46038.5</v>
      </c>
      <c r="G2683" s="120">
        <f t="shared" si="1038"/>
        <v>24312</v>
      </c>
      <c r="H2683" s="245">
        <f t="shared" si="1039"/>
        <v>1</v>
      </c>
      <c r="I2683" s="121">
        <f t="shared" si="1040"/>
        <v>1</v>
      </c>
      <c r="J2683" s="121">
        <f t="shared" si="1041"/>
        <v>1</v>
      </c>
      <c r="K2683" s="120">
        <f t="shared" si="1042"/>
        <v>0</v>
      </c>
      <c r="L2683" s="120">
        <f t="shared" si="1043"/>
        <v>0</v>
      </c>
      <c r="M2683" s="246">
        <f t="shared" si="1044"/>
        <v>0</v>
      </c>
      <c r="N2683" s="121">
        <f t="shared" si="1045"/>
        <v>1</v>
      </c>
      <c r="O2683" s="246">
        <f t="shared" si="1046"/>
        <v>0.90436542669584252</v>
      </c>
      <c r="P2683" s="121">
        <f t="shared" si="1047"/>
        <v>1</v>
      </c>
      <c r="Q2683" s="121">
        <f t="shared" si="1048"/>
        <v>0</v>
      </c>
      <c r="R2683" s="121">
        <f t="shared" si="1049"/>
        <v>0</v>
      </c>
      <c r="S2683" s="121" t="str">
        <f t="shared" si="1050"/>
        <v/>
      </c>
      <c r="T2683" s="121" t="str">
        <f t="shared" si="1051"/>
        <v/>
      </c>
      <c r="U2683" s="121">
        <f t="shared" si="1052"/>
        <v>1</v>
      </c>
    </row>
    <row r="2684" spans="1:21" x14ac:dyDescent="0.3">
      <c r="A2684" s="187">
        <v>14</v>
      </c>
      <c r="B2684" s="242">
        <f t="shared" si="1053"/>
        <v>46054</v>
      </c>
      <c r="C2684" s="243">
        <f t="shared" si="1034"/>
        <v>46081</v>
      </c>
      <c r="D2684" s="120">
        <f t="shared" si="1035"/>
        <v>28</v>
      </c>
      <c r="E2684" s="120">
        <f t="shared" si="1036"/>
        <v>2</v>
      </c>
      <c r="F2684" s="275">
        <f t="shared" si="1037"/>
        <v>46068</v>
      </c>
      <c r="G2684" s="120">
        <f t="shared" si="1038"/>
        <v>24313</v>
      </c>
      <c r="H2684" s="245">
        <f t="shared" si="1039"/>
        <v>1</v>
      </c>
      <c r="I2684" s="121">
        <f t="shared" si="1040"/>
        <v>1</v>
      </c>
      <c r="J2684" s="121">
        <f t="shared" si="1041"/>
        <v>1</v>
      </c>
      <c r="K2684" s="120">
        <f t="shared" si="1042"/>
        <v>0</v>
      </c>
      <c r="L2684" s="120">
        <f t="shared" si="1043"/>
        <v>0</v>
      </c>
      <c r="M2684" s="246">
        <f t="shared" si="1044"/>
        <v>0</v>
      </c>
      <c r="N2684" s="121">
        <f t="shared" si="1045"/>
        <v>1</v>
      </c>
      <c r="O2684" s="246">
        <f t="shared" si="1046"/>
        <v>0.90501094091903722</v>
      </c>
      <c r="P2684" s="121">
        <f t="shared" si="1047"/>
        <v>1</v>
      </c>
      <c r="Q2684" s="121">
        <f t="shared" si="1048"/>
        <v>0</v>
      </c>
      <c r="R2684" s="121">
        <f t="shared" si="1049"/>
        <v>0</v>
      </c>
      <c r="S2684" s="121" t="str">
        <f t="shared" si="1050"/>
        <v/>
      </c>
      <c r="T2684" s="121" t="str">
        <f t="shared" si="1051"/>
        <v/>
      </c>
      <c r="U2684" s="121">
        <f t="shared" si="1052"/>
        <v>1</v>
      </c>
    </row>
    <row r="2685" spans="1:21" x14ac:dyDescent="0.3">
      <c r="A2685" s="187">
        <v>15</v>
      </c>
      <c r="B2685" s="242">
        <f t="shared" si="1053"/>
        <v>46082</v>
      </c>
      <c r="C2685" s="243">
        <f t="shared" si="1034"/>
        <v>46112</v>
      </c>
      <c r="D2685" s="120">
        <f t="shared" si="1035"/>
        <v>31</v>
      </c>
      <c r="E2685" s="120">
        <f t="shared" si="1036"/>
        <v>3</v>
      </c>
      <c r="F2685" s="275">
        <f t="shared" si="1037"/>
        <v>46097.5</v>
      </c>
      <c r="G2685" s="120">
        <f t="shared" si="1038"/>
        <v>24314</v>
      </c>
      <c r="H2685" s="245">
        <f t="shared" si="1039"/>
        <v>1</v>
      </c>
      <c r="I2685" s="121">
        <f t="shared" si="1040"/>
        <v>1</v>
      </c>
      <c r="J2685" s="121">
        <f t="shared" si="1041"/>
        <v>1</v>
      </c>
      <c r="K2685" s="120">
        <f t="shared" si="1042"/>
        <v>0</v>
      </c>
      <c r="L2685" s="120">
        <f t="shared" si="1043"/>
        <v>0</v>
      </c>
      <c r="M2685" s="246">
        <f t="shared" si="1044"/>
        <v>0</v>
      </c>
      <c r="N2685" s="121">
        <f t="shared" si="1045"/>
        <v>1</v>
      </c>
      <c r="O2685" s="246">
        <f t="shared" si="1046"/>
        <v>0.90565645514223203</v>
      </c>
      <c r="P2685" s="121">
        <f t="shared" si="1047"/>
        <v>1</v>
      </c>
      <c r="Q2685" s="121">
        <f t="shared" si="1048"/>
        <v>0</v>
      </c>
      <c r="R2685" s="121">
        <f t="shared" si="1049"/>
        <v>0</v>
      </c>
      <c r="S2685" s="121" t="str">
        <f t="shared" si="1050"/>
        <v/>
      </c>
      <c r="T2685" s="121" t="str">
        <f t="shared" si="1051"/>
        <v/>
      </c>
      <c r="U2685" s="121">
        <f t="shared" si="1052"/>
        <v>1</v>
      </c>
    </row>
    <row r="2686" spans="1:21" x14ac:dyDescent="0.3">
      <c r="A2686" s="187">
        <v>16</v>
      </c>
      <c r="B2686" s="242">
        <f t="shared" si="1053"/>
        <v>46113</v>
      </c>
      <c r="C2686" s="243">
        <f t="shared" si="1034"/>
        <v>46142</v>
      </c>
      <c r="D2686" s="120">
        <f t="shared" si="1035"/>
        <v>30</v>
      </c>
      <c r="E2686" s="120">
        <f t="shared" si="1036"/>
        <v>4</v>
      </c>
      <c r="F2686" s="275">
        <f t="shared" si="1037"/>
        <v>46128</v>
      </c>
      <c r="G2686" s="120">
        <f t="shared" si="1038"/>
        <v>24315</v>
      </c>
      <c r="H2686" s="245">
        <f t="shared" si="1039"/>
        <v>1</v>
      </c>
      <c r="I2686" s="121">
        <f t="shared" si="1040"/>
        <v>1</v>
      </c>
      <c r="J2686" s="121">
        <f t="shared" si="1041"/>
        <v>1</v>
      </c>
      <c r="K2686" s="120">
        <f t="shared" si="1042"/>
        <v>0</v>
      </c>
      <c r="L2686" s="120">
        <f t="shared" si="1043"/>
        <v>0</v>
      </c>
      <c r="M2686" s="246">
        <f t="shared" si="1044"/>
        <v>0</v>
      </c>
      <c r="N2686" s="121">
        <f t="shared" si="1045"/>
        <v>1</v>
      </c>
      <c r="O2686" s="246">
        <f t="shared" si="1046"/>
        <v>0.90632385120350112</v>
      </c>
      <c r="P2686" s="121">
        <f t="shared" si="1047"/>
        <v>1</v>
      </c>
      <c r="Q2686" s="121">
        <f t="shared" si="1048"/>
        <v>0</v>
      </c>
      <c r="R2686" s="121">
        <f t="shared" si="1049"/>
        <v>0</v>
      </c>
      <c r="S2686" s="121" t="str">
        <f t="shared" si="1050"/>
        <v/>
      </c>
      <c r="T2686" s="121" t="str">
        <f t="shared" si="1051"/>
        <v/>
      </c>
      <c r="U2686" s="121">
        <f t="shared" si="1052"/>
        <v>1</v>
      </c>
    </row>
    <row r="2687" spans="1:21" x14ac:dyDescent="0.3">
      <c r="A2687" s="187">
        <v>17</v>
      </c>
      <c r="B2687" s="242">
        <f t="shared" si="1053"/>
        <v>46143</v>
      </c>
      <c r="C2687" s="243">
        <f t="shared" si="1034"/>
        <v>46173</v>
      </c>
      <c r="D2687" s="120">
        <f t="shared" si="1035"/>
        <v>31</v>
      </c>
      <c r="E2687" s="120">
        <f t="shared" si="1036"/>
        <v>5</v>
      </c>
      <c r="F2687" s="275">
        <f t="shared" si="1037"/>
        <v>46158.5</v>
      </c>
      <c r="G2687" s="120">
        <f t="shared" si="1038"/>
        <v>24316</v>
      </c>
      <c r="H2687" s="245">
        <f t="shared" si="1039"/>
        <v>1</v>
      </c>
      <c r="I2687" s="121">
        <f t="shared" si="1040"/>
        <v>1</v>
      </c>
      <c r="J2687" s="121">
        <f t="shared" si="1041"/>
        <v>1</v>
      </c>
      <c r="K2687" s="120">
        <f t="shared" si="1042"/>
        <v>0</v>
      </c>
      <c r="L2687" s="120">
        <f t="shared" si="1043"/>
        <v>0</v>
      </c>
      <c r="M2687" s="246">
        <f t="shared" si="1044"/>
        <v>0</v>
      </c>
      <c r="N2687" s="121">
        <f t="shared" si="1045"/>
        <v>1</v>
      </c>
      <c r="O2687" s="246">
        <f t="shared" si="1046"/>
        <v>0.90699124726477032</v>
      </c>
      <c r="P2687" s="121">
        <f t="shared" si="1047"/>
        <v>1</v>
      </c>
      <c r="Q2687" s="121">
        <f t="shared" si="1048"/>
        <v>0</v>
      </c>
      <c r="R2687" s="121">
        <f t="shared" si="1049"/>
        <v>0</v>
      </c>
      <c r="S2687" s="121" t="str">
        <f t="shared" si="1050"/>
        <v/>
      </c>
      <c r="T2687" s="121" t="str">
        <f t="shared" si="1051"/>
        <v/>
      </c>
      <c r="U2687" s="121">
        <f t="shared" si="1052"/>
        <v>1</v>
      </c>
    </row>
    <row r="2688" spans="1:21" x14ac:dyDescent="0.3">
      <c r="A2688" s="187">
        <v>18</v>
      </c>
      <c r="B2688" s="242">
        <f t="shared" si="1053"/>
        <v>46174</v>
      </c>
      <c r="C2688" s="243">
        <f t="shared" si="1034"/>
        <v>46203</v>
      </c>
      <c r="D2688" s="120">
        <f t="shared" si="1035"/>
        <v>30</v>
      </c>
      <c r="E2688" s="120">
        <f t="shared" si="1036"/>
        <v>6</v>
      </c>
      <c r="F2688" s="275">
        <f t="shared" si="1037"/>
        <v>46189</v>
      </c>
      <c r="G2688" s="120">
        <f t="shared" si="1038"/>
        <v>24317</v>
      </c>
      <c r="H2688" s="245">
        <f t="shared" si="1039"/>
        <v>1</v>
      </c>
      <c r="I2688" s="121">
        <f t="shared" si="1040"/>
        <v>1</v>
      </c>
      <c r="J2688" s="121">
        <f t="shared" si="1041"/>
        <v>1</v>
      </c>
      <c r="K2688" s="120">
        <f t="shared" si="1042"/>
        <v>0</v>
      </c>
      <c r="L2688" s="120">
        <f t="shared" si="1043"/>
        <v>0</v>
      </c>
      <c r="M2688" s="246">
        <f t="shared" si="1044"/>
        <v>0</v>
      </c>
      <c r="N2688" s="121">
        <f t="shared" si="1045"/>
        <v>1</v>
      </c>
      <c r="O2688" s="246">
        <f t="shared" si="1046"/>
        <v>0.9076586433260394</v>
      </c>
      <c r="P2688" s="121">
        <f t="shared" si="1047"/>
        <v>1</v>
      </c>
      <c r="Q2688" s="121">
        <f t="shared" si="1048"/>
        <v>0</v>
      </c>
      <c r="R2688" s="121">
        <f t="shared" si="1049"/>
        <v>0</v>
      </c>
      <c r="S2688" s="121" t="str">
        <f t="shared" si="1050"/>
        <v/>
      </c>
      <c r="T2688" s="121" t="str">
        <f t="shared" si="1051"/>
        <v/>
      </c>
      <c r="U2688" s="121">
        <f t="shared" si="1052"/>
        <v>1</v>
      </c>
    </row>
    <row r="2689" spans="1:21" x14ac:dyDescent="0.3">
      <c r="A2689" s="187">
        <v>19</v>
      </c>
      <c r="B2689" s="242">
        <f t="shared" si="1053"/>
        <v>46204</v>
      </c>
      <c r="C2689" s="243">
        <f t="shared" si="1034"/>
        <v>46234</v>
      </c>
      <c r="D2689" s="120">
        <f t="shared" si="1035"/>
        <v>31</v>
      </c>
      <c r="E2689" s="120">
        <f t="shared" si="1036"/>
        <v>7</v>
      </c>
      <c r="F2689" s="275">
        <f t="shared" si="1037"/>
        <v>46219.5</v>
      </c>
      <c r="G2689" s="120">
        <f t="shared" si="1038"/>
        <v>24318</v>
      </c>
      <c r="H2689" s="245">
        <f t="shared" si="1039"/>
        <v>1</v>
      </c>
      <c r="I2689" s="121">
        <f t="shared" si="1040"/>
        <v>1</v>
      </c>
      <c r="J2689" s="121">
        <f t="shared" si="1041"/>
        <v>1.0649999999999999</v>
      </c>
      <c r="K2689" s="120">
        <f t="shared" si="1042"/>
        <v>1</v>
      </c>
      <c r="L2689" s="120">
        <f t="shared" si="1043"/>
        <v>31</v>
      </c>
      <c r="M2689" s="246">
        <f t="shared" si="1044"/>
        <v>1</v>
      </c>
      <c r="N2689" s="121">
        <f t="shared" si="1045"/>
        <v>1.0649999999999999</v>
      </c>
      <c r="O2689" s="246">
        <f t="shared" si="1046"/>
        <v>0.9083260393873086</v>
      </c>
      <c r="P2689" s="121">
        <f t="shared" si="1047"/>
        <v>0.91666666666666663</v>
      </c>
      <c r="Q2689" s="121">
        <f t="shared" si="1048"/>
        <v>8.333333333333337E-2</v>
      </c>
      <c r="R2689" s="121">
        <f t="shared" si="1049"/>
        <v>0</v>
      </c>
      <c r="S2689" s="121" t="str">
        <f t="shared" si="1050"/>
        <v/>
      </c>
      <c r="T2689" s="121" t="str">
        <f t="shared" si="1051"/>
        <v/>
      </c>
      <c r="U2689" s="121">
        <f t="shared" si="1052"/>
        <v>1.0649999999999999</v>
      </c>
    </row>
    <row r="2690" spans="1:21" x14ac:dyDescent="0.3">
      <c r="A2690" s="187">
        <v>20</v>
      </c>
      <c r="B2690" s="242">
        <f t="shared" si="1053"/>
        <v>46235</v>
      </c>
      <c r="C2690" s="243">
        <f t="shared" si="1034"/>
        <v>46265</v>
      </c>
      <c r="D2690" s="120">
        <f t="shared" si="1035"/>
        <v>31</v>
      </c>
      <c r="E2690" s="120">
        <f t="shared" si="1036"/>
        <v>8</v>
      </c>
      <c r="F2690" s="275">
        <f t="shared" si="1037"/>
        <v>46250.5</v>
      </c>
      <c r="G2690" s="120">
        <f t="shared" si="1038"/>
        <v>24319</v>
      </c>
      <c r="H2690" s="245">
        <f t="shared" si="1039"/>
        <v>1</v>
      </c>
      <c r="I2690" s="121">
        <f t="shared" si="1040"/>
        <v>1.0649999999999999</v>
      </c>
      <c r="J2690" s="121">
        <f t="shared" si="1041"/>
        <v>1.0649999999999999</v>
      </c>
      <c r="K2690" s="120">
        <f t="shared" si="1042"/>
        <v>0</v>
      </c>
      <c r="L2690" s="120">
        <f t="shared" si="1043"/>
        <v>0</v>
      </c>
      <c r="M2690" s="246">
        <f t="shared" si="1044"/>
        <v>0</v>
      </c>
      <c r="N2690" s="121">
        <f t="shared" si="1045"/>
        <v>1.0649999999999999</v>
      </c>
      <c r="O2690" s="246">
        <f t="shared" si="1046"/>
        <v>0.90900437636761489</v>
      </c>
      <c r="P2690" s="121">
        <f t="shared" si="1047"/>
        <v>0.75</v>
      </c>
      <c r="Q2690" s="121">
        <f t="shared" si="1048"/>
        <v>0.25</v>
      </c>
      <c r="R2690" s="121">
        <f t="shared" si="1049"/>
        <v>0</v>
      </c>
      <c r="S2690" s="121" t="str">
        <f t="shared" si="1050"/>
        <v/>
      </c>
      <c r="T2690" s="121" t="str">
        <f t="shared" si="1051"/>
        <v/>
      </c>
      <c r="U2690" s="121">
        <f t="shared" si="1052"/>
        <v>1.0649999999999999</v>
      </c>
    </row>
    <row r="2691" spans="1:21" x14ac:dyDescent="0.3">
      <c r="A2691" s="187">
        <v>21</v>
      </c>
      <c r="B2691" s="242">
        <f t="shared" si="1053"/>
        <v>46266</v>
      </c>
      <c r="C2691" s="243">
        <f t="shared" si="1034"/>
        <v>46295</v>
      </c>
      <c r="D2691" s="120">
        <f t="shared" si="1035"/>
        <v>30</v>
      </c>
      <c r="E2691" s="120">
        <f t="shared" si="1036"/>
        <v>9</v>
      </c>
      <c r="F2691" s="275">
        <f t="shared" si="1037"/>
        <v>46281</v>
      </c>
      <c r="G2691" s="120">
        <f t="shared" si="1038"/>
        <v>24320</v>
      </c>
      <c r="H2691" s="245">
        <f t="shared" si="1039"/>
        <v>1</v>
      </c>
      <c r="I2691" s="121">
        <f t="shared" si="1040"/>
        <v>1.0649999999999999</v>
      </c>
      <c r="J2691" s="121">
        <f t="shared" si="1041"/>
        <v>1.0649999999999999</v>
      </c>
      <c r="K2691" s="120">
        <f t="shared" si="1042"/>
        <v>0</v>
      </c>
      <c r="L2691" s="120">
        <f t="shared" si="1043"/>
        <v>0</v>
      </c>
      <c r="M2691" s="246">
        <f t="shared" si="1044"/>
        <v>0</v>
      </c>
      <c r="N2691" s="121">
        <f t="shared" si="1045"/>
        <v>1.0649999999999999</v>
      </c>
      <c r="O2691" s="246">
        <f t="shared" si="1046"/>
        <v>0.90967177242888408</v>
      </c>
      <c r="P2691" s="121">
        <f t="shared" si="1047"/>
        <v>0.58333333333333337</v>
      </c>
      <c r="Q2691" s="121">
        <f t="shared" si="1048"/>
        <v>0.41666666666666663</v>
      </c>
      <c r="R2691" s="121">
        <f t="shared" si="1049"/>
        <v>0</v>
      </c>
      <c r="S2691" s="121" t="str">
        <f t="shared" si="1050"/>
        <v/>
      </c>
      <c r="T2691" s="121" t="str">
        <f t="shared" si="1051"/>
        <v/>
      </c>
      <c r="U2691" s="121">
        <f t="shared" si="1052"/>
        <v>1.0649999999999999</v>
      </c>
    </row>
    <row r="2692" spans="1:21" x14ac:dyDescent="0.3">
      <c r="A2692" s="187">
        <v>22</v>
      </c>
      <c r="B2692" s="242">
        <f t="shared" si="1053"/>
        <v>46296</v>
      </c>
      <c r="C2692" s="243">
        <f t="shared" si="1034"/>
        <v>46326</v>
      </c>
      <c r="D2692" s="120">
        <f t="shared" si="1035"/>
        <v>31</v>
      </c>
      <c r="E2692" s="120">
        <f t="shared" si="1036"/>
        <v>10</v>
      </c>
      <c r="F2692" s="275">
        <f t="shared" si="1037"/>
        <v>46311.5</v>
      </c>
      <c r="G2692" s="120">
        <f t="shared" si="1038"/>
        <v>24321</v>
      </c>
      <c r="H2692" s="245">
        <f t="shared" si="1039"/>
        <v>1</v>
      </c>
      <c r="I2692" s="121">
        <f t="shared" si="1040"/>
        <v>1.0649999999999999</v>
      </c>
      <c r="J2692" s="121">
        <f t="shared" si="1041"/>
        <v>1.0649999999999999</v>
      </c>
      <c r="K2692" s="120">
        <f t="shared" si="1042"/>
        <v>0</v>
      </c>
      <c r="L2692" s="120">
        <f t="shared" si="1043"/>
        <v>0</v>
      </c>
      <c r="M2692" s="246">
        <f t="shared" si="1044"/>
        <v>0</v>
      </c>
      <c r="N2692" s="121">
        <f t="shared" si="1045"/>
        <v>1.0649999999999999</v>
      </c>
      <c r="O2692" s="246">
        <f t="shared" si="1046"/>
        <v>0.91033916849015317</v>
      </c>
      <c r="P2692" s="121">
        <f t="shared" si="1047"/>
        <v>0.41666666666666669</v>
      </c>
      <c r="Q2692" s="121">
        <f t="shared" si="1048"/>
        <v>0.58333333333333326</v>
      </c>
      <c r="R2692" s="121">
        <f t="shared" si="1049"/>
        <v>0</v>
      </c>
      <c r="S2692" s="121" t="str">
        <f t="shared" si="1050"/>
        <v/>
      </c>
      <c r="T2692" s="121" t="str">
        <f t="shared" si="1051"/>
        <v/>
      </c>
      <c r="U2692" s="121">
        <f t="shared" si="1052"/>
        <v>1.0649999999999999</v>
      </c>
    </row>
    <row r="2693" spans="1:21" x14ac:dyDescent="0.3">
      <c r="A2693" s="187">
        <v>23</v>
      </c>
      <c r="B2693" s="242">
        <f t="shared" si="1053"/>
        <v>46327</v>
      </c>
      <c r="C2693" s="243">
        <f t="shared" si="1034"/>
        <v>46356</v>
      </c>
      <c r="D2693" s="120">
        <f t="shared" si="1035"/>
        <v>30</v>
      </c>
      <c r="E2693" s="120">
        <f t="shared" si="1036"/>
        <v>11</v>
      </c>
      <c r="F2693" s="275">
        <f t="shared" si="1037"/>
        <v>46342</v>
      </c>
      <c r="G2693" s="120">
        <f t="shared" si="1038"/>
        <v>24322</v>
      </c>
      <c r="H2693" s="245">
        <f t="shared" si="1039"/>
        <v>1</v>
      </c>
      <c r="I2693" s="121">
        <f t="shared" si="1040"/>
        <v>1.0649999999999999</v>
      </c>
      <c r="J2693" s="121">
        <f t="shared" si="1041"/>
        <v>1.0649999999999999</v>
      </c>
      <c r="K2693" s="120">
        <f t="shared" si="1042"/>
        <v>0</v>
      </c>
      <c r="L2693" s="120">
        <f t="shared" si="1043"/>
        <v>0</v>
      </c>
      <c r="M2693" s="246">
        <f t="shared" si="1044"/>
        <v>0</v>
      </c>
      <c r="N2693" s="121">
        <f t="shared" si="1045"/>
        <v>1.0649999999999999</v>
      </c>
      <c r="O2693" s="246">
        <f t="shared" si="1046"/>
        <v>0.91100656455142237</v>
      </c>
      <c r="P2693" s="121">
        <f t="shared" si="1047"/>
        <v>0.25</v>
      </c>
      <c r="Q2693" s="121">
        <f t="shared" si="1048"/>
        <v>0.75</v>
      </c>
      <c r="R2693" s="121">
        <f t="shared" si="1049"/>
        <v>0</v>
      </c>
      <c r="S2693" s="121" t="str">
        <f t="shared" si="1050"/>
        <v/>
      </c>
      <c r="T2693" s="121" t="str">
        <f t="shared" si="1051"/>
        <v/>
      </c>
      <c r="U2693" s="121">
        <f t="shared" si="1052"/>
        <v>1.0649999999999999</v>
      </c>
    </row>
    <row r="2694" spans="1:21" x14ac:dyDescent="0.3">
      <c r="A2694" s="187">
        <v>24</v>
      </c>
      <c r="B2694" s="242">
        <f t="shared" si="1053"/>
        <v>46357</v>
      </c>
      <c r="C2694" s="243">
        <f t="shared" si="1034"/>
        <v>46387</v>
      </c>
      <c r="D2694" s="120">
        <f t="shared" si="1035"/>
        <v>31</v>
      </c>
      <c r="E2694" s="120">
        <f t="shared" si="1036"/>
        <v>12</v>
      </c>
      <c r="F2694" s="275">
        <f t="shared" si="1037"/>
        <v>46372.5</v>
      </c>
      <c r="G2694" s="120">
        <f t="shared" si="1038"/>
        <v>24323</v>
      </c>
      <c r="H2694" s="245">
        <f t="shared" si="1039"/>
        <v>1</v>
      </c>
      <c r="I2694" s="121">
        <f t="shared" si="1040"/>
        <v>1.0649999999999999</v>
      </c>
      <c r="J2694" s="121">
        <f t="shared" si="1041"/>
        <v>1.0649999999999999</v>
      </c>
      <c r="K2694" s="120">
        <f t="shared" si="1042"/>
        <v>0</v>
      </c>
      <c r="L2694" s="120">
        <f t="shared" si="1043"/>
        <v>0</v>
      </c>
      <c r="M2694" s="246">
        <f t="shared" si="1044"/>
        <v>0</v>
      </c>
      <c r="N2694" s="121">
        <f t="shared" si="1045"/>
        <v>1.0649999999999999</v>
      </c>
      <c r="O2694" s="246">
        <f t="shared" si="1046"/>
        <v>0.91167396061269146</v>
      </c>
      <c r="P2694" s="121">
        <f t="shared" si="1047"/>
        <v>8.3333333333333329E-2</v>
      </c>
      <c r="Q2694" s="121">
        <f t="shared" si="1048"/>
        <v>0.91666666666666663</v>
      </c>
      <c r="R2694" s="121">
        <f t="shared" si="1049"/>
        <v>0</v>
      </c>
      <c r="S2694" s="121" t="str">
        <f t="shared" si="1050"/>
        <v/>
      </c>
      <c r="T2694" s="121" t="str">
        <f t="shared" si="1051"/>
        <v/>
      </c>
      <c r="U2694" s="121">
        <f t="shared" si="1052"/>
        <v>1.0649999999999999</v>
      </c>
    </row>
    <row r="2695" spans="1:21" x14ac:dyDescent="0.3">
      <c r="A2695" s="187">
        <v>25</v>
      </c>
      <c r="B2695" s="242">
        <f t="shared" si="1053"/>
        <v>46388</v>
      </c>
      <c r="C2695" s="243">
        <f t="shared" si="1034"/>
        <v>46418</v>
      </c>
      <c r="D2695" s="120">
        <f t="shared" si="1035"/>
        <v>31</v>
      </c>
      <c r="E2695" s="120">
        <f t="shared" si="1036"/>
        <v>1</v>
      </c>
      <c r="F2695" s="275">
        <f t="shared" si="1037"/>
        <v>46403.5</v>
      </c>
      <c r="G2695" s="120">
        <f t="shared" si="1038"/>
        <v>24324</v>
      </c>
      <c r="H2695" s="245">
        <f t="shared" si="1039"/>
        <v>1</v>
      </c>
      <c r="I2695" s="121">
        <f t="shared" si="1040"/>
        <v>1.0649999999999999</v>
      </c>
      <c r="J2695" s="121">
        <f t="shared" si="1041"/>
        <v>1.0649999999999999</v>
      </c>
      <c r="K2695" s="120">
        <f t="shared" si="1042"/>
        <v>0</v>
      </c>
      <c r="L2695" s="120">
        <f t="shared" si="1043"/>
        <v>0</v>
      </c>
      <c r="M2695" s="246">
        <f t="shared" si="1044"/>
        <v>0</v>
      </c>
      <c r="N2695" s="121">
        <f t="shared" si="1045"/>
        <v>1.0649999999999999</v>
      </c>
      <c r="O2695" s="246">
        <f t="shared" si="1046"/>
        <v>0.91235229759299785</v>
      </c>
      <c r="P2695" s="121">
        <f t="shared" si="1047"/>
        <v>0</v>
      </c>
      <c r="Q2695" s="121">
        <f t="shared" si="1048"/>
        <v>1</v>
      </c>
      <c r="R2695" s="121">
        <f t="shared" si="1049"/>
        <v>0</v>
      </c>
      <c r="S2695" s="121" t="str">
        <f t="shared" si="1050"/>
        <v/>
      </c>
      <c r="T2695" s="121" t="str">
        <f t="shared" si="1051"/>
        <v/>
      </c>
      <c r="U2695" s="121">
        <f t="shared" si="1052"/>
        <v>1.0649999999999999</v>
      </c>
    </row>
    <row r="2696" spans="1:21" x14ac:dyDescent="0.3">
      <c r="A2696" s="187">
        <v>26</v>
      </c>
      <c r="B2696" s="242">
        <f t="shared" si="1053"/>
        <v>46419</v>
      </c>
      <c r="C2696" s="243">
        <f t="shared" si="1034"/>
        <v>46446</v>
      </c>
      <c r="D2696" s="120">
        <f t="shared" si="1035"/>
        <v>28</v>
      </c>
      <c r="E2696" s="120">
        <f t="shared" si="1036"/>
        <v>2</v>
      </c>
      <c r="F2696" s="275">
        <f t="shared" si="1037"/>
        <v>46433</v>
      </c>
      <c r="G2696" s="120">
        <f t="shared" si="1038"/>
        <v>24325</v>
      </c>
      <c r="H2696" s="245">
        <f t="shared" si="1039"/>
        <v>1</v>
      </c>
      <c r="I2696" s="121">
        <f t="shared" si="1040"/>
        <v>1.0649999999999999</v>
      </c>
      <c r="J2696" s="121">
        <f t="shared" si="1041"/>
        <v>1.0649999999999999</v>
      </c>
      <c r="K2696" s="120">
        <f t="shared" si="1042"/>
        <v>0</v>
      </c>
      <c r="L2696" s="120">
        <f t="shared" si="1043"/>
        <v>0</v>
      </c>
      <c r="M2696" s="246">
        <f t="shared" si="1044"/>
        <v>0</v>
      </c>
      <c r="N2696" s="121">
        <f t="shared" si="1045"/>
        <v>1.0649999999999999</v>
      </c>
      <c r="O2696" s="246">
        <f t="shared" si="1046"/>
        <v>0.91299781181619255</v>
      </c>
      <c r="P2696" s="121">
        <f t="shared" si="1047"/>
        <v>0</v>
      </c>
      <c r="Q2696" s="121">
        <f t="shared" si="1048"/>
        <v>1</v>
      </c>
      <c r="R2696" s="121">
        <f t="shared" si="1049"/>
        <v>0</v>
      </c>
      <c r="S2696" s="121" t="str">
        <f t="shared" si="1050"/>
        <v/>
      </c>
      <c r="T2696" s="121" t="str">
        <f t="shared" si="1051"/>
        <v/>
      </c>
      <c r="U2696" s="121">
        <f t="shared" si="1052"/>
        <v>1.0649999999999999</v>
      </c>
    </row>
    <row r="2697" spans="1:21" x14ac:dyDescent="0.3">
      <c r="A2697" s="187">
        <v>27</v>
      </c>
      <c r="B2697" s="242">
        <f t="shared" si="1053"/>
        <v>46447</v>
      </c>
      <c r="C2697" s="243">
        <f t="shared" si="1034"/>
        <v>46477</v>
      </c>
      <c r="D2697" s="120">
        <f t="shared" si="1035"/>
        <v>31</v>
      </c>
      <c r="E2697" s="120">
        <f t="shared" si="1036"/>
        <v>3</v>
      </c>
      <c r="F2697" s="275">
        <f t="shared" si="1037"/>
        <v>46462.5</v>
      </c>
      <c r="G2697" s="120">
        <f t="shared" si="1038"/>
        <v>24326</v>
      </c>
      <c r="H2697" s="245">
        <f t="shared" si="1039"/>
        <v>1</v>
      </c>
      <c r="I2697" s="121">
        <f t="shared" si="1040"/>
        <v>1.0649999999999999</v>
      </c>
      <c r="J2697" s="121">
        <f t="shared" si="1041"/>
        <v>1.0649999999999999</v>
      </c>
      <c r="K2697" s="120">
        <f t="shared" si="1042"/>
        <v>0</v>
      </c>
      <c r="L2697" s="120">
        <f t="shared" si="1043"/>
        <v>0</v>
      </c>
      <c r="M2697" s="246">
        <f t="shared" si="1044"/>
        <v>0</v>
      </c>
      <c r="N2697" s="121">
        <f t="shared" si="1045"/>
        <v>1.0649999999999999</v>
      </c>
      <c r="O2697" s="246">
        <f t="shared" si="1046"/>
        <v>0.91364332603938736</v>
      </c>
      <c r="P2697" s="121">
        <f t="shared" si="1047"/>
        <v>0</v>
      </c>
      <c r="Q2697" s="121">
        <f t="shared" si="1048"/>
        <v>1</v>
      </c>
      <c r="R2697" s="121">
        <f t="shared" si="1049"/>
        <v>0</v>
      </c>
      <c r="S2697" s="121" t="str">
        <f t="shared" si="1050"/>
        <v/>
      </c>
      <c r="T2697" s="121" t="str">
        <f t="shared" si="1051"/>
        <v/>
      </c>
      <c r="U2697" s="121">
        <f t="shared" si="1052"/>
        <v>1.0649999999999999</v>
      </c>
    </row>
    <row r="2698" spans="1:21" x14ac:dyDescent="0.3">
      <c r="A2698" s="187">
        <v>28</v>
      </c>
      <c r="B2698" s="242">
        <f t="shared" si="1053"/>
        <v>46478</v>
      </c>
      <c r="C2698" s="243">
        <f t="shared" si="1034"/>
        <v>46507</v>
      </c>
      <c r="D2698" s="120">
        <f t="shared" si="1035"/>
        <v>30</v>
      </c>
      <c r="E2698" s="120">
        <f t="shared" si="1036"/>
        <v>4</v>
      </c>
      <c r="F2698" s="275">
        <f t="shared" si="1037"/>
        <v>46493</v>
      </c>
      <c r="G2698" s="120">
        <f t="shared" si="1038"/>
        <v>24327</v>
      </c>
      <c r="H2698" s="245">
        <f t="shared" si="1039"/>
        <v>1</v>
      </c>
      <c r="I2698" s="121">
        <f t="shared" si="1040"/>
        <v>1.0649999999999999</v>
      </c>
      <c r="J2698" s="121">
        <f t="shared" si="1041"/>
        <v>1.0649999999999999</v>
      </c>
      <c r="K2698" s="120">
        <f t="shared" si="1042"/>
        <v>0</v>
      </c>
      <c r="L2698" s="120">
        <f t="shared" si="1043"/>
        <v>0</v>
      </c>
      <c r="M2698" s="246">
        <f t="shared" si="1044"/>
        <v>0</v>
      </c>
      <c r="N2698" s="121">
        <f t="shared" si="1045"/>
        <v>1.0649999999999999</v>
      </c>
      <c r="O2698" s="246">
        <f t="shared" si="1046"/>
        <v>0.91431072210065645</v>
      </c>
      <c r="P2698" s="121">
        <f t="shared" si="1047"/>
        <v>0</v>
      </c>
      <c r="Q2698" s="121">
        <f t="shared" si="1048"/>
        <v>1</v>
      </c>
      <c r="R2698" s="121">
        <f t="shared" si="1049"/>
        <v>0</v>
      </c>
      <c r="S2698" s="121" t="str">
        <f t="shared" si="1050"/>
        <v/>
      </c>
      <c r="T2698" s="121" t="str">
        <f t="shared" si="1051"/>
        <v/>
      </c>
      <c r="U2698" s="121">
        <f t="shared" si="1052"/>
        <v>1.0649999999999999</v>
      </c>
    </row>
    <row r="2699" spans="1:21" x14ac:dyDescent="0.3">
      <c r="A2699" s="187">
        <v>29</v>
      </c>
      <c r="B2699" s="242">
        <f t="shared" si="1053"/>
        <v>46508</v>
      </c>
      <c r="C2699" s="243">
        <f t="shared" si="1034"/>
        <v>46538</v>
      </c>
      <c r="D2699" s="120">
        <f t="shared" si="1035"/>
        <v>31</v>
      </c>
      <c r="E2699" s="120">
        <f t="shared" si="1036"/>
        <v>5</v>
      </c>
      <c r="F2699" s="275">
        <f t="shared" si="1037"/>
        <v>46523.5</v>
      </c>
      <c r="G2699" s="120">
        <f t="shared" si="1038"/>
        <v>24328</v>
      </c>
      <c r="H2699" s="245">
        <f t="shared" si="1039"/>
        <v>1</v>
      </c>
      <c r="I2699" s="121">
        <f t="shared" si="1040"/>
        <v>1.0649999999999999</v>
      </c>
      <c r="J2699" s="121">
        <f t="shared" si="1041"/>
        <v>1.0649999999999999</v>
      </c>
      <c r="K2699" s="120">
        <f t="shared" si="1042"/>
        <v>0</v>
      </c>
      <c r="L2699" s="120">
        <f t="shared" si="1043"/>
        <v>0</v>
      </c>
      <c r="M2699" s="246">
        <f t="shared" si="1044"/>
        <v>0</v>
      </c>
      <c r="N2699" s="121">
        <f t="shared" si="1045"/>
        <v>1.0649999999999999</v>
      </c>
      <c r="O2699" s="246">
        <f t="shared" si="1046"/>
        <v>0.91497811816192565</v>
      </c>
      <c r="P2699" s="121">
        <f t="shared" si="1047"/>
        <v>0</v>
      </c>
      <c r="Q2699" s="121">
        <f t="shared" si="1048"/>
        <v>1</v>
      </c>
      <c r="R2699" s="121">
        <f t="shared" si="1049"/>
        <v>0</v>
      </c>
      <c r="S2699" s="121" t="str">
        <f t="shared" si="1050"/>
        <v/>
      </c>
      <c r="T2699" s="121" t="str">
        <f t="shared" si="1051"/>
        <v/>
      </c>
      <c r="U2699" s="121">
        <f t="shared" si="1052"/>
        <v>1.0649999999999999</v>
      </c>
    </row>
    <row r="2700" spans="1:21" x14ac:dyDescent="0.3">
      <c r="A2700" s="187">
        <v>30</v>
      </c>
      <c r="B2700" s="242">
        <f t="shared" si="1053"/>
        <v>46539</v>
      </c>
      <c r="C2700" s="243">
        <f t="shared" si="1034"/>
        <v>46568</v>
      </c>
      <c r="D2700" s="120">
        <f t="shared" si="1035"/>
        <v>30</v>
      </c>
      <c r="E2700" s="120">
        <f t="shared" si="1036"/>
        <v>6</v>
      </c>
      <c r="F2700" s="275">
        <f t="shared" si="1037"/>
        <v>46554</v>
      </c>
      <c r="G2700" s="120">
        <f t="shared" si="1038"/>
        <v>24329</v>
      </c>
      <c r="H2700" s="245">
        <f t="shared" si="1039"/>
        <v>1</v>
      </c>
      <c r="I2700" s="121">
        <f t="shared" si="1040"/>
        <v>1.0649999999999999</v>
      </c>
      <c r="J2700" s="121">
        <f t="shared" si="1041"/>
        <v>1.0649999999999999</v>
      </c>
      <c r="K2700" s="120">
        <f t="shared" si="1042"/>
        <v>0</v>
      </c>
      <c r="L2700" s="120">
        <f t="shared" si="1043"/>
        <v>0</v>
      </c>
      <c r="M2700" s="246">
        <f t="shared" si="1044"/>
        <v>0</v>
      </c>
      <c r="N2700" s="121">
        <f t="shared" si="1045"/>
        <v>1.0649999999999999</v>
      </c>
      <c r="O2700" s="246">
        <f t="shared" si="1046"/>
        <v>0.91564551422319473</v>
      </c>
      <c r="P2700" s="121">
        <f t="shared" si="1047"/>
        <v>0</v>
      </c>
      <c r="Q2700" s="121">
        <f t="shared" si="1048"/>
        <v>1</v>
      </c>
      <c r="R2700" s="121">
        <f t="shared" si="1049"/>
        <v>0</v>
      </c>
      <c r="S2700" s="121" t="str">
        <f t="shared" si="1050"/>
        <v/>
      </c>
      <c r="T2700" s="121" t="str">
        <f t="shared" si="1051"/>
        <v/>
      </c>
      <c r="U2700" s="121">
        <f t="shared" si="1052"/>
        <v>1.0649999999999999</v>
      </c>
    </row>
    <row r="2701" spans="1:21" x14ac:dyDescent="0.3">
      <c r="A2701" s="187">
        <v>31</v>
      </c>
      <c r="B2701" s="242">
        <f t="shared" si="1053"/>
        <v>46569</v>
      </c>
      <c r="C2701" s="243">
        <f t="shared" si="1034"/>
        <v>46599</v>
      </c>
      <c r="D2701" s="120">
        <f t="shared" si="1035"/>
        <v>31</v>
      </c>
      <c r="E2701" s="120">
        <f t="shared" si="1036"/>
        <v>7</v>
      </c>
      <c r="F2701" s="275">
        <f t="shared" si="1037"/>
        <v>46584.5</v>
      </c>
      <c r="G2701" s="120">
        <f t="shared" si="1038"/>
        <v>24330</v>
      </c>
      <c r="H2701" s="245">
        <f t="shared" si="1039"/>
        <v>1</v>
      </c>
      <c r="I2701" s="121">
        <f t="shared" si="1040"/>
        <v>1.0649999999999999</v>
      </c>
      <c r="J2701" s="121">
        <f t="shared" si="1041"/>
        <v>1.0649999999999999</v>
      </c>
      <c r="K2701" s="120">
        <f t="shared" si="1042"/>
        <v>0</v>
      </c>
      <c r="L2701" s="120">
        <f t="shared" si="1043"/>
        <v>0</v>
      </c>
      <c r="M2701" s="246">
        <f t="shared" si="1044"/>
        <v>0</v>
      </c>
      <c r="N2701" s="121">
        <f t="shared" si="1045"/>
        <v>1.0649999999999999</v>
      </c>
      <c r="O2701" s="246">
        <f t="shared" si="1046"/>
        <v>0.91631291028446393</v>
      </c>
      <c r="P2701" s="121">
        <f t="shared" si="1047"/>
        <v>0</v>
      </c>
      <c r="Q2701" s="121">
        <f t="shared" si="1048"/>
        <v>0.91666666666666663</v>
      </c>
      <c r="R2701" s="121">
        <f t="shared" si="1049"/>
        <v>8.333333333333337E-2</v>
      </c>
      <c r="S2701" s="121" t="str">
        <f t="shared" si="1050"/>
        <v/>
      </c>
      <c r="T2701" s="121" t="str">
        <f t="shared" si="1051"/>
        <v/>
      </c>
      <c r="U2701" s="121">
        <f t="shared" si="1052"/>
        <v>1.0649999999999999</v>
      </c>
    </row>
    <row r="2702" spans="1:21" x14ac:dyDescent="0.3">
      <c r="A2702" s="187">
        <v>32</v>
      </c>
      <c r="B2702" s="242">
        <f t="shared" si="1053"/>
        <v>46600</v>
      </c>
      <c r="C2702" s="243">
        <f t="shared" si="1034"/>
        <v>46630</v>
      </c>
      <c r="D2702" s="120">
        <f t="shared" si="1035"/>
        <v>31</v>
      </c>
      <c r="E2702" s="120">
        <f t="shared" si="1036"/>
        <v>8</v>
      </c>
      <c r="F2702" s="275">
        <f t="shared" si="1037"/>
        <v>46615.5</v>
      </c>
      <c r="G2702" s="120">
        <f t="shared" si="1038"/>
        <v>24331</v>
      </c>
      <c r="H2702" s="245">
        <f t="shared" si="1039"/>
        <v>1</v>
      </c>
      <c r="I2702" s="121">
        <f t="shared" si="1040"/>
        <v>1.0649999999999999</v>
      </c>
      <c r="J2702" s="121">
        <f t="shared" si="1041"/>
        <v>1.0649999999999999</v>
      </c>
      <c r="K2702" s="120">
        <f t="shared" si="1042"/>
        <v>0</v>
      </c>
      <c r="L2702" s="120">
        <f t="shared" si="1043"/>
        <v>0</v>
      </c>
      <c r="M2702" s="246">
        <f t="shared" si="1044"/>
        <v>0</v>
      </c>
      <c r="N2702" s="121">
        <f t="shared" si="1045"/>
        <v>1.0649999999999999</v>
      </c>
      <c r="O2702" s="246">
        <f t="shared" si="1046"/>
        <v>0.91699124726477033</v>
      </c>
      <c r="P2702" s="121">
        <f t="shared" si="1047"/>
        <v>0</v>
      </c>
      <c r="Q2702" s="121">
        <f t="shared" si="1048"/>
        <v>0.75</v>
      </c>
      <c r="R2702" s="121">
        <f t="shared" si="1049"/>
        <v>0.25</v>
      </c>
      <c r="S2702" s="121" t="str">
        <f t="shared" si="1050"/>
        <v/>
      </c>
      <c r="T2702" s="121" t="str">
        <f t="shared" si="1051"/>
        <v/>
      </c>
      <c r="U2702" s="121">
        <f t="shared" si="1052"/>
        <v>1.0649999999999999</v>
      </c>
    </row>
    <row r="2703" spans="1:21" x14ac:dyDescent="0.3">
      <c r="A2703" s="187">
        <v>33</v>
      </c>
      <c r="B2703" s="242">
        <f t="shared" si="1053"/>
        <v>46631</v>
      </c>
      <c r="C2703" s="243">
        <f t="shared" si="1034"/>
        <v>46660</v>
      </c>
      <c r="D2703" s="120">
        <f t="shared" si="1035"/>
        <v>30</v>
      </c>
      <c r="E2703" s="120">
        <f t="shared" si="1036"/>
        <v>9</v>
      </c>
      <c r="F2703" s="275">
        <f t="shared" si="1037"/>
        <v>46646</v>
      </c>
      <c r="G2703" s="120">
        <f t="shared" si="1038"/>
        <v>24332</v>
      </c>
      <c r="H2703" s="245">
        <f t="shared" si="1039"/>
        <v>1</v>
      </c>
      <c r="I2703" s="121">
        <f t="shared" si="1040"/>
        <v>1.0649999999999999</v>
      </c>
      <c r="J2703" s="121">
        <f t="shared" si="1041"/>
        <v>1.0649999999999999</v>
      </c>
      <c r="K2703" s="120">
        <f t="shared" si="1042"/>
        <v>0</v>
      </c>
      <c r="L2703" s="120">
        <f t="shared" si="1043"/>
        <v>0</v>
      </c>
      <c r="M2703" s="246">
        <f t="shared" si="1044"/>
        <v>0</v>
      </c>
      <c r="N2703" s="121">
        <f t="shared" si="1045"/>
        <v>1.0649999999999999</v>
      </c>
      <c r="O2703" s="246">
        <f t="shared" si="1046"/>
        <v>0.91765864332603941</v>
      </c>
      <c r="P2703" s="121">
        <f t="shared" si="1047"/>
        <v>0</v>
      </c>
      <c r="Q2703" s="121">
        <f t="shared" si="1048"/>
        <v>0.58333333333333337</v>
      </c>
      <c r="R2703" s="121">
        <f t="shared" si="1049"/>
        <v>0.41666666666666663</v>
      </c>
      <c r="S2703" s="121" t="str">
        <f t="shared" si="1050"/>
        <v/>
      </c>
      <c r="T2703" s="121" t="str">
        <f t="shared" si="1051"/>
        <v/>
      </c>
      <c r="U2703" s="121">
        <f t="shared" si="1052"/>
        <v>1.0649999999999999</v>
      </c>
    </row>
    <row r="2704" spans="1:21" x14ac:dyDescent="0.3">
      <c r="A2704" s="187">
        <v>34</v>
      </c>
      <c r="B2704" s="242">
        <f t="shared" si="1053"/>
        <v>46661</v>
      </c>
      <c r="C2704" s="243">
        <f t="shared" si="1034"/>
        <v>46691</v>
      </c>
      <c r="D2704" s="120">
        <f t="shared" si="1035"/>
        <v>31</v>
      </c>
      <c r="E2704" s="120">
        <f t="shared" si="1036"/>
        <v>10</v>
      </c>
      <c r="F2704" s="275">
        <f t="shared" si="1037"/>
        <v>46676.5</v>
      </c>
      <c r="G2704" s="120">
        <f t="shared" si="1038"/>
        <v>24333</v>
      </c>
      <c r="H2704" s="245">
        <f t="shared" si="1039"/>
        <v>1</v>
      </c>
      <c r="I2704" s="121">
        <f t="shared" si="1040"/>
        <v>1.0649999999999999</v>
      </c>
      <c r="J2704" s="121">
        <f t="shared" si="1041"/>
        <v>1.0649999999999999</v>
      </c>
      <c r="K2704" s="120">
        <f t="shared" si="1042"/>
        <v>0</v>
      </c>
      <c r="L2704" s="120">
        <f t="shared" si="1043"/>
        <v>0</v>
      </c>
      <c r="M2704" s="246">
        <f t="shared" si="1044"/>
        <v>0</v>
      </c>
      <c r="N2704" s="121">
        <f t="shared" si="1045"/>
        <v>1.0649999999999999</v>
      </c>
      <c r="O2704" s="246">
        <f t="shared" si="1046"/>
        <v>0.91832603938730861</v>
      </c>
      <c r="P2704" s="121">
        <f t="shared" si="1047"/>
        <v>0</v>
      </c>
      <c r="Q2704" s="121">
        <f t="shared" si="1048"/>
        <v>0.41666666666666669</v>
      </c>
      <c r="R2704" s="121">
        <f t="shared" si="1049"/>
        <v>0.58333333333333326</v>
      </c>
      <c r="S2704" s="121" t="str">
        <f t="shared" si="1050"/>
        <v/>
      </c>
      <c r="T2704" s="121" t="str">
        <f t="shared" si="1051"/>
        <v/>
      </c>
      <c r="U2704" s="121">
        <f t="shared" si="1052"/>
        <v>1.0649999999999999</v>
      </c>
    </row>
    <row r="2705" spans="1:21" x14ac:dyDescent="0.3">
      <c r="A2705" s="187">
        <v>35</v>
      </c>
      <c r="B2705" s="242">
        <f t="shared" si="1053"/>
        <v>46692</v>
      </c>
      <c r="C2705" s="243">
        <f t="shared" si="1034"/>
        <v>46721</v>
      </c>
      <c r="D2705" s="120">
        <f t="shared" si="1035"/>
        <v>30</v>
      </c>
      <c r="E2705" s="120">
        <f t="shared" si="1036"/>
        <v>11</v>
      </c>
      <c r="F2705" s="275">
        <f t="shared" si="1037"/>
        <v>46707</v>
      </c>
      <c r="G2705" s="120">
        <f t="shared" si="1038"/>
        <v>24334</v>
      </c>
      <c r="H2705" s="245">
        <f t="shared" si="1039"/>
        <v>1</v>
      </c>
      <c r="I2705" s="121">
        <f t="shared" si="1040"/>
        <v>1.0649999999999999</v>
      </c>
      <c r="J2705" s="121">
        <f t="shared" si="1041"/>
        <v>1.0649999999999999</v>
      </c>
      <c r="K2705" s="120">
        <f t="shared" si="1042"/>
        <v>0</v>
      </c>
      <c r="L2705" s="120">
        <f t="shared" si="1043"/>
        <v>0</v>
      </c>
      <c r="M2705" s="246">
        <f t="shared" si="1044"/>
        <v>0</v>
      </c>
      <c r="N2705" s="121">
        <f t="shared" si="1045"/>
        <v>1.0649999999999999</v>
      </c>
      <c r="O2705" s="246">
        <f t="shared" si="1046"/>
        <v>0.9189934354485777</v>
      </c>
      <c r="P2705" s="121">
        <f t="shared" si="1047"/>
        <v>0</v>
      </c>
      <c r="Q2705" s="121">
        <f t="shared" si="1048"/>
        <v>0.25</v>
      </c>
      <c r="R2705" s="121">
        <f t="shared" si="1049"/>
        <v>0.75</v>
      </c>
      <c r="S2705" s="121" t="str">
        <f t="shared" si="1050"/>
        <v/>
      </c>
      <c r="T2705" s="121" t="str">
        <f t="shared" si="1051"/>
        <v/>
      </c>
      <c r="U2705" s="121">
        <f t="shared" si="1052"/>
        <v>1.0649999999999999</v>
      </c>
    </row>
    <row r="2706" spans="1:21" x14ac:dyDescent="0.3">
      <c r="A2706" s="187">
        <v>36</v>
      </c>
      <c r="B2706" s="242">
        <f t="shared" si="1053"/>
        <v>46722</v>
      </c>
      <c r="C2706" s="243">
        <f t="shared" si="1034"/>
        <v>46752</v>
      </c>
      <c r="D2706" s="120">
        <f t="shared" si="1035"/>
        <v>31</v>
      </c>
      <c r="E2706" s="120">
        <f t="shared" si="1036"/>
        <v>12</v>
      </c>
      <c r="F2706" s="275">
        <f t="shared" si="1037"/>
        <v>46737.5</v>
      </c>
      <c r="G2706" s="120">
        <f t="shared" si="1038"/>
        <v>24335</v>
      </c>
      <c r="H2706" s="245">
        <f t="shared" si="1039"/>
        <v>1</v>
      </c>
      <c r="I2706" s="121">
        <f t="shared" si="1040"/>
        <v>1.0649999999999999</v>
      </c>
      <c r="J2706" s="121">
        <f t="shared" si="1041"/>
        <v>1.0649999999999999</v>
      </c>
      <c r="K2706" s="120">
        <f t="shared" si="1042"/>
        <v>0</v>
      </c>
      <c r="L2706" s="120">
        <f t="shared" si="1043"/>
        <v>0</v>
      </c>
      <c r="M2706" s="246">
        <f t="shared" si="1044"/>
        <v>0</v>
      </c>
      <c r="N2706" s="121">
        <f t="shared" si="1045"/>
        <v>1.0649999999999999</v>
      </c>
      <c r="O2706" s="246">
        <f t="shared" si="1046"/>
        <v>0.9196608315098469</v>
      </c>
      <c r="P2706" s="121">
        <f t="shared" si="1047"/>
        <v>0</v>
      </c>
      <c r="Q2706" s="121">
        <f t="shared" si="1048"/>
        <v>8.3333333333333329E-2</v>
      </c>
      <c r="R2706" s="121">
        <f t="shared" si="1049"/>
        <v>0.91666666666666663</v>
      </c>
      <c r="S2706" s="121" t="str">
        <f t="shared" si="1050"/>
        <v/>
      </c>
      <c r="T2706" s="121" t="str">
        <f t="shared" si="1051"/>
        <v/>
      </c>
      <c r="U2706" s="121">
        <f t="shared" si="1052"/>
        <v>1.0649999999999999</v>
      </c>
    </row>
    <row r="2707" spans="1:21" x14ac:dyDescent="0.3">
      <c r="A2707" s="187">
        <v>37</v>
      </c>
      <c r="B2707" s="242">
        <f t="shared" si="1053"/>
        <v>46753</v>
      </c>
      <c r="C2707" s="243">
        <f t="shared" si="1034"/>
        <v>46783</v>
      </c>
      <c r="D2707" s="120">
        <f t="shared" si="1035"/>
        <v>31</v>
      </c>
      <c r="E2707" s="120">
        <f t="shared" si="1036"/>
        <v>1</v>
      </c>
      <c r="F2707" s="275">
        <f t="shared" si="1037"/>
        <v>46768.5</v>
      </c>
      <c r="G2707" s="120">
        <f t="shared" si="1038"/>
        <v>24336</v>
      </c>
      <c r="H2707" s="245">
        <f t="shared" si="1039"/>
        <v>1</v>
      </c>
      <c r="I2707" s="121">
        <f t="shared" si="1040"/>
        <v>1.0649999999999999</v>
      </c>
      <c r="J2707" s="121">
        <f t="shared" si="1041"/>
        <v>1.0649999999999999</v>
      </c>
      <c r="K2707" s="120">
        <f t="shared" si="1042"/>
        <v>0</v>
      </c>
      <c r="L2707" s="120">
        <f t="shared" si="1043"/>
        <v>0</v>
      </c>
      <c r="M2707" s="246">
        <f t="shared" si="1044"/>
        <v>0</v>
      </c>
      <c r="N2707" s="121">
        <f t="shared" si="1045"/>
        <v>1.0649999999999999</v>
      </c>
      <c r="O2707" s="246">
        <f t="shared" si="1046"/>
        <v>0.92</v>
      </c>
      <c r="P2707" s="121">
        <f t="shared" si="1047"/>
        <v>0</v>
      </c>
      <c r="Q2707" s="121">
        <f t="shared" si="1048"/>
        <v>0</v>
      </c>
      <c r="R2707" s="121">
        <f t="shared" si="1049"/>
        <v>1</v>
      </c>
      <c r="S2707" s="121" t="str">
        <f t="shared" si="1050"/>
        <v/>
      </c>
      <c r="T2707" s="121" t="str">
        <f t="shared" si="1051"/>
        <v/>
      </c>
      <c r="U2707" s="121">
        <f t="shared" si="1052"/>
        <v>1.0649999999999999</v>
      </c>
    </row>
    <row r="2708" spans="1:21" x14ac:dyDescent="0.3">
      <c r="A2708" s="187">
        <v>38</v>
      </c>
      <c r="B2708" s="242">
        <f t="shared" si="1053"/>
        <v>46784</v>
      </c>
      <c r="C2708" s="243">
        <f t="shared" si="1034"/>
        <v>46812</v>
      </c>
      <c r="D2708" s="120">
        <f t="shared" si="1035"/>
        <v>29</v>
      </c>
      <c r="E2708" s="120">
        <f t="shared" si="1036"/>
        <v>2</v>
      </c>
      <c r="F2708" s="275">
        <f t="shared" si="1037"/>
        <v>46798.5</v>
      </c>
      <c r="G2708" s="120">
        <f t="shared" si="1038"/>
        <v>24337</v>
      </c>
      <c r="H2708" s="245">
        <f t="shared" si="1039"/>
        <v>1</v>
      </c>
      <c r="I2708" s="121">
        <f t="shared" si="1040"/>
        <v>1.0649999999999999</v>
      </c>
      <c r="J2708" s="121">
        <f t="shared" si="1041"/>
        <v>1.0649999999999999</v>
      </c>
      <c r="K2708" s="120">
        <f t="shared" si="1042"/>
        <v>0</v>
      </c>
      <c r="L2708" s="120">
        <f t="shared" si="1043"/>
        <v>0</v>
      </c>
      <c r="M2708" s="246">
        <f t="shared" si="1044"/>
        <v>0</v>
      </c>
      <c r="N2708" s="121">
        <f t="shared" si="1045"/>
        <v>1.0649999999999999</v>
      </c>
      <c r="O2708" s="246">
        <f t="shared" si="1046"/>
        <v>0.92</v>
      </c>
      <c r="P2708" s="121">
        <f t="shared" si="1047"/>
        <v>0</v>
      </c>
      <c r="Q2708" s="121">
        <f t="shared" si="1048"/>
        <v>0</v>
      </c>
      <c r="R2708" s="121">
        <f t="shared" si="1049"/>
        <v>1</v>
      </c>
      <c r="S2708" s="121" t="str">
        <f t="shared" si="1050"/>
        <v/>
      </c>
      <c r="T2708" s="121" t="str">
        <f t="shared" si="1051"/>
        <v/>
      </c>
      <c r="U2708" s="121">
        <f t="shared" si="1052"/>
        <v>1.0649999999999999</v>
      </c>
    </row>
    <row r="2709" spans="1:21" x14ac:dyDescent="0.3">
      <c r="A2709" s="187">
        <v>39</v>
      </c>
      <c r="B2709" s="242">
        <f t="shared" si="1053"/>
        <v>46813</v>
      </c>
      <c r="C2709" s="243">
        <f t="shared" si="1034"/>
        <v>46843</v>
      </c>
      <c r="D2709" s="120">
        <f t="shared" si="1035"/>
        <v>31</v>
      </c>
      <c r="E2709" s="120">
        <f t="shared" si="1036"/>
        <v>3</v>
      </c>
      <c r="F2709" s="275">
        <f t="shared" si="1037"/>
        <v>46828.5</v>
      </c>
      <c r="G2709" s="120">
        <f t="shared" si="1038"/>
        <v>24338</v>
      </c>
      <c r="H2709" s="245">
        <f t="shared" si="1039"/>
        <v>1</v>
      </c>
      <c r="I2709" s="121">
        <f t="shared" si="1040"/>
        <v>1.0649999999999999</v>
      </c>
      <c r="J2709" s="121">
        <f t="shared" si="1041"/>
        <v>1.0649999999999999</v>
      </c>
      <c r="K2709" s="120">
        <f t="shared" si="1042"/>
        <v>0</v>
      </c>
      <c r="L2709" s="120">
        <f t="shared" si="1043"/>
        <v>0</v>
      </c>
      <c r="M2709" s="246">
        <f t="shared" si="1044"/>
        <v>0</v>
      </c>
      <c r="N2709" s="121">
        <f t="shared" si="1045"/>
        <v>1.0649999999999999</v>
      </c>
      <c r="O2709" s="246">
        <f t="shared" si="1046"/>
        <v>0.92</v>
      </c>
      <c r="P2709" s="121">
        <f t="shared" si="1047"/>
        <v>0</v>
      </c>
      <c r="Q2709" s="121">
        <f t="shared" si="1048"/>
        <v>0</v>
      </c>
      <c r="R2709" s="121">
        <f t="shared" si="1049"/>
        <v>1</v>
      </c>
      <c r="S2709" s="121" t="str">
        <f t="shared" si="1050"/>
        <v/>
      </c>
      <c r="T2709" s="121" t="str">
        <f t="shared" si="1051"/>
        <v/>
      </c>
      <c r="U2709" s="121">
        <f t="shared" si="1052"/>
        <v>1.0649999999999999</v>
      </c>
    </row>
    <row r="2710" spans="1:21" x14ac:dyDescent="0.3">
      <c r="A2710" s="187">
        <v>40</v>
      </c>
      <c r="B2710" s="242">
        <f t="shared" si="1053"/>
        <v>46844</v>
      </c>
      <c r="C2710" s="243">
        <f t="shared" si="1034"/>
        <v>46873</v>
      </c>
      <c r="D2710" s="120">
        <f t="shared" si="1035"/>
        <v>30</v>
      </c>
      <c r="E2710" s="120">
        <f t="shared" si="1036"/>
        <v>4</v>
      </c>
      <c r="F2710" s="275">
        <f t="shared" si="1037"/>
        <v>46859</v>
      </c>
      <c r="G2710" s="120">
        <f t="shared" si="1038"/>
        <v>24339</v>
      </c>
      <c r="H2710" s="245">
        <f t="shared" si="1039"/>
        <v>1</v>
      </c>
      <c r="I2710" s="121">
        <f t="shared" si="1040"/>
        <v>1.0649999999999999</v>
      </c>
      <c r="J2710" s="121">
        <f t="shared" si="1041"/>
        <v>1.0649999999999999</v>
      </c>
      <c r="K2710" s="120">
        <f t="shared" si="1042"/>
        <v>0</v>
      </c>
      <c r="L2710" s="120">
        <f t="shared" si="1043"/>
        <v>0</v>
      </c>
      <c r="M2710" s="246">
        <f t="shared" si="1044"/>
        <v>0</v>
      </c>
      <c r="N2710" s="121">
        <f t="shared" si="1045"/>
        <v>1.0649999999999999</v>
      </c>
      <c r="O2710" s="246">
        <f t="shared" si="1046"/>
        <v>0.92</v>
      </c>
      <c r="P2710" s="121">
        <f t="shared" si="1047"/>
        <v>0</v>
      </c>
      <c r="Q2710" s="121">
        <f t="shared" si="1048"/>
        <v>0</v>
      </c>
      <c r="R2710" s="121">
        <f t="shared" si="1049"/>
        <v>1</v>
      </c>
      <c r="S2710" s="121" t="str">
        <f t="shared" si="1050"/>
        <v/>
      </c>
      <c r="T2710" s="121" t="str">
        <f t="shared" si="1051"/>
        <v/>
      </c>
      <c r="U2710" s="121">
        <f t="shared" si="1052"/>
        <v>1.0649999999999999</v>
      </c>
    </row>
    <row r="2711" spans="1:21" x14ac:dyDescent="0.3">
      <c r="A2711" s="187">
        <v>41</v>
      </c>
      <c r="B2711" s="242">
        <f t="shared" si="1053"/>
        <v>46874</v>
      </c>
      <c r="C2711" s="243">
        <f t="shared" si="1034"/>
        <v>46904</v>
      </c>
      <c r="D2711" s="120">
        <f t="shared" si="1035"/>
        <v>31</v>
      </c>
      <c r="E2711" s="120">
        <f t="shared" si="1036"/>
        <v>5</v>
      </c>
      <c r="F2711" s="275">
        <f t="shared" si="1037"/>
        <v>46889.5</v>
      </c>
      <c r="G2711" s="120">
        <f t="shared" si="1038"/>
        <v>24340</v>
      </c>
      <c r="H2711" s="245">
        <f t="shared" si="1039"/>
        <v>1</v>
      </c>
      <c r="I2711" s="121">
        <f t="shared" si="1040"/>
        <v>1.0649999999999999</v>
      </c>
      <c r="J2711" s="121">
        <f t="shared" si="1041"/>
        <v>1.0649999999999999</v>
      </c>
      <c r="K2711" s="120">
        <f t="shared" si="1042"/>
        <v>0</v>
      </c>
      <c r="L2711" s="120">
        <f t="shared" si="1043"/>
        <v>0</v>
      </c>
      <c r="M2711" s="246">
        <f t="shared" si="1044"/>
        <v>0</v>
      </c>
      <c r="N2711" s="121">
        <f t="shared" si="1045"/>
        <v>1.0649999999999999</v>
      </c>
      <c r="O2711" s="246">
        <f t="shared" si="1046"/>
        <v>0.92</v>
      </c>
      <c r="P2711" s="121">
        <f t="shared" si="1047"/>
        <v>0</v>
      </c>
      <c r="Q2711" s="121">
        <f t="shared" si="1048"/>
        <v>0</v>
      </c>
      <c r="R2711" s="121">
        <f t="shared" si="1049"/>
        <v>1</v>
      </c>
      <c r="S2711" s="121" t="str">
        <f t="shared" si="1050"/>
        <v/>
      </c>
      <c r="T2711" s="121" t="str">
        <f t="shared" si="1051"/>
        <v/>
      </c>
      <c r="U2711" s="121">
        <f t="shared" si="1052"/>
        <v>1.0649999999999999</v>
      </c>
    </row>
    <row r="2712" spans="1:21" x14ac:dyDescent="0.3">
      <c r="A2712" s="187">
        <v>42</v>
      </c>
      <c r="B2712" s="242">
        <f t="shared" si="1053"/>
        <v>46905</v>
      </c>
      <c r="C2712" s="243">
        <f t="shared" si="1034"/>
        <v>46934</v>
      </c>
      <c r="D2712" s="120">
        <f t="shared" si="1035"/>
        <v>30</v>
      </c>
      <c r="E2712" s="120">
        <f t="shared" si="1036"/>
        <v>6</v>
      </c>
      <c r="F2712" s="275">
        <f t="shared" si="1037"/>
        <v>46920</v>
      </c>
      <c r="G2712" s="120">
        <f t="shared" si="1038"/>
        <v>24341</v>
      </c>
      <c r="H2712" s="245">
        <f t="shared" si="1039"/>
        <v>1</v>
      </c>
      <c r="I2712" s="121">
        <f t="shared" si="1040"/>
        <v>1.0649999999999999</v>
      </c>
      <c r="J2712" s="121">
        <f t="shared" si="1041"/>
        <v>1.0649999999999999</v>
      </c>
      <c r="K2712" s="120">
        <f t="shared" si="1042"/>
        <v>0</v>
      </c>
      <c r="L2712" s="120">
        <f t="shared" si="1043"/>
        <v>0</v>
      </c>
      <c r="M2712" s="246">
        <f t="shared" si="1044"/>
        <v>0</v>
      </c>
      <c r="N2712" s="121">
        <f t="shared" si="1045"/>
        <v>1.0649999999999999</v>
      </c>
      <c r="O2712" s="246">
        <f t="shared" si="1046"/>
        <v>0.92</v>
      </c>
      <c r="P2712" s="121">
        <f t="shared" si="1047"/>
        <v>0</v>
      </c>
      <c r="Q2712" s="121">
        <f t="shared" si="1048"/>
        <v>0</v>
      </c>
      <c r="R2712" s="121">
        <f t="shared" si="1049"/>
        <v>1</v>
      </c>
      <c r="S2712" s="121" t="str">
        <f t="shared" si="1050"/>
        <v/>
      </c>
      <c r="T2712" s="121" t="str">
        <f t="shared" si="1051"/>
        <v/>
      </c>
      <c r="U2712" s="121">
        <f t="shared" si="1052"/>
        <v>1.0649999999999999</v>
      </c>
    </row>
    <row r="2713" spans="1:21" x14ac:dyDescent="0.3">
      <c r="A2713" s="187">
        <v>43</v>
      </c>
      <c r="B2713" s="242">
        <f t="shared" si="1053"/>
        <v>46935</v>
      </c>
      <c r="C2713" s="243">
        <f t="shared" si="1034"/>
        <v>46965</v>
      </c>
      <c r="D2713" s="120">
        <f t="shared" si="1035"/>
        <v>31</v>
      </c>
      <c r="E2713" s="120">
        <f t="shared" si="1036"/>
        <v>7</v>
      </c>
      <c r="F2713" s="275">
        <f t="shared" si="1037"/>
        <v>46950.5</v>
      </c>
      <c r="G2713" s="120">
        <f t="shared" si="1038"/>
        <v>24342</v>
      </c>
      <c r="H2713" s="245">
        <f t="shared" si="1039"/>
        <v>1</v>
      </c>
      <c r="I2713" s="121">
        <f t="shared" si="1040"/>
        <v>1.0649999999999999</v>
      </c>
      <c r="J2713" s="121">
        <f t="shared" si="1041"/>
        <v>1.0649999999999999</v>
      </c>
      <c r="K2713" s="120">
        <f t="shared" si="1042"/>
        <v>0</v>
      </c>
      <c r="L2713" s="120">
        <f t="shared" si="1043"/>
        <v>0</v>
      </c>
      <c r="M2713" s="246">
        <f t="shared" si="1044"/>
        <v>0</v>
      </c>
      <c r="N2713" s="121">
        <f t="shared" si="1045"/>
        <v>1.0649999999999999</v>
      </c>
      <c r="O2713" s="246">
        <f t="shared" si="1046"/>
        <v>0.92</v>
      </c>
      <c r="P2713" s="121">
        <f t="shared" si="1047"/>
        <v>0</v>
      </c>
      <c r="Q2713" s="121">
        <f t="shared" si="1048"/>
        <v>0</v>
      </c>
      <c r="R2713" s="121">
        <f t="shared" si="1049"/>
        <v>0.91666666666666663</v>
      </c>
      <c r="S2713" s="121" t="str">
        <f t="shared" si="1050"/>
        <v/>
      </c>
      <c r="T2713" s="121" t="str">
        <f t="shared" si="1051"/>
        <v/>
      </c>
      <c r="U2713" s="121">
        <f t="shared" si="1052"/>
        <v>1.0649999999999999</v>
      </c>
    </row>
    <row r="2714" spans="1:21" x14ac:dyDescent="0.3">
      <c r="A2714" s="187">
        <v>44</v>
      </c>
      <c r="B2714" s="242">
        <f t="shared" si="1053"/>
        <v>46966</v>
      </c>
      <c r="C2714" s="243">
        <f t="shared" si="1034"/>
        <v>46996</v>
      </c>
      <c r="D2714" s="120">
        <f t="shared" si="1035"/>
        <v>31</v>
      </c>
      <c r="E2714" s="120">
        <f t="shared" si="1036"/>
        <v>8</v>
      </c>
      <c r="F2714" s="275">
        <f t="shared" si="1037"/>
        <v>46981.5</v>
      </c>
      <c r="G2714" s="120">
        <f t="shared" si="1038"/>
        <v>24343</v>
      </c>
      <c r="H2714" s="245">
        <f t="shared" si="1039"/>
        <v>1</v>
      </c>
      <c r="I2714" s="121">
        <f t="shared" si="1040"/>
        <v>1.0649999999999999</v>
      </c>
      <c r="J2714" s="121">
        <f t="shared" si="1041"/>
        <v>1.0649999999999999</v>
      </c>
      <c r="K2714" s="120">
        <f t="shared" si="1042"/>
        <v>0</v>
      </c>
      <c r="L2714" s="120">
        <f t="shared" si="1043"/>
        <v>0</v>
      </c>
      <c r="M2714" s="246">
        <f t="shared" si="1044"/>
        <v>0</v>
      </c>
      <c r="N2714" s="121">
        <f t="shared" si="1045"/>
        <v>1.0649999999999999</v>
      </c>
      <c r="O2714" s="246">
        <f t="shared" si="1046"/>
        <v>0.92</v>
      </c>
      <c r="P2714" s="121">
        <f t="shared" si="1047"/>
        <v>0</v>
      </c>
      <c r="Q2714" s="121">
        <f t="shared" si="1048"/>
        <v>0</v>
      </c>
      <c r="R2714" s="121">
        <f t="shared" si="1049"/>
        <v>0.75</v>
      </c>
      <c r="S2714" s="121" t="str">
        <f t="shared" si="1050"/>
        <v/>
      </c>
      <c r="T2714" s="121" t="str">
        <f t="shared" si="1051"/>
        <v/>
      </c>
      <c r="U2714" s="121">
        <f t="shared" si="1052"/>
        <v>1.0649999999999999</v>
      </c>
    </row>
    <row r="2715" spans="1:21" x14ac:dyDescent="0.3">
      <c r="A2715" s="187">
        <v>45</v>
      </c>
      <c r="B2715" s="242">
        <f t="shared" si="1053"/>
        <v>46997</v>
      </c>
      <c r="C2715" s="243">
        <f t="shared" si="1034"/>
        <v>47026</v>
      </c>
      <c r="D2715" s="120">
        <f t="shared" si="1035"/>
        <v>30</v>
      </c>
      <c r="E2715" s="120">
        <f t="shared" si="1036"/>
        <v>9</v>
      </c>
      <c r="F2715" s="275">
        <f t="shared" si="1037"/>
        <v>47012</v>
      </c>
      <c r="G2715" s="120">
        <f t="shared" si="1038"/>
        <v>24344</v>
      </c>
      <c r="H2715" s="245">
        <f t="shared" si="1039"/>
        <v>1</v>
      </c>
      <c r="I2715" s="121">
        <f t="shared" si="1040"/>
        <v>1.0649999999999999</v>
      </c>
      <c r="J2715" s="121">
        <f t="shared" si="1041"/>
        <v>1.0649999999999999</v>
      </c>
      <c r="K2715" s="120">
        <f t="shared" si="1042"/>
        <v>0</v>
      </c>
      <c r="L2715" s="120">
        <f t="shared" si="1043"/>
        <v>0</v>
      </c>
      <c r="M2715" s="246">
        <f t="shared" si="1044"/>
        <v>0</v>
      </c>
      <c r="N2715" s="121">
        <f t="shared" si="1045"/>
        <v>1.0649999999999999</v>
      </c>
      <c r="O2715" s="246">
        <f t="shared" si="1046"/>
        <v>0.92</v>
      </c>
      <c r="P2715" s="121">
        <f t="shared" si="1047"/>
        <v>0</v>
      </c>
      <c r="Q2715" s="121">
        <f t="shared" si="1048"/>
        <v>0</v>
      </c>
      <c r="R2715" s="121">
        <f t="shared" si="1049"/>
        <v>0.58333333333333337</v>
      </c>
      <c r="S2715" s="121" t="str">
        <f t="shared" si="1050"/>
        <v/>
      </c>
      <c r="T2715" s="121" t="str">
        <f t="shared" si="1051"/>
        <v/>
      </c>
      <c r="U2715" s="121">
        <f t="shared" si="1052"/>
        <v>1.0649999999999999</v>
      </c>
    </row>
    <row r="2716" spans="1:21" x14ac:dyDescent="0.3">
      <c r="A2716" s="187">
        <v>46</v>
      </c>
      <c r="B2716" s="242">
        <f t="shared" si="1053"/>
        <v>47027</v>
      </c>
      <c r="C2716" s="243">
        <f t="shared" si="1034"/>
        <v>47057</v>
      </c>
      <c r="D2716" s="120">
        <f t="shared" si="1035"/>
        <v>31</v>
      </c>
      <c r="E2716" s="120">
        <f t="shared" si="1036"/>
        <v>10</v>
      </c>
      <c r="F2716" s="275">
        <f t="shared" si="1037"/>
        <v>47042.5</v>
      </c>
      <c r="G2716" s="120">
        <f t="shared" si="1038"/>
        <v>24345</v>
      </c>
      <c r="H2716" s="245">
        <f t="shared" si="1039"/>
        <v>1</v>
      </c>
      <c r="I2716" s="121">
        <f t="shared" si="1040"/>
        <v>1.0649999999999999</v>
      </c>
      <c r="J2716" s="121">
        <f t="shared" si="1041"/>
        <v>1.0649999999999999</v>
      </c>
      <c r="K2716" s="120">
        <f t="shared" si="1042"/>
        <v>0</v>
      </c>
      <c r="L2716" s="120">
        <f t="shared" si="1043"/>
        <v>0</v>
      </c>
      <c r="M2716" s="246">
        <f t="shared" si="1044"/>
        <v>0</v>
      </c>
      <c r="N2716" s="121">
        <f t="shared" si="1045"/>
        <v>1.0649999999999999</v>
      </c>
      <c r="O2716" s="246">
        <f t="shared" si="1046"/>
        <v>0.92</v>
      </c>
      <c r="P2716" s="121">
        <f t="shared" si="1047"/>
        <v>0</v>
      </c>
      <c r="Q2716" s="121">
        <f t="shared" si="1048"/>
        <v>0</v>
      </c>
      <c r="R2716" s="121">
        <f t="shared" si="1049"/>
        <v>0.41666666666666669</v>
      </c>
      <c r="S2716" s="121" t="str">
        <f t="shared" si="1050"/>
        <v/>
      </c>
      <c r="T2716" s="121" t="str">
        <f t="shared" si="1051"/>
        <v/>
      </c>
      <c r="U2716" s="121">
        <f t="shared" si="1052"/>
        <v>1.0649999999999999</v>
      </c>
    </row>
    <row r="2717" spans="1:21" x14ac:dyDescent="0.3">
      <c r="A2717" s="187">
        <v>47</v>
      </c>
      <c r="B2717" s="242">
        <f t="shared" si="1053"/>
        <v>47058</v>
      </c>
      <c r="C2717" s="243">
        <f t="shared" si="1034"/>
        <v>47087</v>
      </c>
      <c r="D2717" s="120">
        <f t="shared" si="1035"/>
        <v>30</v>
      </c>
      <c r="E2717" s="120">
        <f t="shared" si="1036"/>
        <v>11</v>
      </c>
      <c r="F2717" s="275">
        <f t="shared" si="1037"/>
        <v>47073</v>
      </c>
      <c r="G2717" s="120">
        <f t="shared" si="1038"/>
        <v>24346</v>
      </c>
      <c r="H2717" s="245">
        <f t="shared" si="1039"/>
        <v>1</v>
      </c>
      <c r="I2717" s="121">
        <f t="shared" si="1040"/>
        <v>1.0649999999999999</v>
      </c>
      <c r="J2717" s="121">
        <f t="shared" si="1041"/>
        <v>1.0649999999999999</v>
      </c>
      <c r="K2717" s="120">
        <f t="shared" si="1042"/>
        <v>0</v>
      </c>
      <c r="L2717" s="120">
        <f t="shared" si="1043"/>
        <v>0</v>
      </c>
      <c r="M2717" s="246">
        <f t="shared" si="1044"/>
        <v>0</v>
      </c>
      <c r="N2717" s="121">
        <f t="shared" si="1045"/>
        <v>1.0649999999999999</v>
      </c>
      <c r="O2717" s="246">
        <f t="shared" si="1046"/>
        <v>0.92</v>
      </c>
      <c r="P2717" s="121">
        <f t="shared" si="1047"/>
        <v>0</v>
      </c>
      <c r="Q2717" s="121">
        <f t="shared" si="1048"/>
        <v>0</v>
      </c>
      <c r="R2717" s="121">
        <f t="shared" si="1049"/>
        <v>0.25</v>
      </c>
      <c r="S2717" s="121" t="str">
        <f t="shared" si="1050"/>
        <v/>
      </c>
      <c r="T2717" s="121" t="str">
        <f t="shared" si="1051"/>
        <v/>
      </c>
      <c r="U2717" s="121">
        <f t="shared" si="1052"/>
        <v>1.0649999999999999</v>
      </c>
    </row>
    <row r="2718" spans="1:21" x14ac:dyDescent="0.3">
      <c r="A2718" s="187">
        <v>48</v>
      </c>
      <c r="B2718" s="242">
        <f t="shared" si="1053"/>
        <v>47088</v>
      </c>
      <c r="C2718" s="243">
        <f t="shared" si="1034"/>
        <v>47118</v>
      </c>
      <c r="D2718" s="120">
        <f t="shared" si="1035"/>
        <v>31</v>
      </c>
      <c r="E2718" s="120">
        <f t="shared" si="1036"/>
        <v>12</v>
      </c>
      <c r="F2718" s="275">
        <f t="shared" si="1037"/>
        <v>47103.5</v>
      </c>
      <c r="G2718" s="120">
        <f t="shared" si="1038"/>
        <v>24347</v>
      </c>
      <c r="H2718" s="245">
        <f t="shared" si="1039"/>
        <v>1</v>
      </c>
      <c r="I2718" s="121">
        <f t="shared" si="1040"/>
        <v>1.0649999999999999</v>
      </c>
      <c r="J2718" s="121">
        <f t="shared" si="1041"/>
        <v>1.0649999999999999</v>
      </c>
      <c r="K2718" s="120">
        <f t="shared" si="1042"/>
        <v>0</v>
      </c>
      <c r="L2718" s="120">
        <f t="shared" si="1043"/>
        <v>0</v>
      </c>
      <c r="M2718" s="246">
        <f t="shared" si="1044"/>
        <v>0</v>
      </c>
      <c r="N2718" s="121">
        <f t="shared" si="1045"/>
        <v>1.0649999999999999</v>
      </c>
      <c r="O2718" s="246">
        <f t="shared" si="1046"/>
        <v>0.92</v>
      </c>
      <c r="P2718" s="121">
        <f t="shared" si="1047"/>
        <v>0</v>
      </c>
      <c r="Q2718" s="121">
        <f t="shared" si="1048"/>
        <v>0</v>
      </c>
      <c r="R2718" s="121">
        <f t="shared" si="1049"/>
        <v>8.3333333333333329E-2</v>
      </c>
      <c r="S2718" s="121" t="str">
        <f t="shared" si="1050"/>
        <v/>
      </c>
      <c r="T2718" s="121" t="str">
        <f t="shared" si="1051"/>
        <v/>
      </c>
      <c r="U2718" s="121">
        <f t="shared" si="1052"/>
        <v>1.0649999999999999</v>
      </c>
    </row>
    <row r="2719" spans="1:21" x14ac:dyDescent="0.3">
      <c r="A2719" s="6" t="s">
        <v>1651</v>
      </c>
      <c r="B2719" s="73">
        <f>EXP(SUMPRODUCT((rl_key=$A$2668)*(rl_cons="Y")*rl_ln1p))</f>
        <v>1</v>
      </c>
      <c r="C2719" s="73">
        <f>SUMPRODUCT($H$2671:$H$2718,$P$2671:$P$2718,$U$2671:$U$2718)/SUMPRODUCT($H$2671:$H$2718,$P$2671:$P$2718)</f>
        <v>1.0162499999999999</v>
      </c>
      <c r="D2719" s="73">
        <f>SUMPRODUCT($H$2671:$H$2718,$Q$2671:$Q$2718,$U$2671:$U$2718)/SUMPRODUCT($H$2671:$H$2718,$Q$2671:$Q$2718)</f>
        <v>1.0649999999999997</v>
      </c>
      <c r="E2719" s="73">
        <f>SUMPRODUCT($H$2671:$H$2718,$R$2671:$R$2718,$U$2671:$U$2718)/SUMPRODUCT($H$2671:$H$2718,$R$2671:$R$2718)</f>
        <v>1.0649999999999997</v>
      </c>
      <c r="F2719" s="224">
        <f>SUMPRODUCT($H$2671:$H$2718,$Q$2671:$Q$2718,$O$2671:$O$2718)/SUMPRODUCT($H$2671:$H$2718,$Q$2671:$Q$2718)</f>
        <v>0.91399252370532447</v>
      </c>
      <c r="G2719" s="224">
        <f>SUMPRODUCT($H$2671:$H$2718,$R$2671:$R$2718,$O$2671:$O$2718)/SUMPRODUCT($H$2671:$H$2718,$R$2671:$R$2718)</f>
        <v>0.91966022368101141</v>
      </c>
      <c r="H2719" s="73">
        <f>SUMPRODUCT($H$2695:$H$2706,$N$2695:$N$2706/$N$2683:$N$2694)/SUM($H$2695:$H$2706)</f>
        <v>1.0325</v>
      </c>
      <c r="I2719" s="73">
        <f>SUMPRODUCT($H$2695:$H$2706,$O$2695:$O$2706/$O$2683:$O$2694)/SUM($H$2695:$H$2706)</f>
        <v>1.0087961468131064</v>
      </c>
      <c r="J2719" s="73">
        <f>IF($O$2668=1,SUMPRODUCT($H$2695:$H$2706,$N$2695:$N$2706/$N$2683:$N$2694*$O$2695:$O$2706/$O$2683:$O$2694)/SUM($H$2695:$H$2706),$H2719)</f>
        <v>1.0415826516603393</v>
      </c>
      <c r="K2719" s="73">
        <f>SUMPRODUCT($H$2671:$H$2718,$Q$2671:$Q$2718,$N$2671:$N$2718)/SUMPRODUCT($H$2671:$H$2718,$Q$2671:$Q$2718)</f>
        <v>1.0649999999999997</v>
      </c>
      <c r="L2719" s="73">
        <f>SUMPRODUCT($H$2671:$H$2718,$R$2671:$R$2718,$N$2671:$N$2718)/SUMPRODUCT($H$2671:$H$2718,$R$2671:$R$2718)</f>
        <v>1.0649999999999997</v>
      </c>
    </row>
    <row r="2722" spans="1:21" x14ac:dyDescent="0.3">
      <c r="A2722" s="6" t="str">
        <f>INDEX(lr_key,50)</f>
        <v>SBA|IN</v>
      </c>
      <c r="B2722" s="6" t="str">
        <f>INDEX(lr_state,50)</f>
        <v>IN</v>
      </c>
      <c r="C2722" s="75">
        <f>nr_TermMonths</f>
        <v>6</v>
      </c>
      <c r="D2722" s="75">
        <f>IF(COUNTIF(se_state,$B2722)=0,0,MATCH($B2722,se_state,0))</f>
        <v>2</v>
      </c>
      <c r="E2722" s="70">
        <f>IF($D2722=0,0,INDEX(se_sum,$D2722))</f>
        <v>11.999999999999998</v>
      </c>
      <c r="F2722" s="224">
        <f>IF(N(INDEX(lr_mind,50))=0,1,INDEX(lr_mind,50))</f>
        <v>0.92</v>
      </c>
      <c r="G2722" s="224">
        <f>IF(N(INDEX(lr_m0,50))=0,1,INDEX(lr_m0,50))</f>
        <v>0.91</v>
      </c>
      <c r="H2722" s="74">
        <f>IF(N(INDEX(lr_m0asof,50))=0,DATE(nr_PlanYear-1,10,1),INDEX(lr_m0asof,50))</f>
        <v>46295</v>
      </c>
      <c r="I2722" s="224">
        <f>IF(N(INDEX(lr_m1,50))=0,1,INDEX(lr_m1,50))</f>
        <v>0.9</v>
      </c>
      <c r="J2722" s="224">
        <f>INDEX(lr_mprior,50)</f>
        <v>0</v>
      </c>
      <c r="K2722" s="224">
        <f>INDEX(lr_m2,50)</f>
        <v>0</v>
      </c>
      <c r="L2722" s="6" t="b">
        <f>NOT(ISBLANK(INDEX(lr_netp,50)))</f>
        <v>0</v>
      </c>
      <c r="M2722" s="72">
        <f>N(INDEX(lr_netp,50))</f>
        <v>0</v>
      </c>
      <c r="N2722" s="72">
        <f>IF(ISBLANK(INDEX(lr_netp1,50)),$M$2722,N(INDEX(lr_netp1,50)))</f>
        <v>0</v>
      </c>
      <c r="O2722" s="75">
        <f>IF(AND(nr_ModAdjMaster="ON",INDEX(lr_modadj,50)="ON"),1,0)</f>
        <v>1</v>
      </c>
    </row>
    <row r="2723" spans="1:21" x14ac:dyDescent="0.3">
      <c r="A2723" s="6">
        <f>EDATE($H$2722,-12)+1</f>
        <v>45931</v>
      </c>
      <c r="B2723" s="6">
        <f>$H$2722+1</f>
        <v>46296</v>
      </c>
      <c r="C2723" s="6">
        <f>DATE(nr_PlanYear,12,31)+1</f>
        <v>46753</v>
      </c>
      <c r="D2723" s="6">
        <f>DATE(nr_PlanYear+1,12,31)+1</f>
        <v>47119</v>
      </c>
      <c r="E2723" s="6">
        <f>IF(N($J$2722)=0,$F$2723-($G$2723-$F$2723)/($C$2723-$B$2723)*($B$2723-$A$2723),$J$2722)</f>
        <v>0.91798687089715536</v>
      </c>
      <c r="F2723" s="6">
        <f>$G$2722</f>
        <v>0.91</v>
      </c>
      <c r="G2723" s="6">
        <f>$I$2722</f>
        <v>0.9</v>
      </c>
      <c r="H2723" s="6">
        <f>IF(N($K$2722)=0,$I$2722,$K$2722)</f>
        <v>0.9</v>
      </c>
      <c r="I2723" s="6">
        <f>($F$2723-$E$2723)/($B$2723-$A$2723)</f>
        <v>-2.1881838074398162E-5</v>
      </c>
      <c r="J2723" s="6">
        <f>($G$2723-$F$2723)/($C$2723-$B$2723)</f>
        <v>-2.188183807439827E-5</v>
      </c>
      <c r="K2723" s="6">
        <f>($H$2723-$G$2723)/($D$2723-$C$2723)</f>
        <v>0</v>
      </c>
    </row>
    <row r="2724" spans="1:21" ht="36" x14ac:dyDescent="0.3">
      <c r="A2724" s="58" t="s">
        <v>390</v>
      </c>
      <c r="B2724" s="58" t="s">
        <v>449</v>
      </c>
      <c r="C2724" s="58" t="s">
        <v>685</v>
      </c>
      <c r="D2724" s="58" t="s">
        <v>686</v>
      </c>
      <c r="E2724" s="58" t="s">
        <v>687</v>
      </c>
      <c r="F2724" s="58" t="s">
        <v>688</v>
      </c>
      <c r="G2724" s="58" t="s">
        <v>689</v>
      </c>
      <c r="H2724" s="58" t="s">
        <v>452</v>
      </c>
      <c r="I2724" s="58" t="s">
        <v>690</v>
      </c>
      <c r="J2724" s="58" t="s">
        <v>691</v>
      </c>
      <c r="K2724" s="58" t="s">
        <v>692</v>
      </c>
      <c r="L2724" s="58" t="s">
        <v>693</v>
      </c>
      <c r="M2724" s="58" t="s">
        <v>694</v>
      </c>
      <c r="N2724" s="58" t="s">
        <v>695</v>
      </c>
      <c r="O2724" s="58" t="s">
        <v>696</v>
      </c>
      <c r="P2724" s="58" t="s">
        <v>697</v>
      </c>
      <c r="Q2724" s="58" t="s">
        <v>698</v>
      </c>
      <c r="R2724" s="58" t="s">
        <v>699</v>
      </c>
      <c r="S2724" s="58" t="s">
        <v>700</v>
      </c>
      <c r="T2724" s="58" t="s">
        <v>701</v>
      </c>
      <c r="U2724" s="58" t="s">
        <v>702</v>
      </c>
    </row>
    <row r="2725" spans="1:21" x14ac:dyDescent="0.3">
      <c r="A2725" s="187">
        <v>1</v>
      </c>
      <c r="B2725" s="242">
        <f>DATE(nr_PlanYear-2,1,1)</f>
        <v>45658</v>
      </c>
      <c r="C2725" s="243">
        <f t="shared" ref="C2725:C2772" si="1054">EOMONTH($B2725,0)</f>
        <v>45688</v>
      </c>
      <c r="D2725" s="120">
        <f t="shared" ref="D2725:D2772" si="1055">$C2725-$B2725+1</f>
        <v>31</v>
      </c>
      <c r="E2725" s="120">
        <f t="shared" ref="E2725:E2772" si="1056">MONTH($B2725)</f>
        <v>1</v>
      </c>
      <c r="F2725" s="275">
        <f t="shared" ref="F2725:F2772" si="1057">($B2725+$C2725+1)/2</f>
        <v>45673.5</v>
      </c>
      <c r="G2725" s="120">
        <f t="shared" ref="G2725:G2772" si="1058">YEAR($B2725)*12+MONTH($B2725)-1</f>
        <v>24300</v>
      </c>
      <c r="H2725" s="245">
        <f t="shared" ref="H2725:H2772" si="1059">IF(OR(nr_SeasonOn="OFF",$D$2722=0,$E$2722=0),1,12*INDEX(se_block,$D$2722,$E2725)/$E$2722)</f>
        <v>1</v>
      </c>
      <c r="I2725" s="121">
        <f t="shared" ref="I2725:I2772" si="1060">EXP(SUMPRODUCT((rl_eff&lt;$B2725)*(rl_key=$A$2722)*rl_ln1p))</f>
        <v>1</v>
      </c>
      <c r="J2725" s="121">
        <f t="shared" ref="J2725:J2772" si="1061">EXP(SUMPRODUCT((rl_eff&lt;=$C2725)*(rl_key=$A$2722)*rl_ln1p))</f>
        <v>1</v>
      </c>
      <c r="K2725" s="120">
        <f t="shared" ref="K2725:K2772" si="1062">COUNTIFS(rl_key,$A$2722,rl_eff,"&gt;="&amp;$B2725,rl_eff,"&lt;="&amp;$C2725)</f>
        <v>0</v>
      </c>
      <c r="L2725" s="120">
        <f t="shared" ref="L2725:L2772" si="1063">SUMIFS(rl_daysafter,rl_key,$A$2722,rl_effmonth,$B2725,rl_first,1)</f>
        <v>0</v>
      </c>
      <c r="M2725" s="246">
        <f t="shared" ref="M2725:M2772" si="1064">IF($K2725=0,0,MIN(1,$L2725/$D2725))</f>
        <v>0</v>
      </c>
      <c r="N2725" s="121">
        <f t="shared" ref="N2725:N2772" si="1065">IF($K2725=0,$J2725,(1-$M2725)*$I2725+$M2725*$J2725)</f>
        <v>1</v>
      </c>
      <c r="O2725" s="246">
        <f t="shared" ref="O2725:O2772" si="1066">IF($F2725&lt;$B$2723,$E$2723+$I$2723*($F2725-$A$2723),IF($F2725&lt;$C$2723,$F$2723+$J$2723*($F2725-$B$2723),$G$2723+$K$2723*($F2725-$C$2723)))</f>
        <v>0.92362144420131287</v>
      </c>
      <c r="P2725" s="121">
        <f t="shared" ref="P2725:P2772" si="1067">MIN(1,MAX(0,(nr_MEndPm1-$G2725+0.5)/$C$2722))-MIN(1,MAX(0,(nr_MStartPm1-1-$G2725+0.5)/$C$2722))</f>
        <v>0</v>
      </c>
      <c r="Q2725" s="121">
        <f t="shared" ref="Q2725:Q2772" si="1068">MIN(1,MAX(0,(nr_MEndP-$G2725+0.5)/$C$2722))-MIN(1,MAX(0,(nr_MStartP-1-$G2725+0.5)/$C$2722))</f>
        <v>0</v>
      </c>
      <c r="R2725" s="121">
        <f t="shared" ref="R2725:R2772" si="1069">MIN(1,MAX(0,(nr_MEndP1-$G2725+0.5)/$C$2722))-MIN(1,MAX(0,(nr_MStartP1-1-$G2725+0.5)/$C$2722))</f>
        <v>0</v>
      </c>
      <c r="S2725" s="121" t="str">
        <f t="shared" ref="S2725:S2772" si="1070">IF($L$2722,$N2725*IF($O$2722=1,$O2725/$F$2722,1),"")</f>
        <v/>
      </c>
      <c r="T2725" s="121" t="str">
        <f t="shared" ref="T2725:T2772" si="1071">IF(NOT($L$2722),"",IF($G2725&lt;nr_MStartP,$S2725,$T2713*(1+IF($G2725&lt;nr_MStartP1,$M$2722,$N$2722))))</f>
        <v/>
      </c>
      <c r="U2725" s="121">
        <f t="shared" ref="U2725:U2772" si="1072">IF($L$2722,$T2725,$N2725)</f>
        <v>1</v>
      </c>
    </row>
    <row r="2726" spans="1:21" x14ac:dyDescent="0.3">
      <c r="A2726" s="187">
        <v>2</v>
      </c>
      <c r="B2726" s="242">
        <f t="shared" ref="B2726:B2772" si="1073">EDATE($B2725,1)</f>
        <v>45689</v>
      </c>
      <c r="C2726" s="243">
        <f t="shared" si="1054"/>
        <v>45716</v>
      </c>
      <c r="D2726" s="120">
        <f t="shared" si="1055"/>
        <v>28</v>
      </c>
      <c r="E2726" s="120">
        <f t="shared" si="1056"/>
        <v>2</v>
      </c>
      <c r="F2726" s="275">
        <f t="shared" si="1057"/>
        <v>45703</v>
      </c>
      <c r="G2726" s="120">
        <f t="shared" si="1058"/>
        <v>24301</v>
      </c>
      <c r="H2726" s="245">
        <f t="shared" si="1059"/>
        <v>1</v>
      </c>
      <c r="I2726" s="121">
        <f t="shared" si="1060"/>
        <v>1</v>
      </c>
      <c r="J2726" s="121">
        <f t="shared" si="1061"/>
        <v>1</v>
      </c>
      <c r="K2726" s="120">
        <f t="shared" si="1062"/>
        <v>0</v>
      </c>
      <c r="L2726" s="120">
        <f t="shared" si="1063"/>
        <v>0</v>
      </c>
      <c r="M2726" s="246">
        <f t="shared" si="1064"/>
        <v>0</v>
      </c>
      <c r="N2726" s="121">
        <f t="shared" si="1065"/>
        <v>1</v>
      </c>
      <c r="O2726" s="246">
        <f t="shared" si="1066"/>
        <v>0.92297592997811817</v>
      </c>
      <c r="P2726" s="121">
        <f t="shared" si="1067"/>
        <v>0</v>
      </c>
      <c r="Q2726" s="121">
        <f t="shared" si="1068"/>
        <v>0</v>
      </c>
      <c r="R2726" s="121">
        <f t="shared" si="1069"/>
        <v>0</v>
      </c>
      <c r="S2726" s="121" t="str">
        <f t="shared" si="1070"/>
        <v/>
      </c>
      <c r="T2726" s="121" t="str">
        <f t="shared" si="1071"/>
        <v/>
      </c>
      <c r="U2726" s="121">
        <f t="shared" si="1072"/>
        <v>1</v>
      </c>
    </row>
    <row r="2727" spans="1:21" x14ac:dyDescent="0.3">
      <c r="A2727" s="187">
        <v>3</v>
      </c>
      <c r="B2727" s="242">
        <f t="shared" si="1073"/>
        <v>45717</v>
      </c>
      <c r="C2727" s="243">
        <f t="shared" si="1054"/>
        <v>45747</v>
      </c>
      <c r="D2727" s="120">
        <f t="shared" si="1055"/>
        <v>31</v>
      </c>
      <c r="E2727" s="120">
        <f t="shared" si="1056"/>
        <v>3</v>
      </c>
      <c r="F2727" s="275">
        <f t="shared" si="1057"/>
        <v>45732.5</v>
      </c>
      <c r="G2727" s="120">
        <f t="shared" si="1058"/>
        <v>24302</v>
      </c>
      <c r="H2727" s="245">
        <f t="shared" si="1059"/>
        <v>1</v>
      </c>
      <c r="I2727" s="121">
        <f t="shared" si="1060"/>
        <v>1</v>
      </c>
      <c r="J2727" s="121">
        <f t="shared" si="1061"/>
        <v>1</v>
      </c>
      <c r="K2727" s="120">
        <f t="shared" si="1062"/>
        <v>0</v>
      </c>
      <c r="L2727" s="120">
        <f t="shared" si="1063"/>
        <v>0</v>
      </c>
      <c r="M2727" s="246">
        <f t="shared" si="1064"/>
        <v>0</v>
      </c>
      <c r="N2727" s="121">
        <f t="shared" si="1065"/>
        <v>1</v>
      </c>
      <c r="O2727" s="246">
        <f t="shared" si="1066"/>
        <v>0.92233041575492336</v>
      </c>
      <c r="P2727" s="121">
        <f t="shared" si="1067"/>
        <v>0</v>
      </c>
      <c r="Q2727" s="121">
        <f t="shared" si="1068"/>
        <v>0</v>
      </c>
      <c r="R2727" s="121">
        <f t="shared" si="1069"/>
        <v>0</v>
      </c>
      <c r="S2727" s="121" t="str">
        <f t="shared" si="1070"/>
        <v/>
      </c>
      <c r="T2727" s="121" t="str">
        <f t="shared" si="1071"/>
        <v/>
      </c>
      <c r="U2727" s="121">
        <f t="shared" si="1072"/>
        <v>1</v>
      </c>
    </row>
    <row r="2728" spans="1:21" x14ac:dyDescent="0.3">
      <c r="A2728" s="187">
        <v>4</v>
      </c>
      <c r="B2728" s="242">
        <f t="shared" si="1073"/>
        <v>45748</v>
      </c>
      <c r="C2728" s="243">
        <f t="shared" si="1054"/>
        <v>45777</v>
      </c>
      <c r="D2728" s="120">
        <f t="shared" si="1055"/>
        <v>30</v>
      </c>
      <c r="E2728" s="120">
        <f t="shared" si="1056"/>
        <v>4</v>
      </c>
      <c r="F2728" s="275">
        <f t="shared" si="1057"/>
        <v>45763</v>
      </c>
      <c r="G2728" s="120">
        <f t="shared" si="1058"/>
        <v>24303</v>
      </c>
      <c r="H2728" s="245">
        <f t="shared" si="1059"/>
        <v>1</v>
      </c>
      <c r="I2728" s="121">
        <f t="shared" si="1060"/>
        <v>1</v>
      </c>
      <c r="J2728" s="121">
        <f t="shared" si="1061"/>
        <v>1</v>
      </c>
      <c r="K2728" s="120">
        <f t="shared" si="1062"/>
        <v>0</v>
      </c>
      <c r="L2728" s="120">
        <f t="shared" si="1063"/>
        <v>0</v>
      </c>
      <c r="M2728" s="246">
        <f t="shared" si="1064"/>
        <v>0</v>
      </c>
      <c r="N2728" s="121">
        <f t="shared" si="1065"/>
        <v>1</v>
      </c>
      <c r="O2728" s="246">
        <f t="shared" si="1066"/>
        <v>0.92166301969365427</v>
      </c>
      <c r="P2728" s="121">
        <f t="shared" si="1067"/>
        <v>0</v>
      </c>
      <c r="Q2728" s="121">
        <f t="shared" si="1068"/>
        <v>0</v>
      </c>
      <c r="R2728" s="121">
        <f t="shared" si="1069"/>
        <v>0</v>
      </c>
      <c r="S2728" s="121" t="str">
        <f t="shared" si="1070"/>
        <v/>
      </c>
      <c r="T2728" s="121" t="str">
        <f t="shared" si="1071"/>
        <v/>
      </c>
      <c r="U2728" s="121">
        <f t="shared" si="1072"/>
        <v>1</v>
      </c>
    </row>
    <row r="2729" spans="1:21" x14ac:dyDescent="0.3">
      <c r="A2729" s="187">
        <v>5</v>
      </c>
      <c r="B2729" s="242">
        <f t="shared" si="1073"/>
        <v>45778</v>
      </c>
      <c r="C2729" s="243">
        <f t="shared" si="1054"/>
        <v>45808</v>
      </c>
      <c r="D2729" s="120">
        <f t="shared" si="1055"/>
        <v>31</v>
      </c>
      <c r="E2729" s="120">
        <f t="shared" si="1056"/>
        <v>5</v>
      </c>
      <c r="F2729" s="275">
        <f t="shared" si="1057"/>
        <v>45793.5</v>
      </c>
      <c r="G2729" s="120">
        <f t="shared" si="1058"/>
        <v>24304</v>
      </c>
      <c r="H2729" s="245">
        <f t="shared" si="1059"/>
        <v>1</v>
      </c>
      <c r="I2729" s="121">
        <f t="shared" si="1060"/>
        <v>1</v>
      </c>
      <c r="J2729" s="121">
        <f t="shared" si="1061"/>
        <v>1</v>
      </c>
      <c r="K2729" s="120">
        <f t="shared" si="1062"/>
        <v>0</v>
      </c>
      <c r="L2729" s="120">
        <f t="shared" si="1063"/>
        <v>0</v>
      </c>
      <c r="M2729" s="246">
        <f t="shared" si="1064"/>
        <v>0</v>
      </c>
      <c r="N2729" s="121">
        <f t="shared" si="1065"/>
        <v>1</v>
      </c>
      <c r="O2729" s="246">
        <f t="shared" si="1066"/>
        <v>0.92099562363238507</v>
      </c>
      <c r="P2729" s="121">
        <f t="shared" si="1067"/>
        <v>0</v>
      </c>
      <c r="Q2729" s="121">
        <f t="shared" si="1068"/>
        <v>0</v>
      </c>
      <c r="R2729" s="121">
        <f t="shared" si="1069"/>
        <v>0</v>
      </c>
      <c r="S2729" s="121" t="str">
        <f t="shared" si="1070"/>
        <v/>
      </c>
      <c r="T2729" s="121" t="str">
        <f t="shared" si="1071"/>
        <v/>
      </c>
      <c r="U2729" s="121">
        <f t="shared" si="1072"/>
        <v>1</v>
      </c>
    </row>
    <row r="2730" spans="1:21" x14ac:dyDescent="0.3">
      <c r="A2730" s="187">
        <v>6</v>
      </c>
      <c r="B2730" s="242">
        <f t="shared" si="1073"/>
        <v>45809</v>
      </c>
      <c r="C2730" s="243">
        <f t="shared" si="1054"/>
        <v>45838</v>
      </c>
      <c r="D2730" s="120">
        <f t="shared" si="1055"/>
        <v>30</v>
      </c>
      <c r="E2730" s="120">
        <f t="shared" si="1056"/>
        <v>6</v>
      </c>
      <c r="F2730" s="275">
        <f t="shared" si="1057"/>
        <v>45824</v>
      </c>
      <c r="G2730" s="120">
        <f t="shared" si="1058"/>
        <v>24305</v>
      </c>
      <c r="H2730" s="245">
        <f t="shared" si="1059"/>
        <v>1</v>
      </c>
      <c r="I2730" s="121">
        <f t="shared" si="1060"/>
        <v>1</v>
      </c>
      <c r="J2730" s="121">
        <f t="shared" si="1061"/>
        <v>1</v>
      </c>
      <c r="K2730" s="120">
        <f t="shared" si="1062"/>
        <v>0</v>
      </c>
      <c r="L2730" s="120">
        <f t="shared" si="1063"/>
        <v>0</v>
      </c>
      <c r="M2730" s="246">
        <f t="shared" si="1064"/>
        <v>0</v>
      </c>
      <c r="N2730" s="121">
        <f t="shared" si="1065"/>
        <v>1</v>
      </c>
      <c r="O2730" s="246">
        <f t="shared" si="1066"/>
        <v>0.92032822757111599</v>
      </c>
      <c r="P2730" s="121">
        <f t="shared" si="1067"/>
        <v>0</v>
      </c>
      <c r="Q2730" s="121">
        <f t="shared" si="1068"/>
        <v>0</v>
      </c>
      <c r="R2730" s="121">
        <f t="shared" si="1069"/>
        <v>0</v>
      </c>
      <c r="S2730" s="121" t="str">
        <f t="shared" si="1070"/>
        <v/>
      </c>
      <c r="T2730" s="121" t="str">
        <f t="shared" si="1071"/>
        <v/>
      </c>
      <c r="U2730" s="121">
        <f t="shared" si="1072"/>
        <v>1</v>
      </c>
    </row>
    <row r="2731" spans="1:21" x14ac:dyDescent="0.3">
      <c r="A2731" s="187">
        <v>7</v>
      </c>
      <c r="B2731" s="242">
        <f t="shared" si="1073"/>
        <v>45839</v>
      </c>
      <c r="C2731" s="243">
        <f t="shared" si="1054"/>
        <v>45869</v>
      </c>
      <c r="D2731" s="120">
        <f t="shared" si="1055"/>
        <v>31</v>
      </c>
      <c r="E2731" s="120">
        <f t="shared" si="1056"/>
        <v>7</v>
      </c>
      <c r="F2731" s="275">
        <f t="shared" si="1057"/>
        <v>45854.5</v>
      </c>
      <c r="G2731" s="120">
        <f t="shared" si="1058"/>
        <v>24306</v>
      </c>
      <c r="H2731" s="245">
        <f t="shared" si="1059"/>
        <v>1</v>
      </c>
      <c r="I2731" s="121">
        <f t="shared" si="1060"/>
        <v>1</v>
      </c>
      <c r="J2731" s="121">
        <f t="shared" si="1061"/>
        <v>1</v>
      </c>
      <c r="K2731" s="120">
        <f t="shared" si="1062"/>
        <v>0</v>
      </c>
      <c r="L2731" s="120">
        <f t="shared" si="1063"/>
        <v>0</v>
      </c>
      <c r="M2731" s="246">
        <f t="shared" si="1064"/>
        <v>0</v>
      </c>
      <c r="N2731" s="121">
        <f t="shared" si="1065"/>
        <v>1</v>
      </c>
      <c r="O2731" s="246">
        <f t="shared" si="1066"/>
        <v>0.91966083150984679</v>
      </c>
      <c r="P2731" s="121">
        <f t="shared" si="1067"/>
        <v>8.333333333333337E-2</v>
      </c>
      <c r="Q2731" s="121">
        <f t="shared" si="1068"/>
        <v>0</v>
      </c>
      <c r="R2731" s="121">
        <f t="shared" si="1069"/>
        <v>0</v>
      </c>
      <c r="S2731" s="121" t="str">
        <f t="shared" si="1070"/>
        <v/>
      </c>
      <c r="T2731" s="121" t="str">
        <f t="shared" si="1071"/>
        <v/>
      </c>
      <c r="U2731" s="121">
        <f t="shared" si="1072"/>
        <v>1</v>
      </c>
    </row>
    <row r="2732" spans="1:21" x14ac:dyDescent="0.3">
      <c r="A2732" s="187">
        <v>8</v>
      </c>
      <c r="B2732" s="242">
        <f t="shared" si="1073"/>
        <v>45870</v>
      </c>
      <c r="C2732" s="243">
        <f t="shared" si="1054"/>
        <v>45900</v>
      </c>
      <c r="D2732" s="120">
        <f t="shared" si="1055"/>
        <v>31</v>
      </c>
      <c r="E2732" s="120">
        <f t="shared" si="1056"/>
        <v>8</v>
      </c>
      <c r="F2732" s="275">
        <f t="shared" si="1057"/>
        <v>45885.5</v>
      </c>
      <c r="G2732" s="120">
        <f t="shared" si="1058"/>
        <v>24307</v>
      </c>
      <c r="H2732" s="245">
        <f t="shared" si="1059"/>
        <v>1</v>
      </c>
      <c r="I2732" s="121">
        <f t="shared" si="1060"/>
        <v>1</v>
      </c>
      <c r="J2732" s="121">
        <f t="shared" si="1061"/>
        <v>1</v>
      </c>
      <c r="K2732" s="120">
        <f t="shared" si="1062"/>
        <v>0</v>
      </c>
      <c r="L2732" s="120">
        <f t="shared" si="1063"/>
        <v>0</v>
      </c>
      <c r="M2732" s="246">
        <f t="shared" si="1064"/>
        <v>0</v>
      </c>
      <c r="N2732" s="121">
        <f t="shared" si="1065"/>
        <v>1</v>
      </c>
      <c r="O2732" s="246">
        <f t="shared" si="1066"/>
        <v>0.91898249452954051</v>
      </c>
      <c r="P2732" s="121">
        <f t="shared" si="1067"/>
        <v>0.25</v>
      </c>
      <c r="Q2732" s="121">
        <f t="shared" si="1068"/>
        <v>0</v>
      </c>
      <c r="R2732" s="121">
        <f t="shared" si="1069"/>
        <v>0</v>
      </c>
      <c r="S2732" s="121" t="str">
        <f t="shared" si="1070"/>
        <v/>
      </c>
      <c r="T2732" s="121" t="str">
        <f t="shared" si="1071"/>
        <v/>
      </c>
      <c r="U2732" s="121">
        <f t="shared" si="1072"/>
        <v>1</v>
      </c>
    </row>
    <row r="2733" spans="1:21" x14ac:dyDescent="0.3">
      <c r="A2733" s="187">
        <v>9</v>
      </c>
      <c r="B2733" s="242">
        <f t="shared" si="1073"/>
        <v>45901</v>
      </c>
      <c r="C2733" s="243">
        <f t="shared" si="1054"/>
        <v>45930</v>
      </c>
      <c r="D2733" s="120">
        <f t="shared" si="1055"/>
        <v>30</v>
      </c>
      <c r="E2733" s="120">
        <f t="shared" si="1056"/>
        <v>9</v>
      </c>
      <c r="F2733" s="275">
        <f t="shared" si="1057"/>
        <v>45916</v>
      </c>
      <c r="G2733" s="120">
        <f t="shared" si="1058"/>
        <v>24308</v>
      </c>
      <c r="H2733" s="245">
        <f t="shared" si="1059"/>
        <v>1</v>
      </c>
      <c r="I2733" s="121">
        <f t="shared" si="1060"/>
        <v>1</v>
      </c>
      <c r="J2733" s="121">
        <f t="shared" si="1061"/>
        <v>1</v>
      </c>
      <c r="K2733" s="120">
        <f t="shared" si="1062"/>
        <v>0</v>
      </c>
      <c r="L2733" s="120">
        <f t="shared" si="1063"/>
        <v>0</v>
      </c>
      <c r="M2733" s="246">
        <f t="shared" si="1064"/>
        <v>0</v>
      </c>
      <c r="N2733" s="121">
        <f t="shared" si="1065"/>
        <v>1</v>
      </c>
      <c r="O2733" s="246">
        <f t="shared" si="1066"/>
        <v>0.91831509846827131</v>
      </c>
      <c r="P2733" s="121">
        <f t="shared" si="1067"/>
        <v>0.41666666666666663</v>
      </c>
      <c r="Q2733" s="121">
        <f t="shared" si="1068"/>
        <v>0</v>
      </c>
      <c r="R2733" s="121">
        <f t="shared" si="1069"/>
        <v>0</v>
      </c>
      <c r="S2733" s="121" t="str">
        <f t="shared" si="1070"/>
        <v/>
      </c>
      <c r="T2733" s="121" t="str">
        <f t="shared" si="1071"/>
        <v/>
      </c>
      <c r="U2733" s="121">
        <f t="shared" si="1072"/>
        <v>1</v>
      </c>
    </row>
    <row r="2734" spans="1:21" x14ac:dyDescent="0.3">
      <c r="A2734" s="187">
        <v>10</v>
      </c>
      <c r="B2734" s="242">
        <f t="shared" si="1073"/>
        <v>45931</v>
      </c>
      <c r="C2734" s="243">
        <f t="shared" si="1054"/>
        <v>45961</v>
      </c>
      <c r="D2734" s="120">
        <f t="shared" si="1055"/>
        <v>31</v>
      </c>
      <c r="E2734" s="120">
        <f t="shared" si="1056"/>
        <v>10</v>
      </c>
      <c r="F2734" s="275">
        <f t="shared" si="1057"/>
        <v>45946.5</v>
      </c>
      <c r="G2734" s="120">
        <f t="shared" si="1058"/>
        <v>24309</v>
      </c>
      <c r="H2734" s="245">
        <f t="shared" si="1059"/>
        <v>1</v>
      </c>
      <c r="I2734" s="121">
        <f t="shared" si="1060"/>
        <v>1</v>
      </c>
      <c r="J2734" s="121">
        <f t="shared" si="1061"/>
        <v>1</v>
      </c>
      <c r="K2734" s="120">
        <f t="shared" si="1062"/>
        <v>0</v>
      </c>
      <c r="L2734" s="120">
        <f t="shared" si="1063"/>
        <v>0</v>
      </c>
      <c r="M2734" s="246">
        <f t="shared" si="1064"/>
        <v>0</v>
      </c>
      <c r="N2734" s="121">
        <f t="shared" si="1065"/>
        <v>1</v>
      </c>
      <c r="O2734" s="246">
        <f t="shared" si="1066"/>
        <v>0.91764770240700222</v>
      </c>
      <c r="P2734" s="121">
        <f t="shared" si="1067"/>
        <v>0.58333333333333326</v>
      </c>
      <c r="Q2734" s="121">
        <f t="shared" si="1068"/>
        <v>0</v>
      </c>
      <c r="R2734" s="121">
        <f t="shared" si="1069"/>
        <v>0</v>
      </c>
      <c r="S2734" s="121" t="str">
        <f t="shared" si="1070"/>
        <v/>
      </c>
      <c r="T2734" s="121" t="str">
        <f t="shared" si="1071"/>
        <v/>
      </c>
      <c r="U2734" s="121">
        <f t="shared" si="1072"/>
        <v>1</v>
      </c>
    </row>
    <row r="2735" spans="1:21" x14ac:dyDescent="0.3">
      <c r="A2735" s="187">
        <v>11</v>
      </c>
      <c r="B2735" s="242">
        <f t="shared" si="1073"/>
        <v>45962</v>
      </c>
      <c r="C2735" s="243">
        <f t="shared" si="1054"/>
        <v>45991</v>
      </c>
      <c r="D2735" s="120">
        <f t="shared" si="1055"/>
        <v>30</v>
      </c>
      <c r="E2735" s="120">
        <f t="shared" si="1056"/>
        <v>11</v>
      </c>
      <c r="F2735" s="275">
        <f t="shared" si="1057"/>
        <v>45977</v>
      </c>
      <c r="G2735" s="120">
        <f t="shared" si="1058"/>
        <v>24310</v>
      </c>
      <c r="H2735" s="245">
        <f t="shared" si="1059"/>
        <v>1</v>
      </c>
      <c r="I2735" s="121">
        <f t="shared" si="1060"/>
        <v>1</v>
      </c>
      <c r="J2735" s="121">
        <f t="shared" si="1061"/>
        <v>1</v>
      </c>
      <c r="K2735" s="120">
        <f t="shared" si="1062"/>
        <v>0</v>
      </c>
      <c r="L2735" s="120">
        <f t="shared" si="1063"/>
        <v>0</v>
      </c>
      <c r="M2735" s="246">
        <f t="shared" si="1064"/>
        <v>0</v>
      </c>
      <c r="N2735" s="121">
        <f t="shared" si="1065"/>
        <v>1</v>
      </c>
      <c r="O2735" s="246">
        <f t="shared" si="1066"/>
        <v>0.91698030634573302</v>
      </c>
      <c r="P2735" s="121">
        <f t="shared" si="1067"/>
        <v>0.75</v>
      </c>
      <c r="Q2735" s="121">
        <f t="shared" si="1068"/>
        <v>0</v>
      </c>
      <c r="R2735" s="121">
        <f t="shared" si="1069"/>
        <v>0</v>
      </c>
      <c r="S2735" s="121" t="str">
        <f t="shared" si="1070"/>
        <v/>
      </c>
      <c r="T2735" s="121" t="str">
        <f t="shared" si="1071"/>
        <v/>
      </c>
      <c r="U2735" s="121">
        <f t="shared" si="1072"/>
        <v>1</v>
      </c>
    </row>
    <row r="2736" spans="1:21" x14ac:dyDescent="0.3">
      <c r="A2736" s="187">
        <v>12</v>
      </c>
      <c r="B2736" s="242">
        <f t="shared" si="1073"/>
        <v>45992</v>
      </c>
      <c r="C2736" s="243">
        <f t="shared" si="1054"/>
        <v>46022</v>
      </c>
      <c r="D2736" s="120">
        <f t="shared" si="1055"/>
        <v>31</v>
      </c>
      <c r="E2736" s="120">
        <f t="shared" si="1056"/>
        <v>12</v>
      </c>
      <c r="F2736" s="275">
        <f t="shared" si="1057"/>
        <v>46007.5</v>
      </c>
      <c r="G2736" s="120">
        <f t="shared" si="1058"/>
        <v>24311</v>
      </c>
      <c r="H2736" s="245">
        <f t="shared" si="1059"/>
        <v>1</v>
      </c>
      <c r="I2736" s="121">
        <f t="shared" si="1060"/>
        <v>1</v>
      </c>
      <c r="J2736" s="121">
        <f t="shared" si="1061"/>
        <v>1</v>
      </c>
      <c r="K2736" s="120">
        <f t="shared" si="1062"/>
        <v>0</v>
      </c>
      <c r="L2736" s="120">
        <f t="shared" si="1063"/>
        <v>0</v>
      </c>
      <c r="M2736" s="246">
        <f t="shared" si="1064"/>
        <v>0</v>
      </c>
      <c r="N2736" s="121">
        <f t="shared" si="1065"/>
        <v>1</v>
      </c>
      <c r="O2736" s="246">
        <f t="shared" si="1066"/>
        <v>0.91631291028446393</v>
      </c>
      <c r="P2736" s="121">
        <f t="shared" si="1067"/>
        <v>0.91666666666666663</v>
      </c>
      <c r="Q2736" s="121">
        <f t="shared" si="1068"/>
        <v>0</v>
      </c>
      <c r="R2736" s="121">
        <f t="shared" si="1069"/>
        <v>0</v>
      </c>
      <c r="S2736" s="121" t="str">
        <f t="shared" si="1070"/>
        <v/>
      </c>
      <c r="T2736" s="121" t="str">
        <f t="shared" si="1071"/>
        <v/>
      </c>
      <c r="U2736" s="121">
        <f t="shared" si="1072"/>
        <v>1</v>
      </c>
    </row>
    <row r="2737" spans="1:21" x14ac:dyDescent="0.3">
      <c r="A2737" s="187">
        <v>13</v>
      </c>
      <c r="B2737" s="242">
        <f t="shared" si="1073"/>
        <v>46023</v>
      </c>
      <c r="C2737" s="243">
        <f t="shared" si="1054"/>
        <v>46053</v>
      </c>
      <c r="D2737" s="120">
        <f t="shared" si="1055"/>
        <v>31</v>
      </c>
      <c r="E2737" s="120">
        <f t="shared" si="1056"/>
        <v>1</v>
      </c>
      <c r="F2737" s="275">
        <f t="shared" si="1057"/>
        <v>46038.5</v>
      </c>
      <c r="G2737" s="120">
        <f t="shared" si="1058"/>
        <v>24312</v>
      </c>
      <c r="H2737" s="245">
        <f t="shared" si="1059"/>
        <v>1</v>
      </c>
      <c r="I2737" s="121">
        <f t="shared" si="1060"/>
        <v>1</v>
      </c>
      <c r="J2737" s="121">
        <f t="shared" si="1061"/>
        <v>1</v>
      </c>
      <c r="K2737" s="120">
        <f t="shared" si="1062"/>
        <v>0</v>
      </c>
      <c r="L2737" s="120">
        <f t="shared" si="1063"/>
        <v>0</v>
      </c>
      <c r="M2737" s="246">
        <f t="shared" si="1064"/>
        <v>0</v>
      </c>
      <c r="N2737" s="121">
        <f t="shared" si="1065"/>
        <v>1</v>
      </c>
      <c r="O2737" s="246">
        <f t="shared" si="1066"/>
        <v>0.91563457330415754</v>
      </c>
      <c r="P2737" s="121">
        <f t="shared" si="1067"/>
        <v>1</v>
      </c>
      <c r="Q2737" s="121">
        <f t="shared" si="1068"/>
        <v>0</v>
      </c>
      <c r="R2737" s="121">
        <f t="shared" si="1069"/>
        <v>0</v>
      </c>
      <c r="S2737" s="121" t="str">
        <f t="shared" si="1070"/>
        <v/>
      </c>
      <c r="T2737" s="121" t="str">
        <f t="shared" si="1071"/>
        <v/>
      </c>
      <c r="U2737" s="121">
        <f t="shared" si="1072"/>
        <v>1</v>
      </c>
    </row>
    <row r="2738" spans="1:21" x14ac:dyDescent="0.3">
      <c r="A2738" s="187">
        <v>14</v>
      </c>
      <c r="B2738" s="242">
        <f t="shared" si="1073"/>
        <v>46054</v>
      </c>
      <c r="C2738" s="243">
        <f t="shared" si="1054"/>
        <v>46081</v>
      </c>
      <c r="D2738" s="120">
        <f t="shared" si="1055"/>
        <v>28</v>
      </c>
      <c r="E2738" s="120">
        <f t="shared" si="1056"/>
        <v>2</v>
      </c>
      <c r="F2738" s="275">
        <f t="shared" si="1057"/>
        <v>46068</v>
      </c>
      <c r="G2738" s="120">
        <f t="shared" si="1058"/>
        <v>24313</v>
      </c>
      <c r="H2738" s="245">
        <f t="shared" si="1059"/>
        <v>1</v>
      </c>
      <c r="I2738" s="121">
        <f t="shared" si="1060"/>
        <v>1</v>
      </c>
      <c r="J2738" s="121">
        <f t="shared" si="1061"/>
        <v>1.06</v>
      </c>
      <c r="K2738" s="120">
        <f t="shared" si="1062"/>
        <v>1</v>
      </c>
      <c r="L2738" s="120">
        <f t="shared" si="1063"/>
        <v>28</v>
      </c>
      <c r="M2738" s="246">
        <f t="shared" si="1064"/>
        <v>1</v>
      </c>
      <c r="N2738" s="121">
        <f t="shared" si="1065"/>
        <v>1.06</v>
      </c>
      <c r="O2738" s="246">
        <f t="shared" si="1066"/>
        <v>0.91498905908096284</v>
      </c>
      <c r="P2738" s="121">
        <f t="shared" si="1067"/>
        <v>1</v>
      </c>
      <c r="Q2738" s="121">
        <f t="shared" si="1068"/>
        <v>0</v>
      </c>
      <c r="R2738" s="121">
        <f t="shared" si="1069"/>
        <v>0</v>
      </c>
      <c r="S2738" s="121" t="str">
        <f t="shared" si="1070"/>
        <v/>
      </c>
      <c r="T2738" s="121" t="str">
        <f t="shared" si="1071"/>
        <v/>
      </c>
      <c r="U2738" s="121">
        <f t="shared" si="1072"/>
        <v>1.06</v>
      </c>
    </row>
    <row r="2739" spans="1:21" x14ac:dyDescent="0.3">
      <c r="A2739" s="187">
        <v>15</v>
      </c>
      <c r="B2739" s="242">
        <f t="shared" si="1073"/>
        <v>46082</v>
      </c>
      <c r="C2739" s="243">
        <f t="shared" si="1054"/>
        <v>46112</v>
      </c>
      <c r="D2739" s="120">
        <f t="shared" si="1055"/>
        <v>31</v>
      </c>
      <c r="E2739" s="120">
        <f t="shared" si="1056"/>
        <v>3</v>
      </c>
      <c r="F2739" s="275">
        <f t="shared" si="1057"/>
        <v>46097.5</v>
      </c>
      <c r="G2739" s="120">
        <f t="shared" si="1058"/>
        <v>24314</v>
      </c>
      <c r="H2739" s="245">
        <f t="shared" si="1059"/>
        <v>1</v>
      </c>
      <c r="I2739" s="121">
        <f t="shared" si="1060"/>
        <v>1.06</v>
      </c>
      <c r="J2739" s="121">
        <f t="shared" si="1061"/>
        <v>1.06</v>
      </c>
      <c r="K2739" s="120">
        <f t="shared" si="1062"/>
        <v>0</v>
      </c>
      <c r="L2739" s="120">
        <f t="shared" si="1063"/>
        <v>0</v>
      </c>
      <c r="M2739" s="246">
        <f t="shared" si="1064"/>
        <v>0</v>
      </c>
      <c r="N2739" s="121">
        <f t="shared" si="1065"/>
        <v>1.06</v>
      </c>
      <c r="O2739" s="246">
        <f t="shared" si="1066"/>
        <v>0.91434354485776803</v>
      </c>
      <c r="P2739" s="121">
        <f t="shared" si="1067"/>
        <v>1</v>
      </c>
      <c r="Q2739" s="121">
        <f t="shared" si="1068"/>
        <v>0</v>
      </c>
      <c r="R2739" s="121">
        <f t="shared" si="1069"/>
        <v>0</v>
      </c>
      <c r="S2739" s="121" t="str">
        <f t="shared" si="1070"/>
        <v/>
      </c>
      <c r="T2739" s="121" t="str">
        <f t="shared" si="1071"/>
        <v/>
      </c>
      <c r="U2739" s="121">
        <f t="shared" si="1072"/>
        <v>1.06</v>
      </c>
    </row>
    <row r="2740" spans="1:21" x14ac:dyDescent="0.3">
      <c r="A2740" s="187">
        <v>16</v>
      </c>
      <c r="B2740" s="242">
        <f t="shared" si="1073"/>
        <v>46113</v>
      </c>
      <c r="C2740" s="243">
        <f t="shared" si="1054"/>
        <v>46142</v>
      </c>
      <c r="D2740" s="120">
        <f t="shared" si="1055"/>
        <v>30</v>
      </c>
      <c r="E2740" s="120">
        <f t="shared" si="1056"/>
        <v>4</v>
      </c>
      <c r="F2740" s="275">
        <f t="shared" si="1057"/>
        <v>46128</v>
      </c>
      <c r="G2740" s="120">
        <f t="shared" si="1058"/>
        <v>24315</v>
      </c>
      <c r="H2740" s="245">
        <f t="shared" si="1059"/>
        <v>1</v>
      </c>
      <c r="I2740" s="121">
        <f t="shared" si="1060"/>
        <v>1.06</v>
      </c>
      <c r="J2740" s="121">
        <f t="shared" si="1061"/>
        <v>1.06</v>
      </c>
      <c r="K2740" s="120">
        <f t="shared" si="1062"/>
        <v>0</v>
      </c>
      <c r="L2740" s="120">
        <f t="shared" si="1063"/>
        <v>0</v>
      </c>
      <c r="M2740" s="246">
        <f t="shared" si="1064"/>
        <v>0</v>
      </c>
      <c r="N2740" s="121">
        <f t="shared" si="1065"/>
        <v>1.06</v>
      </c>
      <c r="O2740" s="246">
        <f t="shared" si="1066"/>
        <v>0.91367614879649894</v>
      </c>
      <c r="P2740" s="121">
        <f t="shared" si="1067"/>
        <v>1</v>
      </c>
      <c r="Q2740" s="121">
        <f t="shared" si="1068"/>
        <v>0</v>
      </c>
      <c r="R2740" s="121">
        <f t="shared" si="1069"/>
        <v>0</v>
      </c>
      <c r="S2740" s="121" t="str">
        <f t="shared" si="1070"/>
        <v/>
      </c>
      <c r="T2740" s="121" t="str">
        <f t="shared" si="1071"/>
        <v/>
      </c>
      <c r="U2740" s="121">
        <f t="shared" si="1072"/>
        <v>1.06</v>
      </c>
    </row>
    <row r="2741" spans="1:21" x14ac:dyDescent="0.3">
      <c r="A2741" s="187">
        <v>17</v>
      </c>
      <c r="B2741" s="242">
        <f t="shared" si="1073"/>
        <v>46143</v>
      </c>
      <c r="C2741" s="243">
        <f t="shared" si="1054"/>
        <v>46173</v>
      </c>
      <c r="D2741" s="120">
        <f t="shared" si="1055"/>
        <v>31</v>
      </c>
      <c r="E2741" s="120">
        <f t="shared" si="1056"/>
        <v>5</v>
      </c>
      <c r="F2741" s="275">
        <f t="shared" si="1057"/>
        <v>46158.5</v>
      </c>
      <c r="G2741" s="120">
        <f t="shared" si="1058"/>
        <v>24316</v>
      </c>
      <c r="H2741" s="245">
        <f t="shared" si="1059"/>
        <v>1</v>
      </c>
      <c r="I2741" s="121">
        <f t="shared" si="1060"/>
        <v>1.06</v>
      </c>
      <c r="J2741" s="121">
        <f t="shared" si="1061"/>
        <v>1.06</v>
      </c>
      <c r="K2741" s="120">
        <f t="shared" si="1062"/>
        <v>0</v>
      </c>
      <c r="L2741" s="120">
        <f t="shared" si="1063"/>
        <v>0</v>
      </c>
      <c r="M2741" s="246">
        <f t="shared" si="1064"/>
        <v>0</v>
      </c>
      <c r="N2741" s="121">
        <f t="shared" si="1065"/>
        <v>1.06</v>
      </c>
      <c r="O2741" s="246">
        <f t="shared" si="1066"/>
        <v>0.91300875273522974</v>
      </c>
      <c r="P2741" s="121">
        <f t="shared" si="1067"/>
        <v>1</v>
      </c>
      <c r="Q2741" s="121">
        <f t="shared" si="1068"/>
        <v>0</v>
      </c>
      <c r="R2741" s="121">
        <f t="shared" si="1069"/>
        <v>0</v>
      </c>
      <c r="S2741" s="121" t="str">
        <f t="shared" si="1070"/>
        <v/>
      </c>
      <c r="T2741" s="121" t="str">
        <f t="shared" si="1071"/>
        <v/>
      </c>
      <c r="U2741" s="121">
        <f t="shared" si="1072"/>
        <v>1.06</v>
      </c>
    </row>
    <row r="2742" spans="1:21" x14ac:dyDescent="0.3">
      <c r="A2742" s="187">
        <v>18</v>
      </c>
      <c r="B2742" s="242">
        <f t="shared" si="1073"/>
        <v>46174</v>
      </c>
      <c r="C2742" s="243">
        <f t="shared" si="1054"/>
        <v>46203</v>
      </c>
      <c r="D2742" s="120">
        <f t="shared" si="1055"/>
        <v>30</v>
      </c>
      <c r="E2742" s="120">
        <f t="shared" si="1056"/>
        <v>6</v>
      </c>
      <c r="F2742" s="275">
        <f t="shared" si="1057"/>
        <v>46189</v>
      </c>
      <c r="G2742" s="120">
        <f t="shared" si="1058"/>
        <v>24317</v>
      </c>
      <c r="H2742" s="245">
        <f t="shared" si="1059"/>
        <v>1</v>
      </c>
      <c r="I2742" s="121">
        <f t="shared" si="1060"/>
        <v>1.06</v>
      </c>
      <c r="J2742" s="121">
        <f t="shared" si="1061"/>
        <v>1.06</v>
      </c>
      <c r="K2742" s="120">
        <f t="shared" si="1062"/>
        <v>0</v>
      </c>
      <c r="L2742" s="120">
        <f t="shared" si="1063"/>
        <v>0</v>
      </c>
      <c r="M2742" s="246">
        <f t="shared" si="1064"/>
        <v>0</v>
      </c>
      <c r="N2742" s="121">
        <f t="shared" si="1065"/>
        <v>1.06</v>
      </c>
      <c r="O2742" s="246">
        <f t="shared" si="1066"/>
        <v>0.91234135667396066</v>
      </c>
      <c r="P2742" s="121">
        <f t="shared" si="1067"/>
        <v>1</v>
      </c>
      <c r="Q2742" s="121">
        <f t="shared" si="1068"/>
        <v>0</v>
      </c>
      <c r="R2742" s="121">
        <f t="shared" si="1069"/>
        <v>0</v>
      </c>
      <c r="S2742" s="121" t="str">
        <f t="shared" si="1070"/>
        <v/>
      </c>
      <c r="T2742" s="121" t="str">
        <f t="shared" si="1071"/>
        <v/>
      </c>
      <c r="U2742" s="121">
        <f t="shared" si="1072"/>
        <v>1.06</v>
      </c>
    </row>
    <row r="2743" spans="1:21" x14ac:dyDescent="0.3">
      <c r="A2743" s="187">
        <v>19</v>
      </c>
      <c r="B2743" s="242">
        <f t="shared" si="1073"/>
        <v>46204</v>
      </c>
      <c r="C2743" s="243">
        <f t="shared" si="1054"/>
        <v>46234</v>
      </c>
      <c r="D2743" s="120">
        <f t="shared" si="1055"/>
        <v>31</v>
      </c>
      <c r="E2743" s="120">
        <f t="shared" si="1056"/>
        <v>7</v>
      </c>
      <c r="F2743" s="275">
        <f t="shared" si="1057"/>
        <v>46219.5</v>
      </c>
      <c r="G2743" s="120">
        <f t="shared" si="1058"/>
        <v>24318</v>
      </c>
      <c r="H2743" s="245">
        <f t="shared" si="1059"/>
        <v>1</v>
      </c>
      <c r="I2743" s="121">
        <f t="shared" si="1060"/>
        <v>1.06</v>
      </c>
      <c r="J2743" s="121">
        <f t="shared" si="1061"/>
        <v>1.06</v>
      </c>
      <c r="K2743" s="120">
        <f t="shared" si="1062"/>
        <v>0</v>
      </c>
      <c r="L2743" s="120">
        <f t="shared" si="1063"/>
        <v>0</v>
      </c>
      <c r="M2743" s="246">
        <f t="shared" si="1064"/>
        <v>0</v>
      </c>
      <c r="N2743" s="121">
        <f t="shared" si="1065"/>
        <v>1.06</v>
      </c>
      <c r="O2743" s="246">
        <f t="shared" si="1066"/>
        <v>0.91167396061269146</v>
      </c>
      <c r="P2743" s="121">
        <f t="shared" si="1067"/>
        <v>0.91666666666666663</v>
      </c>
      <c r="Q2743" s="121">
        <f t="shared" si="1068"/>
        <v>8.333333333333337E-2</v>
      </c>
      <c r="R2743" s="121">
        <f t="shared" si="1069"/>
        <v>0</v>
      </c>
      <c r="S2743" s="121" t="str">
        <f t="shared" si="1070"/>
        <v/>
      </c>
      <c r="T2743" s="121" t="str">
        <f t="shared" si="1071"/>
        <v/>
      </c>
      <c r="U2743" s="121">
        <f t="shared" si="1072"/>
        <v>1.06</v>
      </c>
    </row>
    <row r="2744" spans="1:21" x14ac:dyDescent="0.3">
      <c r="A2744" s="187">
        <v>20</v>
      </c>
      <c r="B2744" s="242">
        <f t="shared" si="1073"/>
        <v>46235</v>
      </c>
      <c r="C2744" s="243">
        <f t="shared" si="1054"/>
        <v>46265</v>
      </c>
      <c r="D2744" s="120">
        <f t="shared" si="1055"/>
        <v>31</v>
      </c>
      <c r="E2744" s="120">
        <f t="shared" si="1056"/>
        <v>8</v>
      </c>
      <c r="F2744" s="275">
        <f t="shared" si="1057"/>
        <v>46250.5</v>
      </c>
      <c r="G2744" s="120">
        <f t="shared" si="1058"/>
        <v>24319</v>
      </c>
      <c r="H2744" s="245">
        <f t="shared" si="1059"/>
        <v>1</v>
      </c>
      <c r="I2744" s="121">
        <f t="shared" si="1060"/>
        <v>1.06</v>
      </c>
      <c r="J2744" s="121">
        <f t="shared" si="1061"/>
        <v>1.06</v>
      </c>
      <c r="K2744" s="120">
        <f t="shared" si="1062"/>
        <v>0</v>
      </c>
      <c r="L2744" s="120">
        <f t="shared" si="1063"/>
        <v>0</v>
      </c>
      <c r="M2744" s="246">
        <f t="shared" si="1064"/>
        <v>0</v>
      </c>
      <c r="N2744" s="121">
        <f t="shared" si="1065"/>
        <v>1.06</v>
      </c>
      <c r="O2744" s="246">
        <f t="shared" si="1066"/>
        <v>0.91099562363238518</v>
      </c>
      <c r="P2744" s="121">
        <f t="shared" si="1067"/>
        <v>0.75</v>
      </c>
      <c r="Q2744" s="121">
        <f t="shared" si="1068"/>
        <v>0.25</v>
      </c>
      <c r="R2744" s="121">
        <f t="shared" si="1069"/>
        <v>0</v>
      </c>
      <c r="S2744" s="121" t="str">
        <f t="shared" si="1070"/>
        <v/>
      </c>
      <c r="T2744" s="121" t="str">
        <f t="shared" si="1071"/>
        <v/>
      </c>
      <c r="U2744" s="121">
        <f t="shared" si="1072"/>
        <v>1.06</v>
      </c>
    </row>
    <row r="2745" spans="1:21" x14ac:dyDescent="0.3">
      <c r="A2745" s="187">
        <v>21</v>
      </c>
      <c r="B2745" s="242">
        <f t="shared" si="1073"/>
        <v>46266</v>
      </c>
      <c r="C2745" s="243">
        <f t="shared" si="1054"/>
        <v>46295</v>
      </c>
      <c r="D2745" s="120">
        <f t="shared" si="1055"/>
        <v>30</v>
      </c>
      <c r="E2745" s="120">
        <f t="shared" si="1056"/>
        <v>9</v>
      </c>
      <c r="F2745" s="275">
        <f t="shared" si="1057"/>
        <v>46281</v>
      </c>
      <c r="G2745" s="120">
        <f t="shared" si="1058"/>
        <v>24320</v>
      </c>
      <c r="H2745" s="245">
        <f t="shared" si="1059"/>
        <v>1</v>
      </c>
      <c r="I2745" s="121">
        <f t="shared" si="1060"/>
        <v>1.06</v>
      </c>
      <c r="J2745" s="121">
        <f t="shared" si="1061"/>
        <v>1.06</v>
      </c>
      <c r="K2745" s="120">
        <f t="shared" si="1062"/>
        <v>0</v>
      </c>
      <c r="L2745" s="120">
        <f t="shared" si="1063"/>
        <v>0</v>
      </c>
      <c r="M2745" s="246">
        <f t="shared" si="1064"/>
        <v>0</v>
      </c>
      <c r="N2745" s="121">
        <f t="shared" si="1065"/>
        <v>1.06</v>
      </c>
      <c r="O2745" s="246">
        <f t="shared" si="1066"/>
        <v>0.91032822757111598</v>
      </c>
      <c r="P2745" s="121">
        <f t="shared" si="1067"/>
        <v>0.58333333333333337</v>
      </c>
      <c r="Q2745" s="121">
        <f t="shared" si="1068"/>
        <v>0.41666666666666663</v>
      </c>
      <c r="R2745" s="121">
        <f t="shared" si="1069"/>
        <v>0</v>
      </c>
      <c r="S2745" s="121" t="str">
        <f t="shared" si="1070"/>
        <v/>
      </c>
      <c r="T2745" s="121" t="str">
        <f t="shared" si="1071"/>
        <v/>
      </c>
      <c r="U2745" s="121">
        <f t="shared" si="1072"/>
        <v>1.06</v>
      </c>
    </row>
    <row r="2746" spans="1:21" x14ac:dyDescent="0.3">
      <c r="A2746" s="187">
        <v>22</v>
      </c>
      <c r="B2746" s="242">
        <f t="shared" si="1073"/>
        <v>46296</v>
      </c>
      <c r="C2746" s="243">
        <f t="shared" si="1054"/>
        <v>46326</v>
      </c>
      <c r="D2746" s="120">
        <f t="shared" si="1055"/>
        <v>31</v>
      </c>
      <c r="E2746" s="120">
        <f t="shared" si="1056"/>
        <v>10</v>
      </c>
      <c r="F2746" s="275">
        <f t="shared" si="1057"/>
        <v>46311.5</v>
      </c>
      <c r="G2746" s="120">
        <f t="shared" si="1058"/>
        <v>24321</v>
      </c>
      <c r="H2746" s="245">
        <f t="shared" si="1059"/>
        <v>1</v>
      </c>
      <c r="I2746" s="121">
        <f t="shared" si="1060"/>
        <v>1.06</v>
      </c>
      <c r="J2746" s="121">
        <f t="shared" si="1061"/>
        <v>1.06</v>
      </c>
      <c r="K2746" s="120">
        <f t="shared" si="1062"/>
        <v>0</v>
      </c>
      <c r="L2746" s="120">
        <f t="shared" si="1063"/>
        <v>0</v>
      </c>
      <c r="M2746" s="246">
        <f t="shared" si="1064"/>
        <v>0</v>
      </c>
      <c r="N2746" s="121">
        <f t="shared" si="1065"/>
        <v>1.06</v>
      </c>
      <c r="O2746" s="246">
        <f t="shared" si="1066"/>
        <v>0.90966083150984689</v>
      </c>
      <c r="P2746" s="121">
        <f t="shared" si="1067"/>
        <v>0.41666666666666669</v>
      </c>
      <c r="Q2746" s="121">
        <f t="shared" si="1068"/>
        <v>0.58333333333333326</v>
      </c>
      <c r="R2746" s="121">
        <f t="shared" si="1069"/>
        <v>0</v>
      </c>
      <c r="S2746" s="121" t="str">
        <f t="shared" si="1070"/>
        <v/>
      </c>
      <c r="T2746" s="121" t="str">
        <f t="shared" si="1071"/>
        <v/>
      </c>
      <c r="U2746" s="121">
        <f t="shared" si="1072"/>
        <v>1.06</v>
      </c>
    </row>
    <row r="2747" spans="1:21" x14ac:dyDescent="0.3">
      <c r="A2747" s="187">
        <v>23</v>
      </c>
      <c r="B2747" s="242">
        <f t="shared" si="1073"/>
        <v>46327</v>
      </c>
      <c r="C2747" s="243">
        <f t="shared" si="1054"/>
        <v>46356</v>
      </c>
      <c r="D2747" s="120">
        <f t="shared" si="1055"/>
        <v>30</v>
      </c>
      <c r="E2747" s="120">
        <f t="shared" si="1056"/>
        <v>11</v>
      </c>
      <c r="F2747" s="275">
        <f t="shared" si="1057"/>
        <v>46342</v>
      </c>
      <c r="G2747" s="120">
        <f t="shared" si="1058"/>
        <v>24322</v>
      </c>
      <c r="H2747" s="245">
        <f t="shared" si="1059"/>
        <v>1</v>
      </c>
      <c r="I2747" s="121">
        <f t="shared" si="1060"/>
        <v>1.06</v>
      </c>
      <c r="J2747" s="121">
        <f t="shared" si="1061"/>
        <v>1.06</v>
      </c>
      <c r="K2747" s="120">
        <f t="shared" si="1062"/>
        <v>0</v>
      </c>
      <c r="L2747" s="120">
        <f t="shared" si="1063"/>
        <v>0</v>
      </c>
      <c r="M2747" s="246">
        <f t="shared" si="1064"/>
        <v>0</v>
      </c>
      <c r="N2747" s="121">
        <f t="shared" si="1065"/>
        <v>1.06</v>
      </c>
      <c r="O2747" s="246">
        <f t="shared" si="1066"/>
        <v>0.90899343544857769</v>
      </c>
      <c r="P2747" s="121">
        <f t="shared" si="1067"/>
        <v>0.25</v>
      </c>
      <c r="Q2747" s="121">
        <f t="shared" si="1068"/>
        <v>0.75</v>
      </c>
      <c r="R2747" s="121">
        <f t="shared" si="1069"/>
        <v>0</v>
      </c>
      <c r="S2747" s="121" t="str">
        <f t="shared" si="1070"/>
        <v/>
      </c>
      <c r="T2747" s="121" t="str">
        <f t="shared" si="1071"/>
        <v/>
      </c>
      <c r="U2747" s="121">
        <f t="shared" si="1072"/>
        <v>1.06</v>
      </c>
    </row>
    <row r="2748" spans="1:21" x14ac:dyDescent="0.3">
      <c r="A2748" s="187">
        <v>24</v>
      </c>
      <c r="B2748" s="242">
        <f t="shared" si="1073"/>
        <v>46357</v>
      </c>
      <c r="C2748" s="243">
        <f t="shared" si="1054"/>
        <v>46387</v>
      </c>
      <c r="D2748" s="120">
        <f t="shared" si="1055"/>
        <v>31</v>
      </c>
      <c r="E2748" s="120">
        <f t="shared" si="1056"/>
        <v>12</v>
      </c>
      <c r="F2748" s="275">
        <f t="shared" si="1057"/>
        <v>46372.5</v>
      </c>
      <c r="G2748" s="120">
        <f t="shared" si="1058"/>
        <v>24323</v>
      </c>
      <c r="H2748" s="245">
        <f t="shared" si="1059"/>
        <v>1</v>
      </c>
      <c r="I2748" s="121">
        <f t="shared" si="1060"/>
        <v>1.06</v>
      </c>
      <c r="J2748" s="121">
        <f t="shared" si="1061"/>
        <v>1.06</v>
      </c>
      <c r="K2748" s="120">
        <f t="shared" si="1062"/>
        <v>0</v>
      </c>
      <c r="L2748" s="120">
        <f t="shared" si="1063"/>
        <v>0</v>
      </c>
      <c r="M2748" s="246">
        <f t="shared" si="1064"/>
        <v>0</v>
      </c>
      <c r="N2748" s="121">
        <f t="shared" si="1065"/>
        <v>1.06</v>
      </c>
      <c r="O2748" s="246">
        <f t="shared" si="1066"/>
        <v>0.9083260393873086</v>
      </c>
      <c r="P2748" s="121">
        <f t="shared" si="1067"/>
        <v>8.3333333333333329E-2</v>
      </c>
      <c r="Q2748" s="121">
        <f t="shared" si="1068"/>
        <v>0.91666666666666663</v>
      </c>
      <c r="R2748" s="121">
        <f t="shared" si="1069"/>
        <v>0</v>
      </c>
      <c r="S2748" s="121" t="str">
        <f t="shared" si="1070"/>
        <v/>
      </c>
      <c r="T2748" s="121" t="str">
        <f t="shared" si="1071"/>
        <v/>
      </c>
      <c r="U2748" s="121">
        <f t="shared" si="1072"/>
        <v>1.06</v>
      </c>
    </row>
    <row r="2749" spans="1:21" x14ac:dyDescent="0.3">
      <c r="A2749" s="187">
        <v>25</v>
      </c>
      <c r="B2749" s="242">
        <f t="shared" si="1073"/>
        <v>46388</v>
      </c>
      <c r="C2749" s="243">
        <f t="shared" si="1054"/>
        <v>46418</v>
      </c>
      <c r="D2749" s="120">
        <f t="shared" si="1055"/>
        <v>31</v>
      </c>
      <c r="E2749" s="120">
        <f t="shared" si="1056"/>
        <v>1</v>
      </c>
      <c r="F2749" s="275">
        <f t="shared" si="1057"/>
        <v>46403.5</v>
      </c>
      <c r="G2749" s="120">
        <f t="shared" si="1058"/>
        <v>24324</v>
      </c>
      <c r="H2749" s="245">
        <f t="shared" si="1059"/>
        <v>1</v>
      </c>
      <c r="I2749" s="121">
        <f t="shared" si="1060"/>
        <v>1.06</v>
      </c>
      <c r="J2749" s="121">
        <f t="shared" si="1061"/>
        <v>1.06</v>
      </c>
      <c r="K2749" s="120">
        <f t="shared" si="1062"/>
        <v>0</v>
      </c>
      <c r="L2749" s="120">
        <f t="shared" si="1063"/>
        <v>0</v>
      </c>
      <c r="M2749" s="246">
        <f t="shared" si="1064"/>
        <v>0</v>
      </c>
      <c r="N2749" s="121">
        <f t="shared" si="1065"/>
        <v>1.06</v>
      </c>
      <c r="O2749" s="246">
        <f t="shared" si="1066"/>
        <v>0.90764770240700221</v>
      </c>
      <c r="P2749" s="121">
        <f t="shared" si="1067"/>
        <v>0</v>
      </c>
      <c r="Q2749" s="121">
        <f t="shared" si="1068"/>
        <v>1</v>
      </c>
      <c r="R2749" s="121">
        <f t="shared" si="1069"/>
        <v>0</v>
      </c>
      <c r="S2749" s="121" t="str">
        <f t="shared" si="1070"/>
        <v/>
      </c>
      <c r="T2749" s="121" t="str">
        <f t="shared" si="1071"/>
        <v/>
      </c>
      <c r="U2749" s="121">
        <f t="shared" si="1072"/>
        <v>1.06</v>
      </c>
    </row>
    <row r="2750" spans="1:21" x14ac:dyDescent="0.3">
      <c r="A2750" s="187">
        <v>26</v>
      </c>
      <c r="B2750" s="242">
        <f t="shared" si="1073"/>
        <v>46419</v>
      </c>
      <c r="C2750" s="243">
        <f t="shared" si="1054"/>
        <v>46446</v>
      </c>
      <c r="D2750" s="120">
        <f t="shared" si="1055"/>
        <v>28</v>
      </c>
      <c r="E2750" s="120">
        <f t="shared" si="1056"/>
        <v>2</v>
      </c>
      <c r="F2750" s="275">
        <f t="shared" si="1057"/>
        <v>46433</v>
      </c>
      <c r="G2750" s="120">
        <f t="shared" si="1058"/>
        <v>24325</v>
      </c>
      <c r="H2750" s="245">
        <f t="shared" si="1059"/>
        <v>1</v>
      </c>
      <c r="I2750" s="121">
        <f t="shared" si="1060"/>
        <v>1.06</v>
      </c>
      <c r="J2750" s="121">
        <f t="shared" si="1061"/>
        <v>1.06</v>
      </c>
      <c r="K2750" s="120">
        <f t="shared" si="1062"/>
        <v>0</v>
      </c>
      <c r="L2750" s="120">
        <f t="shared" si="1063"/>
        <v>0</v>
      </c>
      <c r="M2750" s="246">
        <f t="shared" si="1064"/>
        <v>0</v>
      </c>
      <c r="N2750" s="121">
        <f t="shared" si="1065"/>
        <v>1.06</v>
      </c>
      <c r="O2750" s="246">
        <f t="shared" si="1066"/>
        <v>0.90700218818380751</v>
      </c>
      <c r="P2750" s="121">
        <f t="shared" si="1067"/>
        <v>0</v>
      </c>
      <c r="Q2750" s="121">
        <f t="shared" si="1068"/>
        <v>1</v>
      </c>
      <c r="R2750" s="121">
        <f t="shared" si="1069"/>
        <v>0</v>
      </c>
      <c r="S2750" s="121" t="str">
        <f t="shared" si="1070"/>
        <v/>
      </c>
      <c r="T2750" s="121" t="str">
        <f t="shared" si="1071"/>
        <v/>
      </c>
      <c r="U2750" s="121">
        <f t="shared" si="1072"/>
        <v>1.06</v>
      </c>
    </row>
    <row r="2751" spans="1:21" x14ac:dyDescent="0.3">
      <c r="A2751" s="187">
        <v>27</v>
      </c>
      <c r="B2751" s="242">
        <f t="shared" si="1073"/>
        <v>46447</v>
      </c>
      <c r="C2751" s="243">
        <f t="shared" si="1054"/>
        <v>46477</v>
      </c>
      <c r="D2751" s="120">
        <f t="shared" si="1055"/>
        <v>31</v>
      </c>
      <c r="E2751" s="120">
        <f t="shared" si="1056"/>
        <v>3</v>
      </c>
      <c r="F2751" s="275">
        <f t="shared" si="1057"/>
        <v>46462.5</v>
      </c>
      <c r="G2751" s="120">
        <f t="shared" si="1058"/>
        <v>24326</v>
      </c>
      <c r="H2751" s="245">
        <f t="shared" si="1059"/>
        <v>1</v>
      </c>
      <c r="I2751" s="121">
        <f t="shared" si="1060"/>
        <v>1.06</v>
      </c>
      <c r="J2751" s="121">
        <f t="shared" si="1061"/>
        <v>1.06</v>
      </c>
      <c r="K2751" s="120">
        <f t="shared" si="1062"/>
        <v>0</v>
      </c>
      <c r="L2751" s="120">
        <f t="shared" si="1063"/>
        <v>0</v>
      </c>
      <c r="M2751" s="246">
        <f t="shared" si="1064"/>
        <v>0</v>
      </c>
      <c r="N2751" s="121">
        <f t="shared" si="1065"/>
        <v>1.06</v>
      </c>
      <c r="O2751" s="246">
        <f t="shared" si="1066"/>
        <v>0.9063566739606127</v>
      </c>
      <c r="P2751" s="121">
        <f t="shared" si="1067"/>
        <v>0</v>
      </c>
      <c r="Q2751" s="121">
        <f t="shared" si="1068"/>
        <v>1</v>
      </c>
      <c r="R2751" s="121">
        <f t="shared" si="1069"/>
        <v>0</v>
      </c>
      <c r="S2751" s="121" t="str">
        <f t="shared" si="1070"/>
        <v/>
      </c>
      <c r="T2751" s="121" t="str">
        <f t="shared" si="1071"/>
        <v/>
      </c>
      <c r="U2751" s="121">
        <f t="shared" si="1072"/>
        <v>1.06</v>
      </c>
    </row>
    <row r="2752" spans="1:21" x14ac:dyDescent="0.3">
      <c r="A2752" s="187">
        <v>28</v>
      </c>
      <c r="B2752" s="242">
        <f t="shared" si="1073"/>
        <v>46478</v>
      </c>
      <c r="C2752" s="243">
        <f t="shared" si="1054"/>
        <v>46507</v>
      </c>
      <c r="D2752" s="120">
        <f t="shared" si="1055"/>
        <v>30</v>
      </c>
      <c r="E2752" s="120">
        <f t="shared" si="1056"/>
        <v>4</v>
      </c>
      <c r="F2752" s="275">
        <f t="shared" si="1057"/>
        <v>46493</v>
      </c>
      <c r="G2752" s="120">
        <f t="shared" si="1058"/>
        <v>24327</v>
      </c>
      <c r="H2752" s="245">
        <f t="shared" si="1059"/>
        <v>1</v>
      </c>
      <c r="I2752" s="121">
        <f t="shared" si="1060"/>
        <v>1.06</v>
      </c>
      <c r="J2752" s="121">
        <f t="shared" si="1061"/>
        <v>1.06</v>
      </c>
      <c r="K2752" s="120">
        <f t="shared" si="1062"/>
        <v>0</v>
      </c>
      <c r="L2752" s="120">
        <f t="shared" si="1063"/>
        <v>0</v>
      </c>
      <c r="M2752" s="246">
        <f t="shared" si="1064"/>
        <v>0</v>
      </c>
      <c r="N2752" s="121">
        <f t="shared" si="1065"/>
        <v>1.06</v>
      </c>
      <c r="O2752" s="246">
        <f t="shared" si="1066"/>
        <v>0.90568927789934361</v>
      </c>
      <c r="P2752" s="121">
        <f t="shared" si="1067"/>
        <v>0</v>
      </c>
      <c r="Q2752" s="121">
        <f t="shared" si="1068"/>
        <v>1</v>
      </c>
      <c r="R2752" s="121">
        <f t="shared" si="1069"/>
        <v>0</v>
      </c>
      <c r="S2752" s="121" t="str">
        <f t="shared" si="1070"/>
        <v/>
      </c>
      <c r="T2752" s="121" t="str">
        <f t="shared" si="1071"/>
        <v/>
      </c>
      <c r="U2752" s="121">
        <f t="shared" si="1072"/>
        <v>1.06</v>
      </c>
    </row>
    <row r="2753" spans="1:21" x14ac:dyDescent="0.3">
      <c r="A2753" s="187">
        <v>29</v>
      </c>
      <c r="B2753" s="242">
        <f t="shared" si="1073"/>
        <v>46508</v>
      </c>
      <c r="C2753" s="243">
        <f t="shared" si="1054"/>
        <v>46538</v>
      </c>
      <c r="D2753" s="120">
        <f t="shared" si="1055"/>
        <v>31</v>
      </c>
      <c r="E2753" s="120">
        <f t="shared" si="1056"/>
        <v>5</v>
      </c>
      <c r="F2753" s="275">
        <f t="shared" si="1057"/>
        <v>46523.5</v>
      </c>
      <c r="G2753" s="120">
        <f t="shared" si="1058"/>
        <v>24328</v>
      </c>
      <c r="H2753" s="245">
        <f t="shared" si="1059"/>
        <v>1</v>
      </c>
      <c r="I2753" s="121">
        <f t="shared" si="1060"/>
        <v>1.06</v>
      </c>
      <c r="J2753" s="121">
        <f t="shared" si="1061"/>
        <v>1.06</v>
      </c>
      <c r="K2753" s="120">
        <f t="shared" si="1062"/>
        <v>0</v>
      </c>
      <c r="L2753" s="120">
        <f t="shared" si="1063"/>
        <v>0</v>
      </c>
      <c r="M2753" s="246">
        <f t="shared" si="1064"/>
        <v>0</v>
      </c>
      <c r="N2753" s="121">
        <f t="shared" si="1065"/>
        <v>1.06</v>
      </c>
      <c r="O2753" s="246">
        <f t="shared" si="1066"/>
        <v>0.90502188183807442</v>
      </c>
      <c r="P2753" s="121">
        <f t="shared" si="1067"/>
        <v>0</v>
      </c>
      <c r="Q2753" s="121">
        <f t="shared" si="1068"/>
        <v>1</v>
      </c>
      <c r="R2753" s="121">
        <f t="shared" si="1069"/>
        <v>0</v>
      </c>
      <c r="S2753" s="121" t="str">
        <f t="shared" si="1070"/>
        <v/>
      </c>
      <c r="T2753" s="121" t="str">
        <f t="shared" si="1071"/>
        <v/>
      </c>
      <c r="U2753" s="121">
        <f t="shared" si="1072"/>
        <v>1.06</v>
      </c>
    </row>
    <row r="2754" spans="1:21" x14ac:dyDescent="0.3">
      <c r="A2754" s="187">
        <v>30</v>
      </c>
      <c r="B2754" s="242">
        <f t="shared" si="1073"/>
        <v>46539</v>
      </c>
      <c r="C2754" s="243">
        <f t="shared" si="1054"/>
        <v>46568</v>
      </c>
      <c r="D2754" s="120">
        <f t="shared" si="1055"/>
        <v>30</v>
      </c>
      <c r="E2754" s="120">
        <f t="shared" si="1056"/>
        <v>6</v>
      </c>
      <c r="F2754" s="275">
        <f t="shared" si="1057"/>
        <v>46554</v>
      </c>
      <c r="G2754" s="120">
        <f t="shared" si="1058"/>
        <v>24329</v>
      </c>
      <c r="H2754" s="245">
        <f t="shared" si="1059"/>
        <v>1</v>
      </c>
      <c r="I2754" s="121">
        <f t="shared" si="1060"/>
        <v>1.06</v>
      </c>
      <c r="J2754" s="121">
        <f t="shared" si="1061"/>
        <v>1.06</v>
      </c>
      <c r="K2754" s="120">
        <f t="shared" si="1062"/>
        <v>0</v>
      </c>
      <c r="L2754" s="120">
        <f t="shared" si="1063"/>
        <v>0</v>
      </c>
      <c r="M2754" s="246">
        <f t="shared" si="1064"/>
        <v>0</v>
      </c>
      <c r="N2754" s="121">
        <f t="shared" si="1065"/>
        <v>1.06</v>
      </c>
      <c r="O2754" s="246">
        <f t="shared" si="1066"/>
        <v>0.90435448577680533</v>
      </c>
      <c r="P2754" s="121">
        <f t="shared" si="1067"/>
        <v>0</v>
      </c>
      <c r="Q2754" s="121">
        <f t="shared" si="1068"/>
        <v>1</v>
      </c>
      <c r="R2754" s="121">
        <f t="shared" si="1069"/>
        <v>0</v>
      </c>
      <c r="S2754" s="121" t="str">
        <f t="shared" si="1070"/>
        <v/>
      </c>
      <c r="T2754" s="121" t="str">
        <f t="shared" si="1071"/>
        <v/>
      </c>
      <c r="U2754" s="121">
        <f t="shared" si="1072"/>
        <v>1.06</v>
      </c>
    </row>
    <row r="2755" spans="1:21" x14ac:dyDescent="0.3">
      <c r="A2755" s="187">
        <v>31</v>
      </c>
      <c r="B2755" s="242">
        <f t="shared" si="1073"/>
        <v>46569</v>
      </c>
      <c r="C2755" s="243">
        <f t="shared" si="1054"/>
        <v>46599</v>
      </c>
      <c r="D2755" s="120">
        <f t="shared" si="1055"/>
        <v>31</v>
      </c>
      <c r="E2755" s="120">
        <f t="shared" si="1056"/>
        <v>7</v>
      </c>
      <c r="F2755" s="275">
        <f t="shared" si="1057"/>
        <v>46584.5</v>
      </c>
      <c r="G2755" s="120">
        <f t="shared" si="1058"/>
        <v>24330</v>
      </c>
      <c r="H2755" s="245">
        <f t="shared" si="1059"/>
        <v>1</v>
      </c>
      <c r="I2755" s="121">
        <f t="shared" si="1060"/>
        <v>1.06</v>
      </c>
      <c r="J2755" s="121">
        <f t="shared" si="1061"/>
        <v>1.06</v>
      </c>
      <c r="K2755" s="120">
        <f t="shared" si="1062"/>
        <v>0</v>
      </c>
      <c r="L2755" s="120">
        <f t="shared" si="1063"/>
        <v>0</v>
      </c>
      <c r="M2755" s="246">
        <f t="shared" si="1064"/>
        <v>0</v>
      </c>
      <c r="N2755" s="121">
        <f t="shared" si="1065"/>
        <v>1.06</v>
      </c>
      <c r="O2755" s="246">
        <f t="shared" si="1066"/>
        <v>0.90368708971553613</v>
      </c>
      <c r="P2755" s="121">
        <f t="shared" si="1067"/>
        <v>0</v>
      </c>
      <c r="Q2755" s="121">
        <f t="shared" si="1068"/>
        <v>0.91666666666666663</v>
      </c>
      <c r="R2755" s="121">
        <f t="shared" si="1069"/>
        <v>8.333333333333337E-2</v>
      </c>
      <c r="S2755" s="121" t="str">
        <f t="shared" si="1070"/>
        <v/>
      </c>
      <c r="T2755" s="121" t="str">
        <f t="shared" si="1071"/>
        <v/>
      </c>
      <c r="U2755" s="121">
        <f t="shared" si="1072"/>
        <v>1.06</v>
      </c>
    </row>
    <row r="2756" spans="1:21" x14ac:dyDescent="0.3">
      <c r="A2756" s="187">
        <v>32</v>
      </c>
      <c r="B2756" s="242">
        <f t="shared" si="1073"/>
        <v>46600</v>
      </c>
      <c r="C2756" s="243">
        <f t="shared" si="1054"/>
        <v>46630</v>
      </c>
      <c r="D2756" s="120">
        <f t="shared" si="1055"/>
        <v>31</v>
      </c>
      <c r="E2756" s="120">
        <f t="shared" si="1056"/>
        <v>8</v>
      </c>
      <c r="F2756" s="275">
        <f t="shared" si="1057"/>
        <v>46615.5</v>
      </c>
      <c r="G2756" s="120">
        <f t="shared" si="1058"/>
        <v>24331</v>
      </c>
      <c r="H2756" s="245">
        <f t="shared" si="1059"/>
        <v>1</v>
      </c>
      <c r="I2756" s="121">
        <f t="shared" si="1060"/>
        <v>1.06</v>
      </c>
      <c r="J2756" s="121">
        <f t="shared" si="1061"/>
        <v>1.06</v>
      </c>
      <c r="K2756" s="120">
        <f t="shared" si="1062"/>
        <v>0</v>
      </c>
      <c r="L2756" s="120">
        <f t="shared" si="1063"/>
        <v>0</v>
      </c>
      <c r="M2756" s="246">
        <f t="shared" si="1064"/>
        <v>0</v>
      </c>
      <c r="N2756" s="121">
        <f t="shared" si="1065"/>
        <v>1.06</v>
      </c>
      <c r="O2756" s="246">
        <f t="shared" si="1066"/>
        <v>0.90300875273522974</v>
      </c>
      <c r="P2756" s="121">
        <f t="shared" si="1067"/>
        <v>0</v>
      </c>
      <c r="Q2756" s="121">
        <f t="shared" si="1068"/>
        <v>0.75</v>
      </c>
      <c r="R2756" s="121">
        <f t="shared" si="1069"/>
        <v>0.25</v>
      </c>
      <c r="S2756" s="121" t="str">
        <f t="shared" si="1070"/>
        <v/>
      </c>
      <c r="T2756" s="121" t="str">
        <f t="shared" si="1071"/>
        <v/>
      </c>
      <c r="U2756" s="121">
        <f t="shared" si="1072"/>
        <v>1.06</v>
      </c>
    </row>
    <row r="2757" spans="1:21" x14ac:dyDescent="0.3">
      <c r="A2757" s="187">
        <v>33</v>
      </c>
      <c r="B2757" s="242">
        <f t="shared" si="1073"/>
        <v>46631</v>
      </c>
      <c r="C2757" s="243">
        <f t="shared" si="1054"/>
        <v>46660</v>
      </c>
      <c r="D2757" s="120">
        <f t="shared" si="1055"/>
        <v>30</v>
      </c>
      <c r="E2757" s="120">
        <f t="shared" si="1056"/>
        <v>9</v>
      </c>
      <c r="F2757" s="275">
        <f t="shared" si="1057"/>
        <v>46646</v>
      </c>
      <c r="G2757" s="120">
        <f t="shared" si="1058"/>
        <v>24332</v>
      </c>
      <c r="H2757" s="245">
        <f t="shared" si="1059"/>
        <v>1</v>
      </c>
      <c r="I2757" s="121">
        <f t="shared" si="1060"/>
        <v>1.06</v>
      </c>
      <c r="J2757" s="121">
        <f t="shared" si="1061"/>
        <v>1.06</v>
      </c>
      <c r="K2757" s="120">
        <f t="shared" si="1062"/>
        <v>0</v>
      </c>
      <c r="L2757" s="120">
        <f t="shared" si="1063"/>
        <v>0</v>
      </c>
      <c r="M2757" s="246">
        <f t="shared" si="1064"/>
        <v>0</v>
      </c>
      <c r="N2757" s="121">
        <f t="shared" si="1065"/>
        <v>1.06</v>
      </c>
      <c r="O2757" s="246">
        <f t="shared" si="1066"/>
        <v>0.90234135667396065</v>
      </c>
      <c r="P2757" s="121">
        <f t="shared" si="1067"/>
        <v>0</v>
      </c>
      <c r="Q2757" s="121">
        <f t="shared" si="1068"/>
        <v>0.58333333333333337</v>
      </c>
      <c r="R2757" s="121">
        <f t="shared" si="1069"/>
        <v>0.41666666666666663</v>
      </c>
      <c r="S2757" s="121" t="str">
        <f t="shared" si="1070"/>
        <v/>
      </c>
      <c r="T2757" s="121" t="str">
        <f t="shared" si="1071"/>
        <v/>
      </c>
      <c r="U2757" s="121">
        <f t="shared" si="1072"/>
        <v>1.06</v>
      </c>
    </row>
    <row r="2758" spans="1:21" x14ac:dyDescent="0.3">
      <c r="A2758" s="187">
        <v>34</v>
      </c>
      <c r="B2758" s="242">
        <f t="shared" si="1073"/>
        <v>46661</v>
      </c>
      <c r="C2758" s="243">
        <f t="shared" si="1054"/>
        <v>46691</v>
      </c>
      <c r="D2758" s="120">
        <f t="shared" si="1055"/>
        <v>31</v>
      </c>
      <c r="E2758" s="120">
        <f t="shared" si="1056"/>
        <v>10</v>
      </c>
      <c r="F2758" s="275">
        <f t="shared" si="1057"/>
        <v>46676.5</v>
      </c>
      <c r="G2758" s="120">
        <f t="shared" si="1058"/>
        <v>24333</v>
      </c>
      <c r="H2758" s="245">
        <f t="shared" si="1059"/>
        <v>1</v>
      </c>
      <c r="I2758" s="121">
        <f t="shared" si="1060"/>
        <v>1.06</v>
      </c>
      <c r="J2758" s="121">
        <f t="shared" si="1061"/>
        <v>1.1024</v>
      </c>
      <c r="K2758" s="120">
        <f t="shared" si="1062"/>
        <v>1</v>
      </c>
      <c r="L2758" s="120">
        <f t="shared" si="1063"/>
        <v>31</v>
      </c>
      <c r="M2758" s="246">
        <f t="shared" si="1064"/>
        <v>1</v>
      </c>
      <c r="N2758" s="121">
        <f t="shared" si="1065"/>
        <v>1.1024</v>
      </c>
      <c r="O2758" s="246">
        <f t="shared" si="1066"/>
        <v>0.90167396061269145</v>
      </c>
      <c r="P2758" s="121">
        <f t="shared" si="1067"/>
        <v>0</v>
      </c>
      <c r="Q2758" s="121">
        <f t="shared" si="1068"/>
        <v>0.41666666666666669</v>
      </c>
      <c r="R2758" s="121">
        <f t="shared" si="1069"/>
        <v>0.58333333333333326</v>
      </c>
      <c r="S2758" s="121" t="str">
        <f t="shared" si="1070"/>
        <v/>
      </c>
      <c r="T2758" s="121" t="str">
        <f t="shared" si="1071"/>
        <v/>
      </c>
      <c r="U2758" s="121">
        <f t="shared" si="1072"/>
        <v>1.1024</v>
      </c>
    </row>
    <row r="2759" spans="1:21" x14ac:dyDescent="0.3">
      <c r="A2759" s="187">
        <v>35</v>
      </c>
      <c r="B2759" s="242">
        <f t="shared" si="1073"/>
        <v>46692</v>
      </c>
      <c r="C2759" s="243">
        <f t="shared" si="1054"/>
        <v>46721</v>
      </c>
      <c r="D2759" s="120">
        <f t="shared" si="1055"/>
        <v>30</v>
      </c>
      <c r="E2759" s="120">
        <f t="shared" si="1056"/>
        <v>11</v>
      </c>
      <c r="F2759" s="275">
        <f t="shared" si="1057"/>
        <v>46707</v>
      </c>
      <c r="G2759" s="120">
        <f t="shared" si="1058"/>
        <v>24334</v>
      </c>
      <c r="H2759" s="245">
        <f t="shared" si="1059"/>
        <v>1</v>
      </c>
      <c r="I2759" s="121">
        <f t="shared" si="1060"/>
        <v>1.1024</v>
      </c>
      <c r="J2759" s="121">
        <f t="shared" si="1061"/>
        <v>1.1024</v>
      </c>
      <c r="K2759" s="120">
        <f t="shared" si="1062"/>
        <v>0</v>
      </c>
      <c r="L2759" s="120">
        <f t="shared" si="1063"/>
        <v>0</v>
      </c>
      <c r="M2759" s="246">
        <f t="shared" si="1064"/>
        <v>0</v>
      </c>
      <c r="N2759" s="121">
        <f t="shared" si="1065"/>
        <v>1.1024</v>
      </c>
      <c r="O2759" s="246">
        <f t="shared" si="1066"/>
        <v>0.90100656455142236</v>
      </c>
      <c r="P2759" s="121">
        <f t="shared" si="1067"/>
        <v>0</v>
      </c>
      <c r="Q2759" s="121">
        <f t="shared" si="1068"/>
        <v>0.25</v>
      </c>
      <c r="R2759" s="121">
        <f t="shared" si="1069"/>
        <v>0.75</v>
      </c>
      <c r="S2759" s="121" t="str">
        <f t="shared" si="1070"/>
        <v/>
      </c>
      <c r="T2759" s="121" t="str">
        <f t="shared" si="1071"/>
        <v/>
      </c>
      <c r="U2759" s="121">
        <f t="shared" si="1072"/>
        <v>1.1024</v>
      </c>
    </row>
    <row r="2760" spans="1:21" x14ac:dyDescent="0.3">
      <c r="A2760" s="187">
        <v>36</v>
      </c>
      <c r="B2760" s="242">
        <f t="shared" si="1073"/>
        <v>46722</v>
      </c>
      <c r="C2760" s="243">
        <f t="shared" si="1054"/>
        <v>46752</v>
      </c>
      <c r="D2760" s="120">
        <f t="shared" si="1055"/>
        <v>31</v>
      </c>
      <c r="E2760" s="120">
        <f t="shared" si="1056"/>
        <v>12</v>
      </c>
      <c r="F2760" s="275">
        <f t="shared" si="1057"/>
        <v>46737.5</v>
      </c>
      <c r="G2760" s="120">
        <f t="shared" si="1058"/>
        <v>24335</v>
      </c>
      <c r="H2760" s="245">
        <f t="shared" si="1059"/>
        <v>1</v>
      </c>
      <c r="I2760" s="121">
        <f t="shared" si="1060"/>
        <v>1.1024</v>
      </c>
      <c r="J2760" s="121">
        <f t="shared" si="1061"/>
        <v>1.1024</v>
      </c>
      <c r="K2760" s="120">
        <f t="shared" si="1062"/>
        <v>0</v>
      </c>
      <c r="L2760" s="120">
        <f t="shared" si="1063"/>
        <v>0</v>
      </c>
      <c r="M2760" s="246">
        <f t="shared" si="1064"/>
        <v>0</v>
      </c>
      <c r="N2760" s="121">
        <f t="shared" si="1065"/>
        <v>1.1024</v>
      </c>
      <c r="O2760" s="246">
        <f t="shared" si="1066"/>
        <v>0.90033916849015316</v>
      </c>
      <c r="P2760" s="121">
        <f t="shared" si="1067"/>
        <v>0</v>
      </c>
      <c r="Q2760" s="121">
        <f t="shared" si="1068"/>
        <v>8.3333333333333329E-2</v>
      </c>
      <c r="R2760" s="121">
        <f t="shared" si="1069"/>
        <v>0.91666666666666663</v>
      </c>
      <c r="S2760" s="121" t="str">
        <f t="shared" si="1070"/>
        <v/>
      </c>
      <c r="T2760" s="121" t="str">
        <f t="shared" si="1071"/>
        <v/>
      </c>
      <c r="U2760" s="121">
        <f t="shared" si="1072"/>
        <v>1.1024</v>
      </c>
    </row>
    <row r="2761" spans="1:21" x14ac:dyDescent="0.3">
      <c r="A2761" s="187">
        <v>37</v>
      </c>
      <c r="B2761" s="242">
        <f t="shared" si="1073"/>
        <v>46753</v>
      </c>
      <c r="C2761" s="243">
        <f t="shared" si="1054"/>
        <v>46783</v>
      </c>
      <c r="D2761" s="120">
        <f t="shared" si="1055"/>
        <v>31</v>
      </c>
      <c r="E2761" s="120">
        <f t="shared" si="1056"/>
        <v>1</v>
      </c>
      <c r="F2761" s="275">
        <f t="shared" si="1057"/>
        <v>46768.5</v>
      </c>
      <c r="G2761" s="120">
        <f t="shared" si="1058"/>
        <v>24336</v>
      </c>
      <c r="H2761" s="245">
        <f t="shared" si="1059"/>
        <v>1</v>
      </c>
      <c r="I2761" s="121">
        <f t="shared" si="1060"/>
        <v>1.1024</v>
      </c>
      <c r="J2761" s="121">
        <f t="shared" si="1061"/>
        <v>1.1024</v>
      </c>
      <c r="K2761" s="120">
        <f t="shared" si="1062"/>
        <v>0</v>
      </c>
      <c r="L2761" s="120">
        <f t="shared" si="1063"/>
        <v>0</v>
      </c>
      <c r="M2761" s="246">
        <f t="shared" si="1064"/>
        <v>0</v>
      </c>
      <c r="N2761" s="121">
        <f t="shared" si="1065"/>
        <v>1.1024</v>
      </c>
      <c r="O2761" s="246">
        <f t="shared" si="1066"/>
        <v>0.9</v>
      </c>
      <c r="P2761" s="121">
        <f t="shared" si="1067"/>
        <v>0</v>
      </c>
      <c r="Q2761" s="121">
        <f t="shared" si="1068"/>
        <v>0</v>
      </c>
      <c r="R2761" s="121">
        <f t="shared" si="1069"/>
        <v>1</v>
      </c>
      <c r="S2761" s="121" t="str">
        <f t="shared" si="1070"/>
        <v/>
      </c>
      <c r="T2761" s="121" t="str">
        <f t="shared" si="1071"/>
        <v/>
      </c>
      <c r="U2761" s="121">
        <f t="shared" si="1072"/>
        <v>1.1024</v>
      </c>
    </row>
    <row r="2762" spans="1:21" x14ac:dyDescent="0.3">
      <c r="A2762" s="187">
        <v>38</v>
      </c>
      <c r="B2762" s="242">
        <f t="shared" si="1073"/>
        <v>46784</v>
      </c>
      <c r="C2762" s="243">
        <f t="shared" si="1054"/>
        <v>46812</v>
      </c>
      <c r="D2762" s="120">
        <f t="shared" si="1055"/>
        <v>29</v>
      </c>
      <c r="E2762" s="120">
        <f t="shared" si="1056"/>
        <v>2</v>
      </c>
      <c r="F2762" s="275">
        <f t="shared" si="1057"/>
        <v>46798.5</v>
      </c>
      <c r="G2762" s="120">
        <f t="shared" si="1058"/>
        <v>24337</v>
      </c>
      <c r="H2762" s="245">
        <f t="shared" si="1059"/>
        <v>1</v>
      </c>
      <c r="I2762" s="121">
        <f t="shared" si="1060"/>
        <v>1.1024</v>
      </c>
      <c r="J2762" s="121">
        <f t="shared" si="1061"/>
        <v>1.1024</v>
      </c>
      <c r="K2762" s="120">
        <f t="shared" si="1062"/>
        <v>0</v>
      </c>
      <c r="L2762" s="120">
        <f t="shared" si="1063"/>
        <v>0</v>
      </c>
      <c r="M2762" s="246">
        <f t="shared" si="1064"/>
        <v>0</v>
      </c>
      <c r="N2762" s="121">
        <f t="shared" si="1065"/>
        <v>1.1024</v>
      </c>
      <c r="O2762" s="246">
        <f t="shared" si="1066"/>
        <v>0.9</v>
      </c>
      <c r="P2762" s="121">
        <f t="shared" si="1067"/>
        <v>0</v>
      </c>
      <c r="Q2762" s="121">
        <f t="shared" si="1068"/>
        <v>0</v>
      </c>
      <c r="R2762" s="121">
        <f t="shared" si="1069"/>
        <v>1</v>
      </c>
      <c r="S2762" s="121" t="str">
        <f t="shared" si="1070"/>
        <v/>
      </c>
      <c r="T2762" s="121" t="str">
        <f t="shared" si="1071"/>
        <v/>
      </c>
      <c r="U2762" s="121">
        <f t="shared" si="1072"/>
        <v>1.1024</v>
      </c>
    </row>
    <row r="2763" spans="1:21" x14ac:dyDescent="0.3">
      <c r="A2763" s="187">
        <v>39</v>
      </c>
      <c r="B2763" s="242">
        <f t="shared" si="1073"/>
        <v>46813</v>
      </c>
      <c r="C2763" s="243">
        <f t="shared" si="1054"/>
        <v>46843</v>
      </c>
      <c r="D2763" s="120">
        <f t="shared" si="1055"/>
        <v>31</v>
      </c>
      <c r="E2763" s="120">
        <f t="shared" si="1056"/>
        <v>3</v>
      </c>
      <c r="F2763" s="275">
        <f t="shared" si="1057"/>
        <v>46828.5</v>
      </c>
      <c r="G2763" s="120">
        <f t="shared" si="1058"/>
        <v>24338</v>
      </c>
      <c r="H2763" s="245">
        <f t="shared" si="1059"/>
        <v>1</v>
      </c>
      <c r="I2763" s="121">
        <f t="shared" si="1060"/>
        <v>1.1024</v>
      </c>
      <c r="J2763" s="121">
        <f t="shared" si="1061"/>
        <v>1.1024</v>
      </c>
      <c r="K2763" s="120">
        <f t="shared" si="1062"/>
        <v>0</v>
      </c>
      <c r="L2763" s="120">
        <f t="shared" si="1063"/>
        <v>0</v>
      </c>
      <c r="M2763" s="246">
        <f t="shared" si="1064"/>
        <v>0</v>
      </c>
      <c r="N2763" s="121">
        <f t="shared" si="1065"/>
        <v>1.1024</v>
      </c>
      <c r="O2763" s="246">
        <f t="shared" si="1066"/>
        <v>0.9</v>
      </c>
      <c r="P2763" s="121">
        <f t="shared" si="1067"/>
        <v>0</v>
      </c>
      <c r="Q2763" s="121">
        <f t="shared" si="1068"/>
        <v>0</v>
      </c>
      <c r="R2763" s="121">
        <f t="shared" si="1069"/>
        <v>1</v>
      </c>
      <c r="S2763" s="121" t="str">
        <f t="shared" si="1070"/>
        <v/>
      </c>
      <c r="T2763" s="121" t="str">
        <f t="shared" si="1071"/>
        <v/>
      </c>
      <c r="U2763" s="121">
        <f t="shared" si="1072"/>
        <v>1.1024</v>
      </c>
    </row>
    <row r="2764" spans="1:21" x14ac:dyDescent="0.3">
      <c r="A2764" s="187">
        <v>40</v>
      </c>
      <c r="B2764" s="242">
        <f t="shared" si="1073"/>
        <v>46844</v>
      </c>
      <c r="C2764" s="243">
        <f t="shared" si="1054"/>
        <v>46873</v>
      </c>
      <c r="D2764" s="120">
        <f t="shared" si="1055"/>
        <v>30</v>
      </c>
      <c r="E2764" s="120">
        <f t="shared" si="1056"/>
        <v>4</v>
      </c>
      <c r="F2764" s="275">
        <f t="shared" si="1057"/>
        <v>46859</v>
      </c>
      <c r="G2764" s="120">
        <f t="shared" si="1058"/>
        <v>24339</v>
      </c>
      <c r="H2764" s="245">
        <f t="shared" si="1059"/>
        <v>1</v>
      </c>
      <c r="I2764" s="121">
        <f t="shared" si="1060"/>
        <v>1.1024</v>
      </c>
      <c r="J2764" s="121">
        <f t="shared" si="1061"/>
        <v>1.1024</v>
      </c>
      <c r="K2764" s="120">
        <f t="shared" si="1062"/>
        <v>0</v>
      </c>
      <c r="L2764" s="120">
        <f t="shared" si="1063"/>
        <v>0</v>
      </c>
      <c r="M2764" s="246">
        <f t="shared" si="1064"/>
        <v>0</v>
      </c>
      <c r="N2764" s="121">
        <f t="shared" si="1065"/>
        <v>1.1024</v>
      </c>
      <c r="O2764" s="246">
        <f t="shared" si="1066"/>
        <v>0.9</v>
      </c>
      <c r="P2764" s="121">
        <f t="shared" si="1067"/>
        <v>0</v>
      </c>
      <c r="Q2764" s="121">
        <f t="shared" si="1068"/>
        <v>0</v>
      </c>
      <c r="R2764" s="121">
        <f t="shared" si="1069"/>
        <v>1</v>
      </c>
      <c r="S2764" s="121" t="str">
        <f t="shared" si="1070"/>
        <v/>
      </c>
      <c r="T2764" s="121" t="str">
        <f t="shared" si="1071"/>
        <v/>
      </c>
      <c r="U2764" s="121">
        <f t="shared" si="1072"/>
        <v>1.1024</v>
      </c>
    </row>
    <row r="2765" spans="1:21" x14ac:dyDescent="0.3">
      <c r="A2765" s="187">
        <v>41</v>
      </c>
      <c r="B2765" s="242">
        <f t="shared" si="1073"/>
        <v>46874</v>
      </c>
      <c r="C2765" s="243">
        <f t="shared" si="1054"/>
        <v>46904</v>
      </c>
      <c r="D2765" s="120">
        <f t="shared" si="1055"/>
        <v>31</v>
      </c>
      <c r="E2765" s="120">
        <f t="shared" si="1056"/>
        <v>5</v>
      </c>
      <c r="F2765" s="275">
        <f t="shared" si="1057"/>
        <v>46889.5</v>
      </c>
      <c r="G2765" s="120">
        <f t="shared" si="1058"/>
        <v>24340</v>
      </c>
      <c r="H2765" s="245">
        <f t="shared" si="1059"/>
        <v>1</v>
      </c>
      <c r="I2765" s="121">
        <f t="shared" si="1060"/>
        <v>1.1024</v>
      </c>
      <c r="J2765" s="121">
        <f t="shared" si="1061"/>
        <v>1.1024</v>
      </c>
      <c r="K2765" s="120">
        <f t="shared" si="1062"/>
        <v>0</v>
      </c>
      <c r="L2765" s="120">
        <f t="shared" si="1063"/>
        <v>0</v>
      </c>
      <c r="M2765" s="246">
        <f t="shared" si="1064"/>
        <v>0</v>
      </c>
      <c r="N2765" s="121">
        <f t="shared" si="1065"/>
        <v>1.1024</v>
      </c>
      <c r="O2765" s="246">
        <f t="shared" si="1066"/>
        <v>0.9</v>
      </c>
      <c r="P2765" s="121">
        <f t="shared" si="1067"/>
        <v>0</v>
      </c>
      <c r="Q2765" s="121">
        <f t="shared" si="1068"/>
        <v>0</v>
      </c>
      <c r="R2765" s="121">
        <f t="shared" si="1069"/>
        <v>1</v>
      </c>
      <c r="S2765" s="121" t="str">
        <f t="shared" si="1070"/>
        <v/>
      </c>
      <c r="T2765" s="121" t="str">
        <f t="shared" si="1071"/>
        <v/>
      </c>
      <c r="U2765" s="121">
        <f t="shared" si="1072"/>
        <v>1.1024</v>
      </c>
    </row>
    <row r="2766" spans="1:21" x14ac:dyDescent="0.3">
      <c r="A2766" s="187">
        <v>42</v>
      </c>
      <c r="B2766" s="242">
        <f t="shared" si="1073"/>
        <v>46905</v>
      </c>
      <c r="C2766" s="243">
        <f t="shared" si="1054"/>
        <v>46934</v>
      </c>
      <c r="D2766" s="120">
        <f t="shared" si="1055"/>
        <v>30</v>
      </c>
      <c r="E2766" s="120">
        <f t="shared" si="1056"/>
        <v>6</v>
      </c>
      <c r="F2766" s="275">
        <f t="shared" si="1057"/>
        <v>46920</v>
      </c>
      <c r="G2766" s="120">
        <f t="shared" si="1058"/>
        <v>24341</v>
      </c>
      <c r="H2766" s="245">
        <f t="shared" si="1059"/>
        <v>1</v>
      </c>
      <c r="I2766" s="121">
        <f t="shared" si="1060"/>
        <v>1.1024</v>
      </c>
      <c r="J2766" s="121">
        <f t="shared" si="1061"/>
        <v>1.1024</v>
      </c>
      <c r="K2766" s="120">
        <f t="shared" si="1062"/>
        <v>0</v>
      </c>
      <c r="L2766" s="120">
        <f t="shared" si="1063"/>
        <v>0</v>
      </c>
      <c r="M2766" s="246">
        <f t="shared" si="1064"/>
        <v>0</v>
      </c>
      <c r="N2766" s="121">
        <f t="shared" si="1065"/>
        <v>1.1024</v>
      </c>
      <c r="O2766" s="246">
        <f t="shared" si="1066"/>
        <v>0.9</v>
      </c>
      <c r="P2766" s="121">
        <f t="shared" si="1067"/>
        <v>0</v>
      </c>
      <c r="Q2766" s="121">
        <f t="shared" si="1068"/>
        <v>0</v>
      </c>
      <c r="R2766" s="121">
        <f t="shared" si="1069"/>
        <v>1</v>
      </c>
      <c r="S2766" s="121" t="str">
        <f t="shared" si="1070"/>
        <v/>
      </c>
      <c r="T2766" s="121" t="str">
        <f t="shared" si="1071"/>
        <v/>
      </c>
      <c r="U2766" s="121">
        <f t="shared" si="1072"/>
        <v>1.1024</v>
      </c>
    </row>
    <row r="2767" spans="1:21" x14ac:dyDescent="0.3">
      <c r="A2767" s="187">
        <v>43</v>
      </c>
      <c r="B2767" s="242">
        <f t="shared" si="1073"/>
        <v>46935</v>
      </c>
      <c r="C2767" s="243">
        <f t="shared" si="1054"/>
        <v>46965</v>
      </c>
      <c r="D2767" s="120">
        <f t="shared" si="1055"/>
        <v>31</v>
      </c>
      <c r="E2767" s="120">
        <f t="shared" si="1056"/>
        <v>7</v>
      </c>
      <c r="F2767" s="275">
        <f t="shared" si="1057"/>
        <v>46950.5</v>
      </c>
      <c r="G2767" s="120">
        <f t="shared" si="1058"/>
        <v>24342</v>
      </c>
      <c r="H2767" s="245">
        <f t="shared" si="1059"/>
        <v>1</v>
      </c>
      <c r="I2767" s="121">
        <f t="shared" si="1060"/>
        <v>1.1024</v>
      </c>
      <c r="J2767" s="121">
        <f t="shared" si="1061"/>
        <v>1.1024</v>
      </c>
      <c r="K2767" s="120">
        <f t="shared" si="1062"/>
        <v>0</v>
      </c>
      <c r="L2767" s="120">
        <f t="shared" si="1063"/>
        <v>0</v>
      </c>
      <c r="M2767" s="246">
        <f t="shared" si="1064"/>
        <v>0</v>
      </c>
      <c r="N2767" s="121">
        <f t="shared" si="1065"/>
        <v>1.1024</v>
      </c>
      <c r="O2767" s="246">
        <f t="shared" si="1066"/>
        <v>0.9</v>
      </c>
      <c r="P2767" s="121">
        <f t="shared" si="1067"/>
        <v>0</v>
      </c>
      <c r="Q2767" s="121">
        <f t="shared" si="1068"/>
        <v>0</v>
      </c>
      <c r="R2767" s="121">
        <f t="shared" si="1069"/>
        <v>0.91666666666666663</v>
      </c>
      <c r="S2767" s="121" t="str">
        <f t="shared" si="1070"/>
        <v/>
      </c>
      <c r="T2767" s="121" t="str">
        <f t="shared" si="1071"/>
        <v/>
      </c>
      <c r="U2767" s="121">
        <f t="shared" si="1072"/>
        <v>1.1024</v>
      </c>
    </row>
    <row r="2768" spans="1:21" x14ac:dyDescent="0.3">
      <c r="A2768" s="187">
        <v>44</v>
      </c>
      <c r="B2768" s="242">
        <f t="shared" si="1073"/>
        <v>46966</v>
      </c>
      <c r="C2768" s="243">
        <f t="shared" si="1054"/>
        <v>46996</v>
      </c>
      <c r="D2768" s="120">
        <f t="shared" si="1055"/>
        <v>31</v>
      </c>
      <c r="E2768" s="120">
        <f t="shared" si="1056"/>
        <v>8</v>
      </c>
      <c r="F2768" s="275">
        <f t="shared" si="1057"/>
        <v>46981.5</v>
      </c>
      <c r="G2768" s="120">
        <f t="shared" si="1058"/>
        <v>24343</v>
      </c>
      <c r="H2768" s="245">
        <f t="shared" si="1059"/>
        <v>1</v>
      </c>
      <c r="I2768" s="121">
        <f t="shared" si="1060"/>
        <v>1.1024</v>
      </c>
      <c r="J2768" s="121">
        <f t="shared" si="1061"/>
        <v>1.1024</v>
      </c>
      <c r="K2768" s="120">
        <f t="shared" si="1062"/>
        <v>0</v>
      </c>
      <c r="L2768" s="120">
        <f t="shared" si="1063"/>
        <v>0</v>
      </c>
      <c r="M2768" s="246">
        <f t="shared" si="1064"/>
        <v>0</v>
      </c>
      <c r="N2768" s="121">
        <f t="shared" si="1065"/>
        <v>1.1024</v>
      </c>
      <c r="O2768" s="246">
        <f t="shared" si="1066"/>
        <v>0.9</v>
      </c>
      <c r="P2768" s="121">
        <f t="shared" si="1067"/>
        <v>0</v>
      </c>
      <c r="Q2768" s="121">
        <f t="shared" si="1068"/>
        <v>0</v>
      </c>
      <c r="R2768" s="121">
        <f t="shared" si="1069"/>
        <v>0.75</v>
      </c>
      <c r="S2768" s="121" t="str">
        <f t="shared" si="1070"/>
        <v/>
      </c>
      <c r="T2768" s="121" t="str">
        <f t="shared" si="1071"/>
        <v/>
      </c>
      <c r="U2768" s="121">
        <f t="shared" si="1072"/>
        <v>1.1024</v>
      </c>
    </row>
    <row r="2769" spans="1:21" x14ac:dyDescent="0.3">
      <c r="A2769" s="187">
        <v>45</v>
      </c>
      <c r="B2769" s="242">
        <f t="shared" si="1073"/>
        <v>46997</v>
      </c>
      <c r="C2769" s="243">
        <f t="shared" si="1054"/>
        <v>47026</v>
      </c>
      <c r="D2769" s="120">
        <f t="shared" si="1055"/>
        <v>30</v>
      </c>
      <c r="E2769" s="120">
        <f t="shared" si="1056"/>
        <v>9</v>
      </c>
      <c r="F2769" s="275">
        <f t="shared" si="1057"/>
        <v>47012</v>
      </c>
      <c r="G2769" s="120">
        <f t="shared" si="1058"/>
        <v>24344</v>
      </c>
      <c r="H2769" s="245">
        <f t="shared" si="1059"/>
        <v>1</v>
      </c>
      <c r="I2769" s="121">
        <f t="shared" si="1060"/>
        <v>1.1024</v>
      </c>
      <c r="J2769" s="121">
        <f t="shared" si="1061"/>
        <v>1.1024</v>
      </c>
      <c r="K2769" s="120">
        <f t="shared" si="1062"/>
        <v>0</v>
      </c>
      <c r="L2769" s="120">
        <f t="shared" si="1063"/>
        <v>0</v>
      </c>
      <c r="M2769" s="246">
        <f t="shared" si="1064"/>
        <v>0</v>
      </c>
      <c r="N2769" s="121">
        <f t="shared" si="1065"/>
        <v>1.1024</v>
      </c>
      <c r="O2769" s="246">
        <f t="shared" si="1066"/>
        <v>0.9</v>
      </c>
      <c r="P2769" s="121">
        <f t="shared" si="1067"/>
        <v>0</v>
      </c>
      <c r="Q2769" s="121">
        <f t="shared" si="1068"/>
        <v>0</v>
      </c>
      <c r="R2769" s="121">
        <f t="shared" si="1069"/>
        <v>0.58333333333333337</v>
      </c>
      <c r="S2769" s="121" t="str">
        <f t="shared" si="1070"/>
        <v/>
      </c>
      <c r="T2769" s="121" t="str">
        <f t="shared" si="1071"/>
        <v/>
      </c>
      <c r="U2769" s="121">
        <f t="shared" si="1072"/>
        <v>1.1024</v>
      </c>
    </row>
    <row r="2770" spans="1:21" x14ac:dyDescent="0.3">
      <c r="A2770" s="187">
        <v>46</v>
      </c>
      <c r="B2770" s="242">
        <f t="shared" si="1073"/>
        <v>47027</v>
      </c>
      <c r="C2770" s="243">
        <f t="shared" si="1054"/>
        <v>47057</v>
      </c>
      <c r="D2770" s="120">
        <f t="shared" si="1055"/>
        <v>31</v>
      </c>
      <c r="E2770" s="120">
        <f t="shared" si="1056"/>
        <v>10</v>
      </c>
      <c r="F2770" s="275">
        <f t="shared" si="1057"/>
        <v>47042.5</v>
      </c>
      <c r="G2770" s="120">
        <f t="shared" si="1058"/>
        <v>24345</v>
      </c>
      <c r="H2770" s="245">
        <f t="shared" si="1059"/>
        <v>1</v>
      </c>
      <c r="I2770" s="121">
        <f t="shared" si="1060"/>
        <v>1.1024</v>
      </c>
      <c r="J2770" s="121">
        <f t="shared" si="1061"/>
        <v>1.1024</v>
      </c>
      <c r="K2770" s="120">
        <f t="shared" si="1062"/>
        <v>0</v>
      </c>
      <c r="L2770" s="120">
        <f t="shared" si="1063"/>
        <v>0</v>
      </c>
      <c r="M2770" s="246">
        <f t="shared" si="1064"/>
        <v>0</v>
      </c>
      <c r="N2770" s="121">
        <f t="shared" si="1065"/>
        <v>1.1024</v>
      </c>
      <c r="O2770" s="246">
        <f t="shared" si="1066"/>
        <v>0.9</v>
      </c>
      <c r="P2770" s="121">
        <f t="shared" si="1067"/>
        <v>0</v>
      </c>
      <c r="Q2770" s="121">
        <f t="shared" si="1068"/>
        <v>0</v>
      </c>
      <c r="R2770" s="121">
        <f t="shared" si="1069"/>
        <v>0.41666666666666669</v>
      </c>
      <c r="S2770" s="121" t="str">
        <f t="shared" si="1070"/>
        <v/>
      </c>
      <c r="T2770" s="121" t="str">
        <f t="shared" si="1071"/>
        <v/>
      </c>
      <c r="U2770" s="121">
        <f t="shared" si="1072"/>
        <v>1.1024</v>
      </c>
    </row>
    <row r="2771" spans="1:21" x14ac:dyDescent="0.3">
      <c r="A2771" s="187">
        <v>47</v>
      </c>
      <c r="B2771" s="242">
        <f t="shared" si="1073"/>
        <v>47058</v>
      </c>
      <c r="C2771" s="243">
        <f t="shared" si="1054"/>
        <v>47087</v>
      </c>
      <c r="D2771" s="120">
        <f t="shared" si="1055"/>
        <v>30</v>
      </c>
      <c r="E2771" s="120">
        <f t="shared" si="1056"/>
        <v>11</v>
      </c>
      <c r="F2771" s="275">
        <f t="shared" si="1057"/>
        <v>47073</v>
      </c>
      <c r="G2771" s="120">
        <f t="shared" si="1058"/>
        <v>24346</v>
      </c>
      <c r="H2771" s="245">
        <f t="shared" si="1059"/>
        <v>1</v>
      </c>
      <c r="I2771" s="121">
        <f t="shared" si="1060"/>
        <v>1.1024</v>
      </c>
      <c r="J2771" s="121">
        <f t="shared" si="1061"/>
        <v>1.1024</v>
      </c>
      <c r="K2771" s="120">
        <f t="shared" si="1062"/>
        <v>0</v>
      </c>
      <c r="L2771" s="120">
        <f t="shared" si="1063"/>
        <v>0</v>
      </c>
      <c r="M2771" s="246">
        <f t="shared" si="1064"/>
        <v>0</v>
      </c>
      <c r="N2771" s="121">
        <f t="shared" si="1065"/>
        <v>1.1024</v>
      </c>
      <c r="O2771" s="246">
        <f t="shared" si="1066"/>
        <v>0.9</v>
      </c>
      <c r="P2771" s="121">
        <f t="shared" si="1067"/>
        <v>0</v>
      </c>
      <c r="Q2771" s="121">
        <f t="shared" si="1068"/>
        <v>0</v>
      </c>
      <c r="R2771" s="121">
        <f t="shared" si="1069"/>
        <v>0.25</v>
      </c>
      <c r="S2771" s="121" t="str">
        <f t="shared" si="1070"/>
        <v/>
      </c>
      <c r="T2771" s="121" t="str">
        <f t="shared" si="1071"/>
        <v/>
      </c>
      <c r="U2771" s="121">
        <f t="shared" si="1072"/>
        <v>1.1024</v>
      </c>
    </row>
    <row r="2772" spans="1:21" x14ac:dyDescent="0.3">
      <c r="A2772" s="187">
        <v>48</v>
      </c>
      <c r="B2772" s="242">
        <f t="shared" si="1073"/>
        <v>47088</v>
      </c>
      <c r="C2772" s="243">
        <f t="shared" si="1054"/>
        <v>47118</v>
      </c>
      <c r="D2772" s="120">
        <f t="shared" si="1055"/>
        <v>31</v>
      </c>
      <c r="E2772" s="120">
        <f t="shared" si="1056"/>
        <v>12</v>
      </c>
      <c r="F2772" s="275">
        <f t="shared" si="1057"/>
        <v>47103.5</v>
      </c>
      <c r="G2772" s="120">
        <f t="shared" si="1058"/>
        <v>24347</v>
      </c>
      <c r="H2772" s="245">
        <f t="shared" si="1059"/>
        <v>1</v>
      </c>
      <c r="I2772" s="121">
        <f t="shared" si="1060"/>
        <v>1.1024</v>
      </c>
      <c r="J2772" s="121">
        <f t="shared" si="1061"/>
        <v>1.1024</v>
      </c>
      <c r="K2772" s="120">
        <f t="shared" si="1062"/>
        <v>0</v>
      </c>
      <c r="L2772" s="120">
        <f t="shared" si="1063"/>
        <v>0</v>
      </c>
      <c r="M2772" s="246">
        <f t="shared" si="1064"/>
        <v>0</v>
      </c>
      <c r="N2772" s="121">
        <f t="shared" si="1065"/>
        <v>1.1024</v>
      </c>
      <c r="O2772" s="246">
        <f t="shared" si="1066"/>
        <v>0.9</v>
      </c>
      <c r="P2772" s="121">
        <f t="shared" si="1067"/>
        <v>0</v>
      </c>
      <c r="Q2772" s="121">
        <f t="shared" si="1068"/>
        <v>0</v>
      </c>
      <c r="R2772" s="121">
        <f t="shared" si="1069"/>
        <v>8.3333333333333329E-2</v>
      </c>
      <c r="S2772" s="121" t="str">
        <f t="shared" si="1070"/>
        <v/>
      </c>
      <c r="T2772" s="121" t="str">
        <f t="shared" si="1071"/>
        <v/>
      </c>
      <c r="U2772" s="121">
        <f t="shared" si="1072"/>
        <v>1.1024</v>
      </c>
    </row>
    <row r="2773" spans="1:21" x14ac:dyDescent="0.3">
      <c r="A2773" s="6" t="s">
        <v>1651</v>
      </c>
      <c r="B2773" s="73">
        <f>EXP(SUMPRODUCT((rl_key=$A$2722)*(rl_cons="Y")*rl_ln1p))</f>
        <v>1.06</v>
      </c>
      <c r="C2773" s="73">
        <f>SUMPRODUCT($H$2725:$H$2772,$P$2725:$P$2772,$U$2725:$U$2772)/SUMPRODUCT($H$2725:$H$2772,$P$2725:$P$2772)</f>
        <v>1.0400000000000003</v>
      </c>
      <c r="D2773" s="73">
        <f>SUMPRODUCT($H$2725:$H$2772,$Q$2725:$Q$2772,$U$2725:$U$2772)/SUMPRODUCT($H$2725:$H$2772,$Q$2725:$Q$2772)</f>
        <v>1.0626500000000003</v>
      </c>
      <c r="E2773" s="73">
        <f>SUMPRODUCT($H$2725:$H$2772,$R$2725:$R$2772,$U$2725:$U$2772)/SUMPRODUCT($H$2725:$H$2772,$R$2725:$R$2772)</f>
        <v>1.09975</v>
      </c>
      <c r="F2773" s="224">
        <f>SUMPRODUCT($H$2725:$H$2772,$Q$2725:$Q$2772,$O$2725:$O$2772)/SUMPRODUCT($H$2725:$H$2772,$Q$2725:$Q$2772)</f>
        <v>0.90600747629467537</v>
      </c>
      <c r="G2773" s="224">
        <f>SUMPRODUCT($H$2725:$H$2772,$R$2725:$R$2772,$O$2725:$O$2772)/SUMPRODUCT($H$2725:$H$2772,$R$2725:$R$2772)</f>
        <v>0.90033977631898854</v>
      </c>
      <c r="H2773" s="73">
        <f>SUMPRODUCT($H$2749:$H$2760,$N$2749:$N$2760/$N$2737:$N$2748)/SUM($H$2749:$H$2760)</f>
        <v>1.0149999999999999</v>
      </c>
      <c r="I2773" s="73">
        <f>SUMPRODUCT($H$2749:$H$2760,$O$2749:$O$2760/$O$2737:$O$2748)/SUM($H$2749:$H$2760)</f>
        <v>0.99124238763980388</v>
      </c>
      <c r="J2773" s="73">
        <f>IF($O$2722=1,SUMPRODUCT($H$2749:$H$2760,$N$2749:$N$2760/$N$2737:$N$2748*$O$2749:$O$2760/$O$2737:$O$2748)/SUM($H$2749:$H$2760),$H2773)</f>
        <v>1.006110908751322</v>
      </c>
      <c r="K2773" s="73">
        <f>SUMPRODUCT($H$2725:$H$2772,$Q$2725:$Q$2772,$N$2725:$N$2772)/SUMPRODUCT($H$2725:$H$2772,$Q$2725:$Q$2772)</f>
        <v>1.0626500000000003</v>
      </c>
      <c r="L2773" s="73">
        <f>SUMPRODUCT($H$2725:$H$2772,$R$2725:$R$2772,$N$2725:$N$2772)/SUMPRODUCT($H$2725:$H$2772,$R$2725:$R$2772)</f>
        <v>1.09975</v>
      </c>
    </row>
    <row r="2776" spans="1:21" x14ac:dyDescent="0.3">
      <c r="A2776" s="6" t="str">
        <f>INDEX(lr_key,51)</f>
        <v>SBA|KY</v>
      </c>
      <c r="B2776" s="6" t="str">
        <f>INDEX(lr_state,51)</f>
        <v>KY</v>
      </c>
      <c r="C2776" s="75">
        <f>nr_TermMonths</f>
        <v>6</v>
      </c>
      <c r="D2776" s="75">
        <f>IF(COUNTIF(se_state,$B2776)=0,0,MATCH($B2776,se_state,0))</f>
        <v>0</v>
      </c>
      <c r="E2776" s="70">
        <f>IF($D2776=0,0,INDEX(se_sum,$D2776))</f>
        <v>0</v>
      </c>
      <c r="F2776" s="224">
        <f>IF(N(INDEX(lr_mind,51))=0,1,INDEX(lr_mind,51))</f>
        <v>0.92</v>
      </c>
      <c r="G2776" s="224">
        <f>IF(N(INDEX(lr_m0,51))=0,1,INDEX(lr_m0,51))</f>
        <v>0.91</v>
      </c>
      <c r="H2776" s="74">
        <f>IF(N(INDEX(lr_m0asof,51))=0,DATE(nr_PlanYear-1,10,1),INDEX(lr_m0asof,51))</f>
        <v>46295</v>
      </c>
      <c r="I2776" s="224">
        <f>IF(N(INDEX(lr_m1,51))=0,1,INDEX(lr_m1,51))</f>
        <v>0.91500000000000004</v>
      </c>
      <c r="J2776" s="224">
        <f>INDEX(lr_mprior,51)</f>
        <v>0</v>
      </c>
      <c r="K2776" s="224">
        <f>INDEX(lr_m2,51)</f>
        <v>0</v>
      </c>
      <c r="L2776" s="6" t="b">
        <f>NOT(ISBLANK(INDEX(lr_netp,51)))</f>
        <v>1</v>
      </c>
      <c r="M2776" s="72">
        <f>N(INDEX(lr_netp,51))</f>
        <v>0.1</v>
      </c>
      <c r="N2776" s="72">
        <f>IF(ISBLANK(INDEX(lr_netp1,51)),$M$2776,N(INDEX(lr_netp1,51)))</f>
        <v>0.1</v>
      </c>
      <c r="O2776" s="75">
        <f>IF(AND(nr_ModAdjMaster="ON",INDEX(lr_modadj,51)="ON"),1,0)</f>
        <v>1</v>
      </c>
    </row>
    <row r="2777" spans="1:21" x14ac:dyDescent="0.3">
      <c r="A2777" s="6">
        <f>EDATE($H$2776,-12)+1</f>
        <v>45931</v>
      </c>
      <c r="B2777" s="6">
        <f>$H$2776+1</f>
        <v>46296</v>
      </c>
      <c r="C2777" s="6">
        <f>DATE(nr_PlanYear,12,31)+1</f>
        <v>46753</v>
      </c>
      <c r="D2777" s="6">
        <f>DATE(nr_PlanYear+1,12,31)+1</f>
        <v>47119</v>
      </c>
      <c r="E2777" s="6">
        <f>IF(N($J$2776)=0,$F$2777-($G$2777-$F$2777)/($C$2777-$B$2777)*($B$2777-$A$2777),$J$2776)</f>
        <v>0.90600656455142237</v>
      </c>
      <c r="F2777" s="6">
        <f>$G$2776</f>
        <v>0.91</v>
      </c>
      <c r="G2777" s="6">
        <f>$I$2776</f>
        <v>0.91500000000000004</v>
      </c>
      <c r="H2777" s="6">
        <f>IF(N($K$2776)=0,$I$2776,$K$2776)</f>
        <v>0.91500000000000004</v>
      </c>
      <c r="I2777" s="6">
        <f>($F$2777-$E$2777)/($B$2777-$A$2777)</f>
        <v>1.0940919037199081E-5</v>
      </c>
      <c r="J2777" s="6">
        <f>($G$2777-$F$2777)/($C$2777-$B$2777)</f>
        <v>1.0940919037199135E-5</v>
      </c>
      <c r="K2777" s="6">
        <f>($H$2777-$G$2777)/($D$2777-$C$2777)</f>
        <v>0</v>
      </c>
    </row>
    <row r="2778" spans="1:21" ht="36" x14ac:dyDescent="0.3">
      <c r="A2778" s="58" t="s">
        <v>390</v>
      </c>
      <c r="B2778" s="58" t="s">
        <v>449</v>
      </c>
      <c r="C2778" s="58" t="s">
        <v>685</v>
      </c>
      <c r="D2778" s="58" t="s">
        <v>686</v>
      </c>
      <c r="E2778" s="58" t="s">
        <v>687</v>
      </c>
      <c r="F2778" s="58" t="s">
        <v>688</v>
      </c>
      <c r="G2778" s="58" t="s">
        <v>689</v>
      </c>
      <c r="H2778" s="58" t="s">
        <v>452</v>
      </c>
      <c r="I2778" s="58" t="s">
        <v>690</v>
      </c>
      <c r="J2778" s="58" t="s">
        <v>691</v>
      </c>
      <c r="K2778" s="58" t="s">
        <v>692</v>
      </c>
      <c r="L2778" s="58" t="s">
        <v>693</v>
      </c>
      <c r="M2778" s="58" t="s">
        <v>694</v>
      </c>
      <c r="N2778" s="58" t="s">
        <v>695</v>
      </c>
      <c r="O2778" s="58" t="s">
        <v>696</v>
      </c>
      <c r="P2778" s="58" t="s">
        <v>697</v>
      </c>
      <c r="Q2778" s="58" t="s">
        <v>698</v>
      </c>
      <c r="R2778" s="58" t="s">
        <v>699</v>
      </c>
      <c r="S2778" s="58" t="s">
        <v>700</v>
      </c>
      <c r="T2778" s="58" t="s">
        <v>701</v>
      </c>
      <c r="U2778" s="58" t="s">
        <v>702</v>
      </c>
    </row>
    <row r="2779" spans="1:21" x14ac:dyDescent="0.3">
      <c r="A2779" s="187">
        <v>1</v>
      </c>
      <c r="B2779" s="242">
        <f>DATE(nr_PlanYear-2,1,1)</f>
        <v>45658</v>
      </c>
      <c r="C2779" s="243">
        <f t="shared" ref="C2779:C2826" si="1074">EOMONTH($B2779,0)</f>
        <v>45688</v>
      </c>
      <c r="D2779" s="120">
        <f t="shared" ref="D2779:D2826" si="1075">$C2779-$B2779+1</f>
        <v>31</v>
      </c>
      <c r="E2779" s="120">
        <f t="shared" ref="E2779:E2826" si="1076">MONTH($B2779)</f>
        <v>1</v>
      </c>
      <c r="F2779" s="275">
        <f t="shared" ref="F2779:F2826" si="1077">($B2779+$C2779+1)/2</f>
        <v>45673.5</v>
      </c>
      <c r="G2779" s="120">
        <f t="shared" ref="G2779:G2826" si="1078">YEAR($B2779)*12+MONTH($B2779)-1</f>
        <v>24300</v>
      </c>
      <c r="H2779" s="245">
        <f t="shared" ref="H2779:H2826" si="1079">IF(OR(nr_SeasonOn="OFF",$D$2776=0,$E$2776=0),1,12*INDEX(se_block,$D$2776,$E2779)/$E$2776)</f>
        <v>1</v>
      </c>
      <c r="I2779" s="121">
        <f t="shared" ref="I2779:I2826" si="1080">EXP(SUMPRODUCT((rl_eff&lt;$B2779)*(rl_key=$A$2776)*rl_ln1p))</f>
        <v>1</v>
      </c>
      <c r="J2779" s="121">
        <f t="shared" ref="J2779:J2826" si="1081">EXP(SUMPRODUCT((rl_eff&lt;=$C2779)*(rl_key=$A$2776)*rl_ln1p))</f>
        <v>1</v>
      </c>
      <c r="K2779" s="120">
        <f t="shared" ref="K2779:K2826" si="1082">COUNTIFS(rl_key,$A$2776,rl_eff,"&gt;="&amp;$B2779,rl_eff,"&lt;="&amp;$C2779)</f>
        <v>0</v>
      </c>
      <c r="L2779" s="120">
        <f t="shared" ref="L2779:L2826" si="1083">SUMIFS(rl_daysafter,rl_key,$A$2776,rl_effmonth,$B2779,rl_first,1)</f>
        <v>0</v>
      </c>
      <c r="M2779" s="246">
        <f t="shared" ref="M2779:M2826" si="1084">IF($K2779=0,0,MIN(1,$L2779/$D2779))</f>
        <v>0</v>
      </c>
      <c r="N2779" s="121">
        <f t="shared" ref="N2779:N2826" si="1085">IF($K2779=0,$J2779,(1-$M2779)*$I2779+$M2779*$J2779)</f>
        <v>1</v>
      </c>
      <c r="O2779" s="246">
        <f t="shared" ref="O2779:O2826" si="1086">IF($F2779&lt;$B$2777,$E$2777+$I$2777*($F2779-$A$2777),IF($F2779&lt;$C$2777,$F$2777+$J$2777*($F2779-$B$2777),$G$2777+$K$2777*($F2779-$C$2777)))</f>
        <v>0.90318927789934356</v>
      </c>
      <c r="P2779" s="121">
        <f t="shared" ref="P2779:P2826" si="1087">MIN(1,MAX(0,(nr_MEndPm1-$G2779+0.5)/$C$2776))-MIN(1,MAX(0,(nr_MStartPm1-1-$G2779+0.5)/$C$2776))</f>
        <v>0</v>
      </c>
      <c r="Q2779" s="121">
        <f t="shared" ref="Q2779:Q2826" si="1088">MIN(1,MAX(0,(nr_MEndP-$G2779+0.5)/$C$2776))-MIN(1,MAX(0,(nr_MStartP-1-$G2779+0.5)/$C$2776))</f>
        <v>0</v>
      </c>
      <c r="R2779" s="121">
        <f t="shared" ref="R2779:R2826" si="1089">MIN(1,MAX(0,(nr_MEndP1-$G2779+0.5)/$C$2776))-MIN(1,MAX(0,(nr_MStartP1-1-$G2779+0.5)/$C$2776))</f>
        <v>0</v>
      </c>
      <c r="S2779" s="121">
        <f t="shared" ref="S2779:S2826" si="1090">IF($L$2776,$N2779*IF($O$2776=1,$O2779/$F$2776,1),"")</f>
        <v>0.98172747597754728</v>
      </c>
      <c r="T2779" s="121">
        <f t="shared" ref="T2779:T2826" si="1091">IF(NOT($L$2776),"",IF($G2779&lt;nr_MStartP,$S2779,$T2767*(1+IF($G2779&lt;nr_MStartP1,$M$2776,$N$2776))))</f>
        <v>0.98172747597754728</v>
      </c>
      <c r="U2779" s="121">
        <f t="shared" ref="U2779:U2826" si="1092">IF($L$2776,$T2779,$N2779)</f>
        <v>0.98172747597754728</v>
      </c>
    </row>
    <row r="2780" spans="1:21" x14ac:dyDescent="0.3">
      <c r="A2780" s="187">
        <v>2</v>
      </c>
      <c r="B2780" s="242">
        <f t="shared" ref="B2780:B2826" si="1093">EDATE($B2779,1)</f>
        <v>45689</v>
      </c>
      <c r="C2780" s="243">
        <f t="shared" si="1074"/>
        <v>45716</v>
      </c>
      <c r="D2780" s="120">
        <f t="shared" si="1075"/>
        <v>28</v>
      </c>
      <c r="E2780" s="120">
        <f t="shared" si="1076"/>
        <v>2</v>
      </c>
      <c r="F2780" s="275">
        <f t="shared" si="1077"/>
        <v>45703</v>
      </c>
      <c r="G2780" s="120">
        <f t="shared" si="1078"/>
        <v>24301</v>
      </c>
      <c r="H2780" s="245">
        <f t="shared" si="1079"/>
        <v>1</v>
      </c>
      <c r="I2780" s="121">
        <f t="shared" si="1080"/>
        <v>1</v>
      </c>
      <c r="J2780" s="121">
        <f t="shared" si="1081"/>
        <v>1</v>
      </c>
      <c r="K2780" s="120">
        <f t="shared" si="1082"/>
        <v>0</v>
      </c>
      <c r="L2780" s="120">
        <f t="shared" si="1083"/>
        <v>0</v>
      </c>
      <c r="M2780" s="246">
        <f t="shared" si="1084"/>
        <v>0</v>
      </c>
      <c r="N2780" s="121">
        <f t="shared" si="1085"/>
        <v>1</v>
      </c>
      <c r="O2780" s="246">
        <f t="shared" si="1086"/>
        <v>0.90351203501094102</v>
      </c>
      <c r="P2780" s="121">
        <f t="shared" si="1087"/>
        <v>0</v>
      </c>
      <c r="Q2780" s="121">
        <f t="shared" si="1088"/>
        <v>0</v>
      </c>
      <c r="R2780" s="121">
        <f t="shared" si="1089"/>
        <v>0</v>
      </c>
      <c r="S2780" s="121">
        <f t="shared" si="1090"/>
        <v>0.98207829892493581</v>
      </c>
      <c r="T2780" s="121">
        <f t="shared" si="1091"/>
        <v>0.98207829892493581</v>
      </c>
      <c r="U2780" s="121">
        <f t="shared" si="1092"/>
        <v>0.98207829892493581</v>
      </c>
    </row>
    <row r="2781" spans="1:21" x14ac:dyDescent="0.3">
      <c r="A2781" s="187">
        <v>3</v>
      </c>
      <c r="B2781" s="242">
        <f t="shared" si="1093"/>
        <v>45717</v>
      </c>
      <c r="C2781" s="243">
        <f t="shared" si="1074"/>
        <v>45747</v>
      </c>
      <c r="D2781" s="120">
        <f t="shared" si="1075"/>
        <v>31</v>
      </c>
      <c r="E2781" s="120">
        <f t="shared" si="1076"/>
        <v>3</v>
      </c>
      <c r="F2781" s="275">
        <f t="shared" si="1077"/>
        <v>45732.5</v>
      </c>
      <c r="G2781" s="120">
        <f t="shared" si="1078"/>
        <v>24302</v>
      </c>
      <c r="H2781" s="245">
        <f t="shared" si="1079"/>
        <v>1</v>
      </c>
      <c r="I2781" s="121">
        <f t="shared" si="1080"/>
        <v>1</v>
      </c>
      <c r="J2781" s="121">
        <f t="shared" si="1081"/>
        <v>1</v>
      </c>
      <c r="K2781" s="120">
        <f t="shared" si="1082"/>
        <v>0</v>
      </c>
      <c r="L2781" s="120">
        <f t="shared" si="1083"/>
        <v>0</v>
      </c>
      <c r="M2781" s="246">
        <f t="shared" si="1084"/>
        <v>0</v>
      </c>
      <c r="N2781" s="121">
        <f t="shared" si="1085"/>
        <v>1</v>
      </c>
      <c r="O2781" s="246">
        <f t="shared" si="1086"/>
        <v>0.90383479212253837</v>
      </c>
      <c r="P2781" s="121">
        <f t="shared" si="1087"/>
        <v>0</v>
      </c>
      <c r="Q2781" s="121">
        <f t="shared" si="1088"/>
        <v>0</v>
      </c>
      <c r="R2781" s="121">
        <f t="shared" si="1089"/>
        <v>0</v>
      </c>
      <c r="S2781" s="121">
        <f t="shared" si="1090"/>
        <v>0.98242912187232423</v>
      </c>
      <c r="T2781" s="121">
        <f t="shared" si="1091"/>
        <v>0.98242912187232423</v>
      </c>
      <c r="U2781" s="121">
        <f t="shared" si="1092"/>
        <v>0.98242912187232423</v>
      </c>
    </row>
    <row r="2782" spans="1:21" x14ac:dyDescent="0.3">
      <c r="A2782" s="187">
        <v>4</v>
      </c>
      <c r="B2782" s="242">
        <f t="shared" si="1093"/>
        <v>45748</v>
      </c>
      <c r="C2782" s="243">
        <f t="shared" si="1074"/>
        <v>45777</v>
      </c>
      <c r="D2782" s="120">
        <f t="shared" si="1075"/>
        <v>30</v>
      </c>
      <c r="E2782" s="120">
        <f t="shared" si="1076"/>
        <v>4</v>
      </c>
      <c r="F2782" s="275">
        <f t="shared" si="1077"/>
        <v>45763</v>
      </c>
      <c r="G2782" s="120">
        <f t="shared" si="1078"/>
        <v>24303</v>
      </c>
      <c r="H2782" s="245">
        <f t="shared" si="1079"/>
        <v>1</v>
      </c>
      <c r="I2782" s="121">
        <f t="shared" si="1080"/>
        <v>1</v>
      </c>
      <c r="J2782" s="121">
        <f t="shared" si="1081"/>
        <v>1</v>
      </c>
      <c r="K2782" s="120">
        <f t="shared" si="1082"/>
        <v>0</v>
      </c>
      <c r="L2782" s="120">
        <f t="shared" si="1083"/>
        <v>0</v>
      </c>
      <c r="M2782" s="246">
        <f t="shared" si="1084"/>
        <v>0</v>
      </c>
      <c r="N2782" s="121">
        <f t="shared" si="1085"/>
        <v>1</v>
      </c>
      <c r="O2782" s="246">
        <f t="shared" si="1086"/>
        <v>0.90416849015317291</v>
      </c>
      <c r="P2782" s="121">
        <f t="shared" si="1087"/>
        <v>0</v>
      </c>
      <c r="Q2782" s="121">
        <f t="shared" si="1088"/>
        <v>0</v>
      </c>
      <c r="R2782" s="121">
        <f t="shared" si="1089"/>
        <v>0</v>
      </c>
      <c r="S2782" s="121">
        <f t="shared" si="1090"/>
        <v>0.98279183712301399</v>
      </c>
      <c r="T2782" s="121">
        <f t="shared" si="1091"/>
        <v>0.98279183712301399</v>
      </c>
      <c r="U2782" s="121">
        <f t="shared" si="1092"/>
        <v>0.98279183712301399</v>
      </c>
    </row>
    <row r="2783" spans="1:21" x14ac:dyDescent="0.3">
      <c r="A2783" s="187">
        <v>5</v>
      </c>
      <c r="B2783" s="242">
        <f t="shared" si="1093"/>
        <v>45778</v>
      </c>
      <c r="C2783" s="243">
        <f t="shared" si="1074"/>
        <v>45808</v>
      </c>
      <c r="D2783" s="120">
        <f t="shared" si="1075"/>
        <v>31</v>
      </c>
      <c r="E2783" s="120">
        <f t="shared" si="1076"/>
        <v>5</v>
      </c>
      <c r="F2783" s="275">
        <f t="shared" si="1077"/>
        <v>45793.5</v>
      </c>
      <c r="G2783" s="120">
        <f t="shared" si="1078"/>
        <v>24304</v>
      </c>
      <c r="H2783" s="245">
        <f t="shared" si="1079"/>
        <v>1</v>
      </c>
      <c r="I2783" s="121">
        <f t="shared" si="1080"/>
        <v>1</v>
      </c>
      <c r="J2783" s="121">
        <f t="shared" si="1081"/>
        <v>1</v>
      </c>
      <c r="K2783" s="120">
        <f t="shared" si="1082"/>
        <v>0</v>
      </c>
      <c r="L2783" s="120">
        <f t="shared" si="1083"/>
        <v>0</v>
      </c>
      <c r="M2783" s="246">
        <f t="shared" si="1084"/>
        <v>0</v>
      </c>
      <c r="N2783" s="121">
        <f t="shared" si="1085"/>
        <v>1</v>
      </c>
      <c r="O2783" s="246">
        <f t="shared" si="1086"/>
        <v>0.90450218818380745</v>
      </c>
      <c r="P2783" s="121">
        <f t="shared" si="1087"/>
        <v>0</v>
      </c>
      <c r="Q2783" s="121">
        <f t="shared" si="1088"/>
        <v>0</v>
      </c>
      <c r="R2783" s="121">
        <f t="shared" si="1089"/>
        <v>0</v>
      </c>
      <c r="S2783" s="121">
        <f t="shared" si="1090"/>
        <v>0.98315455237370375</v>
      </c>
      <c r="T2783" s="121">
        <f t="shared" si="1091"/>
        <v>0.98315455237370375</v>
      </c>
      <c r="U2783" s="121">
        <f t="shared" si="1092"/>
        <v>0.98315455237370375</v>
      </c>
    </row>
    <row r="2784" spans="1:21" x14ac:dyDescent="0.3">
      <c r="A2784" s="187">
        <v>6</v>
      </c>
      <c r="B2784" s="242">
        <f t="shared" si="1093"/>
        <v>45809</v>
      </c>
      <c r="C2784" s="243">
        <f t="shared" si="1074"/>
        <v>45838</v>
      </c>
      <c r="D2784" s="120">
        <f t="shared" si="1075"/>
        <v>30</v>
      </c>
      <c r="E2784" s="120">
        <f t="shared" si="1076"/>
        <v>6</v>
      </c>
      <c r="F2784" s="275">
        <f t="shared" si="1077"/>
        <v>45824</v>
      </c>
      <c r="G2784" s="120">
        <f t="shared" si="1078"/>
        <v>24305</v>
      </c>
      <c r="H2784" s="245">
        <f t="shared" si="1079"/>
        <v>1</v>
      </c>
      <c r="I2784" s="121">
        <f t="shared" si="1080"/>
        <v>1</v>
      </c>
      <c r="J2784" s="121">
        <f t="shared" si="1081"/>
        <v>1</v>
      </c>
      <c r="K2784" s="120">
        <f t="shared" si="1082"/>
        <v>0</v>
      </c>
      <c r="L2784" s="120">
        <f t="shared" si="1083"/>
        <v>0</v>
      </c>
      <c r="M2784" s="246">
        <f t="shared" si="1084"/>
        <v>0</v>
      </c>
      <c r="N2784" s="121">
        <f t="shared" si="1085"/>
        <v>1</v>
      </c>
      <c r="O2784" s="246">
        <f t="shared" si="1086"/>
        <v>0.90483588621444211</v>
      </c>
      <c r="P2784" s="121">
        <f t="shared" si="1087"/>
        <v>0</v>
      </c>
      <c r="Q2784" s="121">
        <f t="shared" si="1088"/>
        <v>0</v>
      </c>
      <c r="R2784" s="121">
        <f t="shared" si="1089"/>
        <v>0</v>
      </c>
      <c r="S2784" s="121">
        <f t="shared" si="1090"/>
        <v>0.98351726762439351</v>
      </c>
      <c r="T2784" s="121">
        <f t="shared" si="1091"/>
        <v>0.98351726762439351</v>
      </c>
      <c r="U2784" s="121">
        <f t="shared" si="1092"/>
        <v>0.98351726762439351</v>
      </c>
    </row>
    <row r="2785" spans="1:21" x14ac:dyDescent="0.3">
      <c r="A2785" s="187">
        <v>7</v>
      </c>
      <c r="B2785" s="242">
        <f t="shared" si="1093"/>
        <v>45839</v>
      </c>
      <c r="C2785" s="243">
        <f t="shared" si="1074"/>
        <v>45869</v>
      </c>
      <c r="D2785" s="120">
        <f t="shared" si="1075"/>
        <v>31</v>
      </c>
      <c r="E2785" s="120">
        <f t="shared" si="1076"/>
        <v>7</v>
      </c>
      <c r="F2785" s="275">
        <f t="shared" si="1077"/>
        <v>45854.5</v>
      </c>
      <c r="G2785" s="120">
        <f t="shared" si="1078"/>
        <v>24306</v>
      </c>
      <c r="H2785" s="245">
        <f t="shared" si="1079"/>
        <v>1</v>
      </c>
      <c r="I2785" s="121">
        <f t="shared" si="1080"/>
        <v>1</v>
      </c>
      <c r="J2785" s="121">
        <f t="shared" si="1081"/>
        <v>1</v>
      </c>
      <c r="K2785" s="120">
        <f t="shared" si="1082"/>
        <v>0</v>
      </c>
      <c r="L2785" s="120">
        <f t="shared" si="1083"/>
        <v>0</v>
      </c>
      <c r="M2785" s="246">
        <f t="shared" si="1084"/>
        <v>0</v>
      </c>
      <c r="N2785" s="121">
        <f t="shared" si="1085"/>
        <v>1</v>
      </c>
      <c r="O2785" s="246">
        <f t="shared" si="1086"/>
        <v>0.90516958424507665</v>
      </c>
      <c r="P2785" s="121">
        <f t="shared" si="1087"/>
        <v>8.333333333333337E-2</v>
      </c>
      <c r="Q2785" s="121">
        <f t="shared" si="1088"/>
        <v>0</v>
      </c>
      <c r="R2785" s="121">
        <f t="shared" si="1089"/>
        <v>0</v>
      </c>
      <c r="S2785" s="121">
        <f t="shared" si="1090"/>
        <v>0.98387998287508327</v>
      </c>
      <c r="T2785" s="121">
        <f t="shared" si="1091"/>
        <v>0.98387998287508327</v>
      </c>
      <c r="U2785" s="121">
        <f t="shared" si="1092"/>
        <v>0.98387998287508327</v>
      </c>
    </row>
    <row r="2786" spans="1:21" x14ac:dyDescent="0.3">
      <c r="A2786" s="187">
        <v>8</v>
      </c>
      <c r="B2786" s="242">
        <f t="shared" si="1093"/>
        <v>45870</v>
      </c>
      <c r="C2786" s="243">
        <f t="shared" si="1074"/>
        <v>45900</v>
      </c>
      <c r="D2786" s="120">
        <f t="shared" si="1075"/>
        <v>31</v>
      </c>
      <c r="E2786" s="120">
        <f t="shared" si="1076"/>
        <v>8</v>
      </c>
      <c r="F2786" s="275">
        <f t="shared" si="1077"/>
        <v>45885.5</v>
      </c>
      <c r="G2786" s="120">
        <f t="shared" si="1078"/>
        <v>24307</v>
      </c>
      <c r="H2786" s="245">
        <f t="shared" si="1079"/>
        <v>1</v>
      </c>
      <c r="I2786" s="121">
        <f t="shared" si="1080"/>
        <v>1</v>
      </c>
      <c r="J2786" s="121">
        <f t="shared" si="1081"/>
        <v>1</v>
      </c>
      <c r="K2786" s="120">
        <f t="shared" si="1082"/>
        <v>0</v>
      </c>
      <c r="L2786" s="120">
        <f t="shared" si="1083"/>
        <v>0</v>
      </c>
      <c r="M2786" s="246">
        <f t="shared" si="1084"/>
        <v>0</v>
      </c>
      <c r="N2786" s="121">
        <f t="shared" si="1085"/>
        <v>1</v>
      </c>
      <c r="O2786" s="246">
        <f t="shared" si="1086"/>
        <v>0.90550875273522979</v>
      </c>
      <c r="P2786" s="121">
        <f t="shared" si="1087"/>
        <v>0.25</v>
      </c>
      <c r="Q2786" s="121">
        <f t="shared" si="1088"/>
        <v>0</v>
      </c>
      <c r="R2786" s="121">
        <f t="shared" si="1089"/>
        <v>0</v>
      </c>
      <c r="S2786" s="121">
        <f t="shared" si="1090"/>
        <v>0.98424864427742365</v>
      </c>
      <c r="T2786" s="121">
        <f t="shared" si="1091"/>
        <v>0.98424864427742365</v>
      </c>
      <c r="U2786" s="121">
        <f t="shared" si="1092"/>
        <v>0.98424864427742365</v>
      </c>
    </row>
    <row r="2787" spans="1:21" x14ac:dyDescent="0.3">
      <c r="A2787" s="187">
        <v>9</v>
      </c>
      <c r="B2787" s="242">
        <f t="shared" si="1093"/>
        <v>45901</v>
      </c>
      <c r="C2787" s="243">
        <f t="shared" si="1074"/>
        <v>45930</v>
      </c>
      <c r="D2787" s="120">
        <f t="shared" si="1075"/>
        <v>30</v>
      </c>
      <c r="E2787" s="120">
        <f t="shared" si="1076"/>
        <v>9</v>
      </c>
      <c r="F2787" s="275">
        <f t="shared" si="1077"/>
        <v>45916</v>
      </c>
      <c r="G2787" s="120">
        <f t="shared" si="1078"/>
        <v>24308</v>
      </c>
      <c r="H2787" s="245">
        <f t="shared" si="1079"/>
        <v>1</v>
      </c>
      <c r="I2787" s="121">
        <f t="shared" si="1080"/>
        <v>1</v>
      </c>
      <c r="J2787" s="121">
        <f t="shared" si="1081"/>
        <v>1</v>
      </c>
      <c r="K2787" s="120">
        <f t="shared" si="1082"/>
        <v>0</v>
      </c>
      <c r="L2787" s="120">
        <f t="shared" si="1083"/>
        <v>0</v>
      </c>
      <c r="M2787" s="246">
        <f t="shared" si="1084"/>
        <v>0</v>
      </c>
      <c r="N2787" s="121">
        <f t="shared" si="1085"/>
        <v>1</v>
      </c>
      <c r="O2787" s="246">
        <f t="shared" si="1086"/>
        <v>0.90584245076586434</v>
      </c>
      <c r="P2787" s="121">
        <f t="shared" si="1087"/>
        <v>0.41666666666666663</v>
      </c>
      <c r="Q2787" s="121">
        <f t="shared" si="1088"/>
        <v>0</v>
      </c>
      <c r="R2787" s="121">
        <f t="shared" si="1089"/>
        <v>0</v>
      </c>
      <c r="S2787" s="121">
        <f t="shared" si="1090"/>
        <v>0.98461135952811341</v>
      </c>
      <c r="T2787" s="121">
        <f t="shared" si="1091"/>
        <v>0.98461135952811341</v>
      </c>
      <c r="U2787" s="121">
        <f t="shared" si="1092"/>
        <v>0.98461135952811341</v>
      </c>
    </row>
    <row r="2788" spans="1:21" x14ac:dyDescent="0.3">
      <c r="A2788" s="187">
        <v>10</v>
      </c>
      <c r="B2788" s="242">
        <f t="shared" si="1093"/>
        <v>45931</v>
      </c>
      <c r="C2788" s="243">
        <f t="shared" si="1074"/>
        <v>45961</v>
      </c>
      <c r="D2788" s="120">
        <f t="shared" si="1075"/>
        <v>31</v>
      </c>
      <c r="E2788" s="120">
        <f t="shared" si="1076"/>
        <v>10</v>
      </c>
      <c r="F2788" s="275">
        <f t="shared" si="1077"/>
        <v>45946.5</v>
      </c>
      <c r="G2788" s="120">
        <f t="shared" si="1078"/>
        <v>24309</v>
      </c>
      <c r="H2788" s="245">
        <f t="shared" si="1079"/>
        <v>1</v>
      </c>
      <c r="I2788" s="121">
        <f t="shared" si="1080"/>
        <v>1</v>
      </c>
      <c r="J2788" s="121">
        <f t="shared" si="1081"/>
        <v>1</v>
      </c>
      <c r="K2788" s="120">
        <f t="shared" si="1082"/>
        <v>0</v>
      </c>
      <c r="L2788" s="120">
        <f t="shared" si="1083"/>
        <v>0</v>
      </c>
      <c r="M2788" s="246">
        <f t="shared" si="1084"/>
        <v>0</v>
      </c>
      <c r="N2788" s="121">
        <f t="shared" si="1085"/>
        <v>1</v>
      </c>
      <c r="O2788" s="246">
        <f t="shared" si="1086"/>
        <v>0.90617614879649899</v>
      </c>
      <c r="P2788" s="121">
        <f t="shared" si="1087"/>
        <v>0.58333333333333326</v>
      </c>
      <c r="Q2788" s="121">
        <f t="shared" si="1088"/>
        <v>0</v>
      </c>
      <c r="R2788" s="121">
        <f t="shared" si="1089"/>
        <v>0</v>
      </c>
      <c r="S2788" s="121">
        <f t="shared" si="1090"/>
        <v>0.98497407477880317</v>
      </c>
      <c r="T2788" s="121">
        <f t="shared" si="1091"/>
        <v>0.98497407477880317</v>
      </c>
      <c r="U2788" s="121">
        <f t="shared" si="1092"/>
        <v>0.98497407477880317</v>
      </c>
    </row>
    <row r="2789" spans="1:21" x14ac:dyDescent="0.3">
      <c r="A2789" s="187">
        <v>11</v>
      </c>
      <c r="B2789" s="242">
        <f t="shared" si="1093"/>
        <v>45962</v>
      </c>
      <c r="C2789" s="243">
        <f t="shared" si="1074"/>
        <v>45991</v>
      </c>
      <c r="D2789" s="120">
        <f t="shared" si="1075"/>
        <v>30</v>
      </c>
      <c r="E2789" s="120">
        <f t="shared" si="1076"/>
        <v>11</v>
      </c>
      <c r="F2789" s="275">
        <f t="shared" si="1077"/>
        <v>45977</v>
      </c>
      <c r="G2789" s="120">
        <f t="shared" si="1078"/>
        <v>24310</v>
      </c>
      <c r="H2789" s="245">
        <f t="shared" si="1079"/>
        <v>1</v>
      </c>
      <c r="I2789" s="121">
        <f t="shared" si="1080"/>
        <v>1</v>
      </c>
      <c r="J2789" s="121">
        <f t="shared" si="1081"/>
        <v>1</v>
      </c>
      <c r="K2789" s="120">
        <f t="shared" si="1082"/>
        <v>0</v>
      </c>
      <c r="L2789" s="120">
        <f t="shared" si="1083"/>
        <v>0</v>
      </c>
      <c r="M2789" s="246">
        <f t="shared" si="1084"/>
        <v>0</v>
      </c>
      <c r="N2789" s="121">
        <f t="shared" si="1085"/>
        <v>1</v>
      </c>
      <c r="O2789" s="246">
        <f t="shared" si="1086"/>
        <v>0.90650984682713354</v>
      </c>
      <c r="P2789" s="121">
        <f t="shared" si="1087"/>
        <v>0.75</v>
      </c>
      <c r="Q2789" s="121">
        <f t="shared" si="1088"/>
        <v>0</v>
      </c>
      <c r="R2789" s="121">
        <f t="shared" si="1089"/>
        <v>0</v>
      </c>
      <c r="S2789" s="121">
        <f t="shared" si="1090"/>
        <v>0.98533679002949293</v>
      </c>
      <c r="T2789" s="121">
        <f t="shared" si="1091"/>
        <v>0.98533679002949293</v>
      </c>
      <c r="U2789" s="121">
        <f t="shared" si="1092"/>
        <v>0.98533679002949293</v>
      </c>
    </row>
    <row r="2790" spans="1:21" x14ac:dyDescent="0.3">
      <c r="A2790" s="187">
        <v>12</v>
      </c>
      <c r="B2790" s="242">
        <f t="shared" si="1093"/>
        <v>45992</v>
      </c>
      <c r="C2790" s="243">
        <f t="shared" si="1074"/>
        <v>46022</v>
      </c>
      <c r="D2790" s="120">
        <f t="shared" si="1075"/>
        <v>31</v>
      </c>
      <c r="E2790" s="120">
        <f t="shared" si="1076"/>
        <v>12</v>
      </c>
      <c r="F2790" s="275">
        <f t="shared" si="1077"/>
        <v>46007.5</v>
      </c>
      <c r="G2790" s="120">
        <f t="shared" si="1078"/>
        <v>24311</v>
      </c>
      <c r="H2790" s="245">
        <f t="shared" si="1079"/>
        <v>1</v>
      </c>
      <c r="I2790" s="121">
        <f t="shared" si="1080"/>
        <v>1</v>
      </c>
      <c r="J2790" s="121">
        <f t="shared" si="1081"/>
        <v>1</v>
      </c>
      <c r="K2790" s="120">
        <f t="shared" si="1082"/>
        <v>0</v>
      </c>
      <c r="L2790" s="120">
        <f t="shared" si="1083"/>
        <v>0</v>
      </c>
      <c r="M2790" s="246">
        <f t="shared" si="1084"/>
        <v>0</v>
      </c>
      <c r="N2790" s="121">
        <f t="shared" si="1085"/>
        <v>1</v>
      </c>
      <c r="O2790" s="246">
        <f t="shared" si="1086"/>
        <v>0.90684354485776808</v>
      </c>
      <c r="P2790" s="121">
        <f t="shared" si="1087"/>
        <v>0.91666666666666663</v>
      </c>
      <c r="Q2790" s="121">
        <f t="shared" si="1088"/>
        <v>0</v>
      </c>
      <c r="R2790" s="121">
        <f t="shared" si="1089"/>
        <v>0</v>
      </c>
      <c r="S2790" s="121">
        <f t="shared" si="1090"/>
        <v>0.98569950528018269</v>
      </c>
      <c r="T2790" s="121">
        <f t="shared" si="1091"/>
        <v>0.98569950528018269</v>
      </c>
      <c r="U2790" s="121">
        <f t="shared" si="1092"/>
        <v>0.98569950528018269</v>
      </c>
    </row>
    <row r="2791" spans="1:21" x14ac:dyDescent="0.3">
      <c r="A2791" s="187">
        <v>13</v>
      </c>
      <c r="B2791" s="242">
        <f t="shared" si="1093"/>
        <v>46023</v>
      </c>
      <c r="C2791" s="243">
        <f t="shared" si="1074"/>
        <v>46053</v>
      </c>
      <c r="D2791" s="120">
        <f t="shared" si="1075"/>
        <v>31</v>
      </c>
      <c r="E2791" s="120">
        <f t="shared" si="1076"/>
        <v>1</v>
      </c>
      <c r="F2791" s="275">
        <f t="shared" si="1077"/>
        <v>46038.5</v>
      </c>
      <c r="G2791" s="120">
        <f t="shared" si="1078"/>
        <v>24312</v>
      </c>
      <c r="H2791" s="245">
        <f t="shared" si="1079"/>
        <v>1</v>
      </c>
      <c r="I2791" s="121">
        <f t="shared" si="1080"/>
        <v>1</v>
      </c>
      <c r="J2791" s="121">
        <f t="shared" si="1081"/>
        <v>1</v>
      </c>
      <c r="K2791" s="120">
        <f t="shared" si="1082"/>
        <v>0</v>
      </c>
      <c r="L2791" s="120">
        <f t="shared" si="1083"/>
        <v>0</v>
      </c>
      <c r="M2791" s="246">
        <f t="shared" si="1084"/>
        <v>0</v>
      </c>
      <c r="N2791" s="121">
        <f t="shared" si="1085"/>
        <v>1</v>
      </c>
      <c r="O2791" s="246">
        <f t="shared" si="1086"/>
        <v>0.90718271334792122</v>
      </c>
      <c r="P2791" s="121">
        <f t="shared" si="1087"/>
        <v>1</v>
      </c>
      <c r="Q2791" s="121">
        <f t="shared" si="1088"/>
        <v>0</v>
      </c>
      <c r="R2791" s="121">
        <f t="shared" si="1089"/>
        <v>0</v>
      </c>
      <c r="S2791" s="121">
        <f t="shared" si="1090"/>
        <v>0.98606816668252306</v>
      </c>
      <c r="T2791" s="121">
        <f t="shared" si="1091"/>
        <v>0.98606816668252306</v>
      </c>
      <c r="U2791" s="121">
        <f t="shared" si="1092"/>
        <v>0.98606816668252306</v>
      </c>
    </row>
    <row r="2792" spans="1:21" x14ac:dyDescent="0.3">
      <c r="A2792" s="187">
        <v>14</v>
      </c>
      <c r="B2792" s="242">
        <f t="shared" si="1093"/>
        <v>46054</v>
      </c>
      <c r="C2792" s="243">
        <f t="shared" si="1074"/>
        <v>46081</v>
      </c>
      <c r="D2792" s="120">
        <f t="shared" si="1075"/>
        <v>28</v>
      </c>
      <c r="E2792" s="120">
        <f t="shared" si="1076"/>
        <v>2</v>
      </c>
      <c r="F2792" s="275">
        <f t="shared" si="1077"/>
        <v>46068</v>
      </c>
      <c r="G2792" s="120">
        <f t="shared" si="1078"/>
        <v>24313</v>
      </c>
      <c r="H2792" s="245">
        <f t="shared" si="1079"/>
        <v>1</v>
      </c>
      <c r="I2792" s="121">
        <f t="shared" si="1080"/>
        <v>1</v>
      </c>
      <c r="J2792" s="121">
        <f t="shared" si="1081"/>
        <v>1</v>
      </c>
      <c r="K2792" s="120">
        <f t="shared" si="1082"/>
        <v>0</v>
      </c>
      <c r="L2792" s="120">
        <f t="shared" si="1083"/>
        <v>0</v>
      </c>
      <c r="M2792" s="246">
        <f t="shared" si="1084"/>
        <v>0</v>
      </c>
      <c r="N2792" s="121">
        <f t="shared" si="1085"/>
        <v>1</v>
      </c>
      <c r="O2792" s="246">
        <f t="shared" si="1086"/>
        <v>0.90750547045951868</v>
      </c>
      <c r="P2792" s="121">
        <f t="shared" si="1087"/>
        <v>1</v>
      </c>
      <c r="Q2792" s="121">
        <f t="shared" si="1088"/>
        <v>0</v>
      </c>
      <c r="R2792" s="121">
        <f t="shared" si="1089"/>
        <v>0</v>
      </c>
      <c r="S2792" s="121">
        <f t="shared" si="1090"/>
        <v>0.98641898962991159</v>
      </c>
      <c r="T2792" s="121">
        <f t="shared" si="1091"/>
        <v>0.98641898962991159</v>
      </c>
      <c r="U2792" s="121">
        <f t="shared" si="1092"/>
        <v>0.98641898962991159</v>
      </c>
    </row>
    <row r="2793" spans="1:21" x14ac:dyDescent="0.3">
      <c r="A2793" s="187">
        <v>15</v>
      </c>
      <c r="B2793" s="242">
        <f t="shared" si="1093"/>
        <v>46082</v>
      </c>
      <c r="C2793" s="243">
        <f t="shared" si="1074"/>
        <v>46112</v>
      </c>
      <c r="D2793" s="120">
        <f t="shared" si="1075"/>
        <v>31</v>
      </c>
      <c r="E2793" s="120">
        <f t="shared" si="1076"/>
        <v>3</v>
      </c>
      <c r="F2793" s="275">
        <f t="shared" si="1077"/>
        <v>46097.5</v>
      </c>
      <c r="G2793" s="120">
        <f t="shared" si="1078"/>
        <v>24314</v>
      </c>
      <c r="H2793" s="245">
        <f t="shared" si="1079"/>
        <v>1</v>
      </c>
      <c r="I2793" s="121">
        <f t="shared" si="1080"/>
        <v>1</v>
      </c>
      <c r="J2793" s="121">
        <f t="shared" si="1081"/>
        <v>1</v>
      </c>
      <c r="K2793" s="120">
        <f t="shared" si="1082"/>
        <v>0</v>
      </c>
      <c r="L2793" s="120">
        <f t="shared" si="1083"/>
        <v>0</v>
      </c>
      <c r="M2793" s="246">
        <f t="shared" si="1084"/>
        <v>0</v>
      </c>
      <c r="N2793" s="121">
        <f t="shared" si="1085"/>
        <v>1</v>
      </c>
      <c r="O2793" s="246">
        <f t="shared" si="1086"/>
        <v>0.90782822757111603</v>
      </c>
      <c r="P2793" s="121">
        <f t="shared" si="1087"/>
        <v>1</v>
      </c>
      <c r="Q2793" s="121">
        <f t="shared" si="1088"/>
        <v>0</v>
      </c>
      <c r="R2793" s="121">
        <f t="shared" si="1089"/>
        <v>0</v>
      </c>
      <c r="S2793" s="121">
        <f t="shared" si="1090"/>
        <v>0.98676981257730001</v>
      </c>
      <c r="T2793" s="121">
        <f t="shared" si="1091"/>
        <v>0.98676981257730001</v>
      </c>
      <c r="U2793" s="121">
        <f t="shared" si="1092"/>
        <v>0.98676981257730001</v>
      </c>
    </row>
    <row r="2794" spans="1:21" x14ac:dyDescent="0.3">
      <c r="A2794" s="187">
        <v>16</v>
      </c>
      <c r="B2794" s="242">
        <f t="shared" si="1093"/>
        <v>46113</v>
      </c>
      <c r="C2794" s="243">
        <f t="shared" si="1074"/>
        <v>46142</v>
      </c>
      <c r="D2794" s="120">
        <f t="shared" si="1075"/>
        <v>30</v>
      </c>
      <c r="E2794" s="120">
        <f t="shared" si="1076"/>
        <v>4</v>
      </c>
      <c r="F2794" s="275">
        <f t="shared" si="1077"/>
        <v>46128</v>
      </c>
      <c r="G2794" s="120">
        <f t="shared" si="1078"/>
        <v>24315</v>
      </c>
      <c r="H2794" s="245">
        <f t="shared" si="1079"/>
        <v>1</v>
      </c>
      <c r="I2794" s="121">
        <f t="shared" si="1080"/>
        <v>1</v>
      </c>
      <c r="J2794" s="121">
        <f t="shared" si="1081"/>
        <v>1</v>
      </c>
      <c r="K2794" s="120">
        <f t="shared" si="1082"/>
        <v>0</v>
      </c>
      <c r="L2794" s="120">
        <f t="shared" si="1083"/>
        <v>0</v>
      </c>
      <c r="M2794" s="246">
        <f t="shared" si="1084"/>
        <v>0</v>
      </c>
      <c r="N2794" s="121">
        <f t="shared" si="1085"/>
        <v>1</v>
      </c>
      <c r="O2794" s="246">
        <f t="shared" si="1086"/>
        <v>0.90816192560175057</v>
      </c>
      <c r="P2794" s="121">
        <f t="shared" si="1087"/>
        <v>1</v>
      </c>
      <c r="Q2794" s="121">
        <f t="shared" si="1088"/>
        <v>0</v>
      </c>
      <c r="R2794" s="121">
        <f t="shared" si="1089"/>
        <v>0</v>
      </c>
      <c r="S2794" s="121">
        <f t="shared" si="1090"/>
        <v>0.98713252782798966</v>
      </c>
      <c r="T2794" s="121">
        <f t="shared" si="1091"/>
        <v>0.98713252782798966</v>
      </c>
      <c r="U2794" s="121">
        <f t="shared" si="1092"/>
        <v>0.98713252782798966</v>
      </c>
    </row>
    <row r="2795" spans="1:21" x14ac:dyDescent="0.3">
      <c r="A2795" s="187">
        <v>17</v>
      </c>
      <c r="B2795" s="242">
        <f t="shared" si="1093"/>
        <v>46143</v>
      </c>
      <c r="C2795" s="243">
        <f t="shared" si="1074"/>
        <v>46173</v>
      </c>
      <c r="D2795" s="120">
        <f t="shared" si="1075"/>
        <v>31</v>
      </c>
      <c r="E2795" s="120">
        <f t="shared" si="1076"/>
        <v>5</v>
      </c>
      <c r="F2795" s="275">
        <f t="shared" si="1077"/>
        <v>46158.5</v>
      </c>
      <c r="G2795" s="120">
        <f t="shared" si="1078"/>
        <v>24316</v>
      </c>
      <c r="H2795" s="245">
        <f t="shared" si="1079"/>
        <v>1</v>
      </c>
      <c r="I2795" s="121">
        <f t="shared" si="1080"/>
        <v>1</v>
      </c>
      <c r="J2795" s="121">
        <f t="shared" si="1081"/>
        <v>1</v>
      </c>
      <c r="K2795" s="120">
        <f t="shared" si="1082"/>
        <v>0</v>
      </c>
      <c r="L2795" s="120">
        <f t="shared" si="1083"/>
        <v>0</v>
      </c>
      <c r="M2795" s="246">
        <f t="shared" si="1084"/>
        <v>0</v>
      </c>
      <c r="N2795" s="121">
        <f t="shared" si="1085"/>
        <v>1</v>
      </c>
      <c r="O2795" s="246">
        <f t="shared" si="1086"/>
        <v>0.90849562363238512</v>
      </c>
      <c r="P2795" s="121">
        <f t="shared" si="1087"/>
        <v>1</v>
      </c>
      <c r="Q2795" s="121">
        <f t="shared" si="1088"/>
        <v>0</v>
      </c>
      <c r="R2795" s="121">
        <f t="shared" si="1089"/>
        <v>0</v>
      </c>
      <c r="S2795" s="121">
        <f t="shared" si="1090"/>
        <v>0.98749524307867942</v>
      </c>
      <c r="T2795" s="121">
        <f t="shared" si="1091"/>
        <v>0.98749524307867942</v>
      </c>
      <c r="U2795" s="121">
        <f t="shared" si="1092"/>
        <v>0.98749524307867942</v>
      </c>
    </row>
    <row r="2796" spans="1:21" x14ac:dyDescent="0.3">
      <c r="A2796" s="187">
        <v>18</v>
      </c>
      <c r="B2796" s="242">
        <f t="shared" si="1093"/>
        <v>46174</v>
      </c>
      <c r="C2796" s="243">
        <f t="shared" si="1074"/>
        <v>46203</v>
      </c>
      <c r="D2796" s="120">
        <f t="shared" si="1075"/>
        <v>30</v>
      </c>
      <c r="E2796" s="120">
        <f t="shared" si="1076"/>
        <v>6</v>
      </c>
      <c r="F2796" s="275">
        <f t="shared" si="1077"/>
        <v>46189</v>
      </c>
      <c r="G2796" s="120">
        <f t="shared" si="1078"/>
        <v>24317</v>
      </c>
      <c r="H2796" s="245">
        <f t="shared" si="1079"/>
        <v>1</v>
      </c>
      <c r="I2796" s="121">
        <f t="shared" si="1080"/>
        <v>1</v>
      </c>
      <c r="J2796" s="121">
        <f t="shared" si="1081"/>
        <v>1</v>
      </c>
      <c r="K2796" s="120">
        <f t="shared" si="1082"/>
        <v>0</v>
      </c>
      <c r="L2796" s="120">
        <f t="shared" si="1083"/>
        <v>0</v>
      </c>
      <c r="M2796" s="246">
        <f t="shared" si="1084"/>
        <v>0</v>
      </c>
      <c r="N2796" s="121">
        <f t="shared" si="1085"/>
        <v>1</v>
      </c>
      <c r="O2796" s="246">
        <f t="shared" si="1086"/>
        <v>0.90882932166301977</v>
      </c>
      <c r="P2796" s="121">
        <f t="shared" si="1087"/>
        <v>1</v>
      </c>
      <c r="Q2796" s="121">
        <f t="shared" si="1088"/>
        <v>0</v>
      </c>
      <c r="R2796" s="121">
        <f t="shared" si="1089"/>
        <v>0</v>
      </c>
      <c r="S2796" s="121">
        <f t="shared" si="1090"/>
        <v>0.98785795832936929</v>
      </c>
      <c r="T2796" s="121">
        <f t="shared" si="1091"/>
        <v>0.98785795832936929</v>
      </c>
      <c r="U2796" s="121">
        <f t="shared" si="1092"/>
        <v>0.98785795832936929</v>
      </c>
    </row>
    <row r="2797" spans="1:21" x14ac:dyDescent="0.3">
      <c r="A2797" s="187">
        <v>19</v>
      </c>
      <c r="B2797" s="242">
        <f t="shared" si="1093"/>
        <v>46204</v>
      </c>
      <c r="C2797" s="243">
        <f t="shared" si="1074"/>
        <v>46234</v>
      </c>
      <c r="D2797" s="120">
        <f t="shared" si="1075"/>
        <v>31</v>
      </c>
      <c r="E2797" s="120">
        <f t="shared" si="1076"/>
        <v>7</v>
      </c>
      <c r="F2797" s="275">
        <f t="shared" si="1077"/>
        <v>46219.5</v>
      </c>
      <c r="G2797" s="120">
        <f t="shared" si="1078"/>
        <v>24318</v>
      </c>
      <c r="H2797" s="245">
        <f t="shared" si="1079"/>
        <v>1</v>
      </c>
      <c r="I2797" s="121">
        <f t="shared" si="1080"/>
        <v>1</v>
      </c>
      <c r="J2797" s="121">
        <f t="shared" si="1081"/>
        <v>1</v>
      </c>
      <c r="K2797" s="120">
        <f t="shared" si="1082"/>
        <v>0</v>
      </c>
      <c r="L2797" s="120">
        <f t="shared" si="1083"/>
        <v>0</v>
      </c>
      <c r="M2797" s="246">
        <f t="shared" si="1084"/>
        <v>0</v>
      </c>
      <c r="N2797" s="121">
        <f t="shared" si="1085"/>
        <v>1</v>
      </c>
      <c r="O2797" s="246">
        <f t="shared" si="1086"/>
        <v>0.90916301969365432</v>
      </c>
      <c r="P2797" s="121">
        <f t="shared" si="1087"/>
        <v>0.91666666666666663</v>
      </c>
      <c r="Q2797" s="121">
        <f t="shared" si="1088"/>
        <v>8.333333333333337E-2</v>
      </c>
      <c r="R2797" s="121">
        <f t="shared" si="1089"/>
        <v>0</v>
      </c>
      <c r="S2797" s="121">
        <f t="shared" si="1090"/>
        <v>0.98822067358005905</v>
      </c>
      <c r="T2797" s="121">
        <f t="shared" si="1091"/>
        <v>0.98822067358005905</v>
      </c>
      <c r="U2797" s="121">
        <f t="shared" si="1092"/>
        <v>0.98822067358005905</v>
      </c>
    </row>
    <row r="2798" spans="1:21" x14ac:dyDescent="0.3">
      <c r="A2798" s="187">
        <v>20</v>
      </c>
      <c r="B2798" s="242">
        <f t="shared" si="1093"/>
        <v>46235</v>
      </c>
      <c r="C2798" s="243">
        <f t="shared" si="1074"/>
        <v>46265</v>
      </c>
      <c r="D2798" s="120">
        <f t="shared" si="1075"/>
        <v>31</v>
      </c>
      <c r="E2798" s="120">
        <f t="shared" si="1076"/>
        <v>8</v>
      </c>
      <c r="F2798" s="275">
        <f t="shared" si="1077"/>
        <v>46250.5</v>
      </c>
      <c r="G2798" s="120">
        <f t="shared" si="1078"/>
        <v>24319</v>
      </c>
      <c r="H2798" s="245">
        <f t="shared" si="1079"/>
        <v>1</v>
      </c>
      <c r="I2798" s="121">
        <f t="shared" si="1080"/>
        <v>1</v>
      </c>
      <c r="J2798" s="121">
        <f t="shared" si="1081"/>
        <v>1</v>
      </c>
      <c r="K2798" s="120">
        <f t="shared" si="1082"/>
        <v>0</v>
      </c>
      <c r="L2798" s="120">
        <f t="shared" si="1083"/>
        <v>0</v>
      </c>
      <c r="M2798" s="246">
        <f t="shared" si="1084"/>
        <v>0</v>
      </c>
      <c r="N2798" s="121">
        <f t="shared" si="1085"/>
        <v>1</v>
      </c>
      <c r="O2798" s="246">
        <f t="shared" si="1086"/>
        <v>0.90950218818380746</v>
      </c>
      <c r="P2798" s="121">
        <f t="shared" si="1087"/>
        <v>0.75</v>
      </c>
      <c r="Q2798" s="121">
        <f t="shared" si="1088"/>
        <v>0.25</v>
      </c>
      <c r="R2798" s="121">
        <f t="shared" si="1089"/>
        <v>0</v>
      </c>
      <c r="S2798" s="121">
        <f t="shared" si="1090"/>
        <v>0.98858933498239931</v>
      </c>
      <c r="T2798" s="121">
        <f t="shared" si="1091"/>
        <v>0.98858933498239931</v>
      </c>
      <c r="U2798" s="121">
        <f t="shared" si="1092"/>
        <v>0.98858933498239931</v>
      </c>
    </row>
    <row r="2799" spans="1:21" x14ac:dyDescent="0.3">
      <c r="A2799" s="187">
        <v>21</v>
      </c>
      <c r="B2799" s="242">
        <f t="shared" si="1093"/>
        <v>46266</v>
      </c>
      <c r="C2799" s="243">
        <f t="shared" si="1074"/>
        <v>46295</v>
      </c>
      <c r="D2799" s="120">
        <f t="shared" si="1075"/>
        <v>30</v>
      </c>
      <c r="E2799" s="120">
        <f t="shared" si="1076"/>
        <v>9</v>
      </c>
      <c r="F2799" s="275">
        <f t="shared" si="1077"/>
        <v>46281</v>
      </c>
      <c r="G2799" s="120">
        <f t="shared" si="1078"/>
        <v>24320</v>
      </c>
      <c r="H2799" s="245">
        <f t="shared" si="1079"/>
        <v>1</v>
      </c>
      <c r="I2799" s="121">
        <f t="shared" si="1080"/>
        <v>1</v>
      </c>
      <c r="J2799" s="121">
        <f t="shared" si="1081"/>
        <v>1</v>
      </c>
      <c r="K2799" s="120">
        <f t="shared" si="1082"/>
        <v>0</v>
      </c>
      <c r="L2799" s="120">
        <f t="shared" si="1083"/>
        <v>0</v>
      </c>
      <c r="M2799" s="246">
        <f t="shared" si="1084"/>
        <v>0</v>
      </c>
      <c r="N2799" s="121">
        <f t="shared" si="1085"/>
        <v>1</v>
      </c>
      <c r="O2799" s="246">
        <f t="shared" si="1086"/>
        <v>0.909835886214442</v>
      </c>
      <c r="P2799" s="121">
        <f t="shared" si="1087"/>
        <v>0.58333333333333337</v>
      </c>
      <c r="Q2799" s="121">
        <f t="shared" si="1088"/>
        <v>0.41666666666666663</v>
      </c>
      <c r="R2799" s="121">
        <f t="shared" si="1089"/>
        <v>0</v>
      </c>
      <c r="S2799" s="121">
        <f t="shared" si="1090"/>
        <v>0.98895205023308907</v>
      </c>
      <c r="T2799" s="121">
        <f t="shared" si="1091"/>
        <v>0.98895205023308907</v>
      </c>
      <c r="U2799" s="121">
        <f t="shared" si="1092"/>
        <v>0.98895205023308907</v>
      </c>
    </row>
    <row r="2800" spans="1:21" x14ac:dyDescent="0.3">
      <c r="A2800" s="187">
        <v>22</v>
      </c>
      <c r="B2800" s="242">
        <f t="shared" si="1093"/>
        <v>46296</v>
      </c>
      <c r="C2800" s="243">
        <f t="shared" si="1074"/>
        <v>46326</v>
      </c>
      <c r="D2800" s="120">
        <f t="shared" si="1075"/>
        <v>31</v>
      </c>
      <c r="E2800" s="120">
        <f t="shared" si="1076"/>
        <v>10</v>
      </c>
      <c r="F2800" s="275">
        <f t="shared" si="1077"/>
        <v>46311.5</v>
      </c>
      <c r="G2800" s="120">
        <f t="shared" si="1078"/>
        <v>24321</v>
      </c>
      <c r="H2800" s="245">
        <f t="shared" si="1079"/>
        <v>1</v>
      </c>
      <c r="I2800" s="121">
        <f t="shared" si="1080"/>
        <v>1</v>
      </c>
      <c r="J2800" s="121">
        <f t="shared" si="1081"/>
        <v>1.1000000000000001</v>
      </c>
      <c r="K2800" s="120">
        <f t="shared" si="1082"/>
        <v>1</v>
      </c>
      <c r="L2800" s="120">
        <f t="shared" si="1083"/>
        <v>31</v>
      </c>
      <c r="M2800" s="246">
        <f t="shared" si="1084"/>
        <v>1</v>
      </c>
      <c r="N2800" s="121">
        <f t="shared" si="1085"/>
        <v>1.1000000000000001</v>
      </c>
      <c r="O2800" s="246">
        <f t="shared" si="1086"/>
        <v>0.91016958424507666</v>
      </c>
      <c r="P2800" s="121">
        <f t="shared" si="1087"/>
        <v>0.41666666666666669</v>
      </c>
      <c r="Q2800" s="121">
        <f t="shared" si="1088"/>
        <v>0.58333333333333326</v>
      </c>
      <c r="R2800" s="121">
        <f t="shared" si="1089"/>
        <v>0</v>
      </c>
      <c r="S2800" s="121">
        <f t="shared" si="1090"/>
        <v>1.088246242032157</v>
      </c>
      <c r="T2800" s="121">
        <f t="shared" si="1091"/>
        <v>1.088246242032157</v>
      </c>
      <c r="U2800" s="121">
        <f t="shared" si="1092"/>
        <v>1.088246242032157</v>
      </c>
    </row>
    <row r="2801" spans="1:21" x14ac:dyDescent="0.3">
      <c r="A2801" s="187">
        <v>23</v>
      </c>
      <c r="B2801" s="242">
        <f t="shared" si="1093"/>
        <v>46327</v>
      </c>
      <c r="C2801" s="243">
        <f t="shared" si="1074"/>
        <v>46356</v>
      </c>
      <c r="D2801" s="120">
        <f t="shared" si="1075"/>
        <v>30</v>
      </c>
      <c r="E2801" s="120">
        <f t="shared" si="1076"/>
        <v>11</v>
      </c>
      <c r="F2801" s="275">
        <f t="shared" si="1077"/>
        <v>46342</v>
      </c>
      <c r="G2801" s="120">
        <f t="shared" si="1078"/>
        <v>24322</v>
      </c>
      <c r="H2801" s="245">
        <f t="shared" si="1079"/>
        <v>1</v>
      </c>
      <c r="I2801" s="121">
        <f t="shared" si="1080"/>
        <v>1.1000000000000001</v>
      </c>
      <c r="J2801" s="121">
        <f t="shared" si="1081"/>
        <v>1.1000000000000001</v>
      </c>
      <c r="K2801" s="120">
        <f t="shared" si="1082"/>
        <v>0</v>
      </c>
      <c r="L2801" s="120">
        <f t="shared" si="1083"/>
        <v>0</v>
      </c>
      <c r="M2801" s="246">
        <f t="shared" si="1084"/>
        <v>0</v>
      </c>
      <c r="N2801" s="121">
        <f t="shared" si="1085"/>
        <v>1.1000000000000001</v>
      </c>
      <c r="O2801" s="246">
        <f t="shared" si="1086"/>
        <v>0.9105032822757112</v>
      </c>
      <c r="P2801" s="121">
        <f t="shared" si="1087"/>
        <v>0.25</v>
      </c>
      <c r="Q2801" s="121">
        <f t="shared" si="1088"/>
        <v>0.75</v>
      </c>
      <c r="R2801" s="121">
        <f t="shared" si="1089"/>
        <v>0</v>
      </c>
      <c r="S2801" s="121">
        <f t="shared" si="1090"/>
        <v>1.0886452288079156</v>
      </c>
      <c r="T2801" s="121">
        <f t="shared" si="1091"/>
        <v>1.0886452288079156</v>
      </c>
      <c r="U2801" s="121">
        <f t="shared" si="1092"/>
        <v>1.0886452288079156</v>
      </c>
    </row>
    <row r="2802" spans="1:21" x14ac:dyDescent="0.3">
      <c r="A2802" s="187">
        <v>24</v>
      </c>
      <c r="B2802" s="242">
        <f t="shared" si="1093"/>
        <v>46357</v>
      </c>
      <c r="C2802" s="243">
        <f t="shared" si="1074"/>
        <v>46387</v>
      </c>
      <c r="D2802" s="120">
        <f t="shared" si="1075"/>
        <v>31</v>
      </c>
      <c r="E2802" s="120">
        <f t="shared" si="1076"/>
        <v>12</v>
      </c>
      <c r="F2802" s="275">
        <f t="shared" si="1077"/>
        <v>46372.5</v>
      </c>
      <c r="G2802" s="120">
        <f t="shared" si="1078"/>
        <v>24323</v>
      </c>
      <c r="H2802" s="245">
        <f t="shared" si="1079"/>
        <v>1</v>
      </c>
      <c r="I2802" s="121">
        <f t="shared" si="1080"/>
        <v>1.1000000000000001</v>
      </c>
      <c r="J2802" s="121">
        <f t="shared" si="1081"/>
        <v>1.1000000000000001</v>
      </c>
      <c r="K2802" s="120">
        <f t="shared" si="1082"/>
        <v>0</v>
      </c>
      <c r="L2802" s="120">
        <f t="shared" si="1083"/>
        <v>0</v>
      </c>
      <c r="M2802" s="246">
        <f t="shared" si="1084"/>
        <v>0</v>
      </c>
      <c r="N2802" s="121">
        <f t="shared" si="1085"/>
        <v>1.1000000000000001</v>
      </c>
      <c r="O2802" s="246">
        <f t="shared" si="1086"/>
        <v>0.91083698030634574</v>
      </c>
      <c r="P2802" s="121">
        <f t="shared" si="1087"/>
        <v>8.3333333333333329E-2</v>
      </c>
      <c r="Q2802" s="121">
        <f t="shared" si="1088"/>
        <v>0.91666666666666663</v>
      </c>
      <c r="R2802" s="121">
        <f t="shared" si="1089"/>
        <v>0</v>
      </c>
      <c r="S2802" s="121">
        <f t="shared" si="1090"/>
        <v>1.0890442155836744</v>
      </c>
      <c r="T2802" s="121">
        <f t="shared" si="1091"/>
        <v>1.0890442155836744</v>
      </c>
      <c r="U2802" s="121">
        <f t="shared" si="1092"/>
        <v>1.0890442155836744</v>
      </c>
    </row>
    <row r="2803" spans="1:21" x14ac:dyDescent="0.3">
      <c r="A2803" s="187">
        <v>25</v>
      </c>
      <c r="B2803" s="242">
        <f t="shared" si="1093"/>
        <v>46388</v>
      </c>
      <c r="C2803" s="243">
        <f t="shared" si="1074"/>
        <v>46418</v>
      </c>
      <c r="D2803" s="120">
        <f t="shared" si="1075"/>
        <v>31</v>
      </c>
      <c r="E2803" s="120">
        <f t="shared" si="1076"/>
        <v>1</v>
      </c>
      <c r="F2803" s="275">
        <f t="shared" si="1077"/>
        <v>46403.5</v>
      </c>
      <c r="G2803" s="120">
        <f t="shared" si="1078"/>
        <v>24324</v>
      </c>
      <c r="H2803" s="245">
        <f t="shared" si="1079"/>
        <v>1</v>
      </c>
      <c r="I2803" s="121">
        <f t="shared" si="1080"/>
        <v>1.1000000000000001</v>
      </c>
      <c r="J2803" s="121">
        <f t="shared" si="1081"/>
        <v>1.1000000000000001</v>
      </c>
      <c r="K2803" s="120">
        <f t="shared" si="1082"/>
        <v>0</v>
      </c>
      <c r="L2803" s="120">
        <f t="shared" si="1083"/>
        <v>0</v>
      </c>
      <c r="M2803" s="246">
        <f t="shared" si="1084"/>
        <v>0</v>
      </c>
      <c r="N2803" s="121">
        <f t="shared" si="1085"/>
        <v>1.1000000000000001</v>
      </c>
      <c r="O2803" s="246">
        <f t="shared" si="1086"/>
        <v>0.91117614879649889</v>
      </c>
      <c r="P2803" s="121">
        <f t="shared" si="1087"/>
        <v>0</v>
      </c>
      <c r="Q2803" s="121">
        <f t="shared" si="1088"/>
        <v>1</v>
      </c>
      <c r="R2803" s="121">
        <f t="shared" si="1089"/>
        <v>0</v>
      </c>
      <c r="S2803" s="121">
        <f t="shared" si="1090"/>
        <v>1.0894497431262486</v>
      </c>
      <c r="T2803" s="121">
        <f t="shared" si="1091"/>
        <v>1.0846749833507754</v>
      </c>
      <c r="U2803" s="121">
        <f t="shared" si="1092"/>
        <v>1.0846749833507754</v>
      </c>
    </row>
    <row r="2804" spans="1:21" x14ac:dyDescent="0.3">
      <c r="A2804" s="187">
        <v>26</v>
      </c>
      <c r="B2804" s="242">
        <f t="shared" si="1093"/>
        <v>46419</v>
      </c>
      <c r="C2804" s="243">
        <f t="shared" si="1074"/>
        <v>46446</v>
      </c>
      <c r="D2804" s="120">
        <f t="shared" si="1075"/>
        <v>28</v>
      </c>
      <c r="E2804" s="120">
        <f t="shared" si="1076"/>
        <v>2</v>
      </c>
      <c r="F2804" s="275">
        <f t="shared" si="1077"/>
        <v>46433</v>
      </c>
      <c r="G2804" s="120">
        <f t="shared" si="1078"/>
        <v>24325</v>
      </c>
      <c r="H2804" s="245">
        <f t="shared" si="1079"/>
        <v>1</v>
      </c>
      <c r="I2804" s="121">
        <f t="shared" si="1080"/>
        <v>1.1000000000000001</v>
      </c>
      <c r="J2804" s="121">
        <f t="shared" si="1081"/>
        <v>1.1000000000000001</v>
      </c>
      <c r="K2804" s="120">
        <f t="shared" si="1082"/>
        <v>0</v>
      </c>
      <c r="L2804" s="120">
        <f t="shared" si="1083"/>
        <v>0</v>
      </c>
      <c r="M2804" s="246">
        <f t="shared" si="1084"/>
        <v>0</v>
      </c>
      <c r="N2804" s="121">
        <f t="shared" si="1085"/>
        <v>1.1000000000000001</v>
      </c>
      <c r="O2804" s="246">
        <f t="shared" si="1086"/>
        <v>0.91149890590809635</v>
      </c>
      <c r="P2804" s="121">
        <f t="shared" si="1087"/>
        <v>0</v>
      </c>
      <c r="Q2804" s="121">
        <f t="shared" si="1088"/>
        <v>1</v>
      </c>
      <c r="R2804" s="121">
        <f t="shared" si="1089"/>
        <v>0</v>
      </c>
      <c r="S2804" s="121">
        <f t="shared" si="1090"/>
        <v>1.089835648368376</v>
      </c>
      <c r="T2804" s="121">
        <f t="shared" si="1091"/>
        <v>1.0850608885929027</v>
      </c>
      <c r="U2804" s="121">
        <f t="shared" si="1092"/>
        <v>1.0850608885929027</v>
      </c>
    </row>
    <row r="2805" spans="1:21" x14ac:dyDescent="0.3">
      <c r="A2805" s="187">
        <v>27</v>
      </c>
      <c r="B2805" s="242">
        <f t="shared" si="1093"/>
        <v>46447</v>
      </c>
      <c r="C2805" s="243">
        <f t="shared" si="1074"/>
        <v>46477</v>
      </c>
      <c r="D2805" s="120">
        <f t="shared" si="1075"/>
        <v>31</v>
      </c>
      <c r="E2805" s="120">
        <f t="shared" si="1076"/>
        <v>3</v>
      </c>
      <c r="F2805" s="275">
        <f t="shared" si="1077"/>
        <v>46462.5</v>
      </c>
      <c r="G2805" s="120">
        <f t="shared" si="1078"/>
        <v>24326</v>
      </c>
      <c r="H2805" s="245">
        <f t="shared" si="1079"/>
        <v>1</v>
      </c>
      <c r="I2805" s="121">
        <f t="shared" si="1080"/>
        <v>1.1000000000000001</v>
      </c>
      <c r="J2805" s="121">
        <f t="shared" si="1081"/>
        <v>1.1000000000000001</v>
      </c>
      <c r="K2805" s="120">
        <f t="shared" si="1082"/>
        <v>0</v>
      </c>
      <c r="L2805" s="120">
        <f t="shared" si="1083"/>
        <v>0</v>
      </c>
      <c r="M2805" s="246">
        <f t="shared" si="1084"/>
        <v>0</v>
      </c>
      <c r="N2805" s="121">
        <f t="shared" si="1085"/>
        <v>1.1000000000000001</v>
      </c>
      <c r="O2805" s="246">
        <f t="shared" si="1086"/>
        <v>0.9118216630196937</v>
      </c>
      <c r="P2805" s="121">
        <f t="shared" si="1087"/>
        <v>0</v>
      </c>
      <c r="Q2805" s="121">
        <f t="shared" si="1088"/>
        <v>1</v>
      </c>
      <c r="R2805" s="121">
        <f t="shared" si="1089"/>
        <v>0</v>
      </c>
      <c r="S2805" s="121">
        <f t="shared" si="1090"/>
        <v>1.0902215536105033</v>
      </c>
      <c r="T2805" s="121">
        <f t="shared" si="1091"/>
        <v>1.0854467938350301</v>
      </c>
      <c r="U2805" s="121">
        <f t="shared" si="1092"/>
        <v>1.0854467938350301</v>
      </c>
    </row>
    <row r="2806" spans="1:21" x14ac:dyDescent="0.3">
      <c r="A2806" s="187">
        <v>28</v>
      </c>
      <c r="B2806" s="242">
        <f t="shared" si="1093"/>
        <v>46478</v>
      </c>
      <c r="C2806" s="243">
        <f t="shared" si="1074"/>
        <v>46507</v>
      </c>
      <c r="D2806" s="120">
        <f t="shared" si="1075"/>
        <v>30</v>
      </c>
      <c r="E2806" s="120">
        <f t="shared" si="1076"/>
        <v>4</v>
      </c>
      <c r="F2806" s="275">
        <f t="shared" si="1077"/>
        <v>46493</v>
      </c>
      <c r="G2806" s="120">
        <f t="shared" si="1078"/>
        <v>24327</v>
      </c>
      <c r="H2806" s="245">
        <f t="shared" si="1079"/>
        <v>1</v>
      </c>
      <c r="I2806" s="121">
        <f t="shared" si="1080"/>
        <v>1.1000000000000001</v>
      </c>
      <c r="J2806" s="121">
        <f t="shared" si="1081"/>
        <v>1.1440000000000001</v>
      </c>
      <c r="K2806" s="120">
        <f t="shared" si="1082"/>
        <v>1</v>
      </c>
      <c r="L2806" s="120">
        <f t="shared" si="1083"/>
        <v>30</v>
      </c>
      <c r="M2806" s="246">
        <f t="shared" si="1084"/>
        <v>1</v>
      </c>
      <c r="N2806" s="121">
        <f t="shared" si="1085"/>
        <v>1.1440000000000001</v>
      </c>
      <c r="O2806" s="246">
        <f t="shared" si="1086"/>
        <v>0.91215536105032824</v>
      </c>
      <c r="P2806" s="121">
        <f t="shared" si="1087"/>
        <v>0</v>
      </c>
      <c r="Q2806" s="121">
        <f t="shared" si="1088"/>
        <v>1</v>
      </c>
      <c r="R2806" s="121">
        <f t="shared" si="1089"/>
        <v>0</v>
      </c>
      <c r="S2806" s="121">
        <f t="shared" si="1090"/>
        <v>1.1342453620017126</v>
      </c>
      <c r="T2806" s="121">
        <f t="shared" si="1091"/>
        <v>1.0858457806107886</v>
      </c>
      <c r="U2806" s="121">
        <f t="shared" si="1092"/>
        <v>1.0858457806107886</v>
      </c>
    </row>
    <row r="2807" spans="1:21" x14ac:dyDescent="0.3">
      <c r="A2807" s="187">
        <v>29</v>
      </c>
      <c r="B2807" s="242">
        <f t="shared" si="1093"/>
        <v>46508</v>
      </c>
      <c r="C2807" s="243">
        <f t="shared" si="1074"/>
        <v>46538</v>
      </c>
      <c r="D2807" s="120">
        <f t="shared" si="1075"/>
        <v>31</v>
      </c>
      <c r="E2807" s="120">
        <f t="shared" si="1076"/>
        <v>5</v>
      </c>
      <c r="F2807" s="275">
        <f t="shared" si="1077"/>
        <v>46523.5</v>
      </c>
      <c r="G2807" s="120">
        <f t="shared" si="1078"/>
        <v>24328</v>
      </c>
      <c r="H2807" s="245">
        <f t="shared" si="1079"/>
        <v>1</v>
      </c>
      <c r="I2807" s="121">
        <f t="shared" si="1080"/>
        <v>1.1440000000000001</v>
      </c>
      <c r="J2807" s="121">
        <f t="shared" si="1081"/>
        <v>1.1440000000000001</v>
      </c>
      <c r="K2807" s="120">
        <f t="shared" si="1082"/>
        <v>0</v>
      </c>
      <c r="L2807" s="120">
        <f t="shared" si="1083"/>
        <v>0</v>
      </c>
      <c r="M2807" s="246">
        <f t="shared" si="1084"/>
        <v>0</v>
      </c>
      <c r="N2807" s="121">
        <f t="shared" si="1085"/>
        <v>1.1440000000000001</v>
      </c>
      <c r="O2807" s="246">
        <f t="shared" si="1086"/>
        <v>0.91248905908096278</v>
      </c>
      <c r="P2807" s="121">
        <f t="shared" si="1087"/>
        <v>0</v>
      </c>
      <c r="Q2807" s="121">
        <f t="shared" si="1088"/>
        <v>1</v>
      </c>
      <c r="R2807" s="121">
        <f t="shared" si="1089"/>
        <v>0</v>
      </c>
      <c r="S2807" s="121">
        <f t="shared" si="1090"/>
        <v>1.1346603082485016</v>
      </c>
      <c r="T2807" s="121">
        <f t="shared" si="1091"/>
        <v>1.0862447673865474</v>
      </c>
      <c r="U2807" s="121">
        <f t="shared" si="1092"/>
        <v>1.0862447673865474</v>
      </c>
    </row>
    <row r="2808" spans="1:21" x14ac:dyDescent="0.3">
      <c r="A2808" s="187">
        <v>30</v>
      </c>
      <c r="B2808" s="242">
        <f t="shared" si="1093"/>
        <v>46539</v>
      </c>
      <c r="C2808" s="243">
        <f t="shared" si="1074"/>
        <v>46568</v>
      </c>
      <c r="D2808" s="120">
        <f t="shared" si="1075"/>
        <v>30</v>
      </c>
      <c r="E2808" s="120">
        <f t="shared" si="1076"/>
        <v>6</v>
      </c>
      <c r="F2808" s="275">
        <f t="shared" si="1077"/>
        <v>46554</v>
      </c>
      <c r="G2808" s="120">
        <f t="shared" si="1078"/>
        <v>24329</v>
      </c>
      <c r="H2808" s="245">
        <f t="shared" si="1079"/>
        <v>1</v>
      </c>
      <c r="I2808" s="121">
        <f t="shared" si="1080"/>
        <v>1.1440000000000001</v>
      </c>
      <c r="J2808" s="121">
        <f t="shared" si="1081"/>
        <v>1.1440000000000001</v>
      </c>
      <c r="K2808" s="120">
        <f t="shared" si="1082"/>
        <v>0</v>
      </c>
      <c r="L2808" s="120">
        <f t="shared" si="1083"/>
        <v>0</v>
      </c>
      <c r="M2808" s="246">
        <f t="shared" si="1084"/>
        <v>0</v>
      </c>
      <c r="N2808" s="121">
        <f t="shared" si="1085"/>
        <v>1.1440000000000001</v>
      </c>
      <c r="O2808" s="246">
        <f t="shared" si="1086"/>
        <v>0.91282275711159744</v>
      </c>
      <c r="P2808" s="121">
        <f t="shared" si="1087"/>
        <v>0</v>
      </c>
      <c r="Q2808" s="121">
        <f t="shared" si="1088"/>
        <v>1</v>
      </c>
      <c r="R2808" s="121">
        <f t="shared" si="1089"/>
        <v>0</v>
      </c>
      <c r="S2808" s="121">
        <f t="shared" si="1090"/>
        <v>1.1350752544952907</v>
      </c>
      <c r="T2808" s="121">
        <f t="shared" si="1091"/>
        <v>1.0866437541623064</v>
      </c>
      <c r="U2808" s="121">
        <f t="shared" si="1092"/>
        <v>1.0866437541623064</v>
      </c>
    </row>
    <row r="2809" spans="1:21" x14ac:dyDescent="0.3">
      <c r="A2809" s="187">
        <v>31</v>
      </c>
      <c r="B2809" s="242">
        <f t="shared" si="1093"/>
        <v>46569</v>
      </c>
      <c r="C2809" s="243">
        <f t="shared" si="1074"/>
        <v>46599</v>
      </c>
      <c r="D2809" s="120">
        <f t="shared" si="1075"/>
        <v>31</v>
      </c>
      <c r="E2809" s="120">
        <f t="shared" si="1076"/>
        <v>7</v>
      </c>
      <c r="F2809" s="275">
        <f t="shared" si="1077"/>
        <v>46584.5</v>
      </c>
      <c r="G2809" s="120">
        <f t="shared" si="1078"/>
        <v>24330</v>
      </c>
      <c r="H2809" s="245">
        <f t="shared" si="1079"/>
        <v>1</v>
      </c>
      <c r="I2809" s="121">
        <f t="shared" si="1080"/>
        <v>1.1440000000000001</v>
      </c>
      <c r="J2809" s="121">
        <f t="shared" si="1081"/>
        <v>1.1440000000000001</v>
      </c>
      <c r="K2809" s="120">
        <f t="shared" si="1082"/>
        <v>0</v>
      </c>
      <c r="L2809" s="120">
        <f t="shared" si="1083"/>
        <v>0</v>
      </c>
      <c r="M2809" s="246">
        <f t="shared" si="1084"/>
        <v>0</v>
      </c>
      <c r="N2809" s="121">
        <f t="shared" si="1085"/>
        <v>1.1440000000000001</v>
      </c>
      <c r="O2809" s="246">
        <f t="shared" si="1086"/>
        <v>0.91315645514223198</v>
      </c>
      <c r="P2809" s="121">
        <f t="shared" si="1087"/>
        <v>0</v>
      </c>
      <c r="Q2809" s="121">
        <f t="shared" si="1088"/>
        <v>0.91666666666666663</v>
      </c>
      <c r="R2809" s="121">
        <f t="shared" si="1089"/>
        <v>8.333333333333337E-2</v>
      </c>
      <c r="S2809" s="121">
        <f t="shared" si="1090"/>
        <v>1.1354902007420797</v>
      </c>
      <c r="T2809" s="121">
        <f t="shared" si="1091"/>
        <v>1.087042740938065</v>
      </c>
      <c r="U2809" s="121">
        <f t="shared" si="1092"/>
        <v>1.087042740938065</v>
      </c>
    </row>
    <row r="2810" spans="1:21" x14ac:dyDescent="0.3">
      <c r="A2810" s="187">
        <v>32</v>
      </c>
      <c r="B2810" s="242">
        <f t="shared" si="1093"/>
        <v>46600</v>
      </c>
      <c r="C2810" s="243">
        <f t="shared" si="1074"/>
        <v>46630</v>
      </c>
      <c r="D2810" s="120">
        <f t="shared" si="1075"/>
        <v>31</v>
      </c>
      <c r="E2810" s="120">
        <f t="shared" si="1076"/>
        <v>8</v>
      </c>
      <c r="F2810" s="275">
        <f t="shared" si="1077"/>
        <v>46615.5</v>
      </c>
      <c r="G2810" s="120">
        <f t="shared" si="1078"/>
        <v>24331</v>
      </c>
      <c r="H2810" s="245">
        <f t="shared" si="1079"/>
        <v>1</v>
      </c>
      <c r="I2810" s="121">
        <f t="shared" si="1080"/>
        <v>1.1440000000000001</v>
      </c>
      <c r="J2810" s="121">
        <f t="shared" si="1081"/>
        <v>1.1440000000000001</v>
      </c>
      <c r="K2810" s="120">
        <f t="shared" si="1082"/>
        <v>0</v>
      </c>
      <c r="L2810" s="120">
        <f t="shared" si="1083"/>
        <v>0</v>
      </c>
      <c r="M2810" s="246">
        <f t="shared" si="1084"/>
        <v>0</v>
      </c>
      <c r="N2810" s="121">
        <f t="shared" si="1085"/>
        <v>1.1440000000000001</v>
      </c>
      <c r="O2810" s="246">
        <f t="shared" si="1086"/>
        <v>0.91349562363238512</v>
      </c>
      <c r="P2810" s="121">
        <f t="shared" si="1087"/>
        <v>0</v>
      </c>
      <c r="Q2810" s="121">
        <f t="shared" si="1088"/>
        <v>0.75</v>
      </c>
      <c r="R2810" s="121">
        <f t="shared" si="1089"/>
        <v>0.25</v>
      </c>
      <c r="S2810" s="121">
        <f t="shared" si="1090"/>
        <v>1.1359119493863572</v>
      </c>
      <c r="T2810" s="121">
        <f t="shared" si="1091"/>
        <v>1.0874482684806392</v>
      </c>
      <c r="U2810" s="121">
        <f t="shared" si="1092"/>
        <v>1.0874482684806392</v>
      </c>
    </row>
    <row r="2811" spans="1:21" x14ac:dyDescent="0.3">
      <c r="A2811" s="187">
        <v>33</v>
      </c>
      <c r="B2811" s="242">
        <f t="shared" si="1093"/>
        <v>46631</v>
      </c>
      <c r="C2811" s="243">
        <f t="shared" si="1074"/>
        <v>46660</v>
      </c>
      <c r="D2811" s="120">
        <f t="shared" si="1075"/>
        <v>30</v>
      </c>
      <c r="E2811" s="120">
        <f t="shared" si="1076"/>
        <v>9</v>
      </c>
      <c r="F2811" s="275">
        <f t="shared" si="1077"/>
        <v>46646</v>
      </c>
      <c r="G2811" s="120">
        <f t="shared" si="1078"/>
        <v>24332</v>
      </c>
      <c r="H2811" s="245">
        <f t="shared" si="1079"/>
        <v>1</v>
      </c>
      <c r="I2811" s="121">
        <f t="shared" si="1080"/>
        <v>1.1440000000000001</v>
      </c>
      <c r="J2811" s="121">
        <f t="shared" si="1081"/>
        <v>1.1440000000000001</v>
      </c>
      <c r="K2811" s="120">
        <f t="shared" si="1082"/>
        <v>0</v>
      </c>
      <c r="L2811" s="120">
        <f t="shared" si="1083"/>
        <v>0</v>
      </c>
      <c r="M2811" s="246">
        <f t="shared" si="1084"/>
        <v>0</v>
      </c>
      <c r="N2811" s="121">
        <f t="shared" si="1085"/>
        <v>1.1440000000000001</v>
      </c>
      <c r="O2811" s="246">
        <f t="shared" si="1086"/>
        <v>0.91382932166301978</v>
      </c>
      <c r="P2811" s="121">
        <f t="shared" si="1087"/>
        <v>0</v>
      </c>
      <c r="Q2811" s="121">
        <f t="shared" si="1088"/>
        <v>0.58333333333333337</v>
      </c>
      <c r="R2811" s="121">
        <f t="shared" si="1089"/>
        <v>0.41666666666666663</v>
      </c>
      <c r="S2811" s="121">
        <f t="shared" si="1090"/>
        <v>1.1363268956331465</v>
      </c>
      <c r="T2811" s="121">
        <f t="shared" si="1091"/>
        <v>1.087847255256398</v>
      </c>
      <c r="U2811" s="121">
        <f t="shared" si="1092"/>
        <v>1.087847255256398</v>
      </c>
    </row>
    <row r="2812" spans="1:21" x14ac:dyDescent="0.3">
      <c r="A2812" s="187">
        <v>34</v>
      </c>
      <c r="B2812" s="242">
        <f t="shared" si="1093"/>
        <v>46661</v>
      </c>
      <c r="C2812" s="243">
        <f t="shared" si="1074"/>
        <v>46691</v>
      </c>
      <c r="D2812" s="120">
        <f t="shared" si="1075"/>
        <v>31</v>
      </c>
      <c r="E2812" s="120">
        <f t="shared" si="1076"/>
        <v>10</v>
      </c>
      <c r="F2812" s="275">
        <f t="shared" si="1077"/>
        <v>46676.5</v>
      </c>
      <c r="G2812" s="120">
        <f t="shared" si="1078"/>
        <v>24333</v>
      </c>
      <c r="H2812" s="245">
        <f t="shared" si="1079"/>
        <v>1</v>
      </c>
      <c r="I2812" s="121">
        <f t="shared" si="1080"/>
        <v>1.1440000000000001</v>
      </c>
      <c r="J2812" s="121">
        <f t="shared" si="1081"/>
        <v>1.1440000000000001</v>
      </c>
      <c r="K2812" s="120">
        <f t="shared" si="1082"/>
        <v>0</v>
      </c>
      <c r="L2812" s="120">
        <f t="shared" si="1083"/>
        <v>0</v>
      </c>
      <c r="M2812" s="246">
        <f t="shared" si="1084"/>
        <v>0</v>
      </c>
      <c r="N2812" s="121">
        <f t="shared" si="1085"/>
        <v>1.1440000000000001</v>
      </c>
      <c r="O2812" s="246">
        <f t="shared" si="1086"/>
        <v>0.91416301969365432</v>
      </c>
      <c r="P2812" s="121">
        <f t="shared" si="1087"/>
        <v>0</v>
      </c>
      <c r="Q2812" s="121">
        <f t="shared" si="1088"/>
        <v>0.41666666666666669</v>
      </c>
      <c r="R2812" s="121">
        <f t="shared" si="1089"/>
        <v>0.58333333333333326</v>
      </c>
      <c r="S2812" s="121">
        <f t="shared" si="1090"/>
        <v>1.1367418418799353</v>
      </c>
      <c r="T2812" s="121">
        <f t="shared" si="1091"/>
        <v>1.1970708662353728</v>
      </c>
      <c r="U2812" s="121">
        <f t="shared" si="1092"/>
        <v>1.1970708662353728</v>
      </c>
    </row>
    <row r="2813" spans="1:21" x14ac:dyDescent="0.3">
      <c r="A2813" s="187">
        <v>35</v>
      </c>
      <c r="B2813" s="242">
        <f t="shared" si="1093"/>
        <v>46692</v>
      </c>
      <c r="C2813" s="243">
        <f t="shared" si="1074"/>
        <v>46721</v>
      </c>
      <c r="D2813" s="120">
        <f t="shared" si="1075"/>
        <v>30</v>
      </c>
      <c r="E2813" s="120">
        <f t="shared" si="1076"/>
        <v>11</v>
      </c>
      <c r="F2813" s="275">
        <f t="shared" si="1077"/>
        <v>46707</v>
      </c>
      <c r="G2813" s="120">
        <f t="shared" si="1078"/>
        <v>24334</v>
      </c>
      <c r="H2813" s="245">
        <f t="shared" si="1079"/>
        <v>1</v>
      </c>
      <c r="I2813" s="121">
        <f t="shared" si="1080"/>
        <v>1.1440000000000001</v>
      </c>
      <c r="J2813" s="121">
        <f t="shared" si="1081"/>
        <v>1.1440000000000001</v>
      </c>
      <c r="K2813" s="120">
        <f t="shared" si="1082"/>
        <v>0</v>
      </c>
      <c r="L2813" s="120">
        <f t="shared" si="1083"/>
        <v>0</v>
      </c>
      <c r="M2813" s="246">
        <f t="shared" si="1084"/>
        <v>0</v>
      </c>
      <c r="N2813" s="121">
        <f t="shared" si="1085"/>
        <v>1.1440000000000001</v>
      </c>
      <c r="O2813" s="246">
        <f t="shared" si="1086"/>
        <v>0.91449671772428887</v>
      </c>
      <c r="P2813" s="121">
        <f t="shared" si="1087"/>
        <v>0</v>
      </c>
      <c r="Q2813" s="121">
        <f t="shared" si="1088"/>
        <v>0.25</v>
      </c>
      <c r="R2813" s="121">
        <f t="shared" si="1089"/>
        <v>0.75</v>
      </c>
      <c r="S2813" s="121">
        <f t="shared" si="1090"/>
        <v>1.1371567881267244</v>
      </c>
      <c r="T2813" s="121">
        <f t="shared" si="1091"/>
        <v>1.1975097516887072</v>
      </c>
      <c r="U2813" s="121">
        <f t="shared" si="1092"/>
        <v>1.1975097516887072</v>
      </c>
    </row>
    <row r="2814" spans="1:21" x14ac:dyDescent="0.3">
      <c r="A2814" s="187">
        <v>36</v>
      </c>
      <c r="B2814" s="242">
        <f t="shared" si="1093"/>
        <v>46722</v>
      </c>
      <c r="C2814" s="243">
        <f t="shared" si="1074"/>
        <v>46752</v>
      </c>
      <c r="D2814" s="120">
        <f t="shared" si="1075"/>
        <v>31</v>
      </c>
      <c r="E2814" s="120">
        <f t="shared" si="1076"/>
        <v>12</v>
      </c>
      <c r="F2814" s="275">
        <f t="shared" si="1077"/>
        <v>46737.5</v>
      </c>
      <c r="G2814" s="120">
        <f t="shared" si="1078"/>
        <v>24335</v>
      </c>
      <c r="H2814" s="245">
        <f t="shared" si="1079"/>
        <v>1</v>
      </c>
      <c r="I2814" s="121">
        <f t="shared" si="1080"/>
        <v>1.1440000000000001</v>
      </c>
      <c r="J2814" s="121">
        <f t="shared" si="1081"/>
        <v>1.1440000000000001</v>
      </c>
      <c r="K2814" s="120">
        <f t="shared" si="1082"/>
        <v>0</v>
      </c>
      <c r="L2814" s="120">
        <f t="shared" si="1083"/>
        <v>0</v>
      </c>
      <c r="M2814" s="246">
        <f t="shared" si="1084"/>
        <v>0</v>
      </c>
      <c r="N2814" s="121">
        <f t="shared" si="1085"/>
        <v>1.1440000000000001</v>
      </c>
      <c r="O2814" s="246">
        <f t="shared" si="1086"/>
        <v>0.91483041575492341</v>
      </c>
      <c r="P2814" s="121">
        <f t="shared" si="1087"/>
        <v>0</v>
      </c>
      <c r="Q2814" s="121">
        <f t="shared" si="1088"/>
        <v>8.3333333333333329E-2</v>
      </c>
      <c r="R2814" s="121">
        <f t="shared" si="1089"/>
        <v>0.91666666666666663</v>
      </c>
      <c r="S2814" s="121">
        <f t="shared" si="1090"/>
        <v>1.1375717343735137</v>
      </c>
      <c r="T2814" s="121">
        <f t="shared" si="1091"/>
        <v>1.1979486371420418</v>
      </c>
      <c r="U2814" s="121">
        <f t="shared" si="1092"/>
        <v>1.1979486371420418</v>
      </c>
    </row>
    <row r="2815" spans="1:21" x14ac:dyDescent="0.3">
      <c r="A2815" s="187">
        <v>37</v>
      </c>
      <c r="B2815" s="242">
        <f t="shared" si="1093"/>
        <v>46753</v>
      </c>
      <c r="C2815" s="243">
        <f t="shared" si="1074"/>
        <v>46783</v>
      </c>
      <c r="D2815" s="120">
        <f t="shared" si="1075"/>
        <v>31</v>
      </c>
      <c r="E2815" s="120">
        <f t="shared" si="1076"/>
        <v>1</v>
      </c>
      <c r="F2815" s="275">
        <f t="shared" si="1077"/>
        <v>46768.5</v>
      </c>
      <c r="G2815" s="120">
        <f t="shared" si="1078"/>
        <v>24336</v>
      </c>
      <c r="H2815" s="245">
        <f t="shared" si="1079"/>
        <v>1</v>
      </c>
      <c r="I2815" s="121">
        <f t="shared" si="1080"/>
        <v>1.1440000000000001</v>
      </c>
      <c r="J2815" s="121">
        <f t="shared" si="1081"/>
        <v>1.1440000000000001</v>
      </c>
      <c r="K2815" s="120">
        <f t="shared" si="1082"/>
        <v>0</v>
      </c>
      <c r="L2815" s="120">
        <f t="shared" si="1083"/>
        <v>0</v>
      </c>
      <c r="M2815" s="246">
        <f t="shared" si="1084"/>
        <v>0</v>
      </c>
      <c r="N2815" s="121">
        <f t="shared" si="1085"/>
        <v>1.1440000000000001</v>
      </c>
      <c r="O2815" s="246">
        <f t="shared" si="1086"/>
        <v>0.91500000000000004</v>
      </c>
      <c r="P2815" s="121">
        <f t="shared" si="1087"/>
        <v>0</v>
      </c>
      <c r="Q2815" s="121">
        <f t="shared" si="1088"/>
        <v>0</v>
      </c>
      <c r="R2815" s="121">
        <f t="shared" si="1089"/>
        <v>1</v>
      </c>
      <c r="S2815" s="121">
        <f t="shared" si="1090"/>
        <v>1.1377826086956522</v>
      </c>
      <c r="T2815" s="121">
        <f t="shared" si="1091"/>
        <v>1.1931424816858531</v>
      </c>
      <c r="U2815" s="121">
        <f t="shared" si="1092"/>
        <v>1.1931424816858531</v>
      </c>
    </row>
    <row r="2816" spans="1:21" x14ac:dyDescent="0.3">
      <c r="A2816" s="187">
        <v>38</v>
      </c>
      <c r="B2816" s="242">
        <f t="shared" si="1093"/>
        <v>46784</v>
      </c>
      <c r="C2816" s="243">
        <f t="shared" si="1074"/>
        <v>46812</v>
      </c>
      <c r="D2816" s="120">
        <f t="shared" si="1075"/>
        <v>29</v>
      </c>
      <c r="E2816" s="120">
        <f t="shared" si="1076"/>
        <v>2</v>
      </c>
      <c r="F2816" s="275">
        <f t="shared" si="1077"/>
        <v>46798.5</v>
      </c>
      <c r="G2816" s="120">
        <f t="shared" si="1078"/>
        <v>24337</v>
      </c>
      <c r="H2816" s="245">
        <f t="shared" si="1079"/>
        <v>1</v>
      </c>
      <c r="I2816" s="121">
        <f t="shared" si="1080"/>
        <v>1.1440000000000001</v>
      </c>
      <c r="J2816" s="121">
        <f t="shared" si="1081"/>
        <v>1.1440000000000001</v>
      </c>
      <c r="K2816" s="120">
        <f t="shared" si="1082"/>
        <v>0</v>
      </c>
      <c r="L2816" s="120">
        <f t="shared" si="1083"/>
        <v>0</v>
      </c>
      <c r="M2816" s="246">
        <f t="shared" si="1084"/>
        <v>0</v>
      </c>
      <c r="N2816" s="121">
        <f t="shared" si="1085"/>
        <v>1.1440000000000001</v>
      </c>
      <c r="O2816" s="246">
        <f t="shared" si="1086"/>
        <v>0.91500000000000004</v>
      </c>
      <c r="P2816" s="121">
        <f t="shared" si="1087"/>
        <v>0</v>
      </c>
      <c r="Q2816" s="121">
        <f t="shared" si="1088"/>
        <v>0</v>
      </c>
      <c r="R2816" s="121">
        <f t="shared" si="1089"/>
        <v>1</v>
      </c>
      <c r="S2816" s="121">
        <f t="shared" si="1090"/>
        <v>1.1377826086956522</v>
      </c>
      <c r="T2816" s="121">
        <f t="shared" si="1091"/>
        <v>1.1935669774521931</v>
      </c>
      <c r="U2816" s="121">
        <f t="shared" si="1092"/>
        <v>1.1935669774521931</v>
      </c>
    </row>
    <row r="2817" spans="1:21" x14ac:dyDescent="0.3">
      <c r="A2817" s="187">
        <v>39</v>
      </c>
      <c r="B2817" s="242">
        <f t="shared" si="1093"/>
        <v>46813</v>
      </c>
      <c r="C2817" s="243">
        <f t="shared" si="1074"/>
        <v>46843</v>
      </c>
      <c r="D2817" s="120">
        <f t="shared" si="1075"/>
        <v>31</v>
      </c>
      <c r="E2817" s="120">
        <f t="shared" si="1076"/>
        <v>3</v>
      </c>
      <c r="F2817" s="275">
        <f t="shared" si="1077"/>
        <v>46828.5</v>
      </c>
      <c r="G2817" s="120">
        <f t="shared" si="1078"/>
        <v>24338</v>
      </c>
      <c r="H2817" s="245">
        <f t="shared" si="1079"/>
        <v>1</v>
      </c>
      <c r="I2817" s="121">
        <f t="shared" si="1080"/>
        <v>1.1440000000000001</v>
      </c>
      <c r="J2817" s="121">
        <f t="shared" si="1081"/>
        <v>1.1440000000000001</v>
      </c>
      <c r="K2817" s="120">
        <f t="shared" si="1082"/>
        <v>0</v>
      </c>
      <c r="L2817" s="120">
        <f t="shared" si="1083"/>
        <v>0</v>
      </c>
      <c r="M2817" s="246">
        <f t="shared" si="1084"/>
        <v>0</v>
      </c>
      <c r="N2817" s="121">
        <f t="shared" si="1085"/>
        <v>1.1440000000000001</v>
      </c>
      <c r="O2817" s="246">
        <f t="shared" si="1086"/>
        <v>0.91500000000000004</v>
      </c>
      <c r="P2817" s="121">
        <f t="shared" si="1087"/>
        <v>0</v>
      </c>
      <c r="Q2817" s="121">
        <f t="shared" si="1088"/>
        <v>0</v>
      </c>
      <c r="R2817" s="121">
        <f t="shared" si="1089"/>
        <v>1</v>
      </c>
      <c r="S2817" s="121">
        <f t="shared" si="1090"/>
        <v>1.1377826086956522</v>
      </c>
      <c r="T2817" s="121">
        <f t="shared" si="1091"/>
        <v>1.1939914732185333</v>
      </c>
      <c r="U2817" s="121">
        <f t="shared" si="1092"/>
        <v>1.1939914732185333</v>
      </c>
    </row>
    <row r="2818" spans="1:21" x14ac:dyDescent="0.3">
      <c r="A2818" s="187">
        <v>40</v>
      </c>
      <c r="B2818" s="242">
        <f t="shared" si="1093"/>
        <v>46844</v>
      </c>
      <c r="C2818" s="243">
        <f t="shared" si="1074"/>
        <v>46873</v>
      </c>
      <c r="D2818" s="120">
        <f t="shared" si="1075"/>
        <v>30</v>
      </c>
      <c r="E2818" s="120">
        <f t="shared" si="1076"/>
        <v>4</v>
      </c>
      <c r="F2818" s="275">
        <f t="shared" si="1077"/>
        <v>46859</v>
      </c>
      <c r="G2818" s="120">
        <f t="shared" si="1078"/>
        <v>24339</v>
      </c>
      <c r="H2818" s="245">
        <f t="shared" si="1079"/>
        <v>1</v>
      </c>
      <c r="I2818" s="121">
        <f t="shared" si="1080"/>
        <v>1.1440000000000001</v>
      </c>
      <c r="J2818" s="121">
        <f t="shared" si="1081"/>
        <v>1.1440000000000001</v>
      </c>
      <c r="K2818" s="120">
        <f t="shared" si="1082"/>
        <v>0</v>
      </c>
      <c r="L2818" s="120">
        <f t="shared" si="1083"/>
        <v>0</v>
      </c>
      <c r="M2818" s="246">
        <f t="shared" si="1084"/>
        <v>0</v>
      </c>
      <c r="N2818" s="121">
        <f t="shared" si="1085"/>
        <v>1.1440000000000001</v>
      </c>
      <c r="O2818" s="246">
        <f t="shared" si="1086"/>
        <v>0.91500000000000004</v>
      </c>
      <c r="P2818" s="121">
        <f t="shared" si="1087"/>
        <v>0</v>
      </c>
      <c r="Q2818" s="121">
        <f t="shared" si="1088"/>
        <v>0</v>
      </c>
      <c r="R2818" s="121">
        <f t="shared" si="1089"/>
        <v>1</v>
      </c>
      <c r="S2818" s="121">
        <f t="shared" si="1090"/>
        <v>1.1377826086956522</v>
      </c>
      <c r="T2818" s="121">
        <f t="shared" si="1091"/>
        <v>1.1944303586718676</v>
      </c>
      <c r="U2818" s="121">
        <f t="shared" si="1092"/>
        <v>1.1944303586718676</v>
      </c>
    </row>
    <row r="2819" spans="1:21" x14ac:dyDescent="0.3">
      <c r="A2819" s="187">
        <v>41</v>
      </c>
      <c r="B2819" s="242">
        <f t="shared" si="1093"/>
        <v>46874</v>
      </c>
      <c r="C2819" s="243">
        <f t="shared" si="1074"/>
        <v>46904</v>
      </c>
      <c r="D2819" s="120">
        <f t="shared" si="1075"/>
        <v>31</v>
      </c>
      <c r="E2819" s="120">
        <f t="shared" si="1076"/>
        <v>5</v>
      </c>
      <c r="F2819" s="275">
        <f t="shared" si="1077"/>
        <v>46889.5</v>
      </c>
      <c r="G2819" s="120">
        <f t="shared" si="1078"/>
        <v>24340</v>
      </c>
      <c r="H2819" s="245">
        <f t="shared" si="1079"/>
        <v>1</v>
      </c>
      <c r="I2819" s="121">
        <f t="shared" si="1080"/>
        <v>1.1440000000000001</v>
      </c>
      <c r="J2819" s="121">
        <f t="shared" si="1081"/>
        <v>1.1440000000000001</v>
      </c>
      <c r="K2819" s="120">
        <f t="shared" si="1082"/>
        <v>0</v>
      </c>
      <c r="L2819" s="120">
        <f t="shared" si="1083"/>
        <v>0</v>
      </c>
      <c r="M2819" s="246">
        <f t="shared" si="1084"/>
        <v>0</v>
      </c>
      <c r="N2819" s="121">
        <f t="shared" si="1085"/>
        <v>1.1440000000000001</v>
      </c>
      <c r="O2819" s="246">
        <f t="shared" si="1086"/>
        <v>0.91500000000000004</v>
      </c>
      <c r="P2819" s="121">
        <f t="shared" si="1087"/>
        <v>0</v>
      </c>
      <c r="Q2819" s="121">
        <f t="shared" si="1088"/>
        <v>0</v>
      </c>
      <c r="R2819" s="121">
        <f t="shared" si="1089"/>
        <v>1</v>
      </c>
      <c r="S2819" s="121">
        <f t="shared" si="1090"/>
        <v>1.1377826086956522</v>
      </c>
      <c r="T2819" s="121">
        <f t="shared" si="1091"/>
        <v>1.1948692441252022</v>
      </c>
      <c r="U2819" s="121">
        <f t="shared" si="1092"/>
        <v>1.1948692441252022</v>
      </c>
    </row>
    <row r="2820" spans="1:21" x14ac:dyDescent="0.3">
      <c r="A2820" s="187">
        <v>42</v>
      </c>
      <c r="B2820" s="242">
        <f t="shared" si="1093"/>
        <v>46905</v>
      </c>
      <c r="C2820" s="243">
        <f t="shared" si="1074"/>
        <v>46934</v>
      </c>
      <c r="D2820" s="120">
        <f t="shared" si="1075"/>
        <v>30</v>
      </c>
      <c r="E2820" s="120">
        <f t="shared" si="1076"/>
        <v>6</v>
      </c>
      <c r="F2820" s="275">
        <f t="shared" si="1077"/>
        <v>46920</v>
      </c>
      <c r="G2820" s="120">
        <f t="shared" si="1078"/>
        <v>24341</v>
      </c>
      <c r="H2820" s="245">
        <f t="shared" si="1079"/>
        <v>1</v>
      </c>
      <c r="I2820" s="121">
        <f t="shared" si="1080"/>
        <v>1.1440000000000001</v>
      </c>
      <c r="J2820" s="121">
        <f t="shared" si="1081"/>
        <v>1.1440000000000001</v>
      </c>
      <c r="K2820" s="120">
        <f t="shared" si="1082"/>
        <v>0</v>
      </c>
      <c r="L2820" s="120">
        <f t="shared" si="1083"/>
        <v>0</v>
      </c>
      <c r="M2820" s="246">
        <f t="shared" si="1084"/>
        <v>0</v>
      </c>
      <c r="N2820" s="121">
        <f t="shared" si="1085"/>
        <v>1.1440000000000001</v>
      </c>
      <c r="O2820" s="246">
        <f t="shared" si="1086"/>
        <v>0.91500000000000004</v>
      </c>
      <c r="P2820" s="121">
        <f t="shared" si="1087"/>
        <v>0</v>
      </c>
      <c r="Q2820" s="121">
        <f t="shared" si="1088"/>
        <v>0</v>
      </c>
      <c r="R2820" s="121">
        <f t="shared" si="1089"/>
        <v>1</v>
      </c>
      <c r="S2820" s="121">
        <f t="shared" si="1090"/>
        <v>1.1377826086956522</v>
      </c>
      <c r="T2820" s="121">
        <f t="shared" si="1091"/>
        <v>1.195308129578537</v>
      </c>
      <c r="U2820" s="121">
        <f t="shared" si="1092"/>
        <v>1.195308129578537</v>
      </c>
    </row>
    <row r="2821" spans="1:21" x14ac:dyDescent="0.3">
      <c r="A2821" s="187">
        <v>43</v>
      </c>
      <c r="B2821" s="242">
        <f t="shared" si="1093"/>
        <v>46935</v>
      </c>
      <c r="C2821" s="243">
        <f t="shared" si="1074"/>
        <v>46965</v>
      </c>
      <c r="D2821" s="120">
        <f t="shared" si="1075"/>
        <v>31</v>
      </c>
      <c r="E2821" s="120">
        <f t="shared" si="1076"/>
        <v>7</v>
      </c>
      <c r="F2821" s="275">
        <f t="shared" si="1077"/>
        <v>46950.5</v>
      </c>
      <c r="G2821" s="120">
        <f t="shared" si="1078"/>
        <v>24342</v>
      </c>
      <c r="H2821" s="245">
        <f t="shared" si="1079"/>
        <v>1</v>
      </c>
      <c r="I2821" s="121">
        <f t="shared" si="1080"/>
        <v>1.1440000000000001</v>
      </c>
      <c r="J2821" s="121">
        <f t="shared" si="1081"/>
        <v>1.1440000000000001</v>
      </c>
      <c r="K2821" s="120">
        <f t="shared" si="1082"/>
        <v>0</v>
      </c>
      <c r="L2821" s="120">
        <f t="shared" si="1083"/>
        <v>0</v>
      </c>
      <c r="M2821" s="246">
        <f t="shared" si="1084"/>
        <v>0</v>
      </c>
      <c r="N2821" s="121">
        <f t="shared" si="1085"/>
        <v>1.1440000000000001</v>
      </c>
      <c r="O2821" s="246">
        <f t="shared" si="1086"/>
        <v>0.91500000000000004</v>
      </c>
      <c r="P2821" s="121">
        <f t="shared" si="1087"/>
        <v>0</v>
      </c>
      <c r="Q2821" s="121">
        <f t="shared" si="1088"/>
        <v>0</v>
      </c>
      <c r="R2821" s="121">
        <f t="shared" si="1089"/>
        <v>0.91666666666666663</v>
      </c>
      <c r="S2821" s="121">
        <f t="shared" si="1090"/>
        <v>1.1377826086956522</v>
      </c>
      <c r="T2821" s="121">
        <f t="shared" si="1091"/>
        <v>1.1957470150318716</v>
      </c>
      <c r="U2821" s="121">
        <f t="shared" si="1092"/>
        <v>1.1957470150318716</v>
      </c>
    </row>
    <row r="2822" spans="1:21" x14ac:dyDescent="0.3">
      <c r="A2822" s="187">
        <v>44</v>
      </c>
      <c r="B2822" s="242">
        <f t="shared" si="1093"/>
        <v>46966</v>
      </c>
      <c r="C2822" s="243">
        <f t="shared" si="1074"/>
        <v>46996</v>
      </c>
      <c r="D2822" s="120">
        <f t="shared" si="1075"/>
        <v>31</v>
      </c>
      <c r="E2822" s="120">
        <f t="shared" si="1076"/>
        <v>8</v>
      </c>
      <c r="F2822" s="275">
        <f t="shared" si="1077"/>
        <v>46981.5</v>
      </c>
      <c r="G2822" s="120">
        <f t="shared" si="1078"/>
        <v>24343</v>
      </c>
      <c r="H2822" s="245">
        <f t="shared" si="1079"/>
        <v>1</v>
      </c>
      <c r="I2822" s="121">
        <f t="shared" si="1080"/>
        <v>1.1440000000000001</v>
      </c>
      <c r="J2822" s="121">
        <f t="shared" si="1081"/>
        <v>1.1440000000000001</v>
      </c>
      <c r="K2822" s="120">
        <f t="shared" si="1082"/>
        <v>0</v>
      </c>
      <c r="L2822" s="120">
        <f t="shared" si="1083"/>
        <v>0</v>
      </c>
      <c r="M2822" s="246">
        <f t="shared" si="1084"/>
        <v>0</v>
      </c>
      <c r="N2822" s="121">
        <f t="shared" si="1085"/>
        <v>1.1440000000000001</v>
      </c>
      <c r="O2822" s="246">
        <f t="shared" si="1086"/>
        <v>0.91500000000000004</v>
      </c>
      <c r="P2822" s="121">
        <f t="shared" si="1087"/>
        <v>0</v>
      </c>
      <c r="Q2822" s="121">
        <f t="shared" si="1088"/>
        <v>0</v>
      </c>
      <c r="R2822" s="121">
        <f t="shared" si="1089"/>
        <v>0.75</v>
      </c>
      <c r="S2822" s="121">
        <f t="shared" si="1090"/>
        <v>1.1377826086956522</v>
      </c>
      <c r="T2822" s="121">
        <f t="shared" si="1091"/>
        <v>1.1961930953287032</v>
      </c>
      <c r="U2822" s="121">
        <f t="shared" si="1092"/>
        <v>1.1961930953287032</v>
      </c>
    </row>
    <row r="2823" spans="1:21" x14ac:dyDescent="0.3">
      <c r="A2823" s="187">
        <v>45</v>
      </c>
      <c r="B2823" s="242">
        <f t="shared" si="1093"/>
        <v>46997</v>
      </c>
      <c r="C2823" s="243">
        <f t="shared" si="1074"/>
        <v>47026</v>
      </c>
      <c r="D2823" s="120">
        <f t="shared" si="1075"/>
        <v>30</v>
      </c>
      <c r="E2823" s="120">
        <f t="shared" si="1076"/>
        <v>9</v>
      </c>
      <c r="F2823" s="275">
        <f t="shared" si="1077"/>
        <v>47012</v>
      </c>
      <c r="G2823" s="120">
        <f t="shared" si="1078"/>
        <v>24344</v>
      </c>
      <c r="H2823" s="245">
        <f t="shared" si="1079"/>
        <v>1</v>
      </c>
      <c r="I2823" s="121">
        <f t="shared" si="1080"/>
        <v>1.1440000000000001</v>
      </c>
      <c r="J2823" s="121">
        <f t="shared" si="1081"/>
        <v>1.1440000000000001</v>
      </c>
      <c r="K2823" s="120">
        <f t="shared" si="1082"/>
        <v>0</v>
      </c>
      <c r="L2823" s="120">
        <f t="shared" si="1083"/>
        <v>0</v>
      </c>
      <c r="M2823" s="246">
        <f t="shared" si="1084"/>
        <v>0</v>
      </c>
      <c r="N2823" s="121">
        <f t="shared" si="1085"/>
        <v>1.1440000000000001</v>
      </c>
      <c r="O2823" s="246">
        <f t="shared" si="1086"/>
        <v>0.91500000000000004</v>
      </c>
      <c r="P2823" s="121">
        <f t="shared" si="1087"/>
        <v>0</v>
      </c>
      <c r="Q2823" s="121">
        <f t="shared" si="1088"/>
        <v>0</v>
      </c>
      <c r="R2823" s="121">
        <f t="shared" si="1089"/>
        <v>0.58333333333333337</v>
      </c>
      <c r="S2823" s="121">
        <f t="shared" si="1090"/>
        <v>1.1377826086956522</v>
      </c>
      <c r="T2823" s="121">
        <f t="shared" si="1091"/>
        <v>1.196631980782038</v>
      </c>
      <c r="U2823" s="121">
        <f t="shared" si="1092"/>
        <v>1.196631980782038</v>
      </c>
    </row>
    <row r="2824" spans="1:21" x14ac:dyDescent="0.3">
      <c r="A2824" s="187">
        <v>46</v>
      </c>
      <c r="B2824" s="242">
        <f t="shared" si="1093"/>
        <v>47027</v>
      </c>
      <c r="C2824" s="243">
        <f t="shared" si="1074"/>
        <v>47057</v>
      </c>
      <c r="D2824" s="120">
        <f t="shared" si="1075"/>
        <v>31</v>
      </c>
      <c r="E2824" s="120">
        <f t="shared" si="1076"/>
        <v>10</v>
      </c>
      <c r="F2824" s="275">
        <f t="shared" si="1077"/>
        <v>47042.5</v>
      </c>
      <c r="G2824" s="120">
        <f t="shared" si="1078"/>
        <v>24345</v>
      </c>
      <c r="H2824" s="245">
        <f t="shared" si="1079"/>
        <v>1</v>
      </c>
      <c r="I2824" s="121">
        <f t="shared" si="1080"/>
        <v>1.1440000000000001</v>
      </c>
      <c r="J2824" s="121">
        <f t="shared" si="1081"/>
        <v>1.1440000000000001</v>
      </c>
      <c r="K2824" s="120">
        <f t="shared" si="1082"/>
        <v>0</v>
      </c>
      <c r="L2824" s="120">
        <f t="shared" si="1083"/>
        <v>0</v>
      </c>
      <c r="M2824" s="246">
        <f t="shared" si="1084"/>
        <v>0</v>
      </c>
      <c r="N2824" s="121">
        <f t="shared" si="1085"/>
        <v>1.1440000000000001</v>
      </c>
      <c r="O2824" s="246">
        <f t="shared" si="1086"/>
        <v>0.91500000000000004</v>
      </c>
      <c r="P2824" s="121">
        <f t="shared" si="1087"/>
        <v>0</v>
      </c>
      <c r="Q2824" s="121">
        <f t="shared" si="1088"/>
        <v>0</v>
      </c>
      <c r="R2824" s="121">
        <f t="shared" si="1089"/>
        <v>0.41666666666666669</v>
      </c>
      <c r="S2824" s="121">
        <f t="shared" si="1090"/>
        <v>1.1377826086956522</v>
      </c>
      <c r="T2824" s="121">
        <f t="shared" si="1091"/>
        <v>1.3167779528589103</v>
      </c>
      <c r="U2824" s="121">
        <f t="shared" si="1092"/>
        <v>1.3167779528589103</v>
      </c>
    </row>
    <row r="2825" spans="1:21" x14ac:dyDescent="0.3">
      <c r="A2825" s="187">
        <v>47</v>
      </c>
      <c r="B2825" s="242">
        <f t="shared" si="1093"/>
        <v>47058</v>
      </c>
      <c r="C2825" s="243">
        <f t="shared" si="1074"/>
        <v>47087</v>
      </c>
      <c r="D2825" s="120">
        <f t="shared" si="1075"/>
        <v>30</v>
      </c>
      <c r="E2825" s="120">
        <f t="shared" si="1076"/>
        <v>11</v>
      </c>
      <c r="F2825" s="275">
        <f t="shared" si="1077"/>
        <v>47073</v>
      </c>
      <c r="G2825" s="120">
        <f t="shared" si="1078"/>
        <v>24346</v>
      </c>
      <c r="H2825" s="245">
        <f t="shared" si="1079"/>
        <v>1</v>
      </c>
      <c r="I2825" s="121">
        <f t="shared" si="1080"/>
        <v>1.1440000000000001</v>
      </c>
      <c r="J2825" s="121">
        <f t="shared" si="1081"/>
        <v>1.1440000000000001</v>
      </c>
      <c r="K2825" s="120">
        <f t="shared" si="1082"/>
        <v>0</v>
      </c>
      <c r="L2825" s="120">
        <f t="shared" si="1083"/>
        <v>0</v>
      </c>
      <c r="M2825" s="246">
        <f t="shared" si="1084"/>
        <v>0</v>
      </c>
      <c r="N2825" s="121">
        <f t="shared" si="1085"/>
        <v>1.1440000000000001</v>
      </c>
      <c r="O2825" s="246">
        <f t="shared" si="1086"/>
        <v>0.91500000000000004</v>
      </c>
      <c r="P2825" s="121">
        <f t="shared" si="1087"/>
        <v>0</v>
      </c>
      <c r="Q2825" s="121">
        <f t="shared" si="1088"/>
        <v>0</v>
      </c>
      <c r="R2825" s="121">
        <f t="shared" si="1089"/>
        <v>0.25</v>
      </c>
      <c r="S2825" s="121">
        <f t="shared" si="1090"/>
        <v>1.1377826086956522</v>
      </c>
      <c r="T2825" s="121">
        <f t="shared" si="1091"/>
        <v>1.317260726857578</v>
      </c>
      <c r="U2825" s="121">
        <f t="shared" si="1092"/>
        <v>1.317260726857578</v>
      </c>
    </row>
    <row r="2826" spans="1:21" x14ac:dyDescent="0.3">
      <c r="A2826" s="187">
        <v>48</v>
      </c>
      <c r="B2826" s="242">
        <f t="shared" si="1093"/>
        <v>47088</v>
      </c>
      <c r="C2826" s="243">
        <f t="shared" si="1074"/>
        <v>47118</v>
      </c>
      <c r="D2826" s="120">
        <f t="shared" si="1075"/>
        <v>31</v>
      </c>
      <c r="E2826" s="120">
        <f t="shared" si="1076"/>
        <v>12</v>
      </c>
      <c r="F2826" s="275">
        <f t="shared" si="1077"/>
        <v>47103.5</v>
      </c>
      <c r="G2826" s="120">
        <f t="shared" si="1078"/>
        <v>24347</v>
      </c>
      <c r="H2826" s="245">
        <f t="shared" si="1079"/>
        <v>1</v>
      </c>
      <c r="I2826" s="121">
        <f t="shared" si="1080"/>
        <v>1.1440000000000001</v>
      </c>
      <c r="J2826" s="121">
        <f t="shared" si="1081"/>
        <v>1.1440000000000001</v>
      </c>
      <c r="K2826" s="120">
        <f t="shared" si="1082"/>
        <v>0</v>
      </c>
      <c r="L2826" s="120">
        <f t="shared" si="1083"/>
        <v>0</v>
      </c>
      <c r="M2826" s="246">
        <f t="shared" si="1084"/>
        <v>0</v>
      </c>
      <c r="N2826" s="121">
        <f t="shared" si="1085"/>
        <v>1.1440000000000001</v>
      </c>
      <c r="O2826" s="246">
        <f t="shared" si="1086"/>
        <v>0.91500000000000004</v>
      </c>
      <c r="P2826" s="121">
        <f t="shared" si="1087"/>
        <v>0</v>
      </c>
      <c r="Q2826" s="121">
        <f t="shared" si="1088"/>
        <v>0</v>
      </c>
      <c r="R2826" s="121">
        <f t="shared" si="1089"/>
        <v>8.3333333333333329E-2</v>
      </c>
      <c r="S2826" s="121">
        <f t="shared" si="1090"/>
        <v>1.1377826086956522</v>
      </c>
      <c r="T2826" s="121">
        <f t="shared" si="1091"/>
        <v>1.3177435008562461</v>
      </c>
      <c r="U2826" s="121">
        <f t="shared" si="1092"/>
        <v>1.3177435008562461</v>
      </c>
    </row>
    <row r="2827" spans="1:21" x14ac:dyDescent="0.3">
      <c r="A2827" s="6" t="s">
        <v>1651</v>
      </c>
      <c r="B2827" s="73">
        <f>EXP(SUMPRODUCT((rl_key=$A$2776)*(rl_cons="Y")*rl_ln1p))</f>
        <v>1</v>
      </c>
      <c r="C2827" s="73">
        <f>SUMPRODUCT($H$2779:$H$2826,$P$2779:$P$2826,$U$2779:$U$2826)/SUMPRODUCT($H$2779:$H$2826,$P$2779:$P$2826)</f>
        <v>0.99314407062971088</v>
      </c>
      <c r="D2827" s="73">
        <f>SUMPRODUCT($H$2779:$H$2826,$Q$2779:$Q$2826,$U$2779:$U$2826)/SUMPRODUCT($H$2779:$H$2826,$Q$2779:$Q$2826)</f>
        <v>1.0874724808798193</v>
      </c>
      <c r="E2827" s="73">
        <f>SUMPRODUCT($H$2779:$H$2826,$R$2779:$R$2826,$U$2779:$U$2826)/SUMPRODUCT($H$2779:$H$2826,$R$2779:$R$2826)</f>
        <v>1.1962197289678012</v>
      </c>
      <c r="F2827" s="224">
        <f>SUMPRODUCT($H$2779:$H$2826,$Q$2779:$Q$2826,$O$2779:$O$2826)/SUMPRODUCT($H$2779:$H$2826,$Q$2779:$Q$2826)</f>
        <v>0.91199626185266247</v>
      </c>
      <c r="G2827" s="224">
        <f>SUMPRODUCT($H$2779:$H$2826,$R$2779:$R$2826,$O$2779:$O$2826)/SUMPRODUCT($H$2779:$H$2826,$R$2779:$R$2826)</f>
        <v>0.91483011184050556</v>
      </c>
      <c r="H2827" s="73">
        <f>SUMPRODUCT($H$2803:$H$2814,$N$2803:$N$2814/$N$2791:$N$2802)/SUM($H$2803:$H$2814)</f>
        <v>1.107</v>
      </c>
      <c r="I2827" s="73">
        <f>SUMPRODUCT($H$2803:$H$2814,$O$2803:$O$2814/$O$2791:$O$2802)/SUM($H$2803:$H$2814)</f>
        <v>1.0043932196204437</v>
      </c>
      <c r="J2827" s="73">
        <f>IF($O$2776=1,SUMPRODUCT($H$2803:$H$2814,$N$2803:$N$2814/$N$2791:$N$2802*$O$2803:$O$2814/$O$2791:$O$2802)/SUM($H$2803:$H$2814),$H2827)</f>
        <v>1.1118634031573984</v>
      </c>
      <c r="K2827" s="73">
        <f>SUMPRODUCT($H$2779:$H$2826,$Q$2779:$Q$2826,$N$2779:$N$2826)/SUMPRODUCT($H$2779:$H$2826,$Q$2779:$Q$2826)</f>
        <v>1.11575</v>
      </c>
      <c r="L2827" s="73">
        <f>SUMPRODUCT($H$2779:$H$2826,$R$2779:$R$2826,$N$2779:$N$2826)/SUMPRODUCT($H$2779:$H$2826,$R$2779:$R$2826)</f>
        <v>1.1440000000000001</v>
      </c>
    </row>
    <row r="2830" spans="1:21" x14ac:dyDescent="0.3">
      <c r="A2830" s="6" t="str">
        <f>INDEX(lr_key,52)</f>
        <v>SBA|MD</v>
      </c>
      <c r="B2830" s="6" t="str">
        <f>INDEX(lr_state,52)</f>
        <v>MD</v>
      </c>
      <c r="C2830" s="75">
        <f>nr_TermMonths</f>
        <v>6</v>
      </c>
      <c r="D2830" s="75">
        <f>IF(COUNTIF(se_state,$B2830)=0,0,MATCH($B2830,se_state,0))</f>
        <v>0</v>
      </c>
      <c r="E2830" s="70">
        <f>IF($D2830=0,0,INDEX(se_sum,$D2830))</f>
        <v>0</v>
      </c>
      <c r="F2830" s="224">
        <f>IF(N(INDEX(lr_mind,52))=0,1,INDEX(lr_mind,52))</f>
        <v>0.92</v>
      </c>
      <c r="G2830" s="224">
        <f>IF(N(INDEX(lr_m0,52))=0,1,INDEX(lr_m0,52))</f>
        <v>0.91</v>
      </c>
      <c r="H2830" s="74">
        <f>IF(N(INDEX(lr_m0asof,52))=0,DATE(nr_PlanYear-1,10,1),INDEX(lr_m0asof,52))</f>
        <v>46295</v>
      </c>
      <c r="I2830" s="224">
        <f>IF(N(INDEX(lr_m1,52))=0,1,INDEX(lr_m1,52))</f>
        <v>0.93</v>
      </c>
      <c r="J2830" s="224">
        <f>INDEX(lr_mprior,52)</f>
        <v>0</v>
      </c>
      <c r="K2830" s="224">
        <f>INDEX(lr_m2,52)</f>
        <v>0</v>
      </c>
      <c r="L2830" s="6" t="b">
        <f>NOT(ISBLANK(INDEX(lr_netp,52)))</f>
        <v>0</v>
      </c>
      <c r="M2830" s="72">
        <f>N(INDEX(lr_netp,52))</f>
        <v>0</v>
      </c>
      <c r="N2830" s="72">
        <f>IF(ISBLANK(INDEX(lr_netp1,52)),$M$2830,N(INDEX(lr_netp1,52)))</f>
        <v>0</v>
      </c>
      <c r="O2830" s="75">
        <f>IF(AND(nr_ModAdjMaster="ON",INDEX(lr_modadj,52)="ON"),1,0)</f>
        <v>1</v>
      </c>
    </row>
    <row r="2831" spans="1:21" x14ac:dyDescent="0.3">
      <c r="A2831" s="6">
        <f>EDATE($H$2830,-12)+1</f>
        <v>45931</v>
      </c>
      <c r="B2831" s="6">
        <f>$H$2830+1</f>
        <v>46296</v>
      </c>
      <c r="C2831" s="6">
        <f>DATE(nr_PlanYear,12,31)+1</f>
        <v>46753</v>
      </c>
      <c r="D2831" s="6">
        <f>DATE(nr_PlanYear+1,12,31)+1</f>
        <v>47119</v>
      </c>
      <c r="E2831" s="6">
        <f>IF(N($J$2830)=0,$F$2831-($G$2831-$F$2831)/($C$2831-$B$2831)*($B$2831-$A$2831),$J$2830)</f>
        <v>0.89402625820568926</v>
      </c>
      <c r="F2831" s="6">
        <f>$G$2830</f>
        <v>0.91</v>
      </c>
      <c r="G2831" s="6">
        <f>$I$2830</f>
        <v>0.93</v>
      </c>
      <c r="H2831" s="6">
        <f>IF(N($K$2830)=0,$I$2830,$K$2830)</f>
        <v>0.93</v>
      </c>
      <c r="I2831" s="6">
        <f>($F$2831-$E$2831)/($B$2831-$A$2831)</f>
        <v>4.3763676148796628E-5</v>
      </c>
      <c r="J2831" s="6">
        <f>($G$2831-$F$2831)/($C$2831-$B$2831)</f>
        <v>4.376367614879654E-5</v>
      </c>
      <c r="K2831" s="6">
        <f>($H$2831-$G$2831)/($D$2831-$C$2831)</f>
        <v>0</v>
      </c>
    </row>
    <row r="2832" spans="1:21" ht="36" x14ac:dyDescent="0.3">
      <c r="A2832" s="58" t="s">
        <v>390</v>
      </c>
      <c r="B2832" s="58" t="s">
        <v>449</v>
      </c>
      <c r="C2832" s="58" t="s">
        <v>685</v>
      </c>
      <c r="D2832" s="58" t="s">
        <v>686</v>
      </c>
      <c r="E2832" s="58" t="s">
        <v>687</v>
      </c>
      <c r="F2832" s="58" t="s">
        <v>688</v>
      </c>
      <c r="G2832" s="58" t="s">
        <v>689</v>
      </c>
      <c r="H2832" s="58" t="s">
        <v>452</v>
      </c>
      <c r="I2832" s="58" t="s">
        <v>690</v>
      </c>
      <c r="J2832" s="58" t="s">
        <v>691</v>
      </c>
      <c r="K2832" s="58" t="s">
        <v>692</v>
      </c>
      <c r="L2832" s="58" t="s">
        <v>693</v>
      </c>
      <c r="M2832" s="58" t="s">
        <v>694</v>
      </c>
      <c r="N2832" s="58" t="s">
        <v>695</v>
      </c>
      <c r="O2832" s="58" t="s">
        <v>696</v>
      </c>
      <c r="P2832" s="58" t="s">
        <v>697</v>
      </c>
      <c r="Q2832" s="58" t="s">
        <v>698</v>
      </c>
      <c r="R2832" s="58" t="s">
        <v>699</v>
      </c>
      <c r="S2832" s="58" t="s">
        <v>700</v>
      </c>
      <c r="T2832" s="58" t="s">
        <v>701</v>
      </c>
      <c r="U2832" s="58" t="s">
        <v>702</v>
      </c>
    </row>
    <row r="2833" spans="1:21" x14ac:dyDescent="0.3">
      <c r="A2833" s="187">
        <v>1</v>
      </c>
      <c r="B2833" s="242">
        <f>DATE(nr_PlanYear-2,1,1)</f>
        <v>45658</v>
      </c>
      <c r="C2833" s="243">
        <f t="shared" ref="C2833:C2880" si="1094">EOMONTH($B2833,0)</f>
        <v>45688</v>
      </c>
      <c r="D2833" s="120">
        <f t="shared" ref="D2833:D2880" si="1095">$C2833-$B2833+1</f>
        <v>31</v>
      </c>
      <c r="E2833" s="120">
        <f t="shared" ref="E2833:E2880" si="1096">MONTH($B2833)</f>
        <v>1</v>
      </c>
      <c r="F2833" s="275">
        <f t="shared" ref="F2833:F2880" si="1097">($B2833+$C2833+1)/2</f>
        <v>45673.5</v>
      </c>
      <c r="G2833" s="120">
        <f t="shared" ref="G2833:G2880" si="1098">YEAR($B2833)*12+MONTH($B2833)-1</f>
        <v>24300</v>
      </c>
      <c r="H2833" s="245">
        <f t="shared" ref="H2833:H2880" si="1099">IF(OR(nr_SeasonOn="OFF",$D$2830=0,$E$2830=0),1,12*INDEX(se_block,$D$2830,$E2833)/$E$2830)</f>
        <v>1</v>
      </c>
      <c r="I2833" s="121">
        <f t="shared" ref="I2833:I2880" si="1100">EXP(SUMPRODUCT((rl_eff&lt;$B2833)*(rl_key=$A$2830)*rl_ln1p))</f>
        <v>1</v>
      </c>
      <c r="J2833" s="121">
        <f t="shared" ref="J2833:J2880" si="1101">EXP(SUMPRODUCT((rl_eff&lt;=$C2833)*(rl_key=$A$2830)*rl_ln1p))</f>
        <v>1</v>
      </c>
      <c r="K2833" s="120">
        <f t="shared" ref="K2833:K2880" si="1102">COUNTIFS(rl_key,$A$2830,rl_eff,"&gt;="&amp;$B2833,rl_eff,"&lt;="&amp;$C2833)</f>
        <v>0</v>
      </c>
      <c r="L2833" s="120">
        <f t="shared" ref="L2833:L2880" si="1103">SUMIFS(rl_daysafter,rl_key,$A$2830,rl_effmonth,$B2833,rl_first,1)</f>
        <v>0</v>
      </c>
      <c r="M2833" s="246">
        <f t="shared" ref="M2833:M2880" si="1104">IF($K2833=0,0,MIN(1,$L2833/$D2833))</f>
        <v>0</v>
      </c>
      <c r="N2833" s="121">
        <f t="shared" ref="N2833:N2880" si="1105">IF($K2833=0,$J2833,(1-$M2833)*$I2833+$M2833*$J2833)</f>
        <v>1</v>
      </c>
      <c r="O2833" s="246">
        <f t="shared" ref="O2833:O2880" si="1106">IF($F2833&lt;$B$2831,$E$2831+$I$2831*($F2833-$A$2831),IF($F2833&lt;$C$2831,$F$2831+$J$2831*($F2833-$B$2831),$G$2831+$K$2831*($F2833-$C$2831)))</f>
        <v>0.88275711159737413</v>
      </c>
      <c r="P2833" s="121">
        <f t="shared" ref="P2833:P2880" si="1107">MIN(1,MAX(0,(nr_MEndPm1-$G2833+0.5)/$C$2830))-MIN(1,MAX(0,(nr_MStartPm1-1-$G2833+0.5)/$C$2830))</f>
        <v>0</v>
      </c>
      <c r="Q2833" s="121">
        <f t="shared" ref="Q2833:Q2880" si="1108">MIN(1,MAX(0,(nr_MEndP-$G2833+0.5)/$C$2830))-MIN(1,MAX(0,(nr_MStartP-1-$G2833+0.5)/$C$2830))</f>
        <v>0</v>
      </c>
      <c r="R2833" s="121">
        <f t="shared" ref="R2833:R2880" si="1109">MIN(1,MAX(0,(nr_MEndP1-$G2833+0.5)/$C$2830))-MIN(1,MAX(0,(nr_MStartP1-1-$G2833+0.5)/$C$2830))</f>
        <v>0</v>
      </c>
      <c r="S2833" s="121" t="str">
        <f t="shared" ref="S2833:S2880" si="1110">IF($L$2830,$N2833*IF($O$2830=1,$O2833/$F$2830,1),"")</f>
        <v/>
      </c>
      <c r="T2833" s="121" t="str">
        <f t="shared" ref="T2833:T2880" si="1111">IF(NOT($L$2830),"",IF($G2833&lt;nr_MStartP,$S2833,$T2821*(1+IF($G2833&lt;nr_MStartP1,$M$2830,$N$2830))))</f>
        <v/>
      </c>
      <c r="U2833" s="121">
        <f t="shared" ref="U2833:U2880" si="1112">IF($L$2830,$T2833,$N2833)</f>
        <v>1</v>
      </c>
    </row>
    <row r="2834" spans="1:21" x14ac:dyDescent="0.3">
      <c r="A2834" s="187">
        <v>2</v>
      </c>
      <c r="B2834" s="242">
        <f t="shared" ref="B2834:B2880" si="1113">EDATE($B2833,1)</f>
        <v>45689</v>
      </c>
      <c r="C2834" s="243">
        <f t="shared" si="1094"/>
        <v>45716</v>
      </c>
      <c r="D2834" s="120">
        <f t="shared" si="1095"/>
        <v>28</v>
      </c>
      <c r="E2834" s="120">
        <f t="shared" si="1096"/>
        <v>2</v>
      </c>
      <c r="F2834" s="275">
        <f t="shared" si="1097"/>
        <v>45703</v>
      </c>
      <c r="G2834" s="120">
        <f t="shared" si="1098"/>
        <v>24301</v>
      </c>
      <c r="H2834" s="245">
        <f t="shared" si="1099"/>
        <v>1</v>
      </c>
      <c r="I2834" s="121">
        <f t="shared" si="1100"/>
        <v>1</v>
      </c>
      <c r="J2834" s="121">
        <f t="shared" si="1101"/>
        <v>1</v>
      </c>
      <c r="K2834" s="120">
        <f t="shared" si="1102"/>
        <v>0</v>
      </c>
      <c r="L2834" s="120">
        <f t="shared" si="1103"/>
        <v>0</v>
      </c>
      <c r="M2834" s="246">
        <f t="shared" si="1104"/>
        <v>0</v>
      </c>
      <c r="N2834" s="121">
        <f t="shared" si="1105"/>
        <v>1</v>
      </c>
      <c r="O2834" s="246">
        <f t="shared" si="1106"/>
        <v>0.88404814004376364</v>
      </c>
      <c r="P2834" s="121">
        <f t="shared" si="1107"/>
        <v>0</v>
      </c>
      <c r="Q2834" s="121">
        <f t="shared" si="1108"/>
        <v>0</v>
      </c>
      <c r="R2834" s="121">
        <f t="shared" si="1109"/>
        <v>0</v>
      </c>
      <c r="S2834" s="121" t="str">
        <f t="shared" si="1110"/>
        <v/>
      </c>
      <c r="T2834" s="121" t="str">
        <f t="shared" si="1111"/>
        <v/>
      </c>
      <c r="U2834" s="121">
        <f t="shared" si="1112"/>
        <v>1</v>
      </c>
    </row>
    <row r="2835" spans="1:21" x14ac:dyDescent="0.3">
      <c r="A2835" s="187">
        <v>3</v>
      </c>
      <c r="B2835" s="242">
        <f t="shared" si="1113"/>
        <v>45717</v>
      </c>
      <c r="C2835" s="243">
        <f t="shared" si="1094"/>
        <v>45747</v>
      </c>
      <c r="D2835" s="120">
        <f t="shared" si="1095"/>
        <v>31</v>
      </c>
      <c r="E2835" s="120">
        <f t="shared" si="1096"/>
        <v>3</v>
      </c>
      <c r="F2835" s="275">
        <f t="shared" si="1097"/>
        <v>45732.5</v>
      </c>
      <c r="G2835" s="120">
        <f t="shared" si="1098"/>
        <v>24302</v>
      </c>
      <c r="H2835" s="245">
        <f t="shared" si="1099"/>
        <v>1</v>
      </c>
      <c r="I2835" s="121">
        <f t="shared" si="1100"/>
        <v>1</v>
      </c>
      <c r="J2835" s="121">
        <f t="shared" si="1101"/>
        <v>1</v>
      </c>
      <c r="K2835" s="120">
        <f t="shared" si="1102"/>
        <v>0</v>
      </c>
      <c r="L2835" s="120">
        <f t="shared" si="1103"/>
        <v>0</v>
      </c>
      <c r="M2835" s="246">
        <f t="shared" si="1104"/>
        <v>0</v>
      </c>
      <c r="N2835" s="121">
        <f t="shared" si="1105"/>
        <v>1</v>
      </c>
      <c r="O2835" s="246">
        <f t="shared" si="1106"/>
        <v>0.88533916849015315</v>
      </c>
      <c r="P2835" s="121">
        <f t="shared" si="1107"/>
        <v>0</v>
      </c>
      <c r="Q2835" s="121">
        <f t="shared" si="1108"/>
        <v>0</v>
      </c>
      <c r="R2835" s="121">
        <f t="shared" si="1109"/>
        <v>0</v>
      </c>
      <c r="S2835" s="121" t="str">
        <f t="shared" si="1110"/>
        <v/>
      </c>
      <c r="T2835" s="121" t="str">
        <f t="shared" si="1111"/>
        <v/>
      </c>
      <c r="U2835" s="121">
        <f t="shared" si="1112"/>
        <v>1</v>
      </c>
    </row>
    <row r="2836" spans="1:21" x14ac:dyDescent="0.3">
      <c r="A2836" s="187">
        <v>4</v>
      </c>
      <c r="B2836" s="242">
        <f t="shared" si="1113"/>
        <v>45748</v>
      </c>
      <c r="C2836" s="243">
        <f t="shared" si="1094"/>
        <v>45777</v>
      </c>
      <c r="D2836" s="120">
        <f t="shared" si="1095"/>
        <v>30</v>
      </c>
      <c r="E2836" s="120">
        <f t="shared" si="1096"/>
        <v>4</v>
      </c>
      <c r="F2836" s="275">
        <f t="shared" si="1097"/>
        <v>45763</v>
      </c>
      <c r="G2836" s="120">
        <f t="shared" si="1098"/>
        <v>24303</v>
      </c>
      <c r="H2836" s="245">
        <f t="shared" si="1099"/>
        <v>1</v>
      </c>
      <c r="I2836" s="121">
        <f t="shared" si="1100"/>
        <v>1</v>
      </c>
      <c r="J2836" s="121">
        <f t="shared" si="1101"/>
        <v>1</v>
      </c>
      <c r="K2836" s="120">
        <f t="shared" si="1102"/>
        <v>0</v>
      </c>
      <c r="L2836" s="120">
        <f t="shared" si="1103"/>
        <v>0</v>
      </c>
      <c r="M2836" s="246">
        <f t="shared" si="1104"/>
        <v>0</v>
      </c>
      <c r="N2836" s="121">
        <f t="shared" si="1105"/>
        <v>1</v>
      </c>
      <c r="O2836" s="246">
        <f t="shared" si="1106"/>
        <v>0.88667396061269144</v>
      </c>
      <c r="P2836" s="121">
        <f t="shared" si="1107"/>
        <v>0</v>
      </c>
      <c r="Q2836" s="121">
        <f t="shared" si="1108"/>
        <v>0</v>
      </c>
      <c r="R2836" s="121">
        <f t="shared" si="1109"/>
        <v>0</v>
      </c>
      <c r="S2836" s="121" t="str">
        <f t="shared" si="1110"/>
        <v/>
      </c>
      <c r="T2836" s="121" t="str">
        <f t="shared" si="1111"/>
        <v/>
      </c>
      <c r="U2836" s="121">
        <f t="shared" si="1112"/>
        <v>1</v>
      </c>
    </row>
    <row r="2837" spans="1:21" x14ac:dyDescent="0.3">
      <c r="A2837" s="187">
        <v>5</v>
      </c>
      <c r="B2837" s="242">
        <f t="shared" si="1113"/>
        <v>45778</v>
      </c>
      <c r="C2837" s="243">
        <f t="shared" si="1094"/>
        <v>45808</v>
      </c>
      <c r="D2837" s="120">
        <f t="shared" si="1095"/>
        <v>31</v>
      </c>
      <c r="E2837" s="120">
        <f t="shared" si="1096"/>
        <v>5</v>
      </c>
      <c r="F2837" s="275">
        <f t="shared" si="1097"/>
        <v>45793.5</v>
      </c>
      <c r="G2837" s="120">
        <f t="shared" si="1098"/>
        <v>24304</v>
      </c>
      <c r="H2837" s="245">
        <f t="shared" si="1099"/>
        <v>1</v>
      </c>
      <c r="I2837" s="121">
        <f t="shared" si="1100"/>
        <v>1</v>
      </c>
      <c r="J2837" s="121">
        <f t="shared" si="1101"/>
        <v>1</v>
      </c>
      <c r="K2837" s="120">
        <f t="shared" si="1102"/>
        <v>0</v>
      </c>
      <c r="L2837" s="120">
        <f t="shared" si="1103"/>
        <v>0</v>
      </c>
      <c r="M2837" s="246">
        <f t="shared" si="1104"/>
        <v>0</v>
      </c>
      <c r="N2837" s="121">
        <f t="shared" si="1105"/>
        <v>1</v>
      </c>
      <c r="O2837" s="246">
        <f t="shared" si="1106"/>
        <v>0.88800875273522972</v>
      </c>
      <c r="P2837" s="121">
        <f t="shared" si="1107"/>
        <v>0</v>
      </c>
      <c r="Q2837" s="121">
        <f t="shared" si="1108"/>
        <v>0</v>
      </c>
      <c r="R2837" s="121">
        <f t="shared" si="1109"/>
        <v>0</v>
      </c>
      <c r="S2837" s="121" t="str">
        <f t="shared" si="1110"/>
        <v/>
      </c>
      <c r="T2837" s="121" t="str">
        <f t="shared" si="1111"/>
        <v/>
      </c>
      <c r="U2837" s="121">
        <f t="shared" si="1112"/>
        <v>1</v>
      </c>
    </row>
    <row r="2838" spans="1:21" x14ac:dyDescent="0.3">
      <c r="A2838" s="187">
        <v>6</v>
      </c>
      <c r="B2838" s="242">
        <f t="shared" si="1113"/>
        <v>45809</v>
      </c>
      <c r="C2838" s="243">
        <f t="shared" si="1094"/>
        <v>45838</v>
      </c>
      <c r="D2838" s="120">
        <f t="shared" si="1095"/>
        <v>30</v>
      </c>
      <c r="E2838" s="120">
        <f t="shared" si="1096"/>
        <v>6</v>
      </c>
      <c r="F2838" s="275">
        <f t="shared" si="1097"/>
        <v>45824</v>
      </c>
      <c r="G2838" s="120">
        <f t="shared" si="1098"/>
        <v>24305</v>
      </c>
      <c r="H2838" s="245">
        <f t="shared" si="1099"/>
        <v>1</v>
      </c>
      <c r="I2838" s="121">
        <f t="shared" si="1100"/>
        <v>1</v>
      </c>
      <c r="J2838" s="121">
        <f t="shared" si="1101"/>
        <v>1</v>
      </c>
      <c r="K2838" s="120">
        <f t="shared" si="1102"/>
        <v>0</v>
      </c>
      <c r="L2838" s="120">
        <f t="shared" si="1103"/>
        <v>0</v>
      </c>
      <c r="M2838" s="246">
        <f t="shared" si="1104"/>
        <v>0</v>
      </c>
      <c r="N2838" s="121">
        <f t="shared" si="1105"/>
        <v>1</v>
      </c>
      <c r="O2838" s="246">
        <f t="shared" si="1106"/>
        <v>0.88934354485776801</v>
      </c>
      <c r="P2838" s="121">
        <f t="shared" si="1107"/>
        <v>0</v>
      </c>
      <c r="Q2838" s="121">
        <f t="shared" si="1108"/>
        <v>0</v>
      </c>
      <c r="R2838" s="121">
        <f t="shared" si="1109"/>
        <v>0</v>
      </c>
      <c r="S2838" s="121" t="str">
        <f t="shared" si="1110"/>
        <v/>
      </c>
      <c r="T2838" s="121" t="str">
        <f t="shared" si="1111"/>
        <v/>
      </c>
      <c r="U2838" s="121">
        <f t="shared" si="1112"/>
        <v>1</v>
      </c>
    </row>
    <row r="2839" spans="1:21" x14ac:dyDescent="0.3">
      <c r="A2839" s="187">
        <v>7</v>
      </c>
      <c r="B2839" s="242">
        <f t="shared" si="1113"/>
        <v>45839</v>
      </c>
      <c r="C2839" s="243">
        <f t="shared" si="1094"/>
        <v>45869</v>
      </c>
      <c r="D2839" s="120">
        <f t="shared" si="1095"/>
        <v>31</v>
      </c>
      <c r="E2839" s="120">
        <f t="shared" si="1096"/>
        <v>7</v>
      </c>
      <c r="F2839" s="275">
        <f t="shared" si="1097"/>
        <v>45854.5</v>
      </c>
      <c r="G2839" s="120">
        <f t="shared" si="1098"/>
        <v>24306</v>
      </c>
      <c r="H2839" s="245">
        <f t="shared" si="1099"/>
        <v>1</v>
      </c>
      <c r="I2839" s="121">
        <f t="shared" si="1100"/>
        <v>1</v>
      </c>
      <c r="J2839" s="121">
        <f t="shared" si="1101"/>
        <v>1</v>
      </c>
      <c r="K2839" s="120">
        <f t="shared" si="1102"/>
        <v>0</v>
      </c>
      <c r="L2839" s="120">
        <f t="shared" si="1103"/>
        <v>0</v>
      </c>
      <c r="M2839" s="246">
        <f t="shared" si="1104"/>
        <v>0</v>
      </c>
      <c r="N2839" s="121">
        <f t="shared" si="1105"/>
        <v>1</v>
      </c>
      <c r="O2839" s="246">
        <f t="shared" si="1106"/>
        <v>0.8906783369803063</v>
      </c>
      <c r="P2839" s="121">
        <f t="shared" si="1107"/>
        <v>8.333333333333337E-2</v>
      </c>
      <c r="Q2839" s="121">
        <f t="shared" si="1108"/>
        <v>0</v>
      </c>
      <c r="R2839" s="121">
        <f t="shared" si="1109"/>
        <v>0</v>
      </c>
      <c r="S2839" s="121" t="str">
        <f t="shared" si="1110"/>
        <v/>
      </c>
      <c r="T2839" s="121" t="str">
        <f t="shared" si="1111"/>
        <v/>
      </c>
      <c r="U2839" s="121">
        <f t="shared" si="1112"/>
        <v>1</v>
      </c>
    </row>
    <row r="2840" spans="1:21" x14ac:dyDescent="0.3">
      <c r="A2840" s="187">
        <v>8</v>
      </c>
      <c r="B2840" s="242">
        <f t="shared" si="1113"/>
        <v>45870</v>
      </c>
      <c r="C2840" s="243">
        <f t="shared" si="1094"/>
        <v>45900</v>
      </c>
      <c r="D2840" s="120">
        <f t="shared" si="1095"/>
        <v>31</v>
      </c>
      <c r="E2840" s="120">
        <f t="shared" si="1096"/>
        <v>8</v>
      </c>
      <c r="F2840" s="275">
        <f t="shared" si="1097"/>
        <v>45885.5</v>
      </c>
      <c r="G2840" s="120">
        <f t="shared" si="1098"/>
        <v>24307</v>
      </c>
      <c r="H2840" s="245">
        <f t="shared" si="1099"/>
        <v>1</v>
      </c>
      <c r="I2840" s="121">
        <f t="shared" si="1100"/>
        <v>1</v>
      </c>
      <c r="J2840" s="121">
        <f t="shared" si="1101"/>
        <v>1</v>
      </c>
      <c r="K2840" s="120">
        <f t="shared" si="1102"/>
        <v>0</v>
      </c>
      <c r="L2840" s="120">
        <f t="shared" si="1103"/>
        <v>0</v>
      </c>
      <c r="M2840" s="246">
        <f t="shared" si="1104"/>
        <v>0</v>
      </c>
      <c r="N2840" s="121">
        <f t="shared" si="1105"/>
        <v>1</v>
      </c>
      <c r="O2840" s="246">
        <f t="shared" si="1106"/>
        <v>0.89203501094091897</v>
      </c>
      <c r="P2840" s="121">
        <f t="shared" si="1107"/>
        <v>0.25</v>
      </c>
      <c r="Q2840" s="121">
        <f t="shared" si="1108"/>
        <v>0</v>
      </c>
      <c r="R2840" s="121">
        <f t="shared" si="1109"/>
        <v>0</v>
      </c>
      <c r="S2840" s="121" t="str">
        <f t="shared" si="1110"/>
        <v/>
      </c>
      <c r="T2840" s="121" t="str">
        <f t="shared" si="1111"/>
        <v/>
      </c>
      <c r="U2840" s="121">
        <f t="shared" si="1112"/>
        <v>1</v>
      </c>
    </row>
    <row r="2841" spans="1:21" x14ac:dyDescent="0.3">
      <c r="A2841" s="187">
        <v>9</v>
      </c>
      <c r="B2841" s="242">
        <f t="shared" si="1113"/>
        <v>45901</v>
      </c>
      <c r="C2841" s="243">
        <f t="shared" si="1094"/>
        <v>45930</v>
      </c>
      <c r="D2841" s="120">
        <f t="shared" si="1095"/>
        <v>30</v>
      </c>
      <c r="E2841" s="120">
        <f t="shared" si="1096"/>
        <v>9</v>
      </c>
      <c r="F2841" s="275">
        <f t="shared" si="1097"/>
        <v>45916</v>
      </c>
      <c r="G2841" s="120">
        <f t="shared" si="1098"/>
        <v>24308</v>
      </c>
      <c r="H2841" s="245">
        <f t="shared" si="1099"/>
        <v>1</v>
      </c>
      <c r="I2841" s="121">
        <f t="shared" si="1100"/>
        <v>1</v>
      </c>
      <c r="J2841" s="121">
        <f t="shared" si="1101"/>
        <v>1</v>
      </c>
      <c r="K2841" s="120">
        <f t="shared" si="1102"/>
        <v>0</v>
      </c>
      <c r="L2841" s="120">
        <f t="shared" si="1103"/>
        <v>0</v>
      </c>
      <c r="M2841" s="246">
        <f t="shared" si="1104"/>
        <v>0</v>
      </c>
      <c r="N2841" s="121">
        <f t="shared" si="1105"/>
        <v>1</v>
      </c>
      <c r="O2841" s="246">
        <f t="shared" si="1106"/>
        <v>0.89336980306345726</v>
      </c>
      <c r="P2841" s="121">
        <f t="shared" si="1107"/>
        <v>0.41666666666666663</v>
      </c>
      <c r="Q2841" s="121">
        <f t="shared" si="1108"/>
        <v>0</v>
      </c>
      <c r="R2841" s="121">
        <f t="shared" si="1109"/>
        <v>0</v>
      </c>
      <c r="S2841" s="121" t="str">
        <f t="shared" si="1110"/>
        <v/>
      </c>
      <c r="T2841" s="121" t="str">
        <f t="shared" si="1111"/>
        <v/>
      </c>
      <c r="U2841" s="121">
        <f t="shared" si="1112"/>
        <v>1</v>
      </c>
    </row>
    <row r="2842" spans="1:21" x14ac:dyDescent="0.3">
      <c r="A2842" s="187">
        <v>10</v>
      </c>
      <c r="B2842" s="242">
        <f t="shared" si="1113"/>
        <v>45931</v>
      </c>
      <c r="C2842" s="243">
        <f t="shared" si="1094"/>
        <v>45961</v>
      </c>
      <c r="D2842" s="120">
        <f t="shared" si="1095"/>
        <v>31</v>
      </c>
      <c r="E2842" s="120">
        <f t="shared" si="1096"/>
        <v>10</v>
      </c>
      <c r="F2842" s="275">
        <f t="shared" si="1097"/>
        <v>45946.5</v>
      </c>
      <c r="G2842" s="120">
        <f t="shared" si="1098"/>
        <v>24309</v>
      </c>
      <c r="H2842" s="245">
        <f t="shared" si="1099"/>
        <v>1</v>
      </c>
      <c r="I2842" s="121">
        <f t="shared" si="1100"/>
        <v>1</v>
      </c>
      <c r="J2842" s="121">
        <f t="shared" si="1101"/>
        <v>1</v>
      </c>
      <c r="K2842" s="120">
        <f t="shared" si="1102"/>
        <v>0</v>
      </c>
      <c r="L2842" s="120">
        <f t="shared" si="1103"/>
        <v>0</v>
      </c>
      <c r="M2842" s="246">
        <f t="shared" si="1104"/>
        <v>0</v>
      </c>
      <c r="N2842" s="121">
        <f t="shared" si="1105"/>
        <v>1</v>
      </c>
      <c r="O2842" s="246">
        <f t="shared" si="1106"/>
        <v>0.89470459518599565</v>
      </c>
      <c r="P2842" s="121">
        <f t="shared" si="1107"/>
        <v>0.58333333333333326</v>
      </c>
      <c r="Q2842" s="121">
        <f t="shared" si="1108"/>
        <v>0</v>
      </c>
      <c r="R2842" s="121">
        <f t="shared" si="1109"/>
        <v>0</v>
      </c>
      <c r="S2842" s="121" t="str">
        <f t="shared" si="1110"/>
        <v/>
      </c>
      <c r="T2842" s="121" t="str">
        <f t="shared" si="1111"/>
        <v/>
      </c>
      <c r="U2842" s="121">
        <f t="shared" si="1112"/>
        <v>1</v>
      </c>
    </row>
    <row r="2843" spans="1:21" x14ac:dyDescent="0.3">
      <c r="A2843" s="187">
        <v>11</v>
      </c>
      <c r="B2843" s="242">
        <f t="shared" si="1113"/>
        <v>45962</v>
      </c>
      <c r="C2843" s="243">
        <f t="shared" si="1094"/>
        <v>45991</v>
      </c>
      <c r="D2843" s="120">
        <f t="shared" si="1095"/>
        <v>30</v>
      </c>
      <c r="E2843" s="120">
        <f t="shared" si="1096"/>
        <v>11</v>
      </c>
      <c r="F2843" s="275">
        <f t="shared" si="1097"/>
        <v>45977</v>
      </c>
      <c r="G2843" s="120">
        <f t="shared" si="1098"/>
        <v>24310</v>
      </c>
      <c r="H2843" s="245">
        <f t="shared" si="1099"/>
        <v>1</v>
      </c>
      <c r="I2843" s="121">
        <f t="shared" si="1100"/>
        <v>1</v>
      </c>
      <c r="J2843" s="121">
        <f t="shared" si="1101"/>
        <v>1</v>
      </c>
      <c r="K2843" s="120">
        <f t="shared" si="1102"/>
        <v>0</v>
      </c>
      <c r="L2843" s="120">
        <f t="shared" si="1103"/>
        <v>0</v>
      </c>
      <c r="M2843" s="246">
        <f t="shared" si="1104"/>
        <v>0</v>
      </c>
      <c r="N2843" s="121">
        <f t="shared" si="1105"/>
        <v>1</v>
      </c>
      <c r="O2843" s="246">
        <f t="shared" si="1106"/>
        <v>0.89603938730853394</v>
      </c>
      <c r="P2843" s="121">
        <f t="shared" si="1107"/>
        <v>0.75</v>
      </c>
      <c r="Q2843" s="121">
        <f t="shared" si="1108"/>
        <v>0</v>
      </c>
      <c r="R2843" s="121">
        <f t="shared" si="1109"/>
        <v>0</v>
      </c>
      <c r="S2843" s="121" t="str">
        <f t="shared" si="1110"/>
        <v/>
      </c>
      <c r="T2843" s="121" t="str">
        <f t="shared" si="1111"/>
        <v/>
      </c>
      <c r="U2843" s="121">
        <f t="shared" si="1112"/>
        <v>1</v>
      </c>
    </row>
    <row r="2844" spans="1:21" x14ac:dyDescent="0.3">
      <c r="A2844" s="187">
        <v>12</v>
      </c>
      <c r="B2844" s="242">
        <f t="shared" si="1113"/>
        <v>45992</v>
      </c>
      <c r="C2844" s="243">
        <f t="shared" si="1094"/>
        <v>46022</v>
      </c>
      <c r="D2844" s="120">
        <f t="shared" si="1095"/>
        <v>31</v>
      </c>
      <c r="E2844" s="120">
        <f t="shared" si="1096"/>
        <v>12</v>
      </c>
      <c r="F2844" s="275">
        <f t="shared" si="1097"/>
        <v>46007.5</v>
      </c>
      <c r="G2844" s="120">
        <f t="shared" si="1098"/>
        <v>24311</v>
      </c>
      <c r="H2844" s="245">
        <f t="shared" si="1099"/>
        <v>1</v>
      </c>
      <c r="I2844" s="121">
        <f t="shared" si="1100"/>
        <v>1</v>
      </c>
      <c r="J2844" s="121">
        <f t="shared" si="1101"/>
        <v>1</v>
      </c>
      <c r="K2844" s="120">
        <f t="shared" si="1102"/>
        <v>0</v>
      </c>
      <c r="L2844" s="120">
        <f t="shared" si="1103"/>
        <v>0</v>
      </c>
      <c r="M2844" s="246">
        <f t="shared" si="1104"/>
        <v>0</v>
      </c>
      <c r="N2844" s="121">
        <f t="shared" si="1105"/>
        <v>1</v>
      </c>
      <c r="O2844" s="246">
        <f t="shared" si="1106"/>
        <v>0.89737417943107223</v>
      </c>
      <c r="P2844" s="121">
        <f t="shared" si="1107"/>
        <v>0.91666666666666663</v>
      </c>
      <c r="Q2844" s="121">
        <f t="shared" si="1108"/>
        <v>0</v>
      </c>
      <c r="R2844" s="121">
        <f t="shared" si="1109"/>
        <v>0</v>
      </c>
      <c r="S2844" s="121" t="str">
        <f t="shared" si="1110"/>
        <v/>
      </c>
      <c r="T2844" s="121" t="str">
        <f t="shared" si="1111"/>
        <v/>
      </c>
      <c r="U2844" s="121">
        <f t="shared" si="1112"/>
        <v>1</v>
      </c>
    </row>
    <row r="2845" spans="1:21" x14ac:dyDescent="0.3">
      <c r="A2845" s="187">
        <v>13</v>
      </c>
      <c r="B2845" s="242">
        <f t="shared" si="1113"/>
        <v>46023</v>
      </c>
      <c r="C2845" s="243">
        <f t="shared" si="1094"/>
        <v>46053</v>
      </c>
      <c r="D2845" s="120">
        <f t="shared" si="1095"/>
        <v>31</v>
      </c>
      <c r="E2845" s="120">
        <f t="shared" si="1096"/>
        <v>1</v>
      </c>
      <c r="F2845" s="275">
        <f t="shared" si="1097"/>
        <v>46038.5</v>
      </c>
      <c r="G2845" s="120">
        <f t="shared" si="1098"/>
        <v>24312</v>
      </c>
      <c r="H2845" s="245">
        <f t="shared" si="1099"/>
        <v>1</v>
      </c>
      <c r="I2845" s="121">
        <f t="shared" si="1100"/>
        <v>1</v>
      </c>
      <c r="J2845" s="121">
        <f t="shared" si="1101"/>
        <v>1</v>
      </c>
      <c r="K2845" s="120">
        <f t="shared" si="1102"/>
        <v>0</v>
      </c>
      <c r="L2845" s="120">
        <f t="shared" si="1103"/>
        <v>0</v>
      </c>
      <c r="M2845" s="246">
        <f t="shared" si="1104"/>
        <v>0</v>
      </c>
      <c r="N2845" s="121">
        <f t="shared" si="1105"/>
        <v>1</v>
      </c>
      <c r="O2845" s="246">
        <f t="shared" si="1106"/>
        <v>0.8987308533916849</v>
      </c>
      <c r="P2845" s="121">
        <f t="shared" si="1107"/>
        <v>1</v>
      </c>
      <c r="Q2845" s="121">
        <f t="shared" si="1108"/>
        <v>0</v>
      </c>
      <c r="R2845" s="121">
        <f t="shared" si="1109"/>
        <v>0</v>
      </c>
      <c r="S2845" s="121" t="str">
        <f t="shared" si="1110"/>
        <v/>
      </c>
      <c r="T2845" s="121" t="str">
        <f t="shared" si="1111"/>
        <v/>
      </c>
      <c r="U2845" s="121">
        <f t="shared" si="1112"/>
        <v>1</v>
      </c>
    </row>
    <row r="2846" spans="1:21" x14ac:dyDescent="0.3">
      <c r="A2846" s="187">
        <v>14</v>
      </c>
      <c r="B2846" s="242">
        <f t="shared" si="1113"/>
        <v>46054</v>
      </c>
      <c r="C2846" s="243">
        <f t="shared" si="1094"/>
        <v>46081</v>
      </c>
      <c r="D2846" s="120">
        <f t="shared" si="1095"/>
        <v>28</v>
      </c>
      <c r="E2846" s="120">
        <f t="shared" si="1096"/>
        <v>2</v>
      </c>
      <c r="F2846" s="275">
        <f t="shared" si="1097"/>
        <v>46068</v>
      </c>
      <c r="G2846" s="120">
        <f t="shared" si="1098"/>
        <v>24313</v>
      </c>
      <c r="H2846" s="245">
        <f t="shared" si="1099"/>
        <v>1</v>
      </c>
      <c r="I2846" s="121">
        <f t="shared" si="1100"/>
        <v>1</v>
      </c>
      <c r="J2846" s="121">
        <f t="shared" si="1101"/>
        <v>1</v>
      </c>
      <c r="K2846" s="120">
        <f t="shared" si="1102"/>
        <v>0</v>
      </c>
      <c r="L2846" s="120">
        <f t="shared" si="1103"/>
        <v>0</v>
      </c>
      <c r="M2846" s="246">
        <f t="shared" si="1104"/>
        <v>0</v>
      </c>
      <c r="N2846" s="121">
        <f t="shared" si="1105"/>
        <v>1</v>
      </c>
      <c r="O2846" s="246">
        <f t="shared" si="1106"/>
        <v>0.90002188183807441</v>
      </c>
      <c r="P2846" s="121">
        <f t="shared" si="1107"/>
        <v>1</v>
      </c>
      <c r="Q2846" s="121">
        <f t="shared" si="1108"/>
        <v>0</v>
      </c>
      <c r="R2846" s="121">
        <f t="shared" si="1109"/>
        <v>0</v>
      </c>
      <c r="S2846" s="121" t="str">
        <f t="shared" si="1110"/>
        <v/>
      </c>
      <c r="T2846" s="121" t="str">
        <f t="shared" si="1111"/>
        <v/>
      </c>
      <c r="U2846" s="121">
        <f t="shared" si="1112"/>
        <v>1</v>
      </c>
    </row>
    <row r="2847" spans="1:21" x14ac:dyDescent="0.3">
      <c r="A2847" s="187">
        <v>15</v>
      </c>
      <c r="B2847" s="242">
        <f t="shared" si="1113"/>
        <v>46082</v>
      </c>
      <c r="C2847" s="243">
        <f t="shared" si="1094"/>
        <v>46112</v>
      </c>
      <c r="D2847" s="120">
        <f t="shared" si="1095"/>
        <v>31</v>
      </c>
      <c r="E2847" s="120">
        <f t="shared" si="1096"/>
        <v>3</v>
      </c>
      <c r="F2847" s="275">
        <f t="shared" si="1097"/>
        <v>46097.5</v>
      </c>
      <c r="G2847" s="120">
        <f t="shared" si="1098"/>
        <v>24314</v>
      </c>
      <c r="H2847" s="245">
        <f t="shared" si="1099"/>
        <v>1</v>
      </c>
      <c r="I2847" s="121">
        <f t="shared" si="1100"/>
        <v>1</v>
      </c>
      <c r="J2847" s="121">
        <f t="shared" si="1101"/>
        <v>1</v>
      </c>
      <c r="K2847" s="120">
        <f t="shared" si="1102"/>
        <v>0</v>
      </c>
      <c r="L2847" s="120">
        <f t="shared" si="1103"/>
        <v>0</v>
      </c>
      <c r="M2847" s="246">
        <f t="shared" si="1104"/>
        <v>0</v>
      </c>
      <c r="N2847" s="121">
        <f t="shared" si="1105"/>
        <v>1</v>
      </c>
      <c r="O2847" s="246">
        <f t="shared" si="1106"/>
        <v>0.90131291028446392</v>
      </c>
      <c r="P2847" s="121">
        <f t="shared" si="1107"/>
        <v>1</v>
      </c>
      <c r="Q2847" s="121">
        <f t="shared" si="1108"/>
        <v>0</v>
      </c>
      <c r="R2847" s="121">
        <f t="shared" si="1109"/>
        <v>0</v>
      </c>
      <c r="S2847" s="121" t="str">
        <f t="shared" si="1110"/>
        <v/>
      </c>
      <c r="T2847" s="121" t="str">
        <f t="shared" si="1111"/>
        <v/>
      </c>
      <c r="U2847" s="121">
        <f t="shared" si="1112"/>
        <v>1</v>
      </c>
    </row>
    <row r="2848" spans="1:21" x14ac:dyDescent="0.3">
      <c r="A2848" s="187">
        <v>16</v>
      </c>
      <c r="B2848" s="242">
        <f t="shared" si="1113"/>
        <v>46113</v>
      </c>
      <c r="C2848" s="243">
        <f t="shared" si="1094"/>
        <v>46142</v>
      </c>
      <c r="D2848" s="120">
        <f t="shared" si="1095"/>
        <v>30</v>
      </c>
      <c r="E2848" s="120">
        <f t="shared" si="1096"/>
        <v>4</v>
      </c>
      <c r="F2848" s="275">
        <f t="shared" si="1097"/>
        <v>46128</v>
      </c>
      <c r="G2848" s="120">
        <f t="shared" si="1098"/>
        <v>24315</v>
      </c>
      <c r="H2848" s="245">
        <f t="shared" si="1099"/>
        <v>1</v>
      </c>
      <c r="I2848" s="121">
        <f t="shared" si="1100"/>
        <v>1</v>
      </c>
      <c r="J2848" s="121">
        <f t="shared" si="1101"/>
        <v>1.03</v>
      </c>
      <c r="K2848" s="120">
        <f t="shared" si="1102"/>
        <v>1</v>
      </c>
      <c r="L2848" s="120">
        <f t="shared" si="1103"/>
        <v>30</v>
      </c>
      <c r="M2848" s="246">
        <f t="shared" si="1104"/>
        <v>1</v>
      </c>
      <c r="N2848" s="121">
        <f t="shared" si="1105"/>
        <v>1.03</v>
      </c>
      <c r="O2848" s="246">
        <f t="shared" si="1106"/>
        <v>0.90264770240700221</v>
      </c>
      <c r="P2848" s="121">
        <f t="shared" si="1107"/>
        <v>1</v>
      </c>
      <c r="Q2848" s="121">
        <f t="shared" si="1108"/>
        <v>0</v>
      </c>
      <c r="R2848" s="121">
        <f t="shared" si="1109"/>
        <v>0</v>
      </c>
      <c r="S2848" s="121" t="str">
        <f t="shared" si="1110"/>
        <v/>
      </c>
      <c r="T2848" s="121" t="str">
        <f t="shared" si="1111"/>
        <v/>
      </c>
      <c r="U2848" s="121">
        <f t="shared" si="1112"/>
        <v>1.03</v>
      </c>
    </row>
    <row r="2849" spans="1:21" x14ac:dyDescent="0.3">
      <c r="A2849" s="187">
        <v>17</v>
      </c>
      <c r="B2849" s="242">
        <f t="shared" si="1113"/>
        <v>46143</v>
      </c>
      <c r="C2849" s="243">
        <f t="shared" si="1094"/>
        <v>46173</v>
      </c>
      <c r="D2849" s="120">
        <f t="shared" si="1095"/>
        <v>31</v>
      </c>
      <c r="E2849" s="120">
        <f t="shared" si="1096"/>
        <v>5</v>
      </c>
      <c r="F2849" s="275">
        <f t="shared" si="1097"/>
        <v>46158.5</v>
      </c>
      <c r="G2849" s="120">
        <f t="shared" si="1098"/>
        <v>24316</v>
      </c>
      <c r="H2849" s="245">
        <f t="shared" si="1099"/>
        <v>1</v>
      </c>
      <c r="I2849" s="121">
        <f t="shared" si="1100"/>
        <v>1.03</v>
      </c>
      <c r="J2849" s="121">
        <f t="shared" si="1101"/>
        <v>1.03</v>
      </c>
      <c r="K2849" s="120">
        <f t="shared" si="1102"/>
        <v>0</v>
      </c>
      <c r="L2849" s="120">
        <f t="shared" si="1103"/>
        <v>0</v>
      </c>
      <c r="M2849" s="246">
        <f t="shared" si="1104"/>
        <v>0</v>
      </c>
      <c r="N2849" s="121">
        <f t="shared" si="1105"/>
        <v>1.03</v>
      </c>
      <c r="O2849" s="246">
        <f t="shared" si="1106"/>
        <v>0.90398249452954049</v>
      </c>
      <c r="P2849" s="121">
        <f t="shared" si="1107"/>
        <v>1</v>
      </c>
      <c r="Q2849" s="121">
        <f t="shared" si="1108"/>
        <v>0</v>
      </c>
      <c r="R2849" s="121">
        <f t="shared" si="1109"/>
        <v>0</v>
      </c>
      <c r="S2849" s="121" t="str">
        <f t="shared" si="1110"/>
        <v/>
      </c>
      <c r="T2849" s="121" t="str">
        <f t="shared" si="1111"/>
        <v/>
      </c>
      <c r="U2849" s="121">
        <f t="shared" si="1112"/>
        <v>1.03</v>
      </c>
    </row>
    <row r="2850" spans="1:21" x14ac:dyDescent="0.3">
      <c r="A2850" s="187">
        <v>18</v>
      </c>
      <c r="B2850" s="242">
        <f t="shared" si="1113"/>
        <v>46174</v>
      </c>
      <c r="C2850" s="243">
        <f t="shared" si="1094"/>
        <v>46203</v>
      </c>
      <c r="D2850" s="120">
        <f t="shared" si="1095"/>
        <v>30</v>
      </c>
      <c r="E2850" s="120">
        <f t="shared" si="1096"/>
        <v>6</v>
      </c>
      <c r="F2850" s="275">
        <f t="shared" si="1097"/>
        <v>46189</v>
      </c>
      <c r="G2850" s="120">
        <f t="shared" si="1098"/>
        <v>24317</v>
      </c>
      <c r="H2850" s="245">
        <f t="shared" si="1099"/>
        <v>1</v>
      </c>
      <c r="I2850" s="121">
        <f t="shared" si="1100"/>
        <v>1.03</v>
      </c>
      <c r="J2850" s="121">
        <f t="shared" si="1101"/>
        <v>1.03</v>
      </c>
      <c r="K2850" s="120">
        <f t="shared" si="1102"/>
        <v>0</v>
      </c>
      <c r="L2850" s="120">
        <f t="shared" si="1103"/>
        <v>0</v>
      </c>
      <c r="M2850" s="246">
        <f t="shared" si="1104"/>
        <v>0</v>
      </c>
      <c r="N2850" s="121">
        <f t="shared" si="1105"/>
        <v>1.03</v>
      </c>
      <c r="O2850" s="246">
        <f t="shared" si="1106"/>
        <v>0.90531728665207878</v>
      </c>
      <c r="P2850" s="121">
        <f t="shared" si="1107"/>
        <v>1</v>
      </c>
      <c r="Q2850" s="121">
        <f t="shared" si="1108"/>
        <v>0</v>
      </c>
      <c r="R2850" s="121">
        <f t="shared" si="1109"/>
        <v>0</v>
      </c>
      <c r="S2850" s="121" t="str">
        <f t="shared" si="1110"/>
        <v/>
      </c>
      <c r="T2850" s="121" t="str">
        <f t="shared" si="1111"/>
        <v/>
      </c>
      <c r="U2850" s="121">
        <f t="shared" si="1112"/>
        <v>1.03</v>
      </c>
    </row>
    <row r="2851" spans="1:21" x14ac:dyDescent="0.3">
      <c r="A2851" s="187">
        <v>19</v>
      </c>
      <c r="B2851" s="242">
        <f t="shared" si="1113"/>
        <v>46204</v>
      </c>
      <c r="C2851" s="243">
        <f t="shared" si="1094"/>
        <v>46234</v>
      </c>
      <c r="D2851" s="120">
        <f t="shared" si="1095"/>
        <v>31</v>
      </c>
      <c r="E2851" s="120">
        <f t="shared" si="1096"/>
        <v>7</v>
      </c>
      <c r="F2851" s="275">
        <f t="shared" si="1097"/>
        <v>46219.5</v>
      </c>
      <c r="G2851" s="120">
        <f t="shared" si="1098"/>
        <v>24318</v>
      </c>
      <c r="H2851" s="245">
        <f t="shared" si="1099"/>
        <v>1</v>
      </c>
      <c r="I2851" s="121">
        <f t="shared" si="1100"/>
        <v>1.03</v>
      </c>
      <c r="J2851" s="121">
        <f t="shared" si="1101"/>
        <v>1.03</v>
      </c>
      <c r="K2851" s="120">
        <f t="shared" si="1102"/>
        <v>0</v>
      </c>
      <c r="L2851" s="120">
        <f t="shared" si="1103"/>
        <v>0</v>
      </c>
      <c r="M2851" s="246">
        <f t="shared" si="1104"/>
        <v>0</v>
      </c>
      <c r="N2851" s="121">
        <f t="shared" si="1105"/>
        <v>1.03</v>
      </c>
      <c r="O2851" s="246">
        <f t="shared" si="1106"/>
        <v>0.90665207877461707</v>
      </c>
      <c r="P2851" s="121">
        <f t="shared" si="1107"/>
        <v>0.91666666666666663</v>
      </c>
      <c r="Q2851" s="121">
        <f t="shared" si="1108"/>
        <v>8.333333333333337E-2</v>
      </c>
      <c r="R2851" s="121">
        <f t="shared" si="1109"/>
        <v>0</v>
      </c>
      <c r="S2851" s="121" t="str">
        <f t="shared" si="1110"/>
        <v/>
      </c>
      <c r="T2851" s="121" t="str">
        <f t="shared" si="1111"/>
        <v/>
      </c>
      <c r="U2851" s="121">
        <f t="shared" si="1112"/>
        <v>1.03</v>
      </c>
    </row>
    <row r="2852" spans="1:21" x14ac:dyDescent="0.3">
      <c r="A2852" s="187">
        <v>20</v>
      </c>
      <c r="B2852" s="242">
        <f t="shared" si="1113"/>
        <v>46235</v>
      </c>
      <c r="C2852" s="243">
        <f t="shared" si="1094"/>
        <v>46265</v>
      </c>
      <c r="D2852" s="120">
        <f t="shared" si="1095"/>
        <v>31</v>
      </c>
      <c r="E2852" s="120">
        <f t="shared" si="1096"/>
        <v>8</v>
      </c>
      <c r="F2852" s="275">
        <f t="shared" si="1097"/>
        <v>46250.5</v>
      </c>
      <c r="G2852" s="120">
        <f t="shared" si="1098"/>
        <v>24319</v>
      </c>
      <c r="H2852" s="245">
        <f t="shared" si="1099"/>
        <v>1</v>
      </c>
      <c r="I2852" s="121">
        <f t="shared" si="1100"/>
        <v>1.03</v>
      </c>
      <c r="J2852" s="121">
        <f t="shared" si="1101"/>
        <v>1.03</v>
      </c>
      <c r="K2852" s="120">
        <f t="shared" si="1102"/>
        <v>0</v>
      </c>
      <c r="L2852" s="120">
        <f t="shared" si="1103"/>
        <v>0</v>
      </c>
      <c r="M2852" s="246">
        <f t="shared" si="1104"/>
        <v>0</v>
      </c>
      <c r="N2852" s="121">
        <f t="shared" si="1105"/>
        <v>1.03</v>
      </c>
      <c r="O2852" s="246">
        <f t="shared" si="1106"/>
        <v>0.90800875273522974</v>
      </c>
      <c r="P2852" s="121">
        <f t="shared" si="1107"/>
        <v>0.75</v>
      </c>
      <c r="Q2852" s="121">
        <f t="shared" si="1108"/>
        <v>0.25</v>
      </c>
      <c r="R2852" s="121">
        <f t="shared" si="1109"/>
        <v>0</v>
      </c>
      <c r="S2852" s="121" t="str">
        <f t="shared" si="1110"/>
        <v/>
      </c>
      <c r="T2852" s="121" t="str">
        <f t="shared" si="1111"/>
        <v/>
      </c>
      <c r="U2852" s="121">
        <f t="shared" si="1112"/>
        <v>1.03</v>
      </c>
    </row>
    <row r="2853" spans="1:21" x14ac:dyDescent="0.3">
      <c r="A2853" s="187">
        <v>21</v>
      </c>
      <c r="B2853" s="242">
        <f t="shared" si="1113"/>
        <v>46266</v>
      </c>
      <c r="C2853" s="243">
        <f t="shared" si="1094"/>
        <v>46295</v>
      </c>
      <c r="D2853" s="120">
        <f t="shared" si="1095"/>
        <v>30</v>
      </c>
      <c r="E2853" s="120">
        <f t="shared" si="1096"/>
        <v>9</v>
      </c>
      <c r="F2853" s="275">
        <f t="shared" si="1097"/>
        <v>46281</v>
      </c>
      <c r="G2853" s="120">
        <f t="shared" si="1098"/>
        <v>24320</v>
      </c>
      <c r="H2853" s="245">
        <f t="shared" si="1099"/>
        <v>1</v>
      </c>
      <c r="I2853" s="121">
        <f t="shared" si="1100"/>
        <v>1.03</v>
      </c>
      <c r="J2853" s="121">
        <f t="shared" si="1101"/>
        <v>1.03</v>
      </c>
      <c r="K2853" s="120">
        <f t="shared" si="1102"/>
        <v>0</v>
      </c>
      <c r="L2853" s="120">
        <f t="shared" si="1103"/>
        <v>0</v>
      </c>
      <c r="M2853" s="246">
        <f t="shared" si="1104"/>
        <v>0</v>
      </c>
      <c r="N2853" s="121">
        <f t="shared" si="1105"/>
        <v>1.03</v>
      </c>
      <c r="O2853" s="246">
        <f t="shared" si="1106"/>
        <v>0.90934354485776803</v>
      </c>
      <c r="P2853" s="121">
        <f t="shared" si="1107"/>
        <v>0.58333333333333337</v>
      </c>
      <c r="Q2853" s="121">
        <f t="shared" si="1108"/>
        <v>0.41666666666666663</v>
      </c>
      <c r="R2853" s="121">
        <f t="shared" si="1109"/>
        <v>0</v>
      </c>
      <c r="S2853" s="121" t="str">
        <f t="shared" si="1110"/>
        <v/>
      </c>
      <c r="T2853" s="121" t="str">
        <f t="shared" si="1111"/>
        <v/>
      </c>
      <c r="U2853" s="121">
        <f t="shared" si="1112"/>
        <v>1.03</v>
      </c>
    </row>
    <row r="2854" spans="1:21" x14ac:dyDescent="0.3">
      <c r="A2854" s="187">
        <v>22</v>
      </c>
      <c r="B2854" s="242">
        <f t="shared" si="1113"/>
        <v>46296</v>
      </c>
      <c r="C2854" s="243">
        <f t="shared" si="1094"/>
        <v>46326</v>
      </c>
      <c r="D2854" s="120">
        <f t="shared" si="1095"/>
        <v>31</v>
      </c>
      <c r="E2854" s="120">
        <f t="shared" si="1096"/>
        <v>10</v>
      </c>
      <c r="F2854" s="275">
        <f t="shared" si="1097"/>
        <v>46311.5</v>
      </c>
      <c r="G2854" s="120">
        <f t="shared" si="1098"/>
        <v>24321</v>
      </c>
      <c r="H2854" s="245">
        <f t="shared" si="1099"/>
        <v>1</v>
      </c>
      <c r="I2854" s="121">
        <f t="shared" si="1100"/>
        <v>1.03</v>
      </c>
      <c r="J2854" s="121">
        <f t="shared" si="1101"/>
        <v>1.03</v>
      </c>
      <c r="K2854" s="120">
        <f t="shared" si="1102"/>
        <v>0</v>
      </c>
      <c r="L2854" s="120">
        <f t="shared" si="1103"/>
        <v>0</v>
      </c>
      <c r="M2854" s="246">
        <f t="shared" si="1104"/>
        <v>0</v>
      </c>
      <c r="N2854" s="121">
        <f t="shared" si="1105"/>
        <v>1.03</v>
      </c>
      <c r="O2854" s="246">
        <f t="shared" si="1106"/>
        <v>0.91067833698030642</v>
      </c>
      <c r="P2854" s="121">
        <f t="shared" si="1107"/>
        <v>0.41666666666666669</v>
      </c>
      <c r="Q2854" s="121">
        <f t="shared" si="1108"/>
        <v>0.58333333333333326</v>
      </c>
      <c r="R2854" s="121">
        <f t="shared" si="1109"/>
        <v>0</v>
      </c>
      <c r="S2854" s="121" t="str">
        <f t="shared" si="1110"/>
        <v/>
      </c>
      <c r="T2854" s="121" t="str">
        <f t="shared" si="1111"/>
        <v/>
      </c>
      <c r="U2854" s="121">
        <f t="shared" si="1112"/>
        <v>1.03</v>
      </c>
    </row>
    <row r="2855" spans="1:21" x14ac:dyDescent="0.3">
      <c r="A2855" s="187">
        <v>23</v>
      </c>
      <c r="B2855" s="242">
        <f t="shared" si="1113"/>
        <v>46327</v>
      </c>
      <c r="C2855" s="243">
        <f t="shared" si="1094"/>
        <v>46356</v>
      </c>
      <c r="D2855" s="120">
        <f t="shared" si="1095"/>
        <v>30</v>
      </c>
      <c r="E2855" s="120">
        <f t="shared" si="1096"/>
        <v>11</v>
      </c>
      <c r="F2855" s="275">
        <f t="shared" si="1097"/>
        <v>46342</v>
      </c>
      <c r="G2855" s="120">
        <f t="shared" si="1098"/>
        <v>24322</v>
      </c>
      <c r="H2855" s="245">
        <f t="shared" si="1099"/>
        <v>1</v>
      </c>
      <c r="I2855" s="121">
        <f t="shared" si="1100"/>
        <v>1.03</v>
      </c>
      <c r="J2855" s="121">
        <f t="shared" si="1101"/>
        <v>1.03</v>
      </c>
      <c r="K2855" s="120">
        <f t="shared" si="1102"/>
        <v>0</v>
      </c>
      <c r="L2855" s="120">
        <f t="shared" si="1103"/>
        <v>0</v>
      </c>
      <c r="M2855" s="246">
        <f t="shared" si="1104"/>
        <v>0</v>
      </c>
      <c r="N2855" s="121">
        <f t="shared" si="1105"/>
        <v>1.03</v>
      </c>
      <c r="O2855" s="246">
        <f t="shared" si="1106"/>
        <v>0.91201312910284471</v>
      </c>
      <c r="P2855" s="121">
        <f t="shared" si="1107"/>
        <v>0.25</v>
      </c>
      <c r="Q2855" s="121">
        <f t="shared" si="1108"/>
        <v>0.75</v>
      </c>
      <c r="R2855" s="121">
        <f t="shared" si="1109"/>
        <v>0</v>
      </c>
      <c r="S2855" s="121" t="str">
        <f t="shared" si="1110"/>
        <v/>
      </c>
      <c r="T2855" s="121" t="str">
        <f t="shared" si="1111"/>
        <v/>
      </c>
      <c r="U2855" s="121">
        <f t="shared" si="1112"/>
        <v>1.03</v>
      </c>
    </row>
    <row r="2856" spans="1:21" x14ac:dyDescent="0.3">
      <c r="A2856" s="187">
        <v>24</v>
      </c>
      <c r="B2856" s="242">
        <f t="shared" si="1113"/>
        <v>46357</v>
      </c>
      <c r="C2856" s="243">
        <f t="shared" si="1094"/>
        <v>46387</v>
      </c>
      <c r="D2856" s="120">
        <f t="shared" si="1095"/>
        <v>31</v>
      </c>
      <c r="E2856" s="120">
        <f t="shared" si="1096"/>
        <v>12</v>
      </c>
      <c r="F2856" s="275">
        <f t="shared" si="1097"/>
        <v>46372.5</v>
      </c>
      <c r="G2856" s="120">
        <f t="shared" si="1098"/>
        <v>24323</v>
      </c>
      <c r="H2856" s="245">
        <f t="shared" si="1099"/>
        <v>1</v>
      </c>
      <c r="I2856" s="121">
        <f t="shared" si="1100"/>
        <v>1.03</v>
      </c>
      <c r="J2856" s="121">
        <f t="shared" si="1101"/>
        <v>1.03</v>
      </c>
      <c r="K2856" s="120">
        <f t="shared" si="1102"/>
        <v>0</v>
      </c>
      <c r="L2856" s="120">
        <f t="shared" si="1103"/>
        <v>0</v>
      </c>
      <c r="M2856" s="246">
        <f t="shared" si="1104"/>
        <v>0</v>
      </c>
      <c r="N2856" s="121">
        <f t="shared" si="1105"/>
        <v>1.03</v>
      </c>
      <c r="O2856" s="246">
        <f t="shared" si="1106"/>
        <v>0.913347921225383</v>
      </c>
      <c r="P2856" s="121">
        <f t="shared" si="1107"/>
        <v>8.3333333333333329E-2</v>
      </c>
      <c r="Q2856" s="121">
        <f t="shared" si="1108"/>
        <v>0.91666666666666663</v>
      </c>
      <c r="R2856" s="121">
        <f t="shared" si="1109"/>
        <v>0</v>
      </c>
      <c r="S2856" s="121" t="str">
        <f t="shared" si="1110"/>
        <v/>
      </c>
      <c r="T2856" s="121" t="str">
        <f t="shared" si="1111"/>
        <v/>
      </c>
      <c r="U2856" s="121">
        <f t="shared" si="1112"/>
        <v>1.03</v>
      </c>
    </row>
    <row r="2857" spans="1:21" x14ac:dyDescent="0.3">
      <c r="A2857" s="187">
        <v>25</v>
      </c>
      <c r="B2857" s="242">
        <f t="shared" si="1113"/>
        <v>46388</v>
      </c>
      <c r="C2857" s="243">
        <f t="shared" si="1094"/>
        <v>46418</v>
      </c>
      <c r="D2857" s="120">
        <f t="shared" si="1095"/>
        <v>31</v>
      </c>
      <c r="E2857" s="120">
        <f t="shared" si="1096"/>
        <v>1</v>
      </c>
      <c r="F2857" s="275">
        <f t="shared" si="1097"/>
        <v>46403.5</v>
      </c>
      <c r="G2857" s="120">
        <f t="shared" si="1098"/>
        <v>24324</v>
      </c>
      <c r="H2857" s="245">
        <f t="shared" si="1099"/>
        <v>1</v>
      </c>
      <c r="I2857" s="121">
        <f t="shared" si="1100"/>
        <v>1.03</v>
      </c>
      <c r="J2857" s="121">
        <f t="shared" si="1101"/>
        <v>1.03</v>
      </c>
      <c r="K2857" s="120">
        <f t="shared" si="1102"/>
        <v>0</v>
      </c>
      <c r="L2857" s="120">
        <f t="shared" si="1103"/>
        <v>0</v>
      </c>
      <c r="M2857" s="246">
        <f t="shared" si="1104"/>
        <v>0</v>
      </c>
      <c r="N2857" s="121">
        <f t="shared" si="1105"/>
        <v>1.03</v>
      </c>
      <c r="O2857" s="246">
        <f t="shared" si="1106"/>
        <v>0.91470459518599567</v>
      </c>
      <c r="P2857" s="121">
        <f t="shared" si="1107"/>
        <v>0</v>
      </c>
      <c r="Q2857" s="121">
        <f t="shared" si="1108"/>
        <v>1</v>
      </c>
      <c r="R2857" s="121">
        <f t="shared" si="1109"/>
        <v>0</v>
      </c>
      <c r="S2857" s="121" t="str">
        <f t="shared" si="1110"/>
        <v/>
      </c>
      <c r="T2857" s="121" t="str">
        <f t="shared" si="1111"/>
        <v/>
      </c>
      <c r="U2857" s="121">
        <f t="shared" si="1112"/>
        <v>1.03</v>
      </c>
    </row>
    <row r="2858" spans="1:21" x14ac:dyDescent="0.3">
      <c r="A2858" s="187">
        <v>26</v>
      </c>
      <c r="B2858" s="242">
        <f t="shared" si="1113"/>
        <v>46419</v>
      </c>
      <c r="C2858" s="243">
        <f t="shared" si="1094"/>
        <v>46446</v>
      </c>
      <c r="D2858" s="120">
        <f t="shared" si="1095"/>
        <v>28</v>
      </c>
      <c r="E2858" s="120">
        <f t="shared" si="1096"/>
        <v>2</v>
      </c>
      <c r="F2858" s="275">
        <f t="shared" si="1097"/>
        <v>46433</v>
      </c>
      <c r="G2858" s="120">
        <f t="shared" si="1098"/>
        <v>24325</v>
      </c>
      <c r="H2858" s="245">
        <f t="shared" si="1099"/>
        <v>1</v>
      </c>
      <c r="I2858" s="121">
        <f t="shared" si="1100"/>
        <v>1.03</v>
      </c>
      <c r="J2858" s="121">
        <f t="shared" si="1101"/>
        <v>1.03</v>
      </c>
      <c r="K2858" s="120">
        <f t="shared" si="1102"/>
        <v>0</v>
      </c>
      <c r="L2858" s="120">
        <f t="shared" si="1103"/>
        <v>0</v>
      </c>
      <c r="M2858" s="246">
        <f t="shared" si="1104"/>
        <v>0</v>
      </c>
      <c r="N2858" s="121">
        <f t="shared" si="1105"/>
        <v>1.03</v>
      </c>
      <c r="O2858" s="246">
        <f t="shared" si="1106"/>
        <v>0.91599562363238518</v>
      </c>
      <c r="P2858" s="121">
        <f t="shared" si="1107"/>
        <v>0</v>
      </c>
      <c r="Q2858" s="121">
        <f t="shared" si="1108"/>
        <v>1</v>
      </c>
      <c r="R2858" s="121">
        <f t="shared" si="1109"/>
        <v>0</v>
      </c>
      <c r="S2858" s="121" t="str">
        <f t="shared" si="1110"/>
        <v/>
      </c>
      <c r="T2858" s="121" t="str">
        <f t="shared" si="1111"/>
        <v/>
      </c>
      <c r="U2858" s="121">
        <f t="shared" si="1112"/>
        <v>1.03</v>
      </c>
    </row>
    <row r="2859" spans="1:21" x14ac:dyDescent="0.3">
      <c r="A2859" s="187">
        <v>27</v>
      </c>
      <c r="B2859" s="242">
        <f t="shared" si="1113"/>
        <v>46447</v>
      </c>
      <c r="C2859" s="243">
        <f t="shared" si="1094"/>
        <v>46477</v>
      </c>
      <c r="D2859" s="120">
        <f t="shared" si="1095"/>
        <v>31</v>
      </c>
      <c r="E2859" s="120">
        <f t="shared" si="1096"/>
        <v>3</v>
      </c>
      <c r="F2859" s="275">
        <f t="shared" si="1097"/>
        <v>46462.5</v>
      </c>
      <c r="G2859" s="120">
        <f t="shared" si="1098"/>
        <v>24326</v>
      </c>
      <c r="H2859" s="245">
        <f t="shared" si="1099"/>
        <v>1</v>
      </c>
      <c r="I2859" s="121">
        <f t="shared" si="1100"/>
        <v>1.03</v>
      </c>
      <c r="J2859" s="121">
        <f t="shared" si="1101"/>
        <v>1.03</v>
      </c>
      <c r="K2859" s="120">
        <f t="shared" si="1102"/>
        <v>0</v>
      </c>
      <c r="L2859" s="120">
        <f t="shared" si="1103"/>
        <v>0</v>
      </c>
      <c r="M2859" s="246">
        <f t="shared" si="1104"/>
        <v>0</v>
      </c>
      <c r="N2859" s="121">
        <f t="shared" si="1105"/>
        <v>1.03</v>
      </c>
      <c r="O2859" s="246">
        <f t="shared" si="1106"/>
        <v>0.91728665207877469</v>
      </c>
      <c r="P2859" s="121">
        <f t="shared" si="1107"/>
        <v>0</v>
      </c>
      <c r="Q2859" s="121">
        <f t="shared" si="1108"/>
        <v>1</v>
      </c>
      <c r="R2859" s="121">
        <f t="shared" si="1109"/>
        <v>0</v>
      </c>
      <c r="S2859" s="121" t="str">
        <f t="shared" si="1110"/>
        <v/>
      </c>
      <c r="T2859" s="121" t="str">
        <f t="shared" si="1111"/>
        <v/>
      </c>
      <c r="U2859" s="121">
        <f t="shared" si="1112"/>
        <v>1.03</v>
      </c>
    </row>
    <row r="2860" spans="1:21" x14ac:dyDescent="0.3">
      <c r="A2860" s="187">
        <v>28</v>
      </c>
      <c r="B2860" s="242">
        <f t="shared" si="1113"/>
        <v>46478</v>
      </c>
      <c r="C2860" s="243">
        <f t="shared" si="1094"/>
        <v>46507</v>
      </c>
      <c r="D2860" s="120">
        <f t="shared" si="1095"/>
        <v>30</v>
      </c>
      <c r="E2860" s="120">
        <f t="shared" si="1096"/>
        <v>4</v>
      </c>
      <c r="F2860" s="275">
        <f t="shared" si="1097"/>
        <v>46493</v>
      </c>
      <c r="G2860" s="120">
        <f t="shared" si="1098"/>
        <v>24327</v>
      </c>
      <c r="H2860" s="245">
        <f t="shared" si="1099"/>
        <v>1</v>
      </c>
      <c r="I2860" s="121">
        <f t="shared" si="1100"/>
        <v>1.03</v>
      </c>
      <c r="J2860" s="121">
        <f t="shared" si="1101"/>
        <v>1.03</v>
      </c>
      <c r="K2860" s="120">
        <f t="shared" si="1102"/>
        <v>0</v>
      </c>
      <c r="L2860" s="120">
        <f t="shared" si="1103"/>
        <v>0</v>
      </c>
      <c r="M2860" s="246">
        <f t="shared" si="1104"/>
        <v>0</v>
      </c>
      <c r="N2860" s="121">
        <f t="shared" si="1105"/>
        <v>1.03</v>
      </c>
      <c r="O2860" s="246">
        <f t="shared" si="1106"/>
        <v>0.91862144420131298</v>
      </c>
      <c r="P2860" s="121">
        <f t="shared" si="1107"/>
        <v>0</v>
      </c>
      <c r="Q2860" s="121">
        <f t="shared" si="1108"/>
        <v>1</v>
      </c>
      <c r="R2860" s="121">
        <f t="shared" si="1109"/>
        <v>0</v>
      </c>
      <c r="S2860" s="121" t="str">
        <f t="shared" si="1110"/>
        <v/>
      </c>
      <c r="T2860" s="121" t="str">
        <f t="shared" si="1111"/>
        <v/>
      </c>
      <c r="U2860" s="121">
        <f t="shared" si="1112"/>
        <v>1.03</v>
      </c>
    </row>
    <row r="2861" spans="1:21" x14ac:dyDescent="0.3">
      <c r="A2861" s="187">
        <v>29</v>
      </c>
      <c r="B2861" s="242">
        <f t="shared" si="1113"/>
        <v>46508</v>
      </c>
      <c r="C2861" s="243">
        <f t="shared" si="1094"/>
        <v>46538</v>
      </c>
      <c r="D2861" s="120">
        <f t="shared" si="1095"/>
        <v>31</v>
      </c>
      <c r="E2861" s="120">
        <f t="shared" si="1096"/>
        <v>5</v>
      </c>
      <c r="F2861" s="275">
        <f t="shared" si="1097"/>
        <v>46523.5</v>
      </c>
      <c r="G2861" s="120">
        <f t="shared" si="1098"/>
        <v>24328</v>
      </c>
      <c r="H2861" s="245">
        <f t="shared" si="1099"/>
        <v>1</v>
      </c>
      <c r="I2861" s="121">
        <f t="shared" si="1100"/>
        <v>1.03</v>
      </c>
      <c r="J2861" s="121">
        <f t="shared" si="1101"/>
        <v>1.03</v>
      </c>
      <c r="K2861" s="120">
        <f t="shared" si="1102"/>
        <v>0</v>
      </c>
      <c r="L2861" s="120">
        <f t="shared" si="1103"/>
        <v>0</v>
      </c>
      <c r="M2861" s="246">
        <f t="shared" si="1104"/>
        <v>0</v>
      </c>
      <c r="N2861" s="121">
        <f t="shared" si="1105"/>
        <v>1.03</v>
      </c>
      <c r="O2861" s="246">
        <f t="shared" si="1106"/>
        <v>0.91995623632385126</v>
      </c>
      <c r="P2861" s="121">
        <f t="shared" si="1107"/>
        <v>0</v>
      </c>
      <c r="Q2861" s="121">
        <f t="shared" si="1108"/>
        <v>1</v>
      </c>
      <c r="R2861" s="121">
        <f t="shared" si="1109"/>
        <v>0</v>
      </c>
      <c r="S2861" s="121" t="str">
        <f t="shared" si="1110"/>
        <v/>
      </c>
      <c r="T2861" s="121" t="str">
        <f t="shared" si="1111"/>
        <v/>
      </c>
      <c r="U2861" s="121">
        <f t="shared" si="1112"/>
        <v>1.03</v>
      </c>
    </row>
    <row r="2862" spans="1:21" x14ac:dyDescent="0.3">
      <c r="A2862" s="187">
        <v>30</v>
      </c>
      <c r="B2862" s="242">
        <f t="shared" si="1113"/>
        <v>46539</v>
      </c>
      <c r="C2862" s="243">
        <f t="shared" si="1094"/>
        <v>46568</v>
      </c>
      <c r="D2862" s="120">
        <f t="shared" si="1095"/>
        <v>30</v>
      </c>
      <c r="E2862" s="120">
        <f t="shared" si="1096"/>
        <v>6</v>
      </c>
      <c r="F2862" s="275">
        <f t="shared" si="1097"/>
        <v>46554</v>
      </c>
      <c r="G2862" s="120">
        <f t="shared" si="1098"/>
        <v>24329</v>
      </c>
      <c r="H2862" s="245">
        <f t="shared" si="1099"/>
        <v>1</v>
      </c>
      <c r="I2862" s="121">
        <f t="shared" si="1100"/>
        <v>1.03</v>
      </c>
      <c r="J2862" s="121">
        <f t="shared" si="1101"/>
        <v>1.03</v>
      </c>
      <c r="K2862" s="120">
        <f t="shared" si="1102"/>
        <v>0</v>
      </c>
      <c r="L2862" s="120">
        <f t="shared" si="1103"/>
        <v>0</v>
      </c>
      <c r="M2862" s="246">
        <f t="shared" si="1104"/>
        <v>0</v>
      </c>
      <c r="N2862" s="121">
        <f t="shared" si="1105"/>
        <v>1.03</v>
      </c>
      <c r="O2862" s="246">
        <f t="shared" si="1106"/>
        <v>0.92129102844638955</v>
      </c>
      <c r="P2862" s="121">
        <f t="shared" si="1107"/>
        <v>0</v>
      </c>
      <c r="Q2862" s="121">
        <f t="shared" si="1108"/>
        <v>1</v>
      </c>
      <c r="R2862" s="121">
        <f t="shared" si="1109"/>
        <v>0</v>
      </c>
      <c r="S2862" s="121" t="str">
        <f t="shared" si="1110"/>
        <v/>
      </c>
      <c r="T2862" s="121" t="str">
        <f t="shared" si="1111"/>
        <v/>
      </c>
      <c r="U2862" s="121">
        <f t="shared" si="1112"/>
        <v>1.03</v>
      </c>
    </row>
    <row r="2863" spans="1:21" x14ac:dyDescent="0.3">
      <c r="A2863" s="187">
        <v>31</v>
      </c>
      <c r="B2863" s="242">
        <f t="shared" si="1113"/>
        <v>46569</v>
      </c>
      <c r="C2863" s="243">
        <f t="shared" si="1094"/>
        <v>46599</v>
      </c>
      <c r="D2863" s="120">
        <f t="shared" si="1095"/>
        <v>31</v>
      </c>
      <c r="E2863" s="120">
        <f t="shared" si="1096"/>
        <v>7</v>
      </c>
      <c r="F2863" s="275">
        <f t="shared" si="1097"/>
        <v>46584.5</v>
      </c>
      <c r="G2863" s="120">
        <f t="shared" si="1098"/>
        <v>24330</v>
      </c>
      <c r="H2863" s="245">
        <f t="shared" si="1099"/>
        <v>1</v>
      </c>
      <c r="I2863" s="121">
        <f t="shared" si="1100"/>
        <v>1.03</v>
      </c>
      <c r="J2863" s="121">
        <f t="shared" si="1101"/>
        <v>1.03</v>
      </c>
      <c r="K2863" s="120">
        <f t="shared" si="1102"/>
        <v>0</v>
      </c>
      <c r="L2863" s="120">
        <f t="shared" si="1103"/>
        <v>0</v>
      </c>
      <c r="M2863" s="246">
        <f t="shared" si="1104"/>
        <v>0</v>
      </c>
      <c r="N2863" s="121">
        <f t="shared" si="1105"/>
        <v>1.03</v>
      </c>
      <c r="O2863" s="246">
        <f t="shared" si="1106"/>
        <v>0.92262582056892783</v>
      </c>
      <c r="P2863" s="121">
        <f t="shared" si="1107"/>
        <v>0</v>
      </c>
      <c r="Q2863" s="121">
        <f t="shared" si="1108"/>
        <v>0.91666666666666663</v>
      </c>
      <c r="R2863" s="121">
        <f t="shared" si="1109"/>
        <v>8.333333333333337E-2</v>
      </c>
      <c r="S2863" s="121" t="str">
        <f t="shared" si="1110"/>
        <v/>
      </c>
      <c r="T2863" s="121" t="str">
        <f t="shared" si="1111"/>
        <v/>
      </c>
      <c r="U2863" s="121">
        <f t="shared" si="1112"/>
        <v>1.03</v>
      </c>
    </row>
    <row r="2864" spans="1:21" x14ac:dyDescent="0.3">
      <c r="A2864" s="187">
        <v>32</v>
      </c>
      <c r="B2864" s="242">
        <f t="shared" si="1113"/>
        <v>46600</v>
      </c>
      <c r="C2864" s="243">
        <f t="shared" si="1094"/>
        <v>46630</v>
      </c>
      <c r="D2864" s="120">
        <f t="shared" si="1095"/>
        <v>31</v>
      </c>
      <c r="E2864" s="120">
        <f t="shared" si="1096"/>
        <v>8</v>
      </c>
      <c r="F2864" s="275">
        <f t="shared" si="1097"/>
        <v>46615.5</v>
      </c>
      <c r="G2864" s="120">
        <f t="shared" si="1098"/>
        <v>24331</v>
      </c>
      <c r="H2864" s="245">
        <f t="shared" si="1099"/>
        <v>1</v>
      </c>
      <c r="I2864" s="121">
        <f t="shared" si="1100"/>
        <v>1.03</v>
      </c>
      <c r="J2864" s="121">
        <f t="shared" si="1101"/>
        <v>1.03</v>
      </c>
      <c r="K2864" s="120">
        <f t="shared" si="1102"/>
        <v>0</v>
      </c>
      <c r="L2864" s="120">
        <f t="shared" si="1103"/>
        <v>0</v>
      </c>
      <c r="M2864" s="246">
        <f t="shared" si="1104"/>
        <v>0</v>
      </c>
      <c r="N2864" s="121">
        <f t="shared" si="1105"/>
        <v>1.03</v>
      </c>
      <c r="O2864" s="246">
        <f t="shared" si="1106"/>
        <v>0.92398249452954051</v>
      </c>
      <c r="P2864" s="121">
        <f t="shared" si="1107"/>
        <v>0</v>
      </c>
      <c r="Q2864" s="121">
        <f t="shared" si="1108"/>
        <v>0.75</v>
      </c>
      <c r="R2864" s="121">
        <f t="shared" si="1109"/>
        <v>0.25</v>
      </c>
      <c r="S2864" s="121" t="str">
        <f t="shared" si="1110"/>
        <v/>
      </c>
      <c r="T2864" s="121" t="str">
        <f t="shared" si="1111"/>
        <v/>
      </c>
      <c r="U2864" s="121">
        <f t="shared" si="1112"/>
        <v>1.03</v>
      </c>
    </row>
    <row r="2865" spans="1:21" x14ac:dyDescent="0.3">
      <c r="A2865" s="187">
        <v>33</v>
      </c>
      <c r="B2865" s="242">
        <f t="shared" si="1113"/>
        <v>46631</v>
      </c>
      <c r="C2865" s="243">
        <f t="shared" si="1094"/>
        <v>46660</v>
      </c>
      <c r="D2865" s="120">
        <f t="shared" si="1095"/>
        <v>30</v>
      </c>
      <c r="E2865" s="120">
        <f t="shared" si="1096"/>
        <v>9</v>
      </c>
      <c r="F2865" s="275">
        <f t="shared" si="1097"/>
        <v>46646</v>
      </c>
      <c r="G2865" s="120">
        <f t="shared" si="1098"/>
        <v>24332</v>
      </c>
      <c r="H2865" s="245">
        <f t="shared" si="1099"/>
        <v>1</v>
      </c>
      <c r="I2865" s="121">
        <f t="shared" si="1100"/>
        <v>1.03</v>
      </c>
      <c r="J2865" s="121">
        <f t="shared" si="1101"/>
        <v>1.03</v>
      </c>
      <c r="K2865" s="120">
        <f t="shared" si="1102"/>
        <v>0</v>
      </c>
      <c r="L2865" s="120">
        <f t="shared" si="1103"/>
        <v>0</v>
      </c>
      <c r="M2865" s="246">
        <f t="shared" si="1104"/>
        <v>0</v>
      </c>
      <c r="N2865" s="121">
        <f t="shared" si="1105"/>
        <v>1.03</v>
      </c>
      <c r="O2865" s="246">
        <f t="shared" si="1106"/>
        <v>0.9253172866520788</v>
      </c>
      <c r="P2865" s="121">
        <f t="shared" si="1107"/>
        <v>0</v>
      </c>
      <c r="Q2865" s="121">
        <f t="shared" si="1108"/>
        <v>0.58333333333333337</v>
      </c>
      <c r="R2865" s="121">
        <f t="shared" si="1109"/>
        <v>0.41666666666666663</v>
      </c>
      <c r="S2865" s="121" t="str">
        <f t="shared" si="1110"/>
        <v/>
      </c>
      <c r="T2865" s="121" t="str">
        <f t="shared" si="1111"/>
        <v/>
      </c>
      <c r="U2865" s="121">
        <f t="shared" si="1112"/>
        <v>1.03</v>
      </c>
    </row>
    <row r="2866" spans="1:21" x14ac:dyDescent="0.3">
      <c r="A2866" s="187">
        <v>34</v>
      </c>
      <c r="B2866" s="242">
        <f t="shared" si="1113"/>
        <v>46661</v>
      </c>
      <c r="C2866" s="243">
        <f t="shared" si="1094"/>
        <v>46691</v>
      </c>
      <c r="D2866" s="120">
        <f t="shared" si="1095"/>
        <v>31</v>
      </c>
      <c r="E2866" s="120">
        <f t="shared" si="1096"/>
        <v>10</v>
      </c>
      <c r="F2866" s="275">
        <f t="shared" si="1097"/>
        <v>46676.5</v>
      </c>
      <c r="G2866" s="120">
        <f t="shared" si="1098"/>
        <v>24333</v>
      </c>
      <c r="H2866" s="245">
        <f t="shared" si="1099"/>
        <v>1</v>
      </c>
      <c r="I2866" s="121">
        <f t="shared" si="1100"/>
        <v>1.03</v>
      </c>
      <c r="J2866" s="121">
        <f t="shared" si="1101"/>
        <v>1.03</v>
      </c>
      <c r="K2866" s="120">
        <f t="shared" si="1102"/>
        <v>0</v>
      </c>
      <c r="L2866" s="120">
        <f t="shared" si="1103"/>
        <v>0</v>
      </c>
      <c r="M2866" s="246">
        <f t="shared" si="1104"/>
        <v>0</v>
      </c>
      <c r="N2866" s="121">
        <f t="shared" si="1105"/>
        <v>1.03</v>
      </c>
      <c r="O2866" s="246">
        <f t="shared" si="1106"/>
        <v>0.92665207877461708</v>
      </c>
      <c r="P2866" s="121">
        <f t="shared" si="1107"/>
        <v>0</v>
      </c>
      <c r="Q2866" s="121">
        <f t="shared" si="1108"/>
        <v>0.41666666666666669</v>
      </c>
      <c r="R2866" s="121">
        <f t="shared" si="1109"/>
        <v>0.58333333333333326</v>
      </c>
      <c r="S2866" s="121" t="str">
        <f t="shared" si="1110"/>
        <v/>
      </c>
      <c r="T2866" s="121" t="str">
        <f t="shared" si="1111"/>
        <v/>
      </c>
      <c r="U2866" s="121">
        <f t="shared" si="1112"/>
        <v>1.03</v>
      </c>
    </row>
    <row r="2867" spans="1:21" x14ac:dyDescent="0.3">
      <c r="A2867" s="187">
        <v>35</v>
      </c>
      <c r="B2867" s="242">
        <f t="shared" si="1113"/>
        <v>46692</v>
      </c>
      <c r="C2867" s="243">
        <f t="shared" si="1094"/>
        <v>46721</v>
      </c>
      <c r="D2867" s="120">
        <f t="shared" si="1095"/>
        <v>30</v>
      </c>
      <c r="E2867" s="120">
        <f t="shared" si="1096"/>
        <v>11</v>
      </c>
      <c r="F2867" s="275">
        <f t="shared" si="1097"/>
        <v>46707</v>
      </c>
      <c r="G2867" s="120">
        <f t="shared" si="1098"/>
        <v>24334</v>
      </c>
      <c r="H2867" s="245">
        <f t="shared" si="1099"/>
        <v>1</v>
      </c>
      <c r="I2867" s="121">
        <f t="shared" si="1100"/>
        <v>1.03</v>
      </c>
      <c r="J2867" s="121">
        <f t="shared" si="1101"/>
        <v>1.03</v>
      </c>
      <c r="K2867" s="120">
        <f t="shared" si="1102"/>
        <v>0</v>
      </c>
      <c r="L2867" s="120">
        <f t="shared" si="1103"/>
        <v>0</v>
      </c>
      <c r="M2867" s="246">
        <f t="shared" si="1104"/>
        <v>0</v>
      </c>
      <c r="N2867" s="121">
        <f t="shared" si="1105"/>
        <v>1.03</v>
      </c>
      <c r="O2867" s="246">
        <f t="shared" si="1106"/>
        <v>0.92798687089715537</v>
      </c>
      <c r="P2867" s="121">
        <f t="shared" si="1107"/>
        <v>0</v>
      </c>
      <c r="Q2867" s="121">
        <f t="shared" si="1108"/>
        <v>0.25</v>
      </c>
      <c r="R2867" s="121">
        <f t="shared" si="1109"/>
        <v>0.75</v>
      </c>
      <c r="S2867" s="121" t="str">
        <f t="shared" si="1110"/>
        <v/>
      </c>
      <c r="T2867" s="121" t="str">
        <f t="shared" si="1111"/>
        <v/>
      </c>
      <c r="U2867" s="121">
        <f t="shared" si="1112"/>
        <v>1.03</v>
      </c>
    </row>
    <row r="2868" spans="1:21" x14ac:dyDescent="0.3">
      <c r="A2868" s="187">
        <v>36</v>
      </c>
      <c r="B2868" s="242">
        <f t="shared" si="1113"/>
        <v>46722</v>
      </c>
      <c r="C2868" s="243">
        <f t="shared" si="1094"/>
        <v>46752</v>
      </c>
      <c r="D2868" s="120">
        <f t="shared" si="1095"/>
        <v>31</v>
      </c>
      <c r="E2868" s="120">
        <f t="shared" si="1096"/>
        <v>12</v>
      </c>
      <c r="F2868" s="275">
        <f t="shared" si="1097"/>
        <v>46737.5</v>
      </c>
      <c r="G2868" s="120">
        <f t="shared" si="1098"/>
        <v>24335</v>
      </c>
      <c r="H2868" s="245">
        <f t="shared" si="1099"/>
        <v>1</v>
      </c>
      <c r="I2868" s="121">
        <f t="shared" si="1100"/>
        <v>1.03</v>
      </c>
      <c r="J2868" s="121">
        <f t="shared" si="1101"/>
        <v>1.03</v>
      </c>
      <c r="K2868" s="120">
        <f t="shared" si="1102"/>
        <v>0</v>
      </c>
      <c r="L2868" s="120">
        <f t="shared" si="1103"/>
        <v>0</v>
      </c>
      <c r="M2868" s="246">
        <f t="shared" si="1104"/>
        <v>0</v>
      </c>
      <c r="N2868" s="121">
        <f t="shared" si="1105"/>
        <v>1.03</v>
      </c>
      <c r="O2868" s="246">
        <f t="shared" si="1106"/>
        <v>0.92932166301969366</v>
      </c>
      <c r="P2868" s="121">
        <f t="shared" si="1107"/>
        <v>0</v>
      </c>
      <c r="Q2868" s="121">
        <f t="shared" si="1108"/>
        <v>8.3333333333333329E-2</v>
      </c>
      <c r="R2868" s="121">
        <f t="shared" si="1109"/>
        <v>0.91666666666666663</v>
      </c>
      <c r="S2868" s="121" t="str">
        <f t="shared" si="1110"/>
        <v/>
      </c>
      <c r="T2868" s="121" t="str">
        <f t="shared" si="1111"/>
        <v/>
      </c>
      <c r="U2868" s="121">
        <f t="shared" si="1112"/>
        <v>1.03</v>
      </c>
    </row>
    <row r="2869" spans="1:21" x14ac:dyDescent="0.3">
      <c r="A2869" s="187">
        <v>37</v>
      </c>
      <c r="B2869" s="242">
        <f t="shared" si="1113"/>
        <v>46753</v>
      </c>
      <c r="C2869" s="243">
        <f t="shared" si="1094"/>
        <v>46783</v>
      </c>
      <c r="D2869" s="120">
        <f t="shared" si="1095"/>
        <v>31</v>
      </c>
      <c r="E2869" s="120">
        <f t="shared" si="1096"/>
        <v>1</v>
      </c>
      <c r="F2869" s="275">
        <f t="shared" si="1097"/>
        <v>46768.5</v>
      </c>
      <c r="G2869" s="120">
        <f t="shared" si="1098"/>
        <v>24336</v>
      </c>
      <c r="H2869" s="245">
        <f t="shared" si="1099"/>
        <v>1</v>
      </c>
      <c r="I2869" s="121">
        <f t="shared" si="1100"/>
        <v>1.03</v>
      </c>
      <c r="J2869" s="121">
        <f t="shared" si="1101"/>
        <v>1.03</v>
      </c>
      <c r="K2869" s="120">
        <f t="shared" si="1102"/>
        <v>0</v>
      </c>
      <c r="L2869" s="120">
        <f t="shared" si="1103"/>
        <v>0</v>
      </c>
      <c r="M2869" s="246">
        <f t="shared" si="1104"/>
        <v>0</v>
      </c>
      <c r="N2869" s="121">
        <f t="shared" si="1105"/>
        <v>1.03</v>
      </c>
      <c r="O2869" s="246">
        <f t="shared" si="1106"/>
        <v>0.93</v>
      </c>
      <c r="P2869" s="121">
        <f t="shared" si="1107"/>
        <v>0</v>
      </c>
      <c r="Q2869" s="121">
        <f t="shared" si="1108"/>
        <v>0</v>
      </c>
      <c r="R2869" s="121">
        <f t="shared" si="1109"/>
        <v>1</v>
      </c>
      <c r="S2869" s="121" t="str">
        <f t="shared" si="1110"/>
        <v/>
      </c>
      <c r="T2869" s="121" t="str">
        <f t="shared" si="1111"/>
        <v/>
      </c>
      <c r="U2869" s="121">
        <f t="shared" si="1112"/>
        <v>1.03</v>
      </c>
    </row>
    <row r="2870" spans="1:21" x14ac:dyDescent="0.3">
      <c r="A2870" s="187">
        <v>38</v>
      </c>
      <c r="B2870" s="242">
        <f t="shared" si="1113"/>
        <v>46784</v>
      </c>
      <c r="C2870" s="243">
        <f t="shared" si="1094"/>
        <v>46812</v>
      </c>
      <c r="D2870" s="120">
        <f t="shared" si="1095"/>
        <v>29</v>
      </c>
      <c r="E2870" s="120">
        <f t="shared" si="1096"/>
        <v>2</v>
      </c>
      <c r="F2870" s="275">
        <f t="shared" si="1097"/>
        <v>46798.5</v>
      </c>
      <c r="G2870" s="120">
        <f t="shared" si="1098"/>
        <v>24337</v>
      </c>
      <c r="H2870" s="245">
        <f t="shared" si="1099"/>
        <v>1</v>
      </c>
      <c r="I2870" s="121">
        <f t="shared" si="1100"/>
        <v>1.03</v>
      </c>
      <c r="J2870" s="121">
        <f t="shared" si="1101"/>
        <v>1.03</v>
      </c>
      <c r="K2870" s="120">
        <f t="shared" si="1102"/>
        <v>0</v>
      </c>
      <c r="L2870" s="120">
        <f t="shared" si="1103"/>
        <v>0</v>
      </c>
      <c r="M2870" s="246">
        <f t="shared" si="1104"/>
        <v>0</v>
      </c>
      <c r="N2870" s="121">
        <f t="shared" si="1105"/>
        <v>1.03</v>
      </c>
      <c r="O2870" s="246">
        <f t="shared" si="1106"/>
        <v>0.93</v>
      </c>
      <c r="P2870" s="121">
        <f t="shared" si="1107"/>
        <v>0</v>
      </c>
      <c r="Q2870" s="121">
        <f t="shared" si="1108"/>
        <v>0</v>
      </c>
      <c r="R2870" s="121">
        <f t="shared" si="1109"/>
        <v>1</v>
      </c>
      <c r="S2870" s="121" t="str">
        <f t="shared" si="1110"/>
        <v/>
      </c>
      <c r="T2870" s="121" t="str">
        <f t="shared" si="1111"/>
        <v/>
      </c>
      <c r="U2870" s="121">
        <f t="shared" si="1112"/>
        <v>1.03</v>
      </c>
    </row>
    <row r="2871" spans="1:21" x14ac:dyDescent="0.3">
      <c r="A2871" s="187">
        <v>39</v>
      </c>
      <c r="B2871" s="242">
        <f t="shared" si="1113"/>
        <v>46813</v>
      </c>
      <c r="C2871" s="243">
        <f t="shared" si="1094"/>
        <v>46843</v>
      </c>
      <c r="D2871" s="120">
        <f t="shared" si="1095"/>
        <v>31</v>
      </c>
      <c r="E2871" s="120">
        <f t="shared" si="1096"/>
        <v>3</v>
      </c>
      <c r="F2871" s="275">
        <f t="shared" si="1097"/>
        <v>46828.5</v>
      </c>
      <c r="G2871" s="120">
        <f t="shared" si="1098"/>
        <v>24338</v>
      </c>
      <c r="H2871" s="245">
        <f t="shared" si="1099"/>
        <v>1</v>
      </c>
      <c r="I2871" s="121">
        <f t="shared" si="1100"/>
        <v>1.03</v>
      </c>
      <c r="J2871" s="121">
        <f t="shared" si="1101"/>
        <v>1.03</v>
      </c>
      <c r="K2871" s="120">
        <f t="shared" si="1102"/>
        <v>0</v>
      </c>
      <c r="L2871" s="120">
        <f t="shared" si="1103"/>
        <v>0</v>
      </c>
      <c r="M2871" s="246">
        <f t="shared" si="1104"/>
        <v>0</v>
      </c>
      <c r="N2871" s="121">
        <f t="shared" si="1105"/>
        <v>1.03</v>
      </c>
      <c r="O2871" s="246">
        <f t="shared" si="1106"/>
        <v>0.93</v>
      </c>
      <c r="P2871" s="121">
        <f t="shared" si="1107"/>
        <v>0</v>
      </c>
      <c r="Q2871" s="121">
        <f t="shared" si="1108"/>
        <v>0</v>
      </c>
      <c r="R2871" s="121">
        <f t="shared" si="1109"/>
        <v>1</v>
      </c>
      <c r="S2871" s="121" t="str">
        <f t="shared" si="1110"/>
        <v/>
      </c>
      <c r="T2871" s="121" t="str">
        <f t="shared" si="1111"/>
        <v/>
      </c>
      <c r="U2871" s="121">
        <f t="shared" si="1112"/>
        <v>1.03</v>
      </c>
    </row>
    <row r="2872" spans="1:21" x14ac:dyDescent="0.3">
      <c r="A2872" s="187">
        <v>40</v>
      </c>
      <c r="B2872" s="242">
        <f t="shared" si="1113"/>
        <v>46844</v>
      </c>
      <c r="C2872" s="243">
        <f t="shared" si="1094"/>
        <v>46873</v>
      </c>
      <c r="D2872" s="120">
        <f t="shared" si="1095"/>
        <v>30</v>
      </c>
      <c r="E2872" s="120">
        <f t="shared" si="1096"/>
        <v>4</v>
      </c>
      <c r="F2872" s="275">
        <f t="shared" si="1097"/>
        <v>46859</v>
      </c>
      <c r="G2872" s="120">
        <f t="shared" si="1098"/>
        <v>24339</v>
      </c>
      <c r="H2872" s="245">
        <f t="shared" si="1099"/>
        <v>1</v>
      </c>
      <c r="I2872" s="121">
        <f t="shared" si="1100"/>
        <v>1.03</v>
      </c>
      <c r="J2872" s="121">
        <f t="shared" si="1101"/>
        <v>1.03</v>
      </c>
      <c r="K2872" s="120">
        <f t="shared" si="1102"/>
        <v>0</v>
      </c>
      <c r="L2872" s="120">
        <f t="shared" si="1103"/>
        <v>0</v>
      </c>
      <c r="M2872" s="246">
        <f t="shared" si="1104"/>
        <v>0</v>
      </c>
      <c r="N2872" s="121">
        <f t="shared" si="1105"/>
        <v>1.03</v>
      </c>
      <c r="O2872" s="246">
        <f t="shared" si="1106"/>
        <v>0.93</v>
      </c>
      <c r="P2872" s="121">
        <f t="shared" si="1107"/>
        <v>0</v>
      </c>
      <c r="Q2872" s="121">
        <f t="shared" si="1108"/>
        <v>0</v>
      </c>
      <c r="R2872" s="121">
        <f t="shared" si="1109"/>
        <v>1</v>
      </c>
      <c r="S2872" s="121" t="str">
        <f t="shared" si="1110"/>
        <v/>
      </c>
      <c r="T2872" s="121" t="str">
        <f t="shared" si="1111"/>
        <v/>
      </c>
      <c r="U2872" s="121">
        <f t="shared" si="1112"/>
        <v>1.03</v>
      </c>
    </row>
    <row r="2873" spans="1:21" x14ac:dyDescent="0.3">
      <c r="A2873" s="187">
        <v>41</v>
      </c>
      <c r="B2873" s="242">
        <f t="shared" si="1113"/>
        <v>46874</v>
      </c>
      <c r="C2873" s="243">
        <f t="shared" si="1094"/>
        <v>46904</v>
      </c>
      <c r="D2873" s="120">
        <f t="shared" si="1095"/>
        <v>31</v>
      </c>
      <c r="E2873" s="120">
        <f t="shared" si="1096"/>
        <v>5</v>
      </c>
      <c r="F2873" s="275">
        <f t="shared" si="1097"/>
        <v>46889.5</v>
      </c>
      <c r="G2873" s="120">
        <f t="shared" si="1098"/>
        <v>24340</v>
      </c>
      <c r="H2873" s="245">
        <f t="shared" si="1099"/>
        <v>1</v>
      </c>
      <c r="I2873" s="121">
        <f t="shared" si="1100"/>
        <v>1.03</v>
      </c>
      <c r="J2873" s="121">
        <f t="shared" si="1101"/>
        <v>1.03</v>
      </c>
      <c r="K2873" s="120">
        <f t="shared" si="1102"/>
        <v>0</v>
      </c>
      <c r="L2873" s="120">
        <f t="shared" si="1103"/>
        <v>0</v>
      </c>
      <c r="M2873" s="246">
        <f t="shared" si="1104"/>
        <v>0</v>
      </c>
      <c r="N2873" s="121">
        <f t="shared" si="1105"/>
        <v>1.03</v>
      </c>
      <c r="O2873" s="246">
        <f t="shared" si="1106"/>
        <v>0.93</v>
      </c>
      <c r="P2873" s="121">
        <f t="shared" si="1107"/>
        <v>0</v>
      </c>
      <c r="Q2873" s="121">
        <f t="shared" si="1108"/>
        <v>0</v>
      </c>
      <c r="R2873" s="121">
        <f t="shared" si="1109"/>
        <v>1</v>
      </c>
      <c r="S2873" s="121" t="str">
        <f t="shared" si="1110"/>
        <v/>
      </c>
      <c r="T2873" s="121" t="str">
        <f t="shared" si="1111"/>
        <v/>
      </c>
      <c r="U2873" s="121">
        <f t="shared" si="1112"/>
        <v>1.03</v>
      </c>
    </row>
    <row r="2874" spans="1:21" x14ac:dyDescent="0.3">
      <c r="A2874" s="187">
        <v>42</v>
      </c>
      <c r="B2874" s="242">
        <f t="shared" si="1113"/>
        <v>46905</v>
      </c>
      <c r="C2874" s="243">
        <f t="shared" si="1094"/>
        <v>46934</v>
      </c>
      <c r="D2874" s="120">
        <f t="shared" si="1095"/>
        <v>30</v>
      </c>
      <c r="E2874" s="120">
        <f t="shared" si="1096"/>
        <v>6</v>
      </c>
      <c r="F2874" s="275">
        <f t="shared" si="1097"/>
        <v>46920</v>
      </c>
      <c r="G2874" s="120">
        <f t="shared" si="1098"/>
        <v>24341</v>
      </c>
      <c r="H2874" s="245">
        <f t="shared" si="1099"/>
        <v>1</v>
      </c>
      <c r="I2874" s="121">
        <f t="shared" si="1100"/>
        <v>1.03</v>
      </c>
      <c r="J2874" s="121">
        <f t="shared" si="1101"/>
        <v>1.03</v>
      </c>
      <c r="K2874" s="120">
        <f t="shared" si="1102"/>
        <v>0</v>
      </c>
      <c r="L2874" s="120">
        <f t="shared" si="1103"/>
        <v>0</v>
      </c>
      <c r="M2874" s="246">
        <f t="shared" si="1104"/>
        <v>0</v>
      </c>
      <c r="N2874" s="121">
        <f t="shared" si="1105"/>
        <v>1.03</v>
      </c>
      <c r="O2874" s="246">
        <f t="shared" si="1106"/>
        <v>0.93</v>
      </c>
      <c r="P2874" s="121">
        <f t="shared" si="1107"/>
        <v>0</v>
      </c>
      <c r="Q2874" s="121">
        <f t="shared" si="1108"/>
        <v>0</v>
      </c>
      <c r="R2874" s="121">
        <f t="shared" si="1109"/>
        <v>1</v>
      </c>
      <c r="S2874" s="121" t="str">
        <f t="shared" si="1110"/>
        <v/>
      </c>
      <c r="T2874" s="121" t="str">
        <f t="shared" si="1111"/>
        <v/>
      </c>
      <c r="U2874" s="121">
        <f t="shared" si="1112"/>
        <v>1.03</v>
      </c>
    </row>
    <row r="2875" spans="1:21" x14ac:dyDescent="0.3">
      <c r="A2875" s="187">
        <v>43</v>
      </c>
      <c r="B2875" s="242">
        <f t="shared" si="1113"/>
        <v>46935</v>
      </c>
      <c r="C2875" s="243">
        <f t="shared" si="1094"/>
        <v>46965</v>
      </c>
      <c r="D2875" s="120">
        <f t="shared" si="1095"/>
        <v>31</v>
      </c>
      <c r="E2875" s="120">
        <f t="shared" si="1096"/>
        <v>7</v>
      </c>
      <c r="F2875" s="275">
        <f t="shared" si="1097"/>
        <v>46950.5</v>
      </c>
      <c r="G2875" s="120">
        <f t="shared" si="1098"/>
        <v>24342</v>
      </c>
      <c r="H2875" s="245">
        <f t="shared" si="1099"/>
        <v>1</v>
      </c>
      <c r="I2875" s="121">
        <f t="shared" si="1100"/>
        <v>1.03</v>
      </c>
      <c r="J2875" s="121">
        <f t="shared" si="1101"/>
        <v>1.03</v>
      </c>
      <c r="K2875" s="120">
        <f t="shared" si="1102"/>
        <v>0</v>
      </c>
      <c r="L2875" s="120">
        <f t="shared" si="1103"/>
        <v>0</v>
      </c>
      <c r="M2875" s="246">
        <f t="shared" si="1104"/>
        <v>0</v>
      </c>
      <c r="N2875" s="121">
        <f t="shared" si="1105"/>
        <v>1.03</v>
      </c>
      <c r="O2875" s="246">
        <f t="shared" si="1106"/>
        <v>0.93</v>
      </c>
      <c r="P2875" s="121">
        <f t="shared" si="1107"/>
        <v>0</v>
      </c>
      <c r="Q2875" s="121">
        <f t="shared" si="1108"/>
        <v>0</v>
      </c>
      <c r="R2875" s="121">
        <f t="shared" si="1109"/>
        <v>0.91666666666666663</v>
      </c>
      <c r="S2875" s="121" t="str">
        <f t="shared" si="1110"/>
        <v/>
      </c>
      <c r="T2875" s="121" t="str">
        <f t="shared" si="1111"/>
        <v/>
      </c>
      <c r="U2875" s="121">
        <f t="shared" si="1112"/>
        <v>1.03</v>
      </c>
    </row>
    <row r="2876" spans="1:21" x14ac:dyDescent="0.3">
      <c r="A2876" s="187">
        <v>44</v>
      </c>
      <c r="B2876" s="242">
        <f t="shared" si="1113"/>
        <v>46966</v>
      </c>
      <c r="C2876" s="243">
        <f t="shared" si="1094"/>
        <v>46996</v>
      </c>
      <c r="D2876" s="120">
        <f t="shared" si="1095"/>
        <v>31</v>
      </c>
      <c r="E2876" s="120">
        <f t="shared" si="1096"/>
        <v>8</v>
      </c>
      <c r="F2876" s="275">
        <f t="shared" si="1097"/>
        <v>46981.5</v>
      </c>
      <c r="G2876" s="120">
        <f t="shared" si="1098"/>
        <v>24343</v>
      </c>
      <c r="H2876" s="245">
        <f t="shared" si="1099"/>
        <v>1</v>
      </c>
      <c r="I2876" s="121">
        <f t="shared" si="1100"/>
        <v>1.03</v>
      </c>
      <c r="J2876" s="121">
        <f t="shared" si="1101"/>
        <v>1.03</v>
      </c>
      <c r="K2876" s="120">
        <f t="shared" si="1102"/>
        <v>0</v>
      </c>
      <c r="L2876" s="120">
        <f t="shared" si="1103"/>
        <v>0</v>
      </c>
      <c r="M2876" s="246">
        <f t="shared" si="1104"/>
        <v>0</v>
      </c>
      <c r="N2876" s="121">
        <f t="shared" si="1105"/>
        <v>1.03</v>
      </c>
      <c r="O2876" s="246">
        <f t="shared" si="1106"/>
        <v>0.93</v>
      </c>
      <c r="P2876" s="121">
        <f t="shared" si="1107"/>
        <v>0</v>
      </c>
      <c r="Q2876" s="121">
        <f t="shared" si="1108"/>
        <v>0</v>
      </c>
      <c r="R2876" s="121">
        <f t="shared" si="1109"/>
        <v>0.75</v>
      </c>
      <c r="S2876" s="121" t="str">
        <f t="shared" si="1110"/>
        <v/>
      </c>
      <c r="T2876" s="121" t="str">
        <f t="shared" si="1111"/>
        <v/>
      </c>
      <c r="U2876" s="121">
        <f t="shared" si="1112"/>
        <v>1.03</v>
      </c>
    </row>
    <row r="2877" spans="1:21" x14ac:dyDescent="0.3">
      <c r="A2877" s="187">
        <v>45</v>
      </c>
      <c r="B2877" s="242">
        <f t="shared" si="1113"/>
        <v>46997</v>
      </c>
      <c r="C2877" s="243">
        <f t="shared" si="1094"/>
        <v>47026</v>
      </c>
      <c r="D2877" s="120">
        <f t="shared" si="1095"/>
        <v>30</v>
      </c>
      <c r="E2877" s="120">
        <f t="shared" si="1096"/>
        <v>9</v>
      </c>
      <c r="F2877" s="275">
        <f t="shared" si="1097"/>
        <v>47012</v>
      </c>
      <c r="G2877" s="120">
        <f t="shared" si="1098"/>
        <v>24344</v>
      </c>
      <c r="H2877" s="245">
        <f t="shared" si="1099"/>
        <v>1</v>
      </c>
      <c r="I2877" s="121">
        <f t="shared" si="1100"/>
        <v>1.03</v>
      </c>
      <c r="J2877" s="121">
        <f t="shared" si="1101"/>
        <v>1.03</v>
      </c>
      <c r="K2877" s="120">
        <f t="shared" si="1102"/>
        <v>0</v>
      </c>
      <c r="L2877" s="120">
        <f t="shared" si="1103"/>
        <v>0</v>
      </c>
      <c r="M2877" s="246">
        <f t="shared" si="1104"/>
        <v>0</v>
      </c>
      <c r="N2877" s="121">
        <f t="shared" si="1105"/>
        <v>1.03</v>
      </c>
      <c r="O2877" s="246">
        <f t="shared" si="1106"/>
        <v>0.93</v>
      </c>
      <c r="P2877" s="121">
        <f t="shared" si="1107"/>
        <v>0</v>
      </c>
      <c r="Q2877" s="121">
        <f t="shared" si="1108"/>
        <v>0</v>
      </c>
      <c r="R2877" s="121">
        <f t="shared" si="1109"/>
        <v>0.58333333333333337</v>
      </c>
      <c r="S2877" s="121" t="str">
        <f t="shared" si="1110"/>
        <v/>
      </c>
      <c r="T2877" s="121" t="str">
        <f t="shared" si="1111"/>
        <v/>
      </c>
      <c r="U2877" s="121">
        <f t="shared" si="1112"/>
        <v>1.03</v>
      </c>
    </row>
    <row r="2878" spans="1:21" x14ac:dyDescent="0.3">
      <c r="A2878" s="187">
        <v>46</v>
      </c>
      <c r="B2878" s="242">
        <f t="shared" si="1113"/>
        <v>47027</v>
      </c>
      <c r="C2878" s="243">
        <f t="shared" si="1094"/>
        <v>47057</v>
      </c>
      <c r="D2878" s="120">
        <f t="shared" si="1095"/>
        <v>31</v>
      </c>
      <c r="E2878" s="120">
        <f t="shared" si="1096"/>
        <v>10</v>
      </c>
      <c r="F2878" s="275">
        <f t="shared" si="1097"/>
        <v>47042.5</v>
      </c>
      <c r="G2878" s="120">
        <f t="shared" si="1098"/>
        <v>24345</v>
      </c>
      <c r="H2878" s="245">
        <f t="shared" si="1099"/>
        <v>1</v>
      </c>
      <c r="I2878" s="121">
        <f t="shared" si="1100"/>
        <v>1.03</v>
      </c>
      <c r="J2878" s="121">
        <f t="shared" si="1101"/>
        <v>1.03</v>
      </c>
      <c r="K2878" s="120">
        <f t="shared" si="1102"/>
        <v>0</v>
      </c>
      <c r="L2878" s="120">
        <f t="shared" si="1103"/>
        <v>0</v>
      </c>
      <c r="M2878" s="246">
        <f t="shared" si="1104"/>
        <v>0</v>
      </c>
      <c r="N2878" s="121">
        <f t="shared" si="1105"/>
        <v>1.03</v>
      </c>
      <c r="O2878" s="246">
        <f t="shared" si="1106"/>
        <v>0.93</v>
      </c>
      <c r="P2878" s="121">
        <f t="shared" si="1107"/>
        <v>0</v>
      </c>
      <c r="Q2878" s="121">
        <f t="shared" si="1108"/>
        <v>0</v>
      </c>
      <c r="R2878" s="121">
        <f t="shared" si="1109"/>
        <v>0.41666666666666669</v>
      </c>
      <c r="S2878" s="121" t="str">
        <f t="shared" si="1110"/>
        <v/>
      </c>
      <c r="T2878" s="121" t="str">
        <f t="shared" si="1111"/>
        <v/>
      </c>
      <c r="U2878" s="121">
        <f t="shared" si="1112"/>
        <v>1.03</v>
      </c>
    </row>
    <row r="2879" spans="1:21" x14ac:dyDescent="0.3">
      <c r="A2879" s="187">
        <v>47</v>
      </c>
      <c r="B2879" s="242">
        <f t="shared" si="1113"/>
        <v>47058</v>
      </c>
      <c r="C2879" s="243">
        <f t="shared" si="1094"/>
        <v>47087</v>
      </c>
      <c r="D2879" s="120">
        <f t="shared" si="1095"/>
        <v>30</v>
      </c>
      <c r="E2879" s="120">
        <f t="shared" si="1096"/>
        <v>11</v>
      </c>
      <c r="F2879" s="275">
        <f t="shared" si="1097"/>
        <v>47073</v>
      </c>
      <c r="G2879" s="120">
        <f t="shared" si="1098"/>
        <v>24346</v>
      </c>
      <c r="H2879" s="245">
        <f t="shared" si="1099"/>
        <v>1</v>
      </c>
      <c r="I2879" s="121">
        <f t="shared" si="1100"/>
        <v>1.03</v>
      </c>
      <c r="J2879" s="121">
        <f t="shared" si="1101"/>
        <v>1.03</v>
      </c>
      <c r="K2879" s="120">
        <f t="shared" si="1102"/>
        <v>0</v>
      </c>
      <c r="L2879" s="120">
        <f t="shared" si="1103"/>
        <v>0</v>
      </c>
      <c r="M2879" s="246">
        <f t="shared" si="1104"/>
        <v>0</v>
      </c>
      <c r="N2879" s="121">
        <f t="shared" si="1105"/>
        <v>1.03</v>
      </c>
      <c r="O2879" s="246">
        <f t="shared" si="1106"/>
        <v>0.93</v>
      </c>
      <c r="P2879" s="121">
        <f t="shared" si="1107"/>
        <v>0</v>
      </c>
      <c r="Q2879" s="121">
        <f t="shared" si="1108"/>
        <v>0</v>
      </c>
      <c r="R2879" s="121">
        <f t="shared" si="1109"/>
        <v>0.25</v>
      </c>
      <c r="S2879" s="121" t="str">
        <f t="shared" si="1110"/>
        <v/>
      </c>
      <c r="T2879" s="121" t="str">
        <f t="shared" si="1111"/>
        <v/>
      </c>
      <c r="U2879" s="121">
        <f t="shared" si="1112"/>
        <v>1.03</v>
      </c>
    </row>
    <row r="2880" spans="1:21" x14ac:dyDescent="0.3">
      <c r="A2880" s="187">
        <v>48</v>
      </c>
      <c r="B2880" s="242">
        <f t="shared" si="1113"/>
        <v>47088</v>
      </c>
      <c r="C2880" s="243">
        <f t="shared" si="1094"/>
        <v>47118</v>
      </c>
      <c r="D2880" s="120">
        <f t="shared" si="1095"/>
        <v>31</v>
      </c>
      <c r="E2880" s="120">
        <f t="shared" si="1096"/>
        <v>12</v>
      </c>
      <c r="F2880" s="275">
        <f t="shared" si="1097"/>
        <v>47103.5</v>
      </c>
      <c r="G2880" s="120">
        <f t="shared" si="1098"/>
        <v>24347</v>
      </c>
      <c r="H2880" s="245">
        <f t="shared" si="1099"/>
        <v>1</v>
      </c>
      <c r="I2880" s="121">
        <f t="shared" si="1100"/>
        <v>1.03</v>
      </c>
      <c r="J2880" s="121">
        <f t="shared" si="1101"/>
        <v>1.03</v>
      </c>
      <c r="K2880" s="120">
        <f t="shared" si="1102"/>
        <v>0</v>
      </c>
      <c r="L2880" s="120">
        <f t="shared" si="1103"/>
        <v>0</v>
      </c>
      <c r="M2880" s="246">
        <f t="shared" si="1104"/>
        <v>0</v>
      </c>
      <c r="N2880" s="121">
        <f t="shared" si="1105"/>
        <v>1.03</v>
      </c>
      <c r="O2880" s="246">
        <f t="shared" si="1106"/>
        <v>0.93</v>
      </c>
      <c r="P2880" s="121">
        <f t="shared" si="1107"/>
        <v>0</v>
      </c>
      <c r="Q2880" s="121">
        <f t="shared" si="1108"/>
        <v>0</v>
      </c>
      <c r="R2880" s="121">
        <f t="shared" si="1109"/>
        <v>8.3333333333333329E-2</v>
      </c>
      <c r="S2880" s="121" t="str">
        <f t="shared" si="1110"/>
        <v/>
      </c>
      <c r="T2880" s="121" t="str">
        <f t="shared" si="1111"/>
        <v/>
      </c>
      <c r="U2880" s="121">
        <f t="shared" si="1112"/>
        <v>1.03</v>
      </c>
    </row>
    <row r="2881" spans="1:21" x14ac:dyDescent="0.3">
      <c r="A2881" s="6" t="s">
        <v>1651</v>
      </c>
      <c r="B2881" s="73">
        <f>EXP(SUMPRODUCT((rl_key=$A$2830)*(rl_cons="Y")*rl_ln1p))</f>
        <v>1.03</v>
      </c>
      <c r="C2881" s="73">
        <f>SUMPRODUCT($H$2833:$H$2880,$P$2833:$P$2880,$U$2833:$U$2880)/SUMPRODUCT($H$2833:$H$2880,$P$2833:$P$2880)</f>
        <v>1.0149999999999999</v>
      </c>
      <c r="D2881" s="73">
        <f>SUMPRODUCT($H$2833:$H$2880,$Q$2833:$Q$2880,$U$2833:$U$2880)/SUMPRODUCT($H$2833:$H$2880,$Q$2833:$Q$2880)</f>
        <v>1.03</v>
      </c>
      <c r="E2881" s="73">
        <f>SUMPRODUCT($H$2833:$H$2880,$R$2833:$R$2880,$U$2833:$U$2880)/SUMPRODUCT($H$2833:$H$2880,$R$2833:$R$2880)</f>
        <v>1.03</v>
      </c>
      <c r="F2881" s="224">
        <f>SUMPRODUCT($H$2833:$H$2880,$Q$2833:$Q$2880,$O$2833:$O$2880)/SUMPRODUCT($H$2833:$H$2880,$Q$2833:$Q$2880)</f>
        <v>0.91798504741064912</v>
      </c>
      <c r="G2881" s="224">
        <f>SUMPRODUCT($H$2833:$H$2880,$R$2833:$R$2880,$O$2833:$O$2880)/SUMPRODUCT($H$2833:$H$2880,$R$2833:$R$2880)</f>
        <v>0.92932044736202268</v>
      </c>
      <c r="H2881" s="73">
        <f>SUMPRODUCT($H$2857:$H$2868,$N$2857:$N$2868/$N$2845:$N$2856)/SUM($H$2857:$H$2868)</f>
        <v>1.0075000000000001</v>
      </c>
      <c r="I2881" s="73">
        <f>SUMPRODUCT($H$2857:$H$2868,$O$2857:$O$2868/$O$2845:$O$2856)/SUM($H$2857:$H$2868)</f>
        <v>1.0176314239537807</v>
      </c>
      <c r="J2881" s="73">
        <f>IF($O$2830=1,SUMPRODUCT($H$2857:$H$2868,$N$2857:$N$2868/$N$2845:$N$2856*$O$2857:$O$2868/$O$2845:$O$2856)/SUM($H$2857:$H$2868),$H2881)</f>
        <v>1.0252645354149741</v>
      </c>
      <c r="K2881" s="73">
        <f>SUMPRODUCT($H$2833:$H$2880,$Q$2833:$Q$2880,$N$2833:$N$2880)/SUMPRODUCT($H$2833:$H$2880,$Q$2833:$Q$2880)</f>
        <v>1.03</v>
      </c>
      <c r="L2881" s="73">
        <f>SUMPRODUCT($H$2833:$H$2880,$R$2833:$R$2880,$N$2833:$N$2880)/SUMPRODUCT($H$2833:$H$2880,$R$2833:$R$2880)</f>
        <v>1.03</v>
      </c>
    </row>
    <row r="2884" spans="1:21" x14ac:dyDescent="0.3">
      <c r="A2884" s="6" t="str">
        <f>INDEX(lr_key,53)</f>
        <v>SBA|MI</v>
      </c>
      <c r="B2884" s="6" t="str">
        <f>INDEX(lr_state,53)</f>
        <v>MI</v>
      </c>
      <c r="C2884" s="75">
        <f>nr_TermMonths</f>
        <v>6</v>
      </c>
      <c r="D2884" s="75">
        <f>IF(COUNTIF(se_state,$B2884)=0,0,MATCH($B2884,se_state,0))</f>
        <v>0</v>
      </c>
      <c r="E2884" s="70">
        <f>IF($D2884=0,0,INDEX(se_sum,$D2884))</f>
        <v>0</v>
      </c>
      <c r="F2884" s="224">
        <f>IF(N(INDEX(lr_mind,53))=0,1,INDEX(lr_mind,53))</f>
        <v>0.92</v>
      </c>
      <c r="G2884" s="224">
        <f>IF(N(INDEX(lr_m0,53))=0,1,INDEX(lr_m0,53))</f>
        <v>0.91</v>
      </c>
      <c r="H2884" s="74">
        <f>IF(N(INDEX(lr_m0asof,53))=0,DATE(nr_PlanYear-1,10,1),INDEX(lr_m0asof,53))</f>
        <v>46295</v>
      </c>
      <c r="I2884" s="224">
        <f>IF(N(INDEX(lr_m1,53))=0,1,INDEX(lr_m1,53))</f>
        <v>0.91</v>
      </c>
      <c r="J2884" s="224">
        <f>INDEX(lr_mprior,53)</f>
        <v>0</v>
      </c>
      <c r="K2884" s="224">
        <f>INDEX(lr_m2,53)</f>
        <v>0</v>
      </c>
      <c r="L2884" s="6" t="b">
        <f>NOT(ISBLANK(INDEX(lr_netp,53)))</f>
        <v>0</v>
      </c>
      <c r="M2884" s="72">
        <f>N(INDEX(lr_netp,53))</f>
        <v>0</v>
      </c>
      <c r="N2884" s="72">
        <f>IF(ISBLANK(INDEX(lr_netp1,53)),$M$2884,N(INDEX(lr_netp1,53)))</f>
        <v>0</v>
      </c>
      <c r="O2884" s="75">
        <f>IF(AND(nr_ModAdjMaster="ON",INDEX(lr_modadj,53)="ON"),1,0)</f>
        <v>1</v>
      </c>
    </row>
    <row r="2885" spans="1:21" x14ac:dyDescent="0.3">
      <c r="A2885" s="6">
        <f>EDATE($H$2884,-12)+1</f>
        <v>45931</v>
      </c>
      <c r="B2885" s="6">
        <f>$H$2884+1</f>
        <v>46296</v>
      </c>
      <c r="C2885" s="6">
        <f>DATE(nr_PlanYear,12,31)+1</f>
        <v>46753</v>
      </c>
      <c r="D2885" s="6">
        <f>DATE(nr_PlanYear+1,12,31)+1</f>
        <v>47119</v>
      </c>
      <c r="E2885" s="6">
        <f>IF(N($J$2884)=0,$F$2885-($G$2885-$F$2885)/($C$2885-$B$2885)*($B$2885-$A$2885),$J$2884)</f>
        <v>0.91</v>
      </c>
      <c r="F2885" s="6">
        <f>$G$2884</f>
        <v>0.91</v>
      </c>
      <c r="G2885" s="6">
        <f>$I$2884</f>
        <v>0.91</v>
      </c>
      <c r="H2885" s="6">
        <f>IF(N($K$2884)=0,$I$2884,$K$2884)</f>
        <v>0.91</v>
      </c>
      <c r="I2885" s="6">
        <f>($F$2885-$E$2885)/($B$2885-$A$2885)</f>
        <v>0</v>
      </c>
      <c r="J2885" s="6">
        <f>($G$2885-$F$2885)/($C$2885-$B$2885)</f>
        <v>0</v>
      </c>
      <c r="K2885" s="6">
        <f>($H$2885-$G$2885)/($D$2885-$C$2885)</f>
        <v>0</v>
      </c>
    </row>
    <row r="2886" spans="1:21" ht="36" x14ac:dyDescent="0.3">
      <c r="A2886" s="58" t="s">
        <v>390</v>
      </c>
      <c r="B2886" s="58" t="s">
        <v>449</v>
      </c>
      <c r="C2886" s="58" t="s">
        <v>685</v>
      </c>
      <c r="D2886" s="58" t="s">
        <v>686</v>
      </c>
      <c r="E2886" s="58" t="s">
        <v>687</v>
      </c>
      <c r="F2886" s="58" t="s">
        <v>688</v>
      </c>
      <c r="G2886" s="58" t="s">
        <v>689</v>
      </c>
      <c r="H2886" s="58" t="s">
        <v>452</v>
      </c>
      <c r="I2886" s="58" t="s">
        <v>690</v>
      </c>
      <c r="J2886" s="58" t="s">
        <v>691</v>
      </c>
      <c r="K2886" s="58" t="s">
        <v>692</v>
      </c>
      <c r="L2886" s="58" t="s">
        <v>693</v>
      </c>
      <c r="M2886" s="58" t="s">
        <v>694</v>
      </c>
      <c r="N2886" s="58" t="s">
        <v>695</v>
      </c>
      <c r="O2886" s="58" t="s">
        <v>696</v>
      </c>
      <c r="P2886" s="58" t="s">
        <v>697</v>
      </c>
      <c r="Q2886" s="58" t="s">
        <v>698</v>
      </c>
      <c r="R2886" s="58" t="s">
        <v>699</v>
      </c>
      <c r="S2886" s="58" t="s">
        <v>700</v>
      </c>
      <c r="T2886" s="58" t="s">
        <v>701</v>
      </c>
      <c r="U2886" s="58" t="s">
        <v>702</v>
      </c>
    </row>
    <row r="2887" spans="1:21" x14ac:dyDescent="0.3">
      <c r="A2887" s="187">
        <v>1</v>
      </c>
      <c r="B2887" s="242">
        <f>DATE(nr_PlanYear-2,1,1)</f>
        <v>45658</v>
      </c>
      <c r="C2887" s="243">
        <f t="shared" ref="C2887:C2934" si="1114">EOMONTH($B2887,0)</f>
        <v>45688</v>
      </c>
      <c r="D2887" s="120">
        <f t="shared" ref="D2887:D2934" si="1115">$C2887-$B2887+1</f>
        <v>31</v>
      </c>
      <c r="E2887" s="120">
        <f t="shared" ref="E2887:E2934" si="1116">MONTH($B2887)</f>
        <v>1</v>
      </c>
      <c r="F2887" s="275">
        <f t="shared" ref="F2887:F2934" si="1117">($B2887+$C2887+1)/2</f>
        <v>45673.5</v>
      </c>
      <c r="G2887" s="120">
        <f t="shared" ref="G2887:G2934" si="1118">YEAR($B2887)*12+MONTH($B2887)-1</f>
        <v>24300</v>
      </c>
      <c r="H2887" s="245">
        <f t="shared" ref="H2887:H2934" si="1119">IF(OR(nr_SeasonOn="OFF",$D$2884=0,$E$2884=0),1,12*INDEX(se_block,$D$2884,$E2887)/$E$2884)</f>
        <v>1</v>
      </c>
      <c r="I2887" s="121">
        <f t="shared" ref="I2887:I2934" si="1120">EXP(SUMPRODUCT((rl_eff&lt;$B2887)*(rl_key=$A$2884)*rl_ln1p))</f>
        <v>1</v>
      </c>
      <c r="J2887" s="121">
        <f t="shared" ref="J2887:J2934" si="1121">EXP(SUMPRODUCT((rl_eff&lt;=$C2887)*(rl_key=$A$2884)*rl_ln1p))</f>
        <v>1</v>
      </c>
      <c r="K2887" s="120">
        <f t="shared" ref="K2887:K2934" si="1122">COUNTIFS(rl_key,$A$2884,rl_eff,"&gt;="&amp;$B2887,rl_eff,"&lt;="&amp;$C2887)</f>
        <v>0</v>
      </c>
      <c r="L2887" s="120">
        <f t="shared" ref="L2887:L2934" si="1123">SUMIFS(rl_daysafter,rl_key,$A$2884,rl_effmonth,$B2887,rl_first,1)</f>
        <v>0</v>
      </c>
      <c r="M2887" s="246">
        <f t="shared" ref="M2887:M2934" si="1124">IF($K2887=0,0,MIN(1,$L2887/$D2887))</f>
        <v>0</v>
      </c>
      <c r="N2887" s="121">
        <f t="shared" ref="N2887:N2934" si="1125">IF($K2887=0,$J2887,(1-$M2887)*$I2887+$M2887*$J2887)</f>
        <v>1</v>
      </c>
      <c r="O2887" s="246">
        <f t="shared" ref="O2887:O2934" si="1126">IF($F2887&lt;$B$2885,$E$2885+$I$2885*($F2887-$A$2885),IF($F2887&lt;$C$2885,$F$2885+$J$2885*($F2887-$B$2885),$G$2885+$K$2885*($F2887-$C$2885)))</f>
        <v>0.91</v>
      </c>
      <c r="P2887" s="121">
        <f t="shared" ref="P2887:P2934" si="1127">MIN(1,MAX(0,(nr_MEndPm1-$G2887+0.5)/$C$2884))-MIN(1,MAX(0,(nr_MStartPm1-1-$G2887+0.5)/$C$2884))</f>
        <v>0</v>
      </c>
      <c r="Q2887" s="121">
        <f t="shared" ref="Q2887:Q2934" si="1128">MIN(1,MAX(0,(nr_MEndP-$G2887+0.5)/$C$2884))-MIN(1,MAX(0,(nr_MStartP-1-$G2887+0.5)/$C$2884))</f>
        <v>0</v>
      </c>
      <c r="R2887" s="121">
        <f t="shared" ref="R2887:R2934" si="1129">MIN(1,MAX(0,(nr_MEndP1-$G2887+0.5)/$C$2884))-MIN(1,MAX(0,(nr_MStartP1-1-$G2887+0.5)/$C$2884))</f>
        <v>0</v>
      </c>
      <c r="S2887" s="121" t="str">
        <f t="shared" ref="S2887:S2934" si="1130">IF($L$2884,$N2887*IF($O$2884=1,$O2887/$F$2884,1),"")</f>
        <v/>
      </c>
      <c r="T2887" s="121" t="str">
        <f t="shared" ref="T2887:T2934" si="1131">IF(NOT($L$2884),"",IF($G2887&lt;nr_MStartP,$S2887,$T2875*(1+IF($G2887&lt;nr_MStartP1,$M$2884,$N$2884))))</f>
        <v/>
      </c>
      <c r="U2887" s="121">
        <f t="shared" ref="U2887:U2934" si="1132">IF($L$2884,$T2887,$N2887)</f>
        <v>1</v>
      </c>
    </row>
    <row r="2888" spans="1:21" x14ac:dyDescent="0.3">
      <c r="A2888" s="187">
        <v>2</v>
      </c>
      <c r="B2888" s="242">
        <f t="shared" ref="B2888:B2934" si="1133">EDATE($B2887,1)</f>
        <v>45689</v>
      </c>
      <c r="C2888" s="243">
        <f t="shared" si="1114"/>
        <v>45716</v>
      </c>
      <c r="D2888" s="120">
        <f t="shared" si="1115"/>
        <v>28</v>
      </c>
      <c r="E2888" s="120">
        <f t="shared" si="1116"/>
        <v>2</v>
      </c>
      <c r="F2888" s="275">
        <f t="shared" si="1117"/>
        <v>45703</v>
      </c>
      <c r="G2888" s="120">
        <f t="shared" si="1118"/>
        <v>24301</v>
      </c>
      <c r="H2888" s="245">
        <f t="shared" si="1119"/>
        <v>1</v>
      </c>
      <c r="I2888" s="121">
        <f t="shared" si="1120"/>
        <v>1</v>
      </c>
      <c r="J2888" s="121">
        <f t="shared" si="1121"/>
        <v>1</v>
      </c>
      <c r="K2888" s="120">
        <f t="shared" si="1122"/>
        <v>0</v>
      </c>
      <c r="L2888" s="120">
        <f t="shared" si="1123"/>
        <v>0</v>
      </c>
      <c r="M2888" s="246">
        <f t="shared" si="1124"/>
        <v>0</v>
      </c>
      <c r="N2888" s="121">
        <f t="shared" si="1125"/>
        <v>1</v>
      </c>
      <c r="O2888" s="246">
        <f t="shared" si="1126"/>
        <v>0.91</v>
      </c>
      <c r="P2888" s="121">
        <f t="shared" si="1127"/>
        <v>0</v>
      </c>
      <c r="Q2888" s="121">
        <f t="shared" si="1128"/>
        <v>0</v>
      </c>
      <c r="R2888" s="121">
        <f t="shared" si="1129"/>
        <v>0</v>
      </c>
      <c r="S2888" s="121" t="str">
        <f t="shared" si="1130"/>
        <v/>
      </c>
      <c r="T2888" s="121" t="str">
        <f t="shared" si="1131"/>
        <v/>
      </c>
      <c r="U2888" s="121">
        <f t="shared" si="1132"/>
        <v>1</v>
      </c>
    </row>
    <row r="2889" spans="1:21" x14ac:dyDescent="0.3">
      <c r="A2889" s="187">
        <v>3</v>
      </c>
      <c r="B2889" s="242">
        <f t="shared" si="1133"/>
        <v>45717</v>
      </c>
      <c r="C2889" s="243">
        <f t="shared" si="1114"/>
        <v>45747</v>
      </c>
      <c r="D2889" s="120">
        <f t="shared" si="1115"/>
        <v>31</v>
      </c>
      <c r="E2889" s="120">
        <f t="shared" si="1116"/>
        <v>3</v>
      </c>
      <c r="F2889" s="275">
        <f t="shared" si="1117"/>
        <v>45732.5</v>
      </c>
      <c r="G2889" s="120">
        <f t="shared" si="1118"/>
        <v>24302</v>
      </c>
      <c r="H2889" s="245">
        <f t="shared" si="1119"/>
        <v>1</v>
      </c>
      <c r="I2889" s="121">
        <f t="shared" si="1120"/>
        <v>1</v>
      </c>
      <c r="J2889" s="121">
        <f t="shared" si="1121"/>
        <v>1</v>
      </c>
      <c r="K2889" s="120">
        <f t="shared" si="1122"/>
        <v>0</v>
      </c>
      <c r="L2889" s="120">
        <f t="shared" si="1123"/>
        <v>0</v>
      </c>
      <c r="M2889" s="246">
        <f t="shared" si="1124"/>
        <v>0</v>
      </c>
      <c r="N2889" s="121">
        <f t="shared" si="1125"/>
        <v>1</v>
      </c>
      <c r="O2889" s="246">
        <f t="shared" si="1126"/>
        <v>0.91</v>
      </c>
      <c r="P2889" s="121">
        <f t="shared" si="1127"/>
        <v>0</v>
      </c>
      <c r="Q2889" s="121">
        <f t="shared" si="1128"/>
        <v>0</v>
      </c>
      <c r="R2889" s="121">
        <f t="shared" si="1129"/>
        <v>0</v>
      </c>
      <c r="S2889" s="121" t="str">
        <f t="shared" si="1130"/>
        <v/>
      </c>
      <c r="T2889" s="121" t="str">
        <f t="shared" si="1131"/>
        <v/>
      </c>
      <c r="U2889" s="121">
        <f t="shared" si="1132"/>
        <v>1</v>
      </c>
    </row>
    <row r="2890" spans="1:21" x14ac:dyDescent="0.3">
      <c r="A2890" s="187">
        <v>4</v>
      </c>
      <c r="B2890" s="242">
        <f t="shared" si="1133"/>
        <v>45748</v>
      </c>
      <c r="C2890" s="243">
        <f t="shared" si="1114"/>
        <v>45777</v>
      </c>
      <c r="D2890" s="120">
        <f t="shared" si="1115"/>
        <v>30</v>
      </c>
      <c r="E2890" s="120">
        <f t="shared" si="1116"/>
        <v>4</v>
      </c>
      <c r="F2890" s="275">
        <f t="shared" si="1117"/>
        <v>45763</v>
      </c>
      <c r="G2890" s="120">
        <f t="shared" si="1118"/>
        <v>24303</v>
      </c>
      <c r="H2890" s="245">
        <f t="shared" si="1119"/>
        <v>1</v>
      </c>
      <c r="I2890" s="121">
        <f t="shared" si="1120"/>
        <v>1</v>
      </c>
      <c r="J2890" s="121">
        <f t="shared" si="1121"/>
        <v>1</v>
      </c>
      <c r="K2890" s="120">
        <f t="shared" si="1122"/>
        <v>0</v>
      </c>
      <c r="L2890" s="120">
        <f t="shared" si="1123"/>
        <v>0</v>
      </c>
      <c r="M2890" s="246">
        <f t="shared" si="1124"/>
        <v>0</v>
      </c>
      <c r="N2890" s="121">
        <f t="shared" si="1125"/>
        <v>1</v>
      </c>
      <c r="O2890" s="246">
        <f t="shared" si="1126"/>
        <v>0.91</v>
      </c>
      <c r="P2890" s="121">
        <f t="shared" si="1127"/>
        <v>0</v>
      </c>
      <c r="Q2890" s="121">
        <f t="shared" si="1128"/>
        <v>0</v>
      </c>
      <c r="R2890" s="121">
        <f t="shared" si="1129"/>
        <v>0</v>
      </c>
      <c r="S2890" s="121" t="str">
        <f t="shared" si="1130"/>
        <v/>
      </c>
      <c r="T2890" s="121" t="str">
        <f t="shared" si="1131"/>
        <v/>
      </c>
      <c r="U2890" s="121">
        <f t="shared" si="1132"/>
        <v>1</v>
      </c>
    </row>
    <row r="2891" spans="1:21" x14ac:dyDescent="0.3">
      <c r="A2891" s="187">
        <v>5</v>
      </c>
      <c r="B2891" s="242">
        <f t="shared" si="1133"/>
        <v>45778</v>
      </c>
      <c r="C2891" s="243">
        <f t="shared" si="1114"/>
        <v>45808</v>
      </c>
      <c r="D2891" s="120">
        <f t="shared" si="1115"/>
        <v>31</v>
      </c>
      <c r="E2891" s="120">
        <f t="shared" si="1116"/>
        <v>5</v>
      </c>
      <c r="F2891" s="275">
        <f t="shared" si="1117"/>
        <v>45793.5</v>
      </c>
      <c r="G2891" s="120">
        <f t="shared" si="1118"/>
        <v>24304</v>
      </c>
      <c r="H2891" s="245">
        <f t="shared" si="1119"/>
        <v>1</v>
      </c>
      <c r="I2891" s="121">
        <f t="shared" si="1120"/>
        <v>1</v>
      </c>
      <c r="J2891" s="121">
        <f t="shared" si="1121"/>
        <v>1</v>
      </c>
      <c r="K2891" s="120">
        <f t="shared" si="1122"/>
        <v>0</v>
      </c>
      <c r="L2891" s="120">
        <f t="shared" si="1123"/>
        <v>0</v>
      </c>
      <c r="M2891" s="246">
        <f t="shared" si="1124"/>
        <v>0</v>
      </c>
      <c r="N2891" s="121">
        <f t="shared" si="1125"/>
        <v>1</v>
      </c>
      <c r="O2891" s="246">
        <f t="shared" si="1126"/>
        <v>0.91</v>
      </c>
      <c r="P2891" s="121">
        <f t="shared" si="1127"/>
        <v>0</v>
      </c>
      <c r="Q2891" s="121">
        <f t="shared" si="1128"/>
        <v>0</v>
      </c>
      <c r="R2891" s="121">
        <f t="shared" si="1129"/>
        <v>0</v>
      </c>
      <c r="S2891" s="121" t="str">
        <f t="shared" si="1130"/>
        <v/>
      </c>
      <c r="T2891" s="121" t="str">
        <f t="shared" si="1131"/>
        <v/>
      </c>
      <c r="U2891" s="121">
        <f t="shared" si="1132"/>
        <v>1</v>
      </c>
    </row>
    <row r="2892" spans="1:21" x14ac:dyDescent="0.3">
      <c r="A2892" s="187">
        <v>6</v>
      </c>
      <c r="B2892" s="242">
        <f t="shared" si="1133"/>
        <v>45809</v>
      </c>
      <c r="C2892" s="243">
        <f t="shared" si="1114"/>
        <v>45838</v>
      </c>
      <c r="D2892" s="120">
        <f t="shared" si="1115"/>
        <v>30</v>
      </c>
      <c r="E2892" s="120">
        <f t="shared" si="1116"/>
        <v>6</v>
      </c>
      <c r="F2892" s="275">
        <f t="shared" si="1117"/>
        <v>45824</v>
      </c>
      <c r="G2892" s="120">
        <f t="shared" si="1118"/>
        <v>24305</v>
      </c>
      <c r="H2892" s="245">
        <f t="shared" si="1119"/>
        <v>1</v>
      </c>
      <c r="I2892" s="121">
        <f t="shared" si="1120"/>
        <v>1</v>
      </c>
      <c r="J2892" s="121">
        <f t="shared" si="1121"/>
        <v>1</v>
      </c>
      <c r="K2892" s="120">
        <f t="shared" si="1122"/>
        <v>0</v>
      </c>
      <c r="L2892" s="120">
        <f t="shared" si="1123"/>
        <v>0</v>
      </c>
      <c r="M2892" s="246">
        <f t="shared" si="1124"/>
        <v>0</v>
      </c>
      <c r="N2892" s="121">
        <f t="shared" si="1125"/>
        <v>1</v>
      </c>
      <c r="O2892" s="246">
        <f t="shared" si="1126"/>
        <v>0.91</v>
      </c>
      <c r="P2892" s="121">
        <f t="shared" si="1127"/>
        <v>0</v>
      </c>
      <c r="Q2892" s="121">
        <f t="shared" si="1128"/>
        <v>0</v>
      </c>
      <c r="R2892" s="121">
        <f t="shared" si="1129"/>
        <v>0</v>
      </c>
      <c r="S2892" s="121" t="str">
        <f t="shared" si="1130"/>
        <v/>
      </c>
      <c r="T2892" s="121" t="str">
        <f t="shared" si="1131"/>
        <v/>
      </c>
      <c r="U2892" s="121">
        <f t="shared" si="1132"/>
        <v>1</v>
      </c>
    </row>
    <row r="2893" spans="1:21" x14ac:dyDescent="0.3">
      <c r="A2893" s="187">
        <v>7</v>
      </c>
      <c r="B2893" s="242">
        <f t="shared" si="1133"/>
        <v>45839</v>
      </c>
      <c r="C2893" s="243">
        <f t="shared" si="1114"/>
        <v>45869</v>
      </c>
      <c r="D2893" s="120">
        <f t="shared" si="1115"/>
        <v>31</v>
      </c>
      <c r="E2893" s="120">
        <f t="shared" si="1116"/>
        <v>7</v>
      </c>
      <c r="F2893" s="275">
        <f t="shared" si="1117"/>
        <v>45854.5</v>
      </c>
      <c r="G2893" s="120">
        <f t="shared" si="1118"/>
        <v>24306</v>
      </c>
      <c r="H2893" s="245">
        <f t="shared" si="1119"/>
        <v>1</v>
      </c>
      <c r="I2893" s="121">
        <f t="shared" si="1120"/>
        <v>1</v>
      </c>
      <c r="J2893" s="121">
        <f t="shared" si="1121"/>
        <v>1</v>
      </c>
      <c r="K2893" s="120">
        <f t="shared" si="1122"/>
        <v>0</v>
      </c>
      <c r="L2893" s="120">
        <f t="shared" si="1123"/>
        <v>0</v>
      </c>
      <c r="M2893" s="246">
        <f t="shared" si="1124"/>
        <v>0</v>
      </c>
      <c r="N2893" s="121">
        <f t="shared" si="1125"/>
        <v>1</v>
      </c>
      <c r="O2893" s="246">
        <f t="shared" si="1126"/>
        <v>0.91</v>
      </c>
      <c r="P2893" s="121">
        <f t="shared" si="1127"/>
        <v>8.333333333333337E-2</v>
      </c>
      <c r="Q2893" s="121">
        <f t="shared" si="1128"/>
        <v>0</v>
      </c>
      <c r="R2893" s="121">
        <f t="shared" si="1129"/>
        <v>0</v>
      </c>
      <c r="S2893" s="121" t="str">
        <f t="shared" si="1130"/>
        <v/>
      </c>
      <c r="T2893" s="121" t="str">
        <f t="shared" si="1131"/>
        <v/>
      </c>
      <c r="U2893" s="121">
        <f t="shared" si="1132"/>
        <v>1</v>
      </c>
    </row>
    <row r="2894" spans="1:21" x14ac:dyDescent="0.3">
      <c r="A2894" s="187">
        <v>8</v>
      </c>
      <c r="B2894" s="242">
        <f t="shared" si="1133"/>
        <v>45870</v>
      </c>
      <c r="C2894" s="243">
        <f t="shared" si="1114"/>
        <v>45900</v>
      </c>
      <c r="D2894" s="120">
        <f t="shared" si="1115"/>
        <v>31</v>
      </c>
      <c r="E2894" s="120">
        <f t="shared" si="1116"/>
        <v>8</v>
      </c>
      <c r="F2894" s="275">
        <f t="shared" si="1117"/>
        <v>45885.5</v>
      </c>
      <c r="G2894" s="120">
        <f t="shared" si="1118"/>
        <v>24307</v>
      </c>
      <c r="H2894" s="245">
        <f t="shared" si="1119"/>
        <v>1</v>
      </c>
      <c r="I2894" s="121">
        <f t="shared" si="1120"/>
        <v>1</v>
      </c>
      <c r="J2894" s="121">
        <f t="shared" si="1121"/>
        <v>1</v>
      </c>
      <c r="K2894" s="120">
        <f t="shared" si="1122"/>
        <v>0</v>
      </c>
      <c r="L2894" s="120">
        <f t="shared" si="1123"/>
        <v>0</v>
      </c>
      <c r="M2894" s="246">
        <f t="shared" si="1124"/>
        <v>0</v>
      </c>
      <c r="N2894" s="121">
        <f t="shared" si="1125"/>
        <v>1</v>
      </c>
      <c r="O2894" s="246">
        <f t="shared" si="1126"/>
        <v>0.91</v>
      </c>
      <c r="P2894" s="121">
        <f t="shared" si="1127"/>
        <v>0.25</v>
      </c>
      <c r="Q2894" s="121">
        <f t="shared" si="1128"/>
        <v>0</v>
      </c>
      <c r="R2894" s="121">
        <f t="shared" si="1129"/>
        <v>0</v>
      </c>
      <c r="S2894" s="121" t="str">
        <f t="shared" si="1130"/>
        <v/>
      </c>
      <c r="T2894" s="121" t="str">
        <f t="shared" si="1131"/>
        <v/>
      </c>
      <c r="U2894" s="121">
        <f t="shared" si="1132"/>
        <v>1</v>
      </c>
    </row>
    <row r="2895" spans="1:21" x14ac:dyDescent="0.3">
      <c r="A2895" s="187">
        <v>9</v>
      </c>
      <c r="B2895" s="242">
        <f t="shared" si="1133"/>
        <v>45901</v>
      </c>
      <c r="C2895" s="243">
        <f t="shared" si="1114"/>
        <v>45930</v>
      </c>
      <c r="D2895" s="120">
        <f t="shared" si="1115"/>
        <v>30</v>
      </c>
      <c r="E2895" s="120">
        <f t="shared" si="1116"/>
        <v>9</v>
      </c>
      <c r="F2895" s="275">
        <f t="shared" si="1117"/>
        <v>45916</v>
      </c>
      <c r="G2895" s="120">
        <f t="shared" si="1118"/>
        <v>24308</v>
      </c>
      <c r="H2895" s="245">
        <f t="shared" si="1119"/>
        <v>1</v>
      </c>
      <c r="I2895" s="121">
        <f t="shared" si="1120"/>
        <v>1</v>
      </c>
      <c r="J2895" s="121">
        <f t="shared" si="1121"/>
        <v>1</v>
      </c>
      <c r="K2895" s="120">
        <f t="shared" si="1122"/>
        <v>0</v>
      </c>
      <c r="L2895" s="120">
        <f t="shared" si="1123"/>
        <v>0</v>
      </c>
      <c r="M2895" s="246">
        <f t="shared" si="1124"/>
        <v>0</v>
      </c>
      <c r="N2895" s="121">
        <f t="shared" si="1125"/>
        <v>1</v>
      </c>
      <c r="O2895" s="246">
        <f t="shared" si="1126"/>
        <v>0.91</v>
      </c>
      <c r="P2895" s="121">
        <f t="shared" si="1127"/>
        <v>0.41666666666666663</v>
      </c>
      <c r="Q2895" s="121">
        <f t="shared" si="1128"/>
        <v>0</v>
      </c>
      <c r="R2895" s="121">
        <f t="shared" si="1129"/>
        <v>0</v>
      </c>
      <c r="S2895" s="121" t="str">
        <f t="shared" si="1130"/>
        <v/>
      </c>
      <c r="T2895" s="121" t="str">
        <f t="shared" si="1131"/>
        <v/>
      </c>
      <c r="U2895" s="121">
        <f t="shared" si="1132"/>
        <v>1</v>
      </c>
    </row>
    <row r="2896" spans="1:21" x14ac:dyDescent="0.3">
      <c r="A2896" s="187">
        <v>10</v>
      </c>
      <c r="B2896" s="242">
        <f t="shared" si="1133"/>
        <v>45931</v>
      </c>
      <c r="C2896" s="243">
        <f t="shared" si="1114"/>
        <v>45961</v>
      </c>
      <c r="D2896" s="120">
        <f t="shared" si="1115"/>
        <v>31</v>
      </c>
      <c r="E2896" s="120">
        <f t="shared" si="1116"/>
        <v>10</v>
      </c>
      <c r="F2896" s="275">
        <f t="shared" si="1117"/>
        <v>45946.5</v>
      </c>
      <c r="G2896" s="120">
        <f t="shared" si="1118"/>
        <v>24309</v>
      </c>
      <c r="H2896" s="245">
        <f t="shared" si="1119"/>
        <v>1</v>
      </c>
      <c r="I2896" s="121">
        <f t="shared" si="1120"/>
        <v>1</v>
      </c>
      <c r="J2896" s="121">
        <f t="shared" si="1121"/>
        <v>1</v>
      </c>
      <c r="K2896" s="120">
        <f t="shared" si="1122"/>
        <v>0</v>
      </c>
      <c r="L2896" s="120">
        <f t="shared" si="1123"/>
        <v>0</v>
      </c>
      <c r="M2896" s="246">
        <f t="shared" si="1124"/>
        <v>0</v>
      </c>
      <c r="N2896" s="121">
        <f t="shared" si="1125"/>
        <v>1</v>
      </c>
      <c r="O2896" s="246">
        <f t="shared" si="1126"/>
        <v>0.91</v>
      </c>
      <c r="P2896" s="121">
        <f t="shared" si="1127"/>
        <v>0.58333333333333326</v>
      </c>
      <c r="Q2896" s="121">
        <f t="shared" si="1128"/>
        <v>0</v>
      </c>
      <c r="R2896" s="121">
        <f t="shared" si="1129"/>
        <v>0</v>
      </c>
      <c r="S2896" s="121" t="str">
        <f t="shared" si="1130"/>
        <v/>
      </c>
      <c r="T2896" s="121" t="str">
        <f t="shared" si="1131"/>
        <v/>
      </c>
      <c r="U2896" s="121">
        <f t="shared" si="1132"/>
        <v>1</v>
      </c>
    </row>
    <row r="2897" spans="1:21" x14ac:dyDescent="0.3">
      <c r="A2897" s="187">
        <v>11</v>
      </c>
      <c r="B2897" s="242">
        <f t="shared" si="1133"/>
        <v>45962</v>
      </c>
      <c r="C2897" s="243">
        <f t="shared" si="1114"/>
        <v>45991</v>
      </c>
      <c r="D2897" s="120">
        <f t="shared" si="1115"/>
        <v>30</v>
      </c>
      <c r="E2897" s="120">
        <f t="shared" si="1116"/>
        <v>11</v>
      </c>
      <c r="F2897" s="275">
        <f t="shared" si="1117"/>
        <v>45977</v>
      </c>
      <c r="G2897" s="120">
        <f t="shared" si="1118"/>
        <v>24310</v>
      </c>
      <c r="H2897" s="245">
        <f t="shared" si="1119"/>
        <v>1</v>
      </c>
      <c r="I2897" s="121">
        <f t="shared" si="1120"/>
        <v>1</v>
      </c>
      <c r="J2897" s="121">
        <f t="shared" si="1121"/>
        <v>1</v>
      </c>
      <c r="K2897" s="120">
        <f t="shared" si="1122"/>
        <v>0</v>
      </c>
      <c r="L2897" s="120">
        <f t="shared" si="1123"/>
        <v>0</v>
      </c>
      <c r="M2897" s="246">
        <f t="shared" si="1124"/>
        <v>0</v>
      </c>
      <c r="N2897" s="121">
        <f t="shared" si="1125"/>
        <v>1</v>
      </c>
      <c r="O2897" s="246">
        <f t="shared" si="1126"/>
        <v>0.91</v>
      </c>
      <c r="P2897" s="121">
        <f t="shared" si="1127"/>
        <v>0.75</v>
      </c>
      <c r="Q2897" s="121">
        <f t="shared" si="1128"/>
        <v>0</v>
      </c>
      <c r="R2897" s="121">
        <f t="shared" si="1129"/>
        <v>0</v>
      </c>
      <c r="S2897" s="121" t="str">
        <f t="shared" si="1130"/>
        <v/>
      </c>
      <c r="T2897" s="121" t="str">
        <f t="shared" si="1131"/>
        <v/>
      </c>
      <c r="U2897" s="121">
        <f t="shared" si="1132"/>
        <v>1</v>
      </c>
    </row>
    <row r="2898" spans="1:21" x14ac:dyDescent="0.3">
      <c r="A2898" s="187">
        <v>12</v>
      </c>
      <c r="B2898" s="242">
        <f t="shared" si="1133"/>
        <v>45992</v>
      </c>
      <c r="C2898" s="243">
        <f t="shared" si="1114"/>
        <v>46022</v>
      </c>
      <c r="D2898" s="120">
        <f t="shared" si="1115"/>
        <v>31</v>
      </c>
      <c r="E2898" s="120">
        <f t="shared" si="1116"/>
        <v>12</v>
      </c>
      <c r="F2898" s="275">
        <f t="shared" si="1117"/>
        <v>46007.5</v>
      </c>
      <c r="G2898" s="120">
        <f t="shared" si="1118"/>
        <v>24311</v>
      </c>
      <c r="H2898" s="245">
        <f t="shared" si="1119"/>
        <v>1</v>
      </c>
      <c r="I2898" s="121">
        <f t="shared" si="1120"/>
        <v>1</v>
      </c>
      <c r="J2898" s="121">
        <f t="shared" si="1121"/>
        <v>1</v>
      </c>
      <c r="K2898" s="120">
        <f t="shared" si="1122"/>
        <v>0</v>
      </c>
      <c r="L2898" s="120">
        <f t="shared" si="1123"/>
        <v>0</v>
      </c>
      <c r="M2898" s="246">
        <f t="shared" si="1124"/>
        <v>0</v>
      </c>
      <c r="N2898" s="121">
        <f t="shared" si="1125"/>
        <v>1</v>
      </c>
      <c r="O2898" s="246">
        <f t="shared" si="1126"/>
        <v>0.91</v>
      </c>
      <c r="P2898" s="121">
        <f t="shared" si="1127"/>
        <v>0.91666666666666663</v>
      </c>
      <c r="Q2898" s="121">
        <f t="shared" si="1128"/>
        <v>0</v>
      </c>
      <c r="R2898" s="121">
        <f t="shared" si="1129"/>
        <v>0</v>
      </c>
      <c r="S2898" s="121" t="str">
        <f t="shared" si="1130"/>
        <v/>
      </c>
      <c r="T2898" s="121" t="str">
        <f t="shared" si="1131"/>
        <v/>
      </c>
      <c r="U2898" s="121">
        <f t="shared" si="1132"/>
        <v>1</v>
      </c>
    </row>
    <row r="2899" spans="1:21" x14ac:dyDescent="0.3">
      <c r="A2899" s="187">
        <v>13</v>
      </c>
      <c r="B2899" s="242">
        <f t="shared" si="1133"/>
        <v>46023</v>
      </c>
      <c r="C2899" s="243">
        <f t="shared" si="1114"/>
        <v>46053</v>
      </c>
      <c r="D2899" s="120">
        <f t="shared" si="1115"/>
        <v>31</v>
      </c>
      <c r="E2899" s="120">
        <f t="shared" si="1116"/>
        <v>1</v>
      </c>
      <c r="F2899" s="275">
        <f t="shared" si="1117"/>
        <v>46038.5</v>
      </c>
      <c r="G2899" s="120">
        <f t="shared" si="1118"/>
        <v>24312</v>
      </c>
      <c r="H2899" s="245">
        <f t="shared" si="1119"/>
        <v>1</v>
      </c>
      <c r="I2899" s="121">
        <f t="shared" si="1120"/>
        <v>1</v>
      </c>
      <c r="J2899" s="121">
        <f t="shared" si="1121"/>
        <v>1</v>
      </c>
      <c r="K2899" s="120">
        <f t="shared" si="1122"/>
        <v>0</v>
      </c>
      <c r="L2899" s="120">
        <f t="shared" si="1123"/>
        <v>0</v>
      </c>
      <c r="M2899" s="246">
        <f t="shared" si="1124"/>
        <v>0</v>
      </c>
      <c r="N2899" s="121">
        <f t="shared" si="1125"/>
        <v>1</v>
      </c>
      <c r="O2899" s="246">
        <f t="shared" si="1126"/>
        <v>0.91</v>
      </c>
      <c r="P2899" s="121">
        <f t="shared" si="1127"/>
        <v>1</v>
      </c>
      <c r="Q2899" s="121">
        <f t="shared" si="1128"/>
        <v>0</v>
      </c>
      <c r="R2899" s="121">
        <f t="shared" si="1129"/>
        <v>0</v>
      </c>
      <c r="S2899" s="121" t="str">
        <f t="shared" si="1130"/>
        <v/>
      </c>
      <c r="T2899" s="121" t="str">
        <f t="shared" si="1131"/>
        <v/>
      </c>
      <c r="U2899" s="121">
        <f t="shared" si="1132"/>
        <v>1</v>
      </c>
    </row>
    <row r="2900" spans="1:21" x14ac:dyDescent="0.3">
      <c r="A2900" s="187">
        <v>14</v>
      </c>
      <c r="B2900" s="242">
        <f t="shared" si="1133"/>
        <v>46054</v>
      </c>
      <c r="C2900" s="243">
        <f t="shared" si="1114"/>
        <v>46081</v>
      </c>
      <c r="D2900" s="120">
        <f t="shared" si="1115"/>
        <v>28</v>
      </c>
      <c r="E2900" s="120">
        <f t="shared" si="1116"/>
        <v>2</v>
      </c>
      <c r="F2900" s="275">
        <f t="shared" si="1117"/>
        <v>46068</v>
      </c>
      <c r="G2900" s="120">
        <f t="shared" si="1118"/>
        <v>24313</v>
      </c>
      <c r="H2900" s="245">
        <f t="shared" si="1119"/>
        <v>1</v>
      </c>
      <c r="I2900" s="121">
        <f t="shared" si="1120"/>
        <v>1</v>
      </c>
      <c r="J2900" s="121">
        <f t="shared" si="1121"/>
        <v>1</v>
      </c>
      <c r="K2900" s="120">
        <f t="shared" si="1122"/>
        <v>0</v>
      </c>
      <c r="L2900" s="120">
        <f t="shared" si="1123"/>
        <v>0</v>
      </c>
      <c r="M2900" s="246">
        <f t="shared" si="1124"/>
        <v>0</v>
      </c>
      <c r="N2900" s="121">
        <f t="shared" si="1125"/>
        <v>1</v>
      </c>
      <c r="O2900" s="246">
        <f t="shared" si="1126"/>
        <v>0.91</v>
      </c>
      <c r="P2900" s="121">
        <f t="shared" si="1127"/>
        <v>1</v>
      </c>
      <c r="Q2900" s="121">
        <f t="shared" si="1128"/>
        <v>0</v>
      </c>
      <c r="R2900" s="121">
        <f t="shared" si="1129"/>
        <v>0</v>
      </c>
      <c r="S2900" s="121" t="str">
        <f t="shared" si="1130"/>
        <v/>
      </c>
      <c r="T2900" s="121" t="str">
        <f t="shared" si="1131"/>
        <v/>
      </c>
      <c r="U2900" s="121">
        <f t="shared" si="1132"/>
        <v>1</v>
      </c>
    </row>
    <row r="2901" spans="1:21" x14ac:dyDescent="0.3">
      <c r="A2901" s="187">
        <v>15</v>
      </c>
      <c r="B2901" s="242">
        <f t="shared" si="1133"/>
        <v>46082</v>
      </c>
      <c r="C2901" s="243">
        <f t="shared" si="1114"/>
        <v>46112</v>
      </c>
      <c r="D2901" s="120">
        <f t="shared" si="1115"/>
        <v>31</v>
      </c>
      <c r="E2901" s="120">
        <f t="shared" si="1116"/>
        <v>3</v>
      </c>
      <c r="F2901" s="275">
        <f t="shared" si="1117"/>
        <v>46097.5</v>
      </c>
      <c r="G2901" s="120">
        <f t="shared" si="1118"/>
        <v>24314</v>
      </c>
      <c r="H2901" s="245">
        <f t="shared" si="1119"/>
        <v>1</v>
      </c>
      <c r="I2901" s="121">
        <f t="shared" si="1120"/>
        <v>1</v>
      </c>
      <c r="J2901" s="121">
        <f t="shared" si="1121"/>
        <v>1</v>
      </c>
      <c r="K2901" s="120">
        <f t="shared" si="1122"/>
        <v>0</v>
      </c>
      <c r="L2901" s="120">
        <f t="shared" si="1123"/>
        <v>0</v>
      </c>
      <c r="M2901" s="246">
        <f t="shared" si="1124"/>
        <v>0</v>
      </c>
      <c r="N2901" s="121">
        <f t="shared" si="1125"/>
        <v>1</v>
      </c>
      <c r="O2901" s="246">
        <f t="shared" si="1126"/>
        <v>0.91</v>
      </c>
      <c r="P2901" s="121">
        <f t="shared" si="1127"/>
        <v>1</v>
      </c>
      <c r="Q2901" s="121">
        <f t="shared" si="1128"/>
        <v>0</v>
      </c>
      <c r="R2901" s="121">
        <f t="shared" si="1129"/>
        <v>0</v>
      </c>
      <c r="S2901" s="121" t="str">
        <f t="shared" si="1130"/>
        <v/>
      </c>
      <c r="T2901" s="121" t="str">
        <f t="shared" si="1131"/>
        <v/>
      </c>
      <c r="U2901" s="121">
        <f t="shared" si="1132"/>
        <v>1</v>
      </c>
    </row>
    <row r="2902" spans="1:21" x14ac:dyDescent="0.3">
      <c r="A2902" s="187">
        <v>16</v>
      </c>
      <c r="B2902" s="242">
        <f t="shared" si="1133"/>
        <v>46113</v>
      </c>
      <c r="C2902" s="243">
        <f t="shared" si="1114"/>
        <v>46142</v>
      </c>
      <c r="D2902" s="120">
        <f t="shared" si="1115"/>
        <v>30</v>
      </c>
      <c r="E2902" s="120">
        <f t="shared" si="1116"/>
        <v>4</v>
      </c>
      <c r="F2902" s="275">
        <f t="shared" si="1117"/>
        <v>46128</v>
      </c>
      <c r="G2902" s="120">
        <f t="shared" si="1118"/>
        <v>24315</v>
      </c>
      <c r="H2902" s="245">
        <f t="shared" si="1119"/>
        <v>1</v>
      </c>
      <c r="I2902" s="121">
        <f t="shared" si="1120"/>
        <v>1</v>
      </c>
      <c r="J2902" s="121">
        <f t="shared" si="1121"/>
        <v>1</v>
      </c>
      <c r="K2902" s="120">
        <f t="shared" si="1122"/>
        <v>0</v>
      </c>
      <c r="L2902" s="120">
        <f t="shared" si="1123"/>
        <v>0</v>
      </c>
      <c r="M2902" s="246">
        <f t="shared" si="1124"/>
        <v>0</v>
      </c>
      <c r="N2902" s="121">
        <f t="shared" si="1125"/>
        <v>1</v>
      </c>
      <c r="O2902" s="246">
        <f t="shared" si="1126"/>
        <v>0.91</v>
      </c>
      <c r="P2902" s="121">
        <f t="shared" si="1127"/>
        <v>1</v>
      </c>
      <c r="Q2902" s="121">
        <f t="shared" si="1128"/>
        <v>0</v>
      </c>
      <c r="R2902" s="121">
        <f t="shared" si="1129"/>
        <v>0</v>
      </c>
      <c r="S2902" s="121" t="str">
        <f t="shared" si="1130"/>
        <v/>
      </c>
      <c r="T2902" s="121" t="str">
        <f t="shared" si="1131"/>
        <v/>
      </c>
      <c r="U2902" s="121">
        <f t="shared" si="1132"/>
        <v>1</v>
      </c>
    </row>
    <row r="2903" spans="1:21" x14ac:dyDescent="0.3">
      <c r="A2903" s="187">
        <v>17</v>
      </c>
      <c r="B2903" s="242">
        <f t="shared" si="1133"/>
        <v>46143</v>
      </c>
      <c r="C2903" s="243">
        <f t="shared" si="1114"/>
        <v>46173</v>
      </c>
      <c r="D2903" s="120">
        <f t="shared" si="1115"/>
        <v>31</v>
      </c>
      <c r="E2903" s="120">
        <f t="shared" si="1116"/>
        <v>5</v>
      </c>
      <c r="F2903" s="275">
        <f t="shared" si="1117"/>
        <v>46158.5</v>
      </c>
      <c r="G2903" s="120">
        <f t="shared" si="1118"/>
        <v>24316</v>
      </c>
      <c r="H2903" s="245">
        <f t="shared" si="1119"/>
        <v>1</v>
      </c>
      <c r="I2903" s="121">
        <f t="shared" si="1120"/>
        <v>1</v>
      </c>
      <c r="J2903" s="121">
        <f t="shared" si="1121"/>
        <v>1.04</v>
      </c>
      <c r="K2903" s="120">
        <f t="shared" si="1122"/>
        <v>1</v>
      </c>
      <c r="L2903" s="120">
        <f t="shared" si="1123"/>
        <v>31</v>
      </c>
      <c r="M2903" s="246">
        <f t="shared" si="1124"/>
        <v>1</v>
      </c>
      <c r="N2903" s="121">
        <f t="shared" si="1125"/>
        <v>1.04</v>
      </c>
      <c r="O2903" s="246">
        <f t="shared" si="1126"/>
        <v>0.91</v>
      </c>
      <c r="P2903" s="121">
        <f t="shared" si="1127"/>
        <v>1</v>
      </c>
      <c r="Q2903" s="121">
        <f t="shared" si="1128"/>
        <v>0</v>
      </c>
      <c r="R2903" s="121">
        <f t="shared" si="1129"/>
        <v>0</v>
      </c>
      <c r="S2903" s="121" t="str">
        <f t="shared" si="1130"/>
        <v/>
      </c>
      <c r="T2903" s="121" t="str">
        <f t="shared" si="1131"/>
        <v/>
      </c>
      <c r="U2903" s="121">
        <f t="shared" si="1132"/>
        <v>1.04</v>
      </c>
    </row>
    <row r="2904" spans="1:21" x14ac:dyDescent="0.3">
      <c r="A2904" s="187">
        <v>18</v>
      </c>
      <c r="B2904" s="242">
        <f t="shared" si="1133"/>
        <v>46174</v>
      </c>
      <c r="C2904" s="243">
        <f t="shared" si="1114"/>
        <v>46203</v>
      </c>
      <c r="D2904" s="120">
        <f t="shared" si="1115"/>
        <v>30</v>
      </c>
      <c r="E2904" s="120">
        <f t="shared" si="1116"/>
        <v>6</v>
      </c>
      <c r="F2904" s="275">
        <f t="shared" si="1117"/>
        <v>46189</v>
      </c>
      <c r="G2904" s="120">
        <f t="shared" si="1118"/>
        <v>24317</v>
      </c>
      <c r="H2904" s="245">
        <f t="shared" si="1119"/>
        <v>1</v>
      </c>
      <c r="I2904" s="121">
        <f t="shared" si="1120"/>
        <v>1.04</v>
      </c>
      <c r="J2904" s="121">
        <f t="shared" si="1121"/>
        <v>1.04</v>
      </c>
      <c r="K2904" s="120">
        <f t="shared" si="1122"/>
        <v>0</v>
      </c>
      <c r="L2904" s="120">
        <f t="shared" si="1123"/>
        <v>0</v>
      </c>
      <c r="M2904" s="246">
        <f t="shared" si="1124"/>
        <v>0</v>
      </c>
      <c r="N2904" s="121">
        <f t="shared" si="1125"/>
        <v>1.04</v>
      </c>
      <c r="O2904" s="246">
        <f t="shared" si="1126"/>
        <v>0.91</v>
      </c>
      <c r="P2904" s="121">
        <f t="shared" si="1127"/>
        <v>1</v>
      </c>
      <c r="Q2904" s="121">
        <f t="shared" si="1128"/>
        <v>0</v>
      </c>
      <c r="R2904" s="121">
        <f t="shared" si="1129"/>
        <v>0</v>
      </c>
      <c r="S2904" s="121" t="str">
        <f t="shared" si="1130"/>
        <v/>
      </c>
      <c r="T2904" s="121" t="str">
        <f t="shared" si="1131"/>
        <v/>
      </c>
      <c r="U2904" s="121">
        <f t="shared" si="1132"/>
        <v>1.04</v>
      </c>
    </row>
    <row r="2905" spans="1:21" x14ac:dyDescent="0.3">
      <c r="A2905" s="187">
        <v>19</v>
      </c>
      <c r="B2905" s="242">
        <f t="shared" si="1133"/>
        <v>46204</v>
      </c>
      <c r="C2905" s="243">
        <f t="shared" si="1114"/>
        <v>46234</v>
      </c>
      <c r="D2905" s="120">
        <f t="shared" si="1115"/>
        <v>31</v>
      </c>
      <c r="E2905" s="120">
        <f t="shared" si="1116"/>
        <v>7</v>
      </c>
      <c r="F2905" s="275">
        <f t="shared" si="1117"/>
        <v>46219.5</v>
      </c>
      <c r="G2905" s="120">
        <f t="shared" si="1118"/>
        <v>24318</v>
      </c>
      <c r="H2905" s="245">
        <f t="shared" si="1119"/>
        <v>1</v>
      </c>
      <c r="I2905" s="121">
        <f t="shared" si="1120"/>
        <v>1.04</v>
      </c>
      <c r="J2905" s="121">
        <f t="shared" si="1121"/>
        <v>1.04</v>
      </c>
      <c r="K2905" s="120">
        <f t="shared" si="1122"/>
        <v>0</v>
      </c>
      <c r="L2905" s="120">
        <f t="shared" si="1123"/>
        <v>0</v>
      </c>
      <c r="M2905" s="246">
        <f t="shared" si="1124"/>
        <v>0</v>
      </c>
      <c r="N2905" s="121">
        <f t="shared" si="1125"/>
        <v>1.04</v>
      </c>
      <c r="O2905" s="246">
        <f t="shared" si="1126"/>
        <v>0.91</v>
      </c>
      <c r="P2905" s="121">
        <f t="shared" si="1127"/>
        <v>0.91666666666666663</v>
      </c>
      <c r="Q2905" s="121">
        <f t="shared" si="1128"/>
        <v>8.333333333333337E-2</v>
      </c>
      <c r="R2905" s="121">
        <f t="shared" si="1129"/>
        <v>0</v>
      </c>
      <c r="S2905" s="121" t="str">
        <f t="shared" si="1130"/>
        <v/>
      </c>
      <c r="T2905" s="121" t="str">
        <f t="shared" si="1131"/>
        <v/>
      </c>
      <c r="U2905" s="121">
        <f t="shared" si="1132"/>
        <v>1.04</v>
      </c>
    </row>
    <row r="2906" spans="1:21" x14ac:dyDescent="0.3">
      <c r="A2906" s="187">
        <v>20</v>
      </c>
      <c r="B2906" s="242">
        <f t="shared" si="1133"/>
        <v>46235</v>
      </c>
      <c r="C2906" s="243">
        <f t="shared" si="1114"/>
        <v>46265</v>
      </c>
      <c r="D2906" s="120">
        <f t="shared" si="1115"/>
        <v>31</v>
      </c>
      <c r="E2906" s="120">
        <f t="shared" si="1116"/>
        <v>8</v>
      </c>
      <c r="F2906" s="275">
        <f t="shared" si="1117"/>
        <v>46250.5</v>
      </c>
      <c r="G2906" s="120">
        <f t="shared" si="1118"/>
        <v>24319</v>
      </c>
      <c r="H2906" s="245">
        <f t="shared" si="1119"/>
        <v>1</v>
      </c>
      <c r="I2906" s="121">
        <f t="shared" si="1120"/>
        <v>1.04</v>
      </c>
      <c r="J2906" s="121">
        <f t="shared" si="1121"/>
        <v>1.04</v>
      </c>
      <c r="K2906" s="120">
        <f t="shared" si="1122"/>
        <v>0</v>
      </c>
      <c r="L2906" s="120">
        <f t="shared" si="1123"/>
        <v>0</v>
      </c>
      <c r="M2906" s="246">
        <f t="shared" si="1124"/>
        <v>0</v>
      </c>
      <c r="N2906" s="121">
        <f t="shared" si="1125"/>
        <v>1.04</v>
      </c>
      <c r="O2906" s="246">
        <f t="shared" si="1126"/>
        <v>0.91</v>
      </c>
      <c r="P2906" s="121">
        <f t="shared" si="1127"/>
        <v>0.75</v>
      </c>
      <c r="Q2906" s="121">
        <f t="shared" si="1128"/>
        <v>0.25</v>
      </c>
      <c r="R2906" s="121">
        <f t="shared" si="1129"/>
        <v>0</v>
      </c>
      <c r="S2906" s="121" t="str">
        <f t="shared" si="1130"/>
        <v/>
      </c>
      <c r="T2906" s="121" t="str">
        <f t="shared" si="1131"/>
        <v/>
      </c>
      <c r="U2906" s="121">
        <f t="shared" si="1132"/>
        <v>1.04</v>
      </c>
    </row>
    <row r="2907" spans="1:21" x14ac:dyDescent="0.3">
      <c r="A2907" s="187">
        <v>21</v>
      </c>
      <c r="B2907" s="242">
        <f t="shared" si="1133"/>
        <v>46266</v>
      </c>
      <c r="C2907" s="243">
        <f t="shared" si="1114"/>
        <v>46295</v>
      </c>
      <c r="D2907" s="120">
        <f t="shared" si="1115"/>
        <v>30</v>
      </c>
      <c r="E2907" s="120">
        <f t="shared" si="1116"/>
        <v>9</v>
      </c>
      <c r="F2907" s="275">
        <f t="shared" si="1117"/>
        <v>46281</v>
      </c>
      <c r="G2907" s="120">
        <f t="shared" si="1118"/>
        <v>24320</v>
      </c>
      <c r="H2907" s="245">
        <f t="shared" si="1119"/>
        <v>1</v>
      </c>
      <c r="I2907" s="121">
        <f t="shared" si="1120"/>
        <v>1.04</v>
      </c>
      <c r="J2907" s="121">
        <f t="shared" si="1121"/>
        <v>1.04</v>
      </c>
      <c r="K2907" s="120">
        <f t="shared" si="1122"/>
        <v>0</v>
      </c>
      <c r="L2907" s="120">
        <f t="shared" si="1123"/>
        <v>0</v>
      </c>
      <c r="M2907" s="246">
        <f t="shared" si="1124"/>
        <v>0</v>
      </c>
      <c r="N2907" s="121">
        <f t="shared" si="1125"/>
        <v>1.04</v>
      </c>
      <c r="O2907" s="246">
        <f t="shared" si="1126"/>
        <v>0.91</v>
      </c>
      <c r="P2907" s="121">
        <f t="shared" si="1127"/>
        <v>0.58333333333333337</v>
      </c>
      <c r="Q2907" s="121">
        <f t="shared" si="1128"/>
        <v>0.41666666666666663</v>
      </c>
      <c r="R2907" s="121">
        <f t="shared" si="1129"/>
        <v>0</v>
      </c>
      <c r="S2907" s="121" t="str">
        <f t="shared" si="1130"/>
        <v/>
      </c>
      <c r="T2907" s="121" t="str">
        <f t="shared" si="1131"/>
        <v/>
      </c>
      <c r="U2907" s="121">
        <f t="shared" si="1132"/>
        <v>1.04</v>
      </c>
    </row>
    <row r="2908" spans="1:21" x14ac:dyDescent="0.3">
      <c r="A2908" s="187">
        <v>22</v>
      </c>
      <c r="B2908" s="242">
        <f t="shared" si="1133"/>
        <v>46296</v>
      </c>
      <c r="C2908" s="243">
        <f t="shared" si="1114"/>
        <v>46326</v>
      </c>
      <c r="D2908" s="120">
        <f t="shared" si="1115"/>
        <v>31</v>
      </c>
      <c r="E2908" s="120">
        <f t="shared" si="1116"/>
        <v>10</v>
      </c>
      <c r="F2908" s="275">
        <f t="shared" si="1117"/>
        <v>46311.5</v>
      </c>
      <c r="G2908" s="120">
        <f t="shared" si="1118"/>
        <v>24321</v>
      </c>
      <c r="H2908" s="245">
        <f t="shared" si="1119"/>
        <v>1</v>
      </c>
      <c r="I2908" s="121">
        <f t="shared" si="1120"/>
        <v>1.04</v>
      </c>
      <c r="J2908" s="121">
        <f t="shared" si="1121"/>
        <v>1.04</v>
      </c>
      <c r="K2908" s="120">
        <f t="shared" si="1122"/>
        <v>0</v>
      </c>
      <c r="L2908" s="120">
        <f t="shared" si="1123"/>
        <v>0</v>
      </c>
      <c r="M2908" s="246">
        <f t="shared" si="1124"/>
        <v>0</v>
      </c>
      <c r="N2908" s="121">
        <f t="shared" si="1125"/>
        <v>1.04</v>
      </c>
      <c r="O2908" s="246">
        <f t="shared" si="1126"/>
        <v>0.91</v>
      </c>
      <c r="P2908" s="121">
        <f t="shared" si="1127"/>
        <v>0.41666666666666669</v>
      </c>
      <c r="Q2908" s="121">
        <f t="shared" si="1128"/>
        <v>0.58333333333333326</v>
      </c>
      <c r="R2908" s="121">
        <f t="shared" si="1129"/>
        <v>0</v>
      </c>
      <c r="S2908" s="121" t="str">
        <f t="shared" si="1130"/>
        <v/>
      </c>
      <c r="T2908" s="121" t="str">
        <f t="shared" si="1131"/>
        <v/>
      </c>
      <c r="U2908" s="121">
        <f t="shared" si="1132"/>
        <v>1.04</v>
      </c>
    </row>
    <row r="2909" spans="1:21" x14ac:dyDescent="0.3">
      <c r="A2909" s="187">
        <v>23</v>
      </c>
      <c r="B2909" s="242">
        <f t="shared" si="1133"/>
        <v>46327</v>
      </c>
      <c r="C2909" s="243">
        <f t="shared" si="1114"/>
        <v>46356</v>
      </c>
      <c r="D2909" s="120">
        <f t="shared" si="1115"/>
        <v>30</v>
      </c>
      <c r="E2909" s="120">
        <f t="shared" si="1116"/>
        <v>11</v>
      </c>
      <c r="F2909" s="275">
        <f t="shared" si="1117"/>
        <v>46342</v>
      </c>
      <c r="G2909" s="120">
        <f t="shared" si="1118"/>
        <v>24322</v>
      </c>
      <c r="H2909" s="245">
        <f t="shared" si="1119"/>
        <v>1</v>
      </c>
      <c r="I2909" s="121">
        <f t="shared" si="1120"/>
        <v>1.04</v>
      </c>
      <c r="J2909" s="121">
        <f t="shared" si="1121"/>
        <v>1.04</v>
      </c>
      <c r="K2909" s="120">
        <f t="shared" si="1122"/>
        <v>0</v>
      </c>
      <c r="L2909" s="120">
        <f t="shared" si="1123"/>
        <v>0</v>
      </c>
      <c r="M2909" s="246">
        <f t="shared" si="1124"/>
        <v>0</v>
      </c>
      <c r="N2909" s="121">
        <f t="shared" si="1125"/>
        <v>1.04</v>
      </c>
      <c r="O2909" s="246">
        <f t="shared" si="1126"/>
        <v>0.91</v>
      </c>
      <c r="P2909" s="121">
        <f t="shared" si="1127"/>
        <v>0.25</v>
      </c>
      <c r="Q2909" s="121">
        <f t="shared" si="1128"/>
        <v>0.75</v>
      </c>
      <c r="R2909" s="121">
        <f t="shared" si="1129"/>
        <v>0</v>
      </c>
      <c r="S2909" s="121" t="str">
        <f t="shared" si="1130"/>
        <v/>
      </c>
      <c r="T2909" s="121" t="str">
        <f t="shared" si="1131"/>
        <v/>
      </c>
      <c r="U2909" s="121">
        <f t="shared" si="1132"/>
        <v>1.04</v>
      </c>
    </row>
    <row r="2910" spans="1:21" x14ac:dyDescent="0.3">
      <c r="A2910" s="187">
        <v>24</v>
      </c>
      <c r="B2910" s="242">
        <f t="shared" si="1133"/>
        <v>46357</v>
      </c>
      <c r="C2910" s="243">
        <f t="shared" si="1114"/>
        <v>46387</v>
      </c>
      <c r="D2910" s="120">
        <f t="shared" si="1115"/>
        <v>31</v>
      </c>
      <c r="E2910" s="120">
        <f t="shared" si="1116"/>
        <v>12</v>
      </c>
      <c r="F2910" s="275">
        <f t="shared" si="1117"/>
        <v>46372.5</v>
      </c>
      <c r="G2910" s="120">
        <f t="shared" si="1118"/>
        <v>24323</v>
      </c>
      <c r="H2910" s="245">
        <f t="shared" si="1119"/>
        <v>1</v>
      </c>
      <c r="I2910" s="121">
        <f t="shared" si="1120"/>
        <v>1.04</v>
      </c>
      <c r="J2910" s="121">
        <f t="shared" si="1121"/>
        <v>1.04</v>
      </c>
      <c r="K2910" s="120">
        <f t="shared" si="1122"/>
        <v>0</v>
      </c>
      <c r="L2910" s="120">
        <f t="shared" si="1123"/>
        <v>0</v>
      </c>
      <c r="M2910" s="246">
        <f t="shared" si="1124"/>
        <v>0</v>
      </c>
      <c r="N2910" s="121">
        <f t="shared" si="1125"/>
        <v>1.04</v>
      </c>
      <c r="O2910" s="246">
        <f t="shared" si="1126"/>
        <v>0.91</v>
      </c>
      <c r="P2910" s="121">
        <f t="shared" si="1127"/>
        <v>8.3333333333333329E-2</v>
      </c>
      <c r="Q2910" s="121">
        <f t="shared" si="1128"/>
        <v>0.91666666666666663</v>
      </c>
      <c r="R2910" s="121">
        <f t="shared" si="1129"/>
        <v>0</v>
      </c>
      <c r="S2910" s="121" t="str">
        <f t="shared" si="1130"/>
        <v/>
      </c>
      <c r="T2910" s="121" t="str">
        <f t="shared" si="1131"/>
        <v/>
      </c>
      <c r="U2910" s="121">
        <f t="shared" si="1132"/>
        <v>1.04</v>
      </c>
    </row>
    <row r="2911" spans="1:21" x14ac:dyDescent="0.3">
      <c r="A2911" s="187">
        <v>25</v>
      </c>
      <c r="B2911" s="242">
        <f t="shared" si="1133"/>
        <v>46388</v>
      </c>
      <c r="C2911" s="243">
        <f t="shared" si="1114"/>
        <v>46418</v>
      </c>
      <c r="D2911" s="120">
        <f t="shared" si="1115"/>
        <v>31</v>
      </c>
      <c r="E2911" s="120">
        <f t="shared" si="1116"/>
        <v>1</v>
      </c>
      <c r="F2911" s="275">
        <f t="shared" si="1117"/>
        <v>46403.5</v>
      </c>
      <c r="G2911" s="120">
        <f t="shared" si="1118"/>
        <v>24324</v>
      </c>
      <c r="H2911" s="245">
        <f t="shared" si="1119"/>
        <v>1</v>
      </c>
      <c r="I2911" s="121">
        <f t="shared" si="1120"/>
        <v>1.04</v>
      </c>
      <c r="J2911" s="121">
        <f t="shared" si="1121"/>
        <v>1.04</v>
      </c>
      <c r="K2911" s="120">
        <f t="shared" si="1122"/>
        <v>0</v>
      </c>
      <c r="L2911" s="120">
        <f t="shared" si="1123"/>
        <v>0</v>
      </c>
      <c r="M2911" s="246">
        <f t="shared" si="1124"/>
        <v>0</v>
      </c>
      <c r="N2911" s="121">
        <f t="shared" si="1125"/>
        <v>1.04</v>
      </c>
      <c r="O2911" s="246">
        <f t="shared" si="1126"/>
        <v>0.91</v>
      </c>
      <c r="P2911" s="121">
        <f t="shared" si="1127"/>
        <v>0</v>
      </c>
      <c r="Q2911" s="121">
        <f t="shared" si="1128"/>
        <v>1</v>
      </c>
      <c r="R2911" s="121">
        <f t="shared" si="1129"/>
        <v>0</v>
      </c>
      <c r="S2911" s="121" t="str">
        <f t="shared" si="1130"/>
        <v/>
      </c>
      <c r="T2911" s="121" t="str">
        <f t="shared" si="1131"/>
        <v/>
      </c>
      <c r="U2911" s="121">
        <f t="shared" si="1132"/>
        <v>1.04</v>
      </c>
    </row>
    <row r="2912" spans="1:21" x14ac:dyDescent="0.3">
      <c r="A2912" s="187">
        <v>26</v>
      </c>
      <c r="B2912" s="242">
        <f t="shared" si="1133"/>
        <v>46419</v>
      </c>
      <c r="C2912" s="243">
        <f t="shared" si="1114"/>
        <v>46446</v>
      </c>
      <c r="D2912" s="120">
        <f t="shared" si="1115"/>
        <v>28</v>
      </c>
      <c r="E2912" s="120">
        <f t="shared" si="1116"/>
        <v>2</v>
      </c>
      <c r="F2912" s="275">
        <f t="shared" si="1117"/>
        <v>46433</v>
      </c>
      <c r="G2912" s="120">
        <f t="shared" si="1118"/>
        <v>24325</v>
      </c>
      <c r="H2912" s="245">
        <f t="shared" si="1119"/>
        <v>1</v>
      </c>
      <c r="I2912" s="121">
        <f t="shared" si="1120"/>
        <v>1.04</v>
      </c>
      <c r="J2912" s="121">
        <f t="shared" si="1121"/>
        <v>1.04</v>
      </c>
      <c r="K2912" s="120">
        <f t="shared" si="1122"/>
        <v>0</v>
      </c>
      <c r="L2912" s="120">
        <f t="shared" si="1123"/>
        <v>0</v>
      </c>
      <c r="M2912" s="246">
        <f t="shared" si="1124"/>
        <v>0</v>
      </c>
      <c r="N2912" s="121">
        <f t="shared" si="1125"/>
        <v>1.04</v>
      </c>
      <c r="O2912" s="246">
        <f t="shared" si="1126"/>
        <v>0.91</v>
      </c>
      <c r="P2912" s="121">
        <f t="shared" si="1127"/>
        <v>0</v>
      </c>
      <c r="Q2912" s="121">
        <f t="shared" si="1128"/>
        <v>1</v>
      </c>
      <c r="R2912" s="121">
        <f t="shared" si="1129"/>
        <v>0</v>
      </c>
      <c r="S2912" s="121" t="str">
        <f t="shared" si="1130"/>
        <v/>
      </c>
      <c r="T2912" s="121" t="str">
        <f t="shared" si="1131"/>
        <v/>
      </c>
      <c r="U2912" s="121">
        <f t="shared" si="1132"/>
        <v>1.04</v>
      </c>
    </row>
    <row r="2913" spans="1:21" x14ac:dyDescent="0.3">
      <c r="A2913" s="187">
        <v>27</v>
      </c>
      <c r="B2913" s="242">
        <f t="shared" si="1133"/>
        <v>46447</v>
      </c>
      <c r="C2913" s="243">
        <f t="shared" si="1114"/>
        <v>46477</v>
      </c>
      <c r="D2913" s="120">
        <f t="shared" si="1115"/>
        <v>31</v>
      </c>
      <c r="E2913" s="120">
        <f t="shared" si="1116"/>
        <v>3</v>
      </c>
      <c r="F2913" s="275">
        <f t="shared" si="1117"/>
        <v>46462.5</v>
      </c>
      <c r="G2913" s="120">
        <f t="shared" si="1118"/>
        <v>24326</v>
      </c>
      <c r="H2913" s="245">
        <f t="shared" si="1119"/>
        <v>1</v>
      </c>
      <c r="I2913" s="121">
        <f t="shared" si="1120"/>
        <v>1.04</v>
      </c>
      <c r="J2913" s="121">
        <f t="shared" si="1121"/>
        <v>1.04</v>
      </c>
      <c r="K2913" s="120">
        <f t="shared" si="1122"/>
        <v>0</v>
      </c>
      <c r="L2913" s="120">
        <f t="shared" si="1123"/>
        <v>0</v>
      </c>
      <c r="M2913" s="246">
        <f t="shared" si="1124"/>
        <v>0</v>
      </c>
      <c r="N2913" s="121">
        <f t="shared" si="1125"/>
        <v>1.04</v>
      </c>
      <c r="O2913" s="246">
        <f t="shared" si="1126"/>
        <v>0.91</v>
      </c>
      <c r="P2913" s="121">
        <f t="shared" si="1127"/>
        <v>0</v>
      </c>
      <c r="Q2913" s="121">
        <f t="shared" si="1128"/>
        <v>1</v>
      </c>
      <c r="R2913" s="121">
        <f t="shared" si="1129"/>
        <v>0</v>
      </c>
      <c r="S2913" s="121" t="str">
        <f t="shared" si="1130"/>
        <v/>
      </c>
      <c r="T2913" s="121" t="str">
        <f t="shared" si="1131"/>
        <v/>
      </c>
      <c r="U2913" s="121">
        <f t="shared" si="1132"/>
        <v>1.04</v>
      </c>
    </row>
    <row r="2914" spans="1:21" x14ac:dyDescent="0.3">
      <c r="A2914" s="187">
        <v>28</v>
      </c>
      <c r="B2914" s="242">
        <f t="shared" si="1133"/>
        <v>46478</v>
      </c>
      <c r="C2914" s="243">
        <f t="shared" si="1114"/>
        <v>46507</v>
      </c>
      <c r="D2914" s="120">
        <f t="shared" si="1115"/>
        <v>30</v>
      </c>
      <c r="E2914" s="120">
        <f t="shared" si="1116"/>
        <v>4</v>
      </c>
      <c r="F2914" s="275">
        <f t="shared" si="1117"/>
        <v>46493</v>
      </c>
      <c r="G2914" s="120">
        <f t="shared" si="1118"/>
        <v>24327</v>
      </c>
      <c r="H2914" s="245">
        <f t="shared" si="1119"/>
        <v>1</v>
      </c>
      <c r="I2914" s="121">
        <f t="shared" si="1120"/>
        <v>1.04</v>
      </c>
      <c r="J2914" s="121">
        <f t="shared" si="1121"/>
        <v>1.04</v>
      </c>
      <c r="K2914" s="120">
        <f t="shared" si="1122"/>
        <v>0</v>
      </c>
      <c r="L2914" s="120">
        <f t="shared" si="1123"/>
        <v>0</v>
      </c>
      <c r="M2914" s="246">
        <f t="shared" si="1124"/>
        <v>0</v>
      </c>
      <c r="N2914" s="121">
        <f t="shared" si="1125"/>
        <v>1.04</v>
      </c>
      <c r="O2914" s="246">
        <f t="shared" si="1126"/>
        <v>0.91</v>
      </c>
      <c r="P2914" s="121">
        <f t="shared" si="1127"/>
        <v>0</v>
      </c>
      <c r="Q2914" s="121">
        <f t="shared" si="1128"/>
        <v>1</v>
      </c>
      <c r="R2914" s="121">
        <f t="shared" si="1129"/>
        <v>0</v>
      </c>
      <c r="S2914" s="121" t="str">
        <f t="shared" si="1130"/>
        <v/>
      </c>
      <c r="T2914" s="121" t="str">
        <f t="shared" si="1131"/>
        <v/>
      </c>
      <c r="U2914" s="121">
        <f t="shared" si="1132"/>
        <v>1.04</v>
      </c>
    </row>
    <row r="2915" spans="1:21" x14ac:dyDescent="0.3">
      <c r="A2915" s="187">
        <v>29</v>
      </c>
      <c r="B2915" s="242">
        <f t="shared" si="1133"/>
        <v>46508</v>
      </c>
      <c r="C2915" s="243">
        <f t="shared" si="1114"/>
        <v>46538</v>
      </c>
      <c r="D2915" s="120">
        <f t="shared" si="1115"/>
        <v>31</v>
      </c>
      <c r="E2915" s="120">
        <f t="shared" si="1116"/>
        <v>5</v>
      </c>
      <c r="F2915" s="275">
        <f t="shared" si="1117"/>
        <v>46523.5</v>
      </c>
      <c r="G2915" s="120">
        <f t="shared" si="1118"/>
        <v>24328</v>
      </c>
      <c r="H2915" s="245">
        <f t="shared" si="1119"/>
        <v>1</v>
      </c>
      <c r="I2915" s="121">
        <f t="shared" si="1120"/>
        <v>1.04</v>
      </c>
      <c r="J2915" s="121">
        <f t="shared" si="1121"/>
        <v>1.04</v>
      </c>
      <c r="K2915" s="120">
        <f t="shared" si="1122"/>
        <v>0</v>
      </c>
      <c r="L2915" s="120">
        <f t="shared" si="1123"/>
        <v>0</v>
      </c>
      <c r="M2915" s="246">
        <f t="shared" si="1124"/>
        <v>0</v>
      </c>
      <c r="N2915" s="121">
        <f t="shared" si="1125"/>
        <v>1.04</v>
      </c>
      <c r="O2915" s="246">
        <f t="shared" si="1126"/>
        <v>0.91</v>
      </c>
      <c r="P2915" s="121">
        <f t="shared" si="1127"/>
        <v>0</v>
      </c>
      <c r="Q2915" s="121">
        <f t="shared" si="1128"/>
        <v>1</v>
      </c>
      <c r="R2915" s="121">
        <f t="shared" si="1129"/>
        <v>0</v>
      </c>
      <c r="S2915" s="121" t="str">
        <f t="shared" si="1130"/>
        <v/>
      </c>
      <c r="T2915" s="121" t="str">
        <f t="shared" si="1131"/>
        <v/>
      </c>
      <c r="U2915" s="121">
        <f t="shared" si="1132"/>
        <v>1.04</v>
      </c>
    </row>
    <row r="2916" spans="1:21" x14ac:dyDescent="0.3">
      <c r="A2916" s="187">
        <v>30</v>
      </c>
      <c r="B2916" s="242">
        <f t="shared" si="1133"/>
        <v>46539</v>
      </c>
      <c r="C2916" s="243">
        <f t="shared" si="1114"/>
        <v>46568</v>
      </c>
      <c r="D2916" s="120">
        <f t="shared" si="1115"/>
        <v>30</v>
      </c>
      <c r="E2916" s="120">
        <f t="shared" si="1116"/>
        <v>6</v>
      </c>
      <c r="F2916" s="275">
        <f t="shared" si="1117"/>
        <v>46554</v>
      </c>
      <c r="G2916" s="120">
        <f t="shared" si="1118"/>
        <v>24329</v>
      </c>
      <c r="H2916" s="245">
        <f t="shared" si="1119"/>
        <v>1</v>
      </c>
      <c r="I2916" s="121">
        <f t="shared" si="1120"/>
        <v>1.04</v>
      </c>
      <c r="J2916" s="121">
        <f t="shared" si="1121"/>
        <v>1.04</v>
      </c>
      <c r="K2916" s="120">
        <f t="shared" si="1122"/>
        <v>0</v>
      </c>
      <c r="L2916" s="120">
        <f t="shared" si="1123"/>
        <v>0</v>
      </c>
      <c r="M2916" s="246">
        <f t="shared" si="1124"/>
        <v>0</v>
      </c>
      <c r="N2916" s="121">
        <f t="shared" si="1125"/>
        <v>1.04</v>
      </c>
      <c r="O2916" s="246">
        <f t="shared" si="1126"/>
        <v>0.91</v>
      </c>
      <c r="P2916" s="121">
        <f t="shared" si="1127"/>
        <v>0</v>
      </c>
      <c r="Q2916" s="121">
        <f t="shared" si="1128"/>
        <v>1</v>
      </c>
      <c r="R2916" s="121">
        <f t="shared" si="1129"/>
        <v>0</v>
      </c>
      <c r="S2916" s="121" t="str">
        <f t="shared" si="1130"/>
        <v/>
      </c>
      <c r="T2916" s="121" t="str">
        <f t="shared" si="1131"/>
        <v/>
      </c>
      <c r="U2916" s="121">
        <f t="shared" si="1132"/>
        <v>1.04</v>
      </c>
    </row>
    <row r="2917" spans="1:21" x14ac:dyDescent="0.3">
      <c r="A2917" s="187">
        <v>31</v>
      </c>
      <c r="B2917" s="242">
        <f t="shared" si="1133"/>
        <v>46569</v>
      </c>
      <c r="C2917" s="243">
        <f t="shared" si="1114"/>
        <v>46599</v>
      </c>
      <c r="D2917" s="120">
        <f t="shared" si="1115"/>
        <v>31</v>
      </c>
      <c r="E2917" s="120">
        <f t="shared" si="1116"/>
        <v>7</v>
      </c>
      <c r="F2917" s="275">
        <f t="shared" si="1117"/>
        <v>46584.5</v>
      </c>
      <c r="G2917" s="120">
        <f t="shared" si="1118"/>
        <v>24330</v>
      </c>
      <c r="H2917" s="245">
        <f t="shared" si="1119"/>
        <v>1</v>
      </c>
      <c r="I2917" s="121">
        <f t="shared" si="1120"/>
        <v>1.04</v>
      </c>
      <c r="J2917" s="121">
        <f t="shared" si="1121"/>
        <v>1.04</v>
      </c>
      <c r="K2917" s="120">
        <f t="shared" si="1122"/>
        <v>0</v>
      </c>
      <c r="L2917" s="120">
        <f t="shared" si="1123"/>
        <v>0</v>
      </c>
      <c r="M2917" s="246">
        <f t="shared" si="1124"/>
        <v>0</v>
      </c>
      <c r="N2917" s="121">
        <f t="shared" si="1125"/>
        <v>1.04</v>
      </c>
      <c r="O2917" s="246">
        <f t="shared" si="1126"/>
        <v>0.91</v>
      </c>
      <c r="P2917" s="121">
        <f t="shared" si="1127"/>
        <v>0</v>
      </c>
      <c r="Q2917" s="121">
        <f t="shared" si="1128"/>
        <v>0.91666666666666663</v>
      </c>
      <c r="R2917" s="121">
        <f t="shared" si="1129"/>
        <v>8.333333333333337E-2</v>
      </c>
      <c r="S2917" s="121" t="str">
        <f t="shared" si="1130"/>
        <v/>
      </c>
      <c r="T2917" s="121" t="str">
        <f t="shared" si="1131"/>
        <v/>
      </c>
      <c r="U2917" s="121">
        <f t="shared" si="1132"/>
        <v>1.04</v>
      </c>
    </row>
    <row r="2918" spans="1:21" x14ac:dyDescent="0.3">
      <c r="A2918" s="187">
        <v>32</v>
      </c>
      <c r="B2918" s="242">
        <f t="shared" si="1133"/>
        <v>46600</v>
      </c>
      <c r="C2918" s="243">
        <f t="shared" si="1114"/>
        <v>46630</v>
      </c>
      <c r="D2918" s="120">
        <f t="shared" si="1115"/>
        <v>31</v>
      </c>
      <c r="E2918" s="120">
        <f t="shared" si="1116"/>
        <v>8</v>
      </c>
      <c r="F2918" s="275">
        <f t="shared" si="1117"/>
        <v>46615.5</v>
      </c>
      <c r="G2918" s="120">
        <f t="shared" si="1118"/>
        <v>24331</v>
      </c>
      <c r="H2918" s="245">
        <f t="shared" si="1119"/>
        <v>1</v>
      </c>
      <c r="I2918" s="121">
        <f t="shared" si="1120"/>
        <v>1.04</v>
      </c>
      <c r="J2918" s="121">
        <f t="shared" si="1121"/>
        <v>1.04</v>
      </c>
      <c r="K2918" s="120">
        <f t="shared" si="1122"/>
        <v>0</v>
      </c>
      <c r="L2918" s="120">
        <f t="shared" si="1123"/>
        <v>0</v>
      </c>
      <c r="M2918" s="246">
        <f t="shared" si="1124"/>
        <v>0</v>
      </c>
      <c r="N2918" s="121">
        <f t="shared" si="1125"/>
        <v>1.04</v>
      </c>
      <c r="O2918" s="246">
        <f t="shared" si="1126"/>
        <v>0.91</v>
      </c>
      <c r="P2918" s="121">
        <f t="shared" si="1127"/>
        <v>0</v>
      </c>
      <c r="Q2918" s="121">
        <f t="shared" si="1128"/>
        <v>0.75</v>
      </c>
      <c r="R2918" s="121">
        <f t="shared" si="1129"/>
        <v>0.25</v>
      </c>
      <c r="S2918" s="121" t="str">
        <f t="shared" si="1130"/>
        <v/>
      </c>
      <c r="T2918" s="121" t="str">
        <f t="shared" si="1131"/>
        <v/>
      </c>
      <c r="U2918" s="121">
        <f t="shared" si="1132"/>
        <v>1.04</v>
      </c>
    </row>
    <row r="2919" spans="1:21" x14ac:dyDescent="0.3">
      <c r="A2919" s="187">
        <v>33</v>
      </c>
      <c r="B2919" s="242">
        <f t="shared" si="1133"/>
        <v>46631</v>
      </c>
      <c r="C2919" s="243">
        <f t="shared" si="1114"/>
        <v>46660</v>
      </c>
      <c r="D2919" s="120">
        <f t="shared" si="1115"/>
        <v>30</v>
      </c>
      <c r="E2919" s="120">
        <f t="shared" si="1116"/>
        <v>9</v>
      </c>
      <c r="F2919" s="275">
        <f t="shared" si="1117"/>
        <v>46646</v>
      </c>
      <c r="G2919" s="120">
        <f t="shared" si="1118"/>
        <v>24332</v>
      </c>
      <c r="H2919" s="245">
        <f t="shared" si="1119"/>
        <v>1</v>
      </c>
      <c r="I2919" s="121">
        <f t="shared" si="1120"/>
        <v>1.04</v>
      </c>
      <c r="J2919" s="121">
        <f t="shared" si="1121"/>
        <v>1.04</v>
      </c>
      <c r="K2919" s="120">
        <f t="shared" si="1122"/>
        <v>0</v>
      </c>
      <c r="L2919" s="120">
        <f t="shared" si="1123"/>
        <v>0</v>
      </c>
      <c r="M2919" s="246">
        <f t="shared" si="1124"/>
        <v>0</v>
      </c>
      <c r="N2919" s="121">
        <f t="shared" si="1125"/>
        <v>1.04</v>
      </c>
      <c r="O2919" s="246">
        <f t="shared" si="1126"/>
        <v>0.91</v>
      </c>
      <c r="P2919" s="121">
        <f t="shared" si="1127"/>
        <v>0</v>
      </c>
      <c r="Q2919" s="121">
        <f t="shared" si="1128"/>
        <v>0.58333333333333337</v>
      </c>
      <c r="R2919" s="121">
        <f t="shared" si="1129"/>
        <v>0.41666666666666663</v>
      </c>
      <c r="S2919" s="121" t="str">
        <f t="shared" si="1130"/>
        <v/>
      </c>
      <c r="T2919" s="121" t="str">
        <f t="shared" si="1131"/>
        <v/>
      </c>
      <c r="U2919" s="121">
        <f t="shared" si="1132"/>
        <v>1.04</v>
      </c>
    </row>
    <row r="2920" spans="1:21" x14ac:dyDescent="0.3">
      <c r="A2920" s="187">
        <v>34</v>
      </c>
      <c r="B2920" s="242">
        <f t="shared" si="1133"/>
        <v>46661</v>
      </c>
      <c r="C2920" s="243">
        <f t="shared" si="1114"/>
        <v>46691</v>
      </c>
      <c r="D2920" s="120">
        <f t="shared" si="1115"/>
        <v>31</v>
      </c>
      <c r="E2920" s="120">
        <f t="shared" si="1116"/>
        <v>10</v>
      </c>
      <c r="F2920" s="275">
        <f t="shared" si="1117"/>
        <v>46676.5</v>
      </c>
      <c r="G2920" s="120">
        <f t="shared" si="1118"/>
        <v>24333</v>
      </c>
      <c r="H2920" s="245">
        <f t="shared" si="1119"/>
        <v>1</v>
      </c>
      <c r="I2920" s="121">
        <f t="shared" si="1120"/>
        <v>1.04</v>
      </c>
      <c r="J2920" s="121">
        <f t="shared" si="1121"/>
        <v>1.04</v>
      </c>
      <c r="K2920" s="120">
        <f t="shared" si="1122"/>
        <v>0</v>
      </c>
      <c r="L2920" s="120">
        <f t="shared" si="1123"/>
        <v>0</v>
      </c>
      <c r="M2920" s="246">
        <f t="shared" si="1124"/>
        <v>0</v>
      </c>
      <c r="N2920" s="121">
        <f t="shared" si="1125"/>
        <v>1.04</v>
      </c>
      <c r="O2920" s="246">
        <f t="shared" si="1126"/>
        <v>0.91</v>
      </c>
      <c r="P2920" s="121">
        <f t="shared" si="1127"/>
        <v>0</v>
      </c>
      <c r="Q2920" s="121">
        <f t="shared" si="1128"/>
        <v>0.41666666666666669</v>
      </c>
      <c r="R2920" s="121">
        <f t="shared" si="1129"/>
        <v>0.58333333333333326</v>
      </c>
      <c r="S2920" s="121" t="str">
        <f t="shared" si="1130"/>
        <v/>
      </c>
      <c r="T2920" s="121" t="str">
        <f t="shared" si="1131"/>
        <v/>
      </c>
      <c r="U2920" s="121">
        <f t="shared" si="1132"/>
        <v>1.04</v>
      </c>
    </row>
    <row r="2921" spans="1:21" x14ac:dyDescent="0.3">
      <c r="A2921" s="187">
        <v>35</v>
      </c>
      <c r="B2921" s="242">
        <f t="shared" si="1133"/>
        <v>46692</v>
      </c>
      <c r="C2921" s="243">
        <f t="shared" si="1114"/>
        <v>46721</v>
      </c>
      <c r="D2921" s="120">
        <f t="shared" si="1115"/>
        <v>30</v>
      </c>
      <c r="E2921" s="120">
        <f t="shared" si="1116"/>
        <v>11</v>
      </c>
      <c r="F2921" s="275">
        <f t="shared" si="1117"/>
        <v>46707</v>
      </c>
      <c r="G2921" s="120">
        <f t="shared" si="1118"/>
        <v>24334</v>
      </c>
      <c r="H2921" s="245">
        <f t="shared" si="1119"/>
        <v>1</v>
      </c>
      <c r="I2921" s="121">
        <f t="shared" si="1120"/>
        <v>1.04</v>
      </c>
      <c r="J2921" s="121">
        <f t="shared" si="1121"/>
        <v>1.04</v>
      </c>
      <c r="K2921" s="120">
        <f t="shared" si="1122"/>
        <v>0</v>
      </c>
      <c r="L2921" s="120">
        <f t="shared" si="1123"/>
        <v>0</v>
      </c>
      <c r="M2921" s="246">
        <f t="shared" si="1124"/>
        <v>0</v>
      </c>
      <c r="N2921" s="121">
        <f t="shared" si="1125"/>
        <v>1.04</v>
      </c>
      <c r="O2921" s="246">
        <f t="shared" si="1126"/>
        <v>0.91</v>
      </c>
      <c r="P2921" s="121">
        <f t="shared" si="1127"/>
        <v>0</v>
      </c>
      <c r="Q2921" s="121">
        <f t="shared" si="1128"/>
        <v>0.25</v>
      </c>
      <c r="R2921" s="121">
        <f t="shared" si="1129"/>
        <v>0.75</v>
      </c>
      <c r="S2921" s="121" t="str">
        <f t="shared" si="1130"/>
        <v/>
      </c>
      <c r="T2921" s="121" t="str">
        <f t="shared" si="1131"/>
        <v/>
      </c>
      <c r="U2921" s="121">
        <f t="shared" si="1132"/>
        <v>1.04</v>
      </c>
    </row>
    <row r="2922" spans="1:21" x14ac:dyDescent="0.3">
      <c r="A2922" s="187">
        <v>36</v>
      </c>
      <c r="B2922" s="242">
        <f t="shared" si="1133"/>
        <v>46722</v>
      </c>
      <c r="C2922" s="243">
        <f t="shared" si="1114"/>
        <v>46752</v>
      </c>
      <c r="D2922" s="120">
        <f t="shared" si="1115"/>
        <v>31</v>
      </c>
      <c r="E2922" s="120">
        <f t="shared" si="1116"/>
        <v>12</v>
      </c>
      <c r="F2922" s="275">
        <f t="shared" si="1117"/>
        <v>46737.5</v>
      </c>
      <c r="G2922" s="120">
        <f t="shared" si="1118"/>
        <v>24335</v>
      </c>
      <c r="H2922" s="245">
        <f t="shared" si="1119"/>
        <v>1</v>
      </c>
      <c r="I2922" s="121">
        <f t="shared" si="1120"/>
        <v>1.04</v>
      </c>
      <c r="J2922" s="121">
        <f t="shared" si="1121"/>
        <v>1.04</v>
      </c>
      <c r="K2922" s="120">
        <f t="shared" si="1122"/>
        <v>0</v>
      </c>
      <c r="L2922" s="120">
        <f t="shared" si="1123"/>
        <v>0</v>
      </c>
      <c r="M2922" s="246">
        <f t="shared" si="1124"/>
        <v>0</v>
      </c>
      <c r="N2922" s="121">
        <f t="shared" si="1125"/>
        <v>1.04</v>
      </c>
      <c r="O2922" s="246">
        <f t="shared" si="1126"/>
        <v>0.91</v>
      </c>
      <c r="P2922" s="121">
        <f t="shared" si="1127"/>
        <v>0</v>
      </c>
      <c r="Q2922" s="121">
        <f t="shared" si="1128"/>
        <v>8.3333333333333329E-2</v>
      </c>
      <c r="R2922" s="121">
        <f t="shared" si="1129"/>
        <v>0.91666666666666663</v>
      </c>
      <c r="S2922" s="121" t="str">
        <f t="shared" si="1130"/>
        <v/>
      </c>
      <c r="T2922" s="121" t="str">
        <f t="shared" si="1131"/>
        <v/>
      </c>
      <c r="U2922" s="121">
        <f t="shared" si="1132"/>
        <v>1.04</v>
      </c>
    </row>
    <row r="2923" spans="1:21" x14ac:dyDescent="0.3">
      <c r="A2923" s="187">
        <v>37</v>
      </c>
      <c r="B2923" s="242">
        <f t="shared" si="1133"/>
        <v>46753</v>
      </c>
      <c r="C2923" s="243">
        <f t="shared" si="1114"/>
        <v>46783</v>
      </c>
      <c r="D2923" s="120">
        <f t="shared" si="1115"/>
        <v>31</v>
      </c>
      <c r="E2923" s="120">
        <f t="shared" si="1116"/>
        <v>1</v>
      </c>
      <c r="F2923" s="275">
        <f t="shared" si="1117"/>
        <v>46768.5</v>
      </c>
      <c r="G2923" s="120">
        <f t="shared" si="1118"/>
        <v>24336</v>
      </c>
      <c r="H2923" s="245">
        <f t="shared" si="1119"/>
        <v>1</v>
      </c>
      <c r="I2923" s="121">
        <f t="shared" si="1120"/>
        <v>1.04</v>
      </c>
      <c r="J2923" s="121">
        <f t="shared" si="1121"/>
        <v>1.04</v>
      </c>
      <c r="K2923" s="120">
        <f t="shared" si="1122"/>
        <v>0</v>
      </c>
      <c r="L2923" s="120">
        <f t="shared" si="1123"/>
        <v>0</v>
      </c>
      <c r="M2923" s="246">
        <f t="shared" si="1124"/>
        <v>0</v>
      </c>
      <c r="N2923" s="121">
        <f t="shared" si="1125"/>
        <v>1.04</v>
      </c>
      <c r="O2923" s="246">
        <f t="shared" si="1126"/>
        <v>0.91</v>
      </c>
      <c r="P2923" s="121">
        <f t="shared" si="1127"/>
        <v>0</v>
      </c>
      <c r="Q2923" s="121">
        <f t="shared" si="1128"/>
        <v>0</v>
      </c>
      <c r="R2923" s="121">
        <f t="shared" si="1129"/>
        <v>1</v>
      </c>
      <c r="S2923" s="121" t="str">
        <f t="shared" si="1130"/>
        <v/>
      </c>
      <c r="T2923" s="121" t="str">
        <f t="shared" si="1131"/>
        <v/>
      </c>
      <c r="U2923" s="121">
        <f t="shared" si="1132"/>
        <v>1.04</v>
      </c>
    </row>
    <row r="2924" spans="1:21" x14ac:dyDescent="0.3">
      <c r="A2924" s="187">
        <v>38</v>
      </c>
      <c r="B2924" s="242">
        <f t="shared" si="1133"/>
        <v>46784</v>
      </c>
      <c r="C2924" s="243">
        <f t="shared" si="1114"/>
        <v>46812</v>
      </c>
      <c r="D2924" s="120">
        <f t="shared" si="1115"/>
        <v>29</v>
      </c>
      <c r="E2924" s="120">
        <f t="shared" si="1116"/>
        <v>2</v>
      </c>
      <c r="F2924" s="275">
        <f t="shared" si="1117"/>
        <v>46798.5</v>
      </c>
      <c r="G2924" s="120">
        <f t="shared" si="1118"/>
        <v>24337</v>
      </c>
      <c r="H2924" s="245">
        <f t="shared" si="1119"/>
        <v>1</v>
      </c>
      <c r="I2924" s="121">
        <f t="shared" si="1120"/>
        <v>1.04</v>
      </c>
      <c r="J2924" s="121">
        <f t="shared" si="1121"/>
        <v>1.04</v>
      </c>
      <c r="K2924" s="120">
        <f t="shared" si="1122"/>
        <v>0</v>
      </c>
      <c r="L2924" s="120">
        <f t="shared" si="1123"/>
        <v>0</v>
      </c>
      <c r="M2924" s="246">
        <f t="shared" si="1124"/>
        <v>0</v>
      </c>
      <c r="N2924" s="121">
        <f t="shared" si="1125"/>
        <v>1.04</v>
      </c>
      <c r="O2924" s="246">
        <f t="shared" si="1126"/>
        <v>0.91</v>
      </c>
      <c r="P2924" s="121">
        <f t="shared" si="1127"/>
        <v>0</v>
      </c>
      <c r="Q2924" s="121">
        <f t="shared" si="1128"/>
        <v>0</v>
      </c>
      <c r="R2924" s="121">
        <f t="shared" si="1129"/>
        <v>1</v>
      </c>
      <c r="S2924" s="121" t="str">
        <f t="shared" si="1130"/>
        <v/>
      </c>
      <c r="T2924" s="121" t="str">
        <f t="shared" si="1131"/>
        <v/>
      </c>
      <c r="U2924" s="121">
        <f t="shared" si="1132"/>
        <v>1.04</v>
      </c>
    </row>
    <row r="2925" spans="1:21" x14ac:dyDescent="0.3">
      <c r="A2925" s="187">
        <v>39</v>
      </c>
      <c r="B2925" s="242">
        <f t="shared" si="1133"/>
        <v>46813</v>
      </c>
      <c r="C2925" s="243">
        <f t="shared" si="1114"/>
        <v>46843</v>
      </c>
      <c r="D2925" s="120">
        <f t="shared" si="1115"/>
        <v>31</v>
      </c>
      <c r="E2925" s="120">
        <f t="shared" si="1116"/>
        <v>3</v>
      </c>
      <c r="F2925" s="275">
        <f t="shared" si="1117"/>
        <v>46828.5</v>
      </c>
      <c r="G2925" s="120">
        <f t="shared" si="1118"/>
        <v>24338</v>
      </c>
      <c r="H2925" s="245">
        <f t="shared" si="1119"/>
        <v>1</v>
      </c>
      <c r="I2925" s="121">
        <f t="shared" si="1120"/>
        <v>1.04</v>
      </c>
      <c r="J2925" s="121">
        <f t="shared" si="1121"/>
        <v>1.04</v>
      </c>
      <c r="K2925" s="120">
        <f t="shared" si="1122"/>
        <v>0</v>
      </c>
      <c r="L2925" s="120">
        <f t="shared" si="1123"/>
        <v>0</v>
      </c>
      <c r="M2925" s="246">
        <f t="shared" si="1124"/>
        <v>0</v>
      </c>
      <c r="N2925" s="121">
        <f t="shared" si="1125"/>
        <v>1.04</v>
      </c>
      <c r="O2925" s="246">
        <f t="shared" si="1126"/>
        <v>0.91</v>
      </c>
      <c r="P2925" s="121">
        <f t="shared" si="1127"/>
        <v>0</v>
      </c>
      <c r="Q2925" s="121">
        <f t="shared" si="1128"/>
        <v>0</v>
      </c>
      <c r="R2925" s="121">
        <f t="shared" si="1129"/>
        <v>1</v>
      </c>
      <c r="S2925" s="121" t="str">
        <f t="shared" si="1130"/>
        <v/>
      </c>
      <c r="T2925" s="121" t="str">
        <f t="shared" si="1131"/>
        <v/>
      </c>
      <c r="U2925" s="121">
        <f t="shared" si="1132"/>
        <v>1.04</v>
      </c>
    </row>
    <row r="2926" spans="1:21" x14ac:dyDescent="0.3">
      <c r="A2926" s="187">
        <v>40</v>
      </c>
      <c r="B2926" s="242">
        <f t="shared" si="1133"/>
        <v>46844</v>
      </c>
      <c r="C2926" s="243">
        <f t="shared" si="1114"/>
        <v>46873</v>
      </c>
      <c r="D2926" s="120">
        <f t="shared" si="1115"/>
        <v>30</v>
      </c>
      <c r="E2926" s="120">
        <f t="shared" si="1116"/>
        <v>4</v>
      </c>
      <c r="F2926" s="275">
        <f t="shared" si="1117"/>
        <v>46859</v>
      </c>
      <c r="G2926" s="120">
        <f t="shared" si="1118"/>
        <v>24339</v>
      </c>
      <c r="H2926" s="245">
        <f t="shared" si="1119"/>
        <v>1</v>
      </c>
      <c r="I2926" s="121">
        <f t="shared" si="1120"/>
        <v>1.04</v>
      </c>
      <c r="J2926" s="121">
        <f t="shared" si="1121"/>
        <v>1.04</v>
      </c>
      <c r="K2926" s="120">
        <f t="shared" si="1122"/>
        <v>0</v>
      </c>
      <c r="L2926" s="120">
        <f t="shared" si="1123"/>
        <v>0</v>
      </c>
      <c r="M2926" s="246">
        <f t="shared" si="1124"/>
        <v>0</v>
      </c>
      <c r="N2926" s="121">
        <f t="shared" si="1125"/>
        <v>1.04</v>
      </c>
      <c r="O2926" s="246">
        <f t="shared" si="1126"/>
        <v>0.91</v>
      </c>
      <c r="P2926" s="121">
        <f t="shared" si="1127"/>
        <v>0</v>
      </c>
      <c r="Q2926" s="121">
        <f t="shared" si="1128"/>
        <v>0</v>
      </c>
      <c r="R2926" s="121">
        <f t="shared" si="1129"/>
        <v>1</v>
      </c>
      <c r="S2926" s="121" t="str">
        <f t="shared" si="1130"/>
        <v/>
      </c>
      <c r="T2926" s="121" t="str">
        <f t="shared" si="1131"/>
        <v/>
      </c>
      <c r="U2926" s="121">
        <f t="shared" si="1132"/>
        <v>1.04</v>
      </c>
    </row>
    <row r="2927" spans="1:21" x14ac:dyDescent="0.3">
      <c r="A2927" s="187">
        <v>41</v>
      </c>
      <c r="B2927" s="242">
        <f t="shared" si="1133"/>
        <v>46874</v>
      </c>
      <c r="C2927" s="243">
        <f t="shared" si="1114"/>
        <v>46904</v>
      </c>
      <c r="D2927" s="120">
        <f t="shared" si="1115"/>
        <v>31</v>
      </c>
      <c r="E2927" s="120">
        <f t="shared" si="1116"/>
        <v>5</v>
      </c>
      <c r="F2927" s="275">
        <f t="shared" si="1117"/>
        <v>46889.5</v>
      </c>
      <c r="G2927" s="120">
        <f t="shared" si="1118"/>
        <v>24340</v>
      </c>
      <c r="H2927" s="245">
        <f t="shared" si="1119"/>
        <v>1</v>
      </c>
      <c r="I2927" s="121">
        <f t="shared" si="1120"/>
        <v>1.04</v>
      </c>
      <c r="J2927" s="121">
        <f t="shared" si="1121"/>
        <v>1.04</v>
      </c>
      <c r="K2927" s="120">
        <f t="shared" si="1122"/>
        <v>0</v>
      </c>
      <c r="L2927" s="120">
        <f t="shared" si="1123"/>
        <v>0</v>
      </c>
      <c r="M2927" s="246">
        <f t="shared" si="1124"/>
        <v>0</v>
      </c>
      <c r="N2927" s="121">
        <f t="shared" si="1125"/>
        <v>1.04</v>
      </c>
      <c r="O2927" s="246">
        <f t="shared" si="1126"/>
        <v>0.91</v>
      </c>
      <c r="P2927" s="121">
        <f t="shared" si="1127"/>
        <v>0</v>
      </c>
      <c r="Q2927" s="121">
        <f t="shared" si="1128"/>
        <v>0</v>
      </c>
      <c r="R2927" s="121">
        <f t="shared" si="1129"/>
        <v>1</v>
      </c>
      <c r="S2927" s="121" t="str">
        <f t="shared" si="1130"/>
        <v/>
      </c>
      <c r="T2927" s="121" t="str">
        <f t="shared" si="1131"/>
        <v/>
      </c>
      <c r="U2927" s="121">
        <f t="shared" si="1132"/>
        <v>1.04</v>
      </c>
    </row>
    <row r="2928" spans="1:21" x14ac:dyDescent="0.3">
      <c r="A2928" s="187">
        <v>42</v>
      </c>
      <c r="B2928" s="242">
        <f t="shared" si="1133"/>
        <v>46905</v>
      </c>
      <c r="C2928" s="243">
        <f t="shared" si="1114"/>
        <v>46934</v>
      </c>
      <c r="D2928" s="120">
        <f t="shared" si="1115"/>
        <v>30</v>
      </c>
      <c r="E2928" s="120">
        <f t="shared" si="1116"/>
        <v>6</v>
      </c>
      <c r="F2928" s="275">
        <f t="shared" si="1117"/>
        <v>46920</v>
      </c>
      <c r="G2928" s="120">
        <f t="shared" si="1118"/>
        <v>24341</v>
      </c>
      <c r="H2928" s="245">
        <f t="shared" si="1119"/>
        <v>1</v>
      </c>
      <c r="I2928" s="121">
        <f t="shared" si="1120"/>
        <v>1.04</v>
      </c>
      <c r="J2928" s="121">
        <f t="shared" si="1121"/>
        <v>1.04</v>
      </c>
      <c r="K2928" s="120">
        <f t="shared" si="1122"/>
        <v>0</v>
      </c>
      <c r="L2928" s="120">
        <f t="shared" si="1123"/>
        <v>0</v>
      </c>
      <c r="M2928" s="246">
        <f t="shared" si="1124"/>
        <v>0</v>
      </c>
      <c r="N2928" s="121">
        <f t="shared" si="1125"/>
        <v>1.04</v>
      </c>
      <c r="O2928" s="246">
        <f t="shared" si="1126"/>
        <v>0.91</v>
      </c>
      <c r="P2928" s="121">
        <f t="shared" si="1127"/>
        <v>0</v>
      </c>
      <c r="Q2928" s="121">
        <f t="shared" si="1128"/>
        <v>0</v>
      </c>
      <c r="R2928" s="121">
        <f t="shared" si="1129"/>
        <v>1</v>
      </c>
      <c r="S2928" s="121" t="str">
        <f t="shared" si="1130"/>
        <v/>
      </c>
      <c r="T2928" s="121" t="str">
        <f t="shared" si="1131"/>
        <v/>
      </c>
      <c r="U2928" s="121">
        <f t="shared" si="1132"/>
        <v>1.04</v>
      </c>
    </row>
    <row r="2929" spans="1:21" x14ac:dyDescent="0.3">
      <c r="A2929" s="187">
        <v>43</v>
      </c>
      <c r="B2929" s="242">
        <f t="shared" si="1133"/>
        <v>46935</v>
      </c>
      <c r="C2929" s="243">
        <f t="shared" si="1114"/>
        <v>46965</v>
      </c>
      <c r="D2929" s="120">
        <f t="shared" si="1115"/>
        <v>31</v>
      </c>
      <c r="E2929" s="120">
        <f t="shared" si="1116"/>
        <v>7</v>
      </c>
      <c r="F2929" s="275">
        <f t="shared" si="1117"/>
        <v>46950.5</v>
      </c>
      <c r="G2929" s="120">
        <f t="shared" si="1118"/>
        <v>24342</v>
      </c>
      <c r="H2929" s="245">
        <f t="shared" si="1119"/>
        <v>1</v>
      </c>
      <c r="I2929" s="121">
        <f t="shared" si="1120"/>
        <v>1.04</v>
      </c>
      <c r="J2929" s="121">
        <f t="shared" si="1121"/>
        <v>1.04</v>
      </c>
      <c r="K2929" s="120">
        <f t="shared" si="1122"/>
        <v>0</v>
      </c>
      <c r="L2929" s="120">
        <f t="shared" si="1123"/>
        <v>0</v>
      </c>
      <c r="M2929" s="246">
        <f t="shared" si="1124"/>
        <v>0</v>
      </c>
      <c r="N2929" s="121">
        <f t="shared" si="1125"/>
        <v>1.04</v>
      </c>
      <c r="O2929" s="246">
        <f t="shared" si="1126"/>
        <v>0.91</v>
      </c>
      <c r="P2929" s="121">
        <f t="shared" si="1127"/>
        <v>0</v>
      </c>
      <c r="Q2929" s="121">
        <f t="shared" si="1128"/>
        <v>0</v>
      </c>
      <c r="R2929" s="121">
        <f t="shared" si="1129"/>
        <v>0.91666666666666663</v>
      </c>
      <c r="S2929" s="121" t="str">
        <f t="shared" si="1130"/>
        <v/>
      </c>
      <c r="T2929" s="121" t="str">
        <f t="shared" si="1131"/>
        <v/>
      </c>
      <c r="U2929" s="121">
        <f t="shared" si="1132"/>
        <v>1.04</v>
      </c>
    </row>
    <row r="2930" spans="1:21" x14ac:dyDescent="0.3">
      <c r="A2930" s="187">
        <v>44</v>
      </c>
      <c r="B2930" s="242">
        <f t="shared" si="1133"/>
        <v>46966</v>
      </c>
      <c r="C2930" s="243">
        <f t="shared" si="1114"/>
        <v>46996</v>
      </c>
      <c r="D2930" s="120">
        <f t="shared" si="1115"/>
        <v>31</v>
      </c>
      <c r="E2930" s="120">
        <f t="shared" si="1116"/>
        <v>8</v>
      </c>
      <c r="F2930" s="275">
        <f t="shared" si="1117"/>
        <v>46981.5</v>
      </c>
      <c r="G2930" s="120">
        <f t="shared" si="1118"/>
        <v>24343</v>
      </c>
      <c r="H2930" s="245">
        <f t="shared" si="1119"/>
        <v>1</v>
      </c>
      <c r="I2930" s="121">
        <f t="shared" si="1120"/>
        <v>1.04</v>
      </c>
      <c r="J2930" s="121">
        <f t="shared" si="1121"/>
        <v>1.04</v>
      </c>
      <c r="K2930" s="120">
        <f t="shared" si="1122"/>
        <v>0</v>
      </c>
      <c r="L2930" s="120">
        <f t="shared" si="1123"/>
        <v>0</v>
      </c>
      <c r="M2930" s="246">
        <f t="shared" si="1124"/>
        <v>0</v>
      </c>
      <c r="N2930" s="121">
        <f t="shared" si="1125"/>
        <v>1.04</v>
      </c>
      <c r="O2930" s="246">
        <f t="shared" si="1126"/>
        <v>0.91</v>
      </c>
      <c r="P2930" s="121">
        <f t="shared" si="1127"/>
        <v>0</v>
      </c>
      <c r="Q2930" s="121">
        <f t="shared" si="1128"/>
        <v>0</v>
      </c>
      <c r="R2930" s="121">
        <f t="shared" si="1129"/>
        <v>0.75</v>
      </c>
      <c r="S2930" s="121" t="str">
        <f t="shared" si="1130"/>
        <v/>
      </c>
      <c r="T2930" s="121" t="str">
        <f t="shared" si="1131"/>
        <v/>
      </c>
      <c r="U2930" s="121">
        <f t="shared" si="1132"/>
        <v>1.04</v>
      </c>
    </row>
    <row r="2931" spans="1:21" x14ac:dyDescent="0.3">
      <c r="A2931" s="187">
        <v>45</v>
      </c>
      <c r="B2931" s="242">
        <f t="shared" si="1133"/>
        <v>46997</v>
      </c>
      <c r="C2931" s="243">
        <f t="shared" si="1114"/>
        <v>47026</v>
      </c>
      <c r="D2931" s="120">
        <f t="shared" si="1115"/>
        <v>30</v>
      </c>
      <c r="E2931" s="120">
        <f t="shared" si="1116"/>
        <v>9</v>
      </c>
      <c r="F2931" s="275">
        <f t="shared" si="1117"/>
        <v>47012</v>
      </c>
      <c r="G2931" s="120">
        <f t="shared" si="1118"/>
        <v>24344</v>
      </c>
      <c r="H2931" s="245">
        <f t="shared" si="1119"/>
        <v>1</v>
      </c>
      <c r="I2931" s="121">
        <f t="shared" si="1120"/>
        <v>1.04</v>
      </c>
      <c r="J2931" s="121">
        <f t="shared" si="1121"/>
        <v>1.04</v>
      </c>
      <c r="K2931" s="120">
        <f t="shared" si="1122"/>
        <v>0</v>
      </c>
      <c r="L2931" s="120">
        <f t="shared" si="1123"/>
        <v>0</v>
      </c>
      <c r="M2931" s="246">
        <f t="shared" si="1124"/>
        <v>0</v>
      </c>
      <c r="N2931" s="121">
        <f t="shared" si="1125"/>
        <v>1.04</v>
      </c>
      <c r="O2931" s="246">
        <f t="shared" si="1126"/>
        <v>0.91</v>
      </c>
      <c r="P2931" s="121">
        <f t="shared" si="1127"/>
        <v>0</v>
      </c>
      <c r="Q2931" s="121">
        <f t="shared" si="1128"/>
        <v>0</v>
      </c>
      <c r="R2931" s="121">
        <f t="shared" si="1129"/>
        <v>0.58333333333333337</v>
      </c>
      <c r="S2931" s="121" t="str">
        <f t="shared" si="1130"/>
        <v/>
      </c>
      <c r="T2931" s="121" t="str">
        <f t="shared" si="1131"/>
        <v/>
      </c>
      <c r="U2931" s="121">
        <f t="shared" si="1132"/>
        <v>1.04</v>
      </c>
    </row>
    <row r="2932" spans="1:21" x14ac:dyDescent="0.3">
      <c r="A2932" s="187">
        <v>46</v>
      </c>
      <c r="B2932" s="242">
        <f t="shared" si="1133"/>
        <v>47027</v>
      </c>
      <c r="C2932" s="243">
        <f t="shared" si="1114"/>
        <v>47057</v>
      </c>
      <c r="D2932" s="120">
        <f t="shared" si="1115"/>
        <v>31</v>
      </c>
      <c r="E2932" s="120">
        <f t="shared" si="1116"/>
        <v>10</v>
      </c>
      <c r="F2932" s="275">
        <f t="shared" si="1117"/>
        <v>47042.5</v>
      </c>
      <c r="G2932" s="120">
        <f t="shared" si="1118"/>
        <v>24345</v>
      </c>
      <c r="H2932" s="245">
        <f t="shared" si="1119"/>
        <v>1</v>
      </c>
      <c r="I2932" s="121">
        <f t="shared" si="1120"/>
        <v>1.04</v>
      </c>
      <c r="J2932" s="121">
        <f t="shared" si="1121"/>
        <v>1.04</v>
      </c>
      <c r="K2932" s="120">
        <f t="shared" si="1122"/>
        <v>0</v>
      </c>
      <c r="L2932" s="120">
        <f t="shared" si="1123"/>
        <v>0</v>
      </c>
      <c r="M2932" s="246">
        <f t="shared" si="1124"/>
        <v>0</v>
      </c>
      <c r="N2932" s="121">
        <f t="shared" si="1125"/>
        <v>1.04</v>
      </c>
      <c r="O2932" s="246">
        <f t="shared" si="1126"/>
        <v>0.91</v>
      </c>
      <c r="P2932" s="121">
        <f t="shared" si="1127"/>
        <v>0</v>
      </c>
      <c r="Q2932" s="121">
        <f t="shared" si="1128"/>
        <v>0</v>
      </c>
      <c r="R2932" s="121">
        <f t="shared" si="1129"/>
        <v>0.41666666666666669</v>
      </c>
      <c r="S2932" s="121" t="str">
        <f t="shared" si="1130"/>
        <v/>
      </c>
      <c r="T2932" s="121" t="str">
        <f t="shared" si="1131"/>
        <v/>
      </c>
      <c r="U2932" s="121">
        <f t="shared" si="1132"/>
        <v>1.04</v>
      </c>
    </row>
    <row r="2933" spans="1:21" x14ac:dyDescent="0.3">
      <c r="A2933" s="187">
        <v>47</v>
      </c>
      <c r="B2933" s="242">
        <f t="shared" si="1133"/>
        <v>47058</v>
      </c>
      <c r="C2933" s="243">
        <f t="shared" si="1114"/>
        <v>47087</v>
      </c>
      <c r="D2933" s="120">
        <f t="shared" si="1115"/>
        <v>30</v>
      </c>
      <c r="E2933" s="120">
        <f t="shared" si="1116"/>
        <v>11</v>
      </c>
      <c r="F2933" s="275">
        <f t="shared" si="1117"/>
        <v>47073</v>
      </c>
      <c r="G2933" s="120">
        <f t="shared" si="1118"/>
        <v>24346</v>
      </c>
      <c r="H2933" s="245">
        <f t="shared" si="1119"/>
        <v>1</v>
      </c>
      <c r="I2933" s="121">
        <f t="shared" si="1120"/>
        <v>1.04</v>
      </c>
      <c r="J2933" s="121">
        <f t="shared" si="1121"/>
        <v>1.04</v>
      </c>
      <c r="K2933" s="120">
        <f t="shared" si="1122"/>
        <v>0</v>
      </c>
      <c r="L2933" s="120">
        <f t="shared" si="1123"/>
        <v>0</v>
      </c>
      <c r="M2933" s="246">
        <f t="shared" si="1124"/>
        <v>0</v>
      </c>
      <c r="N2933" s="121">
        <f t="shared" si="1125"/>
        <v>1.04</v>
      </c>
      <c r="O2933" s="246">
        <f t="shared" si="1126"/>
        <v>0.91</v>
      </c>
      <c r="P2933" s="121">
        <f t="shared" si="1127"/>
        <v>0</v>
      </c>
      <c r="Q2933" s="121">
        <f t="shared" si="1128"/>
        <v>0</v>
      </c>
      <c r="R2933" s="121">
        <f t="shared" si="1129"/>
        <v>0.25</v>
      </c>
      <c r="S2933" s="121" t="str">
        <f t="shared" si="1130"/>
        <v/>
      </c>
      <c r="T2933" s="121" t="str">
        <f t="shared" si="1131"/>
        <v/>
      </c>
      <c r="U2933" s="121">
        <f t="shared" si="1132"/>
        <v>1.04</v>
      </c>
    </row>
    <row r="2934" spans="1:21" x14ac:dyDescent="0.3">
      <c r="A2934" s="187">
        <v>48</v>
      </c>
      <c r="B2934" s="242">
        <f t="shared" si="1133"/>
        <v>47088</v>
      </c>
      <c r="C2934" s="243">
        <f t="shared" si="1114"/>
        <v>47118</v>
      </c>
      <c r="D2934" s="120">
        <f t="shared" si="1115"/>
        <v>31</v>
      </c>
      <c r="E2934" s="120">
        <f t="shared" si="1116"/>
        <v>12</v>
      </c>
      <c r="F2934" s="275">
        <f t="shared" si="1117"/>
        <v>47103.5</v>
      </c>
      <c r="G2934" s="120">
        <f t="shared" si="1118"/>
        <v>24347</v>
      </c>
      <c r="H2934" s="245">
        <f t="shared" si="1119"/>
        <v>1</v>
      </c>
      <c r="I2934" s="121">
        <f t="shared" si="1120"/>
        <v>1.04</v>
      </c>
      <c r="J2934" s="121">
        <f t="shared" si="1121"/>
        <v>1.04</v>
      </c>
      <c r="K2934" s="120">
        <f t="shared" si="1122"/>
        <v>0</v>
      </c>
      <c r="L2934" s="120">
        <f t="shared" si="1123"/>
        <v>0</v>
      </c>
      <c r="M2934" s="246">
        <f t="shared" si="1124"/>
        <v>0</v>
      </c>
      <c r="N2934" s="121">
        <f t="shared" si="1125"/>
        <v>1.04</v>
      </c>
      <c r="O2934" s="246">
        <f t="shared" si="1126"/>
        <v>0.91</v>
      </c>
      <c r="P2934" s="121">
        <f t="shared" si="1127"/>
        <v>0</v>
      </c>
      <c r="Q2934" s="121">
        <f t="shared" si="1128"/>
        <v>0</v>
      </c>
      <c r="R2934" s="121">
        <f t="shared" si="1129"/>
        <v>8.3333333333333329E-2</v>
      </c>
      <c r="S2934" s="121" t="str">
        <f t="shared" si="1130"/>
        <v/>
      </c>
      <c r="T2934" s="121" t="str">
        <f t="shared" si="1131"/>
        <v/>
      </c>
      <c r="U2934" s="121">
        <f t="shared" si="1132"/>
        <v>1.04</v>
      </c>
    </row>
    <row r="2935" spans="1:21" x14ac:dyDescent="0.3">
      <c r="A2935" s="6" t="s">
        <v>1651</v>
      </c>
      <c r="B2935" s="73">
        <f>EXP(SUMPRODUCT((rl_key=$A$2884)*(rl_cons="Y")*rl_ln1p))</f>
        <v>1.04</v>
      </c>
      <c r="C2935" s="73">
        <f>SUMPRODUCT($H$2887:$H$2934,$P$2887:$P$2934,$U$2887:$U$2934)/SUMPRODUCT($H$2887:$H$2934,$P$2887:$P$2934)</f>
        <v>1.0166666666666664</v>
      </c>
      <c r="D2935" s="73">
        <f>SUMPRODUCT($H$2887:$H$2934,$Q$2887:$Q$2934,$U$2887:$U$2934)/SUMPRODUCT($H$2887:$H$2934,$Q$2887:$Q$2934)</f>
        <v>1.0399999999999998</v>
      </c>
      <c r="E2935" s="73">
        <f>SUMPRODUCT($H$2887:$H$2934,$R$2887:$R$2934,$U$2887:$U$2934)/SUMPRODUCT($H$2887:$H$2934,$R$2887:$R$2934)</f>
        <v>1.0399999999999998</v>
      </c>
      <c r="F2935" s="224">
        <f>SUMPRODUCT($H$2887:$H$2934,$Q$2887:$Q$2934,$O$2887:$O$2934)/SUMPRODUCT($H$2887:$H$2934,$Q$2887:$Q$2934)</f>
        <v>0.90999999999999981</v>
      </c>
      <c r="G2935" s="224">
        <f>SUMPRODUCT($H$2887:$H$2934,$R$2887:$R$2934,$O$2887:$O$2934)/SUMPRODUCT($H$2887:$H$2934,$R$2887:$R$2934)</f>
        <v>0.90999999999999981</v>
      </c>
      <c r="H2935" s="73">
        <f>SUMPRODUCT($H$2911:$H$2922,$N$2911:$N$2922/$N$2899:$N$2910)/SUM($H$2911:$H$2922)</f>
        <v>1.0133333333333334</v>
      </c>
      <c r="I2935" s="73">
        <f>SUMPRODUCT($H$2911:$H$2922,$O$2911:$O$2922/$O$2899:$O$2910)/SUM($H$2911:$H$2922)</f>
        <v>1</v>
      </c>
      <c r="J2935" s="73">
        <f>IF($O$2884=1,SUMPRODUCT($H$2911:$H$2922,$N$2911:$N$2922/$N$2899:$N$2910*$O$2911:$O$2922/$O$2899:$O$2910)/SUM($H$2911:$H$2922),$H2935)</f>
        <v>1.0133333333333334</v>
      </c>
      <c r="K2935" s="73">
        <f>SUMPRODUCT($H$2887:$H$2934,$Q$2887:$Q$2934,$N$2887:$N$2934)/SUMPRODUCT($H$2887:$H$2934,$Q$2887:$Q$2934)</f>
        <v>1.0399999999999998</v>
      </c>
      <c r="L2935" s="73">
        <f>SUMPRODUCT($H$2887:$H$2934,$R$2887:$R$2934,$N$2887:$N$2934)/SUMPRODUCT($H$2887:$H$2934,$R$2887:$R$2934)</f>
        <v>1.0399999999999998</v>
      </c>
    </row>
    <row r="2938" spans="1:21" x14ac:dyDescent="0.3">
      <c r="A2938" s="6" t="str">
        <f>INDEX(lr_key,54)</f>
        <v>SBA|MN</v>
      </c>
      <c r="B2938" s="6" t="str">
        <f>INDEX(lr_state,54)</f>
        <v>MN</v>
      </c>
      <c r="C2938" s="75">
        <f>nr_TermMonths</f>
        <v>6</v>
      </c>
      <c r="D2938" s="75">
        <f>IF(COUNTIF(se_state,$B2938)=0,0,MATCH($B2938,se_state,0))</f>
        <v>0</v>
      </c>
      <c r="E2938" s="70">
        <f>IF($D2938=0,0,INDEX(se_sum,$D2938))</f>
        <v>0</v>
      </c>
      <c r="F2938" s="224">
        <f>IF(N(INDEX(lr_mind,54))=0,1,INDEX(lr_mind,54))</f>
        <v>0.92</v>
      </c>
      <c r="G2938" s="224">
        <f>IF(N(INDEX(lr_m0,54))=0,1,INDEX(lr_m0,54))</f>
        <v>0.91</v>
      </c>
      <c r="H2938" s="74">
        <f>IF(N(INDEX(lr_m0asof,54))=0,DATE(nr_PlanYear-1,10,1),INDEX(lr_m0asof,54))</f>
        <v>46295</v>
      </c>
      <c r="I2938" s="224">
        <f>IF(N(INDEX(lr_m1,54))=0,1,INDEX(lr_m1,54))</f>
        <v>0.92500000000000004</v>
      </c>
      <c r="J2938" s="224">
        <f>INDEX(lr_mprior,54)</f>
        <v>0</v>
      </c>
      <c r="K2938" s="224">
        <f>INDEX(lr_m2,54)</f>
        <v>0</v>
      </c>
      <c r="L2938" s="6" t="b">
        <f>NOT(ISBLANK(INDEX(lr_netp,54)))</f>
        <v>0</v>
      </c>
      <c r="M2938" s="72">
        <f>N(INDEX(lr_netp,54))</f>
        <v>0</v>
      </c>
      <c r="N2938" s="72">
        <f>IF(ISBLANK(INDEX(lr_netp1,54)),$M$2938,N(INDEX(lr_netp1,54)))</f>
        <v>0</v>
      </c>
      <c r="O2938" s="75">
        <f>IF(AND(nr_ModAdjMaster="ON",INDEX(lr_modadj,54)="ON"),1,0)</f>
        <v>1</v>
      </c>
    </row>
    <row r="2939" spans="1:21" x14ac:dyDescent="0.3">
      <c r="A2939" s="6">
        <f>EDATE($H$2938,-12)+1</f>
        <v>45931</v>
      </c>
      <c r="B2939" s="6">
        <f>$H$2938+1</f>
        <v>46296</v>
      </c>
      <c r="C2939" s="6">
        <f>DATE(nr_PlanYear,12,31)+1</f>
        <v>46753</v>
      </c>
      <c r="D2939" s="6">
        <f>DATE(nr_PlanYear+1,12,31)+1</f>
        <v>47119</v>
      </c>
      <c r="E2939" s="6">
        <f>IF(N($J$2938)=0,$F$2939-($G$2939-$F$2939)/($C$2939-$B$2939)*($B$2939-$A$2939),$J$2938)</f>
        <v>0.89801969365426693</v>
      </c>
      <c r="F2939" s="6">
        <f>$G$2938</f>
        <v>0.91</v>
      </c>
      <c r="G2939" s="6">
        <f>$I$2938</f>
        <v>0.92500000000000004</v>
      </c>
      <c r="H2939" s="6">
        <f>IF(N($K$2938)=0,$I$2938,$K$2938)</f>
        <v>0.92500000000000004</v>
      </c>
      <c r="I2939" s="6">
        <f>($F$2939-$E$2939)/($B$2939-$A$2939)</f>
        <v>3.2822757111597549E-5</v>
      </c>
      <c r="J2939" s="6">
        <f>($G$2939-$F$2939)/($C$2939-$B$2939)</f>
        <v>3.2822757111597407E-5</v>
      </c>
      <c r="K2939" s="6">
        <f>($H$2939-$G$2939)/($D$2939-$C$2939)</f>
        <v>0</v>
      </c>
    </row>
    <row r="2940" spans="1:21" ht="36" x14ac:dyDescent="0.3">
      <c r="A2940" s="58" t="s">
        <v>390</v>
      </c>
      <c r="B2940" s="58" t="s">
        <v>449</v>
      </c>
      <c r="C2940" s="58" t="s">
        <v>685</v>
      </c>
      <c r="D2940" s="58" t="s">
        <v>686</v>
      </c>
      <c r="E2940" s="58" t="s">
        <v>687</v>
      </c>
      <c r="F2940" s="58" t="s">
        <v>688</v>
      </c>
      <c r="G2940" s="58" t="s">
        <v>689</v>
      </c>
      <c r="H2940" s="58" t="s">
        <v>452</v>
      </c>
      <c r="I2940" s="58" t="s">
        <v>690</v>
      </c>
      <c r="J2940" s="58" t="s">
        <v>691</v>
      </c>
      <c r="K2940" s="58" t="s">
        <v>692</v>
      </c>
      <c r="L2940" s="58" t="s">
        <v>693</v>
      </c>
      <c r="M2940" s="58" t="s">
        <v>694</v>
      </c>
      <c r="N2940" s="58" t="s">
        <v>695</v>
      </c>
      <c r="O2940" s="58" t="s">
        <v>696</v>
      </c>
      <c r="P2940" s="58" t="s">
        <v>697</v>
      </c>
      <c r="Q2940" s="58" t="s">
        <v>698</v>
      </c>
      <c r="R2940" s="58" t="s">
        <v>699</v>
      </c>
      <c r="S2940" s="58" t="s">
        <v>700</v>
      </c>
      <c r="T2940" s="58" t="s">
        <v>701</v>
      </c>
      <c r="U2940" s="58" t="s">
        <v>702</v>
      </c>
    </row>
    <row r="2941" spans="1:21" x14ac:dyDescent="0.3">
      <c r="A2941" s="187">
        <v>1</v>
      </c>
      <c r="B2941" s="242">
        <f>DATE(nr_PlanYear-2,1,1)</f>
        <v>45658</v>
      </c>
      <c r="C2941" s="243">
        <f t="shared" ref="C2941:C2988" si="1134">EOMONTH($B2941,0)</f>
        <v>45688</v>
      </c>
      <c r="D2941" s="120">
        <f t="shared" ref="D2941:D2988" si="1135">$C2941-$B2941+1</f>
        <v>31</v>
      </c>
      <c r="E2941" s="120">
        <f t="shared" ref="E2941:E2988" si="1136">MONTH($B2941)</f>
        <v>1</v>
      </c>
      <c r="F2941" s="275">
        <f t="shared" ref="F2941:F2988" si="1137">($B2941+$C2941+1)/2</f>
        <v>45673.5</v>
      </c>
      <c r="G2941" s="120">
        <f t="shared" ref="G2941:G2988" si="1138">YEAR($B2941)*12+MONTH($B2941)-1</f>
        <v>24300</v>
      </c>
      <c r="H2941" s="245">
        <f t="shared" ref="H2941:H2988" si="1139">IF(OR(nr_SeasonOn="OFF",$D$2938=0,$E$2938=0),1,12*INDEX(se_block,$D$2938,$E2941)/$E$2938)</f>
        <v>1</v>
      </c>
      <c r="I2941" s="121">
        <f t="shared" ref="I2941:I2988" si="1140">EXP(SUMPRODUCT((rl_eff&lt;$B2941)*(rl_key=$A$2938)*rl_ln1p))</f>
        <v>1</v>
      </c>
      <c r="J2941" s="121">
        <f t="shared" ref="J2941:J2988" si="1141">EXP(SUMPRODUCT((rl_eff&lt;=$C2941)*(rl_key=$A$2938)*rl_ln1p))</f>
        <v>1</v>
      </c>
      <c r="K2941" s="120">
        <f t="shared" ref="K2941:K2988" si="1142">COUNTIFS(rl_key,$A$2938,rl_eff,"&gt;="&amp;$B2941,rl_eff,"&lt;="&amp;$C2941)</f>
        <v>0</v>
      </c>
      <c r="L2941" s="120">
        <f t="shared" ref="L2941:L2988" si="1143">SUMIFS(rl_daysafter,rl_key,$A$2938,rl_effmonth,$B2941,rl_first,1)</f>
        <v>0</v>
      </c>
      <c r="M2941" s="246">
        <f t="shared" ref="M2941:M2988" si="1144">IF($K2941=0,0,MIN(1,$L2941/$D2941))</f>
        <v>0</v>
      </c>
      <c r="N2941" s="121">
        <f t="shared" ref="N2941:N2988" si="1145">IF($K2941=0,$J2941,(1-$M2941)*$I2941+$M2941*$J2941)</f>
        <v>1</v>
      </c>
      <c r="O2941" s="246">
        <f t="shared" ref="O2941:O2988" si="1146">IF($F2941&lt;$B$2939,$E$2939+$I$2939*($F2941-$A$2939),IF($F2941&lt;$C$2939,$F$2939+$J$2939*($F2941-$B$2939),$G$2939+$K$2939*($F2941-$C$2939)))</f>
        <v>0.88956783369803061</v>
      </c>
      <c r="P2941" s="121">
        <f t="shared" ref="P2941:P2988" si="1147">MIN(1,MAX(0,(nr_MEndPm1-$G2941+0.5)/$C$2938))-MIN(1,MAX(0,(nr_MStartPm1-1-$G2941+0.5)/$C$2938))</f>
        <v>0</v>
      </c>
      <c r="Q2941" s="121">
        <f t="shared" ref="Q2941:Q2988" si="1148">MIN(1,MAX(0,(nr_MEndP-$G2941+0.5)/$C$2938))-MIN(1,MAX(0,(nr_MStartP-1-$G2941+0.5)/$C$2938))</f>
        <v>0</v>
      </c>
      <c r="R2941" s="121">
        <f t="shared" ref="R2941:R2988" si="1149">MIN(1,MAX(0,(nr_MEndP1-$G2941+0.5)/$C$2938))-MIN(1,MAX(0,(nr_MStartP1-1-$G2941+0.5)/$C$2938))</f>
        <v>0</v>
      </c>
      <c r="S2941" s="121" t="str">
        <f t="shared" ref="S2941:S2988" si="1150">IF($L$2938,$N2941*IF($O$2938=1,$O2941/$F$2938,1),"")</f>
        <v/>
      </c>
      <c r="T2941" s="121" t="str">
        <f t="shared" ref="T2941:T2988" si="1151">IF(NOT($L$2938),"",IF($G2941&lt;nr_MStartP,$S2941,$T2929*(1+IF($G2941&lt;nr_MStartP1,$M$2938,$N$2938))))</f>
        <v/>
      </c>
      <c r="U2941" s="121">
        <f t="shared" ref="U2941:U2988" si="1152">IF($L$2938,$T2941,$N2941)</f>
        <v>1</v>
      </c>
    </row>
    <row r="2942" spans="1:21" x14ac:dyDescent="0.3">
      <c r="A2942" s="187">
        <v>2</v>
      </c>
      <c r="B2942" s="242">
        <f t="shared" ref="B2942:B2988" si="1153">EDATE($B2941,1)</f>
        <v>45689</v>
      </c>
      <c r="C2942" s="243">
        <f t="shared" si="1134"/>
        <v>45716</v>
      </c>
      <c r="D2942" s="120">
        <f t="shared" si="1135"/>
        <v>28</v>
      </c>
      <c r="E2942" s="120">
        <f t="shared" si="1136"/>
        <v>2</v>
      </c>
      <c r="F2942" s="275">
        <f t="shared" si="1137"/>
        <v>45703</v>
      </c>
      <c r="G2942" s="120">
        <f t="shared" si="1138"/>
        <v>24301</v>
      </c>
      <c r="H2942" s="245">
        <f t="shared" si="1139"/>
        <v>1</v>
      </c>
      <c r="I2942" s="121">
        <f t="shared" si="1140"/>
        <v>1</v>
      </c>
      <c r="J2942" s="121">
        <f t="shared" si="1141"/>
        <v>1</v>
      </c>
      <c r="K2942" s="120">
        <f t="shared" si="1142"/>
        <v>0</v>
      </c>
      <c r="L2942" s="120">
        <f t="shared" si="1143"/>
        <v>0</v>
      </c>
      <c r="M2942" s="246">
        <f t="shared" si="1144"/>
        <v>0</v>
      </c>
      <c r="N2942" s="121">
        <f t="shared" si="1145"/>
        <v>1</v>
      </c>
      <c r="O2942" s="246">
        <f t="shared" si="1146"/>
        <v>0.89053610503282266</v>
      </c>
      <c r="P2942" s="121">
        <f t="shared" si="1147"/>
        <v>0</v>
      </c>
      <c r="Q2942" s="121">
        <f t="shared" si="1148"/>
        <v>0</v>
      </c>
      <c r="R2942" s="121">
        <f t="shared" si="1149"/>
        <v>0</v>
      </c>
      <c r="S2942" s="121" t="str">
        <f t="shared" si="1150"/>
        <v/>
      </c>
      <c r="T2942" s="121" t="str">
        <f t="shared" si="1151"/>
        <v/>
      </c>
      <c r="U2942" s="121">
        <f t="shared" si="1152"/>
        <v>1</v>
      </c>
    </row>
    <row r="2943" spans="1:21" x14ac:dyDescent="0.3">
      <c r="A2943" s="187">
        <v>3</v>
      </c>
      <c r="B2943" s="242">
        <f t="shared" si="1153"/>
        <v>45717</v>
      </c>
      <c r="C2943" s="243">
        <f t="shared" si="1134"/>
        <v>45747</v>
      </c>
      <c r="D2943" s="120">
        <f t="shared" si="1135"/>
        <v>31</v>
      </c>
      <c r="E2943" s="120">
        <f t="shared" si="1136"/>
        <v>3</v>
      </c>
      <c r="F2943" s="275">
        <f t="shared" si="1137"/>
        <v>45732.5</v>
      </c>
      <c r="G2943" s="120">
        <f t="shared" si="1138"/>
        <v>24302</v>
      </c>
      <c r="H2943" s="245">
        <f t="shared" si="1139"/>
        <v>1</v>
      </c>
      <c r="I2943" s="121">
        <f t="shared" si="1140"/>
        <v>1</v>
      </c>
      <c r="J2943" s="121">
        <f t="shared" si="1141"/>
        <v>1</v>
      </c>
      <c r="K2943" s="120">
        <f t="shared" si="1142"/>
        <v>0</v>
      </c>
      <c r="L2943" s="120">
        <f t="shared" si="1143"/>
        <v>0</v>
      </c>
      <c r="M2943" s="246">
        <f t="shared" si="1144"/>
        <v>0</v>
      </c>
      <c r="N2943" s="121">
        <f t="shared" si="1145"/>
        <v>1</v>
      </c>
      <c r="O2943" s="246">
        <f t="shared" si="1146"/>
        <v>0.89150437636761481</v>
      </c>
      <c r="P2943" s="121">
        <f t="shared" si="1147"/>
        <v>0</v>
      </c>
      <c r="Q2943" s="121">
        <f t="shared" si="1148"/>
        <v>0</v>
      </c>
      <c r="R2943" s="121">
        <f t="shared" si="1149"/>
        <v>0</v>
      </c>
      <c r="S2943" s="121" t="str">
        <f t="shared" si="1150"/>
        <v/>
      </c>
      <c r="T2943" s="121" t="str">
        <f t="shared" si="1151"/>
        <v/>
      </c>
      <c r="U2943" s="121">
        <f t="shared" si="1152"/>
        <v>1</v>
      </c>
    </row>
    <row r="2944" spans="1:21" x14ac:dyDescent="0.3">
      <c r="A2944" s="187">
        <v>4</v>
      </c>
      <c r="B2944" s="242">
        <f t="shared" si="1153"/>
        <v>45748</v>
      </c>
      <c r="C2944" s="243">
        <f t="shared" si="1134"/>
        <v>45777</v>
      </c>
      <c r="D2944" s="120">
        <f t="shared" si="1135"/>
        <v>30</v>
      </c>
      <c r="E2944" s="120">
        <f t="shared" si="1136"/>
        <v>4</v>
      </c>
      <c r="F2944" s="275">
        <f t="shared" si="1137"/>
        <v>45763</v>
      </c>
      <c r="G2944" s="120">
        <f t="shared" si="1138"/>
        <v>24303</v>
      </c>
      <c r="H2944" s="245">
        <f t="shared" si="1139"/>
        <v>1</v>
      </c>
      <c r="I2944" s="121">
        <f t="shared" si="1140"/>
        <v>1</v>
      </c>
      <c r="J2944" s="121">
        <f t="shared" si="1141"/>
        <v>1</v>
      </c>
      <c r="K2944" s="120">
        <f t="shared" si="1142"/>
        <v>0</v>
      </c>
      <c r="L2944" s="120">
        <f t="shared" si="1143"/>
        <v>0</v>
      </c>
      <c r="M2944" s="246">
        <f t="shared" si="1144"/>
        <v>0</v>
      </c>
      <c r="N2944" s="121">
        <f t="shared" si="1145"/>
        <v>1</v>
      </c>
      <c r="O2944" s="246">
        <f t="shared" si="1146"/>
        <v>0.89250547045951856</v>
      </c>
      <c r="P2944" s="121">
        <f t="shared" si="1147"/>
        <v>0</v>
      </c>
      <c r="Q2944" s="121">
        <f t="shared" si="1148"/>
        <v>0</v>
      </c>
      <c r="R2944" s="121">
        <f t="shared" si="1149"/>
        <v>0</v>
      </c>
      <c r="S2944" s="121" t="str">
        <f t="shared" si="1150"/>
        <v/>
      </c>
      <c r="T2944" s="121" t="str">
        <f t="shared" si="1151"/>
        <v/>
      </c>
      <c r="U2944" s="121">
        <f t="shared" si="1152"/>
        <v>1</v>
      </c>
    </row>
    <row r="2945" spans="1:21" x14ac:dyDescent="0.3">
      <c r="A2945" s="187">
        <v>5</v>
      </c>
      <c r="B2945" s="242">
        <f t="shared" si="1153"/>
        <v>45778</v>
      </c>
      <c r="C2945" s="243">
        <f t="shared" si="1134"/>
        <v>45808</v>
      </c>
      <c r="D2945" s="120">
        <f t="shared" si="1135"/>
        <v>31</v>
      </c>
      <c r="E2945" s="120">
        <f t="shared" si="1136"/>
        <v>5</v>
      </c>
      <c r="F2945" s="275">
        <f t="shared" si="1137"/>
        <v>45793.5</v>
      </c>
      <c r="G2945" s="120">
        <f t="shared" si="1138"/>
        <v>24304</v>
      </c>
      <c r="H2945" s="245">
        <f t="shared" si="1139"/>
        <v>1</v>
      </c>
      <c r="I2945" s="121">
        <f t="shared" si="1140"/>
        <v>1</v>
      </c>
      <c r="J2945" s="121">
        <f t="shared" si="1141"/>
        <v>1</v>
      </c>
      <c r="K2945" s="120">
        <f t="shared" si="1142"/>
        <v>0</v>
      </c>
      <c r="L2945" s="120">
        <f t="shared" si="1143"/>
        <v>0</v>
      </c>
      <c r="M2945" s="246">
        <f t="shared" si="1144"/>
        <v>0</v>
      </c>
      <c r="N2945" s="121">
        <f t="shared" si="1145"/>
        <v>1</v>
      </c>
      <c r="O2945" s="246">
        <f t="shared" si="1146"/>
        <v>0.8935065645514223</v>
      </c>
      <c r="P2945" s="121">
        <f t="shared" si="1147"/>
        <v>0</v>
      </c>
      <c r="Q2945" s="121">
        <f t="shared" si="1148"/>
        <v>0</v>
      </c>
      <c r="R2945" s="121">
        <f t="shared" si="1149"/>
        <v>0</v>
      </c>
      <c r="S2945" s="121" t="str">
        <f t="shared" si="1150"/>
        <v/>
      </c>
      <c r="T2945" s="121" t="str">
        <f t="shared" si="1151"/>
        <v/>
      </c>
      <c r="U2945" s="121">
        <f t="shared" si="1152"/>
        <v>1</v>
      </c>
    </row>
    <row r="2946" spans="1:21" x14ac:dyDescent="0.3">
      <c r="A2946" s="187">
        <v>6</v>
      </c>
      <c r="B2946" s="242">
        <f t="shared" si="1153"/>
        <v>45809</v>
      </c>
      <c r="C2946" s="243">
        <f t="shared" si="1134"/>
        <v>45838</v>
      </c>
      <c r="D2946" s="120">
        <f t="shared" si="1135"/>
        <v>30</v>
      </c>
      <c r="E2946" s="120">
        <f t="shared" si="1136"/>
        <v>6</v>
      </c>
      <c r="F2946" s="275">
        <f t="shared" si="1137"/>
        <v>45824</v>
      </c>
      <c r="G2946" s="120">
        <f t="shared" si="1138"/>
        <v>24305</v>
      </c>
      <c r="H2946" s="245">
        <f t="shared" si="1139"/>
        <v>1</v>
      </c>
      <c r="I2946" s="121">
        <f t="shared" si="1140"/>
        <v>1</v>
      </c>
      <c r="J2946" s="121">
        <f t="shared" si="1141"/>
        <v>1</v>
      </c>
      <c r="K2946" s="120">
        <f t="shared" si="1142"/>
        <v>0</v>
      </c>
      <c r="L2946" s="120">
        <f t="shared" si="1143"/>
        <v>0</v>
      </c>
      <c r="M2946" s="246">
        <f t="shared" si="1144"/>
        <v>0</v>
      </c>
      <c r="N2946" s="121">
        <f t="shared" si="1145"/>
        <v>1</v>
      </c>
      <c r="O2946" s="246">
        <f t="shared" si="1146"/>
        <v>0.89450765864332604</v>
      </c>
      <c r="P2946" s="121">
        <f t="shared" si="1147"/>
        <v>0</v>
      </c>
      <c r="Q2946" s="121">
        <f t="shared" si="1148"/>
        <v>0</v>
      </c>
      <c r="R2946" s="121">
        <f t="shared" si="1149"/>
        <v>0</v>
      </c>
      <c r="S2946" s="121" t="str">
        <f t="shared" si="1150"/>
        <v/>
      </c>
      <c r="T2946" s="121" t="str">
        <f t="shared" si="1151"/>
        <v/>
      </c>
      <c r="U2946" s="121">
        <f t="shared" si="1152"/>
        <v>1</v>
      </c>
    </row>
    <row r="2947" spans="1:21" x14ac:dyDescent="0.3">
      <c r="A2947" s="187">
        <v>7</v>
      </c>
      <c r="B2947" s="242">
        <f t="shared" si="1153"/>
        <v>45839</v>
      </c>
      <c r="C2947" s="243">
        <f t="shared" si="1134"/>
        <v>45869</v>
      </c>
      <c r="D2947" s="120">
        <f t="shared" si="1135"/>
        <v>31</v>
      </c>
      <c r="E2947" s="120">
        <f t="shared" si="1136"/>
        <v>7</v>
      </c>
      <c r="F2947" s="275">
        <f t="shared" si="1137"/>
        <v>45854.5</v>
      </c>
      <c r="G2947" s="120">
        <f t="shared" si="1138"/>
        <v>24306</v>
      </c>
      <c r="H2947" s="245">
        <f t="shared" si="1139"/>
        <v>1</v>
      </c>
      <c r="I2947" s="121">
        <f t="shared" si="1140"/>
        <v>1</v>
      </c>
      <c r="J2947" s="121">
        <f t="shared" si="1141"/>
        <v>1</v>
      </c>
      <c r="K2947" s="120">
        <f t="shared" si="1142"/>
        <v>0</v>
      </c>
      <c r="L2947" s="120">
        <f t="shared" si="1143"/>
        <v>0</v>
      </c>
      <c r="M2947" s="246">
        <f t="shared" si="1144"/>
        <v>0</v>
      </c>
      <c r="N2947" s="121">
        <f t="shared" si="1145"/>
        <v>1</v>
      </c>
      <c r="O2947" s="246">
        <f t="shared" si="1146"/>
        <v>0.89550875273522967</v>
      </c>
      <c r="P2947" s="121">
        <f t="shared" si="1147"/>
        <v>8.333333333333337E-2</v>
      </c>
      <c r="Q2947" s="121">
        <f t="shared" si="1148"/>
        <v>0</v>
      </c>
      <c r="R2947" s="121">
        <f t="shared" si="1149"/>
        <v>0</v>
      </c>
      <c r="S2947" s="121" t="str">
        <f t="shared" si="1150"/>
        <v/>
      </c>
      <c r="T2947" s="121" t="str">
        <f t="shared" si="1151"/>
        <v/>
      </c>
      <c r="U2947" s="121">
        <f t="shared" si="1152"/>
        <v>1</v>
      </c>
    </row>
    <row r="2948" spans="1:21" x14ac:dyDescent="0.3">
      <c r="A2948" s="187">
        <v>8</v>
      </c>
      <c r="B2948" s="242">
        <f t="shared" si="1153"/>
        <v>45870</v>
      </c>
      <c r="C2948" s="243">
        <f t="shared" si="1134"/>
        <v>45900</v>
      </c>
      <c r="D2948" s="120">
        <f t="shared" si="1135"/>
        <v>31</v>
      </c>
      <c r="E2948" s="120">
        <f t="shared" si="1136"/>
        <v>8</v>
      </c>
      <c r="F2948" s="275">
        <f t="shared" si="1137"/>
        <v>45885.5</v>
      </c>
      <c r="G2948" s="120">
        <f t="shared" si="1138"/>
        <v>24307</v>
      </c>
      <c r="H2948" s="245">
        <f t="shared" si="1139"/>
        <v>1</v>
      </c>
      <c r="I2948" s="121">
        <f t="shared" si="1140"/>
        <v>1</v>
      </c>
      <c r="J2948" s="121">
        <f t="shared" si="1141"/>
        <v>1</v>
      </c>
      <c r="K2948" s="120">
        <f t="shared" si="1142"/>
        <v>0</v>
      </c>
      <c r="L2948" s="120">
        <f t="shared" si="1143"/>
        <v>0</v>
      </c>
      <c r="M2948" s="246">
        <f t="shared" si="1144"/>
        <v>0</v>
      </c>
      <c r="N2948" s="121">
        <f t="shared" si="1145"/>
        <v>1</v>
      </c>
      <c r="O2948" s="246">
        <f t="shared" si="1146"/>
        <v>0.89652625820568921</v>
      </c>
      <c r="P2948" s="121">
        <f t="shared" si="1147"/>
        <v>0.25</v>
      </c>
      <c r="Q2948" s="121">
        <f t="shared" si="1148"/>
        <v>0</v>
      </c>
      <c r="R2948" s="121">
        <f t="shared" si="1149"/>
        <v>0</v>
      </c>
      <c r="S2948" s="121" t="str">
        <f t="shared" si="1150"/>
        <v/>
      </c>
      <c r="T2948" s="121" t="str">
        <f t="shared" si="1151"/>
        <v/>
      </c>
      <c r="U2948" s="121">
        <f t="shared" si="1152"/>
        <v>1</v>
      </c>
    </row>
    <row r="2949" spans="1:21" x14ac:dyDescent="0.3">
      <c r="A2949" s="187">
        <v>9</v>
      </c>
      <c r="B2949" s="242">
        <f t="shared" si="1153"/>
        <v>45901</v>
      </c>
      <c r="C2949" s="243">
        <f t="shared" si="1134"/>
        <v>45930</v>
      </c>
      <c r="D2949" s="120">
        <f t="shared" si="1135"/>
        <v>30</v>
      </c>
      <c r="E2949" s="120">
        <f t="shared" si="1136"/>
        <v>9</v>
      </c>
      <c r="F2949" s="275">
        <f t="shared" si="1137"/>
        <v>45916</v>
      </c>
      <c r="G2949" s="120">
        <f t="shared" si="1138"/>
        <v>24308</v>
      </c>
      <c r="H2949" s="245">
        <f t="shared" si="1139"/>
        <v>1</v>
      </c>
      <c r="I2949" s="121">
        <f t="shared" si="1140"/>
        <v>1</v>
      </c>
      <c r="J2949" s="121">
        <f t="shared" si="1141"/>
        <v>1</v>
      </c>
      <c r="K2949" s="120">
        <f t="shared" si="1142"/>
        <v>0</v>
      </c>
      <c r="L2949" s="120">
        <f t="shared" si="1143"/>
        <v>0</v>
      </c>
      <c r="M2949" s="246">
        <f t="shared" si="1144"/>
        <v>0</v>
      </c>
      <c r="N2949" s="121">
        <f t="shared" si="1145"/>
        <v>1</v>
      </c>
      <c r="O2949" s="246">
        <f t="shared" si="1146"/>
        <v>0.89752735229759295</v>
      </c>
      <c r="P2949" s="121">
        <f t="shared" si="1147"/>
        <v>0.41666666666666663</v>
      </c>
      <c r="Q2949" s="121">
        <f t="shared" si="1148"/>
        <v>0</v>
      </c>
      <c r="R2949" s="121">
        <f t="shared" si="1149"/>
        <v>0</v>
      </c>
      <c r="S2949" s="121" t="str">
        <f t="shared" si="1150"/>
        <v/>
      </c>
      <c r="T2949" s="121" t="str">
        <f t="shared" si="1151"/>
        <v/>
      </c>
      <c r="U2949" s="121">
        <f t="shared" si="1152"/>
        <v>1</v>
      </c>
    </row>
    <row r="2950" spans="1:21" x14ac:dyDescent="0.3">
      <c r="A2950" s="187">
        <v>10</v>
      </c>
      <c r="B2950" s="242">
        <f t="shared" si="1153"/>
        <v>45931</v>
      </c>
      <c r="C2950" s="243">
        <f t="shared" si="1134"/>
        <v>45961</v>
      </c>
      <c r="D2950" s="120">
        <f t="shared" si="1135"/>
        <v>31</v>
      </c>
      <c r="E2950" s="120">
        <f t="shared" si="1136"/>
        <v>10</v>
      </c>
      <c r="F2950" s="275">
        <f t="shared" si="1137"/>
        <v>45946.5</v>
      </c>
      <c r="G2950" s="120">
        <f t="shared" si="1138"/>
        <v>24309</v>
      </c>
      <c r="H2950" s="245">
        <f t="shared" si="1139"/>
        <v>1</v>
      </c>
      <c r="I2950" s="121">
        <f t="shared" si="1140"/>
        <v>1</v>
      </c>
      <c r="J2950" s="121">
        <f t="shared" si="1141"/>
        <v>1</v>
      </c>
      <c r="K2950" s="120">
        <f t="shared" si="1142"/>
        <v>0</v>
      </c>
      <c r="L2950" s="120">
        <f t="shared" si="1143"/>
        <v>0</v>
      </c>
      <c r="M2950" s="246">
        <f t="shared" si="1144"/>
        <v>0</v>
      </c>
      <c r="N2950" s="121">
        <f t="shared" si="1145"/>
        <v>1</v>
      </c>
      <c r="O2950" s="246">
        <f t="shared" si="1146"/>
        <v>0.89852844638949669</v>
      </c>
      <c r="P2950" s="121">
        <f t="shared" si="1147"/>
        <v>0.58333333333333326</v>
      </c>
      <c r="Q2950" s="121">
        <f t="shared" si="1148"/>
        <v>0</v>
      </c>
      <c r="R2950" s="121">
        <f t="shared" si="1149"/>
        <v>0</v>
      </c>
      <c r="S2950" s="121" t="str">
        <f t="shared" si="1150"/>
        <v/>
      </c>
      <c r="T2950" s="121" t="str">
        <f t="shared" si="1151"/>
        <v/>
      </c>
      <c r="U2950" s="121">
        <f t="shared" si="1152"/>
        <v>1</v>
      </c>
    </row>
    <row r="2951" spans="1:21" x14ac:dyDescent="0.3">
      <c r="A2951" s="187">
        <v>11</v>
      </c>
      <c r="B2951" s="242">
        <f t="shared" si="1153"/>
        <v>45962</v>
      </c>
      <c r="C2951" s="243">
        <f t="shared" si="1134"/>
        <v>45991</v>
      </c>
      <c r="D2951" s="120">
        <f t="shared" si="1135"/>
        <v>30</v>
      </c>
      <c r="E2951" s="120">
        <f t="shared" si="1136"/>
        <v>11</v>
      </c>
      <c r="F2951" s="275">
        <f t="shared" si="1137"/>
        <v>45977</v>
      </c>
      <c r="G2951" s="120">
        <f t="shared" si="1138"/>
        <v>24310</v>
      </c>
      <c r="H2951" s="245">
        <f t="shared" si="1139"/>
        <v>1</v>
      </c>
      <c r="I2951" s="121">
        <f t="shared" si="1140"/>
        <v>1</v>
      </c>
      <c r="J2951" s="121">
        <f t="shared" si="1141"/>
        <v>1</v>
      </c>
      <c r="K2951" s="120">
        <f t="shared" si="1142"/>
        <v>0</v>
      </c>
      <c r="L2951" s="120">
        <f t="shared" si="1143"/>
        <v>0</v>
      </c>
      <c r="M2951" s="246">
        <f t="shared" si="1144"/>
        <v>0</v>
      </c>
      <c r="N2951" s="121">
        <f t="shared" si="1145"/>
        <v>1</v>
      </c>
      <c r="O2951" s="246">
        <f t="shared" si="1146"/>
        <v>0.89952954048140044</v>
      </c>
      <c r="P2951" s="121">
        <f t="shared" si="1147"/>
        <v>0.75</v>
      </c>
      <c r="Q2951" s="121">
        <f t="shared" si="1148"/>
        <v>0</v>
      </c>
      <c r="R2951" s="121">
        <f t="shared" si="1149"/>
        <v>0</v>
      </c>
      <c r="S2951" s="121" t="str">
        <f t="shared" si="1150"/>
        <v/>
      </c>
      <c r="T2951" s="121" t="str">
        <f t="shared" si="1151"/>
        <v/>
      </c>
      <c r="U2951" s="121">
        <f t="shared" si="1152"/>
        <v>1</v>
      </c>
    </row>
    <row r="2952" spans="1:21" x14ac:dyDescent="0.3">
      <c r="A2952" s="187">
        <v>12</v>
      </c>
      <c r="B2952" s="242">
        <f t="shared" si="1153"/>
        <v>45992</v>
      </c>
      <c r="C2952" s="243">
        <f t="shared" si="1134"/>
        <v>46022</v>
      </c>
      <c r="D2952" s="120">
        <f t="shared" si="1135"/>
        <v>31</v>
      </c>
      <c r="E2952" s="120">
        <f t="shared" si="1136"/>
        <v>12</v>
      </c>
      <c r="F2952" s="275">
        <f t="shared" si="1137"/>
        <v>46007.5</v>
      </c>
      <c r="G2952" s="120">
        <f t="shared" si="1138"/>
        <v>24311</v>
      </c>
      <c r="H2952" s="245">
        <f t="shared" si="1139"/>
        <v>1</v>
      </c>
      <c r="I2952" s="121">
        <f t="shared" si="1140"/>
        <v>1</v>
      </c>
      <c r="J2952" s="121">
        <f t="shared" si="1141"/>
        <v>1</v>
      </c>
      <c r="K2952" s="120">
        <f t="shared" si="1142"/>
        <v>0</v>
      </c>
      <c r="L2952" s="120">
        <f t="shared" si="1143"/>
        <v>0</v>
      </c>
      <c r="M2952" s="246">
        <f t="shared" si="1144"/>
        <v>0</v>
      </c>
      <c r="N2952" s="121">
        <f t="shared" si="1145"/>
        <v>1</v>
      </c>
      <c r="O2952" s="246">
        <f t="shared" si="1146"/>
        <v>0.90053063457330418</v>
      </c>
      <c r="P2952" s="121">
        <f t="shared" si="1147"/>
        <v>0.91666666666666663</v>
      </c>
      <c r="Q2952" s="121">
        <f t="shared" si="1148"/>
        <v>0</v>
      </c>
      <c r="R2952" s="121">
        <f t="shared" si="1149"/>
        <v>0</v>
      </c>
      <c r="S2952" s="121" t="str">
        <f t="shared" si="1150"/>
        <v/>
      </c>
      <c r="T2952" s="121" t="str">
        <f t="shared" si="1151"/>
        <v/>
      </c>
      <c r="U2952" s="121">
        <f t="shared" si="1152"/>
        <v>1</v>
      </c>
    </row>
    <row r="2953" spans="1:21" x14ac:dyDescent="0.3">
      <c r="A2953" s="187">
        <v>13</v>
      </c>
      <c r="B2953" s="242">
        <f t="shared" si="1153"/>
        <v>46023</v>
      </c>
      <c r="C2953" s="243">
        <f t="shared" si="1134"/>
        <v>46053</v>
      </c>
      <c r="D2953" s="120">
        <f t="shared" si="1135"/>
        <v>31</v>
      </c>
      <c r="E2953" s="120">
        <f t="shared" si="1136"/>
        <v>1</v>
      </c>
      <c r="F2953" s="275">
        <f t="shared" si="1137"/>
        <v>46038.5</v>
      </c>
      <c r="G2953" s="120">
        <f t="shared" si="1138"/>
        <v>24312</v>
      </c>
      <c r="H2953" s="245">
        <f t="shared" si="1139"/>
        <v>1</v>
      </c>
      <c r="I2953" s="121">
        <f t="shared" si="1140"/>
        <v>1</v>
      </c>
      <c r="J2953" s="121">
        <f t="shared" si="1141"/>
        <v>1</v>
      </c>
      <c r="K2953" s="120">
        <f t="shared" si="1142"/>
        <v>0</v>
      </c>
      <c r="L2953" s="120">
        <f t="shared" si="1143"/>
        <v>0</v>
      </c>
      <c r="M2953" s="246">
        <f t="shared" si="1144"/>
        <v>0</v>
      </c>
      <c r="N2953" s="121">
        <f t="shared" si="1145"/>
        <v>1</v>
      </c>
      <c r="O2953" s="246">
        <f t="shared" si="1146"/>
        <v>0.90154814004376371</v>
      </c>
      <c r="P2953" s="121">
        <f t="shared" si="1147"/>
        <v>1</v>
      </c>
      <c r="Q2953" s="121">
        <f t="shared" si="1148"/>
        <v>0</v>
      </c>
      <c r="R2953" s="121">
        <f t="shared" si="1149"/>
        <v>0</v>
      </c>
      <c r="S2953" s="121" t="str">
        <f t="shared" si="1150"/>
        <v/>
      </c>
      <c r="T2953" s="121" t="str">
        <f t="shared" si="1151"/>
        <v/>
      </c>
      <c r="U2953" s="121">
        <f t="shared" si="1152"/>
        <v>1</v>
      </c>
    </row>
    <row r="2954" spans="1:21" x14ac:dyDescent="0.3">
      <c r="A2954" s="187">
        <v>14</v>
      </c>
      <c r="B2954" s="242">
        <f t="shared" si="1153"/>
        <v>46054</v>
      </c>
      <c r="C2954" s="243">
        <f t="shared" si="1134"/>
        <v>46081</v>
      </c>
      <c r="D2954" s="120">
        <f t="shared" si="1135"/>
        <v>28</v>
      </c>
      <c r="E2954" s="120">
        <f t="shared" si="1136"/>
        <v>2</v>
      </c>
      <c r="F2954" s="275">
        <f t="shared" si="1137"/>
        <v>46068</v>
      </c>
      <c r="G2954" s="120">
        <f t="shared" si="1138"/>
        <v>24313</v>
      </c>
      <c r="H2954" s="245">
        <f t="shared" si="1139"/>
        <v>1</v>
      </c>
      <c r="I2954" s="121">
        <f t="shared" si="1140"/>
        <v>1</v>
      </c>
      <c r="J2954" s="121">
        <f t="shared" si="1141"/>
        <v>1</v>
      </c>
      <c r="K2954" s="120">
        <f t="shared" si="1142"/>
        <v>0</v>
      </c>
      <c r="L2954" s="120">
        <f t="shared" si="1143"/>
        <v>0</v>
      </c>
      <c r="M2954" s="246">
        <f t="shared" si="1144"/>
        <v>0</v>
      </c>
      <c r="N2954" s="121">
        <f t="shared" si="1145"/>
        <v>1</v>
      </c>
      <c r="O2954" s="246">
        <f t="shared" si="1146"/>
        <v>0.90251641137855576</v>
      </c>
      <c r="P2954" s="121">
        <f t="shared" si="1147"/>
        <v>1</v>
      </c>
      <c r="Q2954" s="121">
        <f t="shared" si="1148"/>
        <v>0</v>
      </c>
      <c r="R2954" s="121">
        <f t="shared" si="1149"/>
        <v>0</v>
      </c>
      <c r="S2954" s="121" t="str">
        <f t="shared" si="1150"/>
        <v/>
      </c>
      <c r="T2954" s="121" t="str">
        <f t="shared" si="1151"/>
        <v/>
      </c>
      <c r="U2954" s="121">
        <f t="shared" si="1152"/>
        <v>1</v>
      </c>
    </row>
    <row r="2955" spans="1:21" x14ac:dyDescent="0.3">
      <c r="A2955" s="187">
        <v>15</v>
      </c>
      <c r="B2955" s="242">
        <f t="shared" si="1153"/>
        <v>46082</v>
      </c>
      <c r="C2955" s="243">
        <f t="shared" si="1134"/>
        <v>46112</v>
      </c>
      <c r="D2955" s="120">
        <f t="shared" si="1135"/>
        <v>31</v>
      </c>
      <c r="E2955" s="120">
        <f t="shared" si="1136"/>
        <v>3</v>
      </c>
      <c r="F2955" s="275">
        <f t="shared" si="1137"/>
        <v>46097.5</v>
      </c>
      <c r="G2955" s="120">
        <f t="shared" si="1138"/>
        <v>24314</v>
      </c>
      <c r="H2955" s="245">
        <f t="shared" si="1139"/>
        <v>1</v>
      </c>
      <c r="I2955" s="121">
        <f t="shared" si="1140"/>
        <v>1</v>
      </c>
      <c r="J2955" s="121">
        <f t="shared" si="1141"/>
        <v>1</v>
      </c>
      <c r="K2955" s="120">
        <f t="shared" si="1142"/>
        <v>0</v>
      </c>
      <c r="L2955" s="120">
        <f t="shared" si="1143"/>
        <v>0</v>
      </c>
      <c r="M2955" s="246">
        <f t="shared" si="1144"/>
        <v>0</v>
      </c>
      <c r="N2955" s="121">
        <f t="shared" si="1145"/>
        <v>1</v>
      </c>
      <c r="O2955" s="246">
        <f t="shared" si="1146"/>
        <v>0.90348468271334792</v>
      </c>
      <c r="P2955" s="121">
        <f t="shared" si="1147"/>
        <v>1</v>
      </c>
      <c r="Q2955" s="121">
        <f t="shared" si="1148"/>
        <v>0</v>
      </c>
      <c r="R2955" s="121">
        <f t="shared" si="1149"/>
        <v>0</v>
      </c>
      <c r="S2955" s="121" t="str">
        <f t="shared" si="1150"/>
        <v/>
      </c>
      <c r="T2955" s="121" t="str">
        <f t="shared" si="1151"/>
        <v/>
      </c>
      <c r="U2955" s="121">
        <f t="shared" si="1152"/>
        <v>1</v>
      </c>
    </row>
    <row r="2956" spans="1:21" x14ac:dyDescent="0.3">
      <c r="A2956" s="187">
        <v>16</v>
      </c>
      <c r="B2956" s="242">
        <f t="shared" si="1153"/>
        <v>46113</v>
      </c>
      <c r="C2956" s="243">
        <f t="shared" si="1134"/>
        <v>46142</v>
      </c>
      <c r="D2956" s="120">
        <f t="shared" si="1135"/>
        <v>30</v>
      </c>
      <c r="E2956" s="120">
        <f t="shared" si="1136"/>
        <v>4</v>
      </c>
      <c r="F2956" s="275">
        <f t="shared" si="1137"/>
        <v>46128</v>
      </c>
      <c r="G2956" s="120">
        <f t="shared" si="1138"/>
        <v>24315</v>
      </c>
      <c r="H2956" s="245">
        <f t="shared" si="1139"/>
        <v>1</v>
      </c>
      <c r="I2956" s="121">
        <f t="shared" si="1140"/>
        <v>1</v>
      </c>
      <c r="J2956" s="121">
        <f t="shared" si="1141"/>
        <v>1</v>
      </c>
      <c r="K2956" s="120">
        <f t="shared" si="1142"/>
        <v>0</v>
      </c>
      <c r="L2956" s="120">
        <f t="shared" si="1143"/>
        <v>0</v>
      </c>
      <c r="M2956" s="246">
        <f t="shared" si="1144"/>
        <v>0</v>
      </c>
      <c r="N2956" s="121">
        <f t="shared" si="1145"/>
        <v>1</v>
      </c>
      <c r="O2956" s="246">
        <f t="shared" si="1146"/>
        <v>0.90448577680525166</v>
      </c>
      <c r="P2956" s="121">
        <f t="shared" si="1147"/>
        <v>1</v>
      </c>
      <c r="Q2956" s="121">
        <f t="shared" si="1148"/>
        <v>0</v>
      </c>
      <c r="R2956" s="121">
        <f t="shared" si="1149"/>
        <v>0</v>
      </c>
      <c r="S2956" s="121" t="str">
        <f t="shared" si="1150"/>
        <v/>
      </c>
      <c r="T2956" s="121" t="str">
        <f t="shared" si="1151"/>
        <v/>
      </c>
      <c r="U2956" s="121">
        <f t="shared" si="1152"/>
        <v>1</v>
      </c>
    </row>
    <row r="2957" spans="1:21" x14ac:dyDescent="0.3">
      <c r="A2957" s="187">
        <v>17</v>
      </c>
      <c r="B2957" s="242">
        <f t="shared" si="1153"/>
        <v>46143</v>
      </c>
      <c r="C2957" s="243">
        <f t="shared" si="1134"/>
        <v>46173</v>
      </c>
      <c r="D2957" s="120">
        <f t="shared" si="1135"/>
        <v>31</v>
      </c>
      <c r="E2957" s="120">
        <f t="shared" si="1136"/>
        <v>5</v>
      </c>
      <c r="F2957" s="275">
        <f t="shared" si="1137"/>
        <v>46158.5</v>
      </c>
      <c r="G2957" s="120">
        <f t="shared" si="1138"/>
        <v>24316</v>
      </c>
      <c r="H2957" s="245">
        <f t="shared" si="1139"/>
        <v>1</v>
      </c>
      <c r="I2957" s="121">
        <f t="shared" si="1140"/>
        <v>1</v>
      </c>
      <c r="J2957" s="121">
        <f t="shared" si="1141"/>
        <v>1</v>
      </c>
      <c r="K2957" s="120">
        <f t="shared" si="1142"/>
        <v>0</v>
      </c>
      <c r="L2957" s="120">
        <f t="shared" si="1143"/>
        <v>0</v>
      </c>
      <c r="M2957" s="246">
        <f t="shared" si="1144"/>
        <v>0</v>
      </c>
      <c r="N2957" s="121">
        <f t="shared" si="1145"/>
        <v>1</v>
      </c>
      <c r="O2957" s="246">
        <f t="shared" si="1146"/>
        <v>0.9054868708971554</v>
      </c>
      <c r="P2957" s="121">
        <f t="shared" si="1147"/>
        <v>1</v>
      </c>
      <c r="Q2957" s="121">
        <f t="shared" si="1148"/>
        <v>0</v>
      </c>
      <c r="R2957" s="121">
        <f t="shared" si="1149"/>
        <v>0</v>
      </c>
      <c r="S2957" s="121" t="str">
        <f t="shared" si="1150"/>
        <v/>
      </c>
      <c r="T2957" s="121" t="str">
        <f t="shared" si="1151"/>
        <v/>
      </c>
      <c r="U2957" s="121">
        <f t="shared" si="1152"/>
        <v>1</v>
      </c>
    </row>
    <row r="2958" spans="1:21" x14ac:dyDescent="0.3">
      <c r="A2958" s="187">
        <v>18</v>
      </c>
      <c r="B2958" s="242">
        <f t="shared" si="1153"/>
        <v>46174</v>
      </c>
      <c r="C2958" s="243">
        <f t="shared" si="1134"/>
        <v>46203</v>
      </c>
      <c r="D2958" s="120">
        <f t="shared" si="1135"/>
        <v>30</v>
      </c>
      <c r="E2958" s="120">
        <f t="shared" si="1136"/>
        <v>6</v>
      </c>
      <c r="F2958" s="275">
        <f t="shared" si="1137"/>
        <v>46189</v>
      </c>
      <c r="G2958" s="120">
        <f t="shared" si="1138"/>
        <v>24317</v>
      </c>
      <c r="H2958" s="245">
        <f t="shared" si="1139"/>
        <v>1</v>
      </c>
      <c r="I2958" s="121">
        <f t="shared" si="1140"/>
        <v>1</v>
      </c>
      <c r="J2958" s="121">
        <f t="shared" si="1141"/>
        <v>1</v>
      </c>
      <c r="K2958" s="120">
        <f t="shared" si="1142"/>
        <v>0</v>
      </c>
      <c r="L2958" s="120">
        <f t="shared" si="1143"/>
        <v>0</v>
      </c>
      <c r="M2958" s="246">
        <f t="shared" si="1144"/>
        <v>0</v>
      </c>
      <c r="N2958" s="121">
        <f t="shared" si="1145"/>
        <v>1</v>
      </c>
      <c r="O2958" s="246">
        <f t="shared" si="1146"/>
        <v>0.90648796498905915</v>
      </c>
      <c r="P2958" s="121">
        <f t="shared" si="1147"/>
        <v>1</v>
      </c>
      <c r="Q2958" s="121">
        <f t="shared" si="1148"/>
        <v>0</v>
      </c>
      <c r="R2958" s="121">
        <f t="shared" si="1149"/>
        <v>0</v>
      </c>
      <c r="S2958" s="121" t="str">
        <f t="shared" si="1150"/>
        <v/>
      </c>
      <c r="T2958" s="121" t="str">
        <f t="shared" si="1151"/>
        <v/>
      </c>
      <c r="U2958" s="121">
        <f t="shared" si="1152"/>
        <v>1</v>
      </c>
    </row>
    <row r="2959" spans="1:21" x14ac:dyDescent="0.3">
      <c r="A2959" s="187">
        <v>19</v>
      </c>
      <c r="B2959" s="242">
        <f t="shared" si="1153"/>
        <v>46204</v>
      </c>
      <c r="C2959" s="243">
        <f t="shared" si="1134"/>
        <v>46234</v>
      </c>
      <c r="D2959" s="120">
        <f t="shared" si="1135"/>
        <v>31</v>
      </c>
      <c r="E2959" s="120">
        <f t="shared" si="1136"/>
        <v>7</v>
      </c>
      <c r="F2959" s="275">
        <f t="shared" si="1137"/>
        <v>46219.5</v>
      </c>
      <c r="G2959" s="120">
        <f t="shared" si="1138"/>
        <v>24318</v>
      </c>
      <c r="H2959" s="245">
        <f t="shared" si="1139"/>
        <v>1</v>
      </c>
      <c r="I2959" s="121">
        <f t="shared" si="1140"/>
        <v>1</v>
      </c>
      <c r="J2959" s="121">
        <f t="shared" si="1141"/>
        <v>1</v>
      </c>
      <c r="K2959" s="120">
        <f t="shared" si="1142"/>
        <v>0</v>
      </c>
      <c r="L2959" s="120">
        <f t="shared" si="1143"/>
        <v>0</v>
      </c>
      <c r="M2959" s="246">
        <f t="shared" si="1144"/>
        <v>0</v>
      </c>
      <c r="N2959" s="121">
        <f t="shared" si="1145"/>
        <v>1</v>
      </c>
      <c r="O2959" s="246">
        <f t="shared" si="1146"/>
        <v>0.90748905908096278</v>
      </c>
      <c r="P2959" s="121">
        <f t="shared" si="1147"/>
        <v>0.91666666666666663</v>
      </c>
      <c r="Q2959" s="121">
        <f t="shared" si="1148"/>
        <v>8.333333333333337E-2</v>
      </c>
      <c r="R2959" s="121">
        <f t="shared" si="1149"/>
        <v>0</v>
      </c>
      <c r="S2959" s="121" t="str">
        <f t="shared" si="1150"/>
        <v/>
      </c>
      <c r="T2959" s="121" t="str">
        <f t="shared" si="1151"/>
        <v/>
      </c>
      <c r="U2959" s="121">
        <f t="shared" si="1152"/>
        <v>1</v>
      </c>
    </row>
    <row r="2960" spans="1:21" x14ac:dyDescent="0.3">
      <c r="A2960" s="187">
        <v>20</v>
      </c>
      <c r="B2960" s="242">
        <f t="shared" si="1153"/>
        <v>46235</v>
      </c>
      <c r="C2960" s="243">
        <f t="shared" si="1134"/>
        <v>46265</v>
      </c>
      <c r="D2960" s="120">
        <f t="shared" si="1135"/>
        <v>31</v>
      </c>
      <c r="E2960" s="120">
        <f t="shared" si="1136"/>
        <v>8</v>
      </c>
      <c r="F2960" s="275">
        <f t="shared" si="1137"/>
        <v>46250.5</v>
      </c>
      <c r="G2960" s="120">
        <f t="shared" si="1138"/>
        <v>24319</v>
      </c>
      <c r="H2960" s="245">
        <f t="shared" si="1139"/>
        <v>1</v>
      </c>
      <c r="I2960" s="121">
        <f t="shared" si="1140"/>
        <v>1</v>
      </c>
      <c r="J2960" s="121">
        <f t="shared" si="1141"/>
        <v>1</v>
      </c>
      <c r="K2960" s="120">
        <f t="shared" si="1142"/>
        <v>0</v>
      </c>
      <c r="L2960" s="120">
        <f t="shared" si="1143"/>
        <v>0</v>
      </c>
      <c r="M2960" s="246">
        <f t="shared" si="1144"/>
        <v>0</v>
      </c>
      <c r="N2960" s="121">
        <f t="shared" si="1145"/>
        <v>1</v>
      </c>
      <c r="O2960" s="246">
        <f t="shared" si="1146"/>
        <v>0.90850656455142231</v>
      </c>
      <c r="P2960" s="121">
        <f t="shared" si="1147"/>
        <v>0.75</v>
      </c>
      <c r="Q2960" s="121">
        <f t="shared" si="1148"/>
        <v>0.25</v>
      </c>
      <c r="R2960" s="121">
        <f t="shared" si="1149"/>
        <v>0</v>
      </c>
      <c r="S2960" s="121" t="str">
        <f t="shared" si="1150"/>
        <v/>
      </c>
      <c r="T2960" s="121" t="str">
        <f t="shared" si="1151"/>
        <v/>
      </c>
      <c r="U2960" s="121">
        <f t="shared" si="1152"/>
        <v>1</v>
      </c>
    </row>
    <row r="2961" spans="1:21" x14ac:dyDescent="0.3">
      <c r="A2961" s="187">
        <v>21</v>
      </c>
      <c r="B2961" s="242">
        <f t="shared" si="1153"/>
        <v>46266</v>
      </c>
      <c r="C2961" s="243">
        <f t="shared" si="1134"/>
        <v>46295</v>
      </c>
      <c r="D2961" s="120">
        <f t="shared" si="1135"/>
        <v>30</v>
      </c>
      <c r="E2961" s="120">
        <f t="shared" si="1136"/>
        <v>9</v>
      </c>
      <c r="F2961" s="275">
        <f t="shared" si="1137"/>
        <v>46281</v>
      </c>
      <c r="G2961" s="120">
        <f t="shared" si="1138"/>
        <v>24320</v>
      </c>
      <c r="H2961" s="245">
        <f t="shared" si="1139"/>
        <v>1</v>
      </c>
      <c r="I2961" s="121">
        <f t="shared" si="1140"/>
        <v>1</v>
      </c>
      <c r="J2961" s="121">
        <f t="shared" si="1141"/>
        <v>1</v>
      </c>
      <c r="K2961" s="120">
        <f t="shared" si="1142"/>
        <v>0</v>
      </c>
      <c r="L2961" s="120">
        <f t="shared" si="1143"/>
        <v>0</v>
      </c>
      <c r="M2961" s="246">
        <f t="shared" si="1144"/>
        <v>0</v>
      </c>
      <c r="N2961" s="121">
        <f t="shared" si="1145"/>
        <v>1</v>
      </c>
      <c r="O2961" s="246">
        <f t="shared" si="1146"/>
        <v>0.90950765864332606</v>
      </c>
      <c r="P2961" s="121">
        <f t="shared" si="1147"/>
        <v>0.58333333333333337</v>
      </c>
      <c r="Q2961" s="121">
        <f t="shared" si="1148"/>
        <v>0.41666666666666663</v>
      </c>
      <c r="R2961" s="121">
        <f t="shared" si="1149"/>
        <v>0</v>
      </c>
      <c r="S2961" s="121" t="str">
        <f t="shared" si="1150"/>
        <v/>
      </c>
      <c r="T2961" s="121" t="str">
        <f t="shared" si="1151"/>
        <v/>
      </c>
      <c r="U2961" s="121">
        <f t="shared" si="1152"/>
        <v>1</v>
      </c>
    </row>
    <row r="2962" spans="1:21" x14ac:dyDescent="0.3">
      <c r="A2962" s="187">
        <v>22</v>
      </c>
      <c r="B2962" s="242">
        <f t="shared" si="1153"/>
        <v>46296</v>
      </c>
      <c r="C2962" s="243">
        <f t="shared" si="1134"/>
        <v>46326</v>
      </c>
      <c r="D2962" s="120">
        <f t="shared" si="1135"/>
        <v>31</v>
      </c>
      <c r="E2962" s="120">
        <f t="shared" si="1136"/>
        <v>10</v>
      </c>
      <c r="F2962" s="275">
        <f t="shared" si="1137"/>
        <v>46311.5</v>
      </c>
      <c r="G2962" s="120">
        <f t="shared" si="1138"/>
        <v>24321</v>
      </c>
      <c r="H2962" s="245">
        <f t="shared" si="1139"/>
        <v>1</v>
      </c>
      <c r="I2962" s="121">
        <f t="shared" si="1140"/>
        <v>1</v>
      </c>
      <c r="J2962" s="121">
        <f t="shared" si="1141"/>
        <v>1</v>
      </c>
      <c r="K2962" s="120">
        <f t="shared" si="1142"/>
        <v>0</v>
      </c>
      <c r="L2962" s="120">
        <f t="shared" si="1143"/>
        <v>0</v>
      </c>
      <c r="M2962" s="246">
        <f t="shared" si="1144"/>
        <v>0</v>
      </c>
      <c r="N2962" s="121">
        <f t="shared" si="1145"/>
        <v>1</v>
      </c>
      <c r="O2962" s="246">
        <f t="shared" si="1146"/>
        <v>0.9105087527352298</v>
      </c>
      <c r="P2962" s="121">
        <f t="shared" si="1147"/>
        <v>0.41666666666666669</v>
      </c>
      <c r="Q2962" s="121">
        <f t="shared" si="1148"/>
        <v>0.58333333333333326</v>
      </c>
      <c r="R2962" s="121">
        <f t="shared" si="1149"/>
        <v>0</v>
      </c>
      <c r="S2962" s="121" t="str">
        <f t="shared" si="1150"/>
        <v/>
      </c>
      <c r="T2962" s="121" t="str">
        <f t="shared" si="1151"/>
        <v/>
      </c>
      <c r="U2962" s="121">
        <f t="shared" si="1152"/>
        <v>1</v>
      </c>
    </row>
    <row r="2963" spans="1:21" x14ac:dyDescent="0.3">
      <c r="A2963" s="187">
        <v>23</v>
      </c>
      <c r="B2963" s="242">
        <f t="shared" si="1153"/>
        <v>46327</v>
      </c>
      <c r="C2963" s="243">
        <f t="shared" si="1134"/>
        <v>46356</v>
      </c>
      <c r="D2963" s="120">
        <f t="shared" si="1135"/>
        <v>30</v>
      </c>
      <c r="E2963" s="120">
        <f t="shared" si="1136"/>
        <v>11</v>
      </c>
      <c r="F2963" s="275">
        <f t="shared" si="1137"/>
        <v>46342</v>
      </c>
      <c r="G2963" s="120">
        <f t="shared" si="1138"/>
        <v>24322</v>
      </c>
      <c r="H2963" s="245">
        <f t="shared" si="1139"/>
        <v>1</v>
      </c>
      <c r="I2963" s="121">
        <f t="shared" si="1140"/>
        <v>1</v>
      </c>
      <c r="J2963" s="121">
        <f t="shared" si="1141"/>
        <v>1</v>
      </c>
      <c r="K2963" s="120">
        <f t="shared" si="1142"/>
        <v>0</v>
      </c>
      <c r="L2963" s="120">
        <f t="shared" si="1143"/>
        <v>0</v>
      </c>
      <c r="M2963" s="246">
        <f t="shared" si="1144"/>
        <v>0</v>
      </c>
      <c r="N2963" s="121">
        <f t="shared" si="1145"/>
        <v>1</v>
      </c>
      <c r="O2963" s="246">
        <f t="shared" si="1146"/>
        <v>0.91150984682713354</v>
      </c>
      <c r="P2963" s="121">
        <f t="shared" si="1147"/>
        <v>0.25</v>
      </c>
      <c r="Q2963" s="121">
        <f t="shared" si="1148"/>
        <v>0.75</v>
      </c>
      <c r="R2963" s="121">
        <f t="shared" si="1149"/>
        <v>0</v>
      </c>
      <c r="S2963" s="121" t="str">
        <f t="shared" si="1150"/>
        <v/>
      </c>
      <c r="T2963" s="121" t="str">
        <f t="shared" si="1151"/>
        <v/>
      </c>
      <c r="U2963" s="121">
        <f t="shared" si="1152"/>
        <v>1</v>
      </c>
    </row>
    <row r="2964" spans="1:21" x14ac:dyDescent="0.3">
      <c r="A2964" s="187">
        <v>24</v>
      </c>
      <c r="B2964" s="242">
        <f t="shared" si="1153"/>
        <v>46357</v>
      </c>
      <c r="C2964" s="243">
        <f t="shared" si="1134"/>
        <v>46387</v>
      </c>
      <c r="D2964" s="120">
        <f t="shared" si="1135"/>
        <v>31</v>
      </c>
      <c r="E2964" s="120">
        <f t="shared" si="1136"/>
        <v>12</v>
      </c>
      <c r="F2964" s="275">
        <f t="shared" si="1137"/>
        <v>46372.5</v>
      </c>
      <c r="G2964" s="120">
        <f t="shared" si="1138"/>
        <v>24323</v>
      </c>
      <c r="H2964" s="245">
        <f t="shared" si="1139"/>
        <v>1</v>
      </c>
      <c r="I2964" s="121">
        <f t="shared" si="1140"/>
        <v>1</v>
      </c>
      <c r="J2964" s="121">
        <f t="shared" si="1141"/>
        <v>1</v>
      </c>
      <c r="K2964" s="120">
        <f t="shared" si="1142"/>
        <v>0</v>
      </c>
      <c r="L2964" s="120">
        <f t="shared" si="1143"/>
        <v>0</v>
      </c>
      <c r="M2964" s="246">
        <f t="shared" si="1144"/>
        <v>0</v>
      </c>
      <c r="N2964" s="121">
        <f t="shared" si="1145"/>
        <v>1</v>
      </c>
      <c r="O2964" s="246">
        <f t="shared" si="1146"/>
        <v>0.91251094091903728</v>
      </c>
      <c r="P2964" s="121">
        <f t="shared" si="1147"/>
        <v>8.3333333333333329E-2</v>
      </c>
      <c r="Q2964" s="121">
        <f t="shared" si="1148"/>
        <v>0.91666666666666663</v>
      </c>
      <c r="R2964" s="121">
        <f t="shared" si="1149"/>
        <v>0</v>
      </c>
      <c r="S2964" s="121" t="str">
        <f t="shared" si="1150"/>
        <v/>
      </c>
      <c r="T2964" s="121" t="str">
        <f t="shared" si="1151"/>
        <v/>
      </c>
      <c r="U2964" s="121">
        <f t="shared" si="1152"/>
        <v>1</v>
      </c>
    </row>
    <row r="2965" spans="1:21" x14ac:dyDescent="0.3">
      <c r="A2965" s="187">
        <v>25</v>
      </c>
      <c r="B2965" s="242">
        <f t="shared" si="1153"/>
        <v>46388</v>
      </c>
      <c r="C2965" s="243">
        <f t="shared" si="1134"/>
        <v>46418</v>
      </c>
      <c r="D2965" s="120">
        <f t="shared" si="1135"/>
        <v>31</v>
      </c>
      <c r="E2965" s="120">
        <f t="shared" si="1136"/>
        <v>1</v>
      </c>
      <c r="F2965" s="275">
        <f t="shared" si="1137"/>
        <v>46403.5</v>
      </c>
      <c r="G2965" s="120">
        <f t="shared" si="1138"/>
        <v>24324</v>
      </c>
      <c r="H2965" s="245">
        <f t="shared" si="1139"/>
        <v>1</v>
      </c>
      <c r="I2965" s="121">
        <f t="shared" si="1140"/>
        <v>1</v>
      </c>
      <c r="J2965" s="121">
        <f t="shared" si="1141"/>
        <v>1</v>
      </c>
      <c r="K2965" s="120">
        <f t="shared" si="1142"/>
        <v>0</v>
      </c>
      <c r="L2965" s="120">
        <f t="shared" si="1143"/>
        <v>0</v>
      </c>
      <c r="M2965" s="246">
        <f t="shared" si="1144"/>
        <v>0</v>
      </c>
      <c r="N2965" s="121">
        <f t="shared" si="1145"/>
        <v>1</v>
      </c>
      <c r="O2965" s="246">
        <f t="shared" si="1146"/>
        <v>0.91352844638949671</v>
      </c>
      <c r="P2965" s="121">
        <f t="shared" si="1147"/>
        <v>0</v>
      </c>
      <c r="Q2965" s="121">
        <f t="shared" si="1148"/>
        <v>1</v>
      </c>
      <c r="R2965" s="121">
        <f t="shared" si="1149"/>
        <v>0</v>
      </c>
      <c r="S2965" s="121" t="str">
        <f t="shared" si="1150"/>
        <v/>
      </c>
      <c r="T2965" s="121" t="str">
        <f t="shared" si="1151"/>
        <v/>
      </c>
      <c r="U2965" s="121">
        <f t="shared" si="1152"/>
        <v>1</v>
      </c>
    </row>
    <row r="2966" spans="1:21" x14ac:dyDescent="0.3">
      <c r="A2966" s="187">
        <v>26</v>
      </c>
      <c r="B2966" s="242">
        <f t="shared" si="1153"/>
        <v>46419</v>
      </c>
      <c r="C2966" s="243">
        <f t="shared" si="1134"/>
        <v>46446</v>
      </c>
      <c r="D2966" s="120">
        <f t="shared" si="1135"/>
        <v>28</v>
      </c>
      <c r="E2966" s="120">
        <f t="shared" si="1136"/>
        <v>2</v>
      </c>
      <c r="F2966" s="275">
        <f t="shared" si="1137"/>
        <v>46433</v>
      </c>
      <c r="G2966" s="120">
        <f t="shared" si="1138"/>
        <v>24325</v>
      </c>
      <c r="H2966" s="245">
        <f t="shared" si="1139"/>
        <v>1</v>
      </c>
      <c r="I2966" s="121">
        <f t="shared" si="1140"/>
        <v>1</v>
      </c>
      <c r="J2966" s="121">
        <f t="shared" si="1141"/>
        <v>1</v>
      </c>
      <c r="K2966" s="120">
        <f t="shared" si="1142"/>
        <v>0</v>
      </c>
      <c r="L2966" s="120">
        <f t="shared" si="1143"/>
        <v>0</v>
      </c>
      <c r="M2966" s="246">
        <f t="shared" si="1144"/>
        <v>0</v>
      </c>
      <c r="N2966" s="121">
        <f t="shared" si="1145"/>
        <v>1</v>
      </c>
      <c r="O2966" s="246">
        <f t="shared" si="1146"/>
        <v>0.91449671772428887</v>
      </c>
      <c r="P2966" s="121">
        <f t="shared" si="1147"/>
        <v>0</v>
      </c>
      <c r="Q2966" s="121">
        <f t="shared" si="1148"/>
        <v>1</v>
      </c>
      <c r="R2966" s="121">
        <f t="shared" si="1149"/>
        <v>0</v>
      </c>
      <c r="S2966" s="121" t="str">
        <f t="shared" si="1150"/>
        <v/>
      </c>
      <c r="T2966" s="121" t="str">
        <f t="shared" si="1151"/>
        <v/>
      </c>
      <c r="U2966" s="121">
        <f t="shared" si="1152"/>
        <v>1</v>
      </c>
    </row>
    <row r="2967" spans="1:21" x14ac:dyDescent="0.3">
      <c r="A2967" s="187">
        <v>27</v>
      </c>
      <c r="B2967" s="242">
        <f t="shared" si="1153"/>
        <v>46447</v>
      </c>
      <c r="C2967" s="243">
        <f t="shared" si="1134"/>
        <v>46477</v>
      </c>
      <c r="D2967" s="120">
        <f t="shared" si="1135"/>
        <v>31</v>
      </c>
      <c r="E2967" s="120">
        <f t="shared" si="1136"/>
        <v>3</v>
      </c>
      <c r="F2967" s="275">
        <f t="shared" si="1137"/>
        <v>46462.5</v>
      </c>
      <c r="G2967" s="120">
        <f t="shared" si="1138"/>
        <v>24326</v>
      </c>
      <c r="H2967" s="245">
        <f t="shared" si="1139"/>
        <v>1</v>
      </c>
      <c r="I2967" s="121">
        <f t="shared" si="1140"/>
        <v>1</v>
      </c>
      <c r="J2967" s="121">
        <f t="shared" si="1141"/>
        <v>1</v>
      </c>
      <c r="K2967" s="120">
        <f t="shared" si="1142"/>
        <v>0</v>
      </c>
      <c r="L2967" s="120">
        <f t="shared" si="1143"/>
        <v>0</v>
      </c>
      <c r="M2967" s="246">
        <f t="shared" si="1144"/>
        <v>0</v>
      </c>
      <c r="N2967" s="121">
        <f t="shared" si="1145"/>
        <v>1</v>
      </c>
      <c r="O2967" s="246">
        <f t="shared" si="1146"/>
        <v>0.91546498905908102</v>
      </c>
      <c r="P2967" s="121">
        <f t="shared" si="1147"/>
        <v>0</v>
      </c>
      <c r="Q2967" s="121">
        <f t="shared" si="1148"/>
        <v>1</v>
      </c>
      <c r="R2967" s="121">
        <f t="shared" si="1149"/>
        <v>0</v>
      </c>
      <c r="S2967" s="121" t="str">
        <f t="shared" si="1150"/>
        <v/>
      </c>
      <c r="T2967" s="121" t="str">
        <f t="shared" si="1151"/>
        <v/>
      </c>
      <c r="U2967" s="121">
        <f t="shared" si="1152"/>
        <v>1</v>
      </c>
    </row>
    <row r="2968" spans="1:21" x14ac:dyDescent="0.3">
      <c r="A2968" s="187">
        <v>28</v>
      </c>
      <c r="B2968" s="242">
        <f t="shared" si="1153"/>
        <v>46478</v>
      </c>
      <c r="C2968" s="243">
        <f t="shared" si="1134"/>
        <v>46507</v>
      </c>
      <c r="D2968" s="120">
        <f t="shared" si="1135"/>
        <v>30</v>
      </c>
      <c r="E2968" s="120">
        <f t="shared" si="1136"/>
        <v>4</v>
      </c>
      <c r="F2968" s="275">
        <f t="shared" si="1137"/>
        <v>46493</v>
      </c>
      <c r="G2968" s="120">
        <f t="shared" si="1138"/>
        <v>24327</v>
      </c>
      <c r="H2968" s="245">
        <f t="shared" si="1139"/>
        <v>1</v>
      </c>
      <c r="I2968" s="121">
        <f t="shared" si="1140"/>
        <v>1</v>
      </c>
      <c r="J2968" s="121">
        <f t="shared" si="1141"/>
        <v>1.04</v>
      </c>
      <c r="K2968" s="120">
        <f t="shared" si="1142"/>
        <v>1</v>
      </c>
      <c r="L2968" s="120">
        <f t="shared" si="1143"/>
        <v>30</v>
      </c>
      <c r="M2968" s="246">
        <f t="shared" si="1144"/>
        <v>1</v>
      </c>
      <c r="N2968" s="121">
        <f t="shared" si="1145"/>
        <v>1.04</v>
      </c>
      <c r="O2968" s="246">
        <f t="shared" si="1146"/>
        <v>0.91646608315098477</v>
      </c>
      <c r="P2968" s="121">
        <f t="shared" si="1147"/>
        <v>0</v>
      </c>
      <c r="Q2968" s="121">
        <f t="shared" si="1148"/>
        <v>1</v>
      </c>
      <c r="R2968" s="121">
        <f t="shared" si="1149"/>
        <v>0</v>
      </c>
      <c r="S2968" s="121" t="str">
        <f t="shared" si="1150"/>
        <v/>
      </c>
      <c r="T2968" s="121" t="str">
        <f t="shared" si="1151"/>
        <v/>
      </c>
      <c r="U2968" s="121">
        <f t="shared" si="1152"/>
        <v>1.04</v>
      </c>
    </row>
    <row r="2969" spans="1:21" x14ac:dyDescent="0.3">
      <c r="A2969" s="187">
        <v>29</v>
      </c>
      <c r="B2969" s="242">
        <f t="shared" si="1153"/>
        <v>46508</v>
      </c>
      <c r="C2969" s="243">
        <f t="shared" si="1134"/>
        <v>46538</v>
      </c>
      <c r="D2969" s="120">
        <f t="shared" si="1135"/>
        <v>31</v>
      </c>
      <c r="E2969" s="120">
        <f t="shared" si="1136"/>
        <v>5</v>
      </c>
      <c r="F2969" s="275">
        <f t="shared" si="1137"/>
        <v>46523.5</v>
      </c>
      <c r="G2969" s="120">
        <f t="shared" si="1138"/>
        <v>24328</v>
      </c>
      <c r="H2969" s="245">
        <f t="shared" si="1139"/>
        <v>1</v>
      </c>
      <c r="I2969" s="121">
        <f t="shared" si="1140"/>
        <v>1.04</v>
      </c>
      <c r="J2969" s="121">
        <f t="shared" si="1141"/>
        <v>1.04</v>
      </c>
      <c r="K2969" s="120">
        <f t="shared" si="1142"/>
        <v>0</v>
      </c>
      <c r="L2969" s="120">
        <f t="shared" si="1143"/>
        <v>0</v>
      </c>
      <c r="M2969" s="246">
        <f t="shared" si="1144"/>
        <v>0</v>
      </c>
      <c r="N2969" s="121">
        <f t="shared" si="1145"/>
        <v>1.04</v>
      </c>
      <c r="O2969" s="246">
        <f t="shared" si="1146"/>
        <v>0.9174671772428884</v>
      </c>
      <c r="P2969" s="121">
        <f t="shared" si="1147"/>
        <v>0</v>
      </c>
      <c r="Q2969" s="121">
        <f t="shared" si="1148"/>
        <v>1</v>
      </c>
      <c r="R2969" s="121">
        <f t="shared" si="1149"/>
        <v>0</v>
      </c>
      <c r="S2969" s="121" t="str">
        <f t="shared" si="1150"/>
        <v/>
      </c>
      <c r="T2969" s="121" t="str">
        <f t="shared" si="1151"/>
        <v/>
      </c>
      <c r="U2969" s="121">
        <f t="shared" si="1152"/>
        <v>1.04</v>
      </c>
    </row>
    <row r="2970" spans="1:21" x14ac:dyDescent="0.3">
      <c r="A2970" s="187">
        <v>30</v>
      </c>
      <c r="B2970" s="242">
        <f t="shared" si="1153"/>
        <v>46539</v>
      </c>
      <c r="C2970" s="243">
        <f t="shared" si="1134"/>
        <v>46568</v>
      </c>
      <c r="D2970" s="120">
        <f t="shared" si="1135"/>
        <v>30</v>
      </c>
      <c r="E2970" s="120">
        <f t="shared" si="1136"/>
        <v>6</v>
      </c>
      <c r="F2970" s="275">
        <f t="shared" si="1137"/>
        <v>46554</v>
      </c>
      <c r="G2970" s="120">
        <f t="shared" si="1138"/>
        <v>24329</v>
      </c>
      <c r="H2970" s="245">
        <f t="shared" si="1139"/>
        <v>1</v>
      </c>
      <c r="I2970" s="121">
        <f t="shared" si="1140"/>
        <v>1.04</v>
      </c>
      <c r="J2970" s="121">
        <f t="shared" si="1141"/>
        <v>1.04</v>
      </c>
      <c r="K2970" s="120">
        <f t="shared" si="1142"/>
        <v>0</v>
      </c>
      <c r="L2970" s="120">
        <f t="shared" si="1143"/>
        <v>0</v>
      </c>
      <c r="M2970" s="246">
        <f t="shared" si="1144"/>
        <v>0</v>
      </c>
      <c r="N2970" s="121">
        <f t="shared" si="1145"/>
        <v>1.04</v>
      </c>
      <c r="O2970" s="246">
        <f t="shared" si="1146"/>
        <v>0.91846827133479214</v>
      </c>
      <c r="P2970" s="121">
        <f t="shared" si="1147"/>
        <v>0</v>
      </c>
      <c r="Q2970" s="121">
        <f t="shared" si="1148"/>
        <v>1</v>
      </c>
      <c r="R2970" s="121">
        <f t="shared" si="1149"/>
        <v>0</v>
      </c>
      <c r="S2970" s="121" t="str">
        <f t="shared" si="1150"/>
        <v/>
      </c>
      <c r="T2970" s="121" t="str">
        <f t="shared" si="1151"/>
        <v/>
      </c>
      <c r="U2970" s="121">
        <f t="shared" si="1152"/>
        <v>1.04</v>
      </c>
    </row>
    <row r="2971" spans="1:21" x14ac:dyDescent="0.3">
      <c r="A2971" s="187">
        <v>31</v>
      </c>
      <c r="B2971" s="242">
        <f t="shared" si="1153"/>
        <v>46569</v>
      </c>
      <c r="C2971" s="243">
        <f t="shared" si="1134"/>
        <v>46599</v>
      </c>
      <c r="D2971" s="120">
        <f t="shared" si="1135"/>
        <v>31</v>
      </c>
      <c r="E2971" s="120">
        <f t="shared" si="1136"/>
        <v>7</v>
      </c>
      <c r="F2971" s="275">
        <f t="shared" si="1137"/>
        <v>46584.5</v>
      </c>
      <c r="G2971" s="120">
        <f t="shared" si="1138"/>
        <v>24330</v>
      </c>
      <c r="H2971" s="245">
        <f t="shared" si="1139"/>
        <v>1</v>
      </c>
      <c r="I2971" s="121">
        <f t="shared" si="1140"/>
        <v>1.04</v>
      </c>
      <c r="J2971" s="121">
        <f t="shared" si="1141"/>
        <v>1.04</v>
      </c>
      <c r="K2971" s="120">
        <f t="shared" si="1142"/>
        <v>0</v>
      </c>
      <c r="L2971" s="120">
        <f t="shared" si="1143"/>
        <v>0</v>
      </c>
      <c r="M2971" s="246">
        <f t="shared" si="1144"/>
        <v>0</v>
      </c>
      <c r="N2971" s="121">
        <f t="shared" si="1145"/>
        <v>1.04</v>
      </c>
      <c r="O2971" s="246">
        <f t="shared" si="1146"/>
        <v>0.91946936542669588</v>
      </c>
      <c r="P2971" s="121">
        <f t="shared" si="1147"/>
        <v>0</v>
      </c>
      <c r="Q2971" s="121">
        <f t="shared" si="1148"/>
        <v>0.91666666666666663</v>
      </c>
      <c r="R2971" s="121">
        <f t="shared" si="1149"/>
        <v>8.333333333333337E-2</v>
      </c>
      <c r="S2971" s="121" t="str">
        <f t="shared" si="1150"/>
        <v/>
      </c>
      <c r="T2971" s="121" t="str">
        <f t="shared" si="1151"/>
        <v/>
      </c>
      <c r="U2971" s="121">
        <f t="shared" si="1152"/>
        <v>1.04</v>
      </c>
    </row>
    <row r="2972" spans="1:21" x14ac:dyDescent="0.3">
      <c r="A2972" s="187">
        <v>32</v>
      </c>
      <c r="B2972" s="242">
        <f t="shared" si="1153"/>
        <v>46600</v>
      </c>
      <c r="C2972" s="243">
        <f t="shared" si="1134"/>
        <v>46630</v>
      </c>
      <c r="D2972" s="120">
        <f t="shared" si="1135"/>
        <v>31</v>
      </c>
      <c r="E2972" s="120">
        <f t="shared" si="1136"/>
        <v>8</v>
      </c>
      <c r="F2972" s="275">
        <f t="shared" si="1137"/>
        <v>46615.5</v>
      </c>
      <c r="G2972" s="120">
        <f t="shared" si="1138"/>
        <v>24331</v>
      </c>
      <c r="H2972" s="245">
        <f t="shared" si="1139"/>
        <v>1</v>
      </c>
      <c r="I2972" s="121">
        <f t="shared" si="1140"/>
        <v>1.04</v>
      </c>
      <c r="J2972" s="121">
        <f t="shared" si="1141"/>
        <v>1.04</v>
      </c>
      <c r="K2972" s="120">
        <f t="shared" si="1142"/>
        <v>0</v>
      </c>
      <c r="L2972" s="120">
        <f t="shared" si="1143"/>
        <v>0</v>
      </c>
      <c r="M2972" s="246">
        <f t="shared" si="1144"/>
        <v>0</v>
      </c>
      <c r="N2972" s="121">
        <f t="shared" si="1145"/>
        <v>1.04</v>
      </c>
      <c r="O2972" s="246">
        <f t="shared" si="1146"/>
        <v>0.92048687089715542</v>
      </c>
      <c r="P2972" s="121">
        <f t="shared" si="1147"/>
        <v>0</v>
      </c>
      <c r="Q2972" s="121">
        <f t="shared" si="1148"/>
        <v>0.75</v>
      </c>
      <c r="R2972" s="121">
        <f t="shared" si="1149"/>
        <v>0.25</v>
      </c>
      <c r="S2972" s="121" t="str">
        <f t="shared" si="1150"/>
        <v/>
      </c>
      <c r="T2972" s="121" t="str">
        <f t="shared" si="1151"/>
        <v/>
      </c>
      <c r="U2972" s="121">
        <f t="shared" si="1152"/>
        <v>1.04</v>
      </c>
    </row>
    <row r="2973" spans="1:21" x14ac:dyDescent="0.3">
      <c r="A2973" s="187">
        <v>33</v>
      </c>
      <c r="B2973" s="242">
        <f t="shared" si="1153"/>
        <v>46631</v>
      </c>
      <c r="C2973" s="243">
        <f t="shared" si="1134"/>
        <v>46660</v>
      </c>
      <c r="D2973" s="120">
        <f t="shared" si="1135"/>
        <v>30</v>
      </c>
      <c r="E2973" s="120">
        <f t="shared" si="1136"/>
        <v>9</v>
      </c>
      <c r="F2973" s="275">
        <f t="shared" si="1137"/>
        <v>46646</v>
      </c>
      <c r="G2973" s="120">
        <f t="shared" si="1138"/>
        <v>24332</v>
      </c>
      <c r="H2973" s="245">
        <f t="shared" si="1139"/>
        <v>1</v>
      </c>
      <c r="I2973" s="121">
        <f t="shared" si="1140"/>
        <v>1.04</v>
      </c>
      <c r="J2973" s="121">
        <f t="shared" si="1141"/>
        <v>1.04</v>
      </c>
      <c r="K2973" s="120">
        <f t="shared" si="1142"/>
        <v>0</v>
      </c>
      <c r="L2973" s="120">
        <f t="shared" si="1143"/>
        <v>0</v>
      </c>
      <c r="M2973" s="246">
        <f t="shared" si="1144"/>
        <v>0</v>
      </c>
      <c r="N2973" s="121">
        <f t="shared" si="1145"/>
        <v>1.04</v>
      </c>
      <c r="O2973" s="246">
        <f t="shared" si="1146"/>
        <v>0.92148796498905916</v>
      </c>
      <c r="P2973" s="121">
        <f t="shared" si="1147"/>
        <v>0</v>
      </c>
      <c r="Q2973" s="121">
        <f t="shared" si="1148"/>
        <v>0.58333333333333337</v>
      </c>
      <c r="R2973" s="121">
        <f t="shared" si="1149"/>
        <v>0.41666666666666663</v>
      </c>
      <c r="S2973" s="121" t="str">
        <f t="shared" si="1150"/>
        <v/>
      </c>
      <c r="T2973" s="121" t="str">
        <f t="shared" si="1151"/>
        <v/>
      </c>
      <c r="U2973" s="121">
        <f t="shared" si="1152"/>
        <v>1.04</v>
      </c>
    </row>
    <row r="2974" spans="1:21" x14ac:dyDescent="0.3">
      <c r="A2974" s="187">
        <v>34</v>
      </c>
      <c r="B2974" s="242">
        <f t="shared" si="1153"/>
        <v>46661</v>
      </c>
      <c r="C2974" s="243">
        <f t="shared" si="1134"/>
        <v>46691</v>
      </c>
      <c r="D2974" s="120">
        <f t="shared" si="1135"/>
        <v>31</v>
      </c>
      <c r="E2974" s="120">
        <f t="shared" si="1136"/>
        <v>10</v>
      </c>
      <c r="F2974" s="275">
        <f t="shared" si="1137"/>
        <v>46676.5</v>
      </c>
      <c r="G2974" s="120">
        <f t="shared" si="1138"/>
        <v>24333</v>
      </c>
      <c r="H2974" s="245">
        <f t="shared" si="1139"/>
        <v>1</v>
      </c>
      <c r="I2974" s="121">
        <f t="shared" si="1140"/>
        <v>1.04</v>
      </c>
      <c r="J2974" s="121">
        <f t="shared" si="1141"/>
        <v>1.04</v>
      </c>
      <c r="K2974" s="120">
        <f t="shared" si="1142"/>
        <v>0</v>
      </c>
      <c r="L2974" s="120">
        <f t="shared" si="1143"/>
        <v>0</v>
      </c>
      <c r="M2974" s="246">
        <f t="shared" si="1144"/>
        <v>0</v>
      </c>
      <c r="N2974" s="121">
        <f t="shared" si="1145"/>
        <v>1.04</v>
      </c>
      <c r="O2974" s="246">
        <f t="shared" si="1146"/>
        <v>0.92248905908096279</v>
      </c>
      <c r="P2974" s="121">
        <f t="shared" si="1147"/>
        <v>0</v>
      </c>
      <c r="Q2974" s="121">
        <f t="shared" si="1148"/>
        <v>0.41666666666666669</v>
      </c>
      <c r="R2974" s="121">
        <f t="shared" si="1149"/>
        <v>0.58333333333333326</v>
      </c>
      <c r="S2974" s="121" t="str">
        <f t="shared" si="1150"/>
        <v/>
      </c>
      <c r="T2974" s="121" t="str">
        <f t="shared" si="1151"/>
        <v/>
      </c>
      <c r="U2974" s="121">
        <f t="shared" si="1152"/>
        <v>1.04</v>
      </c>
    </row>
    <row r="2975" spans="1:21" x14ac:dyDescent="0.3">
      <c r="A2975" s="187">
        <v>35</v>
      </c>
      <c r="B2975" s="242">
        <f t="shared" si="1153"/>
        <v>46692</v>
      </c>
      <c r="C2975" s="243">
        <f t="shared" si="1134"/>
        <v>46721</v>
      </c>
      <c r="D2975" s="120">
        <f t="shared" si="1135"/>
        <v>30</v>
      </c>
      <c r="E2975" s="120">
        <f t="shared" si="1136"/>
        <v>11</v>
      </c>
      <c r="F2975" s="275">
        <f t="shared" si="1137"/>
        <v>46707</v>
      </c>
      <c r="G2975" s="120">
        <f t="shared" si="1138"/>
        <v>24334</v>
      </c>
      <c r="H2975" s="245">
        <f t="shared" si="1139"/>
        <v>1</v>
      </c>
      <c r="I2975" s="121">
        <f t="shared" si="1140"/>
        <v>1.04</v>
      </c>
      <c r="J2975" s="121">
        <f t="shared" si="1141"/>
        <v>1.04</v>
      </c>
      <c r="K2975" s="120">
        <f t="shared" si="1142"/>
        <v>0</v>
      </c>
      <c r="L2975" s="120">
        <f t="shared" si="1143"/>
        <v>0</v>
      </c>
      <c r="M2975" s="246">
        <f t="shared" si="1144"/>
        <v>0</v>
      </c>
      <c r="N2975" s="121">
        <f t="shared" si="1145"/>
        <v>1.04</v>
      </c>
      <c r="O2975" s="246">
        <f t="shared" si="1146"/>
        <v>0.92349015317286653</v>
      </c>
      <c r="P2975" s="121">
        <f t="shared" si="1147"/>
        <v>0</v>
      </c>
      <c r="Q2975" s="121">
        <f t="shared" si="1148"/>
        <v>0.25</v>
      </c>
      <c r="R2975" s="121">
        <f t="shared" si="1149"/>
        <v>0.75</v>
      </c>
      <c r="S2975" s="121" t="str">
        <f t="shared" si="1150"/>
        <v/>
      </c>
      <c r="T2975" s="121" t="str">
        <f t="shared" si="1151"/>
        <v/>
      </c>
      <c r="U2975" s="121">
        <f t="shared" si="1152"/>
        <v>1.04</v>
      </c>
    </row>
    <row r="2976" spans="1:21" x14ac:dyDescent="0.3">
      <c r="A2976" s="187">
        <v>36</v>
      </c>
      <c r="B2976" s="242">
        <f t="shared" si="1153"/>
        <v>46722</v>
      </c>
      <c r="C2976" s="243">
        <f t="shared" si="1134"/>
        <v>46752</v>
      </c>
      <c r="D2976" s="120">
        <f t="shared" si="1135"/>
        <v>31</v>
      </c>
      <c r="E2976" s="120">
        <f t="shared" si="1136"/>
        <v>12</v>
      </c>
      <c r="F2976" s="275">
        <f t="shared" si="1137"/>
        <v>46737.5</v>
      </c>
      <c r="G2976" s="120">
        <f t="shared" si="1138"/>
        <v>24335</v>
      </c>
      <c r="H2976" s="245">
        <f t="shared" si="1139"/>
        <v>1</v>
      </c>
      <c r="I2976" s="121">
        <f t="shared" si="1140"/>
        <v>1.04</v>
      </c>
      <c r="J2976" s="121">
        <f t="shared" si="1141"/>
        <v>1.04</v>
      </c>
      <c r="K2976" s="120">
        <f t="shared" si="1142"/>
        <v>0</v>
      </c>
      <c r="L2976" s="120">
        <f t="shared" si="1143"/>
        <v>0</v>
      </c>
      <c r="M2976" s="246">
        <f t="shared" si="1144"/>
        <v>0</v>
      </c>
      <c r="N2976" s="121">
        <f t="shared" si="1145"/>
        <v>1.04</v>
      </c>
      <c r="O2976" s="246">
        <f t="shared" si="1146"/>
        <v>0.92449124726477028</v>
      </c>
      <c r="P2976" s="121">
        <f t="shared" si="1147"/>
        <v>0</v>
      </c>
      <c r="Q2976" s="121">
        <f t="shared" si="1148"/>
        <v>8.3333333333333329E-2</v>
      </c>
      <c r="R2976" s="121">
        <f t="shared" si="1149"/>
        <v>0.91666666666666663</v>
      </c>
      <c r="S2976" s="121" t="str">
        <f t="shared" si="1150"/>
        <v/>
      </c>
      <c r="T2976" s="121" t="str">
        <f t="shared" si="1151"/>
        <v/>
      </c>
      <c r="U2976" s="121">
        <f t="shared" si="1152"/>
        <v>1.04</v>
      </c>
    </row>
    <row r="2977" spans="1:21" x14ac:dyDescent="0.3">
      <c r="A2977" s="187">
        <v>37</v>
      </c>
      <c r="B2977" s="242">
        <f t="shared" si="1153"/>
        <v>46753</v>
      </c>
      <c r="C2977" s="243">
        <f t="shared" si="1134"/>
        <v>46783</v>
      </c>
      <c r="D2977" s="120">
        <f t="shared" si="1135"/>
        <v>31</v>
      </c>
      <c r="E2977" s="120">
        <f t="shared" si="1136"/>
        <v>1</v>
      </c>
      <c r="F2977" s="275">
        <f t="shared" si="1137"/>
        <v>46768.5</v>
      </c>
      <c r="G2977" s="120">
        <f t="shared" si="1138"/>
        <v>24336</v>
      </c>
      <c r="H2977" s="245">
        <f t="shared" si="1139"/>
        <v>1</v>
      </c>
      <c r="I2977" s="121">
        <f t="shared" si="1140"/>
        <v>1.04</v>
      </c>
      <c r="J2977" s="121">
        <f t="shared" si="1141"/>
        <v>1.04</v>
      </c>
      <c r="K2977" s="120">
        <f t="shared" si="1142"/>
        <v>0</v>
      </c>
      <c r="L2977" s="120">
        <f t="shared" si="1143"/>
        <v>0</v>
      </c>
      <c r="M2977" s="246">
        <f t="shared" si="1144"/>
        <v>0</v>
      </c>
      <c r="N2977" s="121">
        <f t="shared" si="1145"/>
        <v>1.04</v>
      </c>
      <c r="O2977" s="246">
        <f t="shared" si="1146"/>
        <v>0.92500000000000004</v>
      </c>
      <c r="P2977" s="121">
        <f t="shared" si="1147"/>
        <v>0</v>
      </c>
      <c r="Q2977" s="121">
        <f t="shared" si="1148"/>
        <v>0</v>
      </c>
      <c r="R2977" s="121">
        <f t="shared" si="1149"/>
        <v>1</v>
      </c>
      <c r="S2977" s="121" t="str">
        <f t="shared" si="1150"/>
        <v/>
      </c>
      <c r="T2977" s="121" t="str">
        <f t="shared" si="1151"/>
        <v/>
      </c>
      <c r="U2977" s="121">
        <f t="shared" si="1152"/>
        <v>1.04</v>
      </c>
    </row>
    <row r="2978" spans="1:21" x14ac:dyDescent="0.3">
      <c r="A2978" s="187">
        <v>38</v>
      </c>
      <c r="B2978" s="242">
        <f t="shared" si="1153"/>
        <v>46784</v>
      </c>
      <c r="C2978" s="243">
        <f t="shared" si="1134"/>
        <v>46812</v>
      </c>
      <c r="D2978" s="120">
        <f t="shared" si="1135"/>
        <v>29</v>
      </c>
      <c r="E2978" s="120">
        <f t="shared" si="1136"/>
        <v>2</v>
      </c>
      <c r="F2978" s="275">
        <f t="shared" si="1137"/>
        <v>46798.5</v>
      </c>
      <c r="G2978" s="120">
        <f t="shared" si="1138"/>
        <v>24337</v>
      </c>
      <c r="H2978" s="245">
        <f t="shared" si="1139"/>
        <v>1</v>
      </c>
      <c r="I2978" s="121">
        <f t="shared" si="1140"/>
        <v>1.04</v>
      </c>
      <c r="J2978" s="121">
        <f t="shared" si="1141"/>
        <v>1.04</v>
      </c>
      <c r="K2978" s="120">
        <f t="shared" si="1142"/>
        <v>0</v>
      </c>
      <c r="L2978" s="120">
        <f t="shared" si="1143"/>
        <v>0</v>
      </c>
      <c r="M2978" s="246">
        <f t="shared" si="1144"/>
        <v>0</v>
      </c>
      <c r="N2978" s="121">
        <f t="shared" si="1145"/>
        <v>1.04</v>
      </c>
      <c r="O2978" s="246">
        <f t="shared" si="1146"/>
        <v>0.92500000000000004</v>
      </c>
      <c r="P2978" s="121">
        <f t="shared" si="1147"/>
        <v>0</v>
      </c>
      <c r="Q2978" s="121">
        <f t="shared" si="1148"/>
        <v>0</v>
      </c>
      <c r="R2978" s="121">
        <f t="shared" si="1149"/>
        <v>1</v>
      </c>
      <c r="S2978" s="121" t="str">
        <f t="shared" si="1150"/>
        <v/>
      </c>
      <c r="T2978" s="121" t="str">
        <f t="shared" si="1151"/>
        <v/>
      </c>
      <c r="U2978" s="121">
        <f t="shared" si="1152"/>
        <v>1.04</v>
      </c>
    </row>
    <row r="2979" spans="1:21" x14ac:dyDescent="0.3">
      <c r="A2979" s="187">
        <v>39</v>
      </c>
      <c r="B2979" s="242">
        <f t="shared" si="1153"/>
        <v>46813</v>
      </c>
      <c r="C2979" s="243">
        <f t="shared" si="1134"/>
        <v>46843</v>
      </c>
      <c r="D2979" s="120">
        <f t="shared" si="1135"/>
        <v>31</v>
      </c>
      <c r="E2979" s="120">
        <f t="shared" si="1136"/>
        <v>3</v>
      </c>
      <c r="F2979" s="275">
        <f t="shared" si="1137"/>
        <v>46828.5</v>
      </c>
      <c r="G2979" s="120">
        <f t="shared" si="1138"/>
        <v>24338</v>
      </c>
      <c r="H2979" s="245">
        <f t="shared" si="1139"/>
        <v>1</v>
      </c>
      <c r="I2979" s="121">
        <f t="shared" si="1140"/>
        <v>1.04</v>
      </c>
      <c r="J2979" s="121">
        <f t="shared" si="1141"/>
        <v>1.04</v>
      </c>
      <c r="K2979" s="120">
        <f t="shared" si="1142"/>
        <v>0</v>
      </c>
      <c r="L2979" s="120">
        <f t="shared" si="1143"/>
        <v>0</v>
      </c>
      <c r="M2979" s="246">
        <f t="shared" si="1144"/>
        <v>0</v>
      </c>
      <c r="N2979" s="121">
        <f t="shared" si="1145"/>
        <v>1.04</v>
      </c>
      <c r="O2979" s="246">
        <f t="shared" si="1146"/>
        <v>0.92500000000000004</v>
      </c>
      <c r="P2979" s="121">
        <f t="shared" si="1147"/>
        <v>0</v>
      </c>
      <c r="Q2979" s="121">
        <f t="shared" si="1148"/>
        <v>0</v>
      </c>
      <c r="R2979" s="121">
        <f t="shared" si="1149"/>
        <v>1</v>
      </c>
      <c r="S2979" s="121" t="str">
        <f t="shared" si="1150"/>
        <v/>
      </c>
      <c r="T2979" s="121" t="str">
        <f t="shared" si="1151"/>
        <v/>
      </c>
      <c r="U2979" s="121">
        <f t="shared" si="1152"/>
        <v>1.04</v>
      </c>
    </row>
    <row r="2980" spans="1:21" x14ac:dyDescent="0.3">
      <c r="A2980" s="187">
        <v>40</v>
      </c>
      <c r="B2980" s="242">
        <f t="shared" si="1153"/>
        <v>46844</v>
      </c>
      <c r="C2980" s="243">
        <f t="shared" si="1134"/>
        <v>46873</v>
      </c>
      <c r="D2980" s="120">
        <f t="shared" si="1135"/>
        <v>30</v>
      </c>
      <c r="E2980" s="120">
        <f t="shared" si="1136"/>
        <v>4</v>
      </c>
      <c r="F2980" s="275">
        <f t="shared" si="1137"/>
        <v>46859</v>
      </c>
      <c r="G2980" s="120">
        <f t="shared" si="1138"/>
        <v>24339</v>
      </c>
      <c r="H2980" s="245">
        <f t="shared" si="1139"/>
        <v>1</v>
      </c>
      <c r="I2980" s="121">
        <f t="shared" si="1140"/>
        <v>1.04</v>
      </c>
      <c r="J2980" s="121">
        <f t="shared" si="1141"/>
        <v>1.04</v>
      </c>
      <c r="K2980" s="120">
        <f t="shared" si="1142"/>
        <v>0</v>
      </c>
      <c r="L2980" s="120">
        <f t="shared" si="1143"/>
        <v>0</v>
      </c>
      <c r="M2980" s="246">
        <f t="shared" si="1144"/>
        <v>0</v>
      </c>
      <c r="N2980" s="121">
        <f t="shared" si="1145"/>
        <v>1.04</v>
      </c>
      <c r="O2980" s="246">
        <f t="shared" si="1146"/>
        <v>0.92500000000000004</v>
      </c>
      <c r="P2980" s="121">
        <f t="shared" si="1147"/>
        <v>0</v>
      </c>
      <c r="Q2980" s="121">
        <f t="shared" si="1148"/>
        <v>0</v>
      </c>
      <c r="R2980" s="121">
        <f t="shared" si="1149"/>
        <v>1</v>
      </c>
      <c r="S2980" s="121" t="str">
        <f t="shared" si="1150"/>
        <v/>
      </c>
      <c r="T2980" s="121" t="str">
        <f t="shared" si="1151"/>
        <v/>
      </c>
      <c r="U2980" s="121">
        <f t="shared" si="1152"/>
        <v>1.04</v>
      </c>
    </row>
    <row r="2981" spans="1:21" x14ac:dyDescent="0.3">
      <c r="A2981" s="187">
        <v>41</v>
      </c>
      <c r="B2981" s="242">
        <f t="shared" si="1153"/>
        <v>46874</v>
      </c>
      <c r="C2981" s="243">
        <f t="shared" si="1134"/>
        <v>46904</v>
      </c>
      <c r="D2981" s="120">
        <f t="shared" si="1135"/>
        <v>31</v>
      </c>
      <c r="E2981" s="120">
        <f t="shared" si="1136"/>
        <v>5</v>
      </c>
      <c r="F2981" s="275">
        <f t="shared" si="1137"/>
        <v>46889.5</v>
      </c>
      <c r="G2981" s="120">
        <f t="shared" si="1138"/>
        <v>24340</v>
      </c>
      <c r="H2981" s="245">
        <f t="shared" si="1139"/>
        <v>1</v>
      </c>
      <c r="I2981" s="121">
        <f t="shared" si="1140"/>
        <v>1.04</v>
      </c>
      <c r="J2981" s="121">
        <f t="shared" si="1141"/>
        <v>1.04</v>
      </c>
      <c r="K2981" s="120">
        <f t="shared" si="1142"/>
        <v>0</v>
      </c>
      <c r="L2981" s="120">
        <f t="shared" si="1143"/>
        <v>0</v>
      </c>
      <c r="M2981" s="246">
        <f t="shared" si="1144"/>
        <v>0</v>
      </c>
      <c r="N2981" s="121">
        <f t="shared" si="1145"/>
        <v>1.04</v>
      </c>
      <c r="O2981" s="246">
        <f t="shared" si="1146"/>
        <v>0.92500000000000004</v>
      </c>
      <c r="P2981" s="121">
        <f t="shared" si="1147"/>
        <v>0</v>
      </c>
      <c r="Q2981" s="121">
        <f t="shared" si="1148"/>
        <v>0</v>
      </c>
      <c r="R2981" s="121">
        <f t="shared" si="1149"/>
        <v>1</v>
      </c>
      <c r="S2981" s="121" t="str">
        <f t="shared" si="1150"/>
        <v/>
      </c>
      <c r="T2981" s="121" t="str">
        <f t="shared" si="1151"/>
        <v/>
      </c>
      <c r="U2981" s="121">
        <f t="shared" si="1152"/>
        <v>1.04</v>
      </c>
    </row>
    <row r="2982" spans="1:21" x14ac:dyDescent="0.3">
      <c r="A2982" s="187">
        <v>42</v>
      </c>
      <c r="B2982" s="242">
        <f t="shared" si="1153"/>
        <v>46905</v>
      </c>
      <c r="C2982" s="243">
        <f t="shared" si="1134"/>
        <v>46934</v>
      </c>
      <c r="D2982" s="120">
        <f t="shared" si="1135"/>
        <v>30</v>
      </c>
      <c r="E2982" s="120">
        <f t="shared" si="1136"/>
        <v>6</v>
      </c>
      <c r="F2982" s="275">
        <f t="shared" si="1137"/>
        <v>46920</v>
      </c>
      <c r="G2982" s="120">
        <f t="shared" si="1138"/>
        <v>24341</v>
      </c>
      <c r="H2982" s="245">
        <f t="shared" si="1139"/>
        <v>1</v>
      </c>
      <c r="I2982" s="121">
        <f t="shared" si="1140"/>
        <v>1.04</v>
      </c>
      <c r="J2982" s="121">
        <f t="shared" si="1141"/>
        <v>1.04</v>
      </c>
      <c r="K2982" s="120">
        <f t="shared" si="1142"/>
        <v>0</v>
      </c>
      <c r="L2982" s="120">
        <f t="shared" si="1143"/>
        <v>0</v>
      </c>
      <c r="M2982" s="246">
        <f t="shared" si="1144"/>
        <v>0</v>
      </c>
      <c r="N2982" s="121">
        <f t="shared" si="1145"/>
        <v>1.04</v>
      </c>
      <c r="O2982" s="246">
        <f t="shared" si="1146"/>
        <v>0.92500000000000004</v>
      </c>
      <c r="P2982" s="121">
        <f t="shared" si="1147"/>
        <v>0</v>
      </c>
      <c r="Q2982" s="121">
        <f t="shared" si="1148"/>
        <v>0</v>
      </c>
      <c r="R2982" s="121">
        <f t="shared" si="1149"/>
        <v>1</v>
      </c>
      <c r="S2982" s="121" t="str">
        <f t="shared" si="1150"/>
        <v/>
      </c>
      <c r="T2982" s="121" t="str">
        <f t="shared" si="1151"/>
        <v/>
      </c>
      <c r="U2982" s="121">
        <f t="shared" si="1152"/>
        <v>1.04</v>
      </c>
    </row>
    <row r="2983" spans="1:21" x14ac:dyDescent="0.3">
      <c r="A2983" s="187">
        <v>43</v>
      </c>
      <c r="B2983" s="242">
        <f t="shared" si="1153"/>
        <v>46935</v>
      </c>
      <c r="C2983" s="243">
        <f t="shared" si="1134"/>
        <v>46965</v>
      </c>
      <c r="D2983" s="120">
        <f t="shared" si="1135"/>
        <v>31</v>
      </c>
      <c r="E2983" s="120">
        <f t="shared" si="1136"/>
        <v>7</v>
      </c>
      <c r="F2983" s="275">
        <f t="shared" si="1137"/>
        <v>46950.5</v>
      </c>
      <c r="G2983" s="120">
        <f t="shared" si="1138"/>
        <v>24342</v>
      </c>
      <c r="H2983" s="245">
        <f t="shared" si="1139"/>
        <v>1</v>
      </c>
      <c r="I2983" s="121">
        <f t="shared" si="1140"/>
        <v>1.04</v>
      </c>
      <c r="J2983" s="121">
        <f t="shared" si="1141"/>
        <v>1.04</v>
      </c>
      <c r="K2983" s="120">
        <f t="shared" si="1142"/>
        <v>0</v>
      </c>
      <c r="L2983" s="120">
        <f t="shared" si="1143"/>
        <v>0</v>
      </c>
      <c r="M2983" s="246">
        <f t="shared" si="1144"/>
        <v>0</v>
      </c>
      <c r="N2983" s="121">
        <f t="shared" si="1145"/>
        <v>1.04</v>
      </c>
      <c r="O2983" s="246">
        <f t="shared" si="1146"/>
        <v>0.92500000000000004</v>
      </c>
      <c r="P2983" s="121">
        <f t="shared" si="1147"/>
        <v>0</v>
      </c>
      <c r="Q2983" s="121">
        <f t="shared" si="1148"/>
        <v>0</v>
      </c>
      <c r="R2983" s="121">
        <f t="shared" si="1149"/>
        <v>0.91666666666666663</v>
      </c>
      <c r="S2983" s="121" t="str">
        <f t="shared" si="1150"/>
        <v/>
      </c>
      <c r="T2983" s="121" t="str">
        <f t="shared" si="1151"/>
        <v/>
      </c>
      <c r="U2983" s="121">
        <f t="shared" si="1152"/>
        <v>1.04</v>
      </c>
    </row>
    <row r="2984" spans="1:21" x14ac:dyDescent="0.3">
      <c r="A2984" s="187">
        <v>44</v>
      </c>
      <c r="B2984" s="242">
        <f t="shared" si="1153"/>
        <v>46966</v>
      </c>
      <c r="C2984" s="243">
        <f t="shared" si="1134"/>
        <v>46996</v>
      </c>
      <c r="D2984" s="120">
        <f t="shared" si="1135"/>
        <v>31</v>
      </c>
      <c r="E2984" s="120">
        <f t="shared" si="1136"/>
        <v>8</v>
      </c>
      <c r="F2984" s="275">
        <f t="shared" si="1137"/>
        <v>46981.5</v>
      </c>
      <c r="G2984" s="120">
        <f t="shared" si="1138"/>
        <v>24343</v>
      </c>
      <c r="H2984" s="245">
        <f t="shared" si="1139"/>
        <v>1</v>
      </c>
      <c r="I2984" s="121">
        <f t="shared" si="1140"/>
        <v>1.04</v>
      </c>
      <c r="J2984" s="121">
        <f t="shared" si="1141"/>
        <v>1.04</v>
      </c>
      <c r="K2984" s="120">
        <f t="shared" si="1142"/>
        <v>0</v>
      </c>
      <c r="L2984" s="120">
        <f t="shared" si="1143"/>
        <v>0</v>
      </c>
      <c r="M2984" s="246">
        <f t="shared" si="1144"/>
        <v>0</v>
      </c>
      <c r="N2984" s="121">
        <f t="shared" si="1145"/>
        <v>1.04</v>
      </c>
      <c r="O2984" s="246">
        <f t="shared" si="1146"/>
        <v>0.92500000000000004</v>
      </c>
      <c r="P2984" s="121">
        <f t="shared" si="1147"/>
        <v>0</v>
      </c>
      <c r="Q2984" s="121">
        <f t="shared" si="1148"/>
        <v>0</v>
      </c>
      <c r="R2984" s="121">
        <f t="shared" si="1149"/>
        <v>0.75</v>
      </c>
      <c r="S2984" s="121" t="str">
        <f t="shared" si="1150"/>
        <v/>
      </c>
      <c r="T2984" s="121" t="str">
        <f t="shared" si="1151"/>
        <v/>
      </c>
      <c r="U2984" s="121">
        <f t="shared" si="1152"/>
        <v>1.04</v>
      </c>
    </row>
    <row r="2985" spans="1:21" x14ac:dyDescent="0.3">
      <c r="A2985" s="187">
        <v>45</v>
      </c>
      <c r="B2985" s="242">
        <f t="shared" si="1153"/>
        <v>46997</v>
      </c>
      <c r="C2985" s="243">
        <f t="shared" si="1134"/>
        <v>47026</v>
      </c>
      <c r="D2985" s="120">
        <f t="shared" si="1135"/>
        <v>30</v>
      </c>
      <c r="E2985" s="120">
        <f t="shared" si="1136"/>
        <v>9</v>
      </c>
      <c r="F2985" s="275">
        <f t="shared" si="1137"/>
        <v>47012</v>
      </c>
      <c r="G2985" s="120">
        <f t="shared" si="1138"/>
        <v>24344</v>
      </c>
      <c r="H2985" s="245">
        <f t="shared" si="1139"/>
        <v>1</v>
      </c>
      <c r="I2985" s="121">
        <f t="shared" si="1140"/>
        <v>1.04</v>
      </c>
      <c r="J2985" s="121">
        <f t="shared" si="1141"/>
        <v>1.04</v>
      </c>
      <c r="K2985" s="120">
        <f t="shared" si="1142"/>
        <v>0</v>
      </c>
      <c r="L2985" s="120">
        <f t="shared" si="1143"/>
        <v>0</v>
      </c>
      <c r="M2985" s="246">
        <f t="shared" si="1144"/>
        <v>0</v>
      </c>
      <c r="N2985" s="121">
        <f t="shared" si="1145"/>
        <v>1.04</v>
      </c>
      <c r="O2985" s="246">
        <f t="shared" si="1146"/>
        <v>0.92500000000000004</v>
      </c>
      <c r="P2985" s="121">
        <f t="shared" si="1147"/>
        <v>0</v>
      </c>
      <c r="Q2985" s="121">
        <f t="shared" si="1148"/>
        <v>0</v>
      </c>
      <c r="R2985" s="121">
        <f t="shared" si="1149"/>
        <v>0.58333333333333337</v>
      </c>
      <c r="S2985" s="121" t="str">
        <f t="shared" si="1150"/>
        <v/>
      </c>
      <c r="T2985" s="121" t="str">
        <f t="shared" si="1151"/>
        <v/>
      </c>
      <c r="U2985" s="121">
        <f t="shared" si="1152"/>
        <v>1.04</v>
      </c>
    </row>
    <row r="2986" spans="1:21" x14ac:dyDescent="0.3">
      <c r="A2986" s="187">
        <v>46</v>
      </c>
      <c r="B2986" s="242">
        <f t="shared" si="1153"/>
        <v>47027</v>
      </c>
      <c r="C2986" s="243">
        <f t="shared" si="1134"/>
        <v>47057</v>
      </c>
      <c r="D2986" s="120">
        <f t="shared" si="1135"/>
        <v>31</v>
      </c>
      <c r="E2986" s="120">
        <f t="shared" si="1136"/>
        <v>10</v>
      </c>
      <c r="F2986" s="275">
        <f t="shared" si="1137"/>
        <v>47042.5</v>
      </c>
      <c r="G2986" s="120">
        <f t="shared" si="1138"/>
        <v>24345</v>
      </c>
      <c r="H2986" s="245">
        <f t="shared" si="1139"/>
        <v>1</v>
      </c>
      <c r="I2986" s="121">
        <f t="shared" si="1140"/>
        <v>1.04</v>
      </c>
      <c r="J2986" s="121">
        <f t="shared" si="1141"/>
        <v>1.04</v>
      </c>
      <c r="K2986" s="120">
        <f t="shared" si="1142"/>
        <v>0</v>
      </c>
      <c r="L2986" s="120">
        <f t="shared" si="1143"/>
        <v>0</v>
      </c>
      <c r="M2986" s="246">
        <f t="shared" si="1144"/>
        <v>0</v>
      </c>
      <c r="N2986" s="121">
        <f t="shared" si="1145"/>
        <v>1.04</v>
      </c>
      <c r="O2986" s="246">
        <f t="shared" si="1146"/>
        <v>0.92500000000000004</v>
      </c>
      <c r="P2986" s="121">
        <f t="shared" si="1147"/>
        <v>0</v>
      </c>
      <c r="Q2986" s="121">
        <f t="shared" si="1148"/>
        <v>0</v>
      </c>
      <c r="R2986" s="121">
        <f t="shared" si="1149"/>
        <v>0.41666666666666669</v>
      </c>
      <c r="S2986" s="121" t="str">
        <f t="shared" si="1150"/>
        <v/>
      </c>
      <c r="T2986" s="121" t="str">
        <f t="shared" si="1151"/>
        <v/>
      </c>
      <c r="U2986" s="121">
        <f t="shared" si="1152"/>
        <v>1.04</v>
      </c>
    </row>
    <row r="2987" spans="1:21" x14ac:dyDescent="0.3">
      <c r="A2987" s="187">
        <v>47</v>
      </c>
      <c r="B2987" s="242">
        <f t="shared" si="1153"/>
        <v>47058</v>
      </c>
      <c r="C2987" s="243">
        <f t="shared" si="1134"/>
        <v>47087</v>
      </c>
      <c r="D2987" s="120">
        <f t="shared" si="1135"/>
        <v>30</v>
      </c>
      <c r="E2987" s="120">
        <f t="shared" si="1136"/>
        <v>11</v>
      </c>
      <c r="F2987" s="275">
        <f t="shared" si="1137"/>
        <v>47073</v>
      </c>
      <c r="G2987" s="120">
        <f t="shared" si="1138"/>
        <v>24346</v>
      </c>
      <c r="H2987" s="245">
        <f t="shared" si="1139"/>
        <v>1</v>
      </c>
      <c r="I2987" s="121">
        <f t="shared" si="1140"/>
        <v>1.04</v>
      </c>
      <c r="J2987" s="121">
        <f t="shared" si="1141"/>
        <v>1.04</v>
      </c>
      <c r="K2987" s="120">
        <f t="shared" si="1142"/>
        <v>0</v>
      </c>
      <c r="L2987" s="120">
        <f t="shared" si="1143"/>
        <v>0</v>
      </c>
      <c r="M2987" s="246">
        <f t="shared" si="1144"/>
        <v>0</v>
      </c>
      <c r="N2987" s="121">
        <f t="shared" si="1145"/>
        <v>1.04</v>
      </c>
      <c r="O2987" s="246">
        <f t="shared" si="1146"/>
        <v>0.92500000000000004</v>
      </c>
      <c r="P2987" s="121">
        <f t="shared" si="1147"/>
        <v>0</v>
      </c>
      <c r="Q2987" s="121">
        <f t="shared" si="1148"/>
        <v>0</v>
      </c>
      <c r="R2987" s="121">
        <f t="shared" si="1149"/>
        <v>0.25</v>
      </c>
      <c r="S2987" s="121" t="str">
        <f t="shared" si="1150"/>
        <v/>
      </c>
      <c r="T2987" s="121" t="str">
        <f t="shared" si="1151"/>
        <v/>
      </c>
      <c r="U2987" s="121">
        <f t="shared" si="1152"/>
        <v>1.04</v>
      </c>
    </row>
    <row r="2988" spans="1:21" x14ac:dyDescent="0.3">
      <c r="A2988" s="187">
        <v>48</v>
      </c>
      <c r="B2988" s="242">
        <f t="shared" si="1153"/>
        <v>47088</v>
      </c>
      <c r="C2988" s="243">
        <f t="shared" si="1134"/>
        <v>47118</v>
      </c>
      <c r="D2988" s="120">
        <f t="shared" si="1135"/>
        <v>31</v>
      </c>
      <c r="E2988" s="120">
        <f t="shared" si="1136"/>
        <v>12</v>
      </c>
      <c r="F2988" s="275">
        <f t="shared" si="1137"/>
        <v>47103.5</v>
      </c>
      <c r="G2988" s="120">
        <f t="shared" si="1138"/>
        <v>24347</v>
      </c>
      <c r="H2988" s="245">
        <f t="shared" si="1139"/>
        <v>1</v>
      </c>
      <c r="I2988" s="121">
        <f t="shared" si="1140"/>
        <v>1.04</v>
      </c>
      <c r="J2988" s="121">
        <f t="shared" si="1141"/>
        <v>1.04</v>
      </c>
      <c r="K2988" s="120">
        <f t="shared" si="1142"/>
        <v>0</v>
      </c>
      <c r="L2988" s="120">
        <f t="shared" si="1143"/>
        <v>0</v>
      </c>
      <c r="M2988" s="246">
        <f t="shared" si="1144"/>
        <v>0</v>
      </c>
      <c r="N2988" s="121">
        <f t="shared" si="1145"/>
        <v>1.04</v>
      </c>
      <c r="O2988" s="246">
        <f t="shared" si="1146"/>
        <v>0.92500000000000004</v>
      </c>
      <c r="P2988" s="121">
        <f t="shared" si="1147"/>
        <v>0</v>
      </c>
      <c r="Q2988" s="121">
        <f t="shared" si="1148"/>
        <v>0</v>
      </c>
      <c r="R2988" s="121">
        <f t="shared" si="1149"/>
        <v>8.3333333333333329E-2</v>
      </c>
      <c r="S2988" s="121" t="str">
        <f t="shared" si="1150"/>
        <v/>
      </c>
      <c r="T2988" s="121" t="str">
        <f t="shared" si="1151"/>
        <v/>
      </c>
      <c r="U2988" s="121">
        <f t="shared" si="1152"/>
        <v>1.04</v>
      </c>
    </row>
    <row r="2989" spans="1:21" x14ac:dyDescent="0.3">
      <c r="A2989" s="6" t="s">
        <v>1651</v>
      </c>
      <c r="B2989" s="73">
        <f>EXP(SUMPRODUCT((rl_key=$A$2938)*(rl_cons="Y")*rl_ln1p))</f>
        <v>1</v>
      </c>
      <c r="C2989" s="73">
        <f>SUMPRODUCT($H$2941:$H$2988,$P$2941:$P$2988,$U$2941:$U$2988)/SUMPRODUCT($H$2941:$H$2988,$P$2941:$P$2988)</f>
        <v>1</v>
      </c>
      <c r="D2989" s="73">
        <f>SUMPRODUCT($H$2941:$H$2988,$Q$2941:$Q$2988,$U$2941:$U$2988)/SUMPRODUCT($H$2941:$H$2988,$Q$2941:$Q$2988)</f>
        <v>1.02</v>
      </c>
      <c r="E2989" s="73">
        <f>SUMPRODUCT($H$2941:$H$2988,$R$2941:$R$2988,$U$2941:$U$2988)/SUMPRODUCT($H$2941:$H$2988,$R$2941:$R$2988)</f>
        <v>1.0399999999999998</v>
      </c>
      <c r="F2989" s="224">
        <f>SUMPRODUCT($H$2941:$H$2988,$Q$2941:$Q$2988,$O$2941:$O$2988)/SUMPRODUCT($H$2941:$H$2988,$Q$2941:$Q$2988)</f>
        <v>0.91598878555798668</v>
      </c>
      <c r="G2989" s="224">
        <f>SUMPRODUCT($H$2941:$H$2988,$R$2941:$R$2988,$O$2941:$O$2988)/SUMPRODUCT($H$2941:$H$2988,$R$2941:$R$2988)</f>
        <v>0.92449033552151683</v>
      </c>
      <c r="H2989" s="73">
        <f>SUMPRODUCT($H$2965:$H$2976,$N$2965:$N$2976/$N$2953:$N$2964)/SUM($H$2965:$H$2976)</f>
        <v>1.0299999999999996</v>
      </c>
      <c r="I2989" s="73">
        <f>SUMPRODUCT($H$2965:$H$2976,$O$2965:$O$2976/$O$2953:$O$2964)/SUM($H$2965:$H$2976)</f>
        <v>1.0132088564102013</v>
      </c>
      <c r="J2989" s="73">
        <f>IF($O$2938=1,SUMPRODUCT($H$2965:$H$2976,$N$2965:$N$2976/$N$2953:$N$2964*$O$2965:$O$2976/$O$2953:$O$2964)/SUM($H$2965:$H$2976),$H2989)</f>
        <v>1.0436044672019169</v>
      </c>
      <c r="K2989" s="73">
        <f>SUMPRODUCT($H$2941:$H$2988,$Q$2941:$Q$2988,$N$2941:$N$2988)/SUMPRODUCT($H$2941:$H$2988,$Q$2941:$Q$2988)</f>
        <v>1.02</v>
      </c>
      <c r="L2989" s="73">
        <f>SUMPRODUCT($H$2941:$H$2988,$R$2941:$R$2988,$N$2941:$N$2988)/SUMPRODUCT($H$2941:$H$2988,$R$2941:$R$2988)</f>
        <v>1.0399999999999998</v>
      </c>
    </row>
    <row r="2992" spans="1:21" x14ac:dyDescent="0.3">
      <c r="A2992" s="6" t="str">
        <f>INDEX(lr_key,55)</f>
        <v>SBA|NM</v>
      </c>
      <c r="B2992" s="6" t="str">
        <f>INDEX(lr_state,55)</f>
        <v>NM</v>
      </c>
      <c r="C2992" s="75">
        <f>nr_TermMonths</f>
        <v>6</v>
      </c>
      <c r="D2992" s="75">
        <f>IF(COUNTIF(se_state,$B2992)=0,0,MATCH($B2992,se_state,0))</f>
        <v>0</v>
      </c>
      <c r="E2992" s="70">
        <f>IF($D2992=0,0,INDEX(se_sum,$D2992))</f>
        <v>0</v>
      </c>
      <c r="F2992" s="224">
        <f>IF(N(INDEX(lr_mind,55))=0,1,INDEX(lr_mind,55))</f>
        <v>0.92</v>
      </c>
      <c r="G2992" s="224">
        <f>IF(N(INDEX(lr_m0,55))=0,1,INDEX(lr_m0,55))</f>
        <v>0.91</v>
      </c>
      <c r="H2992" s="74">
        <f>IF(N(INDEX(lr_m0asof,55))=0,DATE(nr_PlanYear-1,10,1),INDEX(lr_m0asof,55))</f>
        <v>46295</v>
      </c>
      <c r="I2992" s="224">
        <f>IF(N(INDEX(lr_m1,55))=0,1,INDEX(lr_m1,55))</f>
        <v>0.90500000000000003</v>
      </c>
      <c r="J2992" s="224">
        <f>INDEX(lr_mprior,55)</f>
        <v>0</v>
      </c>
      <c r="K2992" s="224">
        <f>INDEX(lr_m2,55)</f>
        <v>0</v>
      </c>
      <c r="L2992" s="6" t="b">
        <f>NOT(ISBLANK(INDEX(lr_netp,55)))</f>
        <v>0</v>
      </c>
      <c r="M2992" s="72">
        <f>N(INDEX(lr_netp,55))</f>
        <v>0</v>
      </c>
      <c r="N2992" s="72">
        <f>IF(ISBLANK(INDEX(lr_netp1,55)),$M$2992,N(INDEX(lr_netp1,55)))</f>
        <v>0</v>
      </c>
      <c r="O2992" s="75">
        <f>IF(AND(nr_ModAdjMaster="ON",INDEX(lr_modadj,55)="ON"),1,0)</f>
        <v>1</v>
      </c>
    </row>
    <row r="2993" spans="1:21" x14ac:dyDescent="0.3">
      <c r="A2993" s="6">
        <f>EDATE($H$2992,-12)+1</f>
        <v>45931</v>
      </c>
      <c r="B2993" s="6">
        <f>$H$2992+1</f>
        <v>46296</v>
      </c>
      <c r="C2993" s="6">
        <f>DATE(nr_PlanYear,12,31)+1</f>
        <v>46753</v>
      </c>
      <c r="D2993" s="6">
        <f>DATE(nr_PlanYear+1,12,31)+1</f>
        <v>47119</v>
      </c>
      <c r="E2993" s="6">
        <f>IF(N($J$2992)=0,$F$2993-($G$2993-$F$2993)/($C$2993-$B$2993)*($B$2993-$A$2993),$J$2992)</f>
        <v>0.9139934354485777</v>
      </c>
      <c r="F2993" s="6">
        <f>$G$2992</f>
        <v>0.91</v>
      </c>
      <c r="G2993" s="6">
        <f>$I$2992</f>
        <v>0.90500000000000003</v>
      </c>
      <c r="H2993" s="6">
        <f>IF(N($K$2992)=0,$I$2992,$K$2992)</f>
        <v>0.90500000000000003</v>
      </c>
      <c r="I2993" s="6">
        <f>($F$2993-$E$2993)/($B$2993-$A$2993)</f>
        <v>-1.0940919037199081E-5</v>
      </c>
      <c r="J2993" s="6">
        <f>($G$2993-$F$2993)/($C$2993-$B$2993)</f>
        <v>-1.0940919037199135E-5</v>
      </c>
      <c r="K2993" s="6">
        <f>($H$2993-$G$2993)/($D$2993-$C$2993)</f>
        <v>0</v>
      </c>
    </row>
    <row r="2994" spans="1:21" ht="36" x14ac:dyDescent="0.3">
      <c r="A2994" s="58" t="s">
        <v>390</v>
      </c>
      <c r="B2994" s="58" t="s">
        <v>449</v>
      </c>
      <c r="C2994" s="58" t="s">
        <v>685</v>
      </c>
      <c r="D2994" s="58" t="s">
        <v>686</v>
      </c>
      <c r="E2994" s="58" t="s">
        <v>687</v>
      </c>
      <c r="F2994" s="58" t="s">
        <v>688</v>
      </c>
      <c r="G2994" s="58" t="s">
        <v>689</v>
      </c>
      <c r="H2994" s="58" t="s">
        <v>452</v>
      </c>
      <c r="I2994" s="58" t="s">
        <v>690</v>
      </c>
      <c r="J2994" s="58" t="s">
        <v>691</v>
      </c>
      <c r="K2994" s="58" t="s">
        <v>692</v>
      </c>
      <c r="L2994" s="58" t="s">
        <v>693</v>
      </c>
      <c r="M2994" s="58" t="s">
        <v>694</v>
      </c>
      <c r="N2994" s="58" t="s">
        <v>695</v>
      </c>
      <c r="O2994" s="58" t="s">
        <v>696</v>
      </c>
      <c r="P2994" s="58" t="s">
        <v>697</v>
      </c>
      <c r="Q2994" s="58" t="s">
        <v>698</v>
      </c>
      <c r="R2994" s="58" t="s">
        <v>699</v>
      </c>
      <c r="S2994" s="58" t="s">
        <v>700</v>
      </c>
      <c r="T2994" s="58" t="s">
        <v>701</v>
      </c>
      <c r="U2994" s="58" t="s">
        <v>702</v>
      </c>
    </row>
    <row r="2995" spans="1:21" x14ac:dyDescent="0.3">
      <c r="A2995" s="187">
        <v>1</v>
      </c>
      <c r="B2995" s="242">
        <f>DATE(nr_PlanYear-2,1,1)</f>
        <v>45658</v>
      </c>
      <c r="C2995" s="243">
        <f t="shared" ref="C2995:C3042" si="1154">EOMONTH($B2995,0)</f>
        <v>45688</v>
      </c>
      <c r="D2995" s="120">
        <f t="shared" ref="D2995:D3042" si="1155">$C2995-$B2995+1</f>
        <v>31</v>
      </c>
      <c r="E2995" s="120">
        <f t="shared" ref="E2995:E3042" si="1156">MONTH($B2995)</f>
        <v>1</v>
      </c>
      <c r="F2995" s="275">
        <f t="shared" ref="F2995:F3042" si="1157">($B2995+$C2995+1)/2</f>
        <v>45673.5</v>
      </c>
      <c r="G2995" s="120">
        <f t="shared" ref="G2995:G3042" si="1158">YEAR($B2995)*12+MONTH($B2995)-1</f>
        <v>24300</v>
      </c>
      <c r="H2995" s="245">
        <f t="shared" ref="H2995:H3042" si="1159">IF(OR(nr_SeasonOn="OFF",$D$2992=0,$E$2992=0),1,12*INDEX(se_block,$D$2992,$E2995)/$E$2992)</f>
        <v>1</v>
      </c>
      <c r="I2995" s="121">
        <f t="shared" ref="I2995:I3042" si="1160">EXP(SUMPRODUCT((rl_eff&lt;$B2995)*(rl_key=$A$2992)*rl_ln1p))</f>
        <v>1</v>
      </c>
      <c r="J2995" s="121">
        <f t="shared" ref="J2995:J3042" si="1161">EXP(SUMPRODUCT((rl_eff&lt;=$C2995)*(rl_key=$A$2992)*rl_ln1p))</f>
        <v>1</v>
      </c>
      <c r="K2995" s="120">
        <f t="shared" ref="K2995:K3042" si="1162">COUNTIFS(rl_key,$A$2992,rl_eff,"&gt;="&amp;$B2995,rl_eff,"&lt;="&amp;$C2995)</f>
        <v>0</v>
      </c>
      <c r="L2995" s="120">
        <f t="shared" ref="L2995:L3042" si="1163">SUMIFS(rl_daysafter,rl_key,$A$2992,rl_effmonth,$B2995,rl_first,1)</f>
        <v>0</v>
      </c>
      <c r="M2995" s="246">
        <f t="shared" ref="M2995:M3042" si="1164">IF($K2995=0,0,MIN(1,$L2995/$D2995))</f>
        <v>0</v>
      </c>
      <c r="N2995" s="121">
        <f t="shared" ref="N2995:N3042" si="1165">IF($K2995=0,$J2995,(1-$M2995)*$I2995+$M2995*$J2995)</f>
        <v>1</v>
      </c>
      <c r="O2995" s="246">
        <f t="shared" ref="O2995:O3042" si="1166">IF($F2995&lt;$B$2993,$E$2993+$I$2993*($F2995-$A$2993),IF($F2995&lt;$C$2993,$F$2993+$J$2993*($F2995-$B$2993),$G$2993+$K$2993*($F2995-$C$2993)))</f>
        <v>0.91681072210065651</v>
      </c>
      <c r="P2995" s="121">
        <f t="shared" ref="P2995:P3042" si="1167">MIN(1,MAX(0,(nr_MEndPm1-$G2995+0.5)/$C$2992))-MIN(1,MAX(0,(nr_MStartPm1-1-$G2995+0.5)/$C$2992))</f>
        <v>0</v>
      </c>
      <c r="Q2995" s="121">
        <f t="shared" ref="Q2995:Q3042" si="1168">MIN(1,MAX(0,(nr_MEndP-$G2995+0.5)/$C$2992))-MIN(1,MAX(0,(nr_MStartP-1-$G2995+0.5)/$C$2992))</f>
        <v>0</v>
      </c>
      <c r="R2995" s="121">
        <f t="shared" ref="R2995:R3042" si="1169">MIN(1,MAX(0,(nr_MEndP1-$G2995+0.5)/$C$2992))-MIN(1,MAX(0,(nr_MStartP1-1-$G2995+0.5)/$C$2992))</f>
        <v>0</v>
      </c>
      <c r="S2995" s="121" t="str">
        <f t="shared" ref="S2995:S3042" si="1170">IF($L$2992,$N2995*IF($O$2992=1,$O2995/$F$2992,1),"")</f>
        <v/>
      </c>
      <c r="T2995" s="121" t="str">
        <f t="shared" ref="T2995:T3042" si="1171">IF(NOT($L$2992),"",IF($G2995&lt;nr_MStartP,$S2995,$T2983*(1+IF($G2995&lt;nr_MStartP1,$M$2992,$N$2992))))</f>
        <v/>
      </c>
      <c r="U2995" s="121">
        <f t="shared" ref="U2995:U3042" si="1172">IF($L$2992,$T2995,$N2995)</f>
        <v>1</v>
      </c>
    </row>
    <row r="2996" spans="1:21" x14ac:dyDescent="0.3">
      <c r="A2996" s="187">
        <v>2</v>
      </c>
      <c r="B2996" s="242">
        <f t="shared" ref="B2996:B3042" si="1173">EDATE($B2995,1)</f>
        <v>45689</v>
      </c>
      <c r="C2996" s="243">
        <f t="shared" si="1154"/>
        <v>45716</v>
      </c>
      <c r="D2996" s="120">
        <f t="shared" si="1155"/>
        <v>28</v>
      </c>
      <c r="E2996" s="120">
        <f t="shared" si="1156"/>
        <v>2</v>
      </c>
      <c r="F2996" s="275">
        <f t="shared" si="1157"/>
        <v>45703</v>
      </c>
      <c r="G2996" s="120">
        <f t="shared" si="1158"/>
        <v>24301</v>
      </c>
      <c r="H2996" s="245">
        <f t="shared" si="1159"/>
        <v>1</v>
      </c>
      <c r="I2996" s="121">
        <f t="shared" si="1160"/>
        <v>1</v>
      </c>
      <c r="J2996" s="121">
        <f t="shared" si="1161"/>
        <v>1</v>
      </c>
      <c r="K2996" s="120">
        <f t="shared" si="1162"/>
        <v>0</v>
      </c>
      <c r="L2996" s="120">
        <f t="shared" si="1163"/>
        <v>0</v>
      </c>
      <c r="M2996" s="246">
        <f t="shared" si="1164"/>
        <v>0</v>
      </c>
      <c r="N2996" s="121">
        <f t="shared" si="1165"/>
        <v>1</v>
      </c>
      <c r="O2996" s="246">
        <f t="shared" si="1166"/>
        <v>0.91648796498905905</v>
      </c>
      <c r="P2996" s="121">
        <f t="shared" si="1167"/>
        <v>0</v>
      </c>
      <c r="Q2996" s="121">
        <f t="shared" si="1168"/>
        <v>0</v>
      </c>
      <c r="R2996" s="121">
        <f t="shared" si="1169"/>
        <v>0</v>
      </c>
      <c r="S2996" s="121" t="str">
        <f t="shared" si="1170"/>
        <v/>
      </c>
      <c r="T2996" s="121" t="str">
        <f t="shared" si="1171"/>
        <v/>
      </c>
      <c r="U2996" s="121">
        <f t="shared" si="1172"/>
        <v>1</v>
      </c>
    </row>
    <row r="2997" spans="1:21" x14ac:dyDescent="0.3">
      <c r="A2997" s="187">
        <v>3</v>
      </c>
      <c r="B2997" s="242">
        <f t="shared" si="1173"/>
        <v>45717</v>
      </c>
      <c r="C2997" s="243">
        <f t="shared" si="1154"/>
        <v>45747</v>
      </c>
      <c r="D2997" s="120">
        <f t="shared" si="1155"/>
        <v>31</v>
      </c>
      <c r="E2997" s="120">
        <f t="shared" si="1156"/>
        <v>3</v>
      </c>
      <c r="F2997" s="275">
        <f t="shared" si="1157"/>
        <v>45732.5</v>
      </c>
      <c r="G2997" s="120">
        <f t="shared" si="1158"/>
        <v>24302</v>
      </c>
      <c r="H2997" s="245">
        <f t="shared" si="1159"/>
        <v>1</v>
      </c>
      <c r="I2997" s="121">
        <f t="shared" si="1160"/>
        <v>1</v>
      </c>
      <c r="J2997" s="121">
        <f t="shared" si="1161"/>
        <v>1</v>
      </c>
      <c r="K2997" s="120">
        <f t="shared" si="1162"/>
        <v>0</v>
      </c>
      <c r="L2997" s="120">
        <f t="shared" si="1163"/>
        <v>0</v>
      </c>
      <c r="M2997" s="246">
        <f t="shared" si="1164"/>
        <v>0</v>
      </c>
      <c r="N2997" s="121">
        <f t="shared" si="1165"/>
        <v>1</v>
      </c>
      <c r="O2997" s="246">
        <f t="shared" si="1166"/>
        <v>0.9161652078774617</v>
      </c>
      <c r="P2997" s="121">
        <f t="shared" si="1167"/>
        <v>0</v>
      </c>
      <c r="Q2997" s="121">
        <f t="shared" si="1168"/>
        <v>0</v>
      </c>
      <c r="R2997" s="121">
        <f t="shared" si="1169"/>
        <v>0</v>
      </c>
      <c r="S2997" s="121" t="str">
        <f t="shared" si="1170"/>
        <v/>
      </c>
      <c r="T2997" s="121" t="str">
        <f t="shared" si="1171"/>
        <v/>
      </c>
      <c r="U2997" s="121">
        <f t="shared" si="1172"/>
        <v>1</v>
      </c>
    </row>
    <row r="2998" spans="1:21" x14ac:dyDescent="0.3">
      <c r="A2998" s="187">
        <v>4</v>
      </c>
      <c r="B2998" s="242">
        <f t="shared" si="1173"/>
        <v>45748</v>
      </c>
      <c r="C2998" s="243">
        <f t="shared" si="1154"/>
        <v>45777</v>
      </c>
      <c r="D2998" s="120">
        <f t="shared" si="1155"/>
        <v>30</v>
      </c>
      <c r="E2998" s="120">
        <f t="shared" si="1156"/>
        <v>4</v>
      </c>
      <c r="F2998" s="275">
        <f t="shared" si="1157"/>
        <v>45763</v>
      </c>
      <c r="G2998" s="120">
        <f t="shared" si="1158"/>
        <v>24303</v>
      </c>
      <c r="H2998" s="245">
        <f t="shared" si="1159"/>
        <v>1</v>
      </c>
      <c r="I2998" s="121">
        <f t="shared" si="1160"/>
        <v>1</v>
      </c>
      <c r="J2998" s="121">
        <f t="shared" si="1161"/>
        <v>1</v>
      </c>
      <c r="K2998" s="120">
        <f t="shared" si="1162"/>
        <v>0</v>
      </c>
      <c r="L2998" s="120">
        <f t="shared" si="1163"/>
        <v>0</v>
      </c>
      <c r="M2998" s="246">
        <f t="shared" si="1164"/>
        <v>0</v>
      </c>
      <c r="N2998" s="121">
        <f t="shared" si="1165"/>
        <v>1</v>
      </c>
      <c r="O2998" s="246">
        <f t="shared" si="1166"/>
        <v>0.91583150984682715</v>
      </c>
      <c r="P2998" s="121">
        <f t="shared" si="1167"/>
        <v>0</v>
      </c>
      <c r="Q2998" s="121">
        <f t="shared" si="1168"/>
        <v>0</v>
      </c>
      <c r="R2998" s="121">
        <f t="shared" si="1169"/>
        <v>0</v>
      </c>
      <c r="S2998" s="121" t="str">
        <f t="shared" si="1170"/>
        <v/>
      </c>
      <c r="T2998" s="121" t="str">
        <f t="shared" si="1171"/>
        <v/>
      </c>
      <c r="U2998" s="121">
        <f t="shared" si="1172"/>
        <v>1</v>
      </c>
    </row>
    <row r="2999" spans="1:21" x14ac:dyDescent="0.3">
      <c r="A2999" s="187">
        <v>5</v>
      </c>
      <c r="B2999" s="242">
        <f t="shared" si="1173"/>
        <v>45778</v>
      </c>
      <c r="C2999" s="243">
        <f t="shared" si="1154"/>
        <v>45808</v>
      </c>
      <c r="D2999" s="120">
        <f t="shared" si="1155"/>
        <v>31</v>
      </c>
      <c r="E2999" s="120">
        <f t="shared" si="1156"/>
        <v>5</v>
      </c>
      <c r="F2999" s="275">
        <f t="shared" si="1157"/>
        <v>45793.5</v>
      </c>
      <c r="G2999" s="120">
        <f t="shared" si="1158"/>
        <v>24304</v>
      </c>
      <c r="H2999" s="245">
        <f t="shared" si="1159"/>
        <v>1</v>
      </c>
      <c r="I2999" s="121">
        <f t="shared" si="1160"/>
        <v>1</v>
      </c>
      <c r="J2999" s="121">
        <f t="shared" si="1161"/>
        <v>1</v>
      </c>
      <c r="K2999" s="120">
        <f t="shared" si="1162"/>
        <v>0</v>
      </c>
      <c r="L2999" s="120">
        <f t="shared" si="1163"/>
        <v>0</v>
      </c>
      <c r="M2999" s="246">
        <f t="shared" si="1164"/>
        <v>0</v>
      </c>
      <c r="N2999" s="121">
        <f t="shared" si="1165"/>
        <v>1</v>
      </c>
      <c r="O2999" s="246">
        <f t="shared" si="1166"/>
        <v>0.91549781181619261</v>
      </c>
      <c r="P2999" s="121">
        <f t="shared" si="1167"/>
        <v>0</v>
      </c>
      <c r="Q2999" s="121">
        <f t="shared" si="1168"/>
        <v>0</v>
      </c>
      <c r="R2999" s="121">
        <f t="shared" si="1169"/>
        <v>0</v>
      </c>
      <c r="S2999" s="121" t="str">
        <f t="shared" si="1170"/>
        <v/>
      </c>
      <c r="T2999" s="121" t="str">
        <f t="shared" si="1171"/>
        <v/>
      </c>
      <c r="U2999" s="121">
        <f t="shared" si="1172"/>
        <v>1</v>
      </c>
    </row>
    <row r="3000" spans="1:21" x14ac:dyDescent="0.3">
      <c r="A3000" s="187">
        <v>6</v>
      </c>
      <c r="B3000" s="242">
        <f t="shared" si="1173"/>
        <v>45809</v>
      </c>
      <c r="C3000" s="243">
        <f t="shared" si="1154"/>
        <v>45838</v>
      </c>
      <c r="D3000" s="120">
        <f t="shared" si="1155"/>
        <v>30</v>
      </c>
      <c r="E3000" s="120">
        <f t="shared" si="1156"/>
        <v>6</v>
      </c>
      <c r="F3000" s="275">
        <f t="shared" si="1157"/>
        <v>45824</v>
      </c>
      <c r="G3000" s="120">
        <f t="shared" si="1158"/>
        <v>24305</v>
      </c>
      <c r="H3000" s="245">
        <f t="shared" si="1159"/>
        <v>1</v>
      </c>
      <c r="I3000" s="121">
        <f t="shared" si="1160"/>
        <v>1</v>
      </c>
      <c r="J3000" s="121">
        <f t="shared" si="1161"/>
        <v>1</v>
      </c>
      <c r="K3000" s="120">
        <f t="shared" si="1162"/>
        <v>0</v>
      </c>
      <c r="L3000" s="120">
        <f t="shared" si="1163"/>
        <v>0</v>
      </c>
      <c r="M3000" s="246">
        <f t="shared" si="1164"/>
        <v>0</v>
      </c>
      <c r="N3000" s="121">
        <f t="shared" si="1165"/>
        <v>1</v>
      </c>
      <c r="O3000" s="246">
        <f t="shared" si="1166"/>
        <v>0.91516411378555795</v>
      </c>
      <c r="P3000" s="121">
        <f t="shared" si="1167"/>
        <v>0</v>
      </c>
      <c r="Q3000" s="121">
        <f t="shared" si="1168"/>
        <v>0</v>
      </c>
      <c r="R3000" s="121">
        <f t="shared" si="1169"/>
        <v>0</v>
      </c>
      <c r="S3000" s="121" t="str">
        <f t="shared" si="1170"/>
        <v/>
      </c>
      <c r="T3000" s="121" t="str">
        <f t="shared" si="1171"/>
        <v/>
      </c>
      <c r="U3000" s="121">
        <f t="shared" si="1172"/>
        <v>1</v>
      </c>
    </row>
    <row r="3001" spans="1:21" x14ac:dyDescent="0.3">
      <c r="A3001" s="187">
        <v>7</v>
      </c>
      <c r="B3001" s="242">
        <f t="shared" si="1173"/>
        <v>45839</v>
      </c>
      <c r="C3001" s="243">
        <f t="shared" si="1154"/>
        <v>45869</v>
      </c>
      <c r="D3001" s="120">
        <f t="shared" si="1155"/>
        <v>31</v>
      </c>
      <c r="E3001" s="120">
        <f t="shared" si="1156"/>
        <v>7</v>
      </c>
      <c r="F3001" s="275">
        <f t="shared" si="1157"/>
        <v>45854.5</v>
      </c>
      <c r="G3001" s="120">
        <f t="shared" si="1158"/>
        <v>24306</v>
      </c>
      <c r="H3001" s="245">
        <f t="shared" si="1159"/>
        <v>1</v>
      </c>
      <c r="I3001" s="121">
        <f t="shared" si="1160"/>
        <v>1</v>
      </c>
      <c r="J3001" s="121">
        <f t="shared" si="1161"/>
        <v>1</v>
      </c>
      <c r="K3001" s="120">
        <f t="shared" si="1162"/>
        <v>0</v>
      </c>
      <c r="L3001" s="120">
        <f t="shared" si="1163"/>
        <v>0</v>
      </c>
      <c r="M3001" s="246">
        <f t="shared" si="1164"/>
        <v>0</v>
      </c>
      <c r="N3001" s="121">
        <f t="shared" si="1165"/>
        <v>1</v>
      </c>
      <c r="O3001" s="246">
        <f t="shared" si="1166"/>
        <v>0.91483041575492341</v>
      </c>
      <c r="P3001" s="121">
        <f t="shared" si="1167"/>
        <v>8.333333333333337E-2</v>
      </c>
      <c r="Q3001" s="121">
        <f t="shared" si="1168"/>
        <v>0</v>
      </c>
      <c r="R3001" s="121">
        <f t="shared" si="1169"/>
        <v>0</v>
      </c>
      <c r="S3001" s="121" t="str">
        <f t="shared" si="1170"/>
        <v/>
      </c>
      <c r="T3001" s="121" t="str">
        <f t="shared" si="1171"/>
        <v/>
      </c>
      <c r="U3001" s="121">
        <f t="shared" si="1172"/>
        <v>1</v>
      </c>
    </row>
    <row r="3002" spans="1:21" x14ac:dyDescent="0.3">
      <c r="A3002" s="187">
        <v>8</v>
      </c>
      <c r="B3002" s="242">
        <f t="shared" si="1173"/>
        <v>45870</v>
      </c>
      <c r="C3002" s="243">
        <f t="shared" si="1154"/>
        <v>45900</v>
      </c>
      <c r="D3002" s="120">
        <f t="shared" si="1155"/>
        <v>31</v>
      </c>
      <c r="E3002" s="120">
        <f t="shared" si="1156"/>
        <v>8</v>
      </c>
      <c r="F3002" s="275">
        <f t="shared" si="1157"/>
        <v>45885.5</v>
      </c>
      <c r="G3002" s="120">
        <f t="shared" si="1158"/>
        <v>24307</v>
      </c>
      <c r="H3002" s="245">
        <f t="shared" si="1159"/>
        <v>1</v>
      </c>
      <c r="I3002" s="121">
        <f t="shared" si="1160"/>
        <v>1</v>
      </c>
      <c r="J3002" s="121">
        <f t="shared" si="1161"/>
        <v>1</v>
      </c>
      <c r="K3002" s="120">
        <f t="shared" si="1162"/>
        <v>0</v>
      </c>
      <c r="L3002" s="120">
        <f t="shared" si="1163"/>
        <v>0</v>
      </c>
      <c r="M3002" s="246">
        <f t="shared" si="1164"/>
        <v>0</v>
      </c>
      <c r="N3002" s="121">
        <f t="shared" si="1165"/>
        <v>1</v>
      </c>
      <c r="O3002" s="246">
        <f t="shared" si="1166"/>
        <v>0.91449124726477027</v>
      </c>
      <c r="P3002" s="121">
        <f t="shared" si="1167"/>
        <v>0.25</v>
      </c>
      <c r="Q3002" s="121">
        <f t="shared" si="1168"/>
        <v>0</v>
      </c>
      <c r="R3002" s="121">
        <f t="shared" si="1169"/>
        <v>0</v>
      </c>
      <c r="S3002" s="121" t="str">
        <f t="shared" si="1170"/>
        <v/>
      </c>
      <c r="T3002" s="121" t="str">
        <f t="shared" si="1171"/>
        <v/>
      </c>
      <c r="U3002" s="121">
        <f t="shared" si="1172"/>
        <v>1</v>
      </c>
    </row>
    <row r="3003" spans="1:21" x14ac:dyDescent="0.3">
      <c r="A3003" s="187">
        <v>9</v>
      </c>
      <c r="B3003" s="242">
        <f t="shared" si="1173"/>
        <v>45901</v>
      </c>
      <c r="C3003" s="243">
        <f t="shared" si="1154"/>
        <v>45930</v>
      </c>
      <c r="D3003" s="120">
        <f t="shared" si="1155"/>
        <v>30</v>
      </c>
      <c r="E3003" s="120">
        <f t="shared" si="1156"/>
        <v>9</v>
      </c>
      <c r="F3003" s="275">
        <f t="shared" si="1157"/>
        <v>45916</v>
      </c>
      <c r="G3003" s="120">
        <f t="shared" si="1158"/>
        <v>24308</v>
      </c>
      <c r="H3003" s="245">
        <f t="shared" si="1159"/>
        <v>1</v>
      </c>
      <c r="I3003" s="121">
        <f t="shared" si="1160"/>
        <v>1</v>
      </c>
      <c r="J3003" s="121">
        <f t="shared" si="1161"/>
        <v>1</v>
      </c>
      <c r="K3003" s="120">
        <f t="shared" si="1162"/>
        <v>0</v>
      </c>
      <c r="L3003" s="120">
        <f t="shared" si="1163"/>
        <v>0</v>
      </c>
      <c r="M3003" s="246">
        <f t="shared" si="1164"/>
        <v>0</v>
      </c>
      <c r="N3003" s="121">
        <f t="shared" si="1165"/>
        <v>1</v>
      </c>
      <c r="O3003" s="246">
        <f t="shared" si="1166"/>
        <v>0.91415754923413572</v>
      </c>
      <c r="P3003" s="121">
        <f t="shared" si="1167"/>
        <v>0.41666666666666663</v>
      </c>
      <c r="Q3003" s="121">
        <f t="shared" si="1168"/>
        <v>0</v>
      </c>
      <c r="R3003" s="121">
        <f t="shared" si="1169"/>
        <v>0</v>
      </c>
      <c r="S3003" s="121" t="str">
        <f t="shared" si="1170"/>
        <v/>
      </c>
      <c r="T3003" s="121" t="str">
        <f t="shared" si="1171"/>
        <v/>
      </c>
      <c r="U3003" s="121">
        <f t="shared" si="1172"/>
        <v>1</v>
      </c>
    </row>
    <row r="3004" spans="1:21" x14ac:dyDescent="0.3">
      <c r="A3004" s="187">
        <v>10</v>
      </c>
      <c r="B3004" s="242">
        <f t="shared" si="1173"/>
        <v>45931</v>
      </c>
      <c r="C3004" s="243">
        <f t="shared" si="1154"/>
        <v>45961</v>
      </c>
      <c r="D3004" s="120">
        <f t="shared" si="1155"/>
        <v>31</v>
      </c>
      <c r="E3004" s="120">
        <f t="shared" si="1156"/>
        <v>10</v>
      </c>
      <c r="F3004" s="275">
        <f t="shared" si="1157"/>
        <v>45946.5</v>
      </c>
      <c r="G3004" s="120">
        <f t="shared" si="1158"/>
        <v>24309</v>
      </c>
      <c r="H3004" s="245">
        <f t="shared" si="1159"/>
        <v>1</v>
      </c>
      <c r="I3004" s="121">
        <f t="shared" si="1160"/>
        <v>1</v>
      </c>
      <c r="J3004" s="121">
        <f t="shared" si="1161"/>
        <v>1</v>
      </c>
      <c r="K3004" s="120">
        <f t="shared" si="1162"/>
        <v>0</v>
      </c>
      <c r="L3004" s="120">
        <f t="shared" si="1163"/>
        <v>0</v>
      </c>
      <c r="M3004" s="246">
        <f t="shared" si="1164"/>
        <v>0</v>
      </c>
      <c r="N3004" s="121">
        <f t="shared" si="1165"/>
        <v>1</v>
      </c>
      <c r="O3004" s="246">
        <f t="shared" si="1166"/>
        <v>0.91382385120350107</v>
      </c>
      <c r="P3004" s="121">
        <f t="shared" si="1167"/>
        <v>0.58333333333333326</v>
      </c>
      <c r="Q3004" s="121">
        <f t="shared" si="1168"/>
        <v>0</v>
      </c>
      <c r="R3004" s="121">
        <f t="shared" si="1169"/>
        <v>0</v>
      </c>
      <c r="S3004" s="121" t="str">
        <f t="shared" si="1170"/>
        <v/>
      </c>
      <c r="T3004" s="121" t="str">
        <f t="shared" si="1171"/>
        <v/>
      </c>
      <c r="U3004" s="121">
        <f t="shared" si="1172"/>
        <v>1</v>
      </c>
    </row>
    <row r="3005" spans="1:21" x14ac:dyDescent="0.3">
      <c r="A3005" s="187">
        <v>11</v>
      </c>
      <c r="B3005" s="242">
        <f t="shared" si="1173"/>
        <v>45962</v>
      </c>
      <c r="C3005" s="243">
        <f t="shared" si="1154"/>
        <v>45991</v>
      </c>
      <c r="D3005" s="120">
        <f t="shared" si="1155"/>
        <v>30</v>
      </c>
      <c r="E3005" s="120">
        <f t="shared" si="1156"/>
        <v>11</v>
      </c>
      <c r="F3005" s="275">
        <f t="shared" si="1157"/>
        <v>45977</v>
      </c>
      <c r="G3005" s="120">
        <f t="shared" si="1158"/>
        <v>24310</v>
      </c>
      <c r="H3005" s="245">
        <f t="shared" si="1159"/>
        <v>1</v>
      </c>
      <c r="I3005" s="121">
        <f t="shared" si="1160"/>
        <v>1</v>
      </c>
      <c r="J3005" s="121">
        <f t="shared" si="1161"/>
        <v>1</v>
      </c>
      <c r="K3005" s="120">
        <f t="shared" si="1162"/>
        <v>0</v>
      </c>
      <c r="L3005" s="120">
        <f t="shared" si="1163"/>
        <v>0</v>
      </c>
      <c r="M3005" s="246">
        <f t="shared" si="1164"/>
        <v>0</v>
      </c>
      <c r="N3005" s="121">
        <f t="shared" si="1165"/>
        <v>1</v>
      </c>
      <c r="O3005" s="246">
        <f t="shared" si="1166"/>
        <v>0.91349015317286653</v>
      </c>
      <c r="P3005" s="121">
        <f t="shared" si="1167"/>
        <v>0.75</v>
      </c>
      <c r="Q3005" s="121">
        <f t="shared" si="1168"/>
        <v>0</v>
      </c>
      <c r="R3005" s="121">
        <f t="shared" si="1169"/>
        <v>0</v>
      </c>
      <c r="S3005" s="121" t="str">
        <f t="shared" si="1170"/>
        <v/>
      </c>
      <c r="T3005" s="121" t="str">
        <f t="shared" si="1171"/>
        <v/>
      </c>
      <c r="U3005" s="121">
        <f t="shared" si="1172"/>
        <v>1</v>
      </c>
    </row>
    <row r="3006" spans="1:21" x14ac:dyDescent="0.3">
      <c r="A3006" s="187">
        <v>12</v>
      </c>
      <c r="B3006" s="242">
        <f t="shared" si="1173"/>
        <v>45992</v>
      </c>
      <c r="C3006" s="243">
        <f t="shared" si="1154"/>
        <v>46022</v>
      </c>
      <c r="D3006" s="120">
        <f t="shared" si="1155"/>
        <v>31</v>
      </c>
      <c r="E3006" s="120">
        <f t="shared" si="1156"/>
        <v>12</v>
      </c>
      <c r="F3006" s="275">
        <f t="shared" si="1157"/>
        <v>46007.5</v>
      </c>
      <c r="G3006" s="120">
        <f t="shared" si="1158"/>
        <v>24311</v>
      </c>
      <c r="H3006" s="245">
        <f t="shared" si="1159"/>
        <v>1</v>
      </c>
      <c r="I3006" s="121">
        <f t="shared" si="1160"/>
        <v>1</v>
      </c>
      <c r="J3006" s="121">
        <f t="shared" si="1161"/>
        <v>1</v>
      </c>
      <c r="K3006" s="120">
        <f t="shared" si="1162"/>
        <v>0</v>
      </c>
      <c r="L3006" s="120">
        <f t="shared" si="1163"/>
        <v>0</v>
      </c>
      <c r="M3006" s="246">
        <f t="shared" si="1164"/>
        <v>0</v>
      </c>
      <c r="N3006" s="121">
        <f t="shared" si="1165"/>
        <v>1</v>
      </c>
      <c r="O3006" s="246">
        <f t="shared" si="1166"/>
        <v>0.91315645514223198</v>
      </c>
      <c r="P3006" s="121">
        <f t="shared" si="1167"/>
        <v>0.91666666666666663</v>
      </c>
      <c r="Q3006" s="121">
        <f t="shared" si="1168"/>
        <v>0</v>
      </c>
      <c r="R3006" s="121">
        <f t="shared" si="1169"/>
        <v>0</v>
      </c>
      <c r="S3006" s="121" t="str">
        <f t="shared" si="1170"/>
        <v/>
      </c>
      <c r="T3006" s="121" t="str">
        <f t="shared" si="1171"/>
        <v/>
      </c>
      <c r="U3006" s="121">
        <f t="shared" si="1172"/>
        <v>1</v>
      </c>
    </row>
    <row r="3007" spans="1:21" x14ac:dyDescent="0.3">
      <c r="A3007" s="187">
        <v>13</v>
      </c>
      <c r="B3007" s="242">
        <f t="shared" si="1173"/>
        <v>46023</v>
      </c>
      <c r="C3007" s="243">
        <f t="shared" si="1154"/>
        <v>46053</v>
      </c>
      <c r="D3007" s="120">
        <f t="shared" si="1155"/>
        <v>31</v>
      </c>
      <c r="E3007" s="120">
        <f t="shared" si="1156"/>
        <v>1</v>
      </c>
      <c r="F3007" s="275">
        <f t="shared" si="1157"/>
        <v>46038.5</v>
      </c>
      <c r="G3007" s="120">
        <f t="shared" si="1158"/>
        <v>24312</v>
      </c>
      <c r="H3007" s="245">
        <f t="shared" si="1159"/>
        <v>1</v>
      </c>
      <c r="I3007" s="121">
        <f t="shared" si="1160"/>
        <v>1</v>
      </c>
      <c r="J3007" s="121">
        <f t="shared" si="1161"/>
        <v>1</v>
      </c>
      <c r="K3007" s="120">
        <f t="shared" si="1162"/>
        <v>0</v>
      </c>
      <c r="L3007" s="120">
        <f t="shared" si="1163"/>
        <v>0</v>
      </c>
      <c r="M3007" s="246">
        <f t="shared" si="1164"/>
        <v>0</v>
      </c>
      <c r="N3007" s="121">
        <f t="shared" si="1165"/>
        <v>1</v>
      </c>
      <c r="O3007" s="246">
        <f t="shared" si="1166"/>
        <v>0.91281728665207884</v>
      </c>
      <c r="P3007" s="121">
        <f t="shared" si="1167"/>
        <v>1</v>
      </c>
      <c r="Q3007" s="121">
        <f t="shared" si="1168"/>
        <v>0</v>
      </c>
      <c r="R3007" s="121">
        <f t="shared" si="1169"/>
        <v>0</v>
      </c>
      <c r="S3007" s="121" t="str">
        <f t="shared" si="1170"/>
        <v/>
      </c>
      <c r="T3007" s="121" t="str">
        <f t="shared" si="1171"/>
        <v/>
      </c>
      <c r="U3007" s="121">
        <f t="shared" si="1172"/>
        <v>1</v>
      </c>
    </row>
    <row r="3008" spans="1:21" x14ac:dyDescent="0.3">
      <c r="A3008" s="187">
        <v>14</v>
      </c>
      <c r="B3008" s="242">
        <f t="shared" si="1173"/>
        <v>46054</v>
      </c>
      <c r="C3008" s="243">
        <f t="shared" si="1154"/>
        <v>46081</v>
      </c>
      <c r="D3008" s="120">
        <f t="shared" si="1155"/>
        <v>28</v>
      </c>
      <c r="E3008" s="120">
        <f t="shared" si="1156"/>
        <v>2</v>
      </c>
      <c r="F3008" s="275">
        <f t="shared" si="1157"/>
        <v>46068</v>
      </c>
      <c r="G3008" s="120">
        <f t="shared" si="1158"/>
        <v>24313</v>
      </c>
      <c r="H3008" s="245">
        <f t="shared" si="1159"/>
        <v>1</v>
      </c>
      <c r="I3008" s="121">
        <f t="shared" si="1160"/>
        <v>1</v>
      </c>
      <c r="J3008" s="121">
        <f t="shared" si="1161"/>
        <v>1</v>
      </c>
      <c r="K3008" s="120">
        <f t="shared" si="1162"/>
        <v>0</v>
      </c>
      <c r="L3008" s="120">
        <f t="shared" si="1163"/>
        <v>0</v>
      </c>
      <c r="M3008" s="246">
        <f t="shared" si="1164"/>
        <v>0</v>
      </c>
      <c r="N3008" s="121">
        <f t="shared" si="1165"/>
        <v>1</v>
      </c>
      <c r="O3008" s="246">
        <f t="shared" si="1166"/>
        <v>0.91249452954048138</v>
      </c>
      <c r="P3008" s="121">
        <f t="shared" si="1167"/>
        <v>1</v>
      </c>
      <c r="Q3008" s="121">
        <f t="shared" si="1168"/>
        <v>0</v>
      </c>
      <c r="R3008" s="121">
        <f t="shared" si="1169"/>
        <v>0</v>
      </c>
      <c r="S3008" s="121" t="str">
        <f t="shared" si="1170"/>
        <v/>
      </c>
      <c r="T3008" s="121" t="str">
        <f t="shared" si="1171"/>
        <v/>
      </c>
      <c r="U3008" s="121">
        <f t="shared" si="1172"/>
        <v>1</v>
      </c>
    </row>
    <row r="3009" spans="1:21" x14ac:dyDescent="0.3">
      <c r="A3009" s="187">
        <v>15</v>
      </c>
      <c r="B3009" s="242">
        <f t="shared" si="1173"/>
        <v>46082</v>
      </c>
      <c r="C3009" s="243">
        <f t="shared" si="1154"/>
        <v>46112</v>
      </c>
      <c r="D3009" s="120">
        <f t="shared" si="1155"/>
        <v>31</v>
      </c>
      <c r="E3009" s="120">
        <f t="shared" si="1156"/>
        <v>3</v>
      </c>
      <c r="F3009" s="275">
        <f t="shared" si="1157"/>
        <v>46097.5</v>
      </c>
      <c r="G3009" s="120">
        <f t="shared" si="1158"/>
        <v>24314</v>
      </c>
      <c r="H3009" s="245">
        <f t="shared" si="1159"/>
        <v>1</v>
      </c>
      <c r="I3009" s="121">
        <f t="shared" si="1160"/>
        <v>1</v>
      </c>
      <c r="J3009" s="121">
        <f t="shared" si="1161"/>
        <v>1</v>
      </c>
      <c r="K3009" s="120">
        <f t="shared" si="1162"/>
        <v>0</v>
      </c>
      <c r="L3009" s="120">
        <f t="shared" si="1163"/>
        <v>0</v>
      </c>
      <c r="M3009" s="246">
        <f t="shared" si="1164"/>
        <v>0</v>
      </c>
      <c r="N3009" s="121">
        <f t="shared" si="1165"/>
        <v>1</v>
      </c>
      <c r="O3009" s="246">
        <f t="shared" si="1166"/>
        <v>0.91217177242888403</v>
      </c>
      <c r="P3009" s="121">
        <f t="shared" si="1167"/>
        <v>1</v>
      </c>
      <c r="Q3009" s="121">
        <f t="shared" si="1168"/>
        <v>0</v>
      </c>
      <c r="R3009" s="121">
        <f t="shared" si="1169"/>
        <v>0</v>
      </c>
      <c r="S3009" s="121" t="str">
        <f t="shared" si="1170"/>
        <v/>
      </c>
      <c r="T3009" s="121" t="str">
        <f t="shared" si="1171"/>
        <v/>
      </c>
      <c r="U3009" s="121">
        <f t="shared" si="1172"/>
        <v>1</v>
      </c>
    </row>
    <row r="3010" spans="1:21" x14ac:dyDescent="0.3">
      <c r="A3010" s="187">
        <v>16</v>
      </c>
      <c r="B3010" s="242">
        <f t="shared" si="1173"/>
        <v>46113</v>
      </c>
      <c r="C3010" s="243">
        <f t="shared" si="1154"/>
        <v>46142</v>
      </c>
      <c r="D3010" s="120">
        <f t="shared" si="1155"/>
        <v>30</v>
      </c>
      <c r="E3010" s="120">
        <f t="shared" si="1156"/>
        <v>4</v>
      </c>
      <c r="F3010" s="275">
        <f t="shared" si="1157"/>
        <v>46128</v>
      </c>
      <c r="G3010" s="120">
        <f t="shared" si="1158"/>
        <v>24315</v>
      </c>
      <c r="H3010" s="245">
        <f t="shared" si="1159"/>
        <v>1</v>
      </c>
      <c r="I3010" s="121">
        <f t="shared" si="1160"/>
        <v>1</v>
      </c>
      <c r="J3010" s="121">
        <f t="shared" si="1161"/>
        <v>1</v>
      </c>
      <c r="K3010" s="120">
        <f t="shared" si="1162"/>
        <v>0</v>
      </c>
      <c r="L3010" s="120">
        <f t="shared" si="1163"/>
        <v>0</v>
      </c>
      <c r="M3010" s="246">
        <f t="shared" si="1164"/>
        <v>0</v>
      </c>
      <c r="N3010" s="121">
        <f t="shared" si="1165"/>
        <v>1</v>
      </c>
      <c r="O3010" s="246">
        <f t="shared" si="1166"/>
        <v>0.91183807439824949</v>
      </c>
      <c r="P3010" s="121">
        <f t="shared" si="1167"/>
        <v>1</v>
      </c>
      <c r="Q3010" s="121">
        <f t="shared" si="1168"/>
        <v>0</v>
      </c>
      <c r="R3010" s="121">
        <f t="shared" si="1169"/>
        <v>0</v>
      </c>
      <c r="S3010" s="121" t="str">
        <f t="shared" si="1170"/>
        <v/>
      </c>
      <c r="T3010" s="121" t="str">
        <f t="shared" si="1171"/>
        <v/>
      </c>
      <c r="U3010" s="121">
        <f t="shared" si="1172"/>
        <v>1</v>
      </c>
    </row>
    <row r="3011" spans="1:21" x14ac:dyDescent="0.3">
      <c r="A3011" s="187">
        <v>17</v>
      </c>
      <c r="B3011" s="242">
        <f t="shared" si="1173"/>
        <v>46143</v>
      </c>
      <c r="C3011" s="243">
        <f t="shared" si="1154"/>
        <v>46173</v>
      </c>
      <c r="D3011" s="120">
        <f t="shared" si="1155"/>
        <v>31</v>
      </c>
      <c r="E3011" s="120">
        <f t="shared" si="1156"/>
        <v>5</v>
      </c>
      <c r="F3011" s="275">
        <f t="shared" si="1157"/>
        <v>46158.5</v>
      </c>
      <c r="G3011" s="120">
        <f t="shared" si="1158"/>
        <v>24316</v>
      </c>
      <c r="H3011" s="245">
        <f t="shared" si="1159"/>
        <v>1</v>
      </c>
      <c r="I3011" s="121">
        <f t="shared" si="1160"/>
        <v>1</v>
      </c>
      <c r="J3011" s="121">
        <f t="shared" si="1161"/>
        <v>1</v>
      </c>
      <c r="K3011" s="120">
        <f t="shared" si="1162"/>
        <v>0</v>
      </c>
      <c r="L3011" s="120">
        <f t="shared" si="1163"/>
        <v>0</v>
      </c>
      <c r="M3011" s="246">
        <f t="shared" si="1164"/>
        <v>0</v>
      </c>
      <c r="N3011" s="121">
        <f t="shared" si="1165"/>
        <v>1</v>
      </c>
      <c r="O3011" s="246">
        <f t="shared" si="1166"/>
        <v>0.91150437636761494</v>
      </c>
      <c r="P3011" s="121">
        <f t="shared" si="1167"/>
        <v>1</v>
      </c>
      <c r="Q3011" s="121">
        <f t="shared" si="1168"/>
        <v>0</v>
      </c>
      <c r="R3011" s="121">
        <f t="shared" si="1169"/>
        <v>0</v>
      </c>
      <c r="S3011" s="121" t="str">
        <f t="shared" si="1170"/>
        <v/>
      </c>
      <c r="T3011" s="121" t="str">
        <f t="shared" si="1171"/>
        <v/>
      </c>
      <c r="U3011" s="121">
        <f t="shared" si="1172"/>
        <v>1</v>
      </c>
    </row>
    <row r="3012" spans="1:21" x14ac:dyDescent="0.3">
      <c r="A3012" s="187">
        <v>18</v>
      </c>
      <c r="B3012" s="242">
        <f t="shared" si="1173"/>
        <v>46174</v>
      </c>
      <c r="C3012" s="243">
        <f t="shared" si="1154"/>
        <v>46203</v>
      </c>
      <c r="D3012" s="120">
        <f t="shared" si="1155"/>
        <v>30</v>
      </c>
      <c r="E3012" s="120">
        <f t="shared" si="1156"/>
        <v>6</v>
      </c>
      <c r="F3012" s="275">
        <f t="shared" si="1157"/>
        <v>46189</v>
      </c>
      <c r="G3012" s="120">
        <f t="shared" si="1158"/>
        <v>24317</v>
      </c>
      <c r="H3012" s="245">
        <f t="shared" si="1159"/>
        <v>1</v>
      </c>
      <c r="I3012" s="121">
        <f t="shared" si="1160"/>
        <v>1</v>
      </c>
      <c r="J3012" s="121">
        <f t="shared" si="1161"/>
        <v>1</v>
      </c>
      <c r="K3012" s="120">
        <f t="shared" si="1162"/>
        <v>0</v>
      </c>
      <c r="L3012" s="120">
        <f t="shared" si="1163"/>
        <v>0</v>
      </c>
      <c r="M3012" s="246">
        <f t="shared" si="1164"/>
        <v>0</v>
      </c>
      <c r="N3012" s="121">
        <f t="shared" si="1165"/>
        <v>1</v>
      </c>
      <c r="O3012" s="246">
        <f t="shared" si="1166"/>
        <v>0.91117067833698029</v>
      </c>
      <c r="P3012" s="121">
        <f t="shared" si="1167"/>
        <v>1</v>
      </c>
      <c r="Q3012" s="121">
        <f t="shared" si="1168"/>
        <v>0</v>
      </c>
      <c r="R3012" s="121">
        <f t="shared" si="1169"/>
        <v>0</v>
      </c>
      <c r="S3012" s="121" t="str">
        <f t="shared" si="1170"/>
        <v/>
      </c>
      <c r="T3012" s="121" t="str">
        <f t="shared" si="1171"/>
        <v/>
      </c>
      <c r="U3012" s="121">
        <f t="shared" si="1172"/>
        <v>1</v>
      </c>
    </row>
    <row r="3013" spans="1:21" x14ac:dyDescent="0.3">
      <c r="A3013" s="187">
        <v>19</v>
      </c>
      <c r="B3013" s="242">
        <f t="shared" si="1173"/>
        <v>46204</v>
      </c>
      <c r="C3013" s="243">
        <f t="shared" si="1154"/>
        <v>46234</v>
      </c>
      <c r="D3013" s="120">
        <f t="shared" si="1155"/>
        <v>31</v>
      </c>
      <c r="E3013" s="120">
        <f t="shared" si="1156"/>
        <v>7</v>
      </c>
      <c r="F3013" s="275">
        <f t="shared" si="1157"/>
        <v>46219.5</v>
      </c>
      <c r="G3013" s="120">
        <f t="shared" si="1158"/>
        <v>24318</v>
      </c>
      <c r="H3013" s="245">
        <f t="shared" si="1159"/>
        <v>1</v>
      </c>
      <c r="I3013" s="121">
        <f t="shared" si="1160"/>
        <v>1</v>
      </c>
      <c r="J3013" s="121">
        <f t="shared" si="1161"/>
        <v>1.06</v>
      </c>
      <c r="K3013" s="120">
        <f t="shared" si="1162"/>
        <v>1</v>
      </c>
      <c r="L3013" s="120">
        <f t="shared" si="1163"/>
        <v>31</v>
      </c>
      <c r="M3013" s="246">
        <f t="shared" si="1164"/>
        <v>1</v>
      </c>
      <c r="N3013" s="121">
        <f t="shared" si="1165"/>
        <v>1.06</v>
      </c>
      <c r="O3013" s="246">
        <f t="shared" si="1166"/>
        <v>0.91083698030634574</v>
      </c>
      <c r="P3013" s="121">
        <f t="shared" si="1167"/>
        <v>0.91666666666666663</v>
      </c>
      <c r="Q3013" s="121">
        <f t="shared" si="1168"/>
        <v>8.333333333333337E-2</v>
      </c>
      <c r="R3013" s="121">
        <f t="shared" si="1169"/>
        <v>0</v>
      </c>
      <c r="S3013" s="121" t="str">
        <f t="shared" si="1170"/>
        <v/>
      </c>
      <c r="T3013" s="121" t="str">
        <f t="shared" si="1171"/>
        <v/>
      </c>
      <c r="U3013" s="121">
        <f t="shared" si="1172"/>
        <v>1.06</v>
      </c>
    </row>
    <row r="3014" spans="1:21" x14ac:dyDescent="0.3">
      <c r="A3014" s="187">
        <v>20</v>
      </c>
      <c r="B3014" s="242">
        <f t="shared" si="1173"/>
        <v>46235</v>
      </c>
      <c r="C3014" s="243">
        <f t="shared" si="1154"/>
        <v>46265</v>
      </c>
      <c r="D3014" s="120">
        <f t="shared" si="1155"/>
        <v>31</v>
      </c>
      <c r="E3014" s="120">
        <f t="shared" si="1156"/>
        <v>8</v>
      </c>
      <c r="F3014" s="275">
        <f t="shared" si="1157"/>
        <v>46250.5</v>
      </c>
      <c r="G3014" s="120">
        <f t="shared" si="1158"/>
        <v>24319</v>
      </c>
      <c r="H3014" s="245">
        <f t="shared" si="1159"/>
        <v>1</v>
      </c>
      <c r="I3014" s="121">
        <f t="shared" si="1160"/>
        <v>1.06</v>
      </c>
      <c r="J3014" s="121">
        <f t="shared" si="1161"/>
        <v>1.06</v>
      </c>
      <c r="K3014" s="120">
        <f t="shared" si="1162"/>
        <v>0</v>
      </c>
      <c r="L3014" s="120">
        <f t="shared" si="1163"/>
        <v>0</v>
      </c>
      <c r="M3014" s="246">
        <f t="shared" si="1164"/>
        <v>0</v>
      </c>
      <c r="N3014" s="121">
        <f t="shared" si="1165"/>
        <v>1.06</v>
      </c>
      <c r="O3014" s="246">
        <f t="shared" si="1166"/>
        <v>0.9104978118161926</v>
      </c>
      <c r="P3014" s="121">
        <f t="shared" si="1167"/>
        <v>0.75</v>
      </c>
      <c r="Q3014" s="121">
        <f t="shared" si="1168"/>
        <v>0.25</v>
      </c>
      <c r="R3014" s="121">
        <f t="shared" si="1169"/>
        <v>0</v>
      </c>
      <c r="S3014" s="121" t="str">
        <f t="shared" si="1170"/>
        <v/>
      </c>
      <c r="T3014" s="121" t="str">
        <f t="shared" si="1171"/>
        <v/>
      </c>
      <c r="U3014" s="121">
        <f t="shared" si="1172"/>
        <v>1.06</v>
      </c>
    </row>
    <row r="3015" spans="1:21" x14ac:dyDescent="0.3">
      <c r="A3015" s="187">
        <v>21</v>
      </c>
      <c r="B3015" s="242">
        <f t="shared" si="1173"/>
        <v>46266</v>
      </c>
      <c r="C3015" s="243">
        <f t="shared" si="1154"/>
        <v>46295</v>
      </c>
      <c r="D3015" s="120">
        <f t="shared" si="1155"/>
        <v>30</v>
      </c>
      <c r="E3015" s="120">
        <f t="shared" si="1156"/>
        <v>9</v>
      </c>
      <c r="F3015" s="275">
        <f t="shared" si="1157"/>
        <v>46281</v>
      </c>
      <c r="G3015" s="120">
        <f t="shared" si="1158"/>
        <v>24320</v>
      </c>
      <c r="H3015" s="245">
        <f t="shared" si="1159"/>
        <v>1</v>
      </c>
      <c r="I3015" s="121">
        <f t="shared" si="1160"/>
        <v>1.06</v>
      </c>
      <c r="J3015" s="121">
        <f t="shared" si="1161"/>
        <v>1.06</v>
      </c>
      <c r="K3015" s="120">
        <f t="shared" si="1162"/>
        <v>0</v>
      </c>
      <c r="L3015" s="120">
        <f t="shared" si="1163"/>
        <v>0</v>
      </c>
      <c r="M3015" s="246">
        <f t="shared" si="1164"/>
        <v>0</v>
      </c>
      <c r="N3015" s="121">
        <f t="shared" si="1165"/>
        <v>1.06</v>
      </c>
      <c r="O3015" s="246">
        <f t="shared" si="1166"/>
        <v>0.91016411378555806</v>
      </c>
      <c r="P3015" s="121">
        <f t="shared" si="1167"/>
        <v>0.58333333333333337</v>
      </c>
      <c r="Q3015" s="121">
        <f t="shared" si="1168"/>
        <v>0.41666666666666663</v>
      </c>
      <c r="R3015" s="121">
        <f t="shared" si="1169"/>
        <v>0</v>
      </c>
      <c r="S3015" s="121" t="str">
        <f t="shared" si="1170"/>
        <v/>
      </c>
      <c r="T3015" s="121" t="str">
        <f t="shared" si="1171"/>
        <v/>
      </c>
      <c r="U3015" s="121">
        <f t="shared" si="1172"/>
        <v>1.06</v>
      </c>
    </row>
    <row r="3016" spans="1:21" x14ac:dyDescent="0.3">
      <c r="A3016" s="187">
        <v>22</v>
      </c>
      <c r="B3016" s="242">
        <f t="shared" si="1173"/>
        <v>46296</v>
      </c>
      <c r="C3016" s="243">
        <f t="shared" si="1154"/>
        <v>46326</v>
      </c>
      <c r="D3016" s="120">
        <f t="shared" si="1155"/>
        <v>31</v>
      </c>
      <c r="E3016" s="120">
        <f t="shared" si="1156"/>
        <v>10</v>
      </c>
      <c r="F3016" s="275">
        <f t="shared" si="1157"/>
        <v>46311.5</v>
      </c>
      <c r="G3016" s="120">
        <f t="shared" si="1158"/>
        <v>24321</v>
      </c>
      <c r="H3016" s="245">
        <f t="shared" si="1159"/>
        <v>1</v>
      </c>
      <c r="I3016" s="121">
        <f t="shared" si="1160"/>
        <v>1.06</v>
      </c>
      <c r="J3016" s="121">
        <f t="shared" si="1161"/>
        <v>1.06</v>
      </c>
      <c r="K3016" s="120">
        <f t="shared" si="1162"/>
        <v>0</v>
      </c>
      <c r="L3016" s="120">
        <f t="shared" si="1163"/>
        <v>0</v>
      </c>
      <c r="M3016" s="246">
        <f t="shared" si="1164"/>
        <v>0</v>
      </c>
      <c r="N3016" s="121">
        <f t="shared" si="1165"/>
        <v>1.06</v>
      </c>
      <c r="O3016" s="246">
        <f t="shared" si="1166"/>
        <v>0.90983041575492341</v>
      </c>
      <c r="P3016" s="121">
        <f t="shared" si="1167"/>
        <v>0.41666666666666669</v>
      </c>
      <c r="Q3016" s="121">
        <f t="shared" si="1168"/>
        <v>0.58333333333333326</v>
      </c>
      <c r="R3016" s="121">
        <f t="shared" si="1169"/>
        <v>0</v>
      </c>
      <c r="S3016" s="121" t="str">
        <f t="shared" si="1170"/>
        <v/>
      </c>
      <c r="T3016" s="121" t="str">
        <f t="shared" si="1171"/>
        <v/>
      </c>
      <c r="U3016" s="121">
        <f t="shared" si="1172"/>
        <v>1.06</v>
      </c>
    </row>
    <row r="3017" spans="1:21" x14ac:dyDescent="0.3">
      <c r="A3017" s="187">
        <v>23</v>
      </c>
      <c r="B3017" s="242">
        <f t="shared" si="1173"/>
        <v>46327</v>
      </c>
      <c r="C3017" s="243">
        <f t="shared" si="1154"/>
        <v>46356</v>
      </c>
      <c r="D3017" s="120">
        <f t="shared" si="1155"/>
        <v>30</v>
      </c>
      <c r="E3017" s="120">
        <f t="shared" si="1156"/>
        <v>11</v>
      </c>
      <c r="F3017" s="275">
        <f t="shared" si="1157"/>
        <v>46342</v>
      </c>
      <c r="G3017" s="120">
        <f t="shared" si="1158"/>
        <v>24322</v>
      </c>
      <c r="H3017" s="245">
        <f t="shared" si="1159"/>
        <v>1</v>
      </c>
      <c r="I3017" s="121">
        <f t="shared" si="1160"/>
        <v>1.06</v>
      </c>
      <c r="J3017" s="121">
        <f t="shared" si="1161"/>
        <v>1.06</v>
      </c>
      <c r="K3017" s="120">
        <f t="shared" si="1162"/>
        <v>0</v>
      </c>
      <c r="L3017" s="120">
        <f t="shared" si="1163"/>
        <v>0</v>
      </c>
      <c r="M3017" s="246">
        <f t="shared" si="1164"/>
        <v>0</v>
      </c>
      <c r="N3017" s="121">
        <f t="shared" si="1165"/>
        <v>1.06</v>
      </c>
      <c r="O3017" s="246">
        <f t="shared" si="1166"/>
        <v>0.90949671772428886</v>
      </c>
      <c r="P3017" s="121">
        <f t="shared" si="1167"/>
        <v>0.25</v>
      </c>
      <c r="Q3017" s="121">
        <f t="shared" si="1168"/>
        <v>0.75</v>
      </c>
      <c r="R3017" s="121">
        <f t="shared" si="1169"/>
        <v>0</v>
      </c>
      <c r="S3017" s="121" t="str">
        <f t="shared" si="1170"/>
        <v/>
      </c>
      <c r="T3017" s="121" t="str">
        <f t="shared" si="1171"/>
        <v/>
      </c>
      <c r="U3017" s="121">
        <f t="shared" si="1172"/>
        <v>1.06</v>
      </c>
    </row>
    <row r="3018" spans="1:21" x14ac:dyDescent="0.3">
      <c r="A3018" s="187">
        <v>24</v>
      </c>
      <c r="B3018" s="242">
        <f t="shared" si="1173"/>
        <v>46357</v>
      </c>
      <c r="C3018" s="243">
        <f t="shared" si="1154"/>
        <v>46387</v>
      </c>
      <c r="D3018" s="120">
        <f t="shared" si="1155"/>
        <v>31</v>
      </c>
      <c r="E3018" s="120">
        <f t="shared" si="1156"/>
        <v>12</v>
      </c>
      <c r="F3018" s="275">
        <f t="shared" si="1157"/>
        <v>46372.5</v>
      </c>
      <c r="G3018" s="120">
        <f t="shared" si="1158"/>
        <v>24323</v>
      </c>
      <c r="H3018" s="245">
        <f t="shared" si="1159"/>
        <v>1</v>
      </c>
      <c r="I3018" s="121">
        <f t="shared" si="1160"/>
        <v>1.06</v>
      </c>
      <c r="J3018" s="121">
        <f t="shared" si="1161"/>
        <v>1.06</v>
      </c>
      <c r="K3018" s="120">
        <f t="shared" si="1162"/>
        <v>0</v>
      </c>
      <c r="L3018" s="120">
        <f t="shared" si="1163"/>
        <v>0</v>
      </c>
      <c r="M3018" s="246">
        <f t="shared" si="1164"/>
        <v>0</v>
      </c>
      <c r="N3018" s="121">
        <f t="shared" si="1165"/>
        <v>1.06</v>
      </c>
      <c r="O3018" s="246">
        <f t="shared" si="1166"/>
        <v>0.90916301969365432</v>
      </c>
      <c r="P3018" s="121">
        <f t="shared" si="1167"/>
        <v>8.3333333333333329E-2</v>
      </c>
      <c r="Q3018" s="121">
        <f t="shared" si="1168"/>
        <v>0.91666666666666663</v>
      </c>
      <c r="R3018" s="121">
        <f t="shared" si="1169"/>
        <v>0</v>
      </c>
      <c r="S3018" s="121" t="str">
        <f t="shared" si="1170"/>
        <v/>
      </c>
      <c r="T3018" s="121" t="str">
        <f t="shared" si="1171"/>
        <v/>
      </c>
      <c r="U3018" s="121">
        <f t="shared" si="1172"/>
        <v>1.06</v>
      </c>
    </row>
    <row r="3019" spans="1:21" x14ac:dyDescent="0.3">
      <c r="A3019" s="187">
        <v>25</v>
      </c>
      <c r="B3019" s="242">
        <f t="shared" si="1173"/>
        <v>46388</v>
      </c>
      <c r="C3019" s="243">
        <f t="shared" si="1154"/>
        <v>46418</v>
      </c>
      <c r="D3019" s="120">
        <f t="shared" si="1155"/>
        <v>31</v>
      </c>
      <c r="E3019" s="120">
        <f t="shared" si="1156"/>
        <v>1</v>
      </c>
      <c r="F3019" s="275">
        <f t="shared" si="1157"/>
        <v>46403.5</v>
      </c>
      <c r="G3019" s="120">
        <f t="shared" si="1158"/>
        <v>24324</v>
      </c>
      <c r="H3019" s="245">
        <f t="shared" si="1159"/>
        <v>1</v>
      </c>
      <c r="I3019" s="121">
        <f t="shared" si="1160"/>
        <v>1.06</v>
      </c>
      <c r="J3019" s="121">
        <f t="shared" si="1161"/>
        <v>1.06</v>
      </c>
      <c r="K3019" s="120">
        <f t="shared" si="1162"/>
        <v>0</v>
      </c>
      <c r="L3019" s="120">
        <f t="shared" si="1163"/>
        <v>0</v>
      </c>
      <c r="M3019" s="246">
        <f t="shared" si="1164"/>
        <v>0</v>
      </c>
      <c r="N3019" s="121">
        <f t="shared" si="1165"/>
        <v>1.06</v>
      </c>
      <c r="O3019" s="246">
        <f t="shared" si="1166"/>
        <v>0.90882385120350118</v>
      </c>
      <c r="P3019" s="121">
        <f t="shared" si="1167"/>
        <v>0</v>
      </c>
      <c r="Q3019" s="121">
        <f t="shared" si="1168"/>
        <v>1</v>
      </c>
      <c r="R3019" s="121">
        <f t="shared" si="1169"/>
        <v>0</v>
      </c>
      <c r="S3019" s="121" t="str">
        <f t="shared" si="1170"/>
        <v/>
      </c>
      <c r="T3019" s="121" t="str">
        <f t="shared" si="1171"/>
        <v/>
      </c>
      <c r="U3019" s="121">
        <f t="shared" si="1172"/>
        <v>1.06</v>
      </c>
    </row>
    <row r="3020" spans="1:21" x14ac:dyDescent="0.3">
      <c r="A3020" s="187">
        <v>26</v>
      </c>
      <c r="B3020" s="242">
        <f t="shared" si="1173"/>
        <v>46419</v>
      </c>
      <c r="C3020" s="243">
        <f t="shared" si="1154"/>
        <v>46446</v>
      </c>
      <c r="D3020" s="120">
        <f t="shared" si="1155"/>
        <v>28</v>
      </c>
      <c r="E3020" s="120">
        <f t="shared" si="1156"/>
        <v>2</v>
      </c>
      <c r="F3020" s="275">
        <f t="shared" si="1157"/>
        <v>46433</v>
      </c>
      <c r="G3020" s="120">
        <f t="shared" si="1158"/>
        <v>24325</v>
      </c>
      <c r="H3020" s="245">
        <f t="shared" si="1159"/>
        <v>1</v>
      </c>
      <c r="I3020" s="121">
        <f t="shared" si="1160"/>
        <v>1.06</v>
      </c>
      <c r="J3020" s="121">
        <f t="shared" si="1161"/>
        <v>1.06</v>
      </c>
      <c r="K3020" s="120">
        <f t="shared" si="1162"/>
        <v>0</v>
      </c>
      <c r="L3020" s="120">
        <f t="shared" si="1163"/>
        <v>0</v>
      </c>
      <c r="M3020" s="246">
        <f t="shared" si="1164"/>
        <v>0</v>
      </c>
      <c r="N3020" s="121">
        <f t="shared" si="1165"/>
        <v>1.06</v>
      </c>
      <c r="O3020" s="246">
        <f t="shared" si="1166"/>
        <v>0.90850109409190372</v>
      </c>
      <c r="P3020" s="121">
        <f t="shared" si="1167"/>
        <v>0</v>
      </c>
      <c r="Q3020" s="121">
        <f t="shared" si="1168"/>
        <v>1</v>
      </c>
      <c r="R3020" s="121">
        <f t="shared" si="1169"/>
        <v>0</v>
      </c>
      <c r="S3020" s="121" t="str">
        <f t="shared" si="1170"/>
        <v/>
      </c>
      <c r="T3020" s="121" t="str">
        <f t="shared" si="1171"/>
        <v/>
      </c>
      <c r="U3020" s="121">
        <f t="shared" si="1172"/>
        <v>1.06</v>
      </c>
    </row>
    <row r="3021" spans="1:21" x14ac:dyDescent="0.3">
      <c r="A3021" s="187">
        <v>27</v>
      </c>
      <c r="B3021" s="242">
        <f t="shared" si="1173"/>
        <v>46447</v>
      </c>
      <c r="C3021" s="243">
        <f t="shared" si="1154"/>
        <v>46477</v>
      </c>
      <c r="D3021" s="120">
        <f t="shared" si="1155"/>
        <v>31</v>
      </c>
      <c r="E3021" s="120">
        <f t="shared" si="1156"/>
        <v>3</v>
      </c>
      <c r="F3021" s="275">
        <f t="shared" si="1157"/>
        <v>46462.5</v>
      </c>
      <c r="G3021" s="120">
        <f t="shared" si="1158"/>
        <v>24326</v>
      </c>
      <c r="H3021" s="245">
        <f t="shared" si="1159"/>
        <v>1</v>
      </c>
      <c r="I3021" s="121">
        <f t="shared" si="1160"/>
        <v>1.06</v>
      </c>
      <c r="J3021" s="121">
        <f t="shared" si="1161"/>
        <v>1.06</v>
      </c>
      <c r="K3021" s="120">
        <f t="shared" si="1162"/>
        <v>0</v>
      </c>
      <c r="L3021" s="120">
        <f t="shared" si="1163"/>
        <v>0</v>
      </c>
      <c r="M3021" s="246">
        <f t="shared" si="1164"/>
        <v>0</v>
      </c>
      <c r="N3021" s="121">
        <f t="shared" si="1165"/>
        <v>1.06</v>
      </c>
      <c r="O3021" s="246">
        <f t="shared" si="1166"/>
        <v>0.90817833698030637</v>
      </c>
      <c r="P3021" s="121">
        <f t="shared" si="1167"/>
        <v>0</v>
      </c>
      <c r="Q3021" s="121">
        <f t="shared" si="1168"/>
        <v>1</v>
      </c>
      <c r="R3021" s="121">
        <f t="shared" si="1169"/>
        <v>0</v>
      </c>
      <c r="S3021" s="121" t="str">
        <f t="shared" si="1170"/>
        <v/>
      </c>
      <c r="T3021" s="121" t="str">
        <f t="shared" si="1171"/>
        <v/>
      </c>
      <c r="U3021" s="121">
        <f t="shared" si="1172"/>
        <v>1.06</v>
      </c>
    </row>
    <row r="3022" spans="1:21" x14ac:dyDescent="0.3">
      <c r="A3022" s="187">
        <v>28</v>
      </c>
      <c r="B3022" s="242">
        <f t="shared" si="1173"/>
        <v>46478</v>
      </c>
      <c r="C3022" s="243">
        <f t="shared" si="1154"/>
        <v>46507</v>
      </c>
      <c r="D3022" s="120">
        <f t="shared" si="1155"/>
        <v>30</v>
      </c>
      <c r="E3022" s="120">
        <f t="shared" si="1156"/>
        <v>4</v>
      </c>
      <c r="F3022" s="275">
        <f t="shared" si="1157"/>
        <v>46493</v>
      </c>
      <c r="G3022" s="120">
        <f t="shared" si="1158"/>
        <v>24327</v>
      </c>
      <c r="H3022" s="245">
        <f t="shared" si="1159"/>
        <v>1</v>
      </c>
      <c r="I3022" s="121">
        <f t="shared" si="1160"/>
        <v>1.06</v>
      </c>
      <c r="J3022" s="121">
        <f t="shared" si="1161"/>
        <v>1.06</v>
      </c>
      <c r="K3022" s="120">
        <f t="shared" si="1162"/>
        <v>0</v>
      </c>
      <c r="L3022" s="120">
        <f t="shared" si="1163"/>
        <v>0</v>
      </c>
      <c r="M3022" s="246">
        <f t="shared" si="1164"/>
        <v>0</v>
      </c>
      <c r="N3022" s="121">
        <f t="shared" si="1165"/>
        <v>1.06</v>
      </c>
      <c r="O3022" s="246">
        <f t="shared" si="1166"/>
        <v>0.90784463894967182</v>
      </c>
      <c r="P3022" s="121">
        <f t="shared" si="1167"/>
        <v>0</v>
      </c>
      <c r="Q3022" s="121">
        <f t="shared" si="1168"/>
        <v>1</v>
      </c>
      <c r="R3022" s="121">
        <f t="shared" si="1169"/>
        <v>0</v>
      </c>
      <c r="S3022" s="121" t="str">
        <f t="shared" si="1170"/>
        <v/>
      </c>
      <c r="T3022" s="121" t="str">
        <f t="shared" si="1171"/>
        <v/>
      </c>
      <c r="U3022" s="121">
        <f t="shared" si="1172"/>
        <v>1.06</v>
      </c>
    </row>
    <row r="3023" spans="1:21" x14ac:dyDescent="0.3">
      <c r="A3023" s="187">
        <v>29</v>
      </c>
      <c r="B3023" s="242">
        <f t="shared" si="1173"/>
        <v>46508</v>
      </c>
      <c r="C3023" s="243">
        <f t="shared" si="1154"/>
        <v>46538</v>
      </c>
      <c r="D3023" s="120">
        <f t="shared" si="1155"/>
        <v>31</v>
      </c>
      <c r="E3023" s="120">
        <f t="shared" si="1156"/>
        <v>5</v>
      </c>
      <c r="F3023" s="275">
        <f t="shared" si="1157"/>
        <v>46523.5</v>
      </c>
      <c r="G3023" s="120">
        <f t="shared" si="1158"/>
        <v>24328</v>
      </c>
      <c r="H3023" s="245">
        <f t="shared" si="1159"/>
        <v>1</v>
      </c>
      <c r="I3023" s="121">
        <f t="shared" si="1160"/>
        <v>1.06</v>
      </c>
      <c r="J3023" s="121">
        <f t="shared" si="1161"/>
        <v>1.06</v>
      </c>
      <c r="K3023" s="120">
        <f t="shared" si="1162"/>
        <v>0</v>
      </c>
      <c r="L3023" s="120">
        <f t="shared" si="1163"/>
        <v>0</v>
      </c>
      <c r="M3023" s="246">
        <f t="shared" si="1164"/>
        <v>0</v>
      </c>
      <c r="N3023" s="121">
        <f t="shared" si="1165"/>
        <v>1.06</v>
      </c>
      <c r="O3023" s="246">
        <f t="shared" si="1166"/>
        <v>0.90751094091903728</v>
      </c>
      <c r="P3023" s="121">
        <f t="shared" si="1167"/>
        <v>0</v>
      </c>
      <c r="Q3023" s="121">
        <f t="shared" si="1168"/>
        <v>1</v>
      </c>
      <c r="R3023" s="121">
        <f t="shared" si="1169"/>
        <v>0</v>
      </c>
      <c r="S3023" s="121" t="str">
        <f t="shared" si="1170"/>
        <v/>
      </c>
      <c r="T3023" s="121" t="str">
        <f t="shared" si="1171"/>
        <v/>
      </c>
      <c r="U3023" s="121">
        <f t="shared" si="1172"/>
        <v>1.06</v>
      </c>
    </row>
    <row r="3024" spans="1:21" x14ac:dyDescent="0.3">
      <c r="A3024" s="187">
        <v>30</v>
      </c>
      <c r="B3024" s="242">
        <f t="shared" si="1173"/>
        <v>46539</v>
      </c>
      <c r="C3024" s="243">
        <f t="shared" si="1154"/>
        <v>46568</v>
      </c>
      <c r="D3024" s="120">
        <f t="shared" si="1155"/>
        <v>30</v>
      </c>
      <c r="E3024" s="120">
        <f t="shared" si="1156"/>
        <v>6</v>
      </c>
      <c r="F3024" s="275">
        <f t="shared" si="1157"/>
        <v>46554</v>
      </c>
      <c r="G3024" s="120">
        <f t="shared" si="1158"/>
        <v>24329</v>
      </c>
      <c r="H3024" s="245">
        <f t="shared" si="1159"/>
        <v>1</v>
      </c>
      <c r="I3024" s="121">
        <f t="shared" si="1160"/>
        <v>1.06</v>
      </c>
      <c r="J3024" s="121">
        <f t="shared" si="1161"/>
        <v>1.06</v>
      </c>
      <c r="K3024" s="120">
        <f t="shared" si="1162"/>
        <v>0</v>
      </c>
      <c r="L3024" s="120">
        <f t="shared" si="1163"/>
        <v>0</v>
      </c>
      <c r="M3024" s="246">
        <f t="shared" si="1164"/>
        <v>0</v>
      </c>
      <c r="N3024" s="121">
        <f t="shared" si="1165"/>
        <v>1.06</v>
      </c>
      <c r="O3024" s="246">
        <f t="shared" si="1166"/>
        <v>0.90717724288840262</v>
      </c>
      <c r="P3024" s="121">
        <f t="shared" si="1167"/>
        <v>0</v>
      </c>
      <c r="Q3024" s="121">
        <f t="shared" si="1168"/>
        <v>1</v>
      </c>
      <c r="R3024" s="121">
        <f t="shared" si="1169"/>
        <v>0</v>
      </c>
      <c r="S3024" s="121" t="str">
        <f t="shared" si="1170"/>
        <v/>
      </c>
      <c r="T3024" s="121" t="str">
        <f t="shared" si="1171"/>
        <v/>
      </c>
      <c r="U3024" s="121">
        <f t="shared" si="1172"/>
        <v>1.06</v>
      </c>
    </row>
    <row r="3025" spans="1:21" x14ac:dyDescent="0.3">
      <c r="A3025" s="187">
        <v>31</v>
      </c>
      <c r="B3025" s="242">
        <f t="shared" si="1173"/>
        <v>46569</v>
      </c>
      <c r="C3025" s="243">
        <f t="shared" si="1154"/>
        <v>46599</v>
      </c>
      <c r="D3025" s="120">
        <f t="shared" si="1155"/>
        <v>31</v>
      </c>
      <c r="E3025" s="120">
        <f t="shared" si="1156"/>
        <v>7</v>
      </c>
      <c r="F3025" s="275">
        <f t="shared" si="1157"/>
        <v>46584.5</v>
      </c>
      <c r="G3025" s="120">
        <f t="shared" si="1158"/>
        <v>24330</v>
      </c>
      <c r="H3025" s="245">
        <f t="shared" si="1159"/>
        <v>1</v>
      </c>
      <c r="I3025" s="121">
        <f t="shared" si="1160"/>
        <v>1.06</v>
      </c>
      <c r="J3025" s="121">
        <f t="shared" si="1161"/>
        <v>1.06</v>
      </c>
      <c r="K3025" s="120">
        <f t="shared" si="1162"/>
        <v>0</v>
      </c>
      <c r="L3025" s="120">
        <f t="shared" si="1163"/>
        <v>0</v>
      </c>
      <c r="M3025" s="246">
        <f t="shared" si="1164"/>
        <v>0</v>
      </c>
      <c r="N3025" s="121">
        <f t="shared" si="1165"/>
        <v>1.06</v>
      </c>
      <c r="O3025" s="246">
        <f t="shared" si="1166"/>
        <v>0.90684354485776808</v>
      </c>
      <c r="P3025" s="121">
        <f t="shared" si="1167"/>
        <v>0</v>
      </c>
      <c r="Q3025" s="121">
        <f t="shared" si="1168"/>
        <v>0.91666666666666663</v>
      </c>
      <c r="R3025" s="121">
        <f t="shared" si="1169"/>
        <v>8.333333333333337E-2</v>
      </c>
      <c r="S3025" s="121" t="str">
        <f t="shared" si="1170"/>
        <v/>
      </c>
      <c r="T3025" s="121" t="str">
        <f t="shared" si="1171"/>
        <v/>
      </c>
      <c r="U3025" s="121">
        <f t="shared" si="1172"/>
        <v>1.06</v>
      </c>
    </row>
    <row r="3026" spans="1:21" x14ac:dyDescent="0.3">
      <c r="A3026" s="187">
        <v>32</v>
      </c>
      <c r="B3026" s="242">
        <f t="shared" si="1173"/>
        <v>46600</v>
      </c>
      <c r="C3026" s="243">
        <f t="shared" si="1154"/>
        <v>46630</v>
      </c>
      <c r="D3026" s="120">
        <f t="shared" si="1155"/>
        <v>31</v>
      </c>
      <c r="E3026" s="120">
        <f t="shared" si="1156"/>
        <v>8</v>
      </c>
      <c r="F3026" s="275">
        <f t="shared" si="1157"/>
        <v>46615.5</v>
      </c>
      <c r="G3026" s="120">
        <f t="shared" si="1158"/>
        <v>24331</v>
      </c>
      <c r="H3026" s="245">
        <f t="shared" si="1159"/>
        <v>1</v>
      </c>
      <c r="I3026" s="121">
        <f t="shared" si="1160"/>
        <v>1.06</v>
      </c>
      <c r="J3026" s="121">
        <f t="shared" si="1161"/>
        <v>1.06</v>
      </c>
      <c r="K3026" s="120">
        <f t="shared" si="1162"/>
        <v>0</v>
      </c>
      <c r="L3026" s="120">
        <f t="shared" si="1163"/>
        <v>0</v>
      </c>
      <c r="M3026" s="246">
        <f t="shared" si="1164"/>
        <v>0</v>
      </c>
      <c r="N3026" s="121">
        <f t="shared" si="1165"/>
        <v>1.06</v>
      </c>
      <c r="O3026" s="246">
        <f t="shared" si="1166"/>
        <v>0.90650437636761494</v>
      </c>
      <c r="P3026" s="121">
        <f t="shared" si="1167"/>
        <v>0</v>
      </c>
      <c r="Q3026" s="121">
        <f t="shared" si="1168"/>
        <v>0.75</v>
      </c>
      <c r="R3026" s="121">
        <f t="shared" si="1169"/>
        <v>0.25</v>
      </c>
      <c r="S3026" s="121" t="str">
        <f t="shared" si="1170"/>
        <v/>
      </c>
      <c r="T3026" s="121" t="str">
        <f t="shared" si="1171"/>
        <v/>
      </c>
      <c r="U3026" s="121">
        <f t="shared" si="1172"/>
        <v>1.06</v>
      </c>
    </row>
    <row r="3027" spans="1:21" x14ac:dyDescent="0.3">
      <c r="A3027" s="187">
        <v>33</v>
      </c>
      <c r="B3027" s="242">
        <f t="shared" si="1173"/>
        <v>46631</v>
      </c>
      <c r="C3027" s="243">
        <f t="shared" si="1154"/>
        <v>46660</v>
      </c>
      <c r="D3027" s="120">
        <f t="shared" si="1155"/>
        <v>30</v>
      </c>
      <c r="E3027" s="120">
        <f t="shared" si="1156"/>
        <v>9</v>
      </c>
      <c r="F3027" s="275">
        <f t="shared" si="1157"/>
        <v>46646</v>
      </c>
      <c r="G3027" s="120">
        <f t="shared" si="1158"/>
        <v>24332</v>
      </c>
      <c r="H3027" s="245">
        <f t="shared" si="1159"/>
        <v>1</v>
      </c>
      <c r="I3027" s="121">
        <f t="shared" si="1160"/>
        <v>1.06</v>
      </c>
      <c r="J3027" s="121">
        <f t="shared" si="1161"/>
        <v>1.06</v>
      </c>
      <c r="K3027" s="120">
        <f t="shared" si="1162"/>
        <v>0</v>
      </c>
      <c r="L3027" s="120">
        <f t="shared" si="1163"/>
        <v>0</v>
      </c>
      <c r="M3027" s="246">
        <f t="shared" si="1164"/>
        <v>0</v>
      </c>
      <c r="N3027" s="121">
        <f t="shared" si="1165"/>
        <v>1.06</v>
      </c>
      <c r="O3027" s="246">
        <f t="shared" si="1166"/>
        <v>0.90617067833698028</v>
      </c>
      <c r="P3027" s="121">
        <f t="shared" si="1167"/>
        <v>0</v>
      </c>
      <c r="Q3027" s="121">
        <f t="shared" si="1168"/>
        <v>0.58333333333333337</v>
      </c>
      <c r="R3027" s="121">
        <f t="shared" si="1169"/>
        <v>0.41666666666666663</v>
      </c>
      <c r="S3027" s="121" t="str">
        <f t="shared" si="1170"/>
        <v/>
      </c>
      <c r="T3027" s="121" t="str">
        <f t="shared" si="1171"/>
        <v/>
      </c>
      <c r="U3027" s="121">
        <f t="shared" si="1172"/>
        <v>1.06</v>
      </c>
    </row>
    <row r="3028" spans="1:21" x14ac:dyDescent="0.3">
      <c r="A3028" s="187">
        <v>34</v>
      </c>
      <c r="B3028" s="242">
        <f t="shared" si="1173"/>
        <v>46661</v>
      </c>
      <c r="C3028" s="243">
        <f t="shared" si="1154"/>
        <v>46691</v>
      </c>
      <c r="D3028" s="120">
        <f t="shared" si="1155"/>
        <v>31</v>
      </c>
      <c r="E3028" s="120">
        <f t="shared" si="1156"/>
        <v>10</v>
      </c>
      <c r="F3028" s="275">
        <f t="shared" si="1157"/>
        <v>46676.5</v>
      </c>
      <c r="G3028" s="120">
        <f t="shared" si="1158"/>
        <v>24333</v>
      </c>
      <c r="H3028" s="245">
        <f t="shared" si="1159"/>
        <v>1</v>
      </c>
      <c r="I3028" s="121">
        <f t="shared" si="1160"/>
        <v>1.06</v>
      </c>
      <c r="J3028" s="121">
        <f t="shared" si="1161"/>
        <v>1.06</v>
      </c>
      <c r="K3028" s="120">
        <f t="shared" si="1162"/>
        <v>0</v>
      </c>
      <c r="L3028" s="120">
        <f t="shared" si="1163"/>
        <v>0</v>
      </c>
      <c r="M3028" s="246">
        <f t="shared" si="1164"/>
        <v>0</v>
      </c>
      <c r="N3028" s="121">
        <f t="shared" si="1165"/>
        <v>1.06</v>
      </c>
      <c r="O3028" s="246">
        <f t="shared" si="1166"/>
        <v>0.90583698030634574</v>
      </c>
      <c r="P3028" s="121">
        <f t="shared" si="1167"/>
        <v>0</v>
      </c>
      <c r="Q3028" s="121">
        <f t="shared" si="1168"/>
        <v>0.41666666666666669</v>
      </c>
      <c r="R3028" s="121">
        <f t="shared" si="1169"/>
        <v>0.58333333333333326</v>
      </c>
      <c r="S3028" s="121" t="str">
        <f t="shared" si="1170"/>
        <v/>
      </c>
      <c r="T3028" s="121" t="str">
        <f t="shared" si="1171"/>
        <v/>
      </c>
      <c r="U3028" s="121">
        <f t="shared" si="1172"/>
        <v>1.06</v>
      </c>
    </row>
    <row r="3029" spans="1:21" x14ac:dyDescent="0.3">
      <c r="A3029" s="187">
        <v>35</v>
      </c>
      <c r="B3029" s="242">
        <f t="shared" si="1173"/>
        <v>46692</v>
      </c>
      <c r="C3029" s="243">
        <f t="shared" si="1154"/>
        <v>46721</v>
      </c>
      <c r="D3029" s="120">
        <f t="shared" si="1155"/>
        <v>30</v>
      </c>
      <c r="E3029" s="120">
        <f t="shared" si="1156"/>
        <v>11</v>
      </c>
      <c r="F3029" s="275">
        <f t="shared" si="1157"/>
        <v>46707</v>
      </c>
      <c r="G3029" s="120">
        <f t="shared" si="1158"/>
        <v>24334</v>
      </c>
      <c r="H3029" s="245">
        <f t="shared" si="1159"/>
        <v>1</v>
      </c>
      <c r="I3029" s="121">
        <f t="shared" si="1160"/>
        <v>1.06</v>
      </c>
      <c r="J3029" s="121">
        <f t="shared" si="1161"/>
        <v>1.06</v>
      </c>
      <c r="K3029" s="120">
        <f t="shared" si="1162"/>
        <v>0</v>
      </c>
      <c r="L3029" s="120">
        <f t="shared" si="1163"/>
        <v>0</v>
      </c>
      <c r="M3029" s="246">
        <f t="shared" si="1164"/>
        <v>0</v>
      </c>
      <c r="N3029" s="121">
        <f t="shared" si="1165"/>
        <v>1.06</v>
      </c>
      <c r="O3029" s="246">
        <f t="shared" si="1166"/>
        <v>0.9055032822757112</v>
      </c>
      <c r="P3029" s="121">
        <f t="shared" si="1167"/>
        <v>0</v>
      </c>
      <c r="Q3029" s="121">
        <f t="shared" si="1168"/>
        <v>0.25</v>
      </c>
      <c r="R3029" s="121">
        <f t="shared" si="1169"/>
        <v>0.75</v>
      </c>
      <c r="S3029" s="121" t="str">
        <f t="shared" si="1170"/>
        <v/>
      </c>
      <c r="T3029" s="121" t="str">
        <f t="shared" si="1171"/>
        <v/>
      </c>
      <c r="U3029" s="121">
        <f t="shared" si="1172"/>
        <v>1.06</v>
      </c>
    </row>
    <row r="3030" spans="1:21" x14ac:dyDescent="0.3">
      <c r="A3030" s="187">
        <v>36</v>
      </c>
      <c r="B3030" s="242">
        <f t="shared" si="1173"/>
        <v>46722</v>
      </c>
      <c r="C3030" s="243">
        <f t="shared" si="1154"/>
        <v>46752</v>
      </c>
      <c r="D3030" s="120">
        <f t="shared" si="1155"/>
        <v>31</v>
      </c>
      <c r="E3030" s="120">
        <f t="shared" si="1156"/>
        <v>12</v>
      </c>
      <c r="F3030" s="275">
        <f t="shared" si="1157"/>
        <v>46737.5</v>
      </c>
      <c r="G3030" s="120">
        <f t="shared" si="1158"/>
        <v>24335</v>
      </c>
      <c r="H3030" s="245">
        <f t="shared" si="1159"/>
        <v>1</v>
      </c>
      <c r="I3030" s="121">
        <f t="shared" si="1160"/>
        <v>1.06</v>
      </c>
      <c r="J3030" s="121">
        <f t="shared" si="1161"/>
        <v>1.06</v>
      </c>
      <c r="K3030" s="120">
        <f t="shared" si="1162"/>
        <v>0</v>
      </c>
      <c r="L3030" s="120">
        <f t="shared" si="1163"/>
        <v>0</v>
      </c>
      <c r="M3030" s="246">
        <f t="shared" si="1164"/>
        <v>0</v>
      </c>
      <c r="N3030" s="121">
        <f t="shared" si="1165"/>
        <v>1.06</v>
      </c>
      <c r="O3030" s="246">
        <f t="shared" si="1166"/>
        <v>0.90516958424507665</v>
      </c>
      <c r="P3030" s="121">
        <f t="shared" si="1167"/>
        <v>0</v>
      </c>
      <c r="Q3030" s="121">
        <f t="shared" si="1168"/>
        <v>8.3333333333333329E-2</v>
      </c>
      <c r="R3030" s="121">
        <f t="shared" si="1169"/>
        <v>0.91666666666666663</v>
      </c>
      <c r="S3030" s="121" t="str">
        <f t="shared" si="1170"/>
        <v/>
      </c>
      <c r="T3030" s="121" t="str">
        <f t="shared" si="1171"/>
        <v/>
      </c>
      <c r="U3030" s="121">
        <f t="shared" si="1172"/>
        <v>1.06</v>
      </c>
    </row>
    <row r="3031" spans="1:21" x14ac:dyDescent="0.3">
      <c r="A3031" s="187">
        <v>37</v>
      </c>
      <c r="B3031" s="242">
        <f t="shared" si="1173"/>
        <v>46753</v>
      </c>
      <c r="C3031" s="243">
        <f t="shared" si="1154"/>
        <v>46783</v>
      </c>
      <c r="D3031" s="120">
        <f t="shared" si="1155"/>
        <v>31</v>
      </c>
      <c r="E3031" s="120">
        <f t="shared" si="1156"/>
        <v>1</v>
      </c>
      <c r="F3031" s="275">
        <f t="shared" si="1157"/>
        <v>46768.5</v>
      </c>
      <c r="G3031" s="120">
        <f t="shared" si="1158"/>
        <v>24336</v>
      </c>
      <c r="H3031" s="245">
        <f t="shared" si="1159"/>
        <v>1</v>
      </c>
      <c r="I3031" s="121">
        <f t="shared" si="1160"/>
        <v>1.06</v>
      </c>
      <c r="J3031" s="121">
        <f t="shared" si="1161"/>
        <v>1.06</v>
      </c>
      <c r="K3031" s="120">
        <f t="shared" si="1162"/>
        <v>0</v>
      </c>
      <c r="L3031" s="120">
        <f t="shared" si="1163"/>
        <v>0</v>
      </c>
      <c r="M3031" s="246">
        <f t="shared" si="1164"/>
        <v>0</v>
      </c>
      <c r="N3031" s="121">
        <f t="shared" si="1165"/>
        <v>1.06</v>
      </c>
      <c r="O3031" s="246">
        <f t="shared" si="1166"/>
        <v>0.90500000000000003</v>
      </c>
      <c r="P3031" s="121">
        <f t="shared" si="1167"/>
        <v>0</v>
      </c>
      <c r="Q3031" s="121">
        <f t="shared" si="1168"/>
        <v>0</v>
      </c>
      <c r="R3031" s="121">
        <f t="shared" si="1169"/>
        <v>1</v>
      </c>
      <c r="S3031" s="121" t="str">
        <f t="shared" si="1170"/>
        <v/>
      </c>
      <c r="T3031" s="121" t="str">
        <f t="shared" si="1171"/>
        <v/>
      </c>
      <c r="U3031" s="121">
        <f t="shared" si="1172"/>
        <v>1.06</v>
      </c>
    </row>
    <row r="3032" spans="1:21" x14ac:dyDescent="0.3">
      <c r="A3032" s="187">
        <v>38</v>
      </c>
      <c r="B3032" s="242">
        <f t="shared" si="1173"/>
        <v>46784</v>
      </c>
      <c r="C3032" s="243">
        <f t="shared" si="1154"/>
        <v>46812</v>
      </c>
      <c r="D3032" s="120">
        <f t="shared" si="1155"/>
        <v>29</v>
      </c>
      <c r="E3032" s="120">
        <f t="shared" si="1156"/>
        <v>2</v>
      </c>
      <c r="F3032" s="275">
        <f t="shared" si="1157"/>
        <v>46798.5</v>
      </c>
      <c r="G3032" s="120">
        <f t="shared" si="1158"/>
        <v>24337</v>
      </c>
      <c r="H3032" s="245">
        <f t="shared" si="1159"/>
        <v>1</v>
      </c>
      <c r="I3032" s="121">
        <f t="shared" si="1160"/>
        <v>1.06</v>
      </c>
      <c r="J3032" s="121">
        <f t="shared" si="1161"/>
        <v>1.06</v>
      </c>
      <c r="K3032" s="120">
        <f t="shared" si="1162"/>
        <v>0</v>
      </c>
      <c r="L3032" s="120">
        <f t="shared" si="1163"/>
        <v>0</v>
      </c>
      <c r="M3032" s="246">
        <f t="shared" si="1164"/>
        <v>0</v>
      </c>
      <c r="N3032" s="121">
        <f t="shared" si="1165"/>
        <v>1.06</v>
      </c>
      <c r="O3032" s="246">
        <f t="shared" si="1166"/>
        <v>0.90500000000000003</v>
      </c>
      <c r="P3032" s="121">
        <f t="shared" si="1167"/>
        <v>0</v>
      </c>
      <c r="Q3032" s="121">
        <f t="shared" si="1168"/>
        <v>0</v>
      </c>
      <c r="R3032" s="121">
        <f t="shared" si="1169"/>
        <v>1</v>
      </c>
      <c r="S3032" s="121" t="str">
        <f t="shared" si="1170"/>
        <v/>
      </c>
      <c r="T3032" s="121" t="str">
        <f t="shared" si="1171"/>
        <v/>
      </c>
      <c r="U3032" s="121">
        <f t="shared" si="1172"/>
        <v>1.06</v>
      </c>
    </row>
    <row r="3033" spans="1:21" x14ac:dyDescent="0.3">
      <c r="A3033" s="187">
        <v>39</v>
      </c>
      <c r="B3033" s="242">
        <f t="shared" si="1173"/>
        <v>46813</v>
      </c>
      <c r="C3033" s="243">
        <f t="shared" si="1154"/>
        <v>46843</v>
      </c>
      <c r="D3033" s="120">
        <f t="shared" si="1155"/>
        <v>31</v>
      </c>
      <c r="E3033" s="120">
        <f t="shared" si="1156"/>
        <v>3</v>
      </c>
      <c r="F3033" s="275">
        <f t="shared" si="1157"/>
        <v>46828.5</v>
      </c>
      <c r="G3033" s="120">
        <f t="shared" si="1158"/>
        <v>24338</v>
      </c>
      <c r="H3033" s="245">
        <f t="shared" si="1159"/>
        <v>1</v>
      </c>
      <c r="I3033" s="121">
        <f t="shared" si="1160"/>
        <v>1.06</v>
      </c>
      <c r="J3033" s="121">
        <f t="shared" si="1161"/>
        <v>1.06</v>
      </c>
      <c r="K3033" s="120">
        <f t="shared" si="1162"/>
        <v>0</v>
      </c>
      <c r="L3033" s="120">
        <f t="shared" si="1163"/>
        <v>0</v>
      </c>
      <c r="M3033" s="246">
        <f t="shared" si="1164"/>
        <v>0</v>
      </c>
      <c r="N3033" s="121">
        <f t="shared" si="1165"/>
        <v>1.06</v>
      </c>
      <c r="O3033" s="246">
        <f t="shared" si="1166"/>
        <v>0.90500000000000003</v>
      </c>
      <c r="P3033" s="121">
        <f t="shared" si="1167"/>
        <v>0</v>
      </c>
      <c r="Q3033" s="121">
        <f t="shared" si="1168"/>
        <v>0</v>
      </c>
      <c r="R3033" s="121">
        <f t="shared" si="1169"/>
        <v>1</v>
      </c>
      <c r="S3033" s="121" t="str">
        <f t="shared" si="1170"/>
        <v/>
      </c>
      <c r="T3033" s="121" t="str">
        <f t="shared" si="1171"/>
        <v/>
      </c>
      <c r="U3033" s="121">
        <f t="shared" si="1172"/>
        <v>1.06</v>
      </c>
    </row>
    <row r="3034" spans="1:21" x14ac:dyDescent="0.3">
      <c r="A3034" s="187">
        <v>40</v>
      </c>
      <c r="B3034" s="242">
        <f t="shared" si="1173"/>
        <v>46844</v>
      </c>
      <c r="C3034" s="243">
        <f t="shared" si="1154"/>
        <v>46873</v>
      </c>
      <c r="D3034" s="120">
        <f t="shared" si="1155"/>
        <v>30</v>
      </c>
      <c r="E3034" s="120">
        <f t="shared" si="1156"/>
        <v>4</v>
      </c>
      <c r="F3034" s="275">
        <f t="shared" si="1157"/>
        <v>46859</v>
      </c>
      <c r="G3034" s="120">
        <f t="shared" si="1158"/>
        <v>24339</v>
      </c>
      <c r="H3034" s="245">
        <f t="shared" si="1159"/>
        <v>1</v>
      </c>
      <c r="I3034" s="121">
        <f t="shared" si="1160"/>
        <v>1.06</v>
      </c>
      <c r="J3034" s="121">
        <f t="shared" si="1161"/>
        <v>1.06</v>
      </c>
      <c r="K3034" s="120">
        <f t="shared" si="1162"/>
        <v>0</v>
      </c>
      <c r="L3034" s="120">
        <f t="shared" si="1163"/>
        <v>0</v>
      </c>
      <c r="M3034" s="246">
        <f t="shared" si="1164"/>
        <v>0</v>
      </c>
      <c r="N3034" s="121">
        <f t="shared" si="1165"/>
        <v>1.06</v>
      </c>
      <c r="O3034" s="246">
        <f t="shared" si="1166"/>
        <v>0.90500000000000003</v>
      </c>
      <c r="P3034" s="121">
        <f t="shared" si="1167"/>
        <v>0</v>
      </c>
      <c r="Q3034" s="121">
        <f t="shared" si="1168"/>
        <v>0</v>
      </c>
      <c r="R3034" s="121">
        <f t="shared" si="1169"/>
        <v>1</v>
      </c>
      <c r="S3034" s="121" t="str">
        <f t="shared" si="1170"/>
        <v/>
      </c>
      <c r="T3034" s="121" t="str">
        <f t="shared" si="1171"/>
        <v/>
      </c>
      <c r="U3034" s="121">
        <f t="shared" si="1172"/>
        <v>1.06</v>
      </c>
    </row>
    <row r="3035" spans="1:21" x14ac:dyDescent="0.3">
      <c r="A3035" s="187">
        <v>41</v>
      </c>
      <c r="B3035" s="242">
        <f t="shared" si="1173"/>
        <v>46874</v>
      </c>
      <c r="C3035" s="243">
        <f t="shared" si="1154"/>
        <v>46904</v>
      </c>
      <c r="D3035" s="120">
        <f t="shared" si="1155"/>
        <v>31</v>
      </c>
      <c r="E3035" s="120">
        <f t="shared" si="1156"/>
        <v>5</v>
      </c>
      <c r="F3035" s="275">
        <f t="shared" si="1157"/>
        <v>46889.5</v>
      </c>
      <c r="G3035" s="120">
        <f t="shared" si="1158"/>
        <v>24340</v>
      </c>
      <c r="H3035" s="245">
        <f t="shared" si="1159"/>
        <v>1</v>
      </c>
      <c r="I3035" s="121">
        <f t="shared" si="1160"/>
        <v>1.06</v>
      </c>
      <c r="J3035" s="121">
        <f t="shared" si="1161"/>
        <v>1.06</v>
      </c>
      <c r="K3035" s="120">
        <f t="shared" si="1162"/>
        <v>0</v>
      </c>
      <c r="L3035" s="120">
        <f t="shared" si="1163"/>
        <v>0</v>
      </c>
      <c r="M3035" s="246">
        <f t="shared" si="1164"/>
        <v>0</v>
      </c>
      <c r="N3035" s="121">
        <f t="shared" si="1165"/>
        <v>1.06</v>
      </c>
      <c r="O3035" s="246">
        <f t="shared" si="1166"/>
        <v>0.90500000000000003</v>
      </c>
      <c r="P3035" s="121">
        <f t="shared" si="1167"/>
        <v>0</v>
      </c>
      <c r="Q3035" s="121">
        <f t="shared" si="1168"/>
        <v>0</v>
      </c>
      <c r="R3035" s="121">
        <f t="shared" si="1169"/>
        <v>1</v>
      </c>
      <c r="S3035" s="121" t="str">
        <f t="shared" si="1170"/>
        <v/>
      </c>
      <c r="T3035" s="121" t="str">
        <f t="shared" si="1171"/>
        <v/>
      </c>
      <c r="U3035" s="121">
        <f t="shared" si="1172"/>
        <v>1.06</v>
      </c>
    </row>
    <row r="3036" spans="1:21" x14ac:dyDescent="0.3">
      <c r="A3036" s="187">
        <v>42</v>
      </c>
      <c r="B3036" s="242">
        <f t="shared" si="1173"/>
        <v>46905</v>
      </c>
      <c r="C3036" s="243">
        <f t="shared" si="1154"/>
        <v>46934</v>
      </c>
      <c r="D3036" s="120">
        <f t="shared" si="1155"/>
        <v>30</v>
      </c>
      <c r="E3036" s="120">
        <f t="shared" si="1156"/>
        <v>6</v>
      </c>
      <c r="F3036" s="275">
        <f t="shared" si="1157"/>
        <v>46920</v>
      </c>
      <c r="G3036" s="120">
        <f t="shared" si="1158"/>
        <v>24341</v>
      </c>
      <c r="H3036" s="245">
        <f t="shared" si="1159"/>
        <v>1</v>
      </c>
      <c r="I3036" s="121">
        <f t="shared" si="1160"/>
        <v>1.06</v>
      </c>
      <c r="J3036" s="121">
        <f t="shared" si="1161"/>
        <v>1.06</v>
      </c>
      <c r="K3036" s="120">
        <f t="shared" si="1162"/>
        <v>0</v>
      </c>
      <c r="L3036" s="120">
        <f t="shared" si="1163"/>
        <v>0</v>
      </c>
      <c r="M3036" s="246">
        <f t="shared" si="1164"/>
        <v>0</v>
      </c>
      <c r="N3036" s="121">
        <f t="shared" si="1165"/>
        <v>1.06</v>
      </c>
      <c r="O3036" s="246">
        <f t="shared" si="1166"/>
        <v>0.90500000000000003</v>
      </c>
      <c r="P3036" s="121">
        <f t="shared" si="1167"/>
        <v>0</v>
      </c>
      <c r="Q3036" s="121">
        <f t="shared" si="1168"/>
        <v>0</v>
      </c>
      <c r="R3036" s="121">
        <f t="shared" si="1169"/>
        <v>1</v>
      </c>
      <c r="S3036" s="121" t="str">
        <f t="shared" si="1170"/>
        <v/>
      </c>
      <c r="T3036" s="121" t="str">
        <f t="shared" si="1171"/>
        <v/>
      </c>
      <c r="U3036" s="121">
        <f t="shared" si="1172"/>
        <v>1.06</v>
      </c>
    </row>
    <row r="3037" spans="1:21" x14ac:dyDescent="0.3">
      <c r="A3037" s="187">
        <v>43</v>
      </c>
      <c r="B3037" s="242">
        <f t="shared" si="1173"/>
        <v>46935</v>
      </c>
      <c r="C3037" s="243">
        <f t="shared" si="1154"/>
        <v>46965</v>
      </c>
      <c r="D3037" s="120">
        <f t="shared" si="1155"/>
        <v>31</v>
      </c>
      <c r="E3037" s="120">
        <f t="shared" si="1156"/>
        <v>7</v>
      </c>
      <c r="F3037" s="275">
        <f t="shared" si="1157"/>
        <v>46950.5</v>
      </c>
      <c r="G3037" s="120">
        <f t="shared" si="1158"/>
        <v>24342</v>
      </c>
      <c r="H3037" s="245">
        <f t="shared" si="1159"/>
        <v>1</v>
      </c>
      <c r="I3037" s="121">
        <f t="shared" si="1160"/>
        <v>1.06</v>
      </c>
      <c r="J3037" s="121">
        <f t="shared" si="1161"/>
        <v>1.06</v>
      </c>
      <c r="K3037" s="120">
        <f t="shared" si="1162"/>
        <v>0</v>
      </c>
      <c r="L3037" s="120">
        <f t="shared" si="1163"/>
        <v>0</v>
      </c>
      <c r="M3037" s="246">
        <f t="shared" si="1164"/>
        <v>0</v>
      </c>
      <c r="N3037" s="121">
        <f t="shared" si="1165"/>
        <v>1.06</v>
      </c>
      <c r="O3037" s="246">
        <f t="shared" si="1166"/>
        <v>0.90500000000000003</v>
      </c>
      <c r="P3037" s="121">
        <f t="shared" si="1167"/>
        <v>0</v>
      </c>
      <c r="Q3037" s="121">
        <f t="shared" si="1168"/>
        <v>0</v>
      </c>
      <c r="R3037" s="121">
        <f t="shared" si="1169"/>
        <v>0.91666666666666663</v>
      </c>
      <c r="S3037" s="121" t="str">
        <f t="shared" si="1170"/>
        <v/>
      </c>
      <c r="T3037" s="121" t="str">
        <f t="shared" si="1171"/>
        <v/>
      </c>
      <c r="U3037" s="121">
        <f t="shared" si="1172"/>
        <v>1.06</v>
      </c>
    </row>
    <row r="3038" spans="1:21" x14ac:dyDescent="0.3">
      <c r="A3038" s="187">
        <v>44</v>
      </c>
      <c r="B3038" s="242">
        <f t="shared" si="1173"/>
        <v>46966</v>
      </c>
      <c r="C3038" s="243">
        <f t="shared" si="1154"/>
        <v>46996</v>
      </c>
      <c r="D3038" s="120">
        <f t="shared" si="1155"/>
        <v>31</v>
      </c>
      <c r="E3038" s="120">
        <f t="shared" si="1156"/>
        <v>8</v>
      </c>
      <c r="F3038" s="275">
        <f t="shared" si="1157"/>
        <v>46981.5</v>
      </c>
      <c r="G3038" s="120">
        <f t="shared" si="1158"/>
        <v>24343</v>
      </c>
      <c r="H3038" s="245">
        <f t="shared" si="1159"/>
        <v>1</v>
      </c>
      <c r="I3038" s="121">
        <f t="shared" si="1160"/>
        <v>1.06</v>
      </c>
      <c r="J3038" s="121">
        <f t="shared" si="1161"/>
        <v>1.06</v>
      </c>
      <c r="K3038" s="120">
        <f t="shared" si="1162"/>
        <v>0</v>
      </c>
      <c r="L3038" s="120">
        <f t="shared" si="1163"/>
        <v>0</v>
      </c>
      <c r="M3038" s="246">
        <f t="shared" si="1164"/>
        <v>0</v>
      </c>
      <c r="N3038" s="121">
        <f t="shared" si="1165"/>
        <v>1.06</v>
      </c>
      <c r="O3038" s="246">
        <f t="shared" si="1166"/>
        <v>0.90500000000000003</v>
      </c>
      <c r="P3038" s="121">
        <f t="shared" si="1167"/>
        <v>0</v>
      </c>
      <c r="Q3038" s="121">
        <f t="shared" si="1168"/>
        <v>0</v>
      </c>
      <c r="R3038" s="121">
        <f t="shared" si="1169"/>
        <v>0.75</v>
      </c>
      <c r="S3038" s="121" t="str">
        <f t="shared" si="1170"/>
        <v/>
      </c>
      <c r="T3038" s="121" t="str">
        <f t="shared" si="1171"/>
        <v/>
      </c>
      <c r="U3038" s="121">
        <f t="shared" si="1172"/>
        <v>1.06</v>
      </c>
    </row>
    <row r="3039" spans="1:21" x14ac:dyDescent="0.3">
      <c r="A3039" s="187">
        <v>45</v>
      </c>
      <c r="B3039" s="242">
        <f t="shared" si="1173"/>
        <v>46997</v>
      </c>
      <c r="C3039" s="243">
        <f t="shared" si="1154"/>
        <v>47026</v>
      </c>
      <c r="D3039" s="120">
        <f t="shared" si="1155"/>
        <v>30</v>
      </c>
      <c r="E3039" s="120">
        <f t="shared" si="1156"/>
        <v>9</v>
      </c>
      <c r="F3039" s="275">
        <f t="shared" si="1157"/>
        <v>47012</v>
      </c>
      <c r="G3039" s="120">
        <f t="shared" si="1158"/>
        <v>24344</v>
      </c>
      <c r="H3039" s="245">
        <f t="shared" si="1159"/>
        <v>1</v>
      </c>
      <c r="I3039" s="121">
        <f t="shared" si="1160"/>
        <v>1.06</v>
      </c>
      <c r="J3039" s="121">
        <f t="shared" si="1161"/>
        <v>1.06</v>
      </c>
      <c r="K3039" s="120">
        <f t="shared" si="1162"/>
        <v>0</v>
      </c>
      <c r="L3039" s="120">
        <f t="shared" si="1163"/>
        <v>0</v>
      </c>
      <c r="M3039" s="246">
        <f t="shared" si="1164"/>
        <v>0</v>
      </c>
      <c r="N3039" s="121">
        <f t="shared" si="1165"/>
        <v>1.06</v>
      </c>
      <c r="O3039" s="246">
        <f t="shared" si="1166"/>
        <v>0.90500000000000003</v>
      </c>
      <c r="P3039" s="121">
        <f t="shared" si="1167"/>
        <v>0</v>
      </c>
      <c r="Q3039" s="121">
        <f t="shared" si="1168"/>
        <v>0</v>
      </c>
      <c r="R3039" s="121">
        <f t="shared" si="1169"/>
        <v>0.58333333333333337</v>
      </c>
      <c r="S3039" s="121" t="str">
        <f t="shared" si="1170"/>
        <v/>
      </c>
      <c r="T3039" s="121" t="str">
        <f t="shared" si="1171"/>
        <v/>
      </c>
      <c r="U3039" s="121">
        <f t="shared" si="1172"/>
        <v>1.06</v>
      </c>
    </row>
    <row r="3040" spans="1:21" x14ac:dyDescent="0.3">
      <c r="A3040" s="187">
        <v>46</v>
      </c>
      <c r="B3040" s="242">
        <f t="shared" si="1173"/>
        <v>47027</v>
      </c>
      <c r="C3040" s="243">
        <f t="shared" si="1154"/>
        <v>47057</v>
      </c>
      <c r="D3040" s="120">
        <f t="shared" si="1155"/>
        <v>31</v>
      </c>
      <c r="E3040" s="120">
        <f t="shared" si="1156"/>
        <v>10</v>
      </c>
      <c r="F3040" s="275">
        <f t="shared" si="1157"/>
        <v>47042.5</v>
      </c>
      <c r="G3040" s="120">
        <f t="shared" si="1158"/>
        <v>24345</v>
      </c>
      <c r="H3040" s="245">
        <f t="shared" si="1159"/>
        <v>1</v>
      </c>
      <c r="I3040" s="121">
        <f t="shared" si="1160"/>
        <v>1.06</v>
      </c>
      <c r="J3040" s="121">
        <f t="shared" si="1161"/>
        <v>1.06</v>
      </c>
      <c r="K3040" s="120">
        <f t="shared" si="1162"/>
        <v>0</v>
      </c>
      <c r="L3040" s="120">
        <f t="shared" si="1163"/>
        <v>0</v>
      </c>
      <c r="M3040" s="246">
        <f t="shared" si="1164"/>
        <v>0</v>
      </c>
      <c r="N3040" s="121">
        <f t="shared" si="1165"/>
        <v>1.06</v>
      </c>
      <c r="O3040" s="246">
        <f t="shared" si="1166"/>
        <v>0.90500000000000003</v>
      </c>
      <c r="P3040" s="121">
        <f t="shared" si="1167"/>
        <v>0</v>
      </c>
      <c r="Q3040" s="121">
        <f t="shared" si="1168"/>
        <v>0</v>
      </c>
      <c r="R3040" s="121">
        <f t="shared" si="1169"/>
        <v>0.41666666666666669</v>
      </c>
      <c r="S3040" s="121" t="str">
        <f t="shared" si="1170"/>
        <v/>
      </c>
      <c r="T3040" s="121" t="str">
        <f t="shared" si="1171"/>
        <v/>
      </c>
      <c r="U3040" s="121">
        <f t="shared" si="1172"/>
        <v>1.06</v>
      </c>
    </row>
    <row r="3041" spans="1:21" x14ac:dyDescent="0.3">
      <c r="A3041" s="187">
        <v>47</v>
      </c>
      <c r="B3041" s="242">
        <f t="shared" si="1173"/>
        <v>47058</v>
      </c>
      <c r="C3041" s="243">
        <f t="shared" si="1154"/>
        <v>47087</v>
      </c>
      <c r="D3041" s="120">
        <f t="shared" si="1155"/>
        <v>30</v>
      </c>
      <c r="E3041" s="120">
        <f t="shared" si="1156"/>
        <v>11</v>
      </c>
      <c r="F3041" s="275">
        <f t="shared" si="1157"/>
        <v>47073</v>
      </c>
      <c r="G3041" s="120">
        <f t="shared" si="1158"/>
        <v>24346</v>
      </c>
      <c r="H3041" s="245">
        <f t="shared" si="1159"/>
        <v>1</v>
      </c>
      <c r="I3041" s="121">
        <f t="shared" si="1160"/>
        <v>1.06</v>
      </c>
      <c r="J3041" s="121">
        <f t="shared" si="1161"/>
        <v>1.06</v>
      </c>
      <c r="K3041" s="120">
        <f t="shared" si="1162"/>
        <v>0</v>
      </c>
      <c r="L3041" s="120">
        <f t="shared" si="1163"/>
        <v>0</v>
      </c>
      <c r="M3041" s="246">
        <f t="shared" si="1164"/>
        <v>0</v>
      </c>
      <c r="N3041" s="121">
        <f t="shared" si="1165"/>
        <v>1.06</v>
      </c>
      <c r="O3041" s="246">
        <f t="shared" si="1166"/>
        <v>0.90500000000000003</v>
      </c>
      <c r="P3041" s="121">
        <f t="shared" si="1167"/>
        <v>0</v>
      </c>
      <c r="Q3041" s="121">
        <f t="shared" si="1168"/>
        <v>0</v>
      </c>
      <c r="R3041" s="121">
        <f t="shared" si="1169"/>
        <v>0.25</v>
      </c>
      <c r="S3041" s="121" t="str">
        <f t="shared" si="1170"/>
        <v/>
      </c>
      <c r="T3041" s="121" t="str">
        <f t="shared" si="1171"/>
        <v/>
      </c>
      <c r="U3041" s="121">
        <f t="shared" si="1172"/>
        <v>1.06</v>
      </c>
    </row>
    <row r="3042" spans="1:21" x14ac:dyDescent="0.3">
      <c r="A3042" s="187">
        <v>48</v>
      </c>
      <c r="B3042" s="242">
        <f t="shared" si="1173"/>
        <v>47088</v>
      </c>
      <c r="C3042" s="243">
        <f t="shared" si="1154"/>
        <v>47118</v>
      </c>
      <c r="D3042" s="120">
        <f t="shared" si="1155"/>
        <v>31</v>
      </c>
      <c r="E3042" s="120">
        <f t="shared" si="1156"/>
        <v>12</v>
      </c>
      <c r="F3042" s="275">
        <f t="shared" si="1157"/>
        <v>47103.5</v>
      </c>
      <c r="G3042" s="120">
        <f t="shared" si="1158"/>
        <v>24347</v>
      </c>
      <c r="H3042" s="245">
        <f t="shared" si="1159"/>
        <v>1</v>
      </c>
      <c r="I3042" s="121">
        <f t="shared" si="1160"/>
        <v>1.06</v>
      </c>
      <c r="J3042" s="121">
        <f t="shared" si="1161"/>
        <v>1.06</v>
      </c>
      <c r="K3042" s="120">
        <f t="shared" si="1162"/>
        <v>0</v>
      </c>
      <c r="L3042" s="120">
        <f t="shared" si="1163"/>
        <v>0</v>
      </c>
      <c r="M3042" s="246">
        <f t="shared" si="1164"/>
        <v>0</v>
      </c>
      <c r="N3042" s="121">
        <f t="shared" si="1165"/>
        <v>1.06</v>
      </c>
      <c r="O3042" s="246">
        <f t="shared" si="1166"/>
        <v>0.90500000000000003</v>
      </c>
      <c r="P3042" s="121">
        <f t="shared" si="1167"/>
        <v>0</v>
      </c>
      <c r="Q3042" s="121">
        <f t="shared" si="1168"/>
        <v>0</v>
      </c>
      <c r="R3042" s="121">
        <f t="shared" si="1169"/>
        <v>8.3333333333333329E-2</v>
      </c>
      <c r="S3042" s="121" t="str">
        <f t="shared" si="1170"/>
        <v/>
      </c>
      <c r="T3042" s="121" t="str">
        <f t="shared" si="1171"/>
        <v/>
      </c>
      <c r="U3042" s="121">
        <f t="shared" si="1172"/>
        <v>1.06</v>
      </c>
    </row>
    <row r="3043" spans="1:21" x14ac:dyDescent="0.3">
      <c r="A3043" s="6" t="s">
        <v>1651</v>
      </c>
      <c r="B3043" s="73">
        <f>EXP(SUMPRODUCT((rl_key=$A$2992)*(rl_cons="Y")*rl_ln1p))</f>
        <v>1.06</v>
      </c>
      <c r="C3043" s="73">
        <f>SUMPRODUCT($H$2995:$H$3042,$P$2995:$P$3042,$U$2995:$U$3042)/SUMPRODUCT($H$2995:$H$3042,$P$2995:$P$3042)</f>
        <v>1.0150000000000001</v>
      </c>
      <c r="D3043" s="73">
        <f>SUMPRODUCT($H$2995:$H$3042,$Q$2995:$Q$3042,$U$2995:$U$3042)/SUMPRODUCT($H$2995:$H$3042,$Q$2995:$Q$3042)</f>
        <v>1.0600000000000003</v>
      </c>
      <c r="E3043" s="73">
        <f>SUMPRODUCT($H$2995:$H$3042,$R$2995:$R$3042,$U$2995:$U$3042)/SUMPRODUCT($H$2995:$H$3042,$R$2995:$R$3042)</f>
        <v>1.0600000000000003</v>
      </c>
      <c r="F3043" s="224">
        <f>SUMPRODUCT($H$2995:$H$3042,$Q$2995:$Q$3042,$O$2995:$O$3042)/SUMPRODUCT($H$2995:$H$3042,$Q$2995:$Q$3042)</f>
        <v>0.9080037381473377</v>
      </c>
      <c r="G3043" s="224">
        <f>SUMPRODUCT($H$2995:$H$3042,$R$2995:$R$3042,$O$2995:$O$3042)/SUMPRODUCT($H$2995:$H$3042,$R$2995:$R$3042)</f>
        <v>0.90516988815949428</v>
      </c>
      <c r="H3043" s="73">
        <f>SUMPRODUCT($H$3019:$H$3030,$N$3019:$N$3030/$N$3007:$N$3018)/SUM($H$3019:$H$3030)</f>
        <v>1.03</v>
      </c>
      <c r="I3043" s="73">
        <f>SUMPRODUCT($H$3019:$H$3030,$O$3019:$O$3030/$O$3007:$O$3018)/SUM($H$3019:$H$3030)</f>
        <v>0.99561641381999111</v>
      </c>
      <c r="J3043" s="73">
        <f>IF($O$2992=1,SUMPRODUCT($H$3019:$H$3030,$N$3019:$N$3030/$N$3007:$N$3018*$O$3019:$O$3030/$O$3007:$O$3018)/SUM($H$3019:$H$3030),$H3043)</f>
        <v>1.0254850506829607</v>
      </c>
      <c r="K3043" s="73">
        <f>SUMPRODUCT($H$2995:$H$3042,$Q$2995:$Q$3042,$N$2995:$N$3042)/SUMPRODUCT($H$2995:$H$3042,$Q$2995:$Q$3042)</f>
        <v>1.0600000000000003</v>
      </c>
      <c r="L3043" s="73">
        <f>SUMPRODUCT($H$2995:$H$3042,$R$2995:$R$3042,$N$2995:$N$3042)/SUMPRODUCT($H$2995:$H$3042,$R$2995:$R$3042)</f>
        <v>1.0600000000000003</v>
      </c>
    </row>
    <row r="3046" spans="1:21" x14ac:dyDescent="0.3">
      <c r="A3046" s="6" t="str">
        <f>INDEX(lr_key,56)</f>
        <v>SBA|NC</v>
      </c>
      <c r="B3046" s="6" t="str">
        <f>INDEX(lr_state,56)</f>
        <v>NC</v>
      </c>
      <c r="C3046" s="75">
        <f>nr_TermMonths</f>
        <v>6</v>
      </c>
      <c r="D3046" s="75">
        <f>IF(COUNTIF(se_state,$B3046)=0,0,MATCH($B3046,se_state,0))</f>
        <v>0</v>
      </c>
      <c r="E3046" s="70">
        <f>IF($D3046=0,0,INDEX(se_sum,$D3046))</f>
        <v>0</v>
      </c>
      <c r="F3046" s="224">
        <f>IF(N(INDEX(lr_mind,56))=0,1,INDEX(lr_mind,56))</f>
        <v>0.92</v>
      </c>
      <c r="G3046" s="224">
        <f>IF(N(INDEX(lr_m0,56))=0,1,INDEX(lr_m0,56))</f>
        <v>0.91</v>
      </c>
      <c r="H3046" s="74">
        <f>IF(N(INDEX(lr_m0asof,56))=0,DATE(nr_PlanYear-1,10,1),INDEX(lr_m0asof,56))</f>
        <v>46295</v>
      </c>
      <c r="I3046" s="224">
        <f>IF(N(INDEX(lr_m1,56))=0,1,INDEX(lr_m1,56))</f>
        <v>0.92</v>
      </c>
      <c r="J3046" s="224">
        <f>INDEX(lr_mprior,56)</f>
        <v>0</v>
      </c>
      <c r="K3046" s="224">
        <f>INDEX(lr_m2,56)</f>
        <v>0</v>
      </c>
      <c r="L3046" s="6" t="b">
        <f>NOT(ISBLANK(INDEX(lr_netp,56)))</f>
        <v>0</v>
      </c>
      <c r="M3046" s="72">
        <f>N(INDEX(lr_netp,56))</f>
        <v>0</v>
      </c>
      <c r="N3046" s="72">
        <f>IF(ISBLANK(INDEX(lr_netp1,56)),$M$3046,N(INDEX(lr_netp1,56)))</f>
        <v>0</v>
      </c>
      <c r="O3046" s="75">
        <f>IF(AND(nr_ModAdjMaster="ON",INDEX(lr_modadj,56)="ON"),1,0)</f>
        <v>1</v>
      </c>
    </row>
    <row r="3047" spans="1:21" x14ac:dyDescent="0.3">
      <c r="A3047" s="6">
        <f>EDATE($H$3046,-12)+1</f>
        <v>45931</v>
      </c>
      <c r="B3047" s="6">
        <f>$H$3046+1</f>
        <v>46296</v>
      </c>
      <c r="C3047" s="6">
        <f>DATE(nr_PlanYear,12,31)+1</f>
        <v>46753</v>
      </c>
      <c r="D3047" s="6">
        <f>DATE(nr_PlanYear+1,12,31)+1</f>
        <v>47119</v>
      </c>
      <c r="E3047" s="6">
        <f>IF(N($J$3046)=0,$F$3047-($G$3047-$F$3047)/($C$3047-$B$3047)*($B$3047-$A$3047),$J$3046)</f>
        <v>0.9020131291028447</v>
      </c>
      <c r="F3047" s="6">
        <f>$G$3046</f>
        <v>0.91</v>
      </c>
      <c r="G3047" s="6">
        <f>$I$3046</f>
        <v>0.92</v>
      </c>
      <c r="H3047" s="6">
        <f>IF(N($K$3046)=0,$I$3046,$K$3046)</f>
        <v>0.92</v>
      </c>
      <c r="I3047" s="6">
        <f>($F$3047-$E$3047)/($B$3047-$A$3047)</f>
        <v>2.1881838074398162E-5</v>
      </c>
      <c r="J3047" s="6">
        <f>($G$3047-$F$3047)/($C$3047-$B$3047)</f>
        <v>2.188183807439827E-5</v>
      </c>
      <c r="K3047" s="6">
        <f>($H$3047-$G$3047)/($D$3047-$C$3047)</f>
        <v>0</v>
      </c>
    </row>
    <row r="3048" spans="1:21" ht="36" x14ac:dyDescent="0.3">
      <c r="A3048" s="58" t="s">
        <v>390</v>
      </c>
      <c r="B3048" s="58" t="s">
        <v>449</v>
      </c>
      <c r="C3048" s="58" t="s">
        <v>685</v>
      </c>
      <c r="D3048" s="58" t="s">
        <v>686</v>
      </c>
      <c r="E3048" s="58" t="s">
        <v>687</v>
      </c>
      <c r="F3048" s="58" t="s">
        <v>688</v>
      </c>
      <c r="G3048" s="58" t="s">
        <v>689</v>
      </c>
      <c r="H3048" s="58" t="s">
        <v>452</v>
      </c>
      <c r="I3048" s="58" t="s">
        <v>690</v>
      </c>
      <c r="J3048" s="58" t="s">
        <v>691</v>
      </c>
      <c r="K3048" s="58" t="s">
        <v>692</v>
      </c>
      <c r="L3048" s="58" t="s">
        <v>693</v>
      </c>
      <c r="M3048" s="58" t="s">
        <v>694</v>
      </c>
      <c r="N3048" s="58" t="s">
        <v>695</v>
      </c>
      <c r="O3048" s="58" t="s">
        <v>696</v>
      </c>
      <c r="P3048" s="58" t="s">
        <v>697</v>
      </c>
      <c r="Q3048" s="58" t="s">
        <v>698</v>
      </c>
      <c r="R3048" s="58" t="s">
        <v>699</v>
      </c>
      <c r="S3048" s="58" t="s">
        <v>700</v>
      </c>
      <c r="T3048" s="58" t="s">
        <v>701</v>
      </c>
      <c r="U3048" s="58" t="s">
        <v>702</v>
      </c>
    </row>
    <row r="3049" spans="1:21" x14ac:dyDescent="0.3">
      <c r="A3049" s="187">
        <v>1</v>
      </c>
      <c r="B3049" s="242">
        <f>DATE(nr_PlanYear-2,1,1)</f>
        <v>45658</v>
      </c>
      <c r="C3049" s="243">
        <f t="shared" ref="C3049:C3096" si="1174">EOMONTH($B3049,0)</f>
        <v>45688</v>
      </c>
      <c r="D3049" s="120">
        <f t="shared" ref="D3049:D3096" si="1175">$C3049-$B3049+1</f>
        <v>31</v>
      </c>
      <c r="E3049" s="120">
        <f t="shared" ref="E3049:E3096" si="1176">MONTH($B3049)</f>
        <v>1</v>
      </c>
      <c r="F3049" s="275">
        <f t="shared" ref="F3049:F3096" si="1177">($B3049+$C3049+1)/2</f>
        <v>45673.5</v>
      </c>
      <c r="G3049" s="120">
        <f t="shared" ref="G3049:G3096" si="1178">YEAR($B3049)*12+MONTH($B3049)-1</f>
        <v>24300</v>
      </c>
      <c r="H3049" s="245">
        <f t="shared" ref="H3049:H3096" si="1179">IF(OR(nr_SeasonOn="OFF",$D$3046=0,$E$3046=0),1,12*INDEX(se_block,$D$3046,$E3049)/$E$3046)</f>
        <v>1</v>
      </c>
      <c r="I3049" s="121">
        <f t="shared" ref="I3049:I3096" si="1180">EXP(SUMPRODUCT((rl_eff&lt;$B3049)*(rl_key=$A$3046)*rl_ln1p))</f>
        <v>1</v>
      </c>
      <c r="J3049" s="121">
        <f t="shared" ref="J3049:J3096" si="1181">EXP(SUMPRODUCT((rl_eff&lt;=$C3049)*(rl_key=$A$3046)*rl_ln1p))</f>
        <v>1</v>
      </c>
      <c r="K3049" s="120">
        <f t="shared" ref="K3049:K3096" si="1182">COUNTIFS(rl_key,$A$3046,rl_eff,"&gt;="&amp;$B3049,rl_eff,"&lt;="&amp;$C3049)</f>
        <v>0</v>
      </c>
      <c r="L3049" s="120">
        <f t="shared" ref="L3049:L3096" si="1183">SUMIFS(rl_daysafter,rl_key,$A$3046,rl_effmonth,$B3049,rl_first,1)</f>
        <v>0</v>
      </c>
      <c r="M3049" s="246">
        <f t="shared" ref="M3049:M3096" si="1184">IF($K3049=0,0,MIN(1,$L3049/$D3049))</f>
        <v>0</v>
      </c>
      <c r="N3049" s="121">
        <f t="shared" ref="N3049:N3096" si="1185">IF($K3049=0,$J3049,(1-$M3049)*$I3049+$M3049*$J3049)</f>
        <v>1</v>
      </c>
      <c r="O3049" s="246">
        <f t="shared" ref="O3049:O3096" si="1186">IF($F3049&lt;$B$3047,$E$3047+$I$3047*($F3049-$A$3047),IF($F3049&lt;$C$3047,$F$3047+$J$3047*($F3049-$B$3047),$G$3047+$K$3047*($F3049-$C$3047)))</f>
        <v>0.89637855579868719</v>
      </c>
      <c r="P3049" s="121">
        <f t="shared" ref="P3049:P3096" si="1187">MIN(1,MAX(0,(nr_MEndPm1-$G3049+0.5)/$C$3046))-MIN(1,MAX(0,(nr_MStartPm1-1-$G3049+0.5)/$C$3046))</f>
        <v>0</v>
      </c>
      <c r="Q3049" s="121">
        <f t="shared" ref="Q3049:Q3096" si="1188">MIN(1,MAX(0,(nr_MEndP-$G3049+0.5)/$C$3046))-MIN(1,MAX(0,(nr_MStartP-1-$G3049+0.5)/$C$3046))</f>
        <v>0</v>
      </c>
      <c r="R3049" s="121">
        <f t="shared" ref="R3049:R3096" si="1189">MIN(1,MAX(0,(nr_MEndP1-$G3049+0.5)/$C$3046))-MIN(1,MAX(0,(nr_MStartP1-1-$G3049+0.5)/$C$3046))</f>
        <v>0</v>
      </c>
      <c r="S3049" s="121" t="str">
        <f t="shared" ref="S3049:S3096" si="1190">IF($L$3046,$N3049*IF($O$3046=1,$O3049/$F$3046,1),"")</f>
        <v/>
      </c>
      <c r="T3049" s="121" t="str">
        <f t="shared" ref="T3049:T3096" si="1191">IF(NOT($L$3046),"",IF($G3049&lt;nr_MStartP,$S3049,$T3037*(1+IF($G3049&lt;nr_MStartP1,$M$3046,$N$3046))))</f>
        <v/>
      </c>
      <c r="U3049" s="121">
        <f t="shared" ref="U3049:U3096" si="1192">IF($L$3046,$T3049,$N3049)</f>
        <v>1</v>
      </c>
    </row>
    <row r="3050" spans="1:21" x14ac:dyDescent="0.3">
      <c r="A3050" s="187">
        <v>2</v>
      </c>
      <c r="B3050" s="242">
        <f t="shared" ref="B3050:B3096" si="1193">EDATE($B3049,1)</f>
        <v>45689</v>
      </c>
      <c r="C3050" s="243">
        <f t="shared" si="1174"/>
        <v>45716</v>
      </c>
      <c r="D3050" s="120">
        <f t="shared" si="1175"/>
        <v>28</v>
      </c>
      <c r="E3050" s="120">
        <f t="shared" si="1176"/>
        <v>2</v>
      </c>
      <c r="F3050" s="275">
        <f t="shared" si="1177"/>
        <v>45703</v>
      </c>
      <c r="G3050" s="120">
        <f t="shared" si="1178"/>
        <v>24301</v>
      </c>
      <c r="H3050" s="245">
        <f t="shared" si="1179"/>
        <v>1</v>
      </c>
      <c r="I3050" s="121">
        <f t="shared" si="1180"/>
        <v>1</v>
      </c>
      <c r="J3050" s="121">
        <f t="shared" si="1181"/>
        <v>1</v>
      </c>
      <c r="K3050" s="120">
        <f t="shared" si="1182"/>
        <v>0</v>
      </c>
      <c r="L3050" s="120">
        <f t="shared" si="1183"/>
        <v>0</v>
      </c>
      <c r="M3050" s="246">
        <f t="shared" si="1184"/>
        <v>0</v>
      </c>
      <c r="N3050" s="121">
        <f t="shared" si="1185"/>
        <v>1</v>
      </c>
      <c r="O3050" s="246">
        <f t="shared" si="1186"/>
        <v>0.89702407002188189</v>
      </c>
      <c r="P3050" s="121">
        <f t="shared" si="1187"/>
        <v>0</v>
      </c>
      <c r="Q3050" s="121">
        <f t="shared" si="1188"/>
        <v>0</v>
      </c>
      <c r="R3050" s="121">
        <f t="shared" si="1189"/>
        <v>0</v>
      </c>
      <c r="S3050" s="121" t="str">
        <f t="shared" si="1190"/>
        <v/>
      </c>
      <c r="T3050" s="121" t="str">
        <f t="shared" si="1191"/>
        <v/>
      </c>
      <c r="U3050" s="121">
        <f t="shared" si="1192"/>
        <v>1</v>
      </c>
    </row>
    <row r="3051" spans="1:21" x14ac:dyDescent="0.3">
      <c r="A3051" s="187">
        <v>3</v>
      </c>
      <c r="B3051" s="242">
        <f t="shared" si="1193"/>
        <v>45717</v>
      </c>
      <c r="C3051" s="243">
        <f t="shared" si="1174"/>
        <v>45747</v>
      </c>
      <c r="D3051" s="120">
        <f t="shared" si="1175"/>
        <v>31</v>
      </c>
      <c r="E3051" s="120">
        <f t="shared" si="1176"/>
        <v>3</v>
      </c>
      <c r="F3051" s="275">
        <f t="shared" si="1177"/>
        <v>45732.5</v>
      </c>
      <c r="G3051" s="120">
        <f t="shared" si="1178"/>
        <v>24302</v>
      </c>
      <c r="H3051" s="245">
        <f t="shared" si="1179"/>
        <v>1</v>
      </c>
      <c r="I3051" s="121">
        <f t="shared" si="1180"/>
        <v>1</v>
      </c>
      <c r="J3051" s="121">
        <f t="shared" si="1181"/>
        <v>1</v>
      </c>
      <c r="K3051" s="120">
        <f t="shared" si="1182"/>
        <v>0</v>
      </c>
      <c r="L3051" s="120">
        <f t="shared" si="1183"/>
        <v>0</v>
      </c>
      <c r="M3051" s="246">
        <f t="shared" si="1184"/>
        <v>0</v>
      </c>
      <c r="N3051" s="121">
        <f t="shared" si="1185"/>
        <v>1</v>
      </c>
      <c r="O3051" s="246">
        <f t="shared" si="1186"/>
        <v>0.8976695842450767</v>
      </c>
      <c r="P3051" s="121">
        <f t="shared" si="1187"/>
        <v>0</v>
      </c>
      <c r="Q3051" s="121">
        <f t="shared" si="1188"/>
        <v>0</v>
      </c>
      <c r="R3051" s="121">
        <f t="shared" si="1189"/>
        <v>0</v>
      </c>
      <c r="S3051" s="121" t="str">
        <f t="shared" si="1190"/>
        <v/>
      </c>
      <c r="T3051" s="121" t="str">
        <f t="shared" si="1191"/>
        <v/>
      </c>
      <c r="U3051" s="121">
        <f t="shared" si="1192"/>
        <v>1</v>
      </c>
    </row>
    <row r="3052" spans="1:21" x14ac:dyDescent="0.3">
      <c r="A3052" s="187">
        <v>4</v>
      </c>
      <c r="B3052" s="242">
        <f t="shared" si="1193"/>
        <v>45748</v>
      </c>
      <c r="C3052" s="243">
        <f t="shared" si="1174"/>
        <v>45777</v>
      </c>
      <c r="D3052" s="120">
        <f t="shared" si="1175"/>
        <v>30</v>
      </c>
      <c r="E3052" s="120">
        <f t="shared" si="1176"/>
        <v>4</v>
      </c>
      <c r="F3052" s="275">
        <f t="shared" si="1177"/>
        <v>45763</v>
      </c>
      <c r="G3052" s="120">
        <f t="shared" si="1178"/>
        <v>24303</v>
      </c>
      <c r="H3052" s="245">
        <f t="shared" si="1179"/>
        <v>1</v>
      </c>
      <c r="I3052" s="121">
        <f t="shared" si="1180"/>
        <v>1</v>
      </c>
      <c r="J3052" s="121">
        <f t="shared" si="1181"/>
        <v>1</v>
      </c>
      <c r="K3052" s="120">
        <f t="shared" si="1182"/>
        <v>0</v>
      </c>
      <c r="L3052" s="120">
        <f t="shared" si="1183"/>
        <v>0</v>
      </c>
      <c r="M3052" s="246">
        <f t="shared" si="1184"/>
        <v>0</v>
      </c>
      <c r="N3052" s="121">
        <f t="shared" si="1185"/>
        <v>1</v>
      </c>
      <c r="O3052" s="246">
        <f t="shared" si="1186"/>
        <v>0.89833698030634579</v>
      </c>
      <c r="P3052" s="121">
        <f t="shared" si="1187"/>
        <v>0</v>
      </c>
      <c r="Q3052" s="121">
        <f t="shared" si="1188"/>
        <v>0</v>
      </c>
      <c r="R3052" s="121">
        <f t="shared" si="1189"/>
        <v>0</v>
      </c>
      <c r="S3052" s="121" t="str">
        <f t="shared" si="1190"/>
        <v/>
      </c>
      <c r="T3052" s="121" t="str">
        <f t="shared" si="1191"/>
        <v/>
      </c>
      <c r="U3052" s="121">
        <f t="shared" si="1192"/>
        <v>1</v>
      </c>
    </row>
    <row r="3053" spans="1:21" x14ac:dyDescent="0.3">
      <c r="A3053" s="187">
        <v>5</v>
      </c>
      <c r="B3053" s="242">
        <f t="shared" si="1193"/>
        <v>45778</v>
      </c>
      <c r="C3053" s="243">
        <f t="shared" si="1174"/>
        <v>45808</v>
      </c>
      <c r="D3053" s="120">
        <f t="shared" si="1175"/>
        <v>31</v>
      </c>
      <c r="E3053" s="120">
        <f t="shared" si="1176"/>
        <v>5</v>
      </c>
      <c r="F3053" s="275">
        <f t="shared" si="1177"/>
        <v>45793.5</v>
      </c>
      <c r="G3053" s="120">
        <f t="shared" si="1178"/>
        <v>24304</v>
      </c>
      <c r="H3053" s="245">
        <f t="shared" si="1179"/>
        <v>1</v>
      </c>
      <c r="I3053" s="121">
        <f t="shared" si="1180"/>
        <v>1</v>
      </c>
      <c r="J3053" s="121">
        <f t="shared" si="1181"/>
        <v>1</v>
      </c>
      <c r="K3053" s="120">
        <f t="shared" si="1182"/>
        <v>0</v>
      </c>
      <c r="L3053" s="120">
        <f t="shared" si="1183"/>
        <v>0</v>
      </c>
      <c r="M3053" s="246">
        <f t="shared" si="1184"/>
        <v>0</v>
      </c>
      <c r="N3053" s="121">
        <f t="shared" si="1185"/>
        <v>1</v>
      </c>
      <c r="O3053" s="246">
        <f t="shared" si="1186"/>
        <v>0.89900437636761499</v>
      </c>
      <c r="P3053" s="121">
        <f t="shared" si="1187"/>
        <v>0</v>
      </c>
      <c r="Q3053" s="121">
        <f t="shared" si="1188"/>
        <v>0</v>
      </c>
      <c r="R3053" s="121">
        <f t="shared" si="1189"/>
        <v>0</v>
      </c>
      <c r="S3053" s="121" t="str">
        <f t="shared" si="1190"/>
        <v/>
      </c>
      <c r="T3053" s="121" t="str">
        <f t="shared" si="1191"/>
        <v/>
      </c>
      <c r="U3053" s="121">
        <f t="shared" si="1192"/>
        <v>1</v>
      </c>
    </row>
    <row r="3054" spans="1:21" x14ac:dyDescent="0.3">
      <c r="A3054" s="187">
        <v>6</v>
      </c>
      <c r="B3054" s="242">
        <f t="shared" si="1193"/>
        <v>45809</v>
      </c>
      <c r="C3054" s="243">
        <f t="shared" si="1174"/>
        <v>45838</v>
      </c>
      <c r="D3054" s="120">
        <f t="shared" si="1175"/>
        <v>30</v>
      </c>
      <c r="E3054" s="120">
        <f t="shared" si="1176"/>
        <v>6</v>
      </c>
      <c r="F3054" s="275">
        <f t="shared" si="1177"/>
        <v>45824</v>
      </c>
      <c r="G3054" s="120">
        <f t="shared" si="1178"/>
        <v>24305</v>
      </c>
      <c r="H3054" s="245">
        <f t="shared" si="1179"/>
        <v>1</v>
      </c>
      <c r="I3054" s="121">
        <f t="shared" si="1180"/>
        <v>1</v>
      </c>
      <c r="J3054" s="121">
        <f t="shared" si="1181"/>
        <v>1</v>
      </c>
      <c r="K3054" s="120">
        <f t="shared" si="1182"/>
        <v>0</v>
      </c>
      <c r="L3054" s="120">
        <f t="shared" si="1183"/>
        <v>0</v>
      </c>
      <c r="M3054" s="246">
        <f t="shared" si="1184"/>
        <v>0</v>
      </c>
      <c r="N3054" s="121">
        <f t="shared" si="1185"/>
        <v>1</v>
      </c>
      <c r="O3054" s="246">
        <f t="shared" si="1186"/>
        <v>0.89967177242888408</v>
      </c>
      <c r="P3054" s="121">
        <f t="shared" si="1187"/>
        <v>0</v>
      </c>
      <c r="Q3054" s="121">
        <f t="shared" si="1188"/>
        <v>0</v>
      </c>
      <c r="R3054" s="121">
        <f t="shared" si="1189"/>
        <v>0</v>
      </c>
      <c r="S3054" s="121" t="str">
        <f t="shared" si="1190"/>
        <v/>
      </c>
      <c r="T3054" s="121" t="str">
        <f t="shared" si="1191"/>
        <v/>
      </c>
      <c r="U3054" s="121">
        <f t="shared" si="1192"/>
        <v>1</v>
      </c>
    </row>
    <row r="3055" spans="1:21" x14ac:dyDescent="0.3">
      <c r="A3055" s="187">
        <v>7</v>
      </c>
      <c r="B3055" s="242">
        <f t="shared" si="1193"/>
        <v>45839</v>
      </c>
      <c r="C3055" s="243">
        <f t="shared" si="1174"/>
        <v>45869</v>
      </c>
      <c r="D3055" s="120">
        <f t="shared" si="1175"/>
        <v>31</v>
      </c>
      <c r="E3055" s="120">
        <f t="shared" si="1176"/>
        <v>7</v>
      </c>
      <c r="F3055" s="275">
        <f t="shared" si="1177"/>
        <v>45854.5</v>
      </c>
      <c r="G3055" s="120">
        <f t="shared" si="1178"/>
        <v>24306</v>
      </c>
      <c r="H3055" s="245">
        <f t="shared" si="1179"/>
        <v>1</v>
      </c>
      <c r="I3055" s="121">
        <f t="shared" si="1180"/>
        <v>1</v>
      </c>
      <c r="J3055" s="121">
        <f t="shared" si="1181"/>
        <v>1</v>
      </c>
      <c r="K3055" s="120">
        <f t="shared" si="1182"/>
        <v>0</v>
      </c>
      <c r="L3055" s="120">
        <f t="shared" si="1183"/>
        <v>0</v>
      </c>
      <c r="M3055" s="246">
        <f t="shared" si="1184"/>
        <v>0</v>
      </c>
      <c r="N3055" s="121">
        <f t="shared" si="1185"/>
        <v>1</v>
      </c>
      <c r="O3055" s="246">
        <f t="shared" si="1186"/>
        <v>0.90033916849015327</v>
      </c>
      <c r="P3055" s="121">
        <f t="shared" si="1187"/>
        <v>8.333333333333337E-2</v>
      </c>
      <c r="Q3055" s="121">
        <f t="shared" si="1188"/>
        <v>0</v>
      </c>
      <c r="R3055" s="121">
        <f t="shared" si="1189"/>
        <v>0</v>
      </c>
      <c r="S3055" s="121" t="str">
        <f t="shared" si="1190"/>
        <v/>
      </c>
      <c r="T3055" s="121" t="str">
        <f t="shared" si="1191"/>
        <v/>
      </c>
      <c r="U3055" s="121">
        <f t="shared" si="1192"/>
        <v>1</v>
      </c>
    </row>
    <row r="3056" spans="1:21" x14ac:dyDescent="0.3">
      <c r="A3056" s="187">
        <v>8</v>
      </c>
      <c r="B3056" s="242">
        <f t="shared" si="1193"/>
        <v>45870</v>
      </c>
      <c r="C3056" s="243">
        <f t="shared" si="1174"/>
        <v>45900</v>
      </c>
      <c r="D3056" s="120">
        <f t="shared" si="1175"/>
        <v>31</v>
      </c>
      <c r="E3056" s="120">
        <f t="shared" si="1176"/>
        <v>8</v>
      </c>
      <c r="F3056" s="275">
        <f t="shared" si="1177"/>
        <v>45885.5</v>
      </c>
      <c r="G3056" s="120">
        <f t="shared" si="1178"/>
        <v>24307</v>
      </c>
      <c r="H3056" s="245">
        <f t="shared" si="1179"/>
        <v>1</v>
      </c>
      <c r="I3056" s="121">
        <f t="shared" si="1180"/>
        <v>1</v>
      </c>
      <c r="J3056" s="121">
        <f t="shared" si="1181"/>
        <v>1</v>
      </c>
      <c r="K3056" s="120">
        <f t="shared" si="1182"/>
        <v>0</v>
      </c>
      <c r="L3056" s="120">
        <f t="shared" si="1183"/>
        <v>0</v>
      </c>
      <c r="M3056" s="246">
        <f t="shared" si="1184"/>
        <v>0</v>
      </c>
      <c r="N3056" s="121">
        <f t="shared" si="1185"/>
        <v>1</v>
      </c>
      <c r="O3056" s="246">
        <f t="shared" si="1186"/>
        <v>0.90101750547045956</v>
      </c>
      <c r="P3056" s="121">
        <f t="shared" si="1187"/>
        <v>0.25</v>
      </c>
      <c r="Q3056" s="121">
        <f t="shared" si="1188"/>
        <v>0</v>
      </c>
      <c r="R3056" s="121">
        <f t="shared" si="1189"/>
        <v>0</v>
      </c>
      <c r="S3056" s="121" t="str">
        <f t="shared" si="1190"/>
        <v/>
      </c>
      <c r="T3056" s="121" t="str">
        <f t="shared" si="1191"/>
        <v/>
      </c>
      <c r="U3056" s="121">
        <f t="shared" si="1192"/>
        <v>1</v>
      </c>
    </row>
    <row r="3057" spans="1:21" x14ac:dyDescent="0.3">
      <c r="A3057" s="187">
        <v>9</v>
      </c>
      <c r="B3057" s="242">
        <f t="shared" si="1193"/>
        <v>45901</v>
      </c>
      <c r="C3057" s="243">
        <f t="shared" si="1174"/>
        <v>45930</v>
      </c>
      <c r="D3057" s="120">
        <f t="shared" si="1175"/>
        <v>30</v>
      </c>
      <c r="E3057" s="120">
        <f t="shared" si="1176"/>
        <v>9</v>
      </c>
      <c r="F3057" s="275">
        <f t="shared" si="1177"/>
        <v>45916</v>
      </c>
      <c r="G3057" s="120">
        <f t="shared" si="1178"/>
        <v>24308</v>
      </c>
      <c r="H3057" s="245">
        <f t="shared" si="1179"/>
        <v>1</v>
      </c>
      <c r="I3057" s="121">
        <f t="shared" si="1180"/>
        <v>1</v>
      </c>
      <c r="J3057" s="121">
        <f t="shared" si="1181"/>
        <v>1</v>
      </c>
      <c r="K3057" s="120">
        <f t="shared" si="1182"/>
        <v>0</v>
      </c>
      <c r="L3057" s="120">
        <f t="shared" si="1183"/>
        <v>0</v>
      </c>
      <c r="M3057" s="246">
        <f t="shared" si="1184"/>
        <v>0</v>
      </c>
      <c r="N3057" s="121">
        <f t="shared" si="1185"/>
        <v>1</v>
      </c>
      <c r="O3057" s="246">
        <f t="shared" si="1186"/>
        <v>0.90168490153172876</v>
      </c>
      <c r="P3057" s="121">
        <f t="shared" si="1187"/>
        <v>0.41666666666666663</v>
      </c>
      <c r="Q3057" s="121">
        <f t="shared" si="1188"/>
        <v>0</v>
      </c>
      <c r="R3057" s="121">
        <f t="shared" si="1189"/>
        <v>0</v>
      </c>
      <c r="S3057" s="121" t="str">
        <f t="shared" si="1190"/>
        <v/>
      </c>
      <c r="T3057" s="121" t="str">
        <f t="shared" si="1191"/>
        <v/>
      </c>
      <c r="U3057" s="121">
        <f t="shared" si="1192"/>
        <v>1</v>
      </c>
    </row>
    <row r="3058" spans="1:21" x14ac:dyDescent="0.3">
      <c r="A3058" s="187">
        <v>10</v>
      </c>
      <c r="B3058" s="242">
        <f t="shared" si="1193"/>
        <v>45931</v>
      </c>
      <c r="C3058" s="243">
        <f t="shared" si="1174"/>
        <v>45961</v>
      </c>
      <c r="D3058" s="120">
        <f t="shared" si="1175"/>
        <v>31</v>
      </c>
      <c r="E3058" s="120">
        <f t="shared" si="1176"/>
        <v>10</v>
      </c>
      <c r="F3058" s="275">
        <f t="shared" si="1177"/>
        <v>45946.5</v>
      </c>
      <c r="G3058" s="120">
        <f t="shared" si="1178"/>
        <v>24309</v>
      </c>
      <c r="H3058" s="245">
        <f t="shared" si="1179"/>
        <v>1</v>
      </c>
      <c r="I3058" s="121">
        <f t="shared" si="1180"/>
        <v>1</v>
      </c>
      <c r="J3058" s="121">
        <f t="shared" si="1181"/>
        <v>1</v>
      </c>
      <c r="K3058" s="120">
        <f t="shared" si="1182"/>
        <v>0</v>
      </c>
      <c r="L3058" s="120">
        <f t="shared" si="1183"/>
        <v>0</v>
      </c>
      <c r="M3058" s="246">
        <f t="shared" si="1184"/>
        <v>0</v>
      </c>
      <c r="N3058" s="121">
        <f t="shared" si="1185"/>
        <v>1</v>
      </c>
      <c r="O3058" s="246">
        <f t="shared" si="1186"/>
        <v>0.90235229759299784</v>
      </c>
      <c r="P3058" s="121">
        <f t="shared" si="1187"/>
        <v>0.58333333333333326</v>
      </c>
      <c r="Q3058" s="121">
        <f t="shared" si="1188"/>
        <v>0</v>
      </c>
      <c r="R3058" s="121">
        <f t="shared" si="1189"/>
        <v>0</v>
      </c>
      <c r="S3058" s="121" t="str">
        <f t="shared" si="1190"/>
        <v/>
      </c>
      <c r="T3058" s="121" t="str">
        <f t="shared" si="1191"/>
        <v/>
      </c>
      <c r="U3058" s="121">
        <f t="shared" si="1192"/>
        <v>1</v>
      </c>
    </row>
    <row r="3059" spans="1:21" x14ac:dyDescent="0.3">
      <c r="A3059" s="187">
        <v>11</v>
      </c>
      <c r="B3059" s="242">
        <f t="shared" si="1193"/>
        <v>45962</v>
      </c>
      <c r="C3059" s="243">
        <f t="shared" si="1174"/>
        <v>45991</v>
      </c>
      <c r="D3059" s="120">
        <f t="shared" si="1175"/>
        <v>30</v>
      </c>
      <c r="E3059" s="120">
        <f t="shared" si="1176"/>
        <v>11</v>
      </c>
      <c r="F3059" s="275">
        <f t="shared" si="1177"/>
        <v>45977</v>
      </c>
      <c r="G3059" s="120">
        <f t="shared" si="1178"/>
        <v>24310</v>
      </c>
      <c r="H3059" s="245">
        <f t="shared" si="1179"/>
        <v>1</v>
      </c>
      <c r="I3059" s="121">
        <f t="shared" si="1180"/>
        <v>1</v>
      </c>
      <c r="J3059" s="121">
        <f t="shared" si="1181"/>
        <v>1</v>
      </c>
      <c r="K3059" s="120">
        <f t="shared" si="1182"/>
        <v>0</v>
      </c>
      <c r="L3059" s="120">
        <f t="shared" si="1183"/>
        <v>0</v>
      </c>
      <c r="M3059" s="246">
        <f t="shared" si="1184"/>
        <v>0</v>
      </c>
      <c r="N3059" s="121">
        <f t="shared" si="1185"/>
        <v>1</v>
      </c>
      <c r="O3059" s="246">
        <f t="shared" si="1186"/>
        <v>0.90301969365426704</v>
      </c>
      <c r="P3059" s="121">
        <f t="shared" si="1187"/>
        <v>0.75</v>
      </c>
      <c r="Q3059" s="121">
        <f t="shared" si="1188"/>
        <v>0</v>
      </c>
      <c r="R3059" s="121">
        <f t="shared" si="1189"/>
        <v>0</v>
      </c>
      <c r="S3059" s="121" t="str">
        <f t="shared" si="1190"/>
        <v/>
      </c>
      <c r="T3059" s="121" t="str">
        <f t="shared" si="1191"/>
        <v/>
      </c>
      <c r="U3059" s="121">
        <f t="shared" si="1192"/>
        <v>1</v>
      </c>
    </row>
    <row r="3060" spans="1:21" x14ac:dyDescent="0.3">
      <c r="A3060" s="187">
        <v>12</v>
      </c>
      <c r="B3060" s="242">
        <f t="shared" si="1193"/>
        <v>45992</v>
      </c>
      <c r="C3060" s="243">
        <f t="shared" si="1174"/>
        <v>46022</v>
      </c>
      <c r="D3060" s="120">
        <f t="shared" si="1175"/>
        <v>31</v>
      </c>
      <c r="E3060" s="120">
        <f t="shared" si="1176"/>
        <v>12</v>
      </c>
      <c r="F3060" s="275">
        <f t="shared" si="1177"/>
        <v>46007.5</v>
      </c>
      <c r="G3060" s="120">
        <f t="shared" si="1178"/>
        <v>24311</v>
      </c>
      <c r="H3060" s="245">
        <f t="shared" si="1179"/>
        <v>1</v>
      </c>
      <c r="I3060" s="121">
        <f t="shared" si="1180"/>
        <v>1</v>
      </c>
      <c r="J3060" s="121">
        <f t="shared" si="1181"/>
        <v>1</v>
      </c>
      <c r="K3060" s="120">
        <f t="shared" si="1182"/>
        <v>0</v>
      </c>
      <c r="L3060" s="120">
        <f t="shared" si="1183"/>
        <v>0</v>
      </c>
      <c r="M3060" s="246">
        <f t="shared" si="1184"/>
        <v>0</v>
      </c>
      <c r="N3060" s="121">
        <f t="shared" si="1185"/>
        <v>1</v>
      </c>
      <c r="O3060" s="246">
        <f t="shared" si="1186"/>
        <v>0.90368708971553613</v>
      </c>
      <c r="P3060" s="121">
        <f t="shared" si="1187"/>
        <v>0.91666666666666663</v>
      </c>
      <c r="Q3060" s="121">
        <f t="shared" si="1188"/>
        <v>0</v>
      </c>
      <c r="R3060" s="121">
        <f t="shared" si="1189"/>
        <v>0</v>
      </c>
      <c r="S3060" s="121" t="str">
        <f t="shared" si="1190"/>
        <v/>
      </c>
      <c r="T3060" s="121" t="str">
        <f t="shared" si="1191"/>
        <v/>
      </c>
      <c r="U3060" s="121">
        <f t="shared" si="1192"/>
        <v>1</v>
      </c>
    </row>
    <row r="3061" spans="1:21" x14ac:dyDescent="0.3">
      <c r="A3061" s="187">
        <v>13</v>
      </c>
      <c r="B3061" s="242">
        <f t="shared" si="1193"/>
        <v>46023</v>
      </c>
      <c r="C3061" s="243">
        <f t="shared" si="1174"/>
        <v>46053</v>
      </c>
      <c r="D3061" s="120">
        <f t="shared" si="1175"/>
        <v>31</v>
      </c>
      <c r="E3061" s="120">
        <f t="shared" si="1176"/>
        <v>1</v>
      </c>
      <c r="F3061" s="275">
        <f t="shared" si="1177"/>
        <v>46038.5</v>
      </c>
      <c r="G3061" s="120">
        <f t="shared" si="1178"/>
        <v>24312</v>
      </c>
      <c r="H3061" s="245">
        <f t="shared" si="1179"/>
        <v>1</v>
      </c>
      <c r="I3061" s="121">
        <f t="shared" si="1180"/>
        <v>1</v>
      </c>
      <c r="J3061" s="121">
        <f t="shared" si="1181"/>
        <v>1</v>
      </c>
      <c r="K3061" s="120">
        <f t="shared" si="1182"/>
        <v>0</v>
      </c>
      <c r="L3061" s="120">
        <f t="shared" si="1183"/>
        <v>0</v>
      </c>
      <c r="M3061" s="246">
        <f t="shared" si="1184"/>
        <v>0</v>
      </c>
      <c r="N3061" s="121">
        <f t="shared" si="1185"/>
        <v>1</v>
      </c>
      <c r="O3061" s="246">
        <f t="shared" si="1186"/>
        <v>0.90436542669584252</v>
      </c>
      <c r="P3061" s="121">
        <f t="shared" si="1187"/>
        <v>1</v>
      </c>
      <c r="Q3061" s="121">
        <f t="shared" si="1188"/>
        <v>0</v>
      </c>
      <c r="R3061" s="121">
        <f t="shared" si="1189"/>
        <v>0</v>
      </c>
      <c r="S3061" s="121" t="str">
        <f t="shared" si="1190"/>
        <v/>
      </c>
      <c r="T3061" s="121" t="str">
        <f t="shared" si="1191"/>
        <v/>
      </c>
      <c r="U3061" s="121">
        <f t="shared" si="1192"/>
        <v>1</v>
      </c>
    </row>
    <row r="3062" spans="1:21" x14ac:dyDescent="0.3">
      <c r="A3062" s="187">
        <v>14</v>
      </c>
      <c r="B3062" s="242">
        <f t="shared" si="1193"/>
        <v>46054</v>
      </c>
      <c r="C3062" s="243">
        <f t="shared" si="1174"/>
        <v>46081</v>
      </c>
      <c r="D3062" s="120">
        <f t="shared" si="1175"/>
        <v>28</v>
      </c>
      <c r="E3062" s="120">
        <f t="shared" si="1176"/>
        <v>2</v>
      </c>
      <c r="F3062" s="275">
        <f t="shared" si="1177"/>
        <v>46068</v>
      </c>
      <c r="G3062" s="120">
        <f t="shared" si="1178"/>
        <v>24313</v>
      </c>
      <c r="H3062" s="245">
        <f t="shared" si="1179"/>
        <v>1</v>
      </c>
      <c r="I3062" s="121">
        <f t="shared" si="1180"/>
        <v>1</v>
      </c>
      <c r="J3062" s="121">
        <f t="shared" si="1181"/>
        <v>1</v>
      </c>
      <c r="K3062" s="120">
        <f t="shared" si="1182"/>
        <v>0</v>
      </c>
      <c r="L3062" s="120">
        <f t="shared" si="1183"/>
        <v>0</v>
      </c>
      <c r="M3062" s="246">
        <f t="shared" si="1184"/>
        <v>0</v>
      </c>
      <c r="N3062" s="121">
        <f t="shared" si="1185"/>
        <v>1</v>
      </c>
      <c r="O3062" s="246">
        <f t="shared" si="1186"/>
        <v>0.90501094091903722</v>
      </c>
      <c r="P3062" s="121">
        <f t="shared" si="1187"/>
        <v>1</v>
      </c>
      <c r="Q3062" s="121">
        <f t="shared" si="1188"/>
        <v>0</v>
      </c>
      <c r="R3062" s="121">
        <f t="shared" si="1189"/>
        <v>0</v>
      </c>
      <c r="S3062" s="121" t="str">
        <f t="shared" si="1190"/>
        <v/>
      </c>
      <c r="T3062" s="121" t="str">
        <f t="shared" si="1191"/>
        <v/>
      </c>
      <c r="U3062" s="121">
        <f t="shared" si="1192"/>
        <v>1</v>
      </c>
    </row>
    <row r="3063" spans="1:21" x14ac:dyDescent="0.3">
      <c r="A3063" s="187">
        <v>15</v>
      </c>
      <c r="B3063" s="242">
        <f t="shared" si="1193"/>
        <v>46082</v>
      </c>
      <c r="C3063" s="243">
        <f t="shared" si="1174"/>
        <v>46112</v>
      </c>
      <c r="D3063" s="120">
        <f t="shared" si="1175"/>
        <v>31</v>
      </c>
      <c r="E3063" s="120">
        <f t="shared" si="1176"/>
        <v>3</v>
      </c>
      <c r="F3063" s="275">
        <f t="shared" si="1177"/>
        <v>46097.5</v>
      </c>
      <c r="G3063" s="120">
        <f t="shared" si="1178"/>
        <v>24314</v>
      </c>
      <c r="H3063" s="245">
        <f t="shared" si="1179"/>
        <v>1</v>
      </c>
      <c r="I3063" s="121">
        <f t="shared" si="1180"/>
        <v>1</v>
      </c>
      <c r="J3063" s="121">
        <f t="shared" si="1181"/>
        <v>1</v>
      </c>
      <c r="K3063" s="120">
        <f t="shared" si="1182"/>
        <v>0</v>
      </c>
      <c r="L3063" s="120">
        <f t="shared" si="1183"/>
        <v>0</v>
      </c>
      <c r="M3063" s="246">
        <f t="shared" si="1184"/>
        <v>0</v>
      </c>
      <c r="N3063" s="121">
        <f t="shared" si="1185"/>
        <v>1</v>
      </c>
      <c r="O3063" s="246">
        <f t="shared" si="1186"/>
        <v>0.90565645514223203</v>
      </c>
      <c r="P3063" s="121">
        <f t="shared" si="1187"/>
        <v>1</v>
      </c>
      <c r="Q3063" s="121">
        <f t="shared" si="1188"/>
        <v>0</v>
      </c>
      <c r="R3063" s="121">
        <f t="shared" si="1189"/>
        <v>0</v>
      </c>
      <c r="S3063" s="121" t="str">
        <f t="shared" si="1190"/>
        <v/>
      </c>
      <c r="T3063" s="121" t="str">
        <f t="shared" si="1191"/>
        <v/>
      </c>
      <c r="U3063" s="121">
        <f t="shared" si="1192"/>
        <v>1</v>
      </c>
    </row>
    <row r="3064" spans="1:21" x14ac:dyDescent="0.3">
      <c r="A3064" s="187">
        <v>16</v>
      </c>
      <c r="B3064" s="242">
        <f t="shared" si="1193"/>
        <v>46113</v>
      </c>
      <c r="C3064" s="243">
        <f t="shared" si="1174"/>
        <v>46142</v>
      </c>
      <c r="D3064" s="120">
        <f t="shared" si="1175"/>
        <v>30</v>
      </c>
      <c r="E3064" s="120">
        <f t="shared" si="1176"/>
        <v>4</v>
      </c>
      <c r="F3064" s="275">
        <f t="shared" si="1177"/>
        <v>46128</v>
      </c>
      <c r="G3064" s="120">
        <f t="shared" si="1178"/>
        <v>24315</v>
      </c>
      <c r="H3064" s="245">
        <f t="shared" si="1179"/>
        <v>1</v>
      </c>
      <c r="I3064" s="121">
        <f t="shared" si="1180"/>
        <v>1</v>
      </c>
      <c r="J3064" s="121">
        <f t="shared" si="1181"/>
        <v>1</v>
      </c>
      <c r="K3064" s="120">
        <f t="shared" si="1182"/>
        <v>0</v>
      </c>
      <c r="L3064" s="120">
        <f t="shared" si="1183"/>
        <v>0</v>
      </c>
      <c r="M3064" s="246">
        <f t="shared" si="1184"/>
        <v>0</v>
      </c>
      <c r="N3064" s="121">
        <f t="shared" si="1185"/>
        <v>1</v>
      </c>
      <c r="O3064" s="246">
        <f t="shared" si="1186"/>
        <v>0.90632385120350112</v>
      </c>
      <c r="P3064" s="121">
        <f t="shared" si="1187"/>
        <v>1</v>
      </c>
      <c r="Q3064" s="121">
        <f t="shared" si="1188"/>
        <v>0</v>
      </c>
      <c r="R3064" s="121">
        <f t="shared" si="1189"/>
        <v>0</v>
      </c>
      <c r="S3064" s="121" t="str">
        <f t="shared" si="1190"/>
        <v/>
      </c>
      <c r="T3064" s="121" t="str">
        <f t="shared" si="1191"/>
        <v/>
      </c>
      <c r="U3064" s="121">
        <f t="shared" si="1192"/>
        <v>1</v>
      </c>
    </row>
    <row r="3065" spans="1:21" x14ac:dyDescent="0.3">
      <c r="A3065" s="187">
        <v>17</v>
      </c>
      <c r="B3065" s="242">
        <f t="shared" si="1193"/>
        <v>46143</v>
      </c>
      <c r="C3065" s="243">
        <f t="shared" si="1174"/>
        <v>46173</v>
      </c>
      <c r="D3065" s="120">
        <f t="shared" si="1175"/>
        <v>31</v>
      </c>
      <c r="E3065" s="120">
        <f t="shared" si="1176"/>
        <v>5</v>
      </c>
      <c r="F3065" s="275">
        <f t="shared" si="1177"/>
        <v>46158.5</v>
      </c>
      <c r="G3065" s="120">
        <f t="shared" si="1178"/>
        <v>24316</v>
      </c>
      <c r="H3065" s="245">
        <f t="shared" si="1179"/>
        <v>1</v>
      </c>
      <c r="I3065" s="121">
        <f t="shared" si="1180"/>
        <v>1</v>
      </c>
      <c r="J3065" s="121">
        <f t="shared" si="1181"/>
        <v>1</v>
      </c>
      <c r="K3065" s="120">
        <f t="shared" si="1182"/>
        <v>0</v>
      </c>
      <c r="L3065" s="120">
        <f t="shared" si="1183"/>
        <v>0</v>
      </c>
      <c r="M3065" s="246">
        <f t="shared" si="1184"/>
        <v>0</v>
      </c>
      <c r="N3065" s="121">
        <f t="shared" si="1185"/>
        <v>1</v>
      </c>
      <c r="O3065" s="246">
        <f t="shared" si="1186"/>
        <v>0.90699124726477032</v>
      </c>
      <c r="P3065" s="121">
        <f t="shared" si="1187"/>
        <v>1</v>
      </c>
      <c r="Q3065" s="121">
        <f t="shared" si="1188"/>
        <v>0</v>
      </c>
      <c r="R3065" s="121">
        <f t="shared" si="1189"/>
        <v>0</v>
      </c>
      <c r="S3065" s="121" t="str">
        <f t="shared" si="1190"/>
        <v/>
      </c>
      <c r="T3065" s="121" t="str">
        <f t="shared" si="1191"/>
        <v/>
      </c>
      <c r="U3065" s="121">
        <f t="shared" si="1192"/>
        <v>1</v>
      </c>
    </row>
    <row r="3066" spans="1:21" x14ac:dyDescent="0.3">
      <c r="A3066" s="187">
        <v>18</v>
      </c>
      <c r="B3066" s="242">
        <f t="shared" si="1193"/>
        <v>46174</v>
      </c>
      <c r="C3066" s="243">
        <f t="shared" si="1174"/>
        <v>46203</v>
      </c>
      <c r="D3066" s="120">
        <f t="shared" si="1175"/>
        <v>30</v>
      </c>
      <c r="E3066" s="120">
        <f t="shared" si="1176"/>
        <v>6</v>
      </c>
      <c r="F3066" s="275">
        <f t="shared" si="1177"/>
        <v>46189</v>
      </c>
      <c r="G3066" s="120">
        <f t="shared" si="1178"/>
        <v>24317</v>
      </c>
      <c r="H3066" s="245">
        <f t="shared" si="1179"/>
        <v>1</v>
      </c>
      <c r="I3066" s="121">
        <f t="shared" si="1180"/>
        <v>1</v>
      </c>
      <c r="J3066" s="121">
        <f t="shared" si="1181"/>
        <v>1</v>
      </c>
      <c r="K3066" s="120">
        <f t="shared" si="1182"/>
        <v>0</v>
      </c>
      <c r="L3066" s="120">
        <f t="shared" si="1183"/>
        <v>0</v>
      </c>
      <c r="M3066" s="246">
        <f t="shared" si="1184"/>
        <v>0</v>
      </c>
      <c r="N3066" s="121">
        <f t="shared" si="1185"/>
        <v>1</v>
      </c>
      <c r="O3066" s="246">
        <f t="shared" si="1186"/>
        <v>0.9076586433260394</v>
      </c>
      <c r="P3066" s="121">
        <f t="shared" si="1187"/>
        <v>1</v>
      </c>
      <c r="Q3066" s="121">
        <f t="shared" si="1188"/>
        <v>0</v>
      </c>
      <c r="R3066" s="121">
        <f t="shared" si="1189"/>
        <v>0</v>
      </c>
      <c r="S3066" s="121" t="str">
        <f t="shared" si="1190"/>
        <v/>
      </c>
      <c r="T3066" s="121" t="str">
        <f t="shared" si="1191"/>
        <v/>
      </c>
      <c r="U3066" s="121">
        <f t="shared" si="1192"/>
        <v>1</v>
      </c>
    </row>
    <row r="3067" spans="1:21" x14ac:dyDescent="0.3">
      <c r="A3067" s="187">
        <v>19</v>
      </c>
      <c r="B3067" s="242">
        <f t="shared" si="1193"/>
        <v>46204</v>
      </c>
      <c r="C3067" s="243">
        <f t="shared" si="1174"/>
        <v>46234</v>
      </c>
      <c r="D3067" s="120">
        <f t="shared" si="1175"/>
        <v>31</v>
      </c>
      <c r="E3067" s="120">
        <f t="shared" si="1176"/>
        <v>7</v>
      </c>
      <c r="F3067" s="275">
        <f t="shared" si="1177"/>
        <v>46219.5</v>
      </c>
      <c r="G3067" s="120">
        <f t="shared" si="1178"/>
        <v>24318</v>
      </c>
      <c r="H3067" s="245">
        <f t="shared" si="1179"/>
        <v>1</v>
      </c>
      <c r="I3067" s="121">
        <f t="shared" si="1180"/>
        <v>1</v>
      </c>
      <c r="J3067" s="121">
        <f t="shared" si="1181"/>
        <v>1</v>
      </c>
      <c r="K3067" s="120">
        <f t="shared" si="1182"/>
        <v>0</v>
      </c>
      <c r="L3067" s="120">
        <f t="shared" si="1183"/>
        <v>0</v>
      </c>
      <c r="M3067" s="246">
        <f t="shared" si="1184"/>
        <v>0</v>
      </c>
      <c r="N3067" s="121">
        <f t="shared" si="1185"/>
        <v>1</v>
      </c>
      <c r="O3067" s="246">
        <f t="shared" si="1186"/>
        <v>0.9083260393873086</v>
      </c>
      <c r="P3067" s="121">
        <f t="shared" si="1187"/>
        <v>0.91666666666666663</v>
      </c>
      <c r="Q3067" s="121">
        <f t="shared" si="1188"/>
        <v>8.333333333333337E-2</v>
      </c>
      <c r="R3067" s="121">
        <f t="shared" si="1189"/>
        <v>0</v>
      </c>
      <c r="S3067" s="121" t="str">
        <f t="shared" si="1190"/>
        <v/>
      </c>
      <c r="T3067" s="121" t="str">
        <f t="shared" si="1191"/>
        <v/>
      </c>
      <c r="U3067" s="121">
        <f t="shared" si="1192"/>
        <v>1</v>
      </c>
    </row>
    <row r="3068" spans="1:21" x14ac:dyDescent="0.3">
      <c r="A3068" s="187">
        <v>20</v>
      </c>
      <c r="B3068" s="242">
        <f t="shared" si="1193"/>
        <v>46235</v>
      </c>
      <c r="C3068" s="243">
        <f t="shared" si="1174"/>
        <v>46265</v>
      </c>
      <c r="D3068" s="120">
        <f t="shared" si="1175"/>
        <v>31</v>
      </c>
      <c r="E3068" s="120">
        <f t="shared" si="1176"/>
        <v>8</v>
      </c>
      <c r="F3068" s="275">
        <f t="shared" si="1177"/>
        <v>46250.5</v>
      </c>
      <c r="G3068" s="120">
        <f t="shared" si="1178"/>
        <v>24319</v>
      </c>
      <c r="H3068" s="245">
        <f t="shared" si="1179"/>
        <v>1</v>
      </c>
      <c r="I3068" s="121">
        <f t="shared" si="1180"/>
        <v>1</v>
      </c>
      <c r="J3068" s="121">
        <f t="shared" si="1181"/>
        <v>1.02</v>
      </c>
      <c r="K3068" s="120">
        <f t="shared" si="1182"/>
        <v>1</v>
      </c>
      <c r="L3068" s="120">
        <f t="shared" si="1183"/>
        <v>31</v>
      </c>
      <c r="M3068" s="246">
        <f t="shared" si="1184"/>
        <v>1</v>
      </c>
      <c r="N3068" s="121">
        <f t="shared" si="1185"/>
        <v>1.02</v>
      </c>
      <c r="O3068" s="246">
        <f t="shared" si="1186"/>
        <v>0.90900437636761489</v>
      </c>
      <c r="P3068" s="121">
        <f t="shared" si="1187"/>
        <v>0.75</v>
      </c>
      <c r="Q3068" s="121">
        <f t="shared" si="1188"/>
        <v>0.25</v>
      </c>
      <c r="R3068" s="121">
        <f t="shared" si="1189"/>
        <v>0</v>
      </c>
      <c r="S3068" s="121" t="str">
        <f t="shared" si="1190"/>
        <v/>
      </c>
      <c r="T3068" s="121" t="str">
        <f t="shared" si="1191"/>
        <v/>
      </c>
      <c r="U3068" s="121">
        <f t="shared" si="1192"/>
        <v>1.02</v>
      </c>
    </row>
    <row r="3069" spans="1:21" x14ac:dyDescent="0.3">
      <c r="A3069" s="187">
        <v>21</v>
      </c>
      <c r="B3069" s="242">
        <f t="shared" si="1193"/>
        <v>46266</v>
      </c>
      <c r="C3069" s="243">
        <f t="shared" si="1174"/>
        <v>46295</v>
      </c>
      <c r="D3069" s="120">
        <f t="shared" si="1175"/>
        <v>30</v>
      </c>
      <c r="E3069" s="120">
        <f t="shared" si="1176"/>
        <v>9</v>
      </c>
      <c r="F3069" s="275">
        <f t="shared" si="1177"/>
        <v>46281</v>
      </c>
      <c r="G3069" s="120">
        <f t="shared" si="1178"/>
        <v>24320</v>
      </c>
      <c r="H3069" s="245">
        <f t="shared" si="1179"/>
        <v>1</v>
      </c>
      <c r="I3069" s="121">
        <f t="shared" si="1180"/>
        <v>1.02</v>
      </c>
      <c r="J3069" s="121">
        <f t="shared" si="1181"/>
        <v>1.02</v>
      </c>
      <c r="K3069" s="120">
        <f t="shared" si="1182"/>
        <v>0</v>
      </c>
      <c r="L3069" s="120">
        <f t="shared" si="1183"/>
        <v>0</v>
      </c>
      <c r="M3069" s="246">
        <f t="shared" si="1184"/>
        <v>0</v>
      </c>
      <c r="N3069" s="121">
        <f t="shared" si="1185"/>
        <v>1.02</v>
      </c>
      <c r="O3069" s="246">
        <f t="shared" si="1186"/>
        <v>0.90967177242888408</v>
      </c>
      <c r="P3069" s="121">
        <f t="shared" si="1187"/>
        <v>0.58333333333333337</v>
      </c>
      <c r="Q3069" s="121">
        <f t="shared" si="1188"/>
        <v>0.41666666666666663</v>
      </c>
      <c r="R3069" s="121">
        <f t="shared" si="1189"/>
        <v>0</v>
      </c>
      <c r="S3069" s="121" t="str">
        <f t="shared" si="1190"/>
        <v/>
      </c>
      <c r="T3069" s="121" t="str">
        <f t="shared" si="1191"/>
        <v/>
      </c>
      <c r="U3069" s="121">
        <f t="shared" si="1192"/>
        <v>1.02</v>
      </c>
    </row>
    <row r="3070" spans="1:21" x14ac:dyDescent="0.3">
      <c r="A3070" s="187">
        <v>22</v>
      </c>
      <c r="B3070" s="242">
        <f t="shared" si="1193"/>
        <v>46296</v>
      </c>
      <c r="C3070" s="243">
        <f t="shared" si="1174"/>
        <v>46326</v>
      </c>
      <c r="D3070" s="120">
        <f t="shared" si="1175"/>
        <v>31</v>
      </c>
      <c r="E3070" s="120">
        <f t="shared" si="1176"/>
        <v>10</v>
      </c>
      <c r="F3070" s="275">
        <f t="shared" si="1177"/>
        <v>46311.5</v>
      </c>
      <c r="G3070" s="120">
        <f t="shared" si="1178"/>
        <v>24321</v>
      </c>
      <c r="H3070" s="245">
        <f t="shared" si="1179"/>
        <v>1</v>
      </c>
      <c r="I3070" s="121">
        <f t="shared" si="1180"/>
        <v>1.02</v>
      </c>
      <c r="J3070" s="121">
        <f t="shared" si="1181"/>
        <v>1.02</v>
      </c>
      <c r="K3070" s="120">
        <f t="shared" si="1182"/>
        <v>0</v>
      </c>
      <c r="L3070" s="120">
        <f t="shared" si="1183"/>
        <v>0</v>
      </c>
      <c r="M3070" s="246">
        <f t="shared" si="1184"/>
        <v>0</v>
      </c>
      <c r="N3070" s="121">
        <f t="shared" si="1185"/>
        <v>1.02</v>
      </c>
      <c r="O3070" s="246">
        <f t="shared" si="1186"/>
        <v>0.91033916849015317</v>
      </c>
      <c r="P3070" s="121">
        <f t="shared" si="1187"/>
        <v>0.41666666666666669</v>
      </c>
      <c r="Q3070" s="121">
        <f t="shared" si="1188"/>
        <v>0.58333333333333326</v>
      </c>
      <c r="R3070" s="121">
        <f t="shared" si="1189"/>
        <v>0</v>
      </c>
      <c r="S3070" s="121" t="str">
        <f t="shared" si="1190"/>
        <v/>
      </c>
      <c r="T3070" s="121" t="str">
        <f t="shared" si="1191"/>
        <v/>
      </c>
      <c r="U3070" s="121">
        <f t="shared" si="1192"/>
        <v>1.02</v>
      </c>
    </row>
    <row r="3071" spans="1:21" x14ac:dyDescent="0.3">
      <c r="A3071" s="187">
        <v>23</v>
      </c>
      <c r="B3071" s="242">
        <f t="shared" si="1193"/>
        <v>46327</v>
      </c>
      <c r="C3071" s="243">
        <f t="shared" si="1174"/>
        <v>46356</v>
      </c>
      <c r="D3071" s="120">
        <f t="shared" si="1175"/>
        <v>30</v>
      </c>
      <c r="E3071" s="120">
        <f t="shared" si="1176"/>
        <v>11</v>
      </c>
      <c r="F3071" s="275">
        <f t="shared" si="1177"/>
        <v>46342</v>
      </c>
      <c r="G3071" s="120">
        <f t="shared" si="1178"/>
        <v>24322</v>
      </c>
      <c r="H3071" s="245">
        <f t="shared" si="1179"/>
        <v>1</v>
      </c>
      <c r="I3071" s="121">
        <f t="shared" si="1180"/>
        <v>1.02</v>
      </c>
      <c r="J3071" s="121">
        <f t="shared" si="1181"/>
        <v>1.02</v>
      </c>
      <c r="K3071" s="120">
        <f t="shared" si="1182"/>
        <v>0</v>
      </c>
      <c r="L3071" s="120">
        <f t="shared" si="1183"/>
        <v>0</v>
      </c>
      <c r="M3071" s="246">
        <f t="shared" si="1184"/>
        <v>0</v>
      </c>
      <c r="N3071" s="121">
        <f t="shared" si="1185"/>
        <v>1.02</v>
      </c>
      <c r="O3071" s="246">
        <f t="shared" si="1186"/>
        <v>0.91100656455142237</v>
      </c>
      <c r="P3071" s="121">
        <f t="shared" si="1187"/>
        <v>0.25</v>
      </c>
      <c r="Q3071" s="121">
        <f t="shared" si="1188"/>
        <v>0.75</v>
      </c>
      <c r="R3071" s="121">
        <f t="shared" si="1189"/>
        <v>0</v>
      </c>
      <c r="S3071" s="121" t="str">
        <f t="shared" si="1190"/>
        <v/>
      </c>
      <c r="T3071" s="121" t="str">
        <f t="shared" si="1191"/>
        <v/>
      </c>
      <c r="U3071" s="121">
        <f t="shared" si="1192"/>
        <v>1.02</v>
      </c>
    </row>
    <row r="3072" spans="1:21" x14ac:dyDescent="0.3">
      <c r="A3072" s="187">
        <v>24</v>
      </c>
      <c r="B3072" s="242">
        <f t="shared" si="1193"/>
        <v>46357</v>
      </c>
      <c r="C3072" s="243">
        <f t="shared" si="1174"/>
        <v>46387</v>
      </c>
      <c r="D3072" s="120">
        <f t="shared" si="1175"/>
        <v>31</v>
      </c>
      <c r="E3072" s="120">
        <f t="shared" si="1176"/>
        <v>12</v>
      </c>
      <c r="F3072" s="275">
        <f t="shared" si="1177"/>
        <v>46372.5</v>
      </c>
      <c r="G3072" s="120">
        <f t="shared" si="1178"/>
        <v>24323</v>
      </c>
      <c r="H3072" s="245">
        <f t="shared" si="1179"/>
        <v>1</v>
      </c>
      <c r="I3072" s="121">
        <f t="shared" si="1180"/>
        <v>1.02</v>
      </c>
      <c r="J3072" s="121">
        <f t="shared" si="1181"/>
        <v>1.02</v>
      </c>
      <c r="K3072" s="120">
        <f t="shared" si="1182"/>
        <v>0</v>
      </c>
      <c r="L3072" s="120">
        <f t="shared" si="1183"/>
        <v>0</v>
      </c>
      <c r="M3072" s="246">
        <f t="shared" si="1184"/>
        <v>0</v>
      </c>
      <c r="N3072" s="121">
        <f t="shared" si="1185"/>
        <v>1.02</v>
      </c>
      <c r="O3072" s="246">
        <f t="shared" si="1186"/>
        <v>0.91167396061269146</v>
      </c>
      <c r="P3072" s="121">
        <f t="shared" si="1187"/>
        <v>8.3333333333333329E-2</v>
      </c>
      <c r="Q3072" s="121">
        <f t="shared" si="1188"/>
        <v>0.91666666666666663</v>
      </c>
      <c r="R3072" s="121">
        <f t="shared" si="1189"/>
        <v>0</v>
      </c>
      <c r="S3072" s="121" t="str">
        <f t="shared" si="1190"/>
        <v/>
      </c>
      <c r="T3072" s="121" t="str">
        <f t="shared" si="1191"/>
        <v/>
      </c>
      <c r="U3072" s="121">
        <f t="shared" si="1192"/>
        <v>1.02</v>
      </c>
    </row>
    <row r="3073" spans="1:21" x14ac:dyDescent="0.3">
      <c r="A3073" s="187">
        <v>25</v>
      </c>
      <c r="B3073" s="242">
        <f t="shared" si="1193"/>
        <v>46388</v>
      </c>
      <c r="C3073" s="243">
        <f t="shared" si="1174"/>
        <v>46418</v>
      </c>
      <c r="D3073" s="120">
        <f t="shared" si="1175"/>
        <v>31</v>
      </c>
      <c r="E3073" s="120">
        <f t="shared" si="1176"/>
        <v>1</v>
      </c>
      <c r="F3073" s="275">
        <f t="shared" si="1177"/>
        <v>46403.5</v>
      </c>
      <c r="G3073" s="120">
        <f t="shared" si="1178"/>
        <v>24324</v>
      </c>
      <c r="H3073" s="245">
        <f t="shared" si="1179"/>
        <v>1</v>
      </c>
      <c r="I3073" s="121">
        <f t="shared" si="1180"/>
        <v>1.02</v>
      </c>
      <c r="J3073" s="121">
        <f t="shared" si="1181"/>
        <v>1.02</v>
      </c>
      <c r="K3073" s="120">
        <f t="shared" si="1182"/>
        <v>0</v>
      </c>
      <c r="L3073" s="120">
        <f t="shared" si="1183"/>
        <v>0</v>
      </c>
      <c r="M3073" s="246">
        <f t="shared" si="1184"/>
        <v>0</v>
      </c>
      <c r="N3073" s="121">
        <f t="shared" si="1185"/>
        <v>1.02</v>
      </c>
      <c r="O3073" s="246">
        <f t="shared" si="1186"/>
        <v>0.91235229759299785</v>
      </c>
      <c r="P3073" s="121">
        <f t="shared" si="1187"/>
        <v>0</v>
      </c>
      <c r="Q3073" s="121">
        <f t="shared" si="1188"/>
        <v>1</v>
      </c>
      <c r="R3073" s="121">
        <f t="shared" si="1189"/>
        <v>0</v>
      </c>
      <c r="S3073" s="121" t="str">
        <f t="shared" si="1190"/>
        <v/>
      </c>
      <c r="T3073" s="121" t="str">
        <f t="shared" si="1191"/>
        <v/>
      </c>
      <c r="U3073" s="121">
        <f t="shared" si="1192"/>
        <v>1.02</v>
      </c>
    </row>
    <row r="3074" spans="1:21" x14ac:dyDescent="0.3">
      <c r="A3074" s="187">
        <v>26</v>
      </c>
      <c r="B3074" s="242">
        <f t="shared" si="1193"/>
        <v>46419</v>
      </c>
      <c r="C3074" s="243">
        <f t="shared" si="1174"/>
        <v>46446</v>
      </c>
      <c r="D3074" s="120">
        <f t="shared" si="1175"/>
        <v>28</v>
      </c>
      <c r="E3074" s="120">
        <f t="shared" si="1176"/>
        <v>2</v>
      </c>
      <c r="F3074" s="275">
        <f t="shared" si="1177"/>
        <v>46433</v>
      </c>
      <c r="G3074" s="120">
        <f t="shared" si="1178"/>
        <v>24325</v>
      </c>
      <c r="H3074" s="245">
        <f t="shared" si="1179"/>
        <v>1</v>
      </c>
      <c r="I3074" s="121">
        <f t="shared" si="1180"/>
        <v>1.02</v>
      </c>
      <c r="J3074" s="121">
        <f t="shared" si="1181"/>
        <v>1.02</v>
      </c>
      <c r="K3074" s="120">
        <f t="shared" si="1182"/>
        <v>0</v>
      </c>
      <c r="L3074" s="120">
        <f t="shared" si="1183"/>
        <v>0</v>
      </c>
      <c r="M3074" s="246">
        <f t="shared" si="1184"/>
        <v>0</v>
      </c>
      <c r="N3074" s="121">
        <f t="shared" si="1185"/>
        <v>1.02</v>
      </c>
      <c r="O3074" s="246">
        <f t="shared" si="1186"/>
        <v>0.91299781181619255</v>
      </c>
      <c r="P3074" s="121">
        <f t="shared" si="1187"/>
        <v>0</v>
      </c>
      <c r="Q3074" s="121">
        <f t="shared" si="1188"/>
        <v>1</v>
      </c>
      <c r="R3074" s="121">
        <f t="shared" si="1189"/>
        <v>0</v>
      </c>
      <c r="S3074" s="121" t="str">
        <f t="shared" si="1190"/>
        <v/>
      </c>
      <c r="T3074" s="121" t="str">
        <f t="shared" si="1191"/>
        <v/>
      </c>
      <c r="U3074" s="121">
        <f t="shared" si="1192"/>
        <v>1.02</v>
      </c>
    </row>
    <row r="3075" spans="1:21" x14ac:dyDescent="0.3">
      <c r="A3075" s="187">
        <v>27</v>
      </c>
      <c r="B3075" s="242">
        <f t="shared" si="1193"/>
        <v>46447</v>
      </c>
      <c r="C3075" s="243">
        <f t="shared" si="1174"/>
        <v>46477</v>
      </c>
      <c r="D3075" s="120">
        <f t="shared" si="1175"/>
        <v>31</v>
      </c>
      <c r="E3075" s="120">
        <f t="shared" si="1176"/>
        <v>3</v>
      </c>
      <c r="F3075" s="275">
        <f t="shared" si="1177"/>
        <v>46462.5</v>
      </c>
      <c r="G3075" s="120">
        <f t="shared" si="1178"/>
        <v>24326</v>
      </c>
      <c r="H3075" s="245">
        <f t="shared" si="1179"/>
        <v>1</v>
      </c>
      <c r="I3075" s="121">
        <f t="shared" si="1180"/>
        <v>1.02</v>
      </c>
      <c r="J3075" s="121">
        <f t="shared" si="1181"/>
        <v>1.02</v>
      </c>
      <c r="K3075" s="120">
        <f t="shared" si="1182"/>
        <v>0</v>
      </c>
      <c r="L3075" s="120">
        <f t="shared" si="1183"/>
        <v>0</v>
      </c>
      <c r="M3075" s="246">
        <f t="shared" si="1184"/>
        <v>0</v>
      </c>
      <c r="N3075" s="121">
        <f t="shared" si="1185"/>
        <v>1.02</v>
      </c>
      <c r="O3075" s="246">
        <f t="shared" si="1186"/>
        <v>0.91364332603938736</v>
      </c>
      <c r="P3075" s="121">
        <f t="shared" si="1187"/>
        <v>0</v>
      </c>
      <c r="Q3075" s="121">
        <f t="shared" si="1188"/>
        <v>1</v>
      </c>
      <c r="R3075" s="121">
        <f t="shared" si="1189"/>
        <v>0</v>
      </c>
      <c r="S3075" s="121" t="str">
        <f t="shared" si="1190"/>
        <v/>
      </c>
      <c r="T3075" s="121" t="str">
        <f t="shared" si="1191"/>
        <v/>
      </c>
      <c r="U3075" s="121">
        <f t="shared" si="1192"/>
        <v>1.02</v>
      </c>
    </row>
    <row r="3076" spans="1:21" x14ac:dyDescent="0.3">
      <c r="A3076" s="187">
        <v>28</v>
      </c>
      <c r="B3076" s="242">
        <f t="shared" si="1193"/>
        <v>46478</v>
      </c>
      <c r="C3076" s="243">
        <f t="shared" si="1174"/>
        <v>46507</v>
      </c>
      <c r="D3076" s="120">
        <f t="shared" si="1175"/>
        <v>30</v>
      </c>
      <c r="E3076" s="120">
        <f t="shared" si="1176"/>
        <v>4</v>
      </c>
      <c r="F3076" s="275">
        <f t="shared" si="1177"/>
        <v>46493</v>
      </c>
      <c r="G3076" s="120">
        <f t="shared" si="1178"/>
        <v>24327</v>
      </c>
      <c r="H3076" s="245">
        <f t="shared" si="1179"/>
        <v>1</v>
      </c>
      <c r="I3076" s="121">
        <f t="shared" si="1180"/>
        <v>1.02</v>
      </c>
      <c r="J3076" s="121">
        <f t="shared" si="1181"/>
        <v>1.02</v>
      </c>
      <c r="K3076" s="120">
        <f t="shared" si="1182"/>
        <v>0</v>
      </c>
      <c r="L3076" s="120">
        <f t="shared" si="1183"/>
        <v>0</v>
      </c>
      <c r="M3076" s="246">
        <f t="shared" si="1184"/>
        <v>0</v>
      </c>
      <c r="N3076" s="121">
        <f t="shared" si="1185"/>
        <v>1.02</v>
      </c>
      <c r="O3076" s="246">
        <f t="shared" si="1186"/>
        <v>0.91431072210065645</v>
      </c>
      <c r="P3076" s="121">
        <f t="shared" si="1187"/>
        <v>0</v>
      </c>
      <c r="Q3076" s="121">
        <f t="shared" si="1188"/>
        <v>1</v>
      </c>
      <c r="R3076" s="121">
        <f t="shared" si="1189"/>
        <v>0</v>
      </c>
      <c r="S3076" s="121" t="str">
        <f t="shared" si="1190"/>
        <v/>
      </c>
      <c r="T3076" s="121" t="str">
        <f t="shared" si="1191"/>
        <v/>
      </c>
      <c r="U3076" s="121">
        <f t="shared" si="1192"/>
        <v>1.02</v>
      </c>
    </row>
    <row r="3077" spans="1:21" x14ac:dyDescent="0.3">
      <c r="A3077" s="187">
        <v>29</v>
      </c>
      <c r="B3077" s="242">
        <f t="shared" si="1193"/>
        <v>46508</v>
      </c>
      <c r="C3077" s="243">
        <f t="shared" si="1174"/>
        <v>46538</v>
      </c>
      <c r="D3077" s="120">
        <f t="shared" si="1175"/>
        <v>31</v>
      </c>
      <c r="E3077" s="120">
        <f t="shared" si="1176"/>
        <v>5</v>
      </c>
      <c r="F3077" s="275">
        <f t="shared" si="1177"/>
        <v>46523.5</v>
      </c>
      <c r="G3077" s="120">
        <f t="shared" si="1178"/>
        <v>24328</v>
      </c>
      <c r="H3077" s="245">
        <f t="shared" si="1179"/>
        <v>1</v>
      </c>
      <c r="I3077" s="121">
        <f t="shared" si="1180"/>
        <v>1.02</v>
      </c>
      <c r="J3077" s="121">
        <f t="shared" si="1181"/>
        <v>1.02</v>
      </c>
      <c r="K3077" s="120">
        <f t="shared" si="1182"/>
        <v>0</v>
      </c>
      <c r="L3077" s="120">
        <f t="shared" si="1183"/>
        <v>0</v>
      </c>
      <c r="M3077" s="246">
        <f t="shared" si="1184"/>
        <v>0</v>
      </c>
      <c r="N3077" s="121">
        <f t="shared" si="1185"/>
        <v>1.02</v>
      </c>
      <c r="O3077" s="246">
        <f t="shared" si="1186"/>
        <v>0.91497811816192565</v>
      </c>
      <c r="P3077" s="121">
        <f t="shared" si="1187"/>
        <v>0</v>
      </c>
      <c r="Q3077" s="121">
        <f t="shared" si="1188"/>
        <v>1</v>
      </c>
      <c r="R3077" s="121">
        <f t="shared" si="1189"/>
        <v>0</v>
      </c>
      <c r="S3077" s="121" t="str">
        <f t="shared" si="1190"/>
        <v/>
      </c>
      <c r="T3077" s="121" t="str">
        <f t="shared" si="1191"/>
        <v/>
      </c>
      <c r="U3077" s="121">
        <f t="shared" si="1192"/>
        <v>1.02</v>
      </c>
    </row>
    <row r="3078" spans="1:21" x14ac:dyDescent="0.3">
      <c r="A3078" s="187">
        <v>30</v>
      </c>
      <c r="B3078" s="242">
        <f t="shared" si="1193"/>
        <v>46539</v>
      </c>
      <c r="C3078" s="243">
        <f t="shared" si="1174"/>
        <v>46568</v>
      </c>
      <c r="D3078" s="120">
        <f t="shared" si="1175"/>
        <v>30</v>
      </c>
      <c r="E3078" s="120">
        <f t="shared" si="1176"/>
        <v>6</v>
      </c>
      <c r="F3078" s="275">
        <f t="shared" si="1177"/>
        <v>46554</v>
      </c>
      <c r="G3078" s="120">
        <f t="shared" si="1178"/>
        <v>24329</v>
      </c>
      <c r="H3078" s="245">
        <f t="shared" si="1179"/>
        <v>1</v>
      </c>
      <c r="I3078" s="121">
        <f t="shared" si="1180"/>
        <v>1.02</v>
      </c>
      <c r="J3078" s="121">
        <f t="shared" si="1181"/>
        <v>1.02</v>
      </c>
      <c r="K3078" s="120">
        <f t="shared" si="1182"/>
        <v>0</v>
      </c>
      <c r="L3078" s="120">
        <f t="shared" si="1183"/>
        <v>0</v>
      </c>
      <c r="M3078" s="246">
        <f t="shared" si="1184"/>
        <v>0</v>
      </c>
      <c r="N3078" s="121">
        <f t="shared" si="1185"/>
        <v>1.02</v>
      </c>
      <c r="O3078" s="246">
        <f t="shared" si="1186"/>
        <v>0.91564551422319473</v>
      </c>
      <c r="P3078" s="121">
        <f t="shared" si="1187"/>
        <v>0</v>
      </c>
      <c r="Q3078" s="121">
        <f t="shared" si="1188"/>
        <v>1</v>
      </c>
      <c r="R3078" s="121">
        <f t="shared" si="1189"/>
        <v>0</v>
      </c>
      <c r="S3078" s="121" t="str">
        <f t="shared" si="1190"/>
        <v/>
      </c>
      <c r="T3078" s="121" t="str">
        <f t="shared" si="1191"/>
        <v/>
      </c>
      <c r="U3078" s="121">
        <f t="shared" si="1192"/>
        <v>1.02</v>
      </c>
    </row>
    <row r="3079" spans="1:21" x14ac:dyDescent="0.3">
      <c r="A3079" s="187">
        <v>31</v>
      </c>
      <c r="B3079" s="242">
        <f t="shared" si="1193"/>
        <v>46569</v>
      </c>
      <c r="C3079" s="243">
        <f t="shared" si="1174"/>
        <v>46599</v>
      </c>
      <c r="D3079" s="120">
        <f t="shared" si="1175"/>
        <v>31</v>
      </c>
      <c r="E3079" s="120">
        <f t="shared" si="1176"/>
        <v>7</v>
      </c>
      <c r="F3079" s="275">
        <f t="shared" si="1177"/>
        <v>46584.5</v>
      </c>
      <c r="G3079" s="120">
        <f t="shared" si="1178"/>
        <v>24330</v>
      </c>
      <c r="H3079" s="245">
        <f t="shared" si="1179"/>
        <v>1</v>
      </c>
      <c r="I3079" s="121">
        <f t="shared" si="1180"/>
        <v>1.02</v>
      </c>
      <c r="J3079" s="121">
        <f t="shared" si="1181"/>
        <v>1.02</v>
      </c>
      <c r="K3079" s="120">
        <f t="shared" si="1182"/>
        <v>0</v>
      </c>
      <c r="L3079" s="120">
        <f t="shared" si="1183"/>
        <v>0</v>
      </c>
      <c r="M3079" s="246">
        <f t="shared" si="1184"/>
        <v>0</v>
      </c>
      <c r="N3079" s="121">
        <f t="shared" si="1185"/>
        <v>1.02</v>
      </c>
      <c r="O3079" s="246">
        <f t="shared" si="1186"/>
        <v>0.91631291028446393</v>
      </c>
      <c r="P3079" s="121">
        <f t="shared" si="1187"/>
        <v>0</v>
      </c>
      <c r="Q3079" s="121">
        <f t="shared" si="1188"/>
        <v>0.91666666666666663</v>
      </c>
      <c r="R3079" s="121">
        <f t="shared" si="1189"/>
        <v>8.333333333333337E-2</v>
      </c>
      <c r="S3079" s="121" t="str">
        <f t="shared" si="1190"/>
        <v/>
      </c>
      <c r="T3079" s="121" t="str">
        <f t="shared" si="1191"/>
        <v/>
      </c>
      <c r="U3079" s="121">
        <f t="shared" si="1192"/>
        <v>1.02</v>
      </c>
    </row>
    <row r="3080" spans="1:21" x14ac:dyDescent="0.3">
      <c r="A3080" s="187">
        <v>32</v>
      </c>
      <c r="B3080" s="242">
        <f t="shared" si="1193"/>
        <v>46600</v>
      </c>
      <c r="C3080" s="243">
        <f t="shared" si="1174"/>
        <v>46630</v>
      </c>
      <c r="D3080" s="120">
        <f t="shared" si="1175"/>
        <v>31</v>
      </c>
      <c r="E3080" s="120">
        <f t="shared" si="1176"/>
        <v>8</v>
      </c>
      <c r="F3080" s="275">
        <f t="shared" si="1177"/>
        <v>46615.5</v>
      </c>
      <c r="G3080" s="120">
        <f t="shared" si="1178"/>
        <v>24331</v>
      </c>
      <c r="H3080" s="245">
        <f t="shared" si="1179"/>
        <v>1</v>
      </c>
      <c r="I3080" s="121">
        <f t="shared" si="1180"/>
        <v>1.02</v>
      </c>
      <c r="J3080" s="121">
        <f t="shared" si="1181"/>
        <v>1.02</v>
      </c>
      <c r="K3080" s="120">
        <f t="shared" si="1182"/>
        <v>0</v>
      </c>
      <c r="L3080" s="120">
        <f t="shared" si="1183"/>
        <v>0</v>
      </c>
      <c r="M3080" s="246">
        <f t="shared" si="1184"/>
        <v>0</v>
      </c>
      <c r="N3080" s="121">
        <f t="shared" si="1185"/>
        <v>1.02</v>
      </c>
      <c r="O3080" s="246">
        <f t="shared" si="1186"/>
        <v>0.91699124726477033</v>
      </c>
      <c r="P3080" s="121">
        <f t="shared" si="1187"/>
        <v>0</v>
      </c>
      <c r="Q3080" s="121">
        <f t="shared" si="1188"/>
        <v>0.75</v>
      </c>
      <c r="R3080" s="121">
        <f t="shared" si="1189"/>
        <v>0.25</v>
      </c>
      <c r="S3080" s="121" t="str">
        <f t="shared" si="1190"/>
        <v/>
      </c>
      <c r="T3080" s="121" t="str">
        <f t="shared" si="1191"/>
        <v/>
      </c>
      <c r="U3080" s="121">
        <f t="shared" si="1192"/>
        <v>1.02</v>
      </c>
    </row>
    <row r="3081" spans="1:21" x14ac:dyDescent="0.3">
      <c r="A3081" s="187">
        <v>33</v>
      </c>
      <c r="B3081" s="242">
        <f t="shared" si="1193"/>
        <v>46631</v>
      </c>
      <c r="C3081" s="243">
        <f t="shared" si="1174"/>
        <v>46660</v>
      </c>
      <c r="D3081" s="120">
        <f t="shared" si="1175"/>
        <v>30</v>
      </c>
      <c r="E3081" s="120">
        <f t="shared" si="1176"/>
        <v>9</v>
      </c>
      <c r="F3081" s="275">
        <f t="shared" si="1177"/>
        <v>46646</v>
      </c>
      <c r="G3081" s="120">
        <f t="shared" si="1178"/>
        <v>24332</v>
      </c>
      <c r="H3081" s="245">
        <f t="shared" si="1179"/>
        <v>1</v>
      </c>
      <c r="I3081" s="121">
        <f t="shared" si="1180"/>
        <v>1.02</v>
      </c>
      <c r="J3081" s="121">
        <f t="shared" si="1181"/>
        <v>1.02</v>
      </c>
      <c r="K3081" s="120">
        <f t="shared" si="1182"/>
        <v>0</v>
      </c>
      <c r="L3081" s="120">
        <f t="shared" si="1183"/>
        <v>0</v>
      </c>
      <c r="M3081" s="246">
        <f t="shared" si="1184"/>
        <v>0</v>
      </c>
      <c r="N3081" s="121">
        <f t="shared" si="1185"/>
        <v>1.02</v>
      </c>
      <c r="O3081" s="246">
        <f t="shared" si="1186"/>
        <v>0.91765864332603941</v>
      </c>
      <c r="P3081" s="121">
        <f t="shared" si="1187"/>
        <v>0</v>
      </c>
      <c r="Q3081" s="121">
        <f t="shared" si="1188"/>
        <v>0.58333333333333337</v>
      </c>
      <c r="R3081" s="121">
        <f t="shared" si="1189"/>
        <v>0.41666666666666663</v>
      </c>
      <c r="S3081" s="121" t="str">
        <f t="shared" si="1190"/>
        <v/>
      </c>
      <c r="T3081" s="121" t="str">
        <f t="shared" si="1191"/>
        <v/>
      </c>
      <c r="U3081" s="121">
        <f t="shared" si="1192"/>
        <v>1.02</v>
      </c>
    </row>
    <row r="3082" spans="1:21" x14ac:dyDescent="0.3">
      <c r="A3082" s="187">
        <v>34</v>
      </c>
      <c r="B3082" s="242">
        <f t="shared" si="1193"/>
        <v>46661</v>
      </c>
      <c r="C3082" s="243">
        <f t="shared" si="1174"/>
        <v>46691</v>
      </c>
      <c r="D3082" s="120">
        <f t="shared" si="1175"/>
        <v>31</v>
      </c>
      <c r="E3082" s="120">
        <f t="shared" si="1176"/>
        <v>10</v>
      </c>
      <c r="F3082" s="275">
        <f t="shared" si="1177"/>
        <v>46676.5</v>
      </c>
      <c r="G3082" s="120">
        <f t="shared" si="1178"/>
        <v>24333</v>
      </c>
      <c r="H3082" s="245">
        <f t="shared" si="1179"/>
        <v>1</v>
      </c>
      <c r="I3082" s="121">
        <f t="shared" si="1180"/>
        <v>1.02</v>
      </c>
      <c r="J3082" s="121">
        <f t="shared" si="1181"/>
        <v>1.02</v>
      </c>
      <c r="K3082" s="120">
        <f t="shared" si="1182"/>
        <v>0</v>
      </c>
      <c r="L3082" s="120">
        <f t="shared" si="1183"/>
        <v>0</v>
      </c>
      <c r="M3082" s="246">
        <f t="shared" si="1184"/>
        <v>0</v>
      </c>
      <c r="N3082" s="121">
        <f t="shared" si="1185"/>
        <v>1.02</v>
      </c>
      <c r="O3082" s="246">
        <f t="shared" si="1186"/>
        <v>0.91832603938730861</v>
      </c>
      <c r="P3082" s="121">
        <f t="shared" si="1187"/>
        <v>0</v>
      </c>
      <c r="Q3082" s="121">
        <f t="shared" si="1188"/>
        <v>0.41666666666666669</v>
      </c>
      <c r="R3082" s="121">
        <f t="shared" si="1189"/>
        <v>0.58333333333333326</v>
      </c>
      <c r="S3082" s="121" t="str">
        <f t="shared" si="1190"/>
        <v/>
      </c>
      <c r="T3082" s="121" t="str">
        <f t="shared" si="1191"/>
        <v/>
      </c>
      <c r="U3082" s="121">
        <f t="shared" si="1192"/>
        <v>1.02</v>
      </c>
    </row>
    <row r="3083" spans="1:21" x14ac:dyDescent="0.3">
      <c r="A3083" s="187">
        <v>35</v>
      </c>
      <c r="B3083" s="242">
        <f t="shared" si="1193"/>
        <v>46692</v>
      </c>
      <c r="C3083" s="243">
        <f t="shared" si="1174"/>
        <v>46721</v>
      </c>
      <c r="D3083" s="120">
        <f t="shared" si="1175"/>
        <v>30</v>
      </c>
      <c r="E3083" s="120">
        <f t="shared" si="1176"/>
        <v>11</v>
      </c>
      <c r="F3083" s="275">
        <f t="shared" si="1177"/>
        <v>46707</v>
      </c>
      <c r="G3083" s="120">
        <f t="shared" si="1178"/>
        <v>24334</v>
      </c>
      <c r="H3083" s="245">
        <f t="shared" si="1179"/>
        <v>1</v>
      </c>
      <c r="I3083" s="121">
        <f t="shared" si="1180"/>
        <v>1.02</v>
      </c>
      <c r="J3083" s="121">
        <f t="shared" si="1181"/>
        <v>1.02</v>
      </c>
      <c r="K3083" s="120">
        <f t="shared" si="1182"/>
        <v>0</v>
      </c>
      <c r="L3083" s="120">
        <f t="shared" si="1183"/>
        <v>0</v>
      </c>
      <c r="M3083" s="246">
        <f t="shared" si="1184"/>
        <v>0</v>
      </c>
      <c r="N3083" s="121">
        <f t="shared" si="1185"/>
        <v>1.02</v>
      </c>
      <c r="O3083" s="246">
        <f t="shared" si="1186"/>
        <v>0.9189934354485777</v>
      </c>
      <c r="P3083" s="121">
        <f t="shared" si="1187"/>
        <v>0</v>
      </c>
      <c r="Q3083" s="121">
        <f t="shared" si="1188"/>
        <v>0.25</v>
      </c>
      <c r="R3083" s="121">
        <f t="shared" si="1189"/>
        <v>0.75</v>
      </c>
      <c r="S3083" s="121" t="str">
        <f t="shared" si="1190"/>
        <v/>
      </c>
      <c r="T3083" s="121" t="str">
        <f t="shared" si="1191"/>
        <v/>
      </c>
      <c r="U3083" s="121">
        <f t="shared" si="1192"/>
        <v>1.02</v>
      </c>
    </row>
    <row r="3084" spans="1:21" x14ac:dyDescent="0.3">
      <c r="A3084" s="187">
        <v>36</v>
      </c>
      <c r="B3084" s="242">
        <f t="shared" si="1193"/>
        <v>46722</v>
      </c>
      <c r="C3084" s="243">
        <f t="shared" si="1174"/>
        <v>46752</v>
      </c>
      <c r="D3084" s="120">
        <f t="shared" si="1175"/>
        <v>31</v>
      </c>
      <c r="E3084" s="120">
        <f t="shared" si="1176"/>
        <v>12</v>
      </c>
      <c r="F3084" s="275">
        <f t="shared" si="1177"/>
        <v>46737.5</v>
      </c>
      <c r="G3084" s="120">
        <f t="shared" si="1178"/>
        <v>24335</v>
      </c>
      <c r="H3084" s="245">
        <f t="shared" si="1179"/>
        <v>1</v>
      </c>
      <c r="I3084" s="121">
        <f t="shared" si="1180"/>
        <v>1.02</v>
      </c>
      <c r="J3084" s="121">
        <f t="shared" si="1181"/>
        <v>1.02</v>
      </c>
      <c r="K3084" s="120">
        <f t="shared" si="1182"/>
        <v>0</v>
      </c>
      <c r="L3084" s="120">
        <f t="shared" si="1183"/>
        <v>0</v>
      </c>
      <c r="M3084" s="246">
        <f t="shared" si="1184"/>
        <v>0</v>
      </c>
      <c r="N3084" s="121">
        <f t="shared" si="1185"/>
        <v>1.02</v>
      </c>
      <c r="O3084" s="246">
        <f t="shared" si="1186"/>
        <v>0.9196608315098469</v>
      </c>
      <c r="P3084" s="121">
        <f t="shared" si="1187"/>
        <v>0</v>
      </c>
      <c r="Q3084" s="121">
        <f t="shared" si="1188"/>
        <v>8.3333333333333329E-2</v>
      </c>
      <c r="R3084" s="121">
        <f t="shared" si="1189"/>
        <v>0.91666666666666663</v>
      </c>
      <c r="S3084" s="121" t="str">
        <f t="shared" si="1190"/>
        <v/>
      </c>
      <c r="T3084" s="121" t="str">
        <f t="shared" si="1191"/>
        <v/>
      </c>
      <c r="U3084" s="121">
        <f t="shared" si="1192"/>
        <v>1.02</v>
      </c>
    </row>
    <row r="3085" spans="1:21" x14ac:dyDescent="0.3">
      <c r="A3085" s="187">
        <v>37</v>
      </c>
      <c r="B3085" s="242">
        <f t="shared" si="1193"/>
        <v>46753</v>
      </c>
      <c r="C3085" s="243">
        <f t="shared" si="1174"/>
        <v>46783</v>
      </c>
      <c r="D3085" s="120">
        <f t="shared" si="1175"/>
        <v>31</v>
      </c>
      <c r="E3085" s="120">
        <f t="shared" si="1176"/>
        <v>1</v>
      </c>
      <c r="F3085" s="275">
        <f t="shared" si="1177"/>
        <v>46768.5</v>
      </c>
      <c r="G3085" s="120">
        <f t="shared" si="1178"/>
        <v>24336</v>
      </c>
      <c r="H3085" s="245">
        <f t="shared" si="1179"/>
        <v>1</v>
      </c>
      <c r="I3085" s="121">
        <f t="shared" si="1180"/>
        <v>1.02</v>
      </c>
      <c r="J3085" s="121">
        <f t="shared" si="1181"/>
        <v>1.02</v>
      </c>
      <c r="K3085" s="120">
        <f t="shared" si="1182"/>
        <v>0</v>
      </c>
      <c r="L3085" s="120">
        <f t="shared" si="1183"/>
        <v>0</v>
      </c>
      <c r="M3085" s="246">
        <f t="shared" si="1184"/>
        <v>0</v>
      </c>
      <c r="N3085" s="121">
        <f t="shared" si="1185"/>
        <v>1.02</v>
      </c>
      <c r="O3085" s="246">
        <f t="shared" si="1186"/>
        <v>0.92</v>
      </c>
      <c r="P3085" s="121">
        <f t="shared" si="1187"/>
        <v>0</v>
      </c>
      <c r="Q3085" s="121">
        <f t="shared" si="1188"/>
        <v>0</v>
      </c>
      <c r="R3085" s="121">
        <f t="shared" si="1189"/>
        <v>1</v>
      </c>
      <c r="S3085" s="121" t="str">
        <f t="shared" si="1190"/>
        <v/>
      </c>
      <c r="T3085" s="121" t="str">
        <f t="shared" si="1191"/>
        <v/>
      </c>
      <c r="U3085" s="121">
        <f t="shared" si="1192"/>
        <v>1.02</v>
      </c>
    </row>
    <row r="3086" spans="1:21" x14ac:dyDescent="0.3">
      <c r="A3086" s="187">
        <v>38</v>
      </c>
      <c r="B3086" s="242">
        <f t="shared" si="1193"/>
        <v>46784</v>
      </c>
      <c r="C3086" s="243">
        <f t="shared" si="1174"/>
        <v>46812</v>
      </c>
      <c r="D3086" s="120">
        <f t="shared" si="1175"/>
        <v>29</v>
      </c>
      <c r="E3086" s="120">
        <f t="shared" si="1176"/>
        <v>2</v>
      </c>
      <c r="F3086" s="275">
        <f t="shared" si="1177"/>
        <v>46798.5</v>
      </c>
      <c r="G3086" s="120">
        <f t="shared" si="1178"/>
        <v>24337</v>
      </c>
      <c r="H3086" s="245">
        <f t="shared" si="1179"/>
        <v>1</v>
      </c>
      <c r="I3086" s="121">
        <f t="shared" si="1180"/>
        <v>1.02</v>
      </c>
      <c r="J3086" s="121">
        <f t="shared" si="1181"/>
        <v>1.02</v>
      </c>
      <c r="K3086" s="120">
        <f t="shared" si="1182"/>
        <v>0</v>
      </c>
      <c r="L3086" s="120">
        <f t="shared" si="1183"/>
        <v>0</v>
      </c>
      <c r="M3086" s="246">
        <f t="shared" si="1184"/>
        <v>0</v>
      </c>
      <c r="N3086" s="121">
        <f t="shared" si="1185"/>
        <v>1.02</v>
      </c>
      <c r="O3086" s="246">
        <f t="shared" si="1186"/>
        <v>0.92</v>
      </c>
      <c r="P3086" s="121">
        <f t="shared" si="1187"/>
        <v>0</v>
      </c>
      <c r="Q3086" s="121">
        <f t="shared" si="1188"/>
        <v>0</v>
      </c>
      <c r="R3086" s="121">
        <f t="shared" si="1189"/>
        <v>1</v>
      </c>
      <c r="S3086" s="121" t="str">
        <f t="shared" si="1190"/>
        <v/>
      </c>
      <c r="T3086" s="121" t="str">
        <f t="shared" si="1191"/>
        <v/>
      </c>
      <c r="U3086" s="121">
        <f t="shared" si="1192"/>
        <v>1.02</v>
      </c>
    </row>
    <row r="3087" spans="1:21" x14ac:dyDescent="0.3">
      <c r="A3087" s="187">
        <v>39</v>
      </c>
      <c r="B3087" s="242">
        <f t="shared" si="1193"/>
        <v>46813</v>
      </c>
      <c r="C3087" s="243">
        <f t="shared" si="1174"/>
        <v>46843</v>
      </c>
      <c r="D3087" s="120">
        <f t="shared" si="1175"/>
        <v>31</v>
      </c>
      <c r="E3087" s="120">
        <f t="shared" si="1176"/>
        <v>3</v>
      </c>
      <c r="F3087" s="275">
        <f t="shared" si="1177"/>
        <v>46828.5</v>
      </c>
      <c r="G3087" s="120">
        <f t="shared" si="1178"/>
        <v>24338</v>
      </c>
      <c r="H3087" s="245">
        <f t="shared" si="1179"/>
        <v>1</v>
      </c>
      <c r="I3087" s="121">
        <f t="shared" si="1180"/>
        <v>1.02</v>
      </c>
      <c r="J3087" s="121">
        <f t="shared" si="1181"/>
        <v>1.02</v>
      </c>
      <c r="K3087" s="120">
        <f t="shared" si="1182"/>
        <v>0</v>
      </c>
      <c r="L3087" s="120">
        <f t="shared" si="1183"/>
        <v>0</v>
      </c>
      <c r="M3087" s="246">
        <f t="shared" si="1184"/>
        <v>0</v>
      </c>
      <c r="N3087" s="121">
        <f t="shared" si="1185"/>
        <v>1.02</v>
      </c>
      <c r="O3087" s="246">
        <f t="shared" si="1186"/>
        <v>0.92</v>
      </c>
      <c r="P3087" s="121">
        <f t="shared" si="1187"/>
        <v>0</v>
      </c>
      <c r="Q3087" s="121">
        <f t="shared" si="1188"/>
        <v>0</v>
      </c>
      <c r="R3087" s="121">
        <f t="shared" si="1189"/>
        <v>1</v>
      </c>
      <c r="S3087" s="121" t="str">
        <f t="shared" si="1190"/>
        <v/>
      </c>
      <c r="T3087" s="121" t="str">
        <f t="shared" si="1191"/>
        <v/>
      </c>
      <c r="U3087" s="121">
        <f t="shared" si="1192"/>
        <v>1.02</v>
      </c>
    </row>
    <row r="3088" spans="1:21" x14ac:dyDescent="0.3">
      <c r="A3088" s="187">
        <v>40</v>
      </c>
      <c r="B3088" s="242">
        <f t="shared" si="1193"/>
        <v>46844</v>
      </c>
      <c r="C3088" s="243">
        <f t="shared" si="1174"/>
        <v>46873</v>
      </c>
      <c r="D3088" s="120">
        <f t="shared" si="1175"/>
        <v>30</v>
      </c>
      <c r="E3088" s="120">
        <f t="shared" si="1176"/>
        <v>4</v>
      </c>
      <c r="F3088" s="275">
        <f t="shared" si="1177"/>
        <v>46859</v>
      </c>
      <c r="G3088" s="120">
        <f t="shared" si="1178"/>
        <v>24339</v>
      </c>
      <c r="H3088" s="245">
        <f t="shared" si="1179"/>
        <v>1</v>
      </c>
      <c r="I3088" s="121">
        <f t="shared" si="1180"/>
        <v>1.02</v>
      </c>
      <c r="J3088" s="121">
        <f t="shared" si="1181"/>
        <v>1.02</v>
      </c>
      <c r="K3088" s="120">
        <f t="shared" si="1182"/>
        <v>0</v>
      </c>
      <c r="L3088" s="120">
        <f t="shared" si="1183"/>
        <v>0</v>
      </c>
      <c r="M3088" s="246">
        <f t="shared" si="1184"/>
        <v>0</v>
      </c>
      <c r="N3088" s="121">
        <f t="shared" si="1185"/>
        <v>1.02</v>
      </c>
      <c r="O3088" s="246">
        <f t="shared" si="1186"/>
        <v>0.92</v>
      </c>
      <c r="P3088" s="121">
        <f t="shared" si="1187"/>
        <v>0</v>
      </c>
      <c r="Q3088" s="121">
        <f t="shared" si="1188"/>
        <v>0</v>
      </c>
      <c r="R3088" s="121">
        <f t="shared" si="1189"/>
        <v>1</v>
      </c>
      <c r="S3088" s="121" t="str">
        <f t="shared" si="1190"/>
        <v/>
      </c>
      <c r="T3088" s="121" t="str">
        <f t="shared" si="1191"/>
        <v/>
      </c>
      <c r="U3088" s="121">
        <f t="shared" si="1192"/>
        <v>1.02</v>
      </c>
    </row>
    <row r="3089" spans="1:21" x14ac:dyDescent="0.3">
      <c r="A3089" s="187">
        <v>41</v>
      </c>
      <c r="B3089" s="242">
        <f t="shared" si="1193"/>
        <v>46874</v>
      </c>
      <c r="C3089" s="243">
        <f t="shared" si="1174"/>
        <v>46904</v>
      </c>
      <c r="D3089" s="120">
        <f t="shared" si="1175"/>
        <v>31</v>
      </c>
      <c r="E3089" s="120">
        <f t="shared" si="1176"/>
        <v>5</v>
      </c>
      <c r="F3089" s="275">
        <f t="shared" si="1177"/>
        <v>46889.5</v>
      </c>
      <c r="G3089" s="120">
        <f t="shared" si="1178"/>
        <v>24340</v>
      </c>
      <c r="H3089" s="245">
        <f t="shared" si="1179"/>
        <v>1</v>
      </c>
      <c r="I3089" s="121">
        <f t="shared" si="1180"/>
        <v>1.02</v>
      </c>
      <c r="J3089" s="121">
        <f t="shared" si="1181"/>
        <v>1.02</v>
      </c>
      <c r="K3089" s="120">
        <f t="shared" si="1182"/>
        <v>0</v>
      </c>
      <c r="L3089" s="120">
        <f t="shared" si="1183"/>
        <v>0</v>
      </c>
      <c r="M3089" s="246">
        <f t="shared" si="1184"/>
        <v>0</v>
      </c>
      <c r="N3089" s="121">
        <f t="shared" si="1185"/>
        <v>1.02</v>
      </c>
      <c r="O3089" s="246">
        <f t="shared" si="1186"/>
        <v>0.92</v>
      </c>
      <c r="P3089" s="121">
        <f t="shared" si="1187"/>
        <v>0</v>
      </c>
      <c r="Q3089" s="121">
        <f t="shared" si="1188"/>
        <v>0</v>
      </c>
      <c r="R3089" s="121">
        <f t="shared" si="1189"/>
        <v>1</v>
      </c>
      <c r="S3089" s="121" t="str">
        <f t="shared" si="1190"/>
        <v/>
      </c>
      <c r="T3089" s="121" t="str">
        <f t="shared" si="1191"/>
        <v/>
      </c>
      <c r="U3089" s="121">
        <f t="shared" si="1192"/>
        <v>1.02</v>
      </c>
    </row>
    <row r="3090" spans="1:21" x14ac:dyDescent="0.3">
      <c r="A3090" s="187">
        <v>42</v>
      </c>
      <c r="B3090" s="242">
        <f t="shared" si="1193"/>
        <v>46905</v>
      </c>
      <c r="C3090" s="243">
        <f t="shared" si="1174"/>
        <v>46934</v>
      </c>
      <c r="D3090" s="120">
        <f t="shared" si="1175"/>
        <v>30</v>
      </c>
      <c r="E3090" s="120">
        <f t="shared" si="1176"/>
        <v>6</v>
      </c>
      <c r="F3090" s="275">
        <f t="shared" si="1177"/>
        <v>46920</v>
      </c>
      <c r="G3090" s="120">
        <f t="shared" si="1178"/>
        <v>24341</v>
      </c>
      <c r="H3090" s="245">
        <f t="shared" si="1179"/>
        <v>1</v>
      </c>
      <c r="I3090" s="121">
        <f t="shared" si="1180"/>
        <v>1.02</v>
      </c>
      <c r="J3090" s="121">
        <f t="shared" si="1181"/>
        <v>1.02</v>
      </c>
      <c r="K3090" s="120">
        <f t="shared" si="1182"/>
        <v>0</v>
      </c>
      <c r="L3090" s="120">
        <f t="shared" si="1183"/>
        <v>0</v>
      </c>
      <c r="M3090" s="246">
        <f t="shared" si="1184"/>
        <v>0</v>
      </c>
      <c r="N3090" s="121">
        <f t="shared" si="1185"/>
        <v>1.02</v>
      </c>
      <c r="O3090" s="246">
        <f t="shared" si="1186"/>
        <v>0.92</v>
      </c>
      <c r="P3090" s="121">
        <f t="shared" si="1187"/>
        <v>0</v>
      </c>
      <c r="Q3090" s="121">
        <f t="shared" si="1188"/>
        <v>0</v>
      </c>
      <c r="R3090" s="121">
        <f t="shared" si="1189"/>
        <v>1</v>
      </c>
      <c r="S3090" s="121" t="str">
        <f t="shared" si="1190"/>
        <v/>
      </c>
      <c r="T3090" s="121" t="str">
        <f t="shared" si="1191"/>
        <v/>
      </c>
      <c r="U3090" s="121">
        <f t="shared" si="1192"/>
        <v>1.02</v>
      </c>
    </row>
    <row r="3091" spans="1:21" x14ac:dyDescent="0.3">
      <c r="A3091" s="187">
        <v>43</v>
      </c>
      <c r="B3091" s="242">
        <f t="shared" si="1193"/>
        <v>46935</v>
      </c>
      <c r="C3091" s="243">
        <f t="shared" si="1174"/>
        <v>46965</v>
      </c>
      <c r="D3091" s="120">
        <f t="shared" si="1175"/>
        <v>31</v>
      </c>
      <c r="E3091" s="120">
        <f t="shared" si="1176"/>
        <v>7</v>
      </c>
      <c r="F3091" s="275">
        <f t="shared" si="1177"/>
        <v>46950.5</v>
      </c>
      <c r="G3091" s="120">
        <f t="shared" si="1178"/>
        <v>24342</v>
      </c>
      <c r="H3091" s="245">
        <f t="shared" si="1179"/>
        <v>1</v>
      </c>
      <c r="I3091" s="121">
        <f t="shared" si="1180"/>
        <v>1.02</v>
      </c>
      <c r="J3091" s="121">
        <f t="shared" si="1181"/>
        <v>1.02</v>
      </c>
      <c r="K3091" s="120">
        <f t="shared" si="1182"/>
        <v>0</v>
      </c>
      <c r="L3091" s="120">
        <f t="shared" si="1183"/>
        <v>0</v>
      </c>
      <c r="M3091" s="246">
        <f t="shared" si="1184"/>
        <v>0</v>
      </c>
      <c r="N3091" s="121">
        <f t="shared" si="1185"/>
        <v>1.02</v>
      </c>
      <c r="O3091" s="246">
        <f t="shared" si="1186"/>
        <v>0.92</v>
      </c>
      <c r="P3091" s="121">
        <f t="shared" si="1187"/>
        <v>0</v>
      </c>
      <c r="Q3091" s="121">
        <f t="shared" si="1188"/>
        <v>0</v>
      </c>
      <c r="R3091" s="121">
        <f t="shared" si="1189"/>
        <v>0.91666666666666663</v>
      </c>
      <c r="S3091" s="121" t="str">
        <f t="shared" si="1190"/>
        <v/>
      </c>
      <c r="T3091" s="121" t="str">
        <f t="shared" si="1191"/>
        <v/>
      </c>
      <c r="U3091" s="121">
        <f t="shared" si="1192"/>
        <v>1.02</v>
      </c>
    </row>
    <row r="3092" spans="1:21" x14ac:dyDescent="0.3">
      <c r="A3092" s="187">
        <v>44</v>
      </c>
      <c r="B3092" s="242">
        <f t="shared" si="1193"/>
        <v>46966</v>
      </c>
      <c r="C3092" s="243">
        <f t="shared" si="1174"/>
        <v>46996</v>
      </c>
      <c r="D3092" s="120">
        <f t="shared" si="1175"/>
        <v>31</v>
      </c>
      <c r="E3092" s="120">
        <f t="shared" si="1176"/>
        <v>8</v>
      </c>
      <c r="F3092" s="275">
        <f t="shared" si="1177"/>
        <v>46981.5</v>
      </c>
      <c r="G3092" s="120">
        <f t="shared" si="1178"/>
        <v>24343</v>
      </c>
      <c r="H3092" s="245">
        <f t="shared" si="1179"/>
        <v>1</v>
      </c>
      <c r="I3092" s="121">
        <f t="shared" si="1180"/>
        <v>1.02</v>
      </c>
      <c r="J3092" s="121">
        <f t="shared" si="1181"/>
        <v>1.02</v>
      </c>
      <c r="K3092" s="120">
        <f t="shared" si="1182"/>
        <v>0</v>
      </c>
      <c r="L3092" s="120">
        <f t="shared" si="1183"/>
        <v>0</v>
      </c>
      <c r="M3092" s="246">
        <f t="shared" si="1184"/>
        <v>0</v>
      </c>
      <c r="N3092" s="121">
        <f t="shared" si="1185"/>
        <v>1.02</v>
      </c>
      <c r="O3092" s="246">
        <f t="shared" si="1186"/>
        <v>0.92</v>
      </c>
      <c r="P3092" s="121">
        <f t="shared" si="1187"/>
        <v>0</v>
      </c>
      <c r="Q3092" s="121">
        <f t="shared" si="1188"/>
        <v>0</v>
      </c>
      <c r="R3092" s="121">
        <f t="shared" si="1189"/>
        <v>0.75</v>
      </c>
      <c r="S3092" s="121" t="str">
        <f t="shared" si="1190"/>
        <v/>
      </c>
      <c r="T3092" s="121" t="str">
        <f t="shared" si="1191"/>
        <v/>
      </c>
      <c r="U3092" s="121">
        <f t="shared" si="1192"/>
        <v>1.02</v>
      </c>
    </row>
    <row r="3093" spans="1:21" x14ac:dyDescent="0.3">
      <c r="A3093" s="187">
        <v>45</v>
      </c>
      <c r="B3093" s="242">
        <f t="shared" si="1193"/>
        <v>46997</v>
      </c>
      <c r="C3093" s="243">
        <f t="shared" si="1174"/>
        <v>47026</v>
      </c>
      <c r="D3093" s="120">
        <f t="shared" si="1175"/>
        <v>30</v>
      </c>
      <c r="E3093" s="120">
        <f t="shared" si="1176"/>
        <v>9</v>
      </c>
      <c r="F3093" s="275">
        <f t="shared" si="1177"/>
        <v>47012</v>
      </c>
      <c r="G3093" s="120">
        <f t="shared" si="1178"/>
        <v>24344</v>
      </c>
      <c r="H3093" s="245">
        <f t="shared" si="1179"/>
        <v>1</v>
      </c>
      <c r="I3093" s="121">
        <f t="shared" si="1180"/>
        <v>1.02</v>
      </c>
      <c r="J3093" s="121">
        <f t="shared" si="1181"/>
        <v>1.02</v>
      </c>
      <c r="K3093" s="120">
        <f t="shared" si="1182"/>
        <v>0</v>
      </c>
      <c r="L3093" s="120">
        <f t="shared" si="1183"/>
        <v>0</v>
      </c>
      <c r="M3093" s="246">
        <f t="shared" si="1184"/>
        <v>0</v>
      </c>
      <c r="N3093" s="121">
        <f t="shared" si="1185"/>
        <v>1.02</v>
      </c>
      <c r="O3093" s="246">
        <f t="shared" si="1186"/>
        <v>0.92</v>
      </c>
      <c r="P3093" s="121">
        <f t="shared" si="1187"/>
        <v>0</v>
      </c>
      <c r="Q3093" s="121">
        <f t="shared" si="1188"/>
        <v>0</v>
      </c>
      <c r="R3093" s="121">
        <f t="shared" si="1189"/>
        <v>0.58333333333333337</v>
      </c>
      <c r="S3093" s="121" t="str">
        <f t="shared" si="1190"/>
        <v/>
      </c>
      <c r="T3093" s="121" t="str">
        <f t="shared" si="1191"/>
        <v/>
      </c>
      <c r="U3093" s="121">
        <f t="shared" si="1192"/>
        <v>1.02</v>
      </c>
    </row>
    <row r="3094" spans="1:21" x14ac:dyDescent="0.3">
      <c r="A3094" s="187">
        <v>46</v>
      </c>
      <c r="B3094" s="242">
        <f t="shared" si="1193"/>
        <v>47027</v>
      </c>
      <c r="C3094" s="243">
        <f t="shared" si="1174"/>
        <v>47057</v>
      </c>
      <c r="D3094" s="120">
        <f t="shared" si="1175"/>
        <v>31</v>
      </c>
      <c r="E3094" s="120">
        <f t="shared" si="1176"/>
        <v>10</v>
      </c>
      <c r="F3094" s="275">
        <f t="shared" si="1177"/>
        <v>47042.5</v>
      </c>
      <c r="G3094" s="120">
        <f t="shared" si="1178"/>
        <v>24345</v>
      </c>
      <c r="H3094" s="245">
        <f t="shared" si="1179"/>
        <v>1</v>
      </c>
      <c r="I3094" s="121">
        <f t="shared" si="1180"/>
        <v>1.02</v>
      </c>
      <c r="J3094" s="121">
        <f t="shared" si="1181"/>
        <v>1.02</v>
      </c>
      <c r="K3094" s="120">
        <f t="shared" si="1182"/>
        <v>0</v>
      </c>
      <c r="L3094" s="120">
        <f t="shared" si="1183"/>
        <v>0</v>
      </c>
      <c r="M3094" s="246">
        <f t="shared" si="1184"/>
        <v>0</v>
      </c>
      <c r="N3094" s="121">
        <f t="shared" si="1185"/>
        <v>1.02</v>
      </c>
      <c r="O3094" s="246">
        <f t="shared" si="1186"/>
        <v>0.92</v>
      </c>
      <c r="P3094" s="121">
        <f t="shared" si="1187"/>
        <v>0</v>
      </c>
      <c r="Q3094" s="121">
        <f t="shared" si="1188"/>
        <v>0</v>
      </c>
      <c r="R3094" s="121">
        <f t="shared" si="1189"/>
        <v>0.41666666666666669</v>
      </c>
      <c r="S3094" s="121" t="str">
        <f t="shared" si="1190"/>
        <v/>
      </c>
      <c r="T3094" s="121" t="str">
        <f t="shared" si="1191"/>
        <v/>
      </c>
      <c r="U3094" s="121">
        <f t="shared" si="1192"/>
        <v>1.02</v>
      </c>
    </row>
    <row r="3095" spans="1:21" x14ac:dyDescent="0.3">
      <c r="A3095" s="187">
        <v>47</v>
      </c>
      <c r="B3095" s="242">
        <f t="shared" si="1193"/>
        <v>47058</v>
      </c>
      <c r="C3095" s="243">
        <f t="shared" si="1174"/>
        <v>47087</v>
      </c>
      <c r="D3095" s="120">
        <f t="shared" si="1175"/>
        <v>30</v>
      </c>
      <c r="E3095" s="120">
        <f t="shared" si="1176"/>
        <v>11</v>
      </c>
      <c r="F3095" s="275">
        <f t="shared" si="1177"/>
        <v>47073</v>
      </c>
      <c r="G3095" s="120">
        <f t="shared" si="1178"/>
        <v>24346</v>
      </c>
      <c r="H3095" s="245">
        <f t="shared" si="1179"/>
        <v>1</v>
      </c>
      <c r="I3095" s="121">
        <f t="shared" si="1180"/>
        <v>1.02</v>
      </c>
      <c r="J3095" s="121">
        <f t="shared" si="1181"/>
        <v>1.02</v>
      </c>
      <c r="K3095" s="120">
        <f t="shared" si="1182"/>
        <v>0</v>
      </c>
      <c r="L3095" s="120">
        <f t="shared" si="1183"/>
        <v>0</v>
      </c>
      <c r="M3095" s="246">
        <f t="shared" si="1184"/>
        <v>0</v>
      </c>
      <c r="N3095" s="121">
        <f t="shared" si="1185"/>
        <v>1.02</v>
      </c>
      <c r="O3095" s="246">
        <f t="shared" si="1186"/>
        <v>0.92</v>
      </c>
      <c r="P3095" s="121">
        <f t="shared" si="1187"/>
        <v>0</v>
      </c>
      <c r="Q3095" s="121">
        <f t="shared" si="1188"/>
        <v>0</v>
      </c>
      <c r="R3095" s="121">
        <f t="shared" si="1189"/>
        <v>0.25</v>
      </c>
      <c r="S3095" s="121" t="str">
        <f t="shared" si="1190"/>
        <v/>
      </c>
      <c r="T3095" s="121" t="str">
        <f t="shared" si="1191"/>
        <v/>
      </c>
      <c r="U3095" s="121">
        <f t="shared" si="1192"/>
        <v>1.02</v>
      </c>
    </row>
    <row r="3096" spans="1:21" x14ac:dyDescent="0.3">
      <c r="A3096" s="187">
        <v>48</v>
      </c>
      <c r="B3096" s="242">
        <f t="shared" si="1193"/>
        <v>47088</v>
      </c>
      <c r="C3096" s="243">
        <f t="shared" si="1174"/>
        <v>47118</v>
      </c>
      <c r="D3096" s="120">
        <f t="shared" si="1175"/>
        <v>31</v>
      </c>
      <c r="E3096" s="120">
        <f t="shared" si="1176"/>
        <v>12</v>
      </c>
      <c r="F3096" s="275">
        <f t="shared" si="1177"/>
        <v>47103.5</v>
      </c>
      <c r="G3096" s="120">
        <f t="shared" si="1178"/>
        <v>24347</v>
      </c>
      <c r="H3096" s="245">
        <f t="shared" si="1179"/>
        <v>1</v>
      </c>
      <c r="I3096" s="121">
        <f t="shared" si="1180"/>
        <v>1.02</v>
      </c>
      <c r="J3096" s="121">
        <f t="shared" si="1181"/>
        <v>1.02</v>
      </c>
      <c r="K3096" s="120">
        <f t="shared" si="1182"/>
        <v>0</v>
      </c>
      <c r="L3096" s="120">
        <f t="shared" si="1183"/>
        <v>0</v>
      </c>
      <c r="M3096" s="246">
        <f t="shared" si="1184"/>
        <v>0</v>
      </c>
      <c r="N3096" s="121">
        <f t="shared" si="1185"/>
        <v>1.02</v>
      </c>
      <c r="O3096" s="246">
        <f t="shared" si="1186"/>
        <v>0.92</v>
      </c>
      <c r="P3096" s="121">
        <f t="shared" si="1187"/>
        <v>0</v>
      </c>
      <c r="Q3096" s="121">
        <f t="shared" si="1188"/>
        <v>0</v>
      </c>
      <c r="R3096" s="121">
        <f t="shared" si="1189"/>
        <v>8.3333333333333329E-2</v>
      </c>
      <c r="S3096" s="121" t="str">
        <f t="shared" si="1190"/>
        <v/>
      </c>
      <c r="T3096" s="121" t="str">
        <f t="shared" si="1191"/>
        <v/>
      </c>
      <c r="U3096" s="121">
        <f t="shared" si="1192"/>
        <v>1.02</v>
      </c>
    </row>
    <row r="3097" spans="1:21" x14ac:dyDescent="0.3">
      <c r="A3097" s="6" t="s">
        <v>1651</v>
      </c>
      <c r="B3097" s="73">
        <f>EXP(SUMPRODUCT((rl_key=$A$3046)*(rl_cons="Y")*rl_ln1p))</f>
        <v>1.02</v>
      </c>
      <c r="C3097" s="73">
        <f>SUMPRODUCT($H$3049:$H$3096,$P$3049:$P$3096,$U$3049:$U$3096)/SUMPRODUCT($H$3049:$H$3096,$P$3049:$P$3096)</f>
        <v>1.0034722222222225</v>
      </c>
      <c r="D3097" s="73">
        <f>SUMPRODUCT($H$3049:$H$3096,$Q$3049:$Q$3096,$U$3049:$U$3096)/SUMPRODUCT($H$3049:$H$3096,$Q$3049:$Q$3096)</f>
        <v>1.0198611111111113</v>
      </c>
      <c r="E3097" s="73">
        <f>SUMPRODUCT($H$3049:$H$3096,$R$3049:$R$3096,$U$3049:$U$3096)/SUMPRODUCT($H$3049:$H$3096,$R$3049:$R$3096)</f>
        <v>1.0200000000000002</v>
      </c>
      <c r="F3097" s="224">
        <f>SUMPRODUCT($H$3049:$H$3096,$Q$3049:$Q$3096,$O$3049:$O$3096)/SUMPRODUCT($H$3049:$H$3096,$Q$3049:$Q$3096)</f>
        <v>0.91399252370532447</v>
      </c>
      <c r="G3097" s="224">
        <f>SUMPRODUCT($H$3049:$H$3096,$R$3049:$R$3096,$O$3049:$O$3096)/SUMPRODUCT($H$3049:$H$3096,$R$3049:$R$3096)</f>
        <v>0.91966022368101141</v>
      </c>
      <c r="H3097" s="73">
        <f>SUMPRODUCT($H$3073:$H$3084,$N$3073:$N$3084/$N$3061:$N$3072)/SUM($H$3073:$H$3084)</f>
        <v>1.0116666666666665</v>
      </c>
      <c r="I3097" s="73">
        <f>SUMPRODUCT($H$3073:$H$3084,$O$3073:$O$3084/$O$3061:$O$3072)/SUM($H$3073:$H$3084)</f>
        <v>1.0087961468131064</v>
      </c>
      <c r="J3097" s="73">
        <f>IF($O$3046=1,SUMPRODUCT($H$3073:$H$3084,$N$3073:$N$3084/$N$3061:$N$3072*$O$3073:$O$3084/$O$3061:$O$3072)/SUM($H$3073:$H$3084),$H3097)</f>
        <v>1.0205656237440481</v>
      </c>
      <c r="K3097" s="73">
        <f>SUMPRODUCT($H$3049:$H$3096,$Q$3049:$Q$3096,$N$3049:$N$3096)/SUMPRODUCT($H$3049:$H$3096,$Q$3049:$Q$3096)</f>
        <v>1.0198611111111113</v>
      </c>
      <c r="L3097" s="73">
        <f>SUMPRODUCT($H$3049:$H$3096,$R$3049:$R$3096,$N$3049:$N$3096)/SUMPRODUCT($H$3049:$H$3096,$R$3049:$R$3096)</f>
        <v>1.0200000000000002</v>
      </c>
    </row>
    <row r="3100" spans="1:21" x14ac:dyDescent="0.3">
      <c r="A3100" s="6" t="str">
        <f>INDEX(lr_key,57)</f>
        <v>SBA|OH</v>
      </c>
      <c r="B3100" s="6" t="str">
        <f>INDEX(lr_state,57)</f>
        <v>OH</v>
      </c>
      <c r="C3100" s="75">
        <f>nr_TermMonths</f>
        <v>6</v>
      </c>
      <c r="D3100" s="75">
        <f>IF(COUNTIF(se_state,$B3100)=0,0,MATCH($B3100,se_state,0))</f>
        <v>0</v>
      </c>
      <c r="E3100" s="70">
        <f>IF($D3100=0,0,INDEX(se_sum,$D3100))</f>
        <v>0</v>
      </c>
      <c r="F3100" s="224">
        <f>IF(N(INDEX(lr_mind,57))=0,1,INDEX(lr_mind,57))</f>
        <v>0.92</v>
      </c>
      <c r="G3100" s="224">
        <f>IF(N(INDEX(lr_m0,57))=0,1,INDEX(lr_m0,57))</f>
        <v>0.91</v>
      </c>
      <c r="H3100" s="74">
        <f>IF(N(INDEX(lr_m0asof,57))=0,DATE(nr_PlanYear-1,10,1),INDEX(lr_m0asof,57))</f>
        <v>46295</v>
      </c>
      <c r="I3100" s="224">
        <f>IF(N(INDEX(lr_m1,57))=0,1,INDEX(lr_m1,57))</f>
        <v>0.9</v>
      </c>
      <c r="J3100" s="224">
        <f>INDEX(lr_mprior,57)</f>
        <v>0</v>
      </c>
      <c r="K3100" s="224">
        <f>INDEX(lr_m2,57)</f>
        <v>0</v>
      </c>
      <c r="L3100" s="6" t="b">
        <f>NOT(ISBLANK(INDEX(lr_netp,57)))</f>
        <v>0</v>
      </c>
      <c r="M3100" s="72">
        <f>N(INDEX(lr_netp,57))</f>
        <v>0</v>
      </c>
      <c r="N3100" s="72">
        <f>IF(ISBLANK(INDEX(lr_netp1,57)),$M$3100,N(INDEX(lr_netp1,57)))</f>
        <v>0</v>
      </c>
      <c r="O3100" s="75">
        <f>IF(AND(nr_ModAdjMaster="ON",INDEX(lr_modadj,57)="ON"),1,0)</f>
        <v>1</v>
      </c>
    </row>
    <row r="3101" spans="1:21" x14ac:dyDescent="0.3">
      <c r="A3101" s="6">
        <f>EDATE($H$3100,-12)+1</f>
        <v>45931</v>
      </c>
      <c r="B3101" s="6">
        <f>$H$3100+1</f>
        <v>46296</v>
      </c>
      <c r="C3101" s="6">
        <f>DATE(nr_PlanYear,12,31)+1</f>
        <v>46753</v>
      </c>
      <c r="D3101" s="6">
        <f>DATE(nr_PlanYear+1,12,31)+1</f>
        <v>47119</v>
      </c>
      <c r="E3101" s="6">
        <f>IF(N($J$3100)=0,$F$3101-($G$3101-$F$3101)/($C$3101-$B$3101)*($B$3101-$A$3101),$J$3100)</f>
        <v>0.91798687089715536</v>
      </c>
      <c r="F3101" s="6">
        <f>$G$3100</f>
        <v>0.91</v>
      </c>
      <c r="G3101" s="6">
        <f>$I$3100</f>
        <v>0.9</v>
      </c>
      <c r="H3101" s="6">
        <f>IF(N($K$3100)=0,$I$3100,$K$3100)</f>
        <v>0.9</v>
      </c>
      <c r="I3101" s="6">
        <f>($F$3101-$E$3101)/($B$3101-$A$3101)</f>
        <v>-2.1881838074398162E-5</v>
      </c>
      <c r="J3101" s="6">
        <f>($G$3101-$F$3101)/($C$3101-$B$3101)</f>
        <v>-2.188183807439827E-5</v>
      </c>
      <c r="K3101" s="6">
        <f>($H$3101-$G$3101)/($D$3101-$C$3101)</f>
        <v>0</v>
      </c>
    </row>
    <row r="3102" spans="1:21" ht="36" x14ac:dyDescent="0.3">
      <c r="A3102" s="58" t="s">
        <v>390</v>
      </c>
      <c r="B3102" s="58" t="s">
        <v>449</v>
      </c>
      <c r="C3102" s="58" t="s">
        <v>685</v>
      </c>
      <c r="D3102" s="58" t="s">
        <v>686</v>
      </c>
      <c r="E3102" s="58" t="s">
        <v>687</v>
      </c>
      <c r="F3102" s="58" t="s">
        <v>688</v>
      </c>
      <c r="G3102" s="58" t="s">
        <v>689</v>
      </c>
      <c r="H3102" s="58" t="s">
        <v>452</v>
      </c>
      <c r="I3102" s="58" t="s">
        <v>690</v>
      </c>
      <c r="J3102" s="58" t="s">
        <v>691</v>
      </c>
      <c r="K3102" s="58" t="s">
        <v>692</v>
      </c>
      <c r="L3102" s="58" t="s">
        <v>693</v>
      </c>
      <c r="M3102" s="58" t="s">
        <v>694</v>
      </c>
      <c r="N3102" s="58" t="s">
        <v>695</v>
      </c>
      <c r="O3102" s="58" t="s">
        <v>696</v>
      </c>
      <c r="P3102" s="58" t="s">
        <v>697</v>
      </c>
      <c r="Q3102" s="58" t="s">
        <v>698</v>
      </c>
      <c r="R3102" s="58" t="s">
        <v>699</v>
      </c>
      <c r="S3102" s="58" t="s">
        <v>700</v>
      </c>
      <c r="T3102" s="58" t="s">
        <v>701</v>
      </c>
      <c r="U3102" s="58" t="s">
        <v>702</v>
      </c>
    </row>
    <row r="3103" spans="1:21" x14ac:dyDescent="0.3">
      <c r="A3103" s="187">
        <v>1</v>
      </c>
      <c r="B3103" s="242">
        <f>DATE(nr_PlanYear-2,1,1)</f>
        <v>45658</v>
      </c>
      <c r="C3103" s="243">
        <f t="shared" ref="C3103:C3150" si="1194">EOMONTH($B3103,0)</f>
        <v>45688</v>
      </c>
      <c r="D3103" s="120">
        <f t="shared" ref="D3103:D3150" si="1195">$C3103-$B3103+1</f>
        <v>31</v>
      </c>
      <c r="E3103" s="120">
        <f t="shared" ref="E3103:E3150" si="1196">MONTH($B3103)</f>
        <v>1</v>
      </c>
      <c r="F3103" s="275">
        <f t="shared" ref="F3103:F3150" si="1197">($B3103+$C3103+1)/2</f>
        <v>45673.5</v>
      </c>
      <c r="G3103" s="120">
        <f t="shared" ref="G3103:G3150" si="1198">YEAR($B3103)*12+MONTH($B3103)-1</f>
        <v>24300</v>
      </c>
      <c r="H3103" s="245">
        <f t="shared" ref="H3103:H3150" si="1199">IF(OR(nr_SeasonOn="OFF",$D$3100=0,$E$3100=0),1,12*INDEX(se_block,$D$3100,$E3103)/$E$3100)</f>
        <v>1</v>
      </c>
      <c r="I3103" s="121">
        <f t="shared" ref="I3103:I3150" si="1200">EXP(SUMPRODUCT((rl_eff&lt;$B3103)*(rl_key=$A$3100)*rl_ln1p))</f>
        <v>1</v>
      </c>
      <c r="J3103" s="121">
        <f t="shared" ref="J3103:J3150" si="1201">EXP(SUMPRODUCT((rl_eff&lt;=$C3103)*(rl_key=$A$3100)*rl_ln1p))</f>
        <v>1</v>
      </c>
      <c r="K3103" s="120">
        <f t="shared" ref="K3103:K3150" si="1202">COUNTIFS(rl_key,$A$3100,rl_eff,"&gt;="&amp;$B3103,rl_eff,"&lt;="&amp;$C3103)</f>
        <v>0</v>
      </c>
      <c r="L3103" s="120">
        <f t="shared" ref="L3103:L3150" si="1203">SUMIFS(rl_daysafter,rl_key,$A$3100,rl_effmonth,$B3103,rl_first,1)</f>
        <v>0</v>
      </c>
      <c r="M3103" s="246">
        <f t="shared" ref="M3103:M3150" si="1204">IF($K3103=0,0,MIN(1,$L3103/$D3103))</f>
        <v>0</v>
      </c>
      <c r="N3103" s="121">
        <f t="shared" ref="N3103:N3150" si="1205">IF($K3103=0,$J3103,(1-$M3103)*$I3103+$M3103*$J3103)</f>
        <v>1</v>
      </c>
      <c r="O3103" s="246">
        <f t="shared" ref="O3103:O3150" si="1206">IF($F3103&lt;$B$3101,$E$3101+$I$3101*($F3103-$A$3101),IF($F3103&lt;$C$3101,$F$3101+$J$3101*($F3103-$B$3101),$G$3101+$K$3101*($F3103-$C$3101)))</f>
        <v>0.92362144420131287</v>
      </c>
      <c r="P3103" s="121">
        <f t="shared" ref="P3103:P3150" si="1207">MIN(1,MAX(0,(nr_MEndPm1-$G3103+0.5)/$C$3100))-MIN(1,MAX(0,(nr_MStartPm1-1-$G3103+0.5)/$C$3100))</f>
        <v>0</v>
      </c>
      <c r="Q3103" s="121">
        <f t="shared" ref="Q3103:Q3150" si="1208">MIN(1,MAX(0,(nr_MEndP-$G3103+0.5)/$C$3100))-MIN(1,MAX(0,(nr_MStartP-1-$G3103+0.5)/$C$3100))</f>
        <v>0</v>
      </c>
      <c r="R3103" s="121">
        <f t="shared" ref="R3103:R3150" si="1209">MIN(1,MAX(0,(nr_MEndP1-$G3103+0.5)/$C$3100))-MIN(1,MAX(0,(nr_MStartP1-1-$G3103+0.5)/$C$3100))</f>
        <v>0</v>
      </c>
      <c r="S3103" s="121" t="str">
        <f t="shared" ref="S3103:S3150" si="1210">IF($L$3100,$N3103*IF($O$3100=1,$O3103/$F$3100,1),"")</f>
        <v/>
      </c>
      <c r="T3103" s="121" t="str">
        <f t="shared" ref="T3103:T3150" si="1211">IF(NOT($L$3100),"",IF($G3103&lt;nr_MStartP,$S3103,$T3091*(1+IF($G3103&lt;nr_MStartP1,$M$3100,$N$3100))))</f>
        <v/>
      </c>
      <c r="U3103" s="121">
        <f t="shared" ref="U3103:U3150" si="1212">IF($L$3100,$T3103,$N3103)</f>
        <v>1</v>
      </c>
    </row>
    <row r="3104" spans="1:21" x14ac:dyDescent="0.3">
      <c r="A3104" s="187">
        <v>2</v>
      </c>
      <c r="B3104" s="242">
        <f t="shared" ref="B3104:B3150" si="1213">EDATE($B3103,1)</f>
        <v>45689</v>
      </c>
      <c r="C3104" s="243">
        <f t="shared" si="1194"/>
        <v>45716</v>
      </c>
      <c r="D3104" s="120">
        <f t="shared" si="1195"/>
        <v>28</v>
      </c>
      <c r="E3104" s="120">
        <f t="shared" si="1196"/>
        <v>2</v>
      </c>
      <c r="F3104" s="275">
        <f t="shared" si="1197"/>
        <v>45703</v>
      </c>
      <c r="G3104" s="120">
        <f t="shared" si="1198"/>
        <v>24301</v>
      </c>
      <c r="H3104" s="245">
        <f t="shared" si="1199"/>
        <v>1</v>
      </c>
      <c r="I3104" s="121">
        <f t="shared" si="1200"/>
        <v>1</v>
      </c>
      <c r="J3104" s="121">
        <f t="shared" si="1201"/>
        <v>1</v>
      </c>
      <c r="K3104" s="120">
        <f t="shared" si="1202"/>
        <v>0</v>
      </c>
      <c r="L3104" s="120">
        <f t="shared" si="1203"/>
        <v>0</v>
      </c>
      <c r="M3104" s="246">
        <f t="shared" si="1204"/>
        <v>0</v>
      </c>
      <c r="N3104" s="121">
        <f t="shared" si="1205"/>
        <v>1</v>
      </c>
      <c r="O3104" s="246">
        <f t="shared" si="1206"/>
        <v>0.92297592997811817</v>
      </c>
      <c r="P3104" s="121">
        <f t="shared" si="1207"/>
        <v>0</v>
      </c>
      <c r="Q3104" s="121">
        <f t="shared" si="1208"/>
        <v>0</v>
      </c>
      <c r="R3104" s="121">
        <f t="shared" si="1209"/>
        <v>0</v>
      </c>
      <c r="S3104" s="121" t="str">
        <f t="shared" si="1210"/>
        <v/>
      </c>
      <c r="T3104" s="121" t="str">
        <f t="shared" si="1211"/>
        <v/>
      </c>
      <c r="U3104" s="121">
        <f t="shared" si="1212"/>
        <v>1</v>
      </c>
    </row>
    <row r="3105" spans="1:21" x14ac:dyDescent="0.3">
      <c r="A3105" s="187">
        <v>3</v>
      </c>
      <c r="B3105" s="242">
        <f t="shared" si="1213"/>
        <v>45717</v>
      </c>
      <c r="C3105" s="243">
        <f t="shared" si="1194"/>
        <v>45747</v>
      </c>
      <c r="D3105" s="120">
        <f t="shared" si="1195"/>
        <v>31</v>
      </c>
      <c r="E3105" s="120">
        <f t="shared" si="1196"/>
        <v>3</v>
      </c>
      <c r="F3105" s="275">
        <f t="shared" si="1197"/>
        <v>45732.5</v>
      </c>
      <c r="G3105" s="120">
        <f t="shared" si="1198"/>
        <v>24302</v>
      </c>
      <c r="H3105" s="245">
        <f t="shared" si="1199"/>
        <v>1</v>
      </c>
      <c r="I3105" s="121">
        <f t="shared" si="1200"/>
        <v>1</v>
      </c>
      <c r="J3105" s="121">
        <f t="shared" si="1201"/>
        <v>1</v>
      </c>
      <c r="K3105" s="120">
        <f t="shared" si="1202"/>
        <v>0</v>
      </c>
      <c r="L3105" s="120">
        <f t="shared" si="1203"/>
        <v>0</v>
      </c>
      <c r="M3105" s="246">
        <f t="shared" si="1204"/>
        <v>0</v>
      </c>
      <c r="N3105" s="121">
        <f t="shared" si="1205"/>
        <v>1</v>
      </c>
      <c r="O3105" s="246">
        <f t="shared" si="1206"/>
        <v>0.92233041575492336</v>
      </c>
      <c r="P3105" s="121">
        <f t="shared" si="1207"/>
        <v>0</v>
      </c>
      <c r="Q3105" s="121">
        <f t="shared" si="1208"/>
        <v>0</v>
      </c>
      <c r="R3105" s="121">
        <f t="shared" si="1209"/>
        <v>0</v>
      </c>
      <c r="S3105" s="121" t="str">
        <f t="shared" si="1210"/>
        <v/>
      </c>
      <c r="T3105" s="121" t="str">
        <f t="shared" si="1211"/>
        <v/>
      </c>
      <c r="U3105" s="121">
        <f t="shared" si="1212"/>
        <v>1</v>
      </c>
    </row>
    <row r="3106" spans="1:21" x14ac:dyDescent="0.3">
      <c r="A3106" s="187">
        <v>4</v>
      </c>
      <c r="B3106" s="242">
        <f t="shared" si="1213"/>
        <v>45748</v>
      </c>
      <c r="C3106" s="243">
        <f t="shared" si="1194"/>
        <v>45777</v>
      </c>
      <c r="D3106" s="120">
        <f t="shared" si="1195"/>
        <v>30</v>
      </c>
      <c r="E3106" s="120">
        <f t="shared" si="1196"/>
        <v>4</v>
      </c>
      <c r="F3106" s="275">
        <f t="shared" si="1197"/>
        <v>45763</v>
      </c>
      <c r="G3106" s="120">
        <f t="shared" si="1198"/>
        <v>24303</v>
      </c>
      <c r="H3106" s="245">
        <f t="shared" si="1199"/>
        <v>1</v>
      </c>
      <c r="I3106" s="121">
        <f t="shared" si="1200"/>
        <v>1</v>
      </c>
      <c r="J3106" s="121">
        <f t="shared" si="1201"/>
        <v>1</v>
      </c>
      <c r="K3106" s="120">
        <f t="shared" si="1202"/>
        <v>0</v>
      </c>
      <c r="L3106" s="120">
        <f t="shared" si="1203"/>
        <v>0</v>
      </c>
      <c r="M3106" s="246">
        <f t="shared" si="1204"/>
        <v>0</v>
      </c>
      <c r="N3106" s="121">
        <f t="shared" si="1205"/>
        <v>1</v>
      </c>
      <c r="O3106" s="246">
        <f t="shared" si="1206"/>
        <v>0.92166301969365427</v>
      </c>
      <c r="P3106" s="121">
        <f t="shared" si="1207"/>
        <v>0</v>
      </c>
      <c r="Q3106" s="121">
        <f t="shared" si="1208"/>
        <v>0</v>
      </c>
      <c r="R3106" s="121">
        <f t="shared" si="1209"/>
        <v>0</v>
      </c>
      <c r="S3106" s="121" t="str">
        <f t="shared" si="1210"/>
        <v/>
      </c>
      <c r="T3106" s="121" t="str">
        <f t="shared" si="1211"/>
        <v/>
      </c>
      <c r="U3106" s="121">
        <f t="shared" si="1212"/>
        <v>1</v>
      </c>
    </row>
    <row r="3107" spans="1:21" x14ac:dyDescent="0.3">
      <c r="A3107" s="187">
        <v>5</v>
      </c>
      <c r="B3107" s="242">
        <f t="shared" si="1213"/>
        <v>45778</v>
      </c>
      <c r="C3107" s="243">
        <f t="shared" si="1194"/>
        <v>45808</v>
      </c>
      <c r="D3107" s="120">
        <f t="shared" si="1195"/>
        <v>31</v>
      </c>
      <c r="E3107" s="120">
        <f t="shared" si="1196"/>
        <v>5</v>
      </c>
      <c r="F3107" s="275">
        <f t="shared" si="1197"/>
        <v>45793.5</v>
      </c>
      <c r="G3107" s="120">
        <f t="shared" si="1198"/>
        <v>24304</v>
      </c>
      <c r="H3107" s="245">
        <f t="shared" si="1199"/>
        <v>1</v>
      </c>
      <c r="I3107" s="121">
        <f t="shared" si="1200"/>
        <v>1</v>
      </c>
      <c r="J3107" s="121">
        <f t="shared" si="1201"/>
        <v>1</v>
      </c>
      <c r="K3107" s="120">
        <f t="shared" si="1202"/>
        <v>0</v>
      </c>
      <c r="L3107" s="120">
        <f t="shared" si="1203"/>
        <v>0</v>
      </c>
      <c r="M3107" s="246">
        <f t="shared" si="1204"/>
        <v>0</v>
      </c>
      <c r="N3107" s="121">
        <f t="shared" si="1205"/>
        <v>1</v>
      </c>
      <c r="O3107" s="246">
        <f t="shared" si="1206"/>
        <v>0.92099562363238507</v>
      </c>
      <c r="P3107" s="121">
        <f t="shared" si="1207"/>
        <v>0</v>
      </c>
      <c r="Q3107" s="121">
        <f t="shared" si="1208"/>
        <v>0</v>
      </c>
      <c r="R3107" s="121">
        <f t="shared" si="1209"/>
        <v>0</v>
      </c>
      <c r="S3107" s="121" t="str">
        <f t="shared" si="1210"/>
        <v/>
      </c>
      <c r="T3107" s="121" t="str">
        <f t="shared" si="1211"/>
        <v/>
      </c>
      <c r="U3107" s="121">
        <f t="shared" si="1212"/>
        <v>1</v>
      </c>
    </row>
    <row r="3108" spans="1:21" x14ac:dyDescent="0.3">
      <c r="A3108" s="187">
        <v>6</v>
      </c>
      <c r="B3108" s="242">
        <f t="shared" si="1213"/>
        <v>45809</v>
      </c>
      <c r="C3108" s="243">
        <f t="shared" si="1194"/>
        <v>45838</v>
      </c>
      <c r="D3108" s="120">
        <f t="shared" si="1195"/>
        <v>30</v>
      </c>
      <c r="E3108" s="120">
        <f t="shared" si="1196"/>
        <v>6</v>
      </c>
      <c r="F3108" s="275">
        <f t="shared" si="1197"/>
        <v>45824</v>
      </c>
      <c r="G3108" s="120">
        <f t="shared" si="1198"/>
        <v>24305</v>
      </c>
      <c r="H3108" s="245">
        <f t="shared" si="1199"/>
        <v>1</v>
      </c>
      <c r="I3108" s="121">
        <f t="shared" si="1200"/>
        <v>1</v>
      </c>
      <c r="J3108" s="121">
        <f t="shared" si="1201"/>
        <v>1</v>
      </c>
      <c r="K3108" s="120">
        <f t="shared" si="1202"/>
        <v>0</v>
      </c>
      <c r="L3108" s="120">
        <f t="shared" si="1203"/>
        <v>0</v>
      </c>
      <c r="M3108" s="246">
        <f t="shared" si="1204"/>
        <v>0</v>
      </c>
      <c r="N3108" s="121">
        <f t="shared" si="1205"/>
        <v>1</v>
      </c>
      <c r="O3108" s="246">
        <f t="shared" si="1206"/>
        <v>0.92032822757111599</v>
      </c>
      <c r="P3108" s="121">
        <f t="shared" si="1207"/>
        <v>0</v>
      </c>
      <c r="Q3108" s="121">
        <f t="shared" si="1208"/>
        <v>0</v>
      </c>
      <c r="R3108" s="121">
        <f t="shared" si="1209"/>
        <v>0</v>
      </c>
      <c r="S3108" s="121" t="str">
        <f t="shared" si="1210"/>
        <v/>
      </c>
      <c r="T3108" s="121" t="str">
        <f t="shared" si="1211"/>
        <v/>
      </c>
      <c r="U3108" s="121">
        <f t="shared" si="1212"/>
        <v>1</v>
      </c>
    </row>
    <row r="3109" spans="1:21" x14ac:dyDescent="0.3">
      <c r="A3109" s="187">
        <v>7</v>
      </c>
      <c r="B3109" s="242">
        <f t="shared" si="1213"/>
        <v>45839</v>
      </c>
      <c r="C3109" s="243">
        <f t="shared" si="1194"/>
        <v>45869</v>
      </c>
      <c r="D3109" s="120">
        <f t="shared" si="1195"/>
        <v>31</v>
      </c>
      <c r="E3109" s="120">
        <f t="shared" si="1196"/>
        <v>7</v>
      </c>
      <c r="F3109" s="275">
        <f t="shared" si="1197"/>
        <v>45854.5</v>
      </c>
      <c r="G3109" s="120">
        <f t="shared" si="1198"/>
        <v>24306</v>
      </c>
      <c r="H3109" s="245">
        <f t="shared" si="1199"/>
        <v>1</v>
      </c>
      <c r="I3109" s="121">
        <f t="shared" si="1200"/>
        <v>1</v>
      </c>
      <c r="J3109" s="121">
        <f t="shared" si="1201"/>
        <v>1</v>
      </c>
      <c r="K3109" s="120">
        <f t="shared" si="1202"/>
        <v>0</v>
      </c>
      <c r="L3109" s="120">
        <f t="shared" si="1203"/>
        <v>0</v>
      </c>
      <c r="M3109" s="246">
        <f t="shared" si="1204"/>
        <v>0</v>
      </c>
      <c r="N3109" s="121">
        <f t="shared" si="1205"/>
        <v>1</v>
      </c>
      <c r="O3109" s="246">
        <f t="shared" si="1206"/>
        <v>0.91966083150984679</v>
      </c>
      <c r="P3109" s="121">
        <f t="shared" si="1207"/>
        <v>8.333333333333337E-2</v>
      </c>
      <c r="Q3109" s="121">
        <f t="shared" si="1208"/>
        <v>0</v>
      </c>
      <c r="R3109" s="121">
        <f t="shared" si="1209"/>
        <v>0</v>
      </c>
      <c r="S3109" s="121" t="str">
        <f t="shared" si="1210"/>
        <v/>
      </c>
      <c r="T3109" s="121" t="str">
        <f t="shared" si="1211"/>
        <v/>
      </c>
      <c r="U3109" s="121">
        <f t="shared" si="1212"/>
        <v>1</v>
      </c>
    </row>
    <row r="3110" spans="1:21" x14ac:dyDescent="0.3">
      <c r="A3110" s="187">
        <v>8</v>
      </c>
      <c r="B3110" s="242">
        <f t="shared" si="1213"/>
        <v>45870</v>
      </c>
      <c r="C3110" s="243">
        <f t="shared" si="1194"/>
        <v>45900</v>
      </c>
      <c r="D3110" s="120">
        <f t="shared" si="1195"/>
        <v>31</v>
      </c>
      <c r="E3110" s="120">
        <f t="shared" si="1196"/>
        <v>8</v>
      </c>
      <c r="F3110" s="275">
        <f t="shared" si="1197"/>
        <v>45885.5</v>
      </c>
      <c r="G3110" s="120">
        <f t="shared" si="1198"/>
        <v>24307</v>
      </c>
      <c r="H3110" s="245">
        <f t="shared" si="1199"/>
        <v>1</v>
      </c>
      <c r="I3110" s="121">
        <f t="shared" si="1200"/>
        <v>1</v>
      </c>
      <c r="J3110" s="121">
        <f t="shared" si="1201"/>
        <v>1</v>
      </c>
      <c r="K3110" s="120">
        <f t="shared" si="1202"/>
        <v>0</v>
      </c>
      <c r="L3110" s="120">
        <f t="shared" si="1203"/>
        <v>0</v>
      </c>
      <c r="M3110" s="246">
        <f t="shared" si="1204"/>
        <v>0</v>
      </c>
      <c r="N3110" s="121">
        <f t="shared" si="1205"/>
        <v>1</v>
      </c>
      <c r="O3110" s="246">
        <f t="shared" si="1206"/>
        <v>0.91898249452954051</v>
      </c>
      <c r="P3110" s="121">
        <f t="shared" si="1207"/>
        <v>0.25</v>
      </c>
      <c r="Q3110" s="121">
        <f t="shared" si="1208"/>
        <v>0</v>
      </c>
      <c r="R3110" s="121">
        <f t="shared" si="1209"/>
        <v>0</v>
      </c>
      <c r="S3110" s="121" t="str">
        <f t="shared" si="1210"/>
        <v/>
      </c>
      <c r="T3110" s="121" t="str">
        <f t="shared" si="1211"/>
        <v/>
      </c>
      <c r="U3110" s="121">
        <f t="shared" si="1212"/>
        <v>1</v>
      </c>
    </row>
    <row r="3111" spans="1:21" x14ac:dyDescent="0.3">
      <c r="A3111" s="187">
        <v>9</v>
      </c>
      <c r="B3111" s="242">
        <f t="shared" si="1213"/>
        <v>45901</v>
      </c>
      <c r="C3111" s="243">
        <f t="shared" si="1194"/>
        <v>45930</v>
      </c>
      <c r="D3111" s="120">
        <f t="shared" si="1195"/>
        <v>30</v>
      </c>
      <c r="E3111" s="120">
        <f t="shared" si="1196"/>
        <v>9</v>
      </c>
      <c r="F3111" s="275">
        <f t="shared" si="1197"/>
        <v>45916</v>
      </c>
      <c r="G3111" s="120">
        <f t="shared" si="1198"/>
        <v>24308</v>
      </c>
      <c r="H3111" s="245">
        <f t="shared" si="1199"/>
        <v>1</v>
      </c>
      <c r="I3111" s="121">
        <f t="shared" si="1200"/>
        <v>1</v>
      </c>
      <c r="J3111" s="121">
        <f t="shared" si="1201"/>
        <v>1</v>
      </c>
      <c r="K3111" s="120">
        <f t="shared" si="1202"/>
        <v>0</v>
      </c>
      <c r="L3111" s="120">
        <f t="shared" si="1203"/>
        <v>0</v>
      </c>
      <c r="M3111" s="246">
        <f t="shared" si="1204"/>
        <v>0</v>
      </c>
      <c r="N3111" s="121">
        <f t="shared" si="1205"/>
        <v>1</v>
      </c>
      <c r="O3111" s="246">
        <f t="shared" si="1206"/>
        <v>0.91831509846827131</v>
      </c>
      <c r="P3111" s="121">
        <f t="shared" si="1207"/>
        <v>0.41666666666666663</v>
      </c>
      <c r="Q3111" s="121">
        <f t="shared" si="1208"/>
        <v>0</v>
      </c>
      <c r="R3111" s="121">
        <f t="shared" si="1209"/>
        <v>0</v>
      </c>
      <c r="S3111" s="121" t="str">
        <f t="shared" si="1210"/>
        <v/>
      </c>
      <c r="T3111" s="121" t="str">
        <f t="shared" si="1211"/>
        <v/>
      </c>
      <c r="U3111" s="121">
        <f t="shared" si="1212"/>
        <v>1</v>
      </c>
    </row>
    <row r="3112" spans="1:21" x14ac:dyDescent="0.3">
      <c r="A3112" s="187">
        <v>10</v>
      </c>
      <c r="B3112" s="242">
        <f t="shared" si="1213"/>
        <v>45931</v>
      </c>
      <c r="C3112" s="243">
        <f t="shared" si="1194"/>
        <v>45961</v>
      </c>
      <c r="D3112" s="120">
        <f t="shared" si="1195"/>
        <v>31</v>
      </c>
      <c r="E3112" s="120">
        <f t="shared" si="1196"/>
        <v>10</v>
      </c>
      <c r="F3112" s="275">
        <f t="shared" si="1197"/>
        <v>45946.5</v>
      </c>
      <c r="G3112" s="120">
        <f t="shared" si="1198"/>
        <v>24309</v>
      </c>
      <c r="H3112" s="245">
        <f t="shared" si="1199"/>
        <v>1</v>
      </c>
      <c r="I3112" s="121">
        <f t="shared" si="1200"/>
        <v>1</v>
      </c>
      <c r="J3112" s="121">
        <f t="shared" si="1201"/>
        <v>1</v>
      </c>
      <c r="K3112" s="120">
        <f t="shared" si="1202"/>
        <v>0</v>
      </c>
      <c r="L3112" s="120">
        <f t="shared" si="1203"/>
        <v>0</v>
      </c>
      <c r="M3112" s="246">
        <f t="shared" si="1204"/>
        <v>0</v>
      </c>
      <c r="N3112" s="121">
        <f t="shared" si="1205"/>
        <v>1</v>
      </c>
      <c r="O3112" s="246">
        <f t="shared" si="1206"/>
        <v>0.91764770240700222</v>
      </c>
      <c r="P3112" s="121">
        <f t="shared" si="1207"/>
        <v>0.58333333333333326</v>
      </c>
      <c r="Q3112" s="121">
        <f t="shared" si="1208"/>
        <v>0</v>
      </c>
      <c r="R3112" s="121">
        <f t="shared" si="1209"/>
        <v>0</v>
      </c>
      <c r="S3112" s="121" t="str">
        <f t="shared" si="1210"/>
        <v/>
      </c>
      <c r="T3112" s="121" t="str">
        <f t="shared" si="1211"/>
        <v/>
      </c>
      <c r="U3112" s="121">
        <f t="shared" si="1212"/>
        <v>1</v>
      </c>
    </row>
    <row r="3113" spans="1:21" x14ac:dyDescent="0.3">
      <c r="A3113" s="187">
        <v>11</v>
      </c>
      <c r="B3113" s="242">
        <f t="shared" si="1213"/>
        <v>45962</v>
      </c>
      <c r="C3113" s="243">
        <f t="shared" si="1194"/>
        <v>45991</v>
      </c>
      <c r="D3113" s="120">
        <f t="shared" si="1195"/>
        <v>30</v>
      </c>
      <c r="E3113" s="120">
        <f t="shared" si="1196"/>
        <v>11</v>
      </c>
      <c r="F3113" s="275">
        <f t="shared" si="1197"/>
        <v>45977</v>
      </c>
      <c r="G3113" s="120">
        <f t="shared" si="1198"/>
        <v>24310</v>
      </c>
      <c r="H3113" s="245">
        <f t="shared" si="1199"/>
        <v>1</v>
      </c>
      <c r="I3113" s="121">
        <f t="shared" si="1200"/>
        <v>1</v>
      </c>
      <c r="J3113" s="121">
        <f t="shared" si="1201"/>
        <v>1</v>
      </c>
      <c r="K3113" s="120">
        <f t="shared" si="1202"/>
        <v>0</v>
      </c>
      <c r="L3113" s="120">
        <f t="shared" si="1203"/>
        <v>0</v>
      </c>
      <c r="M3113" s="246">
        <f t="shared" si="1204"/>
        <v>0</v>
      </c>
      <c r="N3113" s="121">
        <f t="shared" si="1205"/>
        <v>1</v>
      </c>
      <c r="O3113" s="246">
        <f t="shared" si="1206"/>
        <v>0.91698030634573302</v>
      </c>
      <c r="P3113" s="121">
        <f t="shared" si="1207"/>
        <v>0.75</v>
      </c>
      <c r="Q3113" s="121">
        <f t="shared" si="1208"/>
        <v>0</v>
      </c>
      <c r="R3113" s="121">
        <f t="shared" si="1209"/>
        <v>0</v>
      </c>
      <c r="S3113" s="121" t="str">
        <f t="shared" si="1210"/>
        <v/>
      </c>
      <c r="T3113" s="121" t="str">
        <f t="shared" si="1211"/>
        <v/>
      </c>
      <c r="U3113" s="121">
        <f t="shared" si="1212"/>
        <v>1</v>
      </c>
    </row>
    <row r="3114" spans="1:21" x14ac:dyDescent="0.3">
      <c r="A3114" s="187">
        <v>12</v>
      </c>
      <c r="B3114" s="242">
        <f t="shared" si="1213"/>
        <v>45992</v>
      </c>
      <c r="C3114" s="243">
        <f t="shared" si="1194"/>
        <v>46022</v>
      </c>
      <c r="D3114" s="120">
        <f t="shared" si="1195"/>
        <v>31</v>
      </c>
      <c r="E3114" s="120">
        <f t="shared" si="1196"/>
        <v>12</v>
      </c>
      <c r="F3114" s="275">
        <f t="shared" si="1197"/>
        <v>46007.5</v>
      </c>
      <c r="G3114" s="120">
        <f t="shared" si="1198"/>
        <v>24311</v>
      </c>
      <c r="H3114" s="245">
        <f t="shared" si="1199"/>
        <v>1</v>
      </c>
      <c r="I3114" s="121">
        <f t="shared" si="1200"/>
        <v>1</v>
      </c>
      <c r="J3114" s="121">
        <f t="shared" si="1201"/>
        <v>1</v>
      </c>
      <c r="K3114" s="120">
        <f t="shared" si="1202"/>
        <v>0</v>
      </c>
      <c r="L3114" s="120">
        <f t="shared" si="1203"/>
        <v>0</v>
      </c>
      <c r="M3114" s="246">
        <f t="shared" si="1204"/>
        <v>0</v>
      </c>
      <c r="N3114" s="121">
        <f t="shared" si="1205"/>
        <v>1</v>
      </c>
      <c r="O3114" s="246">
        <f t="shared" si="1206"/>
        <v>0.91631291028446393</v>
      </c>
      <c r="P3114" s="121">
        <f t="shared" si="1207"/>
        <v>0.91666666666666663</v>
      </c>
      <c r="Q3114" s="121">
        <f t="shared" si="1208"/>
        <v>0</v>
      </c>
      <c r="R3114" s="121">
        <f t="shared" si="1209"/>
        <v>0</v>
      </c>
      <c r="S3114" s="121" t="str">
        <f t="shared" si="1210"/>
        <v/>
      </c>
      <c r="T3114" s="121" t="str">
        <f t="shared" si="1211"/>
        <v/>
      </c>
      <c r="U3114" s="121">
        <f t="shared" si="1212"/>
        <v>1</v>
      </c>
    </row>
    <row r="3115" spans="1:21" x14ac:dyDescent="0.3">
      <c r="A3115" s="187">
        <v>13</v>
      </c>
      <c r="B3115" s="242">
        <f t="shared" si="1213"/>
        <v>46023</v>
      </c>
      <c r="C3115" s="243">
        <f t="shared" si="1194"/>
        <v>46053</v>
      </c>
      <c r="D3115" s="120">
        <f t="shared" si="1195"/>
        <v>31</v>
      </c>
      <c r="E3115" s="120">
        <f t="shared" si="1196"/>
        <v>1</v>
      </c>
      <c r="F3115" s="275">
        <f t="shared" si="1197"/>
        <v>46038.5</v>
      </c>
      <c r="G3115" s="120">
        <f t="shared" si="1198"/>
        <v>24312</v>
      </c>
      <c r="H3115" s="245">
        <f t="shared" si="1199"/>
        <v>1</v>
      </c>
      <c r="I3115" s="121">
        <f t="shared" si="1200"/>
        <v>1</v>
      </c>
      <c r="J3115" s="121">
        <f t="shared" si="1201"/>
        <v>1</v>
      </c>
      <c r="K3115" s="120">
        <f t="shared" si="1202"/>
        <v>0</v>
      </c>
      <c r="L3115" s="120">
        <f t="shared" si="1203"/>
        <v>0</v>
      </c>
      <c r="M3115" s="246">
        <f t="shared" si="1204"/>
        <v>0</v>
      </c>
      <c r="N3115" s="121">
        <f t="shared" si="1205"/>
        <v>1</v>
      </c>
      <c r="O3115" s="246">
        <f t="shared" si="1206"/>
        <v>0.91563457330415754</v>
      </c>
      <c r="P3115" s="121">
        <f t="shared" si="1207"/>
        <v>1</v>
      </c>
      <c r="Q3115" s="121">
        <f t="shared" si="1208"/>
        <v>0</v>
      </c>
      <c r="R3115" s="121">
        <f t="shared" si="1209"/>
        <v>0</v>
      </c>
      <c r="S3115" s="121" t="str">
        <f t="shared" si="1210"/>
        <v/>
      </c>
      <c r="T3115" s="121" t="str">
        <f t="shared" si="1211"/>
        <v/>
      </c>
      <c r="U3115" s="121">
        <f t="shared" si="1212"/>
        <v>1</v>
      </c>
    </row>
    <row r="3116" spans="1:21" x14ac:dyDescent="0.3">
      <c r="A3116" s="187">
        <v>14</v>
      </c>
      <c r="B3116" s="242">
        <f t="shared" si="1213"/>
        <v>46054</v>
      </c>
      <c r="C3116" s="243">
        <f t="shared" si="1194"/>
        <v>46081</v>
      </c>
      <c r="D3116" s="120">
        <f t="shared" si="1195"/>
        <v>28</v>
      </c>
      <c r="E3116" s="120">
        <f t="shared" si="1196"/>
        <v>2</v>
      </c>
      <c r="F3116" s="275">
        <f t="shared" si="1197"/>
        <v>46068</v>
      </c>
      <c r="G3116" s="120">
        <f t="shared" si="1198"/>
        <v>24313</v>
      </c>
      <c r="H3116" s="245">
        <f t="shared" si="1199"/>
        <v>1</v>
      </c>
      <c r="I3116" s="121">
        <f t="shared" si="1200"/>
        <v>1</v>
      </c>
      <c r="J3116" s="121">
        <f t="shared" si="1201"/>
        <v>1</v>
      </c>
      <c r="K3116" s="120">
        <f t="shared" si="1202"/>
        <v>0</v>
      </c>
      <c r="L3116" s="120">
        <f t="shared" si="1203"/>
        <v>0</v>
      </c>
      <c r="M3116" s="246">
        <f t="shared" si="1204"/>
        <v>0</v>
      </c>
      <c r="N3116" s="121">
        <f t="shared" si="1205"/>
        <v>1</v>
      </c>
      <c r="O3116" s="246">
        <f t="shared" si="1206"/>
        <v>0.91498905908096284</v>
      </c>
      <c r="P3116" s="121">
        <f t="shared" si="1207"/>
        <v>1</v>
      </c>
      <c r="Q3116" s="121">
        <f t="shared" si="1208"/>
        <v>0</v>
      </c>
      <c r="R3116" s="121">
        <f t="shared" si="1209"/>
        <v>0</v>
      </c>
      <c r="S3116" s="121" t="str">
        <f t="shared" si="1210"/>
        <v/>
      </c>
      <c r="T3116" s="121" t="str">
        <f t="shared" si="1211"/>
        <v/>
      </c>
      <c r="U3116" s="121">
        <f t="shared" si="1212"/>
        <v>1</v>
      </c>
    </row>
    <row r="3117" spans="1:21" x14ac:dyDescent="0.3">
      <c r="A3117" s="187">
        <v>15</v>
      </c>
      <c r="B3117" s="242">
        <f t="shared" si="1213"/>
        <v>46082</v>
      </c>
      <c r="C3117" s="243">
        <f t="shared" si="1194"/>
        <v>46112</v>
      </c>
      <c r="D3117" s="120">
        <f t="shared" si="1195"/>
        <v>31</v>
      </c>
      <c r="E3117" s="120">
        <f t="shared" si="1196"/>
        <v>3</v>
      </c>
      <c r="F3117" s="275">
        <f t="shared" si="1197"/>
        <v>46097.5</v>
      </c>
      <c r="G3117" s="120">
        <f t="shared" si="1198"/>
        <v>24314</v>
      </c>
      <c r="H3117" s="245">
        <f t="shared" si="1199"/>
        <v>1</v>
      </c>
      <c r="I3117" s="121">
        <f t="shared" si="1200"/>
        <v>1</v>
      </c>
      <c r="J3117" s="121">
        <f t="shared" si="1201"/>
        <v>1</v>
      </c>
      <c r="K3117" s="120">
        <f t="shared" si="1202"/>
        <v>0</v>
      </c>
      <c r="L3117" s="120">
        <f t="shared" si="1203"/>
        <v>0</v>
      </c>
      <c r="M3117" s="246">
        <f t="shared" si="1204"/>
        <v>0</v>
      </c>
      <c r="N3117" s="121">
        <f t="shared" si="1205"/>
        <v>1</v>
      </c>
      <c r="O3117" s="246">
        <f t="shared" si="1206"/>
        <v>0.91434354485776803</v>
      </c>
      <c r="P3117" s="121">
        <f t="shared" si="1207"/>
        <v>1</v>
      </c>
      <c r="Q3117" s="121">
        <f t="shared" si="1208"/>
        <v>0</v>
      </c>
      <c r="R3117" s="121">
        <f t="shared" si="1209"/>
        <v>0</v>
      </c>
      <c r="S3117" s="121" t="str">
        <f t="shared" si="1210"/>
        <v/>
      </c>
      <c r="T3117" s="121" t="str">
        <f t="shared" si="1211"/>
        <v/>
      </c>
      <c r="U3117" s="121">
        <f t="shared" si="1212"/>
        <v>1</v>
      </c>
    </row>
    <row r="3118" spans="1:21" x14ac:dyDescent="0.3">
      <c r="A3118" s="187">
        <v>16</v>
      </c>
      <c r="B3118" s="242">
        <f t="shared" si="1213"/>
        <v>46113</v>
      </c>
      <c r="C3118" s="243">
        <f t="shared" si="1194"/>
        <v>46142</v>
      </c>
      <c r="D3118" s="120">
        <f t="shared" si="1195"/>
        <v>30</v>
      </c>
      <c r="E3118" s="120">
        <f t="shared" si="1196"/>
        <v>4</v>
      </c>
      <c r="F3118" s="275">
        <f t="shared" si="1197"/>
        <v>46128</v>
      </c>
      <c r="G3118" s="120">
        <f t="shared" si="1198"/>
        <v>24315</v>
      </c>
      <c r="H3118" s="245">
        <f t="shared" si="1199"/>
        <v>1</v>
      </c>
      <c r="I3118" s="121">
        <f t="shared" si="1200"/>
        <v>1</v>
      </c>
      <c r="J3118" s="121">
        <f t="shared" si="1201"/>
        <v>1</v>
      </c>
      <c r="K3118" s="120">
        <f t="shared" si="1202"/>
        <v>0</v>
      </c>
      <c r="L3118" s="120">
        <f t="shared" si="1203"/>
        <v>0</v>
      </c>
      <c r="M3118" s="246">
        <f t="shared" si="1204"/>
        <v>0</v>
      </c>
      <c r="N3118" s="121">
        <f t="shared" si="1205"/>
        <v>1</v>
      </c>
      <c r="O3118" s="246">
        <f t="shared" si="1206"/>
        <v>0.91367614879649894</v>
      </c>
      <c r="P3118" s="121">
        <f t="shared" si="1207"/>
        <v>1</v>
      </c>
      <c r="Q3118" s="121">
        <f t="shared" si="1208"/>
        <v>0</v>
      </c>
      <c r="R3118" s="121">
        <f t="shared" si="1209"/>
        <v>0</v>
      </c>
      <c r="S3118" s="121" t="str">
        <f t="shared" si="1210"/>
        <v/>
      </c>
      <c r="T3118" s="121" t="str">
        <f t="shared" si="1211"/>
        <v/>
      </c>
      <c r="U3118" s="121">
        <f t="shared" si="1212"/>
        <v>1</v>
      </c>
    </row>
    <row r="3119" spans="1:21" x14ac:dyDescent="0.3">
      <c r="A3119" s="187">
        <v>17</v>
      </c>
      <c r="B3119" s="242">
        <f t="shared" si="1213"/>
        <v>46143</v>
      </c>
      <c r="C3119" s="243">
        <f t="shared" si="1194"/>
        <v>46173</v>
      </c>
      <c r="D3119" s="120">
        <f t="shared" si="1195"/>
        <v>31</v>
      </c>
      <c r="E3119" s="120">
        <f t="shared" si="1196"/>
        <v>5</v>
      </c>
      <c r="F3119" s="275">
        <f t="shared" si="1197"/>
        <v>46158.5</v>
      </c>
      <c r="G3119" s="120">
        <f t="shared" si="1198"/>
        <v>24316</v>
      </c>
      <c r="H3119" s="245">
        <f t="shared" si="1199"/>
        <v>1</v>
      </c>
      <c r="I3119" s="121">
        <f t="shared" si="1200"/>
        <v>1</v>
      </c>
      <c r="J3119" s="121">
        <f t="shared" si="1201"/>
        <v>1</v>
      </c>
      <c r="K3119" s="120">
        <f t="shared" si="1202"/>
        <v>0</v>
      </c>
      <c r="L3119" s="120">
        <f t="shared" si="1203"/>
        <v>0</v>
      </c>
      <c r="M3119" s="246">
        <f t="shared" si="1204"/>
        <v>0</v>
      </c>
      <c r="N3119" s="121">
        <f t="shared" si="1205"/>
        <v>1</v>
      </c>
      <c r="O3119" s="246">
        <f t="shared" si="1206"/>
        <v>0.91300875273522974</v>
      </c>
      <c r="P3119" s="121">
        <f t="shared" si="1207"/>
        <v>1</v>
      </c>
      <c r="Q3119" s="121">
        <f t="shared" si="1208"/>
        <v>0</v>
      </c>
      <c r="R3119" s="121">
        <f t="shared" si="1209"/>
        <v>0</v>
      </c>
      <c r="S3119" s="121" t="str">
        <f t="shared" si="1210"/>
        <v/>
      </c>
      <c r="T3119" s="121" t="str">
        <f t="shared" si="1211"/>
        <v/>
      </c>
      <c r="U3119" s="121">
        <f t="shared" si="1212"/>
        <v>1</v>
      </c>
    </row>
    <row r="3120" spans="1:21" x14ac:dyDescent="0.3">
      <c r="A3120" s="187">
        <v>18</v>
      </c>
      <c r="B3120" s="242">
        <f t="shared" si="1213"/>
        <v>46174</v>
      </c>
      <c r="C3120" s="243">
        <f t="shared" si="1194"/>
        <v>46203</v>
      </c>
      <c r="D3120" s="120">
        <f t="shared" si="1195"/>
        <v>30</v>
      </c>
      <c r="E3120" s="120">
        <f t="shared" si="1196"/>
        <v>6</v>
      </c>
      <c r="F3120" s="275">
        <f t="shared" si="1197"/>
        <v>46189</v>
      </c>
      <c r="G3120" s="120">
        <f t="shared" si="1198"/>
        <v>24317</v>
      </c>
      <c r="H3120" s="245">
        <f t="shared" si="1199"/>
        <v>1</v>
      </c>
      <c r="I3120" s="121">
        <f t="shared" si="1200"/>
        <v>1</v>
      </c>
      <c r="J3120" s="121">
        <f t="shared" si="1201"/>
        <v>1</v>
      </c>
      <c r="K3120" s="120">
        <f t="shared" si="1202"/>
        <v>0</v>
      </c>
      <c r="L3120" s="120">
        <f t="shared" si="1203"/>
        <v>0</v>
      </c>
      <c r="M3120" s="246">
        <f t="shared" si="1204"/>
        <v>0</v>
      </c>
      <c r="N3120" s="121">
        <f t="shared" si="1205"/>
        <v>1</v>
      </c>
      <c r="O3120" s="246">
        <f t="shared" si="1206"/>
        <v>0.91234135667396066</v>
      </c>
      <c r="P3120" s="121">
        <f t="shared" si="1207"/>
        <v>1</v>
      </c>
      <c r="Q3120" s="121">
        <f t="shared" si="1208"/>
        <v>0</v>
      </c>
      <c r="R3120" s="121">
        <f t="shared" si="1209"/>
        <v>0</v>
      </c>
      <c r="S3120" s="121" t="str">
        <f t="shared" si="1210"/>
        <v/>
      </c>
      <c r="T3120" s="121" t="str">
        <f t="shared" si="1211"/>
        <v/>
      </c>
      <c r="U3120" s="121">
        <f t="shared" si="1212"/>
        <v>1</v>
      </c>
    </row>
    <row r="3121" spans="1:21" x14ac:dyDescent="0.3">
      <c r="A3121" s="187">
        <v>19</v>
      </c>
      <c r="B3121" s="242">
        <f t="shared" si="1213"/>
        <v>46204</v>
      </c>
      <c r="C3121" s="243">
        <f t="shared" si="1194"/>
        <v>46234</v>
      </c>
      <c r="D3121" s="120">
        <f t="shared" si="1195"/>
        <v>31</v>
      </c>
      <c r="E3121" s="120">
        <f t="shared" si="1196"/>
        <v>7</v>
      </c>
      <c r="F3121" s="275">
        <f t="shared" si="1197"/>
        <v>46219.5</v>
      </c>
      <c r="G3121" s="120">
        <f t="shared" si="1198"/>
        <v>24318</v>
      </c>
      <c r="H3121" s="245">
        <f t="shared" si="1199"/>
        <v>1</v>
      </c>
      <c r="I3121" s="121">
        <f t="shared" si="1200"/>
        <v>1</v>
      </c>
      <c r="J3121" s="121">
        <f t="shared" si="1201"/>
        <v>1</v>
      </c>
      <c r="K3121" s="120">
        <f t="shared" si="1202"/>
        <v>0</v>
      </c>
      <c r="L3121" s="120">
        <f t="shared" si="1203"/>
        <v>0</v>
      </c>
      <c r="M3121" s="246">
        <f t="shared" si="1204"/>
        <v>0</v>
      </c>
      <c r="N3121" s="121">
        <f t="shared" si="1205"/>
        <v>1</v>
      </c>
      <c r="O3121" s="246">
        <f t="shared" si="1206"/>
        <v>0.91167396061269146</v>
      </c>
      <c r="P3121" s="121">
        <f t="shared" si="1207"/>
        <v>0.91666666666666663</v>
      </c>
      <c r="Q3121" s="121">
        <f t="shared" si="1208"/>
        <v>8.333333333333337E-2</v>
      </c>
      <c r="R3121" s="121">
        <f t="shared" si="1209"/>
        <v>0</v>
      </c>
      <c r="S3121" s="121" t="str">
        <f t="shared" si="1210"/>
        <v/>
      </c>
      <c r="T3121" s="121" t="str">
        <f t="shared" si="1211"/>
        <v/>
      </c>
      <c r="U3121" s="121">
        <f t="shared" si="1212"/>
        <v>1</v>
      </c>
    </row>
    <row r="3122" spans="1:21" x14ac:dyDescent="0.3">
      <c r="A3122" s="187">
        <v>20</v>
      </c>
      <c r="B3122" s="242">
        <f t="shared" si="1213"/>
        <v>46235</v>
      </c>
      <c r="C3122" s="243">
        <f t="shared" si="1194"/>
        <v>46265</v>
      </c>
      <c r="D3122" s="120">
        <f t="shared" si="1195"/>
        <v>31</v>
      </c>
      <c r="E3122" s="120">
        <f t="shared" si="1196"/>
        <v>8</v>
      </c>
      <c r="F3122" s="275">
        <f t="shared" si="1197"/>
        <v>46250.5</v>
      </c>
      <c r="G3122" s="120">
        <f t="shared" si="1198"/>
        <v>24319</v>
      </c>
      <c r="H3122" s="245">
        <f t="shared" si="1199"/>
        <v>1</v>
      </c>
      <c r="I3122" s="121">
        <f t="shared" si="1200"/>
        <v>1</v>
      </c>
      <c r="J3122" s="121">
        <f t="shared" si="1201"/>
        <v>1</v>
      </c>
      <c r="K3122" s="120">
        <f t="shared" si="1202"/>
        <v>0</v>
      </c>
      <c r="L3122" s="120">
        <f t="shared" si="1203"/>
        <v>0</v>
      </c>
      <c r="M3122" s="246">
        <f t="shared" si="1204"/>
        <v>0</v>
      </c>
      <c r="N3122" s="121">
        <f t="shared" si="1205"/>
        <v>1</v>
      </c>
      <c r="O3122" s="246">
        <f t="shared" si="1206"/>
        <v>0.91099562363238518</v>
      </c>
      <c r="P3122" s="121">
        <f t="shared" si="1207"/>
        <v>0.75</v>
      </c>
      <c r="Q3122" s="121">
        <f t="shared" si="1208"/>
        <v>0.25</v>
      </c>
      <c r="R3122" s="121">
        <f t="shared" si="1209"/>
        <v>0</v>
      </c>
      <c r="S3122" s="121" t="str">
        <f t="shared" si="1210"/>
        <v/>
      </c>
      <c r="T3122" s="121" t="str">
        <f t="shared" si="1211"/>
        <v/>
      </c>
      <c r="U3122" s="121">
        <f t="shared" si="1212"/>
        <v>1</v>
      </c>
    </row>
    <row r="3123" spans="1:21" x14ac:dyDescent="0.3">
      <c r="A3123" s="187">
        <v>21</v>
      </c>
      <c r="B3123" s="242">
        <f t="shared" si="1213"/>
        <v>46266</v>
      </c>
      <c r="C3123" s="243">
        <f t="shared" si="1194"/>
        <v>46295</v>
      </c>
      <c r="D3123" s="120">
        <f t="shared" si="1195"/>
        <v>30</v>
      </c>
      <c r="E3123" s="120">
        <f t="shared" si="1196"/>
        <v>9</v>
      </c>
      <c r="F3123" s="275">
        <f t="shared" si="1197"/>
        <v>46281</v>
      </c>
      <c r="G3123" s="120">
        <f t="shared" si="1198"/>
        <v>24320</v>
      </c>
      <c r="H3123" s="245">
        <f t="shared" si="1199"/>
        <v>1</v>
      </c>
      <c r="I3123" s="121">
        <f t="shared" si="1200"/>
        <v>1</v>
      </c>
      <c r="J3123" s="121">
        <f t="shared" si="1201"/>
        <v>1</v>
      </c>
      <c r="K3123" s="120">
        <f t="shared" si="1202"/>
        <v>0</v>
      </c>
      <c r="L3123" s="120">
        <f t="shared" si="1203"/>
        <v>0</v>
      </c>
      <c r="M3123" s="246">
        <f t="shared" si="1204"/>
        <v>0</v>
      </c>
      <c r="N3123" s="121">
        <f t="shared" si="1205"/>
        <v>1</v>
      </c>
      <c r="O3123" s="246">
        <f t="shared" si="1206"/>
        <v>0.91032822757111598</v>
      </c>
      <c r="P3123" s="121">
        <f t="shared" si="1207"/>
        <v>0.58333333333333337</v>
      </c>
      <c r="Q3123" s="121">
        <f t="shared" si="1208"/>
        <v>0.41666666666666663</v>
      </c>
      <c r="R3123" s="121">
        <f t="shared" si="1209"/>
        <v>0</v>
      </c>
      <c r="S3123" s="121" t="str">
        <f t="shared" si="1210"/>
        <v/>
      </c>
      <c r="T3123" s="121" t="str">
        <f t="shared" si="1211"/>
        <v/>
      </c>
      <c r="U3123" s="121">
        <f t="shared" si="1212"/>
        <v>1</v>
      </c>
    </row>
    <row r="3124" spans="1:21" x14ac:dyDescent="0.3">
      <c r="A3124" s="187">
        <v>22</v>
      </c>
      <c r="B3124" s="242">
        <f t="shared" si="1213"/>
        <v>46296</v>
      </c>
      <c r="C3124" s="243">
        <f t="shared" si="1194"/>
        <v>46326</v>
      </c>
      <c r="D3124" s="120">
        <f t="shared" si="1195"/>
        <v>31</v>
      </c>
      <c r="E3124" s="120">
        <f t="shared" si="1196"/>
        <v>10</v>
      </c>
      <c r="F3124" s="275">
        <f t="shared" si="1197"/>
        <v>46311.5</v>
      </c>
      <c r="G3124" s="120">
        <f t="shared" si="1198"/>
        <v>24321</v>
      </c>
      <c r="H3124" s="245">
        <f t="shared" si="1199"/>
        <v>1</v>
      </c>
      <c r="I3124" s="121">
        <f t="shared" si="1200"/>
        <v>1</v>
      </c>
      <c r="J3124" s="121">
        <f t="shared" si="1201"/>
        <v>1</v>
      </c>
      <c r="K3124" s="120">
        <f t="shared" si="1202"/>
        <v>0</v>
      </c>
      <c r="L3124" s="120">
        <f t="shared" si="1203"/>
        <v>0</v>
      </c>
      <c r="M3124" s="246">
        <f t="shared" si="1204"/>
        <v>0</v>
      </c>
      <c r="N3124" s="121">
        <f t="shared" si="1205"/>
        <v>1</v>
      </c>
      <c r="O3124" s="246">
        <f t="shared" si="1206"/>
        <v>0.90966083150984689</v>
      </c>
      <c r="P3124" s="121">
        <f t="shared" si="1207"/>
        <v>0.41666666666666669</v>
      </c>
      <c r="Q3124" s="121">
        <f t="shared" si="1208"/>
        <v>0.58333333333333326</v>
      </c>
      <c r="R3124" s="121">
        <f t="shared" si="1209"/>
        <v>0</v>
      </c>
      <c r="S3124" s="121" t="str">
        <f t="shared" si="1210"/>
        <v/>
      </c>
      <c r="T3124" s="121" t="str">
        <f t="shared" si="1211"/>
        <v/>
      </c>
      <c r="U3124" s="121">
        <f t="shared" si="1212"/>
        <v>1</v>
      </c>
    </row>
    <row r="3125" spans="1:21" x14ac:dyDescent="0.3">
      <c r="A3125" s="187">
        <v>23</v>
      </c>
      <c r="B3125" s="242">
        <f t="shared" si="1213"/>
        <v>46327</v>
      </c>
      <c r="C3125" s="243">
        <f t="shared" si="1194"/>
        <v>46356</v>
      </c>
      <c r="D3125" s="120">
        <f t="shared" si="1195"/>
        <v>30</v>
      </c>
      <c r="E3125" s="120">
        <f t="shared" si="1196"/>
        <v>11</v>
      </c>
      <c r="F3125" s="275">
        <f t="shared" si="1197"/>
        <v>46342</v>
      </c>
      <c r="G3125" s="120">
        <f t="shared" si="1198"/>
        <v>24322</v>
      </c>
      <c r="H3125" s="245">
        <f t="shared" si="1199"/>
        <v>1</v>
      </c>
      <c r="I3125" s="121">
        <f t="shared" si="1200"/>
        <v>1</v>
      </c>
      <c r="J3125" s="121">
        <f t="shared" si="1201"/>
        <v>1</v>
      </c>
      <c r="K3125" s="120">
        <f t="shared" si="1202"/>
        <v>0</v>
      </c>
      <c r="L3125" s="120">
        <f t="shared" si="1203"/>
        <v>0</v>
      </c>
      <c r="M3125" s="246">
        <f t="shared" si="1204"/>
        <v>0</v>
      </c>
      <c r="N3125" s="121">
        <f t="shared" si="1205"/>
        <v>1</v>
      </c>
      <c r="O3125" s="246">
        <f t="shared" si="1206"/>
        <v>0.90899343544857769</v>
      </c>
      <c r="P3125" s="121">
        <f t="shared" si="1207"/>
        <v>0.25</v>
      </c>
      <c r="Q3125" s="121">
        <f t="shared" si="1208"/>
        <v>0.75</v>
      </c>
      <c r="R3125" s="121">
        <f t="shared" si="1209"/>
        <v>0</v>
      </c>
      <c r="S3125" s="121" t="str">
        <f t="shared" si="1210"/>
        <v/>
      </c>
      <c r="T3125" s="121" t="str">
        <f t="shared" si="1211"/>
        <v/>
      </c>
      <c r="U3125" s="121">
        <f t="shared" si="1212"/>
        <v>1</v>
      </c>
    </row>
    <row r="3126" spans="1:21" x14ac:dyDescent="0.3">
      <c r="A3126" s="187">
        <v>24</v>
      </c>
      <c r="B3126" s="242">
        <f t="shared" si="1213"/>
        <v>46357</v>
      </c>
      <c r="C3126" s="243">
        <f t="shared" si="1194"/>
        <v>46387</v>
      </c>
      <c r="D3126" s="120">
        <f t="shared" si="1195"/>
        <v>31</v>
      </c>
      <c r="E3126" s="120">
        <f t="shared" si="1196"/>
        <v>12</v>
      </c>
      <c r="F3126" s="275">
        <f t="shared" si="1197"/>
        <v>46372.5</v>
      </c>
      <c r="G3126" s="120">
        <f t="shared" si="1198"/>
        <v>24323</v>
      </c>
      <c r="H3126" s="245">
        <f t="shared" si="1199"/>
        <v>1</v>
      </c>
      <c r="I3126" s="121">
        <f t="shared" si="1200"/>
        <v>1</v>
      </c>
      <c r="J3126" s="121">
        <f t="shared" si="1201"/>
        <v>1</v>
      </c>
      <c r="K3126" s="120">
        <f t="shared" si="1202"/>
        <v>0</v>
      </c>
      <c r="L3126" s="120">
        <f t="shared" si="1203"/>
        <v>0</v>
      </c>
      <c r="M3126" s="246">
        <f t="shared" si="1204"/>
        <v>0</v>
      </c>
      <c r="N3126" s="121">
        <f t="shared" si="1205"/>
        <v>1</v>
      </c>
      <c r="O3126" s="246">
        <f t="shared" si="1206"/>
        <v>0.9083260393873086</v>
      </c>
      <c r="P3126" s="121">
        <f t="shared" si="1207"/>
        <v>8.3333333333333329E-2</v>
      </c>
      <c r="Q3126" s="121">
        <f t="shared" si="1208"/>
        <v>0.91666666666666663</v>
      </c>
      <c r="R3126" s="121">
        <f t="shared" si="1209"/>
        <v>0</v>
      </c>
      <c r="S3126" s="121" t="str">
        <f t="shared" si="1210"/>
        <v/>
      </c>
      <c r="T3126" s="121" t="str">
        <f t="shared" si="1211"/>
        <v/>
      </c>
      <c r="U3126" s="121">
        <f t="shared" si="1212"/>
        <v>1</v>
      </c>
    </row>
    <row r="3127" spans="1:21" x14ac:dyDescent="0.3">
      <c r="A3127" s="187">
        <v>25</v>
      </c>
      <c r="B3127" s="242">
        <f t="shared" si="1213"/>
        <v>46388</v>
      </c>
      <c r="C3127" s="243">
        <f t="shared" si="1194"/>
        <v>46418</v>
      </c>
      <c r="D3127" s="120">
        <f t="shared" si="1195"/>
        <v>31</v>
      </c>
      <c r="E3127" s="120">
        <f t="shared" si="1196"/>
        <v>1</v>
      </c>
      <c r="F3127" s="275">
        <f t="shared" si="1197"/>
        <v>46403.5</v>
      </c>
      <c r="G3127" s="120">
        <f t="shared" si="1198"/>
        <v>24324</v>
      </c>
      <c r="H3127" s="245">
        <f t="shared" si="1199"/>
        <v>1</v>
      </c>
      <c r="I3127" s="121">
        <f t="shared" si="1200"/>
        <v>1</v>
      </c>
      <c r="J3127" s="121">
        <f t="shared" si="1201"/>
        <v>1</v>
      </c>
      <c r="K3127" s="120">
        <f t="shared" si="1202"/>
        <v>0</v>
      </c>
      <c r="L3127" s="120">
        <f t="shared" si="1203"/>
        <v>0</v>
      </c>
      <c r="M3127" s="246">
        <f t="shared" si="1204"/>
        <v>0</v>
      </c>
      <c r="N3127" s="121">
        <f t="shared" si="1205"/>
        <v>1</v>
      </c>
      <c r="O3127" s="246">
        <f t="shared" si="1206"/>
        <v>0.90764770240700221</v>
      </c>
      <c r="P3127" s="121">
        <f t="shared" si="1207"/>
        <v>0</v>
      </c>
      <c r="Q3127" s="121">
        <f t="shared" si="1208"/>
        <v>1</v>
      </c>
      <c r="R3127" s="121">
        <f t="shared" si="1209"/>
        <v>0</v>
      </c>
      <c r="S3127" s="121" t="str">
        <f t="shared" si="1210"/>
        <v/>
      </c>
      <c r="T3127" s="121" t="str">
        <f t="shared" si="1211"/>
        <v/>
      </c>
      <c r="U3127" s="121">
        <f t="shared" si="1212"/>
        <v>1</v>
      </c>
    </row>
    <row r="3128" spans="1:21" x14ac:dyDescent="0.3">
      <c r="A3128" s="187">
        <v>26</v>
      </c>
      <c r="B3128" s="242">
        <f t="shared" si="1213"/>
        <v>46419</v>
      </c>
      <c r="C3128" s="243">
        <f t="shared" si="1194"/>
        <v>46446</v>
      </c>
      <c r="D3128" s="120">
        <f t="shared" si="1195"/>
        <v>28</v>
      </c>
      <c r="E3128" s="120">
        <f t="shared" si="1196"/>
        <v>2</v>
      </c>
      <c r="F3128" s="275">
        <f t="shared" si="1197"/>
        <v>46433</v>
      </c>
      <c r="G3128" s="120">
        <f t="shared" si="1198"/>
        <v>24325</v>
      </c>
      <c r="H3128" s="245">
        <f t="shared" si="1199"/>
        <v>1</v>
      </c>
      <c r="I3128" s="121">
        <f t="shared" si="1200"/>
        <v>1</v>
      </c>
      <c r="J3128" s="121">
        <f t="shared" si="1201"/>
        <v>1</v>
      </c>
      <c r="K3128" s="120">
        <f t="shared" si="1202"/>
        <v>0</v>
      </c>
      <c r="L3128" s="120">
        <f t="shared" si="1203"/>
        <v>0</v>
      </c>
      <c r="M3128" s="246">
        <f t="shared" si="1204"/>
        <v>0</v>
      </c>
      <c r="N3128" s="121">
        <f t="shared" si="1205"/>
        <v>1</v>
      </c>
      <c r="O3128" s="246">
        <f t="shared" si="1206"/>
        <v>0.90700218818380751</v>
      </c>
      <c r="P3128" s="121">
        <f t="shared" si="1207"/>
        <v>0</v>
      </c>
      <c r="Q3128" s="121">
        <f t="shared" si="1208"/>
        <v>1</v>
      </c>
      <c r="R3128" s="121">
        <f t="shared" si="1209"/>
        <v>0</v>
      </c>
      <c r="S3128" s="121" t="str">
        <f t="shared" si="1210"/>
        <v/>
      </c>
      <c r="T3128" s="121" t="str">
        <f t="shared" si="1211"/>
        <v/>
      </c>
      <c r="U3128" s="121">
        <f t="shared" si="1212"/>
        <v>1</v>
      </c>
    </row>
    <row r="3129" spans="1:21" x14ac:dyDescent="0.3">
      <c r="A3129" s="187">
        <v>27</v>
      </c>
      <c r="B3129" s="242">
        <f t="shared" si="1213"/>
        <v>46447</v>
      </c>
      <c r="C3129" s="243">
        <f t="shared" si="1194"/>
        <v>46477</v>
      </c>
      <c r="D3129" s="120">
        <f t="shared" si="1195"/>
        <v>31</v>
      </c>
      <c r="E3129" s="120">
        <f t="shared" si="1196"/>
        <v>3</v>
      </c>
      <c r="F3129" s="275">
        <f t="shared" si="1197"/>
        <v>46462.5</v>
      </c>
      <c r="G3129" s="120">
        <f t="shared" si="1198"/>
        <v>24326</v>
      </c>
      <c r="H3129" s="245">
        <f t="shared" si="1199"/>
        <v>1</v>
      </c>
      <c r="I3129" s="121">
        <f t="shared" si="1200"/>
        <v>1</v>
      </c>
      <c r="J3129" s="121">
        <f t="shared" si="1201"/>
        <v>1</v>
      </c>
      <c r="K3129" s="120">
        <f t="shared" si="1202"/>
        <v>0</v>
      </c>
      <c r="L3129" s="120">
        <f t="shared" si="1203"/>
        <v>0</v>
      </c>
      <c r="M3129" s="246">
        <f t="shared" si="1204"/>
        <v>0</v>
      </c>
      <c r="N3129" s="121">
        <f t="shared" si="1205"/>
        <v>1</v>
      </c>
      <c r="O3129" s="246">
        <f t="shared" si="1206"/>
        <v>0.9063566739606127</v>
      </c>
      <c r="P3129" s="121">
        <f t="shared" si="1207"/>
        <v>0</v>
      </c>
      <c r="Q3129" s="121">
        <f t="shared" si="1208"/>
        <v>1</v>
      </c>
      <c r="R3129" s="121">
        <f t="shared" si="1209"/>
        <v>0</v>
      </c>
      <c r="S3129" s="121" t="str">
        <f t="shared" si="1210"/>
        <v/>
      </c>
      <c r="T3129" s="121" t="str">
        <f t="shared" si="1211"/>
        <v/>
      </c>
      <c r="U3129" s="121">
        <f t="shared" si="1212"/>
        <v>1</v>
      </c>
    </row>
    <row r="3130" spans="1:21" x14ac:dyDescent="0.3">
      <c r="A3130" s="187">
        <v>28</v>
      </c>
      <c r="B3130" s="242">
        <f t="shared" si="1213"/>
        <v>46478</v>
      </c>
      <c r="C3130" s="243">
        <f t="shared" si="1194"/>
        <v>46507</v>
      </c>
      <c r="D3130" s="120">
        <f t="shared" si="1195"/>
        <v>30</v>
      </c>
      <c r="E3130" s="120">
        <f t="shared" si="1196"/>
        <v>4</v>
      </c>
      <c r="F3130" s="275">
        <f t="shared" si="1197"/>
        <v>46493</v>
      </c>
      <c r="G3130" s="120">
        <f t="shared" si="1198"/>
        <v>24327</v>
      </c>
      <c r="H3130" s="245">
        <f t="shared" si="1199"/>
        <v>1</v>
      </c>
      <c r="I3130" s="121">
        <f t="shared" si="1200"/>
        <v>1</v>
      </c>
      <c r="J3130" s="121">
        <f t="shared" si="1201"/>
        <v>1</v>
      </c>
      <c r="K3130" s="120">
        <f t="shared" si="1202"/>
        <v>0</v>
      </c>
      <c r="L3130" s="120">
        <f t="shared" si="1203"/>
        <v>0</v>
      </c>
      <c r="M3130" s="246">
        <f t="shared" si="1204"/>
        <v>0</v>
      </c>
      <c r="N3130" s="121">
        <f t="shared" si="1205"/>
        <v>1</v>
      </c>
      <c r="O3130" s="246">
        <f t="shared" si="1206"/>
        <v>0.90568927789934361</v>
      </c>
      <c r="P3130" s="121">
        <f t="shared" si="1207"/>
        <v>0</v>
      </c>
      <c r="Q3130" s="121">
        <f t="shared" si="1208"/>
        <v>1</v>
      </c>
      <c r="R3130" s="121">
        <f t="shared" si="1209"/>
        <v>0</v>
      </c>
      <c r="S3130" s="121" t="str">
        <f t="shared" si="1210"/>
        <v/>
      </c>
      <c r="T3130" s="121" t="str">
        <f t="shared" si="1211"/>
        <v/>
      </c>
      <c r="U3130" s="121">
        <f t="shared" si="1212"/>
        <v>1</v>
      </c>
    </row>
    <row r="3131" spans="1:21" x14ac:dyDescent="0.3">
      <c r="A3131" s="187">
        <v>29</v>
      </c>
      <c r="B3131" s="242">
        <f t="shared" si="1213"/>
        <v>46508</v>
      </c>
      <c r="C3131" s="243">
        <f t="shared" si="1194"/>
        <v>46538</v>
      </c>
      <c r="D3131" s="120">
        <f t="shared" si="1195"/>
        <v>31</v>
      </c>
      <c r="E3131" s="120">
        <f t="shared" si="1196"/>
        <v>5</v>
      </c>
      <c r="F3131" s="275">
        <f t="shared" si="1197"/>
        <v>46523.5</v>
      </c>
      <c r="G3131" s="120">
        <f t="shared" si="1198"/>
        <v>24328</v>
      </c>
      <c r="H3131" s="245">
        <f t="shared" si="1199"/>
        <v>1</v>
      </c>
      <c r="I3131" s="121">
        <f t="shared" si="1200"/>
        <v>1</v>
      </c>
      <c r="J3131" s="121">
        <f t="shared" si="1201"/>
        <v>1</v>
      </c>
      <c r="K3131" s="120">
        <f t="shared" si="1202"/>
        <v>0</v>
      </c>
      <c r="L3131" s="120">
        <f t="shared" si="1203"/>
        <v>0</v>
      </c>
      <c r="M3131" s="246">
        <f t="shared" si="1204"/>
        <v>0</v>
      </c>
      <c r="N3131" s="121">
        <f t="shared" si="1205"/>
        <v>1</v>
      </c>
      <c r="O3131" s="246">
        <f t="shared" si="1206"/>
        <v>0.90502188183807442</v>
      </c>
      <c r="P3131" s="121">
        <f t="shared" si="1207"/>
        <v>0</v>
      </c>
      <c r="Q3131" s="121">
        <f t="shared" si="1208"/>
        <v>1</v>
      </c>
      <c r="R3131" s="121">
        <f t="shared" si="1209"/>
        <v>0</v>
      </c>
      <c r="S3131" s="121" t="str">
        <f t="shared" si="1210"/>
        <v/>
      </c>
      <c r="T3131" s="121" t="str">
        <f t="shared" si="1211"/>
        <v/>
      </c>
      <c r="U3131" s="121">
        <f t="shared" si="1212"/>
        <v>1</v>
      </c>
    </row>
    <row r="3132" spans="1:21" x14ac:dyDescent="0.3">
      <c r="A3132" s="187">
        <v>30</v>
      </c>
      <c r="B3132" s="242">
        <f t="shared" si="1213"/>
        <v>46539</v>
      </c>
      <c r="C3132" s="243">
        <f t="shared" si="1194"/>
        <v>46568</v>
      </c>
      <c r="D3132" s="120">
        <f t="shared" si="1195"/>
        <v>30</v>
      </c>
      <c r="E3132" s="120">
        <f t="shared" si="1196"/>
        <v>6</v>
      </c>
      <c r="F3132" s="275">
        <f t="shared" si="1197"/>
        <v>46554</v>
      </c>
      <c r="G3132" s="120">
        <f t="shared" si="1198"/>
        <v>24329</v>
      </c>
      <c r="H3132" s="245">
        <f t="shared" si="1199"/>
        <v>1</v>
      </c>
      <c r="I3132" s="121">
        <f t="shared" si="1200"/>
        <v>1</v>
      </c>
      <c r="J3132" s="121">
        <f t="shared" si="1201"/>
        <v>1</v>
      </c>
      <c r="K3132" s="120">
        <f t="shared" si="1202"/>
        <v>0</v>
      </c>
      <c r="L3132" s="120">
        <f t="shared" si="1203"/>
        <v>0</v>
      </c>
      <c r="M3132" s="246">
        <f t="shared" si="1204"/>
        <v>0</v>
      </c>
      <c r="N3132" s="121">
        <f t="shared" si="1205"/>
        <v>1</v>
      </c>
      <c r="O3132" s="246">
        <f t="shared" si="1206"/>
        <v>0.90435448577680533</v>
      </c>
      <c r="P3132" s="121">
        <f t="shared" si="1207"/>
        <v>0</v>
      </c>
      <c r="Q3132" s="121">
        <f t="shared" si="1208"/>
        <v>1</v>
      </c>
      <c r="R3132" s="121">
        <f t="shared" si="1209"/>
        <v>0</v>
      </c>
      <c r="S3132" s="121" t="str">
        <f t="shared" si="1210"/>
        <v/>
      </c>
      <c r="T3132" s="121" t="str">
        <f t="shared" si="1211"/>
        <v/>
      </c>
      <c r="U3132" s="121">
        <f t="shared" si="1212"/>
        <v>1</v>
      </c>
    </row>
    <row r="3133" spans="1:21" x14ac:dyDescent="0.3">
      <c r="A3133" s="187">
        <v>31</v>
      </c>
      <c r="B3133" s="242">
        <f t="shared" si="1213"/>
        <v>46569</v>
      </c>
      <c r="C3133" s="243">
        <f t="shared" si="1194"/>
        <v>46599</v>
      </c>
      <c r="D3133" s="120">
        <f t="shared" si="1195"/>
        <v>31</v>
      </c>
      <c r="E3133" s="120">
        <f t="shared" si="1196"/>
        <v>7</v>
      </c>
      <c r="F3133" s="275">
        <f t="shared" si="1197"/>
        <v>46584.5</v>
      </c>
      <c r="G3133" s="120">
        <f t="shared" si="1198"/>
        <v>24330</v>
      </c>
      <c r="H3133" s="245">
        <f t="shared" si="1199"/>
        <v>1</v>
      </c>
      <c r="I3133" s="121">
        <f t="shared" si="1200"/>
        <v>1</v>
      </c>
      <c r="J3133" s="121">
        <f t="shared" si="1201"/>
        <v>1</v>
      </c>
      <c r="K3133" s="120">
        <f t="shared" si="1202"/>
        <v>0</v>
      </c>
      <c r="L3133" s="120">
        <f t="shared" si="1203"/>
        <v>0</v>
      </c>
      <c r="M3133" s="246">
        <f t="shared" si="1204"/>
        <v>0</v>
      </c>
      <c r="N3133" s="121">
        <f t="shared" si="1205"/>
        <v>1</v>
      </c>
      <c r="O3133" s="246">
        <f t="shared" si="1206"/>
        <v>0.90368708971553613</v>
      </c>
      <c r="P3133" s="121">
        <f t="shared" si="1207"/>
        <v>0</v>
      </c>
      <c r="Q3133" s="121">
        <f t="shared" si="1208"/>
        <v>0.91666666666666663</v>
      </c>
      <c r="R3133" s="121">
        <f t="shared" si="1209"/>
        <v>8.333333333333337E-2</v>
      </c>
      <c r="S3133" s="121" t="str">
        <f t="shared" si="1210"/>
        <v/>
      </c>
      <c r="T3133" s="121" t="str">
        <f t="shared" si="1211"/>
        <v/>
      </c>
      <c r="U3133" s="121">
        <f t="shared" si="1212"/>
        <v>1</v>
      </c>
    </row>
    <row r="3134" spans="1:21" x14ac:dyDescent="0.3">
      <c r="A3134" s="187">
        <v>32</v>
      </c>
      <c r="B3134" s="242">
        <f t="shared" si="1213"/>
        <v>46600</v>
      </c>
      <c r="C3134" s="243">
        <f t="shared" si="1194"/>
        <v>46630</v>
      </c>
      <c r="D3134" s="120">
        <f t="shared" si="1195"/>
        <v>31</v>
      </c>
      <c r="E3134" s="120">
        <f t="shared" si="1196"/>
        <v>8</v>
      </c>
      <c r="F3134" s="275">
        <f t="shared" si="1197"/>
        <v>46615.5</v>
      </c>
      <c r="G3134" s="120">
        <f t="shared" si="1198"/>
        <v>24331</v>
      </c>
      <c r="H3134" s="245">
        <f t="shared" si="1199"/>
        <v>1</v>
      </c>
      <c r="I3134" s="121">
        <f t="shared" si="1200"/>
        <v>1</v>
      </c>
      <c r="J3134" s="121">
        <f t="shared" si="1201"/>
        <v>1</v>
      </c>
      <c r="K3134" s="120">
        <f t="shared" si="1202"/>
        <v>0</v>
      </c>
      <c r="L3134" s="120">
        <f t="shared" si="1203"/>
        <v>0</v>
      </c>
      <c r="M3134" s="246">
        <f t="shared" si="1204"/>
        <v>0</v>
      </c>
      <c r="N3134" s="121">
        <f t="shared" si="1205"/>
        <v>1</v>
      </c>
      <c r="O3134" s="246">
        <f t="shared" si="1206"/>
        <v>0.90300875273522974</v>
      </c>
      <c r="P3134" s="121">
        <f t="shared" si="1207"/>
        <v>0</v>
      </c>
      <c r="Q3134" s="121">
        <f t="shared" si="1208"/>
        <v>0.75</v>
      </c>
      <c r="R3134" s="121">
        <f t="shared" si="1209"/>
        <v>0.25</v>
      </c>
      <c r="S3134" s="121" t="str">
        <f t="shared" si="1210"/>
        <v/>
      </c>
      <c r="T3134" s="121" t="str">
        <f t="shared" si="1211"/>
        <v/>
      </c>
      <c r="U3134" s="121">
        <f t="shared" si="1212"/>
        <v>1</v>
      </c>
    </row>
    <row r="3135" spans="1:21" x14ac:dyDescent="0.3">
      <c r="A3135" s="187">
        <v>33</v>
      </c>
      <c r="B3135" s="242">
        <f t="shared" si="1213"/>
        <v>46631</v>
      </c>
      <c r="C3135" s="243">
        <f t="shared" si="1194"/>
        <v>46660</v>
      </c>
      <c r="D3135" s="120">
        <f t="shared" si="1195"/>
        <v>30</v>
      </c>
      <c r="E3135" s="120">
        <f t="shared" si="1196"/>
        <v>9</v>
      </c>
      <c r="F3135" s="275">
        <f t="shared" si="1197"/>
        <v>46646</v>
      </c>
      <c r="G3135" s="120">
        <f t="shared" si="1198"/>
        <v>24332</v>
      </c>
      <c r="H3135" s="245">
        <f t="shared" si="1199"/>
        <v>1</v>
      </c>
      <c r="I3135" s="121">
        <f t="shared" si="1200"/>
        <v>1</v>
      </c>
      <c r="J3135" s="121">
        <f t="shared" si="1201"/>
        <v>1</v>
      </c>
      <c r="K3135" s="120">
        <f t="shared" si="1202"/>
        <v>0</v>
      </c>
      <c r="L3135" s="120">
        <f t="shared" si="1203"/>
        <v>0</v>
      </c>
      <c r="M3135" s="246">
        <f t="shared" si="1204"/>
        <v>0</v>
      </c>
      <c r="N3135" s="121">
        <f t="shared" si="1205"/>
        <v>1</v>
      </c>
      <c r="O3135" s="246">
        <f t="shared" si="1206"/>
        <v>0.90234135667396065</v>
      </c>
      <c r="P3135" s="121">
        <f t="shared" si="1207"/>
        <v>0</v>
      </c>
      <c r="Q3135" s="121">
        <f t="shared" si="1208"/>
        <v>0.58333333333333337</v>
      </c>
      <c r="R3135" s="121">
        <f t="shared" si="1209"/>
        <v>0.41666666666666663</v>
      </c>
      <c r="S3135" s="121" t="str">
        <f t="shared" si="1210"/>
        <v/>
      </c>
      <c r="T3135" s="121" t="str">
        <f t="shared" si="1211"/>
        <v/>
      </c>
      <c r="U3135" s="121">
        <f t="shared" si="1212"/>
        <v>1</v>
      </c>
    </row>
    <row r="3136" spans="1:21" x14ac:dyDescent="0.3">
      <c r="A3136" s="187">
        <v>34</v>
      </c>
      <c r="B3136" s="242">
        <f t="shared" si="1213"/>
        <v>46661</v>
      </c>
      <c r="C3136" s="243">
        <f t="shared" si="1194"/>
        <v>46691</v>
      </c>
      <c r="D3136" s="120">
        <f t="shared" si="1195"/>
        <v>31</v>
      </c>
      <c r="E3136" s="120">
        <f t="shared" si="1196"/>
        <v>10</v>
      </c>
      <c r="F3136" s="275">
        <f t="shared" si="1197"/>
        <v>46676.5</v>
      </c>
      <c r="G3136" s="120">
        <f t="shared" si="1198"/>
        <v>24333</v>
      </c>
      <c r="H3136" s="245">
        <f t="shared" si="1199"/>
        <v>1</v>
      </c>
      <c r="I3136" s="121">
        <f t="shared" si="1200"/>
        <v>1</v>
      </c>
      <c r="J3136" s="121">
        <f t="shared" si="1201"/>
        <v>1</v>
      </c>
      <c r="K3136" s="120">
        <f t="shared" si="1202"/>
        <v>0</v>
      </c>
      <c r="L3136" s="120">
        <f t="shared" si="1203"/>
        <v>0</v>
      </c>
      <c r="M3136" s="246">
        <f t="shared" si="1204"/>
        <v>0</v>
      </c>
      <c r="N3136" s="121">
        <f t="shared" si="1205"/>
        <v>1</v>
      </c>
      <c r="O3136" s="246">
        <f t="shared" si="1206"/>
        <v>0.90167396061269145</v>
      </c>
      <c r="P3136" s="121">
        <f t="shared" si="1207"/>
        <v>0</v>
      </c>
      <c r="Q3136" s="121">
        <f t="shared" si="1208"/>
        <v>0.41666666666666669</v>
      </c>
      <c r="R3136" s="121">
        <f t="shared" si="1209"/>
        <v>0.58333333333333326</v>
      </c>
      <c r="S3136" s="121" t="str">
        <f t="shared" si="1210"/>
        <v/>
      </c>
      <c r="T3136" s="121" t="str">
        <f t="shared" si="1211"/>
        <v/>
      </c>
      <c r="U3136" s="121">
        <f t="shared" si="1212"/>
        <v>1</v>
      </c>
    </row>
    <row r="3137" spans="1:21" x14ac:dyDescent="0.3">
      <c r="A3137" s="187">
        <v>35</v>
      </c>
      <c r="B3137" s="242">
        <f t="shared" si="1213"/>
        <v>46692</v>
      </c>
      <c r="C3137" s="243">
        <f t="shared" si="1194"/>
        <v>46721</v>
      </c>
      <c r="D3137" s="120">
        <f t="shared" si="1195"/>
        <v>30</v>
      </c>
      <c r="E3137" s="120">
        <f t="shared" si="1196"/>
        <v>11</v>
      </c>
      <c r="F3137" s="275">
        <f t="shared" si="1197"/>
        <v>46707</v>
      </c>
      <c r="G3137" s="120">
        <f t="shared" si="1198"/>
        <v>24334</v>
      </c>
      <c r="H3137" s="245">
        <f t="shared" si="1199"/>
        <v>1</v>
      </c>
      <c r="I3137" s="121">
        <f t="shared" si="1200"/>
        <v>1</v>
      </c>
      <c r="J3137" s="121">
        <f t="shared" si="1201"/>
        <v>1</v>
      </c>
      <c r="K3137" s="120">
        <f t="shared" si="1202"/>
        <v>0</v>
      </c>
      <c r="L3137" s="120">
        <f t="shared" si="1203"/>
        <v>0</v>
      </c>
      <c r="M3137" s="246">
        <f t="shared" si="1204"/>
        <v>0</v>
      </c>
      <c r="N3137" s="121">
        <f t="shared" si="1205"/>
        <v>1</v>
      </c>
      <c r="O3137" s="246">
        <f t="shared" si="1206"/>
        <v>0.90100656455142236</v>
      </c>
      <c r="P3137" s="121">
        <f t="shared" si="1207"/>
        <v>0</v>
      </c>
      <c r="Q3137" s="121">
        <f t="shared" si="1208"/>
        <v>0.25</v>
      </c>
      <c r="R3137" s="121">
        <f t="shared" si="1209"/>
        <v>0.75</v>
      </c>
      <c r="S3137" s="121" t="str">
        <f t="shared" si="1210"/>
        <v/>
      </c>
      <c r="T3137" s="121" t="str">
        <f t="shared" si="1211"/>
        <v/>
      </c>
      <c r="U3137" s="121">
        <f t="shared" si="1212"/>
        <v>1</v>
      </c>
    </row>
    <row r="3138" spans="1:21" x14ac:dyDescent="0.3">
      <c r="A3138" s="187">
        <v>36</v>
      </c>
      <c r="B3138" s="242">
        <f t="shared" si="1213"/>
        <v>46722</v>
      </c>
      <c r="C3138" s="243">
        <f t="shared" si="1194"/>
        <v>46752</v>
      </c>
      <c r="D3138" s="120">
        <f t="shared" si="1195"/>
        <v>31</v>
      </c>
      <c r="E3138" s="120">
        <f t="shared" si="1196"/>
        <v>12</v>
      </c>
      <c r="F3138" s="275">
        <f t="shared" si="1197"/>
        <v>46737.5</v>
      </c>
      <c r="G3138" s="120">
        <f t="shared" si="1198"/>
        <v>24335</v>
      </c>
      <c r="H3138" s="245">
        <f t="shared" si="1199"/>
        <v>1</v>
      </c>
      <c r="I3138" s="121">
        <f t="shared" si="1200"/>
        <v>1</v>
      </c>
      <c r="J3138" s="121">
        <f t="shared" si="1201"/>
        <v>1</v>
      </c>
      <c r="K3138" s="120">
        <f t="shared" si="1202"/>
        <v>0</v>
      </c>
      <c r="L3138" s="120">
        <f t="shared" si="1203"/>
        <v>0</v>
      </c>
      <c r="M3138" s="246">
        <f t="shared" si="1204"/>
        <v>0</v>
      </c>
      <c r="N3138" s="121">
        <f t="shared" si="1205"/>
        <v>1</v>
      </c>
      <c r="O3138" s="246">
        <f t="shared" si="1206"/>
        <v>0.90033916849015316</v>
      </c>
      <c r="P3138" s="121">
        <f t="shared" si="1207"/>
        <v>0</v>
      </c>
      <c r="Q3138" s="121">
        <f t="shared" si="1208"/>
        <v>8.3333333333333329E-2</v>
      </c>
      <c r="R3138" s="121">
        <f t="shared" si="1209"/>
        <v>0.91666666666666663</v>
      </c>
      <c r="S3138" s="121" t="str">
        <f t="shared" si="1210"/>
        <v/>
      </c>
      <c r="T3138" s="121" t="str">
        <f t="shared" si="1211"/>
        <v/>
      </c>
      <c r="U3138" s="121">
        <f t="shared" si="1212"/>
        <v>1</v>
      </c>
    </row>
    <row r="3139" spans="1:21" x14ac:dyDescent="0.3">
      <c r="A3139" s="187">
        <v>37</v>
      </c>
      <c r="B3139" s="242">
        <f t="shared" si="1213"/>
        <v>46753</v>
      </c>
      <c r="C3139" s="243">
        <f t="shared" si="1194"/>
        <v>46783</v>
      </c>
      <c r="D3139" s="120">
        <f t="shared" si="1195"/>
        <v>31</v>
      </c>
      <c r="E3139" s="120">
        <f t="shared" si="1196"/>
        <v>1</v>
      </c>
      <c r="F3139" s="275">
        <f t="shared" si="1197"/>
        <v>46768.5</v>
      </c>
      <c r="G3139" s="120">
        <f t="shared" si="1198"/>
        <v>24336</v>
      </c>
      <c r="H3139" s="245">
        <f t="shared" si="1199"/>
        <v>1</v>
      </c>
      <c r="I3139" s="121">
        <f t="shared" si="1200"/>
        <v>1</v>
      </c>
      <c r="J3139" s="121">
        <f t="shared" si="1201"/>
        <v>1</v>
      </c>
      <c r="K3139" s="120">
        <f t="shared" si="1202"/>
        <v>0</v>
      </c>
      <c r="L3139" s="120">
        <f t="shared" si="1203"/>
        <v>0</v>
      </c>
      <c r="M3139" s="246">
        <f t="shared" si="1204"/>
        <v>0</v>
      </c>
      <c r="N3139" s="121">
        <f t="shared" si="1205"/>
        <v>1</v>
      </c>
      <c r="O3139" s="246">
        <f t="shared" si="1206"/>
        <v>0.9</v>
      </c>
      <c r="P3139" s="121">
        <f t="shared" si="1207"/>
        <v>0</v>
      </c>
      <c r="Q3139" s="121">
        <f t="shared" si="1208"/>
        <v>0</v>
      </c>
      <c r="R3139" s="121">
        <f t="shared" si="1209"/>
        <v>1</v>
      </c>
      <c r="S3139" s="121" t="str">
        <f t="shared" si="1210"/>
        <v/>
      </c>
      <c r="T3139" s="121" t="str">
        <f t="shared" si="1211"/>
        <v/>
      </c>
      <c r="U3139" s="121">
        <f t="shared" si="1212"/>
        <v>1</v>
      </c>
    </row>
    <row r="3140" spans="1:21" x14ac:dyDescent="0.3">
      <c r="A3140" s="187">
        <v>38</v>
      </c>
      <c r="B3140" s="242">
        <f t="shared" si="1213"/>
        <v>46784</v>
      </c>
      <c r="C3140" s="243">
        <f t="shared" si="1194"/>
        <v>46812</v>
      </c>
      <c r="D3140" s="120">
        <f t="shared" si="1195"/>
        <v>29</v>
      </c>
      <c r="E3140" s="120">
        <f t="shared" si="1196"/>
        <v>2</v>
      </c>
      <c r="F3140" s="275">
        <f t="shared" si="1197"/>
        <v>46798.5</v>
      </c>
      <c r="G3140" s="120">
        <f t="shared" si="1198"/>
        <v>24337</v>
      </c>
      <c r="H3140" s="245">
        <f t="shared" si="1199"/>
        <v>1</v>
      </c>
      <c r="I3140" s="121">
        <f t="shared" si="1200"/>
        <v>1</v>
      </c>
      <c r="J3140" s="121">
        <f t="shared" si="1201"/>
        <v>1</v>
      </c>
      <c r="K3140" s="120">
        <f t="shared" si="1202"/>
        <v>0</v>
      </c>
      <c r="L3140" s="120">
        <f t="shared" si="1203"/>
        <v>0</v>
      </c>
      <c r="M3140" s="246">
        <f t="shared" si="1204"/>
        <v>0</v>
      </c>
      <c r="N3140" s="121">
        <f t="shared" si="1205"/>
        <v>1</v>
      </c>
      <c r="O3140" s="246">
        <f t="shared" si="1206"/>
        <v>0.9</v>
      </c>
      <c r="P3140" s="121">
        <f t="shared" si="1207"/>
        <v>0</v>
      </c>
      <c r="Q3140" s="121">
        <f t="shared" si="1208"/>
        <v>0</v>
      </c>
      <c r="R3140" s="121">
        <f t="shared" si="1209"/>
        <v>1</v>
      </c>
      <c r="S3140" s="121" t="str">
        <f t="shared" si="1210"/>
        <v/>
      </c>
      <c r="T3140" s="121" t="str">
        <f t="shared" si="1211"/>
        <v/>
      </c>
      <c r="U3140" s="121">
        <f t="shared" si="1212"/>
        <v>1</v>
      </c>
    </row>
    <row r="3141" spans="1:21" x14ac:dyDescent="0.3">
      <c r="A3141" s="187">
        <v>39</v>
      </c>
      <c r="B3141" s="242">
        <f t="shared" si="1213"/>
        <v>46813</v>
      </c>
      <c r="C3141" s="243">
        <f t="shared" si="1194"/>
        <v>46843</v>
      </c>
      <c r="D3141" s="120">
        <f t="shared" si="1195"/>
        <v>31</v>
      </c>
      <c r="E3141" s="120">
        <f t="shared" si="1196"/>
        <v>3</v>
      </c>
      <c r="F3141" s="275">
        <f t="shared" si="1197"/>
        <v>46828.5</v>
      </c>
      <c r="G3141" s="120">
        <f t="shared" si="1198"/>
        <v>24338</v>
      </c>
      <c r="H3141" s="245">
        <f t="shared" si="1199"/>
        <v>1</v>
      </c>
      <c r="I3141" s="121">
        <f t="shared" si="1200"/>
        <v>1</v>
      </c>
      <c r="J3141" s="121">
        <f t="shared" si="1201"/>
        <v>1</v>
      </c>
      <c r="K3141" s="120">
        <f t="shared" si="1202"/>
        <v>0</v>
      </c>
      <c r="L3141" s="120">
        <f t="shared" si="1203"/>
        <v>0</v>
      </c>
      <c r="M3141" s="246">
        <f t="shared" si="1204"/>
        <v>0</v>
      </c>
      <c r="N3141" s="121">
        <f t="shared" si="1205"/>
        <v>1</v>
      </c>
      <c r="O3141" s="246">
        <f t="shared" si="1206"/>
        <v>0.9</v>
      </c>
      <c r="P3141" s="121">
        <f t="shared" si="1207"/>
        <v>0</v>
      </c>
      <c r="Q3141" s="121">
        <f t="shared" si="1208"/>
        <v>0</v>
      </c>
      <c r="R3141" s="121">
        <f t="shared" si="1209"/>
        <v>1</v>
      </c>
      <c r="S3141" s="121" t="str">
        <f t="shared" si="1210"/>
        <v/>
      </c>
      <c r="T3141" s="121" t="str">
        <f t="shared" si="1211"/>
        <v/>
      </c>
      <c r="U3141" s="121">
        <f t="shared" si="1212"/>
        <v>1</v>
      </c>
    </row>
    <row r="3142" spans="1:21" x14ac:dyDescent="0.3">
      <c r="A3142" s="187">
        <v>40</v>
      </c>
      <c r="B3142" s="242">
        <f t="shared" si="1213"/>
        <v>46844</v>
      </c>
      <c r="C3142" s="243">
        <f t="shared" si="1194"/>
        <v>46873</v>
      </c>
      <c r="D3142" s="120">
        <f t="shared" si="1195"/>
        <v>30</v>
      </c>
      <c r="E3142" s="120">
        <f t="shared" si="1196"/>
        <v>4</v>
      </c>
      <c r="F3142" s="275">
        <f t="shared" si="1197"/>
        <v>46859</v>
      </c>
      <c r="G3142" s="120">
        <f t="shared" si="1198"/>
        <v>24339</v>
      </c>
      <c r="H3142" s="245">
        <f t="shared" si="1199"/>
        <v>1</v>
      </c>
      <c r="I3142" s="121">
        <f t="shared" si="1200"/>
        <v>1</v>
      </c>
      <c r="J3142" s="121">
        <f t="shared" si="1201"/>
        <v>1</v>
      </c>
      <c r="K3142" s="120">
        <f t="shared" si="1202"/>
        <v>0</v>
      </c>
      <c r="L3142" s="120">
        <f t="shared" si="1203"/>
        <v>0</v>
      </c>
      <c r="M3142" s="246">
        <f t="shared" si="1204"/>
        <v>0</v>
      </c>
      <c r="N3142" s="121">
        <f t="shared" si="1205"/>
        <v>1</v>
      </c>
      <c r="O3142" s="246">
        <f t="shared" si="1206"/>
        <v>0.9</v>
      </c>
      <c r="P3142" s="121">
        <f t="shared" si="1207"/>
        <v>0</v>
      </c>
      <c r="Q3142" s="121">
        <f t="shared" si="1208"/>
        <v>0</v>
      </c>
      <c r="R3142" s="121">
        <f t="shared" si="1209"/>
        <v>1</v>
      </c>
      <c r="S3142" s="121" t="str">
        <f t="shared" si="1210"/>
        <v/>
      </c>
      <c r="T3142" s="121" t="str">
        <f t="shared" si="1211"/>
        <v/>
      </c>
      <c r="U3142" s="121">
        <f t="shared" si="1212"/>
        <v>1</v>
      </c>
    </row>
    <row r="3143" spans="1:21" x14ac:dyDescent="0.3">
      <c r="A3143" s="187">
        <v>41</v>
      </c>
      <c r="B3143" s="242">
        <f t="shared" si="1213"/>
        <v>46874</v>
      </c>
      <c r="C3143" s="243">
        <f t="shared" si="1194"/>
        <v>46904</v>
      </c>
      <c r="D3143" s="120">
        <f t="shared" si="1195"/>
        <v>31</v>
      </c>
      <c r="E3143" s="120">
        <f t="shared" si="1196"/>
        <v>5</v>
      </c>
      <c r="F3143" s="275">
        <f t="shared" si="1197"/>
        <v>46889.5</v>
      </c>
      <c r="G3143" s="120">
        <f t="shared" si="1198"/>
        <v>24340</v>
      </c>
      <c r="H3143" s="245">
        <f t="shared" si="1199"/>
        <v>1</v>
      </c>
      <c r="I3143" s="121">
        <f t="shared" si="1200"/>
        <v>1</v>
      </c>
      <c r="J3143" s="121">
        <f t="shared" si="1201"/>
        <v>1</v>
      </c>
      <c r="K3143" s="120">
        <f t="shared" si="1202"/>
        <v>0</v>
      </c>
      <c r="L3143" s="120">
        <f t="shared" si="1203"/>
        <v>0</v>
      </c>
      <c r="M3143" s="246">
        <f t="shared" si="1204"/>
        <v>0</v>
      </c>
      <c r="N3143" s="121">
        <f t="shared" si="1205"/>
        <v>1</v>
      </c>
      <c r="O3143" s="246">
        <f t="shared" si="1206"/>
        <v>0.9</v>
      </c>
      <c r="P3143" s="121">
        <f t="shared" si="1207"/>
        <v>0</v>
      </c>
      <c r="Q3143" s="121">
        <f t="shared" si="1208"/>
        <v>0</v>
      </c>
      <c r="R3143" s="121">
        <f t="shared" si="1209"/>
        <v>1</v>
      </c>
      <c r="S3143" s="121" t="str">
        <f t="shared" si="1210"/>
        <v/>
      </c>
      <c r="T3143" s="121" t="str">
        <f t="shared" si="1211"/>
        <v/>
      </c>
      <c r="U3143" s="121">
        <f t="shared" si="1212"/>
        <v>1</v>
      </c>
    </row>
    <row r="3144" spans="1:21" x14ac:dyDescent="0.3">
      <c r="A3144" s="187">
        <v>42</v>
      </c>
      <c r="B3144" s="242">
        <f t="shared" si="1213"/>
        <v>46905</v>
      </c>
      <c r="C3144" s="243">
        <f t="shared" si="1194"/>
        <v>46934</v>
      </c>
      <c r="D3144" s="120">
        <f t="shared" si="1195"/>
        <v>30</v>
      </c>
      <c r="E3144" s="120">
        <f t="shared" si="1196"/>
        <v>6</v>
      </c>
      <c r="F3144" s="275">
        <f t="shared" si="1197"/>
        <v>46920</v>
      </c>
      <c r="G3144" s="120">
        <f t="shared" si="1198"/>
        <v>24341</v>
      </c>
      <c r="H3144" s="245">
        <f t="shared" si="1199"/>
        <v>1</v>
      </c>
      <c r="I3144" s="121">
        <f t="shared" si="1200"/>
        <v>1</v>
      </c>
      <c r="J3144" s="121">
        <f t="shared" si="1201"/>
        <v>1</v>
      </c>
      <c r="K3144" s="120">
        <f t="shared" si="1202"/>
        <v>0</v>
      </c>
      <c r="L3144" s="120">
        <f t="shared" si="1203"/>
        <v>0</v>
      </c>
      <c r="M3144" s="246">
        <f t="shared" si="1204"/>
        <v>0</v>
      </c>
      <c r="N3144" s="121">
        <f t="shared" si="1205"/>
        <v>1</v>
      </c>
      <c r="O3144" s="246">
        <f t="shared" si="1206"/>
        <v>0.9</v>
      </c>
      <c r="P3144" s="121">
        <f t="shared" si="1207"/>
        <v>0</v>
      </c>
      <c r="Q3144" s="121">
        <f t="shared" si="1208"/>
        <v>0</v>
      </c>
      <c r="R3144" s="121">
        <f t="shared" si="1209"/>
        <v>1</v>
      </c>
      <c r="S3144" s="121" t="str">
        <f t="shared" si="1210"/>
        <v/>
      </c>
      <c r="T3144" s="121" t="str">
        <f t="shared" si="1211"/>
        <v/>
      </c>
      <c r="U3144" s="121">
        <f t="shared" si="1212"/>
        <v>1</v>
      </c>
    </row>
    <row r="3145" spans="1:21" x14ac:dyDescent="0.3">
      <c r="A3145" s="187">
        <v>43</v>
      </c>
      <c r="B3145" s="242">
        <f t="shared" si="1213"/>
        <v>46935</v>
      </c>
      <c r="C3145" s="243">
        <f t="shared" si="1194"/>
        <v>46965</v>
      </c>
      <c r="D3145" s="120">
        <f t="shared" si="1195"/>
        <v>31</v>
      </c>
      <c r="E3145" s="120">
        <f t="shared" si="1196"/>
        <v>7</v>
      </c>
      <c r="F3145" s="275">
        <f t="shared" si="1197"/>
        <v>46950.5</v>
      </c>
      <c r="G3145" s="120">
        <f t="shared" si="1198"/>
        <v>24342</v>
      </c>
      <c r="H3145" s="245">
        <f t="shared" si="1199"/>
        <v>1</v>
      </c>
      <c r="I3145" s="121">
        <f t="shared" si="1200"/>
        <v>1</v>
      </c>
      <c r="J3145" s="121">
        <f t="shared" si="1201"/>
        <v>1</v>
      </c>
      <c r="K3145" s="120">
        <f t="shared" si="1202"/>
        <v>0</v>
      </c>
      <c r="L3145" s="120">
        <f t="shared" si="1203"/>
        <v>0</v>
      </c>
      <c r="M3145" s="246">
        <f t="shared" si="1204"/>
        <v>0</v>
      </c>
      <c r="N3145" s="121">
        <f t="shared" si="1205"/>
        <v>1</v>
      </c>
      <c r="O3145" s="246">
        <f t="shared" si="1206"/>
        <v>0.9</v>
      </c>
      <c r="P3145" s="121">
        <f t="shared" si="1207"/>
        <v>0</v>
      </c>
      <c r="Q3145" s="121">
        <f t="shared" si="1208"/>
        <v>0</v>
      </c>
      <c r="R3145" s="121">
        <f t="shared" si="1209"/>
        <v>0.91666666666666663</v>
      </c>
      <c r="S3145" s="121" t="str">
        <f t="shared" si="1210"/>
        <v/>
      </c>
      <c r="T3145" s="121" t="str">
        <f t="shared" si="1211"/>
        <v/>
      </c>
      <c r="U3145" s="121">
        <f t="shared" si="1212"/>
        <v>1</v>
      </c>
    </row>
    <row r="3146" spans="1:21" x14ac:dyDescent="0.3">
      <c r="A3146" s="187">
        <v>44</v>
      </c>
      <c r="B3146" s="242">
        <f t="shared" si="1213"/>
        <v>46966</v>
      </c>
      <c r="C3146" s="243">
        <f t="shared" si="1194"/>
        <v>46996</v>
      </c>
      <c r="D3146" s="120">
        <f t="shared" si="1195"/>
        <v>31</v>
      </c>
      <c r="E3146" s="120">
        <f t="shared" si="1196"/>
        <v>8</v>
      </c>
      <c r="F3146" s="275">
        <f t="shared" si="1197"/>
        <v>46981.5</v>
      </c>
      <c r="G3146" s="120">
        <f t="shared" si="1198"/>
        <v>24343</v>
      </c>
      <c r="H3146" s="245">
        <f t="shared" si="1199"/>
        <v>1</v>
      </c>
      <c r="I3146" s="121">
        <f t="shared" si="1200"/>
        <v>1</v>
      </c>
      <c r="J3146" s="121">
        <f t="shared" si="1201"/>
        <v>1</v>
      </c>
      <c r="K3146" s="120">
        <f t="shared" si="1202"/>
        <v>0</v>
      </c>
      <c r="L3146" s="120">
        <f t="shared" si="1203"/>
        <v>0</v>
      </c>
      <c r="M3146" s="246">
        <f t="shared" si="1204"/>
        <v>0</v>
      </c>
      <c r="N3146" s="121">
        <f t="shared" si="1205"/>
        <v>1</v>
      </c>
      <c r="O3146" s="246">
        <f t="shared" si="1206"/>
        <v>0.9</v>
      </c>
      <c r="P3146" s="121">
        <f t="shared" si="1207"/>
        <v>0</v>
      </c>
      <c r="Q3146" s="121">
        <f t="shared" si="1208"/>
        <v>0</v>
      </c>
      <c r="R3146" s="121">
        <f t="shared" si="1209"/>
        <v>0.75</v>
      </c>
      <c r="S3146" s="121" t="str">
        <f t="shared" si="1210"/>
        <v/>
      </c>
      <c r="T3146" s="121" t="str">
        <f t="shared" si="1211"/>
        <v/>
      </c>
      <c r="U3146" s="121">
        <f t="shared" si="1212"/>
        <v>1</v>
      </c>
    </row>
    <row r="3147" spans="1:21" x14ac:dyDescent="0.3">
      <c r="A3147" s="187">
        <v>45</v>
      </c>
      <c r="B3147" s="242">
        <f t="shared" si="1213"/>
        <v>46997</v>
      </c>
      <c r="C3147" s="243">
        <f t="shared" si="1194"/>
        <v>47026</v>
      </c>
      <c r="D3147" s="120">
        <f t="shared" si="1195"/>
        <v>30</v>
      </c>
      <c r="E3147" s="120">
        <f t="shared" si="1196"/>
        <v>9</v>
      </c>
      <c r="F3147" s="275">
        <f t="shared" si="1197"/>
        <v>47012</v>
      </c>
      <c r="G3147" s="120">
        <f t="shared" si="1198"/>
        <v>24344</v>
      </c>
      <c r="H3147" s="245">
        <f t="shared" si="1199"/>
        <v>1</v>
      </c>
      <c r="I3147" s="121">
        <f t="shared" si="1200"/>
        <v>1</v>
      </c>
      <c r="J3147" s="121">
        <f t="shared" si="1201"/>
        <v>1</v>
      </c>
      <c r="K3147" s="120">
        <f t="shared" si="1202"/>
        <v>0</v>
      </c>
      <c r="L3147" s="120">
        <f t="shared" si="1203"/>
        <v>0</v>
      </c>
      <c r="M3147" s="246">
        <f t="shared" si="1204"/>
        <v>0</v>
      </c>
      <c r="N3147" s="121">
        <f t="shared" si="1205"/>
        <v>1</v>
      </c>
      <c r="O3147" s="246">
        <f t="shared" si="1206"/>
        <v>0.9</v>
      </c>
      <c r="P3147" s="121">
        <f t="shared" si="1207"/>
        <v>0</v>
      </c>
      <c r="Q3147" s="121">
        <f t="shared" si="1208"/>
        <v>0</v>
      </c>
      <c r="R3147" s="121">
        <f t="shared" si="1209"/>
        <v>0.58333333333333337</v>
      </c>
      <c r="S3147" s="121" t="str">
        <f t="shared" si="1210"/>
        <v/>
      </c>
      <c r="T3147" s="121" t="str">
        <f t="shared" si="1211"/>
        <v/>
      </c>
      <c r="U3147" s="121">
        <f t="shared" si="1212"/>
        <v>1</v>
      </c>
    </row>
    <row r="3148" spans="1:21" x14ac:dyDescent="0.3">
      <c r="A3148" s="187">
        <v>46</v>
      </c>
      <c r="B3148" s="242">
        <f t="shared" si="1213"/>
        <v>47027</v>
      </c>
      <c r="C3148" s="243">
        <f t="shared" si="1194"/>
        <v>47057</v>
      </c>
      <c r="D3148" s="120">
        <f t="shared" si="1195"/>
        <v>31</v>
      </c>
      <c r="E3148" s="120">
        <f t="shared" si="1196"/>
        <v>10</v>
      </c>
      <c r="F3148" s="275">
        <f t="shared" si="1197"/>
        <v>47042.5</v>
      </c>
      <c r="G3148" s="120">
        <f t="shared" si="1198"/>
        <v>24345</v>
      </c>
      <c r="H3148" s="245">
        <f t="shared" si="1199"/>
        <v>1</v>
      </c>
      <c r="I3148" s="121">
        <f t="shared" si="1200"/>
        <v>1</v>
      </c>
      <c r="J3148" s="121">
        <f t="shared" si="1201"/>
        <v>1</v>
      </c>
      <c r="K3148" s="120">
        <f t="shared" si="1202"/>
        <v>0</v>
      </c>
      <c r="L3148" s="120">
        <f t="shared" si="1203"/>
        <v>0</v>
      </c>
      <c r="M3148" s="246">
        <f t="shared" si="1204"/>
        <v>0</v>
      </c>
      <c r="N3148" s="121">
        <f t="shared" si="1205"/>
        <v>1</v>
      </c>
      <c r="O3148" s="246">
        <f t="shared" si="1206"/>
        <v>0.9</v>
      </c>
      <c r="P3148" s="121">
        <f t="shared" si="1207"/>
        <v>0</v>
      </c>
      <c r="Q3148" s="121">
        <f t="shared" si="1208"/>
        <v>0</v>
      </c>
      <c r="R3148" s="121">
        <f t="shared" si="1209"/>
        <v>0.41666666666666669</v>
      </c>
      <c r="S3148" s="121" t="str">
        <f t="shared" si="1210"/>
        <v/>
      </c>
      <c r="T3148" s="121" t="str">
        <f t="shared" si="1211"/>
        <v/>
      </c>
      <c r="U3148" s="121">
        <f t="shared" si="1212"/>
        <v>1</v>
      </c>
    </row>
    <row r="3149" spans="1:21" x14ac:dyDescent="0.3">
      <c r="A3149" s="187">
        <v>47</v>
      </c>
      <c r="B3149" s="242">
        <f t="shared" si="1213"/>
        <v>47058</v>
      </c>
      <c r="C3149" s="243">
        <f t="shared" si="1194"/>
        <v>47087</v>
      </c>
      <c r="D3149" s="120">
        <f t="shared" si="1195"/>
        <v>30</v>
      </c>
      <c r="E3149" s="120">
        <f t="shared" si="1196"/>
        <v>11</v>
      </c>
      <c r="F3149" s="275">
        <f t="shared" si="1197"/>
        <v>47073</v>
      </c>
      <c r="G3149" s="120">
        <f t="shared" si="1198"/>
        <v>24346</v>
      </c>
      <c r="H3149" s="245">
        <f t="shared" si="1199"/>
        <v>1</v>
      </c>
      <c r="I3149" s="121">
        <f t="shared" si="1200"/>
        <v>1</v>
      </c>
      <c r="J3149" s="121">
        <f t="shared" si="1201"/>
        <v>1</v>
      </c>
      <c r="K3149" s="120">
        <f t="shared" si="1202"/>
        <v>0</v>
      </c>
      <c r="L3149" s="120">
        <f t="shared" si="1203"/>
        <v>0</v>
      </c>
      <c r="M3149" s="246">
        <f t="shared" si="1204"/>
        <v>0</v>
      </c>
      <c r="N3149" s="121">
        <f t="shared" si="1205"/>
        <v>1</v>
      </c>
      <c r="O3149" s="246">
        <f t="shared" si="1206"/>
        <v>0.9</v>
      </c>
      <c r="P3149" s="121">
        <f t="shared" si="1207"/>
        <v>0</v>
      </c>
      <c r="Q3149" s="121">
        <f t="shared" si="1208"/>
        <v>0</v>
      </c>
      <c r="R3149" s="121">
        <f t="shared" si="1209"/>
        <v>0.25</v>
      </c>
      <c r="S3149" s="121" t="str">
        <f t="shared" si="1210"/>
        <v/>
      </c>
      <c r="T3149" s="121" t="str">
        <f t="shared" si="1211"/>
        <v/>
      </c>
      <c r="U3149" s="121">
        <f t="shared" si="1212"/>
        <v>1</v>
      </c>
    </row>
    <row r="3150" spans="1:21" x14ac:dyDescent="0.3">
      <c r="A3150" s="187">
        <v>48</v>
      </c>
      <c r="B3150" s="242">
        <f t="shared" si="1213"/>
        <v>47088</v>
      </c>
      <c r="C3150" s="243">
        <f t="shared" si="1194"/>
        <v>47118</v>
      </c>
      <c r="D3150" s="120">
        <f t="shared" si="1195"/>
        <v>31</v>
      </c>
      <c r="E3150" s="120">
        <f t="shared" si="1196"/>
        <v>12</v>
      </c>
      <c r="F3150" s="275">
        <f t="shared" si="1197"/>
        <v>47103.5</v>
      </c>
      <c r="G3150" s="120">
        <f t="shared" si="1198"/>
        <v>24347</v>
      </c>
      <c r="H3150" s="245">
        <f t="shared" si="1199"/>
        <v>1</v>
      </c>
      <c r="I3150" s="121">
        <f t="shared" si="1200"/>
        <v>1</v>
      </c>
      <c r="J3150" s="121">
        <f t="shared" si="1201"/>
        <v>1</v>
      </c>
      <c r="K3150" s="120">
        <f t="shared" si="1202"/>
        <v>0</v>
      </c>
      <c r="L3150" s="120">
        <f t="shared" si="1203"/>
        <v>0</v>
      </c>
      <c r="M3150" s="246">
        <f t="shared" si="1204"/>
        <v>0</v>
      </c>
      <c r="N3150" s="121">
        <f t="shared" si="1205"/>
        <v>1</v>
      </c>
      <c r="O3150" s="246">
        <f t="shared" si="1206"/>
        <v>0.9</v>
      </c>
      <c r="P3150" s="121">
        <f t="shared" si="1207"/>
        <v>0</v>
      </c>
      <c r="Q3150" s="121">
        <f t="shared" si="1208"/>
        <v>0</v>
      </c>
      <c r="R3150" s="121">
        <f t="shared" si="1209"/>
        <v>8.3333333333333329E-2</v>
      </c>
      <c r="S3150" s="121" t="str">
        <f t="shared" si="1210"/>
        <v/>
      </c>
      <c r="T3150" s="121" t="str">
        <f t="shared" si="1211"/>
        <v/>
      </c>
      <c r="U3150" s="121">
        <f t="shared" si="1212"/>
        <v>1</v>
      </c>
    </row>
    <row r="3151" spans="1:21" x14ac:dyDescent="0.3">
      <c r="A3151" s="6" t="s">
        <v>1651</v>
      </c>
      <c r="B3151" s="73">
        <f>EXP(SUMPRODUCT((rl_key=$A$3100)*(rl_cons="Y")*rl_ln1p))</f>
        <v>1</v>
      </c>
      <c r="C3151" s="73">
        <f>SUMPRODUCT($H$3103:$H$3150,$P$3103:$P$3150,$U$3103:$U$3150)/SUMPRODUCT($H$3103:$H$3150,$P$3103:$P$3150)</f>
        <v>1</v>
      </c>
      <c r="D3151" s="73">
        <f>SUMPRODUCT($H$3103:$H$3150,$Q$3103:$Q$3150,$U$3103:$U$3150)/SUMPRODUCT($H$3103:$H$3150,$Q$3103:$Q$3150)</f>
        <v>1</v>
      </c>
      <c r="E3151" s="73">
        <f>SUMPRODUCT($H$3103:$H$3150,$R$3103:$R$3150,$U$3103:$U$3150)/SUMPRODUCT($H$3103:$H$3150,$R$3103:$R$3150)</f>
        <v>1</v>
      </c>
      <c r="F3151" s="224">
        <f>SUMPRODUCT($H$3103:$H$3150,$Q$3103:$Q$3150,$O$3103:$O$3150)/SUMPRODUCT($H$3103:$H$3150,$Q$3103:$Q$3150)</f>
        <v>0.90600747629467537</v>
      </c>
      <c r="G3151" s="224">
        <f>SUMPRODUCT($H$3103:$H$3150,$R$3103:$R$3150,$O$3103:$O$3150)/SUMPRODUCT($H$3103:$H$3150,$R$3103:$R$3150)</f>
        <v>0.90033977631898854</v>
      </c>
      <c r="H3151" s="73">
        <f>SUMPRODUCT($H$3127:$H$3138,$N$3127:$N$3138/$N$3115:$N$3126)/SUM($H$3127:$H$3138)</f>
        <v>1</v>
      </c>
      <c r="I3151" s="73">
        <f>SUMPRODUCT($H$3127:$H$3138,$O$3127:$O$3138/$O$3115:$O$3126)/SUM($H$3127:$H$3138)</f>
        <v>0.99124238763980388</v>
      </c>
      <c r="J3151" s="73">
        <f>IF($O$3100=1,SUMPRODUCT($H$3127:$H$3138,$N$3127:$N$3138/$N$3115:$N$3126*$O$3127:$O$3138/$O$3115:$O$3126)/SUM($H$3127:$H$3138),$H3151)</f>
        <v>0.99124238763980388</v>
      </c>
      <c r="K3151" s="73">
        <f>SUMPRODUCT($H$3103:$H$3150,$Q$3103:$Q$3150,$N$3103:$N$3150)/SUMPRODUCT($H$3103:$H$3150,$Q$3103:$Q$3150)</f>
        <v>1</v>
      </c>
      <c r="L3151" s="73">
        <f>SUMPRODUCT($H$3103:$H$3150,$R$3103:$R$3150,$N$3103:$N$3150)/SUMPRODUCT($H$3103:$H$3150,$R$3103:$R$3150)</f>
        <v>1</v>
      </c>
    </row>
    <row r="3154" spans="1:21" x14ac:dyDescent="0.3">
      <c r="A3154" s="6" t="str">
        <f>INDEX(lr_key,58)</f>
        <v>SBA|PA</v>
      </c>
      <c r="B3154" s="6" t="str">
        <f>INDEX(lr_state,58)</f>
        <v>PA</v>
      </c>
      <c r="C3154" s="75">
        <f>nr_TermMonths</f>
        <v>6</v>
      </c>
      <c r="D3154" s="75">
        <f>IF(COUNTIF(se_state,$B3154)=0,0,MATCH($B3154,se_state,0))</f>
        <v>0</v>
      </c>
      <c r="E3154" s="70">
        <f>IF($D3154=0,0,INDEX(se_sum,$D3154))</f>
        <v>0</v>
      </c>
      <c r="F3154" s="224">
        <f>IF(N(INDEX(lr_mind,58))=0,1,INDEX(lr_mind,58))</f>
        <v>0.92</v>
      </c>
      <c r="G3154" s="224">
        <f>IF(N(INDEX(lr_m0,58))=0,1,INDEX(lr_m0,58))</f>
        <v>0.91</v>
      </c>
      <c r="H3154" s="74">
        <f>IF(N(INDEX(lr_m0asof,58))=0,DATE(nr_PlanYear-1,10,1),INDEX(lr_m0asof,58))</f>
        <v>46295</v>
      </c>
      <c r="I3154" s="224">
        <f>IF(N(INDEX(lr_m1,58))=0,1,INDEX(lr_m1,58))</f>
        <v>0.91500000000000004</v>
      </c>
      <c r="J3154" s="224">
        <f>INDEX(lr_mprior,58)</f>
        <v>0</v>
      </c>
      <c r="K3154" s="224">
        <f>INDEX(lr_m2,58)</f>
        <v>0</v>
      </c>
      <c r="L3154" s="6" t="b">
        <f>NOT(ISBLANK(INDEX(lr_netp,58)))</f>
        <v>0</v>
      </c>
      <c r="M3154" s="72">
        <f>N(INDEX(lr_netp,58))</f>
        <v>0</v>
      </c>
      <c r="N3154" s="72">
        <f>IF(ISBLANK(INDEX(lr_netp1,58)),$M$3154,N(INDEX(lr_netp1,58)))</f>
        <v>0</v>
      </c>
      <c r="O3154" s="75">
        <f>IF(AND(nr_ModAdjMaster="ON",INDEX(lr_modadj,58)="ON"),1,0)</f>
        <v>1</v>
      </c>
    </row>
    <row r="3155" spans="1:21" x14ac:dyDescent="0.3">
      <c r="A3155" s="6">
        <f>EDATE($H$3154,-12)+1</f>
        <v>45931</v>
      </c>
      <c r="B3155" s="6">
        <f>$H$3154+1</f>
        <v>46296</v>
      </c>
      <c r="C3155" s="6">
        <f>DATE(nr_PlanYear,12,31)+1</f>
        <v>46753</v>
      </c>
      <c r="D3155" s="6">
        <f>DATE(nr_PlanYear+1,12,31)+1</f>
        <v>47119</v>
      </c>
      <c r="E3155" s="6">
        <f>IF(N($J$3154)=0,$F$3155-($G$3155-$F$3155)/($C$3155-$B$3155)*($B$3155-$A$3155),$J$3154)</f>
        <v>0.90600656455142237</v>
      </c>
      <c r="F3155" s="6">
        <f>$G$3154</f>
        <v>0.91</v>
      </c>
      <c r="G3155" s="6">
        <f>$I$3154</f>
        <v>0.91500000000000004</v>
      </c>
      <c r="H3155" s="6">
        <f>IF(N($K$3154)=0,$I$3154,$K$3154)</f>
        <v>0.91500000000000004</v>
      </c>
      <c r="I3155" s="6">
        <f>($F$3155-$E$3155)/($B$3155-$A$3155)</f>
        <v>1.0940919037199081E-5</v>
      </c>
      <c r="J3155" s="6">
        <f>($G$3155-$F$3155)/($C$3155-$B$3155)</f>
        <v>1.0940919037199135E-5</v>
      </c>
      <c r="K3155" s="6">
        <f>($H$3155-$G$3155)/($D$3155-$C$3155)</f>
        <v>0</v>
      </c>
    </row>
    <row r="3156" spans="1:21" ht="36" x14ac:dyDescent="0.3">
      <c r="A3156" s="58" t="s">
        <v>390</v>
      </c>
      <c r="B3156" s="58" t="s">
        <v>449</v>
      </c>
      <c r="C3156" s="58" t="s">
        <v>685</v>
      </c>
      <c r="D3156" s="58" t="s">
        <v>686</v>
      </c>
      <c r="E3156" s="58" t="s">
        <v>687</v>
      </c>
      <c r="F3156" s="58" t="s">
        <v>688</v>
      </c>
      <c r="G3156" s="58" t="s">
        <v>689</v>
      </c>
      <c r="H3156" s="58" t="s">
        <v>452</v>
      </c>
      <c r="I3156" s="58" t="s">
        <v>690</v>
      </c>
      <c r="J3156" s="58" t="s">
        <v>691</v>
      </c>
      <c r="K3156" s="58" t="s">
        <v>692</v>
      </c>
      <c r="L3156" s="58" t="s">
        <v>693</v>
      </c>
      <c r="M3156" s="58" t="s">
        <v>694</v>
      </c>
      <c r="N3156" s="58" t="s">
        <v>695</v>
      </c>
      <c r="O3156" s="58" t="s">
        <v>696</v>
      </c>
      <c r="P3156" s="58" t="s">
        <v>697</v>
      </c>
      <c r="Q3156" s="58" t="s">
        <v>698</v>
      </c>
      <c r="R3156" s="58" t="s">
        <v>699</v>
      </c>
      <c r="S3156" s="58" t="s">
        <v>700</v>
      </c>
      <c r="T3156" s="58" t="s">
        <v>701</v>
      </c>
      <c r="U3156" s="58" t="s">
        <v>702</v>
      </c>
    </row>
    <row r="3157" spans="1:21" x14ac:dyDescent="0.3">
      <c r="A3157" s="187">
        <v>1</v>
      </c>
      <c r="B3157" s="242">
        <f>DATE(nr_PlanYear-2,1,1)</f>
        <v>45658</v>
      </c>
      <c r="C3157" s="243">
        <f t="shared" ref="C3157:C3204" si="1214">EOMONTH($B3157,0)</f>
        <v>45688</v>
      </c>
      <c r="D3157" s="120">
        <f t="shared" ref="D3157:D3204" si="1215">$C3157-$B3157+1</f>
        <v>31</v>
      </c>
      <c r="E3157" s="120">
        <f t="shared" ref="E3157:E3204" si="1216">MONTH($B3157)</f>
        <v>1</v>
      </c>
      <c r="F3157" s="275">
        <f t="shared" ref="F3157:F3204" si="1217">($B3157+$C3157+1)/2</f>
        <v>45673.5</v>
      </c>
      <c r="G3157" s="120">
        <f t="shared" ref="G3157:G3204" si="1218">YEAR($B3157)*12+MONTH($B3157)-1</f>
        <v>24300</v>
      </c>
      <c r="H3157" s="245">
        <f t="shared" ref="H3157:H3204" si="1219">IF(OR(nr_SeasonOn="OFF",$D$3154=0,$E$3154=0),1,12*INDEX(se_block,$D$3154,$E3157)/$E$3154)</f>
        <v>1</v>
      </c>
      <c r="I3157" s="121">
        <f t="shared" ref="I3157:I3204" si="1220">EXP(SUMPRODUCT((rl_eff&lt;$B3157)*(rl_key=$A$3154)*rl_ln1p))</f>
        <v>1</v>
      </c>
      <c r="J3157" s="121">
        <f t="shared" ref="J3157:J3204" si="1221">EXP(SUMPRODUCT((rl_eff&lt;=$C3157)*(rl_key=$A$3154)*rl_ln1p))</f>
        <v>1</v>
      </c>
      <c r="K3157" s="120">
        <f t="shared" ref="K3157:K3204" si="1222">COUNTIFS(rl_key,$A$3154,rl_eff,"&gt;="&amp;$B3157,rl_eff,"&lt;="&amp;$C3157)</f>
        <v>0</v>
      </c>
      <c r="L3157" s="120">
        <f t="shared" ref="L3157:L3204" si="1223">SUMIFS(rl_daysafter,rl_key,$A$3154,rl_effmonth,$B3157,rl_first,1)</f>
        <v>0</v>
      </c>
      <c r="M3157" s="246">
        <f t="shared" ref="M3157:M3204" si="1224">IF($K3157=0,0,MIN(1,$L3157/$D3157))</f>
        <v>0</v>
      </c>
      <c r="N3157" s="121">
        <f t="shared" ref="N3157:N3204" si="1225">IF($K3157=0,$J3157,(1-$M3157)*$I3157+$M3157*$J3157)</f>
        <v>1</v>
      </c>
      <c r="O3157" s="246">
        <f t="shared" ref="O3157:O3204" si="1226">IF($F3157&lt;$B$3155,$E$3155+$I$3155*($F3157-$A$3155),IF($F3157&lt;$C$3155,$F$3155+$J$3155*($F3157-$B$3155),$G$3155+$K$3155*($F3157-$C$3155)))</f>
        <v>0.90318927789934356</v>
      </c>
      <c r="P3157" s="121">
        <f t="shared" ref="P3157:P3204" si="1227">MIN(1,MAX(0,(nr_MEndPm1-$G3157+0.5)/$C$3154))-MIN(1,MAX(0,(nr_MStartPm1-1-$G3157+0.5)/$C$3154))</f>
        <v>0</v>
      </c>
      <c r="Q3157" s="121">
        <f t="shared" ref="Q3157:Q3204" si="1228">MIN(1,MAX(0,(nr_MEndP-$G3157+0.5)/$C$3154))-MIN(1,MAX(0,(nr_MStartP-1-$G3157+0.5)/$C$3154))</f>
        <v>0</v>
      </c>
      <c r="R3157" s="121">
        <f t="shared" ref="R3157:R3204" si="1229">MIN(1,MAX(0,(nr_MEndP1-$G3157+0.5)/$C$3154))-MIN(1,MAX(0,(nr_MStartP1-1-$G3157+0.5)/$C$3154))</f>
        <v>0</v>
      </c>
      <c r="S3157" s="121" t="str">
        <f t="shared" ref="S3157:S3204" si="1230">IF($L$3154,$N3157*IF($O$3154=1,$O3157/$F$3154,1),"")</f>
        <v/>
      </c>
      <c r="T3157" s="121" t="str">
        <f t="shared" ref="T3157:T3204" si="1231">IF(NOT($L$3154),"",IF($G3157&lt;nr_MStartP,$S3157,$T3145*(1+IF($G3157&lt;nr_MStartP1,$M$3154,$N$3154))))</f>
        <v/>
      </c>
      <c r="U3157" s="121">
        <f t="shared" ref="U3157:U3204" si="1232">IF($L$3154,$T3157,$N3157)</f>
        <v>1</v>
      </c>
    </row>
    <row r="3158" spans="1:21" x14ac:dyDescent="0.3">
      <c r="A3158" s="187">
        <v>2</v>
      </c>
      <c r="B3158" s="242">
        <f t="shared" ref="B3158:B3204" si="1233">EDATE($B3157,1)</f>
        <v>45689</v>
      </c>
      <c r="C3158" s="243">
        <f t="shared" si="1214"/>
        <v>45716</v>
      </c>
      <c r="D3158" s="120">
        <f t="shared" si="1215"/>
        <v>28</v>
      </c>
      <c r="E3158" s="120">
        <f t="shared" si="1216"/>
        <v>2</v>
      </c>
      <c r="F3158" s="275">
        <f t="shared" si="1217"/>
        <v>45703</v>
      </c>
      <c r="G3158" s="120">
        <f t="shared" si="1218"/>
        <v>24301</v>
      </c>
      <c r="H3158" s="245">
        <f t="shared" si="1219"/>
        <v>1</v>
      </c>
      <c r="I3158" s="121">
        <f t="shared" si="1220"/>
        <v>1</v>
      </c>
      <c r="J3158" s="121">
        <f t="shared" si="1221"/>
        <v>1</v>
      </c>
      <c r="K3158" s="120">
        <f t="shared" si="1222"/>
        <v>0</v>
      </c>
      <c r="L3158" s="120">
        <f t="shared" si="1223"/>
        <v>0</v>
      </c>
      <c r="M3158" s="246">
        <f t="shared" si="1224"/>
        <v>0</v>
      </c>
      <c r="N3158" s="121">
        <f t="shared" si="1225"/>
        <v>1</v>
      </c>
      <c r="O3158" s="246">
        <f t="shared" si="1226"/>
        <v>0.90351203501094102</v>
      </c>
      <c r="P3158" s="121">
        <f t="shared" si="1227"/>
        <v>0</v>
      </c>
      <c r="Q3158" s="121">
        <f t="shared" si="1228"/>
        <v>0</v>
      </c>
      <c r="R3158" s="121">
        <f t="shared" si="1229"/>
        <v>0</v>
      </c>
      <c r="S3158" s="121" t="str">
        <f t="shared" si="1230"/>
        <v/>
      </c>
      <c r="T3158" s="121" t="str">
        <f t="shared" si="1231"/>
        <v/>
      </c>
      <c r="U3158" s="121">
        <f t="shared" si="1232"/>
        <v>1</v>
      </c>
    </row>
    <row r="3159" spans="1:21" x14ac:dyDescent="0.3">
      <c r="A3159" s="187">
        <v>3</v>
      </c>
      <c r="B3159" s="242">
        <f t="shared" si="1233"/>
        <v>45717</v>
      </c>
      <c r="C3159" s="243">
        <f t="shared" si="1214"/>
        <v>45747</v>
      </c>
      <c r="D3159" s="120">
        <f t="shared" si="1215"/>
        <v>31</v>
      </c>
      <c r="E3159" s="120">
        <f t="shared" si="1216"/>
        <v>3</v>
      </c>
      <c r="F3159" s="275">
        <f t="shared" si="1217"/>
        <v>45732.5</v>
      </c>
      <c r="G3159" s="120">
        <f t="shared" si="1218"/>
        <v>24302</v>
      </c>
      <c r="H3159" s="245">
        <f t="shared" si="1219"/>
        <v>1</v>
      </c>
      <c r="I3159" s="121">
        <f t="shared" si="1220"/>
        <v>1</v>
      </c>
      <c r="J3159" s="121">
        <f t="shared" si="1221"/>
        <v>1</v>
      </c>
      <c r="K3159" s="120">
        <f t="shared" si="1222"/>
        <v>0</v>
      </c>
      <c r="L3159" s="120">
        <f t="shared" si="1223"/>
        <v>0</v>
      </c>
      <c r="M3159" s="246">
        <f t="shared" si="1224"/>
        <v>0</v>
      </c>
      <c r="N3159" s="121">
        <f t="shared" si="1225"/>
        <v>1</v>
      </c>
      <c r="O3159" s="246">
        <f t="shared" si="1226"/>
        <v>0.90383479212253837</v>
      </c>
      <c r="P3159" s="121">
        <f t="shared" si="1227"/>
        <v>0</v>
      </c>
      <c r="Q3159" s="121">
        <f t="shared" si="1228"/>
        <v>0</v>
      </c>
      <c r="R3159" s="121">
        <f t="shared" si="1229"/>
        <v>0</v>
      </c>
      <c r="S3159" s="121" t="str">
        <f t="shared" si="1230"/>
        <v/>
      </c>
      <c r="T3159" s="121" t="str">
        <f t="shared" si="1231"/>
        <v/>
      </c>
      <c r="U3159" s="121">
        <f t="shared" si="1232"/>
        <v>1</v>
      </c>
    </row>
    <row r="3160" spans="1:21" x14ac:dyDescent="0.3">
      <c r="A3160" s="187">
        <v>4</v>
      </c>
      <c r="B3160" s="242">
        <f t="shared" si="1233"/>
        <v>45748</v>
      </c>
      <c r="C3160" s="243">
        <f t="shared" si="1214"/>
        <v>45777</v>
      </c>
      <c r="D3160" s="120">
        <f t="shared" si="1215"/>
        <v>30</v>
      </c>
      <c r="E3160" s="120">
        <f t="shared" si="1216"/>
        <v>4</v>
      </c>
      <c r="F3160" s="275">
        <f t="shared" si="1217"/>
        <v>45763</v>
      </c>
      <c r="G3160" s="120">
        <f t="shared" si="1218"/>
        <v>24303</v>
      </c>
      <c r="H3160" s="245">
        <f t="shared" si="1219"/>
        <v>1</v>
      </c>
      <c r="I3160" s="121">
        <f t="shared" si="1220"/>
        <v>1</v>
      </c>
      <c r="J3160" s="121">
        <f t="shared" si="1221"/>
        <v>1</v>
      </c>
      <c r="K3160" s="120">
        <f t="shared" si="1222"/>
        <v>0</v>
      </c>
      <c r="L3160" s="120">
        <f t="shared" si="1223"/>
        <v>0</v>
      </c>
      <c r="M3160" s="246">
        <f t="shared" si="1224"/>
        <v>0</v>
      </c>
      <c r="N3160" s="121">
        <f t="shared" si="1225"/>
        <v>1</v>
      </c>
      <c r="O3160" s="246">
        <f t="shared" si="1226"/>
        <v>0.90416849015317291</v>
      </c>
      <c r="P3160" s="121">
        <f t="shared" si="1227"/>
        <v>0</v>
      </c>
      <c r="Q3160" s="121">
        <f t="shared" si="1228"/>
        <v>0</v>
      </c>
      <c r="R3160" s="121">
        <f t="shared" si="1229"/>
        <v>0</v>
      </c>
      <c r="S3160" s="121" t="str">
        <f t="shared" si="1230"/>
        <v/>
      </c>
      <c r="T3160" s="121" t="str">
        <f t="shared" si="1231"/>
        <v/>
      </c>
      <c r="U3160" s="121">
        <f t="shared" si="1232"/>
        <v>1</v>
      </c>
    </row>
    <row r="3161" spans="1:21" x14ac:dyDescent="0.3">
      <c r="A3161" s="187">
        <v>5</v>
      </c>
      <c r="B3161" s="242">
        <f t="shared" si="1233"/>
        <v>45778</v>
      </c>
      <c r="C3161" s="243">
        <f t="shared" si="1214"/>
        <v>45808</v>
      </c>
      <c r="D3161" s="120">
        <f t="shared" si="1215"/>
        <v>31</v>
      </c>
      <c r="E3161" s="120">
        <f t="shared" si="1216"/>
        <v>5</v>
      </c>
      <c r="F3161" s="275">
        <f t="shared" si="1217"/>
        <v>45793.5</v>
      </c>
      <c r="G3161" s="120">
        <f t="shared" si="1218"/>
        <v>24304</v>
      </c>
      <c r="H3161" s="245">
        <f t="shared" si="1219"/>
        <v>1</v>
      </c>
      <c r="I3161" s="121">
        <f t="shared" si="1220"/>
        <v>1</v>
      </c>
      <c r="J3161" s="121">
        <f t="shared" si="1221"/>
        <v>1</v>
      </c>
      <c r="K3161" s="120">
        <f t="shared" si="1222"/>
        <v>0</v>
      </c>
      <c r="L3161" s="120">
        <f t="shared" si="1223"/>
        <v>0</v>
      </c>
      <c r="M3161" s="246">
        <f t="shared" si="1224"/>
        <v>0</v>
      </c>
      <c r="N3161" s="121">
        <f t="shared" si="1225"/>
        <v>1</v>
      </c>
      <c r="O3161" s="246">
        <f t="shared" si="1226"/>
        <v>0.90450218818380745</v>
      </c>
      <c r="P3161" s="121">
        <f t="shared" si="1227"/>
        <v>0</v>
      </c>
      <c r="Q3161" s="121">
        <f t="shared" si="1228"/>
        <v>0</v>
      </c>
      <c r="R3161" s="121">
        <f t="shared" si="1229"/>
        <v>0</v>
      </c>
      <c r="S3161" s="121" t="str">
        <f t="shared" si="1230"/>
        <v/>
      </c>
      <c r="T3161" s="121" t="str">
        <f t="shared" si="1231"/>
        <v/>
      </c>
      <c r="U3161" s="121">
        <f t="shared" si="1232"/>
        <v>1</v>
      </c>
    </row>
    <row r="3162" spans="1:21" x14ac:dyDescent="0.3">
      <c r="A3162" s="187">
        <v>6</v>
      </c>
      <c r="B3162" s="242">
        <f t="shared" si="1233"/>
        <v>45809</v>
      </c>
      <c r="C3162" s="243">
        <f t="shared" si="1214"/>
        <v>45838</v>
      </c>
      <c r="D3162" s="120">
        <f t="shared" si="1215"/>
        <v>30</v>
      </c>
      <c r="E3162" s="120">
        <f t="shared" si="1216"/>
        <v>6</v>
      </c>
      <c r="F3162" s="275">
        <f t="shared" si="1217"/>
        <v>45824</v>
      </c>
      <c r="G3162" s="120">
        <f t="shared" si="1218"/>
        <v>24305</v>
      </c>
      <c r="H3162" s="245">
        <f t="shared" si="1219"/>
        <v>1</v>
      </c>
      <c r="I3162" s="121">
        <f t="shared" si="1220"/>
        <v>1</v>
      </c>
      <c r="J3162" s="121">
        <f t="shared" si="1221"/>
        <v>1</v>
      </c>
      <c r="K3162" s="120">
        <f t="shared" si="1222"/>
        <v>0</v>
      </c>
      <c r="L3162" s="120">
        <f t="shared" si="1223"/>
        <v>0</v>
      </c>
      <c r="M3162" s="246">
        <f t="shared" si="1224"/>
        <v>0</v>
      </c>
      <c r="N3162" s="121">
        <f t="shared" si="1225"/>
        <v>1</v>
      </c>
      <c r="O3162" s="246">
        <f t="shared" si="1226"/>
        <v>0.90483588621444211</v>
      </c>
      <c r="P3162" s="121">
        <f t="shared" si="1227"/>
        <v>0</v>
      </c>
      <c r="Q3162" s="121">
        <f t="shared" si="1228"/>
        <v>0</v>
      </c>
      <c r="R3162" s="121">
        <f t="shared" si="1229"/>
        <v>0</v>
      </c>
      <c r="S3162" s="121" t="str">
        <f t="shared" si="1230"/>
        <v/>
      </c>
      <c r="T3162" s="121" t="str">
        <f t="shared" si="1231"/>
        <v/>
      </c>
      <c r="U3162" s="121">
        <f t="shared" si="1232"/>
        <v>1</v>
      </c>
    </row>
    <row r="3163" spans="1:21" x14ac:dyDescent="0.3">
      <c r="A3163" s="187">
        <v>7</v>
      </c>
      <c r="B3163" s="242">
        <f t="shared" si="1233"/>
        <v>45839</v>
      </c>
      <c r="C3163" s="243">
        <f t="shared" si="1214"/>
        <v>45869</v>
      </c>
      <c r="D3163" s="120">
        <f t="shared" si="1215"/>
        <v>31</v>
      </c>
      <c r="E3163" s="120">
        <f t="shared" si="1216"/>
        <v>7</v>
      </c>
      <c r="F3163" s="275">
        <f t="shared" si="1217"/>
        <v>45854.5</v>
      </c>
      <c r="G3163" s="120">
        <f t="shared" si="1218"/>
        <v>24306</v>
      </c>
      <c r="H3163" s="245">
        <f t="shared" si="1219"/>
        <v>1</v>
      </c>
      <c r="I3163" s="121">
        <f t="shared" si="1220"/>
        <v>1</v>
      </c>
      <c r="J3163" s="121">
        <f t="shared" si="1221"/>
        <v>1</v>
      </c>
      <c r="K3163" s="120">
        <f t="shared" si="1222"/>
        <v>0</v>
      </c>
      <c r="L3163" s="120">
        <f t="shared" si="1223"/>
        <v>0</v>
      </c>
      <c r="M3163" s="246">
        <f t="shared" si="1224"/>
        <v>0</v>
      </c>
      <c r="N3163" s="121">
        <f t="shared" si="1225"/>
        <v>1</v>
      </c>
      <c r="O3163" s="246">
        <f t="shared" si="1226"/>
        <v>0.90516958424507665</v>
      </c>
      <c r="P3163" s="121">
        <f t="shared" si="1227"/>
        <v>8.333333333333337E-2</v>
      </c>
      <c r="Q3163" s="121">
        <f t="shared" si="1228"/>
        <v>0</v>
      </c>
      <c r="R3163" s="121">
        <f t="shared" si="1229"/>
        <v>0</v>
      </c>
      <c r="S3163" s="121" t="str">
        <f t="shared" si="1230"/>
        <v/>
      </c>
      <c r="T3163" s="121" t="str">
        <f t="shared" si="1231"/>
        <v/>
      </c>
      <c r="U3163" s="121">
        <f t="shared" si="1232"/>
        <v>1</v>
      </c>
    </row>
    <row r="3164" spans="1:21" x14ac:dyDescent="0.3">
      <c r="A3164" s="187">
        <v>8</v>
      </c>
      <c r="B3164" s="242">
        <f t="shared" si="1233"/>
        <v>45870</v>
      </c>
      <c r="C3164" s="243">
        <f t="shared" si="1214"/>
        <v>45900</v>
      </c>
      <c r="D3164" s="120">
        <f t="shared" si="1215"/>
        <v>31</v>
      </c>
      <c r="E3164" s="120">
        <f t="shared" si="1216"/>
        <v>8</v>
      </c>
      <c r="F3164" s="275">
        <f t="shared" si="1217"/>
        <v>45885.5</v>
      </c>
      <c r="G3164" s="120">
        <f t="shared" si="1218"/>
        <v>24307</v>
      </c>
      <c r="H3164" s="245">
        <f t="shared" si="1219"/>
        <v>1</v>
      </c>
      <c r="I3164" s="121">
        <f t="shared" si="1220"/>
        <v>1</v>
      </c>
      <c r="J3164" s="121">
        <f t="shared" si="1221"/>
        <v>1</v>
      </c>
      <c r="K3164" s="120">
        <f t="shared" si="1222"/>
        <v>0</v>
      </c>
      <c r="L3164" s="120">
        <f t="shared" si="1223"/>
        <v>0</v>
      </c>
      <c r="M3164" s="246">
        <f t="shared" si="1224"/>
        <v>0</v>
      </c>
      <c r="N3164" s="121">
        <f t="shared" si="1225"/>
        <v>1</v>
      </c>
      <c r="O3164" s="246">
        <f t="shared" si="1226"/>
        <v>0.90550875273522979</v>
      </c>
      <c r="P3164" s="121">
        <f t="shared" si="1227"/>
        <v>0.25</v>
      </c>
      <c r="Q3164" s="121">
        <f t="shared" si="1228"/>
        <v>0</v>
      </c>
      <c r="R3164" s="121">
        <f t="shared" si="1229"/>
        <v>0</v>
      </c>
      <c r="S3164" s="121" t="str">
        <f t="shared" si="1230"/>
        <v/>
      </c>
      <c r="T3164" s="121" t="str">
        <f t="shared" si="1231"/>
        <v/>
      </c>
      <c r="U3164" s="121">
        <f t="shared" si="1232"/>
        <v>1</v>
      </c>
    </row>
    <row r="3165" spans="1:21" x14ac:dyDescent="0.3">
      <c r="A3165" s="187">
        <v>9</v>
      </c>
      <c r="B3165" s="242">
        <f t="shared" si="1233"/>
        <v>45901</v>
      </c>
      <c r="C3165" s="243">
        <f t="shared" si="1214"/>
        <v>45930</v>
      </c>
      <c r="D3165" s="120">
        <f t="shared" si="1215"/>
        <v>30</v>
      </c>
      <c r="E3165" s="120">
        <f t="shared" si="1216"/>
        <v>9</v>
      </c>
      <c r="F3165" s="275">
        <f t="shared" si="1217"/>
        <v>45916</v>
      </c>
      <c r="G3165" s="120">
        <f t="shared" si="1218"/>
        <v>24308</v>
      </c>
      <c r="H3165" s="245">
        <f t="shared" si="1219"/>
        <v>1</v>
      </c>
      <c r="I3165" s="121">
        <f t="shared" si="1220"/>
        <v>1</v>
      </c>
      <c r="J3165" s="121">
        <f t="shared" si="1221"/>
        <v>1</v>
      </c>
      <c r="K3165" s="120">
        <f t="shared" si="1222"/>
        <v>0</v>
      </c>
      <c r="L3165" s="120">
        <f t="shared" si="1223"/>
        <v>0</v>
      </c>
      <c r="M3165" s="246">
        <f t="shared" si="1224"/>
        <v>0</v>
      </c>
      <c r="N3165" s="121">
        <f t="shared" si="1225"/>
        <v>1</v>
      </c>
      <c r="O3165" s="246">
        <f t="shared" si="1226"/>
        <v>0.90584245076586434</v>
      </c>
      <c r="P3165" s="121">
        <f t="shared" si="1227"/>
        <v>0.41666666666666663</v>
      </c>
      <c r="Q3165" s="121">
        <f t="shared" si="1228"/>
        <v>0</v>
      </c>
      <c r="R3165" s="121">
        <f t="shared" si="1229"/>
        <v>0</v>
      </c>
      <c r="S3165" s="121" t="str">
        <f t="shared" si="1230"/>
        <v/>
      </c>
      <c r="T3165" s="121" t="str">
        <f t="shared" si="1231"/>
        <v/>
      </c>
      <c r="U3165" s="121">
        <f t="shared" si="1232"/>
        <v>1</v>
      </c>
    </row>
    <row r="3166" spans="1:21" x14ac:dyDescent="0.3">
      <c r="A3166" s="187">
        <v>10</v>
      </c>
      <c r="B3166" s="242">
        <f t="shared" si="1233"/>
        <v>45931</v>
      </c>
      <c r="C3166" s="243">
        <f t="shared" si="1214"/>
        <v>45961</v>
      </c>
      <c r="D3166" s="120">
        <f t="shared" si="1215"/>
        <v>31</v>
      </c>
      <c r="E3166" s="120">
        <f t="shared" si="1216"/>
        <v>10</v>
      </c>
      <c r="F3166" s="275">
        <f t="shared" si="1217"/>
        <v>45946.5</v>
      </c>
      <c r="G3166" s="120">
        <f t="shared" si="1218"/>
        <v>24309</v>
      </c>
      <c r="H3166" s="245">
        <f t="shared" si="1219"/>
        <v>1</v>
      </c>
      <c r="I3166" s="121">
        <f t="shared" si="1220"/>
        <v>1</v>
      </c>
      <c r="J3166" s="121">
        <f t="shared" si="1221"/>
        <v>1</v>
      </c>
      <c r="K3166" s="120">
        <f t="shared" si="1222"/>
        <v>0</v>
      </c>
      <c r="L3166" s="120">
        <f t="shared" si="1223"/>
        <v>0</v>
      </c>
      <c r="M3166" s="246">
        <f t="shared" si="1224"/>
        <v>0</v>
      </c>
      <c r="N3166" s="121">
        <f t="shared" si="1225"/>
        <v>1</v>
      </c>
      <c r="O3166" s="246">
        <f t="shared" si="1226"/>
        <v>0.90617614879649899</v>
      </c>
      <c r="P3166" s="121">
        <f t="shared" si="1227"/>
        <v>0.58333333333333326</v>
      </c>
      <c r="Q3166" s="121">
        <f t="shared" si="1228"/>
        <v>0</v>
      </c>
      <c r="R3166" s="121">
        <f t="shared" si="1229"/>
        <v>0</v>
      </c>
      <c r="S3166" s="121" t="str">
        <f t="shared" si="1230"/>
        <v/>
      </c>
      <c r="T3166" s="121" t="str">
        <f t="shared" si="1231"/>
        <v/>
      </c>
      <c r="U3166" s="121">
        <f t="shared" si="1232"/>
        <v>1</v>
      </c>
    </row>
    <row r="3167" spans="1:21" x14ac:dyDescent="0.3">
      <c r="A3167" s="187">
        <v>11</v>
      </c>
      <c r="B3167" s="242">
        <f t="shared" si="1233"/>
        <v>45962</v>
      </c>
      <c r="C3167" s="243">
        <f t="shared" si="1214"/>
        <v>45991</v>
      </c>
      <c r="D3167" s="120">
        <f t="shared" si="1215"/>
        <v>30</v>
      </c>
      <c r="E3167" s="120">
        <f t="shared" si="1216"/>
        <v>11</v>
      </c>
      <c r="F3167" s="275">
        <f t="shared" si="1217"/>
        <v>45977</v>
      </c>
      <c r="G3167" s="120">
        <f t="shared" si="1218"/>
        <v>24310</v>
      </c>
      <c r="H3167" s="245">
        <f t="shared" si="1219"/>
        <v>1</v>
      </c>
      <c r="I3167" s="121">
        <f t="shared" si="1220"/>
        <v>1</v>
      </c>
      <c r="J3167" s="121">
        <f t="shared" si="1221"/>
        <v>1</v>
      </c>
      <c r="K3167" s="120">
        <f t="shared" si="1222"/>
        <v>0</v>
      </c>
      <c r="L3167" s="120">
        <f t="shared" si="1223"/>
        <v>0</v>
      </c>
      <c r="M3167" s="246">
        <f t="shared" si="1224"/>
        <v>0</v>
      </c>
      <c r="N3167" s="121">
        <f t="shared" si="1225"/>
        <v>1</v>
      </c>
      <c r="O3167" s="246">
        <f t="shared" si="1226"/>
        <v>0.90650984682713354</v>
      </c>
      <c r="P3167" s="121">
        <f t="shared" si="1227"/>
        <v>0.75</v>
      </c>
      <c r="Q3167" s="121">
        <f t="shared" si="1228"/>
        <v>0</v>
      </c>
      <c r="R3167" s="121">
        <f t="shared" si="1229"/>
        <v>0</v>
      </c>
      <c r="S3167" s="121" t="str">
        <f t="shared" si="1230"/>
        <v/>
      </c>
      <c r="T3167" s="121" t="str">
        <f t="shared" si="1231"/>
        <v/>
      </c>
      <c r="U3167" s="121">
        <f t="shared" si="1232"/>
        <v>1</v>
      </c>
    </row>
    <row r="3168" spans="1:21" x14ac:dyDescent="0.3">
      <c r="A3168" s="187">
        <v>12</v>
      </c>
      <c r="B3168" s="242">
        <f t="shared" si="1233"/>
        <v>45992</v>
      </c>
      <c r="C3168" s="243">
        <f t="shared" si="1214"/>
        <v>46022</v>
      </c>
      <c r="D3168" s="120">
        <f t="shared" si="1215"/>
        <v>31</v>
      </c>
      <c r="E3168" s="120">
        <f t="shared" si="1216"/>
        <v>12</v>
      </c>
      <c r="F3168" s="275">
        <f t="shared" si="1217"/>
        <v>46007.5</v>
      </c>
      <c r="G3168" s="120">
        <f t="shared" si="1218"/>
        <v>24311</v>
      </c>
      <c r="H3168" s="245">
        <f t="shared" si="1219"/>
        <v>1</v>
      </c>
      <c r="I3168" s="121">
        <f t="shared" si="1220"/>
        <v>1</v>
      </c>
      <c r="J3168" s="121">
        <f t="shared" si="1221"/>
        <v>1</v>
      </c>
      <c r="K3168" s="120">
        <f t="shared" si="1222"/>
        <v>0</v>
      </c>
      <c r="L3168" s="120">
        <f t="shared" si="1223"/>
        <v>0</v>
      </c>
      <c r="M3168" s="246">
        <f t="shared" si="1224"/>
        <v>0</v>
      </c>
      <c r="N3168" s="121">
        <f t="shared" si="1225"/>
        <v>1</v>
      </c>
      <c r="O3168" s="246">
        <f t="shared" si="1226"/>
        <v>0.90684354485776808</v>
      </c>
      <c r="P3168" s="121">
        <f t="shared" si="1227"/>
        <v>0.91666666666666663</v>
      </c>
      <c r="Q3168" s="121">
        <f t="shared" si="1228"/>
        <v>0</v>
      </c>
      <c r="R3168" s="121">
        <f t="shared" si="1229"/>
        <v>0</v>
      </c>
      <c r="S3168" s="121" t="str">
        <f t="shared" si="1230"/>
        <v/>
      </c>
      <c r="T3168" s="121" t="str">
        <f t="shared" si="1231"/>
        <v/>
      </c>
      <c r="U3168" s="121">
        <f t="shared" si="1232"/>
        <v>1</v>
      </c>
    </row>
    <row r="3169" spans="1:21" x14ac:dyDescent="0.3">
      <c r="A3169" s="187">
        <v>13</v>
      </c>
      <c r="B3169" s="242">
        <f t="shared" si="1233"/>
        <v>46023</v>
      </c>
      <c r="C3169" s="243">
        <f t="shared" si="1214"/>
        <v>46053</v>
      </c>
      <c r="D3169" s="120">
        <f t="shared" si="1215"/>
        <v>31</v>
      </c>
      <c r="E3169" s="120">
        <f t="shared" si="1216"/>
        <v>1</v>
      </c>
      <c r="F3169" s="275">
        <f t="shared" si="1217"/>
        <v>46038.5</v>
      </c>
      <c r="G3169" s="120">
        <f t="shared" si="1218"/>
        <v>24312</v>
      </c>
      <c r="H3169" s="245">
        <f t="shared" si="1219"/>
        <v>1</v>
      </c>
      <c r="I3169" s="121">
        <f t="shared" si="1220"/>
        <v>1</v>
      </c>
      <c r="J3169" s="121">
        <f t="shared" si="1221"/>
        <v>1</v>
      </c>
      <c r="K3169" s="120">
        <f t="shared" si="1222"/>
        <v>0</v>
      </c>
      <c r="L3169" s="120">
        <f t="shared" si="1223"/>
        <v>0</v>
      </c>
      <c r="M3169" s="246">
        <f t="shared" si="1224"/>
        <v>0</v>
      </c>
      <c r="N3169" s="121">
        <f t="shared" si="1225"/>
        <v>1</v>
      </c>
      <c r="O3169" s="246">
        <f t="shared" si="1226"/>
        <v>0.90718271334792122</v>
      </c>
      <c r="P3169" s="121">
        <f t="shared" si="1227"/>
        <v>1</v>
      </c>
      <c r="Q3169" s="121">
        <f t="shared" si="1228"/>
        <v>0</v>
      </c>
      <c r="R3169" s="121">
        <f t="shared" si="1229"/>
        <v>0</v>
      </c>
      <c r="S3169" s="121" t="str">
        <f t="shared" si="1230"/>
        <v/>
      </c>
      <c r="T3169" s="121" t="str">
        <f t="shared" si="1231"/>
        <v/>
      </c>
      <c r="U3169" s="121">
        <f t="shared" si="1232"/>
        <v>1</v>
      </c>
    </row>
    <row r="3170" spans="1:21" x14ac:dyDescent="0.3">
      <c r="A3170" s="187">
        <v>14</v>
      </c>
      <c r="B3170" s="242">
        <f t="shared" si="1233"/>
        <v>46054</v>
      </c>
      <c r="C3170" s="243">
        <f t="shared" si="1214"/>
        <v>46081</v>
      </c>
      <c r="D3170" s="120">
        <f t="shared" si="1215"/>
        <v>28</v>
      </c>
      <c r="E3170" s="120">
        <f t="shared" si="1216"/>
        <v>2</v>
      </c>
      <c r="F3170" s="275">
        <f t="shared" si="1217"/>
        <v>46068</v>
      </c>
      <c r="G3170" s="120">
        <f t="shared" si="1218"/>
        <v>24313</v>
      </c>
      <c r="H3170" s="245">
        <f t="shared" si="1219"/>
        <v>1</v>
      </c>
      <c r="I3170" s="121">
        <f t="shared" si="1220"/>
        <v>1</v>
      </c>
      <c r="J3170" s="121">
        <f t="shared" si="1221"/>
        <v>1</v>
      </c>
      <c r="K3170" s="120">
        <f t="shared" si="1222"/>
        <v>0</v>
      </c>
      <c r="L3170" s="120">
        <f t="shared" si="1223"/>
        <v>0</v>
      </c>
      <c r="M3170" s="246">
        <f t="shared" si="1224"/>
        <v>0</v>
      </c>
      <c r="N3170" s="121">
        <f t="shared" si="1225"/>
        <v>1</v>
      </c>
      <c r="O3170" s="246">
        <f t="shared" si="1226"/>
        <v>0.90750547045951868</v>
      </c>
      <c r="P3170" s="121">
        <f t="shared" si="1227"/>
        <v>1</v>
      </c>
      <c r="Q3170" s="121">
        <f t="shared" si="1228"/>
        <v>0</v>
      </c>
      <c r="R3170" s="121">
        <f t="shared" si="1229"/>
        <v>0</v>
      </c>
      <c r="S3170" s="121" t="str">
        <f t="shared" si="1230"/>
        <v/>
      </c>
      <c r="T3170" s="121" t="str">
        <f t="shared" si="1231"/>
        <v/>
      </c>
      <c r="U3170" s="121">
        <f t="shared" si="1232"/>
        <v>1</v>
      </c>
    </row>
    <row r="3171" spans="1:21" x14ac:dyDescent="0.3">
      <c r="A3171" s="187">
        <v>15</v>
      </c>
      <c r="B3171" s="242">
        <f t="shared" si="1233"/>
        <v>46082</v>
      </c>
      <c r="C3171" s="243">
        <f t="shared" si="1214"/>
        <v>46112</v>
      </c>
      <c r="D3171" s="120">
        <f t="shared" si="1215"/>
        <v>31</v>
      </c>
      <c r="E3171" s="120">
        <f t="shared" si="1216"/>
        <v>3</v>
      </c>
      <c r="F3171" s="275">
        <f t="shared" si="1217"/>
        <v>46097.5</v>
      </c>
      <c r="G3171" s="120">
        <f t="shared" si="1218"/>
        <v>24314</v>
      </c>
      <c r="H3171" s="245">
        <f t="shared" si="1219"/>
        <v>1</v>
      </c>
      <c r="I3171" s="121">
        <f t="shared" si="1220"/>
        <v>1</v>
      </c>
      <c r="J3171" s="121">
        <f t="shared" si="1221"/>
        <v>1</v>
      </c>
      <c r="K3171" s="120">
        <f t="shared" si="1222"/>
        <v>0</v>
      </c>
      <c r="L3171" s="120">
        <f t="shared" si="1223"/>
        <v>0</v>
      </c>
      <c r="M3171" s="246">
        <f t="shared" si="1224"/>
        <v>0</v>
      </c>
      <c r="N3171" s="121">
        <f t="shared" si="1225"/>
        <v>1</v>
      </c>
      <c r="O3171" s="246">
        <f t="shared" si="1226"/>
        <v>0.90782822757111603</v>
      </c>
      <c r="P3171" s="121">
        <f t="shared" si="1227"/>
        <v>1</v>
      </c>
      <c r="Q3171" s="121">
        <f t="shared" si="1228"/>
        <v>0</v>
      </c>
      <c r="R3171" s="121">
        <f t="shared" si="1229"/>
        <v>0</v>
      </c>
      <c r="S3171" s="121" t="str">
        <f t="shared" si="1230"/>
        <v/>
      </c>
      <c r="T3171" s="121" t="str">
        <f t="shared" si="1231"/>
        <v/>
      </c>
      <c r="U3171" s="121">
        <f t="shared" si="1232"/>
        <v>1</v>
      </c>
    </row>
    <row r="3172" spans="1:21" x14ac:dyDescent="0.3">
      <c r="A3172" s="187">
        <v>16</v>
      </c>
      <c r="B3172" s="242">
        <f t="shared" si="1233"/>
        <v>46113</v>
      </c>
      <c r="C3172" s="243">
        <f t="shared" si="1214"/>
        <v>46142</v>
      </c>
      <c r="D3172" s="120">
        <f t="shared" si="1215"/>
        <v>30</v>
      </c>
      <c r="E3172" s="120">
        <f t="shared" si="1216"/>
        <v>4</v>
      </c>
      <c r="F3172" s="275">
        <f t="shared" si="1217"/>
        <v>46128</v>
      </c>
      <c r="G3172" s="120">
        <f t="shared" si="1218"/>
        <v>24315</v>
      </c>
      <c r="H3172" s="245">
        <f t="shared" si="1219"/>
        <v>1</v>
      </c>
      <c r="I3172" s="121">
        <f t="shared" si="1220"/>
        <v>1</v>
      </c>
      <c r="J3172" s="121">
        <f t="shared" si="1221"/>
        <v>1</v>
      </c>
      <c r="K3172" s="120">
        <f t="shared" si="1222"/>
        <v>0</v>
      </c>
      <c r="L3172" s="120">
        <f t="shared" si="1223"/>
        <v>0</v>
      </c>
      <c r="M3172" s="246">
        <f t="shared" si="1224"/>
        <v>0</v>
      </c>
      <c r="N3172" s="121">
        <f t="shared" si="1225"/>
        <v>1</v>
      </c>
      <c r="O3172" s="246">
        <f t="shared" si="1226"/>
        <v>0.90816192560175057</v>
      </c>
      <c r="P3172" s="121">
        <f t="shared" si="1227"/>
        <v>1</v>
      </c>
      <c r="Q3172" s="121">
        <f t="shared" si="1228"/>
        <v>0</v>
      </c>
      <c r="R3172" s="121">
        <f t="shared" si="1229"/>
        <v>0</v>
      </c>
      <c r="S3172" s="121" t="str">
        <f t="shared" si="1230"/>
        <v/>
      </c>
      <c r="T3172" s="121" t="str">
        <f t="shared" si="1231"/>
        <v/>
      </c>
      <c r="U3172" s="121">
        <f t="shared" si="1232"/>
        <v>1</v>
      </c>
    </row>
    <row r="3173" spans="1:21" x14ac:dyDescent="0.3">
      <c r="A3173" s="187">
        <v>17</v>
      </c>
      <c r="B3173" s="242">
        <f t="shared" si="1233"/>
        <v>46143</v>
      </c>
      <c r="C3173" s="243">
        <f t="shared" si="1214"/>
        <v>46173</v>
      </c>
      <c r="D3173" s="120">
        <f t="shared" si="1215"/>
        <v>31</v>
      </c>
      <c r="E3173" s="120">
        <f t="shared" si="1216"/>
        <v>5</v>
      </c>
      <c r="F3173" s="275">
        <f t="shared" si="1217"/>
        <v>46158.5</v>
      </c>
      <c r="G3173" s="120">
        <f t="shared" si="1218"/>
        <v>24316</v>
      </c>
      <c r="H3173" s="245">
        <f t="shared" si="1219"/>
        <v>1</v>
      </c>
      <c r="I3173" s="121">
        <f t="shared" si="1220"/>
        <v>1</v>
      </c>
      <c r="J3173" s="121">
        <f t="shared" si="1221"/>
        <v>1</v>
      </c>
      <c r="K3173" s="120">
        <f t="shared" si="1222"/>
        <v>0</v>
      </c>
      <c r="L3173" s="120">
        <f t="shared" si="1223"/>
        <v>0</v>
      </c>
      <c r="M3173" s="246">
        <f t="shared" si="1224"/>
        <v>0</v>
      </c>
      <c r="N3173" s="121">
        <f t="shared" si="1225"/>
        <v>1</v>
      </c>
      <c r="O3173" s="246">
        <f t="shared" si="1226"/>
        <v>0.90849562363238512</v>
      </c>
      <c r="P3173" s="121">
        <f t="shared" si="1227"/>
        <v>1</v>
      </c>
      <c r="Q3173" s="121">
        <f t="shared" si="1228"/>
        <v>0</v>
      </c>
      <c r="R3173" s="121">
        <f t="shared" si="1229"/>
        <v>0</v>
      </c>
      <c r="S3173" s="121" t="str">
        <f t="shared" si="1230"/>
        <v/>
      </c>
      <c r="T3173" s="121" t="str">
        <f t="shared" si="1231"/>
        <v/>
      </c>
      <c r="U3173" s="121">
        <f t="shared" si="1232"/>
        <v>1</v>
      </c>
    </row>
    <row r="3174" spans="1:21" x14ac:dyDescent="0.3">
      <c r="A3174" s="187">
        <v>18</v>
      </c>
      <c r="B3174" s="242">
        <f t="shared" si="1233"/>
        <v>46174</v>
      </c>
      <c r="C3174" s="243">
        <f t="shared" si="1214"/>
        <v>46203</v>
      </c>
      <c r="D3174" s="120">
        <f t="shared" si="1215"/>
        <v>30</v>
      </c>
      <c r="E3174" s="120">
        <f t="shared" si="1216"/>
        <v>6</v>
      </c>
      <c r="F3174" s="275">
        <f t="shared" si="1217"/>
        <v>46189</v>
      </c>
      <c r="G3174" s="120">
        <f t="shared" si="1218"/>
        <v>24317</v>
      </c>
      <c r="H3174" s="245">
        <f t="shared" si="1219"/>
        <v>1</v>
      </c>
      <c r="I3174" s="121">
        <f t="shared" si="1220"/>
        <v>1</v>
      </c>
      <c r="J3174" s="121">
        <f t="shared" si="1221"/>
        <v>1</v>
      </c>
      <c r="K3174" s="120">
        <f t="shared" si="1222"/>
        <v>0</v>
      </c>
      <c r="L3174" s="120">
        <f t="shared" si="1223"/>
        <v>0</v>
      </c>
      <c r="M3174" s="246">
        <f t="shared" si="1224"/>
        <v>0</v>
      </c>
      <c r="N3174" s="121">
        <f t="shared" si="1225"/>
        <v>1</v>
      </c>
      <c r="O3174" s="246">
        <f t="shared" si="1226"/>
        <v>0.90882932166301977</v>
      </c>
      <c r="P3174" s="121">
        <f t="shared" si="1227"/>
        <v>1</v>
      </c>
      <c r="Q3174" s="121">
        <f t="shared" si="1228"/>
        <v>0</v>
      </c>
      <c r="R3174" s="121">
        <f t="shared" si="1229"/>
        <v>0</v>
      </c>
      <c r="S3174" s="121" t="str">
        <f t="shared" si="1230"/>
        <v/>
      </c>
      <c r="T3174" s="121" t="str">
        <f t="shared" si="1231"/>
        <v/>
      </c>
      <c r="U3174" s="121">
        <f t="shared" si="1232"/>
        <v>1</v>
      </c>
    </row>
    <row r="3175" spans="1:21" x14ac:dyDescent="0.3">
      <c r="A3175" s="187">
        <v>19</v>
      </c>
      <c r="B3175" s="242">
        <f t="shared" si="1233"/>
        <v>46204</v>
      </c>
      <c r="C3175" s="243">
        <f t="shared" si="1214"/>
        <v>46234</v>
      </c>
      <c r="D3175" s="120">
        <f t="shared" si="1215"/>
        <v>31</v>
      </c>
      <c r="E3175" s="120">
        <f t="shared" si="1216"/>
        <v>7</v>
      </c>
      <c r="F3175" s="275">
        <f t="shared" si="1217"/>
        <v>46219.5</v>
      </c>
      <c r="G3175" s="120">
        <f t="shared" si="1218"/>
        <v>24318</v>
      </c>
      <c r="H3175" s="245">
        <f t="shared" si="1219"/>
        <v>1</v>
      </c>
      <c r="I3175" s="121">
        <f t="shared" si="1220"/>
        <v>1</v>
      </c>
      <c r="J3175" s="121">
        <f t="shared" si="1221"/>
        <v>1</v>
      </c>
      <c r="K3175" s="120">
        <f t="shared" si="1222"/>
        <v>0</v>
      </c>
      <c r="L3175" s="120">
        <f t="shared" si="1223"/>
        <v>0</v>
      </c>
      <c r="M3175" s="246">
        <f t="shared" si="1224"/>
        <v>0</v>
      </c>
      <c r="N3175" s="121">
        <f t="shared" si="1225"/>
        <v>1</v>
      </c>
      <c r="O3175" s="246">
        <f t="shared" si="1226"/>
        <v>0.90916301969365432</v>
      </c>
      <c r="P3175" s="121">
        <f t="shared" si="1227"/>
        <v>0.91666666666666663</v>
      </c>
      <c r="Q3175" s="121">
        <f t="shared" si="1228"/>
        <v>8.333333333333337E-2</v>
      </c>
      <c r="R3175" s="121">
        <f t="shared" si="1229"/>
        <v>0</v>
      </c>
      <c r="S3175" s="121" t="str">
        <f t="shared" si="1230"/>
        <v/>
      </c>
      <c r="T3175" s="121" t="str">
        <f t="shared" si="1231"/>
        <v/>
      </c>
      <c r="U3175" s="121">
        <f t="shared" si="1232"/>
        <v>1</v>
      </c>
    </row>
    <row r="3176" spans="1:21" x14ac:dyDescent="0.3">
      <c r="A3176" s="187">
        <v>20</v>
      </c>
      <c r="B3176" s="242">
        <f t="shared" si="1233"/>
        <v>46235</v>
      </c>
      <c r="C3176" s="243">
        <f t="shared" si="1214"/>
        <v>46265</v>
      </c>
      <c r="D3176" s="120">
        <f t="shared" si="1215"/>
        <v>31</v>
      </c>
      <c r="E3176" s="120">
        <f t="shared" si="1216"/>
        <v>8</v>
      </c>
      <c r="F3176" s="275">
        <f t="shared" si="1217"/>
        <v>46250.5</v>
      </c>
      <c r="G3176" s="120">
        <f t="shared" si="1218"/>
        <v>24319</v>
      </c>
      <c r="H3176" s="245">
        <f t="shared" si="1219"/>
        <v>1</v>
      </c>
      <c r="I3176" s="121">
        <f t="shared" si="1220"/>
        <v>1</v>
      </c>
      <c r="J3176" s="121">
        <f t="shared" si="1221"/>
        <v>1</v>
      </c>
      <c r="K3176" s="120">
        <f t="shared" si="1222"/>
        <v>0</v>
      </c>
      <c r="L3176" s="120">
        <f t="shared" si="1223"/>
        <v>0</v>
      </c>
      <c r="M3176" s="246">
        <f t="shared" si="1224"/>
        <v>0</v>
      </c>
      <c r="N3176" s="121">
        <f t="shared" si="1225"/>
        <v>1</v>
      </c>
      <c r="O3176" s="246">
        <f t="shared" si="1226"/>
        <v>0.90950218818380746</v>
      </c>
      <c r="P3176" s="121">
        <f t="shared" si="1227"/>
        <v>0.75</v>
      </c>
      <c r="Q3176" s="121">
        <f t="shared" si="1228"/>
        <v>0.25</v>
      </c>
      <c r="R3176" s="121">
        <f t="shared" si="1229"/>
        <v>0</v>
      </c>
      <c r="S3176" s="121" t="str">
        <f t="shared" si="1230"/>
        <v/>
      </c>
      <c r="T3176" s="121" t="str">
        <f t="shared" si="1231"/>
        <v/>
      </c>
      <c r="U3176" s="121">
        <f t="shared" si="1232"/>
        <v>1</v>
      </c>
    </row>
    <row r="3177" spans="1:21" x14ac:dyDescent="0.3">
      <c r="A3177" s="187">
        <v>21</v>
      </c>
      <c r="B3177" s="242">
        <f t="shared" si="1233"/>
        <v>46266</v>
      </c>
      <c r="C3177" s="243">
        <f t="shared" si="1214"/>
        <v>46295</v>
      </c>
      <c r="D3177" s="120">
        <f t="shared" si="1215"/>
        <v>30</v>
      </c>
      <c r="E3177" s="120">
        <f t="shared" si="1216"/>
        <v>9</v>
      </c>
      <c r="F3177" s="275">
        <f t="shared" si="1217"/>
        <v>46281</v>
      </c>
      <c r="G3177" s="120">
        <f t="shared" si="1218"/>
        <v>24320</v>
      </c>
      <c r="H3177" s="245">
        <f t="shared" si="1219"/>
        <v>1</v>
      </c>
      <c r="I3177" s="121">
        <f t="shared" si="1220"/>
        <v>1</v>
      </c>
      <c r="J3177" s="121">
        <f t="shared" si="1221"/>
        <v>1</v>
      </c>
      <c r="K3177" s="120">
        <f t="shared" si="1222"/>
        <v>0</v>
      </c>
      <c r="L3177" s="120">
        <f t="shared" si="1223"/>
        <v>0</v>
      </c>
      <c r="M3177" s="246">
        <f t="shared" si="1224"/>
        <v>0</v>
      </c>
      <c r="N3177" s="121">
        <f t="shared" si="1225"/>
        <v>1</v>
      </c>
      <c r="O3177" s="246">
        <f t="shared" si="1226"/>
        <v>0.909835886214442</v>
      </c>
      <c r="P3177" s="121">
        <f t="shared" si="1227"/>
        <v>0.58333333333333337</v>
      </c>
      <c r="Q3177" s="121">
        <f t="shared" si="1228"/>
        <v>0.41666666666666663</v>
      </c>
      <c r="R3177" s="121">
        <f t="shared" si="1229"/>
        <v>0</v>
      </c>
      <c r="S3177" s="121" t="str">
        <f t="shared" si="1230"/>
        <v/>
      </c>
      <c r="T3177" s="121" t="str">
        <f t="shared" si="1231"/>
        <v/>
      </c>
      <c r="U3177" s="121">
        <f t="shared" si="1232"/>
        <v>1</v>
      </c>
    </row>
    <row r="3178" spans="1:21" x14ac:dyDescent="0.3">
      <c r="A3178" s="187">
        <v>22</v>
      </c>
      <c r="B3178" s="242">
        <f t="shared" si="1233"/>
        <v>46296</v>
      </c>
      <c r="C3178" s="243">
        <f t="shared" si="1214"/>
        <v>46326</v>
      </c>
      <c r="D3178" s="120">
        <f t="shared" si="1215"/>
        <v>31</v>
      </c>
      <c r="E3178" s="120">
        <f t="shared" si="1216"/>
        <v>10</v>
      </c>
      <c r="F3178" s="275">
        <f t="shared" si="1217"/>
        <v>46311.5</v>
      </c>
      <c r="G3178" s="120">
        <f t="shared" si="1218"/>
        <v>24321</v>
      </c>
      <c r="H3178" s="245">
        <f t="shared" si="1219"/>
        <v>1</v>
      </c>
      <c r="I3178" s="121">
        <f t="shared" si="1220"/>
        <v>1</v>
      </c>
      <c r="J3178" s="121">
        <f t="shared" si="1221"/>
        <v>1.04</v>
      </c>
      <c r="K3178" s="120">
        <f t="shared" si="1222"/>
        <v>1</v>
      </c>
      <c r="L3178" s="120">
        <f t="shared" si="1223"/>
        <v>31</v>
      </c>
      <c r="M3178" s="246">
        <f t="shared" si="1224"/>
        <v>1</v>
      </c>
      <c r="N3178" s="121">
        <f t="shared" si="1225"/>
        <v>1.04</v>
      </c>
      <c r="O3178" s="246">
        <f t="shared" si="1226"/>
        <v>0.91016958424507666</v>
      </c>
      <c r="P3178" s="121">
        <f t="shared" si="1227"/>
        <v>0.41666666666666669</v>
      </c>
      <c r="Q3178" s="121">
        <f t="shared" si="1228"/>
        <v>0.58333333333333326</v>
      </c>
      <c r="R3178" s="121">
        <f t="shared" si="1229"/>
        <v>0</v>
      </c>
      <c r="S3178" s="121" t="str">
        <f t="shared" si="1230"/>
        <v/>
      </c>
      <c r="T3178" s="121" t="str">
        <f t="shared" si="1231"/>
        <v/>
      </c>
      <c r="U3178" s="121">
        <f t="shared" si="1232"/>
        <v>1.04</v>
      </c>
    </row>
    <row r="3179" spans="1:21" x14ac:dyDescent="0.3">
      <c r="A3179" s="187">
        <v>23</v>
      </c>
      <c r="B3179" s="242">
        <f t="shared" si="1233"/>
        <v>46327</v>
      </c>
      <c r="C3179" s="243">
        <f t="shared" si="1214"/>
        <v>46356</v>
      </c>
      <c r="D3179" s="120">
        <f t="shared" si="1215"/>
        <v>30</v>
      </c>
      <c r="E3179" s="120">
        <f t="shared" si="1216"/>
        <v>11</v>
      </c>
      <c r="F3179" s="275">
        <f t="shared" si="1217"/>
        <v>46342</v>
      </c>
      <c r="G3179" s="120">
        <f t="shared" si="1218"/>
        <v>24322</v>
      </c>
      <c r="H3179" s="245">
        <f t="shared" si="1219"/>
        <v>1</v>
      </c>
      <c r="I3179" s="121">
        <f t="shared" si="1220"/>
        <v>1.04</v>
      </c>
      <c r="J3179" s="121">
        <f t="shared" si="1221"/>
        <v>1.04</v>
      </c>
      <c r="K3179" s="120">
        <f t="shared" si="1222"/>
        <v>0</v>
      </c>
      <c r="L3179" s="120">
        <f t="shared" si="1223"/>
        <v>0</v>
      </c>
      <c r="M3179" s="246">
        <f t="shared" si="1224"/>
        <v>0</v>
      </c>
      <c r="N3179" s="121">
        <f t="shared" si="1225"/>
        <v>1.04</v>
      </c>
      <c r="O3179" s="246">
        <f t="shared" si="1226"/>
        <v>0.9105032822757112</v>
      </c>
      <c r="P3179" s="121">
        <f t="shared" si="1227"/>
        <v>0.25</v>
      </c>
      <c r="Q3179" s="121">
        <f t="shared" si="1228"/>
        <v>0.75</v>
      </c>
      <c r="R3179" s="121">
        <f t="shared" si="1229"/>
        <v>0</v>
      </c>
      <c r="S3179" s="121" t="str">
        <f t="shared" si="1230"/>
        <v/>
      </c>
      <c r="T3179" s="121" t="str">
        <f t="shared" si="1231"/>
        <v/>
      </c>
      <c r="U3179" s="121">
        <f t="shared" si="1232"/>
        <v>1.04</v>
      </c>
    </row>
    <row r="3180" spans="1:21" x14ac:dyDescent="0.3">
      <c r="A3180" s="187">
        <v>24</v>
      </c>
      <c r="B3180" s="242">
        <f t="shared" si="1233"/>
        <v>46357</v>
      </c>
      <c r="C3180" s="243">
        <f t="shared" si="1214"/>
        <v>46387</v>
      </c>
      <c r="D3180" s="120">
        <f t="shared" si="1215"/>
        <v>31</v>
      </c>
      <c r="E3180" s="120">
        <f t="shared" si="1216"/>
        <v>12</v>
      </c>
      <c r="F3180" s="275">
        <f t="shared" si="1217"/>
        <v>46372.5</v>
      </c>
      <c r="G3180" s="120">
        <f t="shared" si="1218"/>
        <v>24323</v>
      </c>
      <c r="H3180" s="245">
        <f t="shared" si="1219"/>
        <v>1</v>
      </c>
      <c r="I3180" s="121">
        <f t="shared" si="1220"/>
        <v>1.04</v>
      </c>
      <c r="J3180" s="121">
        <f t="shared" si="1221"/>
        <v>1.04</v>
      </c>
      <c r="K3180" s="120">
        <f t="shared" si="1222"/>
        <v>0</v>
      </c>
      <c r="L3180" s="120">
        <f t="shared" si="1223"/>
        <v>0</v>
      </c>
      <c r="M3180" s="246">
        <f t="shared" si="1224"/>
        <v>0</v>
      </c>
      <c r="N3180" s="121">
        <f t="shared" si="1225"/>
        <v>1.04</v>
      </c>
      <c r="O3180" s="246">
        <f t="shared" si="1226"/>
        <v>0.91083698030634574</v>
      </c>
      <c r="P3180" s="121">
        <f t="shared" si="1227"/>
        <v>8.3333333333333329E-2</v>
      </c>
      <c r="Q3180" s="121">
        <f t="shared" si="1228"/>
        <v>0.91666666666666663</v>
      </c>
      <c r="R3180" s="121">
        <f t="shared" si="1229"/>
        <v>0</v>
      </c>
      <c r="S3180" s="121" t="str">
        <f t="shared" si="1230"/>
        <v/>
      </c>
      <c r="T3180" s="121" t="str">
        <f t="shared" si="1231"/>
        <v/>
      </c>
      <c r="U3180" s="121">
        <f t="shared" si="1232"/>
        <v>1.04</v>
      </c>
    </row>
    <row r="3181" spans="1:21" x14ac:dyDescent="0.3">
      <c r="A3181" s="187">
        <v>25</v>
      </c>
      <c r="B3181" s="242">
        <f t="shared" si="1233"/>
        <v>46388</v>
      </c>
      <c r="C3181" s="243">
        <f t="shared" si="1214"/>
        <v>46418</v>
      </c>
      <c r="D3181" s="120">
        <f t="shared" si="1215"/>
        <v>31</v>
      </c>
      <c r="E3181" s="120">
        <f t="shared" si="1216"/>
        <v>1</v>
      </c>
      <c r="F3181" s="275">
        <f t="shared" si="1217"/>
        <v>46403.5</v>
      </c>
      <c r="G3181" s="120">
        <f t="shared" si="1218"/>
        <v>24324</v>
      </c>
      <c r="H3181" s="245">
        <f t="shared" si="1219"/>
        <v>1</v>
      </c>
      <c r="I3181" s="121">
        <f t="shared" si="1220"/>
        <v>1.04</v>
      </c>
      <c r="J3181" s="121">
        <f t="shared" si="1221"/>
        <v>1.04</v>
      </c>
      <c r="K3181" s="120">
        <f t="shared" si="1222"/>
        <v>0</v>
      </c>
      <c r="L3181" s="120">
        <f t="shared" si="1223"/>
        <v>0</v>
      </c>
      <c r="M3181" s="246">
        <f t="shared" si="1224"/>
        <v>0</v>
      </c>
      <c r="N3181" s="121">
        <f t="shared" si="1225"/>
        <v>1.04</v>
      </c>
      <c r="O3181" s="246">
        <f t="shared" si="1226"/>
        <v>0.91117614879649889</v>
      </c>
      <c r="P3181" s="121">
        <f t="shared" si="1227"/>
        <v>0</v>
      </c>
      <c r="Q3181" s="121">
        <f t="shared" si="1228"/>
        <v>1</v>
      </c>
      <c r="R3181" s="121">
        <f t="shared" si="1229"/>
        <v>0</v>
      </c>
      <c r="S3181" s="121" t="str">
        <f t="shared" si="1230"/>
        <v/>
      </c>
      <c r="T3181" s="121" t="str">
        <f t="shared" si="1231"/>
        <v/>
      </c>
      <c r="U3181" s="121">
        <f t="shared" si="1232"/>
        <v>1.04</v>
      </c>
    </row>
    <row r="3182" spans="1:21" x14ac:dyDescent="0.3">
      <c r="A3182" s="187">
        <v>26</v>
      </c>
      <c r="B3182" s="242">
        <f t="shared" si="1233"/>
        <v>46419</v>
      </c>
      <c r="C3182" s="243">
        <f t="shared" si="1214"/>
        <v>46446</v>
      </c>
      <c r="D3182" s="120">
        <f t="shared" si="1215"/>
        <v>28</v>
      </c>
      <c r="E3182" s="120">
        <f t="shared" si="1216"/>
        <v>2</v>
      </c>
      <c r="F3182" s="275">
        <f t="shared" si="1217"/>
        <v>46433</v>
      </c>
      <c r="G3182" s="120">
        <f t="shared" si="1218"/>
        <v>24325</v>
      </c>
      <c r="H3182" s="245">
        <f t="shared" si="1219"/>
        <v>1</v>
      </c>
      <c r="I3182" s="121">
        <f t="shared" si="1220"/>
        <v>1.04</v>
      </c>
      <c r="J3182" s="121">
        <f t="shared" si="1221"/>
        <v>1.04</v>
      </c>
      <c r="K3182" s="120">
        <f t="shared" si="1222"/>
        <v>0</v>
      </c>
      <c r="L3182" s="120">
        <f t="shared" si="1223"/>
        <v>0</v>
      </c>
      <c r="M3182" s="246">
        <f t="shared" si="1224"/>
        <v>0</v>
      </c>
      <c r="N3182" s="121">
        <f t="shared" si="1225"/>
        <v>1.04</v>
      </c>
      <c r="O3182" s="246">
        <f t="shared" si="1226"/>
        <v>0.91149890590809635</v>
      </c>
      <c r="P3182" s="121">
        <f t="shared" si="1227"/>
        <v>0</v>
      </c>
      <c r="Q3182" s="121">
        <f t="shared" si="1228"/>
        <v>1</v>
      </c>
      <c r="R3182" s="121">
        <f t="shared" si="1229"/>
        <v>0</v>
      </c>
      <c r="S3182" s="121" t="str">
        <f t="shared" si="1230"/>
        <v/>
      </c>
      <c r="T3182" s="121" t="str">
        <f t="shared" si="1231"/>
        <v/>
      </c>
      <c r="U3182" s="121">
        <f t="shared" si="1232"/>
        <v>1.04</v>
      </c>
    </row>
    <row r="3183" spans="1:21" x14ac:dyDescent="0.3">
      <c r="A3183" s="187">
        <v>27</v>
      </c>
      <c r="B3183" s="242">
        <f t="shared" si="1233"/>
        <v>46447</v>
      </c>
      <c r="C3183" s="243">
        <f t="shared" si="1214"/>
        <v>46477</v>
      </c>
      <c r="D3183" s="120">
        <f t="shared" si="1215"/>
        <v>31</v>
      </c>
      <c r="E3183" s="120">
        <f t="shared" si="1216"/>
        <v>3</v>
      </c>
      <c r="F3183" s="275">
        <f t="shared" si="1217"/>
        <v>46462.5</v>
      </c>
      <c r="G3183" s="120">
        <f t="shared" si="1218"/>
        <v>24326</v>
      </c>
      <c r="H3183" s="245">
        <f t="shared" si="1219"/>
        <v>1</v>
      </c>
      <c r="I3183" s="121">
        <f t="shared" si="1220"/>
        <v>1.04</v>
      </c>
      <c r="J3183" s="121">
        <f t="shared" si="1221"/>
        <v>1.04</v>
      </c>
      <c r="K3183" s="120">
        <f t="shared" si="1222"/>
        <v>0</v>
      </c>
      <c r="L3183" s="120">
        <f t="shared" si="1223"/>
        <v>0</v>
      </c>
      <c r="M3183" s="246">
        <f t="shared" si="1224"/>
        <v>0</v>
      </c>
      <c r="N3183" s="121">
        <f t="shared" si="1225"/>
        <v>1.04</v>
      </c>
      <c r="O3183" s="246">
        <f t="shared" si="1226"/>
        <v>0.9118216630196937</v>
      </c>
      <c r="P3183" s="121">
        <f t="shared" si="1227"/>
        <v>0</v>
      </c>
      <c r="Q3183" s="121">
        <f t="shared" si="1228"/>
        <v>1</v>
      </c>
      <c r="R3183" s="121">
        <f t="shared" si="1229"/>
        <v>0</v>
      </c>
      <c r="S3183" s="121" t="str">
        <f t="shared" si="1230"/>
        <v/>
      </c>
      <c r="T3183" s="121" t="str">
        <f t="shared" si="1231"/>
        <v/>
      </c>
      <c r="U3183" s="121">
        <f t="shared" si="1232"/>
        <v>1.04</v>
      </c>
    </row>
    <row r="3184" spans="1:21" x14ac:dyDescent="0.3">
      <c r="A3184" s="187">
        <v>28</v>
      </c>
      <c r="B3184" s="242">
        <f t="shared" si="1233"/>
        <v>46478</v>
      </c>
      <c r="C3184" s="243">
        <f t="shared" si="1214"/>
        <v>46507</v>
      </c>
      <c r="D3184" s="120">
        <f t="shared" si="1215"/>
        <v>30</v>
      </c>
      <c r="E3184" s="120">
        <f t="shared" si="1216"/>
        <v>4</v>
      </c>
      <c r="F3184" s="275">
        <f t="shared" si="1217"/>
        <v>46493</v>
      </c>
      <c r="G3184" s="120">
        <f t="shared" si="1218"/>
        <v>24327</v>
      </c>
      <c r="H3184" s="245">
        <f t="shared" si="1219"/>
        <v>1</v>
      </c>
      <c r="I3184" s="121">
        <f t="shared" si="1220"/>
        <v>1.04</v>
      </c>
      <c r="J3184" s="121">
        <f t="shared" si="1221"/>
        <v>1.04</v>
      </c>
      <c r="K3184" s="120">
        <f t="shared" si="1222"/>
        <v>0</v>
      </c>
      <c r="L3184" s="120">
        <f t="shared" si="1223"/>
        <v>0</v>
      </c>
      <c r="M3184" s="246">
        <f t="shared" si="1224"/>
        <v>0</v>
      </c>
      <c r="N3184" s="121">
        <f t="shared" si="1225"/>
        <v>1.04</v>
      </c>
      <c r="O3184" s="246">
        <f t="shared" si="1226"/>
        <v>0.91215536105032824</v>
      </c>
      <c r="P3184" s="121">
        <f t="shared" si="1227"/>
        <v>0</v>
      </c>
      <c r="Q3184" s="121">
        <f t="shared" si="1228"/>
        <v>1</v>
      </c>
      <c r="R3184" s="121">
        <f t="shared" si="1229"/>
        <v>0</v>
      </c>
      <c r="S3184" s="121" t="str">
        <f t="shared" si="1230"/>
        <v/>
      </c>
      <c r="T3184" s="121" t="str">
        <f t="shared" si="1231"/>
        <v/>
      </c>
      <c r="U3184" s="121">
        <f t="shared" si="1232"/>
        <v>1.04</v>
      </c>
    </row>
    <row r="3185" spans="1:21" x14ac:dyDescent="0.3">
      <c r="A3185" s="187">
        <v>29</v>
      </c>
      <c r="B3185" s="242">
        <f t="shared" si="1233"/>
        <v>46508</v>
      </c>
      <c r="C3185" s="243">
        <f t="shared" si="1214"/>
        <v>46538</v>
      </c>
      <c r="D3185" s="120">
        <f t="shared" si="1215"/>
        <v>31</v>
      </c>
      <c r="E3185" s="120">
        <f t="shared" si="1216"/>
        <v>5</v>
      </c>
      <c r="F3185" s="275">
        <f t="shared" si="1217"/>
        <v>46523.5</v>
      </c>
      <c r="G3185" s="120">
        <f t="shared" si="1218"/>
        <v>24328</v>
      </c>
      <c r="H3185" s="245">
        <f t="shared" si="1219"/>
        <v>1</v>
      </c>
      <c r="I3185" s="121">
        <f t="shared" si="1220"/>
        <v>1.04</v>
      </c>
      <c r="J3185" s="121">
        <f t="shared" si="1221"/>
        <v>1.04</v>
      </c>
      <c r="K3185" s="120">
        <f t="shared" si="1222"/>
        <v>0</v>
      </c>
      <c r="L3185" s="120">
        <f t="shared" si="1223"/>
        <v>0</v>
      </c>
      <c r="M3185" s="246">
        <f t="shared" si="1224"/>
        <v>0</v>
      </c>
      <c r="N3185" s="121">
        <f t="shared" si="1225"/>
        <v>1.04</v>
      </c>
      <c r="O3185" s="246">
        <f t="shared" si="1226"/>
        <v>0.91248905908096278</v>
      </c>
      <c r="P3185" s="121">
        <f t="shared" si="1227"/>
        <v>0</v>
      </c>
      <c r="Q3185" s="121">
        <f t="shared" si="1228"/>
        <v>1</v>
      </c>
      <c r="R3185" s="121">
        <f t="shared" si="1229"/>
        <v>0</v>
      </c>
      <c r="S3185" s="121" t="str">
        <f t="shared" si="1230"/>
        <v/>
      </c>
      <c r="T3185" s="121" t="str">
        <f t="shared" si="1231"/>
        <v/>
      </c>
      <c r="U3185" s="121">
        <f t="shared" si="1232"/>
        <v>1.04</v>
      </c>
    </row>
    <row r="3186" spans="1:21" x14ac:dyDescent="0.3">
      <c r="A3186" s="187">
        <v>30</v>
      </c>
      <c r="B3186" s="242">
        <f t="shared" si="1233"/>
        <v>46539</v>
      </c>
      <c r="C3186" s="243">
        <f t="shared" si="1214"/>
        <v>46568</v>
      </c>
      <c r="D3186" s="120">
        <f t="shared" si="1215"/>
        <v>30</v>
      </c>
      <c r="E3186" s="120">
        <f t="shared" si="1216"/>
        <v>6</v>
      </c>
      <c r="F3186" s="275">
        <f t="shared" si="1217"/>
        <v>46554</v>
      </c>
      <c r="G3186" s="120">
        <f t="shared" si="1218"/>
        <v>24329</v>
      </c>
      <c r="H3186" s="245">
        <f t="shared" si="1219"/>
        <v>1</v>
      </c>
      <c r="I3186" s="121">
        <f t="shared" si="1220"/>
        <v>1.04</v>
      </c>
      <c r="J3186" s="121">
        <f t="shared" si="1221"/>
        <v>1.04</v>
      </c>
      <c r="K3186" s="120">
        <f t="shared" si="1222"/>
        <v>0</v>
      </c>
      <c r="L3186" s="120">
        <f t="shared" si="1223"/>
        <v>0</v>
      </c>
      <c r="M3186" s="246">
        <f t="shared" si="1224"/>
        <v>0</v>
      </c>
      <c r="N3186" s="121">
        <f t="shared" si="1225"/>
        <v>1.04</v>
      </c>
      <c r="O3186" s="246">
        <f t="shared" si="1226"/>
        <v>0.91282275711159744</v>
      </c>
      <c r="P3186" s="121">
        <f t="shared" si="1227"/>
        <v>0</v>
      </c>
      <c r="Q3186" s="121">
        <f t="shared" si="1228"/>
        <v>1</v>
      </c>
      <c r="R3186" s="121">
        <f t="shared" si="1229"/>
        <v>0</v>
      </c>
      <c r="S3186" s="121" t="str">
        <f t="shared" si="1230"/>
        <v/>
      </c>
      <c r="T3186" s="121" t="str">
        <f t="shared" si="1231"/>
        <v/>
      </c>
      <c r="U3186" s="121">
        <f t="shared" si="1232"/>
        <v>1.04</v>
      </c>
    </row>
    <row r="3187" spans="1:21" x14ac:dyDescent="0.3">
      <c r="A3187" s="187">
        <v>31</v>
      </c>
      <c r="B3187" s="242">
        <f t="shared" si="1233"/>
        <v>46569</v>
      </c>
      <c r="C3187" s="243">
        <f t="shared" si="1214"/>
        <v>46599</v>
      </c>
      <c r="D3187" s="120">
        <f t="shared" si="1215"/>
        <v>31</v>
      </c>
      <c r="E3187" s="120">
        <f t="shared" si="1216"/>
        <v>7</v>
      </c>
      <c r="F3187" s="275">
        <f t="shared" si="1217"/>
        <v>46584.5</v>
      </c>
      <c r="G3187" s="120">
        <f t="shared" si="1218"/>
        <v>24330</v>
      </c>
      <c r="H3187" s="245">
        <f t="shared" si="1219"/>
        <v>1</v>
      </c>
      <c r="I3187" s="121">
        <f t="shared" si="1220"/>
        <v>1.04</v>
      </c>
      <c r="J3187" s="121">
        <f t="shared" si="1221"/>
        <v>1.04</v>
      </c>
      <c r="K3187" s="120">
        <f t="shared" si="1222"/>
        <v>0</v>
      </c>
      <c r="L3187" s="120">
        <f t="shared" si="1223"/>
        <v>0</v>
      </c>
      <c r="M3187" s="246">
        <f t="shared" si="1224"/>
        <v>0</v>
      </c>
      <c r="N3187" s="121">
        <f t="shared" si="1225"/>
        <v>1.04</v>
      </c>
      <c r="O3187" s="246">
        <f t="shared" si="1226"/>
        <v>0.91315645514223198</v>
      </c>
      <c r="P3187" s="121">
        <f t="shared" si="1227"/>
        <v>0</v>
      </c>
      <c r="Q3187" s="121">
        <f t="shared" si="1228"/>
        <v>0.91666666666666663</v>
      </c>
      <c r="R3187" s="121">
        <f t="shared" si="1229"/>
        <v>8.333333333333337E-2</v>
      </c>
      <c r="S3187" s="121" t="str">
        <f t="shared" si="1230"/>
        <v/>
      </c>
      <c r="T3187" s="121" t="str">
        <f t="shared" si="1231"/>
        <v/>
      </c>
      <c r="U3187" s="121">
        <f t="shared" si="1232"/>
        <v>1.04</v>
      </c>
    </row>
    <row r="3188" spans="1:21" x14ac:dyDescent="0.3">
      <c r="A3188" s="187">
        <v>32</v>
      </c>
      <c r="B3188" s="242">
        <f t="shared" si="1233"/>
        <v>46600</v>
      </c>
      <c r="C3188" s="243">
        <f t="shared" si="1214"/>
        <v>46630</v>
      </c>
      <c r="D3188" s="120">
        <f t="shared" si="1215"/>
        <v>31</v>
      </c>
      <c r="E3188" s="120">
        <f t="shared" si="1216"/>
        <v>8</v>
      </c>
      <c r="F3188" s="275">
        <f t="shared" si="1217"/>
        <v>46615.5</v>
      </c>
      <c r="G3188" s="120">
        <f t="shared" si="1218"/>
        <v>24331</v>
      </c>
      <c r="H3188" s="245">
        <f t="shared" si="1219"/>
        <v>1</v>
      </c>
      <c r="I3188" s="121">
        <f t="shared" si="1220"/>
        <v>1.04</v>
      </c>
      <c r="J3188" s="121">
        <f t="shared" si="1221"/>
        <v>1.0816000000000001</v>
      </c>
      <c r="K3188" s="120">
        <f t="shared" si="1222"/>
        <v>1</v>
      </c>
      <c r="L3188" s="120">
        <f t="shared" si="1223"/>
        <v>31</v>
      </c>
      <c r="M3188" s="246">
        <f t="shared" si="1224"/>
        <v>1</v>
      </c>
      <c r="N3188" s="121">
        <f t="shared" si="1225"/>
        <v>1.0816000000000001</v>
      </c>
      <c r="O3188" s="246">
        <f t="shared" si="1226"/>
        <v>0.91349562363238512</v>
      </c>
      <c r="P3188" s="121">
        <f t="shared" si="1227"/>
        <v>0</v>
      </c>
      <c r="Q3188" s="121">
        <f t="shared" si="1228"/>
        <v>0.75</v>
      </c>
      <c r="R3188" s="121">
        <f t="shared" si="1229"/>
        <v>0.25</v>
      </c>
      <c r="S3188" s="121" t="str">
        <f t="shared" si="1230"/>
        <v/>
      </c>
      <c r="T3188" s="121" t="str">
        <f t="shared" si="1231"/>
        <v/>
      </c>
      <c r="U3188" s="121">
        <f t="shared" si="1232"/>
        <v>1.0816000000000001</v>
      </c>
    </row>
    <row r="3189" spans="1:21" x14ac:dyDescent="0.3">
      <c r="A3189" s="187">
        <v>33</v>
      </c>
      <c r="B3189" s="242">
        <f t="shared" si="1233"/>
        <v>46631</v>
      </c>
      <c r="C3189" s="243">
        <f t="shared" si="1214"/>
        <v>46660</v>
      </c>
      <c r="D3189" s="120">
        <f t="shared" si="1215"/>
        <v>30</v>
      </c>
      <c r="E3189" s="120">
        <f t="shared" si="1216"/>
        <v>9</v>
      </c>
      <c r="F3189" s="275">
        <f t="shared" si="1217"/>
        <v>46646</v>
      </c>
      <c r="G3189" s="120">
        <f t="shared" si="1218"/>
        <v>24332</v>
      </c>
      <c r="H3189" s="245">
        <f t="shared" si="1219"/>
        <v>1</v>
      </c>
      <c r="I3189" s="121">
        <f t="shared" si="1220"/>
        <v>1.0816000000000001</v>
      </c>
      <c r="J3189" s="121">
        <f t="shared" si="1221"/>
        <v>1.0816000000000001</v>
      </c>
      <c r="K3189" s="120">
        <f t="shared" si="1222"/>
        <v>0</v>
      </c>
      <c r="L3189" s="120">
        <f t="shared" si="1223"/>
        <v>0</v>
      </c>
      <c r="M3189" s="246">
        <f t="shared" si="1224"/>
        <v>0</v>
      </c>
      <c r="N3189" s="121">
        <f t="shared" si="1225"/>
        <v>1.0816000000000001</v>
      </c>
      <c r="O3189" s="246">
        <f t="shared" si="1226"/>
        <v>0.91382932166301978</v>
      </c>
      <c r="P3189" s="121">
        <f t="shared" si="1227"/>
        <v>0</v>
      </c>
      <c r="Q3189" s="121">
        <f t="shared" si="1228"/>
        <v>0.58333333333333337</v>
      </c>
      <c r="R3189" s="121">
        <f t="shared" si="1229"/>
        <v>0.41666666666666663</v>
      </c>
      <c r="S3189" s="121" t="str">
        <f t="shared" si="1230"/>
        <v/>
      </c>
      <c r="T3189" s="121" t="str">
        <f t="shared" si="1231"/>
        <v/>
      </c>
      <c r="U3189" s="121">
        <f t="shared" si="1232"/>
        <v>1.0816000000000001</v>
      </c>
    </row>
    <row r="3190" spans="1:21" x14ac:dyDescent="0.3">
      <c r="A3190" s="187">
        <v>34</v>
      </c>
      <c r="B3190" s="242">
        <f t="shared" si="1233"/>
        <v>46661</v>
      </c>
      <c r="C3190" s="243">
        <f t="shared" si="1214"/>
        <v>46691</v>
      </c>
      <c r="D3190" s="120">
        <f t="shared" si="1215"/>
        <v>31</v>
      </c>
      <c r="E3190" s="120">
        <f t="shared" si="1216"/>
        <v>10</v>
      </c>
      <c r="F3190" s="275">
        <f t="shared" si="1217"/>
        <v>46676.5</v>
      </c>
      <c r="G3190" s="120">
        <f t="shared" si="1218"/>
        <v>24333</v>
      </c>
      <c r="H3190" s="245">
        <f t="shared" si="1219"/>
        <v>1</v>
      </c>
      <c r="I3190" s="121">
        <f t="shared" si="1220"/>
        <v>1.0816000000000001</v>
      </c>
      <c r="J3190" s="121">
        <f t="shared" si="1221"/>
        <v>1.0816000000000001</v>
      </c>
      <c r="K3190" s="120">
        <f t="shared" si="1222"/>
        <v>0</v>
      </c>
      <c r="L3190" s="120">
        <f t="shared" si="1223"/>
        <v>0</v>
      </c>
      <c r="M3190" s="246">
        <f t="shared" si="1224"/>
        <v>0</v>
      </c>
      <c r="N3190" s="121">
        <f t="shared" si="1225"/>
        <v>1.0816000000000001</v>
      </c>
      <c r="O3190" s="246">
        <f t="shared" si="1226"/>
        <v>0.91416301969365432</v>
      </c>
      <c r="P3190" s="121">
        <f t="shared" si="1227"/>
        <v>0</v>
      </c>
      <c r="Q3190" s="121">
        <f t="shared" si="1228"/>
        <v>0.41666666666666669</v>
      </c>
      <c r="R3190" s="121">
        <f t="shared" si="1229"/>
        <v>0.58333333333333326</v>
      </c>
      <c r="S3190" s="121" t="str">
        <f t="shared" si="1230"/>
        <v/>
      </c>
      <c r="T3190" s="121" t="str">
        <f t="shared" si="1231"/>
        <v/>
      </c>
      <c r="U3190" s="121">
        <f t="shared" si="1232"/>
        <v>1.0816000000000001</v>
      </c>
    </row>
    <row r="3191" spans="1:21" x14ac:dyDescent="0.3">
      <c r="A3191" s="187">
        <v>35</v>
      </c>
      <c r="B3191" s="242">
        <f t="shared" si="1233"/>
        <v>46692</v>
      </c>
      <c r="C3191" s="243">
        <f t="shared" si="1214"/>
        <v>46721</v>
      </c>
      <c r="D3191" s="120">
        <f t="shared" si="1215"/>
        <v>30</v>
      </c>
      <c r="E3191" s="120">
        <f t="shared" si="1216"/>
        <v>11</v>
      </c>
      <c r="F3191" s="275">
        <f t="shared" si="1217"/>
        <v>46707</v>
      </c>
      <c r="G3191" s="120">
        <f t="shared" si="1218"/>
        <v>24334</v>
      </c>
      <c r="H3191" s="245">
        <f t="shared" si="1219"/>
        <v>1</v>
      </c>
      <c r="I3191" s="121">
        <f t="shared" si="1220"/>
        <v>1.0816000000000001</v>
      </c>
      <c r="J3191" s="121">
        <f t="shared" si="1221"/>
        <v>1.0816000000000001</v>
      </c>
      <c r="K3191" s="120">
        <f t="shared" si="1222"/>
        <v>0</v>
      </c>
      <c r="L3191" s="120">
        <f t="shared" si="1223"/>
        <v>0</v>
      </c>
      <c r="M3191" s="246">
        <f t="shared" si="1224"/>
        <v>0</v>
      </c>
      <c r="N3191" s="121">
        <f t="shared" si="1225"/>
        <v>1.0816000000000001</v>
      </c>
      <c r="O3191" s="246">
        <f t="shared" si="1226"/>
        <v>0.91449671772428887</v>
      </c>
      <c r="P3191" s="121">
        <f t="shared" si="1227"/>
        <v>0</v>
      </c>
      <c r="Q3191" s="121">
        <f t="shared" si="1228"/>
        <v>0.25</v>
      </c>
      <c r="R3191" s="121">
        <f t="shared" si="1229"/>
        <v>0.75</v>
      </c>
      <c r="S3191" s="121" t="str">
        <f t="shared" si="1230"/>
        <v/>
      </c>
      <c r="T3191" s="121" t="str">
        <f t="shared" si="1231"/>
        <v/>
      </c>
      <c r="U3191" s="121">
        <f t="shared" si="1232"/>
        <v>1.0816000000000001</v>
      </c>
    </row>
    <row r="3192" spans="1:21" x14ac:dyDescent="0.3">
      <c r="A3192" s="187">
        <v>36</v>
      </c>
      <c r="B3192" s="242">
        <f t="shared" si="1233"/>
        <v>46722</v>
      </c>
      <c r="C3192" s="243">
        <f t="shared" si="1214"/>
        <v>46752</v>
      </c>
      <c r="D3192" s="120">
        <f t="shared" si="1215"/>
        <v>31</v>
      </c>
      <c r="E3192" s="120">
        <f t="shared" si="1216"/>
        <v>12</v>
      </c>
      <c r="F3192" s="275">
        <f t="shared" si="1217"/>
        <v>46737.5</v>
      </c>
      <c r="G3192" s="120">
        <f t="shared" si="1218"/>
        <v>24335</v>
      </c>
      <c r="H3192" s="245">
        <f t="shared" si="1219"/>
        <v>1</v>
      </c>
      <c r="I3192" s="121">
        <f t="shared" si="1220"/>
        <v>1.0816000000000001</v>
      </c>
      <c r="J3192" s="121">
        <f t="shared" si="1221"/>
        <v>1.0816000000000001</v>
      </c>
      <c r="K3192" s="120">
        <f t="shared" si="1222"/>
        <v>0</v>
      </c>
      <c r="L3192" s="120">
        <f t="shared" si="1223"/>
        <v>0</v>
      </c>
      <c r="M3192" s="246">
        <f t="shared" si="1224"/>
        <v>0</v>
      </c>
      <c r="N3192" s="121">
        <f t="shared" si="1225"/>
        <v>1.0816000000000001</v>
      </c>
      <c r="O3192" s="246">
        <f t="shared" si="1226"/>
        <v>0.91483041575492341</v>
      </c>
      <c r="P3192" s="121">
        <f t="shared" si="1227"/>
        <v>0</v>
      </c>
      <c r="Q3192" s="121">
        <f t="shared" si="1228"/>
        <v>8.3333333333333329E-2</v>
      </c>
      <c r="R3192" s="121">
        <f t="shared" si="1229"/>
        <v>0.91666666666666663</v>
      </c>
      <c r="S3192" s="121" t="str">
        <f t="shared" si="1230"/>
        <v/>
      </c>
      <c r="T3192" s="121" t="str">
        <f t="shared" si="1231"/>
        <v/>
      </c>
      <c r="U3192" s="121">
        <f t="shared" si="1232"/>
        <v>1.0816000000000001</v>
      </c>
    </row>
    <row r="3193" spans="1:21" x14ac:dyDescent="0.3">
      <c r="A3193" s="187">
        <v>37</v>
      </c>
      <c r="B3193" s="242">
        <f t="shared" si="1233"/>
        <v>46753</v>
      </c>
      <c r="C3193" s="243">
        <f t="shared" si="1214"/>
        <v>46783</v>
      </c>
      <c r="D3193" s="120">
        <f t="shared" si="1215"/>
        <v>31</v>
      </c>
      <c r="E3193" s="120">
        <f t="shared" si="1216"/>
        <v>1</v>
      </c>
      <c r="F3193" s="275">
        <f t="shared" si="1217"/>
        <v>46768.5</v>
      </c>
      <c r="G3193" s="120">
        <f t="shared" si="1218"/>
        <v>24336</v>
      </c>
      <c r="H3193" s="245">
        <f t="shared" si="1219"/>
        <v>1</v>
      </c>
      <c r="I3193" s="121">
        <f t="shared" si="1220"/>
        <v>1.0816000000000001</v>
      </c>
      <c r="J3193" s="121">
        <f t="shared" si="1221"/>
        <v>1.0816000000000001</v>
      </c>
      <c r="K3193" s="120">
        <f t="shared" si="1222"/>
        <v>0</v>
      </c>
      <c r="L3193" s="120">
        <f t="shared" si="1223"/>
        <v>0</v>
      </c>
      <c r="M3193" s="246">
        <f t="shared" si="1224"/>
        <v>0</v>
      </c>
      <c r="N3193" s="121">
        <f t="shared" si="1225"/>
        <v>1.0816000000000001</v>
      </c>
      <c r="O3193" s="246">
        <f t="shared" si="1226"/>
        <v>0.91500000000000004</v>
      </c>
      <c r="P3193" s="121">
        <f t="shared" si="1227"/>
        <v>0</v>
      </c>
      <c r="Q3193" s="121">
        <f t="shared" si="1228"/>
        <v>0</v>
      </c>
      <c r="R3193" s="121">
        <f t="shared" si="1229"/>
        <v>1</v>
      </c>
      <c r="S3193" s="121" t="str">
        <f t="shared" si="1230"/>
        <v/>
      </c>
      <c r="T3193" s="121" t="str">
        <f t="shared" si="1231"/>
        <v/>
      </c>
      <c r="U3193" s="121">
        <f t="shared" si="1232"/>
        <v>1.0816000000000001</v>
      </c>
    </row>
    <row r="3194" spans="1:21" x14ac:dyDescent="0.3">
      <c r="A3194" s="187">
        <v>38</v>
      </c>
      <c r="B3194" s="242">
        <f t="shared" si="1233"/>
        <v>46784</v>
      </c>
      <c r="C3194" s="243">
        <f t="shared" si="1214"/>
        <v>46812</v>
      </c>
      <c r="D3194" s="120">
        <f t="shared" si="1215"/>
        <v>29</v>
      </c>
      <c r="E3194" s="120">
        <f t="shared" si="1216"/>
        <v>2</v>
      </c>
      <c r="F3194" s="275">
        <f t="shared" si="1217"/>
        <v>46798.5</v>
      </c>
      <c r="G3194" s="120">
        <f t="shared" si="1218"/>
        <v>24337</v>
      </c>
      <c r="H3194" s="245">
        <f t="shared" si="1219"/>
        <v>1</v>
      </c>
      <c r="I3194" s="121">
        <f t="shared" si="1220"/>
        <v>1.0816000000000001</v>
      </c>
      <c r="J3194" s="121">
        <f t="shared" si="1221"/>
        <v>1.0816000000000001</v>
      </c>
      <c r="K3194" s="120">
        <f t="shared" si="1222"/>
        <v>0</v>
      </c>
      <c r="L3194" s="120">
        <f t="shared" si="1223"/>
        <v>0</v>
      </c>
      <c r="M3194" s="246">
        <f t="shared" si="1224"/>
        <v>0</v>
      </c>
      <c r="N3194" s="121">
        <f t="shared" si="1225"/>
        <v>1.0816000000000001</v>
      </c>
      <c r="O3194" s="246">
        <f t="shared" si="1226"/>
        <v>0.91500000000000004</v>
      </c>
      <c r="P3194" s="121">
        <f t="shared" si="1227"/>
        <v>0</v>
      </c>
      <c r="Q3194" s="121">
        <f t="shared" si="1228"/>
        <v>0</v>
      </c>
      <c r="R3194" s="121">
        <f t="shared" si="1229"/>
        <v>1</v>
      </c>
      <c r="S3194" s="121" t="str">
        <f t="shared" si="1230"/>
        <v/>
      </c>
      <c r="T3194" s="121" t="str">
        <f t="shared" si="1231"/>
        <v/>
      </c>
      <c r="U3194" s="121">
        <f t="shared" si="1232"/>
        <v>1.0816000000000001</v>
      </c>
    </row>
    <row r="3195" spans="1:21" x14ac:dyDescent="0.3">
      <c r="A3195" s="187">
        <v>39</v>
      </c>
      <c r="B3195" s="242">
        <f t="shared" si="1233"/>
        <v>46813</v>
      </c>
      <c r="C3195" s="243">
        <f t="shared" si="1214"/>
        <v>46843</v>
      </c>
      <c r="D3195" s="120">
        <f t="shared" si="1215"/>
        <v>31</v>
      </c>
      <c r="E3195" s="120">
        <f t="shared" si="1216"/>
        <v>3</v>
      </c>
      <c r="F3195" s="275">
        <f t="shared" si="1217"/>
        <v>46828.5</v>
      </c>
      <c r="G3195" s="120">
        <f t="shared" si="1218"/>
        <v>24338</v>
      </c>
      <c r="H3195" s="245">
        <f t="shared" si="1219"/>
        <v>1</v>
      </c>
      <c r="I3195" s="121">
        <f t="shared" si="1220"/>
        <v>1.0816000000000001</v>
      </c>
      <c r="J3195" s="121">
        <f t="shared" si="1221"/>
        <v>1.0816000000000001</v>
      </c>
      <c r="K3195" s="120">
        <f t="shared" si="1222"/>
        <v>0</v>
      </c>
      <c r="L3195" s="120">
        <f t="shared" si="1223"/>
        <v>0</v>
      </c>
      <c r="M3195" s="246">
        <f t="shared" si="1224"/>
        <v>0</v>
      </c>
      <c r="N3195" s="121">
        <f t="shared" si="1225"/>
        <v>1.0816000000000001</v>
      </c>
      <c r="O3195" s="246">
        <f t="shared" si="1226"/>
        <v>0.91500000000000004</v>
      </c>
      <c r="P3195" s="121">
        <f t="shared" si="1227"/>
        <v>0</v>
      </c>
      <c r="Q3195" s="121">
        <f t="shared" si="1228"/>
        <v>0</v>
      </c>
      <c r="R3195" s="121">
        <f t="shared" si="1229"/>
        <v>1</v>
      </c>
      <c r="S3195" s="121" t="str">
        <f t="shared" si="1230"/>
        <v/>
      </c>
      <c r="T3195" s="121" t="str">
        <f t="shared" si="1231"/>
        <v/>
      </c>
      <c r="U3195" s="121">
        <f t="shared" si="1232"/>
        <v>1.0816000000000001</v>
      </c>
    </row>
    <row r="3196" spans="1:21" x14ac:dyDescent="0.3">
      <c r="A3196" s="187">
        <v>40</v>
      </c>
      <c r="B3196" s="242">
        <f t="shared" si="1233"/>
        <v>46844</v>
      </c>
      <c r="C3196" s="243">
        <f t="shared" si="1214"/>
        <v>46873</v>
      </c>
      <c r="D3196" s="120">
        <f t="shared" si="1215"/>
        <v>30</v>
      </c>
      <c r="E3196" s="120">
        <f t="shared" si="1216"/>
        <v>4</v>
      </c>
      <c r="F3196" s="275">
        <f t="shared" si="1217"/>
        <v>46859</v>
      </c>
      <c r="G3196" s="120">
        <f t="shared" si="1218"/>
        <v>24339</v>
      </c>
      <c r="H3196" s="245">
        <f t="shared" si="1219"/>
        <v>1</v>
      </c>
      <c r="I3196" s="121">
        <f t="shared" si="1220"/>
        <v>1.0816000000000001</v>
      </c>
      <c r="J3196" s="121">
        <f t="shared" si="1221"/>
        <v>1.0816000000000001</v>
      </c>
      <c r="K3196" s="120">
        <f t="shared" si="1222"/>
        <v>0</v>
      </c>
      <c r="L3196" s="120">
        <f t="shared" si="1223"/>
        <v>0</v>
      </c>
      <c r="M3196" s="246">
        <f t="shared" si="1224"/>
        <v>0</v>
      </c>
      <c r="N3196" s="121">
        <f t="shared" si="1225"/>
        <v>1.0816000000000001</v>
      </c>
      <c r="O3196" s="246">
        <f t="shared" si="1226"/>
        <v>0.91500000000000004</v>
      </c>
      <c r="P3196" s="121">
        <f t="shared" si="1227"/>
        <v>0</v>
      </c>
      <c r="Q3196" s="121">
        <f t="shared" si="1228"/>
        <v>0</v>
      </c>
      <c r="R3196" s="121">
        <f t="shared" si="1229"/>
        <v>1</v>
      </c>
      <c r="S3196" s="121" t="str">
        <f t="shared" si="1230"/>
        <v/>
      </c>
      <c r="T3196" s="121" t="str">
        <f t="shared" si="1231"/>
        <v/>
      </c>
      <c r="U3196" s="121">
        <f t="shared" si="1232"/>
        <v>1.0816000000000001</v>
      </c>
    </row>
    <row r="3197" spans="1:21" x14ac:dyDescent="0.3">
      <c r="A3197" s="187">
        <v>41</v>
      </c>
      <c r="B3197" s="242">
        <f t="shared" si="1233"/>
        <v>46874</v>
      </c>
      <c r="C3197" s="243">
        <f t="shared" si="1214"/>
        <v>46904</v>
      </c>
      <c r="D3197" s="120">
        <f t="shared" si="1215"/>
        <v>31</v>
      </c>
      <c r="E3197" s="120">
        <f t="shared" si="1216"/>
        <v>5</v>
      </c>
      <c r="F3197" s="275">
        <f t="shared" si="1217"/>
        <v>46889.5</v>
      </c>
      <c r="G3197" s="120">
        <f t="shared" si="1218"/>
        <v>24340</v>
      </c>
      <c r="H3197" s="245">
        <f t="shared" si="1219"/>
        <v>1</v>
      </c>
      <c r="I3197" s="121">
        <f t="shared" si="1220"/>
        <v>1.0816000000000001</v>
      </c>
      <c r="J3197" s="121">
        <f t="shared" si="1221"/>
        <v>1.0816000000000001</v>
      </c>
      <c r="K3197" s="120">
        <f t="shared" si="1222"/>
        <v>0</v>
      </c>
      <c r="L3197" s="120">
        <f t="shared" si="1223"/>
        <v>0</v>
      </c>
      <c r="M3197" s="246">
        <f t="shared" si="1224"/>
        <v>0</v>
      </c>
      <c r="N3197" s="121">
        <f t="shared" si="1225"/>
        <v>1.0816000000000001</v>
      </c>
      <c r="O3197" s="246">
        <f t="shared" si="1226"/>
        <v>0.91500000000000004</v>
      </c>
      <c r="P3197" s="121">
        <f t="shared" si="1227"/>
        <v>0</v>
      </c>
      <c r="Q3197" s="121">
        <f t="shared" si="1228"/>
        <v>0</v>
      </c>
      <c r="R3197" s="121">
        <f t="shared" si="1229"/>
        <v>1</v>
      </c>
      <c r="S3197" s="121" t="str">
        <f t="shared" si="1230"/>
        <v/>
      </c>
      <c r="T3197" s="121" t="str">
        <f t="shared" si="1231"/>
        <v/>
      </c>
      <c r="U3197" s="121">
        <f t="shared" si="1232"/>
        <v>1.0816000000000001</v>
      </c>
    </row>
    <row r="3198" spans="1:21" x14ac:dyDescent="0.3">
      <c r="A3198" s="187">
        <v>42</v>
      </c>
      <c r="B3198" s="242">
        <f t="shared" si="1233"/>
        <v>46905</v>
      </c>
      <c r="C3198" s="243">
        <f t="shared" si="1214"/>
        <v>46934</v>
      </c>
      <c r="D3198" s="120">
        <f t="shared" si="1215"/>
        <v>30</v>
      </c>
      <c r="E3198" s="120">
        <f t="shared" si="1216"/>
        <v>6</v>
      </c>
      <c r="F3198" s="275">
        <f t="shared" si="1217"/>
        <v>46920</v>
      </c>
      <c r="G3198" s="120">
        <f t="shared" si="1218"/>
        <v>24341</v>
      </c>
      <c r="H3198" s="245">
        <f t="shared" si="1219"/>
        <v>1</v>
      </c>
      <c r="I3198" s="121">
        <f t="shared" si="1220"/>
        <v>1.0816000000000001</v>
      </c>
      <c r="J3198" s="121">
        <f t="shared" si="1221"/>
        <v>1.0816000000000001</v>
      </c>
      <c r="K3198" s="120">
        <f t="shared" si="1222"/>
        <v>0</v>
      </c>
      <c r="L3198" s="120">
        <f t="shared" si="1223"/>
        <v>0</v>
      </c>
      <c r="M3198" s="246">
        <f t="shared" si="1224"/>
        <v>0</v>
      </c>
      <c r="N3198" s="121">
        <f t="shared" si="1225"/>
        <v>1.0816000000000001</v>
      </c>
      <c r="O3198" s="246">
        <f t="shared" si="1226"/>
        <v>0.91500000000000004</v>
      </c>
      <c r="P3198" s="121">
        <f t="shared" si="1227"/>
        <v>0</v>
      </c>
      <c r="Q3198" s="121">
        <f t="shared" si="1228"/>
        <v>0</v>
      </c>
      <c r="R3198" s="121">
        <f t="shared" si="1229"/>
        <v>1</v>
      </c>
      <c r="S3198" s="121" t="str">
        <f t="shared" si="1230"/>
        <v/>
      </c>
      <c r="T3198" s="121" t="str">
        <f t="shared" si="1231"/>
        <v/>
      </c>
      <c r="U3198" s="121">
        <f t="shared" si="1232"/>
        <v>1.0816000000000001</v>
      </c>
    </row>
    <row r="3199" spans="1:21" x14ac:dyDescent="0.3">
      <c r="A3199" s="187">
        <v>43</v>
      </c>
      <c r="B3199" s="242">
        <f t="shared" si="1233"/>
        <v>46935</v>
      </c>
      <c r="C3199" s="243">
        <f t="shared" si="1214"/>
        <v>46965</v>
      </c>
      <c r="D3199" s="120">
        <f t="shared" si="1215"/>
        <v>31</v>
      </c>
      <c r="E3199" s="120">
        <f t="shared" si="1216"/>
        <v>7</v>
      </c>
      <c r="F3199" s="275">
        <f t="shared" si="1217"/>
        <v>46950.5</v>
      </c>
      <c r="G3199" s="120">
        <f t="shared" si="1218"/>
        <v>24342</v>
      </c>
      <c r="H3199" s="245">
        <f t="shared" si="1219"/>
        <v>1</v>
      </c>
      <c r="I3199" s="121">
        <f t="shared" si="1220"/>
        <v>1.0816000000000001</v>
      </c>
      <c r="J3199" s="121">
        <f t="shared" si="1221"/>
        <v>1.0816000000000001</v>
      </c>
      <c r="K3199" s="120">
        <f t="shared" si="1222"/>
        <v>0</v>
      </c>
      <c r="L3199" s="120">
        <f t="shared" si="1223"/>
        <v>0</v>
      </c>
      <c r="M3199" s="246">
        <f t="shared" si="1224"/>
        <v>0</v>
      </c>
      <c r="N3199" s="121">
        <f t="shared" si="1225"/>
        <v>1.0816000000000001</v>
      </c>
      <c r="O3199" s="246">
        <f t="shared" si="1226"/>
        <v>0.91500000000000004</v>
      </c>
      <c r="P3199" s="121">
        <f t="shared" si="1227"/>
        <v>0</v>
      </c>
      <c r="Q3199" s="121">
        <f t="shared" si="1228"/>
        <v>0</v>
      </c>
      <c r="R3199" s="121">
        <f t="shared" si="1229"/>
        <v>0.91666666666666663</v>
      </c>
      <c r="S3199" s="121" t="str">
        <f t="shared" si="1230"/>
        <v/>
      </c>
      <c r="T3199" s="121" t="str">
        <f t="shared" si="1231"/>
        <v/>
      </c>
      <c r="U3199" s="121">
        <f t="shared" si="1232"/>
        <v>1.0816000000000001</v>
      </c>
    </row>
    <row r="3200" spans="1:21" x14ac:dyDescent="0.3">
      <c r="A3200" s="187">
        <v>44</v>
      </c>
      <c r="B3200" s="242">
        <f t="shared" si="1233"/>
        <v>46966</v>
      </c>
      <c r="C3200" s="243">
        <f t="shared" si="1214"/>
        <v>46996</v>
      </c>
      <c r="D3200" s="120">
        <f t="shared" si="1215"/>
        <v>31</v>
      </c>
      <c r="E3200" s="120">
        <f t="shared" si="1216"/>
        <v>8</v>
      </c>
      <c r="F3200" s="275">
        <f t="shared" si="1217"/>
        <v>46981.5</v>
      </c>
      <c r="G3200" s="120">
        <f t="shared" si="1218"/>
        <v>24343</v>
      </c>
      <c r="H3200" s="245">
        <f t="shared" si="1219"/>
        <v>1</v>
      </c>
      <c r="I3200" s="121">
        <f t="shared" si="1220"/>
        <v>1.0816000000000001</v>
      </c>
      <c r="J3200" s="121">
        <f t="shared" si="1221"/>
        <v>1.0816000000000001</v>
      </c>
      <c r="K3200" s="120">
        <f t="shared" si="1222"/>
        <v>0</v>
      </c>
      <c r="L3200" s="120">
        <f t="shared" si="1223"/>
        <v>0</v>
      </c>
      <c r="M3200" s="246">
        <f t="shared" si="1224"/>
        <v>0</v>
      </c>
      <c r="N3200" s="121">
        <f t="shared" si="1225"/>
        <v>1.0816000000000001</v>
      </c>
      <c r="O3200" s="246">
        <f t="shared" si="1226"/>
        <v>0.91500000000000004</v>
      </c>
      <c r="P3200" s="121">
        <f t="shared" si="1227"/>
        <v>0</v>
      </c>
      <c r="Q3200" s="121">
        <f t="shared" si="1228"/>
        <v>0</v>
      </c>
      <c r="R3200" s="121">
        <f t="shared" si="1229"/>
        <v>0.75</v>
      </c>
      <c r="S3200" s="121" t="str">
        <f t="shared" si="1230"/>
        <v/>
      </c>
      <c r="T3200" s="121" t="str">
        <f t="shared" si="1231"/>
        <v/>
      </c>
      <c r="U3200" s="121">
        <f t="shared" si="1232"/>
        <v>1.0816000000000001</v>
      </c>
    </row>
    <row r="3201" spans="1:21" x14ac:dyDescent="0.3">
      <c r="A3201" s="187">
        <v>45</v>
      </c>
      <c r="B3201" s="242">
        <f t="shared" si="1233"/>
        <v>46997</v>
      </c>
      <c r="C3201" s="243">
        <f t="shared" si="1214"/>
        <v>47026</v>
      </c>
      <c r="D3201" s="120">
        <f t="shared" si="1215"/>
        <v>30</v>
      </c>
      <c r="E3201" s="120">
        <f t="shared" si="1216"/>
        <v>9</v>
      </c>
      <c r="F3201" s="275">
        <f t="shared" si="1217"/>
        <v>47012</v>
      </c>
      <c r="G3201" s="120">
        <f t="shared" si="1218"/>
        <v>24344</v>
      </c>
      <c r="H3201" s="245">
        <f t="shared" si="1219"/>
        <v>1</v>
      </c>
      <c r="I3201" s="121">
        <f t="shared" si="1220"/>
        <v>1.0816000000000001</v>
      </c>
      <c r="J3201" s="121">
        <f t="shared" si="1221"/>
        <v>1.0816000000000001</v>
      </c>
      <c r="K3201" s="120">
        <f t="shared" si="1222"/>
        <v>0</v>
      </c>
      <c r="L3201" s="120">
        <f t="shared" si="1223"/>
        <v>0</v>
      </c>
      <c r="M3201" s="246">
        <f t="shared" si="1224"/>
        <v>0</v>
      </c>
      <c r="N3201" s="121">
        <f t="shared" si="1225"/>
        <v>1.0816000000000001</v>
      </c>
      <c r="O3201" s="246">
        <f t="shared" si="1226"/>
        <v>0.91500000000000004</v>
      </c>
      <c r="P3201" s="121">
        <f t="shared" si="1227"/>
        <v>0</v>
      </c>
      <c r="Q3201" s="121">
        <f t="shared" si="1228"/>
        <v>0</v>
      </c>
      <c r="R3201" s="121">
        <f t="shared" si="1229"/>
        <v>0.58333333333333337</v>
      </c>
      <c r="S3201" s="121" t="str">
        <f t="shared" si="1230"/>
        <v/>
      </c>
      <c r="T3201" s="121" t="str">
        <f t="shared" si="1231"/>
        <v/>
      </c>
      <c r="U3201" s="121">
        <f t="shared" si="1232"/>
        <v>1.0816000000000001</v>
      </c>
    </row>
    <row r="3202" spans="1:21" x14ac:dyDescent="0.3">
      <c r="A3202" s="187">
        <v>46</v>
      </c>
      <c r="B3202" s="242">
        <f t="shared" si="1233"/>
        <v>47027</v>
      </c>
      <c r="C3202" s="243">
        <f t="shared" si="1214"/>
        <v>47057</v>
      </c>
      <c r="D3202" s="120">
        <f t="shared" si="1215"/>
        <v>31</v>
      </c>
      <c r="E3202" s="120">
        <f t="shared" si="1216"/>
        <v>10</v>
      </c>
      <c r="F3202" s="275">
        <f t="shared" si="1217"/>
        <v>47042.5</v>
      </c>
      <c r="G3202" s="120">
        <f t="shared" si="1218"/>
        <v>24345</v>
      </c>
      <c r="H3202" s="245">
        <f t="shared" si="1219"/>
        <v>1</v>
      </c>
      <c r="I3202" s="121">
        <f t="shared" si="1220"/>
        <v>1.0816000000000001</v>
      </c>
      <c r="J3202" s="121">
        <f t="shared" si="1221"/>
        <v>1.0816000000000001</v>
      </c>
      <c r="K3202" s="120">
        <f t="shared" si="1222"/>
        <v>0</v>
      </c>
      <c r="L3202" s="120">
        <f t="shared" si="1223"/>
        <v>0</v>
      </c>
      <c r="M3202" s="246">
        <f t="shared" si="1224"/>
        <v>0</v>
      </c>
      <c r="N3202" s="121">
        <f t="shared" si="1225"/>
        <v>1.0816000000000001</v>
      </c>
      <c r="O3202" s="246">
        <f t="shared" si="1226"/>
        <v>0.91500000000000004</v>
      </c>
      <c r="P3202" s="121">
        <f t="shared" si="1227"/>
        <v>0</v>
      </c>
      <c r="Q3202" s="121">
        <f t="shared" si="1228"/>
        <v>0</v>
      </c>
      <c r="R3202" s="121">
        <f t="shared" si="1229"/>
        <v>0.41666666666666669</v>
      </c>
      <c r="S3202" s="121" t="str">
        <f t="shared" si="1230"/>
        <v/>
      </c>
      <c r="T3202" s="121" t="str">
        <f t="shared" si="1231"/>
        <v/>
      </c>
      <c r="U3202" s="121">
        <f t="shared" si="1232"/>
        <v>1.0816000000000001</v>
      </c>
    </row>
    <row r="3203" spans="1:21" x14ac:dyDescent="0.3">
      <c r="A3203" s="187">
        <v>47</v>
      </c>
      <c r="B3203" s="242">
        <f t="shared" si="1233"/>
        <v>47058</v>
      </c>
      <c r="C3203" s="243">
        <f t="shared" si="1214"/>
        <v>47087</v>
      </c>
      <c r="D3203" s="120">
        <f t="shared" si="1215"/>
        <v>30</v>
      </c>
      <c r="E3203" s="120">
        <f t="shared" si="1216"/>
        <v>11</v>
      </c>
      <c r="F3203" s="275">
        <f t="shared" si="1217"/>
        <v>47073</v>
      </c>
      <c r="G3203" s="120">
        <f t="shared" si="1218"/>
        <v>24346</v>
      </c>
      <c r="H3203" s="245">
        <f t="shared" si="1219"/>
        <v>1</v>
      </c>
      <c r="I3203" s="121">
        <f t="shared" si="1220"/>
        <v>1.0816000000000001</v>
      </c>
      <c r="J3203" s="121">
        <f t="shared" si="1221"/>
        <v>1.0816000000000001</v>
      </c>
      <c r="K3203" s="120">
        <f t="shared" si="1222"/>
        <v>0</v>
      </c>
      <c r="L3203" s="120">
        <f t="shared" si="1223"/>
        <v>0</v>
      </c>
      <c r="M3203" s="246">
        <f t="shared" si="1224"/>
        <v>0</v>
      </c>
      <c r="N3203" s="121">
        <f t="shared" si="1225"/>
        <v>1.0816000000000001</v>
      </c>
      <c r="O3203" s="246">
        <f t="shared" si="1226"/>
        <v>0.91500000000000004</v>
      </c>
      <c r="P3203" s="121">
        <f t="shared" si="1227"/>
        <v>0</v>
      </c>
      <c r="Q3203" s="121">
        <f t="shared" si="1228"/>
        <v>0</v>
      </c>
      <c r="R3203" s="121">
        <f t="shared" si="1229"/>
        <v>0.25</v>
      </c>
      <c r="S3203" s="121" t="str">
        <f t="shared" si="1230"/>
        <v/>
      </c>
      <c r="T3203" s="121" t="str">
        <f t="shared" si="1231"/>
        <v/>
      </c>
      <c r="U3203" s="121">
        <f t="shared" si="1232"/>
        <v>1.0816000000000001</v>
      </c>
    </row>
    <row r="3204" spans="1:21" x14ac:dyDescent="0.3">
      <c r="A3204" s="187">
        <v>48</v>
      </c>
      <c r="B3204" s="242">
        <f t="shared" si="1233"/>
        <v>47088</v>
      </c>
      <c r="C3204" s="243">
        <f t="shared" si="1214"/>
        <v>47118</v>
      </c>
      <c r="D3204" s="120">
        <f t="shared" si="1215"/>
        <v>31</v>
      </c>
      <c r="E3204" s="120">
        <f t="shared" si="1216"/>
        <v>12</v>
      </c>
      <c r="F3204" s="275">
        <f t="shared" si="1217"/>
        <v>47103.5</v>
      </c>
      <c r="G3204" s="120">
        <f t="shared" si="1218"/>
        <v>24347</v>
      </c>
      <c r="H3204" s="245">
        <f t="shared" si="1219"/>
        <v>1</v>
      </c>
      <c r="I3204" s="121">
        <f t="shared" si="1220"/>
        <v>1.0816000000000001</v>
      </c>
      <c r="J3204" s="121">
        <f t="shared" si="1221"/>
        <v>1.0816000000000001</v>
      </c>
      <c r="K3204" s="120">
        <f t="shared" si="1222"/>
        <v>0</v>
      </c>
      <c r="L3204" s="120">
        <f t="shared" si="1223"/>
        <v>0</v>
      </c>
      <c r="M3204" s="246">
        <f t="shared" si="1224"/>
        <v>0</v>
      </c>
      <c r="N3204" s="121">
        <f t="shared" si="1225"/>
        <v>1.0816000000000001</v>
      </c>
      <c r="O3204" s="246">
        <f t="shared" si="1226"/>
        <v>0.91500000000000004</v>
      </c>
      <c r="P3204" s="121">
        <f t="shared" si="1227"/>
        <v>0</v>
      </c>
      <c r="Q3204" s="121">
        <f t="shared" si="1228"/>
        <v>0</v>
      </c>
      <c r="R3204" s="121">
        <f t="shared" si="1229"/>
        <v>8.3333333333333329E-2</v>
      </c>
      <c r="S3204" s="121" t="str">
        <f t="shared" si="1230"/>
        <v/>
      </c>
      <c r="T3204" s="121" t="str">
        <f t="shared" si="1231"/>
        <v/>
      </c>
      <c r="U3204" s="121">
        <f t="shared" si="1232"/>
        <v>1.0816000000000001</v>
      </c>
    </row>
    <row r="3205" spans="1:21" x14ac:dyDescent="0.3">
      <c r="A3205" s="6" t="s">
        <v>1651</v>
      </c>
      <c r="B3205" s="73">
        <f>EXP(SUMPRODUCT((rl_key=$A$3154)*(rl_cons="Y")*rl_ln1p))</f>
        <v>1.04</v>
      </c>
      <c r="C3205" s="73">
        <f>SUMPRODUCT($H$3157:$H$3204,$P$3157:$P$3204,$U$3157:$U$3204)/SUMPRODUCT($H$3157:$H$3204,$P$3157:$P$3204)</f>
        <v>1.0024999999999999</v>
      </c>
      <c r="D3205" s="73">
        <f>SUMPRODUCT($H$3157:$H$3204,$Q$3157:$Q$3204,$U$3157:$U$3204)/SUMPRODUCT($H$3157:$H$3204,$Q$3157:$Q$3204)</f>
        <v>1.0447222222222221</v>
      </c>
      <c r="E3205" s="73">
        <f>SUMPRODUCT($H$3157:$H$3204,$R$3157:$R$3204,$U$3157:$U$3204)/SUMPRODUCT($H$3157:$H$3204,$R$3157:$R$3204)</f>
        <v>1.0813111111111111</v>
      </c>
      <c r="F3205" s="224">
        <f>SUMPRODUCT($H$3157:$H$3204,$Q$3157:$Q$3204,$O$3157:$O$3204)/SUMPRODUCT($H$3157:$H$3204,$Q$3157:$Q$3204)</f>
        <v>0.91199626185266247</v>
      </c>
      <c r="G3205" s="224">
        <f>SUMPRODUCT($H$3157:$H$3204,$R$3157:$R$3204,$O$3157:$O$3204)/SUMPRODUCT($H$3157:$H$3204,$R$3157:$R$3204)</f>
        <v>0.91483011184050556</v>
      </c>
      <c r="H3205" s="73">
        <f>SUMPRODUCT($H$3181:$H$3192,$N$3181:$N$3192/$N$3169:$N$3180)/SUM($H$3181:$H$3192)</f>
        <v>1.0469333333333333</v>
      </c>
      <c r="I3205" s="73">
        <f>SUMPRODUCT($H$3181:$H$3192,$O$3181:$O$3192/$O$3169:$O$3180)/SUM($H$3181:$H$3192)</f>
        <v>1.0043932196204437</v>
      </c>
      <c r="J3205" s="73">
        <f>IF($O$3154=1,SUMPRODUCT($H$3181:$H$3192,$N$3181:$N$3192/$N$3169:$N$3180*$O$3181:$O$3192/$O$3169:$O$3180)/SUM($H$3181:$H$3192),$H3205)</f>
        <v>1.0515327189843504</v>
      </c>
      <c r="K3205" s="73">
        <f>SUMPRODUCT($H$3157:$H$3204,$Q$3157:$Q$3204,$N$3157:$N$3204)/SUMPRODUCT($H$3157:$H$3204,$Q$3157:$Q$3204)</f>
        <v>1.0447222222222221</v>
      </c>
      <c r="L3205" s="73">
        <f>SUMPRODUCT($H$3157:$H$3204,$R$3157:$R$3204,$N$3157:$N$3204)/SUMPRODUCT($H$3157:$H$3204,$R$3157:$R$3204)</f>
        <v>1.0813111111111111</v>
      </c>
    </row>
    <row r="3208" spans="1:21" x14ac:dyDescent="0.3">
      <c r="A3208" s="6" t="str">
        <f>INDEX(lr_key,59)</f>
        <v>SBA|SC</v>
      </c>
      <c r="B3208" s="6" t="str">
        <f>INDEX(lr_state,59)</f>
        <v>SC</v>
      </c>
      <c r="C3208" s="75">
        <f>nr_TermMonths</f>
        <v>6</v>
      </c>
      <c r="D3208" s="75">
        <f>IF(COUNTIF(se_state,$B3208)=0,0,MATCH($B3208,se_state,0))</f>
        <v>0</v>
      </c>
      <c r="E3208" s="70">
        <f>IF($D3208=0,0,INDEX(se_sum,$D3208))</f>
        <v>0</v>
      </c>
      <c r="F3208" s="224">
        <f>IF(N(INDEX(lr_mind,59))=0,1,INDEX(lr_mind,59))</f>
        <v>0.92</v>
      </c>
      <c r="G3208" s="224">
        <f>IF(N(INDEX(lr_m0,59))=0,1,INDEX(lr_m0,59))</f>
        <v>0.91</v>
      </c>
      <c r="H3208" s="74">
        <f>IF(N(INDEX(lr_m0asof,59))=0,DATE(nr_PlanYear-1,10,1),INDEX(lr_m0asof,59))</f>
        <v>46295</v>
      </c>
      <c r="I3208" s="224">
        <f>IF(N(INDEX(lr_m1,59))=0,1,INDEX(lr_m1,59))</f>
        <v>0.93</v>
      </c>
      <c r="J3208" s="224">
        <f>INDEX(lr_mprior,59)</f>
        <v>0</v>
      </c>
      <c r="K3208" s="224">
        <f>INDEX(lr_m2,59)</f>
        <v>0</v>
      </c>
      <c r="L3208" s="6" t="b">
        <f>NOT(ISBLANK(INDEX(lr_netp,59)))</f>
        <v>0</v>
      </c>
      <c r="M3208" s="72">
        <f>N(INDEX(lr_netp,59))</f>
        <v>0</v>
      </c>
      <c r="N3208" s="72">
        <f>IF(ISBLANK(INDEX(lr_netp1,59)),$M$3208,N(INDEX(lr_netp1,59)))</f>
        <v>0</v>
      </c>
      <c r="O3208" s="75">
        <f>IF(AND(nr_ModAdjMaster="ON",INDEX(lr_modadj,59)="ON"),1,0)</f>
        <v>1</v>
      </c>
    </row>
    <row r="3209" spans="1:21" x14ac:dyDescent="0.3">
      <c r="A3209" s="6">
        <f>EDATE($H$3208,-12)+1</f>
        <v>45931</v>
      </c>
      <c r="B3209" s="6">
        <f>$H$3208+1</f>
        <v>46296</v>
      </c>
      <c r="C3209" s="6">
        <f>DATE(nr_PlanYear,12,31)+1</f>
        <v>46753</v>
      </c>
      <c r="D3209" s="6">
        <f>DATE(nr_PlanYear+1,12,31)+1</f>
        <v>47119</v>
      </c>
      <c r="E3209" s="6">
        <f>IF(N($J$3208)=0,$F$3209-($G$3209-$F$3209)/($C$3209-$B$3209)*($B$3209-$A$3209),$J$3208)</f>
        <v>0.89402625820568926</v>
      </c>
      <c r="F3209" s="6">
        <f>$G$3208</f>
        <v>0.91</v>
      </c>
      <c r="G3209" s="6">
        <f>$I$3208</f>
        <v>0.93</v>
      </c>
      <c r="H3209" s="6">
        <f>IF(N($K$3208)=0,$I$3208,$K$3208)</f>
        <v>0.93</v>
      </c>
      <c r="I3209" s="6">
        <f>($F$3209-$E$3209)/($B$3209-$A$3209)</f>
        <v>4.3763676148796628E-5</v>
      </c>
      <c r="J3209" s="6">
        <f>($G$3209-$F$3209)/($C$3209-$B$3209)</f>
        <v>4.376367614879654E-5</v>
      </c>
      <c r="K3209" s="6">
        <f>($H$3209-$G$3209)/($D$3209-$C$3209)</f>
        <v>0</v>
      </c>
    </row>
    <row r="3210" spans="1:21" ht="36" x14ac:dyDescent="0.3">
      <c r="A3210" s="58" t="s">
        <v>390</v>
      </c>
      <c r="B3210" s="58" t="s">
        <v>449</v>
      </c>
      <c r="C3210" s="58" t="s">
        <v>685</v>
      </c>
      <c r="D3210" s="58" t="s">
        <v>686</v>
      </c>
      <c r="E3210" s="58" t="s">
        <v>687</v>
      </c>
      <c r="F3210" s="58" t="s">
        <v>688</v>
      </c>
      <c r="G3210" s="58" t="s">
        <v>689</v>
      </c>
      <c r="H3210" s="58" t="s">
        <v>452</v>
      </c>
      <c r="I3210" s="58" t="s">
        <v>690</v>
      </c>
      <c r="J3210" s="58" t="s">
        <v>691</v>
      </c>
      <c r="K3210" s="58" t="s">
        <v>692</v>
      </c>
      <c r="L3210" s="58" t="s">
        <v>693</v>
      </c>
      <c r="M3210" s="58" t="s">
        <v>694</v>
      </c>
      <c r="N3210" s="58" t="s">
        <v>695</v>
      </c>
      <c r="O3210" s="58" t="s">
        <v>696</v>
      </c>
      <c r="P3210" s="58" t="s">
        <v>697</v>
      </c>
      <c r="Q3210" s="58" t="s">
        <v>698</v>
      </c>
      <c r="R3210" s="58" t="s">
        <v>699</v>
      </c>
      <c r="S3210" s="58" t="s">
        <v>700</v>
      </c>
      <c r="T3210" s="58" t="s">
        <v>701</v>
      </c>
      <c r="U3210" s="58" t="s">
        <v>702</v>
      </c>
    </row>
    <row r="3211" spans="1:21" x14ac:dyDescent="0.3">
      <c r="A3211" s="187">
        <v>1</v>
      </c>
      <c r="B3211" s="242">
        <f>DATE(nr_PlanYear-2,1,1)</f>
        <v>45658</v>
      </c>
      <c r="C3211" s="243">
        <f t="shared" ref="C3211:C3258" si="1234">EOMONTH($B3211,0)</f>
        <v>45688</v>
      </c>
      <c r="D3211" s="120">
        <f t="shared" ref="D3211:D3258" si="1235">$C3211-$B3211+1</f>
        <v>31</v>
      </c>
      <c r="E3211" s="120">
        <f t="shared" ref="E3211:E3258" si="1236">MONTH($B3211)</f>
        <v>1</v>
      </c>
      <c r="F3211" s="275">
        <f t="shared" ref="F3211:F3258" si="1237">($B3211+$C3211+1)/2</f>
        <v>45673.5</v>
      </c>
      <c r="G3211" s="120">
        <f t="shared" ref="G3211:G3258" si="1238">YEAR($B3211)*12+MONTH($B3211)-1</f>
        <v>24300</v>
      </c>
      <c r="H3211" s="245">
        <f t="shared" ref="H3211:H3258" si="1239">IF(OR(nr_SeasonOn="OFF",$D$3208=0,$E$3208=0),1,12*INDEX(se_block,$D$3208,$E3211)/$E$3208)</f>
        <v>1</v>
      </c>
      <c r="I3211" s="121">
        <f t="shared" ref="I3211:I3258" si="1240">EXP(SUMPRODUCT((rl_eff&lt;$B3211)*(rl_key=$A$3208)*rl_ln1p))</f>
        <v>1</v>
      </c>
      <c r="J3211" s="121">
        <f t="shared" ref="J3211:J3258" si="1241">EXP(SUMPRODUCT((rl_eff&lt;=$C3211)*(rl_key=$A$3208)*rl_ln1p))</f>
        <v>1</v>
      </c>
      <c r="K3211" s="120">
        <f t="shared" ref="K3211:K3258" si="1242">COUNTIFS(rl_key,$A$3208,rl_eff,"&gt;="&amp;$B3211,rl_eff,"&lt;="&amp;$C3211)</f>
        <v>0</v>
      </c>
      <c r="L3211" s="120">
        <f t="shared" ref="L3211:L3258" si="1243">SUMIFS(rl_daysafter,rl_key,$A$3208,rl_effmonth,$B3211,rl_first,1)</f>
        <v>0</v>
      </c>
      <c r="M3211" s="246">
        <f t="shared" ref="M3211:M3258" si="1244">IF($K3211=0,0,MIN(1,$L3211/$D3211))</f>
        <v>0</v>
      </c>
      <c r="N3211" s="121">
        <f t="shared" ref="N3211:N3258" si="1245">IF($K3211=0,$J3211,(1-$M3211)*$I3211+$M3211*$J3211)</f>
        <v>1</v>
      </c>
      <c r="O3211" s="246">
        <f t="shared" ref="O3211:O3258" si="1246">IF($F3211&lt;$B$3209,$E$3209+$I$3209*($F3211-$A$3209),IF($F3211&lt;$C$3209,$F$3209+$J$3209*($F3211-$B$3209),$G$3209+$K$3209*($F3211-$C$3209)))</f>
        <v>0.88275711159737413</v>
      </c>
      <c r="P3211" s="121">
        <f t="shared" ref="P3211:P3258" si="1247">MIN(1,MAX(0,(nr_MEndPm1-$G3211+0.5)/$C$3208))-MIN(1,MAX(0,(nr_MStartPm1-1-$G3211+0.5)/$C$3208))</f>
        <v>0</v>
      </c>
      <c r="Q3211" s="121">
        <f t="shared" ref="Q3211:Q3258" si="1248">MIN(1,MAX(0,(nr_MEndP-$G3211+0.5)/$C$3208))-MIN(1,MAX(0,(nr_MStartP-1-$G3211+0.5)/$C$3208))</f>
        <v>0</v>
      </c>
      <c r="R3211" s="121">
        <f t="shared" ref="R3211:R3258" si="1249">MIN(1,MAX(0,(nr_MEndP1-$G3211+0.5)/$C$3208))-MIN(1,MAX(0,(nr_MStartP1-1-$G3211+0.5)/$C$3208))</f>
        <v>0</v>
      </c>
      <c r="S3211" s="121" t="str">
        <f t="shared" ref="S3211:S3258" si="1250">IF($L$3208,$N3211*IF($O$3208=1,$O3211/$F$3208,1),"")</f>
        <v/>
      </c>
      <c r="T3211" s="121" t="str">
        <f t="shared" ref="T3211:T3258" si="1251">IF(NOT($L$3208),"",IF($G3211&lt;nr_MStartP,$S3211,$T3199*(1+IF($G3211&lt;nr_MStartP1,$M$3208,$N$3208))))</f>
        <v/>
      </c>
      <c r="U3211" s="121">
        <f t="shared" ref="U3211:U3258" si="1252">IF($L$3208,$T3211,$N3211)</f>
        <v>1</v>
      </c>
    </row>
    <row r="3212" spans="1:21" x14ac:dyDescent="0.3">
      <c r="A3212" s="187">
        <v>2</v>
      </c>
      <c r="B3212" s="242">
        <f t="shared" ref="B3212:B3258" si="1253">EDATE($B3211,1)</f>
        <v>45689</v>
      </c>
      <c r="C3212" s="243">
        <f t="shared" si="1234"/>
        <v>45716</v>
      </c>
      <c r="D3212" s="120">
        <f t="shared" si="1235"/>
        <v>28</v>
      </c>
      <c r="E3212" s="120">
        <f t="shared" si="1236"/>
        <v>2</v>
      </c>
      <c r="F3212" s="275">
        <f t="shared" si="1237"/>
        <v>45703</v>
      </c>
      <c r="G3212" s="120">
        <f t="shared" si="1238"/>
        <v>24301</v>
      </c>
      <c r="H3212" s="245">
        <f t="shared" si="1239"/>
        <v>1</v>
      </c>
      <c r="I3212" s="121">
        <f t="shared" si="1240"/>
        <v>1</v>
      </c>
      <c r="J3212" s="121">
        <f t="shared" si="1241"/>
        <v>1</v>
      </c>
      <c r="K3212" s="120">
        <f t="shared" si="1242"/>
        <v>0</v>
      </c>
      <c r="L3212" s="120">
        <f t="shared" si="1243"/>
        <v>0</v>
      </c>
      <c r="M3212" s="246">
        <f t="shared" si="1244"/>
        <v>0</v>
      </c>
      <c r="N3212" s="121">
        <f t="shared" si="1245"/>
        <v>1</v>
      </c>
      <c r="O3212" s="246">
        <f t="shared" si="1246"/>
        <v>0.88404814004376364</v>
      </c>
      <c r="P3212" s="121">
        <f t="shared" si="1247"/>
        <v>0</v>
      </c>
      <c r="Q3212" s="121">
        <f t="shared" si="1248"/>
        <v>0</v>
      </c>
      <c r="R3212" s="121">
        <f t="shared" si="1249"/>
        <v>0</v>
      </c>
      <c r="S3212" s="121" t="str">
        <f t="shared" si="1250"/>
        <v/>
      </c>
      <c r="T3212" s="121" t="str">
        <f t="shared" si="1251"/>
        <v/>
      </c>
      <c r="U3212" s="121">
        <f t="shared" si="1252"/>
        <v>1</v>
      </c>
    </row>
    <row r="3213" spans="1:21" x14ac:dyDescent="0.3">
      <c r="A3213" s="187">
        <v>3</v>
      </c>
      <c r="B3213" s="242">
        <f t="shared" si="1253"/>
        <v>45717</v>
      </c>
      <c r="C3213" s="243">
        <f t="shared" si="1234"/>
        <v>45747</v>
      </c>
      <c r="D3213" s="120">
        <f t="shared" si="1235"/>
        <v>31</v>
      </c>
      <c r="E3213" s="120">
        <f t="shared" si="1236"/>
        <v>3</v>
      </c>
      <c r="F3213" s="275">
        <f t="shared" si="1237"/>
        <v>45732.5</v>
      </c>
      <c r="G3213" s="120">
        <f t="shared" si="1238"/>
        <v>24302</v>
      </c>
      <c r="H3213" s="245">
        <f t="shared" si="1239"/>
        <v>1</v>
      </c>
      <c r="I3213" s="121">
        <f t="shared" si="1240"/>
        <v>1</v>
      </c>
      <c r="J3213" s="121">
        <f t="shared" si="1241"/>
        <v>1</v>
      </c>
      <c r="K3213" s="120">
        <f t="shared" si="1242"/>
        <v>0</v>
      </c>
      <c r="L3213" s="120">
        <f t="shared" si="1243"/>
        <v>0</v>
      </c>
      <c r="M3213" s="246">
        <f t="shared" si="1244"/>
        <v>0</v>
      </c>
      <c r="N3213" s="121">
        <f t="shared" si="1245"/>
        <v>1</v>
      </c>
      <c r="O3213" s="246">
        <f t="shared" si="1246"/>
        <v>0.88533916849015315</v>
      </c>
      <c r="P3213" s="121">
        <f t="shared" si="1247"/>
        <v>0</v>
      </c>
      <c r="Q3213" s="121">
        <f t="shared" si="1248"/>
        <v>0</v>
      </c>
      <c r="R3213" s="121">
        <f t="shared" si="1249"/>
        <v>0</v>
      </c>
      <c r="S3213" s="121" t="str">
        <f t="shared" si="1250"/>
        <v/>
      </c>
      <c r="T3213" s="121" t="str">
        <f t="shared" si="1251"/>
        <v/>
      </c>
      <c r="U3213" s="121">
        <f t="shared" si="1252"/>
        <v>1</v>
      </c>
    </row>
    <row r="3214" spans="1:21" x14ac:dyDescent="0.3">
      <c r="A3214" s="187">
        <v>4</v>
      </c>
      <c r="B3214" s="242">
        <f t="shared" si="1253"/>
        <v>45748</v>
      </c>
      <c r="C3214" s="243">
        <f t="shared" si="1234"/>
        <v>45777</v>
      </c>
      <c r="D3214" s="120">
        <f t="shared" si="1235"/>
        <v>30</v>
      </c>
      <c r="E3214" s="120">
        <f t="shared" si="1236"/>
        <v>4</v>
      </c>
      <c r="F3214" s="275">
        <f t="shared" si="1237"/>
        <v>45763</v>
      </c>
      <c r="G3214" s="120">
        <f t="shared" si="1238"/>
        <v>24303</v>
      </c>
      <c r="H3214" s="245">
        <f t="shared" si="1239"/>
        <v>1</v>
      </c>
      <c r="I3214" s="121">
        <f t="shared" si="1240"/>
        <v>1</v>
      </c>
      <c r="J3214" s="121">
        <f t="shared" si="1241"/>
        <v>1</v>
      </c>
      <c r="K3214" s="120">
        <f t="shared" si="1242"/>
        <v>0</v>
      </c>
      <c r="L3214" s="120">
        <f t="shared" si="1243"/>
        <v>0</v>
      </c>
      <c r="M3214" s="246">
        <f t="shared" si="1244"/>
        <v>0</v>
      </c>
      <c r="N3214" s="121">
        <f t="shared" si="1245"/>
        <v>1</v>
      </c>
      <c r="O3214" s="246">
        <f t="shared" si="1246"/>
        <v>0.88667396061269144</v>
      </c>
      <c r="P3214" s="121">
        <f t="shared" si="1247"/>
        <v>0</v>
      </c>
      <c r="Q3214" s="121">
        <f t="shared" si="1248"/>
        <v>0</v>
      </c>
      <c r="R3214" s="121">
        <f t="shared" si="1249"/>
        <v>0</v>
      </c>
      <c r="S3214" s="121" t="str">
        <f t="shared" si="1250"/>
        <v/>
      </c>
      <c r="T3214" s="121" t="str">
        <f t="shared" si="1251"/>
        <v/>
      </c>
      <c r="U3214" s="121">
        <f t="shared" si="1252"/>
        <v>1</v>
      </c>
    </row>
    <row r="3215" spans="1:21" x14ac:dyDescent="0.3">
      <c r="A3215" s="187">
        <v>5</v>
      </c>
      <c r="B3215" s="242">
        <f t="shared" si="1253"/>
        <v>45778</v>
      </c>
      <c r="C3215" s="243">
        <f t="shared" si="1234"/>
        <v>45808</v>
      </c>
      <c r="D3215" s="120">
        <f t="shared" si="1235"/>
        <v>31</v>
      </c>
      <c r="E3215" s="120">
        <f t="shared" si="1236"/>
        <v>5</v>
      </c>
      <c r="F3215" s="275">
        <f t="shared" si="1237"/>
        <v>45793.5</v>
      </c>
      <c r="G3215" s="120">
        <f t="shared" si="1238"/>
        <v>24304</v>
      </c>
      <c r="H3215" s="245">
        <f t="shared" si="1239"/>
        <v>1</v>
      </c>
      <c r="I3215" s="121">
        <f t="shared" si="1240"/>
        <v>1</v>
      </c>
      <c r="J3215" s="121">
        <f t="shared" si="1241"/>
        <v>1</v>
      </c>
      <c r="K3215" s="120">
        <f t="shared" si="1242"/>
        <v>0</v>
      </c>
      <c r="L3215" s="120">
        <f t="shared" si="1243"/>
        <v>0</v>
      </c>
      <c r="M3215" s="246">
        <f t="shared" si="1244"/>
        <v>0</v>
      </c>
      <c r="N3215" s="121">
        <f t="shared" si="1245"/>
        <v>1</v>
      </c>
      <c r="O3215" s="246">
        <f t="shared" si="1246"/>
        <v>0.88800875273522972</v>
      </c>
      <c r="P3215" s="121">
        <f t="shared" si="1247"/>
        <v>0</v>
      </c>
      <c r="Q3215" s="121">
        <f t="shared" si="1248"/>
        <v>0</v>
      </c>
      <c r="R3215" s="121">
        <f t="shared" si="1249"/>
        <v>0</v>
      </c>
      <c r="S3215" s="121" t="str">
        <f t="shared" si="1250"/>
        <v/>
      </c>
      <c r="T3215" s="121" t="str">
        <f t="shared" si="1251"/>
        <v/>
      </c>
      <c r="U3215" s="121">
        <f t="shared" si="1252"/>
        <v>1</v>
      </c>
    </row>
    <row r="3216" spans="1:21" x14ac:dyDescent="0.3">
      <c r="A3216" s="187">
        <v>6</v>
      </c>
      <c r="B3216" s="242">
        <f t="shared" si="1253"/>
        <v>45809</v>
      </c>
      <c r="C3216" s="243">
        <f t="shared" si="1234"/>
        <v>45838</v>
      </c>
      <c r="D3216" s="120">
        <f t="shared" si="1235"/>
        <v>30</v>
      </c>
      <c r="E3216" s="120">
        <f t="shared" si="1236"/>
        <v>6</v>
      </c>
      <c r="F3216" s="275">
        <f t="shared" si="1237"/>
        <v>45824</v>
      </c>
      <c r="G3216" s="120">
        <f t="shared" si="1238"/>
        <v>24305</v>
      </c>
      <c r="H3216" s="245">
        <f t="shared" si="1239"/>
        <v>1</v>
      </c>
      <c r="I3216" s="121">
        <f t="shared" si="1240"/>
        <v>1</v>
      </c>
      <c r="J3216" s="121">
        <f t="shared" si="1241"/>
        <v>1</v>
      </c>
      <c r="K3216" s="120">
        <f t="shared" si="1242"/>
        <v>0</v>
      </c>
      <c r="L3216" s="120">
        <f t="shared" si="1243"/>
        <v>0</v>
      </c>
      <c r="M3216" s="246">
        <f t="shared" si="1244"/>
        <v>0</v>
      </c>
      <c r="N3216" s="121">
        <f t="shared" si="1245"/>
        <v>1</v>
      </c>
      <c r="O3216" s="246">
        <f t="shared" si="1246"/>
        <v>0.88934354485776801</v>
      </c>
      <c r="P3216" s="121">
        <f t="shared" si="1247"/>
        <v>0</v>
      </c>
      <c r="Q3216" s="121">
        <f t="shared" si="1248"/>
        <v>0</v>
      </c>
      <c r="R3216" s="121">
        <f t="shared" si="1249"/>
        <v>0</v>
      </c>
      <c r="S3216" s="121" t="str">
        <f t="shared" si="1250"/>
        <v/>
      </c>
      <c r="T3216" s="121" t="str">
        <f t="shared" si="1251"/>
        <v/>
      </c>
      <c r="U3216" s="121">
        <f t="shared" si="1252"/>
        <v>1</v>
      </c>
    </row>
    <row r="3217" spans="1:21" x14ac:dyDescent="0.3">
      <c r="A3217" s="187">
        <v>7</v>
      </c>
      <c r="B3217" s="242">
        <f t="shared" si="1253"/>
        <v>45839</v>
      </c>
      <c r="C3217" s="243">
        <f t="shared" si="1234"/>
        <v>45869</v>
      </c>
      <c r="D3217" s="120">
        <f t="shared" si="1235"/>
        <v>31</v>
      </c>
      <c r="E3217" s="120">
        <f t="shared" si="1236"/>
        <v>7</v>
      </c>
      <c r="F3217" s="275">
        <f t="shared" si="1237"/>
        <v>45854.5</v>
      </c>
      <c r="G3217" s="120">
        <f t="shared" si="1238"/>
        <v>24306</v>
      </c>
      <c r="H3217" s="245">
        <f t="shared" si="1239"/>
        <v>1</v>
      </c>
      <c r="I3217" s="121">
        <f t="shared" si="1240"/>
        <v>1</v>
      </c>
      <c r="J3217" s="121">
        <f t="shared" si="1241"/>
        <v>1</v>
      </c>
      <c r="K3217" s="120">
        <f t="shared" si="1242"/>
        <v>0</v>
      </c>
      <c r="L3217" s="120">
        <f t="shared" si="1243"/>
        <v>0</v>
      </c>
      <c r="M3217" s="246">
        <f t="shared" si="1244"/>
        <v>0</v>
      </c>
      <c r="N3217" s="121">
        <f t="shared" si="1245"/>
        <v>1</v>
      </c>
      <c r="O3217" s="246">
        <f t="shared" si="1246"/>
        <v>0.8906783369803063</v>
      </c>
      <c r="P3217" s="121">
        <f t="shared" si="1247"/>
        <v>8.333333333333337E-2</v>
      </c>
      <c r="Q3217" s="121">
        <f t="shared" si="1248"/>
        <v>0</v>
      </c>
      <c r="R3217" s="121">
        <f t="shared" si="1249"/>
        <v>0</v>
      </c>
      <c r="S3217" s="121" t="str">
        <f t="shared" si="1250"/>
        <v/>
      </c>
      <c r="T3217" s="121" t="str">
        <f t="shared" si="1251"/>
        <v/>
      </c>
      <c r="U3217" s="121">
        <f t="shared" si="1252"/>
        <v>1</v>
      </c>
    </row>
    <row r="3218" spans="1:21" x14ac:dyDescent="0.3">
      <c r="A3218" s="187">
        <v>8</v>
      </c>
      <c r="B3218" s="242">
        <f t="shared" si="1253"/>
        <v>45870</v>
      </c>
      <c r="C3218" s="243">
        <f t="shared" si="1234"/>
        <v>45900</v>
      </c>
      <c r="D3218" s="120">
        <f t="shared" si="1235"/>
        <v>31</v>
      </c>
      <c r="E3218" s="120">
        <f t="shared" si="1236"/>
        <v>8</v>
      </c>
      <c r="F3218" s="275">
        <f t="shared" si="1237"/>
        <v>45885.5</v>
      </c>
      <c r="G3218" s="120">
        <f t="shared" si="1238"/>
        <v>24307</v>
      </c>
      <c r="H3218" s="245">
        <f t="shared" si="1239"/>
        <v>1</v>
      </c>
      <c r="I3218" s="121">
        <f t="shared" si="1240"/>
        <v>1</v>
      </c>
      <c r="J3218" s="121">
        <f t="shared" si="1241"/>
        <v>1</v>
      </c>
      <c r="K3218" s="120">
        <f t="shared" si="1242"/>
        <v>0</v>
      </c>
      <c r="L3218" s="120">
        <f t="shared" si="1243"/>
        <v>0</v>
      </c>
      <c r="M3218" s="246">
        <f t="shared" si="1244"/>
        <v>0</v>
      </c>
      <c r="N3218" s="121">
        <f t="shared" si="1245"/>
        <v>1</v>
      </c>
      <c r="O3218" s="246">
        <f t="shared" si="1246"/>
        <v>0.89203501094091897</v>
      </c>
      <c r="P3218" s="121">
        <f t="shared" si="1247"/>
        <v>0.25</v>
      </c>
      <c r="Q3218" s="121">
        <f t="shared" si="1248"/>
        <v>0</v>
      </c>
      <c r="R3218" s="121">
        <f t="shared" si="1249"/>
        <v>0</v>
      </c>
      <c r="S3218" s="121" t="str">
        <f t="shared" si="1250"/>
        <v/>
      </c>
      <c r="T3218" s="121" t="str">
        <f t="shared" si="1251"/>
        <v/>
      </c>
      <c r="U3218" s="121">
        <f t="shared" si="1252"/>
        <v>1</v>
      </c>
    </row>
    <row r="3219" spans="1:21" x14ac:dyDescent="0.3">
      <c r="A3219" s="187">
        <v>9</v>
      </c>
      <c r="B3219" s="242">
        <f t="shared" si="1253"/>
        <v>45901</v>
      </c>
      <c r="C3219" s="243">
        <f t="shared" si="1234"/>
        <v>45930</v>
      </c>
      <c r="D3219" s="120">
        <f t="shared" si="1235"/>
        <v>30</v>
      </c>
      <c r="E3219" s="120">
        <f t="shared" si="1236"/>
        <v>9</v>
      </c>
      <c r="F3219" s="275">
        <f t="shared" si="1237"/>
        <v>45916</v>
      </c>
      <c r="G3219" s="120">
        <f t="shared" si="1238"/>
        <v>24308</v>
      </c>
      <c r="H3219" s="245">
        <f t="shared" si="1239"/>
        <v>1</v>
      </c>
      <c r="I3219" s="121">
        <f t="shared" si="1240"/>
        <v>1</v>
      </c>
      <c r="J3219" s="121">
        <f t="shared" si="1241"/>
        <v>1</v>
      </c>
      <c r="K3219" s="120">
        <f t="shared" si="1242"/>
        <v>0</v>
      </c>
      <c r="L3219" s="120">
        <f t="shared" si="1243"/>
        <v>0</v>
      </c>
      <c r="M3219" s="246">
        <f t="shared" si="1244"/>
        <v>0</v>
      </c>
      <c r="N3219" s="121">
        <f t="shared" si="1245"/>
        <v>1</v>
      </c>
      <c r="O3219" s="246">
        <f t="shared" si="1246"/>
        <v>0.89336980306345726</v>
      </c>
      <c r="P3219" s="121">
        <f t="shared" si="1247"/>
        <v>0.41666666666666663</v>
      </c>
      <c r="Q3219" s="121">
        <f t="shared" si="1248"/>
        <v>0</v>
      </c>
      <c r="R3219" s="121">
        <f t="shared" si="1249"/>
        <v>0</v>
      </c>
      <c r="S3219" s="121" t="str">
        <f t="shared" si="1250"/>
        <v/>
      </c>
      <c r="T3219" s="121" t="str">
        <f t="shared" si="1251"/>
        <v/>
      </c>
      <c r="U3219" s="121">
        <f t="shared" si="1252"/>
        <v>1</v>
      </c>
    </row>
    <row r="3220" spans="1:21" x14ac:dyDescent="0.3">
      <c r="A3220" s="187">
        <v>10</v>
      </c>
      <c r="B3220" s="242">
        <f t="shared" si="1253"/>
        <v>45931</v>
      </c>
      <c r="C3220" s="243">
        <f t="shared" si="1234"/>
        <v>45961</v>
      </c>
      <c r="D3220" s="120">
        <f t="shared" si="1235"/>
        <v>31</v>
      </c>
      <c r="E3220" s="120">
        <f t="shared" si="1236"/>
        <v>10</v>
      </c>
      <c r="F3220" s="275">
        <f t="shared" si="1237"/>
        <v>45946.5</v>
      </c>
      <c r="G3220" s="120">
        <f t="shared" si="1238"/>
        <v>24309</v>
      </c>
      <c r="H3220" s="245">
        <f t="shared" si="1239"/>
        <v>1</v>
      </c>
      <c r="I3220" s="121">
        <f t="shared" si="1240"/>
        <v>1</v>
      </c>
      <c r="J3220" s="121">
        <f t="shared" si="1241"/>
        <v>1</v>
      </c>
      <c r="K3220" s="120">
        <f t="shared" si="1242"/>
        <v>0</v>
      </c>
      <c r="L3220" s="120">
        <f t="shared" si="1243"/>
        <v>0</v>
      </c>
      <c r="M3220" s="246">
        <f t="shared" si="1244"/>
        <v>0</v>
      </c>
      <c r="N3220" s="121">
        <f t="shared" si="1245"/>
        <v>1</v>
      </c>
      <c r="O3220" s="246">
        <f t="shared" si="1246"/>
        <v>0.89470459518599565</v>
      </c>
      <c r="P3220" s="121">
        <f t="shared" si="1247"/>
        <v>0.58333333333333326</v>
      </c>
      <c r="Q3220" s="121">
        <f t="shared" si="1248"/>
        <v>0</v>
      </c>
      <c r="R3220" s="121">
        <f t="shared" si="1249"/>
        <v>0</v>
      </c>
      <c r="S3220" s="121" t="str">
        <f t="shared" si="1250"/>
        <v/>
      </c>
      <c r="T3220" s="121" t="str">
        <f t="shared" si="1251"/>
        <v/>
      </c>
      <c r="U3220" s="121">
        <f t="shared" si="1252"/>
        <v>1</v>
      </c>
    </row>
    <row r="3221" spans="1:21" x14ac:dyDescent="0.3">
      <c r="A3221" s="187">
        <v>11</v>
      </c>
      <c r="B3221" s="242">
        <f t="shared" si="1253"/>
        <v>45962</v>
      </c>
      <c r="C3221" s="243">
        <f t="shared" si="1234"/>
        <v>45991</v>
      </c>
      <c r="D3221" s="120">
        <f t="shared" si="1235"/>
        <v>30</v>
      </c>
      <c r="E3221" s="120">
        <f t="shared" si="1236"/>
        <v>11</v>
      </c>
      <c r="F3221" s="275">
        <f t="shared" si="1237"/>
        <v>45977</v>
      </c>
      <c r="G3221" s="120">
        <f t="shared" si="1238"/>
        <v>24310</v>
      </c>
      <c r="H3221" s="245">
        <f t="shared" si="1239"/>
        <v>1</v>
      </c>
      <c r="I3221" s="121">
        <f t="shared" si="1240"/>
        <v>1</v>
      </c>
      <c r="J3221" s="121">
        <f t="shared" si="1241"/>
        <v>1</v>
      </c>
      <c r="K3221" s="120">
        <f t="shared" si="1242"/>
        <v>0</v>
      </c>
      <c r="L3221" s="120">
        <f t="shared" si="1243"/>
        <v>0</v>
      </c>
      <c r="M3221" s="246">
        <f t="shared" si="1244"/>
        <v>0</v>
      </c>
      <c r="N3221" s="121">
        <f t="shared" si="1245"/>
        <v>1</v>
      </c>
      <c r="O3221" s="246">
        <f t="shared" si="1246"/>
        <v>0.89603938730853394</v>
      </c>
      <c r="P3221" s="121">
        <f t="shared" si="1247"/>
        <v>0.75</v>
      </c>
      <c r="Q3221" s="121">
        <f t="shared" si="1248"/>
        <v>0</v>
      </c>
      <c r="R3221" s="121">
        <f t="shared" si="1249"/>
        <v>0</v>
      </c>
      <c r="S3221" s="121" t="str">
        <f t="shared" si="1250"/>
        <v/>
      </c>
      <c r="T3221" s="121" t="str">
        <f t="shared" si="1251"/>
        <v/>
      </c>
      <c r="U3221" s="121">
        <f t="shared" si="1252"/>
        <v>1</v>
      </c>
    </row>
    <row r="3222" spans="1:21" x14ac:dyDescent="0.3">
      <c r="A3222" s="187">
        <v>12</v>
      </c>
      <c r="B3222" s="242">
        <f t="shared" si="1253"/>
        <v>45992</v>
      </c>
      <c r="C3222" s="243">
        <f t="shared" si="1234"/>
        <v>46022</v>
      </c>
      <c r="D3222" s="120">
        <f t="shared" si="1235"/>
        <v>31</v>
      </c>
      <c r="E3222" s="120">
        <f t="shared" si="1236"/>
        <v>12</v>
      </c>
      <c r="F3222" s="275">
        <f t="shared" si="1237"/>
        <v>46007.5</v>
      </c>
      <c r="G3222" s="120">
        <f t="shared" si="1238"/>
        <v>24311</v>
      </c>
      <c r="H3222" s="245">
        <f t="shared" si="1239"/>
        <v>1</v>
      </c>
      <c r="I3222" s="121">
        <f t="shared" si="1240"/>
        <v>1</v>
      </c>
      <c r="J3222" s="121">
        <f t="shared" si="1241"/>
        <v>1</v>
      </c>
      <c r="K3222" s="120">
        <f t="shared" si="1242"/>
        <v>0</v>
      </c>
      <c r="L3222" s="120">
        <f t="shared" si="1243"/>
        <v>0</v>
      </c>
      <c r="M3222" s="246">
        <f t="shared" si="1244"/>
        <v>0</v>
      </c>
      <c r="N3222" s="121">
        <f t="shared" si="1245"/>
        <v>1</v>
      </c>
      <c r="O3222" s="246">
        <f t="shared" si="1246"/>
        <v>0.89737417943107223</v>
      </c>
      <c r="P3222" s="121">
        <f t="shared" si="1247"/>
        <v>0.91666666666666663</v>
      </c>
      <c r="Q3222" s="121">
        <f t="shared" si="1248"/>
        <v>0</v>
      </c>
      <c r="R3222" s="121">
        <f t="shared" si="1249"/>
        <v>0</v>
      </c>
      <c r="S3222" s="121" t="str">
        <f t="shared" si="1250"/>
        <v/>
      </c>
      <c r="T3222" s="121" t="str">
        <f t="shared" si="1251"/>
        <v/>
      </c>
      <c r="U3222" s="121">
        <f t="shared" si="1252"/>
        <v>1</v>
      </c>
    </row>
    <row r="3223" spans="1:21" x14ac:dyDescent="0.3">
      <c r="A3223" s="187">
        <v>13</v>
      </c>
      <c r="B3223" s="242">
        <f t="shared" si="1253"/>
        <v>46023</v>
      </c>
      <c r="C3223" s="243">
        <f t="shared" si="1234"/>
        <v>46053</v>
      </c>
      <c r="D3223" s="120">
        <f t="shared" si="1235"/>
        <v>31</v>
      </c>
      <c r="E3223" s="120">
        <f t="shared" si="1236"/>
        <v>1</v>
      </c>
      <c r="F3223" s="275">
        <f t="shared" si="1237"/>
        <v>46038.5</v>
      </c>
      <c r="G3223" s="120">
        <f t="shared" si="1238"/>
        <v>24312</v>
      </c>
      <c r="H3223" s="245">
        <f t="shared" si="1239"/>
        <v>1</v>
      </c>
      <c r="I3223" s="121">
        <f t="shared" si="1240"/>
        <v>1</v>
      </c>
      <c r="J3223" s="121">
        <f t="shared" si="1241"/>
        <v>1</v>
      </c>
      <c r="K3223" s="120">
        <f t="shared" si="1242"/>
        <v>0</v>
      </c>
      <c r="L3223" s="120">
        <f t="shared" si="1243"/>
        <v>0</v>
      </c>
      <c r="M3223" s="246">
        <f t="shared" si="1244"/>
        <v>0</v>
      </c>
      <c r="N3223" s="121">
        <f t="shared" si="1245"/>
        <v>1</v>
      </c>
      <c r="O3223" s="246">
        <f t="shared" si="1246"/>
        <v>0.8987308533916849</v>
      </c>
      <c r="P3223" s="121">
        <f t="shared" si="1247"/>
        <v>1</v>
      </c>
      <c r="Q3223" s="121">
        <f t="shared" si="1248"/>
        <v>0</v>
      </c>
      <c r="R3223" s="121">
        <f t="shared" si="1249"/>
        <v>0</v>
      </c>
      <c r="S3223" s="121" t="str">
        <f t="shared" si="1250"/>
        <v/>
      </c>
      <c r="T3223" s="121" t="str">
        <f t="shared" si="1251"/>
        <v/>
      </c>
      <c r="U3223" s="121">
        <f t="shared" si="1252"/>
        <v>1</v>
      </c>
    </row>
    <row r="3224" spans="1:21" x14ac:dyDescent="0.3">
      <c r="A3224" s="187">
        <v>14</v>
      </c>
      <c r="B3224" s="242">
        <f t="shared" si="1253"/>
        <v>46054</v>
      </c>
      <c r="C3224" s="243">
        <f t="shared" si="1234"/>
        <v>46081</v>
      </c>
      <c r="D3224" s="120">
        <f t="shared" si="1235"/>
        <v>28</v>
      </c>
      <c r="E3224" s="120">
        <f t="shared" si="1236"/>
        <v>2</v>
      </c>
      <c r="F3224" s="275">
        <f t="shared" si="1237"/>
        <v>46068</v>
      </c>
      <c r="G3224" s="120">
        <f t="shared" si="1238"/>
        <v>24313</v>
      </c>
      <c r="H3224" s="245">
        <f t="shared" si="1239"/>
        <v>1</v>
      </c>
      <c r="I3224" s="121">
        <f t="shared" si="1240"/>
        <v>1</v>
      </c>
      <c r="J3224" s="121">
        <f t="shared" si="1241"/>
        <v>1</v>
      </c>
      <c r="K3224" s="120">
        <f t="shared" si="1242"/>
        <v>0</v>
      </c>
      <c r="L3224" s="120">
        <f t="shared" si="1243"/>
        <v>0</v>
      </c>
      <c r="M3224" s="246">
        <f t="shared" si="1244"/>
        <v>0</v>
      </c>
      <c r="N3224" s="121">
        <f t="shared" si="1245"/>
        <v>1</v>
      </c>
      <c r="O3224" s="246">
        <f t="shared" si="1246"/>
        <v>0.90002188183807441</v>
      </c>
      <c r="P3224" s="121">
        <f t="shared" si="1247"/>
        <v>1</v>
      </c>
      <c r="Q3224" s="121">
        <f t="shared" si="1248"/>
        <v>0</v>
      </c>
      <c r="R3224" s="121">
        <f t="shared" si="1249"/>
        <v>0</v>
      </c>
      <c r="S3224" s="121" t="str">
        <f t="shared" si="1250"/>
        <v/>
      </c>
      <c r="T3224" s="121" t="str">
        <f t="shared" si="1251"/>
        <v/>
      </c>
      <c r="U3224" s="121">
        <f t="shared" si="1252"/>
        <v>1</v>
      </c>
    </row>
    <row r="3225" spans="1:21" x14ac:dyDescent="0.3">
      <c r="A3225" s="187">
        <v>15</v>
      </c>
      <c r="B3225" s="242">
        <f t="shared" si="1253"/>
        <v>46082</v>
      </c>
      <c r="C3225" s="243">
        <f t="shared" si="1234"/>
        <v>46112</v>
      </c>
      <c r="D3225" s="120">
        <f t="shared" si="1235"/>
        <v>31</v>
      </c>
      <c r="E3225" s="120">
        <f t="shared" si="1236"/>
        <v>3</v>
      </c>
      <c r="F3225" s="275">
        <f t="shared" si="1237"/>
        <v>46097.5</v>
      </c>
      <c r="G3225" s="120">
        <f t="shared" si="1238"/>
        <v>24314</v>
      </c>
      <c r="H3225" s="245">
        <f t="shared" si="1239"/>
        <v>1</v>
      </c>
      <c r="I3225" s="121">
        <f t="shared" si="1240"/>
        <v>1</v>
      </c>
      <c r="J3225" s="121">
        <f t="shared" si="1241"/>
        <v>1</v>
      </c>
      <c r="K3225" s="120">
        <f t="shared" si="1242"/>
        <v>0</v>
      </c>
      <c r="L3225" s="120">
        <f t="shared" si="1243"/>
        <v>0</v>
      </c>
      <c r="M3225" s="246">
        <f t="shared" si="1244"/>
        <v>0</v>
      </c>
      <c r="N3225" s="121">
        <f t="shared" si="1245"/>
        <v>1</v>
      </c>
      <c r="O3225" s="246">
        <f t="shared" si="1246"/>
        <v>0.90131291028446392</v>
      </c>
      <c r="P3225" s="121">
        <f t="shared" si="1247"/>
        <v>1</v>
      </c>
      <c r="Q3225" s="121">
        <f t="shared" si="1248"/>
        <v>0</v>
      </c>
      <c r="R3225" s="121">
        <f t="shared" si="1249"/>
        <v>0</v>
      </c>
      <c r="S3225" s="121" t="str">
        <f t="shared" si="1250"/>
        <v/>
      </c>
      <c r="T3225" s="121" t="str">
        <f t="shared" si="1251"/>
        <v/>
      </c>
      <c r="U3225" s="121">
        <f t="shared" si="1252"/>
        <v>1</v>
      </c>
    </row>
    <row r="3226" spans="1:21" x14ac:dyDescent="0.3">
      <c r="A3226" s="187">
        <v>16</v>
      </c>
      <c r="B3226" s="242">
        <f t="shared" si="1253"/>
        <v>46113</v>
      </c>
      <c r="C3226" s="243">
        <f t="shared" si="1234"/>
        <v>46142</v>
      </c>
      <c r="D3226" s="120">
        <f t="shared" si="1235"/>
        <v>30</v>
      </c>
      <c r="E3226" s="120">
        <f t="shared" si="1236"/>
        <v>4</v>
      </c>
      <c r="F3226" s="275">
        <f t="shared" si="1237"/>
        <v>46128</v>
      </c>
      <c r="G3226" s="120">
        <f t="shared" si="1238"/>
        <v>24315</v>
      </c>
      <c r="H3226" s="245">
        <f t="shared" si="1239"/>
        <v>1</v>
      </c>
      <c r="I3226" s="121">
        <f t="shared" si="1240"/>
        <v>1</v>
      </c>
      <c r="J3226" s="121">
        <f t="shared" si="1241"/>
        <v>1</v>
      </c>
      <c r="K3226" s="120">
        <f t="shared" si="1242"/>
        <v>0</v>
      </c>
      <c r="L3226" s="120">
        <f t="shared" si="1243"/>
        <v>0</v>
      </c>
      <c r="M3226" s="246">
        <f t="shared" si="1244"/>
        <v>0</v>
      </c>
      <c r="N3226" s="121">
        <f t="shared" si="1245"/>
        <v>1</v>
      </c>
      <c r="O3226" s="246">
        <f t="shared" si="1246"/>
        <v>0.90264770240700221</v>
      </c>
      <c r="P3226" s="121">
        <f t="shared" si="1247"/>
        <v>1</v>
      </c>
      <c r="Q3226" s="121">
        <f t="shared" si="1248"/>
        <v>0</v>
      </c>
      <c r="R3226" s="121">
        <f t="shared" si="1249"/>
        <v>0</v>
      </c>
      <c r="S3226" s="121" t="str">
        <f t="shared" si="1250"/>
        <v/>
      </c>
      <c r="T3226" s="121" t="str">
        <f t="shared" si="1251"/>
        <v/>
      </c>
      <c r="U3226" s="121">
        <f t="shared" si="1252"/>
        <v>1</v>
      </c>
    </row>
    <row r="3227" spans="1:21" x14ac:dyDescent="0.3">
      <c r="A3227" s="187">
        <v>17</v>
      </c>
      <c r="B3227" s="242">
        <f t="shared" si="1253"/>
        <v>46143</v>
      </c>
      <c r="C3227" s="243">
        <f t="shared" si="1234"/>
        <v>46173</v>
      </c>
      <c r="D3227" s="120">
        <f t="shared" si="1235"/>
        <v>31</v>
      </c>
      <c r="E3227" s="120">
        <f t="shared" si="1236"/>
        <v>5</v>
      </c>
      <c r="F3227" s="275">
        <f t="shared" si="1237"/>
        <v>46158.5</v>
      </c>
      <c r="G3227" s="120">
        <f t="shared" si="1238"/>
        <v>24316</v>
      </c>
      <c r="H3227" s="245">
        <f t="shared" si="1239"/>
        <v>1</v>
      </c>
      <c r="I3227" s="121">
        <f t="shared" si="1240"/>
        <v>1</v>
      </c>
      <c r="J3227" s="121">
        <f t="shared" si="1241"/>
        <v>1</v>
      </c>
      <c r="K3227" s="120">
        <f t="shared" si="1242"/>
        <v>0</v>
      </c>
      <c r="L3227" s="120">
        <f t="shared" si="1243"/>
        <v>0</v>
      </c>
      <c r="M3227" s="246">
        <f t="shared" si="1244"/>
        <v>0</v>
      </c>
      <c r="N3227" s="121">
        <f t="shared" si="1245"/>
        <v>1</v>
      </c>
      <c r="O3227" s="246">
        <f t="shared" si="1246"/>
        <v>0.90398249452954049</v>
      </c>
      <c r="P3227" s="121">
        <f t="shared" si="1247"/>
        <v>1</v>
      </c>
      <c r="Q3227" s="121">
        <f t="shared" si="1248"/>
        <v>0</v>
      </c>
      <c r="R3227" s="121">
        <f t="shared" si="1249"/>
        <v>0</v>
      </c>
      <c r="S3227" s="121" t="str">
        <f t="shared" si="1250"/>
        <v/>
      </c>
      <c r="T3227" s="121" t="str">
        <f t="shared" si="1251"/>
        <v/>
      </c>
      <c r="U3227" s="121">
        <f t="shared" si="1252"/>
        <v>1</v>
      </c>
    </row>
    <row r="3228" spans="1:21" x14ac:dyDescent="0.3">
      <c r="A3228" s="187">
        <v>18</v>
      </c>
      <c r="B3228" s="242">
        <f t="shared" si="1253"/>
        <v>46174</v>
      </c>
      <c r="C3228" s="243">
        <f t="shared" si="1234"/>
        <v>46203</v>
      </c>
      <c r="D3228" s="120">
        <f t="shared" si="1235"/>
        <v>30</v>
      </c>
      <c r="E3228" s="120">
        <f t="shared" si="1236"/>
        <v>6</v>
      </c>
      <c r="F3228" s="275">
        <f t="shared" si="1237"/>
        <v>46189</v>
      </c>
      <c r="G3228" s="120">
        <f t="shared" si="1238"/>
        <v>24317</v>
      </c>
      <c r="H3228" s="245">
        <f t="shared" si="1239"/>
        <v>1</v>
      </c>
      <c r="I3228" s="121">
        <f t="shared" si="1240"/>
        <v>1</v>
      </c>
      <c r="J3228" s="121">
        <f t="shared" si="1241"/>
        <v>1</v>
      </c>
      <c r="K3228" s="120">
        <f t="shared" si="1242"/>
        <v>0</v>
      </c>
      <c r="L3228" s="120">
        <f t="shared" si="1243"/>
        <v>0</v>
      </c>
      <c r="M3228" s="246">
        <f t="shared" si="1244"/>
        <v>0</v>
      </c>
      <c r="N3228" s="121">
        <f t="shared" si="1245"/>
        <v>1</v>
      </c>
      <c r="O3228" s="246">
        <f t="shared" si="1246"/>
        <v>0.90531728665207878</v>
      </c>
      <c r="P3228" s="121">
        <f t="shared" si="1247"/>
        <v>1</v>
      </c>
      <c r="Q3228" s="121">
        <f t="shared" si="1248"/>
        <v>0</v>
      </c>
      <c r="R3228" s="121">
        <f t="shared" si="1249"/>
        <v>0</v>
      </c>
      <c r="S3228" s="121" t="str">
        <f t="shared" si="1250"/>
        <v/>
      </c>
      <c r="T3228" s="121" t="str">
        <f t="shared" si="1251"/>
        <v/>
      </c>
      <c r="U3228" s="121">
        <f t="shared" si="1252"/>
        <v>1</v>
      </c>
    </row>
    <row r="3229" spans="1:21" x14ac:dyDescent="0.3">
      <c r="A3229" s="187">
        <v>19</v>
      </c>
      <c r="B3229" s="242">
        <f t="shared" si="1253"/>
        <v>46204</v>
      </c>
      <c r="C3229" s="243">
        <f t="shared" si="1234"/>
        <v>46234</v>
      </c>
      <c r="D3229" s="120">
        <f t="shared" si="1235"/>
        <v>31</v>
      </c>
      <c r="E3229" s="120">
        <f t="shared" si="1236"/>
        <v>7</v>
      </c>
      <c r="F3229" s="275">
        <f t="shared" si="1237"/>
        <v>46219.5</v>
      </c>
      <c r="G3229" s="120">
        <f t="shared" si="1238"/>
        <v>24318</v>
      </c>
      <c r="H3229" s="245">
        <f t="shared" si="1239"/>
        <v>1</v>
      </c>
      <c r="I3229" s="121">
        <f t="shared" si="1240"/>
        <v>1</v>
      </c>
      <c r="J3229" s="121">
        <f t="shared" si="1241"/>
        <v>1</v>
      </c>
      <c r="K3229" s="120">
        <f t="shared" si="1242"/>
        <v>0</v>
      </c>
      <c r="L3229" s="120">
        <f t="shared" si="1243"/>
        <v>0</v>
      </c>
      <c r="M3229" s="246">
        <f t="shared" si="1244"/>
        <v>0</v>
      </c>
      <c r="N3229" s="121">
        <f t="shared" si="1245"/>
        <v>1</v>
      </c>
      <c r="O3229" s="246">
        <f t="shared" si="1246"/>
        <v>0.90665207877461707</v>
      </c>
      <c r="P3229" s="121">
        <f t="shared" si="1247"/>
        <v>0.91666666666666663</v>
      </c>
      <c r="Q3229" s="121">
        <f t="shared" si="1248"/>
        <v>8.333333333333337E-2</v>
      </c>
      <c r="R3229" s="121">
        <f t="shared" si="1249"/>
        <v>0</v>
      </c>
      <c r="S3229" s="121" t="str">
        <f t="shared" si="1250"/>
        <v/>
      </c>
      <c r="T3229" s="121" t="str">
        <f t="shared" si="1251"/>
        <v/>
      </c>
      <c r="U3229" s="121">
        <f t="shared" si="1252"/>
        <v>1</v>
      </c>
    </row>
    <row r="3230" spans="1:21" x14ac:dyDescent="0.3">
      <c r="A3230" s="187">
        <v>20</v>
      </c>
      <c r="B3230" s="242">
        <f t="shared" si="1253"/>
        <v>46235</v>
      </c>
      <c r="C3230" s="243">
        <f t="shared" si="1234"/>
        <v>46265</v>
      </c>
      <c r="D3230" s="120">
        <f t="shared" si="1235"/>
        <v>31</v>
      </c>
      <c r="E3230" s="120">
        <f t="shared" si="1236"/>
        <v>8</v>
      </c>
      <c r="F3230" s="275">
        <f t="shared" si="1237"/>
        <v>46250.5</v>
      </c>
      <c r="G3230" s="120">
        <f t="shared" si="1238"/>
        <v>24319</v>
      </c>
      <c r="H3230" s="245">
        <f t="shared" si="1239"/>
        <v>1</v>
      </c>
      <c r="I3230" s="121">
        <f t="shared" si="1240"/>
        <v>1</v>
      </c>
      <c r="J3230" s="121">
        <f t="shared" si="1241"/>
        <v>1</v>
      </c>
      <c r="K3230" s="120">
        <f t="shared" si="1242"/>
        <v>0</v>
      </c>
      <c r="L3230" s="120">
        <f t="shared" si="1243"/>
        <v>0</v>
      </c>
      <c r="M3230" s="246">
        <f t="shared" si="1244"/>
        <v>0</v>
      </c>
      <c r="N3230" s="121">
        <f t="shared" si="1245"/>
        <v>1</v>
      </c>
      <c r="O3230" s="246">
        <f t="shared" si="1246"/>
        <v>0.90800875273522974</v>
      </c>
      <c r="P3230" s="121">
        <f t="shared" si="1247"/>
        <v>0.75</v>
      </c>
      <c r="Q3230" s="121">
        <f t="shared" si="1248"/>
        <v>0.25</v>
      </c>
      <c r="R3230" s="121">
        <f t="shared" si="1249"/>
        <v>0</v>
      </c>
      <c r="S3230" s="121" t="str">
        <f t="shared" si="1250"/>
        <v/>
      </c>
      <c r="T3230" s="121" t="str">
        <f t="shared" si="1251"/>
        <v/>
      </c>
      <c r="U3230" s="121">
        <f t="shared" si="1252"/>
        <v>1</v>
      </c>
    </row>
    <row r="3231" spans="1:21" x14ac:dyDescent="0.3">
      <c r="A3231" s="187">
        <v>21</v>
      </c>
      <c r="B3231" s="242">
        <f t="shared" si="1253"/>
        <v>46266</v>
      </c>
      <c r="C3231" s="243">
        <f t="shared" si="1234"/>
        <v>46295</v>
      </c>
      <c r="D3231" s="120">
        <f t="shared" si="1235"/>
        <v>30</v>
      </c>
      <c r="E3231" s="120">
        <f t="shared" si="1236"/>
        <v>9</v>
      </c>
      <c r="F3231" s="275">
        <f t="shared" si="1237"/>
        <v>46281</v>
      </c>
      <c r="G3231" s="120">
        <f t="shared" si="1238"/>
        <v>24320</v>
      </c>
      <c r="H3231" s="245">
        <f t="shared" si="1239"/>
        <v>1</v>
      </c>
      <c r="I3231" s="121">
        <f t="shared" si="1240"/>
        <v>1</v>
      </c>
      <c r="J3231" s="121">
        <f t="shared" si="1241"/>
        <v>1</v>
      </c>
      <c r="K3231" s="120">
        <f t="shared" si="1242"/>
        <v>0</v>
      </c>
      <c r="L3231" s="120">
        <f t="shared" si="1243"/>
        <v>0</v>
      </c>
      <c r="M3231" s="246">
        <f t="shared" si="1244"/>
        <v>0</v>
      </c>
      <c r="N3231" s="121">
        <f t="shared" si="1245"/>
        <v>1</v>
      </c>
      <c r="O3231" s="246">
        <f t="shared" si="1246"/>
        <v>0.90934354485776803</v>
      </c>
      <c r="P3231" s="121">
        <f t="shared" si="1247"/>
        <v>0.58333333333333337</v>
      </c>
      <c r="Q3231" s="121">
        <f t="shared" si="1248"/>
        <v>0.41666666666666663</v>
      </c>
      <c r="R3231" s="121">
        <f t="shared" si="1249"/>
        <v>0</v>
      </c>
      <c r="S3231" s="121" t="str">
        <f t="shared" si="1250"/>
        <v/>
      </c>
      <c r="T3231" s="121" t="str">
        <f t="shared" si="1251"/>
        <v/>
      </c>
      <c r="U3231" s="121">
        <f t="shared" si="1252"/>
        <v>1</v>
      </c>
    </row>
    <row r="3232" spans="1:21" x14ac:dyDescent="0.3">
      <c r="A3232" s="187">
        <v>22</v>
      </c>
      <c r="B3232" s="242">
        <f t="shared" si="1253"/>
        <v>46296</v>
      </c>
      <c r="C3232" s="243">
        <f t="shared" si="1234"/>
        <v>46326</v>
      </c>
      <c r="D3232" s="120">
        <f t="shared" si="1235"/>
        <v>31</v>
      </c>
      <c r="E3232" s="120">
        <f t="shared" si="1236"/>
        <v>10</v>
      </c>
      <c r="F3232" s="275">
        <f t="shared" si="1237"/>
        <v>46311.5</v>
      </c>
      <c r="G3232" s="120">
        <f t="shared" si="1238"/>
        <v>24321</v>
      </c>
      <c r="H3232" s="245">
        <f t="shared" si="1239"/>
        <v>1</v>
      </c>
      <c r="I3232" s="121">
        <f t="shared" si="1240"/>
        <v>1</v>
      </c>
      <c r="J3232" s="121">
        <f t="shared" si="1241"/>
        <v>1</v>
      </c>
      <c r="K3232" s="120">
        <f t="shared" si="1242"/>
        <v>0</v>
      </c>
      <c r="L3232" s="120">
        <f t="shared" si="1243"/>
        <v>0</v>
      </c>
      <c r="M3232" s="246">
        <f t="shared" si="1244"/>
        <v>0</v>
      </c>
      <c r="N3232" s="121">
        <f t="shared" si="1245"/>
        <v>1</v>
      </c>
      <c r="O3232" s="246">
        <f t="shared" si="1246"/>
        <v>0.91067833698030642</v>
      </c>
      <c r="P3232" s="121">
        <f t="shared" si="1247"/>
        <v>0.41666666666666669</v>
      </c>
      <c r="Q3232" s="121">
        <f t="shared" si="1248"/>
        <v>0.58333333333333326</v>
      </c>
      <c r="R3232" s="121">
        <f t="shared" si="1249"/>
        <v>0</v>
      </c>
      <c r="S3232" s="121" t="str">
        <f t="shared" si="1250"/>
        <v/>
      </c>
      <c r="T3232" s="121" t="str">
        <f t="shared" si="1251"/>
        <v/>
      </c>
      <c r="U3232" s="121">
        <f t="shared" si="1252"/>
        <v>1</v>
      </c>
    </row>
    <row r="3233" spans="1:21" x14ac:dyDescent="0.3">
      <c r="A3233" s="187">
        <v>23</v>
      </c>
      <c r="B3233" s="242">
        <f t="shared" si="1253"/>
        <v>46327</v>
      </c>
      <c r="C3233" s="243">
        <f t="shared" si="1234"/>
        <v>46356</v>
      </c>
      <c r="D3233" s="120">
        <f t="shared" si="1235"/>
        <v>30</v>
      </c>
      <c r="E3233" s="120">
        <f t="shared" si="1236"/>
        <v>11</v>
      </c>
      <c r="F3233" s="275">
        <f t="shared" si="1237"/>
        <v>46342</v>
      </c>
      <c r="G3233" s="120">
        <f t="shared" si="1238"/>
        <v>24322</v>
      </c>
      <c r="H3233" s="245">
        <f t="shared" si="1239"/>
        <v>1</v>
      </c>
      <c r="I3233" s="121">
        <f t="shared" si="1240"/>
        <v>1</v>
      </c>
      <c r="J3233" s="121">
        <f t="shared" si="1241"/>
        <v>1.05</v>
      </c>
      <c r="K3233" s="120">
        <f t="shared" si="1242"/>
        <v>1</v>
      </c>
      <c r="L3233" s="120">
        <f t="shared" si="1243"/>
        <v>30</v>
      </c>
      <c r="M3233" s="246">
        <f t="shared" si="1244"/>
        <v>1</v>
      </c>
      <c r="N3233" s="121">
        <f t="shared" si="1245"/>
        <v>1.05</v>
      </c>
      <c r="O3233" s="246">
        <f t="shared" si="1246"/>
        <v>0.91201312910284471</v>
      </c>
      <c r="P3233" s="121">
        <f t="shared" si="1247"/>
        <v>0.25</v>
      </c>
      <c r="Q3233" s="121">
        <f t="shared" si="1248"/>
        <v>0.75</v>
      </c>
      <c r="R3233" s="121">
        <f t="shared" si="1249"/>
        <v>0</v>
      </c>
      <c r="S3233" s="121" t="str">
        <f t="shared" si="1250"/>
        <v/>
      </c>
      <c r="T3233" s="121" t="str">
        <f t="shared" si="1251"/>
        <v/>
      </c>
      <c r="U3233" s="121">
        <f t="shared" si="1252"/>
        <v>1.05</v>
      </c>
    </row>
    <row r="3234" spans="1:21" x14ac:dyDescent="0.3">
      <c r="A3234" s="187">
        <v>24</v>
      </c>
      <c r="B3234" s="242">
        <f t="shared" si="1253"/>
        <v>46357</v>
      </c>
      <c r="C3234" s="243">
        <f t="shared" si="1234"/>
        <v>46387</v>
      </c>
      <c r="D3234" s="120">
        <f t="shared" si="1235"/>
        <v>31</v>
      </c>
      <c r="E3234" s="120">
        <f t="shared" si="1236"/>
        <v>12</v>
      </c>
      <c r="F3234" s="275">
        <f t="shared" si="1237"/>
        <v>46372.5</v>
      </c>
      <c r="G3234" s="120">
        <f t="shared" si="1238"/>
        <v>24323</v>
      </c>
      <c r="H3234" s="245">
        <f t="shared" si="1239"/>
        <v>1</v>
      </c>
      <c r="I3234" s="121">
        <f t="shared" si="1240"/>
        <v>1.05</v>
      </c>
      <c r="J3234" s="121">
        <f t="shared" si="1241"/>
        <v>1.05</v>
      </c>
      <c r="K3234" s="120">
        <f t="shared" si="1242"/>
        <v>0</v>
      </c>
      <c r="L3234" s="120">
        <f t="shared" si="1243"/>
        <v>0</v>
      </c>
      <c r="M3234" s="246">
        <f t="shared" si="1244"/>
        <v>0</v>
      </c>
      <c r="N3234" s="121">
        <f t="shared" si="1245"/>
        <v>1.05</v>
      </c>
      <c r="O3234" s="246">
        <f t="shared" si="1246"/>
        <v>0.913347921225383</v>
      </c>
      <c r="P3234" s="121">
        <f t="shared" si="1247"/>
        <v>8.3333333333333329E-2</v>
      </c>
      <c r="Q3234" s="121">
        <f t="shared" si="1248"/>
        <v>0.91666666666666663</v>
      </c>
      <c r="R3234" s="121">
        <f t="shared" si="1249"/>
        <v>0</v>
      </c>
      <c r="S3234" s="121" t="str">
        <f t="shared" si="1250"/>
        <v/>
      </c>
      <c r="T3234" s="121" t="str">
        <f t="shared" si="1251"/>
        <v/>
      </c>
      <c r="U3234" s="121">
        <f t="shared" si="1252"/>
        <v>1.05</v>
      </c>
    </row>
    <row r="3235" spans="1:21" x14ac:dyDescent="0.3">
      <c r="A3235" s="187">
        <v>25</v>
      </c>
      <c r="B3235" s="242">
        <f t="shared" si="1253"/>
        <v>46388</v>
      </c>
      <c r="C3235" s="243">
        <f t="shared" si="1234"/>
        <v>46418</v>
      </c>
      <c r="D3235" s="120">
        <f t="shared" si="1235"/>
        <v>31</v>
      </c>
      <c r="E3235" s="120">
        <f t="shared" si="1236"/>
        <v>1</v>
      </c>
      <c r="F3235" s="275">
        <f t="shared" si="1237"/>
        <v>46403.5</v>
      </c>
      <c r="G3235" s="120">
        <f t="shared" si="1238"/>
        <v>24324</v>
      </c>
      <c r="H3235" s="245">
        <f t="shared" si="1239"/>
        <v>1</v>
      </c>
      <c r="I3235" s="121">
        <f t="shared" si="1240"/>
        <v>1.05</v>
      </c>
      <c r="J3235" s="121">
        <f t="shared" si="1241"/>
        <v>1.05</v>
      </c>
      <c r="K3235" s="120">
        <f t="shared" si="1242"/>
        <v>0</v>
      </c>
      <c r="L3235" s="120">
        <f t="shared" si="1243"/>
        <v>0</v>
      </c>
      <c r="M3235" s="246">
        <f t="shared" si="1244"/>
        <v>0</v>
      </c>
      <c r="N3235" s="121">
        <f t="shared" si="1245"/>
        <v>1.05</v>
      </c>
      <c r="O3235" s="246">
        <f t="shared" si="1246"/>
        <v>0.91470459518599567</v>
      </c>
      <c r="P3235" s="121">
        <f t="shared" si="1247"/>
        <v>0</v>
      </c>
      <c r="Q3235" s="121">
        <f t="shared" si="1248"/>
        <v>1</v>
      </c>
      <c r="R3235" s="121">
        <f t="shared" si="1249"/>
        <v>0</v>
      </c>
      <c r="S3235" s="121" t="str">
        <f t="shared" si="1250"/>
        <v/>
      </c>
      <c r="T3235" s="121" t="str">
        <f t="shared" si="1251"/>
        <v/>
      </c>
      <c r="U3235" s="121">
        <f t="shared" si="1252"/>
        <v>1.05</v>
      </c>
    </row>
    <row r="3236" spans="1:21" x14ac:dyDescent="0.3">
      <c r="A3236" s="187">
        <v>26</v>
      </c>
      <c r="B3236" s="242">
        <f t="shared" si="1253"/>
        <v>46419</v>
      </c>
      <c r="C3236" s="243">
        <f t="shared" si="1234"/>
        <v>46446</v>
      </c>
      <c r="D3236" s="120">
        <f t="shared" si="1235"/>
        <v>28</v>
      </c>
      <c r="E3236" s="120">
        <f t="shared" si="1236"/>
        <v>2</v>
      </c>
      <c r="F3236" s="275">
        <f t="shared" si="1237"/>
        <v>46433</v>
      </c>
      <c r="G3236" s="120">
        <f t="shared" si="1238"/>
        <v>24325</v>
      </c>
      <c r="H3236" s="245">
        <f t="shared" si="1239"/>
        <v>1</v>
      </c>
      <c r="I3236" s="121">
        <f t="shared" si="1240"/>
        <v>1.05</v>
      </c>
      <c r="J3236" s="121">
        <f t="shared" si="1241"/>
        <v>1.05</v>
      </c>
      <c r="K3236" s="120">
        <f t="shared" si="1242"/>
        <v>0</v>
      </c>
      <c r="L3236" s="120">
        <f t="shared" si="1243"/>
        <v>0</v>
      </c>
      <c r="M3236" s="246">
        <f t="shared" si="1244"/>
        <v>0</v>
      </c>
      <c r="N3236" s="121">
        <f t="shared" si="1245"/>
        <v>1.05</v>
      </c>
      <c r="O3236" s="246">
        <f t="shared" si="1246"/>
        <v>0.91599562363238518</v>
      </c>
      <c r="P3236" s="121">
        <f t="shared" si="1247"/>
        <v>0</v>
      </c>
      <c r="Q3236" s="121">
        <f t="shared" si="1248"/>
        <v>1</v>
      </c>
      <c r="R3236" s="121">
        <f t="shared" si="1249"/>
        <v>0</v>
      </c>
      <c r="S3236" s="121" t="str">
        <f t="shared" si="1250"/>
        <v/>
      </c>
      <c r="T3236" s="121" t="str">
        <f t="shared" si="1251"/>
        <v/>
      </c>
      <c r="U3236" s="121">
        <f t="shared" si="1252"/>
        <v>1.05</v>
      </c>
    </row>
    <row r="3237" spans="1:21" x14ac:dyDescent="0.3">
      <c r="A3237" s="187">
        <v>27</v>
      </c>
      <c r="B3237" s="242">
        <f t="shared" si="1253"/>
        <v>46447</v>
      </c>
      <c r="C3237" s="243">
        <f t="shared" si="1234"/>
        <v>46477</v>
      </c>
      <c r="D3237" s="120">
        <f t="shared" si="1235"/>
        <v>31</v>
      </c>
      <c r="E3237" s="120">
        <f t="shared" si="1236"/>
        <v>3</v>
      </c>
      <c r="F3237" s="275">
        <f t="shared" si="1237"/>
        <v>46462.5</v>
      </c>
      <c r="G3237" s="120">
        <f t="shared" si="1238"/>
        <v>24326</v>
      </c>
      <c r="H3237" s="245">
        <f t="shared" si="1239"/>
        <v>1</v>
      </c>
      <c r="I3237" s="121">
        <f t="shared" si="1240"/>
        <v>1.05</v>
      </c>
      <c r="J3237" s="121">
        <f t="shared" si="1241"/>
        <v>1.05</v>
      </c>
      <c r="K3237" s="120">
        <f t="shared" si="1242"/>
        <v>0</v>
      </c>
      <c r="L3237" s="120">
        <f t="shared" si="1243"/>
        <v>0</v>
      </c>
      <c r="M3237" s="246">
        <f t="shared" si="1244"/>
        <v>0</v>
      </c>
      <c r="N3237" s="121">
        <f t="shared" si="1245"/>
        <v>1.05</v>
      </c>
      <c r="O3237" s="246">
        <f t="shared" si="1246"/>
        <v>0.91728665207877469</v>
      </c>
      <c r="P3237" s="121">
        <f t="shared" si="1247"/>
        <v>0</v>
      </c>
      <c r="Q3237" s="121">
        <f t="shared" si="1248"/>
        <v>1</v>
      </c>
      <c r="R3237" s="121">
        <f t="shared" si="1249"/>
        <v>0</v>
      </c>
      <c r="S3237" s="121" t="str">
        <f t="shared" si="1250"/>
        <v/>
      </c>
      <c r="T3237" s="121" t="str">
        <f t="shared" si="1251"/>
        <v/>
      </c>
      <c r="U3237" s="121">
        <f t="shared" si="1252"/>
        <v>1.05</v>
      </c>
    </row>
    <row r="3238" spans="1:21" x14ac:dyDescent="0.3">
      <c r="A3238" s="187">
        <v>28</v>
      </c>
      <c r="B3238" s="242">
        <f t="shared" si="1253"/>
        <v>46478</v>
      </c>
      <c r="C3238" s="243">
        <f t="shared" si="1234"/>
        <v>46507</v>
      </c>
      <c r="D3238" s="120">
        <f t="shared" si="1235"/>
        <v>30</v>
      </c>
      <c r="E3238" s="120">
        <f t="shared" si="1236"/>
        <v>4</v>
      </c>
      <c r="F3238" s="275">
        <f t="shared" si="1237"/>
        <v>46493</v>
      </c>
      <c r="G3238" s="120">
        <f t="shared" si="1238"/>
        <v>24327</v>
      </c>
      <c r="H3238" s="245">
        <f t="shared" si="1239"/>
        <v>1</v>
      </c>
      <c r="I3238" s="121">
        <f t="shared" si="1240"/>
        <v>1.05</v>
      </c>
      <c r="J3238" s="121">
        <f t="shared" si="1241"/>
        <v>1.05</v>
      </c>
      <c r="K3238" s="120">
        <f t="shared" si="1242"/>
        <v>0</v>
      </c>
      <c r="L3238" s="120">
        <f t="shared" si="1243"/>
        <v>0</v>
      </c>
      <c r="M3238" s="246">
        <f t="shared" si="1244"/>
        <v>0</v>
      </c>
      <c r="N3238" s="121">
        <f t="shared" si="1245"/>
        <v>1.05</v>
      </c>
      <c r="O3238" s="246">
        <f t="shared" si="1246"/>
        <v>0.91862144420131298</v>
      </c>
      <c r="P3238" s="121">
        <f t="shared" si="1247"/>
        <v>0</v>
      </c>
      <c r="Q3238" s="121">
        <f t="shared" si="1248"/>
        <v>1</v>
      </c>
      <c r="R3238" s="121">
        <f t="shared" si="1249"/>
        <v>0</v>
      </c>
      <c r="S3238" s="121" t="str">
        <f t="shared" si="1250"/>
        <v/>
      </c>
      <c r="T3238" s="121" t="str">
        <f t="shared" si="1251"/>
        <v/>
      </c>
      <c r="U3238" s="121">
        <f t="shared" si="1252"/>
        <v>1.05</v>
      </c>
    </row>
    <row r="3239" spans="1:21" x14ac:dyDescent="0.3">
      <c r="A3239" s="187">
        <v>29</v>
      </c>
      <c r="B3239" s="242">
        <f t="shared" si="1253"/>
        <v>46508</v>
      </c>
      <c r="C3239" s="243">
        <f t="shared" si="1234"/>
        <v>46538</v>
      </c>
      <c r="D3239" s="120">
        <f t="shared" si="1235"/>
        <v>31</v>
      </c>
      <c r="E3239" s="120">
        <f t="shared" si="1236"/>
        <v>5</v>
      </c>
      <c r="F3239" s="275">
        <f t="shared" si="1237"/>
        <v>46523.5</v>
      </c>
      <c r="G3239" s="120">
        <f t="shared" si="1238"/>
        <v>24328</v>
      </c>
      <c r="H3239" s="245">
        <f t="shared" si="1239"/>
        <v>1</v>
      </c>
      <c r="I3239" s="121">
        <f t="shared" si="1240"/>
        <v>1.05</v>
      </c>
      <c r="J3239" s="121">
        <f t="shared" si="1241"/>
        <v>1.05</v>
      </c>
      <c r="K3239" s="120">
        <f t="shared" si="1242"/>
        <v>0</v>
      </c>
      <c r="L3239" s="120">
        <f t="shared" si="1243"/>
        <v>0</v>
      </c>
      <c r="M3239" s="246">
        <f t="shared" si="1244"/>
        <v>0</v>
      </c>
      <c r="N3239" s="121">
        <f t="shared" si="1245"/>
        <v>1.05</v>
      </c>
      <c r="O3239" s="246">
        <f t="shared" si="1246"/>
        <v>0.91995623632385126</v>
      </c>
      <c r="P3239" s="121">
        <f t="shared" si="1247"/>
        <v>0</v>
      </c>
      <c r="Q3239" s="121">
        <f t="shared" si="1248"/>
        <v>1</v>
      </c>
      <c r="R3239" s="121">
        <f t="shared" si="1249"/>
        <v>0</v>
      </c>
      <c r="S3239" s="121" t="str">
        <f t="shared" si="1250"/>
        <v/>
      </c>
      <c r="T3239" s="121" t="str">
        <f t="shared" si="1251"/>
        <v/>
      </c>
      <c r="U3239" s="121">
        <f t="shared" si="1252"/>
        <v>1.05</v>
      </c>
    </row>
    <row r="3240" spans="1:21" x14ac:dyDescent="0.3">
      <c r="A3240" s="187">
        <v>30</v>
      </c>
      <c r="B3240" s="242">
        <f t="shared" si="1253"/>
        <v>46539</v>
      </c>
      <c r="C3240" s="243">
        <f t="shared" si="1234"/>
        <v>46568</v>
      </c>
      <c r="D3240" s="120">
        <f t="shared" si="1235"/>
        <v>30</v>
      </c>
      <c r="E3240" s="120">
        <f t="shared" si="1236"/>
        <v>6</v>
      </c>
      <c r="F3240" s="275">
        <f t="shared" si="1237"/>
        <v>46554</v>
      </c>
      <c r="G3240" s="120">
        <f t="shared" si="1238"/>
        <v>24329</v>
      </c>
      <c r="H3240" s="245">
        <f t="shared" si="1239"/>
        <v>1</v>
      </c>
      <c r="I3240" s="121">
        <f t="shared" si="1240"/>
        <v>1.05</v>
      </c>
      <c r="J3240" s="121">
        <f t="shared" si="1241"/>
        <v>1.05</v>
      </c>
      <c r="K3240" s="120">
        <f t="shared" si="1242"/>
        <v>0</v>
      </c>
      <c r="L3240" s="120">
        <f t="shared" si="1243"/>
        <v>0</v>
      </c>
      <c r="M3240" s="246">
        <f t="shared" si="1244"/>
        <v>0</v>
      </c>
      <c r="N3240" s="121">
        <f t="shared" si="1245"/>
        <v>1.05</v>
      </c>
      <c r="O3240" s="246">
        <f t="shared" si="1246"/>
        <v>0.92129102844638955</v>
      </c>
      <c r="P3240" s="121">
        <f t="shared" si="1247"/>
        <v>0</v>
      </c>
      <c r="Q3240" s="121">
        <f t="shared" si="1248"/>
        <v>1</v>
      </c>
      <c r="R3240" s="121">
        <f t="shared" si="1249"/>
        <v>0</v>
      </c>
      <c r="S3240" s="121" t="str">
        <f t="shared" si="1250"/>
        <v/>
      </c>
      <c r="T3240" s="121" t="str">
        <f t="shared" si="1251"/>
        <v/>
      </c>
      <c r="U3240" s="121">
        <f t="shared" si="1252"/>
        <v>1.05</v>
      </c>
    </row>
    <row r="3241" spans="1:21" x14ac:dyDescent="0.3">
      <c r="A3241" s="187">
        <v>31</v>
      </c>
      <c r="B3241" s="242">
        <f t="shared" si="1253"/>
        <v>46569</v>
      </c>
      <c r="C3241" s="243">
        <f t="shared" si="1234"/>
        <v>46599</v>
      </c>
      <c r="D3241" s="120">
        <f t="shared" si="1235"/>
        <v>31</v>
      </c>
      <c r="E3241" s="120">
        <f t="shared" si="1236"/>
        <v>7</v>
      </c>
      <c r="F3241" s="275">
        <f t="shared" si="1237"/>
        <v>46584.5</v>
      </c>
      <c r="G3241" s="120">
        <f t="shared" si="1238"/>
        <v>24330</v>
      </c>
      <c r="H3241" s="245">
        <f t="shared" si="1239"/>
        <v>1</v>
      </c>
      <c r="I3241" s="121">
        <f t="shared" si="1240"/>
        <v>1.05</v>
      </c>
      <c r="J3241" s="121">
        <f t="shared" si="1241"/>
        <v>1.05</v>
      </c>
      <c r="K3241" s="120">
        <f t="shared" si="1242"/>
        <v>0</v>
      </c>
      <c r="L3241" s="120">
        <f t="shared" si="1243"/>
        <v>0</v>
      </c>
      <c r="M3241" s="246">
        <f t="shared" si="1244"/>
        <v>0</v>
      </c>
      <c r="N3241" s="121">
        <f t="shared" si="1245"/>
        <v>1.05</v>
      </c>
      <c r="O3241" s="246">
        <f t="shared" si="1246"/>
        <v>0.92262582056892783</v>
      </c>
      <c r="P3241" s="121">
        <f t="shared" si="1247"/>
        <v>0</v>
      </c>
      <c r="Q3241" s="121">
        <f t="shared" si="1248"/>
        <v>0.91666666666666663</v>
      </c>
      <c r="R3241" s="121">
        <f t="shared" si="1249"/>
        <v>8.333333333333337E-2</v>
      </c>
      <c r="S3241" s="121" t="str">
        <f t="shared" si="1250"/>
        <v/>
      </c>
      <c r="T3241" s="121" t="str">
        <f t="shared" si="1251"/>
        <v/>
      </c>
      <c r="U3241" s="121">
        <f t="shared" si="1252"/>
        <v>1.05</v>
      </c>
    </row>
    <row r="3242" spans="1:21" x14ac:dyDescent="0.3">
      <c r="A3242" s="187">
        <v>32</v>
      </c>
      <c r="B3242" s="242">
        <f t="shared" si="1253"/>
        <v>46600</v>
      </c>
      <c r="C3242" s="243">
        <f t="shared" si="1234"/>
        <v>46630</v>
      </c>
      <c r="D3242" s="120">
        <f t="shared" si="1235"/>
        <v>31</v>
      </c>
      <c r="E3242" s="120">
        <f t="shared" si="1236"/>
        <v>8</v>
      </c>
      <c r="F3242" s="275">
        <f t="shared" si="1237"/>
        <v>46615.5</v>
      </c>
      <c r="G3242" s="120">
        <f t="shared" si="1238"/>
        <v>24331</v>
      </c>
      <c r="H3242" s="245">
        <f t="shared" si="1239"/>
        <v>1</v>
      </c>
      <c r="I3242" s="121">
        <f t="shared" si="1240"/>
        <v>1.05</v>
      </c>
      <c r="J3242" s="121">
        <f t="shared" si="1241"/>
        <v>1.05</v>
      </c>
      <c r="K3242" s="120">
        <f t="shared" si="1242"/>
        <v>0</v>
      </c>
      <c r="L3242" s="120">
        <f t="shared" si="1243"/>
        <v>0</v>
      </c>
      <c r="M3242" s="246">
        <f t="shared" si="1244"/>
        <v>0</v>
      </c>
      <c r="N3242" s="121">
        <f t="shared" si="1245"/>
        <v>1.05</v>
      </c>
      <c r="O3242" s="246">
        <f t="shared" si="1246"/>
        <v>0.92398249452954051</v>
      </c>
      <c r="P3242" s="121">
        <f t="shared" si="1247"/>
        <v>0</v>
      </c>
      <c r="Q3242" s="121">
        <f t="shared" si="1248"/>
        <v>0.75</v>
      </c>
      <c r="R3242" s="121">
        <f t="shared" si="1249"/>
        <v>0.25</v>
      </c>
      <c r="S3242" s="121" t="str">
        <f t="shared" si="1250"/>
        <v/>
      </c>
      <c r="T3242" s="121" t="str">
        <f t="shared" si="1251"/>
        <v/>
      </c>
      <c r="U3242" s="121">
        <f t="shared" si="1252"/>
        <v>1.05</v>
      </c>
    </row>
    <row r="3243" spans="1:21" x14ac:dyDescent="0.3">
      <c r="A3243" s="187">
        <v>33</v>
      </c>
      <c r="B3243" s="242">
        <f t="shared" si="1253"/>
        <v>46631</v>
      </c>
      <c r="C3243" s="243">
        <f t="shared" si="1234"/>
        <v>46660</v>
      </c>
      <c r="D3243" s="120">
        <f t="shared" si="1235"/>
        <v>30</v>
      </c>
      <c r="E3243" s="120">
        <f t="shared" si="1236"/>
        <v>9</v>
      </c>
      <c r="F3243" s="275">
        <f t="shared" si="1237"/>
        <v>46646</v>
      </c>
      <c r="G3243" s="120">
        <f t="shared" si="1238"/>
        <v>24332</v>
      </c>
      <c r="H3243" s="245">
        <f t="shared" si="1239"/>
        <v>1</v>
      </c>
      <c r="I3243" s="121">
        <f t="shared" si="1240"/>
        <v>1.05</v>
      </c>
      <c r="J3243" s="121">
        <f t="shared" si="1241"/>
        <v>1.05</v>
      </c>
      <c r="K3243" s="120">
        <f t="shared" si="1242"/>
        <v>0</v>
      </c>
      <c r="L3243" s="120">
        <f t="shared" si="1243"/>
        <v>0</v>
      </c>
      <c r="M3243" s="246">
        <f t="shared" si="1244"/>
        <v>0</v>
      </c>
      <c r="N3243" s="121">
        <f t="shared" si="1245"/>
        <v>1.05</v>
      </c>
      <c r="O3243" s="246">
        <f t="shared" si="1246"/>
        <v>0.9253172866520788</v>
      </c>
      <c r="P3243" s="121">
        <f t="shared" si="1247"/>
        <v>0</v>
      </c>
      <c r="Q3243" s="121">
        <f t="shared" si="1248"/>
        <v>0.58333333333333337</v>
      </c>
      <c r="R3243" s="121">
        <f t="shared" si="1249"/>
        <v>0.41666666666666663</v>
      </c>
      <c r="S3243" s="121" t="str">
        <f t="shared" si="1250"/>
        <v/>
      </c>
      <c r="T3243" s="121" t="str">
        <f t="shared" si="1251"/>
        <v/>
      </c>
      <c r="U3243" s="121">
        <f t="shared" si="1252"/>
        <v>1.05</v>
      </c>
    </row>
    <row r="3244" spans="1:21" x14ac:dyDescent="0.3">
      <c r="A3244" s="187">
        <v>34</v>
      </c>
      <c r="B3244" s="242">
        <f t="shared" si="1253"/>
        <v>46661</v>
      </c>
      <c r="C3244" s="243">
        <f t="shared" si="1234"/>
        <v>46691</v>
      </c>
      <c r="D3244" s="120">
        <f t="shared" si="1235"/>
        <v>31</v>
      </c>
      <c r="E3244" s="120">
        <f t="shared" si="1236"/>
        <v>10</v>
      </c>
      <c r="F3244" s="275">
        <f t="shared" si="1237"/>
        <v>46676.5</v>
      </c>
      <c r="G3244" s="120">
        <f t="shared" si="1238"/>
        <v>24333</v>
      </c>
      <c r="H3244" s="245">
        <f t="shared" si="1239"/>
        <v>1</v>
      </c>
      <c r="I3244" s="121">
        <f t="shared" si="1240"/>
        <v>1.05</v>
      </c>
      <c r="J3244" s="121">
        <f t="shared" si="1241"/>
        <v>1.05</v>
      </c>
      <c r="K3244" s="120">
        <f t="shared" si="1242"/>
        <v>0</v>
      </c>
      <c r="L3244" s="120">
        <f t="shared" si="1243"/>
        <v>0</v>
      </c>
      <c r="M3244" s="246">
        <f t="shared" si="1244"/>
        <v>0</v>
      </c>
      <c r="N3244" s="121">
        <f t="shared" si="1245"/>
        <v>1.05</v>
      </c>
      <c r="O3244" s="246">
        <f t="shared" si="1246"/>
        <v>0.92665207877461708</v>
      </c>
      <c r="P3244" s="121">
        <f t="shared" si="1247"/>
        <v>0</v>
      </c>
      <c r="Q3244" s="121">
        <f t="shared" si="1248"/>
        <v>0.41666666666666669</v>
      </c>
      <c r="R3244" s="121">
        <f t="shared" si="1249"/>
        <v>0.58333333333333326</v>
      </c>
      <c r="S3244" s="121" t="str">
        <f t="shared" si="1250"/>
        <v/>
      </c>
      <c r="T3244" s="121" t="str">
        <f t="shared" si="1251"/>
        <v/>
      </c>
      <c r="U3244" s="121">
        <f t="shared" si="1252"/>
        <v>1.05</v>
      </c>
    </row>
    <row r="3245" spans="1:21" x14ac:dyDescent="0.3">
      <c r="A3245" s="187">
        <v>35</v>
      </c>
      <c r="B3245" s="242">
        <f t="shared" si="1253"/>
        <v>46692</v>
      </c>
      <c r="C3245" s="243">
        <f t="shared" si="1234"/>
        <v>46721</v>
      </c>
      <c r="D3245" s="120">
        <f t="shared" si="1235"/>
        <v>30</v>
      </c>
      <c r="E3245" s="120">
        <f t="shared" si="1236"/>
        <v>11</v>
      </c>
      <c r="F3245" s="275">
        <f t="shared" si="1237"/>
        <v>46707</v>
      </c>
      <c r="G3245" s="120">
        <f t="shared" si="1238"/>
        <v>24334</v>
      </c>
      <c r="H3245" s="245">
        <f t="shared" si="1239"/>
        <v>1</v>
      </c>
      <c r="I3245" s="121">
        <f t="shared" si="1240"/>
        <v>1.05</v>
      </c>
      <c r="J3245" s="121">
        <f t="shared" si="1241"/>
        <v>1.05</v>
      </c>
      <c r="K3245" s="120">
        <f t="shared" si="1242"/>
        <v>0</v>
      </c>
      <c r="L3245" s="120">
        <f t="shared" si="1243"/>
        <v>0</v>
      </c>
      <c r="M3245" s="246">
        <f t="shared" si="1244"/>
        <v>0</v>
      </c>
      <c r="N3245" s="121">
        <f t="shared" si="1245"/>
        <v>1.05</v>
      </c>
      <c r="O3245" s="246">
        <f t="shared" si="1246"/>
        <v>0.92798687089715537</v>
      </c>
      <c r="P3245" s="121">
        <f t="shared" si="1247"/>
        <v>0</v>
      </c>
      <c r="Q3245" s="121">
        <f t="shared" si="1248"/>
        <v>0.25</v>
      </c>
      <c r="R3245" s="121">
        <f t="shared" si="1249"/>
        <v>0.75</v>
      </c>
      <c r="S3245" s="121" t="str">
        <f t="shared" si="1250"/>
        <v/>
      </c>
      <c r="T3245" s="121" t="str">
        <f t="shared" si="1251"/>
        <v/>
      </c>
      <c r="U3245" s="121">
        <f t="shared" si="1252"/>
        <v>1.05</v>
      </c>
    </row>
    <row r="3246" spans="1:21" x14ac:dyDescent="0.3">
      <c r="A3246" s="187">
        <v>36</v>
      </c>
      <c r="B3246" s="242">
        <f t="shared" si="1253"/>
        <v>46722</v>
      </c>
      <c r="C3246" s="243">
        <f t="shared" si="1234"/>
        <v>46752</v>
      </c>
      <c r="D3246" s="120">
        <f t="shared" si="1235"/>
        <v>31</v>
      </c>
      <c r="E3246" s="120">
        <f t="shared" si="1236"/>
        <v>12</v>
      </c>
      <c r="F3246" s="275">
        <f t="shared" si="1237"/>
        <v>46737.5</v>
      </c>
      <c r="G3246" s="120">
        <f t="shared" si="1238"/>
        <v>24335</v>
      </c>
      <c r="H3246" s="245">
        <f t="shared" si="1239"/>
        <v>1</v>
      </c>
      <c r="I3246" s="121">
        <f t="shared" si="1240"/>
        <v>1.05</v>
      </c>
      <c r="J3246" s="121">
        <f t="shared" si="1241"/>
        <v>1.05</v>
      </c>
      <c r="K3246" s="120">
        <f t="shared" si="1242"/>
        <v>0</v>
      </c>
      <c r="L3246" s="120">
        <f t="shared" si="1243"/>
        <v>0</v>
      </c>
      <c r="M3246" s="246">
        <f t="shared" si="1244"/>
        <v>0</v>
      </c>
      <c r="N3246" s="121">
        <f t="shared" si="1245"/>
        <v>1.05</v>
      </c>
      <c r="O3246" s="246">
        <f t="shared" si="1246"/>
        <v>0.92932166301969366</v>
      </c>
      <c r="P3246" s="121">
        <f t="shared" si="1247"/>
        <v>0</v>
      </c>
      <c r="Q3246" s="121">
        <f t="shared" si="1248"/>
        <v>8.3333333333333329E-2</v>
      </c>
      <c r="R3246" s="121">
        <f t="shared" si="1249"/>
        <v>0.91666666666666663</v>
      </c>
      <c r="S3246" s="121" t="str">
        <f t="shared" si="1250"/>
        <v/>
      </c>
      <c r="T3246" s="121" t="str">
        <f t="shared" si="1251"/>
        <v/>
      </c>
      <c r="U3246" s="121">
        <f t="shared" si="1252"/>
        <v>1.05</v>
      </c>
    </row>
    <row r="3247" spans="1:21" x14ac:dyDescent="0.3">
      <c r="A3247" s="187">
        <v>37</v>
      </c>
      <c r="B3247" s="242">
        <f t="shared" si="1253"/>
        <v>46753</v>
      </c>
      <c r="C3247" s="243">
        <f t="shared" si="1234"/>
        <v>46783</v>
      </c>
      <c r="D3247" s="120">
        <f t="shared" si="1235"/>
        <v>31</v>
      </c>
      <c r="E3247" s="120">
        <f t="shared" si="1236"/>
        <v>1</v>
      </c>
      <c r="F3247" s="275">
        <f t="shared" si="1237"/>
        <v>46768.5</v>
      </c>
      <c r="G3247" s="120">
        <f t="shared" si="1238"/>
        <v>24336</v>
      </c>
      <c r="H3247" s="245">
        <f t="shared" si="1239"/>
        <v>1</v>
      </c>
      <c r="I3247" s="121">
        <f t="shared" si="1240"/>
        <v>1.05</v>
      </c>
      <c r="J3247" s="121">
        <f t="shared" si="1241"/>
        <v>1.05</v>
      </c>
      <c r="K3247" s="120">
        <f t="shared" si="1242"/>
        <v>0</v>
      </c>
      <c r="L3247" s="120">
        <f t="shared" si="1243"/>
        <v>0</v>
      </c>
      <c r="M3247" s="246">
        <f t="shared" si="1244"/>
        <v>0</v>
      </c>
      <c r="N3247" s="121">
        <f t="shared" si="1245"/>
        <v>1.05</v>
      </c>
      <c r="O3247" s="246">
        <f t="shared" si="1246"/>
        <v>0.93</v>
      </c>
      <c r="P3247" s="121">
        <f t="shared" si="1247"/>
        <v>0</v>
      </c>
      <c r="Q3247" s="121">
        <f t="shared" si="1248"/>
        <v>0</v>
      </c>
      <c r="R3247" s="121">
        <f t="shared" si="1249"/>
        <v>1</v>
      </c>
      <c r="S3247" s="121" t="str">
        <f t="shared" si="1250"/>
        <v/>
      </c>
      <c r="T3247" s="121" t="str">
        <f t="shared" si="1251"/>
        <v/>
      </c>
      <c r="U3247" s="121">
        <f t="shared" si="1252"/>
        <v>1.05</v>
      </c>
    </row>
    <row r="3248" spans="1:21" x14ac:dyDescent="0.3">
      <c r="A3248" s="187">
        <v>38</v>
      </c>
      <c r="B3248" s="242">
        <f t="shared" si="1253"/>
        <v>46784</v>
      </c>
      <c r="C3248" s="243">
        <f t="shared" si="1234"/>
        <v>46812</v>
      </c>
      <c r="D3248" s="120">
        <f t="shared" si="1235"/>
        <v>29</v>
      </c>
      <c r="E3248" s="120">
        <f t="shared" si="1236"/>
        <v>2</v>
      </c>
      <c r="F3248" s="275">
        <f t="shared" si="1237"/>
        <v>46798.5</v>
      </c>
      <c r="G3248" s="120">
        <f t="shared" si="1238"/>
        <v>24337</v>
      </c>
      <c r="H3248" s="245">
        <f t="shared" si="1239"/>
        <v>1</v>
      </c>
      <c r="I3248" s="121">
        <f t="shared" si="1240"/>
        <v>1.05</v>
      </c>
      <c r="J3248" s="121">
        <f t="shared" si="1241"/>
        <v>1.05</v>
      </c>
      <c r="K3248" s="120">
        <f t="shared" si="1242"/>
        <v>0</v>
      </c>
      <c r="L3248" s="120">
        <f t="shared" si="1243"/>
        <v>0</v>
      </c>
      <c r="M3248" s="246">
        <f t="shared" si="1244"/>
        <v>0</v>
      </c>
      <c r="N3248" s="121">
        <f t="shared" si="1245"/>
        <v>1.05</v>
      </c>
      <c r="O3248" s="246">
        <f t="shared" si="1246"/>
        <v>0.93</v>
      </c>
      <c r="P3248" s="121">
        <f t="shared" si="1247"/>
        <v>0</v>
      </c>
      <c r="Q3248" s="121">
        <f t="shared" si="1248"/>
        <v>0</v>
      </c>
      <c r="R3248" s="121">
        <f t="shared" si="1249"/>
        <v>1</v>
      </c>
      <c r="S3248" s="121" t="str">
        <f t="shared" si="1250"/>
        <v/>
      </c>
      <c r="T3248" s="121" t="str">
        <f t="shared" si="1251"/>
        <v/>
      </c>
      <c r="U3248" s="121">
        <f t="shared" si="1252"/>
        <v>1.05</v>
      </c>
    </row>
    <row r="3249" spans="1:21" x14ac:dyDescent="0.3">
      <c r="A3249" s="187">
        <v>39</v>
      </c>
      <c r="B3249" s="242">
        <f t="shared" si="1253"/>
        <v>46813</v>
      </c>
      <c r="C3249" s="243">
        <f t="shared" si="1234"/>
        <v>46843</v>
      </c>
      <c r="D3249" s="120">
        <f t="shared" si="1235"/>
        <v>31</v>
      </c>
      <c r="E3249" s="120">
        <f t="shared" si="1236"/>
        <v>3</v>
      </c>
      <c r="F3249" s="275">
        <f t="shared" si="1237"/>
        <v>46828.5</v>
      </c>
      <c r="G3249" s="120">
        <f t="shared" si="1238"/>
        <v>24338</v>
      </c>
      <c r="H3249" s="245">
        <f t="shared" si="1239"/>
        <v>1</v>
      </c>
      <c r="I3249" s="121">
        <f t="shared" si="1240"/>
        <v>1.05</v>
      </c>
      <c r="J3249" s="121">
        <f t="shared" si="1241"/>
        <v>1.05</v>
      </c>
      <c r="K3249" s="120">
        <f t="shared" si="1242"/>
        <v>0</v>
      </c>
      <c r="L3249" s="120">
        <f t="shared" si="1243"/>
        <v>0</v>
      </c>
      <c r="M3249" s="246">
        <f t="shared" si="1244"/>
        <v>0</v>
      </c>
      <c r="N3249" s="121">
        <f t="shared" si="1245"/>
        <v>1.05</v>
      </c>
      <c r="O3249" s="246">
        <f t="shared" si="1246"/>
        <v>0.93</v>
      </c>
      <c r="P3249" s="121">
        <f t="shared" si="1247"/>
        <v>0</v>
      </c>
      <c r="Q3249" s="121">
        <f t="shared" si="1248"/>
        <v>0</v>
      </c>
      <c r="R3249" s="121">
        <f t="shared" si="1249"/>
        <v>1</v>
      </c>
      <c r="S3249" s="121" t="str">
        <f t="shared" si="1250"/>
        <v/>
      </c>
      <c r="T3249" s="121" t="str">
        <f t="shared" si="1251"/>
        <v/>
      </c>
      <c r="U3249" s="121">
        <f t="shared" si="1252"/>
        <v>1.05</v>
      </c>
    </row>
    <row r="3250" spans="1:21" x14ac:dyDescent="0.3">
      <c r="A3250" s="187">
        <v>40</v>
      </c>
      <c r="B3250" s="242">
        <f t="shared" si="1253"/>
        <v>46844</v>
      </c>
      <c r="C3250" s="243">
        <f t="shared" si="1234"/>
        <v>46873</v>
      </c>
      <c r="D3250" s="120">
        <f t="shared" si="1235"/>
        <v>30</v>
      </c>
      <c r="E3250" s="120">
        <f t="shared" si="1236"/>
        <v>4</v>
      </c>
      <c r="F3250" s="275">
        <f t="shared" si="1237"/>
        <v>46859</v>
      </c>
      <c r="G3250" s="120">
        <f t="shared" si="1238"/>
        <v>24339</v>
      </c>
      <c r="H3250" s="245">
        <f t="shared" si="1239"/>
        <v>1</v>
      </c>
      <c r="I3250" s="121">
        <f t="shared" si="1240"/>
        <v>1.05</v>
      </c>
      <c r="J3250" s="121">
        <f t="shared" si="1241"/>
        <v>1.05</v>
      </c>
      <c r="K3250" s="120">
        <f t="shared" si="1242"/>
        <v>0</v>
      </c>
      <c r="L3250" s="120">
        <f t="shared" si="1243"/>
        <v>0</v>
      </c>
      <c r="M3250" s="246">
        <f t="shared" si="1244"/>
        <v>0</v>
      </c>
      <c r="N3250" s="121">
        <f t="shared" si="1245"/>
        <v>1.05</v>
      </c>
      <c r="O3250" s="246">
        <f t="shared" si="1246"/>
        <v>0.93</v>
      </c>
      <c r="P3250" s="121">
        <f t="shared" si="1247"/>
        <v>0</v>
      </c>
      <c r="Q3250" s="121">
        <f t="shared" si="1248"/>
        <v>0</v>
      </c>
      <c r="R3250" s="121">
        <f t="shared" si="1249"/>
        <v>1</v>
      </c>
      <c r="S3250" s="121" t="str">
        <f t="shared" si="1250"/>
        <v/>
      </c>
      <c r="T3250" s="121" t="str">
        <f t="shared" si="1251"/>
        <v/>
      </c>
      <c r="U3250" s="121">
        <f t="shared" si="1252"/>
        <v>1.05</v>
      </c>
    </row>
    <row r="3251" spans="1:21" x14ac:dyDescent="0.3">
      <c r="A3251" s="187">
        <v>41</v>
      </c>
      <c r="B3251" s="242">
        <f t="shared" si="1253"/>
        <v>46874</v>
      </c>
      <c r="C3251" s="243">
        <f t="shared" si="1234"/>
        <v>46904</v>
      </c>
      <c r="D3251" s="120">
        <f t="shared" si="1235"/>
        <v>31</v>
      </c>
      <c r="E3251" s="120">
        <f t="shared" si="1236"/>
        <v>5</v>
      </c>
      <c r="F3251" s="275">
        <f t="shared" si="1237"/>
        <v>46889.5</v>
      </c>
      <c r="G3251" s="120">
        <f t="shared" si="1238"/>
        <v>24340</v>
      </c>
      <c r="H3251" s="245">
        <f t="shared" si="1239"/>
        <v>1</v>
      </c>
      <c r="I3251" s="121">
        <f t="shared" si="1240"/>
        <v>1.05</v>
      </c>
      <c r="J3251" s="121">
        <f t="shared" si="1241"/>
        <v>1.05</v>
      </c>
      <c r="K3251" s="120">
        <f t="shared" si="1242"/>
        <v>0</v>
      </c>
      <c r="L3251" s="120">
        <f t="shared" si="1243"/>
        <v>0</v>
      </c>
      <c r="M3251" s="246">
        <f t="shared" si="1244"/>
        <v>0</v>
      </c>
      <c r="N3251" s="121">
        <f t="shared" si="1245"/>
        <v>1.05</v>
      </c>
      <c r="O3251" s="246">
        <f t="shared" si="1246"/>
        <v>0.93</v>
      </c>
      <c r="P3251" s="121">
        <f t="shared" si="1247"/>
        <v>0</v>
      </c>
      <c r="Q3251" s="121">
        <f t="shared" si="1248"/>
        <v>0</v>
      </c>
      <c r="R3251" s="121">
        <f t="shared" si="1249"/>
        <v>1</v>
      </c>
      <c r="S3251" s="121" t="str">
        <f t="shared" si="1250"/>
        <v/>
      </c>
      <c r="T3251" s="121" t="str">
        <f t="shared" si="1251"/>
        <v/>
      </c>
      <c r="U3251" s="121">
        <f t="shared" si="1252"/>
        <v>1.05</v>
      </c>
    </row>
    <row r="3252" spans="1:21" x14ac:dyDescent="0.3">
      <c r="A3252" s="187">
        <v>42</v>
      </c>
      <c r="B3252" s="242">
        <f t="shared" si="1253"/>
        <v>46905</v>
      </c>
      <c r="C3252" s="243">
        <f t="shared" si="1234"/>
        <v>46934</v>
      </c>
      <c r="D3252" s="120">
        <f t="shared" si="1235"/>
        <v>30</v>
      </c>
      <c r="E3252" s="120">
        <f t="shared" si="1236"/>
        <v>6</v>
      </c>
      <c r="F3252" s="275">
        <f t="shared" si="1237"/>
        <v>46920</v>
      </c>
      <c r="G3252" s="120">
        <f t="shared" si="1238"/>
        <v>24341</v>
      </c>
      <c r="H3252" s="245">
        <f t="shared" si="1239"/>
        <v>1</v>
      </c>
      <c r="I3252" s="121">
        <f t="shared" si="1240"/>
        <v>1.05</v>
      </c>
      <c r="J3252" s="121">
        <f t="shared" si="1241"/>
        <v>1.05</v>
      </c>
      <c r="K3252" s="120">
        <f t="shared" si="1242"/>
        <v>0</v>
      </c>
      <c r="L3252" s="120">
        <f t="shared" si="1243"/>
        <v>0</v>
      </c>
      <c r="M3252" s="246">
        <f t="shared" si="1244"/>
        <v>0</v>
      </c>
      <c r="N3252" s="121">
        <f t="shared" si="1245"/>
        <v>1.05</v>
      </c>
      <c r="O3252" s="246">
        <f t="shared" si="1246"/>
        <v>0.93</v>
      </c>
      <c r="P3252" s="121">
        <f t="shared" si="1247"/>
        <v>0</v>
      </c>
      <c r="Q3252" s="121">
        <f t="shared" si="1248"/>
        <v>0</v>
      </c>
      <c r="R3252" s="121">
        <f t="shared" si="1249"/>
        <v>1</v>
      </c>
      <c r="S3252" s="121" t="str">
        <f t="shared" si="1250"/>
        <v/>
      </c>
      <c r="T3252" s="121" t="str">
        <f t="shared" si="1251"/>
        <v/>
      </c>
      <c r="U3252" s="121">
        <f t="shared" si="1252"/>
        <v>1.05</v>
      </c>
    </row>
    <row r="3253" spans="1:21" x14ac:dyDescent="0.3">
      <c r="A3253" s="187">
        <v>43</v>
      </c>
      <c r="B3253" s="242">
        <f t="shared" si="1253"/>
        <v>46935</v>
      </c>
      <c r="C3253" s="243">
        <f t="shared" si="1234"/>
        <v>46965</v>
      </c>
      <c r="D3253" s="120">
        <f t="shared" si="1235"/>
        <v>31</v>
      </c>
      <c r="E3253" s="120">
        <f t="shared" si="1236"/>
        <v>7</v>
      </c>
      <c r="F3253" s="275">
        <f t="shared" si="1237"/>
        <v>46950.5</v>
      </c>
      <c r="G3253" s="120">
        <f t="shared" si="1238"/>
        <v>24342</v>
      </c>
      <c r="H3253" s="245">
        <f t="shared" si="1239"/>
        <v>1</v>
      </c>
      <c r="I3253" s="121">
        <f t="shared" si="1240"/>
        <v>1.05</v>
      </c>
      <c r="J3253" s="121">
        <f t="shared" si="1241"/>
        <v>1.05</v>
      </c>
      <c r="K3253" s="120">
        <f t="shared" si="1242"/>
        <v>0</v>
      </c>
      <c r="L3253" s="120">
        <f t="shared" si="1243"/>
        <v>0</v>
      </c>
      <c r="M3253" s="246">
        <f t="shared" si="1244"/>
        <v>0</v>
      </c>
      <c r="N3253" s="121">
        <f t="shared" si="1245"/>
        <v>1.05</v>
      </c>
      <c r="O3253" s="246">
        <f t="shared" si="1246"/>
        <v>0.93</v>
      </c>
      <c r="P3253" s="121">
        <f t="shared" si="1247"/>
        <v>0</v>
      </c>
      <c r="Q3253" s="121">
        <f t="shared" si="1248"/>
        <v>0</v>
      </c>
      <c r="R3253" s="121">
        <f t="shared" si="1249"/>
        <v>0.91666666666666663</v>
      </c>
      <c r="S3253" s="121" t="str">
        <f t="shared" si="1250"/>
        <v/>
      </c>
      <c r="T3253" s="121" t="str">
        <f t="shared" si="1251"/>
        <v/>
      </c>
      <c r="U3253" s="121">
        <f t="shared" si="1252"/>
        <v>1.05</v>
      </c>
    </row>
    <row r="3254" spans="1:21" x14ac:dyDescent="0.3">
      <c r="A3254" s="187">
        <v>44</v>
      </c>
      <c r="B3254" s="242">
        <f t="shared" si="1253"/>
        <v>46966</v>
      </c>
      <c r="C3254" s="243">
        <f t="shared" si="1234"/>
        <v>46996</v>
      </c>
      <c r="D3254" s="120">
        <f t="shared" si="1235"/>
        <v>31</v>
      </c>
      <c r="E3254" s="120">
        <f t="shared" si="1236"/>
        <v>8</v>
      </c>
      <c r="F3254" s="275">
        <f t="shared" si="1237"/>
        <v>46981.5</v>
      </c>
      <c r="G3254" s="120">
        <f t="shared" si="1238"/>
        <v>24343</v>
      </c>
      <c r="H3254" s="245">
        <f t="shared" si="1239"/>
        <v>1</v>
      </c>
      <c r="I3254" s="121">
        <f t="shared" si="1240"/>
        <v>1.05</v>
      </c>
      <c r="J3254" s="121">
        <f t="shared" si="1241"/>
        <v>1.05</v>
      </c>
      <c r="K3254" s="120">
        <f t="shared" si="1242"/>
        <v>0</v>
      </c>
      <c r="L3254" s="120">
        <f t="shared" si="1243"/>
        <v>0</v>
      </c>
      <c r="M3254" s="246">
        <f t="shared" si="1244"/>
        <v>0</v>
      </c>
      <c r="N3254" s="121">
        <f t="shared" si="1245"/>
        <v>1.05</v>
      </c>
      <c r="O3254" s="246">
        <f t="shared" si="1246"/>
        <v>0.93</v>
      </c>
      <c r="P3254" s="121">
        <f t="shared" si="1247"/>
        <v>0</v>
      </c>
      <c r="Q3254" s="121">
        <f t="shared" si="1248"/>
        <v>0</v>
      </c>
      <c r="R3254" s="121">
        <f t="shared" si="1249"/>
        <v>0.75</v>
      </c>
      <c r="S3254" s="121" t="str">
        <f t="shared" si="1250"/>
        <v/>
      </c>
      <c r="T3254" s="121" t="str">
        <f t="shared" si="1251"/>
        <v/>
      </c>
      <c r="U3254" s="121">
        <f t="shared" si="1252"/>
        <v>1.05</v>
      </c>
    </row>
    <row r="3255" spans="1:21" x14ac:dyDescent="0.3">
      <c r="A3255" s="187">
        <v>45</v>
      </c>
      <c r="B3255" s="242">
        <f t="shared" si="1253"/>
        <v>46997</v>
      </c>
      <c r="C3255" s="243">
        <f t="shared" si="1234"/>
        <v>47026</v>
      </c>
      <c r="D3255" s="120">
        <f t="shared" si="1235"/>
        <v>30</v>
      </c>
      <c r="E3255" s="120">
        <f t="shared" si="1236"/>
        <v>9</v>
      </c>
      <c r="F3255" s="275">
        <f t="shared" si="1237"/>
        <v>47012</v>
      </c>
      <c r="G3255" s="120">
        <f t="shared" si="1238"/>
        <v>24344</v>
      </c>
      <c r="H3255" s="245">
        <f t="shared" si="1239"/>
        <v>1</v>
      </c>
      <c r="I3255" s="121">
        <f t="shared" si="1240"/>
        <v>1.05</v>
      </c>
      <c r="J3255" s="121">
        <f t="shared" si="1241"/>
        <v>1.05</v>
      </c>
      <c r="K3255" s="120">
        <f t="shared" si="1242"/>
        <v>0</v>
      </c>
      <c r="L3255" s="120">
        <f t="shared" si="1243"/>
        <v>0</v>
      </c>
      <c r="M3255" s="246">
        <f t="shared" si="1244"/>
        <v>0</v>
      </c>
      <c r="N3255" s="121">
        <f t="shared" si="1245"/>
        <v>1.05</v>
      </c>
      <c r="O3255" s="246">
        <f t="shared" si="1246"/>
        <v>0.93</v>
      </c>
      <c r="P3255" s="121">
        <f t="shared" si="1247"/>
        <v>0</v>
      </c>
      <c r="Q3255" s="121">
        <f t="shared" si="1248"/>
        <v>0</v>
      </c>
      <c r="R3255" s="121">
        <f t="shared" si="1249"/>
        <v>0.58333333333333337</v>
      </c>
      <c r="S3255" s="121" t="str">
        <f t="shared" si="1250"/>
        <v/>
      </c>
      <c r="T3255" s="121" t="str">
        <f t="shared" si="1251"/>
        <v/>
      </c>
      <c r="U3255" s="121">
        <f t="shared" si="1252"/>
        <v>1.05</v>
      </c>
    </row>
    <row r="3256" spans="1:21" x14ac:dyDescent="0.3">
      <c r="A3256" s="187">
        <v>46</v>
      </c>
      <c r="B3256" s="242">
        <f t="shared" si="1253"/>
        <v>47027</v>
      </c>
      <c r="C3256" s="243">
        <f t="shared" si="1234"/>
        <v>47057</v>
      </c>
      <c r="D3256" s="120">
        <f t="shared" si="1235"/>
        <v>31</v>
      </c>
      <c r="E3256" s="120">
        <f t="shared" si="1236"/>
        <v>10</v>
      </c>
      <c r="F3256" s="275">
        <f t="shared" si="1237"/>
        <v>47042.5</v>
      </c>
      <c r="G3256" s="120">
        <f t="shared" si="1238"/>
        <v>24345</v>
      </c>
      <c r="H3256" s="245">
        <f t="shared" si="1239"/>
        <v>1</v>
      </c>
      <c r="I3256" s="121">
        <f t="shared" si="1240"/>
        <v>1.05</v>
      </c>
      <c r="J3256" s="121">
        <f t="shared" si="1241"/>
        <v>1.05</v>
      </c>
      <c r="K3256" s="120">
        <f t="shared" si="1242"/>
        <v>0</v>
      </c>
      <c r="L3256" s="120">
        <f t="shared" si="1243"/>
        <v>0</v>
      </c>
      <c r="M3256" s="246">
        <f t="shared" si="1244"/>
        <v>0</v>
      </c>
      <c r="N3256" s="121">
        <f t="shared" si="1245"/>
        <v>1.05</v>
      </c>
      <c r="O3256" s="246">
        <f t="shared" si="1246"/>
        <v>0.93</v>
      </c>
      <c r="P3256" s="121">
        <f t="shared" si="1247"/>
        <v>0</v>
      </c>
      <c r="Q3256" s="121">
        <f t="shared" si="1248"/>
        <v>0</v>
      </c>
      <c r="R3256" s="121">
        <f t="shared" si="1249"/>
        <v>0.41666666666666669</v>
      </c>
      <c r="S3256" s="121" t="str">
        <f t="shared" si="1250"/>
        <v/>
      </c>
      <c r="T3256" s="121" t="str">
        <f t="shared" si="1251"/>
        <v/>
      </c>
      <c r="U3256" s="121">
        <f t="shared" si="1252"/>
        <v>1.05</v>
      </c>
    </row>
    <row r="3257" spans="1:21" x14ac:dyDescent="0.3">
      <c r="A3257" s="187">
        <v>47</v>
      </c>
      <c r="B3257" s="242">
        <f t="shared" si="1253"/>
        <v>47058</v>
      </c>
      <c r="C3257" s="243">
        <f t="shared" si="1234"/>
        <v>47087</v>
      </c>
      <c r="D3257" s="120">
        <f t="shared" si="1235"/>
        <v>30</v>
      </c>
      <c r="E3257" s="120">
        <f t="shared" si="1236"/>
        <v>11</v>
      </c>
      <c r="F3257" s="275">
        <f t="shared" si="1237"/>
        <v>47073</v>
      </c>
      <c r="G3257" s="120">
        <f t="shared" si="1238"/>
        <v>24346</v>
      </c>
      <c r="H3257" s="245">
        <f t="shared" si="1239"/>
        <v>1</v>
      </c>
      <c r="I3257" s="121">
        <f t="shared" si="1240"/>
        <v>1.05</v>
      </c>
      <c r="J3257" s="121">
        <f t="shared" si="1241"/>
        <v>1.05</v>
      </c>
      <c r="K3257" s="120">
        <f t="shared" si="1242"/>
        <v>0</v>
      </c>
      <c r="L3257" s="120">
        <f t="shared" si="1243"/>
        <v>0</v>
      </c>
      <c r="M3257" s="246">
        <f t="shared" si="1244"/>
        <v>0</v>
      </c>
      <c r="N3257" s="121">
        <f t="shared" si="1245"/>
        <v>1.05</v>
      </c>
      <c r="O3257" s="246">
        <f t="shared" si="1246"/>
        <v>0.93</v>
      </c>
      <c r="P3257" s="121">
        <f t="shared" si="1247"/>
        <v>0</v>
      </c>
      <c r="Q3257" s="121">
        <f t="shared" si="1248"/>
        <v>0</v>
      </c>
      <c r="R3257" s="121">
        <f t="shared" si="1249"/>
        <v>0.25</v>
      </c>
      <c r="S3257" s="121" t="str">
        <f t="shared" si="1250"/>
        <v/>
      </c>
      <c r="T3257" s="121" t="str">
        <f t="shared" si="1251"/>
        <v/>
      </c>
      <c r="U3257" s="121">
        <f t="shared" si="1252"/>
        <v>1.05</v>
      </c>
    </row>
    <row r="3258" spans="1:21" x14ac:dyDescent="0.3">
      <c r="A3258" s="187">
        <v>48</v>
      </c>
      <c r="B3258" s="242">
        <f t="shared" si="1253"/>
        <v>47088</v>
      </c>
      <c r="C3258" s="243">
        <f t="shared" si="1234"/>
        <v>47118</v>
      </c>
      <c r="D3258" s="120">
        <f t="shared" si="1235"/>
        <v>31</v>
      </c>
      <c r="E3258" s="120">
        <f t="shared" si="1236"/>
        <v>12</v>
      </c>
      <c r="F3258" s="275">
        <f t="shared" si="1237"/>
        <v>47103.5</v>
      </c>
      <c r="G3258" s="120">
        <f t="shared" si="1238"/>
        <v>24347</v>
      </c>
      <c r="H3258" s="245">
        <f t="shared" si="1239"/>
        <v>1</v>
      </c>
      <c r="I3258" s="121">
        <f t="shared" si="1240"/>
        <v>1.05</v>
      </c>
      <c r="J3258" s="121">
        <f t="shared" si="1241"/>
        <v>1.05</v>
      </c>
      <c r="K3258" s="120">
        <f t="shared" si="1242"/>
        <v>0</v>
      </c>
      <c r="L3258" s="120">
        <f t="shared" si="1243"/>
        <v>0</v>
      </c>
      <c r="M3258" s="246">
        <f t="shared" si="1244"/>
        <v>0</v>
      </c>
      <c r="N3258" s="121">
        <f t="shared" si="1245"/>
        <v>1.05</v>
      </c>
      <c r="O3258" s="246">
        <f t="shared" si="1246"/>
        <v>0.93</v>
      </c>
      <c r="P3258" s="121">
        <f t="shared" si="1247"/>
        <v>0</v>
      </c>
      <c r="Q3258" s="121">
        <f t="shared" si="1248"/>
        <v>0</v>
      </c>
      <c r="R3258" s="121">
        <f t="shared" si="1249"/>
        <v>8.3333333333333329E-2</v>
      </c>
      <c r="S3258" s="121" t="str">
        <f t="shared" si="1250"/>
        <v/>
      </c>
      <c r="T3258" s="121" t="str">
        <f t="shared" si="1251"/>
        <v/>
      </c>
      <c r="U3258" s="121">
        <f t="shared" si="1252"/>
        <v>1.05</v>
      </c>
    </row>
    <row r="3259" spans="1:21" x14ac:dyDescent="0.3">
      <c r="A3259" s="6" t="s">
        <v>1651</v>
      </c>
      <c r="B3259" s="73">
        <f>EXP(SUMPRODUCT((rl_key=$A$3208)*(rl_cons="Y")*rl_ln1p))</f>
        <v>1.05</v>
      </c>
      <c r="C3259" s="73">
        <f>SUMPRODUCT($H$3211:$H$3258,$P$3211:$P$3258,$U$3211:$U$3258)/SUMPRODUCT($H$3211:$H$3258,$P$3211:$P$3258)</f>
        <v>1.0013888888888889</v>
      </c>
      <c r="D3259" s="73">
        <f>SUMPRODUCT($H$3211:$H$3258,$Q$3211:$Q$3258,$U$3211:$U$3258)/SUMPRODUCT($H$3211:$H$3258,$Q$3211:$Q$3258)</f>
        <v>1.0444444444444445</v>
      </c>
      <c r="E3259" s="73">
        <f>SUMPRODUCT($H$3211:$H$3258,$R$3211:$R$3258,$U$3211:$U$3258)/SUMPRODUCT($H$3211:$H$3258,$R$3211:$R$3258)</f>
        <v>1.05</v>
      </c>
      <c r="F3259" s="224">
        <f>SUMPRODUCT($H$3211:$H$3258,$Q$3211:$Q$3258,$O$3211:$O$3258)/SUMPRODUCT($H$3211:$H$3258,$Q$3211:$Q$3258)</f>
        <v>0.91798504741064912</v>
      </c>
      <c r="G3259" s="224">
        <f>SUMPRODUCT($H$3211:$H$3258,$R$3211:$R$3258,$O$3211:$O$3258)/SUMPRODUCT($H$3211:$H$3258,$R$3211:$R$3258)</f>
        <v>0.92932044736202268</v>
      </c>
      <c r="H3259" s="73">
        <f>SUMPRODUCT($H$3235:$H$3246,$N$3235:$N$3246/$N$3223:$N$3234)/SUM($H$3235:$H$3246)</f>
        <v>1.0416666666666667</v>
      </c>
      <c r="I3259" s="73">
        <f>SUMPRODUCT($H$3235:$H$3246,$O$3235:$O$3246/$O$3223:$O$3234)/SUM($H$3235:$H$3246)</f>
        <v>1.0176314239537807</v>
      </c>
      <c r="J3259" s="73">
        <f>IF($O$3208=1,SUMPRODUCT($H$3235:$H$3246,$N$3235:$N$3246/$N$3223:$N$3234*$O$3235:$O$3246/$O$3223:$O$3234)/SUM($H$3235:$H$3246),$H3259)</f>
        <v>1.0600338116740151</v>
      </c>
      <c r="K3259" s="73">
        <f>SUMPRODUCT($H$3211:$H$3258,$Q$3211:$Q$3258,$N$3211:$N$3258)/SUMPRODUCT($H$3211:$H$3258,$Q$3211:$Q$3258)</f>
        <v>1.0444444444444445</v>
      </c>
      <c r="L3259" s="73">
        <f>SUMPRODUCT($H$3211:$H$3258,$R$3211:$R$3258,$N$3211:$N$3258)/SUMPRODUCT($H$3211:$H$3258,$R$3211:$R$3258)</f>
        <v>1.05</v>
      </c>
    </row>
    <row r="3262" spans="1:21" x14ac:dyDescent="0.3">
      <c r="A3262" s="6" t="str">
        <f>INDEX(lr_key,60)</f>
        <v>SBA|TN</v>
      </c>
      <c r="B3262" s="6" t="str">
        <f>INDEX(lr_state,60)</f>
        <v>TN</v>
      </c>
      <c r="C3262" s="75">
        <f>nr_TermMonths</f>
        <v>6</v>
      </c>
      <c r="D3262" s="75">
        <f>IF(COUNTIF(se_state,$B3262)=0,0,MATCH($B3262,se_state,0))</f>
        <v>0</v>
      </c>
      <c r="E3262" s="70">
        <f>IF($D3262=0,0,INDEX(se_sum,$D3262))</f>
        <v>0</v>
      </c>
      <c r="F3262" s="224">
        <f>IF(N(INDEX(lr_mind,60))=0,1,INDEX(lr_mind,60))</f>
        <v>0.92</v>
      </c>
      <c r="G3262" s="224">
        <f>IF(N(INDEX(lr_m0,60))=0,1,INDEX(lr_m0,60))</f>
        <v>0.91</v>
      </c>
      <c r="H3262" s="74">
        <f>IF(N(INDEX(lr_m0asof,60))=0,DATE(nr_PlanYear-1,10,1),INDEX(lr_m0asof,60))</f>
        <v>46295</v>
      </c>
      <c r="I3262" s="224">
        <f>IF(N(INDEX(lr_m1,60))=0,1,INDEX(lr_m1,60))</f>
        <v>0.91</v>
      </c>
      <c r="J3262" s="224">
        <f>INDEX(lr_mprior,60)</f>
        <v>0</v>
      </c>
      <c r="K3262" s="224">
        <f>INDEX(lr_m2,60)</f>
        <v>0</v>
      </c>
      <c r="L3262" s="6" t="b">
        <f>NOT(ISBLANK(INDEX(lr_netp,60)))</f>
        <v>0</v>
      </c>
      <c r="M3262" s="72">
        <f>N(INDEX(lr_netp,60))</f>
        <v>0</v>
      </c>
      <c r="N3262" s="72">
        <f>IF(ISBLANK(INDEX(lr_netp1,60)),$M$3262,N(INDEX(lr_netp1,60)))</f>
        <v>0</v>
      </c>
      <c r="O3262" s="75">
        <f>IF(AND(nr_ModAdjMaster="ON",INDEX(lr_modadj,60)="ON"),1,0)</f>
        <v>1</v>
      </c>
    </row>
    <row r="3263" spans="1:21" x14ac:dyDescent="0.3">
      <c r="A3263" s="6">
        <f>EDATE($H$3262,-12)+1</f>
        <v>45931</v>
      </c>
      <c r="B3263" s="6">
        <f>$H$3262+1</f>
        <v>46296</v>
      </c>
      <c r="C3263" s="6">
        <f>DATE(nr_PlanYear,12,31)+1</f>
        <v>46753</v>
      </c>
      <c r="D3263" s="6">
        <f>DATE(nr_PlanYear+1,12,31)+1</f>
        <v>47119</v>
      </c>
      <c r="E3263" s="6">
        <f>IF(N($J$3262)=0,$F$3263-($G$3263-$F$3263)/($C$3263-$B$3263)*($B$3263-$A$3263),$J$3262)</f>
        <v>0.91</v>
      </c>
      <c r="F3263" s="6">
        <f>$G$3262</f>
        <v>0.91</v>
      </c>
      <c r="G3263" s="6">
        <f>$I$3262</f>
        <v>0.91</v>
      </c>
      <c r="H3263" s="6">
        <f>IF(N($K$3262)=0,$I$3262,$K$3262)</f>
        <v>0.91</v>
      </c>
      <c r="I3263" s="6">
        <f>($F$3263-$E$3263)/($B$3263-$A$3263)</f>
        <v>0</v>
      </c>
      <c r="J3263" s="6">
        <f>($G$3263-$F$3263)/($C$3263-$B$3263)</f>
        <v>0</v>
      </c>
      <c r="K3263" s="6">
        <f>($H$3263-$G$3263)/($D$3263-$C$3263)</f>
        <v>0</v>
      </c>
    </row>
    <row r="3264" spans="1:21" ht="36" x14ac:dyDescent="0.3">
      <c r="A3264" s="58" t="s">
        <v>390</v>
      </c>
      <c r="B3264" s="58" t="s">
        <v>449</v>
      </c>
      <c r="C3264" s="58" t="s">
        <v>685</v>
      </c>
      <c r="D3264" s="58" t="s">
        <v>686</v>
      </c>
      <c r="E3264" s="58" t="s">
        <v>687</v>
      </c>
      <c r="F3264" s="58" t="s">
        <v>688</v>
      </c>
      <c r="G3264" s="58" t="s">
        <v>689</v>
      </c>
      <c r="H3264" s="58" t="s">
        <v>452</v>
      </c>
      <c r="I3264" s="58" t="s">
        <v>690</v>
      </c>
      <c r="J3264" s="58" t="s">
        <v>691</v>
      </c>
      <c r="K3264" s="58" t="s">
        <v>692</v>
      </c>
      <c r="L3264" s="58" t="s">
        <v>693</v>
      </c>
      <c r="M3264" s="58" t="s">
        <v>694</v>
      </c>
      <c r="N3264" s="58" t="s">
        <v>695</v>
      </c>
      <c r="O3264" s="58" t="s">
        <v>696</v>
      </c>
      <c r="P3264" s="58" t="s">
        <v>697</v>
      </c>
      <c r="Q3264" s="58" t="s">
        <v>698</v>
      </c>
      <c r="R3264" s="58" t="s">
        <v>699</v>
      </c>
      <c r="S3264" s="58" t="s">
        <v>700</v>
      </c>
      <c r="T3264" s="58" t="s">
        <v>701</v>
      </c>
      <c r="U3264" s="58" t="s">
        <v>702</v>
      </c>
    </row>
    <row r="3265" spans="1:21" x14ac:dyDescent="0.3">
      <c r="A3265" s="187">
        <v>1</v>
      </c>
      <c r="B3265" s="242">
        <f>DATE(nr_PlanYear-2,1,1)</f>
        <v>45658</v>
      </c>
      <c r="C3265" s="243">
        <f t="shared" ref="C3265:C3312" si="1254">EOMONTH($B3265,0)</f>
        <v>45688</v>
      </c>
      <c r="D3265" s="120">
        <f t="shared" ref="D3265:D3312" si="1255">$C3265-$B3265+1</f>
        <v>31</v>
      </c>
      <c r="E3265" s="120">
        <f t="shared" ref="E3265:E3312" si="1256">MONTH($B3265)</f>
        <v>1</v>
      </c>
      <c r="F3265" s="275">
        <f t="shared" ref="F3265:F3312" si="1257">($B3265+$C3265+1)/2</f>
        <v>45673.5</v>
      </c>
      <c r="G3265" s="120">
        <f t="shared" ref="G3265:G3312" si="1258">YEAR($B3265)*12+MONTH($B3265)-1</f>
        <v>24300</v>
      </c>
      <c r="H3265" s="245">
        <f t="shared" ref="H3265:H3312" si="1259">IF(OR(nr_SeasonOn="OFF",$D$3262=0,$E$3262=0),1,12*INDEX(se_block,$D$3262,$E3265)/$E$3262)</f>
        <v>1</v>
      </c>
      <c r="I3265" s="121">
        <f t="shared" ref="I3265:I3312" si="1260">EXP(SUMPRODUCT((rl_eff&lt;$B3265)*(rl_key=$A$3262)*rl_ln1p))</f>
        <v>1</v>
      </c>
      <c r="J3265" s="121">
        <f t="shared" ref="J3265:J3312" si="1261">EXP(SUMPRODUCT((rl_eff&lt;=$C3265)*(rl_key=$A$3262)*rl_ln1p))</f>
        <v>1</v>
      </c>
      <c r="K3265" s="120">
        <f t="shared" ref="K3265:K3312" si="1262">COUNTIFS(rl_key,$A$3262,rl_eff,"&gt;="&amp;$B3265,rl_eff,"&lt;="&amp;$C3265)</f>
        <v>0</v>
      </c>
      <c r="L3265" s="120">
        <f t="shared" ref="L3265:L3312" si="1263">SUMIFS(rl_daysafter,rl_key,$A$3262,rl_effmonth,$B3265,rl_first,1)</f>
        <v>0</v>
      </c>
      <c r="M3265" s="246">
        <f t="shared" ref="M3265:M3312" si="1264">IF($K3265=0,0,MIN(1,$L3265/$D3265))</f>
        <v>0</v>
      </c>
      <c r="N3265" s="121">
        <f t="shared" ref="N3265:N3312" si="1265">IF($K3265=0,$J3265,(1-$M3265)*$I3265+$M3265*$J3265)</f>
        <v>1</v>
      </c>
      <c r="O3265" s="246">
        <f t="shared" ref="O3265:O3312" si="1266">IF($F3265&lt;$B$3263,$E$3263+$I$3263*($F3265-$A$3263),IF($F3265&lt;$C$3263,$F$3263+$J$3263*($F3265-$B$3263),$G$3263+$K$3263*($F3265-$C$3263)))</f>
        <v>0.91</v>
      </c>
      <c r="P3265" s="121">
        <f t="shared" ref="P3265:P3312" si="1267">MIN(1,MAX(0,(nr_MEndPm1-$G3265+0.5)/$C$3262))-MIN(1,MAX(0,(nr_MStartPm1-1-$G3265+0.5)/$C$3262))</f>
        <v>0</v>
      </c>
      <c r="Q3265" s="121">
        <f t="shared" ref="Q3265:Q3312" si="1268">MIN(1,MAX(0,(nr_MEndP-$G3265+0.5)/$C$3262))-MIN(1,MAX(0,(nr_MStartP-1-$G3265+0.5)/$C$3262))</f>
        <v>0</v>
      </c>
      <c r="R3265" s="121">
        <f t="shared" ref="R3265:R3312" si="1269">MIN(1,MAX(0,(nr_MEndP1-$G3265+0.5)/$C$3262))-MIN(1,MAX(0,(nr_MStartP1-1-$G3265+0.5)/$C$3262))</f>
        <v>0</v>
      </c>
      <c r="S3265" s="121" t="str">
        <f t="shared" ref="S3265:S3312" si="1270">IF($L$3262,$N3265*IF($O$3262=1,$O3265/$F$3262,1),"")</f>
        <v/>
      </c>
      <c r="T3265" s="121" t="str">
        <f t="shared" ref="T3265:T3312" si="1271">IF(NOT($L$3262),"",IF($G3265&lt;nr_MStartP,$S3265,$T3253*(1+IF($G3265&lt;nr_MStartP1,$M$3262,$N$3262))))</f>
        <v/>
      </c>
      <c r="U3265" s="121">
        <f t="shared" ref="U3265:U3312" si="1272">IF($L$3262,$T3265,$N3265)</f>
        <v>1</v>
      </c>
    </row>
    <row r="3266" spans="1:21" x14ac:dyDescent="0.3">
      <c r="A3266" s="187">
        <v>2</v>
      </c>
      <c r="B3266" s="242">
        <f t="shared" ref="B3266:B3312" si="1273">EDATE($B3265,1)</f>
        <v>45689</v>
      </c>
      <c r="C3266" s="243">
        <f t="shared" si="1254"/>
        <v>45716</v>
      </c>
      <c r="D3266" s="120">
        <f t="shared" si="1255"/>
        <v>28</v>
      </c>
      <c r="E3266" s="120">
        <f t="shared" si="1256"/>
        <v>2</v>
      </c>
      <c r="F3266" s="275">
        <f t="shared" si="1257"/>
        <v>45703</v>
      </c>
      <c r="G3266" s="120">
        <f t="shared" si="1258"/>
        <v>24301</v>
      </c>
      <c r="H3266" s="245">
        <f t="shared" si="1259"/>
        <v>1</v>
      </c>
      <c r="I3266" s="121">
        <f t="shared" si="1260"/>
        <v>1</v>
      </c>
      <c r="J3266" s="121">
        <f t="shared" si="1261"/>
        <v>1</v>
      </c>
      <c r="K3266" s="120">
        <f t="shared" si="1262"/>
        <v>0</v>
      </c>
      <c r="L3266" s="120">
        <f t="shared" si="1263"/>
        <v>0</v>
      </c>
      <c r="M3266" s="246">
        <f t="shared" si="1264"/>
        <v>0</v>
      </c>
      <c r="N3266" s="121">
        <f t="shared" si="1265"/>
        <v>1</v>
      </c>
      <c r="O3266" s="246">
        <f t="shared" si="1266"/>
        <v>0.91</v>
      </c>
      <c r="P3266" s="121">
        <f t="shared" si="1267"/>
        <v>0</v>
      </c>
      <c r="Q3266" s="121">
        <f t="shared" si="1268"/>
        <v>0</v>
      </c>
      <c r="R3266" s="121">
        <f t="shared" si="1269"/>
        <v>0</v>
      </c>
      <c r="S3266" s="121" t="str">
        <f t="shared" si="1270"/>
        <v/>
      </c>
      <c r="T3266" s="121" t="str">
        <f t="shared" si="1271"/>
        <v/>
      </c>
      <c r="U3266" s="121">
        <f t="shared" si="1272"/>
        <v>1</v>
      </c>
    </row>
    <row r="3267" spans="1:21" x14ac:dyDescent="0.3">
      <c r="A3267" s="187">
        <v>3</v>
      </c>
      <c r="B3267" s="242">
        <f t="shared" si="1273"/>
        <v>45717</v>
      </c>
      <c r="C3267" s="243">
        <f t="shared" si="1254"/>
        <v>45747</v>
      </c>
      <c r="D3267" s="120">
        <f t="shared" si="1255"/>
        <v>31</v>
      </c>
      <c r="E3267" s="120">
        <f t="shared" si="1256"/>
        <v>3</v>
      </c>
      <c r="F3267" s="275">
        <f t="shared" si="1257"/>
        <v>45732.5</v>
      </c>
      <c r="G3267" s="120">
        <f t="shared" si="1258"/>
        <v>24302</v>
      </c>
      <c r="H3267" s="245">
        <f t="shared" si="1259"/>
        <v>1</v>
      </c>
      <c r="I3267" s="121">
        <f t="shared" si="1260"/>
        <v>1</v>
      </c>
      <c r="J3267" s="121">
        <f t="shared" si="1261"/>
        <v>1</v>
      </c>
      <c r="K3267" s="120">
        <f t="shared" si="1262"/>
        <v>0</v>
      </c>
      <c r="L3267" s="120">
        <f t="shared" si="1263"/>
        <v>0</v>
      </c>
      <c r="M3267" s="246">
        <f t="shared" si="1264"/>
        <v>0</v>
      </c>
      <c r="N3267" s="121">
        <f t="shared" si="1265"/>
        <v>1</v>
      </c>
      <c r="O3267" s="246">
        <f t="shared" si="1266"/>
        <v>0.91</v>
      </c>
      <c r="P3267" s="121">
        <f t="shared" si="1267"/>
        <v>0</v>
      </c>
      <c r="Q3267" s="121">
        <f t="shared" si="1268"/>
        <v>0</v>
      </c>
      <c r="R3267" s="121">
        <f t="shared" si="1269"/>
        <v>0</v>
      </c>
      <c r="S3267" s="121" t="str">
        <f t="shared" si="1270"/>
        <v/>
      </c>
      <c r="T3267" s="121" t="str">
        <f t="shared" si="1271"/>
        <v/>
      </c>
      <c r="U3267" s="121">
        <f t="shared" si="1272"/>
        <v>1</v>
      </c>
    </row>
    <row r="3268" spans="1:21" x14ac:dyDescent="0.3">
      <c r="A3268" s="187">
        <v>4</v>
      </c>
      <c r="B3268" s="242">
        <f t="shared" si="1273"/>
        <v>45748</v>
      </c>
      <c r="C3268" s="243">
        <f t="shared" si="1254"/>
        <v>45777</v>
      </c>
      <c r="D3268" s="120">
        <f t="shared" si="1255"/>
        <v>30</v>
      </c>
      <c r="E3268" s="120">
        <f t="shared" si="1256"/>
        <v>4</v>
      </c>
      <c r="F3268" s="275">
        <f t="shared" si="1257"/>
        <v>45763</v>
      </c>
      <c r="G3268" s="120">
        <f t="shared" si="1258"/>
        <v>24303</v>
      </c>
      <c r="H3268" s="245">
        <f t="shared" si="1259"/>
        <v>1</v>
      </c>
      <c r="I3268" s="121">
        <f t="shared" si="1260"/>
        <v>1</v>
      </c>
      <c r="J3268" s="121">
        <f t="shared" si="1261"/>
        <v>1</v>
      </c>
      <c r="K3268" s="120">
        <f t="shared" si="1262"/>
        <v>0</v>
      </c>
      <c r="L3268" s="120">
        <f t="shared" si="1263"/>
        <v>0</v>
      </c>
      <c r="M3268" s="246">
        <f t="shared" si="1264"/>
        <v>0</v>
      </c>
      <c r="N3268" s="121">
        <f t="shared" si="1265"/>
        <v>1</v>
      </c>
      <c r="O3268" s="246">
        <f t="shared" si="1266"/>
        <v>0.91</v>
      </c>
      <c r="P3268" s="121">
        <f t="shared" si="1267"/>
        <v>0</v>
      </c>
      <c r="Q3268" s="121">
        <f t="shared" si="1268"/>
        <v>0</v>
      </c>
      <c r="R3268" s="121">
        <f t="shared" si="1269"/>
        <v>0</v>
      </c>
      <c r="S3268" s="121" t="str">
        <f t="shared" si="1270"/>
        <v/>
      </c>
      <c r="T3268" s="121" t="str">
        <f t="shared" si="1271"/>
        <v/>
      </c>
      <c r="U3268" s="121">
        <f t="shared" si="1272"/>
        <v>1</v>
      </c>
    </row>
    <row r="3269" spans="1:21" x14ac:dyDescent="0.3">
      <c r="A3269" s="187">
        <v>5</v>
      </c>
      <c r="B3269" s="242">
        <f t="shared" si="1273"/>
        <v>45778</v>
      </c>
      <c r="C3269" s="243">
        <f t="shared" si="1254"/>
        <v>45808</v>
      </c>
      <c r="D3269" s="120">
        <f t="shared" si="1255"/>
        <v>31</v>
      </c>
      <c r="E3269" s="120">
        <f t="shared" si="1256"/>
        <v>5</v>
      </c>
      <c r="F3269" s="275">
        <f t="shared" si="1257"/>
        <v>45793.5</v>
      </c>
      <c r="G3269" s="120">
        <f t="shared" si="1258"/>
        <v>24304</v>
      </c>
      <c r="H3269" s="245">
        <f t="shared" si="1259"/>
        <v>1</v>
      </c>
      <c r="I3269" s="121">
        <f t="shared" si="1260"/>
        <v>1</v>
      </c>
      <c r="J3269" s="121">
        <f t="shared" si="1261"/>
        <v>1</v>
      </c>
      <c r="K3269" s="120">
        <f t="shared" si="1262"/>
        <v>0</v>
      </c>
      <c r="L3269" s="120">
        <f t="shared" si="1263"/>
        <v>0</v>
      </c>
      <c r="M3269" s="246">
        <f t="shared" si="1264"/>
        <v>0</v>
      </c>
      <c r="N3269" s="121">
        <f t="shared" si="1265"/>
        <v>1</v>
      </c>
      <c r="O3269" s="246">
        <f t="shared" si="1266"/>
        <v>0.91</v>
      </c>
      <c r="P3269" s="121">
        <f t="shared" si="1267"/>
        <v>0</v>
      </c>
      <c r="Q3269" s="121">
        <f t="shared" si="1268"/>
        <v>0</v>
      </c>
      <c r="R3269" s="121">
        <f t="shared" si="1269"/>
        <v>0</v>
      </c>
      <c r="S3269" s="121" t="str">
        <f t="shared" si="1270"/>
        <v/>
      </c>
      <c r="T3269" s="121" t="str">
        <f t="shared" si="1271"/>
        <v/>
      </c>
      <c r="U3269" s="121">
        <f t="shared" si="1272"/>
        <v>1</v>
      </c>
    </row>
    <row r="3270" spans="1:21" x14ac:dyDescent="0.3">
      <c r="A3270" s="187">
        <v>6</v>
      </c>
      <c r="B3270" s="242">
        <f t="shared" si="1273"/>
        <v>45809</v>
      </c>
      <c r="C3270" s="243">
        <f t="shared" si="1254"/>
        <v>45838</v>
      </c>
      <c r="D3270" s="120">
        <f t="shared" si="1255"/>
        <v>30</v>
      </c>
      <c r="E3270" s="120">
        <f t="shared" si="1256"/>
        <v>6</v>
      </c>
      <c r="F3270" s="275">
        <f t="shared" si="1257"/>
        <v>45824</v>
      </c>
      <c r="G3270" s="120">
        <f t="shared" si="1258"/>
        <v>24305</v>
      </c>
      <c r="H3270" s="245">
        <f t="shared" si="1259"/>
        <v>1</v>
      </c>
      <c r="I3270" s="121">
        <f t="shared" si="1260"/>
        <v>1</v>
      </c>
      <c r="J3270" s="121">
        <f t="shared" si="1261"/>
        <v>1</v>
      </c>
      <c r="K3270" s="120">
        <f t="shared" si="1262"/>
        <v>0</v>
      </c>
      <c r="L3270" s="120">
        <f t="shared" si="1263"/>
        <v>0</v>
      </c>
      <c r="M3270" s="246">
        <f t="shared" si="1264"/>
        <v>0</v>
      </c>
      <c r="N3270" s="121">
        <f t="shared" si="1265"/>
        <v>1</v>
      </c>
      <c r="O3270" s="246">
        <f t="shared" si="1266"/>
        <v>0.91</v>
      </c>
      <c r="P3270" s="121">
        <f t="shared" si="1267"/>
        <v>0</v>
      </c>
      <c r="Q3270" s="121">
        <f t="shared" si="1268"/>
        <v>0</v>
      </c>
      <c r="R3270" s="121">
        <f t="shared" si="1269"/>
        <v>0</v>
      </c>
      <c r="S3270" s="121" t="str">
        <f t="shared" si="1270"/>
        <v/>
      </c>
      <c r="T3270" s="121" t="str">
        <f t="shared" si="1271"/>
        <v/>
      </c>
      <c r="U3270" s="121">
        <f t="shared" si="1272"/>
        <v>1</v>
      </c>
    </row>
    <row r="3271" spans="1:21" x14ac:dyDescent="0.3">
      <c r="A3271" s="187">
        <v>7</v>
      </c>
      <c r="B3271" s="242">
        <f t="shared" si="1273"/>
        <v>45839</v>
      </c>
      <c r="C3271" s="243">
        <f t="shared" si="1254"/>
        <v>45869</v>
      </c>
      <c r="D3271" s="120">
        <f t="shared" si="1255"/>
        <v>31</v>
      </c>
      <c r="E3271" s="120">
        <f t="shared" si="1256"/>
        <v>7</v>
      </c>
      <c r="F3271" s="275">
        <f t="shared" si="1257"/>
        <v>45854.5</v>
      </c>
      <c r="G3271" s="120">
        <f t="shared" si="1258"/>
        <v>24306</v>
      </c>
      <c r="H3271" s="245">
        <f t="shared" si="1259"/>
        <v>1</v>
      </c>
      <c r="I3271" s="121">
        <f t="shared" si="1260"/>
        <v>1</v>
      </c>
      <c r="J3271" s="121">
        <f t="shared" si="1261"/>
        <v>1</v>
      </c>
      <c r="K3271" s="120">
        <f t="shared" si="1262"/>
        <v>0</v>
      </c>
      <c r="L3271" s="120">
        <f t="shared" si="1263"/>
        <v>0</v>
      </c>
      <c r="M3271" s="246">
        <f t="shared" si="1264"/>
        <v>0</v>
      </c>
      <c r="N3271" s="121">
        <f t="shared" si="1265"/>
        <v>1</v>
      </c>
      <c r="O3271" s="246">
        <f t="shared" si="1266"/>
        <v>0.91</v>
      </c>
      <c r="P3271" s="121">
        <f t="shared" si="1267"/>
        <v>8.333333333333337E-2</v>
      </c>
      <c r="Q3271" s="121">
        <f t="shared" si="1268"/>
        <v>0</v>
      </c>
      <c r="R3271" s="121">
        <f t="shared" si="1269"/>
        <v>0</v>
      </c>
      <c r="S3271" s="121" t="str">
        <f t="shared" si="1270"/>
        <v/>
      </c>
      <c r="T3271" s="121" t="str">
        <f t="shared" si="1271"/>
        <v/>
      </c>
      <c r="U3271" s="121">
        <f t="shared" si="1272"/>
        <v>1</v>
      </c>
    </row>
    <row r="3272" spans="1:21" x14ac:dyDescent="0.3">
      <c r="A3272" s="187">
        <v>8</v>
      </c>
      <c r="B3272" s="242">
        <f t="shared" si="1273"/>
        <v>45870</v>
      </c>
      <c r="C3272" s="243">
        <f t="shared" si="1254"/>
        <v>45900</v>
      </c>
      <c r="D3272" s="120">
        <f t="shared" si="1255"/>
        <v>31</v>
      </c>
      <c r="E3272" s="120">
        <f t="shared" si="1256"/>
        <v>8</v>
      </c>
      <c r="F3272" s="275">
        <f t="shared" si="1257"/>
        <v>45885.5</v>
      </c>
      <c r="G3272" s="120">
        <f t="shared" si="1258"/>
        <v>24307</v>
      </c>
      <c r="H3272" s="245">
        <f t="shared" si="1259"/>
        <v>1</v>
      </c>
      <c r="I3272" s="121">
        <f t="shared" si="1260"/>
        <v>1</v>
      </c>
      <c r="J3272" s="121">
        <f t="shared" si="1261"/>
        <v>1</v>
      </c>
      <c r="K3272" s="120">
        <f t="shared" si="1262"/>
        <v>0</v>
      </c>
      <c r="L3272" s="120">
        <f t="shared" si="1263"/>
        <v>0</v>
      </c>
      <c r="M3272" s="246">
        <f t="shared" si="1264"/>
        <v>0</v>
      </c>
      <c r="N3272" s="121">
        <f t="shared" si="1265"/>
        <v>1</v>
      </c>
      <c r="O3272" s="246">
        <f t="shared" si="1266"/>
        <v>0.91</v>
      </c>
      <c r="P3272" s="121">
        <f t="shared" si="1267"/>
        <v>0.25</v>
      </c>
      <c r="Q3272" s="121">
        <f t="shared" si="1268"/>
        <v>0</v>
      </c>
      <c r="R3272" s="121">
        <f t="shared" si="1269"/>
        <v>0</v>
      </c>
      <c r="S3272" s="121" t="str">
        <f t="shared" si="1270"/>
        <v/>
      </c>
      <c r="T3272" s="121" t="str">
        <f t="shared" si="1271"/>
        <v/>
      </c>
      <c r="U3272" s="121">
        <f t="shared" si="1272"/>
        <v>1</v>
      </c>
    </row>
    <row r="3273" spans="1:21" x14ac:dyDescent="0.3">
      <c r="A3273" s="187">
        <v>9</v>
      </c>
      <c r="B3273" s="242">
        <f t="shared" si="1273"/>
        <v>45901</v>
      </c>
      <c r="C3273" s="243">
        <f t="shared" si="1254"/>
        <v>45930</v>
      </c>
      <c r="D3273" s="120">
        <f t="shared" si="1255"/>
        <v>30</v>
      </c>
      <c r="E3273" s="120">
        <f t="shared" si="1256"/>
        <v>9</v>
      </c>
      <c r="F3273" s="275">
        <f t="shared" si="1257"/>
        <v>45916</v>
      </c>
      <c r="G3273" s="120">
        <f t="shared" si="1258"/>
        <v>24308</v>
      </c>
      <c r="H3273" s="245">
        <f t="shared" si="1259"/>
        <v>1</v>
      </c>
      <c r="I3273" s="121">
        <f t="shared" si="1260"/>
        <v>1</v>
      </c>
      <c r="J3273" s="121">
        <f t="shared" si="1261"/>
        <v>1</v>
      </c>
      <c r="K3273" s="120">
        <f t="shared" si="1262"/>
        <v>0</v>
      </c>
      <c r="L3273" s="120">
        <f t="shared" si="1263"/>
        <v>0</v>
      </c>
      <c r="M3273" s="246">
        <f t="shared" si="1264"/>
        <v>0</v>
      </c>
      <c r="N3273" s="121">
        <f t="shared" si="1265"/>
        <v>1</v>
      </c>
      <c r="O3273" s="246">
        <f t="shared" si="1266"/>
        <v>0.91</v>
      </c>
      <c r="P3273" s="121">
        <f t="shared" si="1267"/>
        <v>0.41666666666666663</v>
      </c>
      <c r="Q3273" s="121">
        <f t="shared" si="1268"/>
        <v>0</v>
      </c>
      <c r="R3273" s="121">
        <f t="shared" si="1269"/>
        <v>0</v>
      </c>
      <c r="S3273" s="121" t="str">
        <f t="shared" si="1270"/>
        <v/>
      </c>
      <c r="T3273" s="121" t="str">
        <f t="shared" si="1271"/>
        <v/>
      </c>
      <c r="U3273" s="121">
        <f t="shared" si="1272"/>
        <v>1</v>
      </c>
    </row>
    <row r="3274" spans="1:21" x14ac:dyDescent="0.3">
      <c r="A3274" s="187">
        <v>10</v>
      </c>
      <c r="B3274" s="242">
        <f t="shared" si="1273"/>
        <v>45931</v>
      </c>
      <c r="C3274" s="243">
        <f t="shared" si="1254"/>
        <v>45961</v>
      </c>
      <c r="D3274" s="120">
        <f t="shared" si="1255"/>
        <v>31</v>
      </c>
      <c r="E3274" s="120">
        <f t="shared" si="1256"/>
        <v>10</v>
      </c>
      <c r="F3274" s="275">
        <f t="shared" si="1257"/>
        <v>45946.5</v>
      </c>
      <c r="G3274" s="120">
        <f t="shared" si="1258"/>
        <v>24309</v>
      </c>
      <c r="H3274" s="245">
        <f t="shared" si="1259"/>
        <v>1</v>
      </c>
      <c r="I3274" s="121">
        <f t="shared" si="1260"/>
        <v>1</v>
      </c>
      <c r="J3274" s="121">
        <f t="shared" si="1261"/>
        <v>1</v>
      </c>
      <c r="K3274" s="120">
        <f t="shared" si="1262"/>
        <v>0</v>
      </c>
      <c r="L3274" s="120">
        <f t="shared" si="1263"/>
        <v>0</v>
      </c>
      <c r="M3274" s="246">
        <f t="shared" si="1264"/>
        <v>0</v>
      </c>
      <c r="N3274" s="121">
        <f t="shared" si="1265"/>
        <v>1</v>
      </c>
      <c r="O3274" s="246">
        <f t="shared" si="1266"/>
        <v>0.91</v>
      </c>
      <c r="P3274" s="121">
        <f t="shared" si="1267"/>
        <v>0.58333333333333326</v>
      </c>
      <c r="Q3274" s="121">
        <f t="shared" si="1268"/>
        <v>0</v>
      </c>
      <c r="R3274" s="121">
        <f t="shared" si="1269"/>
        <v>0</v>
      </c>
      <c r="S3274" s="121" t="str">
        <f t="shared" si="1270"/>
        <v/>
      </c>
      <c r="T3274" s="121" t="str">
        <f t="shared" si="1271"/>
        <v/>
      </c>
      <c r="U3274" s="121">
        <f t="shared" si="1272"/>
        <v>1</v>
      </c>
    </row>
    <row r="3275" spans="1:21" x14ac:dyDescent="0.3">
      <c r="A3275" s="187">
        <v>11</v>
      </c>
      <c r="B3275" s="242">
        <f t="shared" si="1273"/>
        <v>45962</v>
      </c>
      <c r="C3275" s="243">
        <f t="shared" si="1254"/>
        <v>45991</v>
      </c>
      <c r="D3275" s="120">
        <f t="shared" si="1255"/>
        <v>30</v>
      </c>
      <c r="E3275" s="120">
        <f t="shared" si="1256"/>
        <v>11</v>
      </c>
      <c r="F3275" s="275">
        <f t="shared" si="1257"/>
        <v>45977</v>
      </c>
      <c r="G3275" s="120">
        <f t="shared" si="1258"/>
        <v>24310</v>
      </c>
      <c r="H3275" s="245">
        <f t="shared" si="1259"/>
        <v>1</v>
      </c>
      <c r="I3275" s="121">
        <f t="shared" si="1260"/>
        <v>1</v>
      </c>
      <c r="J3275" s="121">
        <f t="shared" si="1261"/>
        <v>1</v>
      </c>
      <c r="K3275" s="120">
        <f t="shared" si="1262"/>
        <v>0</v>
      </c>
      <c r="L3275" s="120">
        <f t="shared" si="1263"/>
        <v>0</v>
      </c>
      <c r="M3275" s="246">
        <f t="shared" si="1264"/>
        <v>0</v>
      </c>
      <c r="N3275" s="121">
        <f t="shared" si="1265"/>
        <v>1</v>
      </c>
      <c r="O3275" s="246">
        <f t="shared" si="1266"/>
        <v>0.91</v>
      </c>
      <c r="P3275" s="121">
        <f t="shared" si="1267"/>
        <v>0.75</v>
      </c>
      <c r="Q3275" s="121">
        <f t="shared" si="1268"/>
        <v>0</v>
      </c>
      <c r="R3275" s="121">
        <f t="shared" si="1269"/>
        <v>0</v>
      </c>
      <c r="S3275" s="121" t="str">
        <f t="shared" si="1270"/>
        <v/>
      </c>
      <c r="T3275" s="121" t="str">
        <f t="shared" si="1271"/>
        <v/>
      </c>
      <c r="U3275" s="121">
        <f t="shared" si="1272"/>
        <v>1</v>
      </c>
    </row>
    <row r="3276" spans="1:21" x14ac:dyDescent="0.3">
      <c r="A3276" s="187">
        <v>12</v>
      </c>
      <c r="B3276" s="242">
        <f t="shared" si="1273"/>
        <v>45992</v>
      </c>
      <c r="C3276" s="243">
        <f t="shared" si="1254"/>
        <v>46022</v>
      </c>
      <c r="D3276" s="120">
        <f t="shared" si="1255"/>
        <v>31</v>
      </c>
      <c r="E3276" s="120">
        <f t="shared" si="1256"/>
        <v>12</v>
      </c>
      <c r="F3276" s="275">
        <f t="shared" si="1257"/>
        <v>46007.5</v>
      </c>
      <c r="G3276" s="120">
        <f t="shared" si="1258"/>
        <v>24311</v>
      </c>
      <c r="H3276" s="245">
        <f t="shared" si="1259"/>
        <v>1</v>
      </c>
      <c r="I3276" s="121">
        <f t="shared" si="1260"/>
        <v>1</v>
      </c>
      <c r="J3276" s="121">
        <f t="shared" si="1261"/>
        <v>1</v>
      </c>
      <c r="K3276" s="120">
        <f t="shared" si="1262"/>
        <v>0</v>
      </c>
      <c r="L3276" s="120">
        <f t="shared" si="1263"/>
        <v>0</v>
      </c>
      <c r="M3276" s="246">
        <f t="shared" si="1264"/>
        <v>0</v>
      </c>
      <c r="N3276" s="121">
        <f t="shared" si="1265"/>
        <v>1</v>
      </c>
      <c r="O3276" s="246">
        <f t="shared" si="1266"/>
        <v>0.91</v>
      </c>
      <c r="P3276" s="121">
        <f t="shared" si="1267"/>
        <v>0.91666666666666663</v>
      </c>
      <c r="Q3276" s="121">
        <f t="shared" si="1268"/>
        <v>0</v>
      </c>
      <c r="R3276" s="121">
        <f t="shared" si="1269"/>
        <v>0</v>
      </c>
      <c r="S3276" s="121" t="str">
        <f t="shared" si="1270"/>
        <v/>
      </c>
      <c r="T3276" s="121" t="str">
        <f t="shared" si="1271"/>
        <v/>
      </c>
      <c r="U3276" s="121">
        <f t="shared" si="1272"/>
        <v>1</v>
      </c>
    </row>
    <row r="3277" spans="1:21" x14ac:dyDescent="0.3">
      <c r="A3277" s="187">
        <v>13</v>
      </c>
      <c r="B3277" s="242">
        <f t="shared" si="1273"/>
        <v>46023</v>
      </c>
      <c r="C3277" s="243">
        <f t="shared" si="1254"/>
        <v>46053</v>
      </c>
      <c r="D3277" s="120">
        <f t="shared" si="1255"/>
        <v>31</v>
      </c>
      <c r="E3277" s="120">
        <f t="shared" si="1256"/>
        <v>1</v>
      </c>
      <c r="F3277" s="275">
        <f t="shared" si="1257"/>
        <v>46038.5</v>
      </c>
      <c r="G3277" s="120">
        <f t="shared" si="1258"/>
        <v>24312</v>
      </c>
      <c r="H3277" s="245">
        <f t="shared" si="1259"/>
        <v>1</v>
      </c>
      <c r="I3277" s="121">
        <f t="shared" si="1260"/>
        <v>1</v>
      </c>
      <c r="J3277" s="121">
        <f t="shared" si="1261"/>
        <v>1</v>
      </c>
      <c r="K3277" s="120">
        <f t="shared" si="1262"/>
        <v>0</v>
      </c>
      <c r="L3277" s="120">
        <f t="shared" si="1263"/>
        <v>0</v>
      </c>
      <c r="M3277" s="246">
        <f t="shared" si="1264"/>
        <v>0</v>
      </c>
      <c r="N3277" s="121">
        <f t="shared" si="1265"/>
        <v>1</v>
      </c>
      <c r="O3277" s="246">
        <f t="shared" si="1266"/>
        <v>0.91</v>
      </c>
      <c r="P3277" s="121">
        <f t="shared" si="1267"/>
        <v>1</v>
      </c>
      <c r="Q3277" s="121">
        <f t="shared" si="1268"/>
        <v>0</v>
      </c>
      <c r="R3277" s="121">
        <f t="shared" si="1269"/>
        <v>0</v>
      </c>
      <c r="S3277" s="121" t="str">
        <f t="shared" si="1270"/>
        <v/>
      </c>
      <c r="T3277" s="121" t="str">
        <f t="shared" si="1271"/>
        <v/>
      </c>
      <c r="U3277" s="121">
        <f t="shared" si="1272"/>
        <v>1</v>
      </c>
    </row>
    <row r="3278" spans="1:21" x14ac:dyDescent="0.3">
      <c r="A3278" s="187">
        <v>14</v>
      </c>
      <c r="B3278" s="242">
        <f t="shared" si="1273"/>
        <v>46054</v>
      </c>
      <c r="C3278" s="243">
        <f t="shared" si="1254"/>
        <v>46081</v>
      </c>
      <c r="D3278" s="120">
        <f t="shared" si="1255"/>
        <v>28</v>
      </c>
      <c r="E3278" s="120">
        <f t="shared" si="1256"/>
        <v>2</v>
      </c>
      <c r="F3278" s="275">
        <f t="shared" si="1257"/>
        <v>46068</v>
      </c>
      <c r="G3278" s="120">
        <f t="shared" si="1258"/>
        <v>24313</v>
      </c>
      <c r="H3278" s="245">
        <f t="shared" si="1259"/>
        <v>1</v>
      </c>
      <c r="I3278" s="121">
        <f t="shared" si="1260"/>
        <v>1</v>
      </c>
      <c r="J3278" s="121">
        <f t="shared" si="1261"/>
        <v>1</v>
      </c>
      <c r="K3278" s="120">
        <f t="shared" si="1262"/>
        <v>0</v>
      </c>
      <c r="L3278" s="120">
        <f t="shared" si="1263"/>
        <v>0</v>
      </c>
      <c r="M3278" s="246">
        <f t="shared" si="1264"/>
        <v>0</v>
      </c>
      <c r="N3278" s="121">
        <f t="shared" si="1265"/>
        <v>1</v>
      </c>
      <c r="O3278" s="246">
        <f t="shared" si="1266"/>
        <v>0.91</v>
      </c>
      <c r="P3278" s="121">
        <f t="shared" si="1267"/>
        <v>1</v>
      </c>
      <c r="Q3278" s="121">
        <f t="shared" si="1268"/>
        <v>0</v>
      </c>
      <c r="R3278" s="121">
        <f t="shared" si="1269"/>
        <v>0</v>
      </c>
      <c r="S3278" s="121" t="str">
        <f t="shared" si="1270"/>
        <v/>
      </c>
      <c r="T3278" s="121" t="str">
        <f t="shared" si="1271"/>
        <v/>
      </c>
      <c r="U3278" s="121">
        <f t="shared" si="1272"/>
        <v>1</v>
      </c>
    </row>
    <row r="3279" spans="1:21" x14ac:dyDescent="0.3">
      <c r="A3279" s="187">
        <v>15</v>
      </c>
      <c r="B3279" s="242">
        <f t="shared" si="1273"/>
        <v>46082</v>
      </c>
      <c r="C3279" s="243">
        <f t="shared" si="1254"/>
        <v>46112</v>
      </c>
      <c r="D3279" s="120">
        <f t="shared" si="1255"/>
        <v>31</v>
      </c>
      <c r="E3279" s="120">
        <f t="shared" si="1256"/>
        <v>3</v>
      </c>
      <c r="F3279" s="275">
        <f t="shared" si="1257"/>
        <v>46097.5</v>
      </c>
      <c r="G3279" s="120">
        <f t="shared" si="1258"/>
        <v>24314</v>
      </c>
      <c r="H3279" s="245">
        <f t="shared" si="1259"/>
        <v>1</v>
      </c>
      <c r="I3279" s="121">
        <f t="shared" si="1260"/>
        <v>1</v>
      </c>
      <c r="J3279" s="121">
        <f t="shared" si="1261"/>
        <v>1</v>
      </c>
      <c r="K3279" s="120">
        <f t="shared" si="1262"/>
        <v>0</v>
      </c>
      <c r="L3279" s="120">
        <f t="shared" si="1263"/>
        <v>0</v>
      </c>
      <c r="M3279" s="246">
        <f t="shared" si="1264"/>
        <v>0</v>
      </c>
      <c r="N3279" s="121">
        <f t="shared" si="1265"/>
        <v>1</v>
      </c>
      <c r="O3279" s="246">
        <f t="shared" si="1266"/>
        <v>0.91</v>
      </c>
      <c r="P3279" s="121">
        <f t="shared" si="1267"/>
        <v>1</v>
      </c>
      <c r="Q3279" s="121">
        <f t="shared" si="1268"/>
        <v>0</v>
      </c>
      <c r="R3279" s="121">
        <f t="shared" si="1269"/>
        <v>0</v>
      </c>
      <c r="S3279" s="121" t="str">
        <f t="shared" si="1270"/>
        <v/>
      </c>
      <c r="T3279" s="121" t="str">
        <f t="shared" si="1271"/>
        <v/>
      </c>
      <c r="U3279" s="121">
        <f t="shared" si="1272"/>
        <v>1</v>
      </c>
    </row>
    <row r="3280" spans="1:21" x14ac:dyDescent="0.3">
      <c r="A3280" s="187">
        <v>16</v>
      </c>
      <c r="B3280" s="242">
        <f t="shared" si="1273"/>
        <v>46113</v>
      </c>
      <c r="C3280" s="243">
        <f t="shared" si="1254"/>
        <v>46142</v>
      </c>
      <c r="D3280" s="120">
        <f t="shared" si="1255"/>
        <v>30</v>
      </c>
      <c r="E3280" s="120">
        <f t="shared" si="1256"/>
        <v>4</v>
      </c>
      <c r="F3280" s="275">
        <f t="shared" si="1257"/>
        <v>46128</v>
      </c>
      <c r="G3280" s="120">
        <f t="shared" si="1258"/>
        <v>24315</v>
      </c>
      <c r="H3280" s="245">
        <f t="shared" si="1259"/>
        <v>1</v>
      </c>
      <c r="I3280" s="121">
        <f t="shared" si="1260"/>
        <v>1</v>
      </c>
      <c r="J3280" s="121">
        <f t="shared" si="1261"/>
        <v>1</v>
      </c>
      <c r="K3280" s="120">
        <f t="shared" si="1262"/>
        <v>0</v>
      </c>
      <c r="L3280" s="120">
        <f t="shared" si="1263"/>
        <v>0</v>
      </c>
      <c r="M3280" s="246">
        <f t="shared" si="1264"/>
        <v>0</v>
      </c>
      <c r="N3280" s="121">
        <f t="shared" si="1265"/>
        <v>1</v>
      </c>
      <c r="O3280" s="246">
        <f t="shared" si="1266"/>
        <v>0.91</v>
      </c>
      <c r="P3280" s="121">
        <f t="shared" si="1267"/>
        <v>1</v>
      </c>
      <c r="Q3280" s="121">
        <f t="shared" si="1268"/>
        <v>0</v>
      </c>
      <c r="R3280" s="121">
        <f t="shared" si="1269"/>
        <v>0</v>
      </c>
      <c r="S3280" s="121" t="str">
        <f t="shared" si="1270"/>
        <v/>
      </c>
      <c r="T3280" s="121" t="str">
        <f t="shared" si="1271"/>
        <v/>
      </c>
      <c r="U3280" s="121">
        <f t="shared" si="1272"/>
        <v>1</v>
      </c>
    </row>
    <row r="3281" spans="1:21" x14ac:dyDescent="0.3">
      <c r="A3281" s="187">
        <v>17</v>
      </c>
      <c r="B3281" s="242">
        <f t="shared" si="1273"/>
        <v>46143</v>
      </c>
      <c r="C3281" s="243">
        <f t="shared" si="1254"/>
        <v>46173</v>
      </c>
      <c r="D3281" s="120">
        <f t="shared" si="1255"/>
        <v>31</v>
      </c>
      <c r="E3281" s="120">
        <f t="shared" si="1256"/>
        <v>5</v>
      </c>
      <c r="F3281" s="275">
        <f t="shared" si="1257"/>
        <v>46158.5</v>
      </c>
      <c r="G3281" s="120">
        <f t="shared" si="1258"/>
        <v>24316</v>
      </c>
      <c r="H3281" s="245">
        <f t="shared" si="1259"/>
        <v>1</v>
      </c>
      <c r="I3281" s="121">
        <f t="shared" si="1260"/>
        <v>1</v>
      </c>
      <c r="J3281" s="121">
        <f t="shared" si="1261"/>
        <v>1</v>
      </c>
      <c r="K3281" s="120">
        <f t="shared" si="1262"/>
        <v>0</v>
      </c>
      <c r="L3281" s="120">
        <f t="shared" si="1263"/>
        <v>0</v>
      </c>
      <c r="M3281" s="246">
        <f t="shared" si="1264"/>
        <v>0</v>
      </c>
      <c r="N3281" s="121">
        <f t="shared" si="1265"/>
        <v>1</v>
      </c>
      <c r="O3281" s="246">
        <f t="shared" si="1266"/>
        <v>0.91</v>
      </c>
      <c r="P3281" s="121">
        <f t="shared" si="1267"/>
        <v>1</v>
      </c>
      <c r="Q3281" s="121">
        <f t="shared" si="1268"/>
        <v>0</v>
      </c>
      <c r="R3281" s="121">
        <f t="shared" si="1269"/>
        <v>0</v>
      </c>
      <c r="S3281" s="121" t="str">
        <f t="shared" si="1270"/>
        <v/>
      </c>
      <c r="T3281" s="121" t="str">
        <f t="shared" si="1271"/>
        <v/>
      </c>
      <c r="U3281" s="121">
        <f t="shared" si="1272"/>
        <v>1</v>
      </c>
    </row>
    <row r="3282" spans="1:21" x14ac:dyDescent="0.3">
      <c r="A3282" s="187">
        <v>18</v>
      </c>
      <c r="B3282" s="242">
        <f t="shared" si="1273"/>
        <v>46174</v>
      </c>
      <c r="C3282" s="243">
        <f t="shared" si="1254"/>
        <v>46203</v>
      </c>
      <c r="D3282" s="120">
        <f t="shared" si="1255"/>
        <v>30</v>
      </c>
      <c r="E3282" s="120">
        <f t="shared" si="1256"/>
        <v>6</v>
      </c>
      <c r="F3282" s="275">
        <f t="shared" si="1257"/>
        <v>46189</v>
      </c>
      <c r="G3282" s="120">
        <f t="shared" si="1258"/>
        <v>24317</v>
      </c>
      <c r="H3282" s="245">
        <f t="shared" si="1259"/>
        <v>1</v>
      </c>
      <c r="I3282" s="121">
        <f t="shared" si="1260"/>
        <v>1</v>
      </c>
      <c r="J3282" s="121">
        <f t="shared" si="1261"/>
        <v>1</v>
      </c>
      <c r="K3282" s="120">
        <f t="shared" si="1262"/>
        <v>0</v>
      </c>
      <c r="L3282" s="120">
        <f t="shared" si="1263"/>
        <v>0</v>
      </c>
      <c r="M3282" s="246">
        <f t="shared" si="1264"/>
        <v>0</v>
      </c>
      <c r="N3282" s="121">
        <f t="shared" si="1265"/>
        <v>1</v>
      </c>
      <c r="O3282" s="246">
        <f t="shared" si="1266"/>
        <v>0.91</v>
      </c>
      <c r="P3282" s="121">
        <f t="shared" si="1267"/>
        <v>1</v>
      </c>
      <c r="Q3282" s="121">
        <f t="shared" si="1268"/>
        <v>0</v>
      </c>
      <c r="R3282" s="121">
        <f t="shared" si="1269"/>
        <v>0</v>
      </c>
      <c r="S3282" s="121" t="str">
        <f t="shared" si="1270"/>
        <v/>
      </c>
      <c r="T3282" s="121" t="str">
        <f t="shared" si="1271"/>
        <v/>
      </c>
      <c r="U3282" s="121">
        <f t="shared" si="1272"/>
        <v>1</v>
      </c>
    </row>
    <row r="3283" spans="1:21" x14ac:dyDescent="0.3">
      <c r="A3283" s="187">
        <v>19</v>
      </c>
      <c r="B3283" s="242">
        <f t="shared" si="1273"/>
        <v>46204</v>
      </c>
      <c r="C3283" s="243">
        <f t="shared" si="1254"/>
        <v>46234</v>
      </c>
      <c r="D3283" s="120">
        <f t="shared" si="1255"/>
        <v>31</v>
      </c>
      <c r="E3283" s="120">
        <f t="shared" si="1256"/>
        <v>7</v>
      </c>
      <c r="F3283" s="275">
        <f t="shared" si="1257"/>
        <v>46219.5</v>
      </c>
      <c r="G3283" s="120">
        <f t="shared" si="1258"/>
        <v>24318</v>
      </c>
      <c r="H3283" s="245">
        <f t="shared" si="1259"/>
        <v>1</v>
      </c>
      <c r="I3283" s="121">
        <f t="shared" si="1260"/>
        <v>1</v>
      </c>
      <c r="J3283" s="121">
        <f t="shared" si="1261"/>
        <v>1</v>
      </c>
      <c r="K3283" s="120">
        <f t="shared" si="1262"/>
        <v>0</v>
      </c>
      <c r="L3283" s="120">
        <f t="shared" si="1263"/>
        <v>0</v>
      </c>
      <c r="M3283" s="246">
        <f t="shared" si="1264"/>
        <v>0</v>
      </c>
      <c r="N3283" s="121">
        <f t="shared" si="1265"/>
        <v>1</v>
      </c>
      <c r="O3283" s="246">
        <f t="shared" si="1266"/>
        <v>0.91</v>
      </c>
      <c r="P3283" s="121">
        <f t="shared" si="1267"/>
        <v>0.91666666666666663</v>
      </c>
      <c r="Q3283" s="121">
        <f t="shared" si="1268"/>
        <v>8.333333333333337E-2</v>
      </c>
      <c r="R3283" s="121">
        <f t="shared" si="1269"/>
        <v>0</v>
      </c>
      <c r="S3283" s="121" t="str">
        <f t="shared" si="1270"/>
        <v/>
      </c>
      <c r="T3283" s="121" t="str">
        <f t="shared" si="1271"/>
        <v/>
      </c>
      <c r="U3283" s="121">
        <f t="shared" si="1272"/>
        <v>1</v>
      </c>
    </row>
    <row r="3284" spans="1:21" x14ac:dyDescent="0.3">
      <c r="A3284" s="187">
        <v>20</v>
      </c>
      <c r="B3284" s="242">
        <f t="shared" si="1273"/>
        <v>46235</v>
      </c>
      <c r="C3284" s="243">
        <f t="shared" si="1254"/>
        <v>46265</v>
      </c>
      <c r="D3284" s="120">
        <f t="shared" si="1255"/>
        <v>31</v>
      </c>
      <c r="E3284" s="120">
        <f t="shared" si="1256"/>
        <v>8</v>
      </c>
      <c r="F3284" s="275">
        <f t="shared" si="1257"/>
        <v>46250.5</v>
      </c>
      <c r="G3284" s="120">
        <f t="shared" si="1258"/>
        <v>24319</v>
      </c>
      <c r="H3284" s="245">
        <f t="shared" si="1259"/>
        <v>1</v>
      </c>
      <c r="I3284" s="121">
        <f t="shared" si="1260"/>
        <v>1</v>
      </c>
      <c r="J3284" s="121">
        <f t="shared" si="1261"/>
        <v>1</v>
      </c>
      <c r="K3284" s="120">
        <f t="shared" si="1262"/>
        <v>0</v>
      </c>
      <c r="L3284" s="120">
        <f t="shared" si="1263"/>
        <v>0</v>
      </c>
      <c r="M3284" s="246">
        <f t="shared" si="1264"/>
        <v>0</v>
      </c>
      <c r="N3284" s="121">
        <f t="shared" si="1265"/>
        <v>1</v>
      </c>
      <c r="O3284" s="246">
        <f t="shared" si="1266"/>
        <v>0.91</v>
      </c>
      <c r="P3284" s="121">
        <f t="shared" si="1267"/>
        <v>0.75</v>
      </c>
      <c r="Q3284" s="121">
        <f t="shared" si="1268"/>
        <v>0.25</v>
      </c>
      <c r="R3284" s="121">
        <f t="shared" si="1269"/>
        <v>0</v>
      </c>
      <c r="S3284" s="121" t="str">
        <f t="shared" si="1270"/>
        <v/>
      </c>
      <c r="T3284" s="121" t="str">
        <f t="shared" si="1271"/>
        <v/>
      </c>
      <c r="U3284" s="121">
        <f t="shared" si="1272"/>
        <v>1</v>
      </c>
    </row>
    <row r="3285" spans="1:21" x14ac:dyDescent="0.3">
      <c r="A3285" s="187">
        <v>21</v>
      </c>
      <c r="B3285" s="242">
        <f t="shared" si="1273"/>
        <v>46266</v>
      </c>
      <c r="C3285" s="243">
        <f t="shared" si="1254"/>
        <v>46295</v>
      </c>
      <c r="D3285" s="120">
        <f t="shared" si="1255"/>
        <v>30</v>
      </c>
      <c r="E3285" s="120">
        <f t="shared" si="1256"/>
        <v>9</v>
      </c>
      <c r="F3285" s="275">
        <f t="shared" si="1257"/>
        <v>46281</v>
      </c>
      <c r="G3285" s="120">
        <f t="shared" si="1258"/>
        <v>24320</v>
      </c>
      <c r="H3285" s="245">
        <f t="shared" si="1259"/>
        <v>1</v>
      </c>
      <c r="I3285" s="121">
        <f t="shared" si="1260"/>
        <v>1</v>
      </c>
      <c r="J3285" s="121">
        <f t="shared" si="1261"/>
        <v>1</v>
      </c>
      <c r="K3285" s="120">
        <f t="shared" si="1262"/>
        <v>0</v>
      </c>
      <c r="L3285" s="120">
        <f t="shared" si="1263"/>
        <v>0</v>
      </c>
      <c r="M3285" s="246">
        <f t="shared" si="1264"/>
        <v>0</v>
      </c>
      <c r="N3285" s="121">
        <f t="shared" si="1265"/>
        <v>1</v>
      </c>
      <c r="O3285" s="246">
        <f t="shared" si="1266"/>
        <v>0.91</v>
      </c>
      <c r="P3285" s="121">
        <f t="shared" si="1267"/>
        <v>0.58333333333333337</v>
      </c>
      <c r="Q3285" s="121">
        <f t="shared" si="1268"/>
        <v>0.41666666666666663</v>
      </c>
      <c r="R3285" s="121">
        <f t="shared" si="1269"/>
        <v>0</v>
      </c>
      <c r="S3285" s="121" t="str">
        <f t="shared" si="1270"/>
        <v/>
      </c>
      <c r="T3285" s="121" t="str">
        <f t="shared" si="1271"/>
        <v/>
      </c>
      <c r="U3285" s="121">
        <f t="shared" si="1272"/>
        <v>1</v>
      </c>
    </row>
    <row r="3286" spans="1:21" x14ac:dyDescent="0.3">
      <c r="A3286" s="187">
        <v>22</v>
      </c>
      <c r="B3286" s="242">
        <f t="shared" si="1273"/>
        <v>46296</v>
      </c>
      <c r="C3286" s="243">
        <f t="shared" si="1254"/>
        <v>46326</v>
      </c>
      <c r="D3286" s="120">
        <f t="shared" si="1255"/>
        <v>31</v>
      </c>
      <c r="E3286" s="120">
        <f t="shared" si="1256"/>
        <v>10</v>
      </c>
      <c r="F3286" s="275">
        <f t="shared" si="1257"/>
        <v>46311.5</v>
      </c>
      <c r="G3286" s="120">
        <f t="shared" si="1258"/>
        <v>24321</v>
      </c>
      <c r="H3286" s="245">
        <f t="shared" si="1259"/>
        <v>1</v>
      </c>
      <c r="I3286" s="121">
        <f t="shared" si="1260"/>
        <v>1</v>
      </c>
      <c r="J3286" s="121">
        <f t="shared" si="1261"/>
        <v>1</v>
      </c>
      <c r="K3286" s="120">
        <f t="shared" si="1262"/>
        <v>0</v>
      </c>
      <c r="L3286" s="120">
        <f t="shared" si="1263"/>
        <v>0</v>
      </c>
      <c r="M3286" s="246">
        <f t="shared" si="1264"/>
        <v>0</v>
      </c>
      <c r="N3286" s="121">
        <f t="shared" si="1265"/>
        <v>1</v>
      </c>
      <c r="O3286" s="246">
        <f t="shared" si="1266"/>
        <v>0.91</v>
      </c>
      <c r="P3286" s="121">
        <f t="shared" si="1267"/>
        <v>0.41666666666666669</v>
      </c>
      <c r="Q3286" s="121">
        <f t="shared" si="1268"/>
        <v>0.58333333333333326</v>
      </c>
      <c r="R3286" s="121">
        <f t="shared" si="1269"/>
        <v>0</v>
      </c>
      <c r="S3286" s="121" t="str">
        <f t="shared" si="1270"/>
        <v/>
      </c>
      <c r="T3286" s="121" t="str">
        <f t="shared" si="1271"/>
        <v/>
      </c>
      <c r="U3286" s="121">
        <f t="shared" si="1272"/>
        <v>1</v>
      </c>
    </row>
    <row r="3287" spans="1:21" x14ac:dyDescent="0.3">
      <c r="A3287" s="187">
        <v>23</v>
      </c>
      <c r="B3287" s="242">
        <f t="shared" si="1273"/>
        <v>46327</v>
      </c>
      <c r="C3287" s="243">
        <f t="shared" si="1254"/>
        <v>46356</v>
      </c>
      <c r="D3287" s="120">
        <f t="shared" si="1255"/>
        <v>30</v>
      </c>
      <c r="E3287" s="120">
        <f t="shared" si="1256"/>
        <v>11</v>
      </c>
      <c r="F3287" s="275">
        <f t="shared" si="1257"/>
        <v>46342</v>
      </c>
      <c r="G3287" s="120">
        <f t="shared" si="1258"/>
        <v>24322</v>
      </c>
      <c r="H3287" s="245">
        <f t="shared" si="1259"/>
        <v>1</v>
      </c>
      <c r="I3287" s="121">
        <f t="shared" si="1260"/>
        <v>1</v>
      </c>
      <c r="J3287" s="121">
        <f t="shared" si="1261"/>
        <v>1</v>
      </c>
      <c r="K3287" s="120">
        <f t="shared" si="1262"/>
        <v>0</v>
      </c>
      <c r="L3287" s="120">
        <f t="shared" si="1263"/>
        <v>0</v>
      </c>
      <c r="M3287" s="246">
        <f t="shared" si="1264"/>
        <v>0</v>
      </c>
      <c r="N3287" s="121">
        <f t="shared" si="1265"/>
        <v>1</v>
      </c>
      <c r="O3287" s="246">
        <f t="shared" si="1266"/>
        <v>0.91</v>
      </c>
      <c r="P3287" s="121">
        <f t="shared" si="1267"/>
        <v>0.25</v>
      </c>
      <c r="Q3287" s="121">
        <f t="shared" si="1268"/>
        <v>0.75</v>
      </c>
      <c r="R3287" s="121">
        <f t="shared" si="1269"/>
        <v>0</v>
      </c>
      <c r="S3287" s="121" t="str">
        <f t="shared" si="1270"/>
        <v/>
      </c>
      <c r="T3287" s="121" t="str">
        <f t="shared" si="1271"/>
        <v/>
      </c>
      <c r="U3287" s="121">
        <f t="shared" si="1272"/>
        <v>1</v>
      </c>
    </row>
    <row r="3288" spans="1:21" x14ac:dyDescent="0.3">
      <c r="A3288" s="187">
        <v>24</v>
      </c>
      <c r="B3288" s="242">
        <f t="shared" si="1273"/>
        <v>46357</v>
      </c>
      <c r="C3288" s="243">
        <f t="shared" si="1254"/>
        <v>46387</v>
      </c>
      <c r="D3288" s="120">
        <f t="shared" si="1255"/>
        <v>31</v>
      </c>
      <c r="E3288" s="120">
        <f t="shared" si="1256"/>
        <v>12</v>
      </c>
      <c r="F3288" s="275">
        <f t="shared" si="1257"/>
        <v>46372.5</v>
      </c>
      <c r="G3288" s="120">
        <f t="shared" si="1258"/>
        <v>24323</v>
      </c>
      <c r="H3288" s="245">
        <f t="shared" si="1259"/>
        <v>1</v>
      </c>
      <c r="I3288" s="121">
        <f t="shared" si="1260"/>
        <v>1</v>
      </c>
      <c r="J3288" s="121">
        <f t="shared" si="1261"/>
        <v>1</v>
      </c>
      <c r="K3288" s="120">
        <f t="shared" si="1262"/>
        <v>0</v>
      </c>
      <c r="L3288" s="120">
        <f t="shared" si="1263"/>
        <v>0</v>
      </c>
      <c r="M3288" s="246">
        <f t="shared" si="1264"/>
        <v>0</v>
      </c>
      <c r="N3288" s="121">
        <f t="shared" si="1265"/>
        <v>1</v>
      </c>
      <c r="O3288" s="246">
        <f t="shared" si="1266"/>
        <v>0.91</v>
      </c>
      <c r="P3288" s="121">
        <f t="shared" si="1267"/>
        <v>8.3333333333333329E-2</v>
      </c>
      <c r="Q3288" s="121">
        <f t="shared" si="1268"/>
        <v>0.91666666666666663</v>
      </c>
      <c r="R3288" s="121">
        <f t="shared" si="1269"/>
        <v>0</v>
      </c>
      <c r="S3288" s="121" t="str">
        <f t="shared" si="1270"/>
        <v/>
      </c>
      <c r="T3288" s="121" t="str">
        <f t="shared" si="1271"/>
        <v/>
      </c>
      <c r="U3288" s="121">
        <f t="shared" si="1272"/>
        <v>1</v>
      </c>
    </row>
    <row r="3289" spans="1:21" x14ac:dyDescent="0.3">
      <c r="A3289" s="187">
        <v>25</v>
      </c>
      <c r="B3289" s="242">
        <f t="shared" si="1273"/>
        <v>46388</v>
      </c>
      <c r="C3289" s="243">
        <f t="shared" si="1254"/>
        <v>46418</v>
      </c>
      <c r="D3289" s="120">
        <f t="shared" si="1255"/>
        <v>31</v>
      </c>
      <c r="E3289" s="120">
        <f t="shared" si="1256"/>
        <v>1</v>
      </c>
      <c r="F3289" s="275">
        <f t="shared" si="1257"/>
        <v>46403.5</v>
      </c>
      <c r="G3289" s="120">
        <f t="shared" si="1258"/>
        <v>24324</v>
      </c>
      <c r="H3289" s="245">
        <f t="shared" si="1259"/>
        <v>1</v>
      </c>
      <c r="I3289" s="121">
        <f t="shared" si="1260"/>
        <v>1</v>
      </c>
      <c r="J3289" s="121">
        <f t="shared" si="1261"/>
        <v>1</v>
      </c>
      <c r="K3289" s="120">
        <f t="shared" si="1262"/>
        <v>0</v>
      </c>
      <c r="L3289" s="120">
        <f t="shared" si="1263"/>
        <v>0</v>
      </c>
      <c r="M3289" s="246">
        <f t="shared" si="1264"/>
        <v>0</v>
      </c>
      <c r="N3289" s="121">
        <f t="shared" si="1265"/>
        <v>1</v>
      </c>
      <c r="O3289" s="246">
        <f t="shared" si="1266"/>
        <v>0.91</v>
      </c>
      <c r="P3289" s="121">
        <f t="shared" si="1267"/>
        <v>0</v>
      </c>
      <c r="Q3289" s="121">
        <f t="shared" si="1268"/>
        <v>1</v>
      </c>
      <c r="R3289" s="121">
        <f t="shared" si="1269"/>
        <v>0</v>
      </c>
      <c r="S3289" s="121" t="str">
        <f t="shared" si="1270"/>
        <v/>
      </c>
      <c r="T3289" s="121" t="str">
        <f t="shared" si="1271"/>
        <v/>
      </c>
      <c r="U3289" s="121">
        <f t="shared" si="1272"/>
        <v>1</v>
      </c>
    </row>
    <row r="3290" spans="1:21" x14ac:dyDescent="0.3">
      <c r="A3290" s="187">
        <v>26</v>
      </c>
      <c r="B3290" s="242">
        <f t="shared" si="1273"/>
        <v>46419</v>
      </c>
      <c r="C3290" s="243">
        <f t="shared" si="1254"/>
        <v>46446</v>
      </c>
      <c r="D3290" s="120">
        <f t="shared" si="1255"/>
        <v>28</v>
      </c>
      <c r="E3290" s="120">
        <f t="shared" si="1256"/>
        <v>2</v>
      </c>
      <c r="F3290" s="275">
        <f t="shared" si="1257"/>
        <v>46433</v>
      </c>
      <c r="G3290" s="120">
        <f t="shared" si="1258"/>
        <v>24325</v>
      </c>
      <c r="H3290" s="245">
        <f t="shared" si="1259"/>
        <v>1</v>
      </c>
      <c r="I3290" s="121">
        <f t="shared" si="1260"/>
        <v>1</v>
      </c>
      <c r="J3290" s="121">
        <f t="shared" si="1261"/>
        <v>1</v>
      </c>
      <c r="K3290" s="120">
        <f t="shared" si="1262"/>
        <v>0</v>
      </c>
      <c r="L3290" s="120">
        <f t="shared" si="1263"/>
        <v>0</v>
      </c>
      <c r="M3290" s="246">
        <f t="shared" si="1264"/>
        <v>0</v>
      </c>
      <c r="N3290" s="121">
        <f t="shared" si="1265"/>
        <v>1</v>
      </c>
      <c r="O3290" s="246">
        <f t="shared" si="1266"/>
        <v>0.91</v>
      </c>
      <c r="P3290" s="121">
        <f t="shared" si="1267"/>
        <v>0</v>
      </c>
      <c r="Q3290" s="121">
        <f t="shared" si="1268"/>
        <v>1</v>
      </c>
      <c r="R3290" s="121">
        <f t="shared" si="1269"/>
        <v>0</v>
      </c>
      <c r="S3290" s="121" t="str">
        <f t="shared" si="1270"/>
        <v/>
      </c>
      <c r="T3290" s="121" t="str">
        <f t="shared" si="1271"/>
        <v/>
      </c>
      <c r="U3290" s="121">
        <f t="shared" si="1272"/>
        <v>1</v>
      </c>
    </row>
    <row r="3291" spans="1:21" x14ac:dyDescent="0.3">
      <c r="A3291" s="187">
        <v>27</v>
      </c>
      <c r="B3291" s="242">
        <f t="shared" si="1273"/>
        <v>46447</v>
      </c>
      <c r="C3291" s="243">
        <f t="shared" si="1254"/>
        <v>46477</v>
      </c>
      <c r="D3291" s="120">
        <f t="shared" si="1255"/>
        <v>31</v>
      </c>
      <c r="E3291" s="120">
        <f t="shared" si="1256"/>
        <v>3</v>
      </c>
      <c r="F3291" s="275">
        <f t="shared" si="1257"/>
        <v>46462.5</v>
      </c>
      <c r="G3291" s="120">
        <f t="shared" si="1258"/>
        <v>24326</v>
      </c>
      <c r="H3291" s="245">
        <f t="shared" si="1259"/>
        <v>1</v>
      </c>
      <c r="I3291" s="121">
        <f t="shared" si="1260"/>
        <v>1</v>
      </c>
      <c r="J3291" s="121">
        <f t="shared" si="1261"/>
        <v>1</v>
      </c>
      <c r="K3291" s="120">
        <f t="shared" si="1262"/>
        <v>0</v>
      </c>
      <c r="L3291" s="120">
        <f t="shared" si="1263"/>
        <v>0</v>
      </c>
      <c r="M3291" s="246">
        <f t="shared" si="1264"/>
        <v>0</v>
      </c>
      <c r="N3291" s="121">
        <f t="shared" si="1265"/>
        <v>1</v>
      </c>
      <c r="O3291" s="246">
        <f t="shared" si="1266"/>
        <v>0.91</v>
      </c>
      <c r="P3291" s="121">
        <f t="shared" si="1267"/>
        <v>0</v>
      </c>
      <c r="Q3291" s="121">
        <f t="shared" si="1268"/>
        <v>1</v>
      </c>
      <c r="R3291" s="121">
        <f t="shared" si="1269"/>
        <v>0</v>
      </c>
      <c r="S3291" s="121" t="str">
        <f t="shared" si="1270"/>
        <v/>
      </c>
      <c r="T3291" s="121" t="str">
        <f t="shared" si="1271"/>
        <v/>
      </c>
      <c r="U3291" s="121">
        <f t="shared" si="1272"/>
        <v>1</v>
      </c>
    </row>
    <row r="3292" spans="1:21" x14ac:dyDescent="0.3">
      <c r="A3292" s="187">
        <v>28</v>
      </c>
      <c r="B3292" s="242">
        <f t="shared" si="1273"/>
        <v>46478</v>
      </c>
      <c r="C3292" s="243">
        <f t="shared" si="1254"/>
        <v>46507</v>
      </c>
      <c r="D3292" s="120">
        <f t="shared" si="1255"/>
        <v>30</v>
      </c>
      <c r="E3292" s="120">
        <f t="shared" si="1256"/>
        <v>4</v>
      </c>
      <c r="F3292" s="275">
        <f t="shared" si="1257"/>
        <v>46493</v>
      </c>
      <c r="G3292" s="120">
        <f t="shared" si="1258"/>
        <v>24327</v>
      </c>
      <c r="H3292" s="245">
        <f t="shared" si="1259"/>
        <v>1</v>
      </c>
      <c r="I3292" s="121">
        <f t="shared" si="1260"/>
        <v>1</v>
      </c>
      <c r="J3292" s="121">
        <f t="shared" si="1261"/>
        <v>1</v>
      </c>
      <c r="K3292" s="120">
        <f t="shared" si="1262"/>
        <v>0</v>
      </c>
      <c r="L3292" s="120">
        <f t="shared" si="1263"/>
        <v>0</v>
      </c>
      <c r="M3292" s="246">
        <f t="shared" si="1264"/>
        <v>0</v>
      </c>
      <c r="N3292" s="121">
        <f t="shared" si="1265"/>
        <v>1</v>
      </c>
      <c r="O3292" s="246">
        <f t="shared" si="1266"/>
        <v>0.91</v>
      </c>
      <c r="P3292" s="121">
        <f t="shared" si="1267"/>
        <v>0</v>
      </c>
      <c r="Q3292" s="121">
        <f t="shared" si="1268"/>
        <v>1</v>
      </c>
      <c r="R3292" s="121">
        <f t="shared" si="1269"/>
        <v>0</v>
      </c>
      <c r="S3292" s="121" t="str">
        <f t="shared" si="1270"/>
        <v/>
      </c>
      <c r="T3292" s="121" t="str">
        <f t="shared" si="1271"/>
        <v/>
      </c>
      <c r="U3292" s="121">
        <f t="shared" si="1272"/>
        <v>1</v>
      </c>
    </row>
    <row r="3293" spans="1:21" x14ac:dyDescent="0.3">
      <c r="A3293" s="187">
        <v>29</v>
      </c>
      <c r="B3293" s="242">
        <f t="shared" si="1273"/>
        <v>46508</v>
      </c>
      <c r="C3293" s="243">
        <f t="shared" si="1254"/>
        <v>46538</v>
      </c>
      <c r="D3293" s="120">
        <f t="shared" si="1255"/>
        <v>31</v>
      </c>
      <c r="E3293" s="120">
        <f t="shared" si="1256"/>
        <v>5</v>
      </c>
      <c r="F3293" s="275">
        <f t="shared" si="1257"/>
        <v>46523.5</v>
      </c>
      <c r="G3293" s="120">
        <f t="shared" si="1258"/>
        <v>24328</v>
      </c>
      <c r="H3293" s="245">
        <f t="shared" si="1259"/>
        <v>1</v>
      </c>
      <c r="I3293" s="121">
        <f t="shared" si="1260"/>
        <v>1</v>
      </c>
      <c r="J3293" s="121">
        <f t="shared" si="1261"/>
        <v>1</v>
      </c>
      <c r="K3293" s="120">
        <f t="shared" si="1262"/>
        <v>0</v>
      </c>
      <c r="L3293" s="120">
        <f t="shared" si="1263"/>
        <v>0</v>
      </c>
      <c r="M3293" s="246">
        <f t="shared" si="1264"/>
        <v>0</v>
      </c>
      <c r="N3293" s="121">
        <f t="shared" si="1265"/>
        <v>1</v>
      </c>
      <c r="O3293" s="246">
        <f t="shared" si="1266"/>
        <v>0.91</v>
      </c>
      <c r="P3293" s="121">
        <f t="shared" si="1267"/>
        <v>0</v>
      </c>
      <c r="Q3293" s="121">
        <f t="shared" si="1268"/>
        <v>1</v>
      </c>
      <c r="R3293" s="121">
        <f t="shared" si="1269"/>
        <v>0</v>
      </c>
      <c r="S3293" s="121" t="str">
        <f t="shared" si="1270"/>
        <v/>
      </c>
      <c r="T3293" s="121" t="str">
        <f t="shared" si="1271"/>
        <v/>
      </c>
      <c r="U3293" s="121">
        <f t="shared" si="1272"/>
        <v>1</v>
      </c>
    </row>
    <row r="3294" spans="1:21" x14ac:dyDescent="0.3">
      <c r="A3294" s="187">
        <v>30</v>
      </c>
      <c r="B3294" s="242">
        <f t="shared" si="1273"/>
        <v>46539</v>
      </c>
      <c r="C3294" s="243">
        <f t="shared" si="1254"/>
        <v>46568</v>
      </c>
      <c r="D3294" s="120">
        <f t="shared" si="1255"/>
        <v>30</v>
      </c>
      <c r="E3294" s="120">
        <f t="shared" si="1256"/>
        <v>6</v>
      </c>
      <c r="F3294" s="275">
        <f t="shared" si="1257"/>
        <v>46554</v>
      </c>
      <c r="G3294" s="120">
        <f t="shared" si="1258"/>
        <v>24329</v>
      </c>
      <c r="H3294" s="245">
        <f t="shared" si="1259"/>
        <v>1</v>
      </c>
      <c r="I3294" s="121">
        <f t="shared" si="1260"/>
        <v>1</v>
      </c>
      <c r="J3294" s="121">
        <f t="shared" si="1261"/>
        <v>1</v>
      </c>
      <c r="K3294" s="120">
        <f t="shared" si="1262"/>
        <v>0</v>
      </c>
      <c r="L3294" s="120">
        <f t="shared" si="1263"/>
        <v>0</v>
      </c>
      <c r="M3294" s="246">
        <f t="shared" si="1264"/>
        <v>0</v>
      </c>
      <c r="N3294" s="121">
        <f t="shared" si="1265"/>
        <v>1</v>
      </c>
      <c r="O3294" s="246">
        <f t="shared" si="1266"/>
        <v>0.91</v>
      </c>
      <c r="P3294" s="121">
        <f t="shared" si="1267"/>
        <v>0</v>
      </c>
      <c r="Q3294" s="121">
        <f t="shared" si="1268"/>
        <v>1</v>
      </c>
      <c r="R3294" s="121">
        <f t="shared" si="1269"/>
        <v>0</v>
      </c>
      <c r="S3294" s="121" t="str">
        <f t="shared" si="1270"/>
        <v/>
      </c>
      <c r="T3294" s="121" t="str">
        <f t="shared" si="1271"/>
        <v/>
      </c>
      <c r="U3294" s="121">
        <f t="shared" si="1272"/>
        <v>1</v>
      </c>
    </row>
    <row r="3295" spans="1:21" x14ac:dyDescent="0.3">
      <c r="A3295" s="187">
        <v>31</v>
      </c>
      <c r="B3295" s="242">
        <f t="shared" si="1273"/>
        <v>46569</v>
      </c>
      <c r="C3295" s="243">
        <f t="shared" si="1254"/>
        <v>46599</v>
      </c>
      <c r="D3295" s="120">
        <f t="shared" si="1255"/>
        <v>31</v>
      </c>
      <c r="E3295" s="120">
        <f t="shared" si="1256"/>
        <v>7</v>
      </c>
      <c r="F3295" s="275">
        <f t="shared" si="1257"/>
        <v>46584.5</v>
      </c>
      <c r="G3295" s="120">
        <f t="shared" si="1258"/>
        <v>24330</v>
      </c>
      <c r="H3295" s="245">
        <f t="shared" si="1259"/>
        <v>1</v>
      </c>
      <c r="I3295" s="121">
        <f t="shared" si="1260"/>
        <v>1</v>
      </c>
      <c r="J3295" s="121">
        <f t="shared" si="1261"/>
        <v>1</v>
      </c>
      <c r="K3295" s="120">
        <f t="shared" si="1262"/>
        <v>0</v>
      </c>
      <c r="L3295" s="120">
        <f t="shared" si="1263"/>
        <v>0</v>
      </c>
      <c r="M3295" s="246">
        <f t="shared" si="1264"/>
        <v>0</v>
      </c>
      <c r="N3295" s="121">
        <f t="shared" si="1265"/>
        <v>1</v>
      </c>
      <c r="O3295" s="246">
        <f t="shared" si="1266"/>
        <v>0.91</v>
      </c>
      <c r="P3295" s="121">
        <f t="shared" si="1267"/>
        <v>0</v>
      </c>
      <c r="Q3295" s="121">
        <f t="shared" si="1268"/>
        <v>0.91666666666666663</v>
      </c>
      <c r="R3295" s="121">
        <f t="shared" si="1269"/>
        <v>8.333333333333337E-2</v>
      </c>
      <c r="S3295" s="121" t="str">
        <f t="shared" si="1270"/>
        <v/>
      </c>
      <c r="T3295" s="121" t="str">
        <f t="shared" si="1271"/>
        <v/>
      </c>
      <c r="U3295" s="121">
        <f t="shared" si="1272"/>
        <v>1</v>
      </c>
    </row>
    <row r="3296" spans="1:21" x14ac:dyDescent="0.3">
      <c r="A3296" s="187">
        <v>32</v>
      </c>
      <c r="B3296" s="242">
        <f t="shared" si="1273"/>
        <v>46600</v>
      </c>
      <c r="C3296" s="243">
        <f t="shared" si="1254"/>
        <v>46630</v>
      </c>
      <c r="D3296" s="120">
        <f t="shared" si="1255"/>
        <v>31</v>
      </c>
      <c r="E3296" s="120">
        <f t="shared" si="1256"/>
        <v>8</v>
      </c>
      <c r="F3296" s="275">
        <f t="shared" si="1257"/>
        <v>46615.5</v>
      </c>
      <c r="G3296" s="120">
        <f t="shared" si="1258"/>
        <v>24331</v>
      </c>
      <c r="H3296" s="245">
        <f t="shared" si="1259"/>
        <v>1</v>
      </c>
      <c r="I3296" s="121">
        <f t="shared" si="1260"/>
        <v>1</v>
      </c>
      <c r="J3296" s="121">
        <f t="shared" si="1261"/>
        <v>1</v>
      </c>
      <c r="K3296" s="120">
        <f t="shared" si="1262"/>
        <v>0</v>
      </c>
      <c r="L3296" s="120">
        <f t="shared" si="1263"/>
        <v>0</v>
      </c>
      <c r="M3296" s="246">
        <f t="shared" si="1264"/>
        <v>0</v>
      </c>
      <c r="N3296" s="121">
        <f t="shared" si="1265"/>
        <v>1</v>
      </c>
      <c r="O3296" s="246">
        <f t="shared" si="1266"/>
        <v>0.91</v>
      </c>
      <c r="P3296" s="121">
        <f t="shared" si="1267"/>
        <v>0</v>
      </c>
      <c r="Q3296" s="121">
        <f t="shared" si="1268"/>
        <v>0.75</v>
      </c>
      <c r="R3296" s="121">
        <f t="shared" si="1269"/>
        <v>0.25</v>
      </c>
      <c r="S3296" s="121" t="str">
        <f t="shared" si="1270"/>
        <v/>
      </c>
      <c r="T3296" s="121" t="str">
        <f t="shared" si="1271"/>
        <v/>
      </c>
      <c r="U3296" s="121">
        <f t="shared" si="1272"/>
        <v>1</v>
      </c>
    </row>
    <row r="3297" spans="1:21" x14ac:dyDescent="0.3">
      <c r="A3297" s="187">
        <v>33</v>
      </c>
      <c r="B3297" s="242">
        <f t="shared" si="1273"/>
        <v>46631</v>
      </c>
      <c r="C3297" s="243">
        <f t="shared" si="1254"/>
        <v>46660</v>
      </c>
      <c r="D3297" s="120">
        <f t="shared" si="1255"/>
        <v>30</v>
      </c>
      <c r="E3297" s="120">
        <f t="shared" si="1256"/>
        <v>9</v>
      </c>
      <c r="F3297" s="275">
        <f t="shared" si="1257"/>
        <v>46646</v>
      </c>
      <c r="G3297" s="120">
        <f t="shared" si="1258"/>
        <v>24332</v>
      </c>
      <c r="H3297" s="245">
        <f t="shared" si="1259"/>
        <v>1</v>
      </c>
      <c r="I3297" s="121">
        <f t="shared" si="1260"/>
        <v>1</v>
      </c>
      <c r="J3297" s="121">
        <f t="shared" si="1261"/>
        <v>1</v>
      </c>
      <c r="K3297" s="120">
        <f t="shared" si="1262"/>
        <v>0</v>
      </c>
      <c r="L3297" s="120">
        <f t="shared" si="1263"/>
        <v>0</v>
      </c>
      <c r="M3297" s="246">
        <f t="shared" si="1264"/>
        <v>0</v>
      </c>
      <c r="N3297" s="121">
        <f t="shared" si="1265"/>
        <v>1</v>
      </c>
      <c r="O3297" s="246">
        <f t="shared" si="1266"/>
        <v>0.91</v>
      </c>
      <c r="P3297" s="121">
        <f t="shared" si="1267"/>
        <v>0</v>
      </c>
      <c r="Q3297" s="121">
        <f t="shared" si="1268"/>
        <v>0.58333333333333337</v>
      </c>
      <c r="R3297" s="121">
        <f t="shared" si="1269"/>
        <v>0.41666666666666663</v>
      </c>
      <c r="S3297" s="121" t="str">
        <f t="shared" si="1270"/>
        <v/>
      </c>
      <c r="T3297" s="121" t="str">
        <f t="shared" si="1271"/>
        <v/>
      </c>
      <c r="U3297" s="121">
        <f t="shared" si="1272"/>
        <v>1</v>
      </c>
    </row>
    <row r="3298" spans="1:21" x14ac:dyDescent="0.3">
      <c r="A3298" s="187">
        <v>34</v>
      </c>
      <c r="B3298" s="242">
        <f t="shared" si="1273"/>
        <v>46661</v>
      </c>
      <c r="C3298" s="243">
        <f t="shared" si="1254"/>
        <v>46691</v>
      </c>
      <c r="D3298" s="120">
        <f t="shared" si="1255"/>
        <v>31</v>
      </c>
      <c r="E3298" s="120">
        <f t="shared" si="1256"/>
        <v>10</v>
      </c>
      <c r="F3298" s="275">
        <f t="shared" si="1257"/>
        <v>46676.5</v>
      </c>
      <c r="G3298" s="120">
        <f t="shared" si="1258"/>
        <v>24333</v>
      </c>
      <c r="H3298" s="245">
        <f t="shared" si="1259"/>
        <v>1</v>
      </c>
      <c r="I3298" s="121">
        <f t="shared" si="1260"/>
        <v>1</v>
      </c>
      <c r="J3298" s="121">
        <f t="shared" si="1261"/>
        <v>1</v>
      </c>
      <c r="K3298" s="120">
        <f t="shared" si="1262"/>
        <v>0</v>
      </c>
      <c r="L3298" s="120">
        <f t="shared" si="1263"/>
        <v>0</v>
      </c>
      <c r="M3298" s="246">
        <f t="shared" si="1264"/>
        <v>0</v>
      </c>
      <c r="N3298" s="121">
        <f t="shared" si="1265"/>
        <v>1</v>
      </c>
      <c r="O3298" s="246">
        <f t="shared" si="1266"/>
        <v>0.91</v>
      </c>
      <c r="P3298" s="121">
        <f t="shared" si="1267"/>
        <v>0</v>
      </c>
      <c r="Q3298" s="121">
        <f t="shared" si="1268"/>
        <v>0.41666666666666669</v>
      </c>
      <c r="R3298" s="121">
        <f t="shared" si="1269"/>
        <v>0.58333333333333326</v>
      </c>
      <c r="S3298" s="121" t="str">
        <f t="shared" si="1270"/>
        <v/>
      </c>
      <c r="T3298" s="121" t="str">
        <f t="shared" si="1271"/>
        <v/>
      </c>
      <c r="U3298" s="121">
        <f t="shared" si="1272"/>
        <v>1</v>
      </c>
    </row>
    <row r="3299" spans="1:21" x14ac:dyDescent="0.3">
      <c r="A3299" s="187">
        <v>35</v>
      </c>
      <c r="B3299" s="242">
        <f t="shared" si="1273"/>
        <v>46692</v>
      </c>
      <c r="C3299" s="243">
        <f t="shared" si="1254"/>
        <v>46721</v>
      </c>
      <c r="D3299" s="120">
        <f t="shared" si="1255"/>
        <v>30</v>
      </c>
      <c r="E3299" s="120">
        <f t="shared" si="1256"/>
        <v>11</v>
      </c>
      <c r="F3299" s="275">
        <f t="shared" si="1257"/>
        <v>46707</v>
      </c>
      <c r="G3299" s="120">
        <f t="shared" si="1258"/>
        <v>24334</v>
      </c>
      <c r="H3299" s="245">
        <f t="shared" si="1259"/>
        <v>1</v>
      </c>
      <c r="I3299" s="121">
        <f t="shared" si="1260"/>
        <v>1</v>
      </c>
      <c r="J3299" s="121">
        <f t="shared" si="1261"/>
        <v>1</v>
      </c>
      <c r="K3299" s="120">
        <f t="shared" si="1262"/>
        <v>0</v>
      </c>
      <c r="L3299" s="120">
        <f t="shared" si="1263"/>
        <v>0</v>
      </c>
      <c r="M3299" s="246">
        <f t="shared" si="1264"/>
        <v>0</v>
      </c>
      <c r="N3299" s="121">
        <f t="shared" si="1265"/>
        <v>1</v>
      </c>
      <c r="O3299" s="246">
        <f t="shared" si="1266"/>
        <v>0.91</v>
      </c>
      <c r="P3299" s="121">
        <f t="shared" si="1267"/>
        <v>0</v>
      </c>
      <c r="Q3299" s="121">
        <f t="shared" si="1268"/>
        <v>0.25</v>
      </c>
      <c r="R3299" s="121">
        <f t="shared" si="1269"/>
        <v>0.75</v>
      </c>
      <c r="S3299" s="121" t="str">
        <f t="shared" si="1270"/>
        <v/>
      </c>
      <c r="T3299" s="121" t="str">
        <f t="shared" si="1271"/>
        <v/>
      </c>
      <c r="U3299" s="121">
        <f t="shared" si="1272"/>
        <v>1</v>
      </c>
    </row>
    <row r="3300" spans="1:21" x14ac:dyDescent="0.3">
      <c r="A3300" s="187">
        <v>36</v>
      </c>
      <c r="B3300" s="242">
        <f t="shared" si="1273"/>
        <v>46722</v>
      </c>
      <c r="C3300" s="243">
        <f t="shared" si="1254"/>
        <v>46752</v>
      </c>
      <c r="D3300" s="120">
        <f t="shared" si="1255"/>
        <v>31</v>
      </c>
      <c r="E3300" s="120">
        <f t="shared" si="1256"/>
        <v>12</v>
      </c>
      <c r="F3300" s="275">
        <f t="shared" si="1257"/>
        <v>46737.5</v>
      </c>
      <c r="G3300" s="120">
        <f t="shared" si="1258"/>
        <v>24335</v>
      </c>
      <c r="H3300" s="245">
        <f t="shared" si="1259"/>
        <v>1</v>
      </c>
      <c r="I3300" s="121">
        <f t="shared" si="1260"/>
        <v>1</v>
      </c>
      <c r="J3300" s="121">
        <f t="shared" si="1261"/>
        <v>1</v>
      </c>
      <c r="K3300" s="120">
        <f t="shared" si="1262"/>
        <v>0</v>
      </c>
      <c r="L3300" s="120">
        <f t="shared" si="1263"/>
        <v>0</v>
      </c>
      <c r="M3300" s="246">
        <f t="shared" si="1264"/>
        <v>0</v>
      </c>
      <c r="N3300" s="121">
        <f t="shared" si="1265"/>
        <v>1</v>
      </c>
      <c r="O3300" s="246">
        <f t="shared" si="1266"/>
        <v>0.91</v>
      </c>
      <c r="P3300" s="121">
        <f t="shared" si="1267"/>
        <v>0</v>
      </c>
      <c r="Q3300" s="121">
        <f t="shared" si="1268"/>
        <v>8.3333333333333329E-2</v>
      </c>
      <c r="R3300" s="121">
        <f t="shared" si="1269"/>
        <v>0.91666666666666663</v>
      </c>
      <c r="S3300" s="121" t="str">
        <f t="shared" si="1270"/>
        <v/>
      </c>
      <c r="T3300" s="121" t="str">
        <f t="shared" si="1271"/>
        <v/>
      </c>
      <c r="U3300" s="121">
        <f t="shared" si="1272"/>
        <v>1</v>
      </c>
    </row>
    <row r="3301" spans="1:21" x14ac:dyDescent="0.3">
      <c r="A3301" s="187">
        <v>37</v>
      </c>
      <c r="B3301" s="242">
        <f t="shared" si="1273"/>
        <v>46753</v>
      </c>
      <c r="C3301" s="243">
        <f t="shared" si="1254"/>
        <v>46783</v>
      </c>
      <c r="D3301" s="120">
        <f t="shared" si="1255"/>
        <v>31</v>
      </c>
      <c r="E3301" s="120">
        <f t="shared" si="1256"/>
        <v>1</v>
      </c>
      <c r="F3301" s="275">
        <f t="shared" si="1257"/>
        <v>46768.5</v>
      </c>
      <c r="G3301" s="120">
        <f t="shared" si="1258"/>
        <v>24336</v>
      </c>
      <c r="H3301" s="245">
        <f t="shared" si="1259"/>
        <v>1</v>
      </c>
      <c r="I3301" s="121">
        <f t="shared" si="1260"/>
        <v>1</v>
      </c>
      <c r="J3301" s="121">
        <f t="shared" si="1261"/>
        <v>1</v>
      </c>
      <c r="K3301" s="120">
        <f t="shared" si="1262"/>
        <v>0</v>
      </c>
      <c r="L3301" s="120">
        <f t="shared" si="1263"/>
        <v>0</v>
      </c>
      <c r="M3301" s="246">
        <f t="shared" si="1264"/>
        <v>0</v>
      </c>
      <c r="N3301" s="121">
        <f t="shared" si="1265"/>
        <v>1</v>
      </c>
      <c r="O3301" s="246">
        <f t="shared" si="1266"/>
        <v>0.91</v>
      </c>
      <c r="P3301" s="121">
        <f t="shared" si="1267"/>
        <v>0</v>
      </c>
      <c r="Q3301" s="121">
        <f t="shared" si="1268"/>
        <v>0</v>
      </c>
      <c r="R3301" s="121">
        <f t="shared" si="1269"/>
        <v>1</v>
      </c>
      <c r="S3301" s="121" t="str">
        <f t="shared" si="1270"/>
        <v/>
      </c>
      <c r="T3301" s="121" t="str">
        <f t="shared" si="1271"/>
        <v/>
      </c>
      <c r="U3301" s="121">
        <f t="shared" si="1272"/>
        <v>1</v>
      </c>
    </row>
    <row r="3302" spans="1:21" x14ac:dyDescent="0.3">
      <c r="A3302" s="187">
        <v>38</v>
      </c>
      <c r="B3302" s="242">
        <f t="shared" si="1273"/>
        <v>46784</v>
      </c>
      <c r="C3302" s="243">
        <f t="shared" si="1254"/>
        <v>46812</v>
      </c>
      <c r="D3302" s="120">
        <f t="shared" si="1255"/>
        <v>29</v>
      </c>
      <c r="E3302" s="120">
        <f t="shared" si="1256"/>
        <v>2</v>
      </c>
      <c r="F3302" s="275">
        <f t="shared" si="1257"/>
        <v>46798.5</v>
      </c>
      <c r="G3302" s="120">
        <f t="shared" si="1258"/>
        <v>24337</v>
      </c>
      <c r="H3302" s="245">
        <f t="shared" si="1259"/>
        <v>1</v>
      </c>
      <c r="I3302" s="121">
        <f t="shared" si="1260"/>
        <v>1</v>
      </c>
      <c r="J3302" s="121">
        <f t="shared" si="1261"/>
        <v>1</v>
      </c>
      <c r="K3302" s="120">
        <f t="shared" si="1262"/>
        <v>0</v>
      </c>
      <c r="L3302" s="120">
        <f t="shared" si="1263"/>
        <v>0</v>
      </c>
      <c r="M3302" s="246">
        <f t="shared" si="1264"/>
        <v>0</v>
      </c>
      <c r="N3302" s="121">
        <f t="shared" si="1265"/>
        <v>1</v>
      </c>
      <c r="O3302" s="246">
        <f t="shared" si="1266"/>
        <v>0.91</v>
      </c>
      <c r="P3302" s="121">
        <f t="shared" si="1267"/>
        <v>0</v>
      </c>
      <c r="Q3302" s="121">
        <f t="shared" si="1268"/>
        <v>0</v>
      </c>
      <c r="R3302" s="121">
        <f t="shared" si="1269"/>
        <v>1</v>
      </c>
      <c r="S3302" s="121" t="str">
        <f t="shared" si="1270"/>
        <v/>
      </c>
      <c r="T3302" s="121" t="str">
        <f t="shared" si="1271"/>
        <v/>
      </c>
      <c r="U3302" s="121">
        <f t="shared" si="1272"/>
        <v>1</v>
      </c>
    </row>
    <row r="3303" spans="1:21" x14ac:dyDescent="0.3">
      <c r="A3303" s="187">
        <v>39</v>
      </c>
      <c r="B3303" s="242">
        <f t="shared" si="1273"/>
        <v>46813</v>
      </c>
      <c r="C3303" s="243">
        <f t="shared" si="1254"/>
        <v>46843</v>
      </c>
      <c r="D3303" s="120">
        <f t="shared" si="1255"/>
        <v>31</v>
      </c>
      <c r="E3303" s="120">
        <f t="shared" si="1256"/>
        <v>3</v>
      </c>
      <c r="F3303" s="275">
        <f t="shared" si="1257"/>
        <v>46828.5</v>
      </c>
      <c r="G3303" s="120">
        <f t="shared" si="1258"/>
        <v>24338</v>
      </c>
      <c r="H3303" s="245">
        <f t="shared" si="1259"/>
        <v>1</v>
      </c>
      <c r="I3303" s="121">
        <f t="shared" si="1260"/>
        <v>1</v>
      </c>
      <c r="J3303" s="121">
        <f t="shared" si="1261"/>
        <v>1</v>
      </c>
      <c r="K3303" s="120">
        <f t="shared" si="1262"/>
        <v>0</v>
      </c>
      <c r="L3303" s="120">
        <f t="shared" si="1263"/>
        <v>0</v>
      </c>
      <c r="M3303" s="246">
        <f t="shared" si="1264"/>
        <v>0</v>
      </c>
      <c r="N3303" s="121">
        <f t="shared" si="1265"/>
        <v>1</v>
      </c>
      <c r="O3303" s="246">
        <f t="shared" si="1266"/>
        <v>0.91</v>
      </c>
      <c r="P3303" s="121">
        <f t="shared" si="1267"/>
        <v>0</v>
      </c>
      <c r="Q3303" s="121">
        <f t="shared" si="1268"/>
        <v>0</v>
      </c>
      <c r="R3303" s="121">
        <f t="shared" si="1269"/>
        <v>1</v>
      </c>
      <c r="S3303" s="121" t="str">
        <f t="shared" si="1270"/>
        <v/>
      </c>
      <c r="T3303" s="121" t="str">
        <f t="shared" si="1271"/>
        <v/>
      </c>
      <c r="U3303" s="121">
        <f t="shared" si="1272"/>
        <v>1</v>
      </c>
    </row>
    <row r="3304" spans="1:21" x14ac:dyDescent="0.3">
      <c r="A3304" s="187">
        <v>40</v>
      </c>
      <c r="B3304" s="242">
        <f t="shared" si="1273"/>
        <v>46844</v>
      </c>
      <c r="C3304" s="243">
        <f t="shared" si="1254"/>
        <v>46873</v>
      </c>
      <c r="D3304" s="120">
        <f t="shared" si="1255"/>
        <v>30</v>
      </c>
      <c r="E3304" s="120">
        <f t="shared" si="1256"/>
        <v>4</v>
      </c>
      <c r="F3304" s="275">
        <f t="shared" si="1257"/>
        <v>46859</v>
      </c>
      <c r="G3304" s="120">
        <f t="shared" si="1258"/>
        <v>24339</v>
      </c>
      <c r="H3304" s="245">
        <f t="shared" si="1259"/>
        <v>1</v>
      </c>
      <c r="I3304" s="121">
        <f t="shared" si="1260"/>
        <v>1</v>
      </c>
      <c r="J3304" s="121">
        <f t="shared" si="1261"/>
        <v>1</v>
      </c>
      <c r="K3304" s="120">
        <f t="shared" si="1262"/>
        <v>0</v>
      </c>
      <c r="L3304" s="120">
        <f t="shared" si="1263"/>
        <v>0</v>
      </c>
      <c r="M3304" s="246">
        <f t="shared" si="1264"/>
        <v>0</v>
      </c>
      <c r="N3304" s="121">
        <f t="shared" si="1265"/>
        <v>1</v>
      </c>
      <c r="O3304" s="246">
        <f t="shared" si="1266"/>
        <v>0.91</v>
      </c>
      <c r="P3304" s="121">
        <f t="shared" si="1267"/>
        <v>0</v>
      </c>
      <c r="Q3304" s="121">
        <f t="shared" si="1268"/>
        <v>0</v>
      </c>
      <c r="R3304" s="121">
        <f t="shared" si="1269"/>
        <v>1</v>
      </c>
      <c r="S3304" s="121" t="str">
        <f t="shared" si="1270"/>
        <v/>
      </c>
      <c r="T3304" s="121" t="str">
        <f t="shared" si="1271"/>
        <v/>
      </c>
      <c r="U3304" s="121">
        <f t="shared" si="1272"/>
        <v>1</v>
      </c>
    </row>
    <row r="3305" spans="1:21" x14ac:dyDescent="0.3">
      <c r="A3305" s="187">
        <v>41</v>
      </c>
      <c r="B3305" s="242">
        <f t="shared" si="1273"/>
        <v>46874</v>
      </c>
      <c r="C3305" s="243">
        <f t="shared" si="1254"/>
        <v>46904</v>
      </c>
      <c r="D3305" s="120">
        <f t="shared" si="1255"/>
        <v>31</v>
      </c>
      <c r="E3305" s="120">
        <f t="shared" si="1256"/>
        <v>5</v>
      </c>
      <c r="F3305" s="275">
        <f t="shared" si="1257"/>
        <v>46889.5</v>
      </c>
      <c r="G3305" s="120">
        <f t="shared" si="1258"/>
        <v>24340</v>
      </c>
      <c r="H3305" s="245">
        <f t="shared" si="1259"/>
        <v>1</v>
      </c>
      <c r="I3305" s="121">
        <f t="shared" si="1260"/>
        <v>1</v>
      </c>
      <c r="J3305" s="121">
        <f t="shared" si="1261"/>
        <v>1</v>
      </c>
      <c r="K3305" s="120">
        <f t="shared" si="1262"/>
        <v>0</v>
      </c>
      <c r="L3305" s="120">
        <f t="shared" si="1263"/>
        <v>0</v>
      </c>
      <c r="M3305" s="246">
        <f t="shared" si="1264"/>
        <v>0</v>
      </c>
      <c r="N3305" s="121">
        <f t="shared" si="1265"/>
        <v>1</v>
      </c>
      <c r="O3305" s="246">
        <f t="shared" si="1266"/>
        <v>0.91</v>
      </c>
      <c r="P3305" s="121">
        <f t="shared" si="1267"/>
        <v>0</v>
      </c>
      <c r="Q3305" s="121">
        <f t="shared" si="1268"/>
        <v>0</v>
      </c>
      <c r="R3305" s="121">
        <f t="shared" si="1269"/>
        <v>1</v>
      </c>
      <c r="S3305" s="121" t="str">
        <f t="shared" si="1270"/>
        <v/>
      </c>
      <c r="T3305" s="121" t="str">
        <f t="shared" si="1271"/>
        <v/>
      </c>
      <c r="U3305" s="121">
        <f t="shared" si="1272"/>
        <v>1</v>
      </c>
    </row>
    <row r="3306" spans="1:21" x14ac:dyDescent="0.3">
      <c r="A3306" s="187">
        <v>42</v>
      </c>
      <c r="B3306" s="242">
        <f t="shared" si="1273"/>
        <v>46905</v>
      </c>
      <c r="C3306" s="243">
        <f t="shared" si="1254"/>
        <v>46934</v>
      </c>
      <c r="D3306" s="120">
        <f t="shared" si="1255"/>
        <v>30</v>
      </c>
      <c r="E3306" s="120">
        <f t="shared" si="1256"/>
        <v>6</v>
      </c>
      <c r="F3306" s="275">
        <f t="shared" si="1257"/>
        <v>46920</v>
      </c>
      <c r="G3306" s="120">
        <f t="shared" si="1258"/>
        <v>24341</v>
      </c>
      <c r="H3306" s="245">
        <f t="shared" si="1259"/>
        <v>1</v>
      </c>
      <c r="I3306" s="121">
        <f t="shared" si="1260"/>
        <v>1</v>
      </c>
      <c r="J3306" s="121">
        <f t="shared" si="1261"/>
        <v>1</v>
      </c>
      <c r="K3306" s="120">
        <f t="shared" si="1262"/>
        <v>0</v>
      </c>
      <c r="L3306" s="120">
        <f t="shared" si="1263"/>
        <v>0</v>
      </c>
      <c r="M3306" s="246">
        <f t="shared" si="1264"/>
        <v>0</v>
      </c>
      <c r="N3306" s="121">
        <f t="shared" si="1265"/>
        <v>1</v>
      </c>
      <c r="O3306" s="246">
        <f t="shared" si="1266"/>
        <v>0.91</v>
      </c>
      <c r="P3306" s="121">
        <f t="shared" si="1267"/>
        <v>0</v>
      </c>
      <c r="Q3306" s="121">
        <f t="shared" si="1268"/>
        <v>0</v>
      </c>
      <c r="R3306" s="121">
        <f t="shared" si="1269"/>
        <v>1</v>
      </c>
      <c r="S3306" s="121" t="str">
        <f t="shared" si="1270"/>
        <v/>
      </c>
      <c r="T3306" s="121" t="str">
        <f t="shared" si="1271"/>
        <v/>
      </c>
      <c r="U3306" s="121">
        <f t="shared" si="1272"/>
        <v>1</v>
      </c>
    </row>
    <row r="3307" spans="1:21" x14ac:dyDescent="0.3">
      <c r="A3307" s="187">
        <v>43</v>
      </c>
      <c r="B3307" s="242">
        <f t="shared" si="1273"/>
        <v>46935</v>
      </c>
      <c r="C3307" s="243">
        <f t="shared" si="1254"/>
        <v>46965</v>
      </c>
      <c r="D3307" s="120">
        <f t="shared" si="1255"/>
        <v>31</v>
      </c>
      <c r="E3307" s="120">
        <f t="shared" si="1256"/>
        <v>7</v>
      </c>
      <c r="F3307" s="275">
        <f t="shared" si="1257"/>
        <v>46950.5</v>
      </c>
      <c r="G3307" s="120">
        <f t="shared" si="1258"/>
        <v>24342</v>
      </c>
      <c r="H3307" s="245">
        <f t="shared" si="1259"/>
        <v>1</v>
      </c>
      <c r="I3307" s="121">
        <f t="shared" si="1260"/>
        <v>1</v>
      </c>
      <c r="J3307" s="121">
        <f t="shared" si="1261"/>
        <v>1</v>
      </c>
      <c r="K3307" s="120">
        <f t="shared" si="1262"/>
        <v>0</v>
      </c>
      <c r="L3307" s="120">
        <f t="shared" si="1263"/>
        <v>0</v>
      </c>
      <c r="M3307" s="246">
        <f t="shared" si="1264"/>
        <v>0</v>
      </c>
      <c r="N3307" s="121">
        <f t="shared" si="1265"/>
        <v>1</v>
      </c>
      <c r="O3307" s="246">
        <f t="shared" si="1266"/>
        <v>0.91</v>
      </c>
      <c r="P3307" s="121">
        <f t="shared" si="1267"/>
        <v>0</v>
      </c>
      <c r="Q3307" s="121">
        <f t="shared" si="1268"/>
        <v>0</v>
      </c>
      <c r="R3307" s="121">
        <f t="shared" si="1269"/>
        <v>0.91666666666666663</v>
      </c>
      <c r="S3307" s="121" t="str">
        <f t="shared" si="1270"/>
        <v/>
      </c>
      <c r="T3307" s="121" t="str">
        <f t="shared" si="1271"/>
        <v/>
      </c>
      <c r="U3307" s="121">
        <f t="shared" si="1272"/>
        <v>1</v>
      </c>
    </row>
    <row r="3308" spans="1:21" x14ac:dyDescent="0.3">
      <c r="A3308" s="187">
        <v>44</v>
      </c>
      <c r="B3308" s="242">
        <f t="shared" si="1273"/>
        <v>46966</v>
      </c>
      <c r="C3308" s="243">
        <f t="shared" si="1254"/>
        <v>46996</v>
      </c>
      <c r="D3308" s="120">
        <f t="shared" si="1255"/>
        <v>31</v>
      </c>
      <c r="E3308" s="120">
        <f t="shared" si="1256"/>
        <v>8</v>
      </c>
      <c r="F3308" s="275">
        <f t="shared" si="1257"/>
        <v>46981.5</v>
      </c>
      <c r="G3308" s="120">
        <f t="shared" si="1258"/>
        <v>24343</v>
      </c>
      <c r="H3308" s="245">
        <f t="shared" si="1259"/>
        <v>1</v>
      </c>
      <c r="I3308" s="121">
        <f t="shared" si="1260"/>
        <v>1</v>
      </c>
      <c r="J3308" s="121">
        <f t="shared" si="1261"/>
        <v>1</v>
      </c>
      <c r="K3308" s="120">
        <f t="shared" si="1262"/>
        <v>0</v>
      </c>
      <c r="L3308" s="120">
        <f t="shared" si="1263"/>
        <v>0</v>
      </c>
      <c r="M3308" s="246">
        <f t="shared" si="1264"/>
        <v>0</v>
      </c>
      <c r="N3308" s="121">
        <f t="shared" si="1265"/>
        <v>1</v>
      </c>
      <c r="O3308" s="246">
        <f t="shared" si="1266"/>
        <v>0.91</v>
      </c>
      <c r="P3308" s="121">
        <f t="shared" si="1267"/>
        <v>0</v>
      </c>
      <c r="Q3308" s="121">
        <f t="shared" si="1268"/>
        <v>0</v>
      </c>
      <c r="R3308" s="121">
        <f t="shared" si="1269"/>
        <v>0.75</v>
      </c>
      <c r="S3308" s="121" t="str">
        <f t="shared" si="1270"/>
        <v/>
      </c>
      <c r="T3308" s="121" t="str">
        <f t="shared" si="1271"/>
        <v/>
      </c>
      <c r="U3308" s="121">
        <f t="shared" si="1272"/>
        <v>1</v>
      </c>
    </row>
    <row r="3309" spans="1:21" x14ac:dyDescent="0.3">
      <c r="A3309" s="187">
        <v>45</v>
      </c>
      <c r="B3309" s="242">
        <f t="shared" si="1273"/>
        <v>46997</v>
      </c>
      <c r="C3309" s="243">
        <f t="shared" si="1254"/>
        <v>47026</v>
      </c>
      <c r="D3309" s="120">
        <f t="shared" si="1255"/>
        <v>30</v>
      </c>
      <c r="E3309" s="120">
        <f t="shared" si="1256"/>
        <v>9</v>
      </c>
      <c r="F3309" s="275">
        <f t="shared" si="1257"/>
        <v>47012</v>
      </c>
      <c r="G3309" s="120">
        <f t="shared" si="1258"/>
        <v>24344</v>
      </c>
      <c r="H3309" s="245">
        <f t="shared" si="1259"/>
        <v>1</v>
      </c>
      <c r="I3309" s="121">
        <f t="shared" si="1260"/>
        <v>1</v>
      </c>
      <c r="J3309" s="121">
        <f t="shared" si="1261"/>
        <v>1</v>
      </c>
      <c r="K3309" s="120">
        <f t="shared" si="1262"/>
        <v>0</v>
      </c>
      <c r="L3309" s="120">
        <f t="shared" si="1263"/>
        <v>0</v>
      </c>
      <c r="M3309" s="246">
        <f t="shared" si="1264"/>
        <v>0</v>
      </c>
      <c r="N3309" s="121">
        <f t="shared" si="1265"/>
        <v>1</v>
      </c>
      <c r="O3309" s="246">
        <f t="shared" si="1266"/>
        <v>0.91</v>
      </c>
      <c r="P3309" s="121">
        <f t="shared" si="1267"/>
        <v>0</v>
      </c>
      <c r="Q3309" s="121">
        <f t="shared" si="1268"/>
        <v>0</v>
      </c>
      <c r="R3309" s="121">
        <f t="shared" si="1269"/>
        <v>0.58333333333333337</v>
      </c>
      <c r="S3309" s="121" t="str">
        <f t="shared" si="1270"/>
        <v/>
      </c>
      <c r="T3309" s="121" t="str">
        <f t="shared" si="1271"/>
        <v/>
      </c>
      <c r="U3309" s="121">
        <f t="shared" si="1272"/>
        <v>1</v>
      </c>
    </row>
    <row r="3310" spans="1:21" x14ac:dyDescent="0.3">
      <c r="A3310" s="187">
        <v>46</v>
      </c>
      <c r="B3310" s="242">
        <f t="shared" si="1273"/>
        <v>47027</v>
      </c>
      <c r="C3310" s="243">
        <f t="shared" si="1254"/>
        <v>47057</v>
      </c>
      <c r="D3310" s="120">
        <f t="shared" si="1255"/>
        <v>31</v>
      </c>
      <c r="E3310" s="120">
        <f t="shared" si="1256"/>
        <v>10</v>
      </c>
      <c r="F3310" s="275">
        <f t="shared" si="1257"/>
        <v>47042.5</v>
      </c>
      <c r="G3310" s="120">
        <f t="shared" si="1258"/>
        <v>24345</v>
      </c>
      <c r="H3310" s="245">
        <f t="shared" si="1259"/>
        <v>1</v>
      </c>
      <c r="I3310" s="121">
        <f t="shared" si="1260"/>
        <v>1</v>
      </c>
      <c r="J3310" s="121">
        <f t="shared" si="1261"/>
        <v>1</v>
      </c>
      <c r="K3310" s="120">
        <f t="shared" si="1262"/>
        <v>0</v>
      </c>
      <c r="L3310" s="120">
        <f t="shared" si="1263"/>
        <v>0</v>
      </c>
      <c r="M3310" s="246">
        <f t="shared" si="1264"/>
        <v>0</v>
      </c>
      <c r="N3310" s="121">
        <f t="shared" si="1265"/>
        <v>1</v>
      </c>
      <c r="O3310" s="246">
        <f t="shared" si="1266"/>
        <v>0.91</v>
      </c>
      <c r="P3310" s="121">
        <f t="shared" si="1267"/>
        <v>0</v>
      </c>
      <c r="Q3310" s="121">
        <f t="shared" si="1268"/>
        <v>0</v>
      </c>
      <c r="R3310" s="121">
        <f t="shared" si="1269"/>
        <v>0.41666666666666669</v>
      </c>
      <c r="S3310" s="121" t="str">
        <f t="shared" si="1270"/>
        <v/>
      </c>
      <c r="T3310" s="121" t="str">
        <f t="shared" si="1271"/>
        <v/>
      </c>
      <c r="U3310" s="121">
        <f t="shared" si="1272"/>
        <v>1</v>
      </c>
    </row>
    <row r="3311" spans="1:21" x14ac:dyDescent="0.3">
      <c r="A3311" s="187">
        <v>47</v>
      </c>
      <c r="B3311" s="242">
        <f t="shared" si="1273"/>
        <v>47058</v>
      </c>
      <c r="C3311" s="243">
        <f t="shared" si="1254"/>
        <v>47087</v>
      </c>
      <c r="D3311" s="120">
        <f t="shared" si="1255"/>
        <v>30</v>
      </c>
      <c r="E3311" s="120">
        <f t="shared" si="1256"/>
        <v>11</v>
      </c>
      <c r="F3311" s="275">
        <f t="shared" si="1257"/>
        <v>47073</v>
      </c>
      <c r="G3311" s="120">
        <f t="shared" si="1258"/>
        <v>24346</v>
      </c>
      <c r="H3311" s="245">
        <f t="shared" si="1259"/>
        <v>1</v>
      </c>
      <c r="I3311" s="121">
        <f t="shared" si="1260"/>
        <v>1</v>
      </c>
      <c r="J3311" s="121">
        <f t="shared" si="1261"/>
        <v>1</v>
      </c>
      <c r="K3311" s="120">
        <f t="shared" si="1262"/>
        <v>0</v>
      </c>
      <c r="L3311" s="120">
        <f t="shared" si="1263"/>
        <v>0</v>
      </c>
      <c r="M3311" s="246">
        <f t="shared" si="1264"/>
        <v>0</v>
      </c>
      <c r="N3311" s="121">
        <f t="shared" si="1265"/>
        <v>1</v>
      </c>
      <c r="O3311" s="246">
        <f t="shared" si="1266"/>
        <v>0.91</v>
      </c>
      <c r="P3311" s="121">
        <f t="shared" si="1267"/>
        <v>0</v>
      </c>
      <c r="Q3311" s="121">
        <f t="shared" si="1268"/>
        <v>0</v>
      </c>
      <c r="R3311" s="121">
        <f t="shared" si="1269"/>
        <v>0.25</v>
      </c>
      <c r="S3311" s="121" t="str">
        <f t="shared" si="1270"/>
        <v/>
      </c>
      <c r="T3311" s="121" t="str">
        <f t="shared" si="1271"/>
        <v/>
      </c>
      <c r="U3311" s="121">
        <f t="shared" si="1272"/>
        <v>1</v>
      </c>
    </row>
    <row r="3312" spans="1:21" x14ac:dyDescent="0.3">
      <c r="A3312" s="187">
        <v>48</v>
      </c>
      <c r="B3312" s="242">
        <f t="shared" si="1273"/>
        <v>47088</v>
      </c>
      <c r="C3312" s="243">
        <f t="shared" si="1254"/>
        <v>47118</v>
      </c>
      <c r="D3312" s="120">
        <f t="shared" si="1255"/>
        <v>31</v>
      </c>
      <c r="E3312" s="120">
        <f t="shared" si="1256"/>
        <v>12</v>
      </c>
      <c r="F3312" s="275">
        <f t="shared" si="1257"/>
        <v>47103.5</v>
      </c>
      <c r="G3312" s="120">
        <f t="shared" si="1258"/>
        <v>24347</v>
      </c>
      <c r="H3312" s="245">
        <f t="shared" si="1259"/>
        <v>1</v>
      </c>
      <c r="I3312" s="121">
        <f t="shared" si="1260"/>
        <v>1</v>
      </c>
      <c r="J3312" s="121">
        <f t="shared" si="1261"/>
        <v>1</v>
      </c>
      <c r="K3312" s="120">
        <f t="shared" si="1262"/>
        <v>0</v>
      </c>
      <c r="L3312" s="120">
        <f t="shared" si="1263"/>
        <v>0</v>
      </c>
      <c r="M3312" s="246">
        <f t="shared" si="1264"/>
        <v>0</v>
      </c>
      <c r="N3312" s="121">
        <f t="shared" si="1265"/>
        <v>1</v>
      </c>
      <c r="O3312" s="246">
        <f t="shared" si="1266"/>
        <v>0.91</v>
      </c>
      <c r="P3312" s="121">
        <f t="shared" si="1267"/>
        <v>0</v>
      </c>
      <c r="Q3312" s="121">
        <f t="shared" si="1268"/>
        <v>0</v>
      </c>
      <c r="R3312" s="121">
        <f t="shared" si="1269"/>
        <v>8.3333333333333329E-2</v>
      </c>
      <c r="S3312" s="121" t="str">
        <f t="shared" si="1270"/>
        <v/>
      </c>
      <c r="T3312" s="121" t="str">
        <f t="shared" si="1271"/>
        <v/>
      </c>
      <c r="U3312" s="121">
        <f t="shared" si="1272"/>
        <v>1</v>
      </c>
    </row>
    <row r="3313" spans="1:21" x14ac:dyDescent="0.3">
      <c r="A3313" s="6" t="s">
        <v>1651</v>
      </c>
      <c r="B3313" s="73">
        <f>EXP(SUMPRODUCT((rl_key=$A$3262)*(rl_cons="Y")*rl_ln1p))</f>
        <v>1</v>
      </c>
      <c r="C3313" s="73">
        <f>SUMPRODUCT($H$3265:$H$3312,$P$3265:$P$3312,$U$3265:$U$3312)/SUMPRODUCT($H$3265:$H$3312,$P$3265:$P$3312)</f>
        <v>1</v>
      </c>
      <c r="D3313" s="73">
        <f>SUMPRODUCT($H$3265:$H$3312,$Q$3265:$Q$3312,$U$3265:$U$3312)/SUMPRODUCT($H$3265:$H$3312,$Q$3265:$Q$3312)</f>
        <v>1</v>
      </c>
      <c r="E3313" s="73">
        <f>SUMPRODUCT($H$3265:$H$3312,$R$3265:$R$3312,$U$3265:$U$3312)/SUMPRODUCT($H$3265:$H$3312,$R$3265:$R$3312)</f>
        <v>1</v>
      </c>
      <c r="F3313" s="224">
        <f>SUMPRODUCT($H$3265:$H$3312,$Q$3265:$Q$3312,$O$3265:$O$3312)/SUMPRODUCT($H$3265:$H$3312,$Q$3265:$Q$3312)</f>
        <v>0.90999999999999981</v>
      </c>
      <c r="G3313" s="224">
        <f>SUMPRODUCT($H$3265:$H$3312,$R$3265:$R$3312,$O$3265:$O$3312)/SUMPRODUCT($H$3265:$H$3312,$R$3265:$R$3312)</f>
        <v>0.90999999999999981</v>
      </c>
      <c r="H3313" s="73">
        <f>SUMPRODUCT($H$3289:$H$3300,$N$3289:$N$3300/$N$3277:$N$3288)/SUM($H$3289:$H$3300)</f>
        <v>1</v>
      </c>
      <c r="I3313" s="73">
        <f>SUMPRODUCT($H$3289:$H$3300,$O$3289:$O$3300/$O$3277:$O$3288)/SUM($H$3289:$H$3300)</f>
        <v>1</v>
      </c>
      <c r="J3313" s="73">
        <f>IF($O$3262=1,SUMPRODUCT($H$3289:$H$3300,$N$3289:$N$3300/$N$3277:$N$3288*$O$3289:$O$3300/$O$3277:$O$3288)/SUM($H$3289:$H$3300),$H3313)</f>
        <v>1</v>
      </c>
      <c r="K3313" s="73">
        <f>SUMPRODUCT($H$3265:$H$3312,$Q$3265:$Q$3312,$N$3265:$N$3312)/SUMPRODUCT($H$3265:$H$3312,$Q$3265:$Q$3312)</f>
        <v>1</v>
      </c>
      <c r="L3313" s="73">
        <f>SUMPRODUCT($H$3265:$H$3312,$R$3265:$R$3312,$N$3265:$N$3312)/SUMPRODUCT($H$3265:$H$3312,$R$3265:$R$3312)</f>
        <v>1</v>
      </c>
    </row>
    <row r="3316" spans="1:21" x14ac:dyDescent="0.3">
      <c r="A3316" s="6" t="str">
        <f>INDEX(lr_key,61)</f>
        <v>SBA|VA</v>
      </c>
      <c r="B3316" s="6" t="str">
        <f>INDEX(lr_state,61)</f>
        <v>VA</v>
      </c>
      <c r="C3316" s="75">
        <f>nr_TermMonths</f>
        <v>6</v>
      </c>
      <c r="D3316" s="75">
        <f>IF(COUNTIF(se_state,$B3316)=0,0,MATCH($B3316,se_state,0))</f>
        <v>0</v>
      </c>
      <c r="E3316" s="70">
        <f>IF($D3316=0,0,INDEX(se_sum,$D3316))</f>
        <v>0</v>
      </c>
      <c r="F3316" s="224">
        <f>IF(N(INDEX(lr_mind,61))=0,1,INDEX(lr_mind,61))</f>
        <v>0.92</v>
      </c>
      <c r="G3316" s="224">
        <f>IF(N(INDEX(lr_m0,61))=0,1,INDEX(lr_m0,61))</f>
        <v>0.91</v>
      </c>
      <c r="H3316" s="74">
        <f>IF(N(INDEX(lr_m0asof,61))=0,DATE(nr_PlanYear-1,10,1),INDEX(lr_m0asof,61))</f>
        <v>46295</v>
      </c>
      <c r="I3316" s="224">
        <f>IF(N(INDEX(lr_m1,61))=0,1,INDEX(lr_m1,61))</f>
        <v>0.92500000000000004</v>
      </c>
      <c r="J3316" s="224">
        <f>INDEX(lr_mprior,61)</f>
        <v>0</v>
      </c>
      <c r="K3316" s="224">
        <f>INDEX(lr_m2,61)</f>
        <v>0</v>
      </c>
      <c r="L3316" s="6" t="b">
        <f>NOT(ISBLANK(INDEX(lr_netp,61)))</f>
        <v>0</v>
      </c>
      <c r="M3316" s="72">
        <f>N(INDEX(lr_netp,61))</f>
        <v>0</v>
      </c>
      <c r="N3316" s="72">
        <f>IF(ISBLANK(INDEX(lr_netp1,61)),$M$3316,N(INDEX(lr_netp1,61)))</f>
        <v>0</v>
      </c>
      <c r="O3316" s="75">
        <f>IF(AND(nr_ModAdjMaster="ON",INDEX(lr_modadj,61)="ON"),1,0)</f>
        <v>1</v>
      </c>
    </row>
    <row r="3317" spans="1:21" x14ac:dyDescent="0.3">
      <c r="A3317" s="6">
        <f>EDATE($H$3316,-12)+1</f>
        <v>45931</v>
      </c>
      <c r="B3317" s="6">
        <f>$H$3316+1</f>
        <v>46296</v>
      </c>
      <c r="C3317" s="6">
        <f>DATE(nr_PlanYear,12,31)+1</f>
        <v>46753</v>
      </c>
      <c r="D3317" s="6">
        <f>DATE(nr_PlanYear+1,12,31)+1</f>
        <v>47119</v>
      </c>
      <c r="E3317" s="6">
        <f>IF(N($J$3316)=0,$F$3317-($G$3317-$F$3317)/($C$3317-$B$3317)*($B$3317-$A$3317),$J$3316)</f>
        <v>0.89801969365426693</v>
      </c>
      <c r="F3317" s="6">
        <f>$G$3316</f>
        <v>0.91</v>
      </c>
      <c r="G3317" s="6">
        <f>$I$3316</f>
        <v>0.92500000000000004</v>
      </c>
      <c r="H3317" s="6">
        <f>IF(N($K$3316)=0,$I$3316,$K$3316)</f>
        <v>0.92500000000000004</v>
      </c>
      <c r="I3317" s="6">
        <f>($F$3317-$E$3317)/($B$3317-$A$3317)</f>
        <v>3.2822757111597549E-5</v>
      </c>
      <c r="J3317" s="6">
        <f>($G$3317-$F$3317)/($C$3317-$B$3317)</f>
        <v>3.2822757111597407E-5</v>
      </c>
      <c r="K3317" s="6">
        <f>($H$3317-$G$3317)/($D$3317-$C$3317)</f>
        <v>0</v>
      </c>
    </row>
    <row r="3318" spans="1:21" ht="36" x14ac:dyDescent="0.3">
      <c r="A3318" s="58" t="s">
        <v>390</v>
      </c>
      <c r="B3318" s="58" t="s">
        <v>449</v>
      </c>
      <c r="C3318" s="58" t="s">
        <v>685</v>
      </c>
      <c r="D3318" s="58" t="s">
        <v>686</v>
      </c>
      <c r="E3318" s="58" t="s">
        <v>687</v>
      </c>
      <c r="F3318" s="58" t="s">
        <v>688</v>
      </c>
      <c r="G3318" s="58" t="s">
        <v>689</v>
      </c>
      <c r="H3318" s="58" t="s">
        <v>452</v>
      </c>
      <c r="I3318" s="58" t="s">
        <v>690</v>
      </c>
      <c r="J3318" s="58" t="s">
        <v>691</v>
      </c>
      <c r="K3318" s="58" t="s">
        <v>692</v>
      </c>
      <c r="L3318" s="58" t="s">
        <v>693</v>
      </c>
      <c r="M3318" s="58" t="s">
        <v>694</v>
      </c>
      <c r="N3318" s="58" t="s">
        <v>695</v>
      </c>
      <c r="O3318" s="58" t="s">
        <v>696</v>
      </c>
      <c r="P3318" s="58" t="s">
        <v>697</v>
      </c>
      <c r="Q3318" s="58" t="s">
        <v>698</v>
      </c>
      <c r="R3318" s="58" t="s">
        <v>699</v>
      </c>
      <c r="S3318" s="58" t="s">
        <v>700</v>
      </c>
      <c r="T3318" s="58" t="s">
        <v>701</v>
      </c>
      <c r="U3318" s="58" t="s">
        <v>702</v>
      </c>
    </row>
    <row r="3319" spans="1:21" x14ac:dyDescent="0.3">
      <c r="A3319" s="187">
        <v>1</v>
      </c>
      <c r="B3319" s="242">
        <f>DATE(nr_PlanYear-2,1,1)</f>
        <v>45658</v>
      </c>
      <c r="C3319" s="243">
        <f t="shared" ref="C3319:C3366" si="1274">EOMONTH($B3319,0)</f>
        <v>45688</v>
      </c>
      <c r="D3319" s="120">
        <f t="shared" ref="D3319:D3366" si="1275">$C3319-$B3319+1</f>
        <v>31</v>
      </c>
      <c r="E3319" s="120">
        <f t="shared" ref="E3319:E3366" si="1276">MONTH($B3319)</f>
        <v>1</v>
      </c>
      <c r="F3319" s="275">
        <f t="shared" ref="F3319:F3366" si="1277">($B3319+$C3319+1)/2</f>
        <v>45673.5</v>
      </c>
      <c r="G3319" s="120">
        <f t="shared" ref="G3319:G3366" si="1278">YEAR($B3319)*12+MONTH($B3319)-1</f>
        <v>24300</v>
      </c>
      <c r="H3319" s="245">
        <f t="shared" ref="H3319:H3366" si="1279">IF(OR(nr_SeasonOn="OFF",$D$3316=0,$E$3316=0),1,12*INDEX(se_block,$D$3316,$E3319)/$E$3316)</f>
        <v>1</v>
      </c>
      <c r="I3319" s="121">
        <f t="shared" ref="I3319:I3366" si="1280">EXP(SUMPRODUCT((rl_eff&lt;$B3319)*(rl_key=$A$3316)*rl_ln1p))</f>
        <v>1</v>
      </c>
      <c r="J3319" s="121">
        <f t="shared" ref="J3319:J3366" si="1281">EXP(SUMPRODUCT((rl_eff&lt;=$C3319)*(rl_key=$A$3316)*rl_ln1p))</f>
        <v>1</v>
      </c>
      <c r="K3319" s="120">
        <f t="shared" ref="K3319:K3366" si="1282">COUNTIFS(rl_key,$A$3316,rl_eff,"&gt;="&amp;$B3319,rl_eff,"&lt;="&amp;$C3319)</f>
        <v>0</v>
      </c>
      <c r="L3319" s="120">
        <f t="shared" ref="L3319:L3366" si="1283">SUMIFS(rl_daysafter,rl_key,$A$3316,rl_effmonth,$B3319,rl_first,1)</f>
        <v>0</v>
      </c>
      <c r="M3319" s="246">
        <f t="shared" ref="M3319:M3366" si="1284">IF($K3319=0,0,MIN(1,$L3319/$D3319))</f>
        <v>0</v>
      </c>
      <c r="N3319" s="121">
        <f t="shared" ref="N3319:N3366" si="1285">IF($K3319=0,$J3319,(1-$M3319)*$I3319+$M3319*$J3319)</f>
        <v>1</v>
      </c>
      <c r="O3319" s="246">
        <f t="shared" ref="O3319:O3366" si="1286">IF($F3319&lt;$B$3317,$E$3317+$I$3317*($F3319-$A$3317),IF($F3319&lt;$C$3317,$F$3317+$J$3317*($F3319-$B$3317),$G$3317+$K$3317*($F3319-$C$3317)))</f>
        <v>0.88956783369803061</v>
      </c>
      <c r="P3319" s="121">
        <f t="shared" ref="P3319:P3366" si="1287">MIN(1,MAX(0,(nr_MEndPm1-$G3319+0.5)/$C$3316))-MIN(1,MAX(0,(nr_MStartPm1-1-$G3319+0.5)/$C$3316))</f>
        <v>0</v>
      </c>
      <c r="Q3319" s="121">
        <f t="shared" ref="Q3319:Q3366" si="1288">MIN(1,MAX(0,(nr_MEndP-$G3319+0.5)/$C$3316))-MIN(1,MAX(0,(nr_MStartP-1-$G3319+0.5)/$C$3316))</f>
        <v>0</v>
      </c>
      <c r="R3319" s="121">
        <f t="shared" ref="R3319:R3366" si="1289">MIN(1,MAX(0,(nr_MEndP1-$G3319+0.5)/$C$3316))-MIN(1,MAX(0,(nr_MStartP1-1-$G3319+0.5)/$C$3316))</f>
        <v>0</v>
      </c>
      <c r="S3319" s="121" t="str">
        <f t="shared" ref="S3319:S3366" si="1290">IF($L$3316,$N3319*IF($O$3316=1,$O3319/$F$3316,1),"")</f>
        <v/>
      </c>
      <c r="T3319" s="121" t="str">
        <f t="shared" ref="T3319:T3366" si="1291">IF(NOT($L$3316),"",IF($G3319&lt;nr_MStartP,$S3319,$T3307*(1+IF($G3319&lt;nr_MStartP1,$M$3316,$N$3316))))</f>
        <v/>
      </c>
      <c r="U3319" s="121">
        <f t="shared" ref="U3319:U3366" si="1292">IF($L$3316,$T3319,$N3319)</f>
        <v>1</v>
      </c>
    </row>
    <row r="3320" spans="1:21" x14ac:dyDescent="0.3">
      <c r="A3320" s="187">
        <v>2</v>
      </c>
      <c r="B3320" s="242">
        <f t="shared" ref="B3320:B3366" si="1293">EDATE($B3319,1)</f>
        <v>45689</v>
      </c>
      <c r="C3320" s="243">
        <f t="shared" si="1274"/>
        <v>45716</v>
      </c>
      <c r="D3320" s="120">
        <f t="shared" si="1275"/>
        <v>28</v>
      </c>
      <c r="E3320" s="120">
        <f t="shared" si="1276"/>
        <v>2</v>
      </c>
      <c r="F3320" s="275">
        <f t="shared" si="1277"/>
        <v>45703</v>
      </c>
      <c r="G3320" s="120">
        <f t="shared" si="1278"/>
        <v>24301</v>
      </c>
      <c r="H3320" s="245">
        <f t="shared" si="1279"/>
        <v>1</v>
      </c>
      <c r="I3320" s="121">
        <f t="shared" si="1280"/>
        <v>1</v>
      </c>
      <c r="J3320" s="121">
        <f t="shared" si="1281"/>
        <v>1</v>
      </c>
      <c r="K3320" s="120">
        <f t="shared" si="1282"/>
        <v>0</v>
      </c>
      <c r="L3320" s="120">
        <f t="shared" si="1283"/>
        <v>0</v>
      </c>
      <c r="M3320" s="246">
        <f t="shared" si="1284"/>
        <v>0</v>
      </c>
      <c r="N3320" s="121">
        <f t="shared" si="1285"/>
        <v>1</v>
      </c>
      <c r="O3320" s="246">
        <f t="shared" si="1286"/>
        <v>0.89053610503282266</v>
      </c>
      <c r="P3320" s="121">
        <f t="shared" si="1287"/>
        <v>0</v>
      </c>
      <c r="Q3320" s="121">
        <f t="shared" si="1288"/>
        <v>0</v>
      </c>
      <c r="R3320" s="121">
        <f t="shared" si="1289"/>
        <v>0</v>
      </c>
      <c r="S3320" s="121" t="str">
        <f t="shared" si="1290"/>
        <v/>
      </c>
      <c r="T3320" s="121" t="str">
        <f t="shared" si="1291"/>
        <v/>
      </c>
      <c r="U3320" s="121">
        <f t="shared" si="1292"/>
        <v>1</v>
      </c>
    </row>
    <row r="3321" spans="1:21" x14ac:dyDescent="0.3">
      <c r="A3321" s="187">
        <v>3</v>
      </c>
      <c r="B3321" s="242">
        <f t="shared" si="1293"/>
        <v>45717</v>
      </c>
      <c r="C3321" s="243">
        <f t="shared" si="1274"/>
        <v>45747</v>
      </c>
      <c r="D3321" s="120">
        <f t="shared" si="1275"/>
        <v>31</v>
      </c>
      <c r="E3321" s="120">
        <f t="shared" si="1276"/>
        <v>3</v>
      </c>
      <c r="F3321" s="275">
        <f t="shared" si="1277"/>
        <v>45732.5</v>
      </c>
      <c r="G3321" s="120">
        <f t="shared" si="1278"/>
        <v>24302</v>
      </c>
      <c r="H3321" s="245">
        <f t="shared" si="1279"/>
        <v>1</v>
      </c>
      <c r="I3321" s="121">
        <f t="shared" si="1280"/>
        <v>1</v>
      </c>
      <c r="J3321" s="121">
        <f t="shared" si="1281"/>
        <v>1</v>
      </c>
      <c r="K3321" s="120">
        <f t="shared" si="1282"/>
        <v>0</v>
      </c>
      <c r="L3321" s="120">
        <f t="shared" si="1283"/>
        <v>0</v>
      </c>
      <c r="M3321" s="246">
        <f t="shared" si="1284"/>
        <v>0</v>
      </c>
      <c r="N3321" s="121">
        <f t="shared" si="1285"/>
        <v>1</v>
      </c>
      <c r="O3321" s="246">
        <f t="shared" si="1286"/>
        <v>0.89150437636761481</v>
      </c>
      <c r="P3321" s="121">
        <f t="shared" si="1287"/>
        <v>0</v>
      </c>
      <c r="Q3321" s="121">
        <f t="shared" si="1288"/>
        <v>0</v>
      </c>
      <c r="R3321" s="121">
        <f t="shared" si="1289"/>
        <v>0</v>
      </c>
      <c r="S3321" s="121" t="str">
        <f t="shared" si="1290"/>
        <v/>
      </c>
      <c r="T3321" s="121" t="str">
        <f t="shared" si="1291"/>
        <v/>
      </c>
      <c r="U3321" s="121">
        <f t="shared" si="1292"/>
        <v>1</v>
      </c>
    </row>
    <row r="3322" spans="1:21" x14ac:dyDescent="0.3">
      <c r="A3322" s="187">
        <v>4</v>
      </c>
      <c r="B3322" s="242">
        <f t="shared" si="1293"/>
        <v>45748</v>
      </c>
      <c r="C3322" s="243">
        <f t="shared" si="1274"/>
        <v>45777</v>
      </c>
      <c r="D3322" s="120">
        <f t="shared" si="1275"/>
        <v>30</v>
      </c>
      <c r="E3322" s="120">
        <f t="shared" si="1276"/>
        <v>4</v>
      </c>
      <c r="F3322" s="275">
        <f t="shared" si="1277"/>
        <v>45763</v>
      </c>
      <c r="G3322" s="120">
        <f t="shared" si="1278"/>
        <v>24303</v>
      </c>
      <c r="H3322" s="245">
        <f t="shared" si="1279"/>
        <v>1</v>
      </c>
      <c r="I3322" s="121">
        <f t="shared" si="1280"/>
        <v>1</v>
      </c>
      <c r="J3322" s="121">
        <f t="shared" si="1281"/>
        <v>1</v>
      </c>
      <c r="K3322" s="120">
        <f t="shared" si="1282"/>
        <v>0</v>
      </c>
      <c r="L3322" s="120">
        <f t="shared" si="1283"/>
        <v>0</v>
      </c>
      <c r="M3322" s="246">
        <f t="shared" si="1284"/>
        <v>0</v>
      </c>
      <c r="N3322" s="121">
        <f t="shared" si="1285"/>
        <v>1</v>
      </c>
      <c r="O3322" s="246">
        <f t="shared" si="1286"/>
        <v>0.89250547045951856</v>
      </c>
      <c r="P3322" s="121">
        <f t="shared" si="1287"/>
        <v>0</v>
      </c>
      <c r="Q3322" s="121">
        <f t="shared" si="1288"/>
        <v>0</v>
      </c>
      <c r="R3322" s="121">
        <f t="shared" si="1289"/>
        <v>0</v>
      </c>
      <c r="S3322" s="121" t="str">
        <f t="shared" si="1290"/>
        <v/>
      </c>
      <c r="T3322" s="121" t="str">
        <f t="shared" si="1291"/>
        <v/>
      </c>
      <c r="U3322" s="121">
        <f t="shared" si="1292"/>
        <v>1</v>
      </c>
    </row>
    <row r="3323" spans="1:21" x14ac:dyDescent="0.3">
      <c r="A3323" s="187">
        <v>5</v>
      </c>
      <c r="B3323" s="242">
        <f t="shared" si="1293"/>
        <v>45778</v>
      </c>
      <c r="C3323" s="243">
        <f t="shared" si="1274"/>
        <v>45808</v>
      </c>
      <c r="D3323" s="120">
        <f t="shared" si="1275"/>
        <v>31</v>
      </c>
      <c r="E3323" s="120">
        <f t="shared" si="1276"/>
        <v>5</v>
      </c>
      <c r="F3323" s="275">
        <f t="shared" si="1277"/>
        <v>45793.5</v>
      </c>
      <c r="G3323" s="120">
        <f t="shared" si="1278"/>
        <v>24304</v>
      </c>
      <c r="H3323" s="245">
        <f t="shared" si="1279"/>
        <v>1</v>
      </c>
      <c r="I3323" s="121">
        <f t="shared" si="1280"/>
        <v>1</v>
      </c>
      <c r="J3323" s="121">
        <f t="shared" si="1281"/>
        <v>1</v>
      </c>
      <c r="K3323" s="120">
        <f t="shared" si="1282"/>
        <v>0</v>
      </c>
      <c r="L3323" s="120">
        <f t="shared" si="1283"/>
        <v>0</v>
      </c>
      <c r="M3323" s="246">
        <f t="shared" si="1284"/>
        <v>0</v>
      </c>
      <c r="N3323" s="121">
        <f t="shared" si="1285"/>
        <v>1</v>
      </c>
      <c r="O3323" s="246">
        <f t="shared" si="1286"/>
        <v>0.8935065645514223</v>
      </c>
      <c r="P3323" s="121">
        <f t="shared" si="1287"/>
        <v>0</v>
      </c>
      <c r="Q3323" s="121">
        <f t="shared" si="1288"/>
        <v>0</v>
      </c>
      <c r="R3323" s="121">
        <f t="shared" si="1289"/>
        <v>0</v>
      </c>
      <c r="S3323" s="121" t="str">
        <f t="shared" si="1290"/>
        <v/>
      </c>
      <c r="T3323" s="121" t="str">
        <f t="shared" si="1291"/>
        <v/>
      </c>
      <c r="U3323" s="121">
        <f t="shared" si="1292"/>
        <v>1</v>
      </c>
    </row>
    <row r="3324" spans="1:21" x14ac:dyDescent="0.3">
      <c r="A3324" s="187">
        <v>6</v>
      </c>
      <c r="B3324" s="242">
        <f t="shared" si="1293"/>
        <v>45809</v>
      </c>
      <c r="C3324" s="243">
        <f t="shared" si="1274"/>
        <v>45838</v>
      </c>
      <c r="D3324" s="120">
        <f t="shared" si="1275"/>
        <v>30</v>
      </c>
      <c r="E3324" s="120">
        <f t="shared" si="1276"/>
        <v>6</v>
      </c>
      <c r="F3324" s="275">
        <f t="shared" si="1277"/>
        <v>45824</v>
      </c>
      <c r="G3324" s="120">
        <f t="shared" si="1278"/>
        <v>24305</v>
      </c>
      <c r="H3324" s="245">
        <f t="shared" si="1279"/>
        <v>1</v>
      </c>
      <c r="I3324" s="121">
        <f t="shared" si="1280"/>
        <v>1</v>
      </c>
      <c r="J3324" s="121">
        <f t="shared" si="1281"/>
        <v>1</v>
      </c>
      <c r="K3324" s="120">
        <f t="shared" si="1282"/>
        <v>0</v>
      </c>
      <c r="L3324" s="120">
        <f t="shared" si="1283"/>
        <v>0</v>
      </c>
      <c r="M3324" s="246">
        <f t="shared" si="1284"/>
        <v>0</v>
      </c>
      <c r="N3324" s="121">
        <f t="shared" si="1285"/>
        <v>1</v>
      </c>
      <c r="O3324" s="246">
        <f t="shared" si="1286"/>
        <v>0.89450765864332604</v>
      </c>
      <c r="P3324" s="121">
        <f t="shared" si="1287"/>
        <v>0</v>
      </c>
      <c r="Q3324" s="121">
        <f t="shared" si="1288"/>
        <v>0</v>
      </c>
      <c r="R3324" s="121">
        <f t="shared" si="1289"/>
        <v>0</v>
      </c>
      <c r="S3324" s="121" t="str">
        <f t="shared" si="1290"/>
        <v/>
      </c>
      <c r="T3324" s="121" t="str">
        <f t="shared" si="1291"/>
        <v/>
      </c>
      <c r="U3324" s="121">
        <f t="shared" si="1292"/>
        <v>1</v>
      </c>
    </row>
    <row r="3325" spans="1:21" x14ac:dyDescent="0.3">
      <c r="A3325" s="187">
        <v>7</v>
      </c>
      <c r="B3325" s="242">
        <f t="shared" si="1293"/>
        <v>45839</v>
      </c>
      <c r="C3325" s="243">
        <f t="shared" si="1274"/>
        <v>45869</v>
      </c>
      <c r="D3325" s="120">
        <f t="shared" si="1275"/>
        <v>31</v>
      </c>
      <c r="E3325" s="120">
        <f t="shared" si="1276"/>
        <v>7</v>
      </c>
      <c r="F3325" s="275">
        <f t="shared" si="1277"/>
        <v>45854.5</v>
      </c>
      <c r="G3325" s="120">
        <f t="shared" si="1278"/>
        <v>24306</v>
      </c>
      <c r="H3325" s="245">
        <f t="shared" si="1279"/>
        <v>1</v>
      </c>
      <c r="I3325" s="121">
        <f t="shared" si="1280"/>
        <v>1</v>
      </c>
      <c r="J3325" s="121">
        <f t="shared" si="1281"/>
        <v>1</v>
      </c>
      <c r="K3325" s="120">
        <f t="shared" si="1282"/>
        <v>0</v>
      </c>
      <c r="L3325" s="120">
        <f t="shared" si="1283"/>
        <v>0</v>
      </c>
      <c r="M3325" s="246">
        <f t="shared" si="1284"/>
        <v>0</v>
      </c>
      <c r="N3325" s="121">
        <f t="shared" si="1285"/>
        <v>1</v>
      </c>
      <c r="O3325" s="246">
        <f t="shared" si="1286"/>
        <v>0.89550875273522967</v>
      </c>
      <c r="P3325" s="121">
        <f t="shared" si="1287"/>
        <v>8.333333333333337E-2</v>
      </c>
      <c r="Q3325" s="121">
        <f t="shared" si="1288"/>
        <v>0</v>
      </c>
      <c r="R3325" s="121">
        <f t="shared" si="1289"/>
        <v>0</v>
      </c>
      <c r="S3325" s="121" t="str">
        <f t="shared" si="1290"/>
        <v/>
      </c>
      <c r="T3325" s="121" t="str">
        <f t="shared" si="1291"/>
        <v/>
      </c>
      <c r="U3325" s="121">
        <f t="shared" si="1292"/>
        <v>1</v>
      </c>
    </row>
    <row r="3326" spans="1:21" x14ac:dyDescent="0.3">
      <c r="A3326" s="187">
        <v>8</v>
      </c>
      <c r="B3326" s="242">
        <f t="shared" si="1293"/>
        <v>45870</v>
      </c>
      <c r="C3326" s="243">
        <f t="shared" si="1274"/>
        <v>45900</v>
      </c>
      <c r="D3326" s="120">
        <f t="shared" si="1275"/>
        <v>31</v>
      </c>
      <c r="E3326" s="120">
        <f t="shared" si="1276"/>
        <v>8</v>
      </c>
      <c r="F3326" s="275">
        <f t="shared" si="1277"/>
        <v>45885.5</v>
      </c>
      <c r="G3326" s="120">
        <f t="shared" si="1278"/>
        <v>24307</v>
      </c>
      <c r="H3326" s="245">
        <f t="shared" si="1279"/>
        <v>1</v>
      </c>
      <c r="I3326" s="121">
        <f t="shared" si="1280"/>
        <v>1</v>
      </c>
      <c r="J3326" s="121">
        <f t="shared" si="1281"/>
        <v>1</v>
      </c>
      <c r="K3326" s="120">
        <f t="shared" si="1282"/>
        <v>0</v>
      </c>
      <c r="L3326" s="120">
        <f t="shared" si="1283"/>
        <v>0</v>
      </c>
      <c r="M3326" s="246">
        <f t="shared" si="1284"/>
        <v>0</v>
      </c>
      <c r="N3326" s="121">
        <f t="shared" si="1285"/>
        <v>1</v>
      </c>
      <c r="O3326" s="246">
        <f t="shared" si="1286"/>
        <v>0.89652625820568921</v>
      </c>
      <c r="P3326" s="121">
        <f t="shared" si="1287"/>
        <v>0.25</v>
      </c>
      <c r="Q3326" s="121">
        <f t="shared" si="1288"/>
        <v>0</v>
      </c>
      <c r="R3326" s="121">
        <f t="shared" si="1289"/>
        <v>0</v>
      </c>
      <c r="S3326" s="121" t="str">
        <f t="shared" si="1290"/>
        <v/>
      </c>
      <c r="T3326" s="121" t="str">
        <f t="shared" si="1291"/>
        <v/>
      </c>
      <c r="U3326" s="121">
        <f t="shared" si="1292"/>
        <v>1</v>
      </c>
    </row>
    <row r="3327" spans="1:21" x14ac:dyDescent="0.3">
      <c r="A3327" s="187">
        <v>9</v>
      </c>
      <c r="B3327" s="242">
        <f t="shared" si="1293"/>
        <v>45901</v>
      </c>
      <c r="C3327" s="243">
        <f t="shared" si="1274"/>
        <v>45930</v>
      </c>
      <c r="D3327" s="120">
        <f t="shared" si="1275"/>
        <v>30</v>
      </c>
      <c r="E3327" s="120">
        <f t="shared" si="1276"/>
        <v>9</v>
      </c>
      <c r="F3327" s="275">
        <f t="shared" si="1277"/>
        <v>45916</v>
      </c>
      <c r="G3327" s="120">
        <f t="shared" si="1278"/>
        <v>24308</v>
      </c>
      <c r="H3327" s="245">
        <f t="shared" si="1279"/>
        <v>1</v>
      </c>
      <c r="I3327" s="121">
        <f t="shared" si="1280"/>
        <v>1</v>
      </c>
      <c r="J3327" s="121">
        <f t="shared" si="1281"/>
        <v>1</v>
      </c>
      <c r="K3327" s="120">
        <f t="shared" si="1282"/>
        <v>0</v>
      </c>
      <c r="L3327" s="120">
        <f t="shared" si="1283"/>
        <v>0</v>
      </c>
      <c r="M3327" s="246">
        <f t="shared" si="1284"/>
        <v>0</v>
      </c>
      <c r="N3327" s="121">
        <f t="shared" si="1285"/>
        <v>1</v>
      </c>
      <c r="O3327" s="246">
        <f t="shared" si="1286"/>
        <v>0.89752735229759295</v>
      </c>
      <c r="P3327" s="121">
        <f t="shared" si="1287"/>
        <v>0.41666666666666663</v>
      </c>
      <c r="Q3327" s="121">
        <f t="shared" si="1288"/>
        <v>0</v>
      </c>
      <c r="R3327" s="121">
        <f t="shared" si="1289"/>
        <v>0</v>
      </c>
      <c r="S3327" s="121" t="str">
        <f t="shared" si="1290"/>
        <v/>
      </c>
      <c r="T3327" s="121" t="str">
        <f t="shared" si="1291"/>
        <v/>
      </c>
      <c r="U3327" s="121">
        <f t="shared" si="1292"/>
        <v>1</v>
      </c>
    </row>
    <row r="3328" spans="1:21" x14ac:dyDescent="0.3">
      <c r="A3328" s="187">
        <v>10</v>
      </c>
      <c r="B3328" s="242">
        <f t="shared" si="1293"/>
        <v>45931</v>
      </c>
      <c r="C3328" s="243">
        <f t="shared" si="1274"/>
        <v>45961</v>
      </c>
      <c r="D3328" s="120">
        <f t="shared" si="1275"/>
        <v>31</v>
      </c>
      <c r="E3328" s="120">
        <f t="shared" si="1276"/>
        <v>10</v>
      </c>
      <c r="F3328" s="275">
        <f t="shared" si="1277"/>
        <v>45946.5</v>
      </c>
      <c r="G3328" s="120">
        <f t="shared" si="1278"/>
        <v>24309</v>
      </c>
      <c r="H3328" s="245">
        <f t="shared" si="1279"/>
        <v>1</v>
      </c>
      <c r="I3328" s="121">
        <f t="shared" si="1280"/>
        <v>1</v>
      </c>
      <c r="J3328" s="121">
        <f t="shared" si="1281"/>
        <v>1</v>
      </c>
      <c r="K3328" s="120">
        <f t="shared" si="1282"/>
        <v>0</v>
      </c>
      <c r="L3328" s="120">
        <f t="shared" si="1283"/>
        <v>0</v>
      </c>
      <c r="M3328" s="246">
        <f t="shared" si="1284"/>
        <v>0</v>
      </c>
      <c r="N3328" s="121">
        <f t="shared" si="1285"/>
        <v>1</v>
      </c>
      <c r="O3328" s="246">
        <f t="shared" si="1286"/>
        <v>0.89852844638949669</v>
      </c>
      <c r="P3328" s="121">
        <f t="shared" si="1287"/>
        <v>0.58333333333333326</v>
      </c>
      <c r="Q3328" s="121">
        <f t="shared" si="1288"/>
        <v>0</v>
      </c>
      <c r="R3328" s="121">
        <f t="shared" si="1289"/>
        <v>0</v>
      </c>
      <c r="S3328" s="121" t="str">
        <f t="shared" si="1290"/>
        <v/>
      </c>
      <c r="T3328" s="121" t="str">
        <f t="shared" si="1291"/>
        <v/>
      </c>
      <c r="U3328" s="121">
        <f t="shared" si="1292"/>
        <v>1</v>
      </c>
    </row>
    <row r="3329" spans="1:21" x14ac:dyDescent="0.3">
      <c r="A3329" s="187">
        <v>11</v>
      </c>
      <c r="B3329" s="242">
        <f t="shared" si="1293"/>
        <v>45962</v>
      </c>
      <c r="C3329" s="243">
        <f t="shared" si="1274"/>
        <v>45991</v>
      </c>
      <c r="D3329" s="120">
        <f t="shared" si="1275"/>
        <v>30</v>
      </c>
      <c r="E3329" s="120">
        <f t="shared" si="1276"/>
        <v>11</v>
      </c>
      <c r="F3329" s="275">
        <f t="shared" si="1277"/>
        <v>45977</v>
      </c>
      <c r="G3329" s="120">
        <f t="shared" si="1278"/>
        <v>24310</v>
      </c>
      <c r="H3329" s="245">
        <f t="shared" si="1279"/>
        <v>1</v>
      </c>
      <c r="I3329" s="121">
        <f t="shared" si="1280"/>
        <v>1</v>
      </c>
      <c r="J3329" s="121">
        <f t="shared" si="1281"/>
        <v>1</v>
      </c>
      <c r="K3329" s="120">
        <f t="shared" si="1282"/>
        <v>0</v>
      </c>
      <c r="L3329" s="120">
        <f t="shared" si="1283"/>
        <v>0</v>
      </c>
      <c r="M3329" s="246">
        <f t="shared" si="1284"/>
        <v>0</v>
      </c>
      <c r="N3329" s="121">
        <f t="shared" si="1285"/>
        <v>1</v>
      </c>
      <c r="O3329" s="246">
        <f t="shared" si="1286"/>
        <v>0.89952954048140044</v>
      </c>
      <c r="P3329" s="121">
        <f t="shared" si="1287"/>
        <v>0.75</v>
      </c>
      <c r="Q3329" s="121">
        <f t="shared" si="1288"/>
        <v>0</v>
      </c>
      <c r="R3329" s="121">
        <f t="shared" si="1289"/>
        <v>0</v>
      </c>
      <c r="S3329" s="121" t="str">
        <f t="shared" si="1290"/>
        <v/>
      </c>
      <c r="T3329" s="121" t="str">
        <f t="shared" si="1291"/>
        <v/>
      </c>
      <c r="U3329" s="121">
        <f t="shared" si="1292"/>
        <v>1</v>
      </c>
    </row>
    <row r="3330" spans="1:21" x14ac:dyDescent="0.3">
      <c r="A3330" s="187">
        <v>12</v>
      </c>
      <c r="B3330" s="242">
        <f t="shared" si="1293"/>
        <v>45992</v>
      </c>
      <c r="C3330" s="243">
        <f t="shared" si="1274"/>
        <v>46022</v>
      </c>
      <c r="D3330" s="120">
        <f t="shared" si="1275"/>
        <v>31</v>
      </c>
      <c r="E3330" s="120">
        <f t="shared" si="1276"/>
        <v>12</v>
      </c>
      <c r="F3330" s="275">
        <f t="shared" si="1277"/>
        <v>46007.5</v>
      </c>
      <c r="G3330" s="120">
        <f t="shared" si="1278"/>
        <v>24311</v>
      </c>
      <c r="H3330" s="245">
        <f t="shared" si="1279"/>
        <v>1</v>
      </c>
      <c r="I3330" s="121">
        <f t="shared" si="1280"/>
        <v>1</v>
      </c>
      <c r="J3330" s="121">
        <f t="shared" si="1281"/>
        <v>1</v>
      </c>
      <c r="K3330" s="120">
        <f t="shared" si="1282"/>
        <v>0</v>
      </c>
      <c r="L3330" s="120">
        <f t="shared" si="1283"/>
        <v>0</v>
      </c>
      <c r="M3330" s="246">
        <f t="shared" si="1284"/>
        <v>0</v>
      </c>
      <c r="N3330" s="121">
        <f t="shared" si="1285"/>
        <v>1</v>
      </c>
      <c r="O3330" s="246">
        <f t="shared" si="1286"/>
        <v>0.90053063457330418</v>
      </c>
      <c r="P3330" s="121">
        <f t="shared" si="1287"/>
        <v>0.91666666666666663</v>
      </c>
      <c r="Q3330" s="121">
        <f t="shared" si="1288"/>
        <v>0</v>
      </c>
      <c r="R3330" s="121">
        <f t="shared" si="1289"/>
        <v>0</v>
      </c>
      <c r="S3330" s="121" t="str">
        <f t="shared" si="1290"/>
        <v/>
      </c>
      <c r="T3330" s="121" t="str">
        <f t="shared" si="1291"/>
        <v/>
      </c>
      <c r="U3330" s="121">
        <f t="shared" si="1292"/>
        <v>1</v>
      </c>
    </row>
    <row r="3331" spans="1:21" x14ac:dyDescent="0.3">
      <c r="A3331" s="187">
        <v>13</v>
      </c>
      <c r="B3331" s="242">
        <f t="shared" si="1293"/>
        <v>46023</v>
      </c>
      <c r="C3331" s="243">
        <f t="shared" si="1274"/>
        <v>46053</v>
      </c>
      <c r="D3331" s="120">
        <f t="shared" si="1275"/>
        <v>31</v>
      </c>
      <c r="E3331" s="120">
        <f t="shared" si="1276"/>
        <v>1</v>
      </c>
      <c r="F3331" s="275">
        <f t="shared" si="1277"/>
        <v>46038.5</v>
      </c>
      <c r="G3331" s="120">
        <f t="shared" si="1278"/>
        <v>24312</v>
      </c>
      <c r="H3331" s="245">
        <f t="shared" si="1279"/>
        <v>1</v>
      </c>
      <c r="I3331" s="121">
        <f t="shared" si="1280"/>
        <v>1</v>
      </c>
      <c r="J3331" s="121">
        <f t="shared" si="1281"/>
        <v>1.02</v>
      </c>
      <c r="K3331" s="120">
        <f t="shared" si="1282"/>
        <v>1</v>
      </c>
      <c r="L3331" s="120">
        <f t="shared" si="1283"/>
        <v>31</v>
      </c>
      <c r="M3331" s="246">
        <f t="shared" si="1284"/>
        <v>1</v>
      </c>
      <c r="N3331" s="121">
        <f t="shared" si="1285"/>
        <v>1.02</v>
      </c>
      <c r="O3331" s="246">
        <f t="shared" si="1286"/>
        <v>0.90154814004376371</v>
      </c>
      <c r="P3331" s="121">
        <f t="shared" si="1287"/>
        <v>1</v>
      </c>
      <c r="Q3331" s="121">
        <f t="shared" si="1288"/>
        <v>0</v>
      </c>
      <c r="R3331" s="121">
        <f t="shared" si="1289"/>
        <v>0</v>
      </c>
      <c r="S3331" s="121" t="str">
        <f t="shared" si="1290"/>
        <v/>
      </c>
      <c r="T3331" s="121" t="str">
        <f t="shared" si="1291"/>
        <v/>
      </c>
      <c r="U3331" s="121">
        <f t="shared" si="1292"/>
        <v>1.02</v>
      </c>
    </row>
    <row r="3332" spans="1:21" x14ac:dyDescent="0.3">
      <c r="A3332" s="187">
        <v>14</v>
      </c>
      <c r="B3332" s="242">
        <f t="shared" si="1293"/>
        <v>46054</v>
      </c>
      <c r="C3332" s="243">
        <f t="shared" si="1274"/>
        <v>46081</v>
      </c>
      <c r="D3332" s="120">
        <f t="shared" si="1275"/>
        <v>28</v>
      </c>
      <c r="E3332" s="120">
        <f t="shared" si="1276"/>
        <v>2</v>
      </c>
      <c r="F3332" s="275">
        <f t="shared" si="1277"/>
        <v>46068</v>
      </c>
      <c r="G3332" s="120">
        <f t="shared" si="1278"/>
        <v>24313</v>
      </c>
      <c r="H3332" s="245">
        <f t="shared" si="1279"/>
        <v>1</v>
      </c>
      <c r="I3332" s="121">
        <f t="shared" si="1280"/>
        <v>1.02</v>
      </c>
      <c r="J3332" s="121">
        <f t="shared" si="1281"/>
        <v>1.02</v>
      </c>
      <c r="K3332" s="120">
        <f t="shared" si="1282"/>
        <v>0</v>
      </c>
      <c r="L3332" s="120">
        <f t="shared" si="1283"/>
        <v>0</v>
      </c>
      <c r="M3332" s="246">
        <f t="shared" si="1284"/>
        <v>0</v>
      </c>
      <c r="N3332" s="121">
        <f t="shared" si="1285"/>
        <v>1.02</v>
      </c>
      <c r="O3332" s="246">
        <f t="shared" si="1286"/>
        <v>0.90251641137855576</v>
      </c>
      <c r="P3332" s="121">
        <f t="shared" si="1287"/>
        <v>1</v>
      </c>
      <c r="Q3332" s="121">
        <f t="shared" si="1288"/>
        <v>0</v>
      </c>
      <c r="R3332" s="121">
        <f t="shared" si="1289"/>
        <v>0</v>
      </c>
      <c r="S3332" s="121" t="str">
        <f t="shared" si="1290"/>
        <v/>
      </c>
      <c r="T3332" s="121" t="str">
        <f t="shared" si="1291"/>
        <v/>
      </c>
      <c r="U3332" s="121">
        <f t="shared" si="1292"/>
        <v>1.02</v>
      </c>
    </row>
    <row r="3333" spans="1:21" x14ac:dyDescent="0.3">
      <c r="A3333" s="187">
        <v>15</v>
      </c>
      <c r="B3333" s="242">
        <f t="shared" si="1293"/>
        <v>46082</v>
      </c>
      <c r="C3333" s="243">
        <f t="shared" si="1274"/>
        <v>46112</v>
      </c>
      <c r="D3333" s="120">
        <f t="shared" si="1275"/>
        <v>31</v>
      </c>
      <c r="E3333" s="120">
        <f t="shared" si="1276"/>
        <v>3</v>
      </c>
      <c r="F3333" s="275">
        <f t="shared" si="1277"/>
        <v>46097.5</v>
      </c>
      <c r="G3333" s="120">
        <f t="shared" si="1278"/>
        <v>24314</v>
      </c>
      <c r="H3333" s="245">
        <f t="shared" si="1279"/>
        <v>1</v>
      </c>
      <c r="I3333" s="121">
        <f t="shared" si="1280"/>
        <v>1.02</v>
      </c>
      <c r="J3333" s="121">
        <f t="shared" si="1281"/>
        <v>1.02</v>
      </c>
      <c r="K3333" s="120">
        <f t="shared" si="1282"/>
        <v>0</v>
      </c>
      <c r="L3333" s="120">
        <f t="shared" si="1283"/>
        <v>0</v>
      </c>
      <c r="M3333" s="246">
        <f t="shared" si="1284"/>
        <v>0</v>
      </c>
      <c r="N3333" s="121">
        <f t="shared" si="1285"/>
        <v>1.02</v>
      </c>
      <c r="O3333" s="246">
        <f t="shared" si="1286"/>
        <v>0.90348468271334792</v>
      </c>
      <c r="P3333" s="121">
        <f t="shared" si="1287"/>
        <v>1</v>
      </c>
      <c r="Q3333" s="121">
        <f t="shared" si="1288"/>
        <v>0</v>
      </c>
      <c r="R3333" s="121">
        <f t="shared" si="1289"/>
        <v>0</v>
      </c>
      <c r="S3333" s="121" t="str">
        <f t="shared" si="1290"/>
        <v/>
      </c>
      <c r="T3333" s="121" t="str">
        <f t="shared" si="1291"/>
        <v/>
      </c>
      <c r="U3333" s="121">
        <f t="shared" si="1292"/>
        <v>1.02</v>
      </c>
    </row>
    <row r="3334" spans="1:21" x14ac:dyDescent="0.3">
      <c r="A3334" s="187">
        <v>16</v>
      </c>
      <c r="B3334" s="242">
        <f t="shared" si="1293"/>
        <v>46113</v>
      </c>
      <c r="C3334" s="243">
        <f t="shared" si="1274"/>
        <v>46142</v>
      </c>
      <c r="D3334" s="120">
        <f t="shared" si="1275"/>
        <v>30</v>
      </c>
      <c r="E3334" s="120">
        <f t="shared" si="1276"/>
        <v>4</v>
      </c>
      <c r="F3334" s="275">
        <f t="shared" si="1277"/>
        <v>46128</v>
      </c>
      <c r="G3334" s="120">
        <f t="shared" si="1278"/>
        <v>24315</v>
      </c>
      <c r="H3334" s="245">
        <f t="shared" si="1279"/>
        <v>1</v>
      </c>
      <c r="I3334" s="121">
        <f t="shared" si="1280"/>
        <v>1.02</v>
      </c>
      <c r="J3334" s="121">
        <f t="shared" si="1281"/>
        <v>1.02</v>
      </c>
      <c r="K3334" s="120">
        <f t="shared" si="1282"/>
        <v>0</v>
      </c>
      <c r="L3334" s="120">
        <f t="shared" si="1283"/>
        <v>0</v>
      </c>
      <c r="M3334" s="246">
        <f t="shared" si="1284"/>
        <v>0</v>
      </c>
      <c r="N3334" s="121">
        <f t="shared" si="1285"/>
        <v>1.02</v>
      </c>
      <c r="O3334" s="246">
        <f t="shared" si="1286"/>
        <v>0.90448577680525166</v>
      </c>
      <c r="P3334" s="121">
        <f t="shared" si="1287"/>
        <v>1</v>
      </c>
      <c r="Q3334" s="121">
        <f t="shared" si="1288"/>
        <v>0</v>
      </c>
      <c r="R3334" s="121">
        <f t="shared" si="1289"/>
        <v>0</v>
      </c>
      <c r="S3334" s="121" t="str">
        <f t="shared" si="1290"/>
        <v/>
      </c>
      <c r="T3334" s="121" t="str">
        <f t="shared" si="1291"/>
        <v/>
      </c>
      <c r="U3334" s="121">
        <f t="shared" si="1292"/>
        <v>1.02</v>
      </c>
    </row>
    <row r="3335" spans="1:21" x14ac:dyDescent="0.3">
      <c r="A3335" s="187">
        <v>17</v>
      </c>
      <c r="B3335" s="242">
        <f t="shared" si="1293"/>
        <v>46143</v>
      </c>
      <c r="C3335" s="243">
        <f t="shared" si="1274"/>
        <v>46173</v>
      </c>
      <c r="D3335" s="120">
        <f t="shared" si="1275"/>
        <v>31</v>
      </c>
      <c r="E3335" s="120">
        <f t="shared" si="1276"/>
        <v>5</v>
      </c>
      <c r="F3335" s="275">
        <f t="shared" si="1277"/>
        <v>46158.5</v>
      </c>
      <c r="G3335" s="120">
        <f t="shared" si="1278"/>
        <v>24316</v>
      </c>
      <c r="H3335" s="245">
        <f t="shared" si="1279"/>
        <v>1</v>
      </c>
      <c r="I3335" s="121">
        <f t="shared" si="1280"/>
        <v>1.02</v>
      </c>
      <c r="J3335" s="121">
        <f t="shared" si="1281"/>
        <v>1.02</v>
      </c>
      <c r="K3335" s="120">
        <f t="shared" si="1282"/>
        <v>0</v>
      </c>
      <c r="L3335" s="120">
        <f t="shared" si="1283"/>
        <v>0</v>
      </c>
      <c r="M3335" s="246">
        <f t="shared" si="1284"/>
        <v>0</v>
      </c>
      <c r="N3335" s="121">
        <f t="shared" si="1285"/>
        <v>1.02</v>
      </c>
      <c r="O3335" s="246">
        <f t="shared" si="1286"/>
        <v>0.9054868708971554</v>
      </c>
      <c r="P3335" s="121">
        <f t="shared" si="1287"/>
        <v>1</v>
      </c>
      <c r="Q3335" s="121">
        <f t="shared" si="1288"/>
        <v>0</v>
      </c>
      <c r="R3335" s="121">
        <f t="shared" si="1289"/>
        <v>0</v>
      </c>
      <c r="S3335" s="121" t="str">
        <f t="shared" si="1290"/>
        <v/>
      </c>
      <c r="T3335" s="121" t="str">
        <f t="shared" si="1291"/>
        <v/>
      </c>
      <c r="U3335" s="121">
        <f t="shared" si="1292"/>
        <v>1.02</v>
      </c>
    </row>
    <row r="3336" spans="1:21" x14ac:dyDescent="0.3">
      <c r="A3336" s="187">
        <v>18</v>
      </c>
      <c r="B3336" s="242">
        <f t="shared" si="1293"/>
        <v>46174</v>
      </c>
      <c r="C3336" s="243">
        <f t="shared" si="1274"/>
        <v>46203</v>
      </c>
      <c r="D3336" s="120">
        <f t="shared" si="1275"/>
        <v>30</v>
      </c>
      <c r="E3336" s="120">
        <f t="shared" si="1276"/>
        <v>6</v>
      </c>
      <c r="F3336" s="275">
        <f t="shared" si="1277"/>
        <v>46189</v>
      </c>
      <c r="G3336" s="120">
        <f t="shared" si="1278"/>
        <v>24317</v>
      </c>
      <c r="H3336" s="245">
        <f t="shared" si="1279"/>
        <v>1</v>
      </c>
      <c r="I3336" s="121">
        <f t="shared" si="1280"/>
        <v>1.02</v>
      </c>
      <c r="J3336" s="121">
        <f t="shared" si="1281"/>
        <v>1.02</v>
      </c>
      <c r="K3336" s="120">
        <f t="shared" si="1282"/>
        <v>0</v>
      </c>
      <c r="L3336" s="120">
        <f t="shared" si="1283"/>
        <v>0</v>
      </c>
      <c r="M3336" s="246">
        <f t="shared" si="1284"/>
        <v>0</v>
      </c>
      <c r="N3336" s="121">
        <f t="shared" si="1285"/>
        <v>1.02</v>
      </c>
      <c r="O3336" s="246">
        <f t="shared" si="1286"/>
        <v>0.90648796498905915</v>
      </c>
      <c r="P3336" s="121">
        <f t="shared" si="1287"/>
        <v>1</v>
      </c>
      <c r="Q3336" s="121">
        <f t="shared" si="1288"/>
        <v>0</v>
      </c>
      <c r="R3336" s="121">
        <f t="shared" si="1289"/>
        <v>0</v>
      </c>
      <c r="S3336" s="121" t="str">
        <f t="shared" si="1290"/>
        <v/>
      </c>
      <c r="T3336" s="121" t="str">
        <f t="shared" si="1291"/>
        <v/>
      </c>
      <c r="U3336" s="121">
        <f t="shared" si="1292"/>
        <v>1.02</v>
      </c>
    </row>
    <row r="3337" spans="1:21" x14ac:dyDescent="0.3">
      <c r="A3337" s="187">
        <v>19</v>
      </c>
      <c r="B3337" s="242">
        <f t="shared" si="1293"/>
        <v>46204</v>
      </c>
      <c r="C3337" s="243">
        <f t="shared" si="1274"/>
        <v>46234</v>
      </c>
      <c r="D3337" s="120">
        <f t="shared" si="1275"/>
        <v>31</v>
      </c>
      <c r="E3337" s="120">
        <f t="shared" si="1276"/>
        <v>7</v>
      </c>
      <c r="F3337" s="275">
        <f t="shared" si="1277"/>
        <v>46219.5</v>
      </c>
      <c r="G3337" s="120">
        <f t="shared" si="1278"/>
        <v>24318</v>
      </c>
      <c r="H3337" s="245">
        <f t="shared" si="1279"/>
        <v>1</v>
      </c>
      <c r="I3337" s="121">
        <f t="shared" si="1280"/>
        <v>1.02</v>
      </c>
      <c r="J3337" s="121">
        <f t="shared" si="1281"/>
        <v>1.02</v>
      </c>
      <c r="K3337" s="120">
        <f t="shared" si="1282"/>
        <v>0</v>
      </c>
      <c r="L3337" s="120">
        <f t="shared" si="1283"/>
        <v>0</v>
      </c>
      <c r="M3337" s="246">
        <f t="shared" si="1284"/>
        <v>0</v>
      </c>
      <c r="N3337" s="121">
        <f t="shared" si="1285"/>
        <v>1.02</v>
      </c>
      <c r="O3337" s="246">
        <f t="shared" si="1286"/>
        <v>0.90748905908096278</v>
      </c>
      <c r="P3337" s="121">
        <f t="shared" si="1287"/>
        <v>0.91666666666666663</v>
      </c>
      <c r="Q3337" s="121">
        <f t="shared" si="1288"/>
        <v>8.333333333333337E-2</v>
      </c>
      <c r="R3337" s="121">
        <f t="shared" si="1289"/>
        <v>0</v>
      </c>
      <c r="S3337" s="121" t="str">
        <f t="shared" si="1290"/>
        <v/>
      </c>
      <c r="T3337" s="121" t="str">
        <f t="shared" si="1291"/>
        <v/>
      </c>
      <c r="U3337" s="121">
        <f t="shared" si="1292"/>
        <v>1.02</v>
      </c>
    </row>
    <row r="3338" spans="1:21" x14ac:dyDescent="0.3">
      <c r="A3338" s="187">
        <v>20</v>
      </c>
      <c r="B3338" s="242">
        <f t="shared" si="1293"/>
        <v>46235</v>
      </c>
      <c r="C3338" s="243">
        <f t="shared" si="1274"/>
        <v>46265</v>
      </c>
      <c r="D3338" s="120">
        <f t="shared" si="1275"/>
        <v>31</v>
      </c>
      <c r="E3338" s="120">
        <f t="shared" si="1276"/>
        <v>8</v>
      </c>
      <c r="F3338" s="275">
        <f t="shared" si="1277"/>
        <v>46250.5</v>
      </c>
      <c r="G3338" s="120">
        <f t="shared" si="1278"/>
        <v>24319</v>
      </c>
      <c r="H3338" s="245">
        <f t="shared" si="1279"/>
        <v>1</v>
      </c>
      <c r="I3338" s="121">
        <f t="shared" si="1280"/>
        <v>1.02</v>
      </c>
      <c r="J3338" s="121">
        <f t="shared" si="1281"/>
        <v>1.02</v>
      </c>
      <c r="K3338" s="120">
        <f t="shared" si="1282"/>
        <v>0</v>
      </c>
      <c r="L3338" s="120">
        <f t="shared" si="1283"/>
        <v>0</v>
      </c>
      <c r="M3338" s="246">
        <f t="shared" si="1284"/>
        <v>0</v>
      </c>
      <c r="N3338" s="121">
        <f t="shared" si="1285"/>
        <v>1.02</v>
      </c>
      <c r="O3338" s="246">
        <f t="shared" si="1286"/>
        <v>0.90850656455142231</v>
      </c>
      <c r="P3338" s="121">
        <f t="shared" si="1287"/>
        <v>0.75</v>
      </c>
      <c r="Q3338" s="121">
        <f t="shared" si="1288"/>
        <v>0.25</v>
      </c>
      <c r="R3338" s="121">
        <f t="shared" si="1289"/>
        <v>0</v>
      </c>
      <c r="S3338" s="121" t="str">
        <f t="shared" si="1290"/>
        <v/>
      </c>
      <c r="T3338" s="121" t="str">
        <f t="shared" si="1291"/>
        <v/>
      </c>
      <c r="U3338" s="121">
        <f t="shared" si="1292"/>
        <v>1.02</v>
      </c>
    </row>
    <row r="3339" spans="1:21" x14ac:dyDescent="0.3">
      <c r="A3339" s="187">
        <v>21</v>
      </c>
      <c r="B3339" s="242">
        <f t="shared" si="1293"/>
        <v>46266</v>
      </c>
      <c r="C3339" s="243">
        <f t="shared" si="1274"/>
        <v>46295</v>
      </c>
      <c r="D3339" s="120">
        <f t="shared" si="1275"/>
        <v>30</v>
      </c>
      <c r="E3339" s="120">
        <f t="shared" si="1276"/>
        <v>9</v>
      </c>
      <c r="F3339" s="275">
        <f t="shared" si="1277"/>
        <v>46281</v>
      </c>
      <c r="G3339" s="120">
        <f t="shared" si="1278"/>
        <v>24320</v>
      </c>
      <c r="H3339" s="245">
        <f t="shared" si="1279"/>
        <v>1</v>
      </c>
      <c r="I3339" s="121">
        <f t="shared" si="1280"/>
        <v>1.02</v>
      </c>
      <c r="J3339" s="121">
        <f t="shared" si="1281"/>
        <v>1.02</v>
      </c>
      <c r="K3339" s="120">
        <f t="shared" si="1282"/>
        <v>0</v>
      </c>
      <c r="L3339" s="120">
        <f t="shared" si="1283"/>
        <v>0</v>
      </c>
      <c r="M3339" s="246">
        <f t="shared" si="1284"/>
        <v>0</v>
      </c>
      <c r="N3339" s="121">
        <f t="shared" si="1285"/>
        <v>1.02</v>
      </c>
      <c r="O3339" s="246">
        <f t="shared" si="1286"/>
        <v>0.90950765864332606</v>
      </c>
      <c r="P3339" s="121">
        <f t="shared" si="1287"/>
        <v>0.58333333333333337</v>
      </c>
      <c r="Q3339" s="121">
        <f t="shared" si="1288"/>
        <v>0.41666666666666663</v>
      </c>
      <c r="R3339" s="121">
        <f t="shared" si="1289"/>
        <v>0</v>
      </c>
      <c r="S3339" s="121" t="str">
        <f t="shared" si="1290"/>
        <v/>
      </c>
      <c r="T3339" s="121" t="str">
        <f t="shared" si="1291"/>
        <v/>
      </c>
      <c r="U3339" s="121">
        <f t="shared" si="1292"/>
        <v>1.02</v>
      </c>
    </row>
    <row r="3340" spans="1:21" x14ac:dyDescent="0.3">
      <c r="A3340" s="187">
        <v>22</v>
      </c>
      <c r="B3340" s="242">
        <f t="shared" si="1293"/>
        <v>46296</v>
      </c>
      <c r="C3340" s="243">
        <f t="shared" si="1274"/>
        <v>46326</v>
      </c>
      <c r="D3340" s="120">
        <f t="shared" si="1275"/>
        <v>31</v>
      </c>
      <c r="E3340" s="120">
        <f t="shared" si="1276"/>
        <v>10</v>
      </c>
      <c r="F3340" s="275">
        <f t="shared" si="1277"/>
        <v>46311.5</v>
      </c>
      <c r="G3340" s="120">
        <f t="shared" si="1278"/>
        <v>24321</v>
      </c>
      <c r="H3340" s="245">
        <f t="shared" si="1279"/>
        <v>1</v>
      </c>
      <c r="I3340" s="121">
        <f t="shared" si="1280"/>
        <v>1.02</v>
      </c>
      <c r="J3340" s="121">
        <f t="shared" si="1281"/>
        <v>1.02</v>
      </c>
      <c r="K3340" s="120">
        <f t="shared" si="1282"/>
        <v>0</v>
      </c>
      <c r="L3340" s="120">
        <f t="shared" si="1283"/>
        <v>0</v>
      </c>
      <c r="M3340" s="246">
        <f t="shared" si="1284"/>
        <v>0</v>
      </c>
      <c r="N3340" s="121">
        <f t="shared" si="1285"/>
        <v>1.02</v>
      </c>
      <c r="O3340" s="246">
        <f t="shared" si="1286"/>
        <v>0.9105087527352298</v>
      </c>
      <c r="P3340" s="121">
        <f t="shared" si="1287"/>
        <v>0.41666666666666669</v>
      </c>
      <c r="Q3340" s="121">
        <f t="shared" si="1288"/>
        <v>0.58333333333333326</v>
      </c>
      <c r="R3340" s="121">
        <f t="shared" si="1289"/>
        <v>0</v>
      </c>
      <c r="S3340" s="121" t="str">
        <f t="shared" si="1290"/>
        <v/>
      </c>
      <c r="T3340" s="121" t="str">
        <f t="shared" si="1291"/>
        <v/>
      </c>
      <c r="U3340" s="121">
        <f t="shared" si="1292"/>
        <v>1.02</v>
      </c>
    </row>
    <row r="3341" spans="1:21" x14ac:dyDescent="0.3">
      <c r="A3341" s="187">
        <v>23</v>
      </c>
      <c r="B3341" s="242">
        <f t="shared" si="1293"/>
        <v>46327</v>
      </c>
      <c r="C3341" s="243">
        <f t="shared" si="1274"/>
        <v>46356</v>
      </c>
      <c r="D3341" s="120">
        <f t="shared" si="1275"/>
        <v>30</v>
      </c>
      <c r="E3341" s="120">
        <f t="shared" si="1276"/>
        <v>11</v>
      </c>
      <c r="F3341" s="275">
        <f t="shared" si="1277"/>
        <v>46342</v>
      </c>
      <c r="G3341" s="120">
        <f t="shared" si="1278"/>
        <v>24322</v>
      </c>
      <c r="H3341" s="245">
        <f t="shared" si="1279"/>
        <v>1</v>
      </c>
      <c r="I3341" s="121">
        <f t="shared" si="1280"/>
        <v>1.02</v>
      </c>
      <c r="J3341" s="121">
        <f t="shared" si="1281"/>
        <v>1.02</v>
      </c>
      <c r="K3341" s="120">
        <f t="shared" si="1282"/>
        <v>0</v>
      </c>
      <c r="L3341" s="120">
        <f t="shared" si="1283"/>
        <v>0</v>
      </c>
      <c r="M3341" s="246">
        <f t="shared" si="1284"/>
        <v>0</v>
      </c>
      <c r="N3341" s="121">
        <f t="shared" si="1285"/>
        <v>1.02</v>
      </c>
      <c r="O3341" s="246">
        <f t="shared" si="1286"/>
        <v>0.91150984682713354</v>
      </c>
      <c r="P3341" s="121">
        <f t="shared" si="1287"/>
        <v>0.25</v>
      </c>
      <c r="Q3341" s="121">
        <f t="shared" si="1288"/>
        <v>0.75</v>
      </c>
      <c r="R3341" s="121">
        <f t="shared" si="1289"/>
        <v>0</v>
      </c>
      <c r="S3341" s="121" t="str">
        <f t="shared" si="1290"/>
        <v/>
      </c>
      <c r="T3341" s="121" t="str">
        <f t="shared" si="1291"/>
        <v/>
      </c>
      <c r="U3341" s="121">
        <f t="shared" si="1292"/>
        <v>1.02</v>
      </c>
    </row>
    <row r="3342" spans="1:21" x14ac:dyDescent="0.3">
      <c r="A3342" s="187">
        <v>24</v>
      </c>
      <c r="B3342" s="242">
        <f t="shared" si="1293"/>
        <v>46357</v>
      </c>
      <c r="C3342" s="243">
        <f t="shared" si="1274"/>
        <v>46387</v>
      </c>
      <c r="D3342" s="120">
        <f t="shared" si="1275"/>
        <v>31</v>
      </c>
      <c r="E3342" s="120">
        <f t="shared" si="1276"/>
        <v>12</v>
      </c>
      <c r="F3342" s="275">
        <f t="shared" si="1277"/>
        <v>46372.5</v>
      </c>
      <c r="G3342" s="120">
        <f t="shared" si="1278"/>
        <v>24323</v>
      </c>
      <c r="H3342" s="245">
        <f t="shared" si="1279"/>
        <v>1</v>
      </c>
      <c r="I3342" s="121">
        <f t="shared" si="1280"/>
        <v>1.02</v>
      </c>
      <c r="J3342" s="121">
        <f t="shared" si="1281"/>
        <v>1.02</v>
      </c>
      <c r="K3342" s="120">
        <f t="shared" si="1282"/>
        <v>0</v>
      </c>
      <c r="L3342" s="120">
        <f t="shared" si="1283"/>
        <v>0</v>
      </c>
      <c r="M3342" s="246">
        <f t="shared" si="1284"/>
        <v>0</v>
      </c>
      <c r="N3342" s="121">
        <f t="shared" si="1285"/>
        <v>1.02</v>
      </c>
      <c r="O3342" s="246">
        <f t="shared" si="1286"/>
        <v>0.91251094091903728</v>
      </c>
      <c r="P3342" s="121">
        <f t="shared" si="1287"/>
        <v>8.3333333333333329E-2</v>
      </c>
      <c r="Q3342" s="121">
        <f t="shared" si="1288"/>
        <v>0.91666666666666663</v>
      </c>
      <c r="R3342" s="121">
        <f t="shared" si="1289"/>
        <v>0</v>
      </c>
      <c r="S3342" s="121" t="str">
        <f t="shared" si="1290"/>
        <v/>
      </c>
      <c r="T3342" s="121" t="str">
        <f t="shared" si="1291"/>
        <v/>
      </c>
      <c r="U3342" s="121">
        <f t="shared" si="1292"/>
        <v>1.02</v>
      </c>
    </row>
    <row r="3343" spans="1:21" x14ac:dyDescent="0.3">
      <c r="A3343" s="187">
        <v>25</v>
      </c>
      <c r="B3343" s="242">
        <f t="shared" si="1293"/>
        <v>46388</v>
      </c>
      <c r="C3343" s="243">
        <f t="shared" si="1274"/>
        <v>46418</v>
      </c>
      <c r="D3343" s="120">
        <f t="shared" si="1275"/>
        <v>31</v>
      </c>
      <c r="E3343" s="120">
        <f t="shared" si="1276"/>
        <v>1</v>
      </c>
      <c r="F3343" s="275">
        <f t="shared" si="1277"/>
        <v>46403.5</v>
      </c>
      <c r="G3343" s="120">
        <f t="shared" si="1278"/>
        <v>24324</v>
      </c>
      <c r="H3343" s="245">
        <f t="shared" si="1279"/>
        <v>1</v>
      </c>
      <c r="I3343" s="121">
        <f t="shared" si="1280"/>
        <v>1.02</v>
      </c>
      <c r="J3343" s="121">
        <f t="shared" si="1281"/>
        <v>1.02</v>
      </c>
      <c r="K3343" s="120">
        <f t="shared" si="1282"/>
        <v>0</v>
      </c>
      <c r="L3343" s="120">
        <f t="shared" si="1283"/>
        <v>0</v>
      </c>
      <c r="M3343" s="246">
        <f t="shared" si="1284"/>
        <v>0</v>
      </c>
      <c r="N3343" s="121">
        <f t="shared" si="1285"/>
        <v>1.02</v>
      </c>
      <c r="O3343" s="246">
        <f t="shared" si="1286"/>
        <v>0.91352844638949671</v>
      </c>
      <c r="P3343" s="121">
        <f t="shared" si="1287"/>
        <v>0</v>
      </c>
      <c r="Q3343" s="121">
        <f t="shared" si="1288"/>
        <v>1</v>
      </c>
      <c r="R3343" s="121">
        <f t="shared" si="1289"/>
        <v>0</v>
      </c>
      <c r="S3343" s="121" t="str">
        <f t="shared" si="1290"/>
        <v/>
      </c>
      <c r="T3343" s="121" t="str">
        <f t="shared" si="1291"/>
        <v/>
      </c>
      <c r="U3343" s="121">
        <f t="shared" si="1292"/>
        <v>1.02</v>
      </c>
    </row>
    <row r="3344" spans="1:21" x14ac:dyDescent="0.3">
      <c r="A3344" s="187">
        <v>26</v>
      </c>
      <c r="B3344" s="242">
        <f t="shared" si="1293"/>
        <v>46419</v>
      </c>
      <c r="C3344" s="243">
        <f t="shared" si="1274"/>
        <v>46446</v>
      </c>
      <c r="D3344" s="120">
        <f t="shared" si="1275"/>
        <v>28</v>
      </c>
      <c r="E3344" s="120">
        <f t="shared" si="1276"/>
        <v>2</v>
      </c>
      <c r="F3344" s="275">
        <f t="shared" si="1277"/>
        <v>46433</v>
      </c>
      <c r="G3344" s="120">
        <f t="shared" si="1278"/>
        <v>24325</v>
      </c>
      <c r="H3344" s="245">
        <f t="shared" si="1279"/>
        <v>1</v>
      </c>
      <c r="I3344" s="121">
        <f t="shared" si="1280"/>
        <v>1.02</v>
      </c>
      <c r="J3344" s="121">
        <f t="shared" si="1281"/>
        <v>1.02</v>
      </c>
      <c r="K3344" s="120">
        <f t="shared" si="1282"/>
        <v>0</v>
      </c>
      <c r="L3344" s="120">
        <f t="shared" si="1283"/>
        <v>0</v>
      </c>
      <c r="M3344" s="246">
        <f t="shared" si="1284"/>
        <v>0</v>
      </c>
      <c r="N3344" s="121">
        <f t="shared" si="1285"/>
        <v>1.02</v>
      </c>
      <c r="O3344" s="246">
        <f t="shared" si="1286"/>
        <v>0.91449671772428887</v>
      </c>
      <c r="P3344" s="121">
        <f t="shared" si="1287"/>
        <v>0</v>
      </c>
      <c r="Q3344" s="121">
        <f t="shared" si="1288"/>
        <v>1</v>
      </c>
      <c r="R3344" s="121">
        <f t="shared" si="1289"/>
        <v>0</v>
      </c>
      <c r="S3344" s="121" t="str">
        <f t="shared" si="1290"/>
        <v/>
      </c>
      <c r="T3344" s="121" t="str">
        <f t="shared" si="1291"/>
        <v/>
      </c>
      <c r="U3344" s="121">
        <f t="shared" si="1292"/>
        <v>1.02</v>
      </c>
    </row>
    <row r="3345" spans="1:21" x14ac:dyDescent="0.3">
      <c r="A3345" s="187">
        <v>27</v>
      </c>
      <c r="B3345" s="242">
        <f t="shared" si="1293"/>
        <v>46447</v>
      </c>
      <c r="C3345" s="243">
        <f t="shared" si="1274"/>
        <v>46477</v>
      </c>
      <c r="D3345" s="120">
        <f t="shared" si="1275"/>
        <v>31</v>
      </c>
      <c r="E3345" s="120">
        <f t="shared" si="1276"/>
        <v>3</v>
      </c>
      <c r="F3345" s="275">
        <f t="shared" si="1277"/>
        <v>46462.5</v>
      </c>
      <c r="G3345" s="120">
        <f t="shared" si="1278"/>
        <v>24326</v>
      </c>
      <c r="H3345" s="245">
        <f t="shared" si="1279"/>
        <v>1</v>
      </c>
      <c r="I3345" s="121">
        <f t="shared" si="1280"/>
        <v>1.02</v>
      </c>
      <c r="J3345" s="121">
        <f t="shared" si="1281"/>
        <v>1.02</v>
      </c>
      <c r="K3345" s="120">
        <f t="shared" si="1282"/>
        <v>0</v>
      </c>
      <c r="L3345" s="120">
        <f t="shared" si="1283"/>
        <v>0</v>
      </c>
      <c r="M3345" s="246">
        <f t="shared" si="1284"/>
        <v>0</v>
      </c>
      <c r="N3345" s="121">
        <f t="shared" si="1285"/>
        <v>1.02</v>
      </c>
      <c r="O3345" s="246">
        <f t="shared" si="1286"/>
        <v>0.91546498905908102</v>
      </c>
      <c r="P3345" s="121">
        <f t="shared" si="1287"/>
        <v>0</v>
      </c>
      <c r="Q3345" s="121">
        <f t="shared" si="1288"/>
        <v>1</v>
      </c>
      <c r="R3345" s="121">
        <f t="shared" si="1289"/>
        <v>0</v>
      </c>
      <c r="S3345" s="121" t="str">
        <f t="shared" si="1290"/>
        <v/>
      </c>
      <c r="T3345" s="121" t="str">
        <f t="shared" si="1291"/>
        <v/>
      </c>
      <c r="U3345" s="121">
        <f t="shared" si="1292"/>
        <v>1.02</v>
      </c>
    </row>
    <row r="3346" spans="1:21" x14ac:dyDescent="0.3">
      <c r="A3346" s="187">
        <v>28</v>
      </c>
      <c r="B3346" s="242">
        <f t="shared" si="1293"/>
        <v>46478</v>
      </c>
      <c r="C3346" s="243">
        <f t="shared" si="1274"/>
        <v>46507</v>
      </c>
      <c r="D3346" s="120">
        <f t="shared" si="1275"/>
        <v>30</v>
      </c>
      <c r="E3346" s="120">
        <f t="shared" si="1276"/>
        <v>4</v>
      </c>
      <c r="F3346" s="275">
        <f t="shared" si="1277"/>
        <v>46493</v>
      </c>
      <c r="G3346" s="120">
        <f t="shared" si="1278"/>
        <v>24327</v>
      </c>
      <c r="H3346" s="245">
        <f t="shared" si="1279"/>
        <v>1</v>
      </c>
      <c r="I3346" s="121">
        <f t="shared" si="1280"/>
        <v>1.02</v>
      </c>
      <c r="J3346" s="121">
        <f t="shared" si="1281"/>
        <v>1.02</v>
      </c>
      <c r="K3346" s="120">
        <f t="shared" si="1282"/>
        <v>0</v>
      </c>
      <c r="L3346" s="120">
        <f t="shared" si="1283"/>
        <v>0</v>
      </c>
      <c r="M3346" s="246">
        <f t="shared" si="1284"/>
        <v>0</v>
      </c>
      <c r="N3346" s="121">
        <f t="shared" si="1285"/>
        <v>1.02</v>
      </c>
      <c r="O3346" s="246">
        <f t="shared" si="1286"/>
        <v>0.91646608315098477</v>
      </c>
      <c r="P3346" s="121">
        <f t="shared" si="1287"/>
        <v>0</v>
      </c>
      <c r="Q3346" s="121">
        <f t="shared" si="1288"/>
        <v>1</v>
      </c>
      <c r="R3346" s="121">
        <f t="shared" si="1289"/>
        <v>0</v>
      </c>
      <c r="S3346" s="121" t="str">
        <f t="shared" si="1290"/>
        <v/>
      </c>
      <c r="T3346" s="121" t="str">
        <f t="shared" si="1291"/>
        <v/>
      </c>
      <c r="U3346" s="121">
        <f t="shared" si="1292"/>
        <v>1.02</v>
      </c>
    </row>
    <row r="3347" spans="1:21" x14ac:dyDescent="0.3">
      <c r="A3347" s="187">
        <v>29</v>
      </c>
      <c r="B3347" s="242">
        <f t="shared" si="1293"/>
        <v>46508</v>
      </c>
      <c r="C3347" s="243">
        <f t="shared" si="1274"/>
        <v>46538</v>
      </c>
      <c r="D3347" s="120">
        <f t="shared" si="1275"/>
        <v>31</v>
      </c>
      <c r="E3347" s="120">
        <f t="shared" si="1276"/>
        <v>5</v>
      </c>
      <c r="F3347" s="275">
        <f t="shared" si="1277"/>
        <v>46523.5</v>
      </c>
      <c r="G3347" s="120">
        <f t="shared" si="1278"/>
        <v>24328</v>
      </c>
      <c r="H3347" s="245">
        <f t="shared" si="1279"/>
        <v>1</v>
      </c>
      <c r="I3347" s="121">
        <f t="shared" si="1280"/>
        <v>1.02</v>
      </c>
      <c r="J3347" s="121">
        <f t="shared" si="1281"/>
        <v>1.02</v>
      </c>
      <c r="K3347" s="120">
        <f t="shared" si="1282"/>
        <v>0</v>
      </c>
      <c r="L3347" s="120">
        <f t="shared" si="1283"/>
        <v>0</v>
      </c>
      <c r="M3347" s="246">
        <f t="shared" si="1284"/>
        <v>0</v>
      </c>
      <c r="N3347" s="121">
        <f t="shared" si="1285"/>
        <v>1.02</v>
      </c>
      <c r="O3347" s="246">
        <f t="shared" si="1286"/>
        <v>0.9174671772428884</v>
      </c>
      <c r="P3347" s="121">
        <f t="shared" si="1287"/>
        <v>0</v>
      </c>
      <c r="Q3347" s="121">
        <f t="shared" si="1288"/>
        <v>1</v>
      </c>
      <c r="R3347" s="121">
        <f t="shared" si="1289"/>
        <v>0</v>
      </c>
      <c r="S3347" s="121" t="str">
        <f t="shared" si="1290"/>
        <v/>
      </c>
      <c r="T3347" s="121" t="str">
        <f t="shared" si="1291"/>
        <v/>
      </c>
      <c r="U3347" s="121">
        <f t="shared" si="1292"/>
        <v>1.02</v>
      </c>
    </row>
    <row r="3348" spans="1:21" x14ac:dyDescent="0.3">
      <c r="A3348" s="187">
        <v>30</v>
      </c>
      <c r="B3348" s="242">
        <f t="shared" si="1293"/>
        <v>46539</v>
      </c>
      <c r="C3348" s="243">
        <f t="shared" si="1274"/>
        <v>46568</v>
      </c>
      <c r="D3348" s="120">
        <f t="shared" si="1275"/>
        <v>30</v>
      </c>
      <c r="E3348" s="120">
        <f t="shared" si="1276"/>
        <v>6</v>
      </c>
      <c r="F3348" s="275">
        <f t="shared" si="1277"/>
        <v>46554</v>
      </c>
      <c r="G3348" s="120">
        <f t="shared" si="1278"/>
        <v>24329</v>
      </c>
      <c r="H3348" s="245">
        <f t="shared" si="1279"/>
        <v>1</v>
      </c>
      <c r="I3348" s="121">
        <f t="shared" si="1280"/>
        <v>1.02</v>
      </c>
      <c r="J3348" s="121">
        <f t="shared" si="1281"/>
        <v>1.02</v>
      </c>
      <c r="K3348" s="120">
        <f t="shared" si="1282"/>
        <v>0</v>
      </c>
      <c r="L3348" s="120">
        <f t="shared" si="1283"/>
        <v>0</v>
      </c>
      <c r="M3348" s="246">
        <f t="shared" si="1284"/>
        <v>0</v>
      </c>
      <c r="N3348" s="121">
        <f t="shared" si="1285"/>
        <v>1.02</v>
      </c>
      <c r="O3348" s="246">
        <f t="shared" si="1286"/>
        <v>0.91846827133479214</v>
      </c>
      <c r="P3348" s="121">
        <f t="shared" si="1287"/>
        <v>0</v>
      </c>
      <c r="Q3348" s="121">
        <f t="shared" si="1288"/>
        <v>1</v>
      </c>
      <c r="R3348" s="121">
        <f t="shared" si="1289"/>
        <v>0</v>
      </c>
      <c r="S3348" s="121" t="str">
        <f t="shared" si="1290"/>
        <v/>
      </c>
      <c r="T3348" s="121" t="str">
        <f t="shared" si="1291"/>
        <v/>
      </c>
      <c r="U3348" s="121">
        <f t="shared" si="1292"/>
        <v>1.02</v>
      </c>
    </row>
    <row r="3349" spans="1:21" x14ac:dyDescent="0.3">
      <c r="A3349" s="187">
        <v>31</v>
      </c>
      <c r="B3349" s="242">
        <f t="shared" si="1293"/>
        <v>46569</v>
      </c>
      <c r="C3349" s="243">
        <f t="shared" si="1274"/>
        <v>46599</v>
      </c>
      <c r="D3349" s="120">
        <f t="shared" si="1275"/>
        <v>31</v>
      </c>
      <c r="E3349" s="120">
        <f t="shared" si="1276"/>
        <v>7</v>
      </c>
      <c r="F3349" s="275">
        <f t="shared" si="1277"/>
        <v>46584.5</v>
      </c>
      <c r="G3349" s="120">
        <f t="shared" si="1278"/>
        <v>24330</v>
      </c>
      <c r="H3349" s="245">
        <f t="shared" si="1279"/>
        <v>1</v>
      </c>
      <c r="I3349" s="121">
        <f t="shared" si="1280"/>
        <v>1.02</v>
      </c>
      <c r="J3349" s="121">
        <f t="shared" si="1281"/>
        <v>1.02</v>
      </c>
      <c r="K3349" s="120">
        <f t="shared" si="1282"/>
        <v>0</v>
      </c>
      <c r="L3349" s="120">
        <f t="shared" si="1283"/>
        <v>0</v>
      </c>
      <c r="M3349" s="246">
        <f t="shared" si="1284"/>
        <v>0</v>
      </c>
      <c r="N3349" s="121">
        <f t="shared" si="1285"/>
        <v>1.02</v>
      </c>
      <c r="O3349" s="246">
        <f t="shared" si="1286"/>
        <v>0.91946936542669588</v>
      </c>
      <c r="P3349" s="121">
        <f t="shared" si="1287"/>
        <v>0</v>
      </c>
      <c r="Q3349" s="121">
        <f t="shared" si="1288"/>
        <v>0.91666666666666663</v>
      </c>
      <c r="R3349" s="121">
        <f t="shared" si="1289"/>
        <v>8.333333333333337E-2</v>
      </c>
      <c r="S3349" s="121" t="str">
        <f t="shared" si="1290"/>
        <v/>
      </c>
      <c r="T3349" s="121" t="str">
        <f t="shared" si="1291"/>
        <v/>
      </c>
      <c r="U3349" s="121">
        <f t="shared" si="1292"/>
        <v>1.02</v>
      </c>
    </row>
    <row r="3350" spans="1:21" x14ac:dyDescent="0.3">
      <c r="A3350" s="187">
        <v>32</v>
      </c>
      <c r="B3350" s="242">
        <f t="shared" si="1293"/>
        <v>46600</v>
      </c>
      <c r="C3350" s="243">
        <f t="shared" si="1274"/>
        <v>46630</v>
      </c>
      <c r="D3350" s="120">
        <f t="shared" si="1275"/>
        <v>31</v>
      </c>
      <c r="E3350" s="120">
        <f t="shared" si="1276"/>
        <v>8</v>
      </c>
      <c r="F3350" s="275">
        <f t="shared" si="1277"/>
        <v>46615.5</v>
      </c>
      <c r="G3350" s="120">
        <f t="shared" si="1278"/>
        <v>24331</v>
      </c>
      <c r="H3350" s="245">
        <f t="shared" si="1279"/>
        <v>1</v>
      </c>
      <c r="I3350" s="121">
        <f t="shared" si="1280"/>
        <v>1.02</v>
      </c>
      <c r="J3350" s="121">
        <f t="shared" si="1281"/>
        <v>1.02</v>
      </c>
      <c r="K3350" s="120">
        <f t="shared" si="1282"/>
        <v>0</v>
      </c>
      <c r="L3350" s="120">
        <f t="shared" si="1283"/>
        <v>0</v>
      </c>
      <c r="M3350" s="246">
        <f t="shared" si="1284"/>
        <v>0</v>
      </c>
      <c r="N3350" s="121">
        <f t="shared" si="1285"/>
        <v>1.02</v>
      </c>
      <c r="O3350" s="246">
        <f t="shared" si="1286"/>
        <v>0.92048687089715542</v>
      </c>
      <c r="P3350" s="121">
        <f t="shared" si="1287"/>
        <v>0</v>
      </c>
      <c r="Q3350" s="121">
        <f t="shared" si="1288"/>
        <v>0.75</v>
      </c>
      <c r="R3350" s="121">
        <f t="shared" si="1289"/>
        <v>0.25</v>
      </c>
      <c r="S3350" s="121" t="str">
        <f t="shared" si="1290"/>
        <v/>
      </c>
      <c r="T3350" s="121" t="str">
        <f t="shared" si="1291"/>
        <v/>
      </c>
      <c r="U3350" s="121">
        <f t="shared" si="1292"/>
        <v>1.02</v>
      </c>
    </row>
    <row r="3351" spans="1:21" x14ac:dyDescent="0.3">
      <c r="A3351" s="187">
        <v>33</v>
      </c>
      <c r="B3351" s="242">
        <f t="shared" si="1293"/>
        <v>46631</v>
      </c>
      <c r="C3351" s="243">
        <f t="shared" si="1274"/>
        <v>46660</v>
      </c>
      <c r="D3351" s="120">
        <f t="shared" si="1275"/>
        <v>30</v>
      </c>
      <c r="E3351" s="120">
        <f t="shared" si="1276"/>
        <v>9</v>
      </c>
      <c r="F3351" s="275">
        <f t="shared" si="1277"/>
        <v>46646</v>
      </c>
      <c r="G3351" s="120">
        <f t="shared" si="1278"/>
        <v>24332</v>
      </c>
      <c r="H3351" s="245">
        <f t="shared" si="1279"/>
        <v>1</v>
      </c>
      <c r="I3351" s="121">
        <f t="shared" si="1280"/>
        <v>1.02</v>
      </c>
      <c r="J3351" s="121">
        <f t="shared" si="1281"/>
        <v>1.02</v>
      </c>
      <c r="K3351" s="120">
        <f t="shared" si="1282"/>
        <v>0</v>
      </c>
      <c r="L3351" s="120">
        <f t="shared" si="1283"/>
        <v>0</v>
      </c>
      <c r="M3351" s="246">
        <f t="shared" si="1284"/>
        <v>0</v>
      </c>
      <c r="N3351" s="121">
        <f t="shared" si="1285"/>
        <v>1.02</v>
      </c>
      <c r="O3351" s="246">
        <f t="shared" si="1286"/>
        <v>0.92148796498905916</v>
      </c>
      <c r="P3351" s="121">
        <f t="shared" si="1287"/>
        <v>0</v>
      </c>
      <c r="Q3351" s="121">
        <f t="shared" si="1288"/>
        <v>0.58333333333333337</v>
      </c>
      <c r="R3351" s="121">
        <f t="shared" si="1289"/>
        <v>0.41666666666666663</v>
      </c>
      <c r="S3351" s="121" t="str">
        <f t="shared" si="1290"/>
        <v/>
      </c>
      <c r="T3351" s="121" t="str">
        <f t="shared" si="1291"/>
        <v/>
      </c>
      <c r="U3351" s="121">
        <f t="shared" si="1292"/>
        <v>1.02</v>
      </c>
    </row>
    <row r="3352" spans="1:21" x14ac:dyDescent="0.3">
      <c r="A3352" s="187">
        <v>34</v>
      </c>
      <c r="B3352" s="242">
        <f t="shared" si="1293"/>
        <v>46661</v>
      </c>
      <c r="C3352" s="243">
        <f t="shared" si="1274"/>
        <v>46691</v>
      </c>
      <c r="D3352" s="120">
        <f t="shared" si="1275"/>
        <v>31</v>
      </c>
      <c r="E3352" s="120">
        <f t="shared" si="1276"/>
        <v>10</v>
      </c>
      <c r="F3352" s="275">
        <f t="shared" si="1277"/>
        <v>46676.5</v>
      </c>
      <c r="G3352" s="120">
        <f t="shared" si="1278"/>
        <v>24333</v>
      </c>
      <c r="H3352" s="245">
        <f t="shared" si="1279"/>
        <v>1</v>
      </c>
      <c r="I3352" s="121">
        <f t="shared" si="1280"/>
        <v>1.02</v>
      </c>
      <c r="J3352" s="121">
        <f t="shared" si="1281"/>
        <v>1.02</v>
      </c>
      <c r="K3352" s="120">
        <f t="shared" si="1282"/>
        <v>0</v>
      </c>
      <c r="L3352" s="120">
        <f t="shared" si="1283"/>
        <v>0</v>
      </c>
      <c r="M3352" s="246">
        <f t="shared" si="1284"/>
        <v>0</v>
      </c>
      <c r="N3352" s="121">
        <f t="shared" si="1285"/>
        <v>1.02</v>
      </c>
      <c r="O3352" s="246">
        <f t="shared" si="1286"/>
        <v>0.92248905908096279</v>
      </c>
      <c r="P3352" s="121">
        <f t="shared" si="1287"/>
        <v>0</v>
      </c>
      <c r="Q3352" s="121">
        <f t="shared" si="1288"/>
        <v>0.41666666666666669</v>
      </c>
      <c r="R3352" s="121">
        <f t="shared" si="1289"/>
        <v>0.58333333333333326</v>
      </c>
      <c r="S3352" s="121" t="str">
        <f t="shared" si="1290"/>
        <v/>
      </c>
      <c r="T3352" s="121" t="str">
        <f t="shared" si="1291"/>
        <v/>
      </c>
      <c r="U3352" s="121">
        <f t="shared" si="1292"/>
        <v>1.02</v>
      </c>
    </row>
    <row r="3353" spans="1:21" x14ac:dyDescent="0.3">
      <c r="A3353" s="187">
        <v>35</v>
      </c>
      <c r="B3353" s="242">
        <f t="shared" si="1293"/>
        <v>46692</v>
      </c>
      <c r="C3353" s="243">
        <f t="shared" si="1274"/>
        <v>46721</v>
      </c>
      <c r="D3353" s="120">
        <f t="shared" si="1275"/>
        <v>30</v>
      </c>
      <c r="E3353" s="120">
        <f t="shared" si="1276"/>
        <v>11</v>
      </c>
      <c r="F3353" s="275">
        <f t="shared" si="1277"/>
        <v>46707</v>
      </c>
      <c r="G3353" s="120">
        <f t="shared" si="1278"/>
        <v>24334</v>
      </c>
      <c r="H3353" s="245">
        <f t="shared" si="1279"/>
        <v>1</v>
      </c>
      <c r="I3353" s="121">
        <f t="shared" si="1280"/>
        <v>1.02</v>
      </c>
      <c r="J3353" s="121">
        <f t="shared" si="1281"/>
        <v>1.02</v>
      </c>
      <c r="K3353" s="120">
        <f t="shared" si="1282"/>
        <v>0</v>
      </c>
      <c r="L3353" s="120">
        <f t="shared" si="1283"/>
        <v>0</v>
      </c>
      <c r="M3353" s="246">
        <f t="shared" si="1284"/>
        <v>0</v>
      </c>
      <c r="N3353" s="121">
        <f t="shared" si="1285"/>
        <v>1.02</v>
      </c>
      <c r="O3353" s="246">
        <f t="shared" si="1286"/>
        <v>0.92349015317286653</v>
      </c>
      <c r="P3353" s="121">
        <f t="shared" si="1287"/>
        <v>0</v>
      </c>
      <c r="Q3353" s="121">
        <f t="shared" si="1288"/>
        <v>0.25</v>
      </c>
      <c r="R3353" s="121">
        <f t="shared" si="1289"/>
        <v>0.75</v>
      </c>
      <c r="S3353" s="121" t="str">
        <f t="shared" si="1290"/>
        <v/>
      </c>
      <c r="T3353" s="121" t="str">
        <f t="shared" si="1291"/>
        <v/>
      </c>
      <c r="U3353" s="121">
        <f t="shared" si="1292"/>
        <v>1.02</v>
      </c>
    </row>
    <row r="3354" spans="1:21" x14ac:dyDescent="0.3">
      <c r="A3354" s="187">
        <v>36</v>
      </c>
      <c r="B3354" s="242">
        <f t="shared" si="1293"/>
        <v>46722</v>
      </c>
      <c r="C3354" s="243">
        <f t="shared" si="1274"/>
        <v>46752</v>
      </c>
      <c r="D3354" s="120">
        <f t="shared" si="1275"/>
        <v>31</v>
      </c>
      <c r="E3354" s="120">
        <f t="shared" si="1276"/>
        <v>12</v>
      </c>
      <c r="F3354" s="275">
        <f t="shared" si="1277"/>
        <v>46737.5</v>
      </c>
      <c r="G3354" s="120">
        <f t="shared" si="1278"/>
        <v>24335</v>
      </c>
      <c r="H3354" s="245">
        <f t="shared" si="1279"/>
        <v>1</v>
      </c>
      <c r="I3354" s="121">
        <f t="shared" si="1280"/>
        <v>1.02</v>
      </c>
      <c r="J3354" s="121">
        <f t="shared" si="1281"/>
        <v>1.02</v>
      </c>
      <c r="K3354" s="120">
        <f t="shared" si="1282"/>
        <v>0</v>
      </c>
      <c r="L3354" s="120">
        <f t="shared" si="1283"/>
        <v>0</v>
      </c>
      <c r="M3354" s="246">
        <f t="shared" si="1284"/>
        <v>0</v>
      </c>
      <c r="N3354" s="121">
        <f t="shared" si="1285"/>
        <v>1.02</v>
      </c>
      <c r="O3354" s="246">
        <f t="shared" si="1286"/>
        <v>0.92449124726477028</v>
      </c>
      <c r="P3354" s="121">
        <f t="shared" si="1287"/>
        <v>0</v>
      </c>
      <c r="Q3354" s="121">
        <f t="shared" si="1288"/>
        <v>8.3333333333333329E-2</v>
      </c>
      <c r="R3354" s="121">
        <f t="shared" si="1289"/>
        <v>0.91666666666666663</v>
      </c>
      <c r="S3354" s="121" t="str">
        <f t="shared" si="1290"/>
        <v/>
      </c>
      <c r="T3354" s="121" t="str">
        <f t="shared" si="1291"/>
        <v/>
      </c>
      <c r="U3354" s="121">
        <f t="shared" si="1292"/>
        <v>1.02</v>
      </c>
    </row>
    <row r="3355" spans="1:21" x14ac:dyDescent="0.3">
      <c r="A3355" s="187">
        <v>37</v>
      </c>
      <c r="B3355" s="242">
        <f t="shared" si="1293"/>
        <v>46753</v>
      </c>
      <c r="C3355" s="243">
        <f t="shared" si="1274"/>
        <v>46783</v>
      </c>
      <c r="D3355" s="120">
        <f t="shared" si="1275"/>
        <v>31</v>
      </c>
      <c r="E3355" s="120">
        <f t="shared" si="1276"/>
        <v>1</v>
      </c>
      <c r="F3355" s="275">
        <f t="shared" si="1277"/>
        <v>46768.5</v>
      </c>
      <c r="G3355" s="120">
        <f t="shared" si="1278"/>
        <v>24336</v>
      </c>
      <c r="H3355" s="245">
        <f t="shared" si="1279"/>
        <v>1</v>
      </c>
      <c r="I3355" s="121">
        <f t="shared" si="1280"/>
        <v>1.02</v>
      </c>
      <c r="J3355" s="121">
        <f t="shared" si="1281"/>
        <v>1.02</v>
      </c>
      <c r="K3355" s="120">
        <f t="shared" si="1282"/>
        <v>0</v>
      </c>
      <c r="L3355" s="120">
        <f t="shared" si="1283"/>
        <v>0</v>
      </c>
      <c r="M3355" s="246">
        <f t="shared" si="1284"/>
        <v>0</v>
      </c>
      <c r="N3355" s="121">
        <f t="shared" si="1285"/>
        <v>1.02</v>
      </c>
      <c r="O3355" s="246">
        <f t="shared" si="1286"/>
        <v>0.92500000000000004</v>
      </c>
      <c r="P3355" s="121">
        <f t="shared" si="1287"/>
        <v>0</v>
      </c>
      <c r="Q3355" s="121">
        <f t="shared" si="1288"/>
        <v>0</v>
      </c>
      <c r="R3355" s="121">
        <f t="shared" si="1289"/>
        <v>1</v>
      </c>
      <c r="S3355" s="121" t="str">
        <f t="shared" si="1290"/>
        <v/>
      </c>
      <c r="T3355" s="121" t="str">
        <f t="shared" si="1291"/>
        <v/>
      </c>
      <c r="U3355" s="121">
        <f t="shared" si="1292"/>
        <v>1.02</v>
      </c>
    </row>
    <row r="3356" spans="1:21" x14ac:dyDescent="0.3">
      <c r="A3356" s="187">
        <v>38</v>
      </c>
      <c r="B3356" s="242">
        <f t="shared" si="1293"/>
        <v>46784</v>
      </c>
      <c r="C3356" s="243">
        <f t="shared" si="1274"/>
        <v>46812</v>
      </c>
      <c r="D3356" s="120">
        <f t="shared" si="1275"/>
        <v>29</v>
      </c>
      <c r="E3356" s="120">
        <f t="shared" si="1276"/>
        <v>2</v>
      </c>
      <c r="F3356" s="275">
        <f t="shared" si="1277"/>
        <v>46798.5</v>
      </c>
      <c r="G3356" s="120">
        <f t="shared" si="1278"/>
        <v>24337</v>
      </c>
      <c r="H3356" s="245">
        <f t="shared" si="1279"/>
        <v>1</v>
      </c>
      <c r="I3356" s="121">
        <f t="shared" si="1280"/>
        <v>1.02</v>
      </c>
      <c r="J3356" s="121">
        <f t="shared" si="1281"/>
        <v>1.02</v>
      </c>
      <c r="K3356" s="120">
        <f t="shared" si="1282"/>
        <v>0</v>
      </c>
      <c r="L3356" s="120">
        <f t="shared" si="1283"/>
        <v>0</v>
      </c>
      <c r="M3356" s="246">
        <f t="shared" si="1284"/>
        <v>0</v>
      </c>
      <c r="N3356" s="121">
        <f t="shared" si="1285"/>
        <v>1.02</v>
      </c>
      <c r="O3356" s="246">
        <f t="shared" si="1286"/>
        <v>0.92500000000000004</v>
      </c>
      <c r="P3356" s="121">
        <f t="shared" si="1287"/>
        <v>0</v>
      </c>
      <c r="Q3356" s="121">
        <f t="shared" si="1288"/>
        <v>0</v>
      </c>
      <c r="R3356" s="121">
        <f t="shared" si="1289"/>
        <v>1</v>
      </c>
      <c r="S3356" s="121" t="str">
        <f t="shared" si="1290"/>
        <v/>
      </c>
      <c r="T3356" s="121" t="str">
        <f t="shared" si="1291"/>
        <v/>
      </c>
      <c r="U3356" s="121">
        <f t="shared" si="1292"/>
        <v>1.02</v>
      </c>
    </row>
    <row r="3357" spans="1:21" x14ac:dyDescent="0.3">
      <c r="A3357" s="187">
        <v>39</v>
      </c>
      <c r="B3357" s="242">
        <f t="shared" si="1293"/>
        <v>46813</v>
      </c>
      <c r="C3357" s="243">
        <f t="shared" si="1274"/>
        <v>46843</v>
      </c>
      <c r="D3357" s="120">
        <f t="shared" si="1275"/>
        <v>31</v>
      </c>
      <c r="E3357" s="120">
        <f t="shared" si="1276"/>
        <v>3</v>
      </c>
      <c r="F3357" s="275">
        <f t="shared" si="1277"/>
        <v>46828.5</v>
      </c>
      <c r="G3357" s="120">
        <f t="shared" si="1278"/>
        <v>24338</v>
      </c>
      <c r="H3357" s="245">
        <f t="shared" si="1279"/>
        <v>1</v>
      </c>
      <c r="I3357" s="121">
        <f t="shared" si="1280"/>
        <v>1.02</v>
      </c>
      <c r="J3357" s="121">
        <f t="shared" si="1281"/>
        <v>1.02</v>
      </c>
      <c r="K3357" s="120">
        <f t="shared" si="1282"/>
        <v>0</v>
      </c>
      <c r="L3357" s="120">
        <f t="shared" si="1283"/>
        <v>0</v>
      </c>
      <c r="M3357" s="246">
        <f t="shared" si="1284"/>
        <v>0</v>
      </c>
      <c r="N3357" s="121">
        <f t="shared" si="1285"/>
        <v>1.02</v>
      </c>
      <c r="O3357" s="246">
        <f t="shared" si="1286"/>
        <v>0.92500000000000004</v>
      </c>
      <c r="P3357" s="121">
        <f t="shared" si="1287"/>
        <v>0</v>
      </c>
      <c r="Q3357" s="121">
        <f t="shared" si="1288"/>
        <v>0</v>
      </c>
      <c r="R3357" s="121">
        <f t="shared" si="1289"/>
        <v>1</v>
      </c>
      <c r="S3357" s="121" t="str">
        <f t="shared" si="1290"/>
        <v/>
      </c>
      <c r="T3357" s="121" t="str">
        <f t="shared" si="1291"/>
        <v/>
      </c>
      <c r="U3357" s="121">
        <f t="shared" si="1292"/>
        <v>1.02</v>
      </c>
    </row>
    <row r="3358" spans="1:21" x14ac:dyDescent="0.3">
      <c r="A3358" s="187">
        <v>40</v>
      </c>
      <c r="B3358" s="242">
        <f t="shared" si="1293"/>
        <v>46844</v>
      </c>
      <c r="C3358" s="243">
        <f t="shared" si="1274"/>
        <v>46873</v>
      </c>
      <c r="D3358" s="120">
        <f t="shared" si="1275"/>
        <v>30</v>
      </c>
      <c r="E3358" s="120">
        <f t="shared" si="1276"/>
        <v>4</v>
      </c>
      <c r="F3358" s="275">
        <f t="shared" si="1277"/>
        <v>46859</v>
      </c>
      <c r="G3358" s="120">
        <f t="shared" si="1278"/>
        <v>24339</v>
      </c>
      <c r="H3358" s="245">
        <f t="shared" si="1279"/>
        <v>1</v>
      </c>
      <c r="I3358" s="121">
        <f t="shared" si="1280"/>
        <v>1.02</v>
      </c>
      <c r="J3358" s="121">
        <f t="shared" si="1281"/>
        <v>1.02</v>
      </c>
      <c r="K3358" s="120">
        <f t="shared" si="1282"/>
        <v>0</v>
      </c>
      <c r="L3358" s="120">
        <f t="shared" si="1283"/>
        <v>0</v>
      </c>
      <c r="M3358" s="246">
        <f t="shared" si="1284"/>
        <v>0</v>
      </c>
      <c r="N3358" s="121">
        <f t="shared" si="1285"/>
        <v>1.02</v>
      </c>
      <c r="O3358" s="246">
        <f t="shared" si="1286"/>
        <v>0.92500000000000004</v>
      </c>
      <c r="P3358" s="121">
        <f t="shared" si="1287"/>
        <v>0</v>
      </c>
      <c r="Q3358" s="121">
        <f t="shared" si="1288"/>
        <v>0</v>
      </c>
      <c r="R3358" s="121">
        <f t="shared" si="1289"/>
        <v>1</v>
      </c>
      <c r="S3358" s="121" t="str">
        <f t="shared" si="1290"/>
        <v/>
      </c>
      <c r="T3358" s="121" t="str">
        <f t="shared" si="1291"/>
        <v/>
      </c>
      <c r="U3358" s="121">
        <f t="shared" si="1292"/>
        <v>1.02</v>
      </c>
    </row>
    <row r="3359" spans="1:21" x14ac:dyDescent="0.3">
      <c r="A3359" s="187">
        <v>41</v>
      </c>
      <c r="B3359" s="242">
        <f t="shared" si="1293"/>
        <v>46874</v>
      </c>
      <c r="C3359" s="243">
        <f t="shared" si="1274"/>
        <v>46904</v>
      </c>
      <c r="D3359" s="120">
        <f t="shared" si="1275"/>
        <v>31</v>
      </c>
      <c r="E3359" s="120">
        <f t="shared" si="1276"/>
        <v>5</v>
      </c>
      <c r="F3359" s="275">
        <f t="shared" si="1277"/>
        <v>46889.5</v>
      </c>
      <c r="G3359" s="120">
        <f t="shared" si="1278"/>
        <v>24340</v>
      </c>
      <c r="H3359" s="245">
        <f t="shared" si="1279"/>
        <v>1</v>
      </c>
      <c r="I3359" s="121">
        <f t="shared" si="1280"/>
        <v>1.02</v>
      </c>
      <c r="J3359" s="121">
        <f t="shared" si="1281"/>
        <v>1.02</v>
      </c>
      <c r="K3359" s="120">
        <f t="shared" si="1282"/>
        <v>0</v>
      </c>
      <c r="L3359" s="120">
        <f t="shared" si="1283"/>
        <v>0</v>
      </c>
      <c r="M3359" s="246">
        <f t="shared" si="1284"/>
        <v>0</v>
      </c>
      <c r="N3359" s="121">
        <f t="shared" si="1285"/>
        <v>1.02</v>
      </c>
      <c r="O3359" s="246">
        <f t="shared" si="1286"/>
        <v>0.92500000000000004</v>
      </c>
      <c r="P3359" s="121">
        <f t="shared" si="1287"/>
        <v>0</v>
      </c>
      <c r="Q3359" s="121">
        <f t="shared" si="1288"/>
        <v>0</v>
      </c>
      <c r="R3359" s="121">
        <f t="shared" si="1289"/>
        <v>1</v>
      </c>
      <c r="S3359" s="121" t="str">
        <f t="shared" si="1290"/>
        <v/>
      </c>
      <c r="T3359" s="121" t="str">
        <f t="shared" si="1291"/>
        <v/>
      </c>
      <c r="U3359" s="121">
        <f t="shared" si="1292"/>
        <v>1.02</v>
      </c>
    </row>
    <row r="3360" spans="1:21" x14ac:dyDescent="0.3">
      <c r="A3360" s="187">
        <v>42</v>
      </c>
      <c r="B3360" s="242">
        <f t="shared" si="1293"/>
        <v>46905</v>
      </c>
      <c r="C3360" s="243">
        <f t="shared" si="1274"/>
        <v>46934</v>
      </c>
      <c r="D3360" s="120">
        <f t="shared" si="1275"/>
        <v>30</v>
      </c>
      <c r="E3360" s="120">
        <f t="shared" si="1276"/>
        <v>6</v>
      </c>
      <c r="F3360" s="275">
        <f t="shared" si="1277"/>
        <v>46920</v>
      </c>
      <c r="G3360" s="120">
        <f t="shared" si="1278"/>
        <v>24341</v>
      </c>
      <c r="H3360" s="245">
        <f t="shared" si="1279"/>
        <v>1</v>
      </c>
      <c r="I3360" s="121">
        <f t="shared" si="1280"/>
        <v>1.02</v>
      </c>
      <c r="J3360" s="121">
        <f t="shared" si="1281"/>
        <v>1.02</v>
      </c>
      <c r="K3360" s="120">
        <f t="shared" si="1282"/>
        <v>0</v>
      </c>
      <c r="L3360" s="120">
        <f t="shared" si="1283"/>
        <v>0</v>
      </c>
      <c r="M3360" s="246">
        <f t="shared" si="1284"/>
        <v>0</v>
      </c>
      <c r="N3360" s="121">
        <f t="shared" si="1285"/>
        <v>1.02</v>
      </c>
      <c r="O3360" s="246">
        <f t="shared" si="1286"/>
        <v>0.92500000000000004</v>
      </c>
      <c r="P3360" s="121">
        <f t="shared" si="1287"/>
        <v>0</v>
      </c>
      <c r="Q3360" s="121">
        <f t="shared" si="1288"/>
        <v>0</v>
      </c>
      <c r="R3360" s="121">
        <f t="shared" si="1289"/>
        <v>1</v>
      </c>
      <c r="S3360" s="121" t="str">
        <f t="shared" si="1290"/>
        <v/>
      </c>
      <c r="T3360" s="121" t="str">
        <f t="shared" si="1291"/>
        <v/>
      </c>
      <c r="U3360" s="121">
        <f t="shared" si="1292"/>
        <v>1.02</v>
      </c>
    </row>
    <row r="3361" spans="1:21" x14ac:dyDescent="0.3">
      <c r="A3361" s="187">
        <v>43</v>
      </c>
      <c r="B3361" s="242">
        <f t="shared" si="1293"/>
        <v>46935</v>
      </c>
      <c r="C3361" s="243">
        <f t="shared" si="1274"/>
        <v>46965</v>
      </c>
      <c r="D3361" s="120">
        <f t="shared" si="1275"/>
        <v>31</v>
      </c>
      <c r="E3361" s="120">
        <f t="shared" si="1276"/>
        <v>7</v>
      </c>
      <c r="F3361" s="275">
        <f t="shared" si="1277"/>
        <v>46950.5</v>
      </c>
      <c r="G3361" s="120">
        <f t="shared" si="1278"/>
        <v>24342</v>
      </c>
      <c r="H3361" s="245">
        <f t="shared" si="1279"/>
        <v>1</v>
      </c>
      <c r="I3361" s="121">
        <f t="shared" si="1280"/>
        <v>1.02</v>
      </c>
      <c r="J3361" s="121">
        <f t="shared" si="1281"/>
        <v>1.02</v>
      </c>
      <c r="K3361" s="120">
        <f t="shared" si="1282"/>
        <v>0</v>
      </c>
      <c r="L3361" s="120">
        <f t="shared" si="1283"/>
        <v>0</v>
      </c>
      <c r="M3361" s="246">
        <f t="shared" si="1284"/>
        <v>0</v>
      </c>
      <c r="N3361" s="121">
        <f t="shared" si="1285"/>
        <v>1.02</v>
      </c>
      <c r="O3361" s="246">
        <f t="shared" si="1286"/>
        <v>0.92500000000000004</v>
      </c>
      <c r="P3361" s="121">
        <f t="shared" si="1287"/>
        <v>0</v>
      </c>
      <c r="Q3361" s="121">
        <f t="shared" si="1288"/>
        <v>0</v>
      </c>
      <c r="R3361" s="121">
        <f t="shared" si="1289"/>
        <v>0.91666666666666663</v>
      </c>
      <c r="S3361" s="121" t="str">
        <f t="shared" si="1290"/>
        <v/>
      </c>
      <c r="T3361" s="121" t="str">
        <f t="shared" si="1291"/>
        <v/>
      </c>
      <c r="U3361" s="121">
        <f t="shared" si="1292"/>
        <v>1.02</v>
      </c>
    </row>
    <row r="3362" spans="1:21" x14ac:dyDescent="0.3">
      <c r="A3362" s="187">
        <v>44</v>
      </c>
      <c r="B3362" s="242">
        <f t="shared" si="1293"/>
        <v>46966</v>
      </c>
      <c r="C3362" s="243">
        <f t="shared" si="1274"/>
        <v>46996</v>
      </c>
      <c r="D3362" s="120">
        <f t="shared" si="1275"/>
        <v>31</v>
      </c>
      <c r="E3362" s="120">
        <f t="shared" si="1276"/>
        <v>8</v>
      </c>
      <c r="F3362" s="275">
        <f t="shared" si="1277"/>
        <v>46981.5</v>
      </c>
      <c r="G3362" s="120">
        <f t="shared" si="1278"/>
        <v>24343</v>
      </c>
      <c r="H3362" s="245">
        <f t="shared" si="1279"/>
        <v>1</v>
      </c>
      <c r="I3362" s="121">
        <f t="shared" si="1280"/>
        <v>1.02</v>
      </c>
      <c r="J3362" s="121">
        <f t="shared" si="1281"/>
        <v>1.02</v>
      </c>
      <c r="K3362" s="120">
        <f t="shared" si="1282"/>
        <v>0</v>
      </c>
      <c r="L3362" s="120">
        <f t="shared" si="1283"/>
        <v>0</v>
      </c>
      <c r="M3362" s="246">
        <f t="shared" si="1284"/>
        <v>0</v>
      </c>
      <c r="N3362" s="121">
        <f t="shared" si="1285"/>
        <v>1.02</v>
      </c>
      <c r="O3362" s="246">
        <f t="shared" si="1286"/>
        <v>0.92500000000000004</v>
      </c>
      <c r="P3362" s="121">
        <f t="shared" si="1287"/>
        <v>0</v>
      </c>
      <c r="Q3362" s="121">
        <f t="shared" si="1288"/>
        <v>0</v>
      </c>
      <c r="R3362" s="121">
        <f t="shared" si="1289"/>
        <v>0.75</v>
      </c>
      <c r="S3362" s="121" t="str">
        <f t="shared" si="1290"/>
        <v/>
      </c>
      <c r="T3362" s="121" t="str">
        <f t="shared" si="1291"/>
        <v/>
      </c>
      <c r="U3362" s="121">
        <f t="shared" si="1292"/>
        <v>1.02</v>
      </c>
    </row>
    <row r="3363" spans="1:21" x14ac:dyDescent="0.3">
      <c r="A3363" s="187">
        <v>45</v>
      </c>
      <c r="B3363" s="242">
        <f t="shared" si="1293"/>
        <v>46997</v>
      </c>
      <c r="C3363" s="243">
        <f t="shared" si="1274"/>
        <v>47026</v>
      </c>
      <c r="D3363" s="120">
        <f t="shared" si="1275"/>
        <v>30</v>
      </c>
      <c r="E3363" s="120">
        <f t="shared" si="1276"/>
        <v>9</v>
      </c>
      <c r="F3363" s="275">
        <f t="shared" si="1277"/>
        <v>47012</v>
      </c>
      <c r="G3363" s="120">
        <f t="shared" si="1278"/>
        <v>24344</v>
      </c>
      <c r="H3363" s="245">
        <f t="shared" si="1279"/>
        <v>1</v>
      </c>
      <c r="I3363" s="121">
        <f t="shared" si="1280"/>
        <v>1.02</v>
      </c>
      <c r="J3363" s="121">
        <f t="shared" si="1281"/>
        <v>1.02</v>
      </c>
      <c r="K3363" s="120">
        <f t="shared" si="1282"/>
        <v>0</v>
      </c>
      <c r="L3363" s="120">
        <f t="shared" si="1283"/>
        <v>0</v>
      </c>
      <c r="M3363" s="246">
        <f t="shared" si="1284"/>
        <v>0</v>
      </c>
      <c r="N3363" s="121">
        <f t="shared" si="1285"/>
        <v>1.02</v>
      </c>
      <c r="O3363" s="246">
        <f t="shared" si="1286"/>
        <v>0.92500000000000004</v>
      </c>
      <c r="P3363" s="121">
        <f t="shared" si="1287"/>
        <v>0</v>
      </c>
      <c r="Q3363" s="121">
        <f t="shared" si="1288"/>
        <v>0</v>
      </c>
      <c r="R3363" s="121">
        <f t="shared" si="1289"/>
        <v>0.58333333333333337</v>
      </c>
      <c r="S3363" s="121" t="str">
        <f t="shared" si="1290"/>
        <v/>
      </c>
      <c r="T3363" s="121" t="str">
        <f t="shared" si="1291"/>
        <v/>
      </c>
      <c r="U3363" s="121">
        <f t="shared" si="1292"/>
        <v>1.02</v>
      </c>
    </row>
    <row r="3364" spans="1:21" x14ac:dyDescent="0.3">
      <c r="A3364" s="187">
        <v>46</v>
      </c>
      <c r="B3364" s="242">
        <f t="shared" si="1293"/>
        <v>47027</v>
      </c>
      <c r="C3364" s="243">
        <f t="shared" si="1274"/>
        <v>47057</v>
      </c>
      <c r="D3364" s="120">
        <f t="shared" si="1275"/>
        <v>31</v>
      </c>
      <c r="E3364" s="120">
        <f t="shared" si="1276"/>
        <v>10</v>
      </c>
      <c r="F3364" s="275">
        <f t="shared" si="1277"/>
        <v>47042.5</v>
      </c>
      <c r="G3364" s="120">
        <f t="shared" si="1278"/>
        <v>24345</v>
      </c>
      <c r="H3364" s="245">
        <f t="shared" si="1279"/>
        <v>1</v>
      </c>
      <c r="I3364" s="121">
        <f t="shared" si="1280"/>
        <v>1.02</v>
      </c>
      <c r="J3364" s="121">
        <f t="shared" si="1281"/>
        <v>1.02</v>
      </c>
      <c r="K3364" s="120">
        <f t="shared" si="1282"/>
        <v>0</v>
      </c>
      <c r="L3364" s="120">
        <f t="shared" si="1283"/>
        <v>0</v>
      </c>
      <c r="M3364" s="246">
        <f t="shared" si="1284"/>
        <v>0</v>
      </c>
      <c r="N3364" s="121">
        <f t="shared" si="1285"/>
        <v>1.02</v>
      </c>
      <c r="O3364" s="246">
        <f t="shared" si="1286"/>
        <v>0.92500000000000004</v>
      </c>
      <c r="P3364" s="121">
        <f t="shared" si="1287"/>
        <v>0</v>
      </c>
      <c r="Q3364" s="121">
        <f t="shared" si="1288"/>
        <v>0</v>
      </c>
      <c r="R3364" s="121">
        <f t="shared" si="1289"/>
        <v>0.41666666666666669</v>
      </c>
      <c r="S3364" s="121" t="str">
        <f t="shared" si="1290"/>
        <v/>
      </c>
      <c r="T3364" s="121" t="str">
        <f t="shared" si="1291"/>
        <v/>
      </c>
      <c r="U3364" s="121">
        <f t="shared" si="1292"/>
        <v>1.02</v>
      </c>
    </row>
    <row r="3365" spans="1:21" x14ac:dyDescent="0.3">
      <c r="A3365" s="187">
        <v>47</v>
      </c>
      <c r="B3365" s="242">
        <f t="shared" si="1293"/>
        <v>47058</v>
      </c>
      <c r="C3365" s="243">
        <f t="shared" si="1274"/>
        <v>47087</v>
      </c>
      <c r="D3365" s="120">
        <f t="shared" si="1275"/>
        <v>30</v>
      </c>
      <c r="E3365" s="120">
        <f t="shared" si="1276"/>
        <v>11</v>
      </c>
      <c r="F3365" s="275">
        <f t="shared" si="1277"/>
        <v>47073</v>
      </c>
      <c r="G3365" s="120">
        <f t="shared" si="1278"/>
        <v>24346</v>
      </c>
      <c r="H3365" s="245">
        <f t="shared" si="1279"/>
        <v>1</v>
      </c>
      <c r="I3365" s="121">
        <f t="shared" si="1280"/>
        <v>1.02</v>
      </c>
      <c r="J3365" s="121">
        <f t="shared" si="1281"/>
        <v>1.02</v>
      </c>
      <c r="K3365" s="120">
        <f t="shared" si="1282"/>
        <v>0</v>
      </c>
      <c r="L3365" s="120">
        <f t="shared" si="1283"/>
        <v>0</v>
      </c>
      <c r="M3365" s="246">
        <f t="shared" si="1284"/>
        <v>0</v>
      </c>
      <c r="N3365" s="121">
        <f t="shared" si="1285"/>
        <v>1.02</v>
      </c>
      <c r="O3365" s="246">
        <f t="shared" si="1286"/>
        <v>0.92500000000000004</v>
      </c>
      <c r="P3365" s="121">
        <f t="shared" si="1287"/>
        <v>0</v>
      </c>
      <c r="Q3365" s="121">
        <f t="shared" si="1288"/>
        <v>0</v>
      </c>
      <c r="R3365" s="121">
        <f t="shared" si="1289"/>
        <v>0.25</v>
      </c>
      <c r="S3365" s="121" t="str">
        <f t="shared" si="1290"/>
        <v/>
      </c>
      <c r="T3365" s="121" t="str">
        <f t="shared" si="1291"/>
        <v/>
      </c>
      <c r="U3365" s="121">
        <f t="shared" si="1292"/>
        <v>1.02</v>
      </c>
    </row>
    <row r="3366" spans="1:21" x14ac:dyDescent="0.3">
      <c r="A3366" s="187">
        <v>48</v>
      </c>
      <c r="B3366" s="242">
        <f t="shared" si="1293"/>
        <v>47088</v>
      </c>
      <c r="C3366" s="243">
        <f t="shared" si="1274"/>
        <v>47118</v>
      </c>
      <c r="D3366" s="120">
        <f t="shared" si="1275"/>
        <v>31</v>
      </c>
      <c r="E3366" s="120">
        <f t="shared" si="1276"/>
        <v>12</v>
      </c>
      <c r="F3366" s="275">
        <f t="shared" si="1277"/>
        <v>47103.5</v>
      </c>
      <c r="G3366" s="120">
        <f t="shared" si="1278"/>
        <v>24347</v>
      </c>
      <c r="H3366" s="245">
        <f t="shared" si="1279"/>
        <v>1</v>
      </c>
      <c r="I3366" s="121">
        <f t="shared" si="1280"/>
        <v>1.02</v>
      </c>
      <c r="J3366" s="121">
        <f t="shared" si="1281"/>
        <v>1.02</v>
      </c>
      <c r="K3366" s="120">
        <f t="shared" si="1282"/>
        <v>0</v>
      </c>
      <c r="L3366" s="120">
        <f t="shared" si="1283"/>
        <v>0</v>
      </c>
      <c r="M3366" s="246">
        <f t="shared" si="1284"/>
        <v>0</v>
      </c>
      <c r="N3366" s="121">
        <f t="shared" si="1285"/>
        <v>1.02</v>
      </c>
      <c r="O3366" s="246">
        <f t="shared" si="1286"/>
        <v>0.92500000000000004</v>
      </c>
      <c r="P3366" s="121">
        <f t="shared" si="1287"/>
        <v>0</v>
      </c>
      <c r="Q3366" s="121">
        <f t="shared" si="1288"/>
        <v>0</v>
      </c>
      <c r="R3366" s="121">
        <f t="shared" si="1289"/>
        <v>8.3333333333333329E-2</v>
      </c>
      <c r="S3366" s="121" t="str">
        <f t="shared" si="1290"/>
        <v/>
      </c>
      <c r="T3366" s="121" t="str">
        <f t="shared" si="1291"/>
        <v/>
      </c>
      <c r="U3366" s="121">
        <f t="shared" si="1292"/>
        <v>1.02</v>
      </c>
    </row>
    <row r="3367" spans="1:21" x14ac:dyDescent="0.3">
      <c r="A3367" s="6" t="s">
        <v>1651</v>
      </c>
      <c r="B3367" s="73">
        <f>EXP(SUMPRODUCT((rl_key=$A$3316)*(rl_cons="Y")*rl_ln1p))</f>
        <v>1.02</v>
      </c>
      <c r="C3367" s="73">
        <f>SUMPRODUCT($H$3319:$H$3366,$P$3319:$P$3366,$U$3319:$U$3366)/SUMPRODUCT($H$3319:$H$3366,$P$3319:$P$3366)</f>
        <v>1.0150000000000001</v>
      </c>
      <c r="D3367" s="73">
        <f>SUMPRODUCT($H$3319:$H$3366,$Q$3319:$Q$3366,$U$3319:$U$3366)/SUMPRODUCT($H$3319:$H$3366,$Q$3319:$Q$3366)</f>
        <v>1.0200000000000002</v>
      </c>
      <c r="E3367" s="73">
        <f>SUMPRODUCT($H$3319:$H$3366,$R$3319:$R$3366,$U$3319:$U$3366)/SUMPRODUCT($H$3319:$H$3366,$R$3319:$R$3366)</f>
        <v>1.0200000000000002</v>
      </c>
      <c r="F3367" s="224">
        <f>SUMPRODUCT($H$3319:$H$3366,$Q$3319:$Q$3366,$O$3319:$O$3366)/SUMPRODUCT($H$3319:$H$3366,$Q$3319:$Q$3366)</f>
        <v>0.91598878555798668</v>
      </c>
      <c r="G3367" s="224">
        <f>SUMPRODUCT($H$3319:$H$3366,$R$3319:$R$3366,$O$3319:$O$3366)/SUMPRODUCT($H$3319:$H$3366,$R$3319:$R$3366)</f>
        <v>0.92449033552151683</v>
      </c>
      <c r="H3367" s="73">
        <f>SUMPRODUCT($H$3343:$H$3354,$N$3343:$N$3354/$N$3331:$N$3342)/SUM($H$3343:$H$3354)</f>
        <v>1</v>
      </c>
      <c r="I3367" s="73">
        <f>SUMPRODUCT($H$3343:$H$3354,$O$3343:$O$3354/$O$3331:$O$3342)/SUM($H$3343:$H$3354)</f>
        <v>1.0132088564102013</v>
      </c>
      <c r="J3367" s="73">
        <f>IF($O$3316=1,SUMPRODUCT($H$3343:$H$3354,$N$3343:$N$3354/$N$3331:$N$3342*$O$3343:$O$3354/$O$3331:$O$3342)/SUM($H$3343:$H$3354),$H3367)</f>
        <v>1.0132088564102013</v>
      </c>
      <c r="K3367" s="73">
        <f>SUMPRODUCT($H$3319:$H$3366,$Q$3319:$Q$3366,$N$3319:$N$3366)/SUMPRODUCT($H$3319:$H$3366,$Q$3319:$Q$3366)</f>
        <v>1.0200000000000002</v>
      </c>
      <c r="L3367" s="73">
        <f>SUMPRODUCT($H$3319:$H$3366,$R$3319:$R$3366,$N$3319:$N$3366)/SUMPRODUCT($H$3319:$H$3366,$R$3319:$R$3366)</f>
        <v>1.0200000000000002</v>
      </c>
    </row>
    <row r="3370" spans="1:21" x14ac:dyDescent="0.3">
      <c r="A3370" s="6" t="str">
        <f>INDEX(lr_key,62)</f>
        <v>SBA|WV</v>
      </c>
      <c r="B3370" s="6" t="str">
        <f>INDEX(lr_state,62)</f>
        <v>WV</v>
      </c>
      <c r="C3370" s="75">
        <f>nr_TermMonths</f>
        <v>6</v>
      </c>
      <c r="D3370" s="75">
        <f>IF(COUNTIF(se_state,$B3370)=0,0,MATCH($B3370,se_state,0))</f>
        <v>0</v>
      </c>
      <c r="E3370" s="70">
        <f>IF($D3370=0,0,INDEX(se_sum,$D3370))</f>
        <v>0</v>
      </c>
      <c r="F3370" s="224">
        <f>IF(N(INDEX(lr_mind,62))=0,1,INDEX(lr_mind,62))</f>
        <v>0.92</v>
      </c>
      <c r="G3370" s="224">
        <f>IF(N(INDEX(lr_m0,62))=0,1,INDEX(lr_m0,62))</f>
        <v>0.91</v>
      </c>
      <c r="H3370" s="74">
        <f>IF(N(INDEX(lr_m0asof,62))=0,DATE(nr_PlanYear-1,10,1),INDEX(lr_m0asof,62))</f>
        <v>46295</v>
      </c>
      <c r="I3370" s="224">
        <f>IF(N(INDEX(lr_m1,62))=0,1,INDEX(lr_m1,62))</f>
        <v>0.90500000000000003</v>
      </c>
      <c r="J3370" s="224">
        <f>INDEX(lr_mprior,62)</f>
        <v>0</v>
      </c>
      <c r="K3370" s="224">
        <f>INDEX(lr_m2,62)</f>
        <v>0</v>
      </c>
      <c r="L3370" s="6" t="b">
        <f>NOT(ISBLANK(INDEX(lr_netp,62)))</f>
        <v>0</v>
      </c>
      <c r="M3370" s="72">
        <f>N(INDEX(lr_netp,62))</f>
        <v>0</v>
      </c>
      <c r="N3370" s="72">
        <f>IF(ISBLANK(INDEX(lr_netp1,62)),$M$3370,N(INDEX(lr_netp1,62)))</f>
        <v>0</v>
      </c>
      <c r="O3370" s="75">
        <f>IF(AND(nr_ModAdjMaster="ON",INDEX(lr_modadj,62)="ON"),1,0)</f>
        <v>1</v>
      </c>
    </row>
    <row r="3371" spans="1:21" x14ac:dyDescent="0.3">
      <c r="A3371" s="6">
        <f>EDATE($H$3370,-12)+1</f>
        <v>45931</v>
      </c>
      <c r="B3371" s="6">
        <f>$H$3370+1</f>
        <v>46296</v>
      </c>
      <c r="C3371" s="6">
        <f>DATE(nr_PlanYear,12,31)+1</f>
        <v>46753</v>
      </c>
      <c r="D3371" s="6">
        <f>DATE(nr_PlanYear+1,12,31)+1</f>
        <v>47119</v>
      </c>
      <c r="E3371" s="6">
        <f>IF(N($J$3370)=0,$F$3371-($G$3371-$F$3371)/($C$3371-$B$3371)*($B$3371-$A$3371),$J$3370)</f>
        <v>0.9139934354485777</v>
      </c>
      <c r="F3371" s="6">
        <f>$G$3370</f>
        <v>0.91</v>
      </c>
      <c r="G3371" s="6">
        <f>$I$3370</f>
        <v>0.90500000000000003</v>
      </c>
      <c r="H3371" s="6">
        <f>IF(N($K$3370)=0,$I$3370,$K$3370)</f>
        <v>0.90500000000000003</v>
      </c>
      <c r="I3371" s="6">
        <f>($F$3371-$E$3371)/($B$3371-$A$3371)</f>
        <v>-1.0940919037199081E-5</v>
      </c>
      <c r="J3371" s="6">
        <f>($G$3371-$F$3371)/($C$3371-$B$3371)</f>
        <v>-1.0940919037199135E-5</v>
      </c>
      <c r="K3371" s="6">
        <f>($H$3371-$G$3371)/($D$3371-$C$3371)</f>
        <v>0</v>
      </c>
    </row>
    <row r="3372" spans="1:21" ht="36" x14ac:dyDescent="0.3">
      <c r="A3372" s="58" t="s">
        <v>390</v>
      </c>
      <c r="B3372" s="58" t="s">
        <v>449</v>
      </c>
      <c r="C3372" s="58" t="s">
        <v>685</v>
      </c>
      <c r="D3372" s="58" t="s">
        <v>686</v>
      </c>
      <c r="E3372" s="58" t="s">
        <v>687</v>
      </c>
      <c r="F3372" s="58" t="s">
        <v>688</v>
      </c>
      <c r="G3372" s="58" t="s">
        <v>689</v>
      </c>
      <c r="H3372" s="58" t="s">
        <v>452</v>
      </c>
      <c r="I3372" s="58" t="s">
        <v>690</v>
      </c>
      <c r="J3372" s="58" t="s">
        <v>691</v>
      </c>
      <c r="K3372" s="58" t="s">
        <v>692</v>
      </c>
      <c r="L3372" s="58" t="s">
        <v>693</v>
      </c>
      <c r="M3372" s="58" t="s">
        <v>694</v>
      </c>
      <c r="N3372" s="58" t="s">
        <v>695</v>
      </c>
      <c r="O3372" s="58" t="s">
        <v>696</v>
      </c>
      <c r="P3372" s="58" t="s">
        <v>697</v>
      </c>
      <c r="Q3372" s="58" t="s">
        <v>698</v>
      </c>
      <c r="R3372" s="58" t="s">
        <v>699</v>
      </c>
      <c r="S3372" s="58" t="s">
        <v>700</v>
      </c>
      <c r="T3372" s="58" t="s">
        <v>701</v>
      </c>
      <c r="U3372" s="58" t="s">
        <v>702</v>
      </c>
    </row>
    <row r="3373" spans="1:21" x14ac:dyDescent="0.3">
      <c r="A3373" s="187">
        <v>1</v>
      </c>
      <c r="B3373" s="242">
        <f>DATE(nr_PlanYear-2,1,1)</f>
        <v>45658</v>
      </c>
      <c r="C3373" s="243">
        <f t="shared" ref="C3373:C3420" si="1294">EOMONTH($B3373,0)</f>
        <v>45688</v>
      </c>
      <c r="D3373" s="120">
        <f t="shared" ref="D3373:D3420" si="1295">$C3373-$B3373+1</f>
        <v>31</v>
      </c>
      <c r="E3373" s="120">
        <f t="shared" ref="E3373:E3420" si="1296">MONTH($B3373)</f>
        <v>1</v>
      </c>
      <c r="F3373" s="275">
        <f t="shared" ref="F3373:F3420" si="1297">($B3373+$C3373+1)/2</f>
        <v>45673.5</v>
      </c>
      <c r="G3373" s="120">
        <f t="shared" ref="G3373:G3420" si="1298">YEAR($B3373)*12+MONTH($B3373)-1</f>
        <v>24300</v>
      </c>
      <c r="H3373" s="245">
        <f t="shared" ref="H3373:H3420" si="1299">IF(OR(nr_SeasonOn="OFF",$D$3370=0,$E$3370=0),1,12*INDEX(se_block,$D$3370,$E3373)/$E$3370)</f>
        <v>1</v>
      </c>
      <c r="I3373" s="121">
        <f t="shared" ref="I3373:I3420" si="1300">EXP(SUMPRODUCT((rl_eff&lt;$B3373)*(rl_key=$A$3370)*rl_ln1p))</f>
        <v>1</v>
      </c>
      <c r="J3373" s="121">
        <f t="shared" ref="J3373:J3420" si="1301">EXP(SUMPRODUCT((rl_eff&lt;=$C3373)*(rl_key=$A$3370)*rl_ln1p))</f>
        <v>1</v>
      </c>
      <c r="K3373" s="120">
        <f t="shared" ref="K3373:K3420" si="1302">COUNTIFS(rl_key,$A$3370,rl_eff,"&gt;="&amp;$B3373,rl_eff,"&lt;="&amp;$C3373)</f>
        <v>0</v>
      </c>
      <c r="L3373" s="120">
        <f t="shared" ref="L3373:L3420" si="1303">SUMIFS(rl_daysafter,rl_key,$A$3370,rl_effmonth,$B3373,rl_first,1)</f>
        <v>0</v>
      </c>
      <c r="M3373" s="246">
        <f t="shared" ref="M3373:M3420" si="1304">IF($K3373=0,0,MIN(1,$L3373/$D3373))</f>
        <v>0</v>
      </c>
      <c r="N3373" s="121">
        <f t="shared" ref="N3373:N3420" si="1305">IF($K3373=0,$J3373,(1-$M3373)*$I3373+$M3373*$J3373)</f>
        <v>1</v>
      </c>
      <c r="O3373" s="246">
        <f t="shared" ref="O3373:O3420" si="1306">IF($F3373&lt;$B$3371,$E$3371+$I$3371*($F3373-$A$3371),IF($F3373&lt;$C$3371,$F$3371+$J$3371*($F3373-$B$3371),$G$3371+$K$3371*($F3373-$C$3371)))</f>
        <v>0.91681072210065651</v>
      </c>
      <c r="P3373" s="121">
        <f t="shared" ref="P3373:P3420" si="1307">MIN(1,MAX(0,(nr_MEndPm1-$G3373+0.5)/$C$3370))-MIN(1,MAX(0,(nr_MStartPm1-1-$G3373+0.5)/$C$3370))</f>
        <v>0</v>
      </c>
      <c r="Q3373" s="121">
        <f t="shared" ref="Q3373:Q3420" si="1308">MIN(1,MAX(0,(nr_MEndP-$G3373+0.5)/$C$3370))-MIN(1,MAX(0,(nr_MStartP-1-$G3373+0.5)/$C$3370))</f>
        <v>0</v>
      </c>
      <c r="R3373" s="121">
        <f t="shared" ref="R3373:R3420" si="1309">MIN(1,MAX(0,(nr_MEndP1-$G3373+0.5)/$C$3370))-MIN(1,MAX(0,(nr_MStartP1-1-$G3373+0.5)/$C$3370))</f>
        <v>0</v>
      </c>
      <c r="S3373" s="121" t="str">
        <f t="shared" ref="S3373:S3420" si="1310">IF($L$3370,$N3373*IF($O$3370=1,$O3373/$F$3370,1),"")</f>
        <v/>
      </c>
      <c r="T3373" s="121" t="str">
        <f t="shared" ref="T3373:T3420" si="1311">IF(NOT($L$3370),"",IF($G3373&lt;nr_MStartP,$S3373,$T3361*(1+IF($G3373&lt;nr_MStartP1,$M$3370,$N$3370))))</f>
        <v/>
      </c>
      <c r="U3373" s="121">
        <f t="shared" ref="U3373:U3420" si="1312">IF($L$3370,$T3373,$N3373)</f>
        <v>1</v>
      </c>
    </row>
    <row r="3374" spans="1:21" x14ac:dyDescent="0.3">
      <c r="A3374" s="187">
        <v>2</v>
      </c>
      <c r="B3374" s="242">
        <f t="shared" ref="B3374:B3420" si="1313">EDATE($B3373,1)</f>
        <v>45689</v>
      </c>
      <c r="C3374" s="243">
        <f t="shared" si="1294"/>
        <v>45716</v>
      </c>
      <c r="D3374" s="120">
        <f t="shared" si="1295"/>
        <v>28</v>
      </c>
      <c r="E3374" s="120">
        <f t="shared" si="1296"/>
        <v>2</v>
      </c>
      <c r="F3374" s="275">
        <f t="shared" si="1297"/>
        <v>45703</v>
      </c>
      <c r="G3374" s="120">
        <f t="shared" si="1298"/>
        <v>24301</v>
      </c>
      <c r="H3374" s="245">
        <f t="shared" si="1299"/>
        <v>1</v>
      </c>
      <c r="I3374" s="121">
        <f t="shared" si="1300"/>
        <v>1</v>
      </c>
      <c r="J3374" s="121">
        <f t="shared" si="1301"/>
        <v>1</v>
      </c>
      <c r="K3374" s="120">
        <f t="shared" si="1302"/>
        <v>0</v>
      </c>
      <c r="L3374" s="120">
        <f t="shared" si="1303"/>
        <v>0</v>
      </c>
      <c r="M3374" s="246">
        <f t="shared" si="1304"/>
        <v>0</v>
      </c>
      <c r="N3374" s="121">
        <f t="shared" si="1305"/>
        <v>1</v>
      </c>
      <c r="O3374" s="246">
        <f t="shared" si="1306"/>
        <v>0.91648796498905905</v>
      </c>
      <c r="P3374" s="121">
        <f t="shared" si="1307"/>
        <v>0</v>
      </c>
      <c r="Q3374" s="121">
        <f t="shared" si="1308"/>
        <v>0</v>
      </c>
      <c r="R3374" s="121">
        <f t="shared" si="1309"/>
        <v>0</v>
      </c>
      <c r="S3374" s="121" t="str">
        <f t="shared" si="1310"/>
        <v/>
      </c>
      <c r="T3374" s="121" t="str">
        <f t="shared" si="1311"/>
        <v/>
      </c>
      <c r="U3374" s="121">
        <f t="shared" si="1312"/>
        <v>1</v>
      </c>
    </row>
    <row r="3375" spans="1:21" x14ac:dyDescent="0.3">
      <c r="A3375" s="187">
        <v>3</v>
      </c>
      <c r="B3375" s="242">
        <f t="shared" si="1313"/>
        <v>45717</v>
      </c>
      <c r="C3375" s="243">
        <f t="shared" si="1294"/>
        <v>45747</v>
      </c>
      <c r="D3375" s="120">
        <f t="shared" si="1295"/>
        <v>31</v>
      </c>
      <c r="E3375" s="120">
        <f t="shared" si="1296"/>
        <v>3</v>
      </c>
      <c r="F3375" s="275">
        <f t="shared" si="1297"/>
        <v>45732.5</v>
      </c>
      <c r="G3375" s="120">
        <f t="shared" si="1298"/>
        <v>24302</v>
      </c>
      <c r="H3375" s="245">
        <f t="shared" si="1299"/>
        <v>1</v>
      </c>
      <c r="I3375" s="121">
        <f t="shared" si="1300"/>
        <v>1</v>
      </c>
      <c r="J3375" s="121">
        <f t="shared" si="1301"/>
        <v>1</v>
      </c>
      <c r="K3375" s="120">
        <f t="shared" si="1302"/>
        <v>0</v>
      </c>
      <c r="L3375" s="120">
        <f t="shared" si="1303"/>
        <v>0</v>
      </c>
      <c r="M3375" s="246">
        <f t="shared" si="1304"/>
        <v>0</v>
      </c>
      <c r="N3375" s="121">
        <f t="shared" si="1305"/>
        <v>1</v>
      </c>
      <c r="O3375" s="246">
        <f t="shared" si="1306"/>
        <v>0.9161652078774617</v>
      </c>
      <c r="P3375" s="121">
        <f t="shared" si="1307"/>
        <v>0</v>
      </c>
      <c r="Q3375" s="121">
        <f t="shared" si="1308"/>
        <v>0</v>
      </c>
      <c r="R3375" s="121">
        <f t="shared" si="1309"/>
        <v>0</v>
      </c>
      <c r="S3375" s="121" t="str">
        <f t="shared" si="1310"/>
        <v/>
      </c>
      <c r="T3375" s="121" t="str">
        <f t="shared" si="1311"/>
        <v/>
      </c>
      <c r="U3375" s="121">
        <f t="shared" si="1312"/>
        <v>1</v>
      </c>
    </row>
    <row r="3376" spans="1:21" x14ac:dyDescent="0.3">
      <c r="A3376" s="187">
        <v>4</v>
      </c>
      <c r="B3376" s="242">
        <f t="shared" si="1313"/>
        <v>45748</v>
      </c>
      <c r="C3376" s="243">
        <f t="shared" si="1294"/>
        <v>45777</v>
      </c>
      <c r="D3376" s="120">
        <f t="shared" si="1295"/>
        <v>30</v>
      </c>
      <c r="E3376" s="120">
        <f t="shared" si="1296"/>
        <v>4</v>
      </c>
      <c r="F3376" s="275">
        <f t="shared" si="1297"/>
        <v>45763</v>
      </c>
      <c r="G3376" s="120">
        <f t="shared" si="1298"/>
        <v>24303</v>
      </c>
      <c r="H3376" s="245">
        <f t="shared" si="1299"/>
        <v>1</v>
      </c>
      <c r="I3376" s="121">
        <f t="shared" si="1300"/>
        <v>1</v>
      </c>
      <c r="J3376" s="121">
        <f t="shared" si="1301"/>
        <v>1</v>
      </c>
      <c r="K3376" s="120">
        <f t="shared" si="1302"/>
        <v>0</v>
      </c>
      <c r="L3376" s="120">
        <f t="shared" si="1303"/>
        <v>0</v>
      </c>
      <c r="M3376" s="246">
        <f t="shared" si="1304"/>
        <v>0</v>
      </c>
      <c r="N3376" s="121">
        <f t="shared" si="1305"/>
        <v>1</v>
      </c>
      <c r="O3376" s="246">
        <f t="shared" si="1306"/>
        <v>0.91583150984682715</v>
      </c>
      <c r="P3376" s="121">
        <f t="shared" si="1307"/>
        <v>0</v>
      </c>
      <c r="Q3376" s="121">
        <f t="shared" si="1308"/>
        <v>0</v>
      </c>
      <c r="R3376" s="121">
        <f t="shared" si="1309"/>
        <v>0</v>
      </c>
      <c r="S3376" s="121" t="str">
        <f t="shared" si="1310"/>
        <v/>
      </c>
      <c r="T3376" s="121" t="str">
        <f t="shared" si="1311"/>
        <v/>
      </c>
      <c r="U3376" s="121">
        <f t="shared" si="1312"/>
        <v>1</v>
      </c>
    </row>
    <row r="3377" spans="1:21" x14ac:dyDescent="0.3">
      <c r="A3377" s="187">
        <v>5</v>
      </c>
      <c r="B3377" s="242">
        <f t="shared" si="1313"/>
        <v>45778</v>
      </c>
      <c r="C3377" s="243">
        <f t="shared" si="1294"/>
        <v>45808</v>
      </c>
      <c r="D3377" s="120">
        <f t="shared" si="1295"/>
        <v>31</v>
      </c>
      <c r="E3377" s="120">
        <f t="shared" si="1296"/>
        <v>5</v>
      </c>
      <c r="F3377" s="275">
        <f t="shared" si="1297"/>
        <v>45793.5</v>
      </c>
      <c r="G3377" s="120">
        <f t="shared" si="1298"/>
        <v>24304</v>
      </c>
      <c r="H3377" s="245">
        <f t="shared" si="1299"/>
        <v>1</v>
      </c>
      <c r="I3377" s="121">
        <f t="shared" si="1300"/>
        <v>1</v>
      </c>
      <c r="J3377" s="121">
        <f t="shared" si="1301"/>
        <v>1</v>
      </c>
      <c r="K3377" s="120">
        <f t="shared" si="1302"/>
        <v>0</v>
      </c>
      <c r="L3377" s="120">
        <f t="shared" si="1303"/>
        <v>0</v>
      </c>
      <c r="M3377" s="246">
        <f t="shared" si="1304"/>
        <v>0</v>
      </c>
      <c r="N3377" s="121">
        <f t="shared" si="1305"/>
        <v>1</v>
      </c>
      <c r="O3377" s="246">
        <f t="shared" si="1306"/>
        <v>0.91549781181619261</v>
      </c>
      <c r="P3377" s="121">
        <f t="shared" si="1307"/>
        <v>0</v>
      </c>
      <c r="Q3377" s="121">
        <f t="shared" si="1308"/>
        <v>0</v>
      </c>
      <c r="R3377" s="121">
        <f t="shared" si="1309"/>
        <v>0</v>
      </c>
      <c r="S3377" s="121" t="str">
        <f t="shared" si="1310"/>
        <v/>
      </c>
      <c r="T3377" s="121" t="str">
        <f t="shared" si="1311"/>
        <v/>
      </c>
      <c r="U3377" s="121">
        <f t="shared" si="1312"/>
        <v>1</v>
      </c>
    </row>
    <row r="3378" spans="1:21" x14ac:dyDescent="0.3">
      <c r="A3378" s="187">
        <v>6</v>
      </c>
      <c r="B3378" s="242">
        <f t="shared" si="1313"/>
        <v>45809</v>
      </c>
      <c r="C3378" s="243">
        <f t="shared" si="1294"/>
        <v>45838</v>
      </c>
      <c r="D3378" s="120">
        <f t="shared" si="1295"/>
        <v>30</v>
      </c>
      <c r="E3378" s="120">
        <f t="shared" si="1296"/>
        <v>6</v>
      </c>
      <c r="F3378" s="275">
        <f t="shared" si="1297"/>
        <v>45824</v>
      </c>
      <c r="G3378" s="120">
        <f t="shared" si="1298"/>
        <v>24305</v>
      </c>
      <c r="H3378" s="245">
        <f t="shared" si="1299"/>
        <v>1</v>
      </c>
      <c r="I3378" s="121">
        <f t="shared" si="1300"/>
        <v>1</v>
      </c>
      <c r="J3378" s="121">
        <f t="shared" si="1301"/>
        <v>1</v>
      </c>
      <c r="K3378" s="120">
        <f t="shared" si="1302"/>
        <v>0</v>
      </c>
      <c r="L3378" s="120">
        <f t="shared" si="1303"/>
        <v>0</v>
      </c>
      <c r="M3378" s="246">
        <f t="shared" si="1304"/>
        <v>0</v>
      </c>
      <c r="N3378" s="121">
        <f t="shared" si="1305"/>
        <v>1</v>
      </c>
      <c r="O3378" s="246">
        <f t="shared" si="1306"/>
        <v>0.91516411378555795</v>
      </c>
      <c r="P3378" s="121">
        <f t="shared" si="1307"/>
        <v>0</v>
      </c>
      <c r="Q3378" s="121">
        <f t="shared" si="1308"/>
        <v>0</v>
      </c>
      <c r="R3378" s="121">
        <f t="shared" si="1309"/>
        <v>0</v>
      </c>
      <c r="S3378" s="121" t="str">
        <f t="shared" si="1310"/>
        <v/>
      </c>
      <c r="T3378" s="121" t="str">
        <f t="shared" si="1311"/>
        <v/>
      </c>
      <c r="U3378" s="121">
        <f t="shared" si="1312"/>
        <v>1</v>
      </c>
    </row>
    <row r="3379" spans="1:21" x14ac:dyDescent="0.3">
      <c r="A3379" s="187">
        <v>7</v>
      </c>
      <c r="B3379" s="242">
        <f t="shared" si="1313"/>
        <v>45839</v>
      </c>
      <c r="C3379" s="243">
        <f t="shared" si="1294"/>
        <v>45869</v>
      </c>
      <c r="D3379" s="120">
        <f t="shared" si="1295"/>
        <v>31</v>
      </c>
      <c r="E3379" s="120">
        <f t="shared" si="1296"/>
        <v>7</v>
      </c>
      <c r="F3379" s="275">
        <f t="shared" si="1297"/>
        <v>45854.5</v>
      </c>
      <c r="G3379" s="120">
        <f t="shared" si="1298"/>
        <v>24306</v>
      </c>
      <c r="H3379" s="245">
        <f t="shared" si="1299"/>
        <v>1</v>
      </c>
      <c r="I3379" s="121">
        <f t="shared" si="1300"/>
        <v>1</v>
      </c>
      <c r="J3379" s="121">
        <f t="shared" si="1301"/>
        <v>1</v>
      </c>
      <c r="K3379" s="120">
        <f t="shared" si="1302"/>
        <v>0</v>
      </c>
      <c r="L3379" s="120">
        <f t="shared" si="1303"/>
        <v>0</v>
      </c>
      <c r="M3379" s="246">
        <f t="shared" si="1304"/>
        <v>0</v>
      </c>
      <c r="N3379" s="121">
        <f t="shared" si="1305"/>
        <v>1</v>
      </c>
      <c r="O3379" s="246">
        <f t="shared" si="1306"/>
        <v>0.91483041575492341</v>
      </c>
      <c r="P3379" s="121">
        <f t="shared" si="1307"/>
        <v>8.333333333333337E-2</v>
      </c>
      <c r="Q3379" s="121">
        <f t="shared" si="1308"/>
        <v>0</v>
      </c>
      <c r="R3379" s="121">
        <f t="shared" si="1309"/>
        <v>0</v>
      </c>
      <c r="S3379" s="121" t="str">
        <f t="shared" si="1310"/>
        <v/>
      </c>
      <c r="T3379" s="121" t="str">
        <f t="shared" si="1311"/>
        <v/>
      </c>
      <c r="U3379" s="121">
        <f t="shared" si="1312"/>
        <v>1</v>
      </c>
    </row>
    <row r="3380" spans="1:21" x14ac:dyDescent="0.3">
      <c r="A3380" s="187">
        <v>8</v>
      </c>
      <c r="B3380" s="242">
        <f t="shared" si="1313"/>
        <v>45870</v>
      </c>
      <c r="C3380" s="243">
        <f t="shared" si="1294"/>
        <v>45900</v>
      </c>
      <c r="D3380" s="120">
        <f t="shared" si="1295"/>
        <v>31</v>
      </c>
      <c r="E3380" s="120">
        <f t="shared" si="1296"/>
        <v>8</v>
      </c>
      <c r="F3380" s="275">
        <f t="shared" si="1297"/>
        <v>45885.5</v>
      </c>
      <c r="G3380" s="120">
        <f t="shared" si="1298"/>
        <v>24307</v>
      </c>
      <c r="H3380" s="245">
        <f t="shared" si="1299"/>
        <v>1</v>
      </c>
      <c r="I3380" s="121">
        <f t="shared" si="1300"/>
        <v>1</v>
      </c>
      <c r="J3380" s="121">
        <f t="shared" si="1301"/>
        <v>1</v>
      </c>
      <c r="K3380" s="120">
        <f t="shared" si="1302"/>
        <v>0</v>
      </c>
      <c r="L3380" s="120">
        <f t="shared" si="1303"/>
        <v>0</v>
      </c>
      <c r="M3380" s="246">
        <f t="shared" si="1304"/>
        <v>0</v>
      </c>
      <c r="N3380" s="121">
        <f t="shared" si="1305"/>
        <v>1</v>
      </c>
      <c r="O3380" s="246">
        <f t="shared" si="1306"/>
        <v>0.91449124726477027</v>
      </c>
      <c r="P3380" s="121">
        <f t="shared" si="1307"/>
        <v>0.25</v>
      </c>
      <c r="Q3380" s="121">
        <f t="shared" si="1308"/>
        <v>0</v>
      </c>
      <c r="R3380" s="121">
        <f t="shared" si="1309"/>
        <v>0</v>
      </c>
      <c r="S3380" s="121" t="str">
        <f t="shared" si="1310"/>
        <v/>
      </c>
      <c r="T3380" s="121" t="str">
        <f t="shared" si="1311"/>
        <v/>
      </c>
      <c r="U3380" s="121">
        <f t="shared" si="1312"/>
        <v>1</v>
      </c>
    </row>
    <row r="3381" spans="1:21" x14ac:dyDescent="0.3">
      <c r="A3381" s="187">
        <v>9</v>
      </c>
      <c r="B3381" s="242">
        <f t="shared" si="1313"/>
        <v>45901</v>
      </c>
      <c r="C3381" s="243">
        <f t="shared" si="1294"/>
        <v>45930</v>
      </c>
      <c r="D3381" s="120">
        <f t="shared" si="1295"/>
        <v>30</v>
      </c>
      <c r="E3381" s="120">
        <f t="shared" si="1296"/>
        <v>9</v>
      </c>
      <c r="F3381" s="275">
        <f t="shared" si="1297"/>
        <v>45916</v>
      </c>
      <c r="G3381" s="120">
        <f t="shared" si="1298"/>
        <v>24308</v>
      </c>
      <c r="H3381" s="245">
        <f t="shared" si="1299"/>
        <v>1</v>
      </c>
      <c r="I3381" s="121">
        <f t="shared" si="1300"/>
        <v>1</v>
      </c>
      <c r="J3381" s="121">
        <f t="shared" si="1301"/>
        <v>1</v>
      </c>
      <c r="K3381" s="120">
        <f t="shared" si="1302"/>
        <v>0</v>
      </c>
      <c r="L3381" s="120">
        <f t="shared" si="1303"/>
        <v>0</v>
      </c>
      <c r="M3381" s="246">
        <f t="shared" si="1304"/>
        <v>0</v>
      </c>
      <c r="N3381" s="121">
        <f t="shared" si="1305"/>
        <v>1</v>
      </c>
      <c r="O3381" s="246">
        <f t="shared" si="1306"/>
        <v>0.91415754923413572</v>
      </c>
      <c r="P3381" s="121">
        <f t="shared" si="1307"/>
        <v>0.41666666666666663</v>
      </c>
      <c r="Q3381" s="121">
        <f t="shared" si="1308"/>
        <v>0</v>
      </c>
      <c r="R3381" s="121">
        <f t="shared" si="1309"/>
        <v>0</v>
      </c>
      <c r="S3381" s="121" t="str">
        <f t="shared" si="1310"/>
        <v/>
      </c>
      <c r="T3381" s="121" t="str">
        <f t="shared" si="1311"/>
        <v/>
      </c>
      <c r="U3381" s="121">
        <f t="shared" si="1312"/>
        <v>1</v>
      </c>
    </row>
    <row r="3382" spans="1:21" x14ac:dyDescent="0.3">
      <c r="A3382" s="187">
        <v>10</v>
      </c>
      <c r="B3382" s="242">
        <f t="shared" si="1313"/>
        <v>45931</v>
      </c>
      <c r="C3382" s="243">
        <f t="shared" si="1294"/>
        <v>45961</v>
      </c>
      <c r="D3382" s="120">
        <f t="shared" si="1295"/>
        <v>31</v>
      </c>
      <c r="E3382" s="120">
        <f t="shared" si="1296"/>
        <v>10</v>
      </c>
      <c r="F3382" s="275">
        <f t="shared" si="1297"/>
        <v>45946.5</v>
      </c>
      <c r="G3382" s="120">
        <f t="shared" si="1298"/>
        <v>24309</v>
      </c>
      <c r="H3382" s="245">
        <f t="shared" si="1299"/>
        <v>1</v>
      </c>
      <c r="I3382" s="121">
        <f t="shared" si="1300"/>
        <v>1</v>
      </c>
      <c r="J3382" s="121">
        <f t="shared" si="1301"/>
        <v>1</v>
      </c>
      <c r="K3382" s="120">
        <f t="shared" si="1302"/>
        <v>0</v>
      </c>
      <c r="L3382" s="120">
        <f t="shared" si="1303"/>
        <v>0</v>
      </c>
      <c r="M3382" s="246">
        <f t="shared" si="1304"/>
        <v>0</v>
      </c>
      <c r="N3382" s="121">
        <f t="shared" si="1305"/>
        <v>1</v>
      </c>
      <c r="O3382" s="246">
        <f t="shared" si="1306"/>
        <v>0.91382385120350107</v>
      </c>
      <c r="P3382" s="121">
        <f t="shared" si="1307"/>
        <v>0.58333333333333326</v>
      </c>
      <c r="Q3382" s="121">
        <f t="shared" si="1308"/>
        <v>0</v>
      </c>
      <c r="R3382" s="121">
        <f t="shared" si="1309"/>
        <v>0</v>
      </c>
      <c r="S3382" s="121" t="str">
        <f t="shared" si="1310"/>
        <v/>
      </c>
      <c r="T3382" s="121" t="str">
        <f t="shared" si="1311"/>
        <v/>
      </c>
      <c r="U3382" s="121">
        <f t="shared" si="1312"/>
        <v>1</v>
      </c>
    </row>
    <row r="3383" spans="1:21" x14ac:dyDescent="0.3">
      <c r="A3383" s="187">
        <v>11</v>
      </c>
      <c r="B3383" s="242">
        <f t="shared" si="1313"/>
        <v>45962</v>
      </c>
      <c r="C3383" s="243">
        <f t="shared" si="1294"/>
        <v>45991</v>
      </c>
      <c r="D3383" s="120">
        <f t="shared" si="1295"/>
        <v>30</v>
      </c>
      <c r="E3383" s="120">
        <f t="shared" si="1296"/>
        <v>11</v>
      </c>
      <c r="F3383" s="275">
        <f t="shared" si="1297"/>
        <v>45977</v>
      </c>
      <c r="G3383" s="120">
        <f t="shared" si="1298"/>
        <v>24310</v>
      </c>
      <c r="H3383" s="245">
        <f t="shared" si="1299"/>
        <v>1</v>
      </c>
      <c r="I3383" s="121">
        <f t="shared" si="1300"/>
        <v>1</v>
      </c>
      <c r="J3383" s="121">
        <f t="shared" si="1301"/>
        <v>1</v>
      </c>
      <c r="K3383" s="120">
        <f t="shared" si="1302"/>
        <v>0</v>
      </c>
      <c r="L3383" s="120">
        <f t="shared" si="1303"/>
        <v>0</v>
      </c>
      <c r="M3383" s="246">
        <f t="shared" si="1304"/>
        <v>0</v>
      </c>
      <c r="N3383" s="121">
        <f t="shared" si="1305"/>
        <v>1</v>
      </c>
      <c r="O3383" s="246">
        <f t="shared" si="1306"/>
        <v>0.91349015317286653</v>
      </c>
      <c r="P3383" s="121">
        <f t="shared" si="1307"/>
        <v>0.75</v>
      </c>
      <c r="Q3383" s="121">
        <f t="shared" si="1308"/>
        <v>0</v>
      </c>
      <c r="R3383" s="121">
        <f t="shared" si="1309"/>
        <v>0</v>
      </c>
      <c r="S3383" s="121" t="str">
        <f t="shared" si="1310"/>
        <v/>
      </c>
      <c r="T3383" s="121" t="str">
        <f t="shared" si="1311"/>
        <v/>
      </c>
      <c r="U3383" s="121">
        <f t="shared" si="1312"/>
        <v>1</v>
      </c>
    </row>
    <row r="3384" spans="1:21" x14ac:dyDescent="0.3">
      <c r="A3384" s="187">
        <v>12</v>
      </c>
      <c r="B3384" s="242">
        <f t="shared" si="1313"/>
        <v>45992</v>
      </c>
      <c r="C3384" s="243">
        <f t="shared" si="1294"/>
        <v>46022</v>
      </c>
      <c r="D3384" s="120">
        <f t="shared" si="1295"/>
        <v>31</v>
      </c>
      <c r="E3384" s="120">
        <f t="shared" si="1296"/>
        <v>12</v>
      </c>
      <c r="F3384" s="275">
        <f t="shared" si="1297"/>
        <v>46007.5</v>
      </c>
      <c r="G3384" s="120">
        <f t="shared" si="1298"/>
        <v>24311</v>
      </c>
      <c r="H3384" s="245">
        <f t="shared" si="1299"/>
        <v>1</v>
      </c>
      <c r="I3384" s="121">
        <f t="shared" si="1300"/>
        <v>1</v>
      </c>
      <c r="J3384" s="121">
        <f t="shared" si="1301"/>
        <v>1</v>
      </c>
      <c r="K3384" s="120">
        <f t="shared" si="1302"/>
        <v>0</v>
      </c>
      <c r="L3384" s="120">
        <f t="shared" si="1303"/>
        <v>0</v>
      </c>
      <c r="M3384" s="246">
        <f t="shared" si="1304"/>
        <v>0</v>
      </c>
      <c r="N3384" s="121">
        <f t="shared" si="1305"/>
        <v>1</v>
      </c>
      <c r="O3384" s="246">
        <f t="shared" si="1306"/>
        <v>0.91315645514223198</v>
      </c>
      <c r="P3384" s="121">
        <f t="shared" si="1307"/>
        <v>0.91666666666666663</v>
      </c>
      <c r="Q3384" s="121">
        <f t="shared" si="1308"/>
        <v>0</v>
      </c>
      <c r="R3384" s="121">
        <f t="shared" si="1309"/>
        <v>0</v>
      </c>
      <c r="S3384" s="121" t="str">
        <f t="shared" si="1310"/>
        <v/>
      </c>
      <c r="T3384" s="121" t="str">
        <f t="shared" si="1311"/>
        <v/>
      </c>
      <c r="U3384" s="121">
        <f t="shared" si="1312"/>
        <v>1</v>
      </c>
    </row>
    <row r="3385" spans="1:21" x14ac:dyDescent="0.3">
      <c r="A3385" s="187">
        <v>13</v>
      </c>
      <c r="B3385" s="242">
        <f t="shared" si="1313"/>
        <v>46023</v>
      </c>
      <c r="C3385" s="243">
        <f t="shared" si="1294"/>
        <v>46053</v>
      </c>
      <c r="D3385" s="120">
        <f t="shared" si="1295"/>
        <v>31</v>
      </c>
      <c r="E3385" s="120">
        <f t="shared" si="1296"/>
        <v>1</v>
      </c>
      <c r="F3385" s="275">
        <f t="shared" si="1297"/>
        <v>46038.5</v>
      </c>
      <c r="G3385" s="120">
        <f t="shared" si="1298"/>
        <v>24312</v>
      </c>
      <c r="H3385" s="245">
        <f t="shared" si="1299"/>
        <v>1</v>
      </c>
      <c r="I3385" s="121">
        <f t="shared" si="1300"/>
        <v>1</v>
      </c>
      <c r="J3385" s="121">
        <f t="shared" si="1301"/>
        <v>1</v>
      </c>
      <c r="K3385" s="120">
        <f t="shared" si="1302"/>
        <v>0</v>
      </c>
      <c r="L3385" s="120">
        <f t="shared" si="1303"/>
        <v>0</v>
      </c>
      <c r="M3385" s="246">
        <f t="shared" si="1304"/>
        <v>0</v>
      </c>
      <c r="N3385" s="121">
        <f t="shared" si="1305"/>
        <v>1</v>
      </c>
      <c r="O3385" s="246">
        <f t="shared" si="1306"/>
        <v>0.91281728665207884</v>
      </c>
      <c r="P3385" s="121">
        <f t="shared" si="1307"/>
        <v>1</v>
      </c>
      <c r="Q3385" s="121">
        <f t="shared" si="1308"/>
        <v>0</v>
      </c>
      <c r="R3385" s="121">
        <f t="shared" si="1309"/>
        <v>0</v>
      </c>
      <c r="S3385" s="121" t="str">
        <f t="shared" si="1310"/>
        <v/>
      </c>
      <c r="T3385" s="121" t="str">
        <f t="shared" si="1311"/>
        <v/>
      </c>
      <c r="U3385" s="121">
        <f t="shared" si="1312"/>
        <v>1</v>
      </c>
    </row>
    <row r="3386" spans="1:21" x14ac:dyDescent="0.3">
      <c r="A3386" s="187">
        <v>14</v>
      </c>
      <c r="B3386" s="242">
        <f t="shared" si="1313"/>
        <v>46054</v>
      </c>
      <c r="C3386" s="243">
        <f t="shared" si="1294"/>
        <v>46081</v>
      </c>
      <c r="D3386" s="120">
        <f t="shared" si="1295"/>
        <v>28</v>
      </c>
      <c r="E3386" s="120">
        <f t="shared" si="1296"/>
        <v>2</v>
      </c>
      <c r="F3386" s="275">
        <f t="shared" si="1297"/>
        <v>46068</v>
      </c>
      <c r="G3386" s="120">
        <f t="shared" si="1298"/>
        <v>24313</v>
      </c>
      <c r="H3386" s="245">
        <f t="shared" si="1299"/>
        <v>1</v>
      </c>
      <c r="I3386" s="121">
        <f t="shared" si="1300"/>
        <v>1</v>
      </c>
      <c r="J3386" s="121">
        <f t="shared" si="1301"/>
        <v>1.03</v>
      </c>
      <c r="K3386" s="120">
        <f t="shared" si="1302"/>
        <v>1</v>
      </c>
      <c r="L3386" s="120">
        <f t="shared" si="1303"/>
        <v>28</v>
      </c>
      <c r="M3386" s="246">
        <f t="shared" si="1304"/>
        <v>1</v>
      </c>
      <c r="N3386" s="121">
        <f t="shared" si="1305"/>
        <v>1.03</v>
      </c>
      <c r="O3386" s="246">
        <f t="shared" si="1306"/>
        <v>0.91249452954048138</v>
      </c>
      <c r="P3386" s="121">
        <f t="shared" si="1307"/>
        <v>1</v>
      </c>
      <c r="Q3386" s="121">
        <f t="shared" si="1308"/>
        <v>0</v>
      </c>
      <c r="R3386" s="121">
        <f t="shared" si="1309"/>
        <v>0</v>
      </c>
      <c r="S3386" s="121" t="str">
        <f t="shared" si="1310"/>
        <v/>
      </c>
      <c r="T3386" s="121" t="str">
        <f t="shared" si="1311"/>
        <v/>
      </c>
      <c r="U3386" s="121">
        <f t="shared" si="1312"/>
        <v>1.03</v>
      </c>
    </row>
    <row r="3387" spans="1:21" x14ac:dyDescent="0.3">
      <c r="A3387" s="187">
        <v>15</v>
      </c>
      <c r="B3387" s="242">
        <f t="shared" si="1313"/>
        <v>46082</v>
      </c>
      <c r="C3387" s="243">
        <f t="shared" si="1294"/>
        <v>46112</v>
      </c>
      <c r="D3387" s="120">
        <f t="shared" si="1295"/>
        <v>31</v>
      </c>
      <c r="E3387" s="120">
        <f t="shared" si="1296"/>
        <v>3</v>
      </c>
      <c r="F3387" s="275">
        <f t="shared" si="1297"/>
        <v>46097.5</v>
      </c>
      <c r="G3387" s="120">
        <f t="shared" si="1298"/>
        <v>24314</v>
      </c>
      <c r="H3387" s="245">
        <f t="shared" si="1299"/>
        <v>1</v>
      </c>
      <c r="I3387" s="121">
        <f t="shared" si="1300"/>
        <v>1.03</v>
      </c>
      <c r="J3387" s="121">
        <f t="shared" si="1301"/>
        <v>1.03</v>
      </c>
      <c r="K3387" s="120">
        <f t="shared" si="1302"/>
        <v>0</v>
      </c>
      <c r="L3387" s="120">
        <f t="shared" si="1303"/>
        <v>0</v>
      </c>
      <c r="M3387" s="246">
        <f t="shared" si="1304"/>
        <v>0</v>
      </c>
      <c r="N3387" s="121">
        <f t="shared" si="1305"/>
        <v>1.03</v>
      </c>
      <c r="O3387" s="246">
        <f t="shared" si="1306"/>
        <v>0.91217177242888403</v>
      </c>
      <c r="P3387" s="121">
        <f t="shared" si="1307"/>
        <v>1</v>
      </c>
      <c r="Q3387" s="121">
        <f t="shared" si="1308"/>
        <v>0</v>
      </c>
      <c r="R3387" s="121">
        <f t="shared" si="1309"/>
        <v>0</v>
      </c>
      <c r="S3387" s="121" t="str">
        <f t="shared" si="1310"/>
        <v/>
      </c>
      <c r="T3387" s="121" t="str">
        <f t="shared" si="1311"/>
        <v/>
      </c>
      <c r="U3387" s="121">
        <f t="shared" si="1312"/>
        <v>1.03</v>
      </c>
    </row>
    <row r="3388" spans="1:21" x14ac:dyDescent="0.3">
      <c r="A3388" s="187">
        <v>16</v>
      </c>
      <c r="B3388" s="242">
        <f t="shared" si="1313"/>
        <v>46113</v>
      </c>
      <c r="C3388" s="243">
        <f t="shared" si="1294"/>
        <v>46142</v>
      </c>
      <c r="D3388" s="120">
        <f t="shared" si="1295"/>
        <v>30</v>
      </c>
      <c r="E3388" s="120">
        <f t="shared" si="1296"/>
        <v>4</v>
      </c>
      <c r="F3388" s="275">
        <f t="shared" si="1297"/>
        <v>46128</v>
      </c>
      <c r="G3388" s="120">
        <f t="shared" si="1298"/>
        <v>24315</v>
      </c>
      <c r="H3388" s="245">
        <f t="shared" si="1299"/>
        <v>1</v>
      </c>
      <c r="I3388" s="121">
        <f t="shared" si="1300"/>
        <v>1.03</v>
      </c>
      <c r="J3388" s="121">
        <f t="shared" si="1301"/>
        <v>1.03</v>
      </c>
      <c r="K3388" s="120">
        <f t="shared" si="1302"/>
        <v>0</v>
      </c>
      <c r="L3388" s="120">
        <f t="shared" si="1303"/>
        <v>0</v>
      </c>
      <c r="M3388" s="246">
        <f t="shared" si="1304"/>
        <v>0</v>
      </c>
      <c r="N3388" s="121">
        <f t="shared" si="1305"/>
        <v>1.03</v>
      </c>
      <c r="O3388" s="246">
        <f t="shared" si="1306"/>
        <v>0.91183807439824949</v>
      </c>
      <c r="P3388" s="121">
        <f t="shared" si="1307"/>
        <v>1</v>
      </c>
      <c r="Q3388" s="121">
        <f t="shared" si="1308"/>
        <v>0</v>
      </c>
      <c r="R3388" s="121">
        <f t="shared" si="1309"/>
        <v>0</v>
      </c>
      <c r="S3388" s="121" t="str">
        <f t="shared" si="1310"/>
        <v/>
      </c>
      <c r="T3388" s="121" t="str">
        <f t="shared" si="1311"/>
        <v/>
      </c>
      <c r="U3388" s="121">
        <f t="shared" si="1312"/>
        <v>1.03</v>
      </c>
    </row>
    <row r="3389" spans="1:21" x14ac:dyDescent="0.3">
      <c r="A3389" s="187">
        <v>17</v>
      </c>
      <c r="B3389" s="242">
        <f t="shared" si="1313"/>
        <v>46143</v>
      </c>
      <c r="C3389" s="243">
        <f t="shared" si="1294"/>
        <v>46173</v>
      </c>
      <c r="D3389" s="120">
        <f t="shared" si="1295"/>
        <v>31</v>
      </c>
      <c r="E3389" s="120">
        <f t="shared" si="1296"/>
        <v>5</v>
      </c>
      <c r="F3389" s="275">
        <f t="shared" si="1297"/>
        <v>46158.5</v>
      </c>
      <c r="G3389" s="120">
        <f t="shared" si="1298"/>
        <v>24316</v>
      </c>
      <c r="H3389" s="245">
        <f t="shared" si="1299"/>
        <v>1</v>
      </c>
      <c r="I3389" s="121">
        <f t="shared" si="1300"/>
        <v>1.03</v>
      </c>
      <c r="J3389" s="121">
        <f t="shared" si="1301"/>
        <v>1.03</v>
      </c>
      <c r="K3389" s="120">
        <f t="shared" si="1302"/>
        <v>0</v>
      </c>
      <c r="L3389" s="120">
        <f t="shared" si="1303"/>
        <v>0</v>
      </c>
      <c r="M3389" s="246">
        <f t="shared" si="1304"/>
        <v>0</v>
      </c>
      <c r="N3389" s="121">
        <f t="shared" si="1305"/>
        <v>1.03</v>
      </c>
      <c r="O3389" s="246">
        <f t="shared" si="1306"/>
        <v>0.91150437636761494</v>
      </c>
      <c r="P3389" s="121">
        <f t="shared" si="1307"/>
        <v>1</v>
      </c>
      <c r="Q3389" s="121">
        <f t="shared" si="1308"/>
        <v>0</v>
      </c>
      <c r="R3389" s="121">
        <f t="shared" si="1309"/>
        <v>0</v>
      </c>
      <c r="S3389" s="121" t="str">
        <f t="shared" si="1310"/>
        <v/>
      </c>
      <c r="T3389" s="121" t="str">
        <f t="shared" si="1311"/>
        <v/>
      </c>
      <c r="U3389" s="121">
        <f t="shared" si="1312"/>
        <v>1.03</v>
      </c>
    </row>
    <row r="3390" spans="1:21" x14ac:dyDescent="0.3">
      <c r="A3390" s="187">
        <v>18</v>
      </c>
      <c r="B3390" s="242">
        <f t="shared" si="1313"/>
        <v>46174</v>
      </c>
      <c r="C3390" s="243">
        <f t="shared" si="1294"/>
        <v>46203</v>
      </c>
      <c r="D3390" s="120">
        <f t="shared" si="1295"/>
        <v>30</v>
      </c>
      <c r="E3390" s="120">
        <f t="shared" si="1296"/>
        <v>6</v>
      </c>
      <c r="F3390" s="275">
        <f t="shared" si="1297"/>
        <v>46189</v>
      </c>
      <c r="G3390" s="120">
        <f t="shared" si="1298"/>
        <v>24317</v>
      </c>
      <c r="H3390" s="245">
        <f t="shared" si="1299"/>
        <v>1</v>
      </c>
      <c r="I3390" s="121">
        <f t="shared" si="1300"/>
        <v>1.03</v>
      </c>
      <c r="J3390" s="121">
        <f t="shared" si="1301"/>
        <v>1.03</v>
      </c>
      <c r="K3390" s="120">
        <f t="shared" si="1302"/>
        <v>0</v>
      </c>
      <c r="L3390" s="120">
        <f t="shared" si="1303"/>
        <v>0</v>
      </c>
      <c r="M3390" s="246">
        <f t="shared" si="1304"/>
        <v>0</v>
      </c>
      <c r="N3390" s="121">
        <f t="shared" si="1305"/>
        <v>1.03</v>
      </c>
      <c r="O3390" s="246">
        <f t="shared" si="1306"/>
        <v>0.91117067833698029</v>
      </c>
      <c r="P3390" s="121">
        <f t="shared" si="1307"/>
        <v>1</v>
      </c>
      <c r="Q3390" s="121">
        <f t="shared" si="1308"/>
        <v>0</v>
      </c>
      <c r="R3390" s="121">
        <f t="shared" si="1309"/>
        <v>0</v>
      </c>
      <c r="S3390" s="121" t="str">
        <f t="shared" si="1310"/>
        <v/>
      </c>
      <c r="T3390" s="121" t="str">
        <f t="shared" si="1311"/>
        <v/>
      </c>
      <c r="U3390" s="121">
        <f t="shared" si="1312"/>
        <v>1.03</v>
      </c>
    </row>
    <row r="3391" spans="1:21" x14ac:dyDescent="0.3">
      <c r="A3391" s="187">
        <v>19</v>
      </c>
      <c r="B3391" s="242">
        <f t="shared" si="1313"/>
        <v>46204</v>
      </c>
      <c r="C3391" s="243">
        <f t="shared" si="1294"/>
        <v>46234</v>
      </c>
      <c r="D3391" s="120">
        <f t="shared" si="1295"/>
        <v>31</v>
      </c>
      <c r="E3391" s="120">
        <f t="shared" si="1296"/>
        <v>7</v>
      </c>
      <c r="F3391" s="275">
        <f t="shared" si="1297"/>
        <v>46219.5</v>
      </c>
      <c r="G3391" s="120">
        <f t="shared" si="1298"/>
        <v>24318</v>
      </c>
      <c r="H3391" s="245">
        <f t="shared" si="1299"/>
        <v>1</v>
      </c>
      <c r="I3391" s="121">
        <f t="shared" si="1300"/>
        <v>1.03</v>
      </c>
      <c r="J3391" s="121">
        <f t="shared" si="1301"/>
        <v>1.03</v>
      </c>
      <c r="K3391" s="120">
        <f t="shared" si="1302"/>
        <v>0</v>
      </c>
      <c r="L3391" s="120">
        <f t="shared" si="1303"/>
        <v>0</v>
      </c>
      <c r="M3391" s="246">
        <f t="shared" si="1304"/>
        <v>0</v>
      </c>
      <c r="N3391" s="121">
        <f t="shared" si="1305"/>
        <v>1.03</v>
      </c>
      <c r="O3391" s="246">
        <f t="shared" si="1306"/>
        <v>0.91083698030634574</v>
      </c>
      <c r="P3391" s="121">
        <f t="shared" si="1307"/>
        <v>0.91666666666666663</v>
      </c>
      <c r="Q3391" s="121">
        <f t="shared" si="1308"/>
        <v>8.333333333333337E-2</v>
      </c>
      <c r="R3391" s="121">
        <f t="shared" si="1309"/>
        <v>0</v>
      </c>
      <c r="S3391" s="121" t="str">
        <f t="shared" si="1310"/>
        <v/>
      </c>
      <c r="T3391" s="121" t="str">
        <f t="shared" si="1311"/>
        <v/>
      </c>
      <c r="U3391" s="121">
        <f t="shared" si="1312"/>
        <v>1.03</v>
      </c>
    </row>
    <row r="3392" spans="1:21" x14ac:dyDescent="0.3">
      <c r="A3392" s="187">
        <v>20</v>
      </c>
      <c r="B3392" s="242">
        <f t="shared" si="1313"/>
        <v>46235</v>
      </c>
      <c r="C3392" s="243">
        <f t="shared" si="1294"/>
        <v>46265</v>
      </c>
      <c r="D3392" s="120">
        <f t="shared" si="1295"/>
        <v>31</v>
      </c>
      <c r="E3392" s="120">
        <f t="shared" si="1296"/>
        <v>8</v>
      </c>
      <c r="F3392" s="275">
        <f t="shared" si="1297"/>
        <v>46250.5</v>
      </c>
      <c r="G3392" s="120">
        <f t="shared" si="1298"/>
        <v>24319</v>
      </c>
      <c r="H3392" s="245">
        <f t="shared" si="1299"/>
        <v>1</v>
      </c>
      <c r="I3392" s="121">
        <f t="shared" si="1300"/>
        <v>1.03</v>
      </c>
      <c r="J3392" s="121">
        <f t="shared" si="1301"/>
        <v>1.03</v>
      </c>
      <c r="K3392" s="120">
        <f t="shared" si="1302"/>
        <v>0</v>
      </c>
      <c r="L3392" s="120">
        <f t="shared" si="1303"/>
        <v>0</v>
      </c>
      <c r="M3392" s="246">
        <f t="shared" si="1304"/>
        <v>0</v>
      </c>
      <c r="N3392" s="121">
        <f t="shared" si="1305"/>
        <v>1.03</v>
      </c>
      <c r="O3392" s="246">
        <f t="shared" si="1306"/>
        <v>0.9104978118161926</v>
      </c>
      <c r="P3392" s="121">
        <f t="shared" si="1307"/>
        <v>0.75</v>
      </c>
      <c r="Q3392" s="121">
        <f t="shared" si="1308"/>
        <v>0.25</v>
      </c>
      <c r="R3392" s="121">
        <f t="shared" si="1309"/>
        <v>0</v>
      </c>
      <c r="S3392" s="121" t="str">
        <f t="shared" si="1310"/>
        <v/>
      </c>
      <c r="T3392" s="121" t="str">
        <f t="shared" si="1311"/>
        <v/>
      </c>
      <c r="U3392" s="121">
        <f t="shared" si="1312"/>
        <v>1.03</v>
      </c>
    </row>
    <row r="3393" spans="1:21" x14ac:dyDescent="0.3">
      <c r="A3393" s="187">
        <v>21</v>
      </c>
      <c r="B3393" s="242">
        <f t="shared" si="1313"/>
        <v>46266</v>
      </c>
      <c r="C3393" s="243">
        <f t="shared" si="1294"/>
        <v>46295</v>
      </c>
      <c r="D3393" s="120">
        <f t="shared" si="1295"/>
        <v>30</v>
      </c>
      <c r="E3393" s="120">
        <f t="shared" si="1296"/>
        <v>9</v>
      </c>
      <c r="F3393" s="275">
        <f t="shared" si="1297"/>
        <v>46281</v>
      </c>
      <c r="G3393" s="120">
        <f t="shared" si="1298"/>
        <v>24320</v>
      </c>
      <c r="H3393" s="245">
        <f t="shared" si="1299"/>
        <v>1</v>
      </c>
      <c r="I3393" s="121">
        <f t="shared" si="1300"/>
        <v>1.03</v>
      </c>
      <c r="J3393" s="121">
        <f t="shared" si="1301"/>
        <v>1.03</v>
      </c>
      <c r="K3393" s="120">
        <f t="shared" si="1302"/>
        <v>0</v>
      </c>
      <c r="L3393" s="120">
        <f t="shared" si="1303"/>
        <v>0</v>
      </c>
      <c r="M3393" s="246">
        <f t="shared" si="1304"/>
        <v>0</v>
      </c>
      <c r="N3393" s="121">
        <f t="shared" si="1305"/>
        <v>1.03</v>
      </c>
      <c r="O3393" s="246">
        <f t="shared" si="1306"/>
        <v>0.91016411378555806</v>
      </c>
      <c r="P3393" s="121">
        <f t="shared" si="1307"/>
        <v>0.58333333333333337</v>
      </c>
      <c r="Q3393" s="121">
        <f t="shared" si="1308"/>
        <v>0.41666666666666663</v>
      </c>
      <c r="R3393" s="121">
        <f t="shared" si="1309"/>
        <v>0</v>
      </c>
      <c r="S3393" s="121" t="str">
        <f t="shared" si="1310"/>
        <v/>
      </c>
      <c r="T3393" s="121" t="str">
        <f t="shared" si="1311"/>
        <v/>
      </c>
      <c r="U3393" s="121">
        <f t="shared" si="1312"/>
        <v>1.03</v>
      </c>
    </row>
    <row r="3394" spans="1:21" x14ac:dyDescent="0.3">
      <c r="A3394" s="187">
        <v>22</v>
      </c>
      <c r="B3394" s="242">
        <f t="shared" si="1313"/>
        <v>46296</v>
      </c>
      <c r="C3394" s="243">
        <f t="shared" si="1294"/>
        <v>46326</v>
      </c>
      <c r="D3394" s="120">
        <f t="shared" si="1295"/>
        <v>31</v>
      </c>
      <c r="E3394" s="120">
        <f t="shared" si="1296"/>
        <v>10</v>
      </c>
      <c r="F3394" s="275">
        <f t="shared" si="1297"/>
        <v>46311.5</v>
      </c>
      <c r="G3394" s="120">
        <f t="shared" si="1298"/>
        <v>24321</v>
      </c>
      <c r="H3394" s="245">
        <f t="shared" si="1299"/>
        <v>1</v>
      </c>
      <c r="I3394" s="121">
        <f t="shared" si="1300"/>
        <v>1.03</v>
      </c>
      <c r="J3394" s="121">
        <f t="shared" si="1301"/>
        <v>1.03</v>
      </c>
      <c r="K3394" s="120">
        <f t="shared" si="1302"/>
        <v>0</v>
      </c>
      <c r="L3394" s="120">
        <f t="shared" si="1303"/>
        <v>0</v>
      </c>
      <c r="M3394" s="246">
        <f t="shared" si="1304"/>
        <v>0</v>
      </c>
      <c r="N3394" s="121">
        <f t="shared" si="1305"/>
        <v>1.03</v>
      </c>
      <c r="O3394" s="246">
        <f t="shared" si="1306"/>
        <v>0.90983041575492341</v>
      </c>
      <c r="P3394" s="121">
        <f t="shared" si="1307"/>
        <v>0.41666666666666669</v>
      </c>
      <c r="Q3394" s="121">
        <f t="shared" si="1308"/>
        <v>0.58333333333333326</v>
      </c>
      <c r="R3394" s="121">
        <f t="shared" si="1309"/>
        <v>0</v>
      </c>
      <c r="S3394" s="121" t="str">
        <f t="shared" si="1310"/>
        <v/>
      </c>
      <c r="T3394" s="121" t="str">
        <f t="shared" si="1311"/>
        <v/>
      </c>
      <c r="U3394" s="121">
        <f t="shared" si="1312"/>
        <v>1.03</v>
      </c>
    </row>
    <row r="3395" spans="1:21" x14ac:dyDescent="0.3">
      <c r="A3395" s="187">
        <v>23</v>
      </c>
      <c r="B3395" s="242">
        <f t="shared" si="1313"/>
        <v>46327</v>
      </c>
      <c r="C3395" s="243">
        <f t="shared" si="1294"/>
        <v>46356</v>
      </c>
      <c r="D3395" s="120">
        <f t="shared" si="1295"/>
        <v>30</v>
      </c>
      <c r="E3395" s="120">
        <f t="shared" si="1296"/>
        <v>11</v>
      </c>
      <c r="F3395" s="275">
        <f t="shared" si="1297"/>
        <v>46342</v>
      </c>
      <c r="G3395" s="120">
        <f t="shared" si="1298"/>
        <v>24322</v>
      </c>
      <c r="H3395" s="245">
        <f t="shared" si="1299"/>
        <v>1</v>
      </c>
      <c r="I3395" s="121">
        <f t="shared" si="1300"/>
        <v>1.03</v>
      </c>
      <c r="J3395" s="121">
        <f t="shared" si="1301"/>
        <v>1.03</v>
      </c>
      <c r="K3395" s="120">
        <f t="shared" si="1302"/>
        <v>0</v>
      </c>
      <c r="L3395" s="120">
        <f t="shared" si="1303"/>
        <v>0</v>
      </c>
      <c r="M3395" s="246">
        <f t="shared" si="1304"/>
        <v>0</v>
      </c>
      <c r="N3395" s="121">
        <f t="shared" si="1305"/>
        <v>1.03</v>
      </c>
      <c r="O3395" s="246">
        <f t="shared" si="1306"/>
        <v>0.90949671772428886</v>
      </c>
      <c r="P3395" s="121">
        <f t="shared" si="1307"/>
        <v>0.25</v>
      </c>
      <c r="Q3395" s="121">
        <f t="shared" si="1308"/>
        <v>0.75</v>
      </c>
      <c r="R3395" s="121">
        <f t="shared" si="1309"/>
        <v>0</v>
      </c>
      <c r="S3395" s="121" t="str">
        <f t="shared" si="1310"/>
        <v/>
      </c>
      <c r="T3395" s="121" t="str">
        <f t="shared" si="1311"/>
        <v/>
      </c>
      <c r="U3395" s="121">
        <f t="shared" si="1312"/>
        <v>1.03</v>
      </c>
    </row>
    <row r="3396" spans="1:21" x14ac:dyDescent="0.3">
      <c r="A3396" s="187">
        <v>24</v>
      </c>
      <c r="B3396" s="242">
        <f t="shared" si="1313"/>
        <v>46357</v>
      </c>
      <c r="C3396" s="243">
        <f t="shared" si="1294"/>
        <v>46387</v>
      </c>
      <c r="D3396" s="120">
        <f t="shared" si="1295"/>
        <v>31</v>
      </c>
      <c r="E3396" s="120">
        <f t="shared" si="1296"/>
        <v>12</v>
      </c>
      <c r="F3396" s="275">
        <f t="shared" si="1297"/>
        <v>46372.5</v>
      </c>
      <c r="G3396" s="120">
        <f t="shared" si="1298"/>
        <v>24323</v>
      </c>
      <c r="H3396" s="245">
        <f t="shared" si="1299"/>
        <v>1</v>
      </c>
      <c r="I3396" s="121">
        <f t="shared" si="1300"/>
        <v>1.03</v>
      </c>
      <c r="J3396" s="121">
        <f t="shared" si="1301"/>
        <v>1.03</v>
      </c>
      <c r="K3396" s="120">
        <f t="shared" si="1302"/>
        <v>0</v>
      </c>
      <c r="L3396" s="120">
        <f t="shared" si="1303"/>
        <v>0</v>
      </c>
      <c r="M3396" s="246">
        <f t="shared" si="1304"/>
        <v>0</v>
      </c>
      <c r="N3396" s="121">
        <f t="shared" si="1305"/>
        <v>1.03</v>
      </c>
      <c r="O3396" s="246">
        <f t="shared" si="1306"/>
        <v>0.90916301969365432</v>
      </c>
      <c r="P3396" s="121">
        <f t="shared" si="1307"/>
        <v>8.3333333333333329E-2</v>
      </c>
      <c r="Q3396" s="121">
        <f t="shared" si="1308"/>
        <v>0.91666666666666663</v>
      </c>
      <c r="R3396" s="121">
        <f t="shared" si="1309"/>
        <v>0</v>
      </c>
      <c r="S3396" s="121" t="str">
        <f t="shared" si="1310"/>
        <v/>
      </c>
      <c r="T3396" s="121" t="str">
        <f t="shared" si="1311"/>
        <v/>
      </c>
      <c r="U3396" s="121">
        <f t="shared" si="1312"/>
        <v>1.03</v>
      </c>
    </row>
    <row r="3397" spans="1:21" x14ac:dyDescent="0.3">
      <c r="A3397" s="187">
        <v>25</v>
      </c>
      <c r="B3397" s="242">
        <f t="shared" si="1313"/>
        <v>46388</v>
      </c>
      <c r="C3397" s="243">
        <f t="shared" si="1294"/>
        <v>46418</v>
      </c>
      <c r="D3397" s="120">
        <f t="shared" si="1295"/>
        <v>31</v>
      </c>
      <c r="E3397" s="120">
        <f t="shared" si="1296"/>
        <v>1</v>
      </c>
      <c r="F3397" s="275">
        <f t="shared" si="1297"/>
        <v>46403.5</v>
      </c>
      <c r="G3397" s="120">
        <f t="shared" si="1298"/>
        <v>24324</v>
      </c>
      <c r="H3397" s="245">
        <f t="shared" si="1299"/>
        <v>1</v>
      </c>
      <c r="I3397" s="121">
        <f t="shared" si="1300"/>
        <v>1.03</v>
      </c>
      <c r="J3397" s="121">
        <f t="shared" si="1301"/>
        <v>1.03</v>
      </c>
      <c r="K3397" s="120">
        <f t="shared" si="1302"/>
        <v>0</v>
      </c>
      <c r="L3397" s="120">
        <f t="shared" si="1303"/>
        <v>0</v>
      </c>
      <c r="M3397" s="246">
        <f t="shared" si="1304"/>
        <v>0</v>
      </c>
      <c r="N3397" s="121">
        <f t="shared" si="1305"/>
        <v>1.03</v>
      </c>
      <c r="O3397" s="246">
        <f t="shared" si="1306"/>
        <v>0.90882385120350118</v>
      </c>
      <c r="P3397" s="121">
        <f t="shared" si="1307"/>
        <v>0</v>
      </c>
      <c r="Q3397" s="121">
        <f t="shared" si="1308"/>
        <v>1</v>
      </c>
      <c r="R3397" s="121">
        <f t="shared" si="1309"/>
        <v>0</v>
      </c>
      <c r="S3397" s="121" t="str">
        <f t="shared" si="1310"/>
        <v/>
      </c>
      <c r="T3397" s="121" t="str">
        <f t="shared" si="1311"/>
        <v/>
      </c>
      <c r="U3397" s="121">
        <f t="shared" si="1312"/>
        <v>1.03</v>
      </c>
    </row>
    <row r="3398" spans="1:21" x14ac:dyDescent="0.3">
      <c r="A3398" s="187">
        <v>26</v>
      </c>
      <c r="B3398" s="242">
        <f t="shared" si="1313"/>
        <v>46419</v>
      </c>
      <c r="C3398" s="243">
        <f t="shared" si="1294"/>
        <v>46446</v>
      </c>
      <c r="D3398" s="120">
        <f t="shared" si="1295"/>
        <v>28</v>
      </c>
      <c r="E3398" s="120">
        <f t="shared" si="1296"/>
        <v>2</v>
      </c>
      <c r="F3398" s="275">
        <f t="shared" si="1297"/>
        <v>46433</v>
      </c>
      <c r="G3398" s="120">
        <f t="shared" si="1298"/>
        <v>24325</v>
      </c>
      <c r="H3398" s="245">
        <f t="shared" si="1299"/>
        <v>1</v>
      </c>
      <c r="I3398" s="121">
        <f t="shared" si="1300"/>
        <v>1.03</v>
      </c>
      <c r="J3398" s="121">
        <f t="shared" si="1301"/>
        <v>1.0712000000000002</v>
      </c>
      <c r="K3398" s="120">
        <f t="shared" si="1302"/>
        <v>1</v>
      </c>
      <c r="L3398" s="120">
        <f t="shared" si="1303"/>
        <v>28</v>
      </c>
      <c r="M3398" s="246">
        <f t="shared" si="1304"/>
        <v>1</v>
      </c>
      <c r="N3398" s="121">
        <f t="shared" si="1305"/>
        <v>1.0712000000000002</v>
      </c>
      <c r="O3398" s="246">
        <f t="shared" si="1306"/>
        <v>0.90850109409190372</v>
      </c>
      <c r="P3398" s="121">
        <f t="shared" si="1307"/>
        <v>0</v>
      </c>
      <c r="Q3398" s="121">
        <f t="shared" si="1308"/>
        <v>1</v>
      </c>
      <c r="R3398" s="121">
        <f t="shared" si="1309"/>
        <v>0</v>
      </c>
      <c r="S3398" s="121" t="str">
        <f t="shared" si="1310"/>
        <v/>
      </c>
      <c r="T3398" s="121" t="str">
        <f t="shared" si="1311"/>
        <v/>
      </c>
      <c r="U3398" s="121">
        <f t="shared" si="1312"/>
        <v>1.0712000000000002</v>
      </c>
    </row>
    <row r="3399" spans="1:21" x14ac:dyDescent="0.3">
      <c r="A3399" s="187">
        <v>27</v>
      </c>
      <c r="B3399" s="242">
        <f t="shared" si="1313"/>
        <v>46447</v>
      </c>
      <c r="C3399" s="243">
        <f t="shared" si="1294"/>
        <v>46477</v>
      </c>
      <c r="D3399" s="120">
        <f t="shared" si="1295"/>
        <v>31</v>
      </c>
      <c r="E3399" s="120">
        <f t="shared" si="1296"/>
        <v>3</v>
      </c>
      <c r="F3399" s="275">
        <f t="shared" si="1297"/>
        <v>46462.5</v>
      </c>
      <c r="G3399" s="120">
        <f t="shared" si="1298"/>
        <v>24326</v>
      </c>
      <c r="H3399" s="245">
        <f t="shared" si="1299"/>
        <v>1</v>
      </c>
      <c r="I3399" s="121">
        <f t="shared" si="1300"/>
        <v>1.0712000000000002</v>
      </c>
      <c r="J3399" s="121">
        <f t="shared" si="1301"/>
        <v>1.0712000000000002</v>
      </c>
      <c r="K3399" s="120">
        <f t="shared" si="1302"/>
        <v>0</v>
      </c>
      <c r="L3399" s="120">
        <f t="shared" si="1303"/>
        <v>0</v>
      </c>
      <c r="M3399" s="246">
        <f t="shared" si="1304"/>
        <v>0</v>
      </c>
      <c r="N3399" s="121">
        <f t="shared" si="1305"/>
        <v>1.0712000000000002</v>
      </c>
      <c r="O3399" s="246">
        <f t="shared" si="1306"/>
        <v>0.90817833698030637</v>
      </c>
      <c r="P3399" s="121">
        <f t="shared" si="1307"/>
        <v>0</v>
      </c>
      <c r="Q3399" s="121">
        <f t="shared" si="1308"/>
        <v>1</v>
      </c>
      <c r="R3399" s="121">
        <f t="shared" si="1309"/>
        <v>0</v>
      </c>
      <c r="S3399" s="121" t="str">
        <f t="shared" si="1310"/>
        <v/>
      </c>
      <c r="T3399" s="121" t="str">
        <f t="shared" si="1311"/>
        <v/>
      </c>
      <c r="U3399" s="121">
        <f t="shared" si="1312"/>
        <v>1.0712000000000002</v>
      </c>
    </row>
    <row r="3400" spans="1:21" x14ac:dyDescent="0.3">
      <c r="A3400" s="187">
        <v>28</v>
      </c>
      <c r="B3400" s="242">
        <f t="shared" si="1313"/>
        <v>46478</v>
      </c>
      <c r="C3400" s="243">
        <f t="shared" si="1294"/>
        <v>46507</v>
      </c>
      <c r="D3400" s="120">
        <f t="shared" si="1295"/>
        <v>30</v>
      </c>
      <c r="E3400" s="120">
        <f t="shared" si="1296"/>
        <v>4</v>
      </c>
      <c r="F3400" s="275">
        <f t="shared" si="1297"/>
        <v>46493</v>
      </c>
      <c r="G3400" s="120">
        <f t="shared" si="1298"/>
        <v>24327</v>
      </c>
      <c r="H3400" s="245">
        <f t="shared" si="1299"/>
        <v>1</v>
      </c>
      <c r="I3400" s="121">
        <f t="shared" si="1300"/>
        <v>1.0712000000000002</v>
      </c>
      <c r="J3400" s="121">
        <f t="shared" si="1301"/>
        <v>1.0712000000000002</v>
      </c>
      <c r="K3400" s="120">
        <f t="shared" si="1302"/>
        <v>0</v>
      </c>
      <c r="L3400" s="120">
        <f t="shared" si="1303"/>
        <v>0</v>
      </c>
      <c r="M3400" s="246">
        <f t="shared" si="1304"/>
        <v>0</v>
      </c>
      <c r="N3400" s="121">
        <f t="shared" si="1305"/>
        <v>1.0712000000000002</v>
      </c>
      <c r="O3400" s="246">
        <f t="shared" si="1306"/>
        <v>0.90784463894967182</v>
      </c>
      <c r="P3400" s="121">
        <f t="shared" si="1307"/>
        <v>0</v>
      </c>
      <c r="Q3400" s="121">
        <f t="shared" si="1308"/>
        <v>1</v>
      </c>
      <c r="R3400" s="121">
        <f t="shared" si="1309"/>
        <v>0</v>
      </c>
      <c r="S3400" s="121" t="str">
        <f t="shared" si="1310"/>
        <v/>
      </c>
      <c r="T3400" s="121" t="str">
        <f t="shared" si="1311"/>
        <v/>
      </c>
      <c r="U3400" s="121">
        <f t="shared" si="1312"/>
        <v>1.0712000000000002</v>
      </c>
    </row>
    <row r="3401" spans="1:21" x14ac:dyDescent="0.3">
      <c r="A3401" s="187">
        <v>29</v>
      </c>
      <c r="B3401" s="242">
        <f t="shared" si="1313"/>
        <v>46508</v>
      </c>
      <c r="C3401" s="243">
        <f t="shared" si="1294"/>
        <v>46538</v>
      </c>
      <c r="D3401" s="120">
        <f t="shared" si="1295"/>
        <v>31</v>
      </c>
      <c r="E3401" s="120">
        <f t="shared" si="1296"/>
        <v>5</v>
      </c>
      <c r="F3401" s="275">
        <f t="shared" si="1297"/>
        <v>46523.5</v>
      </c>
      <c r="G3401" s="120">
        <f t="shared" si="1298"/>
        <v>24328</v>
      </c>
      <c r="H3401" s="245">
        <f t="shared" si="1299"/>
        <v>1</v>
      </c>
      <c r="I3401" s="121">
        <f t="shared" si="1300"/>
        <v>1.0712000000000002</v>
      </c>
      <c r="J3401" s="121">
        <f t="shared" si="1301"/>
        <v>1.0712000000000002</v>
      </c>
      <c r="K3401" s="120">
        <f t="shared" si="1302"/>
        <v>0</v>
      </c>
      <c r="L3401" s="120">
        <f t="shared" si="1303"/>
        <v>0</v>
      </c>
      <c r="M3401" s="246">
        <f t="shared" si="1304"/>
        <v>0</v>
      </c>
      <c r="N3401" s="121">
        <f t="shared" si="1305"/>
        <v>1.0712000000000002</v>
      </c>
      <c r="O3401" s="246">
        <f t="shared" si="1306"/>
        <v>0.90751094091903728</v>
      </c>
      <c r="P3401" s="121">
        <f t="shared" si="1307"/>
        <v>0</v>
      </c>
      <c r="Q3401" s="121">
        <f t="shared" si="1308"/>
        <v>1</v>
      </c>
      <c r="R3401" s="121">
        <f t="shared" si="1309"/>
        <v>0</v>
      </c>
      <c r="S3401" s="121" t="str">
        <f t="shared" si="1310"/>
        <v/>
      </c>
      <c r="T3401" s="121" t="str">
        <f t="shared" si="1311"/>
        <v/>
      </c>
      <c r="U3401" s="121">
        <f t="shared" si="1312"/>
        <v>1.0712000000000002</v>
      </c>
    </row>
    <row r="3402" spans="1:21" x14ac:dyDescent="0.3">
      <c r="A3402" s="187">
        <v>30</v>
      </c>
      <c r="B3402" s="242">
        <f t="shared" si="1313"/>
        <v>46539</v>
      </c>
      <c r="C3402" s="243">
        <f t="shared" si="1294"/>
        <v>46568</v>
      </c>
      <c r="D3402" s="120">
        <f t="shared" si="1295"/>
        <v>30</v>
      </c>
      <c r="E3402" s="120">
        <f t="shared" si="1296"/>
        <v>6</v>
      </c>
      <c r="F3402" s="275">
        <f t="shared" si="1297"/>
        <v>46554</v>
      </c>
      <c r="G3402" s="120">
        <f t="shared" si="1298"/>
        <v>24329</v>
      </c>
      <c r="H3402" s="245">
        <f t="shared" si="1299"/>
        <v>1</v>
      </c>
      <c r="I3402" s="121">
        <f t="shared" si="1300"/>
        <v>1.0712000000000002</v>
      </c>
      <c r="J3402" s="121">
        <f t="shared" si="1301"/>
        <v>1.0712000000000002</v>
      </c>
      <c r="K3402" s="120">
        <f t="shared" si="1302"/>
        <v>0</v>
      </c>
      <c r="L3402" s="120">
        <f t="shared" si="1303"/>
        <v>0</v>
      </c>
      <c r="M3402" s="246">
        <f t="shared" si="1304"/>
        <v>0</v>
      </c>
      <c r="N3402" s="121">
        <f t="shared" si="1305"/>
        <v>1.0712000000000002</v>
      </c>
      <c r="O3402" s="246">
        <f t="shared" si="1306"/>
        <v>0.90717724288840262</v>
      </c>
      <c r="P3402" s="121">
        <f t="shared" si="1307"/>
        <v>0</v>
      </c>
      <c r="Q3402" s="121">
        <f t="shared" si="1308"/>
        <v>1</v>
      </c>
      <c r="R3402" s="121">
        <f t="shared" si="1309"/>
        <v>0</v>
      </c>
      <c r="S3402" s="121" t="str">
        <f t="shared" si="1310"/>
        <v/>
      </c>
      <c r="T3402" s="121" t="str">
        <f t="shared" si="1311"/>
        <v/>
      </c>
      <c r="U3402" s="121">
        <f t="shared" si="1312"/>
        <v>1.0712000000000002</v>
      </c>
    </row>
    <row r="3403" spans="1:21" x14ac:dyDescent="0.3">
      <c r="A3403" s="187">
        <v>31</v>
      </c>
      <c r="B3403" s="242">
        <f t="shared" si="1313"/>
        <v>46569</v>
      </c>
      <c r="C3403" s="243">
        <f t="shared" si="1294"/>
        <v>46599</v>
      </c>
      <c r="D3403" s="120">
        <f t="shared" si="1295"/>
        <v>31</v>
      </c>
      <c r="E3403" s="120">
        <f t="shared" si="1296"/>
        <v>7</v>
      </c>
      <c r="F3403" s="275">
        <f t="shared" si="1297"/>
        <v>46584.5</v>
      </c>
      <c r="G3403" s="120">
        <f t="shared" si="1298"/>
        <v>24330</v>
      </c>
      <c r="H3403" s="245">
        <f t="shared" si="1299"/>
        <v>1</v>
      </c>
      <c r="I3403" s="121">
        <f t="shared" si="1300"/>
        <v>1.0712000000000002</v>
      </c>
      <c r="J3403" s="121">
        <f t="shared" si="1301"/>
        <v>1.0712000000000002</v>
      </c>
      <c r="K3403" s="120">
        <f t="shared" si="1302"/>
        <v>0</v>
      </c>
      <c r="L3403" s="120">
        <f t="shared" si="1303"/>
        <v>0</v>
      </c>
      <c r="M3403" s="246">
        <f t="shared" si="1304"/>
        <v>0</v>
      </c>
      <c r="N3403" s="121">
        <f t="shared" si="1305"/>
        <v>1.0712000000000002</v>
      </c>
      <c r="O3403" s="246">
        <f t="shared" si="1306"/>
        <v>0.90684354485776808</v>
      </c>
      <c r="P3403" s="121">
        <f t="shared" si="1307"/>
        <v>0</v>
      </c>
      <c r="Q3403" s="121">
        <f t="shared" si="1308"/>
        <v>0.91666666666666663</v>
      </c>
      <c r="R3403" s="121">
        <f t="shared" si="1309"/>
        <v>8.333333333333337E-2</v>
      </c>
      <c r="S3403" s="121" t="str">
        <f t="shared" si="1310"/>
        <v/>
      </c>
      <c r="T3403" s="121" t="str">
        <f t="shared" si="1311"/>
        <v/>
      </c>
      <c r="U3403" s="121">
        <f t="shared" si="1312"/>
        <v>1.0712000000000002</v>
      </c>
    </row>
    <row r="3404" spans="1:21" x14ac:dyDescent="0.3">
      <c r="A3404" s="187">
        <v>32</v>
      </c>
      <c r="B3404" s="242">
        <f t="shared" si="1313"/>
        <v>46600</v>
      </c>
      <c r="C3404" s="243">
        <f t="shared" si="1294"/>
        <v>46630</v>
      </c>
      <c r="D3404" s="120">
        <f t="shared" si="1295"/>
        <v>31</v>
      </c>
      <c r="E3404" s="120">
        <f t="shared" si="1296"/>
        <v>8</v>
      </c>
      <c r="F3404" s="275">
        <f t="shared" si="1297"/>
        <v>46615.5</v>
      </c>
      <c r="G3404" s="120">
        <f t="shared" si="1298"/>
        <v>24331</v>
      </c>
      <c r="H3404" s="245">
        <f t="shared" si="1299"/>
        <v>1</v>
      </c>
      <c r="I3404" s="121">
        <f t="shared" si="1300"/>
        <v>1.0712000000000002</v>
      </c>
      <c r="J3404" s="121">
        <f t="shared" si="1301"/>
        <v>1.0712000000000002</v>
      </c>
      <c r="K3404" s="120">
        <f t="shared" si="1302"/>
        <v>0</v>
      </c>
      <c r="L3404" s="120">
        <f t="shared" si="1303"/>
        <v>0</v>
      </c>
      <c r="M3404" s="246">
        <f t="shared" si="1304"/>
        <v>0</v>
      </c>
      <c r="N3404" s="121">
        <f t="shared" si="1305"/>
        <v>1.0712000000000002</v>
      </c>
      <c r="O3404" s="246">
        <f t="shared" si="1306"/>
        <v>0.90650437636761494</v>
      </c>
      <c r="P3404" s="121">
        <f t="shared" si="1307"/>
        <v>0</v>
      </c>
      <c r="Q3404" s="121">
        <f t="shared" si="1308"/>
        <v>0.75</v>
      </c>
      <c r="R3404" s="121">
        <f t="shared" si="1309"/>
        <v>0.25</v>
      </c>
      <c r="S3404" s="121" t="str">
        <f t="shared" si="1310"/>
        <v/>
      </c>
      <c r="T3404" s="121" t="str">
        <f t="shared" si="1311"/>
        <v/>
      </c>
      <c r="U3404" s="121">
        <f t="shared" si="1312"/>
        <v>1.0712000000000002</v>
      </c>
    </row>
    <row r="3405" spans="1:21" x14ac:dyDescent="0.3">
      <c r="A3405" s="187">
        <v>33</v>
      </c>
      <c r="B3405" s="242">
        <f t="shared" si="1313"/>
        <v>46631</v>
      </c>
      <c r="C3405" s="243">
        <f t="shared" si="1294"/>
        <v>46660</v>
      </c>
      <c r="D3405" s="120">
        <f t="shared" si="1295"/>
        <v>30</v>
      </c>
      <c r="E3405" s="120">
        <f t="shared" si="1296"/>
        <v>9</v>
      </c>
      <c r="F3405" s="275">
        <f t="shared" si="1297"/>
        <v>46646</v>
      </c>
      <c r="G3405" s="120">
        <f t="shared" si="1298"/>
        <v>24332</v>
      </c>
      <c r="H3405" s="245">
        <f t="shared" si="1299"/>
        <v>1</v>
      </c>
      <c r="I3405" s="121">
        <f t="shared" si="1300"/>
        <v>1.0712000000000002</v>
      </c>
      <c r="J3405" s="121">
        <f t="shared" si="1301"/>
        <v>1.0712000000000002</v>
      </c>
      <c r="K3405" s="120">
        <f t="shared" si="1302"/>
        <v>0</v>
      </c>
      <c r="L3405" s="120">
        <f t="shared" si="1303"/>
        <v>0</v>
      </c>
      <c r="M3405" s="246">
        <f t="shared" si="1304"/>
        <v>0</v>
      </c>
      <c r="N3405" s="121">
        <f t="shared" si="1305"/>
        <v>1.0712000000000002</v>
      </c>
      <c r="O3405" s="246">
        <f t="shared" si="1306"/>
        <v>0.90617067833698028</v>
      </c>
      <c r="P3405" s="121">
        <f t="shared" si="1307"/>
        <v>0</v>
      </c>
      <c r="Q3405" s="121">
        <f t="shared" si="1308"/>
        <v>0.58333333333333337</v>
      </c>
      <c r="R3405" s="121">
        <f t="shared" si="1309"/>
        <v>0.41666666666666663</v>
      </c>
      <c r="S3405" s="121" t="str">
        <f t="shared" si="1310"/>
        <v/>
      </c>
      <c r="T3405" s="121" t="str">
        <f t="shared" si="1311"/>
        <v/>
      </c>
      <c r="U3405" s="121">
        <f t="shared" si="1312"/>
        <v>1.0712000000000002</v>
      </c>
    </row>
    <row r="3406" spans="1:21" x14ac:dyDescent="0.3">
      <c r="A3406" s="187">
        <v>34</v>
      </c>
      <c r="B3406" s="242">
        <f t="shared" si="1313"/>
        <v>46661</v>
      </c>
      <c r="C3406" s="243">
        <f t="shared" si="1294"/>
        <v>46691</v>
      </c>
      <c r="D3406" s="120">
        <f t="shared" si="1295"/>
        <v>31</v>
      </c>
      <c r="E3406" s="120">
        <f t="shared" si="1296"/>
        <v>10</v>
      </c>
      <c r="F3406" s="275">
        <f t="shared" si="1297"/>
        <v>46676.5</v>
      </c>
      <c r="G3406" s="120">
        <f t="shared" si="1298"/>
        <v>24333</v>
      </c>
      <c r="H3406" s="245">
        <f t="shared" si="1299"/>
        <v>1</v>
      </c>
      <c r="I3406" s="121">
        <f t="shared" si="1300"/>
        <v>1.0712000000000002</v>
      </c>
      <c r="J3406" s="121">
        <f t="shared" si="1301"/>
        <v>1.0712000000000002</v>
      </c>
      <c r="K3406" s="120">
        <f t="shared" si="1302"/>
        <v>0</v>
      </c>
      <c r="L3406" s="120">
        <f t="shared" si="1303"/>
        <v>0</v>
      </c>
      <c r="M3406" s="246">
        <f t="shared" si="1304"/>
        <v>0</v>
      </c>
      <c r="N3406" s="121">
        <f t="shared" si="1305"/>
        <v>1.0712000000000002</v>
      </c>
      <c r="O3406" s="246">
        <f t="shared" si="1306"/>
        <v>0.90583698030634574</v>
      </c>
      <c r="P3406" s="121">
        <f t="shared" si="1307"/>
        <v>0</v>
      </c>
      <c r="Q3406" s="121">
        <f t="shared" si="1308"/>
        <v>0.41666666666666669</v>
      </c>
      <c r="R3406" s="121">
        <f t="shared" si="1309"/>
        <v>0.58333333333333326</v>
      </c>
      <c r="S3406" s="121" t="str">
        <f t="shared" si="1310"/>
        <v/>
      </c>
      <c r="T3406" s="121" t="str">
        <f t="shared" si="1311"/>
        <v/>
      </c>
      <c r="U3406" s="121">
        <f t="shared" si="1312"/>
        <v>1.0712000000000002</v>
      </c>
    </row>
    <row r="3407" spans="1:21" x14ac:dyDescent="0.3">
      <c r="A3407" s="187">
        <v>35</v>
      </c>
      <c r="B3407" s="242">
        <f t="shared" si="1313"/>
        <v>46692</v>
      </c>
      <c r="C3407" s="243">
        <f t="shared" si="1294"/>
        <v>46721</v>
      </c>
      <c r="D3407" s="120">
        <f t="shared" si="1295"/>
        <v>30</v>
      </c>
      <c r="E3407" s="120">
        <f t="shared" si="1296"/>
        <v>11</v>
      </c>
      <c r="F3407" s="275">
        <f t="shared" si="1297"/>
        <v>46707</v>
      </c>
      <c r="G3407" s="120">
        <f t="shared" si="1298"/>
        <v>24334</v>
      </c>
      <c r="H3407" s="245">
        <f t="shared" si="1299"/>
        <v>1</v>
      </c>
      <c r="I3407" s="121">
        <f t="shared" si="1300"/>
        <v>1.0712000000000002</v>
      </c>
      <c r="J3407" s="121">
        <f t="shared" si="1301"/>
        <v>1.0712000000000002</v>
      </c>
      <c r="K3407" s="120">
        <f t="shared" si="1302"/>
        <v>0</v>
      </c>
      <c r="L3407" s="120">
        <f t="shared" si="1303"/>
        <v>0</v>
      </c>
      <c r="M3407" s="246">
        <f t="shared" si="1304"/>
        <v>0</v>
      </c>
      <c r="N3407" s="121">
        <f t="shared" si="1305"/>
        <v>1.0712000000000002</v>
      </c>
      <c r="O3407" s="246">
        <f t="shared" si="1306"/>
        <v>0.9055032822757112</v>
      </c>
      <c r="P3407" s="121">
        <f t="shared" si="1307"/>
        <v>0</v>
      </c>
      <c r="Q3407" s="121">
        <f t="shared" si="1308"/>
        <v>0.25</v>
      </c>
      <c r="R3407" s="121">
        <f t="shared" si="1309"/>
        <v>0.75</v>
      </c>
      <c r="S3407" s="121" t="str">
        <f t="shared" si="1310"/>
        <v/>
      </c>
      <c r="T3407" s="121" t="str">
        <f t="shared" si="1311"/>
        <v/>
      </c>
      <c r="U3407" s="121">
        <f t="shared" si="1312"/>
        <v>1.0712000000000002</v>
      </c>
    </row>
    <row r="3408" spans="1:21" x14ac:dyDescent="0.3">
      <c r="A3408" s="187">
        <v>36</v>
      </c>
      <c r="B3408" s="242">
        <f t="shared" si="1313"/>
        <v>46722</v>
      </c>
      <c r="C3408" s="243">
        <f t="shared" si="1294"/>
        <v>46752</v>
      </c>
      <c r="D3408" s="120">
        <f t="shared" si="1295"/>
        <v>31</v>
      </c>
      <c r="E3408" s="120">
        <f t="shared" si="1296"/>
        <v>12</v>
      </c>
      <c r="F3408" s="275">
        <f t="shared" si="1297"/>
        <v>46737.5</v>
      </c>
      <c r="G3408" s="120">
        <f t="shared" si="1298"/>
        <v>24335</v>
      </c>
      <c r="H3408" s="245">
        <f t="shared" si="1299"/>
        <v>1</v>
      </c>
      <c r="I3408" s="121">
        <f t="shared" si="1300"/>
        <v>1.0712000000000002</v>
      </c>
      <c r="J3408" s="121">
        <f t="shared" si="1301"/>
        <v>1.0712000000000002</v>
      </c>
      <c r="K3408" s="120">
        <f t="shared" si="1302"/>
        <v>0</v>
      </c>
      <c r="L3408" s="120">
        <f t="shared" si="1303"/>
        <v>0</v>
      </c>
      <c r="M3408" s="246">
        <f t="shared" si="1304"/>
        <v>0</v>
      </c>
      <c r="N3408" s="121">
        <f t="shared" si="1305"/>
        <v>1.0712000000000002</v>
      </c>
      <c r="O3408" s="246">
        <f t="shared" si="1306"/>
        <v>0.90516958424507665</v>
      </c>
      <c r="P3408" s="121">
        <f t="shared" si="1307"/>
        <v>0</v>
      </c>
      <c r="Q3408" s="121">
        <f t="shared" si="1308"/>
        <v>8.3333333333333329E-2</v>
      </c>
      <c r="R3408" s="121">
        <f t="shared" si="1309"/>
        <v>0.91666666666666663</v>
      </c>
      <c r="S3408" s="121" t="str">
        <f t="shared" si="1310"/>
        <v/>
      </c>
      <c r="T3408" s="121" t="str">
        <f t="shared" si="1311"/>
        <v/>
      </c>
      <c r="U3408" s="121">
        <f t="shared" si="1312"/>
        <v>1.0712000000000002</v>
      </c>
    </row>
    <row r="3409" spans="1:21" x14ac:dyDescent="0.3">
      <c r="A3409" s="187">
        <v>37</v>
      </c>
      <c r="B3409" s="242">
        <f t="shared" si="1313"/>
        <v>46753</v>
      </c>
      <c r="C3409" s="243">
        <f t="shared" si="1294"/>
        <v>46783</v>
      </c>
      <c r="D3409" s="120">
        <f t="shared" si="1295"/>
        <v>31</v>
      </c>
      <c r="E3409" s="120">
        <f t="shared" si="1296"/>
        <v>1</v>
      </c>
      <c r="F3409" s="275">
        <f t="shared" si="1297"/>
        <v>46768.5</v>
      </c>
      <c r="G3409" s="120">
        <f t="shared" si="1298"/>
        <v>24336</v>
      </c>
      <c r="H3409" s="245">
        <f t="shared" si="1299"/>
        <v>1</v>
      </c>
      <c r="I3409" s="121">
        <f t="shared" si="1300"/>
        <v>1.0712000000000002</v>
      </c>
      <c r="J3409" s="121">
        <f t="shared" si="1301"/>
        <v>1.0712000000000002</v>
      </c>
      <c r="K3409" s="120">
        <f t="shared" si="1302"/>
        <v>0</v>
      </c>
      <c r="L3409" s="120">
        <f t="shared" si="1303"/>
        <v>0</v>
      </c>
      <c r="M3409" s="246">
        <f t="shared" si="1304"/>
        <v>0</v>
      </c>
      <c r="N3409" s="121">
        <f t="shared" si="1305"/>
        <v>1.0712000000000002</v>
      </c>
      <c r="O3409" s="246">
        <f t="shared" si="1306"/>
        <v>0.90500000000000003</v>
      </c>
      <c r="P3409" s="121">
        <f t="shared" si="1307"/>
        <v>0</v>
      </c>
      <c r="Q3409" s="121">
        <f t="shared" si="1308"/>
        <v>0</v>
      </c>
      <c r="R3409" s="121">
        <f t="shared" si="1309"/>
        <v>1</v>
      </c>
      <c r="S3409" s="121" t="str">
        <f t="shared" si="1310"/>
        <v/>
      </c>
      <c r="T3409" s="121" t="str">
        <f t="shared" si="1311"/>
        <v/>
      </c>
      <c r="U3409" s="121">
        <f t="shared" si="1312"/>
        <v>1.0712000000000002</v>
      </c>
    </row>
    <row r="3410" spans="1:21" x14ac:dyDescent="0.3">
      <c r="A3410" s="187">
        <v>38</v>
      </c>
      <c r="B3410" s="242">
        <f t="shared" si="1313"/>
        <v>46784</v>
      </c>
      <c r="C3410" s="243">
        <f t="shared" si="1294"/>
        <v>46812</v>
      </c>
      <c r="D3410" s="120">
        <f t="shared" si="1295"/>
        <v>29</v>
      </c>
      <c r="E3410" s="120">
        <f t="shared" si="1296"/>
        <v>2</v>
      </c>
      <c r="F3410" s="275">
        <f t="shared" si="1297"/>
        <v>46798.5</v>
      </c>
      <c r="G3410" s="120">
        <f t="shared" si="1298"/>
        <v>24337</v>
      </c>
      <c r="H3410" s="245">
        <f t="shared" si="1299"/>
        <v>1</v>
      </c>
      <c r="I3410" s="121">
        <f t="shared" si="1300"/>
        <v>1.0712000000000002</v>
      </c>
      <c r="J3410" s="121">
        <f t="shared" si="1301"/>
        <v>1.0712000000000002</v>
      </c>
      <c r="K3410" s="120">
        <f t="shared" si="1302"/>
        <v>0</v>
      </c>
      <c r="L3410" s="120">
        <f t="shared" si="1303"/>
        <v>0</v>
      </c>
      <c r="M3410" s="246">
        <f t="shared" si="1304"/>
        <v>0</v>
      </c>
      <c r="N3410" s="121">
        <f t="shared" si="1305"/>
        <v>1.0712000000000002</v>
      </c>
      <c r="O3410" s="246">
        <f t="shared" si="1306"/>
        <v>0.90500000000000003</v>
      </c>
      <c r="P3410" s="121">
        <f t="shared" si="1307"/>
        <v>0</v>
      </c>
      <c r="Q3410" s="121">
        <f t="shared" si="1308"/>
        <v>0</v>
      </c>
      <c r="R3410" s="121">
        <f t="shared" si="1309"/>
        <v>1</v>
      </c>
      <c r="S3410" s="121" t="str">
        <f t="shared" si="1310"/>
        <v/>
      </c>
      <c r="T3410" s="121" t="str">
        <f t="shared" si="1311"/>
        <v/>
      </c>
      <c r="U3410" s="121">
        <f t="shared" si="1312"/>
        <v>1.0712000000000002</v>
      </c>
    </row>
    <row r="3411" spans="1:21" x14ac:dyDescent="0.3">
      <c r="A3411" s="187">
        <v>39</v>
      </c>
      <c r="B3411" s="242">
        <f t="shared" si="1313"/>
        <v>46813</v>
      </c>
      <c r="C3411" s="243">
        <f t="shared" si="1294"/>
        <v>46843</v>
      </c>
      <c r="D3411" s="120">
        <f t="shared" si="1295"/>
        <v>31</v>
      </c>
      <c r="E3411" s="120">
        <f t="shared" si="1296"/>
        <v>3</v>
      </c>
      <c r="F3411" s="275">
        <f t="shared" si="1297"/>
        <v>46828.5</v>
      </c>
      <c r="G3411" s="120">
        <f t="shared" si="1298"/>
        <v>24338</v>
      </c>
      <c r="H3411" s="245">
        <f t="shared" si="1299"/>
        <v>1</v>
      </c>
      <c r="I3411" s="121">
        <f t="shared" si="1300"/>
        <v>1.0712000000000002</v>
      </c>
      <c r="J3411" s="121">
        <f t="shared" si="1301"/>
        <v>1.0712000000000002</v>
      </c>
      <c r="K3411" s="120">
        <f t="shared" si="1302"/>
        <v>0</v>
      </c>
      <c r="L3411" s="120">
        <f t="shared" si="1303"/>
        <v>0</v>
      </c>
      <c r="M3411" s="246">
        <f t="shared" si="1304"/>
        <v>0</v>
      </c>
      <c r="N3411" s="121">
        <f t="shared" si="1305"/>
        <v>1.0712000000000002</v>
      </c>
      <c r="O3411" s="246">
        <f t="shared" si="1306"/>
        <v>0.90500000000000003</v>
      </c>
      <c r="P3411" s="121">
        <f t="shared" si="1307"/>
        <v>0</v>
      </c>
      <c r="Q3411" s="121">
        <f t="shared" si="1308"/>
        <v>0</v>
      </c>
      <c r="R3411" s="121">
        <f t="shared" si="1309"/>
        <v>1</v>
      </c>
      <c r="S3411" s="121" t="str">
        <f t="shared" si="1310"/>
        <v/>
      </c>
      <c r="T3411" s="121" t="str">
        <f t="shared" si="1311"/>
        <v/>
      </c>
      <c r="U3411" s="121">
        <f t="shared" si="1312"/>
        <v>1.0712000000000002</v>
      </c>
    </row>
    <row r="3412" spans="1:21" x14ac:dyDescent="0.3">
      <c r="A3412" s="187">
        <v>40</v>
      </c>
      <c r="B3412" s="242">
        <f t="shared" si="1313"/>
        <v>46844</v>
      </c>
      <c r="C3412" s="243">
        <f t="shared" si="1294"/>
        <v>46873</v>
      </c>
      <c r="D3412" s="120">
        <f t="shared" si="1295"/>
        <v>30</v>
      </c>
      <c r="E3412" s="120">
        <f t="shared" si="1296"/>
        <v>4</v>
      </c>
      <c r="F3412" s="275">
        <f t="shared" si="1297"/>
        <v>46859</v>
      </c>
      <c r="G3412" s="120">
        <f t="shared" si="1298"/>
        <v>24339</v>
      </c>
      <c r="H3412" s="245">
        <f t="shared" si="1299"/>
        <v>1</v>
      </c>
      <c r="I3412" s="121">
        <f t="shared" si="1300"/>
        <v>1.0712000000000002</v>
      </c>
      <c r="J3412" s="121">
        <f t="shared" si="1301"/>
        <v>1.0712000000000002</v>
      </c>
      <c r="K3412" s="120">
        <f t="shared" si="1302"/>
        <v>0</v>
      </c>
      <c r="L3412" s="120">
        <f t="shared" si="1303"/>
        <v>0</v>
      </c>
      <c r="M3412" s="246">
        <f t="shared" si="1304"/>
        <v>0</v>
      </c>
      <c r="N3412" s="121">
        <f t="shared" si="1305"/>
        <v>1.0712000000000002</v>
      </c>
      <c r="O3412" s="246">
        <f t="shared" si="1306"/>
        <v>0.90500000000000003</v>
      </c>
      <c r="P3412" s="121">
        <f t="shared" si="1307"/>
        <v>0</v>
      </c>
      <c r="Q3412" s="121">
        <f t="shared" si="1308"/>
        <v>0</v>
      </c>
      <c r="R3412" s="121">
        <f t="shared" si="1309"/>
        <v>1</v>
      </c>
      <c r="S3412" s="121" t="str">
        <f t="shared" si="1310"/>
        <v/>
      </c>
      <c r="T3412" s="121" t="str">
        <f t="shared" si="1311"/>
        <v/>
      </c>
      <c r="U3412" s="121">
        <f t="shared" si="1312"/>
        <v>1.0712000000000002</v>
      </c>
    </row>
    <row r="3413" spans="1:21" x14ac:dyDescent="0.3">
      <c r="A3413" s="187">
        <v>41</v>
      </c>
      <c r="B3413" s="242">
        <f t="shared" si="1313"/>
        <v>46874</v>
      </c>
      <c r="C3413" s="243">
        <f t="shared" si="1294"/>
        <v>46904</v>
      </c>
      <c r="D3413" s="120">
        <f t="shared" si="1295"/>
        <v>31</v>
      </c>
      <c r="E3413" s="120">
        <f t="shared" si="1296"/>
        <v>5</v>
      </c>
      <c r="F3413" s="275">
        <f t="shared" si="1297"/>
        <v>46889.5</v>
      </c>
      <c r="G3413" s="120">
        <f t="shared" si="1298"/>
        <v>24340</v>
      </c>
      <c r="H3413" s="245">
        <f t="shared" si="1299"/>
        <v>1</v>
      </c>
      <c r="I3413" s="121">
        <f t="shared" si="1300"/>
        <v>1.0712000000000002</v>
      </c>
      <c r="J3413" s="121">
        <f t="shared" si="1301"/>
        <v>1.0712000000000002</v>
      </c>
      <c r="K3413" s="120">
        <f t="shared" si="1302"/>
        <v>0</v>
      </c>
      <c r="L3413" s="120">
        <f t="shared" si="1303"/>
        <v>0</v>
      </c>
      <c r="M3413" s="246">
        <f t="shared" si="1304"/>
        <v>0</v>
      </c>
      <c r="N3413" s="121">
        <f t="shared" si="1305"/>
        <v>1.0712000000000002</v>
      </c>
      <c r="O3413" s="246">
        <f t="shared" si="1306"/>
        <v>0.90500000000000003</v>
      </c>
      <c r="P3413" s="121">
        <f t="shared" si="1307"/>
        <v>0</v>
      </c>
      <c r="Q3413" s="121">
        <f t="shared" si="1308"/>
        <v>0</v>
      </c>
      <c r="R3413" s="121">
        <f t="shared" si="1309"/>
        <v>1</v>
      </c>
      <c r="S3413" s="121" t="str">
        <f t="shared" si="1310"/>
        <v/>
      </c>
      <c r="T3413" s="121" t="str">
        <f t="shared" si="1311"/>
        <v/>
      </c>
      <c r="U3413" s="121">
        <f t="shared" si="1312"/>
        <v>1.0712000000000002</v>
      </c>
    </row>
    <row r="3414" spans="1:21" x14ac:dyDescent="0.3">
      <c r="A3414" s="187">
        <v>42</v>
      </c>
      <c r="B3414" s="242">
        <f t="shared" si="1313"/>
        <v>46905</v>
      </c>
      <c r="C3414" s="243">
        <f t="shared" si="1294"/>
        <v>46934</v>
      </c>
      <c r="D3414" s="120">
        <f t="shared" si="1295"/>
        <v>30</v>
      </c>
      <c r="E3414" s="120">
        <f t="shared" si="1296"/>
        <v>6</v>
      </c>
      <c r="F3414" s="275">
        <f t="shared" si="1297"/>
        <v>46920</v>
      </c>
      <c r="G3414" s="120">
        <f t="shared" si="1298"/>
        <v>24341</v>
      </c>
      <c r="H3414" s="245">
        <f t="shared" si="1299"/>
        <v>1</v>
      </c>
      <c r="I3414" s="121">
        <f t="shared" si="1300"/>
        <v>1.0712000000000002</v>
      </c>
      <c r="J3414" s="121">
        <f t="shared" si="1301"/>
        <v>1.0712000000000002</v>
      </c>
      <c r="K3414" s="120">
        <f t="shared" si="1302"/>
        <v>0</v>
      </c>
      <c r="L3414" s="120">
        <f t="shared" si="1303"/>
        <v>0</v>
      </c>
      <c r="M3414" s="246">
        <f t="shared" si="1304"/>
        <v>0</v>
      </c>
      <c r="N3414" s="121">
        <f t="shared" si="1305"/>
        <v>1.0712000000000002</v>
      </c>
      <c r="O3414" s="246">
        <f t="shared" si="1306"/>
        <v>0.90500000000000003</v>
      </c>
      <c r="P3414" s="121">
        <f t="shared" si="1307"/>
        <v>0</v>
      </c>
      <c r="Q3414" s="121">
        <f t="shared" si="1308"/>
        <v>0</v>
      </c>
      <c r="R3414" s="121">
        <f t="shared" si="1309"/>
        <v>1</v>
      </c>
      <c r="S3414" s="121" t="str">
        <f t="shared" si="1310"/>
        <v/>
      </c>
      <c r="T3414" s="121" t="str">
        <f t="shared" si="1311"/>
        <v/>
      </c>
      <c r="U3414" s="121">
        <f t="shared" si="1312"/>
        <v>1.0712000000000002</v>
      </c>
    </row>
    <row r="3415" spans="1:21" x14ac:dyDescent="0.3">
      <c r="A3415" s="187">
        <v>43</v>
      </c>
      <c r="B3415" s="242">
        <f t="shared" si="1313"/>
        <v>46935</v>
      </c>
      <c r="C3415" s="243">
        <f t="shared" si="1294"/>
        <v>46965</v>
      </c>
      <c r="D3415" s="120">
        <f t="shared" si="1295"/>
        <v>31</v>
      </c>
      <c r="E3415" s="120">
        <f t="shared" si="1296"/>
        <v>7</v>
      </c>
      <c r="F3415" s="275">
        <f t="shared" si="1297"/>
        <v>46950.5</v>
      </c>
      <c r="G3415" s="120">
        <f t="shared" si="1298"/>
        <v>24342</v>
      </c>
      <c r="H3415" s="245">
        <f t="shared" si="1299"/>
        <v>1</v>
      </c>
      <c r="I3415" s="121">
        <f t="shared" si="1300"/>
        <v>1.0712000000000002</v>
      </c>
      <c r="J3415" s="121">
        <f t="shared" si="1301"/>
        <v>1.0712000000000002</v>
      </c>
      <c r="K3415" s="120">
        <f t="shared" si="1302"/>
        <v>0</v>
      </c>
      <c r="L3415" s="120">
        <f t="shared" si="1303"/>
        <v>0</v>
      </c>
      <c r="M3415" s="246">
        <f t="shared" si="1304"/>
        <v>0</v>
      </c>
      <c r="N3415" s="121">
        <f t="shared" si="1305"/>
        <v>1.0712000000000002</v>
      </c>
      <c r="O3415" s="246">
        <f t="shared" si="1306"/>
        <v>0.90500000000000003</v>
      </c>
      <c r="P3415" s="121">
        <f t="shared" si="1307"/>
        <v>0</v>
      </c>
      <c r="Q3415" s="121">
        <f t="shared" si="1308"/>
        <v>0</v>
      </c>
      <c r="R3415" s="121">
        <f t="shared" si="1309"/>
        <v>0.91666666666666663</v>
      </c>
      <c r="S3415" s="121" t="str">
        <f t="shared" si="1310"/>
        <v/>
      </c>
      <c r="T3415" s="121" t="str">
        <f t="shared" si="1311"/>
        <v/>
      </c>
      <c r="U3415" s="121">
        <f t="shared" si="1312"/>
        <v>1.0712000000000002</v>
      </c>
    </row>
    <row r="3416" spans="1:21" x14ac:dyDescent="0.3">
      <c r="A3416" s="187">
        <v>44</v>
      </c>
      <c r="B3416" s="242">
        <f t="shared" si="1313"/>
        <v>46966</v>
      </c>
      <c r="C3416" s="243">
        <f t="shared" si="1294"/>
        <v>46996</v>
      </c>
      <c r="D3416" s="120">
        <f t="shared" si="1295"/>
        <v>31</v>
      </c>
      <c r="E3416" s="120">
        <f t="shared" si="1296"/>
        <v>8</v>
      </c>
      <c r="F3416" s="275">
        <f t="shared" si="1297"/>
        <v>46981.5</v>
      </c>
      <c r="G3416" s="120">
        <f t="shared" si="1298"/>
        <v>24343</v>
      </c>
      <c r="H3416" s="245">
        <f t="shared" si="1299"/>
        <v>1</v>
      </c>
      <c r="I3416" s="121">
        <f t="shared" si="1300"/>
        <v>1.0712000000000002</v>
      </c>
      <c r="J3416" s="121">
        <f t="shared" si="1301"/>
        <v>1.0712000000000002</v>
      </c>
      <c r="K3416" s="120">
        <f t="shared" si="1302"/>
        <v>0</v>
      </c>
      <c r="L3416" s="120">
        <f t="shared" si="1303"/>
        <v>0</v>
      </c>
      <c r="M3416" s="246">
        <f t="shared" si="1304"/>
        <v>0</v>
      </c>
      <c r="N3416" s="121">
        <f t="shared" si="1305"/>
        <v>1.0712000000000002</v>
      </c>
      <c r="O3416" s="246">
        <f t="shared" si="1306"/>
        <v>0.90500000000000003</v>
      </c>
      <c r="P3416" s="121">
        <f t="shared" si="1307"/>
        <v>0</v>
      </c>
      <c r="Q3416" s="121">
        <f t="shared" si="1308"/>
        <v>0</v>
      </c>
      <c r="R3416" s="121">
        <f t="shared" si="1309"/>
        <v>0.75</v>
      </c>
      <c r="S3416" s="121" t="str">
        <f t="shared" si="1310"/>
        <v/>
      </c>
      <c r="T3416" s="121" t="str">
        <f t="shared" si="1311"/>
        <v/>
      </c>
      <c r="U3416" s="121">
        <f t="shared" si="1312"/>
        <v>1.0712000000000002</v>
      </c>
    </row>
    <row r="3417" spans="1:21" x14ac:dyDescent="0.3">
      <c r="A3417" s="187">
        <v>45</v>
      </c>
      <c r="B3417" s="242">
        <f t="shared" si="1313"/>
        <v>46997</v>
      </c>
      <c r="C3417" s="243">
        <f t="shared" si="1294"/>
        <v>47026</v>
      </c>
      <c r="D3417" s="120">
        <f t="shared" si="1295"/>
        <v>30</v>
      </c>
      <c r="E3417" s="120">
        <f t="shared" si="1296"/>
        <v>9</v>
      </c>
      <c r="F3417" s="275">
        <f t="shared" si="1297"/>
        <v>47012</v>
      </c>
      <c r="G3417" s="120">
        <f t="shared" si="1298"/>
        <v>24344</v>
      </c>
      <c r="H3417" s="245">
        <f t="shared" si="1299"/>
        <v>1</v>
      </c>
      <c r="I3417" s="121">
        <f t="shared" si="1300"/>
        <v>1.0712000000000002</v>
      </c>
      <c r="J3417" s="121">
        <f t="shared" si="1301"/>
        <v>1.0712000000000002</v>
      </c>
      <c r="K3417" s="120">
        <f t="shared" si="1302"/>
        <v>0</v>
      </c>
      <c r="L3417" s="120">
        <f t="shared" si="1303"/>
        <v>0</v>
      </c>
      <c r="M3417" s="246">
        <f t="shared" si="1304"/>
        <v>0</v>
      </c>
      <c r="N3417" s="121">
        <f t="shared" si="1305"/>
        <v>1.0712000000000002</v>
      </c>
      <c r="O3417" s="246">
        <f t="shared" si="1306"/>
        <v>0.90500000000000003</v>
      </c>
      <c r="P3417" s="121">
        <f t="shared" si="1307"/>
        <v>0</v>
      </c>
      <c r="Q3417" s="121">
        <f t="shared" si="1308"/>
        <v>0</v>
      </c>
      <c r="R3417" s="121">
        <f t="shared" si="1309"/>
        <v>0.58333333333333337</v>
      </c>
      <c r="S3417" s="121" t="str">
        <f t="shared" si="1310"/>
        <v/>
      </c>
      <c r="T3417" s="121" t="str">
        <f t="shared" si="1311"/>
        <v/>
      </c>
      <c r="U3417" s="121">
        <f t="shared" si="1312"/>
        <v>1.0712000000000002</v>
      </c>
    </row>
    <row r="3418" spans="1:21" x14ac:dyDescent="0.3">
      <c r="A3418" s="187">
        <v>46</v>
      </c>
      <c r="B3418" s="242">
        <f t="shared" si="1313"/>
        <v>47027</v>
      </c>
      <c r="C3418" s="243">
        <f t="shared" si="1294"/>
        <v>47057</v>
      </c>
      <c r="D3418" s="120">
        <f t="shared" si="1295"/>
        <v>31</v>
      </c>
      <c r="E3418" s="120">
        <f t="shared" si="1296"/>
        <v>10</v>
      </c>
      <c r="F3418" s="275">
        <f t="shared" si="1297"/>
        <v>47042.5</v>
      </c>
      <c r="G3418" s="120">
        <f t="shared" si="1298"/>
        <v>24345</v>
      </c>
      <c r="H3418" s="245">
        <f t="shared" si="1299"/>
        <v>1</v>
      </c>
      <c r="I3418" s="121">
        <f t="shared" si="1300"/>
        <v>1.0712000000000002</v>
      </c>
      <c r="J3418" s="121">
        <f t="shared" si="1301"/>
        <v>1.0712000000000002</v>
      </c>
      <c r="K3418" s="120">
        <f t="shared" si="1302"/>
        <v>0</v>
      </c>
      <c r="L3418" s="120">
        <f t="shared" si="1303"/>
        <v>0</v>
      </c>
      <c r="M3418" s="246">
        <f t="shared" si="1304"/>
        <v>0</v>
      </c>
      <c r="N3418" s="121">
        <f t="shared" si="1305"/>
        <v>1.0712000000000002</v>
      </c>
      <c r="O3418" s="246">
        <f t="shared" si="1306"/>
        <v>0.90500000000000003</v>
      </c>
      <c r="P3418" s="121">
        <f t="shared" si="1307"/>
        <v>0</v>
      </c>
      <c r="Q3418" s="121">
        <f t="shared" si="1308"/>
        <v>0</v>
      </c>
      <c r="R3418" s="121">
        <f t="shared" si="1309"/>
        <v>0.41666666666666669</v>
      </c>
      <c r="S3418" s="121" t="str">
        <f t="shared" si="1310"/>
        <v/>
      </c>
      <c r="T3418" s="121" t="str">
        <f t="shared" si="1311"/>
        <v/>
      </c>
      <c r="U3418" s="121">
        <f t="shared" si="1312"/>
        <v>1.0712000000000002</v>
      </c>
    </row>
    <row r="3419" spans="1:21" x14ac:dyDescent="0.3">
      <c r="A3419" s="187">
        <v>47</v>
      </c>
      <c r="B3419" s="242">
        <f t="shared" si="1313"/>
        <v>47058</v>
      </c>
      <c r="C3419" s="243">
        <f t="shared" si="1294"/>
        <v>47087</v>
      </c>
      <c r="D3419" s="120">
        <f t="shared" si="1295"/>
        <v>30</v>
      </c>
      <c r="E3419" s="120">
        <f t="shared" si="1296"/>
        <v>11</v>
      </c>
      <c r="F3419" s="275">
        <f t="shared" si="1297"/>
        <v>47073</v>
      </c>
      <c r="G3419" s="120">
        <f t="shared" si="1298"/>
        <v>24346</v>
      </c>
      <c r="H3419" s="245">
        <f t="shared" si="1299"/>
        <v>1</v>
      </c>
      <c r="I3419" s="121">
        <f t="shared" si="1300"/>
        <v>1.0712000000000002</v>
      </c>
      <c r="J3419" s="121">
        <f t="shared" si="1301"/>
        <v>1.0712000000000002</v>
      </c>
      <c r="K3419" s="120">
        <f t="shared" si="1302"/>
        <v>0</v>
      </c>
      <c r="L3419" s="120">
        <f t="shared" si="1303"/>
        <v>0</v>
      </c>
      <c r="M3419" s="246">
        <f t="shared" si="1304"/>
        <v>0</v>
      </c>
      <c r="N3419" s="121">
        <f t="shared" si="1305"/>
        <v>1.0712000000000002</v>
      </c>
      <c r="O3419" s="246">
        <f t="shared" si="1306"/>
        <v>0.90500000000000003</v>
      </c>
      <c r="P3419" s="121">
        <f t="shared" si="1307"/>
        <v>0</v>
      </c>
      <c r="Q3419" s="121">
        <f t="shared" si="1308"/>
        <v>0</v>
      </c>
      <c r="R3419" s="121">
        <f t="shared" si="1309"/>
        <v>0.25</v>
      </c>
      <c r="S3419" s="121" t="str">
        <f t="shared" si="1310"/>
        <v/>
      </c>
      <c r="T3419" s="121" t="str">
        <f t="shared" si="1311"/>
        <v/>
      </c>
      <c r="U3419" s="121">
        <f t="shared" si="1312"/>
        <v>1.0712000000000002</v>
      </c>
    </row>
    <row r="3420" spans="1:21" x14ac:dyDescent="0.3">
      <c r="A3420" s="187">
        <v>48</v>
      </c>
      <c r="B3420" s="242">
        <f t="shared" si="1313"/>
        <v>47088</v>
      </c>
      <c r="C3420" s="243">
        <f t="shared" si="1294"/>
        <v>47118</v>
      </c>
      <c r="D3420" s="120">
        <f t="shared" si="1295"/>
        <v>31</v>
      </c>
      <c r="E3420" s="120">
        <f t="shared" si="1296"/>
        <v>12</v>
      </c>
      <c r="F3420" s="275">
        <f t="shared" si="1297"/>
        <v>47103.5</v>
      </c>
      <c r="G3420" s="120">
        <f t="shared" si="1298"/>
        <v>24347</v>
      </c>
      <c r="H3420" s="245">
        <f t="shared" si="1299"/>
        <v>1</v>
      </c>
      <c r="I3420" s="121">
        <f t="shared" si="1300"/>
        <v>1.0712000000000002</v>
      </c>
      <c r="J3420" s="121">
        <f t="shared" si="1301"/>
        <v>1.0712000000000002</v>
      </c>
      <c r="K3420" s="120">
        <f t="shared" si="1302"/>
        <v>0</v>
      </c>
      <c r="L3420" s="120">
        <f t="shared" si="1303"/>
        <v>0</v>
      </c>
      <c r="M3420" s="246">
        <f t="shared" si="1304"/>
        <v>0</v>
      </c>
      <c r="N3420" s="121">
        <f t="shared" si="1305"/>
        <v>1.0712000000000002</v>
      </c>
      <c r="O3420" s="246">
        <f t="shared" si="1306"/>
        <v>0.90500000000000003</v>
      </c>
      <c r="P3420" s="121">
        <f t="shared" si="1307"/>
        <v>0</v>
      </c>
      <c r="Q3420" s="121">
        <f t="shared" si="1308"/>
        <v>0</v>
      </c>
      <c r="R3420" s="121">
        <f t="shared" si="1309"/>
        <v>8.3333333333333329E-2</v>
      </c>
      <c r="S3420" s="121" t="str">
        <f t="shared" si="1310"/>
        <v/>
      </c>
      <c r="T3420" s="121" t="str">
        <f t="shared" si="1311"/>
        <v/>
      </c>
      <c r="U3420" s="121">
        <f t="shared" si="1312"/>
        <v>1.0712000000000002</v>
      </c>
    </row>
    <row r="3421" spans="1:21" x14ac:dyDescent="0.3">
      <c r="A3421" s="6" t="s">
        <v>1651</v>
      </c>
      <c r="B3421" s="73">
        <f>EXP(SUMPRODUCT((rl_key=$A$3370)*(rl_cons="Y")*rl_ln1p))</f>
        <v>1.03</v>
      </c>
      <c r="C3421" s="73">
        <f>SUMPRODUCT($H$3373:$H$3420,$P$3373:$P$3420,$U$3373:$U$3420)/SUMPRODUCT($H$3373:$H$3420,$P$3373:$P$3420)</f>
        <v>1.0199999999999998</v>
      </c>
      <c r="D3421" s="73">
        <f>SUMPRODUCT($H$3373:$H$3420,$Q$3373:$Q$3420,$U$3373:$U$3420)/SUMPRODUCT($H$3373:$H$3420,$Q$3373:$Q$3420)</f>
        <v>1.057466666666667</v>
      </c>
      <c r="E3421" s="73">
        <f>SUMPRODUCT($H$3373:$H$3420,$R$3373:$R$3420,$U$3373:$U$3420)/SUMPRODUCT($H$3373:$H$3420,$R$3373:$R$3420)</f>
        <v>1.0712000000000004</v>
      </c>
      <c r="F3421" s="224">
        <f>SUMPRODUCT($H$3373:$H$3420,$Q$3373:$Q$3420,$O$3373:$O$3420)/SUMPRODUCT($H$3373:$H$3420,$Q$3373:$Q$3420)</f>
        <v>0.9080037381473377</v>
      </c>
      <c r="G3421" s="224">
        <f>SUMPRODUCT($H$3373:$H$3420,$R$3373:$R$3420,$O$3373:$O$3420)/SUMPRODUCT($H$3373:$H$3420,$R$3373:$R$3420)</f>
        <v>0.90516988815949428</v>
      </c>
      <c r="H3421" s="73">
        <f>SUMPRODUCT($H$3397:$H$3408,$N$3397:$N$3408/$N$3385:$N$3396)/SUM($H$3397:$H$3408)</f>
        <v>1.0391666666666666</v>
      </c>
      <c r="I3421" s="73">
        <f>SUMPRODUCT($H$3397:$H$3408,$O$3397:$O$3408/$O$3385:$O$3396)/SUM($H$3397:$H$3408)</f>
        <v>0.99561641381999111</v>
      </c>
      <c r="J3421" s="73">
        <f>IF($O$3370=1,SUMPRODUCT($H$3397:$H$3408,$N$3397:$N$3408/$N$3385:$N$3396*$O$3397:$O$3408/$O$3385:$O$3396)/SUM($H$3397:$H$3408),$H3421)</f>
        <v>1.0346113827448165</v>
      </c>
      <c r="K3421" s="73">
        <f>SUMPRODUCT($H$3373:$H$3420,$Q$3373:$Q$3420,$N$3373:$N$3420)/SUMPRODUCT($H$3373:$H$3420,$Q$3373:$Q$3420)</f>
        <v>1.057466666666667</v>
      </c>
      <c r="L3421" s="73">
        <f>SUMPRODUCT($H$3373:$H$3420,$R$3373:$R$3420,$N$3373:$N$3420)/SUMPRODUCT($H$3373:$H$3420,$R$3373:$R$3420)</f>
        <v>1.0712000000000004</v>
      </c>
    </row>
    <row r="3424" spans="1:21" x14ac:dyDescent="0.3">
      <c r="A3424" s="6" t="str">
        <f>INDEX(lr_key,63)</f>
        <v>SBA|WI</v>
      </c>
      <c r="B3424" s="6" t="str">
        <f>INDEX(lr_state,63)</f>
        <v>WI</v>
      </c>
      <c r="C3424" s="75">
        <f>nr_TermMonths</f>
        <v>6</v>
      </c>
      <c r="D3424" s="75">
        <f>IF(COUNTIF(se_state,$B3424)=0,0,MATCH($B3424,se_state,0))</f>
        <v>0</v>
      </c>
      <c r="E3424" s="70">
        <f>IF($D3424=0,0,INDEX(se_sum,$D3424))</f>
        <v>0</v>
      </c>
      <c r="F3424" s="224">
        <f>IF(N(INDEX(lr_mind,63))=0,1,INDEX(lr_mind,63))</f>
        <v>0.92</v>
      </c>
      <c r="G3424" s="224">
        <f>IF(N(INDEX(lr_m0,63))=0,1,INDEX(lr_m0,63))</f>
        <v>0.91</v>
      </c>
      <c r="H3424" s="74">
        <f>IF(N(INDEX(lr_m0asof,63))=0,DATE(nr_PlanYear-1,10,1),INDEX(lr_m0asof,63))</f>
        <v>46295</v>
      </c>
      <c r="I3424" s="224">
        <f>IF(N(INDEX(lr_m1,63))=0,1,INDEX(lr_m1,63))</f>
        <v>0.92</v>
      </c>
      <c r="J3424" s="224">
        <f>INDEX(lr_mprior,63)</f>
        <v>0</v>
      </c>
      <c r="K3424" s="224">
        <f>INDEX(lr_m2,63)</f>
        <v>0</v>
      </c>
      <c r="L3424" s="6" t="b">
        <f>NOT(ISBLANK(INDEX(lr_netp,63)))</f>
        <v>0</v>
      </c>
      <c r="M3424" s="72">
        <f>N(INDEX(lr_netp,63))</f>
        <v>0</v>
      </c>
      <c r="N3424" s="72">
        <f>IF(ISBLANK(INDEX(lr_netp1,63)),$M$3424,N(INDEX(lr_netp1,63)))</f>
        <v>0</v>
      </c>
      <c r="O3424" s="75">
        <f>IF(AND(nr_ModAdjMaster="ON",INDEX(lr_modadj,63)="ON"),1,0)</f>
        <v>1</v>
      </c>
    </row>
    <row r="3425" spans="1:21" x14ac:dyDescent="0.3">
      <c r="A3425" s="6">
        <f>EDATE($H$3424,-12)+1</f>
        <v>45931</v>
      </c>
      <c r="B3425" s="6">
        <f>$H$3424+1</f>
        <v>46296</v>
      </c>
      <c r="C3425" s="6">
        <f>DATE(nr_PlanYear,12,31)+1</f>
        <v>46753</v>
      </c>
      <c r="D3425" s="6">
        <f>DATE(nr_PlanYear+1,12,31)+1</f>
        <v>47119</v>
      </c>
      <c r="E3425" s="6">
        <f>IF(N($J$3424)=0,$F$3425-($G$3425-$F$3425)/($C$3425-$B$3425)*($B$3425-$A$3425),$J$3424)</f>
        <v>0.9020131291028447</v>
      </c>
      <c r="F3425" s="6">
        <f>$G$3424</f>
        <v>0.91</v>
      </c>
      <c r="G3425" s="6">
        <f>$I$3424</f>
        <v>0.92</v>
      </c>
      <c r="H3425" s="6">
        <f>IF(N($K$3424)=0,$I$3424,$K$3424)</f>
        <v>0.92</v>
      </c>
      <c r="I3425" s="6">
        <f>($F$3425-$E$3425)/($B$3425-$A$3425)</f>
        <v>2.1881838074398162E-5</v>
      </c>
      <c r="J3425" s="6">
        <f>($G$3425-$F$3425)/($C$3425-$B$3425)</f>
        <v>2.188183807439827E-5</v>
      </c>
      <c r="K3425" s="6">
        <f>($H$3425-$G$3425)/($D$3425-$C$3425)</f>
        <v>0</v>
      </c>
    </row>
    <row r="3426" spans="1:21" ht="36" x14ac:dyDescent="0.3">
      <c r="A3426" s="58" t="s">
        <v>390</v>
      </c>
      <c r="B3426" s="58" t="s">
        <v>449</v>
      </c>
      <c r="C3426" s="58" t="s">
        <v>685</v>
      </c>
      <c r="D3426" s="58" t="s">
        <v>686</v>
      </c>
      <c r="E3426" s="58" t="s">
        <v>687</v>
      </c>
      <c r="F3426" s="58" t="s">
        <v>688</v>
      </c>
      <c r="G3426" s="58" t="s">
        <v>689</v>
      </c>
      <c r="H3426" s="58" t="s">
        <v>452</v>
      </c>
      <c r="I3426" s="58" t="s">
        <v>690</v>
      </c>
      <c r="J3426" s="58" t="s">
        <v>691</v>
      </c>
      <c r="K3426" s="58" t="s">
        <v>692</v>
      </c>
      <c r="L3426" s="58" t="s">
        <v>693</v>
      </c>
      <c r="M3426" s="58" t="s">
        <v>694</v>
      </c>
      <c r="N3426" s="58" t="s">
        <v>695</v>
      </c>
      <c r="O3426" s="58" t="s">
        <v>696</v>
      </c>
      <c r="P3426" s="58" t="s">
        <v>697</v>
      </c>
      <c r="Q3426" s="58" t="s">
        <v>698</v>
      </c>
      <c r="R3426" s="58" t="s">
        <v>699</v>
      </c>
      <c r="S3426" s="58" t="s">
        <v>700</v>
      </c>
      <c r="T3426" s="58" t="s">
        <v>701</v>
      </c>
      <c r="U3426" s="58" t="s">
        <v>702</v>
      </c>
    </row>
    <row r="3427" spans="1:21" x14ac:dyDescent="0.3">
      <c r="A3427" s="187">
        <v>1</v>
      </c>
      <c r="B3427" s="242">
        <f>DATE(nr_PlanYear-2,1,1)</f>
        <v>45658</v>
      </c>
      <c r="C3427" s="243">
        <f t="shared" ref="C3427:C3474" si="1314">EOMONTH($B3427,0)</f>
        <v>45688</v>
      </c>
      <c r="D3427" s="120">
        <f t="shared" ref="D3427:D3474" si="1315">$C3427-$B3427+1</f>
        <v>31</v>
      </c>
      <c r="E3427" s="120">
        <f t="shared" ref="E3427:E3474" si="1316">MONTH($B3427)</f>
        <v>1</v>
      </c>
      <c r="F3427" s="275">
        <f t="shared" ref="F3427:F3474" si="1317">($B3427+$C3427+1)/2</f>
        <v>45673.5</v>
      </c>
      <c r="G3427" s="120">
        <f t="shared" ref="G3427:G3474" si="1318">YEAR($B3427)*12+MONTH($B3427)-1</f>
        <v>24300</v>
      </c>
      <c r="H3427" s="245">
        <f t="shared" ref="H3427:H3474" si="1319">IF(OR(nr_SeasonOn="OFF",$D$3424=0,$E$3424=0),1,12*INDEX(se_block,$D$3424,$E3427)/$E$3424)</f>
        <v>1</v>
      </c>
      <c r="I3427" s="121">
        <f t="shared" ref="I3427:I3474" si="1320">EXP(SUMPRODUCT((rl_eff&lt;$B3427)*(rl_key=$A$3424)*rl_ln1p))</f>
        <v>1</v>
      </c>
      <c r="J3427" s="121">
        <f t="shared" ref="J3427:J3474" si="1321">EXP(SUMPRODUCT((rl_eff&lt;=$C3427)*(rl_key=$A$3424)*rl_ln1p))</f>
        <v>1</v>
      </c>
      <c r="K3427" s="120">
        <f t="shared" ref="K3427:K3474" si="1322">COUNTIFS(rl_key,$A$3424,rl_eff,"&gt;="&amp;$B3427,rl_eff,"&lt;="&amp;$C3427)</f>
        <v>0</v>
      </c>
      <c r="L3427" s="120">
        <f t="shared" ref="L3427:L3474" si="1323">SUMIFS(rl_daysafter,rl_key,$A$3424,rl_effmonth,$B3427,rl_first,1)</f>
        <v>0</v>
      </c>
      <c r="M3427" s="246">
        <f t="shared" ref="M3427:M3474" si="1324">IF($K3427=0,0,MIN(1,$L3427/$D3427))</f>
        <v>0</v>
      </c>
      <c r="N3427" s="121">
        <f t="shared" ref="N3427:N3474" si="1325">IF($K3427=0,$J3427,(1-$M3427)*$I3427+$M3427*$J3427)</f>
        <v>1</v>
      </c>
      <c r="O3427" s="246">
        <f t="shared" ref="O3427:O3474" si="1326">IF($F3427&lt;$B$3425,$E$3425+$I$3425*($F3427-$A$3425),IF($F3427&lt;$C$3425,$F$3425+$J$3425*($F3427-$B$3425),$G$3425+$K$3425*($F3427-$C$3425)))</f>
        <v>0.89637855579868719</v>
      </c>
      <c r="P3427" s="121">
        <f t="shared" ref="P3427:P3474" si="1327">MIN(1,MAX(0,(nr_MEndPm1-$G3427+0.5)/$C$3424))-MIN(1,MAX(0,(nr_MStartPm1-1-$G3427+0.5)/$C$3424))</f>
        <v>0</v>
      </c>
      <c r="Q3427" s="121">
        <f t="shared" ref="Q3427:Q3474" si="1328">MIN(1,MAX(0,(nr_MEndP-$G3427+0.5)/$C$3424))-MIN(1,MAX(0,(nr_MStartP-1-$G3427+0.5)/$C$3424))</f>
        <v>0</v>
      </c>
      <c r="R3427" s="121">
        <f t="shared" ref="R3427:R3474" si="1329">MIN(1,MAX(0,(nr_MEndP1-$G3427+0.5)/$C$3424))-MIN(1,MAX(0,(nr_MStartP1-1-$G3427+0.5)/$C$3424))</f>
        <v>0</v>
      </c>
      <c r="S3427" s="121" t="str">
        <f t="shared" ref="S3427:S3474" si="1330">IF($L$3424,$N3427*IF($O$3424=1,$O3427/$F$3424,1),"")</f>
        <v/>
      </c>
      <c r="T3427" s="121" t="str">
        <f t="shared" ref="T3427:T3474" si="1331">IF(NOT($L$3424),"",IF($G3427&lt;nr_MStartP,$S3427,$T3415*(1+IF($G3427&lt;nr_MStartP1,$M$3424,$N$3424))))</f>
        <v/>
      </c>
      <c r="U3427" s="121">
        <f t="shared" ref="U3427:U3474" si="1332">IF($L$3424,$T3427,$N3427)</f>
        <v>1</v>
      </c>
    </row>
    <row r="3428" spans="1:21" x14ac:dyDescent="0.3">
      <c r="A3428" s="187">
        <v>2</v>
      </c>
      <c r="B3428" s="242">
        <f t="shared" ref="B3428:B3474" si="1333">EDATE($B3427,1)</f>
        <v>45689</v>
      </c>
      <c r="C3428" s="243">
        <f t="shared" si="1314"/>
        <v>45716</v>
      </c>
      <c r="D3428" s="120">
        <f t="shared" si="1315"/>
        <v>28</v>
      </c>
      <c r="E3428" s="120">
        <f t="shared" si="1316"/>
        <v>2</v>
      </c>
      <c r="F3428" s="275">
        <f t="shared" si="1317"/>
        <v>45703</v>
      </c>
      <c r="G3428" s="120">
        <f t="shared" si="1318"/>
        <v>24301</v>
      </c>
      <c r="H3428" s="245">
        <f t="shared" si="1319"/>
        <v>1</v>
      </c>
      <c r="I3428" s="121">
        <f t="shared" si="1320"/>
        <v>1</v>
      </c>
      <c r="J3428" s="121">
        <f t="shared" si="1321"/>
        <v>1</v>
      </c>
      <c r="K3428" s="120">
        <f t="shared" si="1322"/>
        <v>0</v>
      </c>
      <c r="L3428" s="120">
        <f t="shared" si="1323"/>
        <v>0</v>
      </c>
      <c r="M3428" s="246">
        <f t="shared" si="1324"/>
        <v>0</v>
      </c>
      <c r="N3428" s="121">
        <f t="shared" si="1325"/>
        <v>1</v>
      </c>
      <c r="O3428" s="246">
        <f t="shared" si="1326"/>
        <v>0.89702407002188189</v>
      </c>
      <c r="P3428" s="121">
        <f t="shared" si="1327"/>
        <v>0</v>
      </c>
      <c r="Q3428" s="121">
        <f t="shared" si="1328"/>
        <v>0</v>
      </c>
      <c r="R3428" s="121">
        <f t="shared" si="1329"/>
        <v>0</v>
      </c>
      <c r="S3428" s="121" t="str">
        <f t="shared" si="1330"/>
        <v/>
      </c>
      <c r="T3428" s="121" t="str">
        <f t="shared" si="1331"/>
        <v/>
      </c>
      <c r="U3428" s="121">
        <f t="shared" si="1332"/>
        <v>1</v>
      </c>
    </row>
    <row r="3429" spans="1:21" x14ac:dyDescent="0.3">
      <c r="A3429" s="187">
        <v>3</v>
      </c>
      <c r="B3429" s="242">
        <f t="shared" si="1333"/>
        <v>45717</v>
      </c>
      <c r="C3429" s="243">
        <f t="shared" si="1314"/>
        <v>45747</v>
      </c>
      <c r="D3429" s="120">
        <f t="shared" si="1315"/>
        <v>31</v>
      </c>
      <c r="E3429" s="120">
        <f t="shared" si="1316"/>
        <v>3</v>
      </c>
      <c r="F3429" s="275">
        <f t="shared" si="1317"/>
        <v>45732.5</v>
      </c>
      <c r="G3429" s="120">
        <f t="shared" si="1318"/>
        <v>24302</v>
      </c>
      <c r="H3429" s="245">
        <f t="shared" si="1319"/>
        <v>1</v>
      </c>
      <c r="I3429" s="121">
        <f t="shared" si="1320"/>
        <v>1</v>
      </c>
      <c r="J3429" s="121">
        <f t="shared" si="1321"/>
        <v>1</v>
      </c>
      <c r="K3429" s="120">
        <f t="shared" si="1322"/>
        <v>0</v>
      </c>
      <c r="L3429" s="120">
        <f t="shared" si="1323"/>
        <v>0</v>
      </c>
      <c r="M3429" s="246">
        <f t="shared" si="1324"/>
        <v>0</v>
      </c>
      <c r="N3429" s="121">
        <f t="shared" si="1325"/>
        <v>1</v>
      </c>
      <c r="O3429" s="246">
        <f t="shared" si="1326"/>
        <v>0.8976695842450767</v>
      </c>
      <c r="P3429" s="121">
        <f t="shared" si="1327"/>
        <v>0</v>
      </c>
      <c r="Q3429" s="121">
        <f t="shared" si="1328"/>
        <v>0</v>
      </c>
      <c r="R3429" s="121">
        <f t="shared" si="1329"/>
        <v>0</v>
      </c>
      <c r="S3429" s="121" t="str">
        <f t="shared" si="1330"/>
        <v/>
      </c>
      <c r="T3429" s="121" t="str">
        <f t="shared" si="1331"/>
        <v/>
      </c>
      <c r="U3429" s="121">
        <f t="shared" si="1332"/>
        <v>1</v>
      </c>
    </row>
    <row r="3430" spans="1:21" x14ac:dyDescent="0.3">
      <c r="A3430" s="187">
        <v>4</v>
      </c>
      <c r="B3430" s="242">
        <f t="shared" si="1333"/>
        <v>45748</v>
      </c>
      <c r="C3430" s="243">
        <f t="shared" si="1314"/>
        <v>45777</v>
      </c>
      <c r="D3430" s="120">
        <f t="shared" si="1315"/>
        <v>30</v>
      </c>
      <c r="E3430" s="120">
        <f t="shared" si="1316"/>
        <v>4</v>
      </c>
      <c r="F3430" s="275">
        <f t="shared" si="1317"/>
        <v>45763</v>
      </c>
      <c r="G3430" s="120">
        <f t="shared" si="1318"/>
        <v>24303</v>
      </c>
      <c r="H3430" s="245">
        <f t="shared" si="1319"/>
        <v>1</v>
      </c>
      <c r="I3430" s="121">
        <f t="shared" si="1320"/>
        <v>1</v>
      </c>
      <c r="J3430" s="121">
        <f t="shared" si="1321"/>
        <v>1</v>
      </c>
      <c r="K3430" s="120">
        <f t="shared" si="1322"/>
        <v>0</v>
      </c>
      <c r="L3430" s="120">
        <f t="shared" si="1323"/>
        <v>0</v>
      </c>
      <c r="M3430" s="246">
        <f t="shared" si="1324"/>
        <v>0</v>
      </c>
      <c r="N3430" s="121">
        <f t="shared" si="1325"/>
        <v>1</v>
      </c>
      <c r="O3430" s="246">
        <f t="shared" si="1326"/>
        <v>0.89833698030634579</v>
      </c>
      <c r="P3430" s="121">
        <f t="shared" si="1327"/>
        <v>0</v>
      </c>
      <c r="Q3430" s="121">
        <f t="shared" si="1328"/>
        <v>0</v>
      </c>
      <c r="R3430" s="121">
        <f t="shared" si="1329"/>
        <v>0</v>
      </c>
      <c r="S3430" s="121" t="str">
        <f t="shared" si="1330"/>
        <v/>
      </c>
      <c r="T3430" s="121" t="str">
        <f t="shared" si="1331"/>
        <v/>
      </c>
      <c r="U3430" s="121">
        <f t="shared" si="1332"/>
        <v>1</v>
      </c>
    </row>
    <row r="3431" spans="1:21" x14ac:dyDescent="0.3">
      <c r="A3431" s="187">
        <v>5</v>
      </c>
      <c r="B3431" s="242">
        <f t="shared" si="1333"/>
        <v>45778</v>
      </c>
      <c r="C3431" s="243">
        <f t="shared" si="1314"/>
        <v>45808</v>
      </c>
      <c r="D3431" s="120">
        <f t="shared" si="1315"/>
        <v>31</v>
      </c>
      <c r="E3431" s="120">
        <f t="shared" si="1316"/>
        <v>5</v>
      </c>
      <c r="F3431" s="275">
        <f t="shared" si="1317"/>
        <v>45793.5</v>
      </c>
      <c r="G3431" s="120">
        <f t="shared" si="1318"/>
        <v>24304</v>
      </c>
      <c r="H3431" s="245">
        <f t="shared" si="1319"/>
        <v>1</v>
      </c>
      <c r="I3431" s="121">
        <f t="shared" si="1320"/>
        <v>1</v>
      </c>
      <c r="J3431" s="121">
        <f t="shared" si="1321"/>
        <v>1</v>
      </c>
      <c r="K3431" s="120">
        <f t="shared" si="1322"/>
        <v>0</v>
      </c>
      <c r="L3431" s="120">
        <f t="shared" si="1323"/>
        <v>0</v>
      </c>
      <c r="M3431" s="246">
        <f t="shared" si="1324"/>
        <v>0</v>
      </c>
      <c r="N3431" s="121">
        <f t="shared" si="1325"/>
        <v>1</v>
      </c>
      <c r="O3431" s="246">
        <f t="shared" si="1326"/>
        <v>0.89900437636761499</v>
      </c>
      <c r="P3431" s="121">
        <f t="shared" si="1327"/>
        <v>0</v>
      </c>
      <c r="Q3431" s="121">
        <f t="shared" si="1328"/>
        <v>0</v>
      </c>
      <c r="R3431" s="121">
        <f t="shared" si="1329"/>
        <v>0</v>
      </c>
      <c r="S3431" s="121" t="str">
        <f t="shared" si="1330"/>
        <v/>
      </c>
      <c r="T3431" s="121" t="str">
        <f t="shared" si="1331"/>
        <v/>
      </c>
      <c r="U3431" s="121">
        <f t="shared" si="1332"/>
        <v>1</v>
      </c>
    </row>
    <row r="3432" spans="1:21" x14ac:dyDescent="0.3">
      <c r="A3432" s="187">
        <v>6</v>
      </c>
      <c r="B3432" s="242">
        <f t="shared" si="1333"/>
        <v>45809</v>
      </c>
      <c r="C3432" s="243">
        <f t="shared" si="1314"/>
        <v>45838</v>
      </c>
      <c r="D3432" s="120">
        <f t="shared" si="1315"/>
        <v>30</v>
      </c>
      <c r="E3432" s="120">
        <f t="shared" si="1316"/>
        <v>6</v>
      </c>
      <c r="F3432" s="275">
        <f t="shared" si="1317"/>
        <v>45824</v>
      </c>
      <c r="G3432" s="120">
        <f t="shared" si="1318"/>
        <v>24305</v>
      </c>
      <c r="H3432" s="245">
        <f t="shared" si="1319"/>
        <v>1</v>
      </c>
      <c r="I3432" s="121">
        <f t="shared" si="1320"/>
        <v>1</v>
      </c>
      <c r="J3432" s="121">
        <f t="shared" si="1321"/>
        <v>1</v>
      </c>
      <c r="K3432" s="120">
        <f t="shared" si="1322"/>
        <v>0</v>
      </c>
      <c r="L3432" s="120">
        <f t="shared" si="1323"/>
        <v>0</v>
      </c>
      <c r="M3432" s="246">
        <f t="shared" si="1324"/>
        <v>0</v>
      </c>
      <c r="N3432" s="121">
        <f t="shared" si="1325"/>
        <v>1</v>
      </c>
      <c r="O3432" s="246">
        <f t="shared" si="1326"/>
        <v>0.89967177242888408</v>
      </c>
      <c r="P3432" s="121">
        <f t="shared" si="1327"/>
        <v>0</v>
      </c>
      <c r="Q3432" s="121">
        <f t="shared" si="1328"/>
        <v>0</v>
      </c>
      <c r="R3432" s="121">
        <f t="shared" si="1329"/>
        <v>0</v>
      </c>
      <c r="S3432" s="121" t="str">
        <f t="shared" si="1330"/>
        <v/>
      </c>
      <c r="T3432" s="121" t="str">
        <f t="shared" si="1331"/>
        <v/>
      </c>
      <c r="U3432" s="121">
        <f t="shared" si="1332"/>
        <v>1</v>
      </c>
    </row>
    <row r="3433" spans="1:21" x14ac:dyDescent="0.3">
      <c r="A3433" s="187">
        <v>7</v>
      </c>
      <c r="B3433" s="242">
        <f t="shared" si="1333"/>
        <v>45839</v>
      </c>
      <c r="C3433" s="243">
        <f t="shared" si="1314"/>
        <v>45869</v>
      </c>
      <c r="D3433" s="120">
        <f t="shared" si="1315"/>
        <v>31</v>
      </c>
      <c r="E3433" s="120">
        <f t="shared" si="1316"/>
        <v>7</v>
      </c>
      <c r="F3433" s="275">
        <f t="shared" si="1317"/>
        <v>45854.5</v>
      </c>
      <c r="G3433" s="120">
        <f t="shared" si="1318"/>
        <v>24306</v>
      </c>
      <c r="H3433" s="245">
        <f t="shared" si="1319"/>
        <v>1</v>
      </c>
      <c r="I3433" s="121">
        <f t="shared" si="1320"/>
        <v>1</v>
      </c>
      <c r="J3433" s="121">
        <f t="shared" si="1321"/>
        <v>1</v>
      </c>
      <c r="K3433" s="120">
        <f t="shared" si="1322"/>
        <v>0</v>
      </c>
      <c r="L3433" s="120">
        <f t="shared" si="1323"/>
        <v>0</v>
      </c>
      <c r="M3433" s="246">
        <f t="shared" si="1324"/>
        <v>0</v>
      </c>
      <c r="N3433" s="121">
        <f t="shared" si="1325"/>
        <v>1</v>
      </c>
      <c r="O3433" s="246">
        <f t="shared" si="1326"/>
        <v>0.90033916849015327</v>
      </c>
      <c r="P3433" s="121">
        <f t="shared" si="1327"/>
        <v>8.333333333333337E-2</v>
      </c>
      <c r="Q3433" s="121">
        <f t="shared" si="1328"/>
        <v>0</v>
      </c>
      <c r="R3433" s="121">
        <f t="shared" si="1329"/>
        <v>0</v>
      </c>
      <c r="S3433" s="121" t="str">
        <f t="shared" si="1330"/>
        <v/>
      </c>
      <c r="T3433" s="121" t="str">
        <f t="shared" si="1331"/>
        <v/>
      </c>
      <c r="U3433" s="121">
        <f t="shared" si="1332"/>
        <v>1</v>
      </c>
    </row>
    <row r="3434" spans="1:21" x14ac:dyDescent="0.3">
      <c r="A3434" s="187">
        <v>8</v>
      </c>
      <c r="B3434" s="242">
        <f t="shared" si="1333"/>
        <v>45870</v>
      </c>
      <c r="C3434" s="243">
        <f t="shared" si="1314"/>
        <v>45900</v>
      </c>
      <c r="D3434" s="120">
        <f t="shared" si="1315"/>
        <v>31</v>
      </c>
      <c r="E3434" s="120">
        <f t="shared" si="1316"/>
        <v>8</v>
      </c>
      <c r="F3434" s="275">
        <f t="shared" si="1317"/>
        <v>45885.5</v>
      </c>
      <c r="G3434" s="120">
        <f t="shared" si="1318"/>
        <v>24307</v>
      </c>
      <c r="H3434" s="245">
        <f t="shared" si="1319"/>
        <v>1</v>
      </c>
      <c r="I3434" s="121">
        <f t="shared" si="1320"/>
        <v>1</v>
      </c>
      <c r="J3434" s="121">
        <f t="shared" si="1321"/>
        <v>1</v>
      </c>
      <c r="K3434" s="120">
        <f t="shared" si="1322"/>
        <v>0</v>
      </c>
      <c r="L3434" s="120">
        <f t="shared" si="1323"/>
        <v>0</v>
      </c>
      <c r="M3434" s="246">
        <f t="shared" si="1324"/>
        <v>0</v>
      </c>
      <c r="N3434" s="121">
        <f t="shared" si="1325"/>
        <v>1</v>
      </c>
      <c r="O3434" s="246">
        <f t="shared" si="1326"/>
        <v>0.90101750547045956</v>
      </c>
      <c r="P3434" s="121">
        <f t="shared" si="1327"/>
        <v>0.25</v>
      </c>
      <c r="Q3434" s="121">
        <f t="shared" si="1328"/>
        <v>0</v>
      </c>
      <c r="R3434" s="121">
        <f t="shared" si="1329"/>
        <v>0</v>
      </c>
      <c r="S3434" s="121" t="str">
        <f t="shared" si="1330"/>
        <v/>
      </c>
      <c r="T3434" s="121" t="str">
        <f t="shared" si="1331"/>
        <v/>
      </c>
      <c r="U3434" s="121">
        <f t="shared" si="1332"/>
        <v>1</v>
      </c>
    </row>
    <row r="3435" spans="1:21" x14ac:dyDescent="0.3">
      <c r="A3435" s="187">
        <v>9</v>
      </c>
      <c r="B3435" s="242">
        <f t="shared" si="1333"/>
        <v>45901</v>
      </c>
      <c r="C3435" s="243">
        <f t="shared" si="1314"/>
        <v>45930</v>
      </c>
      <c r="D3435" s="120">
        <f t="shared" si="1315"/>
        <v>30</v>
      </c>
      <c r="E3435" s="120">
        <f t="shared" si="1316"/>
        <v>9</v>
      </c>
      <c r="F3435" s="275">
        <f t="shared" si="1317"/>
        <v>45916</v>
      </c>
      <c r="G3435" s="120">
        <f t="shared" si="1318"/>
        <v>24308</v>
      </c>
      <c r="H3435" s="245">
        <f t="shared" si="1319"/>
        <v>1</v>
      </c>
      <c r="I3435" s="121">
        <f t="shared" si="1320"/>
        <v>1</v>
      </c>
      <c r="J3435" s="121">
        <f t="shared" si="1321"/>
        <v>1</v>
      </c>
      <c r="K3435" s="120">
        <f t="shared" si="1322"/>
        <v>0</v>
      </c>
      <c r="L3435" s="120">
        <f t="shared" si="1323"/>
        <v>0</v>
      </c>
      <c r="M3435" s="246">
        <f t="shared" si="1324"/>
        <v>0</v>
      </c>
      <c r="N3435" s="121">
        <f t="shared" si="1325"/>
        <v>1</v>
      </c>
      <c r="O3435" s="246">
        <f t="shared" si="1326"/>
        <v>0.90168490153172876</v>
      </c>
      <c r="P3435" s="121">
        <f t="shared" si="1327"/>
        <v>0.41666666666666663</v>
      </c>
      <c r="Q3435" s="121">
        <f t="shared" si="1328"/>
        <v>0</v>
      </c>
      <c r="R3435" s="121">
        <f t="shared" si="1329"/>
        <v>0</v>
      </c>
      <c r="S3435" s="121" t="str">
        <f t="shared" si="1330"/>
        <v/>
      </c>
      <c r="T3435" s="121" t="str">
        <f t="shared" si="1331"/>
        <v/>
      </c>
      <c r="U3435" s="121">
        <f t="shared" si="1332"/>
        <v>1</v>
      </c>
    </row>
    <row r="3436" spans="1:21" x14ac:dyDescent="0.3">
      <c r="A3436" s="187">
        <v>10</v>
      </c>
      <c r="B3436" s="242">
        <f t="shared" si="1333"/>
        <v>45931</v>
      </c>
      <c r="C3436" s="243">
        <f t="shared" si="1314"/>
        <v>45961</v>
      </c>
      <c r="D3436" s="120">
        <f t="shared" si="1315"/>
        <v>31</v>
      </c>
      <c r="E3436" s="120">
        <f t="shared" si="1316"/>
        <v>10</v>
      </c>
      <c r="F3436" s="275">
        <f t="shared" si="1317"/>
        <v>45946.5</v>
      </c>
      <c r="G3436" s="120">
        <f t="shared" si="1318"/>
        <v>24309</v>
      </c>
      <c r="H3436" s="245">
        <f t="shared" si="1319"/>
        <v>1</v>
      </c>
      <c r="I3436" s="121">
        <f t="shared" si="1320"/>
        <v>1</v>
      </c>
      <c r="J3436" s="121">
        <f t="shared" si="1321"/>
        <v>1</v>
      </c>
      <c r="K3436" s="120">
        <f t="shared" si="1322"/>
        <v>0</v>
      </c>
      <c r="L3436" s="120">
        <f t="shared" si="1323"/>
        <v>0</v>
      </c>
      <c r="M3436" s="246">
        <f t="shared" si="1324"/>
        <v>0</v>
      </c>
      <c r="N3436" s="121">
        <f t="shared" si="1325"/>
        <v>1</v>
      </c>
      <c r="O3436" s="246">
        <f t="shared" si="1326"/>
        <v>0.90235229759299784</v>
      </c>
      <c r="P3436" s="121">
        <f t="shared" si="1327"/>
        <v>0.58333333333333326</v>
      </c>
      <c r="Q3436" s="121">
        <f t="shared" si="1328"/>
        <v>0</v>
      </c>
      <c r="R3436" s="121">
        <f t="shared" si="1329"/>
        <v>0</v>
      </c>
      <c r="S3436" s="121" t="str">
        <f t="shared" si="1330"/>
        <v/>
      </c>
      <c r="T3436" s="121" t="str">
        <f t="shared" si="1331"/>
        <v/>
      </c>
      <c r="U3436" s="121">
        <f t="shared" si="1332"/>
        <v>1</v>
      </c>
    </row>
    <row r="3437" spans="1:21" x14ac:dyDescent="0.3">
      <c r="A3437" s="187">
        <v>11</v>
      </c>
      <c r="B3437" s="242">
        <f t="shared" si="1333"/>
        <v>45962</v>
      </c>
      <c r="C3437" s="243">
        <f t="shared" si="1314"/>
        <v>45991</v>
      </c>
      <c r="D3437" s="120">
        <f t="shared" si="1315"/>
        <v>30</v>
      </c>
      <c r="E3437" s="120">
        <f t="shared" si="1316"/>
        <v>11</v>
      </c>
      <c r="F3437" s="275">
        <f t="shared" si="1317"/>
        <v>45977</v>
      </c>
      <c r="G3437" s="120">
        <f t="shared" si="1318"/>
        <v>24310</v>
      </c>
      <c r="H3437" s="245">
        <f t="shared" si="1319"/>
        <v>1</v>
      </c>
      <c r="I3437" s="121">
        <f t="shared" si="1320"/>
        <v>1</v>
      </c>
      <c r="J3437" s="121">
        <f t="shared" si="1321"/>
        <v>1</v>
      </c>
      <c r="K3437" s="120">
        <f t="shared" si="1322"/>
        <v>0</v>
      </c>
      <c r="L3437" s="120">
        <f t="shared" si="1323"/>
        <v>0</v>
      </c>
      <c r="M3437" s="246">
        <f t="shared" si="1324"/>
        <v>0</v>
      </c>
      <c r="N3437" s="121">
        <f t="shared" si="1325"/>
        <v>1</v>
      </c>
      <c r="O3437" s="246">
        <f t="shared" si="1326"/>
        <v>0.90301969365426704</v>
      </c>
      <c r="P3437" s="121">
        <f t="shared" si="1327"/>
        <v>0.75</v>
      </c>
      <c r="Q3437" s="121">
        <f t="shared" si="1328"/>
        <v>0</v>
      </c>
      <c r="R3437" s="121">
        <f t="shared" si="1329"/>
        <v>0</v>
      </c>
      <c r="S3437" s="121" t="str">
        <f t="shared" si="1330"/>
        <v/>
      </c>
      <c r="T3437" s="121" t="str">
        <f t="shared" si="1331"/>
        <v/>
      </c>
      <c r="U3437" s="121">
        <f t="shared" si="1332"/>
        <v>1</v>
      </c>
    </row>
    <row r="3438" spans="1:21" x14ac:dyDescent="0.3">
      <c r="A3438" s="187">
        <v>12</v>
      </c>
      <c r="B3438" s="242">
        <f t="shared" si="1333"/>
        <v>45992</v>
      </c>
      <c r="C3438" s="243">
        <f t="shared" si="1314"/>
        <v>46022</v>
      </c>
      <c r="D3438" s="120">
        <f t="shared" si="1315"/>
        <v>31</v>
      </c>
      <c r="E3438" s="120">
        <f t="shared" si="1316"/>
        <v>12</v>
      </c>
      <c r="F3438" s="275">
        <f t="shared" si="1317"/>
        <v>46007.5</v>
      </c>
      <c r="G3438" s="120">
        <f t="shared" si="1318"/>
        <v>24311</v>
      </c>
      <c r="H3438" s="245">
        <f t="shared" si="1319"/>
        <v>1</v>
      </c>
      <c r="I3438" s="121">
        <f t="shared" si="1320"/>
        <v>1</v>
      </c>
      <c r="J3438" s="121">
        <f t="shared" si="1321"/>
        <v>1</v>
      </c>
      <c r="K3438" s="120">
        <f t="shared" si="1322"/>
        <v>0</v>
      </c>
      <c r="L3438" s="120">
        <f t="shared" si="1323"/>
        <v>0</v>
      </c>
      <c r="M3438" s="246">
        <f t="shared" si="1324"/>
        <v>0</v>
      </c>
      <c r="N3438" s="121">
        <f t="shared" si="1325"/>
        <v>1</v>
      </c>
      <c r="O3438" s="246">
        <f t="shared" si="1326"/>
        <v>0.90368708971553613</v>
      </c>
      <c r="P3438" s="121">
        <f t="shared" si="1327"/>
        <v>0.91666666666666663</v>
      </c>
      <c r="Q3438" s="121">
        <f t="shared" si="1328"/>
        <v>0</v>
      </c>
      <c r="R3438" s="121">
        <f t="shared" si="1329"/>
        <v>0</v>
      </c>
      <c r="S3438" s="121" t="str">
        <f t="shared" si="1330"/>
        <v/>
      </c>
      <c r="T3438" s="121" t="str">
        <f t="shared" si="1331"/>
        <v/>
      </c>
      <c r="U3438" s="121">
        <f t="shared" si="1332"/>
        <v>1</v>
      </c>
    </row>
    <row r="3439" spans="1:21" x14ac:dyDescent="0.3">
      <c r="A3439" s="187">
        <v>13</v>
      </c>
      <c r="B3439" s="242">
        <f t="shared" si="1333"/>
        <v>46023</v>
      </c>
      <c r="C3439" s="243">
        <f t="shared" si="1314"/>
        <v>46053</v>
      </c>
      <c r="D3439" s="120">
        <f t="shared" si="1315"/>
        <v>31</v>
      </c>
      <c r="E3439" s="120">
        <f t="shared" si="1316"/>
        <v>1</v>
      </c>
      <c r="F3439" s="275">
        <f t="shared" si="1317"/>
        <v>46038.5</v>
      </c>
      <c r="G3439" s="120">
        <f t="shared" si="1318"/>
        <v>24312</v>
      </c>
      <c r="H3439" s="245">
        <f t="shared" si="1319"/>
        <v>1</v>
      </c>
      <c r="I3439" s="121">
        <f t="shared" si="1320"/>
        <v>1</v>
      </c>
      <c r="J3439" s="121">
        <f t="shared" si="1321"/>
        <v>1</v>
      </c>
      <c r="K3439" s="120">
        <f t="shared" si="1322"/>
        <v>0</v>
      </c>
      <c r="L3439" s="120">
        <f t="shared" si="1323"/>
        <v>0</v>
      </c>
      <c r="M3439" s="246">
        <f t="shared" si="1324"/>
        <v>0</v>
      </c>
      <c r="N3439" s="121">
        <f t="shared" si="1325"/>
        <v>1</v>
      </c>
      <c r="O3439" s="246">
        <f t="shared" si="1326"/>
        <v>0.90436542669584252</v>
      </c>
      <c r="P3439" s="121">
        <f t="shared" si="1327"/>
        <v>1</v>
      </c>
      <c r="Q3439" s="121">
        <f t="shared" si="1328"/>
        <v>0</v>
      </c>
      <c r="R3439" s="121">
        <f t="shared" si="1329"/>
        <v>0</v>
      </c>
      <c r="S3439" s="121" t="str">
        <f t="shared" si="1330"/>
        <v/>
      </c>
      <c r="T3439" s="121" t="str">
        <f t="shared" si="1331"/>
        <v/>
      </c>
      <c r="U3439" s="121">
        <f t="shared" si="1332"/>
        <v>1</v>
      </c>
    </row>
    <row r="3440" spans="1:21" x14ac:dyDescent="0.3">
      <c r="A3440" s="187">
        <v>14</v>
      </c>
      <c r="B3440" s="242">
        <f t="shared" si="1333"/>
        <v>46054</v>
      </c>
      <c r="C3440" s="243">
        <f t="shared" si="1314"/>
        <v>46081</v>
      </c>
      <c r="D3440" s="120">
        <f t="shared" si="1315"/>
        <v>28</v>
      </c>
      <c r="E3440" s="120">
        <f t="shared" si="1316"/>
        <v>2</v>
      </c>
      <c r="F3440" s="275">
        <f t="shared" si="1317"/>
        <v>46068</v>
      </c>
      <c r="G3440" s="120">
        <f t="shared" si="1318"/>
        <v>24313</v>
      </c>
      <c r="H3440" s="245">
        <f t="shared" si="1319"/>
        <v>1</v>
      </c>
      <c r="I3440" s="121">
        <f t="shared" si="1320"/>
        <v>1</v>
      </c>
      <c r="J3440" s="121">
        <f t="shared" si="1321"/>
        <v>1</v>
      </c>
      <c r="K3440" s="120">
        <f t="shared" si="1322"/>
        <v>0</v>
      </c>
      <c r="L3440" s="120">
        <f t="shared" si="1323"/>
        <v>0</v>
      </c>
      <c r="M3440" s="246">
        <f t="shared" si="1324"/>
        <v>0</v>
      </c>
      <c r="N3440" s="121">
        <f t="shared" si="1325"/>
        <v>1</v>
      </c>
      <c r="O3440" s="246">
        <f t="shared" si="1326"/>
        <v>0.90501094091903722</v>
      </c>
      <c r="P3440" s="121">
        <f t="shared" si="1327"/>
        <v>1</v>
      </c>
      <c r="Q3440" s="121">
        <f t="shared" si="1328"/>
        <v>0</v>
      </c>
      <c r="R3440" s="121">
        <f t="shared" si="1329"/>
        <v>0</v>
      </c>
      <c r="S3440" s="121" t="str">
        <f t="shared" si="1330"/>
        <v/>
      </c>
      <c r="T3440" s="121" t="str">
        <f t="shared" si="1331"/>
        <v/>
      </c>
      <c r="U3440" s="121">
        <f t="shared" si="1332"/>
        <v>1</v>
      </c>
    </row>
    <row r="3441" spans="1:21" x14ac:dyDescent="0.3">
      <c r="A3441" s="187">
        <v>15</v>
      </c>
      <c r="B3441" s="242">
        <f t="shared" si="1333"/>
        <v>46082</v>
      </c>
      <c r="C3441" s="243">
        <f t="shared" si="1314"/>
        <v>46112</v>
      </c>
      <c r="D3441" s="120">
        <f t="shared" si="1315"/>
        <v>31</v>
      </c>
      <c r="E3441" s="120">
        <f t="shared" si="1316"/>
        <v>3</v>
      </c>
      <c r="F3441" s="275">
        <f t="shared" si="1317"/>
        <v>46097.5</v>
      </c>
      <c r="G3441" s="120">
        <f t="shared" si="1318"/>
        <v>24314</v>
      </c>
      <c r="H3441" s="245">
        <f t="shared" si="1319"/>
        <v>1</v>
      </c>
      <c r="I3441" s="121">
        <f t="shared" si="1320"/>
        <v>1</v>
      </c>
      <c r="J3441" s="121">
        <f t="shared" si="1321"/>
        <v>1</v>
      </c>
      <c r="K3441" s="120">
        <f t="shared" si="1322"/>
        <v>0</v>
      </c>
      <c r="L3441" s="120">
        <f t="shared" si="1323"/>
        <v>0</v>
      </c>
      <c r="M3441" s="246">
        <f t="shared" si="1324"/>
        <v>0</v>
      </c>
      <c r="N3441" s="121">
        <f t="shared" si="1325"/>
        <v>1</v>
      </c>
      <c r="O3441" s="246">
        <f t="shared" si="1326"/>
        <v>0.90565645514223203</v>
      </c>
      <c r="P3441" s="121">
        <f t="shared" si="1327"/>
        <v>1</v>
      </c>
      <c r="Q3441" s="121">
        <f t="shared" si="1328"/>
        <v>0</v>
      </c>
      <c r="R3441" s="121">
        <f t="shared" si="1329"/>
        <v>0</v>
      </c>
      <c r="S3441" s="121" t="str">
        <f t="shared" si="1330"/>
        <v/>
      </c>
      <c r="T3441" s="121" t="str">
        <f t="shared" si="1331"/>
        <v/>
      </c>
      <c r="U3441" s="121">
        <f t="shared" si="1332"/>
        <v>1</v>
      </c>
    </row>
    <row r="3442" spans="1:21" x14ac:dyDescent="0.3">
      <c r="A3442" s="187">
        <v>16</v>
      </c>
      <c r="B3442" s="242">
        <f t="shared" si="1333"/>
        <v>46113</v>
      </c>
      <c r="C3442" s="243">
        <f t="shared" si="1314"/>
        <v>46142</v>
      </c>
      <c r="D3442" s="120">
        <f t="shared" si="1315"/>
        <v>30</v>
      </c>
      <c r="E3442" s="120">
        <f t="shared" si="1316"/>
        <v>4</v>
      </c>
      <c r="F3442" s="275">
        <f t="shared" si="1317"/>
        <v>46128</v>
      </c>
      <c r="G3442" s="120">
        <f t="shared" si="1318"/>
        <v>24315</v>
      </c>
      <c r="H3442" s="245">
        <f t="shared" si="1319"/>
        <v>1</v>
      </c>
      <c r="I3442" s="121">
        <f t="shared" si="1320"/>
        <v>1</v>
      </c>
      <c r="J3442" s="121">
        <f t="shared" si="1321"/>
        <v>1</v>
      </c>
      <c r="K3442" s="120">
        <f t="shared" si="1322"/>
        <v>0</v>
      </c>
      <c r="L3442" s="120">
        <f t="shared" si="1323"/>
        <v>0</v>
      </c>
      <c r="M3442" s="246">
        <f t="shared" si="1324"/>
        <v>0</v>
      </c>
      <c r="N3442" s="121">
        <f t="shared" si="1325"/>
        <v>1</v>
      </c>
      <c r="O3442" s="246">
        <f t="shared" si="1326"/>
        <v>0.90632385120350112</v>
      </c>
      <c r="P3442" s="121">
        <f t="shared" si="1327"/>
        <v>1</v>
      </c>
      <c r="Q3442" s="121">
        <f t="shared" si="1328"/>
        <v>0</v>
      </c>
      <c r="R3442" s="121">
        <f t="shared" si="1329"/>
        <v>0</v>
      </c>
      <c r="S3442" s="121" t="str">
        <f t="shared" si="1330"/>
        <v/>
      </c>
      <c r="T3442" s="121" t="str">
        <f t="shared" si="1331"/>
        <v/>
      </c>
      <c r="U3442" s="121">
        <f t="shared" si="1332"/>
        <v>1</v>
      </c>
    </row>
    <row r="3443" spans="1:21" x14ac:dyDescent="0.3">
      <c r="A3443" s="187">
        <v>17</v>
      </c>
      <c r="B3443" s="242">
        <f t="shared" si="1333"/>
        <v>46143</v>
      </c>
      <c r="C3443" s="243">
        <f t="shared" si="1314"/>
        <v>46173</v>
      </c>
      <c r="D3443" s="120">
        <f t="shared" si="1315"/>
        <v>31</v>
      </c>
      <c r="E3443" s="120">
        <f t="shared" si="1316"/>
        <v>5</v>
      </c>
      <c r="F3443" s="275">
        <f t="shared" si="1317"/>
        <v>46158.5</v>
      </c>
      <c r="G3443" s="120">
        <f t="shared" si="1318"/>
        <v>24316</v>
      </c>
      <c r="H3443" s="245">
        <f t="shared" si="1319"/>
        <v>1</v>
      </c>
      <c r="I3443" s="121">
        <f t="shared" si="1320"/>
        <v>1</v>
      </c>
      <c r="J3443" s="121">
        <f t="shared" si="1321"/>
        <v>1</v>
      </c>
      <c r="K3443" s="120">
        <f t="shared" si="1322"/>
        <v>0</v>
      </c>
      <c r="L3443" s="120">
        <f t="shared" si="1323"/>
        <v>0</v>
      </c>
      <c r="M3443" s="246">
        <f t="shared" si="1324"/>
        <v>0</v>
      </c>
      <c r="N3443" s="121">
        <f t="shared" si="1325"/>
        <v>1</v>
      </c>
      <c r="O3443" s="246">
        <f t="shared" si="1326"/>
        <v>0.90699124726477032</v>
      </c>
      <c r="P3443" s="121">
        <f t="shared" si="1327"/>
        <v>1</v>
      </c>
      <c r="Q3443" s="121">
        <f t="shared" si="1328"/>
        <v>0</v>
      </c>
      <c r="R3443" s="121">
        <f t="shared" si="1329"/>
        <v>0</v>
      </c>
      <c r="S3443" s="121" t="str">
        <f t="shared" si="1330"/>
        <v/>
      </c>
      <c r="T3443" s="121" t="str">
        <f t="shared" si="1331"/>
        <v/>
      </c>
      <c r="U3443" s="121">
        <f t="shared" si="1332"/>
        <v>1</v>
      </c>
    </row>
    <row r="3444" spans="1:21" x14ac:dyDescent="0.3">
      <c r="A3444" s="187">
        <v>18</v>
      </c>
      <c r="B3444" s="242">
        <f t="shared" si="1333"/>
        <v>46174</v>
      </c>
      <c r="C3444" s="243">
        <f t="shared" si="1314"/>
        <v>46203</v>
      </c>
      <c r="D3444" s="120">
        <f t="shared" si="1315"/>
        <v>30</v>
      </c>
      <c r="E3444" s="120">
        <f t="shared" si="1316"/>
        <v>6</v>
      </c>
      <c r="F3444" s="275">
        <f t="shared" si="1317"/>
        <v>46189</v>
      </c>
      <c r="G3444" s="120">
        <f t="shared" si="1318"/>
        <v>24317</v>
      </c>
      <c r="H3444" s="245">
        <f t="shared" si="1319"/>
        <v>1</v>
      </c>
      <c r="I3444" s="121">
        <f t="shared" si="1320"/>
        <v>1</v>
      </c>
      <c r="J3444" s="121">
        <f t="shared" si="1321"/>
        <v>1</v>
      </c>
      <c r="K3444" s="120">
        <f t="shared" si="1322"/>
        <v>0</v>
      </c>
      <c r="L3444" s="120">
        <f t="shared" si="1323"/>
        <v>0</v>
      </c>
      <c r="M3444" s="246">
        <f t="shared" si="1324"/>
        <v>0</v>
      </c>
      <c r="N3444" s="121">
        <f t="shared" si="1325"/>
        <v>1</v>
      </c>
      <c r="O3444" s="246">
        <f t="shared" si="1326"/>
        <v>0.9076586433260394</v>
      </c>
      <c r="P3444" s="121">
        <f t="shared" si="1327"/>
        <v>1</v>
      </c>
      <c r="Q3444" s="121">
        <f t="shared" si="1328"/>
        <v>0</v>
      </c>
      <c r="R3444" s="121">
        <f t="shared" si="1329"/>
        <v>0</v>
      </c>
      <c r="S3444" s="121" t="str">
        <f t="shared" si="1330"/>
        <v/>
      </c>
      <c r="T3444" s="121" t="str">
        <f t="shared" si="1331"/>
        <v/>
      </c>
      <c r="U3444" s="121">
        <f t="shared" si="1332"/>
        <v>1</v>
      </c>
    </row>
    <row r="3445" spans="1:21" x14ac:dyDescent="0.3">
      <c r="A3445" s="187">
        <v>19</v>
      </c>
      <c r="B3445" s="242">
        <f t="shared" si="1333"/>
        <v>46204</v>
      </c>
      <c r="C3445" s="243">
        <f t="shared" si="1314"/>
        <v>46234</v>
      </c>
      <c r="D3445" s="120">
        <f t="shared" si="1315"/>
        <v>31</v>
      </c>
      <c r="E3445" s="120">
        <f t="shared" si="1316"/>
        <v>7</v>
      </c>
      <c r="F3445" s="275">
        <f t="shared" si="1317"/>
        <v>46219.5</v>
      </c>
      <c r="G3445" s="120">
        <f t="shared" si="1318"/>
        <v>24318</v>
      </c>
      <c r="H3445" s="245">
        <f t="shared" si="1319"/>
        <v>1</v>
      </c>
      <c r="I3445" s="121">
        <f t="shared" si="1320"/>
        <v>1</v>
      </c>
      <c r="J3445" s="121">
        <f t="shared" si="1321"/>
        <v>1</v>
      </c>
      <c r="K3445" s="120">
        <f t="shared" si="1322"/>
        <v>0</v>
      </c>
      <c r="L3445" s="120">
        <f t="shared" si="1323"/>
        <v>0</v>
      </c>
      <c r="M3445" s="246">
        <f t="shared" si="1324"/>
        <v>0</v>
      </c>
      <c r="N3445" s="121">
        <f t="shared" si="1325"/>
        <v>1</v>
      </c>
      <c r="O3445" s="246">
        <f t="shared" si="1326"/>
        <v>0.9083260393873086</v>
      </c>
      <c r="P3445" s="121">
        <f t="shared" si="1327"/>
        <v>0.91666666666666663</v>
      </c>
      <c r="Q3445" s="121">
        <f t="shared" si="1328"/>
        <v>8.333333333333337E-2</v>
      </c>
      <c r="R3445" s="121">
        <f t="shared" si="1329"/>
        <v>0</v>
      </c>
      <c r="S3445" s="121" t="str">
        <f t="shared" si="1330"/>
        <v/>
      </c>
      <c r="T3445" s="121" t="str">
        <f t="shared" si="1331"/>
        <v/>
      </c>
      <c r="U3445" s="121">
        <f t="shared" si="1332"/>
        <v>1</v>
      </c>
    </row>
    <row r="3446" spans="1:21" x14ac:dyDescent="0.3">
      <c r="A3446" s="187">
        <v>20</v>
      </c>
      <c r="B3446" s="242">
        <f t="shared" si="1333"/>
        <v>46235</v>
      </c>
      <c r="C3446" s="243">
        <f t="shared" si="1314"/>
        <v>46265</v>
      </c>
      <c r="D3446" s="120">
        <f t="shared" si="1315"/>
        <v>31</v>
      </c>
      <c r="E3446" s="120">
        <f t="shared" si="1316"/>
        <v>8</v>
      </c>
      <c r="F3446" s="275">
        <f t="shared" si="1317"/>
        <v>46250.5</v>
      </c>
      <c r="G3446" s="120">
        <f t="shared" si="1318"/>
        <v>24319</v>
      </c>
      <c r="H3446" s="245">
        <f t="shared" si="1319"/>
        <v>1</v>
      </c>
      <c r="I3446" s="121">
        <f t="shared" si="1320"/>
        <v>1</v>
      </c>
      <c r="J3446" s="121">
        <f t="shared" si="1321"/>
        <v>1</v>
      </c>
      <c r="K3446" s="120">
        <f t="shared" si="1322"/>
        <v>0</v>
      </c>
      <c r="L3446" s="120">
        <f t="shared" si="1323"/>
        <v>0</v>
      </c>
      <c r="M3446" s="246">
        <f t="shared" si="1324"/>
        <v>0</v>
      </c>
      <c r="N3446" s="121">
        <f t="shared" si="1325"/>
        <v>1</v>
      </c>
      <c r="O3446" s="246">
        <f t="shared" si="1326"/>
        <v>0.90900437636761489</v>
      </c>
      <c r="P3446" s="121">
        <f t="shared" si="1327"/>
        <v>0.75</v>
      </c>
      <c r="Q3446" s="121">
        <f t="shared" si="1328"/>
        <v>0.25</v>
      </c>
      <c r="R3446" s="121">
        <f t="shared" si="1329"/>
        <v>0</v>
      </c>
      <c r="S3446" s="121" t="str">
        <f t="shared" si="1330"/>
        <v/>
      </c>
      <c r="T3446" s="121" t="str">
        <f t="shared" si="1331"/>
        <v/>
      </c>
      <c r="U3446" s="121">
        <f t="shared" si="1332"/>
        <v>1</v>
      </c>
    </row>
    <row r="3447" spans="1:21" x14ac:dyDescent="0.3">
      <c r="A3447" s="187">
        <v>21</v>
      </c>
      <c r="B3447" s="242">
        <f t="shared" si="1333"/>
        <v>46266</v>
      </c>
      <c r="C3447" s="243">
        <f t="shared" si="1314"/>
        <v>46295</v>
      </c>
      <c r="D3447" s="120">
        <f t="shared" si="1315"/>
        <v>30</v>
      </c>
      <c r="E3447" s="120">
        <f t="shared" si="1316"/>
        <v>9</v>
      </c>
      <c r="F3447" s="275">
        <f t="shared" si="1317"/>
        <v>46281</v>
      </c>
      <c r="G3447" s="120">
        <f t="shared" si="1318"/>
        <v>24320</v>
      </c>
      <c r="H3447" s="245">
        <f t="shared" si="1319"/>
        <v>1</v>
      </c>
      <c r="I3447" s="121">
        <f t="shared" si="1320"/>
        <v>1</v>
      </c>
      <c r="J3447" s="121">
        <f t="shared" si="1321"/>
        <v>1</v>
      </c>
      <c r="K3447" s="120">
        <f t="shared" si="1322"/>
        <v>0</v>
      </c>
      <c r="L3447" s="120">
        <f t="shared" si="1323"/>
        <v>0</v>
      </c>
      <c r="M3447" s="246">
        <f t="shared" si="1324"/>
        <v>0</v>
      </c>
      <c r="N3447" s="121">
        <f t="shared" si="1325"/>
        <v>1</v>
      </c>
      <c r="O3447" s="246">
        <f t="shared" si="1326"/>
        <v>0.90967177242888408</v>
      </c>
      <c r="P3447" s="121">
        <f t="shared" si="1327"/>
        <v>0.58333333333333337</v>
      </c>
      <c r="Q3447" s="121">
        <f t="shared" si="1328"/>
        <v>0.41666666666666663</v>
      </c>
      <c r="R3447" s="121">
        <f t="shared" si="1329"/>
        <v>0</v>
      </c>
      <c r="S3447" s="121" t="str">
        <f t="shared" si="1330"/>
        <v/>
      </c>
      <c r="T3447" s="121" t="str">
        <f t="shared" si="1331"/>
        <v/>
      </c>
      <c r="U3447" s="121">
        <f t="shared" si="1332"/>
        <v>1</v>
      </c>
    </row>
    <row r="3448" spans="1:21" x14ac:dyDescent="0.3">
      <c r="A3448" s="187">
        <v>22</v>
      </c>
      <c r="B3448" s="242">
        <f t="shared" si="1333"/>
        <v>46296</v>
      </c>
      <c r="C3448" s="243">
        <f t="shared" si="1314"/>
        <v>46326</v>
      </c>
      <c r="D3448" s="120">
        <f t="shared" si="1315"/>
        <v>31</v>
      </c>
      <c r="E3448" s="120">
        <f t="shared" si="1316"/>
        <v>10</v>
      </c>
      <c r="F3448" s="275">
        <f t="shared" si="1317"/>
        <v>46311.5</v>
      </c>
      <c r="G3448" s="120">
        <f t="shared" si="1318"/>
        <v>24321</v>
      </c>
      <c r="H3448" s="245">
        <f t="shared" si="1319"/>
        <v>1</v>
      </c>
      <c r="I3448" s="121">
        <f t="shared" si="1320"/>
        <v>1</v>
      </c>
      <c r="J3448" s="121">
        <f t="shared" si="1321"/>
        <v>1</v>
      </c>
      <c r="K3448" s="120">
        <f t="shared" si="1322"/>
        <v>0</v>
      </c>
      <c r="L3448" s="120">
        <f t="shared" si="1323"/>
        <v>0</v>
      </c>
      <c r="M3448" s="246">
        <f t="shared" si="1324"/>
        <v>0</v>
      </c>
      <c r="N3448" s="121">
        <f t="shared" si="1325"/>
        <v>1</v>
      </c>
      <c r="O3448" s="246">
        <f t="shared" si="1326"/>
        <v>0.91033916849015317</v>
      </c>
      <c r="P3448" s="121">
        <f t="shared" si="1327"/>
        <v>0.41666666666666669</v>
      </c>
      <c r="Q3448" s="121">
        <f t="shared" si="1328"/>
        <v>0.58333333333333326</v>
      </c>
      <c r="R3448" s="121">
        <f t="shared" si="1329"/>
        <v>0</v>
      </c>
      <c r="S3448" s="121" t="str">
        <f t="shared" si="1330"/>
        <v/>
      </c>
      <c r="T3448" s="121" t="str">
        <f t="shared" si="1331"/>
        <v/>
      </c>
      <c r="U3448" s="121">
        <f t="shared" si="1332"/>
        <v>1</v>
      </c>
    </row>
    <row r="3449" spans="1:21" x14ac:dyDescent="0.3">
      <c r="A3449" s="187">
        <v>23</v>
      </c>
      <c r="B3449" s="242">
        <f t="shared" si="1333"/>
        <v>46327</v>
      </c>
      <c r="C3449" s="243">
        <f t="shared" si="1314"/>
        <v>46356</v>
      </c>
      <c r="D3449" s="120">
        <f t="shared" si="1315"/>
        <v>30</v>
      </c>
      <c r="E3449" s="120">
        <f t="shared" si="1316"/>
        <v>11</v>
      </c>
      <c r="F3449" s="275">
        <f t="shared" si="1317"/>
        <v>46342</v>
      </c>
      <c r="G3449" s="120">
        <f t="shared" si="1318"/>
        <v>24322</v>
      </c>
      <c r="H3449" s="245">
        <f t="shared" si="1319"/>
        <v>1</v>
      </c>
      <c r="I3449" s="121">
        <f t="shared" si="1320"/>
        <v>1</v>
      </c>
      <c r="J3449" s="121">
        <f t="shared" si="1321"/>
        <v>1</v>
      </c>
      <c r="K3449" s="120">
        <f t="shared" si="1322"/>
        <v>0</v>
      </c>
      <c r="L3449" s="120">
        <f t="shared" si="1323"/>
        <v>0</v>
      </c>
      <c r="M3449" s="246">
        <f t="shared" si="1324"/>
        <v>0</v>
      </c>
      <c r="N3449" s="121">
        <f t="shared" si="1325"/>
        <v>1</v>
      </c>
      <c r="O3449" s="246">
        <f t="shared" si="1326"/>
        <v>0.91100656455142237</v>
      </c>
      <c r="P3449" s="121">
        <f t="shared" si="1327"/>
        <v>0.25</v>
      </c>
      <c r="Q3449" s="121">
        <f t="shared" si="1328"/>
        <v>0.75</v>
      </c>
      <c r="R3449" s="121">
        <f t="shared" si="1329"/>
        <v>0</v>
      </c>
      <c r="S3449" s="121" t="str">
        <f t="shared" si="1330"/>
        <v/>
      </c>
      <c r="T3449" s="121" t="str">
        <f t="shared" si="1331"/>
        <v/>
      </c>
      <c r="U3449" s="121">
        <f t="shared" si="1332"/>
        <v>1</v>
      </c>
    </row>
    <row r="3450" spans="1:21" x14ac:dyDescent="0.3">
      <c r="A3450" s="187">
        <v>24</v>
      </c>
      <c r="B3450" s="242">
        <f t="shared" si="1333"/>
        <v>46357</v>
      </c>
      <c r="C3450" s="243">
        <f t="shared" si="1314"/>
        <v>46387</v>
      </c>
      <c r="D3450" s="120">
        <f t="shared" si="1315"/>
        <v>31</v>
      </c>
      <c r="E3450" s="120">
        <f t="shared" si="1316"/>
        <v>12</v>
      </c>
      <c r="F3450" s="275">
        <f t="shared" si="1317"/>
        <v>46372.5</v>
      </c>
      <c r="G3450" s="120">
        <f t="shared" si="1318"/>
        <v>24323</v>
      </c>
      <c r="H3450" s="245">
        <f t="shared" si="1319"/>
        <v>1</v>
      </c>
      <c r="I3450" s="121">
        <f t="shared" si="1320"/>
        <v>1</v>
      </c>
      <c r="J3450" s="121">
        <f t="shared" si="1321"/>
        <v>1</v>
      </c>
      <c r="K3450" s="120">
        <f t="shared" si="1322"/>
        <v>0</v>
      </c>
      <c r="L3450" s="120">
        <f t="shared" si="1323"/>
        <v>0</v>
      </c>
      <c r="M3450" s="246">
        <f t="shared" si="1324"/>
        <v>0</v>
      </c>
      <c r="N3450" s="121">
        <f t="shared" si="1325"/>
        <v>1</v>
      </c>
      <c r="O3450" s="246">
        <f t="shared" si="1326"/>
        <v>0.91167396061269146</v>
      </c>
      <c r="P3450" s="121">
        <f t="shared" si="1327"/>
        <v>8.3333333333333329E-2</v>
      </c>
      <c r="Q3450" s="121">
        <f t="shared" si="1328"/>
        <v>0.91666666666666663</v>
      </c>
      <c r="R3450" s="121">
        <f t="shared" si="1329"/>
        <v>0</v>
      </c>
      <c r="S3450" s="121" t="str">
        <f t="shared" si="1330"/>
        <v/>
      </c>
      <c r="T3450" s="121" t="str">
        <f t="shared" si="1331"/>
        <v/>
      </c>
      <c r="U3450" s="121">
        <f t="shared" si="1332"/>
        <v>1</v>
      </c>
    </row>
    <row r="3451" spans="1:21" x14ac:dyDescent="0.3">
      <c r="A3451" s="187">
        <v>25</v>
      </c>
      <c r="B3451" s="242">
        <f t="shared" si="1333"/>
        <v>46388</v>
      </c>
      <c r="C3451" s="243">
        <f t="shared" si="1314"/>
        <v>46418</v>
      </c>
      <c r="D3451" s="120">
        <f t="shared" si="1315"/>
        <v>31</v>
      </c>
      <c r="E3451" s="120">
        <f t="shared" si="1316"/>
        <v>1</v>
      </c>
      <c r="F3451" s="275">
        <f t="shared" si="1317"/>
        <v>46403.5</v>
      </c>
      <c r="G3451" s="120">
        <f t="shared" si="1318"/>
        <v>24324</v>
      </c>
      <c r="H3451" s="245">
        <f t="shared" si="1319"/>
        <v>1</v>
      </c>
      <c r="I3451" s="121">
        <f t="shared" si="1320"/>
        <v>1</v>
      </c>
      <c r="J3451" s="121">
        <f t="shared" si="1321"/>
        <v>1</v>
      </c>
      <c r="K3451" s="120">
        <f t="shared" si="1322"/>
        <v>0</v>
      </c>
      <c r="L3451" s="120">
        <f t="shared" si="1323"/>
        <v>0</v>
      </c>
      <c r="M3451" s="246">
        <f t="shared" si="1324"/>
        <v>0</v>
      </c>
      <c r="N3451" s="121">
        <f t="shared" si="1325"/>
        <v>1</v>
      </c>
      <c r="O3451" s="246">
        <f t="shared" si="1326"/>
        <v>0.91235229759299785</v>
      </c>
      <c r="P3451" s="121">
        <f t="shared" si="1327"/>
        <v>0</v>
      </c>
      <c r="Q3451" s="121">
        <f t="shared" si="1328"/>
        <v>1</v>
      </c>
      <c r="R3451" s="121">
        <f t="shared" si="1329"/>
        <v>0</v>
      </c>
      <c r="S3451" s="121" t="str">
        <f t="shared" si="1330"/>
        <v/>
      </c>
      <c r="T3451" s="121" t="str">
        <f t="shared" si="1331"/>
        <v/>
      </c>
      <c r="U3451" s="121">
        <f t="shared" si="1332"/>
        <v>1</v>
      </c>
    </row>
    <row r="3452" spans="1:21" x14ac:dyDescent="0.3">
      <c r="A3452" s="187">
        <v>26</v>
      </c>
      <c r="B3452" s="242">
        <f t="shared" si="1333"/>
        <v>46419</v>
      </c>
      <c r="C3452" s="243">
        <f t="shared" si="1314"/>
        <v>46446</v>
      </c>
      <c r="D3452" s="120">
        <f t="shared" si="1315"/>
        <v>28</v>
      </c>
      <c r="E3452" s="120">
        <f t="shared" si="1316"/>
        <v>2</v>
      </c>
      <c r="F3452" s="275">
        <f t="shared" si="1317"/>
        <v>46433</v>
      </c>
      <c r="G3452" s="120">
        <f t="shared" si="1318"/>
        <v>24325</v>
      </c>
      <c r="H3452" s="245">
        <f t="shared" si="1319"/>
        <v>1</v>
      </c>
      <c r="I3452" s="121">
        <f t="shared" si="1320"/>
        <v>1</v>
      </c>
      <c r="J3452" s="121">
        <f t="shared" si="1321"/>
        <v>1</v>
      </c>
      <c r="K3452" s="120">
        <f t="shared" si="1322"/>
        <v>0</v>
      </c>
      <c r="L3452" s="120">
        <f t="shared" si="1323"/>
        <v>0</v>
      </c>
      <c r="M3452" s="246">
        <f t="shared" si="1324"/>
        <v>0</v>
      </c>
      <c r="N3452" s="121">
        <f t="shared" si="1325"/>
        <v>1</v>
      </c>
      <c r="O3452" s="246">
        <f t="shared" si="1326"/>
        <v>0.91299781181619255</v>
      </c>
      <c r="P3452" s="121">
        <f t="shared" si="1327"/>
        <v>0</v>
      </c>
      <c r="Q3452" s="121">
        <f t="shared" si="1328"/>
        <v>1</v>
      </c>
      <c r="R3452" s="121">
        <f t="shared" si="1329"/>
        <v>0</v>
      </c>
      <c r="S3452" s="121" t="str">
        <f t="shared" si="1330"/>
        <v/>
      </c>
      <c r="T3452" s="121" t="str">
        <f t="shared" si="1331"/>
        <v/>
      </c>
      <c r="U3452" s="121">
        <f t="shared" si="1332"/>
        <v>1</v>
      </c>
    </row>
    <row r="3453" spans="1:21" x14ac:dyDescent="0.3">
      <c r="A3453" s="187">
        <v>27</v>
      </c>
      <c r="B3453" s="242">
        <f t="shared" si="1333"/>
        <v>46447</v>
      </c>
      <c r="C3453" s="243">
        <f t="shared" si="1314"/>
        <v>46477</v>
      </c>
      <c r="D3453" s="120">
        <f t="shared" si="1315"/>
        <v>31</v>
      </c>
      <c r="E3453" s="120">
        <f t="shared" si="1316"/>
        <v>3</v>
      </c>
      <c r="F3453" s="275">
        <f t="shared" si="1317"/>
        <v>46462.5</v>
      </c>
      <c r="G3453" s="120">
        <f t="shared" si="1318"/>
        <v>24326</v>
      </c>
      <c r="H3453" s="245">
        <f t="shared" si="1319"/>
        <v>1</v>
      </c>
      <c r="I3453" s="121">
        <f t="shared" si="1320"/>
        <v>1</v>
      </c>
      <c r="J3453" s="121">
        <f t="shared" si="1321"/>
        <v>1</v>
      </c>
      <c r="K3453" s="120">
        <f t="shared" si="1322"/>
        <v>0</v>
      </c>
      <c r="L3453" s="120">
        <f t="shared" si="1323"/>
        <v>0</v>
      </c>
      <c r="M3453" s="246">
        <f t="shared" si="1324"/>
        <v>0</v>
      </c>
      <c r="N3453" s="121">
        <f t="shared" si="1325"/>
        <v>1</v>
      </c>
      <c r="O3453" s="246">
        <f t="shared" si="1326"/>
        <v>0.91364332603938736</v>
      </c>
      <c r="P3453" s="121">
        <f t="shared" si="1327"/>
        <v>0</v>
      </c>
      <c r="Q3453" s="121">
        <f t="shared" si="1328"/>
        <v>1</v>
      </c>
      <c r="R3453" s="121">
        <f t="shared" si="1329"/>
        <v>0</v>
      </c>
      <c r="S3453" s="121" t="str">
        <f t="shared" si="1330"/>
        <v/>
      </c>
      <c r="T3453" s="121" t="str">
        <f t="shared" si="1331"/>
        <v/>
      </c>
      <c r="U3453" s="121">
        <f t="shared" si="1332"/>
        <v>1</v>
      </c>
    </row>
    <row r="3454" spans="1:21" x14ac:dyDescent="0.3">
      <c r="A3454" s="187">
        <v>28</v>
      </c>
      <c r="B3454" s="242">
        <f t="shared" si="1333"/>
        <v>46478</v>
      </c>
      <c r="C3454" s="243">
        <f t="shared" si="1314"/>
        <v>46507</v>
      </c>
      <c r="D3454" s="120">
        <f t="shared" si="1315"/>
        <v>30</v>
      </c>
      <c r="E3454" s="120">
        <f t="shared" si="1316"/>
        <v>4</v>
      </c>
      <c r="F3454" s="275">
        <f t="shared" si="1317"/>
        <v>46493</v>
      </c>
      <c r="G3454" s="120">
        <f t="shared" si="1318"/>
        <v>24327</v>
      </c>
      <c r="H3454" s="245">
        <f t="shared" si="1319"/>
        <v>1</v>
      </c>
      <c r="I3454" s="121">
        <f t="shared" si="1320"/>
        <v>1</v>
      </c>
      <c r="J3454" s="121">
        <f t="shared" si="1321"/>
        <v>1</v>
      </c>
      <c r="K3454" s="120">
        <f t="shared" si="1322"/>
        <v>0</v>
      </c>
      <c r="L3454" s="120">
        <f t="shared" si="1323"/>
        <v>0</v>
      </c>
      <c r="M3454" s="246">
        <f t="shared" si="1324"/>
        <v>0</v>
      </c>
      <c r="N3454" s="121">
        <f t="shared" si="1325"/>
        <v>1</v>
      </c>
      <c r="O3454" s="246">
        <f t="shared" si="1326"/>
        <v>0.91431072210065645</v>
      </c>
      <c r="P3454" s="121">
        <f t="shared" si="1327"/>
        <v>0</v>
      </c>
      <c r="Q3454" s="121">
        <f t="shared" si="1328"/>
        <v>1</v>
      </c>
      <c r="R3454" s="121">
        <f t="shared" si="1329"/>
        <v>0</v>
      </c>
      <c r="S3454" s="121" t="str">
        <f t="shared" si="1330"/>
        <v/>
      </c>
      <c r="T3454" s="121" t="str">
        <f t="shared" si="1331"/>
        <v/>
      </c>
      <c r="U3454" s="121">
        <f t="shared" si="1332"/>
        <v>1</v>
      </c>
    </row>
    <row r="3455" spans="1:21" x14ac:dyDescent="0.3">
      <c r="A3455" s="187">
        <v>29</v>
      </c>
      <c r="B3455" s="242">
        <f t="shared" si="1333"/>
        <v>46508</v>
      </c>
      <c r="C3455" s="243">
        <f t="shared" si="1314"/>
        <v>46538</v>
      </c>
      <c r="D3455" s="120">
        <f t="shared" si="1315"/>
        <v>31</v>
      </c>
      <c r="E3455" s="120">
        <f t="shared" si="1316"/>
        <v>5</v>
      </c>
      <c r="F3455" s="275">
        <f t="shared" si="1317"/>
        <v>46523.5</v>
      </c>
      <c r="G3455" s="120">
        <f t="shared" si="1318"/>
        <v>24328</v>
      </c>
      <c r="H3455" s="245">
        <f t="shared" si="1319"/>
        <v>1</v>
      </c>
      <c r="I3455" s="121">
        <f t="shared" si="1320"/>
        <v>1</v>
      </c>
      <c r="J3455" s="121">
        <f t="shared" si="1321"/>
        <v>1</v>
      </c>
      <c r="K3455" s="120">
        <f t="shared" si="1322"/>
        <v>0</v>
      </c>
      <c r="L3455" s="120">
        <f t="shared" si="1323"/>
        <v>0</v>
      </c>
      <c r="M3455" s="246">
        <f t="shared" si="1324"/>
        <v>0</v>
      </c>
      <c r="N3455" s="121">
        <f t="shared" si="1325"/>
        <v>1</v>
      </c>
      <c r="O3455" s="246">
        <f t="shared" si="1326"/>
        <v>0.91497811816192565</v>
      </c>
      <c r="P3455" s="121">
        <f t="shared" si="1327"/>
        <v>0</v>
      </c>
      <c r="Q3455" s="121">
        <f t="shared" si="1328"/>
        <v>1</v>
      </c>
      <c r="R3455" s="121">
        <f t="shared" si="1329"/>
        <v>0</v>
      </c>
      <c r="S3455" s="121" t="str">
        <f t="shared" si="1330"/>
        <v/>
      </c>
      <c r="T3455" s="121" t="str">
        <f t="shared" si="1331"/>
        <v/>
      </c>
      <c r="U3455" s="121">
        <f t="shared" si="1332"/>
        <v>1</v>
      </c>
    </row>
    <row r="3456" spans="1:21" x14ac:dyDescent="0.3">
      <c r="A3456" s="187">
        <v>30</v>
      </c>
      <c r="B3456" s="242">
        <f t="shared" si="1333"/>
        <v>46539</v>
      </c>
      <c r="C3456" s="243">
        <f t="shared" si="1314"/>
        <v>46568</v>
      </c>
      <c r="D3456" s="120">
        <f t="shared" si="1315"/>
        <v>30</v>
      </c>
      <c r="E3456" s="120">
        <f t="shared" si="1316"/>
        <v>6</v>
      </c>
      <c r="F3456" s="275">
        <f t="shared" si="1317"/>
        <v>46554</v>
      </c>
      <c r="G3456" s="120">
        <f t="shared" si="1318"/>
        <v>24329</v>
      </c>
      <c r="H3456" s="245">
        <f t="shared" si="1319"/>
        <v>1</v>
      </c>
      <c r="I3456" s="121">
        <f t="shared" si="1320"/>
        <v>1</v>
      </c>
      <c r="J3456" s="121">
        <f t="shared" si="1321"/>
        <v>1</v>
      </c>
      <c r="K3456" s="120">
        <f t="shared" si="1322"/>
        <v>0</v>
      </c>
      <c r="L3456" s="120">
        <f t="shared" si="1323"/>
        <v>0</v>
      </c>
      <c r="M3456" s="246">
        <f t="shared" si="1324"/>
        <v>0</v>
      </c>
      <c r="N3456" s="121">
        <f t="shared" si="1325"/>
        <v>1</v>
      </c>
      <c r="O3456" s="246">
        <f t="shared" si="1326"/>
        <v>0.91564551422319473</v>
      </c>
      <c r="P3456" s="121">
        <f t="shared" si="1327"/>
        <v>0</v>
      </c>
      <c r="Q3456" s="121">
        <f t="shared" si="1328"/>
        <v>1</v>
      </c>
      <c r="R3456" s="121">
        <f t="shared" si="1329"/>
        <v>0</v>
      </c>
      <c r="S3456" s="121" t="str">
        <f t="shared" si="1330"/>
        <v/>
      </c>
      <c r="T3456" s="121" t="str">
        <f t="shared" si="1331"/>
        <v/>
      </c>
      <c r="U3456" s="121">
        <f t="shared" si="1332"/>
        <v>1</v>
      </c>
    </row>
    <row r="3457" spans="1:21" x14ac:dyDescent="0.3">
      <c r="A3457" s="187">
        <v>31</v>
      </c>
      <c r="B3457" s="242">
        <f t="shared" si="1333"/>
        <v>46569</v>
      </c>
      <c r="C3457" s="243">
        <f t="shared" si="1314"/>
        <v>46599</v>
      </c>
      <c r="D3457" s="120">
        <f t="shared" si="1315"/>
        <v>31</v>
      </c>
      <c r="E3457" s="120">
        <f t="shared" si="1316"/>
        <v>7</v>
      </c>
      <c r="F3457" s="275">
        <f t="shared" si="1317"/>
        <v>46584.5</v>
      </c>
      <c r="G3457" s="120">
        <f t="shared" si="1318"/>
        <v>24330</v>
      </c>
      <c r="H3457" s="245">
        <f t="shared" si="1319"/>
        <v>1</v>
      </c>
      <c r="I3457" s="121">
        <f t="shared" si="1320"/>
        <v>1</v>
      </c>
      <c r="J3457" s="121">
        <f t="shared" si="1321"/>
        <v>1</v>
      </c>
      <c r="K3457" s="120">
        <f t="shared" si="1322"/>
        <v>0</v>
      </c>
      <c r="L3457" s="120">
        <f t="shared" si="1323"/>
        <v>0</v>
      </c>
      <c r="M3457" s="246">
        <f t="shared" si="1324"/>
        <v>0</v>
      </c>
      <c r="N3457" s="121">
        <f t="shared" si="1325"/>
        <v>1</v>
      </c>
      <c r="O3457" s="246">
        <f t="shared" si="1326"/>
        <v>0.91631291028446393</v>
      </c>
      <c r="P3457" s="121">
        <f t="shared" si="1327"/>
        <v>0</v>
      </c>
      <c r="Q3457" s="121">
        <f t="shared" si="1328"/>
        <v>0.91666666666666663</v>
      </c>
      <c r="R3457" s="121">
        <f t="shared" si="1329"/>
        <v>8.333333333333337E-2</v>
      </c>
      <c r="S3457" s="121" t="str">
        <f t="shared" si="1330"/>
        <v/>
      </c>
      <c r="T3457" s="121" t="str">
        <f t="shared" si="1331"/>
        <v/>
      </c>
      <c r="U3457" s="121">
        <f t="shared" si="1332"/>
        <v>1</v>
      </c>
    </row>
    <row r="3458" spans="1:21" x14ac:dyDescent="0.3">
      <c r="A3458" s="187">
        <v>32</v>
      </c>
      <c r="B3458" s="242">
        <f t="shared" si="1333"/>
        <v>46600</v>
      </c>
      <c r="C3458" s="243">
        <f t="shared" si="1314"/>
        <v>46630</v>
      </c>
      <c r="D3458" s="120">
        <f t="shared" si="1315"/>
        <v>31</v>
      </c>
      <c r="E3458" s="120">
        <f t="shared" si="1316"/>
        <v>8</v>
      </c>
      <c r="F3458" s="275">
        <f t="shared" si="1317"/>
        <v>46615.5</v>
      </c>
      <c r="G3458" s="120">
        <f t="shared" si="1318"/>
        <v>24331</v>
      </c>
      <c r="H3458" s="245">
        <f t="shared" si="1319"/>
        <v>1</v>
      </c>
      <c r="I3458" s="121">
        <f t="shared" si="1320"/>
        <v>1</v>
      </c>
      <c r="J3458" s="121">
        <f t="shared" si="1321"/>
        <v>1</v>
      </c>
      <c r="K3458" s="120">
        <f t="shared" si="1322"/>
        <v>0</v>
      </c>
      <c r="L3458" s="120">
        <f t="shared" si="1323"/>
        <v>0</v>
      </c>
      <c r="M3458" s="246">
        <f t="shared" si="1324"/>
        <v>0</v>
      </c>
      <c r="N3458" s="121">
        <f t="shared" si="1325"/>
        <v>1</v>
      </c>
      <c r="O3458" s="246">
        <f t="shared" si="1326"/>
        <v>0.91699124726477033</v>
      </c>
      <c r="P3458" s="121">
        <f t="shared" si="1327"/>
        <v>0</v>
      </c>
      <c r="Q3458" s="121">
        <f t="shared" si="1328"/>
        <v>0.75</v>
      </c>
      <c r="R3458" s="121">
        <f t="shared" si="1329"/>
        <v>0.25</v>
      </c>
      <c r="S3458" s="121" t="str">
        <f t="shared" si="1330"/>
        <v/>
      </c>
      <c r="T3458" s="121" t="str">
        <f t="shared" si="1331"/>
        <v/>
      </c>
      <c r="U3458" s="121">
        <f t="shared" si="1332"/>
        <v>1</v>
      </c>
    </row>
    <row r="3459" spans="1:21" x14ac:dyDescent="0.3">
      <c r="A3459" s="187">
        <v>33</v>
      </c>
      <c r="B3459" s="242">
        <f t="shared" si="1333"/>
        <v>46631</v>
      </c>
      <c r="C3459" s="243">
        <f t="shared" si="1314"/>
        <v>46660</v>
      </c>
      <c r="D3459" s="120">
        <f t="shared" si="1315"/>
        <v>30</v>
      </c>
      <c r="E3459" s="120">
        <f t="shared" si="1316"/>
        <v>9</v>
      </c>
      <c r="F3459" s="275">
        <f t="shared" si="1317"/>
        <v>46646</v>
      </c>
      <c r="G3459" s="120">
        <f t="shared" si="1318"/>
        <v>24332</v>
      </c>
      <c r="H3459" s="245">
        <f t="shared" si="1319"/>
        <v>1</v>
      </c>
      <c r="I3459" s="121">
        <f t="shared" si="1320"/>
        <v>1</v>
      </c>
      <c r="J3459" s="121">
        <f t="shared" si="1321"/>
        <v>1</v>
      </c>
      <c r="K3459" s="120">
        <f t="shared" si="1322"/>
        <v>0</v>
      </c>
      <c r="L3459" s="120">
        <f t="shared" si="1323"/>
        <v>0</v>
      </c>
      <c r="M3459" s="246">
        <f t="shared" si="1324"/>
        <v>0</v>
      </c>
      <c r="N3459" s="121">
        <f t="shared" si="1325"/>
        <v>1</v>
      </c>
      <c r="O3459" s="246">
        <f t="shared" si="1326"/>
        <v>0.91765864332603941</v>
      </c>
      <c r="P3459" s="121">
        <f t="shared" si="1327"/>
        <v>0</v>
      </c>
      <c r="Q3459" s="121">
        <f t="shared" si="1328"/>
        <v>0.58333333333333337</v>
      </c>
      <c r="R3459" s="121">
        <f t="shared" si="1329"/>
        <v>0.41666666666666663</v>
      </c>
      <c r="S3459" s="121" t="str">
        <f t="shared" si="1330"/>
        <v/>
      </c>
      <c r="T3459" s="121" t="str">
        <f t="shared" si="1331"/>
        <v/>
      </c>
      <c r="U3459" s="121">
        <f t="shared" si="1332"/>
        <v>1</v>
      </c>
    </row>
    <row r="3460" spans="1:21" x14ac:dyDescent="0.3">
      <c r="A3460" s="187">
        <v>34</v>
      </c>
      <c r="B3460" s="242">
        <f t="shared" si="1333"/>
        <v>46661</v>
      </c>
      <c r="C3460" s="243">
        <f t="shared" si="1314"/>
        <v>46691</v>
      </c>
      <c r="D3460" s="120">
        <f t="shared" si="1315"/>
        <v>31</v>
      </c>
      <c r="E3460" s="120">
        <f t="shared" si="1316"/>
        <v>10</v>
      </c>
      <c r="F3460" s="275">
        <f t="shared" si="1317"/>
        <v>46676.5</v>
      </c>
      <c r="G3460" s="120">
        <f t="shared" si="1318"/>
        <v>24333</v>
      </c>
      <c r="H3460" s="245">
        <f t="shared" si="1319"/>
        <v>1</v>
      </c>
      <c r="I3460" s="121">
        <f t="shared" si="1320"/>
        <v>1</v>
      </c>
      <c r="J3460" s="121">
        <f t="shared" si="1321"/>
        <v>1</v>
      </c>
      <c r="K3460" s="120">
        <f t="shared" si="1322"/>
        <v>0</v>
      </c>
      <c r="L3460" s="120">
        <f t="shared" si="1323"/>
        <v>0</v>
      </c>
      <c r="M3460" s="246">
        <f t="shared" si="1324"/>
        <v>0</v>
      </c>
      <c r="N3460" s="121">
        <f t="shared" si="1325"/>
        <v>1</v>
      </c>
      <c r="O3460" s="246">
        <f t="shared" si="1326"/>
        <v>0.91832603938730861</v>
      </c>
      <c r="P3460" s="121">
        <f t="shared" si="1327"/>
        <v>0</v>
      </c>
      <c r="Q3460" s="121">
        <f t="shared" si="1328"/>
        <v>0.41666666666666669</v>
      </c>
      <c r="R3460" s="121">
        <f t="shared" si="1329"/>
        <v>0.58333333333333326</v>
      </c>
      <c r="S3460" s="121" t="str">
        <f t="shared" si="1330"/>
        <v/>
      </c>
      <c r="T3460" s="121" t="str">
        <f t="shared" si="1331"/>
        <v/>
      </c>
      <c r="U3460" s="121">
        <f t="shared" si="1332"/>
        <v>1</v>
      </c>
    </row>
    <row r="3461" spans="1:21" x14ac:dyDescent="0.3">
      <c r="A3461" s="187">
        <v>35</v>
      </c>
      <c r="B3461" s="242">
        <f t="shared" si="1333"/>
        <v>46692</v>
      </c>
      <c r="C3461" s="243">
        <f t="shared" si="1314"/>
        <v>46721</v>
      </c>
      <c r="D3461" s="120">
        <f t="shared" si="1315"/>
        <v>30</v>
      </c>
      <c r="E3461" s="120">
        <f t="shared" si="1316"/>
        <v>11</v>
      </c>
      <c r="F3461" s="275">
        <f t="shared" si="1317"/>
        <v>46707</v>
      </c>
      <c r="G3461" s="120">
        <f t="shared" si="1318"/>
        <v>24334</v>
      </c>
      <c r="H3461" s="245">
        <f t="shared" si="1319"/>
        <v>1</v>
      </c>
      <c r="I3461" s="121">
        <f t="shared" si="1320"/>
        <v>1</v>
      </c>
      <c r="J3461" s="121">
        <f t="shared" si="1321"/>
        <v>1</v>
      </c>
      <c r="K3461" s="120">
        <f t="shared" si="1322"/>
        <v>0</v>
      </c>
      <c r="L3461" s="120">
        <f t="shared" si="1323"/>
        <v>0</v>
      </c>
      <c r="M3461" s="246">
        <f t="shared" si="1324"/>
        <v>0</v>
      </c>
      <c r="N3461" s="121">
        <f t="shared" si="1325"/>
        <v>1</v>
      </c>
      <c r="O3461" s="246">
        <f t="shared" si="1326"/>
        <v>0.9189934354485777</v>
      </c>
      <c r="P3461" s="121">
        <f t="shared" si="1327"/>
        <v>0</v>
      </c>
      <c r="Q3461" s="121">
        <f t="shared" si="1328"/>
        <v>0.25</v>
      </c>
      <c r="R3461" s="121">
        <f t="shared" si="1329"/>
        <v>0.75</v>
      </c>
      <c r="S3461" s="121" t="str">
        <f t="shared" si="1330"/>
        <v/>
      </c>
      <c r="T3461" s="121" t="str">
        <f t="shared" si="1331"/>
        <v/>
      </c>
      <c r="U3461" s="121">
        <f t="shared" si="1332"/>
        <v>1</v>
      </c>
    </row>
    <row r="3462" spans="1:21" x14ac:dyDescent="0.3">
      <c r="A3462" s="187">
        <v>36</v>
      </c>
      <c r="B3462" s="242">
        <f t="shared" si="1333"/>
        <v>46722</v>
      </c>
      <c r="C3462" s="243">
        <f t="shared" si="1314"/>
        <v>46752</v>
      </c>
      <c r="D3462" s="120">
        <f t="shared" si="1315"/>
        <v>31</v>
      </c>
      <c r="E3462" s="120">
        <f t="shared" si="1316"/>
        <v>12</v>
      </c>
      <c r="F3462" s="275">
        <f t="shared" si="1317"/>
        <v>46737.5</v>
      </c>
      <c r="G3462" s="120">
        <f t="shared" si="1318"/>
        <v>24335</v>
      </c>
      <c r="H3462" s="245">
        <f t="shared" si="1319"/>
        <v>1</v>
      </c>
      <c r="I3462" s="121">
        <f t="shared" si="1320"/>
        <v>1</v>
      </c>
      <c r="J3462" s="121">
        <f t="shared" si="1321"/>
        <v>1</v>
      </c>
      <c r="K3462" s="120">
        <f t="shared" si="1322"/>
        <v>0</v>
      </c>
      <c r="L3462" s="120">
        <f t="shared" si="1323"/>
        <v>0</v>
      </c>
      <c r="M3462" s="246">
        <f t="shared" si="1324"/>
        <v>0</v>
      </c>
      <c r="N3462" s="121">
        <f t="shared" si="1325"/>
        <v>1</v>
      </c>
      <c r="O3462" s="246">
        <f t="shared" si="1326"/>
        <v>0.9196608315098469</v>
      </c>
      <c r="P3462" s="121">
        <f t="shared" si="1327"/>
        <v>0</v>
      </c>
      <c r="Q3462" s="121">
        <f t="shared" si="1328"/>
        <v>8.3333333333333329E-2</v>
      </c>
      <c r="R3462" s="121">
        <f t="shared" si="1329"/>
        <v>0.91666666666666663</v>
      </c>
      <c r="S3462" s="121" t="str">
        <f t="shared" si="1330"/>
        <v/>
      </c>
      <c r="T3462" s="121" t="str">
        <f t="shared" si="1331"/>
        <v/>
      </c>
      <c r="U3462" s="121">
        <f t="shared" si="1332"/>
        <v>1</v>
      </c>
    </row>
    <row r="3463" spans="1:21" x14ac:dyDescent="0.3">
      <c r="A3463" s="187">
        <v>37</v>
      </c>
      <c r="B3463" s="242">
        <f t="shared" si="1333"/>
        <v>46753</v>
      </c>
      <c r="C3463" s="243">
        <f t="shared" si="1314"/>
        <v>46783</v>
      </c>
      <c r="D3463" s="120">
        <f t="shared" si="1315"/>
        <v>31</v>
      </c>
      <c r="E3463" s="120">
        <f t="shared" si="1316"/>
        <v>1</v>
      </c>
      <c r="F3463" s="275">
        <f t="shared" si="1317"/>
        <v>46768.5</v>
      </c>
      <c r="G3463" s="120">
        <f t="shared" si="1318"/>
        <v>24336</v>
      </c>
      <c r="H3463" s="245">
        <f t="shared" si="1319"/>
        <v>1</v>
      </c>
      <c r="I3463" s="121">
        <f t="shared" si="1320"/>
        <v>1</v>
      </c>
      <c r="J3463" s="121">
        <f t="shared" si="1321"/>
        <v>1</v>
      </c>
      <c r="K3463" s="120">
        <f t="shared" si="1322"/>
        <v>0</v>
      </c>
      <c r="L3463" s="120">
        <f t="shared" si="1323"/>
        <v>0</v>
      </c>
      <c r="M3463" s="246">
        <f t="shared" si="1324"/>
        <v>0</v>
      </c>
      <c r="N3463" s="121">
        <f t="shared" si="1325"/>
        <v>1</v>
      </c>
      <c r="O3463" s="246">
        <f t="shared" si="1326"/>
        <v>0.92</v>
      </c>
      <c r="P3463" s="121">
        <f t="shared" si="1327"/>
        <v>0</v>
      </c>
      <c r="Q3463" s="121">
        <f t="shared" si="1328"/>
        <v>0</v>
      </c>
      <c r="R3463" s="121">
        <f t="shared" si="1329"/>
        <v>1</v>
      </c>
      <c r="S3463" s="121" t="str">
        <f t="shared" si="1330"/>
        <v/>
      </c>
      <c r="T3463" s="121" t="str">
        <f t="shared" si="1331"/>
        <v/>
      </c>
      <c r="U3463" s="121">
        <f t="shared" si="1332"/>
        <v>1</v>
      </c>
    </row>
    <row r="3464" spans="1:21" x14ac:dyDescent="0.3">
      <c r="A3464" s="187">
        <v>38</v>
      </c>
      <c r="B3464" s="242">
        <f t="shared" si="1333"/>
        <v>46784</v>
      </c>
      <c r="C3464" s="243">
        <f t="shared" si="1314"/>
        <v>46812</v>
      </c>
      <c r="D3464" s="120">
        <f t="shared" si="1315"/>
        <v>29</v>
      </c>
      <c r="E3464" s="120">
        <f t="shared" si="1316"/>
        <v>2</v>
      </c>
      <c r="F3464" s="275">
        <f t="shared" si="1317"/>
        <v>46798.5</v>
      </c>
      <c r="G3464" s="120">
        <f t="shared" si="1318"/>
        <v>24337</v>
      </c>
      <c r="H3464" s="245">
        <f t="shared" si="1319"/>
        <v>1</v>
      </c>
      <c r="I3464" s="121">
        <f t="shared" si="1320"/>
        <v>1</v>
      </c>
      <c r="J3464" s="121">
        <f t="shared" si="1321"/>
        <v>1</v>
      </c>
      <c r="K3464" s="120">
        <f t="shared" si="1322"/>
        <v>0</v>
      </c>
      <c r="L3464" s="120">
        <f t="shared" si="1323"/>
        <v>0</v>
      </c>
      <c r="M3464" s="246">
        <f t="shared" si="1324"/>
        <v>0</v>
      </c>
      <c r="N3464" s="121">
        <f t="shared" si="1325"/>
        <v>1</v>
      </c>
      <c r="O3464" s="246">
        <f t="shared" si="1326"/>
        <v>0.92</v>
      </c>
      <c r="P3464" s="121">
        <f t="shared" si="1327"/>
        <v>0</v>
      </c>
      <c r="Q3464" s="121">
        <f t="shared" si="1328"/>
        <v>0</v>
      </c>
      <c r="R3464" s="121">
        <f t="shared" si="1329"/>
        <v>1</v>
      </c>
      <c r="S3464" s="121" t="str">
        <f t="shared" si="1330"/>
        <v/>
      </c>
      <c r="T3464" s="121" t="str">
        <f t="shared" si="1331"/>
        <v/>
      </c>
      <c r="U3464" s="121">
        <f t="shared" si="1332"/>
        <v>1</v>
      </c>
    </row>
    <row r="3465" spans="1:21" x14ac:dyDescent="0.3">
      <c r="A3465" s="187">
        <v>39</v>
      </c>
      <c r="B3465" s="242">
        <f t="shared" si="1333"/>
        <v>46813</v>
      </c>
      <c r="C3465" s="243">
        <f t="shared" si="1314"/>
        <v>46843</v>
      </c>
      <c r="D3465" s="120">
        <f t="shared" si="1315"/>
        <v>31</v>
      </c>
      <c r="E3465" s="120">
        <f t="shared" si="1316"/>
        <v>3</v>
      </c>
      <c r="F3465" s="275">
        <f t="shared" si="1317"/>
        <v>46828.5</v>
      </c>
      <c r="G3465" s="120">
        <f t="shared" si="1318"/>
        <v>24338</v>
      </c>
      <c r="H3465" s="245">
        <f t="shared" si="1319"/>
        <v>1</v>
      </c>
      <c r="I3465" s="121">
        <f t="shared" si="1320"/>
        <v>1</v>
      </c>
      <c r="J3465" s="121">
        <f t="shared" si="1321"/>
        <v>1</v>
      </c>
      <c r="K3465" s="120">
        <f t="shared" si="1322"/>
        <v>0</v>
      </c>
      <c r="L3465" s="120">
        <f t="shared" si="1323"/>
        <v>0</v>
      </c>
      <c r="M3465" s="246">
        <f t="shared" si="1324"/>
        <v>0</v>
      </c>
      <c r="N3465" s="121">
        <f t="shared" si="1325"/>
        <v>1</v>
      </c>
      <c r="O3465" s="246">
        <f t="shared" si="1326"/>
        <v>0.92</v>
      </c>
      <c r="P3465" s="121">
        <f t="shared" si="1327"/>
        <v>0</v>
      </c>
      <c r="Q3465" s="121">
        <f t="shared" si="1328"/>
        <v>0</v>
      </c>
      <c r="R3465" s="121">
        <f t="shared" si="1329"/>
        <v>1</v>
      </c>
      <c r="S3465" s="121" t="str">
        <f t="shared" si="1330"/>
        <v/>
      </c>
      <c r="T3465" s="121" t="str">
        <f t="shared" si="1331"/>
        <v/>
      </c>
      <c r="U3465" s="121">
        <f t="shared" si="1332"/>
        <v>1</v>
      </c>
    </row>
    <row r="3466" spans="1:21" x14ac:dyDescent="0.3">
      <c r="A3466" s="187">
        <v>40</v>
      </c>
      <c r="B3466" s="242">
        <f t="shared" si="1333"/>
        <v>46844</v>
      </c>
      <c r="C3466" s="243">
        <f t="shared" si="1314"/>
        <v>46873</v>
      </c>
      <c r="D3466" s="120">
        <f t="shared" si="1315"/>
        <v>30</v>
      </c>
      <c r="E3466" s="120">
        <f t="shared" si="1316"/>
        <v>4</v>
      </c>
      <c r="F3466" s="275">
        <f t="shared" si="1317"/>
        <v>46859</v>
      </c>
      <c r="G3466" s="120">
        <f t="shared" si="1318"/>
        <v>24339</v>
      </c>
      <c r="H3466" s="245">
        <f t="shared" si="1319"/>
        <v>1</v>
      </c>
      <c r="I3466" s="121">
        <f t="shared" si="1320"/>
        <v>1</v>
      </c>
      <c r="J3466" s="121">
        <f t="shared" si="1321"/>
        <v>1</v>
      </c>
      <c r="K3466" s="120">
        <f t="shared" si="1322"/>
        <v>0</v>
      </c>
      <c r="L3466" s="120">
        <f t="shared" si="1323"/>
        <v>0</v>
      </c>
      <c r="M3466" s="246">
        <f t="shared" si="1324"/>
        <v>0</v>
      </c>
      <c r="N3466" s="121">
        <f t="shared" si="1325"/>
        <v>1</v>
      </c>
      <c r="O3466" s="246">
        <f t="shared" si="1326"/>
        <v>0.92</v>
      </c>
      <c r="P3466" s="121">
        <f t="shared" si="1327"/>
        <v>0</v>
      </c>
      <c r="Q3466" s="121">
        <f t="shared" si="1328"/>
        <v>0</v>
      </c>
      <c r="R3466" s="121">
        <f t="shared" si="1329"/>
        <v>1</v>
      </c>
      <c r="S3466" s="121" t="str">
        <f t="shared" si="1330"/>
        <v/>
      </c>
      <c r="T3466" s="121" t="str">
        <f t="shared" si="1331"/>
        <v/>
      </c>
      <c r="U3466" s="121">
        <f t="shared" si="1332"/>
        <v>1</v>
      </c>
    </row>
    <row r="3467" spans="1:21" x14ac:dyDescent="0.3">
      <c r="A3467" s="187">
        <v>41</v>
      </c>
      <c r="B3467" s="242">
        <f t="shared" si="1333"/>
        <v>46874</v>
      </c>
      <c r="C3467" s="243">
        <f t="shared" si="1314"/>
        <v>46904</v>
      </c>
      <c r="D3467" s="120">
        <f t="shared" si="1315"/>
        <v>31</v>
      </c>
      <c r="E3467" s="120">
        <f t="shared" si="1316"/>
        <v>5</v>
      </c>
      <c r="F3467" s="275">
        <f t="shared" si="1317"/>
        <v>46889.5</v>
      </c>
      <c r="G3467" s="120">
        <f t="shared" si="1318"/>
        <v>24340</v>
      </c>
      <c r="H3467" s="245">
        <f t="shared" si="1319"/>
        <v>1</v>
      </c>
      <c r="I3467" s="121">
        <f t="shared" si="1320"/>
        <v>1</v>
      </c>
      <c r="J3467" s="121">
        <f t="shared" si="1321"/>
        <v>1</v>
      </c>
      <c r="K3467" s="120">
        <f t="shared" si="1322"/>
        <v>0</v>
      </c>
      <c r="L3467" s="120">
        <f t="shared" si="1323"/>
        <v>0</v>
      </c>
      <c r="M3467" s="246">
        <f t="shared" si="1324"/>
        <v>0</v>
      </c>
      <c r="N3467" s="121">
        <f t="shared" si="1325"/>
        <v>1</v>
      </c>
      <c r="O3467" s="246">
        <f t="shared" si="1326"/>
        <v>0.92</v>
      </c>
      <c r="P3467" s="121">
        <f t="shared" si="1327"/>
        <v>0</v>
      </c>
      <c r="Q3467" s="121">
        <f t="shared" si="1328"/>
        <v>0</v>
      </c>
      <c r="R3467" s="121">
        <f t="shared" si="1329"/>
        <v>1</v>
      </c>
      <c r="S3467" s="121" t="str">
        <f t="shared" si="1330"/>
        <v/>
      </c>
      <c r="T3467" s="121" t="str">
        <f t="shared" si="1331"/>
        <v/>
      </c>
      <c r="U3467" s="121">
        <f t="shared" si="1332"/>
        <v>1</v>
      </c>
    </row>
    <row r="3468" spans="1:21" x14ac:dyDescent="0.3">
      <c r="A3468" s="187">
        <v>42</v>
      </c>
      <c r="B3468" s="242">
        <f t="shared" si="1333"/>
        <v>46905</v>
      </c>
      <c r="C3468" s="243">
        <f t="shared" si="1314"/>
        <v>46934</v>
      </c>
      <c r="D3468" s="120">
        <f t="shared" si="1315"/>
        <v>30</v>
      </c>
      <c r="E3468" s="120">
        <f t="shared" si="1316"/>
        <v>6</v>
      </c>
      <c r="F3468" s="275">
        <f t="shared" si="1317"/>
        <v>46920</v>
      </c>
      <c r="G3468" s="120">
        <f t="shared" si="1318"/>
        <v>24341</v>
      </c>
      <c r="H3468" s="245">
        <f t="shared" si="1319"/>
        <v>1</v>
      </c>
      <c r="I3468" s="121">
        <f t="shared" si="1320"/>
        <v>1</v>
      </c>
      <c r="J3468" s="121">
        <f t="shared" si="1321"/>
        <v>1</v>
      </c>
      <c r="K3468" s="120">
        <f t="shared" si="1322"/>
        <v>0</v>
      </c>
      <c r="L3468" s="120">
        <f t="shared" si="1323"/>
        <v>0</v>
      </c>
      <c r="M3468" s="246">
        <f t="shared" si="1324"/>
        <v>0</v>
      </c>
      <c r="N3468" s="121">
        <f t="shared" si="1325"/>
        <v>1</v>
      </c>
      <c r="O3468" s="246">
        <f t="shared" si="1326"/>
        <v>0.92</v>
      </c>
      <c r="P3468" s="121">
        <f t="shared" si="1327"/>
        <v>0</v>
      </c>
      <c r="Q3468" s="121">
        <f t="shared" si="1328"/>
        <v>0</v>
      </c>
      <c r="R3468" s="121">
        <f t="shared" si="1329"/>
        <v>1</v>
      </c>
      <c r="S3468" s="121" t="str">
        <f t="shared" si="1330"/>
        <v/>
      </c>
      <c r="T3468" s="121" t="str">
        <f t="shared" si="1331"/>
        <v/>
      </c>
      <c r="U3468" s="121">
        <f t="shared" si="1332"/>
        <v>1</v>
      </c>
    </row>
    <row r="3469" spans="1:21" x14ac:dyDescent="0.3">
      <c r="A3469" s="187">
        <v>43</v>
      </c>
      <c r="B3469" s="242">
        <f t="shared" si="1333"/>
        <v>46935</v>
      </c>
      <c r="C3469" s="243">
        <f t="shared" si="1314"/>
        <v>46965</v>
      </c>
      <c r="D3469" s="120">
        <f t="shared" si="1315"/>
        <v>31</v>
      </c>
      <c r="E3469" s="120">
        <f t="shared" si="1316"/>
        <v>7</v>
      </c>
      <c r="F3469" s="275">
        <f t="shared" si="1317"/>
        <v>46950.5</v>
      </c>
      <c r="G3469" s="120">
        <f t="shared" si="1318"/>
        <v>24342</v>
      </c>
      <c r="H3469" s="245">
        <f t="shared" si="1319"/>
        <v>1</v>
      </c>
      <c r="I3469" s="121">
        <f t="shared" si="1320"/>
        <v>1</v>
      </c>
      <c r="J3469" s="121">
        <f t="shared" si="1321"/>
        <v>1</v>
      </c>
      <c r="K3469" s="120">
        <f t="shared" si="1322"/>
        <v>0</v>
      </c>
      <c r="L3469" s="120">
        <f t="shared" si="1323"/>
        <v>0</v>
      </c>
      <c r="M3469" s="246">
        <f t="shared" si="1324"/>
        <v>0</v>
      </c>
      <c r="N3469" s="121">
        <f t="shared" si="1325"/>
        <v>1</v>
      </c>
      <c r="O3469" s="246">
        <f t="shared" si="1326"/>
        <v>0.92</v>
      </c>
      <c r="P3469" s="121">
        <f t="shared" si="1327"/>
        <v>0</v>
      </c>
      <c r="Q3469" s="121">
        <f t="shared" si="1328"/>
        <v>0</v>
      </c>
      <c r="R3469" s="121">
        <f t="shared" si="1329"/>
        <v>0.91666666666666663</v>
      </c>
      <c r="S3469" s="121" t="str">
        <f t="shared" si="1330"/>
        <v/>
      </c>
      <c r="T3469" s="121" t="str">
        <f t="shared" si="1331"/>
        <v/>
      </c>
      <c r="U3469" s="121">
        <f t="shared" si="1332"/>
        <v>1</v>
      </c>
    </row>
    <row r="3470" spans="1:21" x14ac:dyDescent="0.3">
      <c r="A3470" s="187">
        <v>44</v>
      </c>
      <c r="B3470" s="242">
        <f t="shared" si="1333"/>
        <v>46966</v>
      </c>
      <c r="C3470" s="243">
        <f t="shared" si="1314"/>
        <v>46996</v>
      </c>
      <c r="D3470" s="120">
        <f t="shared" si="1315"/>
        <v>31</v>
      </c>
      <c r="E3470" s="120">
        <f t="shared" si="1316"/>
        <v>8</v>
      </c>
      <c r="F3470" s="275">
        <f t="shared" si="1317"/>
        <v>46981.5</v>
      </c>
      <c r="G3470" s="120">
        <f t="shared" si="1318"/>
        <v>24343</v>
      </c>
      <c r="H3470" s="245">
        <f t="shared" si="1319"/>
        <v>1</v>
      </c>
      <c r="I3470" s="121">
        <f t="shared" si="1320"/>
        <v>1</v>
      </c>
      <c r="J3470" s="121">
        <f t="shared" si="1321"/>
        <v>1</v>
      </c>
      <c r="K3470" s="120">
        <f t="shared" si="1322"/>
        <v>0</v>
      </c>
      <c r="L3470" s="120">
        <f t="shared" si="1323"/>
        <v>0</v>
      </c>
      <c r="M3470" s="246">
        <f t="shared" si="1324"/>
        <v>0</v>
      </c>
      <c r="N3470" s="121">
        <f t="shared" si="1325"/>
        <v>1</v>
      </c>
      <c r="O3470" s="246">
        <f t="shared" si="1326"/>
        <v>0.92</v>
      </c>
      <c r="P3470" s="121">
        <f t="shared" si="1327"/>
        <v>0</v>
      </c>
      <c r="Q3470" s="121">
        <f t="shared" si="1328"/>
        <v>0</v>
      </c>
      <c r="R3470" s="121">
        <f t="shared" si="1329"/>
        <v>0.75</v>
      </c>
      <c r="S3470" s="121" t="str">
        <f t="shared" si="1330"/>
        <v/>
      </c>
      <c r="T3470" s="121" t="str">
        <f t="shared" si="1331"/>
        <v/>
      </c>
      <c r="U3470" s="121">
        <f t="shared" si="1332"/>
        <v>1</v>
      </c>
    </row>
    <row r="3471" spans="1:21" x14ac:dyDescent="0.3">
      <c r="A3471" s="187">
        <v>45</v>
      </c>
      <c r="B3471" s="242">
        <f t="shared" si="1333"/>
        <v>46997</v>
      </c>
      <c r="C3471" s="243">
        <f t="shared" si="1314"/>
        <v>47026</v>
      </c>
      <c r="D3471" s="120">
        <f t="shared" si="1315"/>
        <v>30</v>
      </c>
      <c r="E3471" s="120">
        <f t="shared" si="1316"/>
        <v>9</v>
      </c>
      <c r="F3471" s="275">
        <f t="shared" si="1317"/>
        <v>47012</v>
      </c>
      <c r="G3471" s="120">
        <f t="shared" si="1318"/>
        <v>24344</v>
      </c>
      <c r="H3471" s="245">
        <f t="shared" si="1319"/>
        <v>1</v>
      </c>
      <c r="I3471" s="121">
        <f t="shared" si="1320"/>
        <v>1</v>
      </c>
      <c r="J3471" s="121">
        <f t="shared" si="1321"/>
        <v>1</v>
      </c>
      <c r="K3471" s="120">
        <f t="shared" si="1322"/>
        <v>0</v>
      </c>
      <c r="L3471" s="120">
        <f t="shared" si="1323"/>
        <v>0</v>
      </c>
      <c r="M3471" s="246">
        <f t="shared" si="1324"/>
        <v>0</v>
      </c>
      <c r="N3471" s="121">
        <f t="shared" si="1325"/>
        <v>1</v>
      </c>
      <c r="O3471" s="246">
        <f t="shared" si="1326"/>
        <v>0.92</v>
      </c>
      <c r="P3471" s="121">
        <f t="shared" si="1327"/>
        <v>0</v>
      </c>
      <c r="Q3471" s="121">
        <f t="shared" si="1328"/>
        <v>0</v>
      </c>
      <c r="R3471" s="121">
        <f t="shared" si="1329"/>
        <v>0.58333333333333337</v>
      </c>
      <c r="S3471" s="121" t="str">
        <f t="shared" si="1330"/>
        <v/>
      </c>
      <c r="T3471" s="121" t="str">
        <f t="shared" si="1331"/>
        <v/>
      </c>
      <c r="U3471" s="121">
        <f t="shared" si="1332"/>
        <v>1</v>
      </c>
    </row>
    <row r="3472" spans="1:21" x14ac:dyDescent="0.3">
      <c r="A3472" s="187">
        <v>46</v>
      </c>
      <c r="B3472" s="242">
        <f t="shared" si="1333"/>
        <v>47027</v>
      </c>
      <c r="C3472" s="243">
        <f t="shared" si="1314"/>
        <v>47057</v>
      </c>
      <c r="D3472" s="120">
        <f t="shared" si="1315"/>
        <v>31</v>
      </c>
      <c r="E3472" s="120">
        <f t="shared" si="1316"/>
        <v>10</v>
      </c>
      <c r="F3472" s="275">
        <f t="shared" si="1317"/>
        <v>47042.5</v>
      </c>
      <c r="G3472" s="120">
        <f t="shared" si="1318"/>
        <v>24345</v>
      </c>
      <c r="H3472" s="245">
        <f t="shared" si="1319"/>
        <v>1</v>
      </c>
      <c r="I3472" s="121">
        <f t="shared" si="1320"/>
        <v>1</v>
      </c>
      <c r="J3472" s="121">
        <f t="shared" si="1321"/>
        <v>1</v>
      </c>
      <c r="K3472" s="120">
        <f t="shared" si="1322"/>
        <v>0</v>
      </c>
      <c r="L3472" s="120">
        <f t="shared" si="1323"/>
        <v>0</v>
      </c>
      <c r="M3472" s="246">
        <f t="shared" si="1324"/>
        <v>0</v>
      </c>
      <c r="N3472" s="121">
        <f t="shared" si="1325"/>
        <v>1</v>
      </c>
      <c r="O3472" s="246">
        <f t="shared" si="1326"/>
        <v>0.92</v>
      </c>
      <c r="P3472" s="121">
        <f t="shared" si="1327"/>
        <v>0</v>
      </c>
      <c r="Q3472" s="121">
        <f t="shared" si="1328"/>
        <v>0</v>
      </c>
      <c r="R3472" s="121">
        <f t="shared" si="1329"/>
        <v>0.41666666666666669</v>
      </c>
      <c r="S3472" s="121" t="str">
        <f t="shared" si="1330"/>
        <v/>
      </c>
      <c r="T3472" s="121" t="str">
        <f t="shared" si="1331"/>
        <v/>
      </c>
      <c r="U3472" s="121">
        <f t="shared" si="1332"/>
        <v>1</v>
      </c>
    </row>
    <row r="3473" spans="1:21" x14ac:dyDescent="0.3">
      <c r="A3473" s="187">
        <v>47</v>
      </c>
      <c r="B3473" s="242">
        <f t="shared" si="1333"/>
        <v>47058</v>
      </c>
      <c r="C3473" s="243">
        <f t="shared" si="1314"/>
        <v>47087</v>
      </c>
      <c r="D3473" s="120">
        <f t="shared" si="1315"/>
        <v>30</v>
      </c>
      <c r="E3473" s="120">
        <f t="shared" si="1316"/>
        <v>11</v>
      </c>
      <c r="F3473" s="275">
        <f t="shared" si="1317"/>
        <v>47073</v>
      </c>
      <c r="G3473" s="120">
        <f t="shared" si="1318"/>
        <v>24346</v>
      </c>
      <c r="H3473" s="245">
        <f t="shared" si="1319"/>
        <v>1</v>
      </c>
      <c r="I3473" s="121">
        <f t="shared" si="1320"/>
        <v>1</v>
      </c>
      <c r="J3473" s="121">
        <f t="shared" si="1321"/>
        <v>1</v>
      </c>
      <c r="K3473" s="120">
        <f t="shared" si="1322"/>
        <v>0</v>
      </c>
      <c r="L3473" s="120">
        <f t="shared" si="1323"/>
        <v>0</v>
      </c>
      <c r="M3473" s="246">
        <f t="shared" si="1324"/>
        <v>0</v>
      </c>
      <c r="N3473" s="121">
        <f t="shared" si="1325"/>
        <v>1</v>
      </c>
      <c r="O3473" s="246">
        <f t="shared" si="1326"/>
        <v>0.92</v>
      </c>
      <c r="P3473" s="121">
        <f t="shared" si="1327"/>
        <v>0</v>
      </c>
      <c r="Q3473" s="121">
        <f t="shared" si="1328"/>
        <v>0</v>
      </c>
      <c r="R3473" s="121">
        <f t="shared" si="1329"/>
        <v>0.25</v>
      </c>
      <c r="S3473" s="121" t="str">
        <f t="shared" si="1330"/>
        <v/>
      </c>
      <c r="T3473" s="121" t="str">
        <f t="shared" si="1331"/>
        <v/>
      </c>
      <c r="U3473" s="121">
        <f t="shared" si="1332"/>
        <v>1</v>
      </c>
    </row>
    <row r="3474" spans="1:21" x14ac:dyDescent="0.3">
      <c r="A3474" s="187">
        <v>48</v>
      </c>
      <c r="B3474" s="242">
        <f t="shared" si="1333"/>
        <v>47088</v>
      </c>
      <c r="C3474" s="243">
        <f t="shared" si="1314"/>
        <v>47118</v>
      </c>
      <c r="D3474" s="120">
        <f t="shared" si="1315"/>
        <v>31</v>
      </c>
      <c r="E3474" s="120">
        <f t="shared" si="1316"/>
        <v>12</v>
      </c>
      <c r="F3474" s="275">
        <f t="shared" si="1317"/>
        <v>47103.5</v>
      </c>
      <c r="G3474" s="120">
        <f t="shared" si="1318"/>
        <v>24347</v>
      </c>
      <c r="H3474" s="245">
        <f t="shared" si="1319"/>
        <v>1</v>
      </c>
      <c r="I3474" s="121">
        <f t="shared" si="1320"/>
        <v>1</v>
      </c>
      <c r="J3474" s="121">
        <f t="shared" si="1321"/>
        <v>1</v>
      </c>
      <c r="K3474" s="120">
        <f t="shared" si="1322"/>
        <v>0</v>
      </c>
      <c r="L3474" s="120">
        <f t="shared" si="1323"/>
        <v>0</v>
      </c>
      <c r="M3474" s="246">
        <f t="shared" si="1324"/>
        <v>0</v>
      </c>
      <c r="N3474" s="121">
        <f t="shared" si="1325"/>
        <v>1</v>
      </c>
      <c r="O3474" s="246">
        <f t="shared" si="1326"/>
        <v>0.92</v>
      </c>
      <c r="P3474" s="121">
        <f t="shared" si="1327"/>
        <v>0</v>
      </c>
      <c r="Q3474" s="121">
        <f t="shared" si="1328"/>
        <v>0</v>
      </c>
      <c r="R3474" s="121">
        <f t="shared" si="1329"/>
        <v>8.3333333333333329E-2</v>
      </c>
      <c r="S3474" s="121" t="str">
        <f t="shared" si="1330"/>
        <v/>
      </c>
      <c r="T3474" s="121" t="str">
        <f t="shared" si="1331"/>
        <v/>
      </c>
      <c r="U3474" s="121">
        <f t="shared" si="1332"/>
        <v>1</v>
      </c>
    </row>
    <row r="3475" spans="1:21" x14ac:dyDescent="0.3">
      <c r="A3475" s="6" t="s">
        <v>1651</v>
      </c>
      <c r="B3475" s="73">
        <f>EXP(SUMPRODUCT((rl_key=$A$3424)*(rl_cons="Y")*rl_ln1p))</f>
        <v>1</v>
      </c>
      <c r="C3475" s="73">
        <f>SUMPRODUCT($H$3427:$H$3474,$P$3427:$P$3474,$U$3427:$U$3474)/SUMPRODUCT($H$3427:$H$3474,$P$3427:$P$3474)</f>
        <v>1</v>
      </c>
      <c r="D3475" s="73">
        <f>SUMPRODUCT($H$3427:$H$3474,$Q$3427:$Q$3474,$U$3427:$U$3474)/SUMPRODUCT($H$3427:$H$3474,$Q$3427:$Q$3474)</f>
        <v>1</v>
      </c>
      <c r="E3475" s="73">
        <f>SUMPRODUCT($H$3427:$H$3474,$R$3427:$R$3474,$U$3427:$U$3474)/SUMPRODUCT($H$3427:$H$3474,$R$3427:$R$3474)</f>
        <v>1</v>
      </c>
      <c r="F3475" s="224">
        <f>SUMPRODUCT($H$3427:$H$3474,$Q$3427:$Q$3474,$O$3427:$O$3474)/SUMPRODUCT($H$3427:$H$3474,$Q$3427:$Q$3474)</f>
        <v>0.91399252370532447</v>
      </c>
      <c r="G3475" s="224">
        <f>SUMPRODUCT($H$3427:$H$3474,$R$3427:$R$3474,$O$3427:$O$3474)/SUMPRODUCT($H$3427:$H$3474,$R$3427:$R$3474)</f>
        <v>0.91966022368101141</v>
      </c>
      <c r="H3475" s="73">
        <f>SUMPRODUCT($H$3451:$H$3462,$N$3451:$N$3462/$N$3439:$N$3450)/SUM($H$3451:$H$3462)</f>
        <v>1</v>
      </c>
      <c r="I3475" s="73">
        <f>SUMPRODUCT($H$3451:$H$3462,$O$3451:$O$3462/$O$3439:$O$3450)/SUM($H$3451:$H$3462)</f>
        <v>1.0087961468131064</v>
      </c>
      <c r="J3475" s="73">
        <f>IF($O$3424=1,SUMPRODUCT($H$3451:$H$3462,$N$3451:$N$3462/$N$3439:$N$3450*$O$3451:$O$3462/$O$3439:$O$3450)/SUM($H$3451:$H$3462),$H3475)</f>
        <v>1.0087961468131064</v>
      </c>
      <c r="K3475" s="73">
        <f>SUMPRODUCT($H$3427:$H$3474,$Q$3427:$Q$3474,$N$3427:$N$3474)/SUMPRODUCT($H$3427:$H$3474,$Q$3427:$Q$3474)</f>
        <v>1</v>
      </c>
      <c r="L3475" s="73">
        <f>SUMPRODUCT($H$3427:$H$3474,$R$3427:$R$3474,$N$3427:$N$3474)/SUMPRODUCT($H$3427:$H$3474,$R$3427:$R$3474)</f>
        <v>1</v>
      </c>
    </row>
    <row r="3478" spans="1:21" x14ac:dyDescent="0.3">
      <c r="A3478" s="6" t="str">
        <f>INDEX(lr_key,64)</f>
        <v/>
      </c>
      <c r="B3478" s="6">
        <f>INDEX(lr_state,64)</f>
        <v>0</v>
      </c>
      <c r="C3478" s="75">
        <f>nr_TermMonths</f>
        <v>6</v>
      </c>
      <c r="D3478" s="75">
        <f>IF(COUNTIF(se_state,$B3478)=0,0,MATCH($B3478,se_state,0))</f>
        <v>0</v>
      </c>
      <c r="E3478" s="70">
        <f>IF($D3478=0,0,INDEX(se_sum,$D3478))</f>
        <v>0</v>
      </c>
      <c r="F3478" s="224">
        <f>IF(N(INDEX(lr_mind,64))=0,1,INDEX(lr_mind,64))</f>
        <v>1</v>
      </c>
      <c r="G3478" s="224">
        <f>IF(N(INDEX(lr_m0,64))=0,1,INDEX(lr_m0,64))</f>
        <v>1</v>
      </c>
      <c r="H3478" s="74">
        <f>IF(N(INDEX(lr_m0asof,64))=0,DATE(nr_PlanYear-1,10,1),INDEX(lr_m0asof,64))</f>
        <v>46296</v>
      </c>
      <c r="I3478" s="224">
        <f>IF(N(INDEX(lr_m1,64))=0,1,INDEX(lr_m1,64))</f>
        <v>1</v>
      </c>
      <c r="J3478" s="224">
        <f>INDEX(lr_mprior,64)</f>
        <v>0</v>
      </c>
      <c r="K3478" s="224">
        <f>INDEX(lr_m2,64)</f>
        <v>0</v>
      </c>
      <c r="L3478" s="6" t="b">
        <f>NOT(ISBLANK(INDEX(lr_netp,64)))</f>
        <v>0</v>
      </c>
      <c r="M3478" s="72">
        <f>N(INDEX(lr_netp,64))</f>
        <v>0</v>
      </c>
      <c r="N3478" s="72">
        <f>IF(ISBLANK(INDEX(lr_netp1,64)),$M$3478,N(INDEX(lr_netp1,64)))</f>
        <v>0</v>
      </c>
      <c r="O3478" s="75">
        <f>IF(AND(nr_ModAdjMaster="ON",INDEX(lr_modadj,64)="ON"),1,0)</f>
        <v>0</v>
      </c>
    </row>
    <row r="3479" spans="1:21" x14ac:dyDescent="0.3">
      <c r="A3479" s="6">
        <f>EDATE($H$3478,-12)+1</f>
        <v>45932</v>
      </c>
      <c r="B3479" s="6">
        <f>$H$3478+1</f>
        <v>46297</v>
      </c>
      <c r="C3479" s="6">
        <f>DATE(nr_PlanYear,12,31)+1</f>
        <v>46753</v>
      </c>
      <c r="D3479" s="6">
        <f>DATE(nr_PlanYear+1,12,31)+1</f>
        <v>47119</v>
      </c>
      <c r="E3479" s="6">
        <f>IF(N($J$3478)=0,$F$3479-($G$3479-$F$3479)/($C$3479-$B$3479)*($B$3479-$A$3479),$J$3478)</f>
        <v>1</v>
      </c>
      <c r="F3479" s="6">
        <f>$G$3478</f>
        <v>1</v>
      </c>
      <c r="G3479" s="6">
        <f>$I$3478</f>
        <v>1</v>
      </c>
      <c r="H3479" s="6">
        <f>IF(N($K$3478)=0,$I$3478,$K$3478)</f>
        <v>1</v>
      </c>
      <c r="I3479" s="6">
        <f>($F$3479-$E$3479)/($B$3479-$A$3479)</f>
        <v>0</v>
      </c>
      <c r="J3479" s="6">
        <f>($G$3479-$F$3479)/($C$3479-$B$3479)</f>
        <v>0</v>
      </c>
      <c r="K3479" s="6">
        <f>($H$3479-$G$3479)/($D$3479-$C$3479)</f>
        <v>0</v>
      </c>
    </row>
    <row r="3480" spans="1:21" ht="36" x14ac:dyDescent="0.3">
      <c r="A3480" s="58" t="s">
        <v>390</v>
      </c>
      <c r="B3480" s="58" t="s">
        <v>449</v>
      </c>
      <c r="C3480" s="58" t="s">
        <v>685</v>
      </c>
      <c r="D3480" s="58" t="s">
        <v>686</v>
      </c>
      <c r="E3480" s="58" t="s">
        <v>687</v>
      </c>
      <c r="F3480" s="58" t="s">
        <v>688</v>
      </c>
      <c r="G3480" s="58" t="s">
        <v>689</v>
      </c>
      <c r="H3480" s="58" t="s">
        <v>452</v>
      </c>
      <c r="I3480" s="58" t="s">
        <v>690</v>
      </c>
      <c r="J3480" s="58" t="s">
        <v>691</v>
      </c>
      <c r="K3480" s="58" t="s">
        <v>692</v>
      </c>
      <c r="L3480" s="58" t="s">
        <v>693</v>
      </c>
      <c r="M3480" s="58" t="s">
        <v>694</v>
      </c>
      <c r="N3480" s="58" t="s">
        <v>695</v>
      </c>
      <c r="O3480" s="58" t="s">
        <v>696</v>
      </c>
      <c r="P3480" s="58" t="s">
        <v>697</v>
      </c>
      <c r="Q3480" s="58" t="s">
        <v>698</v>
      </c>
      <c r="R3480" s="58" t="s">
        <v>699</v>
      </c>
      <c r="S3480" s="58" t="s">
        <v>700</v>
      </c>
      <c r="T3480" s="58" t="s">
        <v>701</v>
      </c>
      <c r="U3480" s="58" t="s">
        <v>702</v>
      </c>
    </row>
    <row r="3481" spans="1:21" x14ac:dyDescent="0.3">
      <c r="A3481" s="187">
        <v>1</v>
      </c>
      <c r="B3481" s="242">
        <f>DATE(nr_PlanYear-2,1,1)</f>
        <v>45658</v>
      </c>
      <c r="C3481" s="243">
        <f t="shared" ref="C3481:C3528" si="1334">EOMONTH($B3481,0)</f>
        <v>45688</v>
      </c>
      <c r="D3481" s="120">
        <f t="shared" ref="D3481:D3528" si="1335">$C3481-$B3481+1</f>
        <v>31</v>
      </c>
      <c r="E3481" s="120">
        <f t="shared" ref="E3481:E3528" si="1336">MONTH($B3481)</f>
        <v>1</v>
      </c>
      <c r="F3481" s="275">
        <f t="shared" ref="F3481:F3528" si="1337">($B3481+$C3481+1)/2</f>
        <v>45673.5</v>
      </c>
      <c r="G3481" s="120">
        <f t="shared" ref="G3481:G3528" si="1338">YEAR($B3481)*12+MONTH($B3481)-1</f>
        <v>24300</v>
      </c>
      <c r="H3481" s="245">
        <f t="shared" ref="H3481:H3528" si="1339">IF(OR(nr_SeasonOn="OFF",$D$3478=0,$E$3478=0),1,12*INDEX(se_block,$D$3478,$E3481)/$E$3478)</f>
        <v>1</v>
      </c>
      <c r="I3481" s="121">
        <f t="shared" ref="I3481:I3528" si="1340">EXP(SUMPRODUCT((rl_eff&lt;$B3481)*(rl_key=$A$3478)*rl_ln1p))</f>
        <v>1</v>
      </c>
      <c r="J3481" s="121">
        <f t="shared" ref="J3481:J3528" si="1341">EXP(SUMPRODUCT((rl_eff&lt;=$C3481)*(rl_key=$A$3478)*rl_ln1p))</f>
        <v>1</v>
      </c>
      <c r="K3481" s="120">
        <f t="shared" ref="K3481:K3528" si="1342">COUNTIFS(rl_key,$A$3478,rl_eff,"&gt;="&amp;$B3481,rl_eff,"&lt;="&amp;$C3481)</f>
        <v>0</v>
      </c>
      <c r="L3481" s="120">
        <f t="shared" ref="L3481:L3528" si="1343">SUMIFS(rl_daysafter,rl_key,$A$3478,rl_effmonth,$B3481,rl_first,1)</f>
        <v>0</v>
      </c>
      <c r="M3481" s="246">
        <f t="shared" ref="M3481:M3528" si="1344">IF($K3481=0,0,MIN(1,$L3481/$D3481))</f>
        <v>0</v>
      </c>
      <c r="N3481" s="121">
        <f t="shared" ref="N3481:N3528" si="1345">IF($K3481=0,$J3481,(1-$M3481)*$I3481+$M3481*$J3481)</f>
        <v>1</v>
      </c>
      <c r="O3481" s="246">
        <f t="shared" ref="O3481:O3528" si="1346">IF($F3481&lt;$B$3479,$E$3479+$I$3479*($F3481-$A$3479),IF($F3481&lt;$C$3479,$F$3479+$J$3479*($F3481-$B$3479),$G$3479+$K$3479*($F3481-$C$3479)))</f>
        <v>1</v>
      </c>
      <c r="P3481" s="121">
        <f t="shared" ref="P3481:P3528" si="1347">MIN(1,MAX(0,(nr_MEndPm1-$G3481+0.5)/$C$3478))-MIN(1,MAX(0,(nr_MStartPm1-1-$G3481+0.5)/$C$3478))</f>
        <v>0</v>
      </c>
      <c r="Q3481" s="121">
        <f t="shared" ref="Q3481:Q3528" si="1348">MIN(1,MAX(0,(nr_MEndP-$G3481+0.5)/$C$3478))-MIN(1,MAX(0,(nr_MStartP-1-$G3481+0.5)/$C$3478))</f>
        <v>0</v>
      </c>
      <c r="R3481" s="121">
        <f t="shared" ref="R3481:R3528" si="1349">MIN(1,MAX(0,(nr_MEndP1-$G3481+0.5)/$C$3478))-MIN(1,MAX(0,(nr_MStartP1-1-$G3481+0.5)/$C$3478))</f>
        <v>0</v>
      </c>
      <c r="S3481" s="121" t="str">
        <f t="shared" ref="S3481:S3528" si="1350">IF($L$3478,$N3481*IF($O$3478=1,$O3481/$F$3478,1),"")</f>
        <v/>
      </c>
      <c r="T3481" s="121" t="str">
        <f t="shared" ref="T3481:T3528" si="1351">IF(NOT($L$3478),"",IF($G3481&lt;nr_MStartP,$S3481,$T3469*(1+IF($G3481&lt;nr_MStartP1,$M$3478,$N$3478))))</f>
        <v/>
      </c>
      <c r="U3481" s="121">
        <f t="shared" ref="U3481:U3528" si="1352">IF($L$3478,$T3481,$N3481)</f>
        <v>1</v>
      </c>
    </row>
    <row r="3482" spans="1:21" x14ac:dyDescent="0.3">
      <c r="A3482" s="187">
        <v>2</v>
      </c>
      <c r="B3482" s="242">
        <f t="shared" ref="B3482:B3528" si="1353">EDATE($B3481,1)</f>
        <v>45689</v>
      </c>
      <c r="C3482" s="243">
        <f t="shared" si="1334"/>
        <v>45716</v>
      </c>
      <c r="D3482" s="120">
        <f t="shared" si="1335"/>
        <v>28</v>
      </c>
      <c r="E3482" s="120">
        <f t="shared" si="1336"/>
        <v>2</v>
      </c>
      <c r="F3482" s="275">
        <f t="shared" si="1337"/>
        <v>45703</v>
      </c>
      <c r="G3482" s="120">
        <f t="shared" si="1338"/>
        <v>24301</v>
      </c>
      <c r="H3482" s="245">
        <f t="shared" si="1339"/>
        <v>1</v>
      </c>
      <c r="I3482" s="121">
        <f t="shared" si="1340"/>
        <v>1</v>
      </c>
      <c r="J3482" s="121">
        <f t="shared" si="1341"/>
        <v>1</v>
      </c>
      <c r="K3482" s="120">
        <f t="shared" si="1342"/>
        <v>0</v>
      </c>
      <c r="L3482" s="120">
        <f t="shared" si="1343"/>
        <v>0</v>
      </c>
      <c r="M3482" s="246">
        <f t="shared" si="1344"/>
        <v>0</v>
      </c>
      <c r="N3482" s="121">
        <f t="shared" si="1345"/>
        <v>1</v>
      </c>
      <c r="O3482" s="246">
        <f t="shared" si="1346"/>
        <v>1</v>
      </c>
      <c r="P3482" s="121">
        <f t="shared" si="1347"/>
        <v>0</v>
      </c>
      <c r="Q3482" s="121">
        <f t="shared" si="1348"/>
        <v>0</v>
      </c>
      <c r="R3482" s="121">
        <f t="shared" si="1349"/>
        <v>0</v>
      </c>
      <c r="S3482" s="121" t="str">
        <f t="shared" si="1350"/>
        <v/>
      </c>
      <c r="T3482" s="121" t="str">
        <f t="shared" si="1351"/>
        <v/>
      </c>
      <c r="U3482" s="121">
        <f t="shared" si="1352"/>
        <v>1</v>
      </c>
    </row>
    <row r="3483" spans="1:21" x14ac:dyDescent="0.3">
      <c r="A3483" s="187">
        <v>3</v>
      </c>
      <c r="B3483" s="242">
        <f t="shared" si="1353"/>
        <v>45717</v>
      </c>
      <c r="C3483" s="243">
        <f t="shared" si="1334"/>
        <v>45747</v>
      </c>
      <c r="D3483" s="120">
        <f t="shared" si="1335"/>
        <v>31</v>
      </c>
      <c r="E3483" s="120">
        <f t="shared" si="1336"/>
        <v>3</v>
      </c>
      <c r="F3483" s="275">
        <f t="shared" si="1337"/>
        <v>45732.5</v>
      </c>
      <c r="G3483" s="120">
        <f t="shared" si="1338"/>
        <v>24302</v>
      </c>
      <c r="H3483" s="245">
        <f t="shared" si="1339"/>
        <v>1</v>
      </c>
      <c r="I3483" s="121">
        <f t="shared" si="1340"/>
        <v>1</v>
      </c>
      <c r="J3483" s="121">
        <f t="shared" si="1341"/>
        <v>1</v>
      </c>
      <c r="K3483" s="120">
        <f t="shared" si="1342"/>
        <v>0</v>
      </c>
      <c r="L3483" s="120">
        <f t="shared" si="1343"/>
        <v>0</v>
      </c>
      <c r="M3483" s="246">
        <f t="shared" si="1344"/>
        <v>0</v>
      </c>
      <c r="N3483" s="121">
        <f t="shared" si="1345"/>
        <v>1</v>
      </c>
      <c r="O3483" s="246">
        <f t="shared" si="1346"/>
        <v>1</v>
      </c>
      <c r="P3483" s="121">
        <f t="shared" si="1347"/>
        <v>0</v>
      </c>
      <c r="Q3483" s="121">
        <f t="shared" si="1348"/>
        <v>0</v>
      </c>
      <c r="R3483" s="121">
        <f t="shared" si="1349"/>
        <v>0</v>
      </c>
      <c r="S3483" s="121" t="str">
        <f t="shared" si="1350"/>
        <v/>
      </c>
      <c r="T3483" s="121" t="str">
        <f t="shared" si="1351"/>
        <v/>
      </c>
      <c r="U3483" s="121">
        <f t="shared" si="1352"/>
        <v>1</v>
      </c>
    </row>
    <row r="3484" spans="1:21" x14ac:dyDescent="0.3">
      <c r="A3484" s="187">
        <v>4</v>
      </c>
      <c r="B3484" s="242">
        <f t="shared" si="1353"/>
        <v>45748</v>
      </c>
      <c r="C3484" s="243">
        <f t="shared" si="1334"/>
        <v>45777</v>
      </c>
      <c r="D3484" s="120">
        <f t="shared" si="1335"/>
        <v>30</v>
      </c>
      <c r="E3484" s="120">
        <f t="shared" si="1336"/>
        <v>4</v>
      </c>
      <c r="F3484" s="275">
        <f t="shared" si="1337"/>
        <v>45763</v>
      </c>
      <c r="G3484" s="120">
        <f t="shared" si="1338"/>
        <v>24303</v>
      </c>
      <c r="H3484" s="245">
        <f t="shared" si="1339"/>
        <v>1</v>
      </c>
      <c r="I3484" s="121">
        <f t="shared" si="1340"/>
        <v>1</v>
      </c>
      <c r="J3484" s="121">
        <f t="shared" si="1341"/>
        <v>1</v>
      </c>
      <c r="K3484" s="120">
        <f t="shared" si="1342"/>
        <v>0</v>
      </c>
      <c r="L3484" s="120">
        <f t="shared" si="1343"/>
        <v>0</v>
      </c>
      <c r="M3484" s="246">
        <f t="shared" si="1344"/>
        <v>0</v>
      </c>
      <c r="N3484" s="121">
        <f t="shared" si="1345"/>
        <v>1</v>
      </c>
      <c r="O3484" s="246">
        <f t="shared" si="1346"/>
        <v>1</v>
      </c>
      <c r="P3484" s="121">
        <f t="shared" si="1347"/>
        <v>0</v>
      </c>
      <c r="Q3484" s="121">
        <f t="shared" si="1348"/>
        <v>0</v>
      </c>
      <c r="R3484" s="121">
        <f t="shared" si="1349"/>
        <v>0</v>
      </c>
      <c r="S3484" s="121" t="str">
        <f t="shared" si="1350"/>
        <v/>
      </c>
      <c r="T3484" s="121" t="str">
        <f t="shared" si="1351"/>
        <v/>
      </c>
      <c r="U3484" s="121">
        <f t="shared" si="1352"/>
        <v>1</v>
      </c>
    </row>
    <row r="3485" spans="1:21" x14ac:dyDescent="0.3">
      <c r="A3485" s="187">
        <v>5</v>
      </c>
      <c r="B3485" s="242">
        <f t="shared" si="1353"/>
        <v>45778</v>
      </c>
      <c r="C3485" s="243">
        <f t="shared" si="1334"/>
        <v>45808</v>
      </c>
      <c r="D3485" s="120">
        <f t="shared" si="1335"/>
        <v>31</v>
      </c>
      <c r="E3485" s="120">
        <f t="shared" si="1336"/>
        <v>5</v>
      </c>
      <c r="F3485" s="275">
        <f t="shared" si="1337"/>
        <v>45793.5</v>
      </c>
      <c r="G3485" s="120">
        <f t="shared" si="1338"/>
        <v>24304</v>
      </c>
      <c r="H3485" s="245">
        <f t="shared" si="1339"/>
        <v>1</v>
      </c>
      <c r="I3485" s="121">
        <f t="shared" si="1340"/>
        <v>1</v>
      </c>
      <c r="J3485" s="121">
        <f t="shared" si="1341"/>
        <v>1</v>
      </c>
      <c r="K3485" s="120">
        <f t="shared" si="1342"/>
        <v>0</v>
      </c>
      <c r="L3485" s="120">
        <f t="shared" si="1343"/>
        <v>0</v>
      </c>
      <c r="M3485" s="246">
        <f t="shared" si="1344"/>
        <v>0</v>
      </c>
      <c r="N3485" s="121">
        <f t="shared" si="1345"/>
        <v>1</v>
      </c>
      <c r="O3485" s="246">
        <f t="shared" si="1346"/>
        <v>1</v>
      </c>
      <c r="P3485" s="121">
        <f t="shared" si="1347"/>
        <v>0</v>
      </c>
      <c r="Q3485" s="121">
        <f t="shared" si="1348"/>
        <v>0</v>
      </c>
      <c r="R3485" s="121">
        <f t="shared" si="1349"/>
        <v>0</v>
      </c>
      <c r="S3485" s="121" t="str">
        <f t="shared" si="1350"/>
        <v/>
      </c>
      <c r="T3485" s="121" t="str">
        <f t="shared" si="1351"/>
        <v/>
      </c>
      <c r="U3485" s="121">
        <f t="shared" si="1352"/>
        <v>1</v>
      </c>
    </row>
    <row r="3486" spans="1:21" x14ac:dyDescent="0.3">
      <c r="A3486" s="187">
        <v>6</v>
      </c>
      <c r="B3486" s="242">
        <f t="shared" si="1353"/>
        <v>45809</v>
      </c>
      <c r="C3486" s="243">
        <f t="shared" si="1334"/>
        <v>45838</v>
      </c>
      <c r="D3486" s="120">
        <f t="shared" si="1335"/>
        <v>30</v>
      </c>
      <c r="E3486" s="120">
        <f t="shared" si="1336"/>
        <v>6</v>
      </c>
      <c r="F3486" s="275">
        <f t="shared" si="1337"/>
        <v>45824</v>
      </c>
      <c r="G3486" s="120">
        <f t="shared" si="1338"/>
        <v>24305</v>
      </c>
      <c r="H3486" s="245">
        <f t="shared" si="1339"/>
        <v>1</v>
      </c>
      <c r="I3486" s="121">
        <f t="shared" si="1340"/>
        <v>1</v>
      </c>
      <c r="J3486" s="121">
        <f t="shared" si="1341"/>
        <v>1</v>
      </c>
      <c r="K3486" s="120">
        <f t="shared" si="1342"/>
        <v>0</v>
      </c>
      <c r="L3486" s="120">
        <f t="shared" si="1343"/>
        <v>0</v>
      </c>
      <c r="M3486" s="246">
        <f t="shared" si="1344"/>
        <v>0</v>
      </c>
      <c r="N3486" s="121">
        <f t="shared" si="1345"/>
        <v>1</v>
      </c>
      <c r="O3486" s="246">
        <f t="shared" si="1346"/>
        <v>1</v>
      </c>
      <c r="P3486" s="121">
        <f t="shared" si="1347"/>
        <v>0</v>
      </c>
      <c r="Q3486" s="121">
        <f t="shared" si="1348"/>
        <v>0</v>
      </c>
      <c r="R3486" s="121">
        <f t="shared" si="1349"/>
        <v>0</v>
      </c>
      <c r="S3486" s="121" t="str">
        <f t="shared" si="1350"/>
        <v/>
      </c>
      <c r="T3486" s="121" t="str">
        <f t="shared" si="1351"/>
        <v/>
      </c>
      <c r="U3486" s="121">
        <f t="shared" si="1352"/>
        <v>1</v>
      </c>
    </row>
    <row r="3487" spans="1:21" x14ac:dyDescent="0.3">
      <c r="A3487" s="187">
        <v>7</v>
      </c>
      <c r="B3487" s="242">
        <f t="shared" si="1353"/>
        <v>45839</v>
      </c>
      <c r="C3487" s="243">
        <f t="shared" si="1334"/>
        <v>45869</v>
      </c>
      <c r="D3487" s="120">
        <f t="shared" si="1335"/>
        <v>31</v>
      </c>
      <c r="E3487" s="120">
        <f t="shared" si="1336"/>
        <v>7</v>
      </c>
      <c r="F3487" s="275">
        <f t="shared" si="1337"/>
        <v>45854.5</v>
      </c>
      <c r="G3487" s="120">
        <f t="shared" si="1338"/>
        <v>24306</v>
      </c>
      <c r="H3487" s="245">
        <f t="shared" si="1339"/>
        <v>1</v>
      </c>
      <c r="I3487" s="121">
        <f t="shared" si="1340"/>
        <v>1</v>
      </c>
      <c r="J3487" s="121">
        <f t="shared" si="1341"/>
        <v>1</v>
      </c>
      <c r="K3487" s="120">
        <f t="shared" si="1342"/>
        <v>0</v>
      </c>
      <c r="L3487" s="120">
        <f t="shared" si="1343"/>
        <v>0</v>
      </c>
      <c r="M3487" s="246">
        <f t="shared" si="1344"/>
        <v>0</v>
      </c>
      <c r="N3487" s="121">
        <f t="shared" si="1345"/>
        <v>1</v>
      </c>
      <c r="O3487" s="246">
        <f t="shared" si="1346"/>
        <v>1</v>
      </c>
      <c r="P3487" s="121">
        <f t="shared" si="1347"/>
        <v>8.333333333333337E-2</v>
      </c>
      <c r="Q3487" s="121">
        <f t="shared" si="1348"/>
        <v>0</v>
      </c>
      <c r="R3487" s="121">
        <f t="shared" si="1349"/>
        <v>0</v>
      </c>
      <c r="S3487" s="121" t="str">
        <f t="shared" si="1350"/>
        <v/>
      </c>
      <c r="T3487" s="121" t="str">
        <f t="shared" si="1351"/>
        <v/>
      </c>
      <c r="U3487" s="121">
        <f t="shared" si="1352"/>
        <v>1</v>
      </c>
    </row>
    <row r="3488" spans="1:21" x14ac:dyDescent="0.3">
      <c r="A3488" s="187">
        <v>8</v>
      </c>
      <c r="B3488" s="242">
        <f t="shared" si="1353"/>
        <v>45870</v>
      </c>
      <c r="C3488" s="243">
        <f t="shared" si="1334"/>
        <v>45900</v>
      </c>
      <c r="D3488" s="120">
        <f t="shared" si="1335"/>
        <v>31</v>
      </c>
      <c r="E3488" s="120">
        <f t="shared" si="1336"/>
        <v>8</v>
      </c>
      <c r="F3488" s="275">
        <f t="shared" si="1337"/>
        <v>45885.5</v>
      </c>
      <c r="G3488" s="120">
        <f t="shared" si="1338"/>
        <v>24307</v>
      </c>
      <c r="H3488" s="245">
        <f t="shared" si="1339"/>
        <v>1</v>
      </c>
      <c r="I3488" s="121">
        <f t="shared" si="1340"/>
        <v>1</v>
      </c>
      <c r="J3488" s="121">
        <f t="shared" si="1341"/>
        <v>1</v>
      </c>
      <c r="K3488" s="120">
        <f t="shared" si="1342"/>
        <v>0</v>
      </c>
      <c r="L3488" s="120">
        <f t="shared" si="1343"/>
        <v>0</v>
      </c>
      <c r="M3488" s="246">
        <f t="shared" si="1344"/>
        <v>0</v>
      </c>
      <c r="N3488" s="121">
        <f t="shared" si="1345"/>
        <v>1</v>
      </c>
      <c r="O3488" s="246">
        <f t="shared" si="1346"/>
        <v>1</v>
      </c>
      <c r="P3488" s="121">
        <f t="shared" si="1347"/>
        <v>0.25</v>
      </c>
      <c r="Q3488" s="121">
        <f t="shared" si="1348"/>
        <v>0</v>
      </c>
      <c r="R3488" s="121">
        <f t="shared" si="1349"/>
        <v>0</v>
      </c>
      <c r="S3488" s="121" t="str">
        <f t="shared" si="1350"/>
        <v/>
      </c>
      <c r="T3488" s="121" t="str">
        <f t="shared" si="1351"/>
        <v/>
      </c>
      <c r="U3488" s="121">
        <f t="shared" si="1352"/>
        <v>1</v>
      </c>
    </row>
    <row r="3489" spans="1:21" x14ac:dyDescent="0.3">
      <c r="A3489" s="187">
        <v>9</v>
      </c>
      <c r="B3489" s="242">
        <f t="shared" si="1353"/>
        <v>45901</v>
      </c>
      <c r="C3489" s="243">
        <f t="shared" si="1334"/>
        <v>45930</v>
      </c>
      <c r="D3489" s="120">
        <f t="shared" si="1335"/>
        <v>30</v>
      </c>
      <c r="E3489" s="120">
        <f t="shared" si="1336"/>
        <v>9</v>
      </c>
      <c r="F3489" s="275">
        <f t="shared" si="1337"/>
        <v>45916</v>
      </c>
      <c r="G3489" s="120">
        <f t="shared" si="1338"/>
        <v>24308</v>
      </c>
      <c r="H3489" s="245">
        <f t="shared" si="1339"/>
        <v>1</v>
      </c>
      <c r="I3489" s="121">
        <f t="shared" si="1340"/>
        <v>1</v>
      </c>
      <c r="J3489" s="121">
        <f t="shared" si="1341"/>
        <v>1</v>
      </c>
      <c r="K3489" s="120">
        <f t="shared" si="1342"/>
        <v>0</v>
      </c>
      <c r="L3489" s="120">
        <f t="shared" si="1343"/>
        <v>0</v>
      </c>
      <c r="M3489" s="246">
        <f t="shared" si="1344"/>
        <v>0</v>
      </c>
      <c r="N3489" s="121">
        <f t="shared" si="1345"/>
        <v>1</v>
      </c>
      <c r="O3489" s="246">
        <f t="shared" si="1346"/>
        <v>1</v>
      </c>
      <c r="P3489" s="121">
        <f t="shared" si="1347"/>
        <v>0.41666666666666663</v>
      </c>
      <c r="Q3489" s="121">
        <f t="shared" si="1348"/>
        <v>0</v>
      </c>
      <c r="R3489" s="121">
        <f t="shared" si="1349"/>
        <v>0</v>
      </c>
      <c r="S3489" s="121" t="str">
        <f t="shared" si="1350"/>
        <v/>
      </c>
      <c r="T3489" s="121" t="str">
        <f t="shared" si="1351"/>
        <v/>
      </c>
      <c r="U3489" s="121">
        <f t="shared" si="1352"/>
        <v>1</v>
      </c>
    </row>
    <row r="3490" spans="1:21" x14ac:dyDescent="0.3">
      <c r="A3490" s="187">
        <v>10</v>
      </c>
      <c r="B3490" s="242">
        <f t="shared" si="1353"/>
        <v>45931</v>
      </c>
      <c r="C3490" s="243">
        <f t="shared" si="1334"/>
        <v>45961</v>
      </c>
      <c r="D3490" s="120">
        <f t="shared" si="1335"/>
        <v>31</v>
      </c>
      <c r="E3490" s="120">
        <f t="shared" si="1336"/>
        <v>10</v>
      </c>
      <c r="F3490" s="275">
        <f t="shared" si="1337"/>
        <v>45946.5</v>
      </c>
      <c r="G3490" s="120">
        <f t="shared" si="1338"/>
        <v>24309</v>
      </c>
      <c r="H3490" s="245">
        <f t="shared" si="1339"/>
        <v>1</v>
      </c>
      <c r="I3490" s="121">
        <f t="shared" si="1340"/>
        <v>1</v>
      </c>
      <c r="J3490" s="121">
        <f t="shared" si="1341"/>
        <v>1</v>
      </c>
      <c r="K3490" s="120">
        <f t="shared" si="1342"/>
        <v>0</v>
      </c>
      <c r="L3490" s="120">
        <f t="shared" si="1343"/>
        <v>0</v>
      </c>
      <c r="M3490" s="246">
        <f t="shared" si="1344"/>
        <v>0</v>
      </c>
      <c r="N3490" s="121">
        <f t="shared" si="1345"/>
        <v>1</v>
      </c>
      <c r="O3490" s="246">
        <f t="shared" si="1346"/>
        <v>1</v>
      </c>
      <c r="P3490" s="121">
        <f t="shared" si="1347"/>
        <v>0.58333333333333326</v>
      </c>
      <c r="Q3490" s="121">
        <f t="shared" si="1348"/>
        <v>0</v>
      </c>
      <c r="R3490" s="121">
        <f t="shared" si="1349"/>
        <v>0</v>
      </c>
      <c r="S3490" s="121" t="str">
        <f t="shared" si="1350"/>
        <v/>
      </c>
      <c r="T3490" s="121" t="str">
        <f t="shared" si="1351"/>
        <v/>
      </c>
      <c r="U3490" s="121">
        <f t="shared" si="1352"/>
        <v>1</v>
      </c>
    </row>
    <row r="3491" spans="1:21" x14ac:dyDescent="0.3">
      <c r="A3491" s="187">
        <v>11</v>
      </c>
      <c r="B3491" s="242">
        <f t="shared" si="1353"/>
        <v>45962</v>
      </c>
      <c r="C3491" s="243">
        <f t="shared" si="1334"/>
        <v>45991</v>
      </c>
      <c r="D3491" s="120">
        <f t="shared" si="1335"/>
        <v>30</v>
      </c>
      <c r="E3491" s="120">
        <f t="shared" si="1336"/>
        <v>11</v>
      </c>
      <c r="F3491" s="275">
        <f t="shared" si="1337"/>
        <v>45977</v>
      </c>
      <c r="G3491" s="120">
        <f t="shared" si="1338"/>
        <v>24310</v>
      </c>
      <c r="H3491" s="245">
        <f t="shared" si="1339"/>
        <v>1</v>
      </c>
      <c r="I3491" s="121">
        <f t="shared" si="1340"/>
        <v>1</v>
      </c>
      <c r="J3491" s="121">
        <f t="shared" si="1341"/>
        <v>1</v>
      </c>
      <c r="K3491" s="120">
        <f t="shared" si="1342"/>
        <v>0</v>
      </c>
      <c r="L3491" s="120">
        <f t="shared" si="1343"/>
        <v>0</v>
      </c>
      <c r="M3491" s="246">
        <f t="shared" si="1344"/>
        <v>0</v>
      </c>
      <c r="N3491" s="121">
        <f t="shared" si="1345"/>
        <v>1</v>
      </c>
      <c r="O3491" s="246">
        <f t="shared" si="1346"/>
        <v>1</v>
      </c>
      <c r="P3491" s="121">
        <f t="shared" si="1347"/>
        <v>0.75</v>
      </c>
      <c r="Q3491" s="121">
        <f t="shared" si="1348"/>
        <v>0</v>
      </c>
      <c r="R3491" s="121">
        <f t="shared" si="1349"/>
        <v>0</v>
      </c>
      <c r="S3491" s="121" t="str">
        <f t="shared" si="1350"/>
        <v/>
      </c>
      <c r="T3491" s="121" t="str">
        <f t="shared" si="1351"/>
        <v/>
      </c>
      <c r="U3491" s="121">
        <f t="shared" si="1352"/>
        <v>1</v>
      </c>
    </row>
    <row r="3492" spans="1:21" x14ac:dyDescent="0.3">
      <c r="A3492" s="187">
        <v>12</v>
      </c>
      <c r="B3492" s="242">
        <f t="shared" si="1353"/>
        <v>45992</v>
      </c>
      <c r="C3492" s="243">
        <f t="shared" si="1334"/>
        <v>46022</v>
      </c>
      <c r="D3492" s="120">
        <f t="shared" si="1335"/>
        <v>31</v>
      </c>
      <c r="E3492" s="120">
        <f t="shared" si="1336"/>
        <v>12</v>
      </c>
      <c r="F3492" s="275">
        <f t="shared" si="1337"/>
        <v>46007.5</v>
      </c>
      <c r="G3492" s="120">
        <f t="shared" si="1338"/>
        <v>24311</v>
      </c>
      <c r="H3492" s="245">
        <f t="shared" si="1339"/>
        <v>1</v>
      </c>
      <c r="I3492" s="121">
        <f t="shared" si="1340"/>
        <v>1</v>
      </c>
      <c r="J3492" s="121">
        <f t="shared" si="1341"/>
        <v>1</v>
      </c>
      <c r="K3492" s="120">
        <f t="shared" si="1342"/>
        <v>0</v>
      </c>
      <c r="L3492" s="120">
        <f t="shared" si="1343"/>
        <v>0</v>
      </c>
      <c r="M3492" s="246">
        <f t="shared" si="1344"/>
        <v>0</v>
      </c>
      <c r="N3492" s="121">
        <f t="shared" si="1345"/>
        <v>1</v>
      </c>
      <c r="O3492" s="246">
        <f t="shared" si="1346"/>
        <v>1</v>
      </c>
      <c r="P3492" s="121">
        <f t="shared" si="1347"/>
        <v>0.91666666666666663</v>
      </c>
      <c r="Q3492" s="121">
        <f t="shared" si="1348"/>
        <v>0</v>
      </c>
      <c r="R3492" s="121">
        <f t="shared" si="1349"/>
        <v>0</v>
      </c>
      <c r="S3492" s="121" t="str">
        <f t="shared" si="1350"/>
        <v/>
      </c>
      <c r="T3492" s="121" t="str">
        <f t="shared" si="1351"/>
        <v/>
      </c>
      <c r="U3492" s="121">
        <f t="shared" si="1352"/>
        <v>1</v>
      </c>
    </row>
    <row r="3493" spans="1:21" x14ac:dyDescent="0.3">
      <c r="A3493" s="187">
        <v>13</v>
      </c>
      <c r="B3493" s="242">
        <f t="shared" si="1353"/>
        <v>46023</v>
      </c>
      <c r="C3493" s="243">
        <f t="shared" si="1334"/>
        <v>46053</v>
      </c>
      <c r="D3493" s="120">
        <f t="shared" si="1335"/>
        <v>31</v>
      </c>
      <c r="E3493" s="120">
        <f t="shared" si="1336"/>
        <v>1</v>
      </c>
      <c r="F3493" s="275">
        <f t="shared" si="1337"/>
        <v>46038.5</v>
      </c>
      <c r="G3493" s="120">
        <f t="shared" si="1338"/>
        <v>24312</v>
      </c>
      <c r="H3493" s="245">
        <f t="shared" si="1339"/>
        <v>1</v>
      </c>
      <c r="I3493" s="121">
        <f t="shared" si="1340"/>
        <v>1</v>
      </c>
      <c r="J3493" s="121">
        <f t="shared" si="1341"/>
        <v>1</v>
      </c>
      <c r="K3493" s="120">
        <f t="shared" si="1342"/>
        <v>0</v>
      </c>
      <c r="L3493" s="120">
        <f t="shared" si="1343"/>
        <v>0</v>
      </c>
      <c r="M3493" s="246">
        <f t="shared" si="1344"/>
        <v>0</v>
      </c>
      <c r="N3493" s="121">
        <f t="shared" si="1345"/>
        <v>1</v>
      </c>
      <c r="O3493" s="246">
        <f t="shared" si="1346"/>
        <v>1</v>
      </c>
      <c r="P3493" s="121">
        <f t="shared" si="1347"/>
        <v>1</v>
      </c>
      <c r="Q3493" s="121">
        <f t="shared" si="1348"/>
        <v>0</v>
      </c>
      <c r="R3493" s="121">
        <f t="shared" si="1349"/>
        <v>0</v>
      </c>
      <c r="S3493" s="121" t="str">
        <f t="shared" si="1350"/>
        <v/>
      </c>
      <c r="T3493" s="121" t="str">
        <f t="shared" si="1351"/>
        <v/>
      </c>
      <c r="U3493" s="121">
        <f t="shared" si="1352"/>
        <v>1</v>
      </c>
    </row>
    <row r="3494" spans="1:21" x14ac:dyDescent="0.3">
      <c r="A3494" s="187">
        <v>14</v>
      </c>
      <c r="B3494" s="242">
        <f t="shared" si="1353"/>
        <v>46054</v>
      </c>
      <c r="C3494" s="243">
        <f t="shared" si="1334"/>
        <v>46081</v>
      </c>
      <c r="D3494" s="120">
        <f t="shared" si="1335"/>
        <v>28</v>
      </c>
      <c r="E3494" s="120">
        <f t="shared" si="1336"/>
        <v>2</v>
      </c>
      <c r="F3494" s="275">
        <f t="shared" si="1337"/>
        <v>46068</v>
      </c>
      <c r="G3494" s="120">
        <f t="shared" si="1338"/>
        <v>24313</v>
      </c>
      <c r="H3494" s="245">
        <f t="shared" si="1339"/>
        <v>1</v>
      </c>
      <c r="I3494" s="121">
        <f t="shared" si="1340"/>
        <v>1</v>
      </c>
      <c r="J3494" s="121">
        <f t="shared" si="1341"/>
        <v>1</v>
      </c>
      <c r="K3494" s="120">
        <f t="shared" si="1342"/>
        <v>0</v>
      </c>
      <c r="L3494" s="120">
        <f t="shared" si="1343"/>
        <v>0</v>
      </c>
      <c r="M3494" s="246">
        <f t="shared" si="1344"/>
        <v>0</v>
      </c>
      <c r="N3494" s="121">
        <f t="shared" si="1345"/>
        <v>1</v>
      </c>
      <c r="O3494" s="246">
        <f t="shared" si="1346"/>
        <v>1</v>
      </c>
      <c r="P3494" s="121">
        <f t="shared" si="1347"/>
        <v>1</v>
      </c>
      <c r="Q3494" s="121">
        <f t="shared" si="1348"/>
        <v>0</v>
      </c>
      <c r="R3494" s="121">
        <f t="shared" si="1349"/>
        <v>0</v>
      </c>
      <c r="S3494" s="121" t="str">
        <f t="shared" si="1350"/>
        <v/>
      </c>
      <c r="T3494" s="121" t="str">
        <f t="shared" si="1351"/>
        <v/>
      </c>
      <c r="U3494" s="121">
        <f t="shared" si="1352"/>
        <v>1</v>
      </c>
    </row>
    <row r="3495" spans="1:21" x14ac:dyDescent="0.3">
      <c r="A3495" s="187">
        <v>15</v>
      </c>
      <c r="B3495" s="242">
        <f t="shared" si="1353"/>
        <v>46082</v>
      </c>
      <c r="C3495" s="243">
        <f t="shared" si="1334"/>
        <v>46112</v>
      </c>
      <c r="D3495" s="120">
        <f t="shared" si="1335"/>
        <v>31</v>
      </c>
      <c r="E3495" s="120">
        <f t="shared" si="1336"/>
        <v>3</v>
      </c>
      <c r="F3495" s="275">
        <f t="shared" si="1337"/>
        <v>46097.5</v>
      </c>
      <c r="G3495" s="120">
        <f t="shared" si="1338"/>
        <v>24314</v>
      </c>
      <c r="H3495" s="245">
        <f t="shared" si="1339"/>
        <v>1</v>
      </c>
      <c r="I3495" s="121">
        <f t="shared" si="1340"/>
        <v>1</v>
      </c>
      <c r="J3495" s="121">
        <f t="shared" si="1341"/>
        <v>1</v>
      </c>
      <c r="K3495" s="120">
        <f t="shared" si="1342"/>
        <v>0</v>
      </c>
      <c r="L3495" s="120">
        <f t="shared" si="1343"/>
        <v>0</v>
      </c>
      <c r="M3495" s="246">
        <f t="shared" si="1344"/>
        <v>0</v>
      </c>
      <c r="N3495" s="121">
        <f t="shared" si="1345"/>
        <v>1</v>
      </c>
      <c r="O3495" s="246">
        <f t="shared" si="1346"/>
        <v>1</v>
      </c>
      <c r="P3495" s="121">
        <f t="shared" si="1347"/>
        <v>1</v>
      </c>
      <c r="Q3495" s="121">
        <f t="shared" si="1348"/>
        <v>0</v>
      </c>
      <c r="R3495" s="121">
        <f t="shared" si="1349"/>
        <v>0</v>
      </c>
      <c r="S3495" s="121" t="str">
        <f t="shared" si="1350"/>
        <v/>
      </c>
      <c r="T3495" s="121" t="str">
        <f t="shared" si="1351"/>
        <v/>
      </c>
      <c r="U3495" s="121">
        <f t="shared" si="1352"/>
        <v>1</v>
      </c>
    </row>
    <row r="3496" spans="1:21" x14ac:dyDescent="0.3">
      <c r="A3496" s="187">
        <v>16</v>
      </c>
      <c r="B3496" s="242">
        <f t="shared" si="1353"/>
        <v>46113</v>
      </c>
      <c r="C3496" s="243">
        <f t="shared" si="1334"/>
        <v>46142</v>
      </c>
      <c r="D3496" s="120">
        <f t="shared" si="1335"/>
        <v>30</v>
      </c>
      <c r="E3496" s="120">
        <f t="shared" si="1336"/>
        <v>4</v>
      </c>
      <c r="F3496" s="275">
        <f t="shared" si="1337"/>
        <v>46128</v>
      </c>
      <c r="G3496" s="120">
        <f t="shared" si="1338"/>
        <v>24315</v>
      </c>
      <c r="H3496" s="245">
        <f t="shared" si="1339"/>
        <v>1</v>
      </c>
      <c r="I3496" s="121">
        <f t="shared" si="1340"/>
        <v>1</v>
      </c>
      <c r="J3496" s="121">
        <f t="shared" si="1341"/>
        <v>1</v>
      </c>
      <c r="K3496" s="120">
        <f t="shared" si="1342"/>
        <v>0</v>
      </c>
      <c r="L3496" s="120">
        <f t="shared" si="1343"/>
        <v>0</v>
      </c>
      <c r="M3496" s="246">
        <f t="shared" si="1344"/>
        <v>0</v>
      </c>
      <c r="N3496" s="121">
        <f t="shared" si="1345"/>
        <v>1</v>
      </c>
      <c r="O3496" s="246">
        <f t="shared" si="1346"/>
        <v>1</v>
      </c>
      <c r="P3496" s="121">
        <f t="shared" si="1347"/>
        <v>1</v>
      </c>
      <c r="Q3496" s="121">
        <f t="shared" si="1348"/>
        <v>0</v>
      </c>
      <c r="R3496" s="121">
        <f t="shared" si="1349"/>
        <v>0</v>
      </c>
      <c r="S3496" s="121" t="str">
        <f t="shared" si="1350"/>
        <v/>
      </c>
      <c r="T3496" s="121" t="str">
        <f t="shared" si="1351"/>
        <v/>
      </c>
      <c r="U3496" s="121">
        <f t="shared" si="1352"/>
        <v>1</v>
      </c>
    </row>
    <row r="3497" spans="1:21" x14ac:dyDescent="0.3">
      <c r="A3497" s="187">
        <v>17</v>
      </c>
      <c r="B3497" s="242">
        <f t="shared" si="1353"/>
        <v>46143</v>
      </c>
      <c r="C3497" s="243">
        <f t="shared" si="1334"/>
        <v>46173</v>
      </c>
      <c r="D3497" s="120">
        <f t="shared" si="1335"/>
        <v>31</v>
      </c>
      <c r="E3497" s="120">
        <f t="shared" si="1336"/>
        <v>5</v>
      </c>
      <c r="F3497" s="275">
        <f t="shared" si="1337"/>
        <v>46158.5</v>
      </c>
      <c r="G3497" s="120">
        <f t="shared" si="1338"/>
        <v>24316</v>
      </c>
      <c r="H3497" s="245">
        <f t="shared" si="1339"/>
        <v>1</v>
      </c>
      <c r="I3497" s="121">
        <f t="shared" si="1340"/>
        <v>1</v>
      </c>
      <c r="J3497" s="121">
        <f t="shared" si="1341"/>
        <v>1</v>
      </c>
      <c r="K3497" s="120">
        <f t="shared" si="1342"/>
        <v>0</v>
      </c>
      <c r="L3497" s="120">
        <f t="shared" si="1343"/>
        <v>0</v>
      </c>
      <c r="M3497" s="246">
        <f t="shared" si="1344"/>
        <v>0</v>
      </c>
      <c r="N3497" s="121">
        <f t="shared" si="1345"/>
        <v>1</v>
      </c>
      <c r="O3497" s="246">
        <f t="shared" si="1346"/>
        <v>1</v>
      </c>
      <c r="P3497" s="121">
        <f t="shared" si="1347"/>
        <v>1</v>
      </c>
      <c r="Q3497" s="121">
        <f t="shared" si="1348"/>
        <v>0</v>
      </c>
      <c r="R3497" s="121">
        <f t="shared" si="1349"/>
        <v>0</v>
      </c>
      <c r="S3497" s="121" t="str">
        <f t="shared" si="1350"/>
        <v/>
      </c>
      <c r="T3497" s="121" t="str">
        <f t="shared" si="1351"/>
        <v/>
      </c>
      <c r="U3497" s="121">
        <f t="shared" si="1352"/>
        <v>1</v>
      </c>
    </row>
    <row r="3498" spans="1:21" x14ac:dyDescent="0.3">
      <c r="A3498" s="187">
        <v>18</v>
      </c>
      <c r="B3498" s="242">
        <f t="shared" si="1353"/>
        <v>46174</v>
      </c>
      <c r="C3498" s="243">
        <f t="shared" si="1334"/>
        <v>46203</v>
      </c>
      <c r="D3498" s="120">
        <f t="shared" si="1335"/>
        <v>30</v>
      </c>
      <c r="E3498" s="120">
        <f t="shared" si="1336"/>
        <v>6</v>
      </c>
      <c r="F3498" s="275">
        <f t="shared" si="1337"/>
        <v>46189</v>
      </c>
      <c r="G3498" s="120">
        <f t="shared" si="1338"/>
        <v>24317</v>
      </c>
      <c r="H3498" s="245">
        <f t="shared" si="1339"/>
        <v>1</v>
      </c>
      <c r="I3498" s="121">
        <f t="shared" si="1340"/>
        <v>1</v>
      </c>
      <c r="J3498" s="121">
        <f t="shared" si="1341"/>
        <v>1</v>
      </c>
      <c r="K3498" s="120">
        <f t="shared" si="1342"/>
        <v>0</v>
      </c>
      <c r="L3498" s="120">
        <f t="shared" si="1343"/>
        <v>0</v>
      </c>
      <c r="M3498" s="246">
        <f t="shared" si="1344"/>
        <v>0</v>
      </c>
      <c r="N3498" s="121">
        <f t="shared" si="1345"/>
        <v>1</v>
      </c>
      <c r="O3498" s="246">
        <f t="shared" si="1346"/>
        <v>1</v>
      </c>
      <c r="P3498" s="121">
        <f t="shared" si="1347"/>
        <v>1</v>
      </c>
      <c r="Q3498" s="121">
        <f t="shared" si="1348"/>
        <v>0</v>
      </c>
      <c r="R3498" s="121">
        <f t="shared" si="1349"/>
        <v>0</v>
      </c>
      <c r="S3498" s="121" t="str">
        <f t="shared" si="1350"/>
        <v/>
      </c>
      <c r="T3498" s="121" t="str">
        <f t="shared" si="1351"/>
        <v/>
      </c>
      <c r="U3498" s="121">
        <f t="shared" si="1352"/>
        <v>1</v>
      </c>
    </row>
    <row r="3499" spans="1:21" x14ac:dyDescent="0.3">
      <c r="A3499" s="187">
        <v>19</v>
      </c>
      <c r="B3499" s="242">
        <f t="shared" si="1353"/>
        <v>46204</v>
      </c>
      <c r="C3499" s="243">
        <f t="shared" si="1334"/>
        <v>46234</v>
      </c>
      <c r="D3499" s="120">
        <f t="shared" si="1335"/>
        <v>31</v>
      </c>
      <c r="E3499" s="120">
        <f t="shared" si="1336"/>
        <v>7</v>
      </c>
      <c r="F3499" s="275">
        <f t="shared" si="1337"/>
        <v>46219.5</v>
      </c>
      <c r="G3499" s="120">
        <f t="shared" si="1338"/>
        <v>24318</v>
      </c>
      <c r="H3499" s="245">
        <f t="shared" si="1339"/>
        <v>1</v>
      </c>
      <c r="I3499" s="121">
        <f t="shared" si="1340"/>
        <v>1</v>
      </c>
      <c r="J3499" s="121">
        <f t="shared" si="1341"/>
        <v>1</v>
      </c>
      <c r="K3499" s="120">
        <f t="shared" si="1342"/>
        <v>0</v>
      </c>
      <c r="L3499" s="120">
        <f t="shared" si="1343"/>
        <v>0</v>
      </c>
      <c r="M3499" s="246">
        <f t="shared" si="1344"/>
        <v>0</v>
      </c>
      <c r="N3499" s="121">
        <f t="shared" si="1345"/>
        <v>1</v>
      </c>
      <c r="O3499" s="246">
        <f t="shared" si="1346"/>
        <v>1</v>
      </c>
      <c r="P3499" s="121">
        <f t="shared" si="1347"/>
        <v>0.91666666666666663</v>
      </c>
      <c r="Q3499" s="121">
        <f t="shared" si="1348"/>
        <v>8.333333333333337E-2</v>
      </c>
      <c r="R3499" s="121">
        <f t="shared" si="1349"/>
        <v>0</v>
      </c>
      <c r="S3499" s="121" t="str">
        <f t="shared" si="1350"/>
        <v/>
      </c>
      <c r="T3499" s="121" t="str">
        <f t="shared" si="1351"/>
        <v/>
      </c>
      <c r="U3499" s="121">
        <f t="shared" si="1352"/>
        <v>1</v>
      </c>
    </row>
    <row r="3500" spans="1:21" x14ac:dyDescent="0.3">
      <c r="A3500" s="187">
        <v>20</v>
      </c>
      <c r="B3500" s="242">
        <f t="shared" si="1353"/>
        <v>46235</v>
      </c>
      <c r="C3500" s="243">
        <f t="shared" si="1334"/>
        <v>46265</v>
      </c>
      <c r="D3500" s="120">
        <f t="shared" si="1335"/>
        <v>31</v>
      </c>
      <c r="E3500" s="120">
        <f t="shared" si="1336"/>
        <v>8</v>
      </c>
      <c r="F3500" s="275">
        <f t="shared" si="1337"/>
        <v>46250.5</v>
      </c>
      <c r="G3500" s="120">
        <f t="shared" si="1338"/>
        <v>24319</v>
      </c>
      <c r="H3500" s="245">
        <f t="shared" si="1339"/>
        <v>1</v>
      </c>
      <c r="I3500" s="121">
        <f t="shared" si="1340"/>
        <v>1</v>
      </c>
      <c r="J3500" s="121">
        <f t="shared" si="1341"/>
        <v>1</v>
      </c>
      <c r="K3500" s="120">
        <f t="shared" si="1342"/>
        <v>0</v>
      </c>
      <c r="L3500" s="120">
        <f t="shared" si="1343"/>
        <v>0</v>
      </c>
      <c r="M3500" s="246">
        <f t="shared" si="1344"/>
        <v>0</v>
      </c>
      <c r="N3500" s="121">
        <f t="shared" si="1345"/>
        <v>1</v>
      </c>
      <c r="O3500" s="246">
        <f t="shared" si="1346"/>
        <v>1</v>
      </c>
      <c r="P3500" s="121">
        <f t="shared" si="1347"/>
        <v>0.75</v>
      </c>
      <c r="Q3500" s="121">
        <f t="shared" si="1348"/>
        <v>0.25</v>
      </c>
      <c r="R3500" s="121">
        <f t="shared" si="1349"/>
        <v>0</v>
      </c>
      <c r="S3500" s="121" t="str">
        <f t="shared" si="1350"/>
        <v/>
      </c>
      <c r="T3500" s="121" t="str">
        <f t="shared" si="1351"/>
        <v/>
      </c>
      <c r="U3500" s="121">
        <f t="shared" si="1352"/>
        <v>1</v>
      </c>
    </row>
    <row r="3501" spans="1:21" x14ac:dyDescent="0.3">
      <c r="A3501" s="187">
        <v>21</v>
      </c>
      <c r="B3501" s="242">
        <f t="shared" si="1353"/>
        <v>46266</v>
      </c>
      <c r="C3501" s="243">
        <f t="shared" si="1334"/>
        <v>46295</v>
      </c>
      <c r="D3501" s="120">
        <f t="shared" si="1335"/>
        <v>30</v>
      </c>
      <c r="E3501" s="120">
        <f t="shared" si="1336"/>
        <v>9</v>
      </c>
      <c r="F3501" s="275">
        <f t="shared" si="1337"/>
        <v>46281</v>
      </c>
      <c r="G3501" s="120">
        <f t="shared" si="1338"/>
        <v>24320</v>
      </c>
      <c r="H3501" s="245">
        <f t="shared" si="1339"/>
        <v>1</v>
      </c>
      <c r="I3501" s="121">
        <f t="shared" si="1340"/>
        <v>1</v>
      </c>
      <c r="J3501" s="121">
        <f t="shared" si="1341"/>
        <v>1</v>
      </c>
      <c r="K3501" s="120">
        <f t="shared" si="1342"/>
        <v>0</v>
      </c>
      <c r="L3501" s="120">
        <f t="shared" si="1343"/>
        <v>0</v>
      </c>
      <c r="M3501" s="246">
        <f t="shared" si="1344"/>
        <v>0</v>
      </c>
      <c r="N3501" s="121">
        <f t="shared" si="1345"/>
        <v>1</v>
      </c>
      <c r="O3501" s="246">
        <f t="shared" si="1346"/>
        <v>1</v>
      </c>
      <c r="P3501" s="121">
        <f t="shared" si="1347"/>
        <v>0.58333333333333337</v>
      </c>
      <c r="Q3501" s="121">
        <f t="shared" si="1348"/>
        <v>0.41666666666666663</v>
      </c>
      <c r="R3501" s="121">
        <f t="shared" si="1349"/>
        <v>0</v>
      </c>
      <c r="S3501" s="121" t="str">
        <f t="shared" si="1350"/>
        <v/>
      </c>
      <c r="T3501" s="121" t="str">
        <f t="shared" si="1351"/>
        <v/>
      </c>
      <c r="U3501" s="121">
        <f t="shared" si="1352"/>
        <v>1</v>
      </c>
    </row>
    <row r="3502" spans="1:21" x14ac:dyDescent="0.3">
      <c r="A3502" s="187">
        <v>22</v>
      </c>
      <c r="B3502" s="242">
        <f t="shared" si="1353"/>
        <v>46296</v>
      </c>
      <c r="C3502" s="243">
        <f t="shared" si="1334"/>
        <v>46326</v>
      </c>
      <c r="D3502" s="120">
        <f t="shared" si="1335"/>
        <v>31</v>
      </c>
      <c r="E3502" s="120">
        <f t="shared" si="1336"/>
        <v>10</v>
      </c>
      <c r="F3502" s="275">
        <f t="shared" si="1337"/>
        <v>46311.5</v>
      </c>
      <c r="G3502" s="120">
        <f t="shared" si="1338"/>
        <v>24321</v>
      </c>
      <c r="H3502" s="245">
        <f t="shared" si="1339"/>
        <v>1</v>
      </c>
      <c r="I3502" s="121">
        <f t="shared" si="1340"/>
        <v>1</v>
      </c>
      <c r="J3502" s="121">
        <f t="shared" si="1341"/>
        <v>1</v>
      </c>
      <c r="K3502" s="120">
        <f t="shared" si="1342"/>
        <v>0</v>
      </c>
      <c r="L3502" s="120">
        <f t="shared" si="1343"/>
        <v>0</v>
      </c>
      <c r="M3502" s="246">
        <f t="shared" si="1344"/>
        <v>0</v>
      </c>
      <c r="N3502" s="121">
        <f t="shared" si="1345"/>
        <v>1</v>
      </c>
      <c r="O3502" s="246">
        <f t="shared" si="1346"/>
        <v>1</v>
      </c>
      <c r="P3502" s="121">
        <f t="shared" si="1347"/>
        <v>0.41666666666666669</v>
      </c>
      <c r="Q3502" s="121">
        <f t="shared" si="1348"/>
        <v>0.58333333333333326</v>
      </c>
      <c r="R3502" s="121">
        <f t="shared" si="1349"/>
        <v>0</v>
      </c>
      <c r="S3502" s="121" t="str">
        <f t="shared" si="1350"/>
        <v/>
      </c>
      <c r="T3502" s="121" t="str">
        <f t="shared" si="1351"/>
        <v/>
      </c>
      <c r="U3502" s="121">
        <f t="shared" si="1352"/>
        <v>1</v>
      </c>
    </row>
    <row r="3503" spans="1:21" x14ac:dyDescent="0.3">
      <c r="A3503" s="187">
        <v>23</v>
      </c>
      <c r="B3503" s="242">
        <f t="shared" si="1353"/>
        <v>46327</v>
      </c>
      <c r="C3503" s="243">
        <f t="shared" si="1334"/>
        <v>46356</v>
      </c>
      <c r="D3503" s="120">
        <f t="shared" si="1335"/>
        <v>30</v>
      </c>
      <c r="E3503" s="120">
        <f t="shared" si="1336"/>
        <v>11</v>
      </c>
      <c r="F3503" s="275">
        <f t="shared" si="1337"/>
        <v>46342</v>
      </c>
      <c r="G3503" s="120">
        <f t="shared" si="1338"/>
        <v>24322</v>
      </c>
      <c r="H3503" s="245">
        <f t="shared" si="1339"/>
        <v>1</v>
      </c>
      <c r="I3503" s="121">
        <f t="shared" si="1340"/>
        <v>1</v>
      </c>
      <c r="J3503" s="121">
        <f t="shared" si="1341"/>
        <v>1</v>
      </c>
      <c r="K3503" s="120">
        <f t="shared" si="1342"/>
        <v>0</v>
      </c>
      <c r="L3503" s="120">
        <f t="shared" si="1343"/>
        <v>0</v>
      </c>
      <c r="M3503" s="246">
        <f t="shared" si="1344"/>
        <v>0</v>
      </c>
      <c r="N3503" s="121">
        <f t="shared" si="1345"/>
        <v>1</v>
      </c>
      <c r="O3503" s="246">
        <f t="shared" si="1346"/>
        <v>1</v>
      </c>
      <c r="P3503" s="121">
        <f t="shared" si="1347"/>
        <v>0.25</v>
      </c>
      <c r="Q3503" s="121">
        <f t="shared" si="1348"/>
        <v>0.75</v>
      </c>
      <c r="R3503" s="121">
        <f t="shared" si="1349"/>
        <v>0</v>
      </c>
      <c r="S3503" s="121" t="str">
        <f t="shared" si="1350"/>
        <v/>
      </c>
      <c r="T3503" s="121" t="str">
        <f t="shared" si="1351"/>
        <v/>
      </c>
      <c r="U3503" s="121">
        <f t="shared" si="1352"/>
        <v>1</v>
      </c>
    </row>
    <row r="3504" spans="1:21" x14ac:dyDescent="0.3">
      <c r="A3504" s="187">
        <v>24</v>
      </c>
      <c r="B3504" s="242">
        <f t="shared" si="1353"/>
        <v>46357</v>
      </c>
      <c r="C3504" s="243">
        <f t="shared" si="1334"/>
        <v>46387</v>
      </c>
      <c r="D3504" s="120">
        <f t="shared" si="1335"/>
        <v>31</v>
      </c>
      <c r="E3504" s="120">
        <f t="shared" si="1336"/>
        <v>12</v>
      </c>
      <c r="F3504" s="275">
        <f t="shared" si="1337"/>
        <v>46372.5</v>
      </c>
      <c r="G3504" s="120">
        <f t="shared" si="1338"/>
        <v>24323</v>
      </c>
      <c r="H3504" s="245">
        <f t="shared" si="1339"/>
        <v>1</v>
      </c>
      <c r="I3504" s="121">
        <f t="shared" si="1340"/>
        <v>1</v>
      </c>
      <c r="J3504" s="121">
        <f t="shared" si="1341"/>
        <v>1</v>
      </c>
      <c r="K3504" s="120">
        <f t="shared" si="1342"/>
        <v>0</v>
      </c>
      <c r="L3504" s="120">
        <f t="shared" si="1343"/>
        <v>0</v>
      </c>
      <c r="M3504" s="246">
        <f t="shared" si="1344"/>
        <v>0</v>
      </c>
      <c r="N3504" s="121">
        <f t="shared" si="1345"/>
        <v>1</v>
      </c>
      <c r="O3504" s="246">
        <f t="shared" si="1346"/>
        <v>1</v>
      </c>
      <c r="P3504" s="121">
        <f t="shared" si="1347"/>
        <v>8.3333333333333329E-2</v>
      </c>
      <c r="Q3504" s="121">
        <f t="shared" si="1348"/>
        <v>0.91666666666666663</v>
      </c>
      <c r="R3504" s="121">
        <f t="shared" si="1349"/>
        <v>0</v>
      </c>
      <c r="S3504" s="121" t="str">
        <f t="shared" si="1350"/>
        <v/>
      </c>
      <c r="T3504" s="121" t="str">
        <f t="shared" si="1351"/>
        <v/>
      </c>
      <c r="U3504" s="121">
        <f t="shared" si="1352"/>
        <v>1</v>
      </c>
    </row>
    <row r="3505" spans="1:21" x14ac:dyDescent="0.3">
      <c r="A3505" s="187">
        <v>25</v>
      </c>
      <c r="B3505" s="242">
        <f t="shared" si="1353"/>
        <v>46388</v>
      </c>
      <c r="C3505" s="243">
        <f t="shared" si="1334"/>
        <v>46418</v>
      </c>
      <c r="D3505" s="120">
        <f t="shared" si="1335"/>
        <v>31</v>
      </c>
      <c r="E3505" s="120">
        <f t="shared" si="1336"/>
        <v>1</v>
      </c>
      <c r="F3505" s="275">
        <f t="shared" si="1337"/>
        <v>46403.5</v>
      </c>
      <c r="G3505" s="120">
        <f t="shared" si="1338"/>
        <v>24324</v>
      </c>
      <c r="H3505" s="245">
        <f t="shared" si="1339"/>
        <v>1</v>
      </c>
      <c r="I3505" s="121">
        <f t="shared" si="1340"/>
        <v>1</v>
      </c>
      <c r="J3505" s="121">
        <f t="shared" si="1341"/>
        <v>1</v>
      </c>
      <c r="K3505" s="120">
        <f t="shared" si="1342"/>
        <v>0</v>
      </c>
      <c r="L3505" s="120">
        <f t="shared" si="1343"/>
        <v>0</v>
      </c>
      <c r="M3505" s="246">
        <f t="shared" si="1344"/>
        <v>0</v>
      </c>
      <c r="N3505" s="121">
        <f t="shared" si="1345"/>
        <v>1</v>
      </c>
      <c r="O3505" s="246">
        <f t="shared" si="1346"/>
        <v>1</v>
      </c>
      <c r="P3505" s="121">
        <f t="shared" si="1347"/>
        <v>0</v>
      </c>
      <c r="Q3505" s="121">
        <f t="shared" si="1348"/>
        <v>1</v>
      </c>
      <c r="R3505" s="121">
        <f t="shared" si="1349"/>
        <v>0</v>
      </c>
      <c r="S3505" s="121" t="str">
        <f t="shared" si="1350"/>
        <v/>
      </c>
      <c r="T3505" s="121" t="str">
        <f t="shared" si="1351"/>
        <v/>
      </c>
      <c r="U3505" s="121">
        <f t="shared" si="1352"/>
        <v>1</v>
      </c>
    </row>
    <row r="3506" spans="1:21" x14ac:dyDescent="0.3">
      <c r="A3506" s="187">
        <v>26</v>
      </c>
      <c r="B3506" s="242">
        <f t="shared" si="1353"/>
        <v>46419</v>
      </c>
      <c r="C3506" s="243">
        <f t="shared" si="1334"/>
        <v>46446</v>
      </c>
      <c r="D3506" s="120">
        <f t="shared" si="1335"/>
        <v>28</v>
      </c>
      <c r="E3506" s="120">
        <f t="shared" si="1336"/>
        <v>2</v>
      </c>
      <c r="F3506" s="275">
        <f t="shared" si="1337"/>
        <v>46433</v>
      </c>
      <c r="G3506" s="120">
        <f t="shared" si="1338"/>
        <v>24325</v>
      </c>
      <c r="H3506" s="245">
        <f t="shared" si="1339"/>
        <v>1</v>
      </c>
      <c r="I3506" s="121">
        <f t="shared" si="1340"/>
        <v>1</v>
      </c>
      <c r="J3506" s="121">
        <f t="shared" si="1341"/>
        <v>1</v>
      </c>
      <c r="K3506" s="120">
        <f t="shared" si="1342"/>
        <v>0</v>
      </c>
      <c r="L3506" s="120">
        <f t="shared" si="1343"/>
        <v>0</v>
      </c>
      <c r="M3506" s="246">
        <f t="shared" si="1344"/>
        <v>0</v>
      </c>
      <c r="N3506" s="121">
        <f t="shared" si="1345"/>
        <v>1</v>
      </c>
      <c r="O3506" s="246">
        <f t="shared" si="1346"/>
        <v>1</v>
      </c>
      <c r="P3506" s="121">
        <f t="shared" si="1347"/>
        <v>0</v>
      </c>
      <c r="Q3506" s="121">
        <f t="shared" si="1348"/>
        <v>1</v>
      </c>
      <c r="R3506" s="121">
        <f t="shared" si="1349"/>
        <v>0</v>
      </c>
      <c r="S3506" s="121" t="str">
        <f t="shared" si="1350"/>
        <v/>
      </c>
      <c r="T3506" s="121" t="str">
        <f t="shared" si="1351"/>
        <v/>
      </c>
      <c r="U3506" s="121">
        <f t="shared" si="1352"/>
        <v>1</v>
      </c>
    </row>
    <row r="3507" spans="1:21" x14ac:dyDescent="0.3">
      <c r="A3507" s="187">
        <v>27</v>
      </c>
      <c r="B3507" s="242">
        <f t="shared" si="1353"/>
        <v>46447</v>
      </c>
      <c r="C3507" s="243">
        <f t="shared" si="1334"/>
        <v>46477</v>
      </c>
      <c r="D3507" s="120">
        <f t="shared" si="1335"/>
        <v>31</v>
      </c>
      <c r="E3507" s="120">
        <f t="shared" si="1336"/>
        <v>3</v>
      </c>
      <c r="F3507" s="275">
        <f t="shared" si="1337"/>
        <v>46462.5</v>
      </c>
      <c r="G3507" s="120">
        <f t="shared" si="1338"/>
        <v>24326</v>
      </c>
      <c r="H3507" s="245">
        <f t="shared" si="1339"/>
        <v>1</v>
      </c>
      <c r="I3507" s="121">
        <f t="shared" si="1340"/>
        <v>1</v>
      </c>
      <c r="J3507" s="121">
        <f t="shared" si="1341"/>
        <v>1</v>
      </c>
      <c r="K3507" s="120">
        <f t="shared" si="1342"/>
        <v>0</v>
      </c>
      <c r="L3507" s="120">
        <f t="shared" si="1343"/>
        <v>0</v>
      </c>
      <c r="M3507" s="246">
        <f t="shared" si="1344"/>
        <v>0</v>
      </c>
      <c r="N3507" s="121">
        <f t="shared" si="1345"/>
        <v>1</v>
      </c>
      <c r="O3507" s="246">
        <f t="shared" si="1346"/>
        <v>1</v>
      </c>
      <c r="P3507" s="121">
        <f t="shared" si="1347"/>
        <v>0</v>
      </c>
      <c r="Q3507" s="121">
        <f t="shared" si="1348"/>
        <v>1</v>
      </c>
      <c r="R3507" s="121">
        <f t="shared" si="1349"/>
        <v>0</v>
      </c>
      <c r="S3507" s="121" t="str">
        <f t="shared" si="1350"/>
        <v/>
      </c>
      <c r="T3507" s="121" t="str">
        <f t="shared" si="1351"/>
        <v/>
      </c>
      <c r="U3507" s="121">
        <f t="shared" si="1352"/>
        <v>1</v>
      </c>
    </row>
    <row r="3508" spans="1:21" x14ac:dyDescent="0.3">
      <c r="A3508" s="187">
        <v>28</v>
      </c>
      <c r="B3508" s="242">
        <f t="shared" si="1353"/>
        <v>46478</v>
      </c>
      <c r="C3508" s="243">
        <f t="shared" si="1334"/>
        <v>46507</v>
      </c>
      <c r="D3508" s="120">
        <f t="shared" si="1335"/>
        <v>30</v>
      </c>
      <c r="E3508" s="120">
        <f t="shared" si="1336"/>
        <v>4</v>
      </c>
      <c r="F3508" s="275">
        <f t="shared" si="1337"/>
        <v>46493</v>
      </c>
      <c r="G3508" s="120">
        <f t="shared" si="1338"/>
        <v>24327</v>
      </c>
      <c r="H3508" s="245">
        <f t="shared" si="1339"/>
        <v>1</v>
      </c>
      <c r="I3508" s="121">
        <f t="shared" si="1340"/>
        <v>1</v>
      </c>
      <c r="J3508" s="121">
        <f t="shared" si="1341"/>
        <v>1</v>
      </c>
      <c r="K3508" s="120">
        <f t="shared" si="1342"/>
        <v>0</v>
      </c>
      <c r="L3508" s="120">
        <f t="shared" si="1343"/>
        <v>0</v>
      </c>
      <c r="M3508" s="246">
        <f t="shared" si="1344"/>
        <v>0</v>
      </c>
      <c r="N3508" s="121">
        <f t="shared" si="1345"/>
        <v>1</v>
      </c>
      <c r="O3508" s="246">
        <f t="shared" si="1346"/>
        <v>1</v>
      </c>
      <c r="P3508" s="121">
        <f t="shared" si="1347"/>
        <v>0</v>
      </c>
      <c r="Q3508" s="121">
        <f t="shared" si="1348"/>
        <v>1</v>
      </c>
      <c r="R3508" s="121">
        <f t="shared" si="1349"/>
        <v>0</v>
      </c>
      <c r="S3508" s="121" t="str">
        <f t="shared" si="1350"/>
        <v/>
      </c>
      <c r="T3508" s="121" t="str">
        <f t="shared" si="1351"/>
        <v/>
      </c>
      <c r="U3508" s="121">
        <f t="shared" si="1352"/>
        <v>1</v>
      </c>
    </row>
    <row r="3509" spans="1:21" x14ac:dyDescent="0.3">
      <c r="A3509" s="187">
        <v>29</v>
      </c>
      <c r="B3509" s="242">
        <f t="shared" si="1353"/>
        <v>46508</v>
      </c>
      <c r="C3509" s="243">
        <f t="shared" si="1334"/>
        <v>46538</v>
      </c>
      <c r="D3509" s="120">
        <f t="shared" si="1335"/>
        <v>31</v>
      </c>
      <c r="E3509" s="120">
        <f t="shared" si="1336"/>
        <v>5</v>
      </c>
      <c r="F3509" s="275">
        <f t="shared" si="1337"/>
        <v>46523.5</v>
      </c>
      <c r="G3509" s="120">
        <f t="shared" si="1338"/>
        <v>24328</v>
      </c>
      <c r="H3509" s="245">
        <f t="shared" si="1339"/>
        <v>1</v>
      </c>
      <c r="I3509" s="121">
        <f t="shared" si="1340"/>
        <v>1</v>
      </c>
      <c r="J3509" s="121">
        <f t="shared" si="1341"/>
        <v>1</v>
      </c>
      <c r="K3509" s="120">
        <f t="shared" si="1342"/>
        <v>0</v>
      </c>
      <c r="L3509" s="120">
        <f t="shared" si="1343"/>
        <v>0</v>
      </c>
      <c r="M3509" s="246">
        <f t="shared" si="1344"/>
        <v>0</v>
      </c>
      <c r="N3509" s="121">
        <f t="shared" si="1345"/>
        <v>1</v>
      </c>
      <c r="O3509" s="246">
        <f t="shared" si="1346"/>
        <v>1</v>
      </c>
      <c r="P3509" s="121">
        <f t="shared" si="1347"/>
        <v>0</v>
      </c>
      <c r="Q3509" s="121">
        <f t="shared" si="1348"/>
        <v>1</v>
      </c>
      <c r="R3509" s="121">
        <f t="shared" si="1349"/>
        <v>0</v>
      </c>
      <c r="S3509" s="121" t="str">
        <f t="shared" si="1350"/>
        <v/>
      </c>
      <c r="T3509" s="121" t="str">
        <f t="shared" si="1351"/>
        <v/>
      </c>
      <c r="U3509" s="121">
        <f t="shared" si="1352"/>
        <v>1</v>
      </c>
    </row>
    <row r="3510" spans="1:21" x14ac:dyDescent="0.3">
      <c r="A3510" s="187">
        <v>30</v>
      </c>
      <c r="B3510" s="242">
        <f t="shared" si="1353"/>
        <v>46539</v>
      </c>
      <c r="C3510" s="243">
        <f t="shared" si="1334"/>
        <v>46568</v>
      </c>
      <c r="D3510" s="120">
        <f t="shared" si="1335"/>
        <v>30</v>
      </c>
      <c r="E3510" s="120">
        <f t="shared" si="1336"/>
        <v>6</v>
      </c>
      <c r="F3510" s="275">
        <f t="shared" si="1337"/>
        <v>46554</v>
      </c>
      <c r="G3510" s="120">
        <f t="shared" si="1338"/>
        <v>24329</v>
      </c>
      <c r="H3510" s="245">
        <f t="shared" si="1339"/>
        <v>1</v>
      </c>
      <c r="I3510" s="121">
        <f t="shared" si="1340"/>
        <v>1</v>
      </c>
      <c r="J3510" s="121">
        <f t="shared" si="1341"/>
        <v>1</v>
      </c>
      <c r="K3510" s="120">
        <f t="shared" si="1342"/>
        <v>0</v>
      </c>
      <c r="L3510" s="120">
        <f t="shared" si="1343"/>
        <v>0</v>
      </c>
      <c r="M3510" s="246">
        <f t="shared" si="1344"/>
        <v>0</v>
      </c>
      <c r="N3510" s="121">
        <f t="shared" si="1345"/>
        <v>1</v>
      </c>
      <c r="O3510" s="246">
        <f t="shared" si="1346"/>
        <v>1</v>
      </c>
      <c r="P3510" s="121">
        <f t="shared" si="1347"/>
        <v>0</v>
      </c>
      <c r="Q3510" s="121">
        <f t="shared" si="1348"/>
        <v>1</v>
      </c>
      <c r="R3510" s="121">
        <f t="shared" si="1349"/>
        <v>0</v>
      </c>
      <c r="S3510" s="121" t="str">
        <f t="shared" si="1350"/>
        <v/>
      </c>
      <c r="T3510" s="121" t="str">
        <f t="shared" si="1351"/>
        <v/>
      </c>
      <c r="U3510" s="121">
        <f t="shared" si="1352"/>
        <v>1</v>
      </c>
    </row>
    <row r="3511" spans="1:21" x14ac:dyDescent="0.3">
      <c r="A3511" s="187">
        <v>31</v>
      </c>
      <c r="B3511" s="242">
        <f t="shared" si="1353"/>
        <v>46569</v>
      </c>
      <c r="C3511" s="243">
        <f t="shared" si="1334"/>
        <v>46599</v>
      </c>
      <c r="D3511" s="120">
        <f t="shared" si="1335"/>
        <v>31</v>
      </c>
      <c r="E3511" s="120">
        <f t="shared" si="1336"/>
        <v>7</v>
      </c>
      <c r="F3511" s="275">
        <f t="shared" si="1337"/>
        <v>46584.5</v>
      </c>
      <c r="G3511" s="120">
        <f t="shared" si="1338"/>
        <v>24330</v>
      </c>
      <c r="H3511" s="245">
        <f t="shared" si="1339"/>
        <v>1</v>
      </c>
      <c r="I3511" s="121">
        <f t="shared" si="1340"/>
        <v>1</v>
      </c>
      <c r="J3511" s="121">
        <f t="shared" si="1341"/>
        <v>1</v>
      </c>
      <c r="K3511" s="120">
        <f t="shared" si="1342"/>
        <v>0</v>
      </c>
      <c r="L3511" s="120">
        <f t="shared" si="1343"/>
        <v>0</v>
      </c>
      <c r="M3511" s="246">
        <f t="shared" si="1344"/>
        <v>0</v>
      </c>
      <c r="N3511" s="121">
        <f t="shared" si="1345"/>
        <v>1</v>
      </c>
      <c r="O3511" s="246">
        <f t="shared" si="1346"/>
        <v>1</v>
      </c>
      <c r="P3511" s="121">
        <f t="shared" si="1347"/>
        <v>0</v>
      </c>
      <c r="Q3511" s="121">
        <f t="shared" si="1348"/>
        <v>0.91666666666666663</v>
      </c>
      <c r="R3511" s="121">
        <f t="shared" si="1349"/>
        <v>8.333333333333337E-2</v>
      </c>
      <c r="S3511" s="121" t="str">
        <f t="shared" si="1350"/>
        <v/>
      </c>
      <c r="T3511" s="121" t="str">
        <f t="shared" si="1351"/>
        <v/>
      </c>
      <c r="U3511" s="121">
        <f t="shared" si="1352"/>
        <v>1</v>
      </c>
    </row>
    <row r="3512" spans="1:21" x14ac:dyDescent="0.3">
      <c r="A3512" s="187">
        <v>32</v>
      </c>
      <c r="B3512" s="242">
        <f t="shared" si="1353"/>
        <v>46600</v>
      </c>
      <c r="C3512" s="243">
        <f t="shared" si="1334"/>
        <v>46630</v>
      </c>
      <c r="D3512" s="120">
        <f t="shared" si="1335"/>
        <v>31</v>
      </c>
      <c r="E3512" s="120">
        <f t="shared" si="1336"/>
        <v>8</v>
      </c>
      <c r="F3512" s="275">
        <f t="shared" si="1337"/>
        <v>46615.5</v>
      </c>
      <c r="G3512" s="120">
        <f t="shared" si="1338"/>
        <v>24331</v>
      </c>
      <c r="H3512" s="245">
        <f t="shared" si="1339"/>
        <v>1</v>
      </c>
      <c r="I3512" s="121">
        <f t="shared" si="1340"/>
        <v>1</v>
      </c>
      <c r="J3512" s="121">
        <f t="shared" si="1341"/>
        <v>1</v>
      </c>
      <c r="K3512" s="120">
        <f t="shared" si="1342"/>
        <v>0</v>
      </c>
      <c r="L3512" s="120">
        <f t="shared" si="1343"/>
        <v>0</v>
      </c>
      <c r="M3512" s="246">
        <f t="shared" si="1344"/>
        <v>0</v>
      </c>
      <c r="N3512" s="121">
        <f t="shared" si="1345"/>
        <v>1</v>
      </c>
      <c r="O3512" s="246">
        <f t="shared" si="1346"/>
        <v>1</v>
      </c>
      <c r="P3512" s="121">
        <f t="shared" si="1347"/>
        <v>0</v>
      </c>
      <c r="Q3512" s="121">
        <f t="shared" si="1348"/>
        <v>0.75</v>
      </c>
      <c r="R3512" s="121">
        <f t="shared" si="1349"/>
        <v>0.25</v>
      </c>
      <c r="S3512" s="121" t="str">
        <f t="shared" si="1350"/>
        <v/>
      </c>
      <c r="T3512" s="121" t="str">
        <f t="shared" si="1351"/>
        <v/>
      </c>
      <c r="U3512" s="121">
        <f t="shared" si="1352"/>
        <v>1</v>
      </c>
    </row>
    <row r="3513" spans="1:21" x14ac:dyDescent="0.3">
      <c r="A3513" s="187">
        <v>33</v>
      </c>
      <c r="B3513" s="242">
        <f t="shared" si="1353"/>
        <v>46631</v>
      </c>
      <c r="C3513" s="243">
        <f t="shared" si="1334"/>
        <v>46660</v>
      </c>
      <c r="D3513" s="120">
        <f t="shared" si="1335"/>
        <v>30</v>
      </c>
      <c r="E3513" s="120">
        <f t="shared" si="1336"/>
        <v>9</v>
      </c>
      <c r="F3513" s="275">
        <f t="shared" si="1337"/>
        <v>46646</v>
      </c>
      <c r="G3513" s="120">
        <f t="shared" si="1338"/>
        <v>24332</v>
      </c>
      <c r="H3513" s="245">
        <f t="shared" si="1339"/>
        <v>1</v>
      </c>
      <c r="I3513" s="121">
        <f t="shared" si="1340"/>
        <v>1</v>
      </c>
      <c r="J3513" s="121">
        <f t="shared" si="1341"/>
        <v>1</v>
      </c>
      <c r="K3513" s="120">
        <f t="shared" si="1342"/>
        <v>0</v>
      </c>
      <c r="L3513" s="120">
        <f t="shared" si="1343"/>
        <v>0</v>
      </c>
      <c r="M3513" s="246">
        <f t="shared" si="1344"/>
        <v>0</v>
      </c>
      <c r="N3513" s="121">
        <f t="shared" si="1345"/>
        <v>1</v>
      </c>
      <c r="O3513" s="246">
        <f t="shared" si="1346"/>
        <v>1</v>
      </c>
      <c r="P3513" s="121">
        <f t="shared" si="1347"/>
        <v>0</v>
      </c>
      <c r="Q3513" s="121">
        <f t="shared" si="1348"/>
        <v>0.58333333333333337</v>
      </c>
      <c r="R3513" s="121">
        <f t="shared" si="1349"/>
        <v>0.41666666666666663</v>
      </c>
      <c r="S3513" s="121" t="str">
        <f t="shared" si="1350"/>
        <v/>
      </c>
      <c r="T3513" s="121" t="str">
        <f t="shared" si="1351"/>
        <v/>
      </c>
      <c r="U3513" s="121">
        <f t="shared" si="1352"/>
        <v>1</v>
      </c>
    </row>
    <row r="3514" spans="1:21" x14ac:dyDescent="0.3">
      <c r="A3514" s="187">
        <v>34</v>
      </c>
      <c r="B3514" s="242">
        <f t="shared" si="1353"/>
        <v>46661</v>
      </c>
      <c r="C3514" s="243">
        <f t="shared" si="1334"/>
        <v>46691</v>
      </c>
      <c r="D3514" s="120">
        <f t="shared" si="1335"/>
        <v>31</v>
      </c>
      <c r="E3514" s="120">
        <f t="shared" si="1336"/>
        <v>10</v>
      </c>
      <c r="F3514" s="275">
        <f t="shared" si="1337"/>
        <v>46676.5</v>
      </c>
      <c r="G3514" s="120">
        <f t="shared" si="1338"/>
        <v>24333</v>
      </c>
      <c r="H3514" s="245">
        <f t="shared" si="1339"/>
        <v>1</v>
      </c>
      <c r="I3514" s="121">
        <f t="shared" si="1340"/>
        <v>1</v>
      </c>
      <c r="J3514" s="121">
        <f t="shared" si="1341"/>
        <v>1</v>
      </c>
      <c r="K3514" s="120">
        <f t="shared" si="1342"/>
        <v>0</v>
      </c>
      <c r="L3514" s="120">
        <f t="shared" si="1343"/>
        <v>0</v>
      </c>
      <c r="M3514" s="246">
        <f t="shared" si="1344"/>
        <v>0</v>
      </c>
      <c r="N3514" s="121">
        <f t="shared" si="1345"/>
        <v>1</v>
      </c>
      <c r="O3514" s="246">
        <f t="shared" si="1346"/>
        <v>1</v>
      </c>
      <c r="P3514" s="121">
        <f t="shared" si="1347"/>
        <v>0</v>
      </c>
      <c r="Q3514" s="121">
        <f t="shared" si="1348"/>
        <v>0.41666666666666669</v>
      </c>
      <c r="R3514" s="121">
        <f t="shared" si="1349"/>
        <v>0.58333333333333326</v>
      </c>
      <c r="S3514" s="121" t="str">
        <f t="shared" si="1350"/>
        <v/>
      </c>
      <c r="T3514" s="121" t="str">
        <f t="shared" si="1351"/>
        <v/>
      </c>
      <c r="U3514" s="121">
        <f t="shared" si="1352"/>
        <v>1</v>
      </c>
    </row>
    <row r="3515" spans="1:21" x14ac:dyDescent="0.3">
      <c r="A3515" s="187">
        <v>35</v>
      </c>
      <c r="B3515" s="242">
        <f t="shared" si="1353"/>
        <v>46692</v>
      </c>
      <c r="C3515" s="243">
        <f t="shared" si="1334"/>
        <v>46721</v>
      </c>
      <c r="D3515" s="120">
        <f t="shared" si="1335"/>
        <v>30</v>
      </c>
      <c r="E3515" s="120">
        <f t="shared" si="1336"/>
        <v>11</v>
      </c>
      <c r="F3515" s="275">
        <f t="shared" si="1337"/>
        <v>46707</v>
      </c>
      <c r="G3515" s="120">
        <f t="shared" si="1338"/>
        <v>24334</v>
      </c>
      <c r="H3515" s="245">
        <f t="shared" si="1339"/>
        <v>1</v>
      </c>
      <c r="I3515" s="121">
        <f t="shared" si="1340"/>
        <v>1</v>
      </c>
      <c r="J3515" s="121">
        <f t="shared" si="1341"/>
        <v>1</v>
      </c>
      <c r="K3515" s="120">
        <f t="shared" si="1342"/>
        <v>0</v>
      </c>
      <c r="L3515" s="120">
        <f t="shared" si="1343"/>
        <v>0</v>
      </c>
      <c r="M3515" s="246">
        <f t="shared" si="1344"/>
        <v>0</v>
      </c>
      <c r="N3515" s="121">
        <f t="shared" si="1345"/>
        <v>1</v>
      </c>
      <c r="O3515" s="246">
        <f t="shared" si="1346"/>
        <v>1</v>
      </c>
      <c r="P3515" s="121">
        <f t="shared" si="1347"/>
        <v>0</v>
      </c>
      <c r="Q3515" s="121">
        <f t="shared" si="1348"/>
        <v>0.25</v>
      </c>
      <c r="R3515" s="121">
        <f t="shared" si="1349"/>
        <v>0.75</v>
      </c>
      <c r="S3515" s="121" t="str">
        <f t="shared" si="1350"/>
        <v/>
      </c>
      <c r="T3515" s="121" t="str">
        <f t="shared" si="1351"/>
        <v/>
      </c>
      <c r="U3515" s="121">
        <f t="shared" si="1352"/>
        <v>1</v>
      </c>
    </row>
    <row r="3516" spans="1:21" x14ac:dyDescent="0.3">
      <c r="A3516" s="187">
        <v>36</v>
      </c>
      <c r="B3516" s="242">
        <f t="shared" si="1353"/>
        <v>46722</v>
      </c>
      <c r="C3516" s="243">
        <f t="shared" si="1334"/>
        <v>46752</v>
      </c>
      <c r="D3516" s="120">
        <f t="shared" si="1335"/>
        <v>31</v>
      </c>
      <c r="E3516" s="120">
        <f t="shared" si="1336"/>
        <v>12</v>
      </c>
      <c r="F3516" s="275">
        <f t="shared" si="1337"/>
        <v>46737.5</v>
      </c>
      <c r="G3516" s="120">
        <f t="shared" si="1338"/>
        <v>24335</v>
      </c>
      <c r="H3516" s="245">
        <f t="shared" si="1339"/>
        <v>1</v>
      </c>
      <c r="I3516" s="121">
        <f t="shared" si="1340"/>
        <v>1</v>
      </c>
      <c r="J3516" s="121">
        <f t="shared" si="1341"/>
        <v>1</v>
      </c>
      <c r="K3516" s="120">
        <f t="shared" si="1342"/>
        <v>0</v>
      </c>
      <c r="L3516" s="120">
        <f t="shared" si="1343"/>
        <v>0</v>
      </c>
      <c r="M3516" s="246">
        <f t="shared" si="1344"/>
        <v>0</v>
      </c>
      <c r="N3516" s="121">
        <f t="shared" si="1345"/>
        <v>1</v>
      </c>
      <c r="O3516" s="246">
        <f t="shared" si="1346"/>
        <v>1</v>
      </c>
      <c r="P3516" s="121">
        <f t="shared" si="1347"/>
        <v>0</v>
      </c>
      <c r="Q3516" s="121">
        <f t="shared" si="1348"/>
        <v>8.3333333333333329E-2</v>
      </c>
      <c r="R3516" s="121">
        <f t="shared" si="1349"/>
        <v>0.91666666666666663</v>
      </c>
      <c r="S3516" s="121" t="str">
        <f t="shared" si="1350"/>
        <v/>
      </c>
      <c r="T3516" s="121" t="str">
        <f t="shared" si="1351"/>
        <v/>
      </c>
      <c r="U3516" s="121">
        <f t="shared" si="1352"/>
        <v>1</v>
      </c>
    </row>
    <row r="3517" spans="1:21" x14ac:dyDescent="0.3">
      <c r="A3517" s="187">
        <v>37</v>
      </c>
      <c r="B3517" s="242">
        <f t="shared" si="1353"/>
        <v>46753</v>
      </c>
      <c r="C3517" s="243">
        <f t="shared" si="1334"/>
        <v>46783</v>
      </c>
      <c r="D3517" s="120">
        <f t="shared" si="1335"/>
        <v>31</v>
      </c>
      <c r="E3517" s="120">
        <f t="shared" si="1336"/>
        <v>1</v>
      </c>
      <c r="F3517" s="275">
        <f t="shared" si="1337"/>
        <v>46768.5</v>
      </c>
      <c r="G3517" s="120">
        <f t="shared" si="1338"/>
        <v>24336</v>
      </c>
      <c r="H3517" s="245">
        <f t="shared" si="1339"/>
        <v>1</v>
      </c>
      <c r="I3517" s="121">
        <f t="shared" si="1340"/>
        <v>1</v>
      </c>
      <c r="J3517" s="121">
        <f t="shared" si="1341"/>
        <v>1</v>
      </c>
      <c r="K3517" s="120">
        <f t="shared" si="1342"/>
        <v>0</v>
      </c>
      <c r="L3517" s="120">
        <f t="shared" si="1343"/>
        <v>0</v>
      </c>
      <c r="M3517" s="246">
        <f t="shared" si="1344"/>
        <v>0</v>
      </c>
      <c r="N3517" s="121">
        <f t="shared" si="1345"/>
        <v>1</v>
      </c>
      <c r="O3517" s="246">
        <f t="shared" si="1346"/>
        <v>1</v>
      </c>
      <c r="P3517" s="121">
        <f t="shared" si="1347"/>
        <v>0</v>
      </c>
      <c r="Q3517" s="121">
        <f t="shared" si="1348"/>
        <v>0</v>
      </c>
      <c r="R3517" s="121">
        <f t="shared" si="1349"/>
        <v>1</v>
      </c>
      <c r="S3517" s="121" t="str">
        <f t="shared" si="1350"/>
        <v/>
      </c>
      <c r="T3517" s="121" t="str">
        <f t="shared" si="1351"/>
        <v/>
      </c>
      <c r="U3517" s="121">
        <f t="shared" si="1352"/>
        <v>1</v>
      </c>
    </row>
    <row r="3518" spans="1:21" x14ac:dyDescent="0.3">
      <c r="A3518" s="187">
        <v>38</v>
      </c>
      <c r="B3518" s="242">
        <f t="shared" si="1353"/>
        <v>46784</v>
      </c>
      <c r="C3518" s="243">
        <f t="shared" si="1334"/>
        <v>46812</v>
      </c>
      <c r="D3518" s="120">
        <f t="shared" si="1335"/>
        <v>29</v>
      </c>
      <c r="E3518" s="120">
        <f t="shared" si="1336"/>
        <v>2</v>
      </c>
      <c r="F3518" s="275">
        <f t="shared" si="1337"/>
        <v>46798.5</v>
      </c>
      <c r="G3518" s="120">
        <f t="shared" si="1338"/>
        <v>24337</v>
      </c>
      <c r="H3518" s="245">
        <f t="shared" si="1339"/>
        <v>1</v>
      </c>
      <c r="I3518" s="121">
        <f t="shared" si="1340"/>
        <v>1</v>
      </c>
      <c r="J3518" s="121">
        <f t="shared" si="1341"/>
        <v>1</v>
      </c>
      <c r="K3518" s="120">
        <f t="shared" si="1342"/>
        <v>0</v>
      </c>
      <c r="L3518" s="120">
        <f t="shared" si="1343"/>
        <v>0</v>
      </c>
      <c r="M3518" s="246">
        <f t="shared" si="1344"/>
        <v>0</v>
      </c>
      <c r="N3518" s="121">
        <f t="shared" si="1345"/>
        <v>1</v>
      </c>
      <c r="O3518" s="246">
        <f t="shared" si="1346"/>
        <v>1</v>
      </c>
      <c r="P3518" s="121">
        <f t="shared" si="1347"/>
        <v>0</v>
      </c>
      <c r="Q3518" s="121">
        <f t="shared" si="1348"/>
        <v>0</v>
      </c>
      <c r="R3518" s="121">
        <f t="shared" si="1349"/>
        <v>1</v>
      </c>
      <c r="S3518" s="121" t="str">
        <f t="shared" si="1350"/>
        <v/>
      </c>
      <c r="T3518" s="121" t="str">
        <f t="shared" si="1351"/>
        <v/>
      </c>
      <c r="U3518" s="121">
        <f t="shared" si="1352"/>
        <v>1</v>
      </c>
    </row>
    <row r="3519" spans="1:21" x14ac:dyDescent="0.3">
      <c r="A3519" s="187">
        <v>39</v>
      </c>
      <c r="B3519" s="242">
        <f t="shared" si="1353"/>
        <v>46813</v>
      </c>
      <c r="C3519" s="243">
        <f t="shared" si="1334"/>
        <v>46843</v>
      </c>
      <c r="D3519" s="120">
        <f t="shared" si="1335"/>
        <v>31</v>
      </c>
      <c r="E3519" s="120">
        <f t="shared" si="1336"/>
        <v>3</v>
      </c>
      <c r="F3519" s="275">
        <f t="shared" si="1337"/>
        <v>46828.5</v>
      </c>
      <c r="G3519" s="120">
        <f t="shared" si="1338"/>
        <v>24338</v>
      </c>
      <c r="H3519" s="245">
        <f t="shared" si="1339"/>
        <v>1</v>
      </c>
      <c r="I3519" s="121">
        <f t="shared" si="1340"/>
        <v>1</v>
      </c>
      <c r="J3519" s="121">
        <f t="shared" si="1341"/>
        <v>1</v>
      </c>
      <c r="K3519" s="120">
        <f t="shared" si="1342"/>
        <v>0</v>
      </c>
      <c r="L3519" s="120">
        <f t="shared" si="1343"/>
        <v>0</v>
      </c>
      <c r="M3519" s="246">
        <f t="shared" si="1344"/>
        <v>0</v>
      </c>
      <c r="N3519" s="121">
        <f t="shared" si="1345"/>
        <v>1</v>
      </c>
      <c r="O3519" s="246">
        <f t="shared" si="1346"/>
        <v>1</v>
      </c>
      <c r="P3519" s="121">
        <f t="shared" si="1347"/>
        <v>0</v>
      </c>
      <c r="Q3519" s="121">
        <f t="shared" si="1348"/>
        <v>0</v>
      </c>
      <c r="R3519" s="121">
        <f t="shared" si="1349"/>
        <v>1</v>
      </c>
      <c r="S3519" s="121" t="str">
        <f t="shared" si="1350"/>
        <v/>
      </c>
      <c r="T3519" s="121" t="str">
        <f t="shared" si="1351"/>
        <v/>
      </c>
      <c r="U3519" s="121">
        <f t="shared" si="1352"/>
        <v>1</v>
      </c>
    </row>
    <row r="3520" spans="1:21" x14ac:dyDescent="0.3">
      <c r="A3520" s="187">
        <v>40</v>
      </c>
      <c r="B3520" s="242">
        <f t="shared" si="1353"/>
        <v>46844</v>
      </c>
      <c r="C3520" s="243">
        <f t="shared" si="1334"/>
        <v>46873</v>
      </c>
      <c r="D3520" s="120">
        <f t="shared" si="1335"/>
        <v>30</v>
      </c>
      <c r="E3520" s="120">
        <f t="shared" si="1336"/>
        <v>4</v>
      </c>
      <c r="F3520" s="275">
        <f t="shared" si="1337"/>
        <v>46859</v>
      </c>
      <c r="G3520" s="120">
        <f t="shared" si="1338"/>
        <v>24339</v>
      </c>
      <c r="H3520" s="245">
        <f t="shared" si="1339"/>
        <v>1</v>
      </c>
      <c r="I3520" s="121">
        <f t="shared" si="1340"/>
        <v>1</v>
      </c>
      <c r="J3520" s="121">
        <f t="shared" si="1341"/>
        <v>1</v>
      </c>
      <c r="K3520" s="120">
        <f t="shared" si="1342"/>
        <v>0</v>
      </c>
      <c r="L3520" s="120">
        <f t="shared" si="1343"/>
        <v>0</v>
      </c>
      <c r="M3520" s="246">
        <f t="shared" si="1344"/>
        <v>0</v>
      </c>
      <c r="N3520" s="121">
        <f t="shared" si="1345"/>
        <v>1</v>
      </c>
      <c r="O3520" s="246">
        <f t="shared" si="1346"/>
        <v>1</v>
      </c>
      <c r="P3520" s="121">
        <f t="shared" si="1347"/>
        <v>0</v>
      </c>
      <c r="Q3520" s="121">
        <f t="shared" si="1348"/>
        <v>0</v>
      </c>
      <c r="R3520" s="121">
        <f t="shared" si="1349"/>
        <v>1</v>
      </c>
      <c r="S3520" s="121" t="str">
        <f t="shared" si="1350"/>
        <v/>
      </c>
      <c r="T3520" s="121" t="str">
        <f t="shared" si="1351"/>
        <v/>
      </c>
      <c r="U3520" s="121">
        <f t="shared" si="1352"/>
        <v>1</v>
      </c>
    </row>
    <row r="3521" spans="1:21" x14ac:dyDescent="0.3">
      <c r="A3521" s="187">
        <v>41</v>
      </c>
      <c r="B3521" s="242">
        <f t="shared" si="1353"/>
        <v>46874</v>
      </c>
      <c r="C3521" s="243">
        <f t="shared" si="1334"/>
        <v>46904</v>
      </c>
      <c r="D3521" s="120">
        <f t="shared" si="1335"/>
        <v>31</v>
      </c>
      <c r="E3521" s="120">
        <f t="shared" si="1336"/>
        <v>5</v>
      </c>
      <c r="F3521" s="275">
        <f t="shared" si="1337"/>
        <v>46889.5</v>
      </c>
      <c r="G3521" s="120">
        <f t="shared" si="1338"/>
        <v>24340</v>
      </c>
      <c r="H3521" s="245">
        <f t="shared" si="1339"/>
        <v>1</v>
      </c>
      <c r="I3521" s="121">
        <f t="shared" si="1340"/>
        <v>1</v>
      </c>
      <c r="J3521" s="121">
        <f t="shared" si="1341"/>
        <v>1</v>
      </c>
      <c r="K3521" s="120">
        <f t="shared" si="1342"/>
        <v>0</v>
      </c>
      <c r="L3521" s="120">
        <f t="shared" si="1343"/>
        <v>0</v>
      </c>
      <c r="M3521" s="246">
        <f t="shared" si="1344"/>
        <v>0</v>
      </c>
      <c r="N3521" s="121">
        <f t="shared" si="1345"/>
        <v>1</v>
      </c>
      <c r="O3521" s="246">
        <f t="shared" si="1346"/>
        <v>1</v>
      </c>
      <c r="P3521" s="121">
        <f t="shared" si="1347"/>
        <v>0</v>
      </c>
      <c r="Q3521" s="121">
        <f t="shared" si="1348"/>
        <v>0</v>
      </c>
      <c r="R3521" s="121">
        <f t="shared" si="1349"/>
        <v>1</v>
      </c>
      <c r="S3521" s="121" t="str">
        <f t="shared" si="1350"/>
        <v/>
      </c>
      <c r="T3521" s="121" t="str">
        <f t="shared" si="1351"/>
        <v/>
      </c>
      <c r="U3521" s="121">
        <f t="shared" si="1352"/>
        <v>1</v>
      </c>
    </row>
    <row r="3522" spans="1:21" x14ac:dyDescent="0.3">
      <c r="A3522" s="187">
        <v>42</v>
      </c>
      <c r="B3522" s="242">
        <f t="shared" si="1353"/>
        <v>46905</v>
      </c>
      <c r="C3522" s="243">
        <f t="shared" si="1334"/>
        <v>46934</v>
      </c>
      <c r="D3522" s="120">
        <f t="shared" si="1335"/>
        <v>30</v>
      </c>
      <c r="E3522" s="120">
        <f t="shared" si="1336"/>
        <v>6</v>
      </c>
      <c r="F3522" s="275">
        <f t="shared" si="1337"/>
        <v>46920</v>
      </c>
      <c r="G3522" s="120">
        <f t="shared" si="1338"/>
        <v>24341</v>
      </c>
      <c r="H3522" s="245">
        <f t="shared" si="1339"/>
        <v>1</v>
      </c>
      <c r="I3522" s="121">
        <f t="shared" si="1340"/>
        <v>1</v>
      </c>
      <c r="J3522" s="121">
        <f t="shared" si="1341"/>
        <v>1</v>
      </c>
      <c r="K3522" s="120">
        <f t="shared" si="1342"/>
        <v>0</v>
      </c>
      <c r="L3522" s="120">
        <f t="shared" si="1343"/>
        <v>0</v>
      </c>
      <c r="M3522" s="246">
        <f t="shared" si="1344"/>
        <v>0</v>
      </c>
      <c r="N3522" s="121">
        <f t="shared" si="1345"/>
        <v>1</v>
      </c>
      <c r="O3522" s="246">
        <f t="shared" si="1346"/>
        <v>1</v>
      </c>
      <c r="P3522" s="121">
        <f t="shared" si="1347"/>
        <v>0</v>
      </c>
      <c r="Q3522" s="121">
        <f t="shared" si="1348"/>
        <v>0</v>
      </c>
      <c r="R3522" s="121">
        <f t="shared" si="1349"/>
        <v>1</v>
      </c>
      <c r="S3522" s="121" t="str">
        <f t="shared" si="1350"/>
        <v/>
      </c>
      <c r="T3522" s="121" t="str">
        <f t="shared" si="1351"/>
        <v/>
      </c>
      <c r="U3522" s="121">
        <f t="shared" si="1352"/>
        <v>1</v>
      </c>
    </row>
    <row r="3523" spans="1:21" x14ac:dyDescent="0.3">
      <c r="A3523" s="187">
        <v>43</v>
      </c>
      <c r="B3523" s="242">
        <f t="shared" si="1353"/>
        <v>46935</v>
      </c>
      <c r="C3523" s="243">
        <f t="shared" si="1334"/>
        <v>46965</v>
      </c>
      <c r="D3523" s="120">
        <f t="shared" si="1335"/>
        <v>31</v>
      </c>
      <c r="E3523" s="120">
        <f t="shared" si="1336"/>
        <v>7</v>
      </c>
      <c r="F3523" s="275">
        <f t="shared" si="1337"/>
        <v>46950.5</v>
      </c>
      <c r="G3523" s="120">
        <f t="shared" si="1338"/>
        <v>24342</v>
      </c>
      <c r="H3523" s="245">
        <f t="shared" si="1339"/>
        <v>1</v>
      </c>
      <c r="I3523" s="121">
        <f t="shared" si="1340"/>
        <v>1</v>
      </c>
      <c r="J3523" s="121">
        <f t="shared" si="1341"/>
        <v>1</v>
      </c>
      <c r="K3523" s="120">
        <f t="shared" si="1342"/>
        <v>0</v>
      </c>
      <c r="L3523" s="120">
        <f t="shared" si="1343"/>
        <v>0</v>
      </c>
      <c r="M3523" s="246">
        <f t="shared" si="1344"/>
        <v>0</v>
      </c>
      <c r="N3523" s="121">
        <f t="shared" si="1345"/>
        <v>1</v>
      </c>
      <c r="O3523" s="246">
        <f t="shared" si="1346"/>
        <v>1</v>
      </c>
      <c r="P3523" s="121">
        <f t="shared" si="1347"/>
        <v>0</v>
      </c>
      <c r="Q3523" s="121">
        <f t="shared" si="1348"/>
        <v>0</v>
      </c>
      <c r="R3523" s="121">
        <f t="shared" si="1349"/>
        <v>0.91666666666666663</v>
      </c>
      <c r="S3523" s="121" t="str">
        <f t="shared" si="1350"/>
        <v/>
      </c>
      <c r="T3523" s="121" t="str">
        <f t="shared" si="1351"/>
        <v/>
      </c>
      <c r="U3523" s="121">
        <f t="shared" si="1352"/>
        <v>1</v>
      </c>
    </row>
    <row r="3524" spans="1:21" x14ac:dyDescent="0.3">
      <c r="A3524" s="187">
        <v>44</v>
      </c>
      <c r="B3524" s="242">
        <f t="shared" si="1353"/>
        <v>46966</v>
      </c>
      <c r="C3524" s="243">
        <f t="shared" si="1334"/>
        <v>46996</v>
      </c>
      <c r="D3524" s="120">
        <f t="shared" si="1335"/>
        <v>31</v>
      </c>
      <c r="E3524" s="120">
        <f t="shared" si="1336"/>
        <v>8</v>
      </c>
      <c r="F3524" s="275">
        <f t="shared" si="1337"/>
        <v>46981.5</v>
      </c>
      <c r="G3524" s="120">
        <f t="shared" si="1338"/>
        <v>24343</v>
      </c>
      <c r="H3524" s="245">
        <f t="shared" si="1339"/>
        <v>1</v>
      </c>
      <c r="I3524" s="121">
        <f t="shared" si="1340"/>
        <v>1</v>
      </c>
      <c r="J3524" s="121">
        <f t="shared" si="1341"/>
        <v>1</v>
      </c>
      <c r="K3524" s="120">
        <f t="shared" si="1342"/>
        <v>0</v>
      </c>
      <c r="L3524" s="120">
        <f t="shared" si="1343"/>
        <v>0</v>
      </c>
      <c r="M3524" s="246">
        <f t="shared" si="1344"/>
        <v>0</v>
      </c>
      <c r="N3524" s="121">
        <f t="shared" si="1345"/>
        <v>1</v>
      </c>
      <c r="O3524" s="246">
        <f t="shared" si="1346"/>
        <v>1</v>
      </c>
      <c r="P3524" s="121">
        <f t="shared" si="1347"/>
        <v>0</v>
      </c>
      <c r="Q3524" s="121">
        <f t="shared" si="1348"/>
        <v>0</v>
      </c>
      <c r="R3524" s="121">
        <f t="shared" si="1349"/>
        <v>0.75</v>
      </c>
      <c r="S3524" s="121" t="str">
        <f t="shared" si="1350"/>
        <v/>
      </c>
      <c r="T3524" s="121" t="str">
        <f t="shared" si="1351"/>
        <v/>
      </c>
      <c r="U3524" s="121">
        <f t="shared" si="1352"/>
        <v>1</v>
      </c>
    </row>
    <row r="3525" spans="1:21" x14ac:dyDescent="0.3">
      <c r="A3525" s="187">
        <v>45</v>
      </c>
      <c r="B3525" s="242">
        <f t="shared" si="1353"/>
        <v>46997</v>
      </c>
      <c r="C3525" s="243">
        <f t="shared" si="1334"/>
        <v>47026</v>
      </c>
      <c r="D3525" s="120">
        <f t="shared" si="1335"/>
        <v>30</v>
      </c>
      <c r="E3525" s="120">
        <f t="shared" si="1336"/>
        <v>9</v>
      </c>
      <c r="F3525" s="275">
        <f t="shared" si="1337"/>
        <v>47012</v>
      </c>
      <c r="G3525" s="120">
        <f t="shared" si="1338"/>
        <v>24344</v>
      </c>
      <c r="H3525" s="245">
        <f t="shared" si="1339"/>
        <v>1</v>
      </c>
      <c r="I3525" s="121">
        <f t="shared" si="1340"/>
        <v>1</v>
      </c>
      <c r="J3525" s="121">
        <f t="shared" si="1341"/>
        <v>1</v>
      </c>
      <c r="K3525" s="120">
        <f t="shared" si="1342"/>
        <v>0</v>
      </c>
      <c r="L3525" s="120">
        <f t="shared" si="1343"/>
        <v>0</v>
      </c>
      <c r="M3525" s="246">
        <f t="shared" si="1344"/>
        <v>0</v>
      </c>
      <c r="N3525" s="121">
        <f t="shared" si="1345"/>
        <v>1</v>
      </c>
      <c r="O3525" s="246">
        <f t="shared" si="1346"/>
        <v>1</v>
      </c>
      <c r="P3525" s="121">
        <f t="shared" si="1347"/>
        <v>0</v>
      </c>
      <c r="Q3525" s="121">
        <f t="shared" si="1348"/>
        <v>0</v>
      </c>
      <c r="R3525" s="121">
        <f t="shared" si="1349"/>
        <v>0.58333333333333337</v>
      </c>
      <c r="S3525" s="121" t="str">
        <f t="shared" si="1350"/>
        <v/>
      </c>
      <c r="T3525" s="121" t="str">
        <f t="shared" si="1351"/>
        <v/>
      </c>
      <c r="U3525" s="121">
        <f t="shared" si="1352"/>
        <v>1</v>
      </c>
    </row>
    <row r="3526" spans="1:21" x14ac:dyDescent="0.3">
      <c r="A3526" s="187">
        <v>46</v>
      </c>
      <c r="B3526" s="242">
        <f t="shared" si="1353"/>
        <v>47027</v>
      </c>
      <c r="C3526" s="243">
        <f t="shared" si="1334"/>
        <v>47057</v>
      </c>
      <c r="D3526" s="120">
        <f t="shared" si="1335"/>
        <v>31</v>
      </c>
      <c r="E3526" s="120">
        <f t="shared" si="1336"/>
        <v>10</v>
      </c>
      <c r="F3526" s="275">
        <f t="shared" si="1337"/>
        <v>47042.5</v>
      </c>
      <c r="G3526" s="120">
        <f t="shared" si="1338"/>
        <v>24345</v>
      </c>
      <c r="H3526" s="245">
        <f t="shared" si="1339"/>
        <v>1</v>
      </c>
      <c r="I3526" s="121">
        <f t="shared" si="1340"/>
        <v>1</v>
      </c>
      <c r="J3526" s="121">
        <f t="shared" si="1341"/>
        <v>1</v>
      </c>
      <c r="K3526" s="120">
        <f t="shared" si="1342"/>
        <v>0</v>
      </c>
      <c r="L3526" s="120">
        <f t="shared" si="1343"/>
        <v>0</v>
      </c>
      <c r="M3526" s="246">
        <f t="shared" si="1344"/>
        <v>0</v>
      </c>
      <c r="N3526" s="121">
        <f t="shared" si="1345"/>
        <v>1</v>
      </c>
      <c r="O3526" s="246">
        <f t="shared" si="1346"/>
        <v>1</v>
      </c>
      <c r="P3526" s="121">
        <f t="shared" si="1347"/>
        <v>0</v>
      </c>
      <c r="Q3526" s="121">
        <f t="shared" si="1348"/>
        <v>0</v>
      </c>
      <c r="R3526" s="121">
        <f t="shared" si="1349"/>
        <v>0.41666666666666669</v>
      </c>
      <c r="S3526" s="121" t="str">
        <f t="shared" si="1350"/>
        <v/>
      </c>
      <c r="T3526" s="121" t="str">
        <f t="shared" si="1351"/>
        <v/>
      </c>
      <c r="U3526" s="121">
        <f t="shared" si="1352"/>
        <v>1</v>
      </c>
    </row>
    <row r="3527" spans="1:21" x14ac:dyDescent="0.3">
      <c r="A3527" s="187">
        <v>47</v>
      </c>
      <c r="B3527" s="242">
        <f t="shared" si="1353"/>
        <v>47058</v>
      </c>
      <c r="C3527" s="243">
        <f t="shared" si="1334"/>
        <v>47087</v>
      </c>
      <c r="D3527" s="120">
        <f t="shared" si="1335"/>
        <v>30</v>
      </c>
      <c r="E3527" s="120">
        <f t="shared" si="1336"/>
        <v>11</v>
      </c>
      <c r="F3527" s="275">
        <f t="shared" si="1337"/>
        <v>47073</v>
      </c>
      <c r="G3527" s="120">
        <f t="shared" si="1338"/>
        <v>24346</v>
      </c>
      <c r="H3527" s="245">
        <f t="shared" si="1339"/>
        <v>1</v>
      </c>
      <c r="I3527" s="121">
        <f t="shared" si="1340"/>
        <v>1</v>
      </c>
      <c r="J3527" s="121">
        <f t="shared" si="1341"/>
        <v>1</v>
      </c>
      <c r="K3527" s="120">
        <f t="shared" si="1342"/>
        <v>0</v>
      </c>
      <c r="L3527" s="120">
        <f t="shared" si="1343"/>
        <v>0</v>
      </c>
      <c r="M3527" s="246">
        <f t="shared" si="1344"/>
        <v>0</v>
      </c>
      <c r="N3527" s="121">
        <f t="shared" si="1345"/>
        <v>1</v>
      </c>
      <c r="O3527" s="246">
        <f t="shared" si="1346"/>
        <v>1</v>
      </c>
      <c r="P3527" s="121">
        <f t="shared" si="1347"/>
        <v>0</v>
      </c>
      <c r="Q3527" s="121">
        <f t="shared" si="1348"/>
        <v>0</v>
      </c>
      <c r="R3527" s="121">
        <f t="shared" si="1349"/>
        <v>0.25</v>
      </c>
      <c r="S3527" s="121" t="str">
        <f t="shared" si="1350"/>
        <v/>
      </c>
      <c r="T3527" s="121" t="str">
        <f t="shared" si="1351"/>
        <v/>
      </c>
      <c r="U3527" s="121">
        <f t="shared" si="1352"/>
        <v>1</v>
      </c>
    </row>
    <row r="3528" spans="1:21" x14ac:dyDescent="0.3">
      <c r="A3528" s="187">
        <v>48</v>
      </c>
      <c r="B3528" s="242">
        <f t="shared" si="1353"/>
        <v>47088</v>
      </c>
      <c r="C3528" s="243">
        <f t="shared" si="1334"/>
        <v>47118</v>
      </c>
      <c r="D3528" s="120">
        <f t="shared" si="1335"/>
        <v>31</v>
      </c>
      <c r="E3528" s="120">
        <f t="shared" si="1336"/>
        <v>12</v>
      </c>
      <c r="F3528" s="275">
        <f t="shared" si="1337"/>
        <v>47103.5</v>
      </c>
      <c r="G3528" s="120">
        <f t="shared" si="1338"/>
        <v>24347</v>
      </c>
      <c r="H3528" s="245">
        <f t="shared" si="1339"/>
        <v>1</v>
      </c>
      <c r="I3528" s="121">
        <f t="shared" si="1340"/>
        <v>1</v>
      </c>
      <c r="J3528" s="121">
        <f t="shared" si="1341"/>
        <v>1</v>
      </c>
      <c r="K3528" s="120">
        <f t="shared" si="1342"/>
        <v>0</v>
      </c>
      <c r="L3528" s="120">
        <f t="shared" si="1343"/>
        <v>0</v>
      </c>
      <c r="M3528" s="246">
        <f t="shared" si="1344"/>
        <v>0</v>
      </c>
      <c r="N3528" s="121">
        <f t="shared" si="1345"/>
        <v>1</v>
      </c>
      <c r="O3528" s="246">
        <f t="shared" si="1346"/>
        <v>1</v>
      </c>
      <c r="P3528" s="121">
        <f t="shared" si="1347"/>
        <v>0</v>
      </c>
      <c r="Q3528" s="121">
        <f t="shared" si="1348"/>
        <v>0</v>
      </c>
      <c r="R3528" s="121">
        <f t="shared" si="1349"/>
        <v>8.3333333333333329E-2</v>
      </c>
      <c r="S3528" s="121" t="str">
        <f t="shared" si="1350"/>
        <v/>
      </c>
      <c r="T3528" s="121" t="str">
        <f t="shared" si="1351"/>
        <v/>
      </c>
      <c r="U3528" s="121">
        <f t="shared" si="1352"/>
        <v>1</v>
      </c>
    </row>
    <row r="3529" spans="1:21" x14ac:dyDescent="0.3">
      <c r="A3529" s="6" t="s">
        <v>1651</v>
      </c>
      <c r="B3529" s="73">
        <f>EXP(SUMPRODUCT((rl_key=$A$3478)*(rl_cons="Y")*rl_ln1p))</f>
        <v>1</v>
      </c>
      <c r="C3529" s="73">
        <f>SUMPRODUCT($H$3481:$H$3528,$P$3481:$P$3528,$U$3481:$U$3528)/SUMPRODUCT($H$3481:$H$3528,$P$3481:$P$3528)</f>
        <v>1</v>
      </c>
      <c r="D3529" s="73">
        <f>SUMPRODUCT($H$3481:$H$3528,$Q$3481:$Q$3528,$U$3481:$U$3528)/SUMPRODUCT($H$3481:$H$3528,$Q$3481:$Q$3528)</f>
        <v>1</v>
      </c>
      <c r="E3529" s="73">
        <f>SUMPRODUCT($H$3481:$H$3528,$R$3481:$R$3528,$U$3481:$U$3528)/SUMPRODUCT($H$3481:$H$3528,$R$3481:$R$3528)</f>
        <v>1</v>
      </c>
      <c r="F3529" s="224">
        <f>SUMPRODUCT($H$3481:$H$3528,$Q$3481:$Q$3528,$O$3481:$O$3528)/SUMPRODUCT($H$3481:$H$3528,$Q$3481:$Q$3528)</f>
        <v>1</v>
      </c>
      <c r="G3529" s="224">
        <f>SUMPRODUCT($H$3481:$H$3528,$R$3481:$R$3528,$O$3481:$O$3528)/SUMPRODUCT($H$3481:$H$3528,$R$3481:$R$3528)</f>
        <v>1</v>
      </c>
      <c r="H3529" s="73">
        <f>SUMPRODUCT($H$3505:$H$3516,$N$3505:$N$3516/$N$3493:$N$3504)/SUM($H$3505:$H$3516)</f>
        <v>1</v>
      </c>
      <c r="I3529" s="73">
        <f>SUMPRODUCT($H$3505:$H$3516,$O$3505:$O$3516/$O$3493:$O$3504)/SUM($H$3505:$H$3516)</f>
        <v>1</v>
      </c>
      <c r="J3529" s="73">
        <f>IF($O$3478=1,SUMPRODUCT($H$3505:$H$3516,$N$3505:$N$3516/$N$3493:$N$3504*$O$3505:$O$3516/$O$3493:$O$3504)/SUM($H$3505:$H$3516),$H3529)</f>
        <v>1</v>
      </c>
      <c r="K3529" s="73">
        <f>SUMPRODUCT($H$3481:$H$3528,$Q$3481:$Q$3528,$N$3481:$N$3528)/SUMPRODUCT($H$3481:$H$3528,$Q$3481:$Q$3528)</f>
        <v>1</v>
      </c>
      <c r="L3529" s="73">
        <f>SUMPRODUCT($H$3481:$H$3528,$R$3481:$R$3528,$N$3481:$N$3528)/SUMPRODUCT($H$3481:$H$3528,$R$3481:$R$3528)</f>
        <v>1</v>
      </c>
    </row>
    <row r="3532" spans="1:21" x14ac:dyDescent="0.3">
      <c r="A3532" s="6" t="str">
        <f>INDEX(lr_key,65)</f>
        <v/>
      </c>
      <c r="B3532" s="6">
        <f>INDEX(lr_state,65)</f>
        <v>0</v>
      </c>
      <c r="C3532" s="75">
        <f>nr_TermMonths</f>
        <v>6</v>
      </c>
      <c r="D3532" s="75">
        <f>IF(COUNTIF(se_state,$B3532)=0,0,MATCH($B3532,se_state,0))</f>
        <v>0</v>
      </c>
      <c r="E3532" s="70">
        <f>IF($D3532=0,0,INDEX(se_sum,$D3532))</f>
        <v>0</v>
      </c>
      <c r="F3532" s="224">
        <f>IF(N(INDEX(lr_mind,65))=0,1,INDEX(lr_mind,65))</f>
        <v>1</v>
      </c>
      <c r="G3532" s="224">
        <f>IF(N(INDEX(lr_m0,65))=0,1,INDEX(lr_m0,65))</f>
        <v>1</v>
      </c>
      <c r="H3532" s="74">
        <f>IF(N(INDEX(lr_m0asof,65))=0,DATE(nr_PlanYear-1,10,1),INDEX(lr_m0asof,65))</f>
        <v>46296</v>
      </c>
      <c r="I3532" s="224">
        <f>IF(N(INDEX(lr_m1,65))=0,1,INDEX(lr_m1,65))</f>
        <v>1</v>
      </c>
      <c r="J3532" s="224">
        <f>INDEX(lr_mprior,65)</f>
        <v>0</v>
      </c>
      <c r="K3532" s="224">
        <f>INDEX(lr_m2,65)</f>
        <v>0</v>
      </c>
      <c r="L3532" s="6" t="b">
        <f>NOT(ISBLANK(INDEX(lr_netp,65)))</f>
        <v>0</v>
      </c>
      <c r="M3532" s="72">
        <f>N(INDEX(lr_netp,65))</f>
        <v>0</v>
      </c>
      <c r="N3532" s="72">
        <f>IF(ISBLANK(INDEX(lr_netp1,65)),$M$3532,N(INDEX(lr_netp1,65)))</f>
        <v>0</v>
      </c>
      <c r="O3532" s="75">
        <f>IF(AND(nr_ModAdjMaster="ON",INDEX(lr_modadj,65)="ON"),1,0)</f>
        <v>0</v>
      </c>
    </row>
    <row r="3533" spans="1:21" x14ac:dyDescent="0.3">
      <c r="A3533" s="6">
        <f>EDATE($H$3532,-12)+1</f>
        <v>45932</v>
      </c>
      <c r="B3533" s="6">
        <f>$H$3532+1</f>
        <v>46297</v>
      </c>
      <c r="C3533" s="6">
        <f>DATE(nr_PlanYear,12,31)+1</f>
        <v>46753</v>
      </c>
      <c r="D3533" s="6">
        <f>DATE(nr_PlanYear+1,12,31)+1</f>
        <v>47119</v>
      </c>
      <c r="E3533" s="6">
        <f>IF(N($J$3532)=0,$F$3533-($G$3533-$F$3533)/($C$3533-$B$3533)*($B$3533-$A$3533),$J$3532)</f>
        <v>1</v>
      </c>
      <c r="F3533" s="6">
        <f>$G$3532</f>
        <v>1</v>
      </c>
      <c r="G3533" s="6">
        <f>$I$3532</f>
        <v>1</v>
      </c>
      <c r="H3533" s="6">
        <f>IF(N($K$3532)=0,$I$3532,$K$3532)</f>
        <v>1</v>
      </c>
      <c r="I3533" s="6">
        <f>($F$3533-$E$3533)/($B$3533-$A$3533)</f>
        <v>0</v>
      </c>
      <c r="J3533" s="6">
        <f>($G$3533-$F$3533)/($C$3533-$B$3533)</f>
        <v>0</v>
      </c>
      <c r="K3533" s="6">
        <f>($H$3533-$G$3533)/($D$3533-$C$3533)</f>
        <v>0</v>
      </c>
    </row>
    <row r="3534" spans="1:21" ht="36" x14ac:dyDescent="0.3">
      <c r="A3534" s="58" t="s">
        <v>390</v>
      </c>
      <c r="B3534" s="58" t="s">
        <v>449</v>
      </c>
      <c r="C3534" s="58" t="s">
        <v>685</v>
      </c>
      <c r="D3534" s="58" t="s">
        <v>686</v>
      </c>
      <c r="E3534" s="58" t="s">
        <v>687</v>
      </c>
      <c r="F3534" s="58" t="s">
        <v>688</v>
      </c>
      <c r="G3534" s="58" t="s">
        <v>689</v>
      </c>
      <c r="H3534" s="58" t="s">
        <v>452</v>
      </c>
      <c r="I3534" s="58" t="s">
        <v>690</v>
      </c>
      <c r="J3534" s="58" t="s">
        <v>691</v>
      </c>
      <c r="K3534" s="58" t="s">
        <v>692</v>
      </c>
      <c r="L3534" s="58" t="s">
        <v>693</v>
      </c>
      <c r="M3534" s="58" t="s">
        <v>694</v>
      </c>
      <c r="N3534" s="58" t="s">
        <v>695</v>
      </c>
      <c r="O3534" s="58" t="s">
        <v>696</v>
      </c>
      <c r="P3534" s="58" t="s">
        <v>697</v>
      </c>
      <c r="Q3534" s="58" t="s">
        <v>698</v>
      </c>
      <c r="R3534" s="58" t="s">
        <v>699</v>
      </c>
      <c r="S3534" s="58" t="s">
        <v>700</v>
      </c>
      <c r="T3534" s="58" t="s">
        <v>701</v>
      </c>
      <c r="U3534" s="58" t="s">
        <v>702</v>
      </c>
    </row>
    <row r="3535" spans="1:21" x14ac:dyDescent="0.3">
      <c r="A3535" s="187">
        <v>1</v>
      </c>
      <c r="B3535" s="242">
        <f>DATE(nr_PlanYear-2,1,1)</f>
        <v>45658</v>
      </c>
      <c r="C3535" s="243">
        <f t="shared" ref="C3535:C3582" si="1354">EOMONTH($B3535,0)</f>
        <v>45688</v>
      </c>
      <c r="D3535" s="120">
        <f t="shared" ref="D3535:D3582" si="1355">$C3535-$B3535+1</f>
        <v>31</v>
      </c>
      <c r="E3535" s="120">
        <f t="shared" ref="E3535:E3582" si="1356">MONTH($B3535)</f>
        <v>1</v>
      </c>
      <c r="F3535" s="275">
        <f t="shared" ref="F3535:F3582" si="1357">($B3535+$C3535+1)/2</f>
        <v>45673.5</v>
      </c>
      <c r="G3535" s="120">
        <f t="shared" ref="G3535:G3582" si="1358">YEAR($B3535)*12+MONTH($B3535)-1</f>
        <v>24300</v>
      </c>
      <c r="H3535" s="245">
        <f t="shared" ref="H3535:H3582" si="1359">IF(OR(nr_SeasonOn="OFF",$D$3532=0,$E$3532=0),1,12*INDEX(se_block,$D$3532,$E3535)/$E$3532)</f>
        <v>1</v>
      </c>
      <c r="I3535" s="121">
        <f t="shared" ref="I3535:I3582" si="1360">EXP(SUMPRODUCT((rl_eff&lt;$B3535)*(rl_key=$A$3532)*rl_ln1p))</f>
        <v>1</v>
      </c>
      <c r="J3535" s="121">
        <f t="shared" ref="J3535:J3582" si="1361">EXP(SUMPRODUCT((rl_eff&lt;=$C3535)*(rl_key=$A$3532)*rl_ln1p))</f>
        <v>1</v>
      </c>
      <c r="K3535" s="120">
        <f t="shared" ref="K3535:K3582" si="1362">COUNTIFS(rl_key,$A$3532,rl_eff,"&gt;="&amp;$B3535,rl_eff,"&lt;="&amp;$C3535)</f>
        <v>0</v>
      </c>
      <c r="L3535" s="120">
        <f t="shared" ref="L3535:L3582" si="1363">SUMIFS(rl_daysafter,rl_key,$A$3532,rl_effmonth,$B3535,rl_first,1)</f>
        <v>0</v>
      </c>
      <c r="M3535" s="246">
        <f t="shared" ref="M3535:M3582" si="1364">IF($K3535=0,0,MIN(1,$L3535/$D3535))</f>
        <v>0</v>
      </c>
      <c r="N3535" s="121">
        <f t="shared" ref="N3535:N3582" si="1365">IF($K3535=0,$J3535,(1-$M3535)*$I3535+$M3535*$J3535)</f>
        <v>1</v>
      </c>
      <c r="O3535" s="246">
        <f t="shared" ref="O3535:O3582" si="1366">IF($F3535&lt;$B$3533,$E$3533+$I$3533*($F3535-$A$3533),IF($F3535&lt;$C$3533,$F$3533+$J$3533*($F3535-$B$3533),$G$3533+$K$3533*($F3535-$C$3533)))</f>
        <v>1</v>
      </c>
      <c r="P3535" s="121">
        <f t="shared" ref="P3535:P3582" si="1367">MIN(1,MAX(0,(nr_MEndPm1-$G3535+0.5)/$C$3532))-MIN(1,MAX(0,(nr_MStartPm1-1-$G3535+0.5)/$C$3532))</f>
        <v>0</v>
      </c>
      <c r="Q3535" s="121">
        <f t="shared" ref="Q3535:Q3582" si="1368">MIN(1,MAX(0,(nr_MEndP-$G3535+0.5)/$C$3532))-MIN(1,MAX(0,(nr_MStartP-1-$G3535+0.5)/$C$3532))</f>
        <v>0</v>
      </c>
      <c r="R3535" s="121">
        <f t="shared" ref="R3535:R3582" si="1369">MIN(1,MAX(0,(nr_MEndP1-$G3535+0.5)/$C$3532))-MIN(1,MAX(0,(nr_MStartP1-1-$G3535+0.5)/$C$3532))</f>
        <v>0</v>
      </c>
      <c r="S3535" s="121" t="str">
        <f t="shared" ref="S3535:S3582" si="1370">IF($L$3532,$N3535*IF($O$3532=1,$O3535/$F$3532,1),"")</f>
        <v/>
      </c>
      <c r="T3535" s="121" t="str">
        <f t="shared" ref="T3535:T3582" si="1371">IF(NOT($L$3532),"",IF($G3535&lt;nr_MStartP,$S3535,$T3523*(1+IF($G3535&lt;nr_MStartP1,$M$3532,$N$3532))))</f>
        <v/>
      </c>
      <c r="U3535" s="121">
        <f t="shared" ref="U3535:U3582" si="1372">IF($L$3532,$T3535,$N3535)</f>
        <v>1</v>
      </c>
    </row>
    <row r="3536" spans="1:21" x14ac:dyDescent="0.3">
      <c r="A3536" s="187">
        <v>2</v>
      </c>
      <c r="B3536" s="242">
        <f t="shared" ref="B3536:B3582" si="1373">EDATE($B3535,1)</f>
        <v>45689</v>
      </c>
      <c r="C3536" s="243">
        <f t="shared" si="1354"/>
        <v>45716</v>
      </c>
      <c r="D3536" s="120">
        <f t="shared" si="1355"/>
        <v>28</v>
      </c>
      <c r="E3536" s="120">
        <f t="shared" si="1356"/>
        <v>2</v>
      </c>
      <c r="F3536" s="275">
        <f t="shared" si="1357"/>
        <v>45703</v>
      </c>
      <c r="G3536" s="120">
        <f t="shared" si="1358"/>
        <v>24301</v>
      </c>
      <c r="H3536" s="245">
        <f t="shared" si="1359"/>
        <v>1</v>
      </c>
      <c r="I3536" s="121">
        <f t="shared" si="1360"/>
        <v>1</v>
      </c>
      <c r="J3536" s="121">
        <f t="shared" si="1361"/>
        <v>1</v>
      </c>
      <c r="K3536" s="120">
        <f t="shared" si="1362"/>
        <v>0</v>
      </c>
      <c r="L3536" s="120">
        <f t="shared" si="1363"/>
        <v>0</v>
      </c>
      <c r="M3536" s="246">
        <f t="shared" si="1364"/>
        <v>0</v>
      </c>
      <c r="N3536" s="121">
        <f t="shared" si="1365"/>
        <v>1</v>
      </c>
      <c r="O3536" s="246">
        <f t="shared" si="1366"/>
        <v>1</v>
      </c>
      <c r="P3536" s="121">
        <f t="shared" si="1367"/>
        <v>0</v>
      </c>
      <c r="Q3536" s="121">
        <f t="shared" si="1368"/>
        <v>0</v>
      </c>
      <c r="R3536" s="121">
        <f t="shared" si="1369"/>
        <v>0</v>
      </c>
      <c r="S3536" s="121" t="str">
        <f t="shared" si="1370"/>
        <v/>
      </c>
      <c r="T3536" s="121" t="str">
        <f t="shared" si="1371"/>
        <v/>
      </c>
      <c r="U3536" s="121">
        <f t="shared" si="1372"/>
        <v>1</v>
      </c>
    </row>
    <row r="3537" spans="1:21" x14ac:dyDescent="0.3">
      <c r="A3537" s="187">
        <v>3</v>
      </c>
      <c r="B3537" s="242">
        <f t="shared" si="1373"/>
        <v>45717</v>
      </c>
      <c r="C3537" s="243">
        <f t="shared" si="1354"/>
        <v>45747</v>
      </c>
      <c r="D3537" s="120">
        <f t="shared" si="1355"/>
        <v>31</v>
      </c>
      <c r="E3537" s="120">
        <f t="shared" si="1356"/>
        <v>3</v>
      </c>
      <c r="F3537" s="275">
        <f t="shared" si="1357"/>
        <v>45732.5</v>
      </c>
      <c r="G3537" s="120">
        <f t="shared" si="1358"/>
        <v>24302</v>
      </c>
      <c r="H3537" s="245">
        <f t="shared" si="1359"/>
        <v>1</v>
      </c>
      <c r="I3537" s="121">
        <f t="shared" si="1360"/>
        <v>1</v>
      </c>
      <c r="J3537" s="121">
        <f t="shared" si="1361"/>
        <v>1</v>
      </c>
      <c r="K3537" s="120">
        <f t="shared" si="1362"/>
        <v>0</v>
      </c>
      <c r="L3537" s="120">
        <f t="shared" si="1363"/>
        <v>0</v>
      </c>
      <c r="M3537" s="246">
        <f t="shared" si="1364"/>
        <v>0</v>
      </c>
      <c r="N3537" s="121">
        <f t="shared" si="1365"/>
        <v>1</v>
      </c>
      <c r="O3537" s="246">
        <f t="shared" si="1366"/>
        <v>1</v>
      </c>
      <c r="P3537" s="121">
        <f t="shared" si="1367"/>
        <v>0</v>
      </c>
      <c r="Q3537" s="121">
        <f t="shared" si="1368"/>
        <v>0</v>
      </c>
      <c r="R3537" s="121">
        <f t="shared" si="1369"/>
        <v>0</v>
      </c>
      <c r="S3537" s="121" t="str">
        <f t="shared" si="1370"/>
        <v/>
      </c>
      <c r="T3537" s="121" t="str">
        <f t="shared" si="1371"/>
        <v/>
      </c>
      <c r="U3537" s="121">
        <f t="shared" si="1372"/>
        <v>1</v>
      </c>
    </row>
    <row r="3538" spans="1:21" x14ac:dyDescent="0.3">
      <c r="A3538" s="187">
        <v>4</v>
      </c>
      <c r="B3538" s="242">
        <f t="shared" si="1373"/>
        <v>45748</v>
      </c>
      <c r="C3538" s="243">
        <f t="shared" si="1354"/>
        <v>45777</v>
      </c>
      <c r="D3538" s="120">
        <f t="shared" si="1355"/>
        <v>30</v>
      </c>
      <c r="E3538" s="120">
        <f t="shared" si="1356"/>
        <v>4</v>
      </c>
      <c r="F3538" s="275">
        <f t="shared" si="1357"/>
        <v>45763</v>
      </c>
      <c r="G3538" s="120">
        <f t="shared" si="1358"/>
        <v>24303</v>
      </c>
      <c r="H3538" s="245">
        <f t="shared" si="1359"/>
        <v>1</v>
      </c>
      <c r="I3538" s="121">
        <f t="shared" si="1360"/>
        <v>1</v>
      </c>
      <c r="J3538" s="121">
        <f t="shared" si="1361"/>
        <v>1</v>
      </c>
      <c r="K3538" s="120">
        <f t="shared" si="1362"/>
        <v>0</v>
      </c>
      <c r="L3538" s="120">
        <f t="shared" si="1363"/>
        <v>0</v>
      </c>
      <c r="M3538" s="246">
        <f t="shared" si="1364"/>
        <v>0</v>
      </c>
      <c r="N3538" s="121">
        <f t="shared" si="1365"/>
        <v>1</v>
      </c>
      <c r="O3538" s="246">
        <f t="shared" si="1366"/>
        <v>1</v>
      </c>
      <c r="P3538" s="121">
        <f t="shared" si="1367"/>
        <v>0</v>
      </c>
      <c r="Q3538" s="121">
        <f t="shared" si="1368"/>
        <v>0</v>
      </c>
      <c r="R3538" s="121">
        <f t="shared" si="1369"/>
        <v>0</v>
      </c>
      <c r="S3538" s="121" t="str">
        <f t="shared" si="1370"/>
        <v/>
      </c>
      <c r="T3538" s="121" t="str">
        <f t="shared" si="1371"/>
        <v/>
      </c>
      <c r="U3538" s="121">
        <f t="shared" si="1372"/>
        <v>1</v>
      </c>
    </row>
    <row r="3539" spans="1:21" x14ac:dyDescent="0.3">
      <c r="A3539" s="187">
        <v>5</v>
      </c>
      <c r="B3539" s="242">
        <f t="shared" si="1373"/>
        <v>45778</v>
      </c>
      <c r="C3539" s="243">
        <f t="shared" si="1354"/>
        <v>45808</v>
      </c>
      <c r="D3539" s="120">
        <f t="shared" si="1355"/>
        <v>31</v>
      </c>
      <c r="E3539" s="120">
        <f t="shared" si="1356"/>
        <v>5</v>
      </c>
      <c r="F3539" s="275">
        <f t="shared" si="1357"/>
        <v>45793.5</v>
      </c>
      <c r="G3539" s="120">
        <f t="shared" si="1358"/>
        <v>24304</v>
      </c>
      <c r="H3539" s="245">
        <f t="shared" si="1359"/>
        <v>1</v>
      </c>
      <c r="I3539" s="121">
        <f t="shared" si="1360"/>
        <v>1</v>
      </c>
      <c r="J3539" s="121">
        <f t="shared" si="1361"/>
        <v>1</v>
      </c>
      <c r="K3539" s="120">
        <f t="shared" si="1362"/>
        <v>0</v>
      </c>
      <c r="L3539" s="120">
        <f t="shared" si="1363"/>
        <v>0</v>
      </c>
      <c r="M3539" s="246">
        <f t="shared" si="1364"/>
        <v>0</v>
      </c>
      <c r="N3539" s="121">
        <f t="shared" si="1365"/>
        <v>1</v>
      </c>
      <c r="O3539" s="246">
        <f t="shared" si="1366"/>
        <v>1</v>
      </c>
      <c r="P3539" s="121">
        <f t="shared" si="1367"/>
        <v>0</v>
      </c>
      <c r="Q3539" s="121">
        <f t="shared" si="1368"/>
        <v>0</v>
      </c>
      <c r="R3539" s="121">
        <f t="shared" si="1369"/>
        <v>0</v>
      </c>
      <c r="S3539" s="121" t="str">
        <f t="shared" si="1370"/>
        <v/>
      </c>
      <c r="T3539" s="121" t="str">
        <f t="shared" si="1371"/>
        <v/>
      </c>
      <c r="U3539" s="121">
        <f t="shared" si="1372"/>
        <v>1</v>
      </c>
    </row>
    <row r="3540" spans="1:21" x14ac:dyDescent="0.3">
      <c r="A3540" s="187">
        <v>6</v>
      </c>
      <c r="B3540" s="242">
        <f t="shared" si="1373"/>
        <v>45809</v>
      </c>
      <c r="C3540" s="243">
        <f t="shared" si="1354"/>
        <v>45838</v>
      </c>
      <c r="D3540" s="120">
        <f t="shared" si="1355"/>
        <v>30</v>
      </c>
      <c r="E3540" s="120">
        <f t="shared" si="1356"/>
        <v>6</v>
      </c>
      <c r="F3540" s="275">
        <f t="shared" si="1357"/>
        <v>45824</v>
      </c>
      <c r="G3540" s="120">
        <f t="shared" si="1358"/>
        <v>24305</v>
      </c>
      <c r="H3540" s="245">
        <f t="shared" si="1359"/>
        <v>1</v>
      </c>
      <c r="I3540" s="121">
        <f t="shared" si="1360"/>
        <v>1</v>
      </c>
      <c r="J3540" s="121">
        <f t="shared" si="1361"/>
        <v>1</v>
      </c>
      <c r="K3540" s="120">
        <f t="shared" si="1362"/>
        <v>0</v>
      </c>
      <c r="L3540" s="120">
        <f t="shared" si="1363"/>
        <v>0</v>
      </c>
      <c r="M3540" s="246">
        <f t="shared" si="1364"/>
        <v>0</v>
      </c>
      <c r="N3540" s="121">
        <f t="shared" si="1365"/>
        <v>1</v>
      </c>
      <c r="O3540" s="246">
        <f t="shared" si="1366"/>
        <v>1</v>
      </c>
      <c r="P3540" s="121">
        <f t="shared" si="1367"/>
        <v>0</v>
      </c>
      <c r="Q3540" s="121">
        <f t="shared" si="1368"/>
        <v>0</v>
      </c>
      <c r="R3540" s="121">
        <f t="shared" si="1369"/>
        <v>0</v>
      </c>
      <c r="S3540" s="121" t="str">
        <f t="shared" si="1370"/>
        <v/>
      </c>
      <c r="T3540" s="121" t="str">
        <f t="shared" si="1371"/>
        <v/>
      </c>
      <c r="U3540" s="121">
        <f t="shared" si="1372"/>
        <v>1</v>
      </c>
    </row>
    <row r="3541" spans="1:21" x14ac:dyDescent="0.3">
      <c r="A3541" s="187">
        <v>7</v>
      </c>
      <c r="B3541" s="242">
        <f t="shared" si="1373"/>
        <v>45839</v>
      </c>
      <c r="C3541" s="243">
        <f t="shared" si="1354"/>
        <v>45869</v>
      </c>
      <c r="D3541" s="120">
        <f t="shared" si="1355"/>
        <v>31</v>
      </c>
      <c r="E3541" s="120">
        <f t="shared" si="1356"/>
        <v>7</v>
      </c>
      <c r="F3541" s="275">
        <f t="shared" si="1357"/>
        <v>45854.5</v>
      </c>
      <c r="G3541" s="120">
        <f t="shared" si="1358"/>
        <v>24306</v>
      </c>
      <c r="H3541" s="245">
        <f t="shared" si="1359"/>
        <v>1</v>
      </c>
      <c r="I3541" s="121">
        <f t="shared" si="1360"/>
        <v>1</v>
      </c>
      <c r="J3541" s="121">
        <f t="shared" si="1361"/>
        <v>1</v>
      </c>
      <c r="K3541" s="120">
        <f t="shared" si="1362"/>
        <v>0</v>
      </c>
      <c r="L3541" s="120">
        <f t="shared" si="1363"/>
        <v>0</v>
      </c>
      <c r="M3541" s="246">
        <f t="shared" si="1364"/>
        <v>0</v>
      </c>
      <c r="N3541" s="121">
        <f t="shared" si="1365"/>
        <v>1</v>
      </c>
      <c r="O3541" s="246">
        <f t="shared" si="1366"/>
        <v>1</v>
      </c>
      <c r="P3541" s="121">
        <f t="shared" si="1367"/>
        <v>8.333333333333337E-2</v>
      </c>
      <c r="Q3541" s="121">
        <f t="shared" si="1368"/>
        <v>0</v>
      </c>
      <c r="R3541" s="121">
        <f t="shared" si="1369"/>
        <v>0</v>
      </c>
      <c r="S3541" s="121" t="str">
        <f t="shared" si="1370"/>
        <v/>
      </c>
      <c r="T3541" s="121" t="str">
        <f t="shared" si="1371"/>
        <v/>
      </c>
      <c r="U3541" s="121">
        <f t="shared" si="1372"/>
        <v>1</v>
      </c>
    </row>
    <row r="3542" spans="1:21" x14ac:dyDescent="0.3">
      <c r="A3542" s="187">
        <v>8</v>
      </c>
      <c r="B3542" s="242">
        <f t="shared" si="1373"/>
        <v>45870</v>
      </c>
      <c r="C3542" s="243">
        <f t="shared" si="1354"/>
        <v>45900</v>
      </c>
      <c r="D3542" s="120">
        <f t="shared" si="1355"/>
        <v>31</v>
      </c>
      <c r="E3542" s="120">
        <f t="shared" si="1356"/>
        <v>8</v>
      </c>
      <c r="F3542" s="275">
        <f t="shared" si="1357"/>
        <v>45885.5</v>
      </c>
      <c r="G3542" s="120">
        <f t="shared" si="1358"/>
        <v>24307</v>
      </c>
      <c r="H3542" s="245">
        <f t="shared" si="1359"/>
        <v>1</v>
      </c>
      <c r="I3542" s="121">
        <f t="shared" si="1360"/>
        <v>1</v>
      </c>
      <c r="J3542" s="121">
        <f t="shared" si="1361"/>
        <v>1</v>
      </c>
      <c r="K3542" s="120">
        <f t="shared" si="1362"/>
        <v>0</v>
      </c>
      <c r="L3542" s="120">
        <f t="shared" si="1363"/>
        <v>0</v>
      </c>
      <c r="M3542" s="246">
        <f t="shared" si="1364"/>
        <v>0</v>
      </c>
      <c r="N3542" s="121">
        <f t="shared" si="1365"/>
        <v>1</v>
      </c>
      <c r="O3542" s="246">
        <f t="shared" si="1366"/>
        <v>1</v>
      </c>
      <c r="P3542" s="121">
        <f t="shared" si="1367"/>
        <v>0.25</v>
      </c>
      <c r="Q3542" s="121">
        <f t="shared" si="1368"/>
        <v>0</v>
      </c>
      <c r="R3542" s="121">
        <f t="shared" si="1369"/>
        <v>0</v>
      </c>
      <c r="S3542" s="121" t="str">
        <f t="shared" si="1370"/>
        <v/>
      </c>
      <c r="T3542" s="121" t="str">
        <f t="shared" si="1371"/>
        <v/>
      </c>
      <c r="U3542" s="121">
        <f t="shared" si="1372"/>
        <v>1</v>
      </c>
    </row>
    <row r="3543" spans="1:21" x14ac:dyDescent="0.3">
      <c r="A3543" s="187">
        <v>9</v>
      </c>
      <c r="B3543" s="242">
        <f t="shared" si="1373"/>
        <v>45901</v>
      </c>
      <c r="C3543" s="243">
        <f t="shared" si="1354"/>
        <v>45930</v>
      </c>
      <c r="D3543" s="120">
        <f t="shared" si="1355"/>
        <v>30</v>
      </c>
      <c r="E3543" s="120">
        <f t="shared" si="1356"/>
        <v>9</v>
      </c>
      <c r="F3543" s="275">
        <f t="shared" si="1357"/>
        <v>45916</v>
      </c>
      <c r="G3543" s="120">
        <f t="shared" si="1358"/>
        <v>24308</v>
      </c>
      <c r="H3543" s="245">
        <f t="shared" si="1359"/>
        <v>1</v>
      </c>
      <c r="I3543" s="121">
        <f t="shared" si="1360"/>
        <v>1</v>
      </c>
      <c r="J3543" s="121">
        <f t="shared" si="1361"/>
        <v>1</v>
      </c>
      <c r="K3543" s="120">
        <f t="shared" si="1362"/>
        <v>0</v>
      </c>
      <c r="L3543" s="120">
        <f t="shared" si="1363"/>
        <v>0</v>
      </c>
      <c r="M3543" s="246">
        <f t="shared" si="1364"/>
        <v>0</v>
      </c>
      <c r="N3543" s="121">
        <f t="shared" si="1365"/>
        <v>1</v>
      </c>
      <c r="O3543" s="246">
        <f t="shared" si="1366"/>
        <v>1</v>
      </c>
      <c r="P3543" s="121">
        <f t="shared" si="1367"/>
        <v>0.41666666666666663</v>
      </c>
      <c r="Q3543" s="121">
        <f t="shared" si="1368"/>
        <v>0</v>
      </c>
      <c r="R3543" s="121">
        <f t="shared" si="1369"/>
        <v>0</v>
      </c>
      <c r="S3543" s="121" t="str">
        <f t="shared" si="1370"/>
        <v/>
      </c>
      <c r="T3543" s="121" t="str">
        <f t="shared" si="1371"/>
        <v/>
      </c>
      <c r="U3543" s="121">
        <f t="shared" si="1372"/>
        <v>1</v>
      </c>
    </row>
    <row r="3544" spans="1:21" x14ac:dyDescent="0.3">
      <c r="A3544" s="187">
        <v>10</v>
      </c>
      <c r="B3544" s="242">
        <f t="shared" si="1373"/>
        <v>45931</v>
      </c>
      <c r="C3544" s="243">
        <f t="shared" si="1354"/>
        <v>45961</v>
      </c>
      <c r="D3544" s="120">
        <f t="shared" si="1355"/>
        <v>31</v>
      </c>
      <c r="E3544" s="120">
        <f t="shared" si="1356"/>
        <v>10</v>
      </c>
      <c r="F3544" s="275">
        <f t="shared" si="1357"/>
        <v>45946.5</v>
      </c>
      <c r="G3544" s="120">
        <f t="shared" si="1358"/>
        <v>24309</v>
      </c>
      <c r="H3544" s="245">
        <f t="shared" si="1359"/>
        <v>1</v>
      </c>
      <c r="I3544" s="121">
        <f t="shared" si="1360"/>
        <v>1</v>
      </c>
      <c r="J3544" s="121">
        <f t="shared" si="1361"/>
        <v>1</v>
      </c>
      <c r="K3544" s="120">
        <f t="shared" si="1362"/>
        <v>0</v>
      </c>
      <c r="L3544" s="120">
        <f t="shared" si="1363"/>
        <v>0</v>
      </c>
      <c r="M3544" s="246">
        <f t="shared" si="1364"/>
        <v>0</v>
      </c>
      <c r="N3544" s="121">
        <f t="shared" si="1365"/>
        <v>1</v>
      </c>
      <c r="O3544" s="246">
        <f t="shared" si="1366"/>
        <v>1</v>
      </c>
      <c r="P3544" s="121">
        <f t="shared" si="1367"/>
        <v>0.58333333333333326</v>
      </c>
      <c r="Q3544" s="121">
        <f t="shared" si="1368"/>
        <v>0</v>
      </c>
      <c r="R3544" s="121">
        <f t="shared" si="1369"/>
        <v>0</v>
      </c>
      <c r="S3544" s="121" t="str">
        <f t="shared" si="1370"/>
        <v/>
      </c>
      <c r="T3544" s="121" t="str">
        <f t="shared" si="1371"/>
        <v/>
      </c>
      <c r="U3544" s="121">
        <f t="shared" si="1372"/>
        <v>1</v>
      </c>
    </row>
    <row r="3545" spans="1:21" x14ac:dyDescent="0.3">
      <c r="A3545" s="187">
        <v>11</v>
      </c>
      <c r="B3545" s="242">
        <f t="shared" si="1373"/>
        <v>45962</v>
      </c>
      <c r="C3545" s="243">
        <f t="shared" si="1354"/>
        <v>45991</v>
      </c>
      <c r="D3545" s="120">
        <f t="shared" si="1355"/>
        <v>30</v>
      </c>
      <c r="E3545" s="120">
        <f t="shared" si="1356"/>
        <v>11</v>
      </c>
      <c r="F3545" s="275">
        <f t="shared" si="1357"/>
        <v>45977</v>
      </c>
      <c r="G3545" s="120">
        <f t="shared" si="1358"/>
        <v>24310</v>
      </c>
      <c r="H3545" s="245">
        <f t="shared" si="1359"/>
        <v>1</v>
      </c>
      <c r="I3545" s="121">
        <f t="shared" si="1360"/>
        <v>1</v>
      </c>
      <c r="J3545" s="121">
        <f t="shared" si="1361"/>
        <v>1</v>
      </c>
      <c r="K3545" s="120">
        <f t="shared" si="1362"/>
        <v>0</v>
      </c>
      <c r="L3545" s="120">
        <f t="shared" si="1363"/>
        <v>0</v>
      </c>
      <c r="M3545" s="246">
        <f t="shared" si="1364"/>
        <v>0</v>
      </c>
      <c r="N3545" s="121">
        <f t="shared" si="1365"/>
        <v>1</v>
      </c>
      <c r="O3545" s="246">
        <f t="shared" si="1366"/>
        <v>1</v>
      </c>
      <c r="P3545" s="121">
        <f t="shared" si="1367"/>
        <v>0.75</v>
      </c>
      <c r="Q3545" s="121">
        <f t="shared" si="1368"/>
        <v>0</v>
      </c>
      <c r="R3545" s="121">
        <f t="shared" si="1369"/>
        <v>0</v>
      </c>
      <c r="S3545" s="121" t="str">
        <f t="shared" si="1370"/>
        <v/>
      </c>
      <c r="T3545" s="121" t="str">
        <f t="shared" si="1371"/>
        <v/>
      </c>
      <c r="U3545" s="121">
        <f t="shared" si="1372"/>
        <v>1</v>
      </c>
    </row>
    <row r="3546" spans="1:21" x14ac:dyDescent="0.3">
      <c r="A3546" s="187">
        <v>12</v>
      </c>
      <c r="B3546" s="242">
        <f t="shared" si="1373"/>
        <v>45992</v>
      </c>
      <c r="C3546" s="243">
        <f t="shared" si="1354"/>
        <v>46022</v>
      </c>
      <c r="D3546" s="120">
        <f t="shared" si="1355"/>
        <v>31</v>
      </c>
      <c r="E3546" s="120">
        <f t="shared" si="1356"/>
        <v>12</v>
      </c>
      <c r="F3546" s="275">
        <f t="shared" si="1357"/>
        <v>46007.5</v>
      </c>
      <c r="G3546" s="120">
        <f t="shared" si="1358"/>
        <v>24311</v>
      </c>
      <c r="H3546" s="245">
        <f t="shared" si="1359"/>
        <v>1</v>
      </c>
      <c r="I3546" s="121">
        <f t="shared" si="1360"/>
        <v>1</v>
      </c>
      <c r="J3546" s="121">
        <f t="shared" si="1361"/>
        <v>1</v>
      </c>
      <c r="K3546" s="120">
        <f t="shared" si="1362"/>
        <v>0</v>
      </c>
      <c r="L3546" s="120">
        <f t="shared" si="1363"/>
        <v>0</v>
      </c>
      <c r="M3546" s="246">
        <f t="shared" si="1364"/>
        <v>0</v>
      </c>
      <c r="N3546" s="121">
        <f t="shared" si="1365"/>
        <v>1</v>
      </c>
      <c r="O3546" s="246">
        <f t="shared" si="1366"/>
        <v>1</v>
      </c>
      <c r="P3546" s="121">
        <f t="shared" si="1367"/>
        <v>0.91666666666666663</v>
      </c>
      <c r="Q3546" s="121">
        <f t="shared" si="1368"/>
        <v>0</v>
      </c>
      <c r="R3546" s="121">
        <f t="shared" si="1369"/>
        <v>0</v>
      </c>
      <c r="S3546" s="121" t="str">
        <f t="shared" si="1370"/>
        <v/>
      </c>
      <c r="T3546" s="121" t="str">
        <f t="shared" si="1371"/>
        <v/>
      </c>
      <c r="U3546" s="121">
        <f t="shared" si="1372"/>
        <v>1</v>
      </c>
    </row>
    <row r="3547" spans="1:21" x14ac:dyDescent="0.3">
      <c r="A3547" s="187">
        <v>13</v>
      </c>
      <c r="B3547" s="242">
        <f t="shared" si="1373"/>
        <v>46023</v>
      </c>
      <c r="C3547" s="243">
        <f t="shared" si="1354"/>
        <v>46053</v>
      </c>
      <c r="D3547" s="120">
        <f t="shared" si="1355"/>
        <v>31</v>
      </c>
      <c r="E3547" s="120">
        <f t="shared" si="1356"/>
        <v>1</v>
      </c>
      <c r="F3547" s="275">
        <f t="shared" si="1357"/>
        <v>46038.5</v>
      </c>
      <c r="G3547" s="120">
        <f t="shared" si="1358"/>
        <v>24312</v>
      </c>
      <c r="H3547" s="245">
        <f t="shared" si="1359"/>
        <v>1</v>
      </c>
      <c r="I3547" s="121">
        <f t="shared" si="1360"/>
        <v>1</v>
      </c>
      <c r="J3547" s="121">
        <f t="shared" si="1361"/>
        <v>1</v>
      </c>
      <c r="K3547" s="120">
        <f t="shared" si="1362"/>
        <v>0</v>
      </c>
      <c r="L3547" s="120">
        <f t="shared" si="1363"/>
        <v>0</v>
      </c>
      <c r="M3547" s="246">
        <f t="shared" si="1364"/>
        <v>0</v>
      </c>
      <c r="N3547" s="121">
        <f t="shared" si="1365"/>
        <v>1</v>
      </c>
      <c r="O3547" s="246">
        <f t="shared" si="1366"/>
        <v>1</v>
      </c>
      <c r="P3547" s="121">
        <f t="shared" si="1367"/>
        <v>1</v>
      </c>
      <c r="Q3547" s="121">
        <f t="shared" si="1368"/>
        <v>0</v>
      </c>
      <c r="R3547" s="121">
        <f t="shared" si="1369"/>
        <v>0</v>
      </c>
      <c r="S3547" s="121" t="str">
        <f t="shared" si="1370"/>
        <v/>
      </c>
      <c r="T3547" s="121" t="str">
        <f t="shared" si="1371"/>
        <v/>
      </c>
      <c r="U3547" s="121">
        <f t="shared" si="1372"/>
        <v>1</v>
      </c>
    </row>
    <row r="3548" spans="1:21" x14ac:dyDescent="0.3">
      <c r="A3548" s="187">
        <v>14</v>
      </c>
      <c r="B3548" s="242">
        <f t="shared" si="1373"/>
        <v>46054</v>
      </c>
      <c r="C3548" s="243">
        <f t="shared" si="1354"/>
        <v>46081</v>
      </c>
      <c r="D3548" s="120">
        <f t="shared" si="1355"/>
        <v>28</v>
      </c>
      <c r="E3548" s="120">
        <f t="shared" si="1356"/>
        <v>2</v>
      </c>
      <c r="F3548" s="275">
        <f t="shared" si="1357"/>
        <v>46068</v>
      </c>
      <c r="G3548" s="120">
        <f t="shared" si="1358"/>
        <v>24313</v>
      </c>
      <c r="H3548" s="245">
        <f t="shared" si="1359"/>
        <v>1</v>
      </c>
      <c r="I3548" s="121">
        <f t="shared" si="1360"/>
        <v>1</v>
      </c>
      <c r="J3548" s="121">
        <f t="shared" si="1361"/>
        <v>1</v>
      </c>
      <c r="K3548" s="120">
        <f t="shared" si="1362"/>
        <v>0</v>
      </c>
      <c r="L3548" s="120">
        <f t="shared" si="1363"/>
        <v>0</v>
      </c>
      <c r="M3548" s="246">
        <f t="shared" si="1364"/>
        <v>0</v>
      </c>
      <c r="N3548" s="121">
        <f t="shared" si="1365"/>
        <v>1</v>
      </c>
      <c r="O3548" s="246">
        <f t="shared" si="1366"/>
        <v>1</v>
      </c>
      <c r="P3548" s="121">
        <f t="shared" si="1367"/>
        <v>1</v>
      </c>
      <c r="Q3548" s="121">
        <f t="shared" si="1368"/>
        <v>0</v>
      </c>
      <c r="R3548" s="121">
        <f t="shared" si="1369"/>
        <v>0</v>
      </c>
      <c r="S3548" s="121" t="str">
        <f t="shared" si="1370"/>
        <v/>
      </c>
      <c r="T3548" s="121" t="str">
        <f t="shared" si="1371"/>
        <v/>
      </c>
      <c r="U3548" s="121">
        <f t="shared" si="1372"/>
        <v>1</v>
      </c>
    </row>
    <row r="3549" spans="1:21" x14ac:dyDescent="0.3">
      <c r="A3549" s="187">
        <v>15</v>
      </c>
      <c r="B3549" s="242">
        <f t="shared" si="1373"/>
        <v>46082</v>
      </c>
      <c r="C3549" s="243">
        <f t="shared" si="1354"/>
        <v>46112</v>
      </c>
      <c r="D3549" s="120">
        <f t="shared" si="1355"/>
        <v>31</v>
      </c>
      <c r="E3549" s="120">
        <f t="shared" si="1356"/>
        <v>3</v>
      </c>
      <c r="F3549" s="275">
        <f t="shared" si="1357"/>
        <v>46097.5</v>
      </c>
      <c r="G3549" s="120">
        <f t="shared" si="1358"/>
        <v>24314</v>
      </c>
      <c r="H3549" s="245">
        <f t="shared" si="1359"/>
        <v>1</v>
      </c>
      <c r="I3549" s="121">
        <f t="shared" si="1360"/>
        <v>1</v>
      </c>
      <c r="J3549" s="121">
        <f t="shared" si="1361"/>
        <v>1</v>
      </c>
      <c r="K3549" s="120">
        <f t="shared" si="1362"/>
        <v>0</v>
      </c>
      <c r="L3549" s="120">
        <f t="shared" si="1363"/>
        <v>0</v>
      </c>
      <c r="M3549" s="246">
        <f t="shared" si="1364"/>
        <v>0</v>
      </c>
      <c r="N3549" s="121">
        <f t="shared" si="1365"/>
        <v>1</v>
      </c>
      <c r="O3549" s="246">
        <f t="shared" si="1366"/>
        <v>1</v>
      </c>
      <c r="P3549" s="121">
        <f t="shared" si="1367"/>
        <v>1</v>
      </c>
      <c r="Q3549" s="121">
        <f t="shared" si="1368"/>
        <v>0</v>
      </c>
      <c r="R3549" s="121">
        <f t="shared" si="1369"/>
        <v>0</v>
      </c>
      <c r="S3549" s="121" t="str">
        <f t="shared" si="1370"/>
        <v/>
      </c>
      <c r="T3549" s="121" t="str">
        <f t="shared" si="1371"/>
        <v/>
      </c>
      <c r="U3549" s="121">
        <f t="shared" si="1372"/>
        <v>1</v>
      </c>
    </row>
    <row r="3550" spans="1:21" x14ac:dyDescent="0.3">
      <c r="A3550" s="187">
        <v>16</v>
      </c>
      <c r="B3550" s="242">
        <f t="shared" si="1373"/>
        <v>46113</v>
      </c>
      <c r="C3550" s="243">
        <f t="shared" si="1354"/>
        <v>46142</v>
      </c>
      <c r="D3550" s="120">
        <f t="shared" si="1355"/>
        <v>30</v>
      </c>
      <c r="E3550" s="120">
        <f t="shared" si="1356"/>
        <v>4</v>
      </c>
      <c r="F3550" s="275">
        <f t="shared" si="1357"/>
        <v>46128</v>
      </c>
      <c r="G3550" s="120">
        <f t="shared" si="1358"/>
        <v>24315</v>
      </c>
      <c r="H3550" s="245">
        <f t="shared" si="1359"/>
        <v>1</v>
      </c>
      <c r="I3550" s="121">
        <f t="shared" si="1360"/>
        <v>1</v>
      </c>
      <c r="J3550" s="121">
        <f t="shared" si="1361"/>
        <v>1</v>
      </c>
      <c r="K3550" s="120">
        <f t="shared" si="1362"/>
        <v>0</v>
      </c>
      <c r="L3550" s="120">
        <f t="shared" si="1363"/>
        <v>0</v>
      </c>
      <c r="M3550" s="246">
        <f t="shared" si="1364"/>
        <v>0</v>
      </c>
      <c r="N3550" s="121">
        <f t="shared" si="1365"/>
        <v>1</v>
      </c>
      <c r="O3550" s="246">
        <f t="shared" si="1366"/>
        <v>1</v>
      </c>
      <c r="P3550" s="121">
        <f t="shared" si="1367"/>
        <v>1</v>
      </c>
      <c r="Q3550" s="121">
        <f t="shared" si="1368"/>
        <v>0</v>
      </c>
      <c r="R3550" s="121">
        <f t="shared" si="1369"/>
        <v>0</v>
      </c>
      <c r="S3550" s="121" t="str">
        <f t="shared" si="1370"/>
        <v/>
      </c>
      <c r="T3550" s="121" t="str">
        <f t="shared" si="1371"/>
        <v/>
      </c>
      <c r="U3550" s="121">
        <f t="shared" si="1372"/>
        <v>1</v>
      </c>
    </row>
    <row r="3551" spans="1:21" x14ac:dyDescent="0.3">
      <c r="A3551" s="187">
        <v>17</v>
      </c>
      <c r="B3551" s="242">
        <f t="shared" si="1373"/>
        <v>46143</v>
      </c>
      <c r="C3551" s="243">
        <f t="shared" si="1354"/>
        <v>46173</v>
      </c>
      <c r="D3551" s="120">
        <f t="shared" si="1355"/>
        <v>31</v>
      </c>
      <c r="E3551" s="120">
        <f t="shared" si="1356"/>
        <v>5</v>
      </c>
      <c r="F3551" s="275">
        <f t="shared" si="1357"/>
        <v>46158.5</v>
      </c>
      <c r="G3551" s="120">
        <f t="shared" si="1358"/>
        <v>24316</v>
      </c>
      <c r="H3551" s="245">
        <f t="shared" si="1359"/>
        <v>1</v>
      </c>
      <c r="I3551" s="121">
        <f t="shared" si="1360"/>
        <v>1</v>
      </c>
      <c r="J3551" s="121">
        <f t="shared" si="1361"/>
        <v>1</v>
      </c>
      <c r="K3551" s="120">
        <f t="shared" si="1362"/>
        <v>0</v>
      </c>
      <c r="L3551" s="120">
        <f t="shared" si="1363"/>
        <v>0</v>
      </c>
      <c r="M3551" s="246">
        <f t="shared" si="1364"/>
        <v>0</v>
      </c>
      <c r="N3551" s="121">
        <f t="shared" si="1365"/>
        <v>1</v>
      </c>
      <c r="O3551" s="246">
        <f t="shared" si="1366"/>
        <v>1</v>
      </c>
      <c r="P3551" s="121">
        <f t="shared" si="1367"/>
        <v>1</v>
      </c>
      <c r="Q3551" s="121">
        <f t="shared" si="1368"/>
        <v>0</v>
      </c>
      <c r="R3551" s="121">
        <f t="shared" si="1369"/>
        <v>0</v>
      </c>
      <c r="S3551" s="121" t="str">
        <f t="shared" si="1370"/>
        <v/>
      </c>
      <c r="T3551" s="121" t="str">
        <f t="shared" si="1371"/>
        <v/>
      </c>
      <c r="U3551" s="121">
        <f t="shared" si="1372"/>
        <v>1</v>
      </c>
    </row>
    <row r="3552" spans="1:21" x14ac:dyDescent="0.3">
      <c r="A3552" s="187">
        <v>18</v>
      </c>
      <c r="B3552" s="242">
        <f t="shared" si="1373"/>
        <v>46174</v>
      </c>
      <c r="C3552" s="243">
        <f t="shared" si="1354"/>
        <v>46203</v>
      </c>
      <c r="D3552" s="120">
        <f t="shared" si="1355"/>
        <v>30</v>
      </c>
      <c r="E3552" s="120">
        <f t="shared" si="1356"/>
        <v>6</v>
      </c>
      <c r="F3552" s="275">
        <f t="shared" si="1357"/>
        <v>46189</v>
      </c>
      <c r="G3552" s="120">
        <f t="shared" si="1358"/>
        <v>24317</v>
      </c>
      <c r="H3552" s="245">
        <f t="shared" si="1359"/>
        <v>1</v>
      </c>
      <c r="I3552" s="121">
        <f t="shared" si="1360"/>
        <v>1</v>
      </c>
      <c r="J3552" s="121">
        <f t="shared" si="1361"/>
        <v>1</v>
      </c>
      <c r="K3552" s="120">
        <f t="shared" si="1362"/>
        <v>0</v>
      </c>
      <c r="L3552" s="120">
        <f t="shared" si="1363"/>
        <v>0</v>
      </c>
      <c r="M3552" s="246">
        <f t="shared" si="1364"/>
        <v>0</v>
      </c>
      <c r="N3552" s="121">
        <f t="shared" si="1365"/>
        <v>1</v>
      </c>
      <c r="O3552" s="246">
        <f t="shared" si="1366"/>
        <v>1</v>
      </c>
      <c r="P3552" s="121">
        <f t="shared" si="1367"/>
        <v>1</v>
      </c>
      <c r="Q3552" s="121">
        <f t="shared" si="1368"/>
        <v>0</v>
      </c>
      <c r="R3552" s="121">
        <f t="shared" si="1369"/>
        <v>0</v>
      </c>
      <c r="S3552" s="121" t="str">
        <f t="shared" si="1370"/>
        <v/>
      </c>
      <c r="T3552" s="121" t="str">
        <f t="shared" si="1371"/>
        <v/>
      </c>
      <c r="U3552" s="121">
        <f t="shared" si="1372"/>
        <v>1</v>
      </c>
    </row>
    <row r="3553" spans="1:21" x14ac:dyDescent="0.3">
      <c r="A3553" s="187">
        <v>19</v>
      </c>
      <c r="B3553" s="242">
        <f t="shared" si="1373"/>
        <v>46204</v>
      </c>
      <c r="C3553" s="243">
        <f t="shared" si="1354"/>
        <v>46234</v>
      </c>
      <c r="D3553" s="120">
        <f t="shared" si="1355"/>
        <v>31</v>
      </c>
      <c r="E3553" s="120">
        <f t="shared" si="1356"/>
        <v>7</v>
      </c>
      <c r="F3553" s="275">
        <f t="shared" si="1357"/>
        <v>46219.5</v>
      </c>
      <c r="G3553" s="120">
        <f t="shared" si="1358"/>
        <v>24318</v>
      </c>
      <c r="H3553" s="245">
        <f t="shared" si="1359"/>
        <v>1</v>
      </c>
      <c r="I3553" s="121">
        <f t="shared" si="1360"/>
        <v>1</v>
      </c>
      <c r="J3553" s="121">
        <f t="shared" si="1361"/>
        <v>1</v>
      </c>
      <c r="K3553" s="120">
        <f t="shared" si="1362"/>
        <v>0</v>
      </c>
      <c r="L3553" s="120">
        <f t="shared" si="1363"/>
        <v>0</v>
      </c>
      <c r="M3553" s="246">
        <f t="shared" si="1364"/>
        <v>0</v>
      </c>
      <c r="N3553" s="121">
        <f t="shared" si="1365"/>
        <v>1</v>
      </c>
      <c r="O3553" s="246">
        <f t="shared" si="1366"/>
        <v>1</v>
      </c>
      <c r="P3553" s="121">
        <f t="shared" si="1367"/>
        <v>0.91666666666666663</v>
      </c>
      <c r="Q3553" s="121">
        <f t="shared" si="1368"/>
        <v>8.333333333333337E-2</v>
      </c>
      <c r="R3553" s="121">
        <f t="shared" si="1369"/>
        <v>0</v>
      </c>
      <c r="S3553" s="121" t="str">
        <f t="shared" si="1370"/>
        <v/>
      </c>
      <c r="T3553" s="121" t="str">
        <f t="shared" si="1371"/>
        <v/>
      </c>
      <c r="U3553" s="121">
        <f t="shared" si="1372"/>
        <v>1</v>
      </c>
    </row>
    <row r="3554" spans="1:21" x14ac:dyDescent="0.3">
      <c r="A3554" s="187">
        <v>20</v>
      </c>
      <c r="B3554" s="242">
        <f t="shared" si="1373"/>
        <v>46235</v>
      </c>
      <c r="C3554" s="243">
        <f t="shared" si="1354"/>
        <v>46265</v>
      </c>
      <c r="D3554" s="120">
        <f t="shared" si="1355"/>
        <v>31</v>
      </c>
      <c r="E3554" s="120">
        <f t="shared" si="1356"/>
        <v>8</v>
      </c>
      <c r="F3554" s="275">
        <f t="shared" si="1357"/>
        <v>46250.5</v>
      </c>
      <c r="G3554" s="120">
        <f t="shared" si="1358"/>
        <v>24319</v>
      </c>
      <c r="H3554" s="245">
        <f t="shared" si="1359"/>
        <v>1</v>
      </c>
      <c r="I3554" s="121">
        <f t="shared" si="1360"/>
        <v>1</v>
      </c>
      <c r="J3554" s="121">
        <f t="shared" si="1361"/>
        <v>1</v>
      </c>
      <c r="K3554" s="120">
        <f t="shared" si="1362"/>
        <v>0</v>
      </c>
      <c r="L3554" s="120">
        <f t="shared" si="1363"/>
        <v>0</v>
      </c>
      <c r="M3554" s="246">
        <f t="shared" si="1364"/>
        <v>0</v>
      </c>
      <c r="N3554" s="121">
        <f t="shared" si="1365"/>
        <v>1</v>
      </c>
      <c r="O3554" s="246">
        <f t="shared" si="1366"/>
        <v>1</v>
      </c>
      <c r="P3554" s="121">
        <f t="shared" si="1367"/>
        <v>0.75</v>
      </c>
      <c r="Q3554" s="121">
        <f t="shared" si="1368"/>
        <v>0.25</v>
      </c>
      <c r="R3554" s="121">
        <f t="shared" si="1369"/>
        <v>0</v>
      </c>
      <c r="S3554" s="121" t="str">
        <f t="shared" si="1370"/>
        <v/>
      </c>
      <c r="T3554" s="121" t="str">
        <f t="shared" si="1371"/>
        <v/>
      </c>
      <c r="U3554" s="121">
        <f t="shared" si="1372"/>
        <v>1</v>
      </c>
    </row>
    <row r="3555" spans="1:21" x14ac:dyDescent="0.3">
      <c r="A3555" s="187">
        <v>21</v>
      </c>
      <c r="B3555" s="242">
        <f t="shared" si="1373"/>
        <v>46266</v>
      </c>
      <c r="C3555" s="243">
        <f t="shared" si="1354"/>
        <v>46295</v>
      </c>
      <c r="D3555" s="120">
        <f t="shared" si="1355"/>
        <v>30</v>
      </c>
      <c r="E3555" s="120">
        <f t="shared" si="1356"/>
        <v>9</v>
      </c>
      <c r="F3555" s="275">
        <f t="shared" si="1357"/>
        <v>46281</v>
      </c>
      <c r="G3555" s="120">
        <f t="shared" si="1358"/>
        <v>24320</v>
      </c>
      <c r="H3555" s="245">
        <f t="shared" si="1359"/>
        <v>1</v>
      </c>
      <c r="I3555" s="121">
        <f t="shared" si="1360"/>
        <v>1</v>
      </c>
      <c r="J3555" s="121">
        <f t="shared" si="1361"/>
        <v>1</v>
      </c>
      <c r="K3555" s="120">
        <f t="shared" si="1362"/>
        <v>0</v>
      </c>
      <c r="L3555" s="120">
        <f t="shared" si="1363"/>
        <v>0</v>
      </c>
      <c r="M3555" s="246">
        <f t="shared" si="1364"/>
        <v>0</v>
      </c>
      <c r="N3555" s="121">
        <f t="shared" si="1365"/>
        <v>1</v>
      </c>
      <c r="O3555" s="246">
        <f t="shared" si="1366"/>
        <v>1</v>
      </c>
      <c r="P3555" s="121">
        <f t="shared" si="1367"/>
        <v>0.58333333333333337</v>
      </c>
      <c r="Q3555" s="121">
        <f t="shared" si="1368"/>
        <v>0.41666666666666663</v>
      </c>
      <c r="R3555" s="121">
        <f t="shared" si="1369"/>
        <v>0</v>
      </c>
      <c r="S3555" s="121" t="str">
        <f t="shared" si="1370"/>
        <v/>
      </c>
      <c r="T3555" s="121" t="str">
        <f t="shared" si="1371"/>
        <v/>
      </c>
      <c r="U3555" s="121">
        <f t="shared" si="1372"/>
        <v>1</v>
      </c>
    </row>
    <row r="3556" spans="1:21" x14ac:dyDescent="0.3">
      <c r="A3556" s="187">
        <v>22</v>
      </c>
      <c r="B3556" s="242">
        <f t="shared" si="1373"/>
        <v>46296</v>
      </c>
      <c r="C3556" s="243">
        <f t="shared" si="1354"/>
        <v>46326</v>
      </c>
      <c r="D3556" s="120">
        <f t="shared" si="1355"/>
        <v>31</v>
      </c>
      <c r="E3556" s="120">
        <f t="shared" si="1356"/>
        <v>10</v>
      </c>
      <c r="F3556" s="275">
        <f t="shared" si="1357"/>
        <v>46311.5</v>
      </c>
      <c r="G3556" s="120">
        <f t="shared" si="1358"/>
        <v>24321</v>
      </c>
      <c r="H3556" s="245">
        <f t="shared" si="1359"/>
        <v>1</v>
      </c>
      <c r="I3556" s="121">
        <f t="shared" si="1360"/>
        <v>1</v>
      </c>
      <c r="J3556" s="121">
        <f t="shared" si="1361"/>
        <v>1</v>
      </c>
      <c r="K3556" s="120">
        <f t="shared" si="1362"/>
        <v>0</v>
      </c>
      <c r="L3556" s="120">
        <f t="shared" si="1363"/>
        <v>0</v>
      </c>
      <c r="M3556" s="246">
        <f t="shared" si="1364"/>
        <v>0</v>
      </c>
      <c r="N3556" s="121">
        <f t="shared" si="1365"/>
        <v>1</v>
      </c>
      <c r="O3556" s="246">
        <f t="shared" si="1366"/>
        <v>1</v>
      </c>
      <c r="P3556" s="121">
        <f t="shared" si="1367"/>
        <v>0.41666666666666669</v>
      </c>
      <c r="Q3556" s="121">
        <f t="shared" si="1368"/>
        <v>0.58333333333333326</v>
      </c>
      <c r="R3556" s="121">
        <f t="shared" si="1369"/>
        <v>0</v>
      </c>
      <c r="S3556" s="121" t="str">
        <f t="shared" si="1370"/>
        <v/>
      </c>
      <c r="T3556" s="121" t="str">
        <f t="shared" si="1371"/>
        <v/>
      </c>
      <c r="U3556" s="121">
        <f t="shared" si="1372"/>
        <v>1</v>
      </c>
    </row>
    <row r="3557" spans="1:21" x14ac:dyDescent="0.3">
      <c r="A3557" s="187">
        <v>23</v>
      </c>
      <c r="B3557" s="242">
        <f t="shared" si="1373"/>
        <v>46327</v>
      </c>
      <c r="C3557" s="243">
        <f t="shared" si="1354"/>
        <v>46356</v>
      </c>
      <c r="D3557" s="120">
        <f t="shared" si="1355"/>
        <v>30</v>
      </c>
      <c r="E3557" s="120">
        <f t="shared" si="1356"/>
        <v>11</v>
      </c>
      <c r="F3557" s="275">
        <f t="shared" si="1357"/>
        <v>46342</v>
      </c>
      <c r="G3557" s="120">
        <f t="shared" si="1358"/>
        <v>24322</v>
      </c>
      <c r="H3557" s="245">
        <f t="shared" si="1359"/>
        <v>1</v>
      </c>
      <c r="I3557" s="121">
        <f t="shared" si="1360"/>
        <v>1</v>
      </c>
      <c r="J3557" s="121">
        <f t="shared" si="1361"/>
        <v>1</v>
      </c>
      <c r="K3557" s="120">
        <f t="shared" si="1362"/>
        <v>0</v>
      </c>
      <c r="L3557" s="120">
        <f t="shared" si="1363"/>
        <v>0</v>
      </c>
      <c r="M3557" s="246">
        <f t="shared" si="1364"/>
        <v>0</v>
      </c>
      <c r="N3557" s="121">
        <f t="shared" si="1365"/>
        <v>1</v>
      </c>
      <c r="O3557" s="246">
        <f t="shared" si="1366"/>
        <v>1</v>
      </c>
      <c r="P3557" s="121">
        <f t="shared" si="1367"/>
        <v>0.25</v>
      </c>
      <c r="Q3557" s="121">
        <f t="shared" si="1368"/>
        <v>0.75</v>
      </c>
      <c r="R3557" s="121">
        <f t="shared" si="1369"/>
        <v>0</v>
      </c>
      <c r="S3557" s="121" t="str">
        <f t="shared" si="1370"/>
        <v/>
      </c>
      <c r="T3557" s="121" t="str">
        <f t="shared" si="1371"/>
        <v/>
      </c>
      <c r="U3557" s="121">
        <f t="shared" si="1372"/>
        <v>1</v>
      </c>
    </row>
    <row r="3558" spans="1:21" x14ac:dyDescent="0.3">
      <c r="A3558" s="187">
        <v>24</v>
      </c>
      <c r="B3558" s="242">
        <f t="shared" si="1373"/>
        <v>46357</v>
      </c>
      <c r="C3558" s="243">
        <f t="shared" si="1354"/>
        <v>46387</v>
      </c>
      <c r="D3558" s="120">
        <f t="shared" si="1355"/>
        <v>31</v>
      </c>
      <c r="E3558" s="120">
        <f t="shared" si="1356"/>
        <v>12</v>
      </c>
      <c r="F3558" s="275">
        <f t="shared" si="1357"/>
        <v>46372.5</v>
      </c>
      <c r="G3558" s="120">
        <f t="shared" si="1358"/>
        <v>24323</v>
      </c>
      <c r="H3558" s="245">
        <f t="shared" si="1359"/>
        <v>1</v>
      </c>
      <c r="I3558" s="121">
        <f t="shared" si="1360"/>
        <v>1</v>
      </c>
      <c r="J3558" s="121">
        <f t="shared" si="1361"/>
        <v>1</v>
      </c>
      <c r="K3558" s="120">
        <f t="shared" si="1362"/>
        <v>0</v>
      </c>
      <c r="L3558" s="120">
        <f t="shared" si="1363"/>
        <v>0</v>
      </c>
      <c r="M3558" s="246">
        <f t="shared" si="1364"/>
        <v>0</v>
      </c>
      <c r="N3558" s="121">
        <f t="shared" si="1365"/>
        <v>1</v>
      </c>
      <c r="O3558" s="246">
        <f t="shared" si="1366"/>
        <v>1</v>
      </c>
      <c r="P3558" s="121">
        <f t="shared" si="1367"/>
        <v>8.3333333333333329E-2</v>
      </c>
      <c r="Q3558" s="121">
        <f t="shared" si="1368"/>
        <v>0.91666666666666663</v>
      </c>
      <c r="R3558" s="121">
        <f t="shared" si="1369"/>
        <v>0</v>
      </c>
      <c r="S3558" s="121" t="str">
        <f t="shared" si="1370"/>
        <v/>
      </c>
      <c r="T3558" s="121" t="str">
        <f t="shared" si="1371"/>
        <v/>
      </c>
      <c r="U3558" s="121">
        <f t="shared" si="1372"/>
        <v>1</v>
      </c>
    </row>
    <row r="3559" spans="1:21" x14ac:dyDescent="0.3">
      <c r="A3559" s="187">
        <v>25</v>
      </c>
      <c r="B3559" s="242">
        <f t="shared" si="1373"/>
        <v>46388</v>
      </c>
      <c r="C3559" s="243">
        <f t="shared" si="1354"/>
        <v>46418</v>
      </c>
      <c r="D3559" s="120">
        <f t="shared" si="1355"/>
        <v>31</v>
      </c>
      <c r="E3559" s="120">
        <f t="shared" si="1356"/>
        <v>1</v>
      </c>
      <c r="F3559" s="275">
        <f t="shared" si="1357"/>
        <v>46403.5</v>
      </c>
      <c r="G3559" s="120">
        <f t="shared" si="1358"/>
        <v>24324</v>
      </c>
      <c r="H3559" s="245">
        <f t="shared" si="1359"/>
        <v>1</v>
      </c>
      <c r="I3559" s="121">
        <f t="shared" si="1360"/>
        <v>1</v>
      </c>
      <c r="J3559" s="121">
        <f t="shared" si="1361"/>
        <v>1</v>
      </c>
      <c r="K3559" s="120">
        <f t="shared" si="1362"/>
        <v>0</v>
      </c>
      <c r="L3559" s="120">
        <f t="shared" si="1363"/>
        <v>0</v>
      </c>
      <c r="M3559" s="246">
        <f t="shared" si="1364"/>
        <v>0</v>
      </c>
      <c r="N3559" s="121">
        <f t="shared" si="1365"/>
        <v>1</v>
      </c>
      <c r="O3559" s="246">
        <f t="shared" si="1366"/>
        <v>1</v>
      </c>
      <c r="P3559" s="121">
        <f t="shared" si="1367"/>
        <v>0</v>
      </c>
      <c r="Q3559" s="121">
        <f t="shared" si="1368"/>
        <v>1</v>
      </c>
      <c r="R3559" s="121">
        <f t="shared" si="1369"/>
        <v>0</v>
      </c>
      <c r="S3559" s="121" t="str">
        <f t="shared" si="1370"/>
        <v/>
      </c>
      <c r="T3559" s="121" t="str">
        <f t="shared" si="1371"/>
        <v/>
      </c>
      <c r="U3559" s="121">
        <f t="shared" si="1372"/>
        <v>1</v>
      </c>
    </row>
    <row r="3560" spans="1:21" x14ac:dyDescent="0.3">
      <c r="A3560" s="187">
        <v>26</v>
      </c>
      <c r="B3560" s="242">
        <f t="shared" si="1373"/>
        <v>46419</v>
      </c>
      <c r="C3560" s="243">
        <f t="shared" si="1354"/>
        <v>46446</v>
      </c>
      <c r="D3560" s="120">
        <f t="shared" si="1355"/>
        <v>28</v>
      </c>
      <c r="E3560" s="120">
        <f t="shared" si="1356"/>
        <v>2</v>
      </c>
      <c r="F3560" s="275">
        <f t="shared" si="1357"/>
        <v>46433</v>
      </c>
      <c r="G3560" s="120">
        <f t="shared" si="1358"/>
        <v>24325</v>
      </c>
      <c r="H3560" s="245">
        <f t="shared" si="1359"/>
        <v>1</v>
      </c>
      <c r="I3560" s="121">
        <f t="shared" si="1360"/>
        <v>1</v>
      </c>
      <c r="J3560" s="121">
        <f t="shared" si="1361"/>
        <v>1</v>
      </c>
      <c r="K3560" s="120">
        <f t="shared" si="1362"/>
        <v>0</v>
      </c>
      <c r="L3560" s="120">
        <f t="shared" si="1363"/>
        <v>0</v>
      </c>
      <c r="M3560" s="246">
        <f t="shared" si="1364"/>
        <v>0</v>
      </c>
      <c r="N3560" s="121">
        <f t="shared" si="1365"/>
        <v>1</v>
      </c>
      <c r="O3560" s="246">
        <f t="shared" si="1366"/>
        <v>1</v>
      </c>
      <c r="P3560" s="121">
        <f t="shared" si="1367"/>
        <v>0</v>
      </c>
      <c r="Q3560" s="121">
        <f t="shared" si="1368"/>
        <v>1</v>
      </c>
      <c r="R3560" s="121">
        <f t="shared" si="1369"/>
        <v>0</v>
      </c>
      <c r="S3560" s="121" t="str">
        <f t="shared" si="1370"/>
        <v/>
      </c>
      <c r="T3560" s="121" t="str">
        <f t="shared" si="1371"/>
        <v/>
      </c>
      <c r="U3560" s="121">
        <f t="shared" si="1372"/>
        <v>1</v>
      </c>
    </row>
    <row r="3561" spans="1:21" x14ac:dyDescent="0.3">
      <c r="A3561" s="187">
        <v>27</v>
      </c>
      <c r="B3561" s="242">
        <f t="shared" si="1373"/>
        <v>46447</v>
      </c>
      <c r="C3561" s="243">
        <f t="shared" si="1354"/>
        <v>46477</v>
      </c>
      <c r="D3561" s="120">
        <f t="shared" si="1355"/>
        <v>31</v>
      </c>
      <c r="E3561" s="120">
        <f t="shared" si="1356"/>
        <v>3</v>
      </c>
      <c r="F3561" s="275">
        <f t="shared" si="1357"/>
        <v>46462.5</v>
      </c>
      <c r="G3561" s="120">
        <f t="shared" si="1358"/>
        <v>24326</v>
      </c>
      <c r="H3561" s="245">
        <f t="shared" si="1359"/>
        <v>1</v>
      </c>
      <c r="I3561" s="121">
        <f t="shared" si="1360"/>
        <v>1</v>
      </c>
      <c r="J3561" s="121">
        <f t="shared" si="1361"/>
        <v>1</v>
      </c>
      <c r="K3561" s="120">
        <f t="shared" si="1362"/>
        <v>0</v>
      </c>
      <c r="L3561" s="120">
        <f t="shared" si="1363"/>
        <v>0</v>
      </c>
      <c r="M3561" s="246">
        <f t="shared" si="1364"/>
        <v>0</v>
      </c>
      <c r="N3561" s="121">
        <f t="shared" si="1365"/>
        <v>1</v>
      </c>
      <c r="O3561" s="246">
        <f t="shared" si="1366"/>
        <v>1</v>
      </c>
      <c r="P3561" s="121">
        <f t="shared" si="1367"/>
        <v>0</v>
      </c>
      <c r="Q3561" s="121">
        <f t="shared" si="1368"/>
        <v>1</v>
      </c>
      <c r="R3561" s="121">
        <f t="shared" si="1369"/>
        <v>0</v>
      </c>
      <c r="S3561" s="121" t="str">
        <f t="shared" si="1370"/>
        <v/>
      </c>
      <c r="T3561" s="121" t="str">
        <f t="shared" si="1371"/>
        <v/>
      </c>
      <c r="U3561" s="121">
        <f t="shared" si="1372"/>
        <v>1</v>
      </c>
    </row>
    <row r="3562" spans="1:21" x14ac:dyDescent="0.3">
      <c r="A3562" s="187">
        <v>28</v>
      </c>
      <c r="B3562" s="242">
        <f t="shared" si="1373"/>
        <v>46478</v>
      </c>
      <c r="C3562" s="243">
        <f t="shared" si="1354"/>
        <v>46507</v>
      </c>
      <c r="D3562" s="120">
        <f t="shared" si="1355"/>
        <v>30</v>
      </c>
      <c r="E3562" s="120">
        <f t="shared" si="1356"/>
        <v>4</v>
      </c>
      <c r="F3562" s="275">
        <f t="shared" si="1357"/>
        <v>46493</v>
      </c>
      <c r="G3562" s="120">
        <f t="shared" si="1358"/>
        <v>24327</v>
      </c>
      <c r="H3562" s="245">
        <f t="shared" si="1359"/>
        <v>1</v>
      </c>
      <c r="I3562" s="121">
        <f t="shared" si="1360"/>
        <v>1</v>
      </c>
      <c r="J3562" s="121">
        <f t="shared" si="1361"/>
        <v>1</v>
      </c>
      <c r="K3562" s="120">
        <f t="shared" si="1362"/>
        <v>0</v>
      </c>
      <c r="L3562" s="120">
        <f t="shared" si="1363"/>
        <v>0</v>
      </c>
      <c r="M3562" s="246">
        <f t="shared" si="1364"/>
        <v>0</v>
      </c>
      <c r="N3562" s="121">
        <f t="shared" si="1365"/>
        <v>1</v>
      </c>
      <c r="O3562" s="246">
        <f t="shared" si="1366"/>
        <v>1</v>
      </c>
      <c r="P3562" s="121">
        <f t="shared" si="1367"/>
        <v>0</v>
      </c>
      <c r="Q3562" s="121">
        <f t="shared" si="1368"/>
        <v>1</v>
      </c>
      <c r="R3562" s="121">
        <f t="shared" si="1369"/>
        <v>0</v>
      </c>
      <c r="S3562" s="121" t="str">
        <f t="shared" si="1370"/>
        <v/>
      </c>
      <c r="T3562" s="121" t="str">
        <f t="shared" si="1371"/>
        <v/>
      </c>
      <c r="U3562" s="121">
        <f t="shared" si="1372"/>
        <v>1</v>
      </c>
    </row>
    <row r="3563" spans="1:21" x14ac:dyDescent="0.3">
      <c r="A3563" s="187">
        <v>29</v>
      </c>
      <c r="B3563" s="242">
        <f t="shared" si="1373"/>
        <v>46508</v>
      </c>
      <c r="C3563" s="243">
        <f t="shared" si="1354"/>
        <v>46538</v>
      </c>
      <c r="D3563" s="120">
        <f t="shared" si="1355"/>
        <v>31</v>
      </c>
      <c r="E3563" s="120">
        <f t="shared" si="1356"/>
        <v>5</v>
      </c>
      <c r="F3563" s="275">
        <f t="shared" si="1357"/>
        <v>46523.5</v>
      </c>
      <c r="G3563" s="120">
        <f t="shared" si="1358"/>
        <v>24328</v>
      </c>
      <c r="H3563" s="245">
        <f t="shared" si="1359"/>
        <v>1</v>
      </c>
      <c r="I3563" s="121">
        <f t="shared" si="1360"/>
        <v>1</v>
      </c>
      <c r="J3563" s="121">
        <f t="shared" si="1361"/>
        <v>1</v>
      </c>
      <c r="K3563" s="120">
        <f t="shared" si="1362"/>
        <v>0</v>
      </c>
      <c r="L3563" s="120">
        <f t="shared" si="1363"/>
        <v>0</v>
      </c>
      <c r="M3563" s="246">
        <f t="shared" si="1364"/>
        <v>0</v>
      </c>
      <c r="N3563" s="121">
        <f t="shared" si="1365"/>
        <v>1</v>
      </c>
      <c r="O3563" s="246">
        <f t="shared" si="1366"/>
        <v>1</v>
      </c>
      <c r="P3563" s="121">
        <f t="shared" si="1367"/>
        <v>0</v>
      </c>
      <c r="Q3563" s="121">
        <f t="shared" si="1368"/>
        <v>1</v>
      </c>
      <c r="R3563" s="121">
        <f t="shared" si="1369"/>
        <v>0</v>
      </c>
      <c r="S3563" s="121" t="str">
        <f t="shared" si="1370"/>
        <v/>
      </c>
      <c r="T3563" s="121" t="str">
        <f t="shared" si="1371"/>
        <v/>
      </c>
      <c r="U3563" s="121">
        <f t="shared" si="1372"/>
        <v>1</v>
      </c>
    </row>
    <row r="3564" spans="1:21" x14ac:dyDescent="0.3">
      <c r="A3564" s="187">
        <v>30</v>
      </c>
      <c r="B3564" s="242">
        <f t="shared" si="1373"/>
        <v>46539</v>
      </c>
      <c r="C3564" s="243">
        <f t="shared" si="1354"/>
        <v>46568</v>
      </c>
      <c r="D3564" s="120">
        <f t="shared" si="1355"/>
        <v>30</v>
      </c>
      <c r="E3564" s="120">
        <f t="shared" si="1356"/>
        <v>6</v>
      </c>
      <c r="F3564" s="275">
        <f t="shared" si="1357"/>
        <v>46554</v>
      </c>
      <c r="G3564" s="120">
        <f t="shared" si="1358"/>
        <v>24329</v>
      </c>
      <c r="H3564" s="245">
        <f t="shared" si="1359"/>
        <v>1</v>
      </c>
      <c r="I3564" s="121">
        <f t="shared" si="1360"/>
        <v>1</v>
      </c>
      <c r="J3564" s="121">
        <f t="shared" si="1361"/>
        <v>1</v>
      </c>
      <c r="K3564" s="120">
        <f t="shared" si="1362"/>
        <v>0</v>
      </c>
      <c r="L3564" s="120">
        <f t="shared" si="1363"/>
        <v>0</v>
      </c>
      <c r="M3564" s="246">
        <f t="shared" si="1364"/>
        <v>0</v>
      </c>
      <c r="N3564" s="121">
        <f t="shared" si="1365"/>
        <v>1</v>
      </c>
      <c r="O3564" s="246">
        <f t="shared" si="1366"/>
        <v>1</v>
      </c>
      <c r="P3564" s="121">
        <f t="shared" si="1367"/>
        <v>0</v>
      </c>
      <c r="Q3564" s="121">
        <f t="shared" si="1368"/>
        <v>1</v>
      </c>
      <c r="R3564" s="121">
        <f t="shared" si="1369"/>
        <v>0</v>
      </c>
      <c r="S3564" s="121" t="str">
        <f t="shared" si="1370"/>
        <v/>
      </c>
      <c r="T3564" s="121" t="str">
        <f t="shared" si="1371"/>
        <v/>
      </c>
      <c r="U3564" s="121">
        <f t="shared" si="1372"/>
        <v>1</v>
      </c>
    </row>
    <row r="3565" spans="1:21" x14ac:dyDescent="0.3">
      <c r="A3565" s="187">
        <v>31</v>
      </c>
      <c r="B3565" s="242">
        <f t="shared" si="1373"/>
        <v>46569</v>
      </c>
      <c r="C3565" s="243">
        <f t="shared" si="1354"/>
        <v>46599</v>
      </c>
      <c r="D3565" s="120">
        <f t="shared" si="1355"/>
        <v>31</v>
      </c>
      <c r="E3565" s="120">
        <f t="shared" si="1356"/>
        <v>7</v>
      </c>
      <c r="F3565" s="275">
        <f t="shared" si="1357"/>
        <v>46584.5</v>
      </c>
      <c r="G3565" s="120">
        <f t="shared" si="1358"/>
        <v>24330</v>
      </c>
      <c r="H3565" s="245">
        <f t="shared" si="1359"/>
        <v>1</v>
      </c>
      <c r="I3565" s="121">
        <f t="shared" si="1360"/>
        <v>1</v>
      </c>
      <c r="J3565" s="121">
        <f t="shared" si="1361"/>
        <v>1</v>
      </c>
      <c r="K3565" s="120">
        <f t="shared" si="1362"/>
        <v>0</v>
      </c>
      <c r="L3565" s="120">
        <f t="shared" si="1363"/>
        <v>0</v>
      </c>
      <c r="M3565" s="246">
        <f t="shared" si="1364"/>
        <v>0</v>
      </c>
      <c r="N3565" s="121">
        <f t="shared" si="1365"/>
        <v>1</v>
      </c>
      <c r="O3565" s="246">
        <f t="shared" si="1366"/>
        <v>1</v>
      </c>
      <c r="P3565" s="121">
        <f t="shared" si="1367"/>
        <v>0</v>
      </c>
      <c r="Q3565" s="121">
        <f t="shared" si="1368"/>
        <v>0.91666666666666663</v>
      </c>
      <c r="R3565" s="121">
        <f t="shared" si="1369"/>
        <v>8.333333333333337E-2</v>
      </c>
      <c r="S3565" s="121" t="str">
        <f t="shared" si="1370"/>
        <v/>
      </c>
      <c r="T3565" s="121" t="str">
        <f t="shared" si="1371"/>
        <v/>
      </c>
      <c r="U3565" s="121">
        <f t="shared" si="1372"/>
        <v>1</v>
      </c>
    </row>
    <row r="3566" spans="1:21" x14ac:dyDescent="0.3">
      <c r="A3566" s="187">
        <v>32</v>
      </c>
      <c r="B3566" s="242">
        <f t="shared" si="1373"/>
        <v>46600</v>
      </c>
      <c r="C3566" s="243">
        <f t="shared" si="1354"/>
        <v>46630</v>
      </c>
      <c r="D3566" s="120">
        <f t="shared" si="1355"/>
        <v>31</v>
      </c>
      <c r="E3566" s="120">
        <f t="shared" si="1356"/>
        <v>8</v>
      </c>
      <c r="F3566" s="275">
        <f t="shared" si="1357"/>
        <v>46615.5</v>
      </c>
      <c r="G3566" s="120">
        <f t="shared" si="1358"/>
        <v>24331</v>
      </c>
      <c r="H3566" s="245">
        <f t="shared" si="1359"/>
        <v>1</v>
      </c>
      <c r="I3566" s="121">
        <f t="shared" si="1360"/>
        <v>1</v>
      </c>
      <c r="J3566" s="121">
        <f t="shared" si="1361"/>
        <v>1</v>
      </c>
      <c r="K3566" s="120">
        <f t="shared" si="1362"/>
        <v>0</v>
      </c>
      <c r="L3566" s="120">
        <f t="shared" si="1363"/>
        <v>0</v>
      </c>
      <c r="M3566" s="246">
        <f t="shared" si="1364"/>
        <v>0</v>
      </c>
      <c r="N3566" s="121">
        <f t="shared" si="1365"/>
        <v>1</v>
      </c>
      <c r="O3566" s="246">
        <f t="shared" si="1366"/>
        <v>1</v>
      </c>
      <c r="P3566" s="121">
        <f t="shared" si="1367"/>
        <v>0</v>
      </c>
      <c r="Q3566" s="121">
        <f t="shared" si="1368"/>
        <v>0.75</v>
      </c>
      <c r="R3566" s="121">
        <f t="shared" si="1369"/>
        <v>0.25</v>
      </c>
      <c r="S3566" s="121" t="str">
        <f t="shared" si="1370"/>
        <v/>
      </c>
      <c r="T3566" s="121" t="str">
        <f t="shared" si="1371"/>
        <v/>
      </c>
      <c r="U3566" s="121">
        <f t="shared" si="1372"/>
        <v>1</v>
      </c>
    </row>
    <row r="3567" spans="1:21" x14ac:dyDescent="0.3">
      <c r="A3567" s="187">
        <v>33</v>
      </c>
      <c r="B3567" s="242">
        <f t="shared" si="1373"/>
        <v>46631</v>
      </c>
      <c r="C3567" s="243">
        <f t="shared" si="1354"/>
        <v>46660</v>
      </c>
      <c r="D3567" s="120">
        <f t="shared" si="1355"/>
        <v>30</v>
      </c>
      <c r="E3567" s="120">
        <f t="shared" si="1356"/>
        <v>9</v>
      </c>
      <c r="F3567" s="275">
        <f t="shared" si="1357"/>
        <v>46646</v>
      </c>
      <c r="G3567" s="120">
        <f t="shared" si="1358"/>
        <v>24332</v>
      </c>
      <c r="H3567" s="245">
        <f t="shared" si="1359"/>
        <v>1</v>
      </c>
      <c r="I3567" s="121">
        <f t="shared" si="1360"/>
        <v>1</v>
      </c>
      <c r="J3567" s="121">
        <f t="shared" si="1361"/>
        <v>1</v>
      </c>
      <c r="K3567" s="120">
        <f t="shared" si="1362"/>
        <v>0</v>
      </c>
      <c r="L3567" s="120">
        <f t="shared" si="1363"/>
        <v>0</v>
      </c>
      <c r="M3567" s="246">
        <f t="shared" si="1364"/>
        <v>0</v>
      </c>
      <c r="N3567" s="121">
        <f t="shared" si="1365"/>
        <v>1</v>
      </c>
      <c r="O3567" s="246">
        <f t="shared" si="1366"/>
        <v>1</v>
      </c>
      <c r="P3567" s="121">
        <f t="shared" si="1367"/>
        <v>0</v>
      </c>
      <c r="Q3567" s="121">
        <f t="shared" si="1368"/>
        <v>0.58333333333333337</v>
      </c>
      <c r="R3567" s="121">
        <f t="shared" si="1369"/>
        <v>0.41666666666666663</v>
      </c>
      <c r="S3567" s="121" t="str">
        <f t="shared" si="1370"/>
        <v/>
      </c>
      <c r="T3567" s="121" t="str">
        <f t="shared" si="1371"/>
        <v/>
      </c>
      <c r="U3567" s="121">
        <f t="shared" si="1372"/>
        <v>1</v>
      </c>
    </row>
    <row r="3568" spans="1:21" x14ac:dyDescent="0.3">
      <c r="A3568" s="187">
        <v>34</v>
      </c>
      <c r="B3568" s="242">
        <f t="shared" si="1373"/>
        <v>46661</v>
      </c>
      <c r="C3568" s="243">
        <f t="shared" si="1354"/>
        <v>46691</v>
      </c>
      <c r="D3568" s="120">
        <f t="shared" si="1355"/>
        <v>31</v>
      </c>
      <c r="E3568" s="120">
        <f t="shared" si="1356"/>
        <v>10</v>
      </c>
      <c r="F3568" s="275">
        <f t="shared" si="1357"/>
        <v>46676.5</v>
      </c>
      <c r="G3568" s="120">
        <f t="shared" si="1358"/>
        <v>24333</v>
      </c>
      <c r="H3568" s="245">
        <f t="shared" si="1359"/>
        <v>1</v>
      </c>
      <c r="I3568" s="121">
        <f t="shared" si="1360"/>
        <v>1</v>
      </c>
      <c r="J3568" s="121">
        <f t="shared" si="1361"/>
        <v>1</v>
      </c>
      <c r="K3568" s="120">
        <f t="shared" si="1362"/>
        <v>0</v>
      </c>
      <c r="L3568" s="120">
        <f t="shared" si="1363"/>
        <v>0</v>
      </c>
      <c r="M3568" s="246">
        <f t="shared" si="1364"/>
        <v>0</v>
      </c>
      <c r="N3568" s="121">
        <f t="shared" si="1365"/>
        <v>1</v>
      </c>
      <c r="O3568" s="246">
        <f t="shared" si="1366"/>
        <v>1</v>
      </c>
      <c r="P3568" s="121">
        <f t="shared" si="1367"/>
        <v>0</v>
      </c>
      <c r="Q3568" s="121">
        <f t="shared" si="1368"/>
        <v>0.41666666666666669</v>
      </c>
      <c r="R3568" s="121">
        <f t="shared" si="1369"/>
        <v>0.58333333333333326</v>
      </c>
      <c r="S3568" s="121" t="str">
        <f t="shared" si="1370"/>
        <v/>
      </c>
      <c r="T3568" s="121" t="str">
        <f t="shared" si="1371"/>
        <v/>
      </c>
      <c r="U3568" s="121">
        <f t="shared" si="1372"/>
        <v>1</v>
      </c>
    </row>
    <row r="3569" spans="1:21" x14ac:dyDescent="0.3">
      <c r="A3569" s="187">
        <v>35</v>
      </c>
      <c r="B3569" s="242">
        <f t="shared" si="1373"/>
        <v>46692</v>
      </c>
      <c r="C3569" s="243">
        <f t="shared" si="1354"/>
        <v>46721</v>
      </c>
      <c r="D3569" s="120">
        <f t="shared" si="1355"/>
        <v>30</v>
      </c>
      <c r="E3569" s="120">
        <f t="shared" si="1356"/>
        <v>11</v>
      </c>
      <c r="F3569" s="275">
        <f t="shared" si="1357"/>
        <v>46707</v>
      </c>
      <c r="G3569" s="120">
        <f t="shared" si="1358"/>
        <v>24334</v>
      </c>
      <c r="H3569" s="245">
        <f t="shared" si="1359"/>
        <v>1</v>
      </c>
      <c r="I3569" s="121">
        <f t="shared" si="1360"/>
        <v>1</v>
      </c>
      <c r="J3569" s="121">
        <f t="shared" si="1361"/>
        <v>1</v>
      </c>
      <c r="K3569" s="120">
        <f t="shared" si="1362"/>
        <v>0</v>
      </c>
      <c r="L3569" s="120">
        <f t="shared" si="1363"/>
        <v>0</v>
      </c>
      <c r="M3569" s="246">
        <f t="shared" si="1364"/>
        <v>0</v>
      </c>
      <c r="N3569" s="121">
        <f t="shared" si="1365"/>
        <v>1</v>
      </c>
      <c r="O3569" s="246">
        <f t="shared" si="1366"/>
        <v>1</v>
      </c>
      <c r="P3569" s="121">
        <f t="shared" si="1367"/>
        <v>0</v>
      </c>
      <c r="Q3569" s="121">
        <f t="shared" si="1368"/>
        <v>0.25</v>
      </c>
      <c r="R3569" s="121">
        <f t="shared" si="1369"/>
        <v>0.75</v>
      </c>
      <c r="S3569" s="121" t="str">
        <f t="shared" si="1370"/>
        <v/>
      </c>
      <c r="T3569" s="121" t="str">
        <f t="shared" si="1371"/>
        <v/>
      </c>
      <c r="U3569" s="121">
        <f t="shared" si="1372"/>
        <v>1</v>
      </c>
    </row>
    <row r="3570" spans="1:21" x14ac:dyDescent="0.3">
      <c r="A3570" s="187">
        <v>36</v>
      </c>
      <c r="B3570" s="242">
        <f t="shared" si="1373"/>
        <v>46722</v>
      </c>
      <c r="C3570" s="243">
        <f t="shared" si="1354"/>
        <v>46752</v>
      </c>
      <c r="D3570" s="120">
        <f t="shared" si="1355"/>
        <v>31</v>
      </c>
      <c r="E3570" s="120">
        <f t="shared" si="1356"/>
        <v>12</v>
      </c>
      <c r="F3570" s="275">
        <f t="shared" si="1357"/>
        <v>46737.5</v>
      </c>
      <c r="G3570" s="120">
        <f t="shared" si="1358"/>
        <v>24335</v>
      </c>
      <c r="H3570" s="245">
        <f t="shared" si="1359"/>
        <v>1</v>
      </c>
      <c r="I3570" s="121">
        <f t="shared" si="1360"/>
        <v>1</v>
      </c>
      <c r="J3570" s="121">
        <f t="shared" si="1361"/>
        <v>1</v>
      </c>
      <c r="K3570" s="120">
        <f t="shared" si="1362"/>
        <v>0</v>
      </c>
      <c r="L3570" s="120">
        <f t="shared" si="1363"/>
        <v>0</v>
      </c>
      <c r="M3570" s="246">
        <f t="shared" si="1364"/>
        <v>0</v>
      </c>
      <c r="N3570" s="121">
        <f t="shared" si="1365"/>
        <v>1</v>
      </c>
      <c r="O3570" s="246">
        <f t="shared" si="1366"/>
        <v>1</v>
      </c>
      <c r="P3570" s="121">
        <f t="shared" si="1367"/>
        <v>0</v>
      </c>
      <c r="Q3570" s="121">
        <f t="shared" si="1368"/>
        <v>8.3333333333333329E-2</v>
      </c>
      <c r="R3570" s="121">
        <f t="shared" si="1369"/>
        <v>0.91666666666666663</v>
      </c>
      <c r="S3570" s="121" t="str">
        <f t="shared" si="1370"/>
        <v/>
      </c>
      <c r="T3570" s="121" t="str">
        <f t="shared" si="1371"/>
        <v/>
      </c>
      <c r="U3570" s="121">
        <f t="shared" si="1372"/>
        <v>1</v>
      </c>
    </row>
    <row r="3571" spans="1:21" x14ac:dyDescent="0.3">
      <c r="A3571" s="187">
        <v>37</v>
      </c>
      <c r="B3571" s="242">
        <f t="shared" si="1373"/>
        <v>46753</v>
      </c>
      <c r="C3571" s="243">
        <f t="shared" si="1354"/>
        <v>46783</v>
      </c>
      <c r="D3571" s="120">
        <f t="shared" si="1355"/>
        <v>31</v>
      </c>
      <c r="E3571" s="120">
        <f t="shared" si="1356"/>
        <v>1</v>
      </c>
      <c r="F3571" s="275">
        <f t="shared" si="1357"/>
        <v>46768.5</v>
      </c>
      <c r="G3571" s="120">
        <f t="shared" si="1358"/>
        <v>24336</v>
      </c>
      <c r="H3571" s="245">
        <f t="shared" si="1359"/>
        <v>1</v>
      </c>
      <c r="I3571" s="121">
        <f t="shared" si="1360"/>
        <v>1</v>
      </c>
      <c r="J3571" s="121">
        <f t="shared" si="1361"/>
        <v>1</v>
      </c>
      <c r="K3571" s="120">
        <f t="shared" si="1362"/>
        <v>0</v>
      </c>
      <c r="L3571" s="120">
        <f t="shared" si="1363"/>
        <v>0</v>
      </c>
      <c r="M3571" s="246">
        <f t="shared" si="1364"/>
        <v>0</v>
      </c>
      <c r="N3571" s="121">
        <f t="shared" si="1365"/>
        <v>1</v>
      </c>
      <c r="O3571" s="246">
        <f t="shared" si="1366"/>
        <v>1</v>
      </c>
      <c r="P3571" s="121">
        <f t="shared" si="1367"/>
        <v>0</v>
      </c>
      <c r="Q3571" s="121">
        <f t="shared" si="1368"/>
        <v>0</v>
      </c>
      <c r="R3571" s="121">
        <f t="shared" si="1369"/>
        <v>1</v>
      </c>
      <c r="S3571" s="121" t="str">
        <f t="shared" si="1370"/>
        <v/>
      </c>
      <c r="T3571" s="121" t="str">
        <f t="shared" si="1371"/>
        <v/>
      </c>
      <c r="U3571" s="121">
        <f t="shared" si="1372"/>
        <v>1</v>
      </c>
    </row>
    <row r="3572" spans="1:21" x14ac:dyDescent="0.3">
      <c r="A3572" s="187">
        <v>38</v>
      </c>
      <c r="B3572" s="242">
        <f t="shared" si="1373"/>
        <v>46784</v>
      </c>
      <c r="C3572" s="243">
        <f t="shared" si="1354"/>
        <v>46812</v>
      </c>
      <c r="D3572" s="120">
        <f t="shared" si="1355"/>
        <v>29</v>
      </c>
      <c r="E3572" s="120">
        <f t="shared" si="1356"/>
        <v>2</v>
      </c>
      <c r="F3572" s="275">
        <f t="shared" si="1357"/>
        <v>46798.5</v>
      </c>
      <c r="G3572" s="120">
        <f t="shared" si="1358"/>
        <v>24337</v>
      </c>
      <c r="H3572" s="245">
        <f t="shared" si="1359"/>
        <v>1</v>
      </c>
      <c r="I3572" s="121">
        <f t="shared" si="1360"/>
        <v>1</v>
      </c>
      <c r="J3572" s="121">
        <f t="shared" si="1361"/>
        <v>1</v>
      </c>
      <c r="K3572" s="120">
        <f t="shared" si="1362"/>
        <v>0</v>
      </c>
      <c r="L3572" s="120">
        <f t="shared" si="1363"/>
        <v>0</v>
      </c>
      <c r="M3572" s="246">
        <f t="shared" si="1364"/>
        <v>0</v>
      </c>
      <c r="N3572" s="121">
        <f t="shared" si="1365"/>
        <v>1</v>
      </c>
      <c r="O3572" s="246">
        <f t="shared" si="1366"/>
        <v>1</v>
      </c>
      <c r="P3572" s="121">
        <f t="shared" si="1367"/>
        <v>0</v>
      </c>
      <c r="Q3572" s="121">
        <f t="shared" si="1368"/>
        <v>0</v>
      </c>
      <c r="R3572" s="121">
        <f t="shared" si="1369"/>
        <v>1</v>
      </c>
      <c r="S3572" s="121" t="str">
        <f t="shared" si="1370"/>
        <v/>
      </c>
      <c r="T3572" s="121" t="str">
        <f t="shared" si="1371"/>
        <v/>
      </c>
      <c r="U3572" s="121">
        <f t="shared" si="1372"/>
        <v>1</v>
      </c>
    </row>
    <row r="3573" spans="1:21" x14ac:dyDescent="0.3">
      <c r="A3573" s="187">
        <v>39</v>
      </c>
      <c r="B3573" s="242">
        <f t="shared" si="1373"/>
        <v>46813</v>
      </c>
      <c r="C3573" s="243">
        <f t="shared" si="1354"/>
        <v>46843</v>
      </c>
      <c r="D3573" s="120">
        <f t="shared" si="1355"/>
        <v>31</v>
      </c>
      <c r="E3573" s="120">
        <f t="shared" si="1356"/>
        <v>3</v>
      </c>
      <c r="F3573" s="275">
        <f t="shared" si="1357"/>
        <v>46828.5</v>
      </c>
      <c r="G3573" s="120">
        <f t="shared" si="1358"/>
        <v>24338</v>
      </c>
      <c r="H3573" s="245">
        <f t="shared" si="1359"/>
        <v>1</v>
      </c>
      <c r="I3573" s="121">
        <f t="shared" si="1360"/>
        <v>1</v>
      </c>
      <c r="J3573" s="121">
        <f t="shared" si="1361"/>
        <v>1</v>
      </c>
      <c r="K3573" s="120">
        <f t="shared" si="1362"/>
        <v>0</v>
      </c>
      <c r="L3573" s="120">
        <f t="shared" si="1363"/>
        <v>0</v>
      </c>
      <c r="M3573" s="246">
        <f t="shared" si="1364"/>
        <v>0</v>
      </c>
      <c r="N3573" s="121">
        <f t="shared" si="1365"/>
        <v>1</v>
      </c>
      <c r="O3573" s="246">
        <f t="shared" si="1366"/>
        <v>1</v>
      </c>
      <c r="P3573" s="121">
        <f t="shared" si="1367"/>
        <v>0</v>
      </c>
      <c r="Q3573" s="121">
        <f t="shared" si="1368"/>
        <v>0</v>
      </c>
      <c r="R3573" s="121">
        <f t="shared" si="1369"/>
        <v>1</v>
      </c>
      <c r="S3573" s="121" t="str">
        <f t="shared" si="1370"/>
        <v/>
      </c>
      <c r="T3573" s="121" t="str">
        <f t="shared" si="1371"/>
        <v/>
      </c>
      <c r="U3573" s="121">
        <f t="shared" si="1372"/>
        <v>1</v>
      </c>
    </row>
    <row r="3574" spans="1:21" x14ac:dyDescent="0.3">
      <c r="A3574" s="187">
        <v>40</v>
      </c>
      <c r="B3574" s="242">
        <f t="shared" si="1373"/>
        <v>46844</v>
      </c>
      <c r="C3574" s="243">
        <f t="shared" si="1354"/>
        <v>46873</v>
      </c>
      <c r="D3574" s="120">
        <f t="shared" si="1355"/>
        <v>30</v>
      </c>
      <c r="E3574" s="120">
        <f t="shared" si="1356"/>
        <v>4</v>
      </c>
      <c r="F3574" s="275">
        <f t="shared" si="1357"/>
        <v>46859</v>
      </c>
      <c r="G3574" s="120">
        <f t="shared" si="1358"/>
        <v>24339</v>
      </c>
      <c r="H3574" s="245">
        <f t="shared" si="1359"/>
        <v>1</v>
      </c>
      <c r="I3574" s="121">
        <f t="shared" si="1360"/>
        <v>1</v>
      </c>
      <c r="J3574" s="121">
        <f t="shared" si="1361"/>
        <v>1</v>
      </c>
      <c r="K3574" s="120">
        <f t="shared" si="1362"/>
        <v>0</v>
      </c>
      <c r="L3574" s="120">
        <f t="shared" si="1363"/>
        <v>0</v>
      </c>
      <c r="M3574" s="246">
        <f t="shared" si="1364"/>
        <v>0</v>
      </c>
      <c r="N3574" s="121">
        <f t="shared" si="1365"/>
        <v>1</v>
      </c>
      <c r="O3574" s="246">
        <f t="shared" si="1366"/>
        <v>1</v>
      </c>
      <c r="P3574" s="121">
        <f t="shared" si="1367"/>
        <v>0</v>
      </c>
      <c r="Q3574" s="121">
        <f t="shared" si="1368"/>
        <v>0</v>
      </c>
      <c r="R3574" s="121">
        <f t="shared" si="1369"/>
        <v>1</v>
      </c>
      <c r="S3574" s="121" t="str">
        <f t="shared" si="1370"/>
        <v/>
      </c>
      <c r="T3574" s="121" t="str">
        <f t="shared" si="1371"/>
        <v/>
      </c>
      <c r="U3574" s="121">
        <f t="shared" si="1372"/>
        <v>1</v>
      </c>
    </row>
    <row r="3575" spans="1:21" x14ac:dyDescent="0.3">
      <c r="A3575" s="187">
        <v>41</v>
      </c>
      <c r="B3575" s="242">
        <f t="shared" si="1373"/>
        <v>46874</v>
      </c>
      <c r="C3575" s="243">
        <f t="shared" si="1354"/>
        <v>46904</v>
      </c>
      <c r="D3575" s="120">
        <f t="shared" si="1355"/>
        <v>31</v>
      </c>
      <c r="E3575" s="120">
        <f t="shared" si="1356"/>
        <v>5</v>
      </c>
      <c r="F3575" s="275">
        <f t="shared" si="1357"/>
        <v>46889.5</v>
      </c>
      <c r="G3575" s="120">
        <f t="shared" si="1358"/>
        <v>24340</v>
      </c>
      <c r="H3575" s="245">
        <f t="shared" si="1359"/>
        <v>1</v>
      </c>
      <c r="I3575" s="121">
        <f t="shared" si="1360"/>
        <v>1</v>
      </c>
      <c r="J3575" s="121">
        <f t="shared" si="1361"/>
        <v>1</v>
      </c>
      <c r="K3575" s="120">
        <f t="shared" si="1362"/>
        <v>0</v>
      </c>
      <c r="L3575" s="120">
        <f t="shared" si="1363"/>
        <v>0</v>
      </c>
      <c r="M3575" s="246">
        <f t="shared" si="1364"/>
        <v>0</v>
      </c>
      <c r="N3575" s="121">
        <f t="shared" si="1365"/>
        <v>1</v>
      </c>
      <c r="O3575" s="246">
        <f t="shared" si="1366"/>
        <v>1</v>
      </c>
      <c r="P3575" s="121">
        <f t="shared" si="1367"/>
        <v>0</v>
      </c>
      <c r="Q3575" s="121">
        <f t="shared" si="1368"/>
        <v>0</v>
      </c>
      <c r="R3575" s="121">
        <f t="shared" si="1369"/>
        <v>1</v>
      </c>
      <c r="S3575" s="121" t="str">
        <f t="shared" si="1370"/>
        <v/>
      </c>
      <c r="T3575" s="121" t="str">
        <f t="shared" si="1371"/>
        <v/>
      </c>
      <c r="U3575" s="121">
        <f t="shared" si="1372"/>
        <v>1</v>
      </c>
    </row>
    <row r="3576" spans="1:21" x14ac:dyDescent="0.3">
      <c r="A3576" s="187">
        <v>42</v>
      </c>
      <c r="B3576" s="242">
        <f t="shared" si="1373"/>
        <v>46905</v>
      </c>
      <c r="C3576" s="243">
        <f t="shared" si="1354"/>
        <v>46934</v>
      </c>
      <c r="D3576" s="120">
        <f t="shared" si="1355"/>
        <v>30</v>
      </c>
      <c r="E3576" s="120">
        <f t="shared" si="1356"/>
        <v>6</v>
      </c>
      <c r="F3576" s="275">
        <f t="shared" si="1357"/>
        <v>46920</v>
      </c>
      <c r="G3576" s="120">
        <f t="shared" si="1358"/>
        <v>24341</v>
      </c>
      <c r="H3576" s="245">
        <f t="shared" si="1359"/>
        <v>1</v>
      </c>
      <c r="I3576" s="121">
        <f t="shared" si="1360"/>
        <v>1</v>
      </c>
      <c r="J3576" s="121">
        <f t="shared" si="1361"/>
        <v>1</v>
      </c>
      <c r="K3576" s="120">
        <f t="shared" si="1362"/>
        <v>0</v>
      </c>
      <c r="L3576" s="120">
        <f t="shared" si="1363"/>
        <v>0</v>
      </c>
      <c r="M3576" s="246">
        <f t="shared" si="1364"/>
        <v>0</v>
      </c>
      <c r="N3576" s="121">
        <f t="shared" si="1365"/>
        <v>1</v>
      </c>
      <c r="O3576" s="246">
        <f t="shared" si="1366"/>
        <v>1</v>
      </c>
      <c r="P3576" s="121">
        <f t="shared" si="1367"/>
        <v>0</v>
      </c>
      <c r="Q3576" s="121">
        <f t="shared" si="1368"/>
        <v>0</v>
      </c>
      <c r="R3576" s="121">
        <f t="shared" si="1369"/>
        <v>1</v>
      </c>
      <c r="S3576" s="121" t="str">
        <f t="shared" si="1370"/>
        <v/>
      </c>
      <c r="T3576" s="121" t="str">
        <f t="shared" si="1371"/>
        <v/>
      </c>
      <c r="U3576" s="121">
        <f t="shared" si="1372"/>
        <v>1</v>
      </c>
    </row>
    <row r="3577" spans="1:21" x14ac:dyDescent="0.3">
      <c r="A3577" s="187">
        <v>43</v>
      </c>
      <c r="B3577" s="242">
        <f t="shared" si="1373"/>
        <v>46935</v>
      </c>
      <c r="C3577" s="243">
        <f t="shared" si="1354"/>
        <v>46965</v>
      </c>
      <c r="D3577" s="120">
        <f t="shared" si="1355"/>
        <v>31</v>
      </c>
      <c r="E3577" s="120">
        <f t="shared" si="1356"/>
        <v>7</v>
      </c>
      <c r="F3577" s="275">
        <f t="shared" si="1357"/>
        <v>46950.5</v>
      </c>
      <c r="G3577" s="120">
        <f t="shared" si="1358"/>
        <v>24342</v>
      </c>
      <c r="H3577" s="245">
        <f t="shared" si="1359"/>
        <v>1</v>
      </c>
      <c r="I3577" s="121">
        <f t="shared" si="1360"/>
        <v>1</v>
      </c>
      <c r="J3577" s="121">
        <f t="shared" si="1361"/>
        <v>1</v>
      </c>
      <c r="K3577" s="120">
        <f t="shared" si="1362"/>
        <v>0</v>
      </c>
      <c r="L3577" s="120">
        <f t="shared" si="1363"/>
        <v>0</v>
      </c>
      <c r="M3577" s="246">
        <f t="shared" si="1364"/>
        <v>0</v>
      </c>
      <c r="N3577" s="121">
        <f t="shared" si="1365"/>
        <v>1</v>
      </c>
      <c r="O3577" s="246">
        <f t="shared" si="1366"/>
        <v>1</v>
      </c>
      <c r="P3577" s="121">
        <f t="shared" si="1367"/>
        <v>0</v>
      </c>
      <c r="Q3577" s="121">
        <f t="shared" si="1368"/>
        <v>0</v>
      </c>
      <c r="R3577" s="121">
        <f t="shared" si="1369"/>
        <v>0.91666666666666663</v>
      </c>
      <c r="S3577" s="121" t="str">
        <f t="shared" si="1370"/>
        <v/>
      </c>
      <c r="T3577" s="121" t="str">
        <f t="shared" si="1371"/>
        <v/>
      </c>
      <c r="U3577" s="121">
        <f t="shared" si="1372"/>
        <v>1</v>
      </c>
    </row>
    <row r="3578" spans="1:21" x14ac:dyDescent="0.3">
      <c r="A3578" s="187">
        <v>44</v>
      </c>
      <c r="B3578" s="242">
        <f t="shared" si="1373"/>
        <v>46966</v>
      </c>
      <c r="C3578" s="243">
        <f t="shared" si="1354"/>
        <v>46996</v>
      </c>
      <c r="D3578" s="120">
        <f t="shared" si="1355"/>
        <v>31</v>
      </c>
      <c r="E3578" s="120">
        <f t="shared" si="1356"/>
        <v>8</v>
      </c>
      <c r="F3578" s="275">
        <f t="shared" si="1357"/>
        <v>46981.5</v>
      </c>
      <c r="G3578" s="120">
        <f t="shared" si="1358"/>
        <v>24343</v>
      </c>
      <c r="H3578" s="245">
        <f t="shared" si="1359"/>
        <v>1</v>
      </c>
      <c r="I3578" s="121">
        <f t="shared" si="1360"/>
        <v>1</v>
      </c>
      <c r="J3578" s="121">
        <f t="shared" si="1361"/>
        <v>1</v>
      </c>
      <c r="K3578" s="120">
        <f t="shared" si="1362"/>
        <v>0</v>
      </c>
      <c r="L3578" s="120">
        <f t="shared" si="1363"/>
        <v>0</v>
      </c>
      <c r="M3578" s="246">
        <f t="shared" si="1364"/>
        <v>0</v>
      </c>
      <c r="N3578" s="121">
        <f t="shared" si="1365"/>
        <v>1</v>
      </c>
      <c r="O3578" s="246">
        <f t="shared" si="1366"/>
        <v>1</v>
      </c>
      <c r="P3578" s="121">
        <f t="shared" si="1367"/>
        <v>0</v>
      </c>
      <c r="Q3578" s="121">
        <f t="shared" si="1368"/>
        <v>0</v>
      </c>
      <c r="R3578" s="121">
        <f t="shared" si="1369"/>
        <v>0.75</v>
      </c>
      <c r="S3578" s="121" t="str">
        <f t="shared" si="1370"/>
        <v/>
      </c>
      <c r="T3578" s="121" t="str">
        <f t="shared" si="1371"/>
        <v/>
      </c>
      <c r="U3578" s="121">
        <f t="shared" si="1372"/>
        <v>1</v>
      </c>
    </row>
    <row r="3579" spans="1:21" x14ac:dyDescent="0.3">
      <c r="A3579" s="187">
        <v>45</v>
      </c>
      <c r="B3579" s="242">
        <f t="shared" si="1373"/>
        <v>46997</v>
      </c>
      <c r="C3579" s="243">
        <f t="shared" si="1354"/>
        <v>47026</v>
      </c>
      <c r="D3579" s="120">
        <f t="shared" si="1355"/>
        <v>30</v>
      </c>
      <c r="E3579" s="120">
        <f t="shared" si="1356"/>
        <v>9</v>
      </c>
      <c r="F3579" s="275">
        <f t="shared" si="1357"/>
        <v>47012</v>
      </c>
      <c r="G3579" s="120">
        <f t="shared" si="1358"/>
        <v>24344</v>
      </c>
      <c r="H3579" s="245">
        <f t="shared" si="1359"/>
        <v>1</v>
      </c>
      <c r="I3579" s="121">
        <f t="shared" si="1360"/>
        <v>1</v>
      </c>
      <c r="J3579" s="121">
        <f t="shared" si="1361"/>
        <v>1</v>
      </c>
      <c r="K3579" s="120">
        <f t="shared" si="1362"/>
        <v>0</v>
      </c>
      <c r="L3579" s="120">
        <f t="shared" si="1363"/>
        <v>0</v>
      </c>
      <c r="M3579" s="246">
        <f t="shared" si="1364"/>
        <v>0</v>
      </c>
      <c r="N3579" s="121">
        <f t="shared" si="1365"/>
        <v>1</v>
      </c>
      <c r="O3579" s="246">
        <f t="shared" si="1366"/>
        <v>1</v>
      </c>
      <c r="P3579" s="121">
        <f t="shared" si="1367"/>
        <v>0</v>
      </c>
      <c r="Q3579" s="121">
        <f t="shared" si="1368"/>
        <v>0</v>
      </c>
      <c r="R3579" s="121">
        <f t="shared" si="1369"/>
        <v>0.58333333333333337</v>
      </c>
      <c r="S3579" s="121" t="str">
        <f t="shared" si="1370"/>
        <v/>
      </c>
      <c r="T3579" s="121" t="str">
        <f t="shared" si="1371"/>
        <v/>
      </c>
      <c r="U3579" s="121">
        <f t="shared" si="1372"/>
        <v>1</v>
      </c>
    </row>
    <row r="3580" spans="1:21" x14ac:dyDescent="0.3">
      <c r="A3580" s="187">
        <v>46</v>
      </c>
      <c r="B3580" s="242">
        <f t="shared" si="1373"/>
        <v>47027</v>
      </c>
      <c r="C3580" s="243">
        <f t="shared" si="1354"/>
        <v>47057</v>
      </c>
      <c r="D3580" s="120">
        <f t="shared" si="1355"/>
        <v>31</v>
      </c>
      <c r="E3580" s="120">
        <f t="shared" si="1356"/>
        <v>10</v>
      </c>
      <c r="F3580" s="275">
        <f t="shared" si="1357"/>
        <v>47042.5</v>
      </c>
      <c r="G3580" s="120">
        <f t="shared" si="1358"/>
        <v>24345</v>
      </c>
      <c r="H3580" s="245">
        <f t="shared" si="1359"/>
        <v>1</v>
      </c>
      <c r="I3580" s="121">
        <f t="shared" si="1360"/>
        <v>1</v>
      </c>
      <c r="J3580" s="121">
        <f t="shared" si="1361"/>
        <v>1</v>
      </c>
      <c r="K3580" s="120">
        <f t="shared" si="1362"/>
        <v>0</v>
      </c>
      <c r="L3580" s="120">
        <f t="shared" si="1363"/>
        <v>0</v>
      </c>
      <c r="M3580" s="246">
        <f t="shared" si="1364"/>
        <v>0</v>
      </c>
      <c r="N3580" s="121">
        <f t="shared" si="1365"/>
        <v>1</v>
      </c>
      <c r="O3580" s="246">
        <f t="shared" si="1366"/>
        <v>1</v>
      </c>
      <c r="P3580" s="121">
        <f t="shared" si="1367"/>
        <v>0</v>
      </c>
      <c r="Q3580" s="121">
        <f t="shared" si="1368"/>
        <v>0</v>
      </c>
      <c r="R3580" s="121">
        <f t="shared" si="1369"/>
        <v>0.41666666666666669</v>
      </c>
      <c r="S3580" s="121" t="str">
        <f t="shared" si="1370"/>
        <v/>
      </c>
      <c r="T3580" s="121" t="str">
        <f t="shared" si="1371"/>
        <v/>
      </c>
      <c r="U3580" s="121">
        <f t="shared" si="1372"/>
        <v>1</v>
      </c>
    </row>
    <row r="3581" spans="1:21" x14ac:dyDescent="0.3">
      <c r="A3581" s="187">
        <v>47</v>
      </c>
      <c r="B3581" s="242">
        <f t="shared" si="1373"/>
        <v>47058</v>
      </c>
      <c r="C3581" s="243">
        <f t="shared" si="1354"/>
        <v>47087</v>
      </c>
      <c r="D3581" s="120">
        <f t="shared" si="1355"/>
        <v>30</v>
      </c>
      <c r="E3581" s="120">
        <f t="shared" si="1356"/>
        <v>11</v>
      </c>
      <c r="F3581" s="275">
        <f t="shared" si="1357"/>
        <v>47073</v>
      </c>
      <c r="G3581" s="120">
        <f t="shared" si="1358"/>
        <v>24346</v>
      </c>
      <c r="H3581" s="245">
        <f t="shared" si="1359"/>
        <v>1</v>
      </c>
      <c r="I3581" s="121">
        <f t="shared" si="1360"/>
        <v>1</v>
      </c>
      <c r="J3581" s="121">
        <f t="shared" si="1361"/>
        <v>1</v>
      </c>
      <c r="K3581" s="120">
        <f t="shared" si="1362"/>
        <v>0</v>
      </c>
      <c r="L3581" s="120">
        <f t="shared" si="1363"/>
        <v>0</v>
      </c>
      <c r="M3581" s="246">
        <f t="shared" si="1364"/>
        <v>0</v>
      </c>
      <c r="N3581" s="121">
        <f t="shared" si="1365"/>
        <v>1</v>
      </c>
      <c r="O3581" s="246">
        <f t="shared" si="1366"/>
        <v>1</v>
      </c>
      <c r="P3581" s="121">
        <f t="shared" si="1367"/>
        <v>0</v>
      </c>
      <c r="Q3581" s="121">
        <f t="shared" si="1368"/>
        <v>0</v>
      </c>
      <c r="R3581" s="121">
        <f t="shared" si="1369"/>
        <v>0.25</v>
      </c>
      <c r="S3581" s="121" t="str">
        <f t="shared" si="1370"/>
        <v/>
      </c>
      <c r="T3581" s="121" t="str">
        <f t="shared" si="1371"/>
        <v/>
      </c>
      <c r="U3581" s="121">
        <f t="shared" si="1372"/>
        <v>1</v>
      </c>
    </row>
    <row r="3582" spans="1:21" x14ac:dyDescent="0.3">
      <c r="A3582" s="187">
        <v>48</v>
      </c>
      <c r="B3582" s="242">
        <f t="shared" si="1373"/>
        <v>47088</v>
      </c>
      <c r="C3582" s="243">
        <f t="shared" si="1354"/>
        <v>47118</v>
      </c>
      <c r="D3582" s="120">
        <f t="shared" si="1355"/>
        <v>31</v>
      </c>
      <c r="E3582" s="120">
        <f t="shared" si="1356"/>
        <v>12</v>
      </c>
      <c r="F3582" s="275">
        <f t="shared" si="1357"/>
        <v>47103.5</v>
      </c>
      <c r="G3582" s="120">
        <f t="shared" si="1358"/>
        <v>24347</v>
      </c>
      <c r="H3582" s="245">
        <f t="shared" si="1359"/>
        <v>1</v>
      </c>
      <c r="I3582" s="121">
        <f t="shared" si="1360"/>
        <v>1</v>
      </c>
      <c r="J3582" s="121">
        <f t="shared" si="1361"/>
        <v>1</v>
      </c>
      <c r="K3582" s="120">
        <f t="shared" si="1362"/>
        <v>0</v>
      </c>
      <c r="L3582" s="120">
        <f t="shared" si="1363"/>
        <v>0</v>
      </c>
      <c r="M3582" s="246">
        <f t="shared" si="1364"/>
        <v>0</v>
      </c>
      <c r="N3582" s="121">
        <f t="shared" si="1365"/>
        <v>1</v>
      </c>
      <c r="O3582" s="246">
        <f t="shared" si="1366"/>
        <v>1</v>
      </c>
      <c r="P3582" s="121">
        <f t="shared" si="1367"/>
        <v>0</v>
      </c>
      <c r="Q3582" s="121">
        <f t="shared" si="1368"/>
        <v>0</v>
      </c>
      <c r="R3582" s="121">
        <f t="shared" si="1369"/>
        <v>8.3333333333333329E-2</v>
      </c>
      <c r="S3582" s="121" t="str">
        <f t="shared" si="1370"/>
        <v/>
      </c>
      <c r="T3582" s="121" t="str">
        <f t="shared" si="1371"/>
        <v/>
      </c>
      <c r="U3582" s="121">
        <f t="shared" si="1372"/>
        <v>1</v>
      </c>
    </row>
    <row r="3583" spans="1:21" x14ac:dyDescent="0.3">
      <c r="A3583" s="6" t="s">
        <v>1651</v>
      </c>
      <c r="B3583" s="73">
        <f>EXP(SUMPRODUCT((rl_key=$A$3532)*(rl_cons="Y")*rl_ln1p))</f>
        <v>1</v>
      </c>
      <c r="C3583" s="73">
        <f>SUMPRODUCT($H$3535:$H$3582,$P$3535:$P$3582,$U$3535:$U$3582)/SUMPRODUCT($H$3535:$H$3582,$P$3535:$P$3582)</f>
        <v>1</v>
      </c>
      <c r="D3583" s="73">
        <f>SUMPRODUCT($H$3535:$H$3582,$Q$3535:$Q$3582,$U$3535:$U$3582)/SUMPRODUCT($H$3535:$H$3582,$Q$3535:$Q$3582)</f>
        <v>1</v>
      </c>
      <c r="E3583" s="73">
        <f>SUMPRODUCT($H$3535:$H$3582,$R$3535:$R$3582,$U$3535:$U$3582)/SUMPRODUCT($H$3535:$H$3582,$R$3535:$R$3582)</f>
        <v>1</v>
      </c>
      <c r="F3583" s="224">
        <f>SUMPRODUCT($H$3535:$H$3582,$Q$3535:$Q$3582,$O$3535:$O$3582)/SUMPRODUCT($H$3535:$H$3582,$Q$3535:$Q$3582)</f>
        <v>1</v>
      </c>
      <c r="G3583" s="224">
        <f>SUMPRODUCT($H$3535:$H$3582,$R$3535:$R$3582,$O$3535:$O$3582)/SUMPRODUCT($H$3535:$H$3582,$R$3535:$R$3582)</f>
        <v>1</v>
      </c>
      <c r="H3583" s="73">
        <f>SUMPRODUCT($H$3559:$H$3570,$N$3559:$N$3570/$N$3547:$N$3558)/SUM($H$3559:$H$3570)</f>
        <v>1</v>
      </c>
      <c r="I3583" s="73">
        <f>SUMPRODUCT($H$3559:$H$3570,$O$3559:$O$3570/$O$3547:$O$3558)/SUM($H$3559:$H$3570)</f>
        <v>1</v>
      </c>
      <c r="J3583" s="73">
        <f>IF($O$3532=1,SUMPRODUCT($H$3559:$H$3570,$N$3559:$N$3570/$N$3547:$N$3558*$O$3559:$O$3570/$O$3547:$O$3558)/SUM($H$3559:$H$3570),$H3583)</f>
        <v>1</v>
      </c>
      <c r="K3583" s="73">
        <f>SUMPRODUCT($H$3535:$H$3582,$Q$3535:$Q$3582,$N$3535:$N$3582)/SUMPRODUCT($H$3535:$H$3582,$Q$3535:$Q$3582)</f>
        <v>1</v>
      </c>
      <c r="L3583" s="73">
        <f>SUMPRODUCT($H$3535:$H$3582,$R$3535:$R$3582,$N$3535:$N$3582)/SUMPRODUCT($H$3535:$H$3582,$R$3535:$R$3582)</f>
        <v>1</v>
      </c>
    </row>
    <row r="3586" spans="1:21" x14ac:dyDescent="0.3">
      <c r="A3586" s="6" t="str">
        <f>INDEX(lr_key,66)</f>
        <v/>
      </c>
      <c r="B3586" s="6">
        <f>INDEX(lr_state,66)</f>
        <v>0</v>
      </c>
      <c r="C3586" s="75">
        <f>nr_TermMonths</f>
        <v>6</v>
      </c>
      <c r="D3586" s="75">
        <f>IF(COUNTIF(se_state,$B3586)=0,0,MATCH($B3586,se_state,0))</f>
        <v>0</v>
      </c>
      <c r="E3586" s="70">
        <f>IF($D3586=0,0,INDEX(se_sum,$D3586))</f>
        <v>0</v>
      </c>
      <c r="F3586" s="224">
        <f>IF(N(INDEX(lr_mind,66))=0,1,INDEX(lr_mind,66))</f>
        <v>1</v>
      </c>
      <c r="G3586" s="224">
        <f>IF(N(INDEX(lr_m0,66))=0,1,INDEX(lr_m0,66))</f>
        <v>1</v>
      </c>
      <c r="H3586" s="74">
        <f>IF(N(INDEX(lr_m0asof,66))=0,DATE(nr_PlanYear-1,10,1),INDEX(lr_m0asof,66))</f>
        <v>46296</v>
      </c>
      <c r="I3586" s="224">
        <f>IF(N(INDEX(lr_m1,66))=0,1,INDEX(lr_m1,66))</f>
        <v>1</v>
      </c>
      <c r="J3586" s="224">
        <f>INDEX(lr_mprior,66)</f>
        <v>0</v>
      </c>
      <c r="K3586" s="224">
        <f>INDEX(lr_m2,66)</f>
        <v>0</v>
      </c>
      <c r="L3586" s="6" t="b">
        <f>NOT(ISBLANK(INDEX(lr_netp,66)))</f>
        <v>0</v>
      </c>
      <c r="M3586" s="72">
        <f>N(INDEX(lr_netp,66))</f>
        <v>0</v>
      </c>
      <c r="N3586" s="72">
        <f>IF(ISBLANK(INDEX(lr_netp1,66)),$M$3586,N(INDEX(lr_netp1,66)))</f>
        <v>0</v>
      </c>
      <c r="O3586" s="75">
        <f>IF(AND(nr_ModAdjMaster="ON",INDEX(lr_modadj,66)="ON"),1,0)</f>
        <v>0</v>
      </c>
    </row>
    <row r="3587" spans="1:21" x14ac:dyDescent="0.3">
      <c r="A3587" s="6">
        <f>EDATE($H$3586,-12)+1</f>
        <v>45932</v>
      </c>
      <c r="B3587" s="6">
        <f>$H$3586+1</f>
        <v>46297</v>
      </c>
      <c r="C3587" s="6">
        <f>DATE(nr_PlanYear,12,31)+1</f>
        <v>46753</v>
      </c>
      <c r="D3587" s="6">
        <f>DATE(nr_PlanYear+1,12,31)+1</f>
        <v>47119</v>
      </c>
      <c r="E3587" s="6">
        <f>IF(N($J$3586)=0,$F$3587-($G$3587-$F$3587)/($C$3587-$B$3587)*($B$3587-$A$3587),$J$3586)</f>
        <v>1</v>
      </c>
      <c r="F3587" s="6">
        <f>$G$3586</f>
        <v>1</v>
      </c>
      <c r="G3587" s="6">
        <f>$I$3586</f>
        <v>1</v>
      </c>
      <c r="H3587" s="6">
        <f>IF(N($K$3586)=0,$I$3586,$K$3586)</f>
        <v>1</v>
      </c>
      <c r="I3587" s="6">
        <f>($F$3587-$E$3587)/($B$3587-$A$3587)</f>
        <v>0</v>
      </c>
      <c r="J3587" s="6">
        <f>($G$3587-$F$3587)/($C$3587-$B$3587)</f>
        <v>0</v>
      </c>
      <c r="K3587" s="6">
        <f>($H$3587-$G$3587)/($D$3587-$C$3587)</f>
        <v>0</v>
      </c>
    </row>
    <row r="3588" spans="1:21" ht="36" x14ac:dyDescent="0.3">
      <c r="A3588" s="58" t="s">
        <v>390</v>
      </c>
      <c r="B3588" s="58" t="s">
        <v>449</v>
      </c>
      <c r="C3588" s="58" t="s">
        <v>685</v>
      </c>
      <c r="D3588" s="58" t="s">
        <v>686</v>
      </c>
      <c r="E3588" s="58" t="s">
        <v>687</v>
      </c>
      <c r="F3588" s="58" t="s">
        <v>688</v>
      </c>
      <c r="G3588" s="58" t="s">
        <v>689</v>
      </c>
      <c r="H3588" s="58" t="s">
        <v>452</v>
      </c>
      <c r="I3588" s="58" t="s">
        <v>690</v>
      </c>
      <c r="J3588" s="58" t="s">
        <v>691</v>
      </c>
      <c r="K3588" s="58" t="s">
        <v>692</v>
      </c>
      <c r="L3588" s="58" t="s">
        <v>693</v>
      </c>
      <c r="M3588" s="58" t="s">
        <v>694</v>
      </c>
      <c r="N3588" s="58" t="s">
        <v>695</v>
      </c>
      <c r="O3588" s="58" t="s">
        <v>696</v>
      </c>
      <c r="P3588" s="58" t="s">
        <v>697</v>
      </c>
      <c r="Q3588" s="58" t="s">
        <v>698</v>
      </c>
      <c r="R3588" s="58" t="s">
        <v>699</v>
      </c>
      <c r="S3588" s="58" t="s">
        <v>700</v>
      </c>
      <c r="T3588" s="58" t="s">
        <v>701</v>
      </c>
      <c r="U3588" s="58" t="s">
        <v>702</v>
      </c>
    </row>
    <row r="3589" spans="1:21" x14ac:dyDescent="0.3">
      <c r="A3589" s="187">
        <v>1</v>
      </c>
      <c r="B3589" s="242">
        <f>DATE(nr_PlanYear-2,1,1)</f>
        <v>45658</v>
      </c>
      <c r="C3589" s="243">
        <f t="shared" ref="C3589:C3636" si="1374">EOMONTH($B3589,0)</f>
        <v>45688</v>
      </c>
      <c r="D3589" s="120">
        <f t="shared" ref="D3589:D3636" si="1375">$C3589-$B3589+1</f>
        <v>31</v>
      </c>
      <c r="E3589" s="120">
        <f t="shared" ref="E3589:E3636" si="1376">MONTH($B3589)</f>
        <v>1</v>
      </c>
      <c r="F3589" s="275">
        <f t="shared" ref="F3589:F3636" si="1377">($B3589+$C3589+1)/2</f>
        <v>45673.5</v>
      </c>
      <c r="G3589" s="120">
        <f t="shared" ref="G3589:G3636" si="1378">YEAR($B3589)*12+MONTH($B3589)-1</f>
        <v>24300</v>
      </c>
      <c r="H3589" s="245">
        <f t="shared" ref="H3589:H3636" si="1379">IF(OR(nr_SeasonOn="OFF",$D$3586=0,$E$3586=0),1,12*INDEX(se_block,$D$3586,$E3589)/$E$3586)</f>
        <v>1</v>
      </c>
      <c r="I3589" s="121">
        <f t="shared" ref="I3589:I3636" si="1380">EXP(SUMPRODUCT((rl_eff&lt;$B3589)*(rl_key=$A$3586)*rl_ln1p))</f>
        <v>1</v>
      </c>
      <c r="J3589" s="121">
        <f t="shared" ref="J3589:J3636" si="1381">EXP(SUMPRODUCT((rl_eff&lt;=$C3589)*(rl_key=$A$3586)*rl_ln1p))</f>
        <v>1</v>
      </c>
      <c r="K3589" s="120">
        <f t="shared" ref="K3589:K3636" si="1382">COUNTIFS(rl_key,$A$3586,rl_eff,"&gt;="&amp;$B3589,rl_eff,"&lt;="&amp;$C3589)</f>
        <v>0</v>
      </c>
      <c r="L3589" s="120">
        <f t="shared" ref="L3589:L3636" si="1383">SUMIFS(rl_daysafter,rl_key,$A$3586,rl_effmonth,$B3589,rl_first,1)</f>
        <v>0</v>
      </c>
      <c r="M3589" s="246">
        <f t="shared" ref="M3589:M3636" si="1384">IF($K3589=0,0,MIN(1,$L3589/$D3589))</f>
        <v>0</v>
      </c>
      <c r="N3589" s="121">
        <f t="shared" ref="N3589:N3636" si="1385">IF($K3589=0,$J3589,(1-$M3589)*$I3589+$M3589*$J3589)</f>
        <v>1</v>
      </c>
      <c r="O3589" s="246">
        <f t="shared" ref="O3589:O3636" si="1386">IF($F3589&lt;$B$3587,$E$3587+$I$3587*($F3589-$A$3587),IF($F3589&lt;$C$3587,$F$3587+$J$3587*($F3589-$B$3587),$G$3587+$K$3587*($F3589-$C$3587)))</f>
        <v>1</v>
      </c>
      <c r="P3589" s="121">
        <f t="shared" ref="P3589:P3636" si="1387">MIN(1,MAX(0,(nr_MEndPm1-$G3589+0.5)/$C$3586))-MIN(1,MAX(0,(nr_MStartPm1-1-$G3589+0.5)/$C$3586))</f>
        <v>0</v>
      </c>
      <c r="Q3589" s="121">
        <f t="shared" ref="Q3589:Q3636" si="1388">MIN(1,MAX(0,(nr_MEndP-$G3589+0.5)/$C$3586))-MIN(1,MAX(0,(nr_MStartP-1-$G3589+0.5)/$C$3586))</f>
        <v>0</v>
      </c>
      <c r="R3589" s="121">
        <f t="shared" ref="R3589:R3636" si="1389">MIN(1,MAX(0,(nr_MEndP1-$G3589+0.5)/$C$3586))-MIN(1,MAX(0,(nr_MStartP1-1-$G3589+0.5)/$C$3586))</f>
        <v>0</v>
      </c>
      <c r="S3589" s="121" t="str">
        <f t="shared" ref="S3589:S3636" si="1390">IF($L$3586,$N3589*IF($O$3586=1,$O3589/$F$3586,1),"")</f>
        <v/>
      </c>
      <c r="T3589" s="121" t="str">
        <f t="shared" ref="T3589:T3636" si="1391">IF(NOT($L$3586),"",IF($G3589&lt;nr_MStartP,$S3589,$T3577*(1+IF($G3589&lt;nr_MStartP1,$M$3586,$N$3586))))</f>
        <v/>
      </c>
      <c r="U3589" s="121">
        <f t="shared" ref="U3589:U3636" si="1392">IF($L$3586,$T3589,$N3589)</f>
        <v>1</v>
      </c>
    </row>
    <row r="3590" spans="1:21" x14ac:dyDescent="0.3">
      <c r="A3590" s="187">
        <v>2</v>
      </c>
      <c r="B3590" s="242">
        <f t="shared" ref="B3590:B3636" si="1393">EDATE($B3589,1)</f>
        <v>45689</v>
      </c>
      <c r="C3590" s="243">
        <f t="shared" si="1374"/>
        <v>45716</v>
      </c>
      <c r="D3590" s="120">
        <f t="shared" si="1375"/>
        <v>28</v>
      </c>
      <c r="E3590" s="120">
        <f t="shared" si="1376"/>
        <v>2</v>
      </c>
      <c r="F3590" s="275">
        <f t="shared" si="1377"/>
        <v>45703</v>
      </c>
      <c r="G3590" s="120">
        <f t="shared" si="1378"/>
        <v>24301</v>
      </c>
      <c r="H3590" s="245">
        <f t="shared" si="1379"/>
        <v>1</v>
      </c>
      <c r="I3590" s="121">
        <f t="shared" si="1380"/>
        <v>1</v>
      </c>
      <c r="J3590" s="121">
        <f t="shared" si="1381"/>
        <v>1</v>
      </c>
      <c r="K3590" s="120">
        <f t="shared" si="1382"/>
        <v>0</v>
      </c>
      <c r="L3590" s="120">
        <f t="shared" si="1383"/>
        <v>0</v>
      </c>
      <c r="M3590" s="246">
        <f t="shared" si="1384"/>
        <v>0</v>
      </c>
      <c r="N3590" s="121">
        <f t="shared" si="1385"/>
        <v>1</v>
      </c>
      <c r="O3590" s="246">
        <f t="shared" si="1386"/>
        <v>1</v>
      </c>
      <c r="P3590" s="121">
        <f t="shared" si="1387"/>
        <v>0</v>
      </c>
      <c r="Q3590" s="121">
        <f t="shared" si="1388"/>
        <v>0</v>
      </c>
      <c r="R3590" s="121">
        <f t="shared" si="1389"/>
        <v>0</v>
      </c>
      <c r="S3590" s="121" t="str">
        <f t="shared" si="1390"/>
        <v/>
      </c>
      <c r="T3590" s="121" t="str">
        <f t="shared" si="1391"/>
        <v/>
      </c>
      <c r="U3590" s="121">
        <f t="shared" si="1392"/>
        <v>1</v>
      </c>
    </row>
    <row r="3591" spans="1:21" x14ac:dyDescent="0.3">
      <c r="A3591" s="187">
        <v>3</v>
      </c>
      <c r="B3591" s="242">
        <f t="shared" si="1393"/>
        <v>45717</v>
      </c>
      <c r="C3591" s="243">
        <f t="shared" si="1374"/>
        <v>45747</v>
      </c>
      <c r="D3591" s="120">
        <f t="shared" si="1375"/>
        <v>31</v>
      </c>
      <c r="E3591" s="120">
        <f t="shared" si="1376"/>
        <v>3</v>
      </c>
      <c r="F3591" s="275">
        <f t="shared" si="1377"/>
        <v>45732.5</v>
      </c>
      <c r="G3591" s="120">
        <f t="shared" si="1378"/>
        <v>24302</v>
      </c>
      <c r="H3591" s="245">
        <f t="shared" si="1379"/>
        <v>1</v>
      </c>
      <c r="I3591" s="121">
        <f t="shared" si="1380"/>
        <v>1</v>
      </c>
      <c r="J3591" s="121">
        <f t="shared" si="1381"/>
        <v>1</v>
      </c>
      <c r="K3591" s="120">
        <f t="shared" si="1382"/>
        <v>0</v>
      </c>
      <c r="L3591" s="120">
        <f t="shared" si="1383"/>
        <v>0</v>
      </c>
      <c r="M3591" s="246">
        <f t="shared" si="1384"/>
        <v>0</v>
      </c>
      <c r="N3591" s="121">
        <f t="shared" si="1385"/>
        <v>1</v>
      </c>
      <c r="O3591" s="246">
        <f t="shared" si="1386"/>
        <v>1</v>
      </c>
      <c r="P3591" s="121">
        <f t="shared" si="1387"/>
        <v>0</v>
      </c>
      <c r="Q3591" s="121">
        <f t="shared" si="1388"/>
        <v>0</v>
      </c>
      <c r="R3591" s="121">
        <f t="shared" si="1389"/>
        <v>0</v>
      </c>
      <c r="S3591" s="121" t="str">
        <f t="shared" si="1390"/>
        <v/>
      </c>
      <c r="T3591" s="121" t="str">
        <f t="shared" si="1391"/>
        <v/>
      </c>
      <c r="U3591" s="121">
        <f t="shared" si="1392"/>
        <v>1</v>
      </c>
    </row>
    <row r="3592" spans="1:21" x14ac:dyDescent="0.3">
      <c r="A3592" s="187">
        <v>4</v>
      </c>
      <c r="B3592" s="242">
        <f t="shared" si="1393"/>
        <v>45748</v>
      </c>
      <c r="C3592" s="243">
        <f t="shared" si="1374"/>
        <v>45777</v>
      </c>
      <c r="D3592" s="120">
        <f t="shared" si="1375"/>
        <v>30</v>
      </c>
      <c r="E3592" s="120">
        <f t="shared" si="1376"/>
        <v>4</v>
      </c>
      <c r="F3592" s="275">
        <f t="shared" si="1377"/>
        <v>45763</v>
      </c>
      <c r="G3592" s="120">
        <f t="shared" si="1378"/>
        <v>24303</v>
      </c>
      <c r="H3592" s="245">
        <f t="shared" si="1379"/>
        <v>1</v>
      </c>
      <c r="I3592" s="121">
        <f t="shared" si="1380"/>
        <v>1</v>
      </c>
      <c r="J3592" s="121">
        <f t="shared" si="1381"/>
        <v>1</v>
      </c>
      <c r="K3592" s="120">
        <f t="shared" si="1382"/>
        <v>0</v>
      </c>
      <c r="L3592" s="120">
        <f t="shared" si="1383"/>
        <v>0</v>
      </c>
      <c r="M3592" s="246">
        <f t="shared" si="1384"/>
        <v>0</v>
      </c>
      <c r="N3592" s="121">
        <f t="shared" si="1385"/>
        <v>1</v>
      </c>
      <c r="O3592" s="246">
        <f t="shared" si="1386"/>
        <v>1</v>
      </c>
      <c r="P3592" s="121">
        <f t="shared" si="1387"/>
        <v>0</v>
      </c>
      <c r="Q3592" s="121">
        <f t="shared" si="1388"/>
        <v>0</v>
      </c>
      <c r="R3592" s="121">
        <f t="shared" si="1389"/>
        <v>0</v>
      </c>
      <c r="S3592" s="121" t="str">
        <f t="shared" si="1390"/>
        <v/>
      </c>
      <c r="T3592" s="121" t="str">
        <f t="shared" si="1391"/>
        <v/>
      </c>
      <c r="U3592" s="121">
        <f t="shared" si="1392"/>
        <v>1</v>
      </c>
    </row>
    <row r="3593" spans="1:21" x14ac:dyDescent="0.3">
      <c r="A3593" s="187">
        <v>5</v>
      </c>
      <c r="B3593" s="242">
        <f t="shared" si="1393"/>
        <v>45778</v>
      </c>
      <c r="C3593" s="243">
        <f t="shared" si="1374"/>
        <v>45808</v>
      </c>
      <c r="D3593" s="120">
        <f t="shared" si="1375"/>
        <v>31</v>
      </c>
      <c r="E3593" s="120">
        <f t="shared" si="1376"/>
        <v>5</v>
      </c>
      <c r="F3593" s="275">
        <f t="shared" si="1377"/>
        <v>45793.5</v>
      </c>
      <c r="G3593" s="120">
        <f t="shared" si="1378"/>
        <v>24304</v>
      </c>
      <c r="H3593" s="245">
        <f t="shared" si="1379"/>
        <v>1</v>
      </c>
      <c r="I3593" s="121">
        <f t="shared" si="1380"/>
        <v>1</v>
      </c>
      <c r="J3593" s="121">
        <f t="shared" si="1381"/>
        <v>1</v>
      </c>
      <c r="K3593" s="120">
        <f t="shared" si="1382"/>
        <v>0</v>
      </c>
      <c r="L3593" s="120">
        <f t="shared" si="1383"/>
        <v>0</v>
      </c>
      <c r="M3593" s="246">
        <f t="shared" si="1384"/>
        <v>0</v>
      </c>
      <c r="N3593" s="121">
        <f t="shared" si="1385"/>
        <v>1</v>
      </c>
      <c r="O3593" s="246">
        <f t="shared" si="1386"/>
        <v>1</v>
      </c>
      <c r="P3593" s="121">
        <f t="shared" si="1387"/>
        <v>0</v>
      </c>
      <c r="Q3593" s="121">
        <f t="shared" si="1388"/>
        <v>0</v>
      </c>
      <c r="R3593" s="121">
        <f t="shared" si="1389"/>
        <v>0</v>
      </c>
      <c r="S3593" s="121" t="str">
        <f t="shared" si="1390"/>
        <v/>
      </c>
      <c r="T3593" s="121" t="str">
        <f t="shared" si="1391"/>
        <v/>
      </c>
      <c r="U3593" s="121">
        <f t="shared" si="1392"/>
        <v>1</v>
      </c>
    </row>
    <row r="3594" spans="1:21" x14ac:dyDescent="0.3">
      <c r="A3594" s="187">
        <v>6</v>
      </c>
      <c r="B3594" s="242">
        <f t="shared" si="1393"/>
        <v>45809</v>
      </c>
      <c r="C3594" s="243">
        <f t="shared" si="1374"/>
        <v>45838</v>
      </c>
      <c r="D3594" s="120">
        <f t="shared" si="1375"/>
        <v>30</v>
      </c>
      <c r="E3594" s="120">
        <f t="shared" si="1376"/>
        <v>6</v>
      </c>
      <c r="F3594" s="275">
        <f t="shared" si="1377"/>
        <v>45824</v>
      </c>
      <c r="G3594" s="120">
        <f t="shared" si="1378"/>
        <v>24305</v>
      </c>
      <c r="H3594" s="245">
        <f t="shared" si="1379"/>
        <v>1</v>
      </c>
      <c r="I3594" s="121">
        <f t="shared" si="1380"/>
        <v>1</v>
      </c>
      <c r="J3594" s="121">
        <f t="shared" si="1381"/>
        <v>1</v>
      </c>
      <c r="K3594" s="120">
        <f t="shared" si="1382"/>
        <v>0</v>
      </c>
      <c r="L3594" s="120">
        <f t="shared" si="1383"/>
        <v>0</v>
      </c>
      <c r="M3594" s="246">
        <f t="shared" si="1384"/>
        <v>0</v>
      </c>
      <c r="N3594" s="121">
        <f t="shared" si="1385"/>
        <v>1</v>
      </c>
      <c r="O3594" s="246">
        <f t="shared" si="1386"/>
        <v>1</v>
      </c>
      <c r="P3594" s="121">
        <f t="shared" si="1387"/>
        <v>0</v>
      </c>
      <c r="Q3594" s="121">
        <f t="shared" si="1388"/>
        <v>0</v>
      </c>
      <c r="R3594" s="121">
        <f t="shared" si="1389"/>
        <v>0</v>
      </c>
      <c r="S3594" s="121" t="str">
        <f t="shared" si="1390"/>
        <v/>
      </c>
      <c r="T3594" s="121" t="str">
        <f t="shared" si="1391"/>
        <v/>
      </c>
      <c r="U3594" s="121">
        <f t="shared" si="1392"/>
        <v>1</v>
      </c>
    </row>
    <row r="3595" spans="1:21" x14ac:dyDescent="0.3">
      <c r="A3595" s="187">
        <v>7</v>
      </c>
      <c r="B3595" s="242">
        <f t="shared" si="1393"/>
        <v>45839</v>
      </c>
      <c r="C3595" s="243">
        <f t="shared" si="1374"/>
        <v>45869</v>
      </c>
      <c r="D3595" s="120">
        <f t="shared" si="1375"/>
        <v>31</v>
      </c>
      <c r="E3595" s="120">
        <f t="shared" si="1376"/>
        <v>7</v>
      </c>
      <c r="F3595" s="275">
        <f t="shared" si="1377"/>
        <v>45854.5</v>
      </c>
      <c r="G3595" s="120">
        <f t="shared" si="1378"/>
        <v>24306</v>
      </c>
      <c r="H3595" s="245">
        <f t="shared" si="1379"/>
        <v>1</v>
      </c>
      <c r="I3595" s="121">
        <f t="shared" si="1380"/>
        <v>1</v>
      </c>
      <c r="J3595" s="121">
        <f t="shared" si="1381"/>
        <v>1</v>
      </c>
      <c r="K3595" s="120">
        <f t="shared" si="1382"/>
        <v>0</v>
      </c>
      <c r="L3595" s="120">
        <f t="shared" si="1383"/>
        <v>0</v>
      </c>
      <c r="M3595" s="246">
        <f t="shared" si="1384"/>
        <v>0</v>
      </c>
      <c r="N3595" s="121">
        <f t="shared" si="1385"/>
        <v>1</v>
      </c>
      <c r="O3595" s="246">
        <f t="shared" si="1386"/>
        <v>1</v>
      </c>
      <c r="P3595" s="121">
        <f t="shared" si="1387"/>
        <v>8.333333333333337E-2</v>
      </c>
      <c r="Q3595" s="121">
        <f t="shared" si="1388"/>
        <v>0</v>
      </c>
      <c r="R3595" s="121">
        <f t="shared" si="1389"/>
        <v>0</v>
      </c>
      <c r="S3595" s="121" t="str">
        <f t="shared" si="1390"/>
        <v/>
      </c>
      <c r="T3595" s="121" t="str">
        <f t="shared" si="1391"/>
        <v/>
      </c>
      <c r="U3595" s="121">
        <f t="shared" si="1392"/>
        <v>1</v>
      </c>
    </row>
    <row r="3596" spans="1:21" x14ac:dyDescent="0.3">
      <c r="A3596" s="187">
        <v>8</v>
      </c>
      <c r="B3596" s="242">
        <f t="shared" si="1393"/>
        <v>45870</v>
      </c>
      <c r="C3596" s="243">
        <f t="shared" si="1374"/>
        <v>45900</v>
      </c>
      <c r="D3596" s="120">
        <f t="shared" si="1375"/>
        <v>31</v>
      </c>
      <c r="E3596" s="120">
        <f t="shared" si="1376"/>
        <v>8</v>
      </c>
      <c r="F3596" s="275">
        <f t="shared" si="1377"/>
        <v>45885.5</v>
      </c>
      <c r="G3596" s="120">
        <f t="shared" si="1378"/>
        <v>24307</v>
      </c>
      <c r="H3596" s="245">
        <f t="shared" si="1379"/>
        <v>1</v>
      </c>
      <c r="I3596" s="121">
        <f t="shared" si="1380"/>
        <v>1</v>
      </c>
      <c r="J3596" s="121">
        <f t="shared" si="1381"/>
        <v>1</v>
      </c>
      <c r="K3596" s="120">
        <f t="shared" si="1382"/>
        <v>0</v>
      </c>
      <c r="L3596" s="120">
        <f t="shared" si="1383"/>
        <v>0</v>
      </c>
      <c r="M3596" s="246">
        <f t="shared" si="1384"/>
        <v>0</v>
      </c>
      <c r="N3596" s="121">
        <f t="shared" si="1385"/>
        <v>1</v>
      </c>
      <c r="O3596" s="246">
        <f t="shared" si="1386"/>
        <v>1</v>
      </c>
      <c r="P3596" s="121">
        <f t="shared" si="1387"/>
        <v>0.25</v>
      </c>
      <c r="Q3596" s="121">
        <f t="shared" si="1388"/>
        <v>0</v>
      </c>
      <c r="R3596" s="121">
        <f t="shared" si="1389"/>
        <v>0</v>
      </c>
      <c r="S3596" s="121" t="str">
        <f t="shared" si="1390"/>
        <v/>
      </c>
      <c r="T3596" s="121" t="str">
        <f t="shared" si="1391"/>
        <v/>
      </c>
      <c r="U3596" s="121">
        <f t="shared" si="1392"/>
        <v>1</v>
      </c>
    </row>
    <row r="3597" spans="1:21" x14ac:dyDescent="0.3">
      <c r="A3597" s="187">
        <v>9</v>
      </c>
      <c r="B3597" s="242">
        <f t="shared" si="1393"/>
        <v>45901</v>
      </c>
      <c r="C3597" s="243">
        <f t="shared" si="1374"/>
        <v>45930</v>
      </c>
      <c r="D3597" s="120">
        <f t="shared" si="1375"/>
        <v>30</v>
      </c>
      <c r="E3597" s="120">
        <f t="shared" si="1376"/>
        <v>9</v>
      </c>
      <c r="F3597" s="275">
        <f t="shared" si="1377"/>
        <v>45916</v>
      </c>
      <c r="G3597" s="120">
        <f t="shared" si="1378"/>
        <v>24308</v>
      </c>
      <c r="H3597" s="245">
        <f t="shared" si="1379"/>
        <v>1</v>
      </c>
      <c r="I3597" s="121">
        <f t="shared" si="1380"/>
        <v>1</v>
      </c>
      <c r="J3597" s="121">
        <f t="shared" si="1381"/>
        <v>1</v>
      </c>
      <c r="K3597" s="120">
        <f t="shared" si="1382"/>
        <v>0</v>
      </c>
      <c r="L3597" s="120">
        <f t="shared" si="1383"/>
        <v>0</v>
      </c>
      <c r="M3597" s="246">
        <f t="shared" si="1384"/>
        <v>0</v>
      </c>
      <c r="N3597" s="121">
        <f t="shared" si="1385"/>
        <v>1</v>
      </c>
      <c r="O3597" s="246">
        <f t="shared" si="1386"/>
        <v>1</v>
      </c>
      <c r="P3597" s="121">
        <f t="shared" si="1387"/>
        <v>0.41666666666666663</v>
      </c>
      <c r="Q3597" s="121">
        <f t="shared" si="1388"/>
        <v>0</v>
      </c>
      <c r="R3597" s="121">
        <f t="shared" si="1389"/>
        <v>0</v>
      </c>
      <c r="S3597" s="121" t="str">
        <f t="shared" si="1390"/>
        <v/>
      </c>
      <c r="T3597" s="121" t="str">
        <f t="shared" si="1391"/>
        <v/>
      </c>
      <c r="U3597" s="121">
        <f t="shared" si="1392"/>
        <v>1</v>
      </c>
    </row>
    <row r="3598" spans="1:21" x14ac:dyDescent="0.3">
      <c r="A3598" s="187">
        <v>10</v>
      </c>
      <c r="B3598" s="242">
        <f t="shared" si="1393"/>
        <v>45931</v>
      </c>
      <c r="C3598" s="243">
        <f t="shared" si="1374"/>
        <v>45961</v>
      </c>
      <c r="D3598" s="120">
        <f t="shared" si="1375"/>
        <v>31</v>
      </c>
      <c r="E3598" s="120">
        <f t="shared" si="1376"/>
        <v>10</v>
      </c>
      <c r="F3598" s="275">
        <f t="shared" si="1377"/>
        <v>45946.5</v>
      </c>
      <c r="G3598" s="120">
        <f t="shared" si="1378"/>
        <v>24309</v>
      </c>
      <c r="H3598" s="245">
        <f t="shared" si="1379"/>
        <v>1</v>
      </c>
      <c r="I3598" s="121">
        <f t="shared" si="1380"/>
        <v>1</v>
      </c>
      <c r="J3598" s="121">
        <f t="shared" si="1381"/>
        <v>1</v>
      </c>
      <c r="K3598" s="120">
        <f t="shared" si="1382"/>
        <v>0</v>
      </c>
      <c r="L3598" s="120">
        <f t="shared" si="1383"/>
        <v>0</v>
      </c>
      <c r="M3598" s="246">
        <f t="shared" si="1384"/>
        <v>0</v>
      </c>
      <c r="N3598" s="121">
        <f t="shared" si="1385"/>
        <v>1</v>
      </c>
      <c r="O3598" s="246">
        <f t="shared" si="1386"/>
        <v>1</v>
      </c>
      <c r="P3598" s="121">
        <f t="shared" si="1387"/>
        <v>0.58333333333333326</v>
      </c>
      <c r="Q3598" s="121">
        <f t="shared" si="1388"/>
        <v>0</v>
      </c>
      <c r="R3598" s="121">
        <f t="shared" si="1389"/>
        <v>0</v>
      </c>
      <c r="S3598" s="121" t="str">
        <f t="shared" si="1390"/>
        <v/>
      </c>
      <c r="T3598" s="121" t="str">
        <f t="shared" si="1391"/>
        <v/>
      </c>
      <c r="U3598" s="121">
        <f t="shared" si="1392"/>
        <v>1</v>
      </c>
    </row>
    <row r="3599" spans="1:21" x14ac:dyDescent="0.3">
      <c r="A3599" s="187">
        <v>11</v>
      </c>
      <c r="B3599" s="242">
        <f t="shared" si="1393"/>
        <v>45962</v>
      </c>
      <c r="C3599" s="243">
        <f t="shared" si="1374"/>
        <v>45991</v>
      </c>
      <c r="D3599" s="120">
        <f t="shared" si="1375"/>
        <v>30</v>
      </c>
      <c r="E3599" s="120">
        <f t="shared" si="1376"/>
        <v>11</v>
      </c>
      <c r="F3599" s="275">
        <f t="shared" si="1377"/>
        <v>45977</v>
      </c>
      <c r="G3599" s="120">
        <f t="shared" si="1378"/>
        <v>24310</v>
      </c>
      <c r="H3599" s="245">
        <f t="shared" si="1379"/>
        <v>1</v>
      </c>
      <c r="I3599" s="121">
        <f t="shared" si="1380"/>
        <v>1</v>
      </c>
      <c r="J3599" s="121">
        <f t="shared" si="1381"/>
        <v>1</v>
      </c>
      <c r="K3599" s="120">
        <f t="shared" si="1382"/>
        <v>0</v>
      </c>
      <c r="L3599" s="120">
        <f t="shared" si="1383"/>
        <v>0</v>
      </c>
      <c r="M3599" s="246">
        <f t="shared" si="1384"/>
        <v>0</v>
      </c>
      <c r="N3599" s="121">
        <f t="shared" si="1385"/>
        <v>1</v>
      </c>
      <c r="O3599" s="246">
        <f t="shared" si="1386"/>
        <v>1</v>
      </c>
      <c r="P3599" s="121">
        <f t="shared" si="1387"/>
        <v>0.75</v>
      </c>
      <c r="Q3599" s="121">
        <f t="shared" si="1388"/>
        <v>0</v>
      </c>
      <c r="R3599" s="121">
        <f t="shared" si="1389"/>
        <v>0</v>
      </c>
      <c r="S3599" s="121" t="str">
        <f t="shared" si="1390"/>
        <v/>
      </c>
      <c r="T3599" s="121" t="str">
        <f t="shared" si="1391"/>
        <v/>
      </c>
      <c r="U3599" s="121">
        <f t="shared" si="1392"/>
        <v>1</v>
      </c>
    </row>
    <row r="3600" spans="1:21" x14ac:dyDescent="0.3">
      <c r="A3600" s="187">
        <v>12</v>
      </c>
      <c r="B3600" s="242">
        <f t="shared" si="1393"/>
        <v>45992</v>
      </c>
      <c r="C3600" s="243">
        <f t="shared" si="1374"/>
        <v>46022</v>
      </c>
      <c r="D3600" s="120">
        <f t="shared" si="1375"/>
        <v>31</v>
      </c>
      <c r="E3600" s="120">
        <f t="shared" si="1376"/>
        <v>12</v>
      </c>
      <c r="F3600" s="275">
        <f t="shared" si="1377"/>
        <v>46007.5</v>
      </c>
      <c r="G3600" s="120">
        <f t="shared" si="1378"/>
        <v>24311</v>
      </c>
      <c r="H3600" s="245">
        <f t="shared" si="1379"/>
        <v>1</v>
      </c>
      <c r="I3600" s="121">
        <f t="shared" si="1380"/>
        <v>1</v>
      </c>
      <c r="J3600" s="121">
        <f t="shared" si="1381"/>
        <v>1</v>
      </c>
      <c r="K3600" s="120">
        <f t="shared" si="1382"/>
        <v>0</v>
      </c>
      <c r="L3600" s="120">
        <f t="shared" si="1383"/>
        <v>0</v>
      </c>
      <c r="M3600" s="246">
        <f t="shared" si="1384"/>
        <v>0</v>
      </c>
      <c r="N3600" s="121">
        <f t="shared" si="1385"/>
        <v>1</v>
      </c>
      <c r="O3600" s="246">
        <f t="shared" si="1386"/>
        <v>1</v>
      </c>
      <c r="P3600" s="121">
        <f t="shared" si="1387"/>
        <v>0.91666666666666663</v>
      </c>
      <c r="Q3600" s="121">
        <f t="shared" si="1388"/>
        <v>0</v>
      </c>
      <c r="R3600" s="121">
        <f t="shared" si="1389"/>
        <v>0</v>
      </c>
      <c r="S3600" s="121" t="str">
        <f t="shared" si="1390"/>
        <v/>
      </c>
      <c r="T3600" s="121" t="str">
        <f t="shared" si="1391"/>
        <v/>
      </c>
      <c r="U3600" s="121">
        <f t="shared" si="1392"/>
        <v>1</v>
      </c>
    </row>
    <row r="3601" spans="1:21" x14ac:dyDescent="0.3">
      <c r="A3601" s="187">
        <v>13</v>
      </c>
      <c r="B3601" s="242">
        <f t="shared" si="1393"/>
        <v>46023</v>
      </c>
      <c r="C3601" s="243">
        <f t="shared" si="1374"/>
        <v>46053</v>
      </c>
      <c r="D3601" s="120">
        <f t="shared" si="1375"/>
        <v>31</v>
      </c>
      <c r="E3601" s="120">
        <f t="shared" si="1376"/>
        <v>1</v>
      </c>
      <c r="F3601" s="275">
        <f t="shared" si="1377"/>
        <v>46038.5</v>
      </c>
      <c r="G3601" s="120">
        <f t="shared" si="1378"/>
        <v>24312</v>
      </c>
      <c r="H3601" s="245">
        <f t="shared" si="1379"/>
        <v>1</v>
      </c>
      <c r="I3601" s="121">
        <f t="shared" si="1380"/>
        <v>1</v>
      </c>
      <c r="J3601" s="121">
        <f t="shared" si="1381"/>
        <v>1</v>
      </c>
      <c r="K3601" s="120">
        <f t="shared" si="1382"/>
        <v>0</v>
      </c>
      <c r="L3601" s="120">
        <f t="shared" si="1383"/>
        <v>0</v>
      </c>
      <c r="M3601" s="246">
        <f t="shared" si="1384"/>
        <v>0</v>
      </c>
      <c r="N3601" s="121">
        <f t="shared" si="1385"/>
        <v>1</v>
      </c>
      <c r="O3601" s="246">
        <f t="shared" si="1386"/>
        <v>1</v>
      </c>
      <c r="P3601" s="121">
        <f t="shared" si="1387"/>
        <v>1</v>
      </c>
      <c r="Q3601" s="121">
        <f t="shared" si="1388"/>
        <v>0</v>
      </c>
      <c r="R3601" s="121">
        <f t="shared" si="1389"/>
        <v>0</v>
      </c>
      <c r="S3601" s="121" t="str">
        <f t="shared" si="1390"/>
        <v/>
      </c>
      <c r="T3601" s="121" t="str">
        <f t="shared" si="1391"/>
        <v/>
      </c>
      <c r="U3601" s="121">
        <f t="shared" si="1392"/>
        <v>1</v>
      </c>
    </row>
    <row r="3602" spans="1:21" x14ac:dyDescent="0.3">
      <c r="A3602" s="187">
        <v>14</v>
      </c>
      <c r="B3602" s="242">
        <f t="shared" si="1393"/>
        <v>46054</v>
      </c>
      <c r="C3602" s="243">
        <f t="shared" si="1374"/>
        <v>46081</v>
      </c>
      <c r="D3602" s="120">
        <f t="shared" si="1375"/>
        <v>28</v>
      </c>
      <c r="E3602" s="120">
        <f t="shared" si="1376"/>
        <v>2</v>
      </c>
      <c r="F3602" s="275">
        <f t="shared" si="1377"/>
        <v>46068</v>
      </c>
      <c r="G3602" s="120">
        <f t="shared" si="1378"/>
        <v>24313</v>
      </c>
      <c r="H3602" s="245">
        <f t="shared" si="1379"/>
        <v>1</v>
      </c>
      <c r="I3602" s="121">
        <f t="shared" si="1380"/>
        <v>1</v>
      </c>
      <c r="J3602" s="121">
        <f t="shared" si="1381"/>
        <v>1</v>
      </c>
      <c r="K3602" s="120">
        <f t="shared" si="1382"/>
        <v>0</v>
      </c>
      <c r="L3602" s="120">
        <f t="shared" si="1383"/>
        <v>0</v>
      </c>
      <c r="M3602" s="246">
        <f t="shared" si="1384"/>
        <v>0</v>
      </c>
      <c r="N3602" s="121">
        <f t="shared" si="1385"/>
        <v>1</v>
      </c>
      <c r="O3602" s="246">
        <f t="shared" si="1386"/>
        <v>1</v>
      </c>
      <c r="P3602" s="121">
        <f t="shared" si="1387"/>
        <v>1</v>
      </c>
      <c r="Q3602" s="121">
        <f t="shared" si="1388"/>
        <v>0</v>
      </c>
      <c r="R3602" s="121">
        <f t="shared" si="1389"/>
        <v>0</v>
      </c>
      <c r="S3602" s="121" t="str">
        <f t="shared" si="1390"/>
        <v/>
      </c>
      <c r="T3602" s="121" t="str">
        <f t="shared" si="1391"/>
        <v/>
      </c>
      <c r="U3602" s="121">
        <f t="shared" si="1392"/>
        <v>1</v>
      </c>
    </row>
    <row r="3603" spans="1:21" x14ac:dyDescent="0.3">
      <c r="A3603" s="187">
        <v>15</v>
      </c>
      <c r="B3603" s="242">
        <f t="shared" si="1393"/>
        <v>46082</v>
      </c>
      <c r="C3603" s="243">
        <f t="shared" si="1374"/>
        <v>46112</v>
      </c>
      <c r="D3603" s="120">
        <f t="shared" si="1375"/>
        <v>31</v>
      </c>
      <c r="E3603" s="120">
        <f t="shared" si="1376"/>
        <v>3</v>
      </c>
      <c r="F3603" s="275">
        <f t="shared" si="1377"/>
        <v>46097.5</v>
      </c>
      <c r="G3603" s="120">
        <f t="shared" si="1378"/>
        <v>24314</v>
      </c>
      <c r="H3603" s="245">
        <f t="shared" si="1379"/>
        <v>1</v>
      </c>
      <c r="I3603" s="121">
        <f t="shared" si="1380"/>
        <v>1</v>
      </c>
      <c r="J3603" s="121">
        <f t="shared" si="1381"/>
        <v>1</v>
      </c>
      <c r="K3603" s="120">
        <f t="shared" si="1382"/>
        <v>0</v>
      </c>
      <c r="L3603" s="120">
        <f t="shared" si="1383"/>
        <v>0</v>
      </c>
      <c r="M3603" s="246">
        <f t="shared" si="1384"/>
        <v>0</v>
      </c>
      <c r="N3603" s="121">
        <f t="shared" si="1385"/>
        <v>1</v>
      </c>
      <c r="O3603" s="246">
        <f t="shared" si="1386"/>
        <v>1</v>
      </c>
      <c r="P3603" s="121">
        <f t="shared" si="1387"/>
        <v>1</v>
      </c>
      <c r="Q3603" s="121">
        <f t="shared" si="1388"/>
        <v>0</v>
      </c>
      <c r="R3603" s="121">
        <f t="shared" si="1389"/>
        <v>0</v>
      </c>
      <c r="S3603" s="121" t="str">
        <f t="shared" si="1390"/>
        <v/>
      </c>
      <c r="T3603" s="121" t="str">
        <f t="shared" si="1391"/>
        <v/>
      </c>
      <c r="U3603" s="121">
        <f t="shared" si="1392"/>
        <v>1</v>
      </c>
    </row>
    <row r="3604" spans="1:21" x14ac:dyDescent="0.3">
      <c r="A3604" s="187">
        <v>16</v>
      </c>
      <c r="B3604" s="242">
        <f t="shared" si="1393"/>
        <v>46113</v>
      </c>
      <c r="C3604" s="243">
        <f t="shared" si="1374"/>
        <v>46142</v>
      </c>
      <c r="D3604" s="120">
        <f t="shared" si="1375"/>
        <v>30</v>
      </c>
      <c r="E3604" s="120">
        <f t="shared" si="1376"/>
        <v>4</v>
      </c>
      <c r="F3604" s="275">
        <f t="shared" si="1377"/>
        <v>46128</v>
      </c>
      <c r="G3604" s="120">
        <f t="shared" si="1378"/>
        <v>24315</v>
      </c>
      <c r="H3604" s="245">
        <f t="shared" si="1379"/>
        <v>1</v>
      </c>
      <c r="I3604" s="121">
        <f t="shared" si="1380"/>
        <v>1</v>
      </c>
      <c r="J3604" s="121">
        <f t="shared" si="1381"/>
        <v>1</v>
      </c>
      <c r="K3604" s="120">
        <f t="shared" si="1382"/>
        <v>0</v>
      </c>
      <c r="L3604" s="120">
        <f t="shared" si="1383"/>
        <v>0</v>
      </c>
      <c r="M3604" s="246">
        <f t="shared" si="1384"/>
        <v>0</v>
      </c>
      <c r="N3604" s="121">
        <f t="shared" si="1385"/>
        <v>1</v>
      </c>
      <c r="O3604" s="246">
        <f t="shared" si="1386"/>
        <v>1</v>
      </c>
      <c r="P3604" s="121">
        <f t="shared" si="1387"/>
        <v>1</v>
      </c>
      <c r="Q3604" s="121">
        <f t="shared" si="1388"/>
        <v>0</v>
      </c>
      <c r="R3604" s="121">
        <f t="shared" si="1389"/>
        <v>0</v>
      </c>
      <c r="S3604" s="121" t="str">
        <f t="shared" si="1390"/>
        <v/>
      </c>
      <c r="T3604" s="121" t="str">
        <f t="shared" si="1391"/>
        <v/>
      </c>
      <c r="U3604" s="121">
        <f t="shared" si="1392"/>
        <v>1</v>
      </c>
    </row>
    <row r="3605" spans="1:21" x14ac:dyDescent="0.3">
      <c r="A3605" s="187">
        <v>17</v>
      </c>
      <c r="B3605" s="242">
        <f t="shared" si="1393"/>
        <v>46143</v>
      </c>
      <c r="C3605" s="243">
        <f t="shared" si="1374"/>
        <v>46173</v>
      </c>
      <c r="D3605" s="120">
        <f t="shared" si="1375"/>
        <v>31</v>
      </c>
      <c r="E3605" s="120">
        <f t="shared" si="1376"/>
        <v>5</v>
      </c>
      <c r="F3605" s="275">
        <f t="shared" si="1377"/>
        <v>46158.5</v>
      </c>
      <c r="G3605" s="120">
        <f t="shared" si="1378"/>
        <v>24316</v>
      </c>
      <c r="H3605" s="245">
        <f t="shared" si="1379"/>
        <v>1</v>
      </c>
      <c r="I3605" s="121">
        <f t="shared" si="1380"/>
        <v>1</v>
      </c>
      <c r="J3605" s="121">
        <f t="shared" si="1381"/>
        <v>1</v>
      </c>
      <c r="K3605" s="120">
        <f t="shared" si="1382"/>
        <v>0</v>
      </c>
      <c r="L3605" s="120">
        <f t="shared" si="1383"/>
        <v>0</v>
      </c>
      <c r="M3605" s="246">
        <f t="shared" si="1384"/>
        <v>0</v>
      </c>
      <c r="N3605" s="121">
        <f t="shared" si="1385"/>
        <v>1</v>
      </c>
      <c r="O3605" s="246">
        <f t="shared" si="1386"/>
        <v>1</v>
      </c>
      <c r="P3605" s="121">
        <f t="shared" si="1387"/>
        <v>1</v>
      </c>
      <c r="Q3605" s="121">
        <f t="shared" si="1388"/>
        <v>0</v>
      </c>
      <c r="R3605" s="121">
        <f t="shared" si="1389"/>
        <v>0</v>
      </c>
      <c r="S3605" s="121" t="str">
        <f t="shared" si="1390"/>
        <v/>
      </c>
      <c r="T3605" s="121" t="str">
        <f t="shared" si="1391"/>
        <v/>
      </c>
      <c r="U3605" s="121">
        <f t="shared" si="1392"/>
        <v>1</v>
      </c>
    </row>
    <row r="3606" spans="1:21" x14ac:dyDescent="0.3">
      <c r="A3606" s="187">
        <v>18</v>
      </c>
      <c r="B3606" s="242">
        <f t="shared" si="1393"/>
        <v>46174</v>
      </c>
      <c r="C3606" s="243">
        <f t="shared" si="1374"/>
        <v>46203</v>
      </c>
      <c r="D3606" s="120">
        <f t="shared" si="1375"/>
        <v>30</v>
      </c>
      <c r="E3606" s="120">
        <f t="shared" si="1376"/>
        <v>6</v>
      </c>
      <c r="F3606" s="275">
        <f t="shared" si="1377"/>
        <v>46189</v>
      </c>
      <c r="G3606" s="120">
        <f t="shared" si="1378"/>
        <v>24317</v>
      </c>
      <c r="H3606" s="245">
        <f t="shared" si="1379"/>
        <v>1</v>
      </c>
      <c r="I3606" s="121">
        <f t="shared" si="1380"/>
        <v>1</v>
      </c>
      <c r="J3606" s="121">
        <f t="shared" si="1381"/>
        <v>1</v>
      </c>
      <c r="K3606" s="120">
        <f t="shared" si="1382"/>
        <v>0</v>
      </c>
      <c r="L3606" s="120">
        <f t="shared" si="1383"/>
        <v>0</v>
      </c>
      <c r="M3606" s="246">
        <f t="shared" si="1384"/>
        <v>0</v>
      </c>
      <c r="N3606" s="121">
        <f t="shared" si="1385"/>
        <v>1</v>
      </c>
      <c r="O3606" s="246">
        <f t="shared" si="1386"/>
        <v>1</v>
      </c>
      <c r="P3606" s="121">
        <f t="shared" si="1387"/>
        <v>1</v>
      </c>
      <c r="Q3606" s="121">
        <f t="shared" si="1388"/>
        <v>0</v>
      </c>
      <c r="R3606" s="121">
        <f t="shared" si="1389"/>
        <v>0</v>
      </c>
      <c r="S3606" s="121" t="str">
        <f t="shared" si="1390"/>
        <v/>
      </c>
      <c r="T3606" s="121" t="str">
        <f t="shared" si="1391"/>
        <v/>
      </c>
      <c r="U3606" s="121">
        <f t="shared" si="1392"/>
        <v>1</v>
      </c>
    </row>
    <row r="3607" spans="1:21" x14ac:dyDescent="0.3">
      <c r="A3607" s="187">
        <v>19</v>
      </c>
      <c r="B3607" s="242">
        <f t="shared" si="1393"/>
        <v>46204</v>
      </c>
      <c r="C3607" s="243">
        <f t="shared" si="1374"/>
        <v>46234</v>
      </c>
      <c r="D3607" s="120">
        <f t="shared" si="1375"/>
        <v>31</v>
      </c>
      <c r="E3607" s="120">
        <f t="shared" si="1376"/>
        <v>7</v>
      </c>
      <c r="F3607" s="275">
        <f t="shared" si="1377"/>
        <v>46219.5</v>
      </c>
      <c r="G3607" s="120">
        <f t="shared" si="1378"/>
        <v>24318</v>
      </c>
      <c r="H3607" s="245">
        <f t="shared" si="1379"/>
        <v>1</v>
      </c>
      <c r="I3607" s="121">
        <f t="shared" si="1380"/>
        <v>1</v>
      </c>
      <c r="J3607" s="121">
        <f t="shared" si="1381"/>
        <v>1</v>
      </c>
      <c r="K3607" s="120">
        <f t="shared" si="1382"/>
        <v>0</v>
      </c>
      <c r="L3607" s="120">
        <f t="shared" si="1383"/>
        <v>0</v>
      </c>
      <c r="M3607" s="246">
        <f t="shared" si="1384"/>
        <v>0</v>
      </c>
      <c r="N3607" s="121">
        <f t="shared" si="1385"/>
        <v>1</v>
      </c>
      <c r="O3607" s="246">
        <f t="shared" si="1386"/>
        <v>1</v>
      </c>
      <c r="P3607" s="121">
        <f t="shared" si="1387"/>
        <v>0.91666666666666663</v>
      </c>
      <c r="Q3607" s="121">
        <f t="shared" si="1388"/>
        <v>8.333333333333337E-2</v>
      </c>
      <c r="R3607" s="121">
        <f t="shared" si="1389"/>
        <v>0</v>
      </c>
      <c r="S3607" s="121" t="str">
        <f t="shared" si="1390"/>
        <v/>
      </c>
      <c r="T3607" s="121" t="str">
        <f t="shared" si="1391"/>
        <v/>
      </c>
      <c r="U3607" s="121">
        <f t="shared" si="1392"/>
        <v>1</v>
      </c>
    </row>
    <row r="3608" spans="1:21" x14ac:dyDescent="0.3">
      <c r="A3608" s="187">
        <v>20</v>
      </c>
      <c r="B3608" s="242">
        <f t="shared" si="1393"/>
        <v>46235</v>
      </c>
      <c r="C3608" s="243">
        <f t="shared" si="1374"/>
        <v>46265</v>
      </c>
      <c r="D3608" s="120">
        <f t="shared" si="1375"/>
        <v>31</v>
      </c>
      <c r="E3608" s="120">
        <f t="shared" si="1376"/>
        <v>8</v>
      </c>
      <c r="F3608" s="275">
        <f t="shared" si="1377"/>
        <v>46250.5</v>
      </c>
      <c r="G3608" s="120">
        <f t="shared" si="1378"/>
        <v>24319</v>
      </c>
      <c r="H3608" s="245">
        <f t="shared" si="1379"/>
        <v>1</v>
      </c>
      <c r="I3608" s="121">
        <f t="shared" si="1380"/>
        <v>1</v>
      </c>
      <c r="J3608" s="121">
        <f t="shared" si="1381"/>
        <v>1</v>
      </c>
      <c r="K3608" s="120">
        <f t="shared" si="1382"/>
        <v>0</v>
      </c>
      <c r="L3608" s="120">
        <f t="shared" si="1383"/>
        <v>0</v>
      </c>
      <c r="M3608" s="246">
        <f t="shared" si="1384"/>
        <v>0</v>
      </c>
      <c r="N3608" s="121">
        <f t="shared" si="1385"/>
        <v>1</v>
      </c>
      <c r="O3608" s="246">
        <f t="shared" si="1386"/>
        <v>1</v>
      </c>
      <c r="P3608" s="121">
        <f t="shared" si="1387"/>
        <v>0.75</v>
      </c>
      <c r="Q3608" s="121">
        <f t="shared" si="1388"/>
        <v>0.25</v>
      </c>
      <c r="R3608" s="121">
        <f t="shared" si="1389"/>
        <v>0</v>
      </c>
      <c r="S3608" s="121" t="str">
        <f t="shared" si="1390"/>
        <v/>
      </c>
      <c r="T3608" s="121" t="str">
        <f t="shared" si="1391"/>
        <v/>
      </c>
      <c r="U3608" s="121">
        <f t="shared" si="1392"/>
        <v>1</v>
      </c>
    </row>
    <row r="3609" spans="1:21" x14ac:dyDescent="0.3">
      <c r="A3609" s="187">
        <v>21</v>
      </c>
      <c r="B3609" s="242">
        <f t="shared" si="1393"/>
        <v>46266</v>
      </c>
      <c r="C3609" s="243">
        <f t="shared" si="1374"/>
        <v>46295</v>
      </c>
      <c r="D3609" s="120">
        <f t="shared" si="1375"/>
        <v>30</v>
      </c>
      <c r="E3609" s="120">
        <f t="shared" si="1376"/>
        <v>9</v>
      </c>
      <c r="F3609" s="275">
        <f t="shared" si="1377"/>
        <v>46281</v>
      </c>
      <c r="G3609" s="120">
        <f t="shared" si="1378"/>
        <v>24320</v>
      </c>
      <c r="H3609" s="245">
        <f t="shared" si="1379"/>
        <v>1</v>
      </c>
      <c r="I3609" s="121">
        <f t="shared" si="1380"/>
        <v>1</v>
      </c>
      <c r="J3609" s="121">
        <f t="shared" si="1381"/>
        <v>1</v>
      </c>
      <c r="K3609" s="120">
        <f t="shared" si="1382"/>
        <v>0</v>
      </c>
      <c r="L3609" s="120">
        <f t="shared" si="1383"/>
        <v>0</v>
      </c>
      <c r="M3609" s="246">
        <f t="shared" si="1384"/>
        <v>0</v>
      </c>
      <c r="N3609" s="121">
        <f t="shared" si="1385"/>
        <v>1</v>
      </c>
      <c r="O3609" s="246">
        <f t="shared" si="1386"/>
        <v>1</v>
      </c>
      <c r="P3609" s="121">
        <f t="shared" si="1387"/>
        <v>0.58333333333333337</v>
      </c>
      <c r="Q3609" s="121">
        <f t="shared" si="1388"/>
        <v>0.41666666666666663</v>
      </c>
      <c r="R3609" s="121">
        <f t="shared" si="1389"/>
        <v>0</v>
      </c>
      <c r="S3609" s="121" t="str">
        <f t="shared" si="1390"/>
        <v/>
      </c>
      <c r="T3609" s="121" t="str">
        <f t="shared" si="1391"/>
        <v/>
      </c>
      <c r="U3609" s="121">
        <f t="shared" si="1392"/>
        <v>1</v>
      </c>
    </row>
    <row r="3610" spans="1:21" x14ac:dyDescent="0.3">
      <c r="A3610" s="187">
        <v>22</v>
      </c>
      <c r="B3610" s="242">
        <f t="shared" si="1393"/>
        <v>46296</v>
      </c>
      <c r="C3610" s="243">
        <f t="shared" si="1374"/>
        <v>46326</v>
      </c>
      <c r="D3610" s="120">
        <f t="shared" si="1375"/>
        <v>31</v>
      </c>
      <c r="E3610" s="120">
        <f t="shared" si="1376"/>
        <v>10</v>
      </c>
      <c r="F3610" s="275">
        <f t="shared" si="1377"/>
        <v>46311.5</v>
      </c>
      <c r="G3610" s="120">
        <f t="shared" si="1378"/>
        <v>24321</v>
      </c>
      <c r="H3610" s="245">
        <f t="shared" si="1379"/>
        <v>1</v>
      </c>
      <c r="I3610" s="121">
        <f t="shared" si="1380"/>
        <v>1</v>
      </c>
      <c r="J3610" s="121">
        <f t="shared" si="1381"/>
        <v>1</v>
      </c>
      <c r="K3610" s="120">
        <f t="shared" si="1382"/>
        <v>0</v>
      </c>
      <c r="L3610" s="120">
        <f t="shared" si="1383"/>
        <v>0</v>
      </c>
      <c r="M3610" s="246">
        <f t="shared" si="1384"/>
        <v>0</v>
      </c>
      <c r="N3610" s="121">
        <f t="shared" si="1385"/>
        <v>1</v>
      </c>
      <c r="O3610" s="246">
        <f t="shared" si="1386"/>
        <v>1</v>
      </c>
      <c r="P3610" s="121">
        <f t="shared" si="1387"/>
        <v>0.41666666666666669</v>
      </c>
      <c r="Q3610" s="121">
        <f t="shared" si="1388"/>
        <v>0.58333333333333326</v>
      </c>
      <c r="R3610" s="121">
        <f t="shared" si="1389"/>
        <v>0</v>
      </c>
      <c r="S3610" s="121" t="str">
        <f t="shared" si="1390"/>
        <v/>
      </c>
      <c r="T3610" s="121" t="str">
        <f t="shared" si="1391"/>
        <v/>
      </c>
      <c r="U3610" s="121">
        <f t="shared" si="1392"/>
        <v>1</v>
      </c>
    </row>
    <row r="3611" spans="1:21" x14ac:dyDescent="0.3">
      <c r="A3611" s="187">
        <v>23</v>
      </c>
      <c r="B3611" s="242">
        <f t="shared" si="1393"/>
        <v>46327</v>
      </c>
      <c r="C3611" s="243">
        <f t="shared" si="1374"/>
        <v>46356</v>
      </c>
      <c r="D3611" s="120">
        <f t="shared" si="1375"/>
        <v>30</v>
      </c>
      <c r="E3611" s="120">
        <f t="shared" si="1376"/>
        <v>11</v>
      </c>
      <c r="F3611" s="275">
        <f t="shared" si="1377"/>
        <v>46342</v>
      </c>
      <c r="G3611" s="120">
        <f t="shared" si="1378"/>
        <v>24322</v>
      </c>
      <c r="H3611" s="245">
        <f t="shared" si="1379"/>
        <v>1</v>
      </c>
      <c r="I3611" s="121">
        <f t="shared" si="1380"/>
        <v>1</v>
      </c>
      <c r="J3611" s="121">
        <f t="shared" si="1381"/>
        <v>1</v>
      </c>
      <c r="K3611" s="120">
        <f t="shared" si="1382"/>
        <v>0</v>
      </c>
      <c r="L3611" s="120">
        <f t="shared" si="1383"/>
        <v>0</v>
      </c>
      <c r="M3611" s="246">
        <f t="shared" si="1384"/>
        <v>0</v>
      </c>
      <c r="N3611" s="121">
        <f t="shared" si="1385"/>
        <v>1</v>
      </c>
      <c r="O3611" s="246">
        <f t="shared" si="1386"/>
        <v>1</v>
      </c>
      <c r="P3611" s="121">
        <f t="shared" si="1387"/>
        <v>0.25</v>
      </c>
      <c r="Q3611" s="121">
        <f t="shared" si="1388"/>
        <v>0.75</v>
      </c>
      <c r="R3611" s="121">
        <f t="shared" si="1389"/>
        <v>0</v>
      </c>
      <c r="S3611" s="121" t="str">
        <f t="shared" si="1390"/>
        <v/>
      </c>
      <c r="T3611" s="121" t="str">
        <f t="shared" si="1391"/>
        <v/>
      </c>
      <c r="U3611" s="121">
        <f t="shared" si="1392"/>
        <v>1</v>
      </c>
    </row>
    <row r="3612" spans="1:21" x14ac:dyDescent="0.3">
      <c r="A3612" s="187">
        <v>24</v>
      </c>
      <c r="B3612" s="242">
        <f t="shared" si="1393"/>
        <v>46357</v>
      </c>
      <c r="C3612" s="243">
        <f t="shared" si="1374"/>
        <v>46387</v>
      </c>
      <c r="D3612" s="120">
        <f t="shared" si="1375"/>
        <v>31</v>
      </c>
      <c r="E3612" s="120">
        <f t="shared" si="1376"/>
        <v>12</v>
      </c>
      <c r="F3612" s="275">
        <f t="shared" si="1377"/>
        <v>46372.5</v>
      </c>
      <c r="G3612" s="120">
        <f t="shared" si="1378"/>
        <v>24323</v>
      </c>
      <c r="H3612" s="245">
        <f t="shared" si="1379"/>
        <v>1</v>
      </c>
      <c r="I3612" s="121">
        <f t="shared" si="1380"/>
        <v>1</v>
      </c>
      <c r="J3612" s="121">
        <f t="shared" si="1381"/>
        <v>1</v>
      </c>
      <c r="K3612" s="120">
        <f t="shared" si="1382"/>
        <v>0</v>
      </c>
      <c r="L3612" s="120">
        <f t="shared" si="1383"/>
        <v>0</v>
      </c>
      <c r="M3612" s="246">
        <f t="shared" si="1384"/>
        <v>0</v>
      </c>
      <c r="N3612" s="121">
        <f t="shared" si="1385"/>
        <v>1</v>
      </c>
      <c r="O3612" s="246">
        <f t="shared" si="1386"/>
        <v>1</v>
      </c>
      <c r="P3612" s="121">
        <f t="shared" si="1387"/>
        <v>8.3333333333333329E-2</v>
      </c>
      <c r="Q3612" s="121">
        <f t="shared" si="1388"/>
        <v>0.91666666666666663</v>
      </c>
      <c r="R3612" s="121">
        <f t="shared" si="1389"/>
        <v>0</v>
      </c>
      <c r="S3612" s="121" t="str">
        <f t="shared" si="1390"/>
        <v/>
      </c>
      <c r="T3612" s="121" t="str">
        <f t="shared" si="1391"/>
        <v/>
      </c>
      <c r="U3612" s="121">
        <f t="shared" si="1392"/>
        <v>1</v>
      </c>
    </row>
    <row r="3613" spans="1:21" x14ac:dyDescent="0.3">
      <c r="A3613" s="187">
        <v>25</v>
      </c>
      <c r="B3613" s="242">
        <f t="shared" si="1393"/>
        <v>46388</v>
      </c>
      <c r="C3613" s="243">
        <f t="shared" si="1374"/>
        <v>46418</v>
      </c>
      <c r="D3613" s="120">
        <f t="shared" si="1375"/>
        <v>31</v>
      </c>
      <c r="E3613" s="120">
        <f t="shared" si="1376"/>
        <v>1</v>
      </c>
      <c r="F3613" s="275">
        <f t="shared" si="1377"/>
        <v>46403.5</v>
      </c>
      <c r="G3613" s="120">
        <f t="shared" si="1378"/>
        <v>24324</v>
      </c>
      <c r="H3613" s="245">
        <f t="shared" si="1379"/>
        <v>1</v>
      </c>
      <c r="I3613" s="121">
        <f t="shared" si="1380"/>
        <v>1</v>
      </c>
      <c r="J3613" s="121">
        <f t="shared" si="1381"/>
        <v>1</v>
      </c>
      <c r="K3613" s="120">
        <f t="shared" si="1382"/>
        <v>0</v>
      </c>
      <c r="L3613" s="120">
        <f t="shared" si="1383"/>
        <v>0</v>
      </c>
      <c r="M3613" s="246">
        <f t="shared" si="1384"/>
        <v>0</v>
      </c>
      <c r="N3613" s="121">
        <f t="shared" si="1385"/>
        <v>1</v>
      </c>
      <c r="O3613" s="246">
        <f t="shared" si="1386"/>
        <v>1</v>
      </c>
      <c r="P3613" s="121">
        <f t="shared" si="1387"/>
        <v>0</v>
      </c>
      <c r="Q3613" s="121">
        <f t="shared" si="1388"/>
        <v>1</v>
      </c>
      <c r="R3613" s="121">
        <f t="shared" si="1389"/>
        <v>0</v>
      </c>
      <c r="S3613" s="121" t="str">
        <f t="shared" si="1390"/>
        <v/>
      </c>
      <c r="T3613" s="121" t="str">
        <f t="shared" si="1391"/>
        <v/>
      </c>
      <c r="U3613" s="121">
        <f t="shared" si="1392"/>
        <v>1</v>
      </c>
    </row>
    <row r="3614" spans="1:21" x14ac:dyDescent="0.3">
      <c r="A3614" s="187">
        <v>26</v>
      </c>
      <c r="B3614" s="242">
        <f t="shared" si="1393"/>
        <v>46419</v>
      </c>
      <c r="C3614" s="243">
        <f t="shared" si="1374"/>
        <v>46446</v>
      </c>
      <c r="D3614" s="120">
        <f t="shared" si="1375"/>
        <v>28</v>
      </c>
      <c r="E3614" s="120">
        <f t="shared" si="1376"/>
        <v>2</v>
      </c>
      <c r="F3614" s="275">
        <f t="shared" si="1377"/>
        <v>46433</v>
      </c>
      <c r="G3614" s="120">
        <f t="shared" si="1378"/>
        <v>24325</v>
      </c>
      <c r="H3614" s="245">
        <f t="shared" si="1379"/>
        <v>1</v>
      </c>
      <c r="I3614" s="121">
        <f t="shared" si="1380"/>
        <v>1</v>
      </c>
      <c r="J3614" s="121">
        <f t="shared" si="1381"/>
        <v>1</v>
      </c>
      <c r="K3614" s="120">
        <f t="shared" si="1382"/>
        <v>0</v>
      </c>
      <c r="L3614" s="120">
        <f t="shared" si="1383"/>
        <v>0</v>
      </c>
      <c r="M3614" s="246">
        <f t="shared" si="1384"/>
        <v>0</v>
      </c>
      <c r="N3614" s="121">
        <f t="shared" si="1385"/>
        <v>1</v>
      </c>
      <c r="O3614" s="246">
        <f t="shared" si="1386"/>
        <v>1</v>
      </c>
      <c r="P3614" s="121">
        <f t="shared" si="1387"/>
        <v>0</v>
      </c>
      <c r="Q3614" s="121">
        <f t="shared" si="1388"/>
        <v>1</v>
      </c>
      <c r="R3614" s="121">
        <f t="shared" si="1389"/>
        <v>0</v>
      </c>
      <c r="S3614" s="121" t="str">
        <f t="shared" si="1390"/>
        <v/>
      </c>
      <c r="T3614" s="121" t="str">
        <f t="shared" si="1391"/>
        <v/>
      </c>
      <c r="U3614" s="121">
        <f t="shared" si="1392"/>
        <v>1</v>
      </c>
    </row>
    <row r="3615" spans="1:21" x14ac:dyDescent="0.3">
      <c r="A3615" s="187">
        <v>27</v>
      </c>
      <c r="B3615" s="242">
        <f t="shared" si="1393"/>
        <v>46447</v>
      </c>
      <c r="C3615" s="243">
        <f t="shared" si="1374"/>
        <v>46477</v>
      </c>
      <c r="D3615" s="120">
        <f t="shared" si="1375"/>
        <v>31</v>
      </c>
      <c r="E3615" s="120">
        <f t="shared" si="1376"/>
        <v>3</v>
      </c>
      <c r="F3615" s="275">
        <f t="shared" si="1377"/>
        <v>46462.5</v>
      </c>
      <c r="G3615" s="120">
        <f t="shared" si="1378"/>
        <v>24326</v>
      </c>
      <c r="H3615" s="245">
        <f t="shared" si="1379"/>
        <v>1</v>
      </c>
      <c r="I3615" s="121">
        <f t="shared" si="1380"/>
        <v>1</v>
      </c>
      <c r="J3615" s="121">
        <f t="shared" si="1381"/>
        <v>1</v>
      </c>
      <c r="K3615" s="120">
        <f t="shared" si="1382"/>
        <v>0</v>
      </c>
      <c r="L3615" s="120">
        <f t="shared" si="1383"/>
        <v>0</v>
      </c>
      <c r="M3615" s="246">
        <f t="shared" si="1384"/>
        <v>0</v>
      </c>
      <c r="N3615" s="121">
        <f t="shared" si="1385"/>
        <v>1</v>
      </c>
      <c r="O3615" s="246">
        <f t="shared" si="1386"/>
        <v>1</v>
      </c>
      <c r="P3615" s="121">
        <f t="shared" si="1387"/>
        <v>0</v>
      </c>
      <c r="Q3615" s="121">
        <f t="shared" si="1388"/>
        <v>1</v>
      </c>
      <c r="R3615" s="121">
        <f t="shared" si="1389"/>
        <v>0</v>
      </c>
      <c r="S3615" s="121" t="str">
        <f t="shared" si="1390"/>
        <v/>
      </c>
      <c r="T3615" s="121" t="str">
        <f t="shared" si="1391"/>
        <v/>
      </c>
      <c r="U3615" s="121">
        <f t="shared" si="1392"/>
        <v>1</v>
      </c>
    </row>
    <row r="3616" spans="1:21" x14ac:dyDescent="0.3">
      <c r="A3616" s="187">
        <v>28</v>
      </c>
      <c r="B3616" s="242">
        <f t="shared" si="1393"/>
        <v>46478</v>
      </c>
      <c r="C3616" s="243">
        <f t="shared" si="1374"/>
        <v>46507</v>
      </c>
      <c r="D3616" s="120">
        <f t="shared" si="1375"/>
        <v>30</v>
      </c>
      <c r="E3616" s="120">
        <f t="shared" si="1376"/>
        <v>4</v>
      </c>
      <c r="F3616" s="275">
        <f t="shared" si="1377"/>
        <v>46493</v>
      </c>
      <c r="G3616" s="120">
        <f t="shared" si="1378"/>
        <v>24327</v>
      </c>
      <c r="H3616" s="245">
        <f t="shared" si="1379"/>
        <v>1</v>
      </c>
      <c r="I3616" s="121">
        <f t="shared" si="1380"/>
        <v>1</v>
      </c>
      <c r="J3616" s="121">
        <f t="shared" si="1381"/>
        <v>1</v>
      </c>
      <c r="K3616" s="120">
        <f t="shared" si="1382"/>
        <v>0</v>
      </c>
      <c r="L3616" s="120">
        <f t="shared" si="1383"/>
        <v>0</v>
      </c>
      <c r="M3616" s="246">
        <f t="shared" si="1384"/>
        <v>0</v>
      </c>
      <c r="N3616" s="121">
        <f t="shared" si="1385"/>
        <v>1</v>
      </c>
      <c r="O3616" s="246">
        <f t="shared" si="1386"/>
        <v>1</v>
      </c>
      <c r="P3616" s="121">
        <f t="shared" si="1387"/>
        <v>0</v>
      </c>
      <c r="Q3616" s="121">
        <f t="shared" si="1388"/>
        <v>1</v>
      </c>
      <c r="R3616" s="121">
        <f t="shared" si="1389"/>
        <v>0</v>
      </c>
      <c r="S3616" s="121" t="str">
        <f t="shared" si="1390"/>
        <v/>
      </c>
      <c r="T3616" s="121" t="str">
        <f t="shared" si="1391"/>
        <v/>
      </c>
      <c r="U3616" s="121">
        <f t="shared" si="1392"/>
        <v>1</v>
      </c>
    </row>
    <row r="3617" spans="1:21" x14ac:dyDescent="0.3">
      <c r="A3617" s="187">
        <v>29</v>
      </c>
      <c r="B3617" s="242">
        <f t="shared" si="1393"/>
        <v>46508</v>
      </c>
      <c r="C3617" s="243">
        <f t="shared" si="1374"/>
        <v>46538</v>
      </c>
      <c r="D3617" s="120">
        <f t="shared" si="1375"/>
        <v>31</v>
      </c>
      <c r="E3617" s="120">
        <f t="shared" si="1376"/>
        <v>5</v>
      </c>
      <c r="F3617" s="275">
        <f t="shared" si="1377"/>
        <v>46523.5</v>
      </c>
      <c r="G3617" s="120">
        <f t="shared" si="1378"/>
        <v>24328</v>
      </c>
      <c r="H3617" s="245">
        <f t="shared" si="1379"/>
        <v>1</v>
      </c>
      <c r="I3617" s="121">
        <f t="shared" si="1380"/>
        <v>1</v>
      </c>
      <c r="J3617" s="121">
        <f t="shared" si="1381"/>
        <v>1</v>
      </c>
      <c r="K3617" s="120">
        <f t="shared" si="1382"/>
        <v>0</v>
      </c>
      <c r="L3617" s="120">
        <f t="shared" si="1383"/>
        <v>0</v>
      </c>
      <c r="M3617" s="246">
        <f t="shared" si="1384"/>
        <v>0</v>
      </c>
      <c r="N3617" s="121">
        <f t="shared" si="1385"/>
        <v>1</v>
      </c>
      <c r="O3617" s="246">
        <f t="shared" si="1386"/>
        <v>1</v>
      </c>
      <c r="P3617" s="121">
        <f t="shared" si="1387"/>
        <v>0</v>
      </c>
      <c r="Q3617" s="121">
        <f t="shared" si="1388"/>
        <v>1</v>
      </c>
      <c r="R3617" s="121">
        <f t="shared" si="1389"/>
        <v>0</v>
      </c>
      <c r="S3617" s="121" t="str">
        <f t="shared" si="1390"/>
        <v/>
      </c>
      <c r="T3617" s="121" t="str">
        <f t="shared" si="1391"/>
        <v/>
      </c>
      <c r="U3617" s="121">
        <f t="shared" si="1392"/>
        <v>1</v>
      </c>
    </row>
    <row r="3618" spans="1:21" x14ac:dyDescent="0.3">
      <c r="A3618" s="187">
        <v>30</v>
      </c>
      <c r="B3618" s="242">
        <f t="shared" si="1393"/>
        <v>46539</v>
      </c>
      <c r="C3618" s="243">
        <f t="shared" si="1374"/>
        <v>46568</v>
      </c>
      <c r="D3618" s="120">
        <f t="shared" si="1375"/>
        <v>30</v>
      </c>
      <c r="E3618" s="120">
        <f t="shared" si="1376"/>
        <v>6</v>
      </c>
      <c r="F3618" s="275">
        <f t="shared" si="1377"/>
        <v>46554</v>
      </c>
      <c r="G3618" s="120">
        <f t="shared" si="1378"/>
        <v>24329</v>
      </c>
      <c r="H3618" s="245">
        <f t="shared" si="1379"/>
        <v>1</v>
      </c>
      <c r="I3618" s="121">
        <f t="shared" si="1380"/>
        <v>1</v>
      </c>
      <c r="J3618" s="121">
        <f t="shared" si="1381"/>
        <v>1</v>
      </c>
      <c r="K3618" s="120">
        <f t="shared" si="1382"/>
        <v>0</v>
      </c>
      <c r="L3618" s="120">
        <f t="shared" si="1383"/>
        <v>0</v>
      </c>
      <c r="M3618" s="246">
        <f t="shared" si="1384"/>
        <v>0</v>
      </c>
      <c r="N3618" s="121">
        <f t="shared" si="1385"/>
        <v>1</v>
      </c>
      <c r="O3618" s="246">
        <f t="shared" si="1386"/>
        <v>1</v>
      </c>
      <c r="P3618" s="121">
        <f t="shared" si="1387"/>
        <v>0</v>
      </c>
      <c r="Q3618" s="121">
        <f t="shared" si="1388"/>
        <v>1</v>
      </c>
      <c r="R3618" s="121">
        <f t="shared" si="1389"/>
        <v>0</v>
      </c>
      <c r="S3618" s="121" t="str">
        <f t="shared" si="1390"/>
        <v/>
      </c>
      <c r="T3618" s="121" t="str">
        <f t="shared" si="1391"/>
        <v/>
      </c>
      <c r="U3618" s="121">
        <f t="shared" si="1392"/>
        <v>1</v>
      </c>
    </row>
    <row r="3619" spans="1:21" x14ac:dyDescent="0.3">
      <c r="A3619" s="187">
        <v>31</v>
      </c>
      <c r="B3619" s="242">
        <f t="shared" si="1393"/>
        <v>46569</v>
      </c>
      <c r="C3619" s="243">
        <f t="shared" si="1374"/>
        <v>46599</v>
      </c>
      <c r="D3619" s="120">
        <f t="shared" si="1375"/>
        <v>31</v>
      </c>
      <c r="E3619" s="120">
        <f t="shared" si="1376"/>
        <v>7</v>
      </c>
      <c r="F3619" s="275">
        <f t="shared" si="1377"/>
        <v>46584.5</v>
      </c>
      <c r="G3619" s="120">
        <f t="shared" si="1378"/>
        <v>24330</v>
      </c>
      <c r="H3619" s="245">
        <f t="shared" si="1379"/>
        <v>1</v>
      </c>
      <c r="I3619" s="121">
        <f t="shared" si="1380"/>
        <v>1</v>
      </c>
      <c r="J3619" s="121">
        <f t="shared" si="1381"/>
        <v>1</v>
      </c>
      <c r="K3619" s="120">
        <f t="shared" si="1382"/>
        <v>0</v>
      </c>
      <c r="L3619" s="120">
        <f t="shared" si="1383"/>
        <v>0</v>
      </c>
      <c r="M3619" s="246">
        <f t="shared" si="1384"/>
        <v>0</v>
      </c>
      <c r="N3619" s="121">
        <f t="shared" si="1385"/>
        <v>1</v>
      </c>
      <c r="O3619" s="246">
        <f t="shared" si="1386"/>
        <v>1</v>
      </c>
      <c r="P3619" s="121">
        <f t="shared" si="1387"/>
        <v>0</v>
      </c>
      <c r="Q3619" s="121">
        <f t="shared" si="1388"/>
        <v>0.91666666666666663</v>
      </c>
      <c r="R3619" s="121">
        <f t="shared" si="1389"/>
        <v>8.333333333333337E-2</v>
      </c>
      <c r="S3619" s="121" t="str">
        <f t="shared" si="1390"/>
        <v/>
      </c>
      <c r="T3619" s="121" t="str">
        <f t="shared" si="1391"/>
        <v/>
      </c>
      <c r="U3619" s="121">
        <f t="shared" si="1392"/>
        <v>1</v>
      </c>
    </row>
    <row r="3620" spans="1:21" x14ac:dyDescent="0.3">
      <c r="A3620" s="187">
        <v>32</v>
      </c>
      <c r="B3620" s="242">
        <f t="shared" si="1393"/>
        <v>46600</v>
      </c>
      <c r="C3620" s="243">
        <f t="shared" si="1374"/>
        <v>46630</v>
      </c>
      <c r="D3620" s="120">
        <f t="shared" si="1375"/>
        <v>31</v>
      </c>
      <c r="E3620" s="120">
        <f t="shared" si="1376"/>
        <v>8</v>
      </c>
      <c r="F3620" s="275">
        <f t="shared" si="1377"/>
        <v>46615.5</v>
      </c>
      <c r="G3620" s="120">
        <f t="shared" si="1378"/>
        <v>24331</v>
      </c>
      <c r="H3620" s="245">
        <f t="shared" si="1379"/>
        <v>1</v>
      </c>
      <c r="I3620" s="121">
        <f t="shared" si="1380"/>
        <v>1</v>
      </c>
      <c r="J3620" s="121">
        <f t="shared" si="1381"/>
        <v>1</v>
      </c>
      <c r="K3620" s="120">
        <f t="shared" si="1382"/>
        <v>0</v>
      </c>
      <c r="L3620" s="120">
        <f t="shared" si="1383"/>
        <v>0</v>
      </c>
      <c r="M3620" s="246">
        <f t="shared" si="1384"/>
        <v>0</v>
      </c>
      <c r="N3620" s="121">
        <f t="shared" si="1385"/>
        <v>1</v>
      </c>
      <c r="O3620" s="246">
        <f t="shared" si="1386"/>
        <v>1</v>
      </c>
      <c r="P3620" s="121">
        <f t="shared" si="1387"/>
        <v>0</v>
      </c>
      <c r="Q3620" s="121">
        <f t="shared" si="1388"/>
        <v>0.75</v>
      </c>
      <c r="R3620" s="121">
        <f t="shared" si="1389"/>
        <v>0.25</v>
      </c>
      <c r="S3620" s="121" t="str">
        <f t="shared" si="1390"/>
        <v/>
      </c>
      <c r="T3620" s="121" t="str">
        <f t="shared" si="1391"/>
        <v/>
      </c>
      <c r="U3620" s="121">
        <f t="shared" si="1392"/>
        <v>1</v>
      </c>
    </row>
    <row r="3621" spans="1:21" x14ac:dyDescent="0.3">
      <c r="A3621" s="187">
        <v>33</v>
      </c>
      <c r="B3621" s="242">
        <f t="shared" si="1393"/>
        <v>46631</v>
      </c>
      <c r="C3621" s="243">
        <f t="shared" si="1374"/>
        <v>46660</v>
      </c>
      <c r="D3621" s="120">
        <f t="shared" si="1375"/>
        <v>30</v>
      </c>
      <c r="E3621" s="120">
        <f t="shared" si="1376"/>
        <v>9</v>
      </c>
      <c r="F3621" s="275">
        <f t="shared" si="1377"/>
        <v>46646</v>
      </c>
      <c r="G3621" s="120">
        <f t="shared" si="1378"/>
        <v>24332</v>
      </c>
      <c r="H3621" s="245">
        <f t="shared" si="1379"/>
        <v>1</v>
      </c>
      <c r="I3621" s="121">
        <f t="shared" si="1380"/>
        <v>1</v>
      </c>
      <c r="J3621" s="121">
        <f t="shared" si="1381"/>
        <v>1</v>
      </c>
      <c r="K3621" s="120">
        <f t="shared" si="1382"/>
        <v>0</v>
      </c>
      <c r="L3621" s="120">
        <f t="shared" si="1383"/>
        <v>0</v>
      </c>
      <c r="M3621" s="246">
        <f t="shared" si="1384"/>
        <v>0</v>
      </c>
      <c r="N3621" s="121">
        <f t="shared" si="1385"/>
        <v>1</v>
      </c>
      <c r="O3621" s="246">
        <f t="shared" si="1386"/>
        <v>1</v>
      </c>
      <c r="P3621" s="121">
        <f t="shared" si="1387"/>
        <v>0</v>
      </c>
      <c r="Q3621" s="121">
        <f t="shared" si="1388"/>
        <v>0.58333333333333337</v>
      </c>
      <c r="R3621" s="121">
        <f t="shared" si="1389"/>
        <v>0.41666666666666663</v>
      </c>
      <c r="S3621" s="121" t="str">
        <f t="shared" si="1390"/>
        <v/>
      </c>
      <c r="T3621" s="121" t="str">
        <f t="shared" si="1391"/>
        <v/>
      </c>
      <c r="U3621" s="121">
        <f t="shared" si="1392"/>
        <v>1</v>
      </c>
    </row>
    <row r="3622" spans="1:21" x14ac:dyDescent="0.3">
      <c r="A3622" s="187">
        <v>34</v>
      </c>
      <c r="B3622" s="242">
        <f t="shared" si="1393"/>
        <v>46661</v>
      </c>
      <c r="C3622" s="243">
        <f t="shared" si="1374"/>
        <v>46691</v>
      </c>
      <c r="D3622" s="120">
        <f t="shared" si="1375"/>
        <v>31</v>
      </c>
      <c r="E3622" s="120">
        <f t="shared" si="1376"/>
        <v>10</v>
      </c>
      <c r="F3622" s="275">
        <f t="shared" si="1377"/>
        <v>46676.5</v>
      </c>
      <c r="G3622" s="120">
        <f t="shared" si="1378"/>
        <v>24333</v>
      </c>
      <c r="H3622" s="245">
        <f t="shared" si="1379"/>
        <v>1</v>
      </c>
      <c r="I3622" s="121">
        <f t="shared" si="1380"/>
        <v>1</v>
      </c>
      <c r="J3622" s="121">
        <f t="shared" si="1381"/>
        <v>1</v>
      </c>
      <c r="K3622" s="120">
        <f t="shared" si="1382"/>
        <v>0</v>
      </c>
      <c r="L3622" s="120">
        <f t="shared" si="1383"/>
        <v>0</v>
      </c>
      <c r="M3622" s="246">
        <f t="shared" si="1384"/>
        <v>0</v>
      </c>
      <c r="N3622" s="121">
        <f t="shared" si="1385"/>
        <v>1</v>
      </c>
      <c r="O3622" s="246">
        <f t="shared" si="1386"/>
        <v>1</v>
      </c>
      <c r="P3622" s="121">
        <f t="shared" si="1387"/>
        <v>0</v>
      </c>
      <c r="Q3622" s="121">
        <f t="shared" si="1388"/>
        <v>0.41666666666666669</v>
      </c>
      <c r="R3622" s="121">
        <f t="shared" si="1389"/>
        <v>0.58333333333333326</v>
      </c>
      <c r="S3622" s="121" t="str">
        <f t="shared" si="1390"/>
        <v/>
      </c>
      <c r="T3622" s="121" t="str">
        <f t="shared" si="1391"/>
        <v/>
      </c>
      <c r="U3622" s="121">
        <f t="shared" si="1392"/>
        <v>1</v>
      </c>
    </row>
    <row r="3623" spans="1:21" x14ac:dyDescent="0.3">
      <c r="A3623" s="187">
        <v>35</v>
      </c>
      <c r="B3623" s="242">
        <f t="shared" si="1393"/>
        <v>46692</v>
      </c>
      <c r="C3623" s="243">
        <f t="shared" si="1374"/>
        <v>46721</v>
      </c>
      <c r="D3623" s="120">
        <f t="shared" si="1375"/>
        <v>30</v>
      </c>
      <c r="E3623" s="120">
        <f t="shared" si="1376"/>
        <v>11</v>
      </c>
      <c r="F3623" s="275">
        <f t="shared" si="1377"/>
        <v>46707</v>
      </c>
      <c r="G3623" s="120">
        <f t="shared" si="1378"/>
        <v>24334</v>
      </c>
      <c r="H3623" s="245">
        <f t="shared" si="1379"/>
        <v>1</v>
      </c>
      <c r="I3623" s="121">
        <f t="shared" si="1380"/>
        <v>1</v>
      </c>
      <c r="J3623" s="121">
        <f t="shared" si="1381"/>
        <v>1</v>
      </c>
      <c r="K3623" s="120">
        <f t="shared" si="1382"/>
        <v>0</v>
      </c>
      <c r="L3623" s="120">
        <f t="shared" si="1383"/>
        <v>0</v>
      </c>
      <c r="M3623" s="246">
        <f t="shared" si="1384"/>
        <v>0</v>
      </c>
      <c r="N3623" s="121">
        <f t="shared" si="1385"/>
        <v>1</v>
      </c>
      <c r="O3623" s="246">
        <f t="shared" si="1386"/>
        <v>1</v>
      </c>
      <c r="P3623" s="121">
        <f t="shared" si="1387"/>
        <v>0</v>
      </c>
      <c r="Q3623" s="121">
        <f t="shared" si="1388"/>
        <v>0.25</v>
      </c>
      <c r="R3623" s="121">
        <f t="shared" si="1389"/>
        <v>0.75</v>
      </c>
      <c r="S3623" s="121" t="str">
        <f t="shared" si="1390"/>
        <v/>
      </c>
      <c r="T3623" s="121" t="str">
        <f t="shared" si="1391"/>
        <v/>
      </c>
      <c r="U3623" s="121">
        <f t="shared" si="1392"/>
        <v>1</v>
      </c>
    </row>
    <row r="3624" spans="1:21" x14ac:dyDescent="0.3">
      <c r="A3624" s="187">
        <v>36</v>
      </c>
      <c r="B3624" s="242">
        <f t="shared" si="1393"/>
        <v>46722</v>
      </c>
      <c r="C3624" s="243">
        <f t="shared" si="1374"/>
        <v>46752</v>
      </c>
      <c r="D3624" s="120">
        <f t="shared" si="1375"/>
        <v>31</v>
      </c>
      <c r="E3624" s="120">
        <f t="shared" si="1376"/>
        <v>12</v>
      </c>
      <c r="F3624" s="275">
        <f t="shared" si="1377"/>
        <v>46737.5</v>
      </c>
      <c r="G3624" s="120">
        <f t="shared" si="1378"/>
        <v>24335</v>
      </c>
      <c r="H3624" s="245">
        <f t="shared" si="1379"/>
        <v>1</v>
      </c>
      <c r="I3624" s="121">
        <f t="shared" si="1380"/>
        <v>1</v>
      </c>
      <c r="J3624" s="121">
        <f t="shared" si="1381"/>
        <v>1</v>
      </c>
      <c r="K3624" s="120">
        <f t="shared" si="1382"/>
        <v>0</v>
      </c>
      <c r="L3624" s="120">
        <f t="shared" si="1383"/>
        <v>0</v>
      </c>
      <c r="M3624" s="246">
        <f t="shared" si="1384"/>
        <v>0</v>
      </c>
      <c r="N3624" s="121">
        <f t="shared" si="1385"/>
        <v>1</v>
      </c>
      <c r="O3624" s="246">
        <f t="shared" si="1386"/>
        <v>1</v>
      </c>
      <c r="P3624" s="121">
        <f t="shared" si="1387"/>
        <v>0</v>
      </c>
      <c r="Q3624" s="121">
        <f t="shared" si="1388"/>
        <v>8.3333333333333329E-2</v>
      </c>
      <c r="R3624" s="121">
        <f t="shared" si="1389"/>
        <v>0.91666666666666663</v>
      </c>
      <c r="S3624" s="121" t="str">
        <f t="shared" si="1390"/>
        <v/>
      </c>
      <c r="T3624" s="121" t="str">
        <f t="shared" si="1391"/>
        <v/>
      </c>
      <c r="U3624" s="121">
        <f t="shared" si="1392"/>
        <v>1</v>
      </c>
    </row>
    <row r="3625" spans="1:21" x14ac:dyDescent="0.3">
      <c r="A3625" s="187">
        <v>37</v>
      </c>
      <c r="B3625" s="242">
        <f t="shared" si="1393"/>
        <v>46753</v>
      </c>
      <c r="C3625" s="243">
        <f t="shared" si="1374"/>
        <v>46783</v>
      </c>
      <c r="D3625" s="120">
        <f t="shared" si="1375"/>
        <v>31</v>
      </c>
      <c r="E3625" s="120">
        <f t="shared" si="1376"/>
        <v>1</v>
      </c>
      <c r="F3625" s="275">
        <f t="shared" si="1377"/>
        <v>46768.5</v>
      </c>
      <c r="G3625" s="120">
        <f t="shared" si="1378"/>
        <v>24336</v>
      </c>
      <c r="H3625" s="245">
        <f t="shared" si="1379"/>
        <v>1</v>
      </c>
      <c r="I3625" s="121">
        <f t="shared" si="1380"/>
        <v>1</v>
      </c>
      <c r="J3625" s="121">
        <f t="shared" si="1381"/>
        <v>1</v>
      </c>
      <c r="K3625" s="120">
        <f t="shared" si="1382"/>
        <v>0</v>
      </c>
      <c r="L3625" s="120">
        <f t="shared" si="1383"/>
        <v>0</v>
      </c>
      <c r="M3625" s="246">
        <f t="shared" si="1384"/>
        <v>0</v>
      </c>
      <c r="N3625" s="121">
        <f t="shared" si="1385"/>
        <v>1</v>
      </c>
      <c r="O3625" s="246">
        <f t="shared" si="1386"/>
        <v>1</v>
      </c>
      <c r="P3625" s="121">
        <f t="shared" si="1387"/>
        <v>0</v>
      </c>
      <c r="Q3625" s="121">
        <f t="shared" si="1388"/>
        <v>0</v>
      </c>
      <c r="R3625" s="121">
        <f t="shared" si="1389"/>
        <v>1</v>
      </c>
      <c r="S3625" s="121" t="str">
        <f t="shared" si="1390"/>
        <v/>
      </c>
      <c r="T3625" s="121" t="str">
        <f t="shared" si="1391"/>
        <v/>
      </c>
      <c r="U3625" s="121">
        <f t="shared" si="1392"/>
        <v>1</v>
      </c>
    </row>
    <row r="3626" spans="1:21" x14ac:dyDescent="0.3">
      <c r="A3626" s="187">
        <v>38</v>
      </c>
      <c r="B3626" s="242">
        <f t="shared" si="1393"/>
        <v>46784</v>
      </c>
      <c r="C3626" s="243">
        <f t="shared" si="1374"/>
        <v>46812</v>
      </c>
      <c r="D3626" s="120">
        <f t="shared" si="1375"/>
        <v>29</v>
      </c>
      <c r="E3626" s="120">
        <f t="shared" si="1376"/>
        <v>2</v>
      </c>
      <c r="F3626" s="275">
        <f t="shared" si="1377"/>
        <v>46798.5</v>
      </c>
      <c r="G3626" s="120">
        <f t="shared" si="1378"/>
        <v>24337</v>
      </c>
      <c r="H3626" s="245">
        <f t="shared" si="1379"/>
        <v>1</v>
      </c>
      <c r="I3626" s="121">
        <f t="shared" si="1380"/>
        <v>1</v>
      </c>
      <c r="J3626" s="121">
        <f t="shared" si="1381"/>
        <v>1</v>
      </c>
      <c r="K3626" s="120">
        <f t="shared" si="1382"/>
        <v>0</v>
      </c>
      <c r="L3626" s="120">
        <f t="shared" si="1383"/>
        <v>0</v>
      </c>
      <c r="M3626" s="246">
        <f t="shared" si="1384"/>
        <v>0</v>
      </c>
      <c r="N3626" s="121">
        <f t="shared" si="1385"/>
        <v>1</v>
      </c>
      <c r="O3626" s="246">
        <f t="shared" si="1386"/>
        <v>1</v>
      </c>
      <c r="P3626" s="121">
        <f t="shared" si="1387"/>
        <v>0</v>
      </c>
      <c r="Q3626" s="121">
        <f t="shared" si="1388"/>
        <v>0</v>
      </c>
      <c r="R3626" s="121">
        <f t="shared" si="1389"/>
        <v>1</v>
      </c>
      <c r="S3626" s="121" t="str">
        <f t="shared" si="1390"/>
        <v/>
      </c>
      <c r="T3626" s="121" t="str">
        <f t="shared" si="1391"/>
        <v/>
      </c>
      <c r="U3626" s="121">
        <f t="shared" si="1392"/>
        <v>1</v>
      </c>
    </row>
    <row r="3627" spans="1:21" x14ac:dyDescent="0.3">
      <c r="A3627" s="187">
        <v>39</v>
      </c>
      <c r="B3627" s="242">
        <f t="shared" si="1393"/>
        <v>46813</v>
      </c>
      <c r="C3627" s="243">
        <f t="shared" si="1374"/>
        <v>46843</v>
      </c>
      <c r="D3627" s="120">
        <f t="shared" si="1375"/>
        <v>31</v>
      </c>
      <c r="E3627" s="120">
        <f t="shared" si="1376"/>
        <v>3</v>
      </c>
      <c r="F3627" s="275">
        <f t="shared" si="1377"/>
        <v>46828.5</v>
      </c>
      <c r="G3627" s="120">
        <f t="shared" si="1378"/>
        <v>24338</v>
      </c>
      <c r="H3627" s="245">
        <f t="shared" si="1379"/>
        <v>1</v>
      </c>
      <c r="I3627" s="121">
        <f t="shared" si="1380"/>
        <v>1</v>
      </c>
      <c r="J3627" s="121">
        <f t="shared" si="1381"/>
        <v>1</v>
      </c>
      <c r="K3627" s="120">
        <f t="shared" si="1382"/>
        <v>0</v>
      </c>
      <c r="L3627" s="120">
        <f t="shared" si="1383"/>
        <v>0</v>
      </c>
      <c r="M3627" s="246">
        <f t="shared" si="1384"/>
        <v>0</v>
      </c>
      <c r="N3627" s="121">
        <f t="shared" si="1385"/>
        <v>1</v>
      </c>
      <c r="O3627" s="246">
        <f t="shared" si="1386"/>
        <v>1</v>
      </c>
      <c r="P3627" s="121">
        <f t="shared" si="1387"/>
        <v>0</v>
      </c>
      <c r="Q3627" s="121">
        <f t="shared" si="1388"/>
        <v>0</v>
      </c>
      <c r="R3627" s="121">
        <f t="shared" si="1389"/>
        <v>1</v>
      </c>
      <c r="S3627" s="121" t="str">
        <f t="shared" si="1390"/>
        <v/>
      </c>
      <c r="T3627" s="121" t="str">
        <f t="shared" si="1391"/>
        <v/>
      </c>
      <c r="U3627" s="121">
        <f t="shared" si="1392"/>
        <v>1</v>
      </c>
    </row>
    <row r="3628" spans="1:21" x14ac:dyDescent="0.3">
      <c r="A3628" s="187">
        <v>40</v>
      </c>
      <c r="B3628" s="242">
        <f t="shared" si="1393"/>
        <v>46844</v>
      </c>
      <c r="C3628" s="243">
        <f t="shared" si="1374"/>
        <v>46873</v>
      </c>
      <c r="D3628" s="120">
        <f t="shared" si="1375"/>
        <v>30</v>
      </c>
      <c r="E3628" s="120">
        <f t="shared" si="1376"/>
        <v>4</v>
      </c>
      <c r="F3628" s="275">
        <f t="shared" si="1377"/>
        <v>46859</v>
      </c>
      <c r="G3628" s="120">
        <f t="shared" si="1378"/>
        <v>24339</v>
      </c>
      <c r="H3628" s="245">
        <f t="shared" si="1379"/>
        <v>1</v>
      </c>
      <c r="I3628" s="121">
        <f t="shared" si="1380"/>
        <v>1</v>
      </c>
      <c r="J3628" s="121">
        <f t="shared" si="1381"/>
        <v>1</v>
      </c>
      <c r="K3628" s="120">
        <f t="shared" si="1382"/>
        <v>0</v>
      </c>
      <c r="L3628" s="120">
        <f t="shared" si="1383"/>
        <v>0</v>
      </c>
      <c r="M3628" s="246">
        <f t="shared" si="1384"/>
        <v>0</v>
      </c>
      <c r="N3628" s="121">
        <f t="shared" si="1385"/>
        <v>1</v>
      </c>
      <c r="O3628" s="246">
        <f t="shared" si="1386"/>
        <v>1</v>
      </c>
      <c r="P3628" s="121">
        <f t="shared" si="1387"/>
        <v>0</v>
      </c>
      <c r="Q3628" s="121">
        <f t="shared" si="1388"/>
        <v>0</v>
      </c>
      <c r="R3628" s="121">
        <f t="shared" si="1389"/>
        <v>1</v>
      </c>
      <c r="S3628" s="121" t="str">
        <f t="shared" si="1390"/>
        <v/>
      </c>
      <c r="T3628" s="121" t="str">
        <f t="shared" si="1391"/>
        <v/>
      </c>
      <c r="U3628" s="121">
        <f t="shared" si="1392"/>
        <v>1</v>
      </c>
    </row>
    <row r="3629" spans="1:21" x14ac:dyDescent="0.3">
      <c r="A3629" s="187">
        <v>41</v>
      </c>
      <c r="B3629" s="242">
        <f t="shared" si="1393"/>
        <v>46874</v>
      </c>
      <c r="C3629" s="243">
        <f t="shared" si="1374"/>
        <v>46904</v>
      </c>
      <c r="D3629" s="120">
        <f t="shared" si="1375"/>
        <v>31</v>
      </c>
      <c r="E3629" s="120">
        <f t="shared" si="1376"/>
        <v>5</v>
      </c>
      <c r="F3629" s="275">
        <f t="shared" si="1377"/>
        <v>46889.5</v>
      </c>
      <c r="G3629" s="120">
        <f t="shared" si="1378"/>
        <v>24340</v>
      </c>
      <c r="H3629" s="245">
        <f t="shared" si="1379"/>
        <v>1</v>
      </c>
      <c r="I3629" s="121">
        <f t="shared" si="1380"/>
        <v>1</v>
      </c>
      <c r="J3629" s="121">
        <f t="shared" si="1381"/>
        <v>1</v>
      </c>
      <c r="K3629" s="120">
        <f t="shared" si="1382"/>
        <v>0</v>
      </c>
      <c r="L3629" s="120">
        <f t="shared" si="1383"/>
        <v>0</v>
      </c>
      <c r="M3629" s="246">
        <f t="shared" si="1384"/>
        <v>0</v>
      </c>
      <c r="N3629" s="121">
        <f t="shared" si="1385"/>
        <v>1</v>
      </c>
      <c r="O3629" s="246">
        <f t="shared" si="1386"/>
        <v>1</v>
      </c>
      <c r="P3629" s="121">
        <f t="shared" si="1387"/>
        <v>0</v>
      </c>
      <c r="Q3629" s="121">
        <f t="shared" si="1388"/>
        <v>0</v>
      </c>
      <c r="R3629" s="121">
        <f t="shared" si="1389"/>
        <v>1</v>
      </c>
      <c r="S3629" s="121" t="str">
        <f t="shared" si="1390"/>
        <v/>
      </c>
      <c r="T3629" s="121" t="str">
        <f t="shared" si="1391"/>
        <v/>
      </c>
      <c r="U3629" s="121">
        <f t="shared" si="1392"/>
        <v>1</v>
      </c>
    </row>
    <row r="3630" spans="1:21" x14ac:dyDescent="0.3">
      <c r="A3630" s="187">
        <v>42</v>
      </c>
      <c r="B3630" s="242">
        <f t="shared" si="1393"/>
        <v>46905</v>
      </c>
      <c r="C3630" s="243">
        <f t="shared" si="1374"/>
        <v>46934</v>
      </c>
      <c r="D3630" s="120">
        <f t="shared" si="1375"/>
        <v>30</v>
      </c>
      <c r="E3630" s="120">
        <f t="shared" si="1376"/>
        <v>6</v>
      </c>
      <c r="F3630" s="275">
        <f t="shared" si="1377"/>
        <v>46920</v>
      </c>
      <c r="G3630" s="120">
        <f t="shared" si="1378"/>
        <v>24341</v>
      </c>
      <c r="H3630" s="245">
        <f t="shared" si="1379"/>
        <v>1</v>
      </c>
      <c r="I3630" s="121">
        <f t="shared" si="1380"/>
        <v>1</v>
      </c>
      <c r="J3630" s="121">
        <f t="shared" si="1381"/>
        <v>1</v>
      </c>
      <c r="K3630" s="120">
        <f t="shared" si="1382"/>
        <v>0</v>
      </c>
      <c r="L3630" s="120">
        <f t="shared" si="1383"/>
        <v>0</v>
      </c>
      <c r="M3630" s="246">
        <f t="shared" si="1384"/>
        <v>0</v>
      </c>
      <c r="N3630" s="121">
        <f t="shared" si="1385"/>
        <v>1</v>
      </c>
      <c r="O3630" s="246">
        <f t="shared" si="1386"/>
        <v>1</v>
      </c>
      <c r="P3630" s="121">
        <f t="shared" si="1387"/>
        <v>0</v>
      </c>
      <c r="Q3630" s="121">
        <f t="shared" si="1388"/>
        <v>0</v>
      </c>
      <c r="R3630" s="121">
        <f t="shared" si="1389"/>
        <v>1</v>
      </c>
      <c r="S3630" s="121" t="str">
        <f t="shared" si="1390"/>
        <v/>
      </c>
      <c r="T3630" s="121" t="str">
        <f t="shared" si="1391"/>
        <v/>
      </c>
      <c r="U3630" s="121">
        <f t="shared" si="1392"/>
        <v>1</v>
      </c>
    </row>
    <row r="3631" spans="1:21" x14ac:dyDescent="0.3">
      <c r="A3631" s="187">
        <v>43</v>
      </c>
      <c r="B3631" s="242">
        <f t="shared" si="1393"/>
        <v>46935</v>
      </c>
      <c r="C3631" s="243">
        <f t="shared" si="1374"/>
        <v>46965</v>
      </c>
      <c r="D3631" s="120">
        <f t="shared" si="1375"/>
        <v>31</v>
      </c>
      <c r="E3631" s="120">
        <f t="shared" si="1376"/>
        <v>7</v>
      </c>
      <c r="F3631" s="275">
        <f t="shared" si="1377"/>
        <v>46950.5</v>
      </c>
      <c r="G3631" s="120">
        <f t="shared" si="1378"/>
        <v>24342</v>
      </c>
      <c r="H3631" s="245">
        <f t="shared" si="1379"/>
        <v>1</v>
      </c>
      <c r="I3631" s="121">
        <f t="shared" si="1380"/>
        <v>1</v>
      </c>
      <c r="J3631" s="121">
        <f t="shared" si="1381"/>
        <v>1</v>
      </c>
      <c r="K3631" s="120">
        <f t="shared" si="1382"/>
        <v>0</v>
      </c>
      <c r="L3631" s="120">
        <f t="shared" si="1383"/>
        <v>0</v>
      </c>
      <c r="M3631" s="246">
        <f t="shared" si="1384"/>
        <v>0</v>
      </c>
      <c r="N3631" s="121">
        <f t="shared" si="1385"/>
        <v>1</v>
      </c>
      <c r="O3631" s="246">
        <f t="shared" si="1386"/>
        <v>1</v>
      </c>
      <c r="P3631" s="121">
        <f t="shared" si="1387"/>
        <v>0</v>
      </c>
      <c r="Q3631" s="121">
        <f t="shared" si="1388"/>
        <v>0</v>
      </c>
      <c r="R3631" s="121">
        <f t="shared" si="1389"/>
        <v>0.91666666666666663</v>
      </c>
      <c r="S3631" s="121" t="str">
        <f t="shared" si="1390"/>
        <v/>
      </c>
      <c r="T3631" s="121" t="str">
        <f t="shared" si="1391"/>
        <v/>
      </c>
      <c r="U3631" s="121">
        <f t="shared" si="1392"/>
        <v>1</v>
      </c>
    </row>
    <row r="3632" spans="1:21" x14ac:dyDescent="0.3">
      <c r="A3632" s="187">
        <v>44</v>
      </c>
      <c r="B3632" s="242">
        <f t="shared" si="1393"/>
        <v>46966</v>
      </c>
      <c r="C3632" s="243">
        <f t="shared" si="1374"/>
        <v>46996</v>
      </c>
      <c r="D3632" s="120">
        <f t="shared" si="1375"/>
        <v>31</v>
      </c>
      <c r="E3632" s="120">
        <f t="shared" si="1376"/>
        <v>8</v>
      </c>
      <c r="F3632" s="275">
        <f t="shared" si="1377"/>
        <v>46981.5</v>
      </c>
      <c r="G3632" s="120">
        <f t="shared" si="1378"/>
        <v>24343</v>
      </c>
      <c r="H3632" s="245">
        <f t="shared" si="1379"/>
        <v>1</v>
      </c>
      <c r="I3632" s="121">
        <f t="shared" si="1380"/>
        <v>1</v>
      </c>
      <c r="J3632" s="121">
        <f t="shared" si="1381"/>
        <v>1</v>
      </c>
      <c r="K3632" s="120">
        <f t="shared" si="1382"/>
        <v>0</v>
      </c>
      <c r="L3632" s="120">
        <f t="shared" si="1383"/>
        <v>0</v>
      </c>
      <c r="M3632" s="246">
        <f t="shared" si="1384"/>
        <v>0</v>
      </c>
      <c r="N3632" s="121">
        <f t="shared" si="1385"/>
        <v>1</v>
      </c>
      <c r="O3632" s="246">
        <f t="shared" si="1386"/>
        <v>1</v>
      </c>
      <c r="P3632" s="121">
        <f t="shared" si="1387"/>
        <v>0</v>
      </c>
      <c r="Q3632" s="121">
        <f t="shared" si="1388"/>
        <v>0</v>
      </c>
      <c r="R3632" s="121">
        <f t="shared" si="1389"/>
        <v>0.75</v>
      </c>
      <c r="S3632" s="121" t="str">
        <f t="shared" si="1390"/>
        <v/>
      </c>
      <c r="T3632" s="121" t="str">
        <f t="shared" si="1391"/>
        <v/>
      </c>
      <c r="U3632" s="121">
        <f t="shared" si="1392"/>
        <v>1</v>
      </c>
    </row>
    <row r="3633" spans="1:21" x14ac:dyDescent="0.3">
      <c r="A3633" s="187">
        <v>45</v>
      </c>
      <c r="B3633" s="242">
        <f t="shared" si="1393"/>
        <v>46997</v>
      </c>
      <c r="C3633" s="243">
        <f t="shared" si="1374"/>
        <v>47026</v>
      </c>
      <c r="D3633" s="120">
        <f t="shared" si="1375"/>
        <v>30</v>
      </c>
      <c r="E3633" s="120">
        <f t="shared" si="1376"/>
        <v>9</v>
      </c>
      <c r="F3633" s="275">
        <f t="shared" si="1377"/>
        <v>47012</v>
      </c>
      <c r="G3633" s="120">
        <f t="shared" si="1378"/>
        <v>24344</v>
      </c>
      <c r="H3633" s="245">
        <f t="shared" si="1379"/>
        <v>1</v>
      </c>
      <c r="I3633" s="121">
        <f t="shared" si="1380"/>
        <v>1</v>
      </c>
      <c r="J3633" s="121">
        <f t="shared" si="1381"/>
        <v>1</v>
      </c>
      <c r="K3633" s="120">
        <f t="shared" si="1382"/>
        <v>0</v>
      </c>
      <c r="L3633" s="120">
        <f t="shared" si="1383"/>
        <v>0</v>
      </c>
      <c r="M3633" s="246">
        <f t="shared" si="1384"/>
        <v>0</v>
      </c>
      <c r="N3633" s="121">
        <f t="shared" si="1385"/>
        <v>1</v>
      </c>
      <c r="O3633" s="246">
        <f t="shared" si="1386"/>
        <v>1</v>
      </c>
      <c r="P3633" s="121">
        <f t="shared" si="1387"/>
        <v>0</v>
      </c>
      <c r="Q3633" s="121">
        <f t="shared" si="1388"/>
        <v>0</v>
      </c>
      <c r="R3633" s="121">
        <f t="shared" si="1389"/>
        <v>0.58333333333333337</v>
      </c>
      <c r="S3633" s="121" t="str">
        <f t="shared" si="1390"/>
        <v/>
      </c>
      <c r="T3633" s="121" t="str">
        <f t="shared" si="1391"/>
        <v/>
      </c>
      <c r="U3633" s="121">
        <f t="shared" si="1392"/>
        <v>1</v>
      </c>
    </row>
    <row r="3634" spans="1:21" x14ac:dyDescent="0.3">
      <c r="A3634" s="187">
        <v>46</v>
      </c>
      <c r="B3634" s="242">
        <f t="shared" si="1393"/>
        <v>47027</v>
      </c>
      <c r="C3634" s="243">
        <f t="shared" si="1374"/>
        <v>47057</v>
      </c>
      <c r="D3634" s="120">
        <f t="shared" si="1375"/>
        <v>31</v>
      </c>
      <c r="E3634" s="120">
        <f t="shared" si="1376"/>
        <v>10</v>
      </c>
      <c r="F3634" s="275">
        <f t="shared" si="1377"/>
        <v>47042.5</v>
      </c>
      <c r="G3634" s="120">
        <f t="shared" si="1378"/>
        <v>24345</v>
      </c>
      <c r="H3634" s="245">
        <f t="shared" si="1379"/>
        <v>1</v>
      </c>
      <c r="I3634" s="121">
        <f t="shared" si="1380"/>
        <v>1</v>
      </c>
      <c r="J3634" s="121">
        <f t="shared" si="1381"/>
        <v>1</v>
      </c>
      <c r="K3634" s="120">
        <f t="shared" si="1382"/>
        <v>0</v>
      </c>
      <c r="L3634" s="120">
        <f t="shared" si="1383"/>
        <v>0</v>
      </c>
      <c r="M3634" s="246">
        <f t="shared" si="1384"/>
        <v>0</v>
      </c>
      <c r="N3634" s="121">
        <f t="shared" si="1385"/>
        <v>1</v>
      </c>
      <c r="O3634" s="246">
        <f t="shared" si="1386"/>
        <v>1</v>
      </c>
      <c r="P3634" s="121">
        <f t="shared" si="1387"/>
        <v>0</v>
      </c>
      <c r="Q3634" s="121">
        <f t="shared" si="1388"/>
        <v>0</v>
      </c>
      <c r="R3634" s="121">
        <f t="shared" si="1389"/>
        <v>0.41666666666666669</v>
      </c>
      <c r="S3634" s="121" t="str">
        <f t="shared" si="1390"/>
        <v/>
      </c>
      <c r="T3634" s="121" t="str">
        <f t="shared" si="1391"/>
        <v/>
      </c>
      <c r="U3634" s="121">
        <f t="shared" si="1392"/>
        <v>1</v>
      </c>
    </row>
    <row r="3635" spans="1:21" x14ac:dyDescent="0.3">
      <c r="A3635" s="187">
        <v>47</v>
      </c>
      <c r="B3635" s="242">
        <f t="shared" si="1393"/>
        <v>47058</v>
      </c>
      <c r="C3635" s="243">
        <f t="shared" si="1374"/>
        <v>47087</v>
      </c>
      <c r="D3635" s="120">
        <f t="shared" si="1375"/>
        <v>30</v>
      </c>
      <c r="E3635" s="120">
        <f t="shared" si="1376"/>
        <v>11</v>
      </c>
      <c r="F3635" s="275">
        <f t="shared" si="1377"/>
        <v>47073</v>
      </c>
      <c r="G3635" s="120">
        <f t="shared" si="1378"/>
        <v>24346</v>
      </c>
      <c r="H3635" s="245">
        <f t="shared" si="1379"/>
        <v>1</v>
      </c>
      <c r="I3635" s="121">
        <f t="shared" si="1380"/>
        <v>1</v>
      </c>
      <c r="J3635" s="121">
        <f t="shared" si="1381"/>
        <v>1</v>
      </c>
      <c r="K3635" s="120">
        <f t="shared" si="1382"/>
        <v>0</v>
      </c>
      <c r="L3635" s="120">
        <f t="shared" si="1383"/>
        <v>0</v>
      </c>
      <c r="M3635" s="246">
        <f t="shared" si="1384"/>
        <v>0</v>
      </c>
      <c r="N3635" s="121">
        <f t="shared" si="1385"/>
        <v>1</v>
      </c>
      <c r="O3635" s="246">
        <f t="shared" si="1386"/>
        <v>1</v>
      </c>
      <c r="P3635" s="121">
        <f t="shared" si="1387"/>
        <v>0</v>
      </c>
      <c r="Q3635" s="121">
        <f t="shared" si="1388"/>
        <v>0</v>
      </c>
      <c r="R3635" s="121">
        <f t="shared" si="1389"/>
        <v>0.25</v>
      </c>
      <c r="S3635" s="121" t="str">
        <f t="shared" si="1390"/>
        <v/>
      </c>
      <c r="T3635" s="121" t="str">
        <f t="shared" si="1391"/>
        <v/>
      </c>
      <c r="U3635" s="121">
        <f t="shared" si="1392"/>
        <v>1</v>
      </c>
    </row>
    <row r="3636" spans="1:21" x14ac:dyDescent="0.3">
      <c r="A3636" s="187">
        <v>48</v>
      </c>
      <c r="B3636" s="242">
        <f t="shared" si="1393"/>
        <v>47088</v>
      </c>
      <c r="C3636" s="243">
        <f t="shared" si="1374"/>
        <v>47118</v>
      </c>
      <c r="D3636" s="120">
        <f t="shared" si="1375"/>
        <v>31</v>
      </c>
      <c r="E3636" s="120">
        <f t="shared" si="1376"/>
        <v>12</v>
      </c>
      <c r="F3636" s="275">
        <f t="shared" si="1377"/>
        <v>47103.5</v>
      </c>
      <c r="G3636" s="120">
        <f t="shared" si="1378"/>
        <v>24347</v>
      </c>
      <c r="H3636" s="245">
        <f t="shared" si="1379"/>
        <v>1</v>
      </c>
      <c r="I3636" s="121">
        <f t="shared" si="1380"/>
        <v>1</v>
      </c>
      <c r="J3636" s="121">
        <f t="shared" si="1381"/>
        <v>1</v>
      </c>
      <c r="K3636" s="120">
        <f t="shared" si="1382"/>
        <v>0</v>
      </c>
      <c r="L3636" s="120">
        <f t="shared" si="1383"/>
        <v>0</v>
      </c>
      <c r="M3636" s="246">
        <f t="shared" si="1384"/>
        <v>0</v>
      </c>
      <c r="N3636" s="121">
        <f t="shared" si="1385"/>
        <v>1</v>
      </c>
      <c r="O3636" s="246">
        <f t="shared" si="1386"/>
        <v>1</v>
      </c>
      <c r="P3636" s="121">
        <f t="shared" si="1387"/>
        <v>0</v>
      </c>
      <c r="Q3636" s="121">
        <f t="shared" si="1388"/>
        <v>0</v>
      </c>
      <c r="R3636" s="121">
        <f t="shared" si="1389"/>
        <v>8.3333333333333329E-2</v>
      </c>
      <c r="S3636" s="121" t="str">
        <f t="shared" si="1390"/>
        <v/>
      </c>
      <c r="T3636" s="121" t="str">
        <f t="shared" si="1391"/>
        <v/>
      </c>
      <c r="U3636" s="121">
        <f t="shared" si="1392"/>
        <v>1</v>
      </c>
    </row>
    <row r="3637" spans="1:21" x14ac:dyDescent="0.3">
      <c r="A3637" s="6" t="s">
        <v>1651</v>
      </c>
      <c r="B3637" s="73">
        <f>EXP(SUMPRODUCT((rl_key=$A$3586)*(rl_cons="Y")*rl_ln1p))</f>
        <v>1</v>
      </c>
      <c r="C3637" s="73">
        <f>SUMPRODUCT($H$3589:$H$3636,$P$3589:$P$3636,$U$3589:$U$3636)/SUMPRODUCT($H$3589:$H$3636,$P$3589:$P$3636)</f>
        <v>1</v>
      </c>
      <c r="D3637" s="73">
        <f>SUMPRODUCT($H$3589:$H$3636,$Q$3589:$Q$3636,$U$3589:$U$3636)/SUMPRODUCT($H$3589:$H$3636,$Q$3589:$Q$3636)</f>
        <v>1</v>
      </c>
      <c r="E3637" s="73">
        <f>SUMPRODUCT($H$3589:$H$3636,$R$3589:$R$3636,$U$3589:$U$3636)/SUMPRODUCT($H$3589:$H$3636,$R$3589:$R$3636)</f>
        <v>1</v>
      </c>
      <c r="F3637" s="224">
        <f>SUMPRODUCT($H$3589:$H$3636,$Q$3589:$Q$3636,$O$3589:$O$3636)/SUMPRODUCT($H$3589:$H$3636,$Q$3589:$Q$3636)</f>
        <v>1</v>
      </c>
      <c r="G3637" s="224">
        <f>SUMPRODUCT($H$3589:$H$3636,$R$3589:$R$3636,$O$3589:$O$3636)/SUMPRODUCT($H$3589:$H$3636,$R$3589:$R$3636)</f>
        <v>1</v>
      </c>
      <c r="H3637" s="73">
        <f>SUMPRODUCT($H$3613:$H$3624,$N$3613:$N$3624/$N$3601:$N$3612)/SUM($H$3613:$H$3624)</f>
        <v>1</v>
      </c>
      <c r="I3637" s="73">
        <f>SUMPRODUCT($H$3613:$H$3624,$O$3613:$O$3624/$O$3601:$O$3612)/SUM($H$3613:$H$3624)</f>
        <v>1</v>
      </c>
      <c r="J3637" s="73">
        <f>IF($O$3586=1,SUMPRODUCT($H$3613:$H$3624,$N$3613:$N$3624/$N$3601:$N$3612*$O$3613:$O$3624/$O$3601:$O$3612)/SUM($H$3613:$H$3624),$H3637)</f>
        <v>1</v>
      </c>
      <c r="K3637" s="73">
        <f>SUMPRODUCT($H$3589:$H$3636,$Q$3589:$Q$3636,$N$3589:$N$3636)/SUMPRODUCT($H$3589:$H$3636,$Q$3589:$Q$3636)</f>
        <v>1</v>
      </c>
      <c r="L3637" s="73">
        <f>SUMPRODUCT($H$3589:$H$3636,$R$3589:$R$3636,$N$3589:$N$3636)/SUMPRODUCT($H$3589:$H$3636,$R$3589:$R$3636)</f>
        <v>1</v>
      </c>
    </row>
    <row r="3640" spans="1:21" x14ac:dyDescent="0.3">
      <c r="A3640" s="6" t="str">
        <f>INDEX(lr_key,67)</f>
        <v/>
      </c>
      <c r="B3640" s="6">
        <f>INDEX(lr_state,67)</f>
        <v>0</v>
      </c>
      <c r="C3640" s="75">
        <f>nr_TermMonths</f>
        <v>6</v>
      </c>
      <c r="D3640" s="75">
        <f>IF(COUNTIF(se_state,$B3640)=0,0,MATCH($B3640,se_state,0))</f>
        <v>0</v>
      </c>
      <c r="E3640" s="70">
        <f>IF($D3640=0,0,INDEX(se_sum,$D3640))</f>
        <v>0</v>
      </c>
      <c r="F3640" s="224">
        <f>IF(N(INDEX(lr_mind,67))=0,1,INDEX(lr_mind,67))</f>
        <v>1</v>
      </c>
      <c r="G3640" s="224">
        <f>IF(N(INDEX(lr_m0,67))=0,1,INDEX(lr_m0,67))</f>
        <v>1</v>
      </c>
      <c r="H3640" s="74">
        <f>IF(N(INDEX(lr_m0asof,67))=0,DATE(nr_PlanYear-1,10,1),INDEX(lr_m0asof,67))</f>
        <v>46296</v>
      </c>
      <c r="I3640" s="224">
        <f>IF(N(INDEX(lr_m1,67))=0,1,INDEX(lr_m1,67))</f>
        <v>1</v>
      </c>
      <c r="J3640" s="224">
        <f>INDEX(lr_mprior,67)</f>
        <v>0</v>
      </c>
      <c r="K3640" s="224">
        <f>INDEX(lr_m2,67)</f>
        <v>0</v>
      </c>
      <c r="L3640" s="6" t="b">
        <f>NOT(ISBLANK(INDEX(lr_netp,67)))</f>
        <v>0</v>
      </c>
      <c r="M3640" s="72">
        <f>N(INDEX(lr_netp,67))</f>
        <v>0</v>
      </c>
      <c r="N3640" s="72">
        <f>IF(ISBLANK(INDEX(lr_netp1,67)),$M$3640,N(INDEX(lr_netp1,67)))</f>
        <v>0</v>
      </c>
      <c r="O3640" s="75">
        <f>IF(AND(nr_ModAdjMaster="ON",INDEX(lr_modadj,67)="ON"),1,0)</f>
        <v>0</v>
      </c>
    </row>
    <row r="3641" spans="1:21" x14ac:dyDescent="0.3">
      <c r="A3641" s="6">
        <f>EDATE($H$3640,-12)+1</f>
        <v>45932</v>
      </c>
      <c r="B3641" s="6">
        <f>$H$3640+1</f>
        <v>46297</v>
      </c>
      <c r="C3641" s="6">
        <f>DATE(nr_PlanYear,12,31)+1</f>
        <v>46753</v>
      </c>
      <c r="D3641" s="6">
        <f>DATE(nr_PlanYear+1,12,31)+1</f>
        <v>47119</v>
      </c>
      <c r="E3641" s="6">
        <f>IF(N($J$3640)=0,$F$3641-($G$3641-$F$3641)/($C$3641-$B$3641)*($B$3641-$A$3641),$J$3640)</f>
        <v>1</v>
      </c>
      <c r="F3641" s="6">
        <f>$G$3640</f>
        <v>1</v>
      </c>
      <c r="G3641" s="6">
        <f>$I$3640</f>
        <v>1</v>
      </c>
      <c r="H3641" s="6">
        <f>IF(N($K$3640)=0,$I$3640,$K$3640)</f>
        <v>1</v>
      </c>
      <c r="I3641" s="6">
        <f>($F$3641-$E$3641)/($B$3641-$A$3641)</f>
        <v>0</v>
      </c>
      <c r="J3641" s="6">
        <f>($G$3641-$F$3641)/($C$3641-$B$3641)</f>
        <v>0</v>
      </c>
      <c r="K3641" s="6">
        <f>($H$3641-$G$3641)/($D$3641-$C$3641)</f>
        <v>0</v>
      </c>
    </row>
    <row r="3642" spans="1:21" ht="36" x14ac:dyDescent="0.3">
      <c r="A3642" s="58" t="s">
        <v>390</v>
      </c>
      <c r="B3642" s="58" t="s">
        <v>449</v>
      </c>
      <c r="C3642" s="58" t="s">
        <v>685</v>
      </c>
      <c r="D3642" s="58" t="s">
        <v>686</v>
      </c>
      <c r="E3642" s="58" t="s">
        <v>687</v>
      </c>
      <c r="F3642" s="58" t="s">
        <v>688</v>
      </c>
      <c r="G3642" s="58" t="s">
        <v>689</v>
      </c>
      <c r="H3642" s="58" t="s">
        <v>452</v>
      </c>
      <c r="I3642" s="58" t="s">
        <v>690</v>
      </c>
      <c r="J3642" s="58" t="s">
        <v>691</v>
      </c>
      <c r="K3642" s="58" t="s">
        <v>692</v>
      </c>
      <c r="L3642" s="58" t="s">
        <v>693</v>
      </c>
      <c r="M3642" s="58" t="s">
        <v>694</v>
      </c>
      <c r="N3642" s="58" t="s">
        <v>695</v>
      </c>
      <c r="O3642" s="58" t="s">
        <v>696</v>
      </c>
      <c r="P3642" s="58" t="s">
        <v>697</v>
      </c>
      <c r="Q3642" s="58" t="s">
        <v>698</v>
      </c>
      <c r="R3642" s="58" t="s">
        <v>699</v>
      </c>
      <c r="S3642" s="58" t="s">
        <v>700</v>
      </c>
      <c r="T3642" s="58" t="s">
        <v>701</v>
      </c>
      <c r="U3642" s="58" t="s">
        <v>702</v>
      </c>
    </row>
    <row r="3643" spans="1:21" x14ac:dyDescent="0.3">
      <c r="A3643" s="187">
        <v>1</v>
      </c>
      <c r="B3643" s="242">
        <f>DATE(nr_PlanYear-2,1,1)</f>
        <v>45658</v>
      </c>
      <c r="C3643" s="243">
        <f t="shared" ref="C3643:C3690" si="1394">EOMONTH($B3643,0)</f>
        <v>45688</v>
      </c>
      <c r="D3643" s="120">
        <f t="shared" ref="D3643:D3690" si="1395">$C3643-$B3643+1</f>
        <v>31</v>
      </c>
      <c r="E3643" s="120">
        <f t="shared" ref="E3643:E3690" si="1396">MONTH($B3643)</f>
        <v>1</v>
      </c>
      <c r="F3643" s="275">
        <f t="shared" ref="F3643:F3690" si="1397">($B3643+$C3643+1)/2</f>
        <v>45673.5</v>
      </c>
      <c r="G3643" s="120">
        <f t="shared" ref="G3643:G3690" si="1398">YEAR($B3643)*12+MONTH($B3643)-1</f>
        <v>24300</v>
      </c>
      <c r="H3643" s="245">
        <f t="shared" ref="H3643:H3690" si="1399">IF(OR(nr_SeasonOn="OFF",$D$3640=0,$E$3640=0),1,12*INDEX(se_block,$D$3640,$E3643)/$E$3640)</f>
        <v>1</v>
      </c>
      <c r="I3643" s="121">
        <f t="shared" ref="I3643:I3690" si="1400">EXP(SUMPRODUCT((rl_eff&lt;$B3643)*(rl_key=$A$3640)*rl_ln1p))</f>
        <v>1</v>
      </c>
      <c r="J3643" s="121">
        <f t="shared" ref="J3643:J3690" si="1401">EXP(SUMPRODUCT((rl_eff&lt;=$C3643)*(rl_key=$A$3640)*rl_ln1p))</f>
        <v>1</v>
      </c>
      <c r="K3643" s="120">
        <f t="shared" ref="K3643:K3690" si="1402">COUNTIFS(rl_key,$A$3640,rl_eff,"&gt;="&amp;$B3643,rl_eff,"&lt;="&amp;$C3643)</f>
        <v>0</v>
      </c>
      <c r="L3643" s="120">
        <f t="shared" ref="L3643:L3690" si="1403">SUMIFS(rl_daysafter,rl_key,$A$3640,rl_effmonth,$B3643,rl_first,1)</f>
        <v>0</v>
      </c>
      <c r="M3643" s="246">
        <f t="shared" ref="M3643:M3690" si="1404">IF($K3643=0,0,MIN(1,$L3643/$D3643))</f>
        <v>0</v>
      </c>
      <c r="N3643" s="121">
        <f t="shared" ref="N3643:N3690" si="1405">IF($K3643=0,$J3643,(1-$M3643)*$I3643+$M3643*$J3643)</f>
        <v>1</v>
      </c>
      <c r="O3643" s="246">
        <f t="shared" ref="O3643:O3690" si="1406">IF($F3643&lt;$B$3641,$E$3641+$I$3641*($F3643-$A$3641),IF($F3643&lt;$C$3641,$F$3641+$J$3641*($F3643-$B$3641),$G$3641+$K$3641*($F3643-$C$3641)))</f>
        <v>1</v>
      </c>
      <c r="P3643" s="121">
        <f t="shared" ref="P3643:P3690" si="1407">MIN(1,MAX(0,(nr_MEndPm1-$G3643+0.5)/$C$3640))-MIN(1,MAX(0,(nr_MStartPm1-1-$G3643+0.5)/$C$3640))</f>
        <v>0</v>
      </c>
      <c r="Q3643" s="121">
        <f t="shared" ref="Q3643:Q3690" si="1408">MIN(1,MAX(0,(nr_MEndP-$G3643+0.5)/$C$3640))-MIN(1,MAX(0,(nr_MStartP-1-$G3643+0.5)/$C$3640))</f>
        <v>0</v>
      </c>
      <c r="R3643" s="121">
        <f t="shared" ref="R3643:R3690" si="1409">MIN(1,MAX(0,(nr_MEndP1-$G3643+0.5)/$C$3640))-MIN(1,MAX(0,(nr_MStartP1-1-$G3643+0.5)/$C$3640))</f>
        <v>0</v>
      </c>
      <c r="S3643" s="121" t="str">
        <f t="shared" ref="S3643:S3690" si="1410">IF($L$3640,$N3643*IF($O$3640=1,$O3643/$F$3640,1),"")</f>
        <v/>
      </c>
      <c r="T3643" s="121" t="str">
        <f t="shared" ref="T3643:T3690" si="1411">IF(NOT($L$3640),"",IF($G3643&lt;nr_MStartP,$S3643,$T3631*(1+IF($G3643&lt;nr_MStartP1,$M$3640,$N$3640))))</f>
        <v/>
      </c>
      <c r="U3643" s="121">
        <f t="shared" ref="U3643:U3690" si="1412">IF($L$3640,$T3643,$N3643)</f>
        <v>1</v>
      </c>
    </row>
    <row r="3644" spans="1:21" x14ac:dyDescent="0.3">
      <c r="A3644" s="187">
        <v>2</v>
      </c>
      <c r="B3644" s="242">
        <f t="shared" ref="B3644:B3690" si="1413">EDATE($B3643,1)</f>
        <v>45689</v>
      </c>
      <c r="C3644" s="243">
        <f t="shared" si="1394"/>
        <v>45716</v>
      </c>
      <c r="D3644" s="120">
        <f t="shared" si="1395"/>
        <v>28</v>
      </c>
      <c r="E3644" s="120">
        <f t="shared" si="1396"/>
        <v>2</v>
      </c>
      <c r="F3644" s="275">
        <f t="shared" si="1397"/>
        <v>45703</v>
      </c>
      <c r="G3644" s="120">
        <f t="shared" si="1398"/>
        <v>24301</v>
      </c>
      <c r="H3644" s="245">
        <f t="shared" si="1399"/>
        <v>1</v>
      </c>
      <c r="I3644" s="121">
        <f t="shared" si="1400"/>
        <v>1</v>
      </c>
      <c r="J3644" s="121">
        <f t="shared" si="1401"/>
        <v>1</v>
      </c>
      <c r="K3644" s="120">
        <f t="shared" si="1402"/>
        <v>0</v>
      </c>
      <c r="L3644" s="120">
        <f t="shared" si="1403"/>
        <v>0</v>
      </c>
      <c r="M3644" s="246">
        <f t="shared" si="1404"/>
        <v>0</v>
      </c>
      <c r="N3644" s="121">
        <f t="shared" si="1405"/>
        <v>1</v>
      </c>
      <c r="O3644" s="246">
        <f t="shared" si="1406"/>
        <v>1</v>
      </c>
      <c r="P3644" s="121">
        <f t="shared" si="1407"/>
        <v>0</v>
      </c>
      <c r="Q3644" s="121">
        <f t="shared" si="1408"/>
        <v>0</v>
      </c>
      <c r="R3644" s="121">
        <f t="shared" si="1409"/>
        <v>0</v>
      </c>
      <c r="S3644" s="121" t="str">
        <f t="shared" si="1410"/>
        <v/>
      </c>
      <c r="T3644" s="121" t="str">
        <f t="shared" si="1411"/>
        <v/>
      </c>
      <c r="U3644" s="121">
        <f t="shared" si="1412"/>
        <v>1</v>
      </c>
    </row>
    <row r="3645" spans="1:21" x14ac:dyDescent="0.3">
      <c r="A3645" s="187">
        <v>3</v>
      </c>
      <c r="B3645" s="242">
        <f t="shared" si="1413"/>
        <v>45717</v>
      </c>
      <c r="C3645" s="243">
        <f t="shared" si="1394"/>
        <v>45747</v>
      </c>
      <c r="D3645" s="120">
        <f t="shared" si="1395"/>
        <v>31</v>
      </c>
      <c r="E3645" s="120">
        <f t="shared" si="1396"/>
        <v>3</v>
      </c>
      <c r="F3645" s="275">
        <f t="shared" si="1397"/>
        <v>45732.5</v>
      </c>
      <c r="G3645" s="120">
        <f t="shared" si="1398"/>
        <v>24302</v>
      </c>
      <c r="H3645" s="245">
        <f t="shared" si="1399"/>
        <v>1</v>
      </c>
      <c r="I3645" s="121">
        <f t="shared" si="1400"/>
        <v>1</v>
      </c>
      <c r="J3645" s="121">
        <f t="shared" si="1401"/>
        <v>1</v>
      </c>
      <c r="K3645" s="120">
        <f t="shared" si="1402"/>
        <v>0</v>
      </c>
      <c r="L3645" s="120">
        <f t="shared" si="1403"/>
        <v>0</v>
      </c>
      <c r="M3645" s="246">
        <f t="shared" si="1404"/>
        <v>0</v>
      </c>
      <c r="N3645" s="121">
        <f t="shared" si="1405"/>
        <v>1</v>
      </c>
      <c r="O3645" s="246">
        <f t="shared" si="1406"/>
        <v>1</v>
      </c>
      <c r="P3645" s="121">
        <f t="shared" si="1407"/>
        <v>0</v>
      </c>
      <c r="Q3645" s="121">
        <f t="shared" si="1408"/>
        <v>0</v>
      </c>
      <c r="R3645" s="121">
        <f t="shared" si="1409"/>
        <v>0</v>
      </c>
      <c r="S3645" s="121" t="str">
        <f t="shared" si="1410"/>
        <v/>
      </c>
      <c r="T3645" s="121" t="str">
        <f t="shared" si="1411"/>
        <v/>
      </c>
      <c r="U3645" s="121">
        <f t="shared" si="1412"/>
        <v>1</v>
      </c>
    </row>
    <row r="3646" spans="1:21" x14ac:dyDescent="0.3">
      <c r="A3646" s="187">
        <v>4</v>
      </c>
      <c r="B3646" s="242">
        <f t="shared" si="1413"/>
        <v>45748</v>
      </c>
      <c r="C3646" s="243">
        <f t="shared" si="1394"/>
        <v>45777</v>
      </c>
      <c r="D3646" s="120">
        <f t="shared" si="1395"/>
        <v>30</v>
      </c>
      <c r="E3646" s="120">
        <f t="shared" si="1396"/>
        <v>4</v>
      </c>
      <c r="F3646" s="275">
        <f t="shared" si="1397"/>
        <v>45763</v>
      </c>
      <c r="G3646" s="120">
        <f t="shared" si="1398"/>
        <v>24303</v>
      </c>
      <c r="H3646" s="245">
        <f t="shared" si="1399"/>
        <v>1</v>
      </c>
      <c r="I3646" s="121">
        <f t="shared" si="1400"/>
        <v>1</v>
      </c>
      <c r="J3646" s="121">
        <f t="shared" si="1401"/>
        <v>1</v>
      </c>
      <c r="K3646" s="120">
        <f t="shared" si="1402"/>
        <v>0</v>
      </c>
      <c r="L3646" s="120">
        <f t="shared" si="1403"/>
        <v>0</v>
      </c>
      <c r="M3646" s="246">
        <f t="shared" si="1404"/>
        <v>0</v>
      </c>
      <c r="N3646" s="121">
        <f t="shared" si="1405"/>
        <v>1</v>
      </c>
      <c r="O3646" s="246">
        <f t="shared" si="1406"/>
        <v>1</v>
      </c>
      <c r="P3646" s="121">
        <f t="shared" si="1407"/>
        <v>0</v>
      </c>
      <c r="Q3646" s="121">
        <f t="shared" si="1408"/>
        <v>0</v>
      </c>
      <c r="R3646" s="121">
        <f t="shared" si="1409"/>
        <v>0</v>
      </c>
      <c r="S3646" s="121" t="str">
        <f t="shared" si="1410"/>
        <v/>
      </c>
      <c r="T3646" s="121" t="str">
        <f t="shared" si="1411"/>
        <v/>
      </c>
      <c r="U3646" s="121">
        <f t="shared" si="1412"/>
        <v>1</v>
      </c>
    </row>
    <row r="3647" spans="1:21" x14ac:dyDescent="0.3">
      <c r="A3647" s="187">
        <v>5</v>
      </c>
      <c r="B3647" s="242">
        <f t="shared" si="1413"/>
        <v>45778</v>
      </c>
      <c r="C3647" s="243">
        <f t="shared" si="1394"/>
        <v>45808</v>
      </c>
      <c r="D3647" s="120">
        <f t="shared" si="1395"/>
        <v>31</v>
      </c>
      <c r="E3647" s="120">
        <f t="shared" si="1396"/>
        <v>5</v>
      </c>
      <c r="F3647" s="275">
        <f t="shared" si="1397"/>
        <v>45793.5</v>
      </c>
      <c r="G3647" s="120">
        <f t="shared" si="1398"/>
        <v>24304</v>
      </c>
      <c r="H3647" s="245">
        <f t="shared" si="1399"/>
        <v>1</v>
      </c>
      <c r="I3647" s="121">
        <f t="shared" si="1400"/>
        <v>1</v>
      </c>
      <c r="J3647" s="121">
        <f t="shared" si="1401"/>
        <v>1</v>
      </c>
      <c r="K3647" s="120">
        <f t="shared" si="1402"/>
        <v>0</v>
      </c>
      <c r="L3647" s="120">
        <f t="shared" si="1403"/>
        <v>0</v>
      </c>
      <c r="M3647" s="246">
        <f t="shared" si="1404"/>
        <v>0</v>
      </c>
      <c r="N3647" s="121">
        <f t="shared" si="1405"/>
        <v>1</v>
      </c>
      <c r="O3647" s="246">
        <f t="shared" si="1406"/>
        <v>1</v>
      </c>
      <c r="P3647" s="121">
        <f t="shared" si="1407"/>
        <v>0</v>
      </c>
      <c r="Q3647" s="121">
        <f t="shared" si="1408"/>
        <v>0</v>
      </c>
      <c r="R3647" s="121">
        <f t="shared" si="1409"/>
        <v>0</v>
      </c>
      <c r="S3647" s="121" t="str">
        <f t="shared" si="1410"/>
        <v/>
      </c>
      <c r="T3647" s="121" t="str">
        <f t="shared" si="1411"/>
        <v/>
      </c>
      <c r="U3647" s="121">
        <f t="shared" si="1412"/>
        <v>1</v>
      </c>
    </row>
    <row r="3648" spans="1:21" x14ac:dyDescent="0.3">
      <c r="A3648" s="187">
        <v>6</v>
      </c>
      <c r="B3648" s="242">
        <f t="shared" si="1413"/>
        <v>45809</v>
      </c>
      <c r="C3648" s="243">
        <f t="shared" si="1394"/>
        <v>45838</v>
      </c>
      <c r="D3648" s="120">
        <f t="shared" si="1395"/>
        <v>30</v>
      </c>
      <c r="E3648" s="120">
        <f t="shared" si="1396"/>
        <v>6</v>
      </c>
      <c r="F3648" s="275">
        <f t="shared" si="1397"/>
        <v>45824</v>
      </c>
      <c r="G3648" s="120">
        <f t="shared" si="1398"/>
        <v>24305</v>
      </c>
      <c r="H3648" s="245">
        <f t="shared" si="1399"/>
        <v>1</v>
      </c>
      <c r="I3648" s="121">
        <f t="shared" si="1400"/>
        <v>1</v>
      </c>
      <c r="J3648" s="121">
        <f t="shared" si="1401"/>
        <v>1</v>
      </c>
      <c r="K3648" s="120">
        <f t="shared" si="1402"/>
        <v>0</v>
      </c>
      <c r="L3648" s="120">
        <f t="shared" si="1403"/>
        <v>0</v>
      </c>
      <c r="M3648" s="246">
        <f t="shared" si="1404"/>
        <v>0</v>
      </c>
      <c r="N3648" s="121">
        <f t="shared" si="1405"/>
        <v>1</v>
      </c>
      <c r="O3648" s="246">
        <f t="shared" si="1406"/>
        <v>1</v>
      </c>
      <c r="P3648" s="121">
        <f t="shared" si="1407"/>
        <v>0</v>
      </c>
      <c r="Q3648" s="121">
        <f t="shared" si="1408"/>
        <v>0</v>
      </c>
      <c r="R3648" s="121">
        <f t="shared" si="1409"/>
        <v>0</v>
      </c>
      <c r="S3648" s="121" t="str">
        <f t="shared" si="1410"/>
        <v/>
      </c>
      <c r="T3648" s="121" t="str">
        <f t="shared" si="1411"/>
        <v/>
      </c>
      <c r="U3648" s="121">
        <f t="shared" si="1412"/>
        <v>1</v>
      </c>
    </row>
    <row r="3649" spans="1:21" x14ac:dyDescent="0.3">
      <c r="A3649" s="187">
        <v>7</v>
      </c>
      <c r="B3649" s="242">
        <f t="shared" si="1413"/>
        <v>45839</v>
      </c>
      <c r="C3649" s="243">
        <f t="shared" si="1394"/>
        <v>45869</v>
      </c>
      <c r="D3649" s="120">
        <f t="shared" si="1395"/>
        <v>31</v>
      </c>
      <c r="E3649" s="120">
        <f t="shared" si="1396"/>
        <v>7</v>
      </c>
      <c r="F3649" s="275">
        <f t="shared" si="1397"/>
        <v>45854.5</v>
      </c>
      <c r="G3649" s="120">
        <f t="shared" si="1398"/>
        <v>24306</v>
      </c>
      <c r="H3649" s="245">
        <f t="shared" si="1399"/>
        <v>1</v>
      </c>
      <c r="I3649" s="121">
        <f t="shared" si="1400"/>
        <v>1</v>
      </c>
      <c r="J3649" s="121">
        <f t="shared" si="1401"/>
        <v>1</v>
      </c>
      <c r="K3649" s="120">
        <f t="shared" si="1402"/>
        <v>0</v>
      </c>
      <c r="L3649" s="120">
        <f t="shared" si="1403"/>
        <v>0</v>
      </c>
      <c r="M3649" s="246">
        <f t="shared" si="1404"/>
        <v>0</v>
      </c>
      <c r="N3649" s="121">
        <f t="shared" si="1405"/>
        <v>1</v>
      </c>
      <c r="O3649" s="246">
        <f t="shared" si="1406"/>
        <v>1</v>
      </c>
      <c r="P3649" s="121">
        <f t="shared" si="1407"/>
        <v>8.333333333333337E-2</v>
      </c>
      <c r="Q3649" s="121">
        <f t="shared" si="1408"/>
        <v>0</v>
      </c>
      <c r="R3649" s="121">
        <f t="shared" si="1409"/>
        <v>0</v>
      </c>
      <c r="S3649" s="121" t="str">
        <f t="shared" si="1410"/>
        <v/>
      </c>
      <c r="T3649" s="121" t="str">
        <f t="shared" si="1411"/>
        <v/>
      </c>
      <c r="U3649" s="121">
        <f t="shared" si="1412"/>
        <v>1</v>
      </c>
    </row>
    <row r="3650" spans="1:21" x14ac:dyDescent="0.3">
      <c r="A3650" s="187">
        <v>8</v>
      </c>
      <c r="B3650" s="242">
        <f t="shared" si="1413"/>
        <v>45870</v>
      </c>
      <c r="C3650" s="243">
        <f t="shared" si="1394"/>
        <v>45900</v>
      </c>
      <c r="D3650" s="120">
        <f t="shared" si="1395"/>
        <v>31</v>
      </c>
      <c r="E3650" s="120">
        <f t="shared" si="1396"/>
        <v>8</v>
      </c>
      <c r="F3650" s="275">
        <f t="shared" si="1397"/>
        <v>45885.5</v>
      </c>
      <c r="G3650" s="120">
        <f t="shared" si="1398"/>
        <v>24307</v>
      </c>
      <c r="H3650" s="245">
        <f t="shared" si="1399"/>
        <v>1</v>
      </c>
      <c r="I3650" s="121">
        <f t="shared" si="1400"/>
        <v>1</v>
      </c>
      <c r="J3650" s="121">
        <f t="shared" si="1401"/>
        <v>1</v>
      </c>
      <c r="K3650" s="120">
        <f t="shared" si="1402"/>
        <v>0</v>
      </c>
      <c r="L3650" s="120">
        <f t="shared" si="1403"/>
        <v>0</v>
      </c>
      <c r="M3650" s="246">
        <f t="shared" si="1404"/>
        <v>0</v>
      </c>
      <c r="N3650" s="121">
        <f t="shared" si="1405"/>
        <v>1</v>
      </c>
      <c r="O3650" s="246">
        <f t="shared" si="1406"/>
        <v>1</v>
      </c>
      <c r="P3650" s="121">
        <f t="shared" si="1407"/>
        <v>0.25</v>
      </c>
      <c r="Q3650" s="121">
        <f t="shared" si="1408"/>
        <v>0</v>
      </c>
      <c r="R3650" s="121">
        <f t="shared" si="1409"/>
        <v>0</v>
      </c>
      <c r="S3650" s="121" t="str">
        <f t="shared" si="1410"/>
        <v/>
      </c>
      <c r="T3650" s="121" t="str">
        <f t="shared" si="1411"/>
        <v/>
      </c>
      <c r="U3650" s="121">
        <f t="shared" si="1412"/>
        <v>1</v>
      </c>
    </row>
    <row r="3651" spans="1:21" x14ac:dyDescent="0.3">
      <c r="A3651" s="187">
        <v>9</v>
      </c>
      <c r="B3651" s="242">
        <f t="shared" si="1413"/>
        <v>45901</v>
      </c>
      <c r="C3651" s="243">
        <f t="shared" si="1394"/>
        <v>45930</v>
      </c>
      <c r="D3651" s="120">
        <f t="shared" si="1395"/>
        <v>30</v>
      </c>
      <c r="E3651" s="120">
        <f t="shared" si="1396"/>
        <v>9</v>
      </c>
      <c r="F3651" s="275">
        <f t="shared" si="1397"/>
        <v>45916</v>
      </c>
      <c r="G3651" s="120">
        <f t="shared" si="1398"/>
        <v>24308</v>
      </c>
      <c r="H3651" s="245">
        <f t="shared" si="1399"/>
        <v>1</v>
      </c>
      <c r="I3651" s="121">
        <f t="shared" si="1400"/>
        <v>1</v>
      </c>
      <c r="J3651" s="121">
        <f t="shared" si="1401"/>
        <v>1</v>
      </c>
      <c r="K3651" s="120">
        <f t="shared" si="1402"/>
        <v>0</v>
      </c>
      <c r="L3651" s="120">
        <f t="shared" si="1403"/>
        <v>0</v>
      </c>
      <c r="M3651" s="246">
        <f t="shared" si="1404"/>
        <v>0</v>
      </c>
      <c r="N3651" s="121">
        <f t="shared" si="1405"/>
        <v>1</v>
      </c>
      <c r="O3651" s="246">
        <f t="shared" si="1406"/>
        <v>1</v>
      </c>
      <c r="P3651" s="121">
        <f t="shared" si="1407"/>
        <v>0.41666666666666663</v>
      </c>
      <c r="Q3651" s="121">
        <f t="shared" si="1408"/>
        <v>0</v>
      </c>
      <c r="R3651" s="121">
        <f t="shared" si="1409"/>
        <v>0</v>
      </c>
      <c r="S3651" s="121" t="str">
        <f t="shared" si="1410"/>
        <v/>
      </c>
      <c r="T3651" s="121" t="str">
        <f t="shared" si="1411"/>
        <v/>
      </c>
      <c r="U3651" s="121">
        <f t="shared" si="1412"/>
        <v>1</v>
      </c>
    </row>
    <row r="3652" spans="1:21" x14ac:dyDescent="0.3">
      <c r="A3652" s="187">
        <v>10</v>
      </c>
      <c r="B3652" s="242">
        <f t="shared" si="1413"/>
        <v>45931</v>
      </c>
      <c r="C3652" s="243">
        <f t="shared" si="1394"/>
        <v>45961</v>
      </c>
      <c r="D3652" s="120">
        <f t="shared" si="1395"/>
        <v>31</v>
      </c>
      <c r="E3652" s="120">
        <f t="shared" si="1396"/>
        <v>10</v>
      </c>
      <c r="F3652" s="275">
        <f t="shared" si="1397"/>
        <v>45946.5</v>
      </c>
      <c r="G3652" s="120">
        <f t="shared" si="1398"/>
        <v>24309</v>
      </c>
      <c r="H3652" s="245">
        <f t="shared" si="1399"/>
        <v>1</v>
      </c>
      <c r="I3652" s="121">
        <f t="shared" si="1400"/>
        <v>1</v>
      </c>
      <c r="J3652" s="121">
        <f t="shared" si="1401"/>
        <v>1</v>
      </c>
      <c r="K3652" s="120">
        <f t="shared" si="1402"/>
        <v>0</v>
      </c>
      <c r="L3652" s="120">
        <f t="shared" si="1403"/>
        <v>0</v>
      </c>
      <c r="M3652" s="246">
        <f t="shared" si="1404"/>
        <v>0</v>
      </c>
      <c r="N3652" s="121">
        <f t="shared" si="1405"/>
        <v>1</v>
      </c>
      <c r="O3652" s="246">
        <f t="shared" si="1406"/>
        <v>1</v>
      </c>
      <c r="P3652" s="121">
        <f t="shared" si="1407"/>
        <v>0.58333333333333326</v>
      </c>
      <c r="Q3652" s="121">
        <f t="shared" si="1408"/>
        <v>0</v>
      </c>
      <c r="R3652" s="121">
        <f t="shared" si="1409"/>
        <v>0</v>
      </c>
      <c r="S3652" s="121" t="str">
        <f t="shared" si="1410"/>
        <v/>
      </c>
      <c r="T3652" s="121" t="str">
        <f t="shared" si="1411"/>
        <v/>
      </c>
      <c r="U3652" s="121">
        <f t="shared" si="1412"/>
        <v>1</v>
      </c>
    </row>
    <row r="3653" spans="1:21" x14ac:dyDescent="0.3">
      <c r="A3653" s="187">
        <v>11</v>
      </c>
      <c r="B3653" s="242">
        <f t="shared" si="1413"/>
        <v>45962</v>
      </c>
      <c r="C3653" s="243">
        <f t="shared" si="1394"/>
        <v>45991</v>
      </c>
      <c r="D3653" s="120">
        <f t="shared" si="1395"/>
        <v>30</v>
      </c>
      <c r="E3653" s="120">
        <f t="shared" si="1396"/>
        <v>11</v>
      </c>
      <c r="F3653" s="275">
        <f t="shared" si="1397"/>
        <v>45977</v>
      </c>
      <c r="G3653" s="120">
        <f t="shared" si="1398"/>
        <v>24310</v>
      </c>
      <c r="H3653" s="245">
        <f t="shared" si="1399"/>
        <v>1</v>
      </c>
      <c r="I3653" s="121">
        <f t="shared" si="1400"/>
        <v>1</v>
      </c>
      <c r="J3653" s="121">
        <f t="shared" si="1401"/>
        <v>1</v>
      </c>
      <c r="K3653" s="120">
        <f t="shared" si="1402"/>
        <v>0</v>
      </c>
      <c r="L3653" s="120">
        <f t="shared" si="1403"/>
        <v>0</v>
      </c>
      <c r="M3653" s="246">
        <f t="shared" si="1404"/>
        <v>0</v>
      </c>
      <c r="N3653" s="121">
        <f t="shared" si="1405"/>
        <v>1</v>
      </c>
      <c r="O3653" s="246">
        <f t="shared" si="1406"/>
        <v>1</v>
      </c>
      <c r="P3653" s="121">
        <f t="shared" si="1407"/>
        <v>0.75</v>
      </c>
      <c r="Q3653" s="121">
        <f t="shared" si="1408"/>
        <v>0</v>
      </c>
      <c r="R3653" s="121">
        <f t="shared" si="1409"/>
        <v>0</v>
      </c>
      <c r="S3653" s="121" t="str">
        <f t="shared" si="1410"/>
        <v/>
      </c>
      <c r="T3653" s="121" t="str">
        <f t="shared" si="1411"/>
        <v/>
      </c>
      <c r="U3653" s="121">
        <f t="shared" si="1412"/>
        <v>1</v>
      </c>
    </row>
    <row r="3654" spans="1:21" x14ac:dyDescent="0.3">
      <c r="A3654" s="187">
        <v>12</v>
      </c>
      <c r="B3654" s="242">
        <f t="shared" si="1413"/>
        <v>45992</v>
      </c>
      <c r="C3654" s="243">
        <f t="shared" si="1394"/>
        <v>46022</v>
      </c>
      <c r="D3654" s="120">
        <f t="shared" si="1395"/>
        <v>31</v>
      </c>
      <c r="E3654" s="120">
        <f t="shared" si="1396"/>
        <v>12</v>
      </c>
      <c r="F3654" s="275">
        <f t="shared" si="1397"/>
        <v>46007.5</v>
      </c>
      <c r="G3654" s="120">
        <f t="shared" si="1398"/>
        <v>24311</v>
      </c>
      <c r="H3654" s="245">
        <f t="shared" si="1399"/>
        <v>1</v>
      </c>
      <c r="I3654" s="121">
        <f t="shared" si="1400"/>
        <v>1</v>
      </c>
      <c r="J3654" s="121">
        <f t="shared" si="1401"/>
        <v>1</v>
      </c>
      <c r="K3654" s="120">
        <f t="shared" si="1402"/>
        <v>0</v>
      </c>
      <c r="L3654" s="120">
        <f t="shared" si="1403"/>
        <v>0</v>
      </c>
      <c r="M3654" s="246">
        <f t="shared" si="1404"/>
        <v>0</v>
      </c>
      <c r="N3654" s="121">
        <f t="shared" si="1405"/>
        <v>1</v>
      </c>
      <c r="O3654" s="246">
        <f t="shared" si="1406"/>
        <v>1</v>
      </c>
      <c r="P3654" s="121">
        <f t="shared" si="1407"/>
        <v>0.91666666666666663</v>
      </c>
      <c r="Q3654" s="121">
        <f t="shared" si="1408"/>
        <v>0</v>
      </c>
      <c r="R3654" s="121">
        <f t="shared" si="1409"/>
        <v>0</v>
      </c>
      <c r="S3654" s="121" t="str">
        <f t="shared" si="1410"/>
        <v/>
      </c>
      <c r="T3654" s="121" t="str">
        <f t="shared" si="1411"/>
        <v/>
      </c>
      <c r="U3654" s="121">
        <f t="shared" si="1412"/>
        <v>1</v>
      </c>
    </row>
    <row r="3655" spans="1:21" x14ac:dyDescent="0.3">
      <c r="A3655" s="187">
        <v>13</v>
      </c>
      <c r="B3655" s="242">
        <f t="shared" si="1413"/>
        <v>46023</v>
      </c>
      <c r="C3655" s="243">
        <f t="shared" si="1394"/>
        <v>46053</v>
      </c>
      <c r="D3655" s="120">
        <f t="shared" si="1395"/>
        <v>31</v>
      </c>
      <c r="E3655" s="120">
        <f t="shared" si="1396"/>
        <v>1</v>
      </c>
      <c r="F3655" s="275">
        <f t="shared" si="1397"/>
        <v>46038.5</v>
      </c>
      <c r="G3655" s="120">
        <f t="shared" si="1398"/>
        <v>24312</v>
      </c>
      <c r="H3655" s="245">
        <f t="shared" si="1399"/>
        <v>1</v>
      </c>
      <c r="I3655" s="121">
        <f t="shared" si="1400"/>
        <v>1</v>
      </c>
      <c r="J3655" s="121">
        <f t="shared" si="1401"/>
        <v>1</v>
      </c>
      <c r="K3655" s="120">
        <f t="shared" si="1402"/>
        <v>0</v>
      </c>
      <c r="L3655" s="120">
        <f t="shared" si="1403"/>
        <v>0</v>
      </c>
      <c r="M3655" s="246">
        <f t="shared" si="1404"/>
        <v>0</v>
      </c>
      <c r="N3655" s="121">
        <f t="shared" si="1405"/>
        <v>1</v>
      </c>
      <c r="O3655" s="246">
        <f t="shared" si="1406"/>
        <v>1</v>
      </c>
      <c r="P3655" s="121">
        <f t="shared" si="1407"/>
        <v>1</v>
      </c>
      <c r="Q3655" s="121">
        <f t="shared" si="1408"/>
        <v>0</v>
      </c>
      <c r="R3655" s="121">
        <f t="shared" si="1409"/>
        <v>0</v>
      </c>
      <c r="S3655" s="121" t="str">
        <f t="shared" si="1410"/>
        <v/>
      </c>
      <c r="T3655" s="121" t="str">
        <f t="shared" si="1411"/>
        <v/>
      </c>
      <c r="U3655" s="121">
        <f t="shared" si="1412"/>
        <v>1</v>
      </c>
    </row>
    <row r="3656" spans="1:21" x14ac:dyDescent="0.3">
      <c r="A3656" s="187">
        <v>14</v>
      </c>
      <c r="B3656" s="242">
        <f t="shared" si="1413"/>
        <v>46054</v>
      </c>
      <c r="C3656" s="243">
        <f t="shared" si="1394"/>
        <v>46081</v>
      </c>
      <c r="D3656" s="120">
        <f t="shared" si="1395"/>
        <v>28</v>
      </c>
      <c r="E3656" s="120">
        <f t="shared" si="1396"/>
        <v>2</v>
      </c>
      <c r="F3656" s="275">
        <f t="shared" si="1397"/>
        <v>46068</v>
      </c>
      <c r="G3656" s="120">
        <f t="shared" si="1398"/>
        <v>24313</v>
      </c>
      <c r="H3656" s="245">
        <f t="shared" si="1399"/>
        <v>1</v>
      </c>
      <c r="I3656" s="121">
        <f t="shared" si="1400"/>
        <v>1</v>
      </c>
      <c r="J3656" s="121">
        <f t="shared" si="1401"/>
        <v>1</v>
      </c>
      <c r="K3656" s="120">
        <f t="shared" si="1402"/>
        <v>0</v>
      </c>
      <c r="L3656" s="120">
        <f t="shared" si="1403"/>
        <v>0</v>
      </c>
      <c r="M3656" s="246">
        <f t="shared" si="1404"/>
        <v>0</v>
      </c>
      <c r="N3656" s="121">
        <f t="shared" si="1405"/>
        <v>1</v>
      </c>
      <c r="O3656" s="246">
        <f t="shared" si="1406"/>
        <v>1</v>
      </c>
      <c r="P3656" s="121">
        <f t="shared" si="1407"/>
        <v>1</v>
      </c>
      <c r="Q3656" s="121">
        <f t="shared" si="1408"/>
        <v>0</v>
      </c>
      <c r="R3656" s="121">
        <f t="shared" si="1409"/>
        <v>0</v>
      </c>
      <c r="S3656" s="121" t="str">
        <f t="shared" si="1410"/>
        <v/>
      </c>
      <c r="T3656" s="121" t="str">
        <f t="shared" si="1411"/>
        <v/>
      </c>
      <c r="U3656" s="121">
        <f t="shared" si="1412"/>
        <v>1</v>
      </c>
    </row>
    <row r="3657" spans="1:21" x14ac:dyDescent="0.3">
      <c r="A3657" s="187">
        <v>15</v>
      </c>
      <c r="B3657" s="242">
        <f t="shared" si="1413"/>
        <v>46082</v>
      </c>
      <c r="C3657" s="243">
        <f t="shared" si="1394"/>
        <v>46112</v>
      </c>
      <c r="D3657" s="120">
        <f t="shared" si="1395"/>
        <v>31</v>
      </c>
      <c r="E3657" s="120">
        <f t="shared" si="1396"/>
        <v>3</v>
      </c>
      <c r="F3657" s="275">
        <f t="shared" si="1397"/>
        <v>46097.5</v>
      </c>
      <c r="G3657" s="120">
        <f t="shared" si="1398"/>
        <v>24314</v>
      </c>
      <c r="H3657" s="245">
        <f t="shared" si="1399"/>
        <v>1</v>
      </c>
      <c r="I3657" s="121">
        <f t="shared" si="1400"/>
        <v>1</v>
      </c>
      <c r="J3657" s="121">
        <f t="shared" si="1401"/>
        <v>1</v>
      </c>
      <c r="K3657" s="120">
        <f t="shared" si="1402"/>
        <v>0</v>
      </c>
      <c r="L3657" s="120">
        <f t="shared" si="1403"/>
        <v>0</v>
      </c>
      <c r="M3657" s="246">
        <f t="shared" si="1404"/>
        <v>0</v>
      </c>
      <c r="N3657" s="121">
        <f t="shared" si="1405"/>
        <v>1</v>
      </c>
      <c r="O3657" s="246">
        <f t="shared" si="1406"/>
        <v>1</v>
      </c>
      <c r="P3657" s="121">
        <f t="shared" si="1407"/>
        <v>1</v>
      </c>
      <c r="Q3657" s="121">
        <f t="shared" si="1408"/>
        <v>0</v>
      </c>
      <c r="R3657" s="121">
        <f t="shared" si="1409"/>
        <v>0</v>
      </c>
      <c r="S3657" s="121" t="str">
        <f t="shared" si="1410"/>
        <v/>
      </c>
      <c r="T3657" s="121" t="str">
        <f t="shared" si="1411"/>
        <v/>
      </c>
      <c r="U3657" s="121">
        <f t="shared" si="1412"/>
        <v>1</v>
      </c>
    </row>
    <row r="3658" spans="1:21" x14ac:dyDescent="0.3">
      <c r="A3658" s="187">
        <v>16</v>
      </c>
      <c r="B3658" s="242">
        <f t="shared" si="1413"/>
        <v>46113</v>
      </c>
      <c r="C3658" s="243">
        <f t="shared" si="1394"/>
        <v>46142</v>
      </c>
      <c r="D3658" s="120">
        <f t="shared" si="1395"/>
        <v>30</v>
      </c>
      <c r="E3658" s="120">
        <f t="shared" si="1396"/>
        <v>4</v>
      </c>
      <c r="F3658" s="275">
        <f t="shared" si="1397"/>
        <v>46128</v>
      </c>
      <c r="G3658" s="120">
        <f t="shared" si="1398"/>
        <v>24315</v>
      </c>
      <c r="H3658" s="245">
        <f t="shared" si="1399"/>
        <v>1</v>
      </c>
      <c r="I3658" s="121">
        <f t="shared" si="1400"/>
        <v>1</v>
      </c>
      <c r="J3658" s="121">
        <f t="shared" si="1401"/>
        <v>1</v>
      </c>
      <c r="K3658" s="120">
        <f t="shared" si="1402"/>
        <v>0</v>
      </c>
      <c r="L3658" s="120">
        <f t="shared" si="1403"/>
        <v>0</v>
      </c>
      <c r="M3658" s="246">
        <f t="shared" si="1404"/>
        <v>0</v>
      </c>
      <c r="N3658" s="121">
        <f t="shared" si="1405"/>
        <v>1</v>
      </c>
      <c r="O3658" s="246">
        <f t="shared" si="1406"/>
        <v>1</v>
      </c>
      <c r="P3658" s="121">
        <f t="shared" si="1407"/>
        <v>1</v>
      </c>
      <c r="Q3658" s="121">
        <f t="shared" si="1408"/>
        <v>0</v>
      </c>
      <c r="R3658" s="121">
        <f t="shared" si="1409"/>
        <v>0</v>
      </c>
      <c r="S3658" s="121" t="str">
        <f t="shared" si="1410"/>
        <v/>
      </c>
      <c r="T3658" s="121" t="str">
        <f t="shared" si="1411"/>
        <v/>
      </c>
      <c r="U3658" s="121">
        <f t="shared" si="1412"/>
        <v>1</v>
      </c>
    </row>
    <row r="3659" spans="1:21" x14ac:dyDescent="0.3">
      <c r="A3659" s="187">
        <v>17</v>
      </c>
      <c r="B3659" s="242">
        <f t="shared" si="1413"/>
        <v>46143</v>
      </c>
      <c r="C3659" s="243">
        <f t="shared" si="1394"/>
        <v>46173</v>
      </c>
      <c r="D3659" s="120">
        <f t="shared" si="1395"/>
        <v>31</v>
      </c>
      <c r="E3659" s="120">
        <f t="shared" si="1396"/>
        <v>5</v>
      </c>
      <c r="F3659" s="275">
        <f t="shared" si="1397"/>
        <v>46158.5</v>
      </c>
      <c r="G3659" s="120">
        <f t="shared" si="1398"/>
        <v>24316</v>
      </c>
      <c r="H3659" s="245">
        <f t="shared" si="1399"/>
        <v>1</v>
      </c>
      <c r="I3659" s="121">
        <f t="shared" si="1400"/>
        <v>1</v>
      </c>
      <c r="J3659" s="121">
        <f t="shared" si="1401"/>
        <v>1</v>
      </c>
      <c r="K3659" s="120">
        <f t="shared" si="1402"/>
        <v>0</v>
      </c>
      <c r="L3659" s="120">
        <f t="shared" si="1403"/>
        <v>0</v>
      </c>
      <c r="M3659" s="246">
        <f t="shared" si="1404"/>
        <v>0</v>
      </c>
      <c r="N3659" s="121">
        <f t="shared" si="1405"/>
        <v>1</v>
      </c>
      <c r="O3659" s="246">
        <f t="shared" si="1406"/>
        <v>1</v>
      </c>
      <c r="P3659" s="121">
        <f t="shared" si="1407"/>
        <v>1</v>
      </c>
      <c r="Q3659" s="121">
        <f t="shared" si="1408"/>
        <v>0</v>
      </c>
      <c r="R3659" s="121">
        <f t="shared" si="1409"/>
        <v>0</v>
      </c>
      <c r="S3659" s="121" t="str">
        <f t="shared" si="1410"/>
        <v/>
      </c>
      <c r="T3659" s="121" t="str">
        <f t="shared" si="1411"/>
        <v/>
      </c>
      <c r="U3659" s="121">
        <f t="shared" si="1412"/>
        <v>1</v>
      </c>
    </row>
    <row r="3660" spans="1:21" x14ac:dyDescent="0.3">
      <c r="A3660" s="187">
        <v>18</v>
      </c>
      <c r="B3660" s="242">
        <f t="shared" si="1413"/>
        <v>46174</v>
      </c>
      <c r="C3660" s="243">
        <f t="shared" si="1394"/>
        <v>46203</v>
      </c>
      <c r="D3660" s="120">
        <f t="shared" si="1395"/>
        <v>30</v>
      </c>
      <c r="E3660" s="120">
        <f t="shared" si="1396"/>
        <v>6</v>
      </c>
      <c r="F3660" s="275">
        <f t="shared" si="1397"/>
        <v>46189</v>
      </c>
      <c r="G3660" s="120">
        <f t="shared" si="1398"/>
        <v>24317</v>
      </c>
      <c r="H3660" s="245">
        <f t="shared" si="1399"/>
        <v>1</v>
      </c>
      <c r="I3660" s="121">
        <f t="shared" si="1400"/>
        <v>1</v>
      </c>
      <c r="J3660" s="121">
        <f t="shared" si="1401"/>
        <v>1</v>
      </c>
      <c r="K3660" s="120">
        <f t="shared" si="1402"/>
        <v>0</v>
      </c>
      <c r="L3660" s="120">
        <f t="shared" si="1403"/>
        <v>0</v>
      </c>
      <c r="M3660" s="246">
        <f t="shared" si="1404"/>
        <v>0</v>
      </c>
      <c r="N3660" s="121">
        <f t="shared" si="1405"/>
        <v>1</v>
      </c>
      <c r="O3660" s="246">
        <f t="shared" si="1406"/>
        <v>1</v>
      </c>
      <c r="P3660" s="121">
        <f t="shared" si="1407"/>
        <v>1</v>
      </c>
      <c r="Q3660" s="121">
        <f t="shared" si="1408"/>
        <v>0</v>
      </c>
      <c r="R3660" s="121">
        <f t="shared" si="1409"/>
        <v>0</v>
      </c>
      <c r="S3660" s="121" t="str">
        <f t="shared" si="1410"/>
        <v/>
      </c>
      <c r="T3660" s="121" t="str">
        <f t="shared" si="1411"/>
        <v/>
      </c>
      <c r="U3660" s="121">
        <f t="shared" si="1412"/>
        <v>1</v>
      </c>
    </row>
    <row r="3661" spans="1:21" x14ac:dyDescent="0.3">
      <c r="A3661" s="187">
        <v>19</v>
      </c>
      <c r="B3661" s="242">
        <f t="shared" si="1413"/>
        <v>46204</v>
      </c>
      <c r="C3661" s="243">
        <f t="shared" si="1394"/>
        <v>46234</v>
      </c>
      <c r="D3661" s="120">
        <f t="shared" si="1395"/>
        <v>31</v>
      </c>
      <c r="E3661" s="120">
        <f t="shared" si="1396"/>
        <v>7</v>
      </c>
      <c r="F3661" s="275">
        <f t="shared" si="1397"/>
        <v>46219.5</v>
      </c>
      <c r="G3661" s="120">
        <f t="shared" si="1398"/>
        <v>24318</v>
      </c>
      <c r="H3661" s="245">
        <f t="shared" si="1399"/>
        <v>1</v>
      </c>
      <c r="I3661" s="121">
        <f t="shared" si="1400"/>
        <v>1</v>
      </c>
      <c r="J3661" s="121">
        <f t="shared" si="1401"/>
        <v>1</v>
      </c>
      <c r="K3661" s="120">
        <f t="shared" si="1402"/>
        <v>0</v>
      </c>
      <c r="L3661" s="120">
        <f t="shared" si="1403"/>
        <v>0</v>
      </c>
      <c r="M3661" s="246">
        <f t="shared" si="1404"/>
        <v>0</v>
      </c>
      <c r="N3661" s="121">
        <f t="shared" si="1405"/>
        <v>1</v>
      </c>
      <c r="O3661" s="246">
        <f t="shared" si="1406"/>
        <v>1</v>
      </c>
      <c r="P3661" s="121">
        <f t="shared" si="1407"/>
        <v>0.91666666666666663</v>
      </c>
      <c r="Q3661" s="121">
        <f t="shared" si="1408"/>
        <v>8.333333333333337E-2</v>
      </c>
      <c r="R3661" s="121">
        <f t="shared" si="1409"/>
        <v>0</v>
      </c>
      <c r="S3661" s="121" t="str">
        <f t="shared" si="1410"/>
        <v/>
      </c>
      <c r="T3661" s="121" t="str">
        <f t="shared" si="1411"/>
        <v/>
      </c>
      <c r="U3661" s="121">
        <f t="shared" si="1412"/>
        <v>1</v>
      </c>
    </row>
    <row r="3662" spans="1:21" x14ac:dyDescent="0.3">
      <c r="A3662" s="187">
        <v>20</v>
      </c>
      <c r="B3662" s="242">
        <f t="shared" si="1413"/>
        <v>46235</v>
      </c>
      <c r="C3662" s="243">
        <f t="shared" si="1394"/>
        <v>46265</v>
      </c>
      <c r="D3662" s="120">
        <f t="shared" si="1395"/>
        <v>31</v>
      </c>
      <c r="E3662" s="120">
        <f t="shared" si="1396"/>
        <v>8</v>
      </c>
      <c r="F3662" s="275">
        <f t="shared" si="1397"/>
        <v>46250.5</v>
      </c>
      <c r="G3662" s="120">
        <f t="shared" si="1398"/>
        <v>24319</v>
      </c>
      <c r="H3662" s="245">
        <f t="shared" si="1399"/>
        <v>1</v>
      </c>
      <c r="I3662" s="121">
        <f t="shared" si="1400"/>
        <v>1</v>
      </c>
      <c r="J3662" s="121">
        <f t="shared" si="1401"/>
        <v>1</v>
      </c>
      <c r="K3662" s="120">
        <f t="shared" si="1402"/>
        <v>0</v>
      </c>
      <c r="L3662" s="120">
        <f t="shared" si="1403"/>
        <v>0</v>
      </c>
      <c r="M3662" s="246">
        <f t="shared" si="1404"/>
        <v>0</v>
      </c>
      <c r="N3662" s="121">
        <f t="shared" si="1405"/>
        <v>1</v>
      </c>
      <c r="O3662" s="246">
        <f t="shared" si="1406"/>
        <v>1</v>
      </c>
      <c r="P3662" s="121">
        <f t="shared" si="1407"/>
        <v>0.75</v>
      </c>
      <c r="Q3662" s="121">
        <f t="shared" si="1408"/>
        <v>0.25</v>
      </c>
      <c r="R3662" s="121">
        <f t="shared" si="1409"/>
        <v>0</v>
      </c>
      <c r="S3662" s="121" t="str">
        <f t="shared" si="1410"/>
        <v/>
      </c>
      <c r="T3662" s="121" t="str">
        <f t="shared" si="1411"/>
        <v/>
      </c>
      <c r="U3662" s="121">
        <f t="shared" si="1412"/>
        <v>1</v>
      </c>
    </row>
    <row r="3663" spans="1:21" x14ac:dyDescent="0.3">
      <c r="A3663" s="187">
        <v>21</v>
      </c>
      <c r="B3663" s="242">
        <f t="shared" si="1413"/>
        <v>46266</v>
      </c>
      <c r="C3663" s="243">
        <f t="shared" si="1394"/>
        <v>46295</v>
      </c>
      <c r="D3663" s="120">
        <f t="shared" si="1395"/>
        <v>30</v>
      </c>
      <c r="E3663" s="120">
        <f t="shared" si="1396"/>
        <v>9</v>
      </c>
      <c r="F3663" s="275">
        <f t="shared" si="1397"/>
        <v>46281</v>
      </c>
      <c r="G3663" s="120">
        <f t="shared" si="1398"/>
        <v>24320</v>
      </c>
      <c r="H3663" s="245">
        <f t="shared" si="1399"/>
        <v>1</v>
      </c>
      <c r="I3663" s="121">
        <f t="shared" si="1400"/>
        <v>1</v>
      </c>
      <c r="J3663" s="121">
        <f t="shared" si="1401"/>
        <v>1</v>
      </c>
      <c r="K3663" s="120">
        <f t="shared" si="1402"/>
        <v>0</v>
      </c>
      <c r="L3663" s="120">
        <f t="shared" si="1403"/>
        <v>0</v>
      </c>
      <c r="M3663" s="246">
        <f t="shared" si="1404"/>
        <v>0</v>
      </c>
      <c r="N3663" s="121">
        <f t="shared" si="1405"/>
        <v>1</v>
      </c>
      <c r="O3663" s="246">
        <f t="shared" si="1406"/>
        <v>1</v>
      </c>
      <c r="P3663" s="121">
        <f t="shared" si="1407"/>
        <v>0.58333333333333337</v>
      </c>
      <c r="Q3663" s="121">
        <f t="shared" si="1408"/>
        <v>0.41666666666666663</v>
      </c>
      <c r="R3663" s="121">
        <f t="shared" si="1409"/>
        <v>0</v>
      </c>
      <c r="S3663" s="121" t="str">
        <f t="shared" si="1410"/>
        <v/>
      </c>
      <c r="T3663" s="121" t="str">
        <f t="shared" si="1411"/>
        <v/>
      </c>
      <c r="U3663" s="121">
        <f t="shared" si="1412"/>
        <v>1</v>
      </c>
    </row>
    <row r="3664" spans="1:21" x14ac:dyDescent="0.3">
      <c r="A3664" s="187">
        <v>22</v>
      </c>
      <c r="B3664" s="242">
        <f t="shared" si="1413"/>
        <v>46296</v>
      </c>
      <c r="C3664" s="243">
        <f t="shared" si="1394"/>
        <v>46326</v>
      </c>
      <c r="D3664" s="120">
        <f t="shared" si="1395"/>
        <v>31</v>
      </c>
      <c r="E3664" s="120">
        <f t="shared" si="1396"/>
        <v>10</v>
      </c>
      <c r="F3664" s="275">
        <f t="shared" si="1397"/>
        <v>46311.5</v>
      </c>
      <c r="G3664" s="120">
        <f t="shared" si="1398"/>
        <v>24321</v>
      </c>
      <c r="H3664" s="245">
        <f t="shared" si="1399"/>
        <v>1</v>
      </c>
      <c r="I3664" s="121">
        <f t="shared" si="1400"/>
        <v>1</v>
      </c>
      <c r="J3664" s="121">
        <f t="shared" si="1401"/>
        <v>1</v>
      </c>
      <c r="K3664" s="120">
        <f t="shared" si="1402"/>
        <v>0</v>
      </c>
      <c r="L3664" s="120">
        <f t="shared" si="1403"/>
        <v>0</v>
      </c>
      <c r="M3664" s="246">
        <f t="shared" si="1404"/>
        <v>0</v>
      </c>
      <c r="N3664" s="121">
        <f t="shared" si="1405"/>
        <v>1</v>
      </c>
      <c r="O3664" s="246">
        <f t="shared" si="1406"/>
        <v>1</v>
      </c>
      <c r="P3664" s="121">
        <f t="shared" si="1407"/>
        <v>0.41666666666666669</v>
      </c>
      <c r="Q3664" s="121">
        <f t="shared" si="1408"/>
        <v>0.58333333333333326</v>
      </c>
      <c r="R3664" s="121">
        <f t="shared" si="1409"/>
        <v>0</v>
      </c>
      <c r="S3664" s="121" t="str">
        <f t="shared" si="1410"/>
        <v/>
      </c>
      <c r="T3664" s="121" t="str">
        <f t="shared" si="1411"/>
        <v/>
      </c>
      <c r="U3664" s="121">
        <f t="shared" si="1412"/>
        <v>1</v>
      </c>
    </row>
    <row r="3665" spans="1:21" x14ac:dyDescent="0.3">
      <c r="A3665" s="187">
        <v>23</v>
      </c>
      <c r="B3665" s="242">
        <f t="shared" si="1413"/>
        <v>46327</v>
      </c>
      <c r="C3665" s="243">
        <f t="shared" si="1394"/>
        <v>46356</v>
      </c>
      <c r="D3665" s="120">
        <f t="shared" si="1395"/>
        <v>30</v>
      </c>
      <c r="E3665" s="120">
        <f t="shared" si="1396"/>
        <v>11</v>
      </c>
      <c r="F3665" s="275">
        <f t="shared" si="1397"/>
        <v>46342</v>
      </c>
      <c r="G3665" s="120">
        <f t="shared" si="1398"/>
        <v>24322</v>
      </c>
      <c r="H3665" s="245">
        <f t="shared" si="1399"/>
        <v>1</v>
      </c>
      <c r="I3665" s="121">
        <f t="shared" si="1400"/>
        <v>1</v>
      </c>
      <c r="J3665" s="121">
        <f t="shared" si="1401"/>
        <v>1</v>
      </c>
      <c r="K3665" s="120">
        <f t="shared" si="1402"/>
        <v>0</v>
      </c>
      <c r="L3665" s="120">
        <f t="shared" si="1403"/>
        <v>0</v>
      </c>
      <c r="M3665" s="246">
        <f t="shared" si="1404"/>
        <v>0</v>
      </c>
      <c r="N3665" s="121">
        <f t="shared" si="1405"/>
        <v>1</v>
      </c>
      <c r="O3665" s="246">
        <f t="shared" si="1406"/>
        <v>1</v>
      </c>
      <c r="P3665" s="121">
        <f t="shared" si="1407"/>
        <v>0.25</v>
      </c>
      <c r="Q3665" s="121">
        <f t="shared" si="1408"/>
        <v>0.75</v>
      </c>
      <c r="R3665" s="121">
        <f t="shared" si="1409"/>
        <v>0</v>
      </c>
      <c r="S3665" s="121" t="str">
        <f t="shared" si="1410"/>
        <v/>
      </c>
      <c r="T3665" s="121" t="str">
        <f t="shared" si="1411"/>
        <v/>
      </c>
      <c r="U3665" s="121">
        <f t="shared" si="1412"/>
        <v>1</v>
      </c>
    </row>
    <row r="3666" spans="1:21" x14ac:dyDescent="0.3">
      <c r="A3666" s="187">
        <v>24</v>
      </c>
      <c r="B3666" s="242">
        <f t="shared" si="1413"/>
        <v>46357</v>
      </c>
      <c r="C3666" s="243">
        <f t="shared" si="1394"/>
        <v>46387</v>
      </c>
      <c r="D3666" s="120">
        <f t="shared" si="1395"/>
        <v>31</v>
      </c>
      <c r="E3666" s="120">
        <f t="shared" si="1396"/>
        <v>12</v>
      </c>
      <c r="F3666" s="275">
        <f t="shared" si="1397"/>
        <v>46372.5</v>
      </c>
      <c r="G3666" s="120">
        <f t="shared" si="1398"/>
        <v>24323</v>
      </c>
      <c r="H3666" s="245">
        <f t="shared" si="1399"/>
        <v>1</v>
      </c>
      <c r="I3666" s="121">
        <f t="shared" si="1400"/>
        <v>1</v>
      </c>
      <c r="J3666" s="121">
        <f t="shared" si="1401"/>
        <v>1</v>
      </c>
      <c r="K3666" s="120">
        <f t="shared" si="1402"/>
        <v>0</v>
      </c>
      <c r="L3666" s="120">
        <f t="shared" si="1403"/>
        <v>0</v>
      </c>
      <c r="M3666" s="246">
        <f t="shared" si="1404"/>
        <v>0</v>
      </c>
      <c r="N3666" s="121">
        <f t="shared" si="1405"/>
        <v>1</v>
      </c>
      <c r="O3666" s="246">
        <f t="shared" si="1406"/>
        <v>1</v>
      </c>
      <c r="P3666" s="121">
        <f t="shared" si="1407"/>
        <v>8.3333333333333329E-2</v>
      </c>
      <c r="Q3666" s="121">
        <f t="shared" si="1408"/>
        <v>0.91666666666666663</v>
      </c>
      <c r="R3666" s="121">
        <f t="shared" si="1409"/>
        <v>0</v>
      </c>
      <c r="S3666" s="121" t="str">
        <f t="shared" si="1410"/>
        <v/>
      </c>
      <c r="T3666" s="121" t="str">
        <f t="shared" si="1411"/>
        <v/>
      </c>
      <c r="U3666" s="121">
        <f t="shared" si="1412"/>
        <v>1</v>
      </c>
    </row>
    <row r="3667" spans="1:21" x14ac:dyDescent="0.3">
      <c r="A3667" s="187">
        <v>25</v>
      </c>
      <c r="B3667" s="242">
        <f t="shared" si="1413"/>
        <v>46388</v>
      </c>
      <c r="C3667" s="243">
        <f t="shared" si="1394"/>
        <v>46418</v>
      </c>
      <c r="D3667" s="120">
        <f t="shared" si="1395"/>
        <v>31</v>
      </c>
      <c r="E3667" s="120">
        <f t="shared" si="1396"/>
        <v>1</v>
      </c>
      <c r="F3667" s="275">
        <f t="shared" si="1397"/>
        <v>46403.5</v>
      </c>
      <c r="G3667" s="120">
        <f t="shared" si="1398"/>
        <v>24324</v>
      </c>
      <c r="H3667" s="245">
        <f t="shared" si="1399"/>
        <v>1</v>
      </c>
      <c r="I3667" s="121">
        <f t="shared" si="1400"/>
        <v>1</v>
      </c>
      <c r="J3667" s="121">
        <f t="shared" si="1401"/>
        <v>1</v>
      </c>
      <c r="K3667" s="120">
        <f t="shared" si="1402"/>
        <v>0</v>
      </c>
      <c r="L3667" s="120">
        <f t="shared" si="1403"/>
        <v>0</v>
      </c>
      <c r="M3667" s="246">
        <f t="shared" si="1404"/>
        <v>0</v>
      </c>
      <c r="N3667" s="121">
        <f t="shared" si="1405"/>
        <v>1</v>
      </c>
      <c r="O3667" s="246">
        <f t="shared" si="1406"/>
        <v>1</v>
      </c>
      <c r="P3667" s="121">
        <f t="shared" si="1407"/>
        <v>0</v>
      </c>
      <c r="Q3667" s="121">
        <f t="shared" si="1408"/>
        <v>1</v>
      </c>
      <c r="R3667" s="121">
        <f t="shared" si="1409"/>
        <v>0</v>
      </c>
      <c r="S3667" s="121" t="str">
        <f t="shared" si="1410"/>
        <v/>
      </c>
      <c r="T3667" s="121" t="str">
        <f t="shared" si="1411"/>
        <v/>
      </c>
      <c r="U3667" s="121">
        <f t="shared" si="1412"/>
        <v>1</v>
      </c>
    </row>
    <row r="3668" spans="1:21" x14ac:dyDescent="0.3">
      <c r="A3668" s="187">
        <v>26</v>
      </c>
      <c r="B3668" s="242">
        <f t="shared" si="1413"/>
        <v>46419</v>
      </c>
      <c r="C3668" s="243">
        <f t="shared" si="1394"/>
        <v>46446</v>
      </c>
      <c r="D3668" s="120">
        <f t="shared" si="1395"/>
        <v>28</v>
      </c>
      <c r="E3668" s="120">
        <f t="shared" si="1396"/>
        <v>2</v>
      </c>
      <c r="F3668" s="275">
        <f t="shared" si="1397"/>
        <v>46433</v>
      </c>
      <c r="G3668" s="120">
        <f t="shared" si="1398"/>
        <v>24325</v>
      </c>
      <c r="H3668" s="245">
        <f t="shared" si="1399"/>
        <v>1</v>
      </c>
      <c r="I3668" s="121">
        <f t="shared" si="1400"/>
        <v>1</v>
      </c>
      <c r="J3668" s="121">
        <f t="shared" si="1401"/>
        <v>1</v>
      </c>
      <c r="K3668" s="120">
        <f t="shared" si="1402"/>
        <v>0</v>
      </c>
      <c r="L3668" s="120">
        <f t="shared" si="1403"/>
        <v>0</v>
      </c>
      <c r="M3668" s="246">
        <f t="shared" si="1404"/>
        <v>0</v>
      </c>
      <c r="N3668" s="121">
        <f t="shared" si="1405"/>
        <v>1</v>
      </c>
      <c r="O3668" s="246">
        <f t="shared" si="1406"/>
        <v>1</v>
      </c>
      <c r="P3668" s="121">
        <f t="shared" si="1407"/>
        <v>0</v>
      </c>
      <c r="Q3668" s="121">
        <f t="shared" si="1408"/>
        <v>1</v>
      </c>
      <c r="R3668" s="121">
        <f t="shared" si="1409"/>
        <v>0</v>
      </c>
      <c r="S3668" s="121" t="str">
        <f t="shared" si="1410"/>
        <v/>
      </c>
      <c r="T3668" s="121" t="str">
        <f t="shared" si="1411"/>
        <v/>
      </c>
      <c r="U3668" s="121">
        <f t="shared" si="1412"/>
        <v>1</v>
      </c>
    </row>
    <row r="3669" spans="1:21" x14ac:dyDescent="0.3">
      <c r="A3669" s="187">
        <v>27</v>
      </c>
      <c r="B3669" s="242">
        <f t="shared" si="1413"/>
        <v>46447</v>
      </c>
      <c r="C3669" s="243">
        <f t="shared" si="1394"/>
        <v>46477</v>
      </c>
      <c r="D3669" s="120">
        <f t="shared" si="1395"/>
        <v>31</v>
      </c>
      <c r="E3669" s="120">
        <f t="shared" si="1396"/>
        <v>3</v>
      </c>
      <c r="F3669" s="275">
        <f t="shared" si="1397"/>
        <v>46462.5</v>
      </c>
      <c r="G3669" s="120">
        <f t="shared" si="1398"/>
        <v>24326</v>
      </c>
      <c r="H3669" s="245">
        <f t="shared" si="1399"/>
        <v>1</v>
      </c>
      <c r="I3669" s="121">
        <f t="shared" si="1400"/>
        <v>1</v>
      </c>
      <c r="J3669" s="121">
        <f t="shared" si="1401"/>
        <v>1</v>
      </c>
      <c r="K3669" s="120">
        <f t="shared" si="1402"/>
        <v>0</v>
      </c>
      <c r="L3669" s="120">
        <f t="shared" si="1403"/>
        <v>0</v>
      </c>
      <c r="M3669" s="246">
        <f t="shared" si="1404"/>
        <v>0</v>
      </c>
      <c r="N3669" s="121">
        <f t="shared" si="1405"/>
        <v>1</v>
      </c>
      <c r="O3669" s="246">
        <f t="shared" si="1406"/>
        <v>1</v>
      </c>
      <c r="P3669" s="121">
        <f t="shared" si="1407"/>
        <v>0</v>
      </c>
      <c r="Q3669" s="121">
        <f t="shared" si="1408"/>
        <v>1</v>
      </c>
      <c r="R3669" s="121">
        <f t="shared" si="1409"/>
        <v>0</v>
      </c>
      <c r="S3669" s="121" t="str">
        <f t="shared" si="1410"/>
        <v/>
      </c>
      <c r="T3669" s="121" t="str">
        <f t="shared" si="1411"/>
        <v/>
      </c>
      <c r="U3669" s="121">
        <f t="shared" si="1412"/>
        <v>1</v>
      </c>
    </row>
    <row r="3670" spans="1:21" x14ac:dyDescent="0.3">
      <c r="A3670" s="187">
        <v>28</v>
      </c>
      <c r="B3670" s="242">
        <f t="shared" si="1413"/>
        <v>46478</v>
      </c>
      <c r="C3670" s="243">
        <f t="shared" si="1394"/>
        <v>46507</v>
      </c>
      <c r="D3670" s="120">
        <f t="shared" si="1395"/>
        <v>30</v>
      </c>
      <c r="E3670" s="120">
        <f t="shared" si="1396"/>
        <v>4</v>
      </c>
      <c r="F3670" s="275">
        <f t="shared" si="1397"/>
        <v>46493</v>
      </c>
      <c r="G3670" s="120">
        <f t="shared" si="1398"/>
        <v>24327</v>
      </c>
      <c r="H3670" s="245">
        <f t="shared" si="1399"/>
        <v>1</v>
      </c>
      <c r="I3670" s="121">
        <f t="shared" si="1400"/>
        <v>1</v>
      </c>
      <c r="J3670" s="121">
        <f t="shared" si="1401"/>
        <v>1</v>
      </c>
      <c r="K3670" s="120">
        <f t="shared" si="1402"/>
        <v>0</v>
      </c>
      <c r="L3670" s="120">
        <f t="shared" si="1403"/>
        <v>0</v>
      </c>
      <c r="M3670" s="246">
        <f t="shared" si="1404"/>
        <v>0</v>
      </c>
      <c r="N3670" s="121">
        <f t="shared" si="1405"/>
        <v>1</v>
      </c>
      <c r="O3670" s="246">
        <f t="shared" si="1406"/>
        <v>1</v>
      </c>
      <c r="P3670" s="121">
        <f t="shared" si="1407"/>
        <v>0</v>
      </c>
      <c r="Q3670" s="121">
        <f t="shared" si="1408"/>
        <v>1</v>
      </c>
      <c r="R3670" s="121">
        <f t="shared" si="1409"/>
        <v>0</v>
      </c>
      <c r="S3670" s="121" t="str">
        <f t="shared" si="1410"/>
        <v/>
      </c>
      <c r="T3670" s="121" t="str">
        <f t="shared" si="1411"/>
        <v/>
      </c>
      <c r="U3670" s="121">
        <f t="shared" si="1412"/>
        <v>1</v>
      </c>
    </row>
    <row r="3671" spans="1:21" x14ac:dyDescent="0.3">
      <c r="A3671" s="187">
        <v>29</v>
      </c>
      <c r="B3671" s="242">
        <f t="shared" si="1413"/>
        <v>46508</v>
      </c>
      <c r="C3671" s="243">
        <f t="shared" si="1394"/>
        <v>46538</v>
      </c>
      <c r="D3671" s="120">
        <f t="shared" si="1395"/>
        <v>31</v>
      </c>
      <c r="E3671" s="120">
        <f t="shared" si="1396"/>
        <v>5</v>
      </c>
      <c r="F3671" s="275">
        <f t="shared" si="1397"/>
        <v>46523.5</v>
      </c>
      <c r="G3671" s="120">
        <f t="shared" si="1398"/>
        <v>24328</v>
      </c>
      <c r="H3671" s="245">
        <f t="shared" si="1399"/>
        <v>1</v>
      </c>
      <c r="I3671" s="121">
        <f t="shared" si="1400"/>
        <v>1</v>
      </c>
      <c r="J3671" s="121">
        <f t="shared" si="1401"/>
        <v>1</v>
      </c>
      <c r="K3671" s="120">
        <f t="shared" si="1402"/>
        <v>0</v>
      </c>
      <c r="L3671" s="120">
        <f t="shared" si="1403"/>
        <v>0</v>
      </c>
      <c r="M3671" s="246">
        <f t="shared" si="1404"/>
        <v>0</v>
      </c>
      <c r="N3671" s="121">
        <f t="shared" si="1405"/>
        <v>1</v>
      </c>
      <c r="O3671" s="246">
        <f t="shared" si="1406"/>
        <v>1</v>
      </c>
      <c r="P3671" s="121">
        <f t="shared" si="1407"/>
        <v>0</v>
      </c>
      <c r="Q3671" s="121">
        <f t="shared" si="1408"/>
        <v>1</v>
      </c>
      <c r="R3671" s="121">
        <f t="shared" si="1409"/>
        <v>0</v>
      </c>
      <c r="S3671" s="121" t="str">
        <f t="shared" si="1410"/>
        <v/>
      </c>
      <c r="T3671" s="121" t="str">
        <f t="shared" si="1411"/>
        <v/>
      </c>
      <c r="U3671" s="121">
        <f t="shared" si="1412"/>
        <v>1</v>
      </c>
    </row>
    <row r="3672" spans="1:21" x14ac:dyDescent="0.3">
      <c r="A3672" s="187">
        <v>30</v>
      </c>
      <c r="B3672" s="242">
        <f t="shared" si="1413"/>
        <v>46539</v>
      </c>
      <c r="C3672" s="243">
        <f t="shared" si="1394"/>
        <v>46568</v>
      </c>
      <c r="D3672" s="120">
        <f t="shared" si="1395"/>
        <v>30</v>
      </c>
      <c r="E3672" s="120">
        <f t="shared" si="1396"/>
        <v>6</v>
      </c>
      <c r="F3672" s="275">
        <f t="shared" si="1397"/>
        <v>46554</v>
      </c>
      <c r="G3672" s="120">
        <f t="shared" si="1398"/>
        <v>24329</v>
      </c>
      <c r="H3672" s="245">
        <f t="shared" si="1399"/>
        <v>1</v>
      </c>
      <c r="I3672" s="121">
        <f t="shared" si="1400"/>
        <v>1</v>
      </c>
      <c r="J3672" s="121">
        <f t="shared" si="1401"/>
        <v>1</v>
      </c>
      <c r="K3672" s="120">
        <f t="shared" si="1402"/>
        <v>0</v>
      </c>
      <c r="L3672" s="120">
        <f t="shared" si="1403"/>
        <v>0</v>
      </c>
      <c r="M3672" s="246">
        <f t="shared" si="1404"/>
        <v>0</v>
      </c>
      <c r="N3672" s="121">
        <f t="shared" si="1405"/>
        <v>1</v>
      </c>
      <c r="O3672" s="246">
        <f t="shared" si="1406"/>
        <v>1</v>
      </c>
      <c r="P3672" s="121">
        <f t="shared" si="1407"/>
        <v>0</v>
      </c>
      <c r="Q3672" s="121">
        <f t="shared" si="1408"/>
        <v>1</v>
      </c>
      <c r="R3672" s="121">
        <f t="shared" si="1409"/>
        <v>0</v>
      </c>
      <c r="S3672" s="121" t="str">
        <f t="shared" si="1410"/>
        <v/>
      </c>
      <c r="T3672" s="121" t="str">
        <f t="shared" si="1411"/>
        <v/>
      </c>
      <c r="U3672" s="121">
        <f t="shared" si="1412"/>
        <v>1</v>
      </c>
    </row>
    <row r="3673" spans="1:21" x14ac:dyDescent="0.3">
      <c r="A3673" s="187">
        <v>31</v>
      </c>
      <c r="B3673" s="242">
        <f t="shared" si="1413"/>
        <v>46569</v>
      </c>
      <c r="C3673" s="243">
        <f t="shared" si="1394"/>
        <v>46599</v>
      </c>
      <c r="D3673" s="120">
        <f t="shared" si="1395"/>
        <v>31</v>
      </c>
      <c r="E3673" s="120">
        <f t="shared" si="1396"/>
        <v>7</v>
      </c>
      <c r="F3673" s="275">
        <f t="shared" si="1397"/>
        <v>46584.5</v>
      </c>
      <c r="G3673" s="120">
        <f t="shared" si="1398"/>
        <v>24330</v>
      </c>
      <c r="H3673" s="245">
        <f t="shared" si="1399"/>
        <v>1</v>
      </c>
      <c r="I3673" s="121">
        <f t="shared" si="1400"/>
        <v>1</v>
      </c>
      <c r="J3673" s="121">
        <f t="shared" si="1401"/>
        <v>1</v>
      </c>
      <c r="K3673" s="120">
        <f t="shared" si="1402"/>
        <v>0</v>
      </c>
      <c r="L3673" s="120">
        <f t="shared" si="1403"/>
        <v>0</v>
      </c>
      <c r="M3673" s="246">
        <f t="shared" si="1404"/>
        <v>0</v>
      </c>
      <c r="N3673" s="121">
        <f t="shared" si="1405"/>
        <v>1</v>
      </c>
      <c r="O3673" s="246">
        <f t="shared" si="1406"/>
        <v>1</v>
      </c>
      <c r="P3673" s="121">
        <f t="shared" si="1407"/>
        <v>0</v>
      </c>
      <c r="Q3673" s="121">
        <f t="shared" si="1408"/>
        <v>0.91666666666666663</v>
      </c>
      <c r="R3673" s="121">
        <f t="shared" si="1409"/>
        <v>8.333333333333337E-2</v>
      </c>
      <c r="S3673" s="121" t="str">
        <f t="shared" si="1410"/>
        <v/>
      </c>
      <c r="T3673" s="121" t="str">
        <f t="shared" si="1411"/>
        <v/>
      </c>
      <c r="U3673" s="121">
        <f t="shared" si="1412"/>
        <v>1</v>
      </c>
    </row>
    <row r="3674" spans="1:21" x14ac:dyDescent="0.3">
      <c r="A3674" s="187">
        <v>32</v>
      </c>
      <c r="B3674" s="242">
        <f t="shared" si="1413"/>
        <v>46600</v>
      </c>
      <c r="C3674" s="243">
        <f t="shared" si="1394"/>
        <v>46630</v>
      </c>
      <c r="D3674" s="120">
        <f t="shared" si="1395"/>
        <v>31</v>
      </c>
      <c r="E3674" s="120">
        <f t="shared" si="1396"/>
        <v>8</v>
      </c>
      <c r="F3674" s="275">
        <f t="shared" si="1397"/>
        <v>46615.5</v>
      </c>
      <c r="G3674" s="120">
        <f t="shared" si="1398"/>
        <v>24331</v>
      </c>
      <c r="H3674" s="245">
        <f t="shared" si="1399"/>
        <v>1</v>
      </c>
      <c r="I3674" s="121">
        <f t="shared" si="1400"/>
        <v>1</v>
      </c>
      <c r="J3674" s="121">
        <f t="shared" si="1401"/>
        <v>1</v>
      </c>
      <c r="K3674" s="120">
        <f t="shared" si="1402"/>
        <v>0</v>
      </c>
      <c r="L3674" s="120">
        <f t="shared" si="1403"/>
        <v>0</v>
      </c>
      <c r="M3674" s="246">
        <f t="shared" si="1404"/>
        <v>0</v>
      </c>
      <c r="N3674" s="121">
        <f t="shared" si="1405"/>
        <v>1</v>
      </c>
      <c r="O3674" s="246">
        <f t="shared" si="1406"/>
        <v>1</v>
      </c>
      <c r="P3674" s="121">
        <f t="shared" si="1407"/>
        <v>0</v>
      </c>
      <c r="Q3674" s="121">
        <f t="shared" si="1408"/>
        <v>0.75</v>
      </c>
      <c r="R3674" s="121">
        <f t="shared" si="1409"/>
        <v>0.25</v>
      </c>
      <c r="S3674" s="121" t="str">
        <f t="shared" si="1410"/>
        <v/>
      </c>
      <c r="T3674" s="121" t="str">
        <f t="shared" si="1411"/>
        <v/>
      </c>
      <c r="U3674" s="121">
        <f t="shared" si="1412"/>
        <v>1</v>
      </c>
    </row>
    <row r="3675" spans="1:21" x14ac:dyDescent="0.3">
      <c r="A3675" s="187">
        <v>33</v>
      </c>
      <c r="B3675" s="242">
        <f t="shared" si="1413"/>
        <v>46631</v>
      </c>
      <c r="C3675" s="243">
        <f t="shared" si="1394"/>
        <v>46660</v>
      </c>
      <c r="D3675" s="120">
        <f t="shared" si="1395"/>
        <v>30</v>
      </c>
      <c r="E3675" s="120">
        <f t="shared" si="1396"/>
        <v>9</v>
      </c>
      <c r="F3675" s="275">
        <f t="shared" si="1397"/>
        <v>46646</v>
      </c>
      <c r="G3675" s="120">
        <f t="shared" si="1398"/>
        <v>24332</v>
      </c>
      <c r="H3675" s="245">
        <f t="shared" si="1399"/>
        <v>1</v>
      </c>
      <c r="I3675" s="121">
        <f t="shared" si="1400"/>
        <v>1</v>
      </c>
      <c r="J3675" s="121">
        <f t="shared" si="1401"/>
        <v>1</v>
      </c>
      <c r="K3675" s="120">
        <f t="shared" si="1402"/>
        <v>0</v>
      </c>
      <c r="L3675" s="120">
        <f t="shared" si="1403"/>
        <v>0</v>
      </c>
      <c r="M3675" s="246">
        <f t="shared" si="1404"/>
        <v>0</v>
      </c>
      <c r="N3675" s="121">
        <f t="shared" si="1405"/>
        <v>1</v>
      </c>
      <c r="O3675" s="246">
        <f t="shared" si="1406"/>
        <v>1</v>
      </c>
      <c r="P3675" s="121">
        <f t="shared" si="1407"/>
        <v>0</v>
      </c>
      <c r="Q3675" s="121">
        <f t="shared" si="1408"/>
        <v>0.58333333333333337</v>
      </c>
      <c r="R3675" s="121">
        <f t="shared" si="1409"/>
        <v>0.41666666666666663</v>
      </c>
      <c r="S3675" s="121" t="str">
        <f t="shared" si="1410"/>
        <v/>
      </c>
      <c r="T3675" s="121" t="str">
        <f t="shared" si="1411"/>
        <v/>
      </c>
      <c r="U3675" s="121">
        <f t="shared" si="1412"/>
        <v>1</v>
      </c>
    </row>
    <row r="3676" spans="1:21" x14ac:dyDescent="0.3">
      <c r="A3676" s="187">
        <v>34</v>
      </c>
      <c r="B3676" s="242">
        <f t="shared" si="1413"/>
        <v>46661</v>
      </c>
      <c r="C3676" s="243">
        <f t="shared" si="1394"/>
        <v>46691</v>
      </c>
      <c r="D3676" s="120">
        <f t="shared" si="1395"/>
        <v>31</v>
      </c>
      <c r="E3676" s="120">
        <f t="shared" si="1396"/>
        <v>10</v>
      </c>
      <c r="F3676" s="275">
        <f t="shared" si="1397"/>
        <v>46676.5</v>
      </c>
      <c r="G3676" s="120">
        <f t="shared" si="1398"/>
        <v>24333</v>
      </c>
      <c r="H3676" s="245">
        <f t="shared" si="1399"/>
        <v>1</v>
      </c>
      <c r="I3676" s="121">
        <f t="shared" si="1400"/>
        <v>1</v>
      </c>
      <c r="J3676" s="121">
        <f t="shared" si="1401"/>
        <v>1</v>
      </c>
      <c r="K3676" s="120">
        <f t="shared" si="1402"/>
        <v>0</v>
      </c>
      <c r="L3676" s="120">
        <f t="shared" si="1403"/>
        <v>0</v>
      </c>
      <c r="M3676" s="246">
        <f t="shared" si="1404"/>
        <v>0</v>
      </c>
      <c r="N3676" s="121">
        <f t="shared" si="1405"/>
        <v>1</v>
      </c>
      <c r="O3676" s="246">
        <f t="shared" si="1406"/>
        <v>1</v>
      </c>
      <c r="P3676" s="121">
        <f t="shared" si="1407"/>
        <v>0</v>
      </c>
      <c r="Q3676" s="121">
        <f t="shared" si="1408"/>
        <v>0.41666666666666669</v>
      </c>
      <c r="R3676" s="121">
        <f t="shared" si="1409"/>
        <v>0.58333333333333326</v>
      </c>
      <c r="S3676" s="121" t="str">
        <f t="shared" si="1410"/>
        <v/>
      </c>
      <c r="T3676" s="121" t="str">
        <f t="shared" si="1411"/>
        <v/>
      </c>
      <c r="U3676" s="121">
        <f t="shared" si="1412"/>
        <v>1</v>
      </c>
    </row>
    <row r="3677" spans="1:21" x14ac:dyDescent="0.3">
      <c r="A3677" s="187">
        <v>35</v>
      </c>
      <c r="B3677" s="242">
        <f t="shared" si="1413"/>
        <v>46692</v>
      </c>
      <c r="C3677" s="243">
        <f t="shared" si="1394"/>
        <v>46721</v>
      </c>
      <c r="D3677" s="120">
        <f t="shared" si="1395"/>
        <v>30</v>
      </c>
      <c r="E3677" s="120">
        <f t="shared" si="1396"/>
        <v>11</v>
      </c>
      <c r="F3677" s="275">
        <f t="shared" si="1397"/>
        <v>46707</v>
      </c>
      <c r="G3677" s="120">
        <f t="shared" si="1398"/>
        <v>24334</v>
      </c>
      <c r="H3677" s="245">
        <f t="shared" si="1399"/>
        <v>1</v>
      </c>
      <c r="I3677" s="121">
        <f t="shared" si="1400"/>
        <v>1</v>
      </c>
      <c r="J3677" s="121">
        <f t="shared" si="1401"/>
        <v>1</v>
      </c>
      <c r="K3677" s="120">
        <f t="shared" si="1402"/>
        <v>0</v>
      </c>
      <c r="L3677" s="120">
        <f t="shared" si="1403"/>
        <v>0</v>
      </c>
      <c r="M3677" s="246">
        <f t="shared" si="1404"/>
        <v>0</v>
      </c>
      <c r="N3677" s="121">
        <f t="shared" si="1405"/>
        <v>1</v>
      </c>
      <c r="O3677" s="246">
        <f t="shared" si="1406"/>
        <v>1</v>
      </c>
      <c r="P3677" s="121">
        <f t="shared" si="1407"/>
        <v>0</v>
      </c>
      <c r="Q3677" s="121">
        <f t="shared" si="1408"/>
        <v>0.25</v>
      </c>
      <c r="R3677" s="121">
        <f t="shared" si="1409"/>
        <v>0.75</v>
      </c>
      <c r="S3677" s="121" t="str">
        <f t="shared" si="1410"/>
        <v/>
      </c>
      <c r="T3677" s="121" t="str">
        <f t="shared" si="1411"/>
        <v/>
      </c>
      <c r="U3677" s="121">
        <f t="shared" si="1412"/>
        <v>1</v>
      </c>
    </row>
    <row r="3678" spans="1:21" x14ac:dyDescent="0.3">
      <c r="A3678" s="187">
        <v>36</v>
      </c>
      <c r="B3678" s="242">
        <f t="shared" si="1413"/>
        <v>46722</v>
      </c>
      <c r="C3678" s="243">
        <f t="shared" si="1394"/>
        <v>46752</v>
      </c>
      <c r="D3678" s="120">
        <f t="shared" si="1395"/>
        <v>31</v>
      </c>
      <c r="E3678" s="120">
        <f t="shared" si="1396"/>
        <v>12</v>
      </c>
      <c r="F3678" s="275">
        <f t="shared" si="1397"/>
        <v>46737.5</v>
      </c>
      <c r="G3678" s="120">
        <f t="shared" si="1398"/>
        <v>24335</v>
      </c>
      <c r="H3678" s="245">
        <f t="shared" si="1399"/>
        <v>1</v>
      </c>
      <c r="I3678" s="121">
        <f t="shared" si="1400"/>
        <v>1</v>
      </c>
      <c r="J3678" s="121">
        <f t="shared" si="1401"/>
        <v>1</v>
      </c>
      <c r="K3678" s="120">
        <f t="shared" si="1402"/>
        <v>0</v>
      </c>
      <c r="L3678" s="120">
        <f t="shared" si="1403"/>
        <v>0</v>
      </c>
      <c r="M3678" s="246">
        <f t="shared" si="1404"/>
        <v>0</v>
      </c>
      <c r="N3678" s="121">
        <f t="shared" si="1405"/>
        <v>1</v>
      </c>
      <c r="O3678" s="246">
        <f t="shared" si="1406"/>
        <v>1</v>
      </c>
      <c r="P3678" s="121">
        <f t="shared" si="1407"/>
        <v>0</v>
      </c>
      <c r="Q3678" s="121">
        <f t="shared" si="1408"/>
        <v>8.3333333333333329E-2</v>
      </c>
      <c r="R3678" s="121">
        <f t="shared" si="1409"/>
        <v>0.91666666666666663</v>
      </c>
      <c r="S3678" s="121" t="str">
        <f t="shared" si="1410"/>
        <v/>
      </c>
      <c r="T3678" s="121" t="str">
        <f t="shared" si="1411"/>
        <v/>
      </c>
      <c r="U3678" s="121">
        <f t="shared" si="1412"/>
        <v>1</v>
      </c>
    </row>
    <row r="3679" spans="1:21" x14ac:dyDescent="0.3">
      <c r="A3679" s="187">
        <v>37</v>
      </c>
      <c r="B3679" s="242">
        <f t="shared" si="1413"/>
        <v>46753</v>
      </c>
      <c r="C3679" s="243">
        <f t="shared" si="1394"/>
        <v>46783</v>
      </c>
      <c r="D3679" s="120">
        <f t="shared" si="1395"/>
        <v>31</v>
      </c>
      <c r="E3679" s="120">
        <f t="shared" si="1396"/>
        <v>1</v>
      </c>
      <c r="F3679" s="275">
        <f t="shared" si="1397"/>
        <v>46768.5</v>
      </c>
      <c r="G3679" s="120">
        <f t="shared" si="1398"/>
        <v>24336</v>
      </c>
      <c r="H3679" s="245">
        <f t="shared" si="1399"/>
        <v>1</v>
      </c>
      <c r="I3679" s="121">
        <f t="shared" si="1400"/>
        <v>1</v>
      </c>
      <c r="J3679" s="121">
        <f t="shared" si="1401"/>
        <v>1</v>
      </c>
      <c r="K3679" s="120">
        <f t="shared" si="1402"/>
        <v>0</v>
      </c>
      <c r="L3679" s="120">
        <f t="shared" si="1403"/>
        <v>0</v>
      </c>
      <c r="M3679" s="246">
        <f t="shared" si="1404"/>
        <v>0</v>
      </c>
      <c r="N3679" s="121">
        <f t="shared" si="1405"/>
        <v>1</v>
      </c>
      <c r="O3679" s="246">
        <f t="shared" si="1406"/>
        <v>1</v>
      </c>
      <c r="P3679" s="121">
        <f t="shared" si="1407"/>
        <v>0</v>
      </c>
      <c r="Q3679" s="121">
        <f t="shared" si="1408"/>
        <v>0</v>
      </c>
      <c r="R3679" s="121">
        <f t="shared" si="1409"/>
        <v>1</v>
      </c>
      <c r="S3679" s="121" t="str">
        <f t="shared" si="1410"/>
        <v/>
      </c>
      <c r="T3679" s="121" t="str">
        <f t="shared" si="1411"/>
        <v/>
      </c>
      <c r="U3679" s="121">
        <f t="shared" si="1412"/>
        <v>1</v>
      </c>
    </row>
    <row r="3680" spans="1:21" x14ac:dyDescent="0.3">
      <c r="A3680" s="187">
        <v>38</v>
      </c>
      <c r="B3680" s="242">
        <f t="shared" si="1413"/>
        <v>46784</v>
      </c>
      <c r="C3680" s="243">
        <f t="shared" si="1394"/>
        <v>46812</v>
      </c>
      <c r="D3680" s="120">
        <f t="shared" si="1395"/>
        <v>29</v>
      </c>
      <c r="E3680" s="120">
        <f t="shared" si="1396"/>
        <v>2</v>
      </c>
      <c r="F3680" s="275">
        <f t="shared" si="1397"/>
        <v>46798.5</v>
      </c>
      <c r="G3680" s="120">
        <f t="shared" si="1398"/>
        <v>24337</v>
      </c>
      <c r="H3680" s="245">
        <f t="shared" si="1399"/>
        <v>1</v>
      </c>
      <c r="I3680" s="121">
        <f t="shared" si="1400"/>
        <v>1</v>
      </c>
      <c r="J3680" s="121">
        <f t="shared" si="1401"/>
        <v>1</v>
      </c>
      <c r="K3680" s="120">
        <f t="shared" si="1402"/>
        <v>0</v>
      </c>
      <c r="L3680" s="120">
        <f t="shared" si="1403"/>
        <v>0</v>
      </c>
      <c r="M3680" s="246">
        <f t="shared" si="1404"/>
        <v>0</v>
      </c>
      <c r="N3680" s="121">
        <f t="shared" si="1405"/>
        <v>1</v>
      </c>
      <c r="O3680" s="246">
        <f t="shared" si="1406"/>
        <v>1</v>
      </c>
      <c r="P3680" s="121">
        <f t="shared" si="1407"/>
        <v>0</v>
      </c>
      <c r="Q3680" s="121">
        <f t="shared" si="1408"/>
        <v>0</v>
      </c>
      <c r="R3680" s="121">
        <f t="shared" si="1409"/>
        <v>1</v>
      </c>
      <c r="S3680" s="121" t="str">
        <f t="shared" si="1410"/>
        <v/>
      </c>
      <c r="T3680" s="121" t="str">
        <f t="shared" si="1411"/>
        <v/>
      </c>
      <c r="U3680" s="121">
        <f t="shared" si="1412"/>
        <v>1</v>
      </c>
    </row>
    <row r="3681" spans="1:21" x14ac:dyDescent="0.3">
      <c r="A3681" s="187">
        <v>39</v>
      </c>
      <c r="B3681" s="242">
        <f t="shared" si="1413"/>
        <v>46813</v>
      </c>
      <c r="C3681" s="243">
        <f t="shared" si="1394"/>
        <v>46843</v>
      </c>
      <c r="D3681" s="120">
        <f t="shared" si="1395"/>
        <v>31</v>
      </c>
      <c r="E3681" s="120">
        <f t="shared" si="1396"/>
        <v>3</v>
      </c>
      <c r="F3681" s="275">
        <f t="shared" si="1397"/>
        <v>46828.5</v>
      </c>
      <c r="G3681" s="120">
        <f t="shared" si="1398"/>
        <v>24338</v>
      </c>
      <c r="H3681" s="245">
        <f t="shared" si="1399"/>
        <v>1</v>
      </c>
      <c r="I3681" s="121">
        <f t="shared" si="1400"/>
        <v>1</v>
      </c>
      <c r="J3681" s="121">
        <f t="shared" si="1401"/>
        <v>1</v>
      </c>
      <c r="K3681" s="120">
        <f t="shared" si="1402"/>
        <v>0</v>
      </c>
      <c r="L3681" s="120">
        <f t="shared" si="1403"/>
        <v>0</v>
      </c>
      <c r="M3681" s="246">
        <f t="shared" si="1404"/>
        <v>0</v>
      </c>
      <c r="N3681" s="121">
        <f t="shared" si="1405"/>
        <v>1</v>
      </c>
      <c r="O3681" s="246">
        <f t="shared" si="1406"/>
        <v>1</v>
      </c>
      <c r="P3681" s="121">
        <f t="shared" si="1407"/>
        <v>0</v>
      </c>
      <c r="Q3681" s="121">
        <f t="shared" si="1408"/>
        <v>0</v>
      </c>
      <c r="R3681" s="121">
        <f t="shared" si="1409"/>
        <v>1</v>
      </c>
      <c r="S3681" s="121" t="str">
        <f t="shared" si="1410"/>
        <v/>
      </c>
      <c r="T3681" s="121" t="str">
        <f t="shared" si="1411"/>
        <v/>
      </c>
      <c r="U3681" s="121">
        <f t="shared" si="1412"/>
        <v>1</v>
      </c>
    </row>
    <row r="3682" spans="1:21" x14ac:dyDescent="0.3">
      <c r="A3682" s="187">
        <v>40</v>
      </c>
      <c r="B3682" s="242">
        <f t="shared" si="1413"/>
        <v>46844</v>
      </c>
      <c r="C3682" s="243">
        <f t="shared" si="1394"/>
        <v>46873</v>
      </c>
      <c r="D3682" s="120">
        <f t="shared" si="1395"/>
        <v>30</v>
      </c>
      <c r="E3682" s="120">
        <f t="shared" si="1396"/>
        <v>4</v>
      </c>
      <c r="F3682" s="275">
        <f t="shared" si="1397"/>
        <v>46859</v>
      </c>
      <c r="G3682" s="120">
        <f t="shared" si="1398"/>
        <v>24339</v>
      </c>
      <c r="H3682" s="245">
        <f t="shared" si="1399"/>
        <v>1</v>
      </c>
      <c r="I3682" s="121">
        <f t="shared" si="1400"/>
        <v>1</v>
      </c>
      <c r="J3682" s="121">
        <f t="shared" si="1401"/>
        <v>1</v>
      </c>
      <c r="K3682" s="120">
        <f t="shared" si="1402"/>
        <v>0</v>
      </c>
      <c r="L3682" s="120">
        <f t="shared" si="1403"/>
        <v>0</v>
      </c>
      <c r="M3682" s="246">
        <f t="shared" si="1404"/>
        <v>0</v>
      </c>
      <c r="N3682" s="121">
        <f t="shared" si="1405"/>
        <v>1</v>
      </c>
      <c r="O3682" s="246">
        <f t="shared" si="1406"/>
        <v>1</v>
      </c>
      <c r="P3682" s="121">
        <f t="shared" si="1407"/>
        <v>0</v>
      </c>
      <c r="Q3682" s="121">
        <f t="shared" si="1408"/>
        <v>0</v>
      </c>
      <c r="R3682" s="121">
        <f t="shared" si="1409"/>
        <v>1</v>
      </c>
      <c r="S3682" s="121" t="str">
        <f t="shared" si="1410"/>
        <v/>
      </c>
      <c r="T3682" s="121" t="str">
        <f t="shared" si="1411"/>
        <v/>
      </c>
      <c r="U3682" s="121">
        <f t="shared" si="1412"/>
        <v>1</v>
      </c>
    </row>
    <row r="3683" spans="1:21" x14ac:dyDescent="0.3">
      <c r="A3683" s="187">
        <v>41</v>
      </c>
      <c r="B3683" s="242">
        <f t="shared" si="1413"/>
        <v>46874</v>
      </c>
      <c r="C3683" s="243">
        <f t="shared" si="1394"/>
        <v>46904</v>
      </c>
      <c r="D3683" s="120">
        <f t="shared" si="1395"/>
        <v>31</v>
      </c>
      <c r="E3683" s="120">
        <f t="shared" si="1396"/>
        <v>5</v>
      </c>
      <c r="F3683" s="275">
        <f t="shared" si="1397"/>
        <v>46889.5</v>
      </c>
      <c r="G3683" s="120">
        <f t="shared" si="1398"/>
        <v>24340</v>
      </c>
      <c r="H3683" s="245">
        <f t="shared" si="1399"/>
        <v>1</v>
      </c>
      <c r="I3683" s="121">
        <f t="shared" si="1400"/>
        <v>1</v>
      </c>
      <c r="J3683" s="121">
        <f t="shared" si="1401"/>
        <v>1</v>
      </c>
      <c r="K3683" s="120">
        <f t="shared" si="1402"/>
        <v>0</v>
      </c>
      <c r="L3683" s="120">
        <f t="shared" si="1403"/>
        <v>0</v>
      </c>
      <c r="M3683" s="246">
        <f t="shared" si="1404"/>
        <v>0</v>
      </c>
      <c r="N3683" s="121">
        <f t="shared" si="1405"/>
        <v>1</v>
      </c>
      <c r="O3683" s="246">
        <f t="shared" si="1406"/>
        <v>1</v>
      </c>
      <c r="P3683" s="121">
        <f t="shared" si="1407"/>
        <v>0</v>
      </c>
      <c r="Q3683" s="121">
        <f t="shared" si="1408"/>
        <v>0</v>
      </c>
      <c r="R3683" s="121">
        <f t="shared" si="1409"/>
        <v>1</v>
      </c>
      <c r="S3683" s="121" t="str">
        <f t="shared" si="1410"/>
        <v/>
      </c>
      <c r="T3683" s="121" t="str">
        <f t="shared" si="1411"/>
        <v/>
      </c>
      <c r="U3683" s="121">
        <f t="shared" si="1412"/>
        <v>1</v>
      </c>
    </row>
    <row r="3684" spans="1:21" x14ac:dyDescent="0.3">
      <c r="A3684" s="187">
        <v>42</v>
      </c>
      <c r="B3684" s="242">
        <f t="shared" si="1413"/>
        <v>46905</v>
      </c>
      <c r="C3684" s="243">
        <f t="shared" si="1394"/>
        <v>46934</v>
      </c>
      <c r="D3684" s="120">
        <f t="shared" si="1395"/>
        <v>30</v>
      </c>
      <c r="E3684" s="120">
        <f t="shared" si="1396"/>
        <v>6</v>
      </c>
      <c r="F3684" s="275">
        <f t="shared" si="1397"/>
        <v>46920</v>
      </c>
      <c r="G3684" s="120">
        <f t="shared" si="1398"/>
        <v>24341</v>
      </c>
      <c r="H3684" s="245">
        <f t="shared" si="1399"/>
        <v>1</v>
      </c>
      <c r="I3684" s="121">
        <f t="shared" si="1400"/>
        <v>1</v>
      </c>
      <c r="J3684" s="121">
        <f t="shared" si="1401"/>
        <v>1</v>
      </c>
      <c r="K3684" s="120">
        <f t="shared" si="1402"/>
        <v>0</v>
      </c>
      <c r="L3684" s="120">
        <f t="shared" si="1403"/>
        <v>0</v>
      </c>
      <c r="M3684" s="246">
        <f t="shared" si="1404"/>
        <v>0</v>
      </c>
      <c r="N3684" s="121">
        <f t="shared" si="1405"/>
        <v>1</v>
      </c>
      <c r="O3684" s="246">
        <f t="shared" si="1406"/>
        <v>1</v>
      </c>
      <c r="P3684" s="121">
        <f t="shared" si="1407"/>
        <v>0</v>
      </c>
      <c r="Q3684" s="121">
        <f t="shared" si="1408"/>
        <v>0</v>
      </c>
      <c r="R3684" s="121">
        <f t="shared" si="1409"/>
        <v>1</v>
      </c>
      <c r="S3684" s="121" t="str">
        <f t="shared" si="1410"/>
        <v/>
      </c>
      <c r="T3684" s="121" t="str">
        <f t="shared" si="1411"/>
        <v/>
      </c>
      <c r="U3684" s="121">
        <f t="shared" si="1412"/>
        <v>1</v>
      </c>
    </row>
    <row r="3685" spans="1:21" x14ac:dyDescent="0.3">
      <c r="A3685" s="187">
        <v>43</v>
      </c>
      <c r="B3685" s="242">
        <f t="shared" si="1413"/>
        <v>46935</v>
      </c>
      <c r="C3685" s="243">
        <f t="shared" si="1394"/>
        <v>46965</v>
      </c>
      <c r="D3685" s="120">
        <f t="shared" si="1395"/>
        <v>31</v>
      </c>
      <c r="E3685" s="120">
        <f t="shared" si="1396"/>
        <v>7</v>
      </c>
      <c r="F3685" s="275">
        <f t="shared" si="1397"/>
        <v>46950.5</v>
      </c>
      <c r="G3685" s="120">
        <f t="shared" si="1398"/>
        <v>24342</v>
      </c>
      <c r="H3685" s="245">
        <f t="shared" si="1399"/>
        <v>1</v>
      </c>
      <c r="I3685" s="121">
        <f t="shared" si="1400"/>
        <v>1</v>
      </c>
      <c r="J3685" s="121">
        <f t="shared" si="1401"/>
        <v>1</v>
      </c>
      <c r="K3685" s="120">
        <f t="shared" si="1402"/>
        <v>0</v>
      </c>
      <c r="L3685" s="120">
        <f t="shared" si="1403"/>
        <v>0</v>
      </c>
      <c r="M3685" s="246">
        <f t="shared" si="1404"/>
        <v>0</v>
      </c>
      <c r="N3685" s="121">
        <f t="shared" si="1405"/>
        <v>1</v>
      </c>
      <c r="O3685" s="246">
        <f t="shared" si="1406"/>
        <v>1</v>
      </c>
      <c r="P3685" s="121">
        <f t="shared" si="1407"/>
        <v>0</v>
      </c>
      <c r="Q3685" s="121">
        <f t="shared" si="1408"/>
        <v>0</v>
      </c>
      <c r="R3685" s="121">
        <f t="shared" si="1409"/>
        <v>0.91666666666666663</v>
      </c>
      <c r="S3685" s="121" t="str">
        <f t="shared" si="1410"/>
        <v/>
      </c>
      <c r="T3685" s="121" t="str">
        <f t="shared" si="1411"/>
        <v/>
      </c>
      <c r="U3685" s="121">
        <f t="shared" si="1412"/>
        <v>1</v>
      </c>
    </row>
    <row r="3686" spans="1:21" x14ac:dyDescent="0.3">
      <c r="A3686" s="187">
        <v>44</v>
      </c>
      <c r="B3686" s="242">
        <f t="shared" si="1413"/>
        <v>46966</v>
      </c>
      <c r="C3686" s="243">
        <f t="shared" si="1394"/>
        <v>46996</v>
      </c>
      <c r="D3686" s="120">
        <f t="shared" si="1395"/>
        <v>31</v>
      </c>
      <c r="E3686" s="120">
        <f t="shared" si="1396"/>
        <v>8</v>
      </c>
      <c r="F3686" s="275">
        <f t="shared" si="1397"/>
        <v>46981.5</v>
      </c>
      <c r="G3686" s="120">
        <f t="shared" si="1398"/>
        <v>24343</v>
      </c>
      <c r="H3686" s="245">
        <f t="shared" si="1399"/>
        <v>1</v>
      </c>
      <c r="I3686" s="121">
        <f t="shared" si="1400"/>
        <v>1</v>
      </c>
      <c r="J3686" s="121">
        <f t="shared" si="1401"/>
        <v>1</v>
      </c>
      <c r="K3686" s="120">
        <f t="shared" si="1402"/>
        <v>0</v>
      </c>
      <c r="L3686" s="120">
        <f t="shared" si="1403"/>
        <v>0</v>
      </c>
      <c r="M3686" s="246">
        <f t="shared" si="1404"/>
        <v>0</v>
      </c>
      <c r="N3686" s="121">
        <f t="shared" si="1405"/>
        <v>1</v>
      </c>
      <c r="O3686" s="246">
        <f t="shared" si="1406"/>
        <v>1</v>
      </c>
      <c r="P3686" s="121">
        <f t="shared" si="1407"/>
        <v>0</v>
      </c>
      <c r="Q3686" s="121">
        <f t="shared" si="1408"/>
        <v>0</v>
      </c>
      <c r="R3686" s="121">
        <f t="shared" si="1409"/>
        <v>0.75</v>
      </c>
      <c r="S3686" s="121" t="str">
        <f t="shared" si="1410"/>
        <v/>
      </c>
      <c r="T3686" s="121" t="str">
        <f t="shared" si="1411"/>
        <v/>
      </c>
      <c r="U3686" s="121">
        <f t="shared" si="1412"/>
        <v>1</v>
      </c>
    </row>
    <row r="3687" spans="1:21" x14ac:dyDescent="0.3">
      <c r="A3687" s="187">
        <v>45</v>
      </c>
      <c r="B3687" s="242">
        <f t="shared" si="1413"/>
        <v>46997</v>
      </c>
      <c r="C3687" s="243">
        <f t="shared" si="1394"/>
        <v>47026</v>
      </c>
      <c r="D3687" s="120">
        <f t="shared" si="1395"/>
        <v>30</v>
      </c>
      <c r="E3687" s="120">
        <f t="shared" si="1396"/>
        <v>9</v>
      </c>
      <c r="F3687" s="275">
        <f t="shared" si="1397"/>
        <v>47012</v>
      </c>
      <c r="G3687" s="120">
        <f t="shared" si="1398"/>
        <v>24344</v>
      </c>
      <c r="H3687" s="245">
        <f t="shared" si="1399"/>
        <v>1</v>
      </c>
      <c r="I3687" s="121">
        <f t="shared" si="1400"/>
        <v>1</v>
      </c>
      <c r="J3687" s="121">
        <f t="shared" si="1401"/>
        <v>1</v>
      </c>
      <c r="K3687" s="120">
        <f t="shared" si="1402"/>
        <v>0</v>
      </c>
      <c r="L3687" s="120">
        <f t="shared" si="1403"/>
        <v>0</v>
      </c>
      <c r="M3687" s="246">
        <f t="shared" si="1404"/>
        <v>0</v>
      </c>
      <c r="N3687" s="121">
        <f t="shared" si="1405"/>
        <v>1</v>
      </c>
      <c r="O3687" s="246">
        <f t="shared" si="1406"/>
        <v>1</v>
      </c>
      <c r="P3687" s="121">
        <f t="shared" si="1407"/>
        <v>0</v>
      </c>
      <c r="Q3687" s="121">
        <f t="shared" si="1408"/>
        <v>0</v>
      </c>
      <c r="R3687" s="121">
        <f t="shared" si="1409"/>
        <v>0.58333333333333337</v>
      </c>
      <c r="S3687" s="121" t="str">
        <f t="shared" si="1410"/>
        <v/>
      </c>
      <c r="T3687" s="121" t="str">
        <f t="shared" si="1411"/>
        <v/>
      </c>
      <c r="U3687" s="121">
        <f t="shared" si="1412"/>
        <v>1</v>
      </c>
    </row>
    <row r="3688" spans="1:21" x14ac:dyDescent="0.3">
      <c r="A3688" s="187">
        <v>46</v>
      </c>
      <c r="B3688" s="242">
        <f t="shared" si="1413"/>
        <v>47027</v>
      </c>
      <c r="C3688" s="243">
        <f t="shared" si="1394"/>
        <v>47057</v>
      </c>
      <c r="D3688" s="120">
        <f t="shared" si="1395"/>
        <v>31</v>
      </c>
      <c r="E3688" s="120">
        <f t="shared" si="1396"/>
        <v>10</v>
      </c>
      <c r="F3688" s="275">
        <f t="shared" si="1397"/>
        <v>47042.5</v>
      </c>
      <c r="G3688" s="120">
        <f t="shared" si="1398"/>
        <v>24345</v>
      </c>
      <c r="H3688" s="245">
        <f t="shared" si="1399"/>
        <v>1</v>
      </c>
      <c r="I3688" s="121">
        <f t="shared" si="1400"/>
        <v>1</v>
      </c>
      <c r="J3688" s="121">
        <f t="shared" si="1401"/>
        <v>1</v>
      </c>
      <c r="K3688" s="120">
        <f t="shared" si="1402"/>
        <v>0</v>
      </c>
      <c r="L3688" s="120">
        <f t="shared" si="1403"/>
        <v>0</v>
      </c>
      <c r="M3688" s="246">
        <f t="shared" si="1404"/>
        <v>0</v>
      </c>
      <c r="N3688" s="121">
        <f t="shared" si="1405"/>
        <v>1</v>
      </c>
      <c r="O3688" s="246">
        <f t="shared" si="1406"/>
        <v>1</v>
      </c>
      <c r="P3688" s="121">
        <f t="shared" si="1407"/>
        <v>0</v>
      </c>
      <c r="Q3688" s="121">
        <f t="shared" si="1408"/>
        <v>0</v>
      </c>
      <c r="R3688" s="121">
        <f t="shared" si="1409"/>
        <v>0.41666666666666669</v>
      </c>
      <c r="S3688" s="121" t="str">
        <f t="shared" si="1410"/>
        <v/>
      </c>
      <c r="T3688" s="121" t="str">
        <f t="shared" si="1411"/>
        <v/>
      </c>
      <c r="U3688" s="121">
        <f t="shared" si="1412"/>
        <v>1</v>
      </c>
    </row>
    <row r="3689" spans="1:21" x14ac:dyDescent="0.3">
      <c r="A3689" s="187">
        <v>47</v>
      </c>
      <c r="B3689" s="242">
        <f t="shared" si="1413"/>
        <v>47058</v>
      </c>
      <c r="C3689" s="243">
        <f t="shared" si="1394"/>
        <v>47087</v>
      </c>
      <c r="D3689" s="120">
        <f t="shared" si="1395"/>
        <v>30</v>
      </c>
      <c r="E3689" s="120">
        <f t="shared" si="1396"/>
        <v>11</v>
      </c>
      <c r="F3689" s="275">
        <f t="shared" si="1397"/>
        <v>47073</v>
      </c>
      <c r="G3689" s="120">
        <f t="shared" si="1398"/>
        <v>24346</v>
      </c>
      <c r="H3689" s="245">
        <f t="shared" si="1399"/>
        <v>1</v>
      </c>
      <c r="I3689" s="121">
        <f t="shared" si="1400"/>
        <v>1</v>
      </c>
      <c r="J3689" s="121">
        <f t="shared" si="1401"/>
        <v>1</v>
      </c>
      <c r="K3689" s="120">
        <f t="shared" si="1402"/>
        <v>0</v>
      </c>
      <c r="L3689" s="120">
        <f t="shared" si="1403"/>
        <v>0</v>
      </c>
      <c r="M3689" s="246">
        <f t="shared" si="1404"/>
        <v>0</v>
      </c>
      <c r="N3689" s="121">
        <f t="shared" si="1405"/>
        <v>1</v>
      </c>
      <c r="O3689" s="246">
        <f t="shared" si="1406"/>
        <v>1</v>
      </c>
      <c r="P3689" s="121">
        <f t="shared" si="1407"/>
        <v>0</v>
      </c>
      <c r="Q3689" s="121">
        <f t="shared" si="1408"/>
        <v>0</v>
      </c>
      <c r="R3689" s="121">
        <f t="shared" si="1409"/>
        <v>0.25</v>
      </c>
      <c r="S3689" s="121" t="str">
        <f t="shared" si="1410"/>
        <v/>
      </c>
      <c r="T3689" s="121" t="str">
        <f t="shared" si="1411"/>
        <v/>
      </c>
      <c r="U3689" s="121">
        <f t="shared" si="1412"/>
        <v>1</v>
      </c>
    </row>
    <row r="3690" spans="1:21" x14ac:dyDescent="0.3">
      <c r="A3690" s="187">
        <v>48</v>
      </c>
      <c r="B3690" s="242">
        <f t="shared" si="1413"/>
        <v>47088</v>
      </c>
      <c r="C3690" s="243">
        <f t="shared" si="1394"/>
        <v>47118</v>
      </c>
      <c r="D3690" s="120">
        <f t="shared" si="1395"/>
        <v>31</v>
      </c>
      <c r="E3690" s="120">
        <f t="shared" si="1396"/>
        <v>12</v>
      </c>
      <c r="F3690" s="275">
        <f t="shared" si="1397"/>
        <v>47103.5</v>
      </c>
      <c r="G3690" s="120">
        <f t="shared" si="1398"/>
        <v>24347</v>
      </c>
      <c r="H3690" s="245">
        <f t="shared" si="1399"/>
        <v>1</v>
      </c>
      <c r="I3690" s="121">
        <f t="shared" si="1400"/>
        <v>1</v>
      </c>
      <c r="J3690" s="121">
        <f t="shared" si="1401"/>
        <v>1</v>
      </c>
      <c r="K3690" s="120">
        <f t="shared" si="1402"/>
        <v>0</v>
      </c>
      <c r="L3690" s="120">
        <f t="shared" si="1403"/>
        <v>0</v>
      </c>
      <c r="M3690" s="246">
        <f t="shared" si="1404"/>
        <v>0</v>
      </c>
      <c r="N3690" s="121">
        <f t="shared" si="1405"/>
        <v>1</v>
      </c>
      <c r="O3690" s="246">
        <f t="shared" si="1406"/>
        <v>1</v>
      </c>
      <c r="P3690" s="121">
        <f t="shared" si="1407"/>
        <v>0</v>
      </c>
      <c r="Q3690" s="121">
        <f t="shared" si="1408"/>
        <v>0</v>
      </c>
      <c r="R3690" s="121">
        <f t="shared" si="1409"/>
        <v>8.3333333333333329E-2</v>
      </c>
      <c r="S3690" s="121" t="str">
        <f t="shared" si="1410"/>
        <v/>
      </c>
      <c r="T3690" s="121" t="str">
        <f t="shared" si="1411"/>
        <v/>
      </c>
      <c r="U3690" s="121">
        <f t="shared" si="1412"/>
        <v>1</v>
      </c>
    </row>
    <row r="3691" spans="1:21" x14ac:dyDescent="0.3">
      <c r="A3691" s="6" t="s">
        <v>1651</v>
      </c>
      <c r="B3691" s="73">
        <f>EXP(SUMPRODUCT((rl_key=$A$3640)*(rl_cons="Y")*rl_ln1p))</f>
        <v>1</v>
      </c>
      <c r="C3691" s="73">
        <f>SUMPRODUCT($H$3643:$H$3690,$P$3643:$P$3690,$U$3643:$U$3690)/SUMPRODUCT($H$3643:$H$3690,$P$3643:$P$3690)</f>
        <v>1</v>
      </c>
      <c r="D3691" s="73">
        <f>SUMPRODUCT($H$3643:$H$3690,$Q$3643:$Q$3690,$U$3643:$U$3690)/SUMPRODUCT($H$3643:$H$3690,$Q$3643:$Q$3690)</f>
        <v>1</v>
      </c>
      <c r="E3691" s="73">
        <f>SUMPRODUCT($H$3643:$H$3690,$R$3643:$R$3690,$U$3643:$U$3690)/SUMPRODUCT($H$3643:$H$3690,$R$3643:$R$3690)</f>
        <v>1</v>
      </c>
      <c r="F3691" s="224">
        <f>SUMPRODUCT($H$3643:$H$3690,$Q$3643:$Q$3690,$O$3643:$O$3690)/SUMPRODUCT($H$3643:$H$3690,$Q$3643:$Q$3690)</f>
        <v>1</v>
      </c>
      <c r="G3691" s="224">
        <f>SUMPRODUCT($H$3643:$H$3690,$R$3643:$R$3690,$O$3643:$O$3690)/SUMPRODUCT($H$3643:$H$3690,$R$3643:$R$3690)</f>
        <v>1</v>
      </c>
      <c r="H3691" s="73">
        <f>SUMPRODUCT($H$3667:$H$3678,$N$3667:$N$3678/$N$3655:$N$3666)/SUM($H$3667:$H$3678)</f>
        <v>1</v>
      </c>
      <c r="I3691" s="73">
        <f>SUMPRODUCT($H$3667:$H$3678,$O$3667:$O$3678/$O$3655:$O$3666)/SUM($H$3667:$H$3678)</f>
        <v>1</v>
      </c>
      <c r="J3691" s="73">
        <f>IF($O$3640=1,SUMPRODUCT($H$3667:$H$3678,$N$3667:$N$3678/$N$3655:$N$3666*$O$3667:$O$3678/$O$3655:$O$3666)/SUM($H$3667:$H$3678),$H3691)</f>
        <v>1</v>
      </c>
      <c r="K3691" s="73">
        <f>SUMPRODUCT($H$3643:$H$3690,$Q$3643:$Q$3690,$N$3643:$N$3690)/SUMPRODUCT($H$3643:$H$3690,$Q$3643:$Q$3690)</f>
        <v>1</v>
      </c>
      <c r="L3691" s="73">
        <f>SUMPRODUCT($H$3643:$H$3690,$R$3643:$R$3690,$N$3643:$N$3690)/SUMPRODUCT($H$3643:$H$3690,$R$3643:$R$3690)</f>
        <v>1</v>
      </c>
    </row>
    <row r="3694" spans="1:21" x14ac:dyDescent="0.3">
      <c r="A3694" s="6" t="str">
        <f>INDEX(lr_key,68)</f>
        <v/>
      </c>
      <c r="B3694" s="6">
        <f>INDEX(lr_state,68)</f>
        <v>0</v>
      </c>
      <c r="C3694" s="75">
        <f>nr_TermMonths</f>
        <v>6</v>
      </c>
      <c r="D3694" s="75">
        <f>IF(COUNTIF(se_state,$B3694)=0,0,MATCH($B3694,se_state,0))</f>
        <v>0</v>
      </c>
      <c r="E3694" s="70">
        <f>IF($D3694=0,0,INDEX(se_sum,$D3694))</f>
        <v>0</v>
      </c>
      <c r="F3694" s="224">
        <f>IF(N(INDEX(lr_mind,68))=0,1,INDEX(lr_mind,68))</f>
        <v>1</v>
      </c>
      <c r="G3694" s="224">
        <f>IF(N(INDEX(lr_m0,68))=0,1,INDEX(lr_m0,68))</f>
        <v>1</v>
      </c>
      <c r="H3694" s="74">
        <f>IF(N(INDEX(lr_m0asof,68))=0,DATE(nr_PlanYear-1,10,1),INDEX(lr_m0asof,68))</f>
        <v>46296</v>
      </c>
      <c r="I3694" s="224">
        <f>IF(N(INDEX(lr_m1,68))=0,1,INDEX(lr_m1,68))</f>
        <v>1</v>
      </c>
      <c r="J3694" s="224">
        <f>INDEX(lr_mprior,68)</f>
        <v>0</v>
      </c>
      <c r="K3694" s="224">
        <f>INDEX(lr_m2,68)</f>
        <v>0</v>
      </c>
      <c r="L3694" s="6" t="b">
        <f>NOT(ISBLANK(INDEX(lr_netp,68)))</f>
        <v>0</v>
      </c>
      <c r="M3694" s="72">
        <f>N(INDEX(lr_netp,68))</f>
        <v>0</v>
      </c>
      <c r="N3694" s="72">
        <f>IF(ISBLANK(INDEX(lr_netp1,68)),$M$3694,N(INDEX(lr_netp1,68)))</f>
        <v>0</v>
      </c>
      <c r="O3694" s="75">
        <f>IF(AND(nr_ModAdjMaster="ON",INDEX(lr_modadj,68)="ON"),1,0)</f>
        <v>0</v>
      </c>
    </row>
    <row r="3695" spans="1:21" x14ac:dyDescent="0.3">
      <c r="A3695" s="6">
        <f>EDATE($H$3694,-12)+1</f>
        <v>45932</v>
      </c>
      <c r="B3695" s="6">
        <f>$H$3694+1</f>
        <v>46297</v>
      </c>
      <c r="C3695" s="6">
        <f>DATE(nr_PlanYear,12,31)+1</f>
        <v>46753</v>
      </c>
      <c r="D3695" s="6">
        <f>DATE(nr_PlanYear+1,12,31)+1</f>
        <v>47119</v>
      </c>
      <c r="E3695" s="6">
        <f>IF(N($J$3694)=0,$F$3695-($G$3695-$F$3695)/($C$3695-$B$3695)*($B$3695-$A$3695),$J$3694)</f>
        <v>1</v>
      </c>
      <c r="F3695" s="6">
        <f>$G$3694</f>
        <v>1</v>
      </c>
      <c r="G3695" s="6">
        <f>$I$3694</f>
        <v>1</v>
      </c>
      <c r="H3695" s="6">
        <f>IF(N($K$3694)=0,$I$3694,$K$3694)</f>
        <v>1</v>
      </c>
      <c r="I3695" s="6">
        <f>($F$3695-$E$3695)/($B$3695-$A$3695)</f>
        <v>0</v>
      </c>
      <c r="J3695" s="6">
        <f>($G$3695-$F$3695)/($C$3695-$B$3695)</f>
        <v>0</v>
      </c>
      <c r="K3695" s="6">
        <f>($H$3695-$G$3695)/($D$3695-$C$3695)</f>
        <v>0</v>
      </c>
    </row>
    <row r="3696" spans="1:21" ht="36" x14ac:dyDescent="0.3">
      <c r="A3696" s="58" t="s">
        <v>390</v>
      </c>
      <c r="B3696" s="58" t="s">
        <v>449</v>
      </c>
      <c r="C3696" s="58" t="s">
        <v>685</v>
      </c>
      <c r="D3696" s="58" t="s">
        <v>686</v>
      </c>
      <c r="E3696" s="58" t="s">
        <v>687</v>
      </c>
      <c r="F3696" s="58" t="s">
        <v>688</v>
      </c>
      <c r="G3696" s="58" t="s">
        <v>689</v>
      </c>
      <c r="H3696" s="58" t="s">
        <v>452</v>
      </c>
      <c r="I3696" s="58" t="s">
        <v>690</v>
      </c>
      <c r="J3696" s="58" t="s">
        <v>691</v>
      </c>
      <c r="K3696" s="58" t="s">
        <v>692</v>
      </c>
      <c r="L3696" s="58" t="s">
        <v>693</v>
      </c>
      <c r="M3696" s="58" t="s">
        <v>694</v>
      </c>
      <c r="N3696" s="58" t="s">
        <v>695</v>
      </c>
      <c r="O3696" s="58" t="s">
        <v>696</v>
      </c>
      <c r="P3696" s="58" t="s">
        <v>697</v>
      </c>
      <c r="Q3696" s="58" t="s">
        <v>698</v>
      </c>
      <c r="R3696" s="58" t="s">
        <v>699</v>
      </c>
      <c r="S3696" s="58" t="s">
        <v>700</v>
      </c>
      <c r="T3696" s="58" t="s">
        <v>701</v>
      </c>
      <c r="U3696" s="58" t="s">
        <v>702</v>
      </c>
    </row>
    <row r="3697" spans="1:21" x14ac:dyDescent="0.3">
      <c r="A3697" s="187">
        <v>1</v>
      </c>
      <c r="B3697" s="242">
        <f>DATE(nr_PlanYear-2,1,1)</f>
        <v>45658</v>
      </c>
      <c r="C3697" s="243">
        <f t="shared" ref="C3697:C3744" si="1414">EOMONTH($B3697,0)</f>
        <v>45688</v>
      </c>
      <c r="D3697" s="120">
        <f t="shared" ref="D3697:D3744" si="1415">$C3697-$B3697+1</f>
        <v>31</v>
      </c>
      <c r="E3697" s="120">
        <f t="shared" ref="E3697:E3744" si="1416">MONTH($B3697)</f>
        <v>1</v>
      </c>
      <c r="F3697" s="275">
        <f t="shared" ref="F3697:F3744" si="1417">($B3697+$C3697+1)/2</f>
        <v>45673.5</v>
      </c>
      <c r="G3697" s="120">
        <f t="shared" ref="G3697:G3744" si="1418">YEAR($B3697)*12+MONTH($B3697)-1</f>
        <v>24300</v>
      </c>
      <c r="H3697" s="245">
        <f t="shared" ref="H3697:H3744" si="1419">IF(OR(nr_SeasonOn="OFF",$D$3694=0,$E$3694=0),1,12*INDEX(se_block,$D$3694,$E3697)/$E$3694)</f>
        <v>1</v>
      </c>
      <c r="I3697" s="121">
        <f t="shared" ref="I3697:I3744" si="1420">EXP(SUMPRODUCT((rl_eff&lt;$B3697)*(rl_key=$A$3694)*rl_ln1p))</f>
        <v>1</v>
      </c>
      <c r="J3697" s="121">
        <f t="shared" ref="J3697:J3744" si="1421">EXP(SUMPRODUCT((rl_eff&lt;=$C3697)*(rl_key=$A$3694)*rl_ln1p))</f>
        <v>1</v>
      </c>
      <c r="K3697" s="120">
        <f t="shared" ref="K3697:K3744" si="1422">COUNTIFS(rl_key,$A$3694,rl_eff,"&gt;="&amp;$B3697,rl_eff,"&lt;="&amp;$C3697)</f>
        <v>0</v>
      </c>
      <c r="L3697" s="120">
        <f t="shared" ref="L3697:L3744" si="1423">SUMIFS(rl_daysafter,rl_key,$A$3694,rl_effmonth,$B3697,rl_first,1)</f>
        <v>0</v>
      </c>
      <c r="M3697" s="246">
        <f t="shared" ref="M3697:M3744" si="1424">IF($K3697=0,0,MIN(1,$L3697/$D3697))</f>
        <v>0</v>
      </c>
      <c r="N3697" s="121">
        <f t="shared" ref="N3697:N3744" si="1425">IF($K3697=0,$J3697,(1-$M3697)*$I3697+$M3697*$J3697)</f>
        <v>1</v>
      </c>
      <c r="O3697" s="246">
        <f t="shared" ref="O3697:O3744" si="1426">IF($F3697&lt;$B$3695,$E$3695+$I$3695*($F3697-$A$3695),IF($F3697&lt;$C$3695,$F$3695+$J$3695*($F3697-$B$3695),$G$3695+$K$3695*($F3697-$C$3695)))</f>
        <v>1</v>
      </c>
      <c r="P3697" s="121">
        <f t="shared" ref="P3697:P3744" si="1427">MIN(1,MAX(0,(nr_MEndPm1-$G3697+0.5)/$C$3694))-MIN(1,MAX(0,(nr_MStartPm1-1-$G3697+0.5)/$C$3694))</f>
        <v>0</v>
      </c>
      <c r="Q3697" s="121">
        <f t="shared" ref="Q3697:Q3744" si="1428">MIN(1,MAX(0,(nr_MEndP-$G3697+0.5)/$C$3694))-MIN(1,MAX(0,(nr_MStartP-1-$G3697+0.5)/$C$3694))</f>
        <v>0</v>
      </c>
      <c r="R3697" s="121">
        <f t="shared" ref="R3697:R3744" si="1429">MIN(1,MAX(0,(nr_MEndP1-$G3697+0.5)/$C$3694))-MIN(1,MAX(0,(nr_MStartP1-1-$G3697+0.5)/$C$3694))</f>
        <v>0</v>
      </c>
      <c r="S3697" s="121" t="str">
        <f t="shared" ref="S3697:S3744" si="1430">IF($L$3694,$N3697*IF($O$3694=1,$O3697/$F$3694,1),"")</f>
        <v/>
      </c>
      <c r="T3697" s="121" t="str">
        <f t="shared" ref="T3697:T3744" si="1431">IF(NOT($L$3694),"",IF($G3697&lt;nr_MStartP,$S3697,$T3685*(1+IF($G3697&lt;nr_MStartP1,$M$3694,$N$3694))))</f>
        <v/>
      </c>
      <c r="U3697" s="121">
        <f t="shared" ref="U3697:U3744" si="1432">IF($L$3694,$T3697,$N3697)</f>
        <v>1</v>
      </c>
    </row>
    <row r="3698" spans="1:21" x14ac:dyDescent="0.3">
      <c r="A3698" s="187">
        <v>2</v>
      </c>
      <c r="B3698" s="242">
        <f t="shared" ref="B3698:B3744" si="1433">EDATE($B3697,1)</f>
        <v>45689</v>
      </c>
      <c r="C3698" s="243">
        <f t="shared" si="1414"/>
        <v>45716</v>
      </c>
      <c r="D3698" s="120">
        <f t="shared" si="1415"/>
        <v>28</v>
      </c>
      <c r="E3698" s="120">
        <f t="shared" si="1416"/>
        <v>2</v>
      </c>
      <c r="F3698" s="275">
        <f t="shared" si="1417"/>
        <v>45703</v>
      </c>
      <c r="G3698" s="120">
        <f t="shared" si="1418"/>
        <v>24301</v>
      </c>
      <c r="H3698" s="245">
        <f t="shared" si="1419"/>
        <v>1</v>
      </c>
      <c r="I3698" s="121">
        <f t="shared" si="1420"/>
        <v>1</v>
      </c>
      <c r="J3698" s="121">
        <f t="shared" si="1421"/>
        <v>1</v>
      </c>
      <c r="K3698" s="120">
        <f t="shared" si="1422"/>
        <v>0</v>
      </c>
      <c r="L3698" s="120">
        <f t="shared" si="1423"/>
        <v>0</v>
      </c>
      <c r="M3698" s="246">
        <f t="shared" si="1424"/>
        <v>0</v>
      </c>
      <c r="N3698" s="121">
        <f t="shared" si="1425"/>
        <v>1</v>
      </c>
      <c r="O3698" s="246">
        <f t="shared" si="1426"/>
        <v>1</v>
      </c>
      <c r="P3698" s="121">
        <f t="shared" si="1427"/>
        <v>0</v>
      </c>
      <c r="Q3698" s="121">
        <f t="shared" si="1428"/>
        <v>0</v>
      </c>
      <c r="R3698" s="121">
        <f t="shared" si="1429"/>
        <v>0</v>
      </c>
      <c r="S3698" s="121" t="str">
        <f t="shared" si="1430"/>
        <v/>
      </c>
      <c r="T3698" s="121" t="str">
        <f t="shared" si="1431"/>
        <v/>
      </c>
      <c r="U3698" s="121">
        <f t="shared" si="1432"/>
        <v>1</v>
      </c>
    </row>
    <row r="3699" spans="1:21" x14ac:dyDescent="0.3">
      <c r="A3699" s="187">
        <v>3</v>
      </c>
      <c r="B3699" s="242">
        <f t="shared" si="1433"/>
        <v>45717</v>
      </c>
      <c r="C3699" s="243">
        <f t="shared" si="1414"/>
        <v>45747</v>
      </c>
      <c r="D3699" s="120">
        <f t="shared" si="1415"/>
        <v>31</v>
      </c>
      <c r="E3699" s="120">
        <f t="shared" si="1416"/>
        <v>3</v>
      </c>
      <c r="F3699" s="275">
        <f t="shared" si="1417"/>
        <v>45732.5</v>
      </c>
      <c r="G3699" s="120">
        <f t="shared" si="1418"/>
        <v>24302</v>
      </c>
      <c r="H3699" s="245">
        <f t="shared" si="1419"/>
        <v>1</v>
      </c>
      <c r="I3699" s="121">
        <f t="shared" si="1420"/>
        <v>1</v>
      </c>
      <c r="J3699" s="121">
        <f t="shared" si="1421"/>
        <v>1</v>
      </c>
      <c r="K3699" s="120">
        <f t="shared" si="1422"/>
        <v>0</v>
      </c>
      <c r="L3699" s="120">
        <f t="shared" si="1423"/>
        <v>0</v>
      </c>
      <c r="M3699" s="246">
        <f t="shared" si="1424"/>
        <v>0</v>
      </c>
      <c r="N3699" s="121">
        <f t="shared" si="1425"/>
        <v>1</v>
      </c>
      <c r="O3699" s="246">
        <f t="shared" si="1426"/>
        <v>1</v>
      </c>
      <c r="P3699" s="121">
        <f t="shared" si="1427"/>
        <v>0</v>
      </c>
      <c r="Q3699" s="121">
        <f t="shared" si="1428"/>
        <v>0</v>
      </c>
      <c r="R3699" s="121">
        <f t="shared" si="1429"/>
        <v>0</v>
      </c>
      <c r="S3699" s="121" t="str">
        <f t="shared" si="1430"/>
        <v/>
      </c>
      <c r="T3699" s="121" t="str">
        <f t="shared" si="1431"/>
        <v/>
      </c>
      <c r="U3699" s="121">
        <f t="shared" si="1432"/>
        <v>1</v>
      </c>
    </row>
    <row r="3700" spans="1:21" x14ac:dyDescent="0.3">
      <c r="A3700" s="187">
        <v>4</v>
      </c>
      <c r="B3700" s="242">
        <f t="shared" si="1433"/>
        <v>45748</v>
      </c>
      <c r="C3700" s="243">
        <f t="shared" si="1414"/>
        <v>45777</v>
      </c>
      <c r="D3700" s="120">
        <f t="shared" si="1415"/>
        <v>30</v>
      </c>
      <c r="E3700" s="120">
        <f t="shared" si="1416"/>
        <v>4</v>
      </c>
      <c r="F3700" s="275">
        <f t="shared" si="1417"/>
        <v>45763</v>
      </c>
      <c r="G3700" s="120">
        <f t="shared" si="1418"/>
        <v>24303</v>
      </c>
      <c r="H3700" s="245">
        <f t="shared" si="1419"/>
        <v>1</v>
      </c>
      <c r="I3700" s="121">
        <f t="shared" si="1420"/>
        <v>1</v>
      </c>
      <c r="J3700" s="121">
        <f t="shared" si="1421"/>
        <v>1</v>
      </c>
      <c r="K3700" s="120">
        <f t="shared" si="1422"/>
        <v>0</v>
      </c>
      <c r="L3700" s="120">
        <f t="shared" si="1423"/>
        <v>0</v>
      </c>
      <c r="M3700" s="246">
        <f t="shared" si="1424"/>
        <v>0</v>
      </c>
      <c r="N3700" s="121">
        <f t="shared" si="1425"/>
        <v>1</v>
      </c>
      <c r="O3700" s="246">
        <f t="shared" si="1426"/>
        <v>1</v>
      </c>
      <c r="P3700" s="121">
        <f t="shared" si="1427"/>
        <v>0</v>
      </c>
      <c r="Q3700" s="121">
        <f t="shared" si="1428"/>
        <v>0</v>
      </c>
      <c r="R3700" s="121">
        <f t="shared" si="1429"/>
        <v>0</v>
      </c>
      <c r="S3700" s="121" t="str">
        <f t="shared" si="1430"/>
        <v/>
      </c>
      <c r="T3700" s="121" t="str">
        <f t="shared" si="1431"/>
        <v/>
      </c>
      <c r="U3700" s="121">
        <f t="shared" si="1432"/>
        <v>1</v>
      </c>
    </row>
    <row r="3701" spans="1:21" x14ac:dyDescent="0.3">
      <c r="A3701" s="187">
        <v>5</v>
      </c>
      <c r="B3701" s="242">
        <f t="shared" si="1433"/>
        <v>45778</v>
      </c>
      <c r="C3701" s="243">
        <f t="shared" si="1414"/>
        <v>45808</v>
      </c>
      <c r="D3701" s="120">
        <f t="shared" si="1415"/>
        <v>31</v>
      </c>
      <c r="E3701" s="120">
        <f t="shared" si="1416"/>
        <v>5</v>
      </c>
      <c r="F3701" s="275">
        <f t="shared" si="1417"/>
        <v>45793.5</v>
      </c>
      <c r="G3701" s="120">
        <f t="shared" si="1418"/>
        <v>24304</v>
      </c>
      <c r="H3701" s="245">
        <f t="shared" si="1419"/>
        <v>1</v>
      </c>
      <c r="I3701" s="121">
        <f t="shared" si="1420"/>
        <v>1</v>
      </c>
      <c r="J3701" s="121">
        <f t="shared" si="1421"/>
        <v>1</v>
      </c>
      <c r="K3701" s="120">
        <f t="shared" si="1422"/>
        <v>0</v>
      </c>
      <c r="L3701" s="120">
        <f t="shared" si="1423"/>
        <v>0</v>
      </c>
      <c r="M3701" s="246">
        <f t="shared" si="1424"/>
        <v>0</v>
      </c>
      <c r="N3701" s="121">
        <f t="shared" si="1425"/>
        <v>1</v>
      </c>
      <c r="O3701" s="246">
        <f t="shared" si="1426"/>
        <v>1</v>
      </c>
      <c r="P3701" s="121">
        <f t="shared" si="1427"/>
        <v>0</v>
      </c>
      <c r="Q3701" s="121">
        <f t="shared" si="1428"/>
        <v>0</v>
      </c>
      <c r="R3701" s="121">
        <f t="shared" si="1429"/>
        <v>0</v>
      </c>
      <c r="S3701" s="121" t="str">
        <f t="shared" si="1430"/>
        <v/>
      </c>
      <c r="T3701" s="121" t="str">
        <f t="shared" si="1431"/>
        <v/>
      </c>
      <c r="U3701" s="121">
        <f t="shared" si="1432"/>
        <v>1</v>
      </c>
    </row>
    <row r="3702" spans="1:21" x14ac:dyDescent="0.3">
      <c r="A3702" s="187">
        <v>6</v>
      </c>
      <c r="B3702" s="242">
        <f t="shared" si="1433"/>
        <v>45809</v>
      </c>
      <c r="C3702" s="243">
        <f t="shared" si="1414"/>
        <v>45838</v>
      </c>
      <c r="D3702" s="120">
        <f t="shared" si="1415"/>
        <v>30</v>
      </c>
      <c r="E3702" s="120">
        <f t="shared" si="1416"/>
        <v>6</v>
      </c>
      <c r="F3702" s="275">
        <f t="shared" si="1417"/>
        <v>45824</v>
      </c>
      <c r="G3702" s="120">
        <f t="shared" si="1418"/>
        <v>24305</v>
      </c>
      <c r="H3702" s="245">
        <f t="shared" si="1419"/>
        <v>1</v>
      </c>
      <c r="I3702" s="121">
        <f t="shared" si="1420"/>
        <v>1</v>
      </c>
      <c r="J3702" s="121">
        <f t="shared" si="1421"/>
        <v>1</v>
      </c>
      <c r="K3702" s="120">
        <f t="shared" si="1422"/>
        <v>0</v>
      </c>
      <c r="L3702" s="120">
        <f t="shared" si="1423"/>
        <v>0</v>
      </c>
      <c r="M3702" s="246">
        <f t="shared" si="1424"/>
        <v>0</v>
      </c>
      <c r="N3702" s="121">
        <f t="shared" si="1425"/>
        <v>1</v>
      </c>
      <c r="O3702" s="246">
        <f t="shared" si="1426"/>
        <v>1</v>
      </c>
      <c r="P3702" s="121">
        <f t="shared" si="1427"/>
        <v>0</v>
      </c>
      <c r="Q3702" s="121">
        <f t="shared" si="1428"/>
        <v>0</v>
      </c>
      <c r="R3702" s="121">
        <f t="shared" si="1429"/>
        <v>0</v>
      </c>
      <c r="S3702" s="121" t="str">
        <f t="shared" si="1430"/>
        <v/>
      </c>
      <c r="T3702" s="121" t="str">
        <f t="shared" si="1431"/>
        <v/>
      </c>
      <c r="U3702" s="121">
        <f t="shared" si="1432"/>
        <v>1</v>
      </c>
    </row>
    <row r="3703" spans="1:21" x14ac:dyDescent="0.3">
      <c r="A3703" s="187">
        <v>7</v>
      </c>
      <c r="B3703" s="242">
        <f t="shared" si="1433"/>
        <v>45839</v>
      </c>
      <c r="C3703" s="243">
        <f t="shared" si="1414"/>
        <v>45869</v>
      </c>
      <c r="D3703" s="120">
        <f t="shared" si="1415"/>
        <v>31</v>
      </c>
      <c r="E3703" s="120">
        <f t="shared" si="1416"/>
        <v>7</v>
      </c>
      <c r="F3703" s="275">
        <f t="shared" si="1417"/>
        <v>45854.5</v>
      </c>
      <c r="G3703" s="120">
        <f t="shared" si="1418"/>
        <v>24306</v>
      </c>
      <c r="H3703" s="245">
        <f t="shared" si="1419"/>
        <v>1</v>
      </c>
      <c r="I3703" s="121">
        <f t="shared" si="1420"/>
        <v>1</v>
      </c>
      <c r="J3703" s="121">
        <f t="shared" si="1421"/>
        <v>1</v>
      </c>
      <c r="K3703" s="120">
        <f t="shared" si="1422"/>
        <v>0</v>
      </c>
      <c r="L3703" s="120">
        <f t="shared" si="1423"/>
        <v>0</v>
      </c>
      <c r="M3703" s="246">
        <f t="shared" si="1424"/>
        <v>0</v>
      </c>
      <c r="N3703" s="121">
        <f t="shared" si="1425"/>
        <v>1</v>
      </c>
      <c r="O3703" s="246">
        <f t="shared" si="1426"/>
        <v>1</v>
      </c>
      <c r="P3703" s="121">
        <f t="shared" si="1427"/>
        <v>8.333333333333337E-2</v>
      </c>
      <c r="Q3703" s="121">
        <f t="shared" si="1428"/>
        <v>0</v>
      </c>
      <c r="R3703" s="121">
        <f t="shared" si="1429"/>
        <v>0</v>
      </c>
      <c r="S3703" s="121" t="str">
        <f t="shared" si="1430"/>
        <v/>
      </c>
      <c r="T3703" s="121" t="str">
        <f t="shared" si="1431"/>
        <v/>
      </c>
      <c r="U3703" s="121">
        <f t="shared" si="1432"/>
        <v>1</v>
      </c>
    </row>
    <row r="3704" spans="1:21" x14ac:dyDescent="0.3">
      <c r="A3704" s="187">
        <v>8</v>
      </c>
      <c r="B3704" s="242">
        <f t="shared" si="1433"/>
        <v>45870</v>
      </c>
      <c r="C3704" s="243">
        <f t="shared" si="1414"/>
        <v>45900</v>
      </c>
      <c r="D3704" s="120">
        <f t="shared" si="1415"/>
        <v>31</v>
      </c>
      <c r="E3704" s="120">
        <f t="shared" si="1416"/>
        <v>8</v>
      </c>
      <c r="F3704" s="275">
        <f t="shared" si="1417"/>
        <v>45885.5</v>
      </c>
      <c r="G3704" s="120">
        <f t="shared" si="1418"/>
        <v>24307</v>
      </c>
      <c r="H3704" s="245">
        <f t="shared" si="1419"/>
        <v>1</v>
      </c>
      <c r="I3704" s="121">
        <f t="shared" si="1420"/>
        <v>1</v>
      </c>
      <c r="J3704" s="121">
        <f t="shared" si="1421"/>
        <v>1</v>
      </c>
      <c r="K3704" s="120">
        <f t="shared" si="1422"/>
        <v>0</v>
      </c>
      <c r="L3704" s="120">
        <f t="shared" si="1423"/>
        <v>0</v>
      </c>
      <c r="M3704" s="246">
        <f t="shared" si="1424"/>
        <v>0</v>
      </c>
      <c r="N3704" s="121">
        <f t="shared" si="1425"/>
        <v>1</v>
      </c>
      <c r="O3704" s="246">
        <f t="shared" si="1426"/>
        <v>1</v>
      </c>
      <c r="P3704" s="121">
        <f t="shared" si="1427"/>
        <v>0.25</v>
      </c>
      <c r="Q3704" s="121">
        <f t="shared" si="1428"/>
        <v>0</v>
      </c>
      <c r="R3704" s="121">
        <f t="shared" si="1429"/>
        <v>0</v>
      </c>
      <c r="S3704" s="121" t="str">
        <f t="shared" si="1430"/>
        <v/>
      </c>
      <c r="T3704" s="121" t="str">
        <f t="shared" si="1431"/>
        <v/>
      </c>
      <c r="U3704" s="121">
        <f t="shared" si="1432"/>
        <v>1</v>
      </c>
    </row>
    <row r="3705" spans="1:21" x14ac:dyDescent="0.3">
      <c r="A3705" s="187">
        <v>9</v>
      </c>
      <c r="B3705" s="242">
        <f t="shared" si="1433"/>
        <v>45901</v>
      </c>
      <c r="C3705" s="243">
        <f t="shared" si="1414"/>
        <v>45930</v>
      </c>
      <c r="D3705" s="120">
        <f t="shared" si="1415"/>
        <v>30</v>
      </c>
      <c r="E3705" s="120">
        <f t="shared" si="1416"/>
        <v>9</v>
      </c>
      <c r="F3705" s="275">
        <f t="shared" si="1417"/>
        <v>45916</v>
      </c>
      <c r="G3705" s="120">
        <f t="shared" si="1418"/>
        <v>24308</v>
      </c>
      <c r="H3705" s="245">
        <f t="shared" si="1419"/>
        <v>1</v>
      </c>
      <c r="I3705" s="121">
        <f t="shared" si="1420"/>
        <v>1</v>
      </c>
      <c r="J3705" s="121">
        <f t="shared" si="1421"/>
        <v>1</v>
      </c>
      <c r="K3705" s="120">
        <f t="shared" si="1422"/>
        <v>0</v>
      </c>
      <c r="L3705" s="120">
        <f t="shared" si="1423"/>
        <v>0</v>
      </c>
      <c r="M3705" s="246">
        <f t="shared" si="1424"/>
        <v>0</v>
      </c>
      <c r="N3705" s="121">
        <f t="shared" si="1425"/>
        <v>1</v>
      </c>
      <c r="O3705" s="246">
        <f t="shared" si="1426"/>
        <v>1</v>
      </c>
      <c r="P3705" s="121">
        <f t="shared" si="1427"/>
        <v>0.41666666666666663</v>
      </c>
      <c r="Q3705" s="121">
        <f t="shared" si="1428"/>
        <v>0</v>
      </c>
      <c r="R3705" s="121">
        <f t="shared" si="1429"/>
        <v>0</v>
      </c>
      <c r="S3705" s="121" t="str">
        <f t="shared" si="1430"/>
        <v/>
      </c>
      <c r="T3705" s="121" t="str">
        <f t="shared" si="1431"/>
        <v/>
      </c>
      <c r="U3705" s="121">
        <f t="shared" si="1432"/>
        <v>1</v>
      </c>
    </row>
    <row r="3706" spans="1:21" x14ac:dyDescent="0.3">
      <c r="A3706" s="187">
        <v>10</v>
      </c>
      <c r="B3706" s="242">
        <f t="shared" si="1433"/>
        <v>45931</v>
      </c>
      <c r="C3706" s="243">
        <f t="shared" si="1414"/>
        <v>45961</v>
      </c>
      <c r="D3706" s="120">
        <f t="shared" si="1415"/>
        <v>31</v>
      </c>
      <c r="E3706" s="120">
        <f t="shared" si="1416"/>
        <v>10</v>
      </c>
      <c r="F3706" s="275">
        <f t="shared" si="1417"/>
        <v>45946.5</v>
      </c>
      <c r="G3706" s="120">
        <f t="shared" si="1418"/>
        <v>24309</v>
      </c>
      <c r="H3706" s="245">
        <f t="shared" si="1419"/>
        <v>1</v>
      </c>
      <c r="I3706" s="121">
        <f t="shared" si="1420"/>
        <v>1</v>
      </c>
      <c r="J3706" s="121">
        <f t="shared" si="1421"/>
        <v>1</v>
      </c>
      <c r="K3706" s="120">
        <f t="shared" si="1422"/>
        <v>0</v>
      </c>
      <c r="L3706" s="120">
        <f t="shared" si="1423"/>
        <v>0</v>
      </c>
      <c r="M3706" s="246">
        <f t="shared" si="1424"/>
        <v>0</v>
      </c>
      <c r="N3706" s="121">
        <f t="shared" si="1425"/>
        <v>1</v>
      </c>
      <c r="O3706" s="246">
        <f t="shared" si="1426"/>
        <v>1</v>
      </c>
      <c r="P3706" s="121">
        <f t="shared" si="1427"/>
        <v>0.58333333333333326</v>
      </c>
      <c r="Q3706" s="121">
        <f t="shared" si="1428"/>
        <v>0</v>
      </c>
      <c r="R3706" s="121">
        <f t="shared" si="1429"/>
        <v>0</v>
      </c>
      <c r="S3706" s="121" t="str">
        <f t="shared" si="1430"/>
        <v/>
      </c>
      <c r="T3706" s="121" t="str">
        <f t="shared" si="1431"/>
        <v/>
      </c>
      <c r="U3706" s="121">
        <f t="shared" si="1432"/>
        <v>1</v>
      </c>
    </row>
    <row r="3707" spans="1:21" x14ac:dyDescent="0.3">
      <c r="A3707" s="187">
        <v>11</v>
      </c>
      <c r="B3707" s="242">
        <f t="shared" si="1433"/>
        <v>45962</v>
      </c>
      <c r="C3707" s="243">
        <f t="shared" si="1414"/>
        <v>45991</v>
      </c>
      <c r="D3707" s="120">
        <f t="shared" si="1415"/>
        <v>30</v>
      </c>
      <c r="E3707" s="120">
        <f t="shared" si="1416"/>
        <v>11</v>
      </c>
      <c r="F3707" s="275">
        <f t="shared" si="1417"/>
        <v>45977</v>
      </c>
      <c r="G3707" s="120">
        <f t="shared" si="1418"/>
        <v>24310</v>
      </c>
      <c r="H3707" s="245">
        <f t="shared" si="1419"/>
        <v>1</v>
      </c>
      <c r="I3707" s="121">
        <f t="shared" si="1420"/>
        <v>1</v>
      </c>
      <c r="J3707" s="121">
        <f t="shared" si="1421"/>
        <v>1</v>
      </c>
      <c r="K3707" s="120">
        <f t="shared" si="1422"/>
        <v>0</v>
      </c>
      <c r="L3707" s="120">
        <f t="shared" si="1423"/>
        <v>0</v>
      </c>
      <c r="M3707" s="246">
        <f t="shared" si="1424"/>
        <v>0</v>
      </c>
      <c r="N3707" s="121">
        <f t="shared" si="1425"/>
        <v>1</v>
      </c>
      <c r="O3707" s="246">
        <f t="shared" si="1426"/>
        <v>1</v>
      </c>
      <c r="P3707" s="121">
        <f t="shared" si="1427"/>
        <v>0.75</v>
      </c>
      <c r="Q3707" s="121">
        <f t="shared" si="1428"/>
        <v>0</v>
      </c>
      <c r="R3707" s="121">
        <f t="shared" si="1429"/>
        <v>0</v>
      </c>
      <c r="S3707" s="121" t="str">
        <f t="shared" si="1430"/>
        <v/>
      </c>
      <c r="T3707" s="121" t="str">
        <f t="shared" si="1431"/>
        <v/>
      </c>
      <c r="U3707" s="121">
        <f t="shared" si="1432"/>
        <v>1</v>
      </c>
    </row>
    <row r="3708" spans="1:21" x14ac:dyDescent="0.3">
      <c r="A3708" s="187">
        <v>12</v>
      </c>
      <c r="B3708" s="242">
        <f t="shared" si="1433"/>
        <v>45992</v>
      </c>
      <c r="C3708" s="243">
        <f t="shared" si="1414"/>
        <v>46022</v>
      </c>
      <c r="D3708" s="120">
        <f t="shared" si="1415"/>
        <v>31</v>
      </c>
      <c r="E3708" s="120">
        <f t="shared" si="1416"/>
        <v>12</v>
      </c>
      <c r="F3708" s="275">
        <f t="shared" si="1417"/>
        <v>46007.5</v>
      </c>
      <c r="G3708" s="120">
        <f t="shared" si="1418"/>
        <v>24311</v>
      </c>
      <c r="H3708" s="245">
        <f t="shared" si="1419"/>
        <v>1</v>
      </c>
      <c r="I3708" s="121">
        <f t="shared" si="1420"/>
        <v>1</v>
      </c>
      <c r="J3708" s="121">
        <f t="shared" si="1421"/>
        <v>1</v>
      </c>
      <c r="K3708" s="120">
        <f t="shared" si="1422"/>
        <v>0</v>
      </c>
      <c r="L3708" s="120">
        <f t="shared" si="1423"/>
        <v>0</v>
      </c>
      <c r="M3708" s="246">
        <f t="shared" si="1424"/>
        <v>0</v>
      </c>
      <c r="N3708" s="121">
        <f t="shared" si="1425"/>
        <v>1</v>
      </c>
      <c r="O3708" s="246">
        <f t="shared" si="1426"/>
        <v>1</v>
      </c>
      <c r="P3708" s="121">
        <f t="shared" si="1427"/>
        <v>0.91666666666666663</v>
      </c>
      <c r="Q3708" s="121">
        <f t="shared" si="1428"/>
        <v>0</v>
      </c>
      <c r="R3708" s="121">
        <f t="shared" si="1429"/>
        <v>0</v>
      </c>
      <c r="S3708" s="121" t="str">
        <f t="shared" si="1430"/>
        <v/>
      </c>
      <c r="T3708" s="121" t="str">
        <f t="shared" si="1431"/>
        <v/>
      </c>
      <c r="U3708" s="121">
        <f t="shared" si="1432"/>
        <v>1</v>
      </c>
    </row>
    <row r="3709" spans="1:21" x14ac:dyDescent="0.3">
      <c r="A3709" s="187">
        <v>13</v>
      </c>
      <c r="B3709" s="242">
        <f t="shared" si="1433"/>
        <v>46023</v>
      </c>
      <c r="C3709" s="243">
        <f t="shared" si="1414"/>
        <v>46053</v>
      </c>
      <c r="D3709" s="120">
        <f t="shared" si="1415"/>
        <v>31</v>
      </c>
      <c r="E3709" s="120">
        <f t="shared" si="1416"/>
        <v>1</v>
      </c>
      <c r="F3709" s="275">
        <f t="shared" si="1417"/>
        <v>46038.5</v>
      </c>
      <c r="G3709" s="120">
        <f t="shared" si="1418"/>
        <v>24312</v>
      </c>
      <c r="H3709" s="245">
        <f t="shared" si="1419"/>
        <v>1</v>
      </c>
      <c r="I3709" s="121">
        <f t="shared" si="1420"/>
        <v>1</v>
      </c>
      <c r="J3709" s="121">
        <f t="shared" si="1421"/>
        <v>1</v>
      </c>
      <c r="K3709" s="120">
        <f t="shared" si="1422"/>
        <v>0</v>
      </c>
      <c r="L3709" s="120">
        <f t="shared" si="1423"/>
        <v>0</v>
      </c>
      <c r="M3709" s="246">
        <f t="shared" si="1424"/>
        <v>0</v>
      </c>
      <c r="N3709" s="121">
        <f t="shared" si="1425"/>
        <v>1</v>
      </c>
      <c r="O3709" s="246">
        <f t="shared" si="1426"/>
        <v>1</v>
      </c>
      <c r="P3709" s="121">
        <f t="shared" si="1427"/>
        <v>1</v>
      </c>
      <c r="Q3709" s="121">
        <f t="shared" si="1428"/>
        <v>0</v>
      </c>
      <c r="R3709" s="121">
        <f t="shared" si="1429"/>
        <v>0</v>
      </c>
      <c r="S3709" s="121" t="str">
        <f t="shared" si="1430"/>
        <v/>
      </c>
      <c r="T3709" s="121" t="str">
        <f t="shared" si="1431"/>
        <v/>
      </c>
      <c r="U3709" s="121">
        <f t="shared" si="1432"/>
        <v>1</v>
      </c>
    </row>
    <row r="3710" spans="1:21" x14ac:dyDescent="0.3">
      <c r="A3710" s="187">
        <v>14</v>
      </c>
      <c r="B3710" s="242">
        <f t="shared" si="1433"/>
        <v>46054</v>
      </c>
      <c r="C3710" s="243">
        <f t="shared" si="1414"/>
        <v>46081</v>
      </c>
      <c r="D3710" s="120">
        <f t="shared" si="1415"/>
        <v>28</v>
      </c>
      <c r="E3710" s="120">
        <f t="shared" si="1416"/>
        <v>2</v>
      </c>
      <c r="F3710" s="275">
        <f t="shared" si="1417"/>
        <v>46068</v>
      </c>
      <c r="G3710" s="120">
        <f t="shared" si="1418"/>
        <v>24313</v>
      </c>
      <c r="H3710" s="245">
        <f t="shared" si="1419"/>
        <v>1</v>
      </c>
      <c r="I3710" s="121">
        <f t="shared" si="1420"/>
        <v>1</v>
      </c>
      <c r="J3710" s="121">
        <f t="shared" si="1421"/>
        <v>1</v>
      </c>
      <c r="K3710" s="120">
        <f t="shared" si="1422"/>
        <v>0</v>
      </c>
      <c r="L3710" s="120">
        <f t="shared" si="1423"/>
        <v>0</v>
      </c>
      <c r="M3710" s="246">
        <f t="shared" si="1424"/>
        <v>0</v>
      </c>
      <c r="N3710" s="121">
        <f t="shared" si="1425"/>
        <v>1</v>
      </c>
      <c r="O3710" s="246">
        <f t="shared" si="1426"/>
        <v>1</v>
      </c>
      <c r="P3710" s="121">
        <f t="shared" si="1427"/>
        <v>1</v>
      </c>
      <c r="Q3710" s="121">
        <f t="shared" si="1428"/>
        <v>0</v>
      </c>
      <c r="R3710" s="121">
        <f t="shared" si="1429"/>
        <v>0</v>
      </c>
      <c r="S3710" s="121" t="str">
        <f t="shared" si="1430"/>
        <v/>
      </c>
      <c r="T3710" s="121" t="str">
        <f t="shared" si="1431"/>
        <v/>
      </c>
      <c r="U3710" s="121">
        <f t="shared" si="1432"/>
        <v>1</v>
      </c>
    </row>
    <row r="3711" spans="1:21" x14ac:dyDescent="0.3">
      <c r="A3711" s="187">
        <v>15</v>
      </c>
      <c r="B3711" s="242">
        <f t="shared" si="1433"/>
        <v>46082</v>
      </c>
      <c r="C3711" s="243">
        <f t="shared" si="1414"/>
        <v>46112</v>
      </c>
      <c r="D3711" s="120">
        <f t="shared" si="1415"/>
        <v>31</v>
      </c>
      <c r="E3711" s="120">
        <f t="shared" si="1416"/>
        <v>3</v>
      </c>
      <c r="F3711" s="275">
        <f t="shared" si="1417"/>
        <v>46097.5</v>
      </c>
      <c r="G3711" s="120">
        <f t="shared" si="1418"/>
        <v>24314</v>
      </c>
      <c r="H3711" s="245">
        <f t="shared" si="1419"/>
        <v>1</v>
      </c>
      <c r="I3711" s="121">
        <f t="shared" si="1420"/>
        <v>1</v>
      </c>
      <c r="J3711" s="121">
        <f t="shared" si="1421"/>
        <v>1</v>
      </c>
      <c r="K3711" s="120">
        <f t="shared" si="1422"/>
        <v>0</v>
      </c>
      <c r="L3711" s="120">
        <f t="shared" si="1423"/>
        <v>0</v>
      </c>
      <c r="M3711" s="246">
        <f t="shared" si="1424"/>
        <v>0</v>
      </c>
      <c r="N3711" s="121">
        <f t="shared" si="1425"/>
        <v>1</v>
      </c>
      <c r="O3711" s="246">
        <f t="shared" si="1426"/>
        <v>1</v>
      </c>
      <c r="P3711" s="121">
        <f t="shared" si="1427"/>
        <v>1</v>
      </c>
      <c r="Q3711" s="121">
        <f t="shared" si="1428"/>
        <v>0</v>
      </c>
      <c r="R3711" s="121">
        <f t="shared" si="1429"/>
        <v>0</v>
      </c>
      <c r="S3711" s="121" t="str">
        <f t="shared" si="1430"/>
        <v/>
      </c>
      <c r="T3711" s="121" t="str">
        <f t="shared" si="1431"/>
        <v/>
      </c>
      <c r="U3711" s="121">
        <f t="shared" si="1432"/>
        <v>1</v>
      </c>
    </row>
    <row r="3712" spans="1:21" x14ac:dyDescent="0.3">
      <c r="A3712" s="187">
        <v>16</v>
      </c>
      <c r="B3712" s="242">
        <f t="shared" si="1433"/>
        <v>46113</v>
      </c>
      <c r="C3712" s="243">
        <f t="shared" si="1414"/>
        <v>46142</v>
      </c>
      <c r="D3712" s="120">
        <f t="shared" si="1415"/>
        <v>30</v>
      </c>
      <c r="E3712" s="120">
        <f t="shared" si="1416"/>
        <v>4</v>
      </c>
      <c r="F3712" s="275">
        <f t="shared" si="1417"/>
        <v>46128</v>
      </c>
      <c r="G3712" s="120">
        <f t="shared" si="1418"/>
        <v>24315</v>
      </c>
      <c r="H3712" s="245">
        <f t="shared" si="1419"/>
        <v>1</v>
      </c>
      <c r="I3712" s="121">
        <f t="shared" si="1420"/>
        <v>1</v>
      </c>
      <c r="J3712" s="121">
        <f t="shared" si="1421"/>
        <v>1</v>
      </c>
      <c r="K3712" s="120">
        <f t="shared" si="1422"/>
        <v>0</v>
      </c>
      <c r="L3712" s="120">
        <f t="shared" si="1423"/>
        <v>0</v>
      </c>
      <c r="M3712" s="246">
        <f t="shared" si="1424"/>
        <v>0</v>
      </c>
      <c r="N3712" s="121">
        <f t="shared" si="1425"/>
        <v>1</v>
      </c>
      <c r="O3712" s="246">
        <f t="shared" si="1426"/>
        <v>1</v>
      </c>
      <c r="P3712" s="121">
        <f t="shared" si="1427"/>
        <v>1</v>
      </c>
      <c r="Q3712" s="121">
        <f t="shared" si="1428"/>
        <v>0</v>
      </c>
      <c r="R3712" s="121">
        <f t="shared" si="1429"/>
        <v>0</v>
      </c>
      <c r="S3712" s="121" t="str">
        <f t="shared" si="1430"/>
        <v/>
      </c>
      <c r="T3712" s="121" t="str">
        <f t="shared" si="1431"/>
        <v/>
      </c>
      <c r="U3712" s="121">
        <f t="shared" si="1432"/>
        <v>1</v>
      </c>
    </row>
    <row r="3713" spans="1:21" x14ac:dyDescent="0.3">
      <c r="A3713" s="187">
        <v>17</v>
      </c>
      <c r="B3713" s="242">
        <f t="shared" si="1433"/>
        <v>46143</v>
      </c>
      <c r="C3713" s="243">
        <f t="shared" si="1414"/>
        <v>46173</v>
      </c>
      <c r="D3713" s="120">
        <f t="shared" si="1415"/>
        <v>31</v>
      </c>
      <c r="E3713" s="120">
        <f t="shared" si="1416"/>
        <v>5</v>
      </c>
      <c r="F3713" s="275">
        <f t="shared" si="1417"/>
        <v>46158.5</v>
      </c>
      <c r="G3713" s="120">
        <f t="shared" si="1418"/>
        <v>24316</v>
      </c>
      <c r="H3713" s="245">
        <f t="shared" si="1419"/>
        <v>1</v>
      </c>
      <c r="I3713" s="121">
        <f t="shared" si="1420"/>
        <v>1</v>
      </c>
      <c r="J3713" s="121">
        <f t="shared" si="1421"/>
        <v>1</v>
      </c>
      <c r="K3713" s="120">
        <f t="shared" si="1422"/>
        <v>0</v>
      </c>
      <c r="L3713" s="120">
        <f t="shared" si="1423"/>
        <v>0</v>
      </c>
      <c r="M3713" s="246">
        <f t="shared" si="1424"/>
        <v>0</v>
      </c>
      <c r="N3713" s="121">
        <f t="shared" si="1425"/>
        <v>1</v>
      </c>
      <c r="O3713" s="246">
        <f t="shared" si="1426"/>
        <v>1</v>
      </c>
      <c r="P3713" s="121">
        <f t="shared" si="1427"/>
        <v>1</v>
      </c>
      <c r="Q3713" s="121">
        <f t="shared" si="1428"/>
        <v>0</v>
      </c>
      <c r="R3713" s="121">
        <f t="shared" si="1429"/>
        <v>0</v>
      </c>
      <c r="S3713" s="121" t="str">
        <f t="shared" si="1430"/>
        <v/>
      </c>
      <c r="T3713" s="121" t="str">
        <f t="shared" si="1431"/>
        <v/>
      </c>
      <c r="U3713" s="121">
        <f t="shared" si="1432"/>
        <v>1</v>
      </c>
    </row>
    <row r="3714" spans="1:21" x14ac:dyDescent="0.3">
      <c r="A3714" s="187">
        <v>18</v>
      </c>
      <c r="B3714" s="242">
        <f t="shared" si="1433"/>
        <v>46174</v>
      </c>
      <c r="C3714" s="243">
        <f t="shared" si="1414"/>
        <v>46203</v>
      </c>
      <c r="D3714" s="120">
        <f t="shared" si="1415"/>
        <v>30</v>
      </c>
      <c r="E3714" s="120">
        <f t="shared" si="1416"/>
        <v>6</v>
      </c>
      <c r="F3714" s="275">
        <f t="shared" si="1417"/>
        <v>46189</v>
      </c>
      <c r="G3714" s="120">
        <f t="shared" si="1418"/>
        <v>24317</v>
      </c>
      <c r="H3714" s="245">
        <f t="shared" si="1419"/>
        <v>1</v>
      </c>
      <c r="I3714" s="121">
        <f t="shared" si="1420"/>
        <v>1</v>
      </c>
      <c r="J3714" s="121">
        <f t="shared" si="1421"/>
        <v>1</v>
      </c>
      <c r="K3714" s="120">
        <f t="shared" si="1422"/>
        <v>0</v>
      </c>
      <c r="L3714" s="120">
        <f t="shared" si="1423"/>
        <v>0</v>
      </c>
      <c r="M3714" s="246">
        <f t="shared" si="1424"/>
        <v>0</v>
      </c>
      <c r="N3714" s="121">
        <f t="shared" si="1425"/>
        <v>1</v>
      </c>
      <c r="O3714" s="246">
        <f t="shared" si="1426"/>
        <v>1</v>
      </c>
      <c r="P3714" s="121">
        <f t="shared" si="1427"/>
        <v>1</v>
      </c>
      <c r="Q3714" s="121">
        <f t="shared" si="1428"/>
        <v>0</v>
      </c>
      <c r="R3714" s="121">
        <f t="shared" si="1429"/>
        <v>0</v>
      </c>
      <c r="S3714" s="121" t="str">
        <f t="shared" si="1430"/>
        <v/>
      </c>
      <c r="T3714" s="121" t="str">
        <f t="shared" si="1431"/>
        <v/>
      </c>
      <c r="U3714" s="121">
        <f t="shared" si="1432"/>
        <v>1</v>
      </c>
    </row>
    <row r="3715" spans="1:21" x14ac:dyDescent="0.3">
      <c r="A3715" s="187">
        <v>19</v>
      </c>
      <c r="B3715" s="242">
        <f t="shared" si="1433"/>
        <v>46204</v>
      </c>
      <c r="C3715" s="243">
        <f t="shared" si="1414"/>
        <v>46234</v>
      </c>
      <c r="D3715" s="120">
        <f t="shared" si="1415"/>
        <v>31</v>
      </c>
      <c r="E3715" s="120">
        <f t="shared" si="1416"/>
        <v>7</v>
      </c>
      <c r="F3715" s="275">
        <f t="shared" si="1417"/>
        <v>46219.5</v>
      </c>
      <c r="G3715" s="120">
        <f t="shared" si="1418"/>
        <v>24318</v>
      </c>
      <c r="H3715" s="245">
        <f t="shared" si="1419"/>
        <v>1</v>
      </c>
      <c r="I3715" s="121">
        <f t="shared" si="1420"/>
        <v>1</v>
      </c>
      <c r="J3715" s="121">
        <f t="shared" si="1421"/>
        <v>1</v>
      </c>
      <c r="K3715" s="120">
        <f t="shared" si="1422"/>
        <v>0</v>
      </c>
      <c r="L3715" s="120">
        <f t="shared" si="1423"/>
        <v>0</v>
      </c>
      <c r="M3715" s="246">
        <f t="shared" si="1424"/>
        <v>0</v>
      </c>
      <c r="N3715" s="121">
        <f t="shared" si="1425"/>
        <v>1</v>
      </c>
      <c r="O3715" s="246">
        <f t="shared" si="1426"/>
        <v>1</v>
      </c>
      <c r="P3715" s="121">
        <f t="shared" si="1427"/>
        <v>0.91666666666666663</v>
      </c>
      <c r="Q3715" s="121">
        <f t="shared" si="1428"/>
        <v>8.333333333333337E-2</v>
      </c>
      <c r="R3715" s="121">
        <f t="shared" si="1429"/>
        <v>0</v>
      </c>
      <c r="S3715" s="121" t="str">
        <f t="shared" si="1430"/>
        <v/>
      </c>
      <c r="T3715" s="121" t="str">
        <f t="shared" si="1431"/>
        <v/>
      </c>
      <c r="U3715" s="121">
        <f t="shared" si="1432"/>
        <v>1</v>
      </c>
    </row>
    <row r="3716" spans="1:21" x14ac:dyDescent="0.3">
      <c r="A3716" s="187">
        <v>20</v>
      </c>
      <c r="B3716" s="242">
        <f t="shared" si="1433"/>
        <v>46235</v>
      </c>
      <c r="C3716" s="243">
        <f t="shared" si="1414"/>
        <v>46265</v>
      </c>
      <c r="D3716" s="120">
        <f t="shared" si="1415"/>
        <v>31</v>
      </c>
      <c r="E3716" s="120">
        <f t="shared" si="1416"/>
        <v>8</v>
      </c>
      <c r="F3716" s="275">
        <f t="shared" si="1417"/>
        <v>46250.5</v>
      </c>
      <c r="G3716" s="120">
        <f t="shared" si="1418"/>
        <v>24319</v>
      </c>
      <c r="H3716" s="245">
        <f t="shared" si="1419"/>
        <v>1</v>
      </c>
      <c r="I3716" s="121">
        <f t="shared" si="1420"/>
        <v>1</v>
      </c>
      <c r="J3716" s="121">
        <f t="shared" si="1421"/>
        <v>1</v>
      </c>
      <c r="K3716" s="120">
        <f t="shared" si="1422"/>
        <v>0</v>
      </c>
      <c r="L3716" s="120">
        <f t="shared" si="1423"/>
        <v>0</v>
      </c>
      <c r="M3716" s="246">
        <f t="shared" si="1424"/>
        <v>0</v>
      </c>
      <c r="N3716" s="121">
        <f t="shared" si="1425"/>
        <v>1</v>
      </c>
      <c r="O3716" s="246">
        <f t="shared" si="1426"/>
        <v>1</v>
      </c>
      <c r="P3716" s="121">
        <f t="shared" si="1427"/>
        <v>0.75</v>
      </c>
      <c r="Q3716" s="121">
        <f t="shared" si="1428"/>
        <v>0.25</v>
      </c>
      <c r="R3716" s="121">
        <f t="shared" si="1429"/>
        <v>0</v>
      </c>
      <c r="S3716" s="121" t="str">
        <f t="shared" si="1430"/>
        <v/>
      </c>
      <c r="T3716" s="121" t="str">
        <f t="shared" si="1431"/>
        <v/>
      </c>
      <c r="U3716" s="121">
        <f t="shared" si="1432"/>
        <v>1</v>
      </c>
    </row>
    <row r="3717" spans="1:21" x14ac:dyDescent="0.3">
      <c r="A3717" s="187">
        <v>21</v>
      </c>
      <c r="B3717" s="242">
        <f t="shared" si="1433"/>
        <v>46266</v>
      </c>
      <c r="C3717" s="243">
        <f t="shared" si="1414"/>
        <v>46295</v>
      </c>
      <c r="D3717" s="120">
        <f t="shared" si="1415"/>
        <v>30</v>
      </c>
      <c r="E3717" s="120">
        <f t="shared" si="1416"/>
        <v>9</v>
      </c>
      <c r="F3717" s="275">
        <f t="shared" si="1417"/>
        <v>46281</v>
      </c>
      <c r="G3717" s="120">
        <f t="shared" si="1418"/>
        <v>24320</v>
      </c>
      <c r="H3717" s="245">
        <f t="shared" si="1419"/>
        <v>1</v>
      </c>
      <c r="I3717" s="121">
        <f t="shared" si="1420"/>
        <v>1</v>
      </c>
      <c r="J3717" s="121">
        <f t="shared" si="1421"/>
        <v>1</v>
      </c>
      <c r="K3717" s="120">
        <f t="shared" si="1422"/>
        <v>0</v>
      </c>
      <c r="L3717" s="120">
        <f t="shared" si="1423"/>
        <v>0</v>
      </c>
      <c r="M3717" s="246">
        <f t="shared" si="1424"/>
        <v>0</v>
      </c>
      <c r="N3717" s="121">
        <f t="shared" si="1425"/>
        <v>1</v>
      </c>
      <c r="O3717" s="246">
        <f t="shared" si="1426"/>
        <v>1</v>
      </c>
      <c r="P3717" s="121">
        <f t="shared" si="1427"/>
        <v>0.58333333333333337</v>
      </c>
      <c r="Q3717" s="121">
        <f t="shared" si="1428"/>
        <v>0.41666666666666663</v>
      </c>
      <c r="R3717" s="121">
        <f t="shared" si="1429"/>
        <v>0</v>
      </c>
      <c r="S3717" s="121" t="str">
        <f t="shared" si="1430"/>
        <v/>
      </c>
      <c r="T3717" s="121" t="str">
        <f t="shared" si="1431"/>
        <v/>
      </c>
      <c r="U3717" s="121">
        <f t="shared" si="1432"/>
        <v>1</v>
      </c>
    </row>
    <row r="3718" spans="1:21" x14ac:dyDescent="0.3">
      <c r="A3718" s="187">
        <v>22</v>
      </c>
      <c r="B3718" s="242">
        <f t="shared" si="1433"/>
        <v>46296</v>
      </c>
      <c r="C3718" s="243">
        <f t="shared" si="1414"/>
        <v>46326</v>
      </c>
      <c r="D3718" s="120">
        <f t="shared" si="1415"/>
        <v>31</v>
      </c>
      <c r="E3718" s="120">
        <f t="shared" si="1416"/>
        <v>10</v>
      </c>
      <c r="F3718" s="275">
        <f t="shared" si="1417"/>
        <v>46311.5</v>
      </c>
      <c r="G3718" s="120">
        <f t="shared" si="1418"/>
        <v>24321</v>
      </c>
      <c r="H3718" s="245">
        <f t="shared" si="1419"/>
        <v>1</v>
      </c>
      <c r="I3718" s="121">
        <f t="shared" si="1420"/>
        <v>1</v>
      </c>
      <c r="J3718" s="121">
        <f t="shared" si="1421"/>
        <v>1</v>
      </c>
      <c r="K3718" s="120">
        <f t="shared" si="1422"/>
        <v>0</v>
      </c>
      <c r="L3718" s="120">
        <f t="shared" si="1423"/>
        <v>0</v>
      </c>
      <c r="M3718" s="246">
        <f t="shared" si="1424"/>
        <v>0</v>
      </c>
      <c r="N3718" s="121">
        <f t="shared" si="1425"/>
        <v>1</v>
      </c>
      <c r="O3718" s="246">
        <f t="shared" si="1426"/>
        <v>1</v>
      </c>
      <c r="P3718" s="121">
        <f t="shared" si="1427"/>
        <v>0.41666666666666669</v>
      </c>
      <c r="Q3718" s="121">
        <f t="shared" si="1428"/>
        <v>0.58333333333333326</v>
      </c>
      <c r="R3718" s="121">
        <f t="shared" si="1429"/>
        <v>0</v>
      </c>
      <c r="S3718" s="121" t="str">
        <f t="shared" si="1430"/>
        <v/>
      </c>
      <c r="T3718" s="121" t="str">
        <f t="shared" si="1431"/>
        <v/>
      </c>
      <c r="U3718" s="121">
        <f t="shared" si="1432"/>
        <v>1</v>
      </c>
    </row>
    <row r="3719" spans="1:21" x14ac:dyDescent="0.3">
      <c r="A3719" s="187">
        <v>23</v>
      </c>
      <c r="B3719" s="242">
        <f t="shared" si="1433"/>
        <v>46327</v>
      </c>
      <c r="C3719" s="243">
        <f t="shared" si="1414"/>
        <v>46356</v>
      </c>
      <c r="D3719" s="120">
        <f t="shared" si="1415"/>
        <v>30</v>
      </c>
      <c r="E3719" s="120">
        <f t="shared" si="1416"/>
        <v>11</v>
      </c>
      <c r="F3719" s="275">
        <f t="shared" si="1417"/>
        <v>46342</v>
      </c>
      <c r="G3719" s="120">
        <f t="shared" si="1418"/>
        <v>24322</v>
      </c>
      <c r="H3719" s="245">
        <f t="shared" si="1419"/>
        <v>1</v>
      </c>
      <c r="I3719" s="121">
        <f t="shared" si="1420"/>
        <v>1</v>
      </c>
      <c r="J3719" s="121">
        <f t="shared" si="1421"/>
        <v>1</v>
      </c>
      <c r="K3719" s="120">
        <f t="shared" si="1422"/>
        <v>0</v>
      </c>
      <c r="L3719" s="120">
        <f t="shared" si="1423"/>
        <v>0</v>
      </c>
      <c r="M3719" s="246">
        <f t="shared" si="1424"/>
        <v>0</v>
      </c>
      <c r="N3719" s="121">
        <f t="shared" si="1425"/>
        <v>1</v>
      </c>
      <c r="O3719" s="246">
        <f t="shared" si="1426"/>
        <v>1</v>
      </c>
      <c r="P3719" s="121">
        <f t="shared" si="1427"/>
        <v>0.25</v>
      </c>
      <c r="Q3719" s="121">
        <f t="shared" si="1428"/>
        <v>0.75</v>
      </c>
      <c r="R3719" s="121">
        <f t="shared" si="1429"/>
        <v>0</v>
      </c>
      <c r="S3719" s="121" t="str">
        <f t="shared" si="1430"/>
        <v/>
      </c>
      <c r="T3719" s="121" t="str">
        <f t="shared" si="1431"/>
        <v/>
      </c>
      <c r="U3719" s="121">
        <f t="shared" si="1432"/>
        <v>1</v>
      </c>
    </row>
    <row r="3720" spans="1:21" x14ac:dyDescent="0.3">
      <c r="A3720" s="187">
        <v>24</v>
      </c>
      <c r="B3720" s="242">
        <f t="shared" si="1433"/>
        <v>46357</v>
      </c>
      <c r="C3720" s="243">
        <f t="shared" si="1414"/>
        <v>46387</v>
      </c>
      <c r="D3720" s="120">
        <f t="shared" si="1415"/>
        <v>31</v>
      </c>
      <c r="E3720" s="120">
        <f t="shared" si="1416"/>
        <v>12</v>
      </c>
      <c r="F3720" s="275">
        <f t="shared" si="1417"/>
        <v>46372.5</v>
      </c>
      <c r="G3720" s="120">
        <f t="shared" si="1418"/>
        <v>24323</v>
      </c>
      <c r="H3720" s="245">
        <f t="shared" si="1419"/>
        <v>1</v>
      </c>
      <c r="I3720" s="121">
        <f t="shared" si="1420"/>
        <v>1</v>
      </c>
      <c r="J3720" s="121">
        <f t="shared" si="1421"/>
        <v>1</v>
      </c>
      <c r="K3720" s="120">
        <f t="shared" si="1422"/>
        <v>0</v>
      </c>
      <c r="L3720" s="120">
        <f t="shared" si="1423"/>
        <v>0</v>
      </c>
      <c r="M3720" s="246">
        <f t="shared" si="1424"/>
        <v>0</v>
      </c>
      <c r="N3720" s="121">
        <f t="shared" si="1425"/>
        <v>1</v>
      </c>
      <c r="O3720" s="246">
        <f t="shared" si="1426"/>
        <v>1</v>
      </c>
      <c r="P3720" s="121">
        <f t="shared" si="1427"/>
        <v>8.3333333333333329E-2</v>
      </c>
      <c r="Q3720" s="121">
        <f t="shared" si="1428"/>
        <v>0.91666666666666663</v>
      </c>
      <c r="R3720" s="121">
        <f t="shared" si="1429"/>
        <v>0</v>
      </c>
      <c r="S3720" s="121" t="str">
        <f t="shared" si="1430"/>
        <v/>
      </c>
      <c r="T3720" s="121" t="str">
        <f t="shared" si="1431"/>
        <v/>
      </c>
      <c r="U3720" s="121">
        <f t="shared" si="1432"/>
        <v>1</v>
      </c>
    </row>
    <row r="3721" spans="1:21" x14ac:dyDescent="0.3">
      <c r="A3721" s="187">
        <v>25</v>
      </c>
      <c r="B3721" s="242">
        <f t="shared" si="1433"/>
        <v>46388</v>
      </c>
      <c r="C3721" s="243">
        <f t="shared" si="1414"/>
        <v>46418</v>
      </c>
      <c r="D3721" s="120">
        <f t="shared" si="1415"/>
        <v>31</v>
      </c>
      <c r="E3721" s="120">
        <f t="shared" si="1416"/>
        <v>1</v>
      </c>
      <c r="F3721" s="275">
        <f t="shared" si="1417"/>
        <v>46403.5</v>
      </c>
      <c r="G3721" s="120">
        <f t="shared" si="1418"/>
        <v>24324</v>
      </c>
      <c r="H3721" s="245">
        <f t="shared" si="1419"/>
        <v>1</v>
      </c>
      <c r="I3721" s="121">
        <f t="shared" si="1420"/>
        <v>1</v>
      </c>
      <c r="J3721" s="121">
        <f t="shared" si="1421"/>
        <v>1</v>
      </c>
      <c r="K3721" s="120">
        <f t="shared" si="1422"/>
        <v>0</v>
      </c>
      <c r="L3721" s="120">
        <f t="shared" si="1423"/>
        <v>0</v>
      </c>
      <c r="M3721" s="246">
        <f t="shared" si="1424"/>
        <v>0</v>
      </c>
      <c r="N3721" s="121">
        <f t="shared" si="1425"/>
        <v>1</v>
      </c>
      <c r="O3721" s="246">
        <f t="shared" si="1426"/>
        <v>1</v>
      </c>
      <c r="P3721" s="121">
        <f t="shared" si="1427"/>
        <v>0</v>
      </c>
      <c r="Q3721" s="121">
        <f t="shared" si="1428"/>
        <v>1</v>
      </c>
      <c r="R3721" s="121">
        <f t="shared" si="1429"/>
        <v>0</v>
      </c>
      <c r="S3721" s="121" t="str">
        <f t="shared" si="1430"/>
        <v/>
      </c>
      <c r="T3721" s="121" t="str">
        <f t="shared" si="1431"/>
        <v/>
      </c>
      <c r="U3721" s="121">
        <f t="shared" si="1432"/>
        <v>1</v>
      </c>
    </row>
    <row r="3722" spans="1:21" x14ac:dyDescent="0.3">
      <c r="A3722" s="187">
        <v>26</v>
      </c>
      <c r="B3722" s="242">
        <f t="shared" si="1433"/>
        <v>46419</v>
      </c>
      <c r="C3722" s="243">
        <f t="shared" si="1414"/>
        <v>46446</v>
      </c>
      <c r="D3722" s="120">
        <f t="shared" si="1415"/>
        <v>28</v>
      </c>
      <c r="E3722" s="120">
        <f t="shared" si="1416"/>
        <v>2</v>
      </c>
      <c r="F3722" s="275">
        <f t="shared" si="1417"/>
        <v>46433</v>
      </c>
      <c r="G3722" s="120">
        <f t="shared" si="1418"/>
        <v>24325</v>
      </c>
      <c r="H3722" s="245">
        <f t="shared" si="1419"/>
        <v>1</v>
      </c>
      <c r="I3722" s="121">
        <f t="shared" si="1420"/>
        <v>1</v>
      </c>
      <c r="J3722" s="121">
        <f t="shared" si="1421"/>
        <v>1</v>
      </c>
      <c r="K3722" s="120">
        <f t="shared" si="1422"/>
        <v>0</v>
      </c>
      <c r="L3722" s="120">
        <f t="shared" si="1423"/>
        <v>0</v>
      </c>
      <c r="M3722" s="246">
        <f t="shared" si="1424"/>
        <v>0</v>
      </c>
      <c r="N3722" s="121">
        <f t="shared" si="1425"/>
        <v>1</v>
      </c>
      <c r="O3722" s="246">
        <f t="shared" si="1426"/>
        <v>1</v>
      </c>
      <c r="P3722" s="121">
        <f t="shared" si="1427"/>
        <v>0</v>
      </c>
      <c r="Q3722" s="121">
        <f t="shared" si="1428"/>
        <v>1</v>
      </c>
      <c r="R3722" s="121">
        <f t="shared" si="1429"/>
        <v>0</v>
      </c>
      <c r="S3722" s="121" t="str">
        <f t="shared" si="1430"/>
        <v/>
      </c>
      <c r="T3722" s="121" t="str">
        <f t="shared" si="1431"/>
        <v/>
      </c>
      <c r="U3722" s="121">
        <f t="shared" si="1432"/>
        <v>1</v>
      </c>
    </row>
    <row r="3723" spans="1:21" x14ac:dyDescent="0.3">
      <c r="A3723" s="187">
        <v>27</v>
      </c>
      <c r="B3723" s="242">
        <f t="shared" si="1433"/>
        <v>46447</v>
      </c>
      <c r="C3723" s="243">
        <f t="shared" si="1414"/>
        <v>46477</v>
      </c>
      <c r="D3723" s="120">
        <f t="shared" si="1415"/>
        <v>31</v>
      </c>
      <c r="E3723" s="120">
        <f t="shared" si="1416"/>
        <v>3</v>
      </c>
      <c r="F3723" s="275">
        <f t="shared" si="1417"/>
        <v>46462.5</v>
      </c>
      <c r="G3723" s="120">
        <f t="shared" si="1418"/>
        <v>24326</v>
      </c>
      <c r="H3723" s="245">
        <f t="shared" si="1419"/>
        <v>1</v>
      </c>
      <c r="I3723" s="121">
        <f t="shared" si="1420"/>
        <v>1</v>
      </c>
      <c r="J3723" s="121">
        <f t="shared" si="1421"/>
        <v>1</v>
      </c>
      <c r="K3723" s="120">
        <f t="shared" si="1422"/>
        <v>0</v>
      </c>
      <c r="L3723" s="120">
        <f t="shared" si="1423"/>
        <v>0</v>
      </c>
      <c r="M3723" s="246">
        <f t="shared" si="1424"/>
        <v>0</v>
      </c>
      <c r="N3723" s="121">
        <f t="shared" si="1425"/>
        <v>1</v>
      </c>
      <c r="O3723" s="246">
        <f t="shared" si="1426"/>
        <v>1</v>
      </c>
      <c r="P3723" s="121">
        <f t="shared" si="1427"/>
        <v>0</v>
      </c>
      <c r="Q3723" s="121">
        <f t="shared" si="1428"/>
        <v>1</v>
      </c>
      <c r="R3723" s="121">
        <f t="shared" si="1429"/>
        <v>0</v>
      </c>
      <c r="S3723" s="121" t="str">
        <f t="shared" si="1430"/>
        <v/>
      </c>
      <c r="T3723" s="121" t="str">
        <f t="shared" si="1431"/>
        <v/>
      </c>
      <c r="U3723" s="121">
        <f t="shared" si="1432"/>
        <v>1</v>
      </c>
    </row>
    <row r="3724" spans="1:21" x14ac:dyDescent="0.3">
      <c r="A3724" s="187">
        <v>28</v>
      </c>
      <c r="B3724" s="242">
        <f t="shared" si="1433"/>
        <v>46478</v>
      </c>
      <c r="C3724" s="243">
        <f t="shared" si="1414"/>
        <v>46507</v>
      </c>
      <c r="D3724" s="120">
        <f t="shared" si="1415"/>
        <v>30</v>
      </c>
      <c r="E3724" s="120">
        <f t="shared" si="1416"/>
        <v>4</v>
      </c>
      <c r="F3724" s="275">
        <f t="shared" si="1417"/>
        <v>46493</v>
      </c>
      <c r="G3724" s="120">
        <f t="shared" si="1418"/>
        <v>24327</v>
      </c>
      <c r="H3724" s="245">
        <f t="shared" si="1419"/>
        <v>1</v>
      </c>
      <c r="I3724" s="121">
        <f t="shared" si="1420"/>
        <v>1</v>
      </c>
      <c r="J3724" s="121">
        <f t="shared" si="1421"/>
        <v>1</v>
      </c>
      <c r="K3724" s="120">
        <f t="shared" si="1422"/>
        <v>0</v>
      </c>
      <c r="L3724" s="120">
        <f t="shared" si="1423"/>
        <v>0</v>
      </c>
      <c r="M3724" s="246">
        <f t="shared" si="1424"/>
        <v>0</v>
      </c>
      <c r="N3724" s="121">
        <f t="shared" si="1425"/>
        <v>1</v>
      </c>
      <c r="O3724" s="246">
        <f t="shared" si="1426"/>
        <v>1</v>
      </c>
      <c r="P3724" s="121">
        <f t="shared" si="1427"/>
        <v>0</v>
      </c>
      <c r="Q3724" s="121">
        <f t="shared" si="1428"/>
        <v>1</v>
      </c>
      <c r="R3724" s="121">
        <f t="shared" si="1429"/>
        <v>0</v>
      </c>
      <c r="S3724" s="121" t="str">
        <f t="shared" si="1430"/>
        <v/>
      </c>
      <c r="T3724" s="121" t="str">
        <f t="shared" si="1431"/>
        <v/>
      </c>
      <c r="U3724" s="121">
        <f t="shared" si="1432"/>
        <v>1</v>
      </c>
    </row>
    <row r="3725" spans="1:21" x14ac:dyDescent="0.3">
      <c r="A3725" s="187">
        <v>29</v>
      </c>
      <c r="B3725" s="242">
        <f t="shared" si="1433"/>
        <v>46508</v>
      </c>
      <c r="C3725" s="243">
        <f t="shared" si="1414"/>
        <v>46538</v>
      </c>
      <c r="D3725" s="120">
        <f t="shared" si="1415"/>
        <v>31</v>
      </c>
      <c r="E3725" s="120">
        <f t="shared" si="1416"/>
        <v>5</v>
      </c>
      <c r="F3725" s="275">
        <f t="shared" si="1417"/>
        <v>46523.5</v>
      </c>
      <c r="G3725" s="120">
        <f t="shared" si="1418"/>
        <v>24328</v>
      </c>
      <c r="H3725" s="245">
        <f t="shared" si="1419"/>
        <v>1</v>
      </c>
      <c r="I3725" s="121">
        <f t="shared" si="1420"/>
        <v>1</v>
      </c>
      <c r="J3725" s="121">
        <f t="shared" si="1421"/>
        <v>1</v>
      </c>
      <c r="K3725" s="120">
        <f t="shared" si="1422"/>
        <v>0</v>
      </c>
      <c r="L3725" s="120">
        <f t="shared" si="1423"/>
        <v>0</v>
      </c>
      <c r="M3725" s="246">
        <f t="shared" si="1424"/>
        <v>0</v>
      </c>
      <c r="N3725" s="121">
        <f t="shared" si="1425"/>
        <v>1</v>
      </c>
      <c r="O3725" s="246">
        <f t="shared" si="1426"/>
        <v>1</v>
      </c>
      <c r="P3725" s="121">
        <f t="shared" si="1427"/>
        <v>0</v>
      </c>
      <c r="Q3725" s="121">
        <f t="shared" si="1428"/>
        <v>1</v>
      </c>
      <c r="R3725" s="121">
        <f t="shared" si="1429"/>
        <v>0</v>
      </c>
      <c r="S3725" s="121" t="str">
        <f t="shared" si="1430"/>
        <v/>
      </c>
      <c r="T3725" s="121" t="str">
        <f t="shared" si="1431"/>
        <v/>
      </c>
      <c r="U3725" s="121">
        <f t="shared" si="1432"/>
        <v>1</v>
      </c>
    </row>
    <row r="3726" spans="1:21" x14ac:dyDescent="0.3">
      <c r="A3726" s="187">
        <v>30</v>
      </c>
      <c r="B3726" s="242">
        <f t="shared" si="1433"/>
        <v>46539</v>
      </c>
      <c r="C3726" s="243">
        <f t="shared" si="1414"/>
        <v>46568</v>
      </c>
      <c r="D3726" s="120">
        <f t="shared" si="1415"/>
        <v>30</v>
      </c>
      <c r="E3726" s="120">
        <f t="shared" si="1416"/>
        <v>6</v>
      </c>
      <c r="F3726" s="275">
        <f t="shared" si="1417"/>
        <v>46554</v>
      </c>
      <c r="G3726" s="120">
        <f t="shared" si="1418"/>
        <v>24329</v>
      </c>
      <c r="H3726" s="245">
        <f t="shared" si="1419"/>
        <v>1</v>
      </c>
      <c r="I3726" s="121">
        <f t="shared" si="1420"/>
        <v>1</v>
      </c>
      <c r="J3726" s="121">
        <f t="shared" si="1421"/>
        <v>1</v>
      </c>
      <c r="K3726" s="120">
        <f t="shared" si="1422"/>
        <v>0</v>
      </c>
      <c r="L3726" s="120">
        <f t="shared" si="1423"/>
        <v>0</v>
      </c>
      <c r="M3726" s="246">
        <f t="shared" si="1424"/>
        <v>0</v>
      </c>
      <c r="N3726" s="121">
        <f t="shared" si="1425"/>
        <v>1</v>
      </c>
      <c r="O3726" s="246">
        <f t="shared" si="1426"/>
        <v>1</v>
      </c>
      <c r="P3726" s="121">
        <f t="shared" si="1427"/>
        <v>0</v>
      </c>
      <c r="Q3726" s="121">
        <f t="shared" si="1428"/>
        <v>1</v>
      </c>
      <c r="R3726" s="121">
        <f t="shared" si="1429"/>
        <v>0</v>
      </c>
      <c r="S3726" s="121" t="str">
        <f t="shared" si="1430"/>
        <v/>
      </c>
      <c r="T3726" s="121" t="str">
        <f t="shared" si="1431"/>
        <v/>
      </c>
      <c r="U3726" s="121">
        <f t="shared" si="1432"/>
        <v>1</v>
      </c>
    </row>
    <row r="3727" spans="1:21" x14ac:dyDescent="0.3">
      <c r="A3727" s="187">
        <v>31</v>
      </c>
      <c r="B3727" s="242">
        <f t="shared" si="1433"/>
        <v>46569</v>
      </c>
      <c r="C3727" s="243">
        <f t="shared" si="1414"/>
        <v>46599</v>
      </c>
      <c r="D3727" s="120">
        <f t="shared" si="1415"/>
        <v>31</v>
      </c>
      <c r="E3727" s="120">
        <f t="shared" si="1416"/>
        <v>7</v>
      </c>
      <c r="F3727" s="275">
        <f t="shared" si="1417"/>
        <v>46584.5</v>
      </c>
      <c r="G3727" s="120">
        <f t="shared" si="1418"/>
        <v>24330</v>
      </c>
      <c r="H3727" s="245">
        <f t="shared" si="1419"/>
        <v>1</v>
      </c>
      <c r="I3727" s="121">
        <f t="shared" si="1420"/>
        <v>1</v>
      </c>
      <c r="J3727" s="121">
        <f t="shared" si="1421"/>
        <v>1</v>
      </c>
      <c r="K3727" s="120">
        <f t="shared" si="1422"/>
        <v>0</v>
      </c>
      <c r="L3727" s="120">
        <f t="shared" si="1423"/>
        <v>0</v>
      </c>
      <c r="M3727" s="246">
        <f t="shared" si="1424"/>
        <v>0</v>
      </c>
      <c r="N3727" s="121">
        <f t="shared" si="1425"/>
        <v>1</v>
      </c>
      <c r="O3727" s="246">
        <f t="shared" si="1426"/>
        <v>1</v>
      </c>
      <c r="P3727" s="121">
        <f t="shared" si="1427"/>
        <v>0</v>
      </c>
      <c r="Q3727" s="121">
        <f t="shared" si="1428"/>
        <v>0.91666666666666663</v>
      </c>
      <c r="R3727" s="121">
        <f t="shared" si="1429"/>
        <v>8.333333333333337E-2</v>
      </c>
      <c r="S3727" s="121" t="str">
        <f t="shared" si="1430"/>
        <v/>
      </c>
      <c r="T3727" s="121" t="str">
        <f t="shared" si="1431"/>
        <v/>
      </c>
      <c r="U3727" s="121">
        <f t="shared" si="1432"/>
        <v>1</v>
      </c>
    </row>
    <row r="3728" spans="1:21" x14ac:dyDescent="0.3">
      <c r="A3728" s="187">
        <v>32</v>
      </c>
      <c r="B3728" s="242">
        <f t="shared" si="1433"/>
        <v>46600</v>
      </c>
      <c r="C3728" s="243">
        <f t="shared" si="1414"/>
        <v>46630</v>
      </c>
      <c r="D3728" s="120">
        <f t="shared" si="1415"/>
        <v>31</v>
      </c>
      <c r="E3728" s="120">
        <f t="shared" si="1416"/>
        <v>8</v>
      </c>
      <c r="F3728" s="275">
        <f t="shared" si="1417"/>
        <v>46615.5</v>
      </c>
      <c r="G3728" s="120">
        <f t="shared" si="1418"/>
        <v>24331</v>
      </c>
      <c r="H3728" s="245">
        <f t="shared" si="1419"/>
        <v>1</v>
      </c>
      <c r="I3728" s="121">
        <f t="shared" si="1420"/>
        <v>1</v>
      </c>
      <c r="J3728" s="121">
        <f t="shared" si="1421"/>
        <v>1</v>
      </c>
      <c r="K3728" s="120">
        <f t="shared" si="1422"/>
        <v>0</v>
      </c>
      <c r="L3728" s="120">
        <f t="shared" si="1423"/>
        <v>0</v>
      </c>
      <c r="M3728" s="246">
        <f t="shared" si="1424"/>
        <v>0</v>
      </c>
      <c r="N3728" s="121">
        <f t="shared" si="1425"/>
        <v>1</v>
      </c>
      <c r="O3728" s="246">
        <f t="shared" si="1426"/>
        <v>1</v>
      </c>
      <c r="P3728" s="121">
        <f t="shared" si="1427"/>
        <v>0</v>
      </c>
      <c r="Q3728" s="121">
        <f t="shared" si="1428"/>
        <v>0.75</v>
      </c>
      <c r="R3728" s="121">
        <f t="shared" si="1429"/>
        <v>0.25</v>
      </c>
      <c r="S3728" s="121" t="str">
        <f t="shared" si="1430"/>
        <v/>
      </c>
      <c r="T3728" s="121" t="str">
        <f t="shared" si="1431"/>
        <v/>
      </c>
      <c r="U3728" s="121">
        <f t="shared" si="1432"/>
        <v>1</v>
      </c>
    </row>
    <row r="3729" spans="1:21" x14ac:dyDescent="0.3">
      <c r="A3729" s="187">
        <v>33</v>
      </c>
      <c r="B3729" s="242">
        <f t="shared" si="1433"/>
        <v>46631</v>
      </c>
      <c r="C3729" s="243">
        <f t="shared" si="1414"/>
        <v>46660</v>
      </c>
      <c r="D3729" s="120">
        <f t="shared" si="1415"/>
        <v>30</v>
      </c>
      <c r="E3729" s="120">
        <f t="shared" si="1416"/>
        <v>9</v>
      </c>
      <c r="F3729" s="275">
        <f t="shared" si="1417"/>
        <v>46646</v>
      </c>
      <c r="G3729" s="120">
        <f t="shared" si="1418"/>
        <v>24332</v>
      </c>
      <c r="H3729" s="245">
        <f t="shared" si="1419"/>
        <v>1</v>
      </c>
      <c r="I3729" s="121">
        <f t="shared" si="1420"/>
        <v>1</v>
      </c>
      <c r="J3729" s="121">
        <f t="shared" si="1421"/>
        <v>1</v>
      </c>
      <c r="K3729" s="120">
        <f t="shared" si="1422"/>
        <v>0</v>
      </c>
      <c r="L3729" s="120">
        <f t="shared" si="1423"/>
        <v>0</v>
      </c>
      <c r="M3729" s="246">
        <f t="shared" si="1424"/>
        <v>0</v>
      </c>
      <c r="N3729" s="121">
        <f t="shared" si="1425"/>
        <v>1</v>
      </c>
      <c r="O3729" s="246">
        <f t="shared" si="1426"/>
        <v>1</v>
      </c>
      <c r="P3729" s="121">
        <f t="shared" si="1427"/>
        <v>0</v>
      </c>
      <c r="Q3729" s="121">
        <f t="shared" si="1428"/>
        <v>0.58333333333333337</v>
      </c>
      <c r="R3729" s="121">
        <f t="shared" si="1429"/>
        <v>0.41666666666666663</v>
      </c>
      <c r="S3729" s="121" t="str">
        <f t="shared" si="1430"/>
        <v/>
      </c>
      <c r="T3729" s="121" t="str">
        <f t="shared" si="1431"/>
        <v/>
      </c>
      <c r="U3729" s="121">
        <f t="shared" si="1432"/>
        <v>1</v>
      </c>
    </row>
    <row r="3730" spans="1:21" x14ac:dyDescent="0.3">
      <c r="A3730" s="187">
        <v>34</v>
      </c>
      <c r="B3730" s="242">
        <f t="shared" si="1433"/>
        <v>46661</v>
      </c>
      <c r="C3730" s="243">
        <f t="shared" si="1414"/>
        <v>46691</v>
      </c>
      <c r="D3730" s="120">
        <f t="shared" si="1415"/>
        <v>31</v>
      </c>
      <c r="E3730" s="120">
        <f t="shared" si="1416"/>
        <v>10</v>
      </c>
      <c r="F3730" s="275">
        <f t="shared" si="1417"/>
        <v>46676.5</v>
      </c>
      <c r="G3730" s="120">
        <f t="shared" si="1418"/>
        <v>24333</v>
      </c>
      <c r="H3730" s="245">
        <f t="shared" si="1419"/>
        <v>1</v>
      </c>
      <c r="I3730" s="121">
        <f t="shared" si="1420"/>
        <v>1</v>
      </c>
      <c r="J3730" s="121">
        <f t="shared" si="1421"/>
        <v>1</v>
      </c>
      <c r="K3730" s="120">
        <f t="shared" si="1422"/>
        <v>0</v>
      </c>
      <c r="L3730" s="120">
        <f t="shared" si="1423"/>
        <v>0</v>
      </c>
      <c r="M3730" s="246">
        <f t="shared" si="1424"/>
        <v>0</v>
      </c>
      <c r="N3730" s="121">
        <f t="shared" si="1425"/>
        <v>1</v>
      </c>
      <c r="O3730" s="246">
        <f t="shared" si="1426"/>
        <v>1</v>
      </c>
      <c r="P3730" s="121">
        <f t="shared" si="1427"/>
        <v>0</v>
      </c>
      <c r="Q3730" s="121">
        <f t="shared" si="1428"/>
        <v>0.41666666666666669</v>
      </c>
      <c r="R3730" s="121">
        <f t="shared" si="1429"/>
        <v>0.58333333333333326</v>
      </c>
      <c r="S3730" s="121" t="str">
        <f t="shared" si="1430"/>
        <v/>
      </c>
      <c r="T3730" s="121" t="str">
        <f t="shared" si="1431"/>
        <v/>
      </c>
      <c r="U3730" s="121">
        <f t="shared" si="1432"/>
        <v>1</v>
      </c>
    </row>
    <row r="3731" spans="1:21" x14ac:dyDescent="0.3">
      <c r="A3731" s="187">
        <v>35</v>
      </c>
      <c r="B3731" s="242">
        <f t="shared" si="1433"/>
        <v>46692</v>
      </c>
      <c r="C3731" s="243">
        <f t="shared" si="1414"/>
        <v>46721</v>
      </c>
      <c r="D3731" s="120">
        <f t="shared" si="1415"/>
        <v>30</v>
      </c>
      <c r="E3731" s="120">
        <f t="shared" si="1416"/>
        <v>11</v>
      </c>
      <c r="F3731" s="275">
        <f t="shared" si="1417"/>
        <v>46707</v>
      </c>
      <c r="G3731" s="120">
        <f t="shared" si="1418"/>
        <v>24334</v>
      </c>
      <c r="H3731" s="245">
        <f t="shared" si="1419"/>
        <v>1</v>
      </c>
      <c r="I3731" s="121">
        <f t="shared" si="1420"/>
        <v>1</v>
      </c>
      <c r="J3731" s="121">
        <f t="shared" si="1421"/>
        <v>1</v>
      </c>
      <c r="K3731" s="120">
        <f t="shared" si="1422"/>
        <v>0</v>
      </c>
      <c r="L3731" s="120">
        <f t="shared" si="1423"/>
        <v>0</v>
      </c>
      <c r="M3731" s="246">
        <f t="shared" si="1424"/>
        <v>0</v>
      </c>
      <c r="N3731" s="121">
        <f t="shared" si="1425"/>
        <v>1</v>
      </c>
      <c r="O3731" s="246">
        <f t="shared" si="1426"/>
        <v>1</v>
      </c>
      <c r="P3731" s="121">
        <f t="shared" si="1427"/>
        <v>0</v>
      </c>
      <c r="Q3731" s="121">
        <f t="shared" si="1428"/>
        <v>0.25</v>
      </c>
      <c r="R3731" s="121">
        <f t="shared" si="1429"/>
        <v>0.75</v>
      </c>
      <c r="S3731" s="121" t="str">
        <f t="shared" si="1430"/>
        <v/>
      </c>
      <c r="T3731" s="121" t="str">
        <f t="shared" si="1431"/>
        <v/>
      </c>
      <c r="U3731" s="121">
        <f t="shared" si="1432"/>
        <v>1</v>
      </c>
    </row>
    <row r="3732" spans="1:21" x14ac:dyDescent="0.3">
      <c r="A3732" s="187">
        <v>36</v>
      </c>
      <c r="B3732" s="242">
        <f t="shared" si="1433"/>
        <v>46722</v>
      </c>
      <c r="C3732" s="243">
        <f t="shared" si="1414"/>
        <v>46752</v>
      </c>
      <c r="D3732" s="120">
        <f t="shared" si="1415"/>
        <v>31</v>
      </c>
      <c r="E3732" s="120">
        <f t="shared" si="1416"/>
        <v>12</v>
      </c>
      <c r="F3732" s="275">
        <f t="shared" si="1417"/>
        <v>46737.5</v>
      </c>
      <c r="G3732" s="120">
        <f t="shared" si="1418"/>
        <v>24335</v>
      </c>
      <c r="H3732" s="245">
        <f t="shared" si="1419"/>
        <v>1</v>
      </c>
      <c r="I3732" s="121">
        <f t="shared" si="1420"/>
        <v>1</v>
      </c>
      <c r="J3732" s="121">
        <f t="shared" si="1421"/>
        <v>1</v>
      </c>
      <c r="K3732" s="120">
        <f t="shared" si="1422"/>
        <v>0</v>
      </c>
      <c r="L3732" s="120">
        <f t="shared" si="1423"/>
        <v>0</v>
      </c>
      <c r="M3732" s="246">
        <f t="shared" si="1424"/>
        <v>0</v>
      </c>
      <c r="N3732" s="121">
        <f t="shared" si="1425"/>
        <v>1</v>
      </c>
      <c r="O3732" s="246">
        <f t="shared" si="1426"/>
        <v>1</v>
      </c>
      <c r="P3732" s="121">
        <f t="shared" si="1427"/>
        <v>0</v>
      </c>
      <c r="Q3732" s="121">
        <f t="shared" si="1428"/>
        <v>8.3333333333333329E-2</v>
      </c>
      <c r="R3732" s="121">
        <f t="shared" si="1429"/>
        <v>0.91666666666666663</v>
      </c>
      <c r="S3732" s="121" t="str">
        <f t="shared" si="1430"/>
        <v/>
      </c>
      <c r="T3732" s="121" t="str">
        <f t="shared" si="1431"/>
        <v/>
      </c>
      <c r="U3732" s="121">
        <f t="shared" si="1432"/>
        <v>1</v>
      </c>
    </row>
    <row r="3733" spans="1:21" x14ac:dyDescent="0.3">
      <c r="A3733" s="187">
        <v>37</v>
      </c>
      <c r="B3733" s="242">
        <f t="shared" si="1433"/>
        <v>46753</v>
      </c>
      <c r="C3733" s="243">
        <f t="shared" si="1414"/>
        <v>46783</v>
      </c>
      <c r="D3733" s="120">
        <f t="shared" si="1415"/>
        <v>31</v>
      </c>
      <c r="E3733" s="120">
        <f t="shared" si="1416"/>
        <v>1</v>
      </c>
      <c r="F3733" s="275">
        <f t="shared" si="1417"/>
        <v>46768.5</v>
      </c>
      <c r="G3733" s="120">
        <f t="shared" si="1418"/>
        <v>24336</v>
      </c>
      <c r="H3733" s="245">
        <f t="shared" si="1419"/>
        <v>1</v>
      </c>
      <c r="I3733" s="121">
        <f t="shared" si="1420"/>
        <v>1</v>
      </c>
      <c r="J3733" s="121">
        <f t="shared" si="1421"/>
        <v>1</v>
      </c>
      <c r="K3733" s="120">
        <f t="shared" si="1422"/>
        <v>0</v>
      </c>
      <c r="L3733" s="120">
        <f t="shared" si="1423"/>
        <v>0</v>
      </c>
      <c r="M3733" s="246">
        <f t="shared" si="1424"/>
        <v>0</v>
      </c>
      <c r="N3733" s="121">
        <f t="shared" si="1425"/>
        <v>1</v>
      </c>
      <c r="O3733" s="246">
        <f t="shared" si="1426"/>
        <v>1</v>
      </c>
      <c r="P3733" s="121">
        <f t="shared" si="1427"/>
        <v>0</v>
      </c>
      <c r="Q3733" s="121">
        <f t="shared" si="1428"/>
        <v>0</v>
      </c>
      <c r="R3733" s="121">
        <f t="shared" si="1429"/>
        <v>1</v>
      </c>
      <c r="S3733" s="121" t="str">
        <f t="shared" si="1430"/>
        <v/>
      </c>
      <c r="T3733" s="121" t="str">
        <f t="shared" si="1431"/>
        <v/>
      </c>
      <c r="U3733" s="121">
        <f t="shared" si="1432"/>
        <v>1</v>
      </c>
    </row>
    <row r="3734" spans="1:21" x14ac:dyDescent="0.3">
      <c r="A3734" s="187">
        <v>38</v>
      </c>
      <c r="B3734" s="242">
        <f t="shared" si="1433"/>
        <v>46784</v>
      </c>
      <c r="C3734" s="243">
        <f t="shared" si="1414"/>
        <v>46812</v>
      </c>
      <c r="D3734" s="120">
        <f t="shared" si="1415"/>
        <v>29</v>
      </c>
      <c r="E3734" s="120">
        <f t="shared" si="1416"/>
        <v>2</v>
      </c>
      <c r="F3734" s="275">
        <f t="shared" si="1417"/>
        <v>46798.5</v>
      </c>
      <c r="G3734" s="120">
        <f t="shared" si="1418"/>
        <v>24337</v>
      </c>
      <c r="H3734" s="245">
        <f t="shared" si="1419"/>
        <v>1</v>
      </c>
      <c r="I3734" s="121">
        <f t="shared" si="1420"/>
        <v>1</v>
      </c>
      <c r="J3734" s="121">
        <f t="shared" si="1421"/>
        <v>1</v>
      </c>
      <c r="K3734" s="120">
        <f t="shared" si="1422"/>
        <v>0</v>
      </c>
      <c r="L3734" s="120">
        <f t="shared" si="1423"/>
        <v>0</v>
      </c>
      <c r="M3734" s="246">
        <f t="shared" si="1424"/>
        <v>0</v>
      </c>
      <c r="N3734" s="121">
        <f t="shared" si="1425"/>
        <v>1</v>
      </c>
      <c r="O3734" s="246">
        <f t="shared" si="1426"/>
        <v>1</v>
      </c>
      <c r="P3734" s="121">
        <f t="shared" si="1427"/>
        <v>0</v>
      </c>
      <c r="Q3734" s="121">
        <f t="shared" si="1428"/>
        <v>0</v>
      </c>
      <c r="R3734" s="121">
        <f t="shared" si="1429"/>
        <v>1</v>
      </c>
      <c r="S3734" s="121" t="str">
        <f t="shared" si="1430"/>
        <v/>
      </c>
      <c r="T3734" s="121" t="str">
        <f t="shared" si="1431"/>
        <v/>
      </c>
      <c r="U3734" s="121">
        <f t="shared" si="1432"/>
        <v>1</v>
      </c>
    </row>
    <row r="3735" spans="1:21" x14ac:dyDescent="0.3">
      <c r="A3735" s="187">
        <v>39</v>
      </c>
      <c r="B3735" s="242">
        <f t="shared" si="1433"/>
        <v>46813</v>
      </c>
      <c r="C3735" s="243">
        <f t="shared" si="1414"/>
        <v>46843</v>
      </c>
      <c r="D3735" s="120">
        <f t="shared" si="1415"/>
        <v>31</v>
      </c>
      <c r="E3735" s="120">
        <f t="shared" si="1416"/>
        <v>3</v>
      </c>
      <c r="F3735" s="275">
        <f t="shared" si="1417"/>
        <v>46828.5</v>
      </c>
      <c r="G3735" s="120">
        <f t="shared" si="1418"/>
        <v>24338</v>
      </c>
      <c r="H3735" s="245">
        <f t="shared" si="1419"/>
        <v>1</v>
      </c>
      <c r="I3735" s="121">
        <f t="shared" si="1420"/>
        <v>1</v>
      </c>
      <c r="J3735" s="121">
        <f t="shared" si="1421"/>
        <v>1</v>
      </c>
      <c r="K3735" s="120">
        <f t="shared" si="1422"/>
        <v>0</v>
      </c>
      <c r="L3735" s="120">
        <f t="shared" si="1423"/>
        <v>0</v>
      </c>
      <c r="M3735" s="246">
        <f t="shared" si="1424"/>
        <v>0</v>
      </c>
      <c r="N3735" s="121">
        <f t="shared" si="1425"/>
        <v>1</v>
      </c>
      <c r="O3735" s="246">
        <f t="shared" si="1426"/>
        <v>1</v>
      </c>
      <c r="P3735" s="121">
        <f t="shared" si="1427"/>
        <v>0</v>
      </c>
      <c r="Q3735" s="121">
        <f t="shared" si="1428"/>
        <v>0</v>
      </c>
      <c r="R3735" s="121">
        <f t="shared" si="1429"/>
        <v>1</v>
      </c>
      <c r="S3735" s="121" t="str">
        <f t="shared" si="1430"/>
        <v/>
      </c>
      <c r="T3735" s="121" t="str">
        <f t="shared" si="1431"/>
        <v/>
      </c>
      <c r="U3735" s="121">
        <f t="shared" si="1432"/>
        <v>1</v>
      </c>
    </row>
    <row r="3736" spans="1:21" x14ac:dyDescent="0.3">
      <c r="A3736" s="187">
        <v>40</v>
      </c>
      <c r="B3736" s="242">
        <f t="shared" si="1433"/>
        <v>46844</v>
      </c>
      <c r="C3736" s="243">
        <f t="shared" si="1414"/>
        <v>46873</v>
      </c>
      <c r="D3736" s="120">
        <f t="shared" si="1415"/>
        <v>30</v>
      </c>
      <c r="E3736" s="120">
        <f t="shared" si="1416"/>
        <v>4</v>
      </c>
      <c r="F3736" s="275">
        <f t="shared" si="1417"/>
        <v>46859</v>
      </c>
      <c r="G3736" s="120">
        <f t="shared" si="1418"/>
        <v>24339</v>
      </c>
      <c r="H3736" s="245">
        <f t="shared" si="1419"/>
        <v>1</v>
      </c>
      <c r="I3736" s="121">
        <f t="shared" si="1420"/>
        <v>1</v>
      </c>
      <c r="J3736" s="121">
        <f t="shared" si="1421"/>
        <v>1</v>
      </c>
      <c r="K3736" s="120">
        <f t="shared" si="1422"/>
        <v>0</v>
      </c>
      <c r="L3736" s="120">
        <f t="shared" si="1423"/>
        <v>0</v>
      </c>
      <c r="M3736" s="246">
        <f t="shared" si="1424"/>
        <v>0</v>
      </c>
      <c r="N3736" s="121">
        <f t="shared" si="1425"/>
        <v>1</v>
      </c>
      <c r="O3736" s="246">
        <f t="shared" si="1426"/>
        <v>1</v>
      </c>
      <c r="P3736" s="121">
        <f t="shared" si="1427"/>
        <v>0</v>
      </c>
      <c r="Q3736" s="121">
        <f t="shared" si="1428"/>
        <v>0</v>
      </c>
      <c r="R3736" s="121">
        <f t="shared" si="1429"/>
        <v>1</v>
      </c>
      <c r="S3736" s="121" t="str">
        <f t="shared" si="1430"/>
        <v/>
      </c>
      <c r="T3736" s="121" t="str">
        <f t="shared" si="1431"/>
        <v/>
      </c>
      <c r="U3736" s="121">
        <f t="shared" si="1432"/>
        <v>1</v>
      </c>
    </row>
    <row r="3737" spans="1:21" x14ac:dyDescent="0.3">
      <c r="A3737" s="187">
        <v>41</v>
      </c>
      <c r="B3737" s="242">
        <f t="shared" si="1433"/>
        <v>46874</v>
      </c>
      <c r="C3737" s="243">
        <f t="shared" si="1414"/>
        <v>46904</v>
      </c>
      <c r="D3737" s="120">
        <f t="shared" si="1415"/>
        <v>31</v>
      </c>
      <c r="E3737" s="120">
        <f t="shared" si="1416"/>
        <v>5</v>
      </c>
      <c r="F3737" s="275">
        <f t="shared" si="1417"/>
        <v>46889.5</v>
      </c>
      <c r="G3737" s="120">
        <f t="shared" si="1418"/>
        <v>24340</v>
      </c>
      <c r="H3737" s="245">
        <f t="shared" si="1419"/>
        <v>1</v>
      </c>
      <c r="I3737" s="121">
        <f t="shared" si="1420"/>
        <v>1</v>
      </c>
      <c r="J3737" s="121">
        <f t="shared" si="1421"/>
        <v>1</v>
      </c>
      <c r="K3737" s="120">
        <f t="shared" si="1422"/>
        <v>0</v>
      </c>
      <c r="L3737" s="120">
        <f t="shared" si="1423"/>
        <v>0</v>
      </c>
      <c r="M3737" s="246">
        <f t="shared" si="1424"/>
        <v>0</v>
      </c>
      <c r="N3737" s="121">
        <f t="shared" si="1425"/>
        <v>1</v>
      </c>
      <c r="O3737" s="246">
        <f t="shared" si="1426"/>
        <v>1</v>
      </c>
      <c r="P3737" s="121">
        <f t="shared" si="1427"/>
        <v>0</v>
      </c>
      <c r="Q3737" s="121">
        <f t="shared" si="1428"/>
        <v>0</v>
      </c>
      <c r="R3737" s="121">
        <f t="shared" si="1429"/>
        <v>1</v>
      </c>
      <c r="S3737" s="121" t="str">
        <f t="shared" si="1430"/>
        <v/>
      </c>
      <c r="T3737" s="121" t="str">
        <f t="shared" si="1431"/>
        <v/>
      </c>
      <c r="U3737" s="121">
        <f t="shared" si="1432"/>
        <v>1</v>
      </c>
    </row>
    <row r="3738" spans="1:21" x14ac:dyDescent="0.3">
      <c r="A3738" s="187">
        <v>42</v>
      </c>
      <c r="B3738" s="242">
        <f t="shared" si="1433"/>
        <v>46905</v>
      </c>
      <c r="C3738" s="243">
        <f t="shared" si="1414"/>
        <v>46934</v>
      </c>
      <c r="D3738" s="120">
        <f t="shared" si="1415"/>
        <v>30</v>
      </c>
      <c r="E3738" s="120">
        <f t="shared" si="1416"/>
        <v>6</v>
      </c>
      <c r="F3738" s="275">
        <f t="shared" si="1417"/>
        <v>46920</v>
      </c>
      <c r="G3738" s="120">
        <f t="shared" si="1418"/>
        <v>24341</v>
      </c>
      <c r="H3738" s="245">
        <f t="shared" si="1419"/>
        <v>1</v>
      </c>
      <c r="I3738" s="121">
        <f t="shared" si="1420"/>
        <v>1</v>
      </c>
      <c r="J3738" s="121">
        <f t="shared" si="1421"/>
        <v>1</v>
      </c>
      <c r="K3738" s="120">
        <f t="shared" si="1422"/>
        <v>0</v>
      </c>
      <c r="L3738" s="120">
        <f t="shared" si="1423"/>
        <v>0</v>
      </c>
      <c r="M3738" s="246">
        <f t="shared" si="1424"/>
        <v>0</v>
      </c>
      <c r="N3738" s="121">
        <f t="shared" si="1425"/>
        <v>1</v>
      </c>
      <c r="O3738" s="246">
        <f t="shared" si="1426"/>
        <v>1</v>
      </c>
      <c r="P3738" s="121">
        <f t="shared" si="1427"/>
        <v>0</v>
      </c>
      <c r="Q3738" s="121">
        <f t="shared" si="1428"/>
        <v>0</v>
      </c>
      <c r="R3738" s="121">
        <f t="shared" si="1429"/>
        <v>1</v>
      </c>
      <c r="S3738" s="121" t="str">
        <f t="shared" si="1430"/>
        <v/>
      </c>
      <c r="T3738" s="121" t="str">
        <f t="shared" si="1431"/>
        <v/>
      </c>
      <c r="U3738" s="121">
        <f t="shared" si="1432"/>
        <v>1</v>
      </c>
    </row>
    <row r="3739" spans="1:21" x14ac:dyDescent="0.3">
      <c r="A3739" s="187">
        <v>43</v>
      </c>
      <c r="B3739" s="242">
        <f t="shared" si="1433"/>
        <v>46935</v>
      </c>
      <c r="C3739" s="243">
        <f t="shared" si="1414"/>
        <v>46965</v>
      </c>
      <c r="D3739" s="120">
        <f t="shared" si="1415"/>
        <v>31</v>
      </c>
      <c r="E3739" s="120">
        <f t="shared" si="1416"/>
        <v>7</v>
      </c>
      <c r="F3739" s="275">
        <f t="shared" si="1417"/>
        <v>46950.5</v>
      </c>
      <c r="G3739" s="120">
        <f t="shared" si="1418"/>
        <v>24342</v>
      </c>
      <c r="H3739" s="245">
        <f t="shared" si="1419"/>
        <v>1</v>
      </c>
      <c r="I3739" s="121">
        <f t="shared" si="1420"/>
        <v>1</v>
      </c>
      <c r="J3739" s="121">
        <f t="shared" si="1421"/>
        <v>1</v>
      </c>
      <c r="K3739" s="120">
        <f t="shared" si="1422"/>
        <v>0</v>
      </c>
      <c r="L3739" s="120">
        <f t="shared" si="1423"/>
        <v>0</v>
      </c>
      <c r="M3739" s="246">
        <f t="shared" si="1424"/>
        <v>0</v>
      </c>
      <c r="N3739" s="121">
        <f t="shared" si="1425"/>
        <v>1</v>
      </c>
      <c r="O3739" s="246">
        <f t="shared" si="1426"/>
        <v>1</v>
      </c>
      <c r="P3739" s="121">
        <f t="shared" si="1427"/>
        <v>0</v>
      </c>
      <c r="Q3739" s="121">
        <f t="shared" si="1428"/>
        <v>0</v>
      </c>
      <c r="R3739" s="121">
        <f t="shared" si="1429"/>
        <v>0.91666666666666663</v>
      </c>
      <c r="S3739" s="121" t="str">
        <f t="shared" si="1430"/>
        <v/>
      </c>
      <c r="T3739" s="121" t="str">
        <f t="shared" si="1431"/>
        <v/>
      </c>
      <c r="U3739" s="121">
        <f t="shared" si="1432"/>
        <v>1</v>
      </c>
    </row>
    <row r="3740" spans="1:21" x14ac:dyDescent="0.3">
      <c r="A3740" s="187">
        <v>44</v>
      </c>
      <c r="B3740" s="242">
        <f t="shared" si="1433"/>
        <v>46966</v>
      </c>
      <c r="C3740" s="243">
        <f t="shared" si="1414"/>
        <v>46996</v>
      </c>
      <c r="D3740" s="120">
        <f t="shared" si="1415"/>
        <v>31</v>
      </c>
      <c r="E3740" s="120">
        <f t="shared" si="1416"/>
        <v>8</v>
      </c>
      <c r="F3740" s="275">
        <f t="shared" si="1417"/>
        <v>46981.5</v>
      </c>
      <c r="G3740" s="120">
        <f t="shared" si="1418"/>
        <v>24343</v>
      </c>
      <c r="H3740" s="245">
        <f t="shared" si="1419"/>
        <v>1</v>
      </c>
      <c r="I3740" s="121">
        <f t="shared" si="1420"/>
        <v>1</v>
      </c>
      <c r="J3740" s="121">
        <f t="shared" si="1421"/>
        <v>1</v>
      </c>
      <c r="K3740" s="120">
        <f t="shared" si="1422"/>
        <v>0</v>
      </c>
      <c r="L3740" s="120">
        <f t="shared" si="1423"/>
        <v>0</v>
      </c>
      <c r="M3740" s="246">
        <f t="shared" si="1424"/>
        <v>0</v>
      </c>
      <c r="N3740" s="121">
        <f t="shared" si="1425"/>
        <v>1</v>
      </c>
      <c r="O3740" s="246">
        <f t="shared" si="1426"/>
        <v>1</v>
      </c>
      <c r="P3740" s="121">
        <f t="shared" si="1427"/>
        <v>0</v>
      </c>
      <c r="Q3740" s="121">
        <f t="shared" si="1428"/>
        <v>0</v>
      </c>
      <c r="R3740" s="121">
        <f t="shared" si="1429"/>
        <v>0.75</v>
      </c>
      <c r="S3740" s="121" t="str">
        <f t="shared" si="1430"/>
        <v/>
      </c>
      <c r="T3740" s="121" t="str">
        <f t="shared" si="1431"/>
        <v/>
      </c>
      <c r="U3740" s="121">
        <f t="shared" si="1432"/>
        <v>1</v>
      </c>
    </row>
    <row r="3741" spans="1:21" x14ac:dyDescent="0.3">
      <c r="A3741" s="187">
        <v>45</v>
      </c>
      <c r="B3741" s="242">
        <f t="shared" si="1433"/>
        <v>46997</v>
      </c>
      <c r="C3741" s="243">
        <f t="shared" si="1414"/>
        <v>47026</v>
      </c>
      <c r="D3741" s="120">
        <f t="shared" si="1415"/>
        <v>30</v>
      </c>
      <c r="E3741" s="120">
        <f t="shared" si="1416"/>
        <v>9</v>
      </c>
      <c r="F3741" s="275">
        <f t="shared" si="1417"/>
        <v>47012</v>
      </c>
      <c r="G3741" s="120">
        <f t="shared" si="1418"/>
        <v>24344</v>
      </c>
      <c r="H3741" s="245">
        <f t="shared" si="1419"/>
        <v>1</v>
      </c>
      <c r="I3741" s="121">
        <f t="shared" si="1420"/>
        <v>1</v>
      </c>
      <c r="J3741" s="121">
        <f t="shared" si="1421"/>
        <v>1</v>
      </c>
      <c r="K3741" s="120">
        <f t="shared" si="1422"/>
        <v>0</v>
      </c>
      <c r="L3741" s="120">
        <f t="shared" si="1423"/>
        <v>0</v>
      </c>
      <c r="M3741" s="246">
        <f t="shared" si="1424"/>
        <v>0</v>
      </c>
      <c r="N3741" s="121">
        <f t="shared" si="1425"/>
        <v>1</v>
      </c>
      <c r="O3741" s="246">
        <f t="shared" si="1426"/>
        <v>1</v>
      </c>
      <c r="P3741" s="121">
        <f t="shared" si="1427"/>
        <v>0</v>
      </c>
      <c r="Q3741" s="121">
        <f t="shared" si="1428"/>
        <v>0</v>
      </c>
      <c r="R3741" s="121">
        <f t="shared" si="1429"/>
        <v>0.58333333333333337</v>
      </c>
      <c r="S3741" s="121" t="str">
        <f t="shared" si="1430"/>
        <v/>
      </c>
      <c r="T3741" s="121" t="str">
        <f t="shared" si="1431"/>
        <v/>
      </c>
      <c r="U3741" s="121">
        <f t="shared" si="1432"/>
        <v>1</v>
      </c>
    </row>
    <row r="3742" spans="1:21" x14ac:dyDescent="0.3">
      <c r="A3742" s="187">
        <v>46</v>
      </c>
      <c r="B3742" s="242">
        <f t="shared" si="1433"/>
        <v>47027</v>
      </c>
      <c r="C3742" s="243">
        <f t="shared" si="1414"/>
        <v>47057</v>
      </c>
      <c r="D3742" s="120">
        <f t="shared" si="1415"/>
        <v>31</v>
      </c>
      <c r="E3742" s="120">
        <f t="shared" si="1416"/>
        <v>10</v>
      </c>
      <c r="F3742" s="275">
        <f t="shared" si="1417"/>
        <v>47042.5</v>
      </c>
      <c r="G3742" s="120">
        <f t="shared" si="1418"/>
        <v>24345</v>
      </c>
      <c r="H3742" s="245">
        <f t="shared" si="1419"/>
        <v>1</v>
      </c>
      <c r="I3742" s="121">
        <f t="shared" si="1420"/>
        <v>1</v>
      </c>
      <c r="J3742" s="121">
        <f t="shared" si="1421"/>
        <v>1</v>
      </c>
      <c r="K3742" s="120">
        <f t="shared" si="1422"/>
        <v>0</v>
      </c>
      <c r="L3742" s="120">
        <f t="shared" si="1423"/>
        <v>0</v>
      </c>
      <c r="M3742" s="246">
        <f t="shared" si="1424"/>
        <v>0</v>
      </c>
      <c r="N3742" s="121">
        <f t="shared" si="1425"/>
        <v>1</v>
      </c>
      <c r="O3742" s="246">
        <f t="shared" si="1426"/>
        <v>1</v>
      </c>
      <c r="P3742" s="121">
        <f t="shared" si="1427"/>
        <v>0</v>
      </c>
      <c r="Q3742" s="121">
        <f t="shared" si="1428"/>
        <v>0</v>
      </c>
      <c r="R3742" s="121">
        <f t="shared" si="1429"/>
        <v>0.41666666666666669</v>
      </c>
      <c r="S3742" s="121" t="str">
        <f t="shared" si="1430"/>
        <v/>
      </c>
      <c r="T3742" s="121" t="str">
        <f t="shared" si="1431"/>
        <v/>
      </c>
      <c r="U3742" s="121">
        <f t="shared" si="1432"/>
        <v>1</v>
      </c>
    </row>
    <row r="3743" spans="1:21" x14ac:dyDescent="0.3">
      <c r="A3743" s="187">
        <v>47</v>
      </c>
      <c r="B3743" s="242">
        <f t="shared" si="1433"/>
        <v>47058</v>
      </c>
      <c r="C3743" s="243">
        <f t="shared" si="1414"/>
        <v>47087</v>
      </c>
      <c r="D3743" s="120">
        <f t="shared" si="1415"/>
        <v>30</v>
      </c>
      <c r="E3743" s="120">
        <f t="shared" si="1416"/>
        <v>11</v>
      </c>
      <c r="F3743" s="275">
        <f t="shared" si="1417"/>
        <v>47073</v>
      </c>
      <c r="G3743" s="120">
        <f t="shared" si="1418"/>
        <v>24346</v>
      </c>
      <c r="H3743" s="245">
        <f t="shared" si="1419"/>
        <v>1</v>
      </c>
      <c r="I3743" s="121">
        <f t="shared" si="1420"/>
        <v>1</v>
      </c>
      <c r="J3743" s="121">
        <f t="shared" si="1421"/>
        <v>1</v>
      </c>
      <c r="K3743" s="120">
        <f t="shared" si="1422"/>
        <v>0</v>
      </c>
      <c r="L3743" s="120">
        <f t="shared" si="1423"/>
        <v>0</v>
      </c>
      <c r="M3743" s="246">
        <f t="shared" si="1424"/>
        <v>0</v>
      </c>
      <c r="N3743" s="121">
        <f t="shared" si="1425"/>
        <v>1</v>
      </c>
      <c r="O3743" s="246">
        <f t="shared" si="1426"/>
        <v>1</v>
      </c>
      <c r="P3743" s="121">
        <f t="shared" si="1427"/>
        <v>0</v>
      </c>
      <c r="Q3743" s="121">
        <f t="shared" si="1428"/>
        <v>0</v>
      </c>
      <c r="R3743" s="121">
        <f t="shared" si="1429"/>
        <v>0.25</v>
      </c>
      <c r="S3743" s="121" t="str">
        <f t="shared" si="1430"/>
        <v/>
      </c>
      <c r="T3743" s="121" t="str">
        <f t="shared" si="1431"/>
        <v/>
      </c>
      <c r="U3743" s="121">
        <f t="shared" si="1432"/>
        <v>1</v>
      </c>
    </row>
    <row r="3744" spans="1:21" x14ac:dyDescent="0.3">
      <c r="A3744" s="187">
        <v>48</v>
      </c>
      <c r="B3744" s="242">
        <f t="shared" si="1433"/>
        <v>47088</v>
      </c>
      <c r="C3744" s="243">
        <f t="shared" si="1414"/>
        <v>47118</v>
      </c>
      <c r="D3744" s="120">
        <f t="shared" si="1415"/>
        <v>31</v>
      </c>
      <c r="E3744" s="120">
        <f t="shared" si="1416"/>
        <v>12</v>
      </c>
      <c r="F3744" s="275">
        <f t="shared" si="1417"/>
        <v>47103.5</v>
      </c>
      <c r="G3744" s="120">
        <f t="shared" si="1418"/>
        <v>24347</v>
      </c>
      <c r="H3744" s="245">
        <f t="shared" si="1419"/>
        <v>1</v>
      </c>
      <c r="I3744" s="121">
        <f t="shared" si="1420"/>
        <v>1</v>
      </c>
      <c r="J3744" s="121">
        <f t="shared" si="1421"/>
        <v>1</v>
      </c>
      <c r="K3744" s="120">
        <f t="shared" si="1422"/>
        <v>0</v>
      </c>
      <c r="L3744" s="120">
        <f t="shared" si="1423"/>
        <v>0</v>
      </c>
      <c r="M3744" s="246">
        <f t="shared" si="1424"/>
        <v>0</v>
      </c>
      <c r="N3744" s="121">
        <f t="shared" si="1425"/>
        <v>1</v>
      </c>
      <c r="O3744" s="246">
        <f t="shared" si="1426"/>
        <v>1</v>
      </c>
      <c r="P3744" s="121">
        <f t="shared" si="1427"/>
        <v>0</v>
      </c>
      <c r="Q3744" s="121">
        <f t="shared" si="1428"/>
        <v>0</v>
      </c>
      <c r="R3744" s="121">
        <f t="shared" si="1429"/>
        <v>8.3333333333333329E-2</v>
      </c>
      <c r="S3744" s="121" t="str">
        <f t="shared" si="1430"/>
        <v/>
      </c>
      <c r="T3744" s="121" t="str">
        <f t="shared" si="1431"/>
        <v/>
      </c>
      <c r="U3744" s="121">
        <f t="shared" si="1432"/>
        <v>1</v>
      </c>
    </row>
    <row r="3745" spans="1:21" x14ac:dyDescent="0.3">
      <c r="A3745" s="6" t="s">
        <v>1651</v>
      </c>
      <c r="B3745" s="73">
        <f>EXP(SUMPRODUCT((rl_key=$A$3694)*(rl_cons="Y")*rl_ln1p))</f>
        <v>1</v>
      </c>
      <c r="C3745" s="73">
        <f>SUMPRODUCT($H$3697:$H$3744,$P$3697:$P$3744,$U$3697:$U$3744)/SUMPRODUCT($H$3697:$H$3744,$P$3697:$P$3744)</f>
        <v>1</v>
      </c>
      <c r="D3745" s="73">
        <f>SUMPRODUCT($H$3697:$H$3744,$Q$3697:$Q$3744,$U$3697:$U$3744)/SUMPRODUCT($H$3697:$H$3744,$Q$3697:$Q$3744)</f>
        <v>1</v>
      </c>
      <c r="E3745" s="73">
        <f>SUMPRODUCT($H$3697:$H$3744,$R$3697:$R$3744,$U$3697:$U$3744)/SUMPRODUCT($H$3697:$H$3744,$R$3697:$R$3744)</f>
        <v>1</v>
      </c>
      <c r="F3745" s="224">
        <f>SUMPRODUCT($H$3697:$H$3744,$Q$3697:$Q$3744,$O$3697:$O$3744)/SUMPRODUCT($H$3697:$H$3744,$Q$3697:$Q$3744)</f>
        <v>1</v>
      </c>
      <c r="G3745" s="224">
        <f>SUMPRODUCT($H$3697:$H$3744,$R$3697:$R$3744,$O$3697:$O$3744)/SUMPRODUCT($H$3697:$H$3744,$R$3697:$R$3744)</f>
        <v>1</v>
      </c>
      <c r="H3745" s="73">
        <f>SUMPRODUCT($H$3721:$H$3732,$N$3721:$N$3732/$N$3709:$N$3720)/SUM($H$3721:$H$3732)</f>
        <v>1</v>
      </c>
      <c r="I3745" s="73">
        <f>SUMPRODUCT($H$3721:$H$3732,$O$3721:$O$3732/$O$3709:$O$3720)/SUM($H$3721:$H$3732)</f>
        <v>1</v>
      </c>
      <c r="J3745" s="73">
        <f>IF($O$3694=1,SUMPRODUCT($H$3721:$H$3732,$N$3721:$N$3732/$N$3709:$N$3720*$O$3721:$O$3732/$O$3709:$O$3720)/SUM($H$3721:$H$3732),$H3745)</f>
        <v>1</v>
      </c>
      <c r="K3745" s="73">
        <f>SUMPRODUCT($H$3697:$H$3744,$Q$3697:$Q$3744,$N$3697:$N$3744)/SUMPRODUCT($H$3697:$H$3744,$Q$3697:$Q$3744)</f>
        <v>1</v>
      </c>
      <c r="L3745" s="73">
        <f>SUMPRODUCT($H$3697:$H$3744,$R$3697:$R$3744,$N$3697:$N$3744)/SUMPRODUCT($H$3697:$H$3744,$R$3697:$R$3744)</f>
        <v>1</v>
      </c>
    </row>
    <row r="3748" spans="1:21" x14ac:dyDescent="0.3">
      <c r="A3748" s="6" t="str">
        <f>INDEX(lr_key,69)</f>
        <v/>
      </c>
      <c r="B3748" s="6">
        <f>INDEX(lr_state,69)</f>
        <v>0</v>
      </c>
      <c r="C3748" s="75">
        <f>nr_TermMonths</f>
        <v>6</v>
      </c>
      <c r="D3748" s="75">
        <f>IF(COUNTIF(se_state,$B3748)=0,0,MATCH($B3748,se_state,0))</f>
        <v>0</v>
      </c>
      <c r="E3748" s="70">
        <f>IF($D3748=0,0,INDEX(se_sum,$D3748))</f>
        <v>0</v>
      </c>
      <c r="F3748" s="224">
        <f>IF(N(INDEX(lr_mind,69))=0,1,INDEX(lr_mind,69))</f>
        <v>1</v>
      </c>
      <c r="G3748" s="224">
        <f>IF(N(INDEX(lr_m0,69))=0,1,INDEX(lr_m0,69))</f>
        <v>1</v>
      </c>
      <c r="H3748" s="74">
        <f>IF(N(INDEX(lr_m0asof,69))=0,DATE(nr_PlanYear-1,10,1),INDEX(lr_m0asof,69))</f>
        <v>46296</v>
      </c>
      <c r="I3748" s="224">
        <f>IF(N(INDEX(lr_m1,69))=0,1,INDEX(lr_m1,69))</f>
        <v>1</v>
      </c>
      <c r="J3748" s="224">
        <f>INDEX(lr_mprior,69)</f>
        <v>0</v>
      </c>
      <c r="K3748" s="224">
        <f>INDEX(lr_m2,69)</f>
        <v>0</v>
      </c>
      <c r="L3748" s="6" t="b">
        <f>NOT(ISBLANK(INDEX(lr_netp,69)))</f>
        <v>0</v>
      </c>
      <c r="M3748" s="72">
        <f>N(INDEX(lr_netp,69))</f>
        <v>0</v>
      </c>
      <c r="N3748" s="72">
        <f>IF(ISBLANK(INDEX(lr_netp1,69)),$M$3748,N(INDEX(lr_netp1,69)))</f>
        <v>0</v>
      </c>
      <c r="O3748" s="75">
        <f>IF(AND(nr_ModAdjMaster="ON",INDEX(lr_modadj,69)="ON"),1,0)</f>
        <v>0</v>
      </c>
    </row>
    <row r="3749" spans="1:21" x14ac:dyDescent="0.3">
      <c r="A3749" s="6">
        <f>EDATE($H$3748,-12)+1</f>
        <v>45932</v>
      </c>
      <c r="B3749" s="6">
        <f>$H$3748+1</f>
        <v>46297</v>
      </c>
      <c r="C3749" s="6">
        <f>DATE(nr_PlanYear,12,31)+1</f>
        <v>46753</v>
      </c>
      <c r="D3749" s="6">
        <f>DATE(nr_PlanYear+1,12,31)+1</f>
        <v>47119</v>
      </c>
      <c r="E3749" s="6">
        <f>IF(N($J$3748)=0,$F$3749-($G$3749-$F$3749)/($C$3749-$B$3749)*($B$3749-$A$3749),$J$3748)</f>
        <v>1</v>
      </c>
      <c r="F3749" s="6">
        <f>$G$3748</f>
        <v>1</v>
      </c>
      <c r="G3749" s="6">
        <f>$I$3748</f>
        <v>1</v>
      </c>
      <c r="H3749" s="6">
        <f>IF(N($K$3748)=0,$I$3748,$K$3748)</f>
        <v>1</v>
      </c>
      <c r="I3749" s="6">
        <f>($F$3749-$E$3749)/($B$3749-$A$3749)</f>
        <v>0</v>
      </c>
      <c r="J3749" s="6">
        <f>($G$3749-$F$3749)/($C$3749-$B$3749)</f>
        <v>0</v>
      </c>
      <c r="K3749" s="6">
        <f>($H$3749-$G$3749)/($D$3749-$C$3749)</f>
        <v>0</v>
      </c>
    </row>
    <row r="3750" spans="1:21" ht="36" x14ac:dyDescent="0.3">
      <c r="A3750" s="58" t="s">
        <v>390</v>
      </c>
      <c r="B3750" s="58" t="s">
        <v>449</v>
      </c>
      <c r="C3750" s="58" t="s">
        <v>685</v>
      </c>
      <c r="D3750" s="58" t="s">
        <v>686</v>
      </c>
      <c r="E3750" s="58" t="s">
        <v>687</v>
      </c>
      <c r="F3750" s="58" t="s">
        <v>688</v>
      </c>
      <c r="G3750" s="58" t="s">
        <v>689</v>
      </c>
      <c r="H3750" s="58" t="s">
        <v>452</v>
      </c>
      <c r="I3750" s="58" t="s">
        <v>690</v>
      </c>
      <c r="J3750" s="58" t="s">
        <v>691</v>
      </c>
      <c r="K3750" s="58" t="s">
        <v>692</v>
      </c>
      <c r="L3750" s="58" t="s">
        <v>693</v>
      </c>
      <c r="M3750" s="58" t="s">
        <v>694</v>
      </c>
      <c r="N3750" s="58" t="s">
        <v>695</v>
      </c>
      <c r="O3750" s="58" t="s">
        <v>696</v>
      </c>
      <c r="P3750" s="58" t="s">
        <v>697</v>
      </c>
      <c r="Q3750" s="58" t="s">
        <v>698</v>
      </c>
      <c r="R3750" s="58" t="s">
        <v>699</v>
      </c>
      <c r="S3750" s="58" t="s">
        <v>700</v>
      </c>
      <c r="T3750" s="58" t="s">
        <v>701</v>
      </c>
      <c r="U3750" s="58" t="s">
        <v>702</v>
      </c>
    </row>
    <row r="3751" spans="1:21" x14ac:dyDescent="0.3">
      <c r="A3751" s="187">
        <v>1</v>
      </c>
      <c r="B3751" s="242">
        <f>DATE(nr_PlanYear-2,1,1)</f>
        <v>45658</v>
      </c>
      <c r="C3751" s="243">
        <f t="shared" ref="C3751:C3798" si="1434">EOMONTH($B3751,0)</f>
        <v>45688</v>
      </c>
      <c r="D3751" s="120">
        <f t="shared" ref="D3751:D3798" si="1435">$C3751-$B3751+1</f>
        <v>31</v>
      </c>
      <c r="E3751" s="120">
        <f t="shared" ref="E3751:E3798" si="1436">MONTH($B3751)</f>
        <v>1</v>
      </c>
      <c r="F3751" s="275">
        <f t="shared" ref="F3751:F3798" si="1437">($B3751+$C3751+1)/2</f>
        <v>45673.5</v>
      </c>
      <c r="G3751" s="120">
        <f t="shared" ref="G3751:G3798" si="1438">YEAR($B3751)*12+MONTH($B3751)-1</f>
        <v>24300</v>
      </c>
      <c r="H3751" s="245">
        <f t="shared" ref="H3751:H3798" si="1439">IF(OR(nr_SeasonOn="OFF",$D$3748=0,$E$3748=0),1,12*INDEX(se_block,$D$3748,$E3751)/$E$3748)</f>
        <v>1</v>
      </c>
      <c r="I3751" s="121">
        <f t="shared" ref="I3751:I3798" si="1440">EXP(SUMPRODUCT((rl_eff&lt;$B3751)*(rl_key=$A$3748)*rl_ln1p))</f>
        <v>1</v>
      </c>
      <c r="J3751" s="121">
        <f t="shared" ref="J3751:J3798" si="1441">EXP(SUMPRODUCT((rl_eff&lt;=$C3751)*(rl_key=$A$3748)*rl_ln1p))</f>
        <v>1</v>
      </c>
      <c r="K3751" s="120">
        <f t="shared" ref="K3751:K3798" si="1442">COUNTIFS(rl_key,$A$3748,rl_eff,"&gt;="&amp;$B3751,rl_eff,"&lt;="&amp;$C3751)</f>
        <v>0</v>
      </c>
      <c r="L3751" s="120">
        <f t="shared" ref="L3751:L3798" si="1443">SUMIFS(rl_daysafter,rl_key,$A$3748,rl_effmonth,$B3751,rl_first,1)</f>
        <v>0</v>
      </c>
      <c r="M3751" s="246">
        <f t="shared" ref="M3751:M3798" si="1444">IF($K3751=0,0,MIN(1,$L3751/$D3751))</f>
        <v>0</v>
      </c>
      <c r="N3751" s="121">
        <f t="shared" ref="N3751:N3798" si="1445">IF($K3751=0,$J3751,(1-$M3751)*$I3751+$M3751*$J3751)</f>
        <v>1</v>
      </c>
      <c r="O3751" s="246">
        <f t="shared" ref="O3751:O3798" si="1446">IF($F3751&lt;$B$3749,$E$3749+$I$3749*($F3751-$A$3749),IF($F3751&lt;$C$3749,$F$3749+$J$3749*($F3751-$B$3749),$G$3749+$K$3749*($F3751-$C$3749)))</f>
        <v>1</v>
      </c>
      <c r="P3751" s="121">
        <f t="shared" ref="P3751:P3798" si="1447">MIN(1,MAX(0,(nr_MEndPm1-$G3751+0.5)/$C$3748))-MIN(1,MAX(0,(nr_MStartPm1-1-$G3751+0.5)/$C$3748))</f>
        <v>0</v>
      </c>
      <c r="Q3751" s="121">
        <f t="shared" ref="Q3751:Q3798" si="1448">MIN(1,MAX(0,(nr_MEndP-$G3751+0.5)/$C$3748))-MIN(1,MAX(0,(nr_MStartP-1-$G3751+0.5)/$C$3748))</f>
        <v>0</v>
      </c>
      <c r="R3751" s="121">
        <f t="shared" ref="R3751:R3798" si="1449">MIN(1,MAX(0,(nr_MEndP1-$G3751+0.5)/$C$3748))-MIN(1,MAX(0,(nr_MStartP1-1-$G3751+0.5)/$C$3748))</f>
        <v>0</v>
      </c>
      <c r="S3751" s="121" t="str">
        <f t="shared" ref="S3751:S3798" si="1450">IF($L$3748,$N3751*IF($O$3748=1,$O3751/$F$3748,1),"")</f>
        <v/>
      </c>
      <c r="T3751" s="121" t="str">
        <f t="shared" ref="T3751:T3798" si="1451">IF(NOT($L$3748),"",IF($G3751&lt;nr_MStartP,$S3751,$T3739*(1+IF($G3751&lt;nr_MStartP1,$M$3748,$N$3748))))</f>
        <v/>
      </c>
      <c r="U3751" s="121">
        <f t="shared" ref="U3751:U3798" si="1452">IF($L$3748,$T3751,$N3751)</f>
        <v>1</v>
      </c>
    </row>
    <row r="3752" spans="1:21" x14ac:dyDescent="0.3">
      <c r="A3752" s="187">
        <v>2</v>
      </c>
      <c r="B3752" s="242">
        <f t="shared" ref="B3752:B3798" si="1453">EDATE($B3751,1)</f>
        <v>45689</v>
      </c>
      <c r="C3752" s="243">
        <f t="shared" si="1434"/>
        <v>45716</v>
      </c>
      <c r="D3752" s="120">
        <f t="shared" si="1435"/>
        <v>28</v>
      </c>
      <c r="E3752" s="120">
        <f t="shared" si="1436"/>
        <v>2</v>
      </c>
      <c r="F3752" s="275">
        <f t="shared" si="1437"/>
        <v>45703</v>
      </c>
      <c r="G3752" s="120">
        <f t="shared" si="1438"/>
        <v>24301</v>
      </c>
      <c r="H3752" s="245">
        <f t="shared" si="1439"/>
        <v>1</v>
      </c>
      <c r="I3752" s="121">
        <f t="shared" si="1440"/>
        <v>1</v>
      </c>
      <c r="J3752" s="121">
        <f t="shared" si="1441"/>
        <v>1</v>
      </c>
      <c r="K3752" s="120">
        <f t="shared" si="1442"/>
        <v>0</v>
      </c>
      <c r="L3752" s="120">
        <f t="shared" si="1443"/>
        <v>0</v>
      </c>
      <c r="M3752" s="246">
        <f t="shared" si="1444"/>
        <v>0</v>
      </c>
      <c r="N3752" s="121">
        <f t="shared" si="1445"/>
        <v>1</v>
      </c>
      <c r="O3752" s="246">
        <f t="shared" si="1446"/>
        <v>1</v>
      </c>
      <c r="P3752" s="121">
        <f t="shared" si="1447"/>
        <v>0</v>
      </c>
      <c r="Q3752" s="121">
        <f t="shared" si="1448"/>
        <v>0</v>
      </c>
      <c r="R3752" s="121">
        <f t="shared" si="1449"/>
        <v>0</v>
      </c>
      <c r="S3752" s="121" t="str">
        <f t="shared" si="1450"/>
        <v/>
      </c>
      <c r="T3752" s="121" t="str">
        <f t="shared" si="1451"/>
        <v/>
      </c>
      <c r="U3752" s="121">
        <f t="shared" si="1452"/>
        <v>1</v>
      </c>
    </row>
    <row r="3753" spans="1:21" x14ac:dyDescent="0.3">
      <c r="A3753" s="187">
        <v>3</v>
      </c>
      <c r="B3753" s="242">
        <f t="shared" si="1453"/>
        <v>45717</v>
      </c>
      <c r="C3753" s="243">
        <f t="shared" si="1434"/>
        <v>45747</v>
      </c>
      <c r="D3753" s="120">
        <f t="shared" si="1435"/>
        <v>31</v>
      </c>
      <c r="E3753" s="120">
        <f t="shared" si="1436"/>
        <v>3</v>
      </c>
      <c r="F3753" s="275">
        <f t="shared" si="1437"/>
        <v>45732.5</v>
      </c>
      <c r="G3753" s="120">
        <f t="shared" si="1438"/>
        <v>24302</v>
      </c>
      <c r="H3753" s="245">
        <f t="shared" si="1439"/>
        <v>1</v>
      </c>
      <c r="I3753" s="121">
        <f t="shared" si="1440"/>
        <v>1</v>
      </c>
      <c r="J3753" s="121">
        <f t="shared" si="1441"/>
        <v>1</v>
      </c>
      <c r="K3753" s="120">
        <f t="shared" si="1442"/>
        <v>0</v>
      </c>
      <c r="L3753" s="120">
        <f t="shared" si="1443"/>
        <v>0</v>
      </c>
      <c r="M3753" s="246">
        <f t="shared" si="1444"/>
        <v>0</v>
      </c>
      <c r="N3753" s="121">
        <f t="shared" si="1445"/>
        <v>1</v>
      </c>
      <c r="O3753" s="246">
        <f t="shared" si="1446"/>
        <v>1</v>
      </c>
      <c r="P3753" s="121">
        <f t="shared" si="1447"/>
        <v>0</v>
      </c>
      <c r="Q3753" s="121">
        <f t="shared" si="1448"/>
        <v>0</v>
      </c>
      <c r="R3753" s="121">
        <f t="shared" si="1449"/>
        <v>0</v>
      </c>
      <c r="S3753" s="121" t="str">
        <f t="shared" si="1450"/>
        <v/>
      </c>
      <c r="T3753" s="121" t="str">
        <f t="shared" si="1451"/>
        <v/>
      </c>
      <c r="U3753" s="121">
        <f t="shared" si="1452"/>
        <v>1</v>
      </c>
    </row>
    <row r="3754" spans="1:21" x14ac:dyDescent="0.3">
      <c r="A3754" s="187">
        <v>4</v>
      </c>
      <c r="B3754" s="242">
        <f t="shared" si="1453"/>
        <v>45748</v>
      </c>
      <c r="C3754" s="243">
        <f t="shared" si="1434"/>
        <v>45777</v>
      </c>
      <c r="D3754" s="120">
        <f t="shared" si="1435"/>
        <v>30</v>
      </c>
      <c r="E3754" s="120">
        <f t="shared" si="1436"/>
        <v>4</v>
      </c>
      <c r="F3754" s="275">
        <f t="shared" si="1437"/>
        <v>45763</v>
      </c>
      <c r="G3754" s="120">
        <f t="shared" si="1438"/>
        <v>24303</v>
      </c>
      <c r="H3754" s="245">
        <f t="shared" si="1439"/>
        <v>1</v>
      </c>
      <c r="I3754" s="121">
        <f t="shared" si="1440"/>
        <v>1</v>
      </c>
      <c r="J3754" s="121">
        <f t="shared" si="1441"/>
        <v>1</v>
      </c>
      <c r="K3754" s="120">
        <f t="shared" si="1442"/>
        <v>0</v>
      </c>
      <c r="L3754" s="120">
        <f t="shared" si="1443"/>
        <v>0</v>
      </c>
      <c r="M3754" s="246">
        <f t="shared" si="1444"/>
        <v>0</v>
      </c>
      <c r="N3754" s="121">
        <f t="shared" si="1445"/>
        <v>1</v>
      </c>
      <c r="O3754" s="246">
        <f t="shared" si="1446"/>
        <v>1</v>
      </c>
      <c r="P3754" s="121">
        <f t="shared" si="1447"/>
        <v>0</v>
      </c>
      <c r="Q3754" s="121">
        <f t="shared" si="1448"/>
        <v>0</v>
      </c>
      <c r="R3754" s="121">
        <f t="shared" si="1449"/>
        <v>0</v>
      </c>
      <c r="S3754" s="121" t="str">
        <f t="shared" si="1450"/>
        <v/>
      </c>
      <c r="T3754" s="121" t="str">
        <f t="shared" si="1451"/>
        <v/>
      </c>
      <c r="U3754" s="121">
        <f t="shared" si="1452"/>
        <v>1</v>
      </c>
    </row>
    <row r="3755" spans="1:21" x14ac:dyDescent="0.3">
      <c r="A3755" s="187">
        <v>5</v>
      </c>
      <c r="B3755" s="242">
        <f t="shared" si="1453"/>
        <v>45778</v>
      </c>
      <c r="C3755" s="243">
        <f t="shared" si="1434"/>
        <v>45808</v>
      </c>
      <c r="D3755" s="120">
        <f t="shared" si="1435"/>
        <v>31</v>
      </c>
      <c r="E3755" s="120">
        <f t="shared" si="1436"/>
        <v>5</v>
      </c>
      <c r="F3755" s="275">
        <f t="shared" si="1437"/>
        <v>45793.5</v>
      </c>
      <c r="G3755" s="120">
        <f t="shared" si="1438"/>
        <v>24304</v>
      </c>
      <c r="H3755" s="245">
        <f t="shared" si="1439"/>
        <v>1</v>
      </c>
      <c r="I3755" s="121">
        <f t="shared" si="1440"/>
        <v>1</v>
      </c>
      <c r="J3755" s="121">
        <f t="shared" si="1441"/>
        <v>1</v>
      </c>
      <c r="K3755" s="120">
        <f t="shared" si="1442"/>
        <v>0</v>
      </c>
      <c r="L3755" s="120">
        <f t="shared" si="1443"/>
        <v>0</v>
      </c>
      <c r="M3755" s="246">
        <f t="shared" si="1444"/>
        <v>0</v>
      </c>
      <c r="N3755" s="121">
        <f t="shared" si="1445"/>
        <v>1</v>
      </c>
      <c r="O3755" s="246">
        <f t="shared" si="1446"/>
        <v>1</v>
      </c>
      <c r="P3755" s="121">
        <f t="shared" si="1447"/>
        <v>0</v>
      </c>
      <c r="Q3755" s="121">
        <f t="shared" si="1448"/>
        <v>0</v>
      </c>
      <c r="R3755" s="121">
        <f t="shared" si="1449"/>
        <v>0</v>
      </c>
      <c r="S3755" s="121" t="str">
        <f t="shared" si="1450"/>
        <v/>
      </c>
      <c r="T3755" s="121" t="str">
        <f t="shared" si="1451"/>
        <v/>
      </c>
      <c r="U3755" s="121">
        <f t="shared" si="1452"/>
        <v>1</v>
      </c>
    </row>
    <row r="3756" spans="1:21" x14ac:dyDescent="0.3">
      <c r="A3756" s="187">
        <v>6</v>
      </c>
      <c r="B3756" s="242">
        <f t="shared" si="1453"/>
        <v>45809</v>
      </c>
      <c r="C3756" s="243">
        <f t="shared" si="1434"/>
        <v>45838</v>
      </c>
      <c r="D3756" s="120">
        <f t="shared" si="1435"/>
        <v>30</v>
      </c>
      <c r="E3756" s="120">
        <f t="shared" si="1436"/>
        <v>6</v>
      </c>
      <c r="F3756" s="275">
        <f t="shared" si="1437"/>
        <v>45824</v>
      </c>
      <c r="G3756" s="120">
        <f t="shared" si="1438"/>
        <v>24305</v>
      </c>
      <c r="H3756" s="245">
        <f t="shared" si="1439"/>
        <v>1</v>
      </c>
      <c r="I3756" s="121">
        <f t="shared" si="1440"/>
        <v>1</v>
      </c>
      <c r="J3756" s="121">
        <f t="shared" si="1441"/>
        <v>1</v>
      </c>
      <c r="K3756" s="120">
        <f t="shared" si="1442"/>
        <v>0</v>
      </c>
      <c r="L3756" s="120">
        <f t="shared" si="1443"/>
        <v>0</v>
      </c>
      <c r="M3756" s="246">
        <f t="shared" si="1444"/>
        <v>0</v>
      </c>
      <c r="N3756" s="121">
        <f t="shared" si="1445"/>
        <v>1</v>
      </c>
      <c r="O3756" s="246">
        <f t="shared" si="1446"/>
        <v>1</v>
      </c>
      <c r="P3756" s="121">
        <f t="shared" si="1447"/>
        <v>0</v>
      </c>
      <c r="Q3756" s="121">
        <f t="shared" si="1448"/>
        <v>0</v>
      </c>
      <c r="R3756" s="121">
        <f t="shared" si="1449"/>
        <v>0</v>
      </c>
      <c r="S3756" s="121" t="str">
        <f t="shared" si="1450"/>
        <v/>
      </c>
      <c r="T3756" s="121" t="str">
        <f t="shared" si="1451"/>
        <v/>
      </c>
      <c r="U3756" s="121">
        <f t="shared" si="1452"/>
        <v>1</v>
      </c>
    </row>
    <row r="3757" spans="1:21" x14ac:dyDescent="0.3">
      <c r="A3757" s="187">
        <v>7</v>
      </c>
      <c r="B3757" s="242">
        <f t="shared" si="1453"/>
        <v>45839</v>
      </c>
      <c r="C3757" s="243">
        <f t="shared" si="1434"/>
        <v>45869</v>
      </c>
      <c r="D3757" s="120">
        <f t="shared" si="1435"/>
        <v>31</v>
      </c>
      <c r="E3757" s="120">
        <f t="shared" si="1436"/>
        <v>7</v>
      </c>
      <c r="F3757" s="275">
        <f t="shared" si="1437"/>
        <v>45854.5</v>
      </c>
      <c r="G3757" s="120">
        <f t="shared" si="1438"/>
        <v>24306</v>
      </c>
      <c r="H3757" s="245">
        <f t="shared" si="1439"/>
        <v>1</v>
      </c>
      <c r="I3757" s="121">
        <f t="shared" si="1440"/>
        <v>1</v>
      </c>
      <c r="J3757" s="121">
        <f t="shared" si="1441"/>
        <v>1</v>
      </c>
      <c r="K3757" s="120">
        <f t="shared" si="1442"/>
        <v>0</v>
      </c>
      <c r="L3757" s="120">
        <f t="shared" si="1443"/>
        <v>0</v>
      </c>
      <c r="M3757" s="246">
        <f t="shared" si="1444"/>
        <v>0</v>
      </c>
      <c r="N3757" s="121">
        <f t="shared" si="1445"/>
        <v>1</v>
      </c>
      <c r="O3757" s="246">
        <f t="shared" si="1446"/>
        <v>1</v>
      </c>
      <c r="P3757" s="121">
        <f t="shared" si="1447"/>
        <v>8.333333333333337E-2</v>
      </c>
      <c r="Q3757" s="121">
        <f t="shared" si="1448"/>
        <v>0</v>
      </c>
      <c r="R3757" s="121">
        <f t="shared" si="1449"/>
        <v>0</v>
      </c>
      <c r="S3757" s="121" t="str">
        <f t="shared" si="1450"/>
        <v/>
      </c>
      <c r="T3757" s="121" t="str">
        <f t="shared" si="1451"/>
        <v/>
      </c>
      <c r="U3757" s="121">
        <f t="shared" si="1452"/>
        <v>1</v>
      </c>
    </row>
    <row r="3758" spans="1:21" x14ac:dyDescent="0.3">
      <c r="A3758" s="187">
        <v>8</v>
      </c>
      <c r="B3758" s="242">
        <f t="shared" si="1453"/>
        <v>45870</v>
      </c>
      <c r="C3758" s="243">
        <f t="shared" si="1434"/>
        <v>45900</v>
      </c>
      <c r="D3758" s="120">
        <f t="shared" si="1435"/>
        <v>31</v>
      </c>
      <c r="E3758" s="120">
        <f t="shared" si="1436"/>
        <v>8</v>
      </c>
      <c r="F3758" s="275">
        <f t="shared" si="1437"/>
        <v>45885.5</v>
      </c>
      <c r="G3758" s="120">
        <f t="shared" si="1438"/>
        <v>24307</v>
      </c>
      <c r="H3758" s="245">
        <f t="shared" si="1439"/>
        <v>1</v>
      </c>
      <c r="I3758" s="121">
        <f t="shared" si="1440"/>
        <v>1</v>
      </c>
      <c r="J3758" s="121">
        <f t="shared" si="1441"/>
        <v>1</v>
      </c>
      <c r="K3758" s="120">
        <f t="shared" si="1442"/>
        <v>0</v>
      </c>
      <c r="L3758" s="120">
        <f t="shared" si="1443"/>
        <v>0</v>
      </c>
      <c r="M3758" s="246">
        <f t="shared" si="1444"/>
        <v>0</v>
      </c>
      <c r="N3758" s="121">
        <f t="shared" si="1445"/>
        <v>1</v>
      </c>
      <c r="O3758" s="246">
        <f t="shared" si="1446"/>
        <v>1</v>
      </c>
      <c r="P3758" s="121">
        <f t="shared" si="1447"/>
        <v>0.25</v>
      </c>
      <c r="Q3758" s="121">
        <f t="shared" si="1448"/>
        <v>0</v>
      </c>
      <c r="R3758" s="121">
        <f t="shared" si="1449"/>
        <v>0</v>
      </c>
      <c r="S3758" s="121" t="str">
        <f t="shared" si="1450"/>
        <v/>
      </c>
      <c r="T3758" s="121" t="str">
        <f t="shared" si="1451"/>
        <v/>
      </c>
      <c r="U3758" s="121">
        <f t="shared" si="1452"/>
        <v>1</v>
      </c>
    </row>
    <row r="3759" spans="1:21" x14ac:dyDescent="0.3">
      <c r="A3759" s="187">
        <v>9</v>
      </c>
      <c r="B3759" s="242">
        <f t="shared" si="1453"/>
        <v>45901</v>
      </c>
      <c r="C3759" s="243">
        <f t="shared" si="1434"/>
        <v>45930</v>
      </c>
      <c r="D3759" s="120">
        <f t="shared" si="1435"/>
        <v>30</v>
      </c>
      <c r="E3759" s="120">
        <f t="shared" si="1436"/>
        <v>9</v>
      </c>
      <c r="F3759" s="275">
        <f t="shared" si="1437"/>
        <v>45916</v>
      </c>
      <c r="G3759" s="120">
        <f t="shared" si="1438"/>
        <v>24308</v>
      </c>
      <c r="H3759" s="245">
        <f t="shared" si="1439"/>
        <v>1</v>
      </c>
      <c r="I3759" s="121">
        <f t="shared" si="1440"/>
        <v>1</v>
      </c>
      <c r="J3759" s="121">
        <f t="shared" si="1441"/>
        <v>1</v>
      </c>
      <c r="K3759" s="120">
        <f t="shared" si="1442"/>
        <v>0</v>
      </c>
      <c r="L3759" s="120">
        <f t="shared" si="1443"/>
        <v>0</v>
      </c>
      <c r="M3759" s="246">
        <f t="shared" si="1444"/>
        <v>0</v>
      </c>
      <c r="N3759" s="121">
        <f t="shared" si="1445"/>
        <v>1</v>
      </c>
      <c r="O3759" s="246">
        <f t="shared" si="1446"/>
        <v>1</v>
      </c>
      <c r="P3759" s="121">
        <f t="shared" si="1447"/>
        <v>0.41666666666666663</v>
      </c>
      <c r="Q3759" s="121">
        <f t="shared" si="1448"/>
        <v>0</v>
      </c>
      <c r="R3759" s="121">
        <f t="shared" si="1449"/>
        <v>0</v>
      </c>
      <c r="S3759" s="121" t="str">
        <f t="shared" si="1450"/>
        <v/>
      </c>
      <c r="T3759" s="121" t="str">
        <f t="shared" si="1451"/>
        <v/>
      </c>
      <c r="U3759" s="121">
        <f t="shared" si="1452"/>
        <v>1</v>
      </c>
    </row>
    <row r="3760" spans="1:21" x14ac:dyDescent="0.3">
      <c r="A3760" s="187">
        <v>10</v>
      </c>
      <c r="B3760" s="242">
        <f t="shared" si="1453"/>
        <v>45931</v>
      </c>
      <c r="C3760" s="243">
        <f t="shared" si="1434"/>
        <v>45961</v>
      </c>
      <c r="D3760" s="120">
        <f t="shared" si="1435"/>
        <v>31</v>
      </c>
      <c r="E3760" s="120">
        <f t="shared" si="1436"/>
        <v>10</v>
      </c>
      <c r="F3760" s="275">
        <f t="shared" si="1437"/>
        <v>45946.5</v>
      </c>
      <c r="G3760" s="120">
        <f t="shared" si="1438"/>
        <v>24309</v>
      </c>
      <c r="H3760" s="245">
        <f t="shared" si="1439"/>
        <v>1</v>
      </c>
      <c r="I3760" s="121">
        <f t="shared" si="1440"/>
        <v>1</v>
      </c>
      <c r="J3760" s="121">
        <f t="shared" si="1441"/>
        <v>1</v>
      </c>
      <c r="K3760" s="120">
        <f t="shared" si="1442"/>
        <v>0</v>
      </c>
      <c r="L3760" s="120">
        <f t="shared" si="1443"/>
        <v>0</v>
      </c>
      <c r="M3760" s="246">
        <f t="shared" si="1444"/>
        <v>0</v>
      </c>
      <c r="N3760" s="121">
        <f t="shared" si="1445"/>
        <v>1</v>
      </c>
      <c r="O3760" s="246">
        <f t="shared" si="1446"/>
        <v>1</v>
      </c>
      <c r="P3760" s="121">
        <f t="shared" si="1447"/>
        <v>0.58333333333333326</v>
      </c>
      <c r="Q3760" s="121">
        <f t="shared" si="1448"/>
        <v>0</v>
      </c>
      <c r="R3760" s="121">
        <f t="shared" si="1449"/>
        <v>0</v>
      </c>
      <c r="S3760" s="121" t="str">
        <f t="shared" si="1450"/>
        <v/>
      </c>
      <c r="T3760" s="121" t="str">
        <f t="shared" si="1451"/>
        <v/>
      </c>
      <c r="U3760" s="121">
        <f t="shared" si="1452"/>
        <v>1</v>
      </c>
    </row>
    <row r="3761" spans="1:21" x14ac:dyDescent="0.3">
      <c r="A3761" s="187">
        <v>11</v>
      </c>
      <c r="B3761" s="242">
        <f t="shared" si="1453"/>
        <v>45962</v>
      </c>
      <c r="C3761" s="243">
        <f t="shared" si="1434"/>
        <v>45991</v>
      </c>
      <c r="D3761" s="120">
        <f t="shared" si="1435"/>
        <v>30</v>
      </c>
      <c r="E3761" s="120">
        <f t="shared" si="1436"/>
        <v>11</v>
      </c>
      <c r="F3761" s="275">
        <f t="shared" si="1437"/>
        <v>45977</v>
      </c>
      <c r="G3761" s="120">
        <f t="shared" si="1438"/>
        <v>24310</v>
      </c>
      <c r="H3761" s="245">
        <f t="shared" si="1439"/>
        <v>1</v>
      </c>
      <c r="I3761" s="121">
        <f t="shared" si="1440"/>
        <v>1</v>
      </c>
      <c r="J3761" s="121">
        <f t="shared" si="1441"/>
        <v>1</v>
      </c>
      <c r="K3761" s="120">
        <f t="shared" si="1442"/>
        <v>0</v>
      </c>
      <c r="L3761" s="120">
        <f t="shared" si="1443"/>
        <v>0</v>
      </c>
      <c r="M3761" s="246">
        <f t="shared" si="1444"/>
        <v>0</v>
      </c>
      <c r="N3761" s="121">
        <f t="shared" si="1445"/>
        <v>1</v>
      </c>
      <c r="O3761" s="246">
        <f t="shared" si="1446"/>
        <v>1</v>
      </c>
      <c r="P3761" s="121">
        <f t="shared" si="1447"/>
        <v>0.75</v>
      </c>
      <c r="Q3761" s="121">
        <f t="shared" si="1448"/>
        <v>0</v>
      </c>
      <c r="R3761" s="121">
        <f t="shared" si="1449"/>
        <v>0</v>
      </c>
      <c r="S3761" s="121" t="str">
        <f t="shared" si="1450"/>
        <v/>
      </c>
      <c r="T3761" s="121" t="str">
        <f t="shared" si="1451"/>
        <v/>
      </c>
      <c r="U3761" s="121">
        <f t="shared" si="1452"/>
        <v>1</v>
      </c>
    </row>
    <row r="3762" spans="1:21" x14ac:dyDescent="0.3">
      <c r="A3762" s="187">
        <v>12</v>
      </c>
      <c r="B3762" s="242">
        <f t="shared" si="1453"/>
        <v>45992</v>
      </c>
      <c r="C3762" s="243">
        <f t="shared" si="1434"/>
        <v>46022</v>
      </c>
      <c r="D3762" s="120">
        <f t="shared" si="1435"/>
        <v>31</v>
      </c>
      <c r="E3762" s="120">
        <f t="shared" si="1436"/>
        <v>12</v>
      </c>
      <c r="F3762" s="275">
        <f t="shared" si="1437"/>
        <v>46007.5</v>
      </c>
      <c r="G3762" s="120">
        <f t="shared" si="1438"/>
        <v>24311</v>
      </c>
      <c r="H3762" s="245">
        <f t="shared" si="1439"/>
        <v>1</v>
      </c>
      <c r="I3762" s="121">
        <f t="shared" si="1440"/>
        <v>1</v>
      </c>
      <c r="J3762" s="121">
        <f t="shared" si="1441"/>
        <v>1</v>
      </c>
      <c r="K3762" s="120">
        <f t="shared" si="1442"/>
        <v>0</v>
      </c>
      <c r="L3762" s="120">
        <f t="shared" si="1443"/>
        <v>0</v>
      </c>
      <c r="M3762" s="246">
        <f t="shared" si="1444"/>
        <v>0</v>
      </c>
      <c r="N3762" s="121">
        <f t="shared" si="1445"/>
        <v>1</v>
      </c>
      <c r="O3762" s="246">
        <f t="shared" si="1446"/>
        <v>1</v>
      </c>
      <c r="P3762" s="121">
        <f t="shared" si="1447"/>
        <v>0.91666666666666663</v>
      </c>
      <c r="Q3762" s="121">
        <f t="shared" si="1448"/>
        <v>0</v>
      </c>
      <c r="R3762" s="121">
        <f t="shared" si="1449"/>
        <v>0</v>
      </c>
      <c r="S3762" s="121" t="str">
        <f t="shared" si="1450"/>
        <v/>
      </c>
      <c r="T3762" s="121" t="str">
        <f t="shared" si="1451"/>
        <v/>
      </c>
      <c r="U3762" s="121">
        <f t="shared" si="1452"/>
        <v>1</v>
      </c>
    </row>
    <row r="3763" spans="1:21" x14ac:dyDescent="0.3">
      <c r="A3763" s="187">
        <v>13</v>
      </c>
      <c r="B3763" s="242">
        <f t="shared" si="1453"/>
        <v>46023</v>
      </c>
      <c r="C3763" s="243">
        <f t="shared" si="1434"/>
        <v>46053</v>
      </c>
      <c r="D3763" s="120">
        <f t="shared" si="1435"/>
        <v>31</v>
      </c>
      <c r="E3763" s="120">
        <f t="shared" si="1436"/>
        <v>1</v>
      </c>
      <c r="F3763" s="275">
        <f t="shared" si="1437"/>
        <v>46038.5</v>
      </c>
      <c r="G3763" s="120">
        <f t="shared" si="1438"/>
        <v>24312</v>
      </c>
      <c r="H3763" s="245">
        <f t="shared" si="1439"/>
        <v>1</v>
      </c>
      <c r="I3763" s="121">
        <f t="shared" si="1440"/>
        <v>1</v>
      </c>
      <c r="J3763" s="121">
        <f t="shared" si="1441"/>
        <v>1</v>
      </c>
      <c r="K3763" s="120">
        <f t="shared" si="1442"/>
        <v>0</v>
      </c>
      <c r="L3763" s="120">
        <f t="shared" si="1443"/>
        <v>0</v>
      </c>
      <c r="M3763" s="246">
        <f t="shared" si="1444"/>
        <v>0</v>
      </c>
      <c r="N3763" s="121">
        <f t="shared" si="1445"/>
        <v>1</v>
      </c>
      <c r="O3763" s="246">
        <f t="shared" si="1446"/>
        <v>1</v>
      </c>
      <c r="P3763" s="121">
        <f t="shared" si="1447"/>
        <v>1</v>
      </c>
      <c r="Q3763" s="121">
        <f t="shared" si="1448"/>
        <v>0</v>
      </c>
      <c r="R3763" s="121">
        <f t="shared" si="1449"/>
        <v>0</v>
      </c>
      <c r="S3763" s="121" t="str">
        <f t="shared" si="1450"/>
        <v/>
      </c>
      <c r="T3763" s="121" t="str">
        <f t="shared" si="1451"/>
        <v/>
      </c>
      <c r="U3763" s="121">
        <f t="shared" si="1452"/>
        <v>1</v>
      </c>
    </row>
    <row r="3764" spans="1:21" x14ac:dyDescent="0.3">
      <c r="A3764" s="187">
        <v>14</v>
      </c>
      <c r="B3764" s="242">
        <f t="shared" si="1453"/>
        <v>46054</v>
      </c>
      <c r="C3764" s="243">
        <f t="shared" si="1434"/>
        <v>46081</v>
      </c>
      <c r="D3764" s="120">
        <f t="shared" si="1435"/>
        <v>28</v>
      </c>
      <c r="E3764" s="120">
        <f t="shared" si="1436"/>
        <v>2</v>
      </c>
      <c r="F3764" s="275">
        <f t="shared" si="1437"/>
        <v>46068</v>
      </c>
      <c r="G3764" s="120">
        <f t="shared" si="1438"/>
        <v>24313</v>
      </c>
      <c r="H3764" s="245">
        <f t="shared" si="1439"/>
        <v>1</v>
      </c>
      <c r="I3764" s="121">
        <f t="shared" si="1440"/>
        <v>1</v>
      </c>
      <c r="J3764" s="121">
        <f t="shared" si="1441"/>
        <v>1</v>
      </c>
      <c r="K3764" s="120">
        <f t="shared" si="1442"/>
        <v>0</v>
      </c>
      <c r="L3764" s="120">
        <f t="shared" si="1443"/>
        <v>0</v>
      </c>
      <c r="M3764" s="246">
        <f t="shared" si="1444"/>
        <v>0</v>
      </c>
      <c r="N3764" s="121">
        <f t="shared" si="1445"/>
        <v>1</v>
      </c>
      <c r="O3764" s="246">
        <f t="shared" si="1446"/>
        <v>1</v>
      </c>
      <c r="P3764" s="121">
        <f t="shared" si="1447"/>
        <v>1</v>
      </c>
      <c r="Q3764" s="121">
        <f t="shared" si="1448"/>
        <v>0</v>
      </c>
      <c r="R3764" s="121">
        <f t="shared" si="1449"/>
        <v>0</v>
      </c>
      <c r="S3764" s="121" t="str">
        <f t="shared" si="1450"/>
        <v/>
      </c>
      <c r="T3764" s="121" t="str">
        <f t="shared" si="1451"/>
        <v/>
      </c>
      <c r="U3764" s="121">
        <f t="shared" si="1452"/>
        <v>1</v>
      </c>
    </row>
    <row r="3765" spans="1:21" x14ac:dyDescent="0.3">
      <c r="A3765" s="187">
        <v>15</v>
      </c>
      <c r="B3765" s="242">
        <f t="shared" si="1453"/>
        <v>46082</v>
      </c>
      <c r="C3765" s="243">
        <f t="shared" si="1434"/>
        <v>46112</v>
      </c>
      <c r="D3765" s="120">
        <f t="shared" si="1435"/>
        <v>31</v>
      </c>
      <c r="E3765" s="120">
        <f t="shared" si="1436"/>
        <v>3</v>
      </c>
      <c r="F3765" s="275">
        <f t="shared" si="1437"/>
        <v>46097.5</v>
      </c>
      <c r="G3765" s="120">
        <f t="shared" si="1438"/>
        <v>24314</v>
      </c>
      <c r="H3765" s="245">
        <f t="shared" si="1439"/>
        <v>1</v>
      </c>
      <c r="I3765" s="121">
        <f t="shared" si="1440"/>
        <v>1</v>
      </c>
      <c r="J3765" s="121">
        <f t="shared" si="1441"/>
        <v>1</v>
      </c>
      <c r="K3765" s="120">
        <f t="shared" si="1442"/>
        <v>0</v>
      </c>
      <c r="L3765" s="120">
        <f t="shared" si="1443"/>
        <v>0</v>
      </c>
      <c r="M3765" s="246">
        <f t="shared" si="1444"/>
        <v>0</v>
      </c>
      <c r="N3765" s="121">
        <f t="shared" si="1445"/>
        <v>1</v>
      </c>
      <c r="O3765" s="246">
        <f t="shared" si="1446"/>
        <v>1</v>
      </c>
      <c r="P3765" s="121">
        <f t="shared" si="1447"/>
        <v>1</v>
      </c>
      <c r="Q3765" s="121">
        <f t="shared" si="1448"/>
        <v>0</v>
      </c>
      <c r="R3765" s="121">
        <f t="shared" si="1449"/>
        <v>0</v>
      </c>
      <c r="S3765" s="121" t="str">
        <f t="shared" si="1450"/>
        <v/>
      </c>
      <c r="T3765" s="121" t="str">
        <f t="shared" si="1451"/>
        <v/>
      </c>
      <c r="U3765" s="121">
        <f t="shared" si="1452"/>
        <v>1</v>
      </c>
    </row>
    <row r="3766" spans="1:21" x14ac:dyDescent="0.3">
      <c r="A3766" s="187">
        <v>16</v>
      </c>
      <c r="B3766" s="242">
        <f t="shared" si="1453"/>
        <v>46113</v>
      </c>
      <c r="C3766" s="243">
        <f t="shared" si="1434"/>
        <v>46142</v>
      </c>
      <c r="D3766" s="120">
        <f t="shared" si="1435"/>
        <v>30</v>
      </c>
      <c r="E3766" s="120">
        <f t="shared" si="1436"/>
        <v>4</v>
      </c>
      <c r="F3766" s="275">
        <f t="shared" si="1437"/>
        <v>46128</v>
      </c>
      <c r="G3766" s="120">
        <f t="shared" si="1438"/>
        <v>24315</v>
      </c>
      <c r="H3766" s="245">
        <f t="shared" si="1439"/>
        <v>1</v>
      </c>
      <c r="I3766" s="121">
        <f t="shared" si="1440"/>
        <v>1</v>
      </c>
      <c r="J3766" s="121">
        <f t="shared" si="1441"/>
        <v>1</v>
      </c>
      <c r="K3766" s="120">
        <f t="shared" si="1442"/>
        <v>0</v>
      </c>
      <c r="L3766" s="120">
        <f t="shared" si="1443"/>
        <v>0</v>
      </c>
      <c r="M3766" s="246">
        <f t="shared" si="1444"/>
        <v>0</v>
      </c>
      <c r="N3766" s="121">
        <f t="shared" si="1445"/>
        <v>1</v>
      </c>
      <c r="O3766" s="246">
        <f t="shared" si="1446"/>
        <v>1</v>
      </c>
      <c r="P3766" s="121">
        <f t="shared" si="1447"/>
        <v>1</v>
      </c>
      <c r="Q3766" s="121">
        <f t="shared" si="1448"/>
        <v>0</v>
      </c>
      <c r="R3766" s="121">
        <f t="shared" si="1449"/>
        <v>0</v>
      </c>
      <c r="S3766" s="121" t="str">
        <f t="shared" si="1450"/>
        <v/>
      </c>
      <c r="T3766" s="121" t="str">
        <f t="shared" si="1451"/>
        <v/>
      </c>
      <c r="U3766" s="121">
        <f t="shared" si="1452"/>
        <v>1</v>
      </c>
    </row>
    <row r="3767" spans="1:21" x14ac:dyDescent="0.3">
      <c r="A3767" s="187">
        <v>17</v>
      </c>
      <c r="B3767" s="242">
        <f t="shared" si="1453"/>
        <v>46143</v>
      </c>
      <c r="C3767" s="243">
        <f t="shared" si="1434"/>
        <v>46173</v>
      </c>
      <c r="D3767" s="120">
        <f t="shared" si="1435"/>
        <v>31</v>
      </c>
      <c r="E3767" s="120">
        <f t="shared" si="1436"/>
        <v>5</v>
      </c>
      <c r="F3767" s="275">
        <f t="shared" si="1437"/>
        <v>46158.5</v>
      </c>
      <c r="G3767" s="120">
        <f t="shared" si="1438"/>
        <v>24316</v>
      </c>
      <c r="H3767" s="245">
        <f t="shared" si="1439"/>
        <v>1</v>
      </c>
      <c r="I3767" s="121">
        <f t="shared" si="1440"/>
        <v>1</v>
      </c>
      <c r="J3767" s="121">
        <f t="shared" si="1441"/>
        <v>1</v>
      </c>
      <c r="K3767" s="120">
        <f t="shared" si="1442"/>
        <v>0</v>
      </c>
      <c r="L3767" s="120">
        <f t="shared" si="1443"/>
        <v>0</v>
      </c>
      <c r="M3767" s="246">
        <f t="shared" si="1444"/>
        <v>0</v>
      </c>
      <c r="N3767" s="121">
        <f t="shared" si="1445"/>
        <v>1</v>
      </c>
      <c r="O3767" s="246">
        <f t="shared" si="1446"/>
        <v>1</v>
      </c>
      <c r="P3767" s="121">
        <f t="shared" si="1447"/>
        <v>1</v>
      </c>
      <c r="Q3767" s="121">
        <f t="shared" si="1448"/>
        <v>0</v>
      </c>
      <c r="R3767" s="121">
        <f t="shared" si="1449"/>
        <v>0</v>
      </c>
      <c r="S3767" s="121" t="str">
        <f t="shared" si="1450"/>
        <v/>
      </c>
      <c r="T3767" s="121" t="str">
        <f t="shared" si="1451"/>
        <v/>
      </c>
      <c r="U3767" s="121">
        <f t="shared" si="1452"/>
        <v>1</v>
      </c>
    </row>
    <row r="3768" spans="1:21" x14ac:dyDescent="0.3">
      <c r="A3768" s="187">
        <v>18</v>
      </c>
      <c r="B3768" s="242">
        <f t="shared" si="1453"/>
        <v>46174</v>
      </c>
      <c r="C3768" s="243">
        <f t="shared" si="1434"/>
        <v>46203</v>
      </c>
      <c r="D3768" s="120">
        <f t="shared" si="1435"/>
        <v>30</v>
      </c>
      <c r="E3768" s="120">
        <f t="shared" si="1436"/>
        <v>6</v>
      </c>
      <c r="F3768" s="275">
        <f t="shared" si="1437"/>
        <v>46189</v>
      </c>
      <c r="G3768" s="120">
        <f t="shared" si="1438"/>
        <v>24317</v>
      </c>
      <c r="H3768" s="245">
        <f t="shared" si="1439"/>
        <v>1</v>
      </c>
      <c r="I3768" s="121">
        <f t="shared" si="1440"/>
        <v>1</v>
      </c>
      <c r="J3768" s="121">
        <f t="shared" si="1441"/>
        <v>1</v>
      </c>
      <c r="K3768" s="120">
        <f t="shared" si="1442"/>
        <v>0</v>
      </c>
      <c r="L3768" s="120">
        <f t="shared" si="1443"/>
        <v>0</v>
      </c>
      <c r="M3768" s="246">
        <f t="shared" si="1444"/>
        <v>0</v>
      </c>
      <c r="N3768" s="121">
        <f t="shared" si="1445"/>
        <v>1</v>
      </c>
      <c r="O3768" s="246">
        <f t="shared" si="1446"/>
        <v>1</v>
      </c>
      <c r="P3768" s="121">
        <f t="shared" si="1447"/>
        <v>1</v>
      </c>
      <c r="Q3768" s="121">
        <f t="shared" si="1448"/>
        <v>0</v>
      </c>
      <c r="R3768" s="121">
        <f t="shared" si="1449"/>
        <v>0</v>
      </c>
      <c r="S3768" s="121" t="str">
        <f t="shared" si="1450"/>
        <v/>
      </c>
      <c r="T3768" s="121" t="str">
        <f t="shared" si="1451"/>
        <v/>
      </c>
      <c r="U3768" s="121">
        <f t="shared" si="1452"/>
        <v>1</v>
      </c>
    </row>
    <row r="3769" spans="1:21" x14ac:dyDescent="0.3">
      <c r="A3769" s="187">
        <v>19</v>
      </c>
      <c r="B3769" s="242">
        <f t="shared" si="1453"/>
        <v>46204</v>
      </c>
      <c r="C3769" s="243">
        <f t="shared" si="1434"/>
        <v>46234</v>
      </c>
      <c r="D3769" s="120">
        <f t="shared" si="1435"/>
        <v>31</v>
      </c>
      <c r="E3769" s="120">
        <f t="shared" si="1436"/>
        <v>7</v>
      </c>
      <c r="F3769" s="275">
        <f t="shared" si="1437"/>
        <v>46219.5</v>
      </c>
      <c r="G3769" s="120">
        <f t="shared" si="1438"/>
        <v>24318</v>
      </c>
      <c r="H3769" s="245">
        <f t="shared" si="1439"/>
        <v>1</v>
      </c>
      <c r="I3769" s="121">
        <f t="shared" si="1440"/>
        <v>1</v>
      </c>
      <c r="J3769" s="121">
        <f t="shared" si="1441"/>
        <v>1</v>
      </c>
      <c r="K3769" s="120">
        <f t="shared" si="1442"/>
        <v>0</v>
      </c>
      <c r="L3769" s="120">
        <f t="shared" si="1443"/>
        <v>0</v>
      </c>
      <c r="M3769" s="246">
        <f t="shared" si="1444"/>
        <v>0</v>
      </c>
      <c r="N3769" s="121">
        <f t="shared" si="1445"/>
        <v>1</v>
      </c>
      <c r="O3769" s="246">
        <f t="shared" si="1446"/>
        <v>1</v>
      </c>
      <c r="P3769" s="121">
        <f t="shared" si="1447"/>
        <v>0.91666666666666663</v>
      </c>
      <c r="Q3769" s="121">
        <f t="shared" si="1448"/>
        <v>8.333333333333337E-2</v>
      </c>
      <c r="R3769" s="121">
        <f t="shared" si="1449"/>
        <v>0</v>
      </c>
      <c r="S3769" s="121" t="str">
        <f t="shared" si="1450"/>
        <v/>
      </c>
      <c r="T3769" s="121" t="str">
        <f t="shared" si="1451"/>
        <v/>
      </c>
      <c r="U3769" s="121">
        <f t="shared" si="1452"/>
        <v>1</v>
      </c>
    </row>
    <row r="3770" spans="1:21" x14ac:dyDescent="0.3">
      <c r="A3770" s="187">
        <v>20</v>
      </c>
      <c r="B3770" s="242">
        <f t="shared" si="1453"/>
        <v>46235</v>
      </c>
      <c r="C3770" s="243">
        <f t="shared" si="1434"/>
        <v>46265</v>
      </c>
      <c r="D3770" s="120">
        <f t="shared" si="1435"/>
        <v>31</v>
      </c>
      <c r="E3770" s="120">
        <f t="shared" si="1436"/>
        <v>8</v>
      </c>
      <c r="F3770" s="275">
        <f t="shared" si="1437"/>
        <v>46250.5</v>
      </c>
      <c r="G3770" s="120">
        <f t="shared" si="1438"/>
        <v>24319</v>
      </c>
      <c r="H3770" s="245">
        <f t="shared" si="1439"/>
        <v>1</v>
      </c>
      <c r="I3770" s="121">
        <f t="shared" si="1440"/>
        <v>1</v>
      </c>
      <c r="J3770" s="121">
        <f t="shared" si="1441"/>
        <v>1</v>
      </c>
      <c r="K3770" s="120">
        <f t="shared" si="1442"/>
        <v>0</v>
      </c>
      <c r="L3770" s="120">
        <f t="shared" si="1443"/>
        <v>0</v>
      </c>
      <c r="M3770" s="246">
        <f t="shared" si="1444"/>
        <v>0</v>
      </c>
      <c r="N3770" s="121">
        <f t="shared" si="1445"/>
        <v>1</v>
      </c>
      <c r="O3770" s="246">
        <f t="shared" si="1446"/>
        <v>1</v>
      </c>
      <c r="P3770" s="121">
        <f t="shared" si="1447"/>
        <v>0.75</v>
      </c>
      <c r="Q3770" s="121">
        <f t="shared" si="1448"/>
        <v>0.25</v>
      </c>
      <c r="R3770" s="121">
        <f t="shared" si="1449"/>
        <v>0</v>
      </c>
      <c r="S3770" s="121" t="str">
        <f t="shared" si="1450"/>
        <v/>
      </c>
      <c r="T3770" s="121" t="str">
        <f t="shared" si="1451"/>
        <v/>
      </c>
      <c r="U3770" s="121">
        <f t="shared" si="1452"/>
        <v>1</v>
      </c>
    </row>
    <row r="3771" spans="1:21" x14ac:dyDescent="0.3">
      <c r="A3771" s="187">
        <v>21</v>
      </c>
      <c r="B3771" s="242">
        <f t="shared" si="1453"/>
        <v>46266</v>
      </c>
      <c r="C3771" s="243">
        <f t="shared" si="1434"/>
        <v>46295</v>
      </c>
      <c r="D3771" s="120">
        <f t="shared" si="1435"/>
        <v>30</v>
      </c>
      <c r="E3771" s="120">
        <f t="shared" si="1436"/>
        <v>9</v>
      </c>
      <c r="F3771" s="275">
        <f t="shared" si="1437"/>
        <v>46281</v>
      </c>
      <c r="G3771" s="120">
        <f t="shared" si="1438"/>
        <v>24320</v>
      </c>
      <c r="H3771" s="245">
        <f t="shared" si="1439"/>
        <v>1</v>
      </c>
      <c r="I3771" s="121">
        <f t="shared" si="1440"/>
        <v>1</v>
      </c>
      <c r="J3771" s="121">
        <f t="shared" si="1441"/>
        <v>1</v>
      </c>
      <c r="K3771" s="120">
        <f t="shared" si="1442"/>
        <v>0</v>
      </c>
      <c r="L3771" s="120">
        <f t="shared" si="1443"/>
        <v>0</v>
      </c>
      <c r="M3771" s="246">
        <f t="shared" si="1444"/>
        <v>0</v>
      </c>
      <c r="N3771" s="121">
        <f t="shared" si="1445"/>
        <v>1</v>
      </c>
      <c r="O3771" s="246">
        <f t="shared" si="1446"/>
        <v>1</v>
      </c>
      <c r="P3771" s="121">
        <f t="shared" si="1447"/>
        <v>0.58333333333333337</v>
      </c>
      <c r="Q3771" s="121">
        <f t="shared" si="1448"/>
        <v>0.41666666666666663</v>
      </c>
      <c r="R3771" s="121">
        <f t="shared" si="1449"/>
        <v>0</v>
      </c>
      <c r="S3771" s="121" t="str">
        <f t="shared" si="1450"/>
        <v/>
      </c>
      <c r="T3771" s="121" t="str">
        <f t="shared" si="1451"/>
        <v/>
      </c>
      <c r="U3771" s="121">
        <f t="shared" si="1452"/>
        <v>1</v>
      </c>
    </row>
    <row r="3772" spans="1:21" x14ac:dyDescent="0.3">
      <c r="A3772" s="187">
        <v>22</v>
      </c>
      <c r="B3772" s="242">
        <f t="shared" si="1453"/>
        <v>46296</v>
      </c>
      <c r="C3772" s="243">
        <f t="shared" si="1434"/>
        <v>46326</v>
      </c>
      <c r="D3772" s="120">
        <f t="shared" si="1435"/>
        <v>31</v>
      </c>
      <c r="E3772" s="120">
        <f t="shared" si="1436"/>
        <v>10</v>
      </c>
      <c r="F3772" s="275">
        <f t="shared" si="1437"/>
        <v>46311.5</v>
      </c>
      <c r="G3772" s="120">
        <f t="shared" si="1438"/>
        <v>24321</v>
      </c>
      <c r="H3772" s="245">
        <f t="shared" si="1439"/>
        <v>1</v>
      </c>
      <c r="I3772" s="121">
        <f t="shared" si="1440"/>
        <v>1</v>
      </c>
      <c r="J3772" s="121">
        <f t="shared" si="1441"/>
        <v>1</v>
      </c>
      <c r="K3772" s="120">
        <f t="shared" si="1442"/>
        <v>0</v>
      </c>
      <c r="L3772" s="120">
        <f t="shared" si="1443"/>
        <v>0</v>
      </c>
      <c r="M3772" s="246">
        <f t="shared" si="1444"/>
        <v>0</v>
      </c>
      <c r="N3772" s="121">
        <f t="shared" si="1445"/>
        <v>1</v>
      </c>
      <c r="O3772" s="246">
        <f t="shared" si="1446"/>
        <v>1</v>
      </c>
      <c r="P3772" s="121">
        <f t="shared" si="1447"/>
        <v>0.41666666666666669</v>
      </c>
      <c r="Q3772" s="121">
        <f t="shared" si="1448"/>
        <v>0.58333333333333326</v>
      </c>
      <c r="R3772" s="121">
        <f t="shared" si="1449"/>
        <v>0</v>
      </c>
      <c r="S3772" s="121" t="str">
        <f t="shared" si="1450"/>
        <v/>
      </c>
      <c r="T3772" s="121" t="str">
        <f t="shared" si="1451"/>
        <v/>
      </c>
      <c r="U3772" s="121">
        <f t="shared" si="1452"/>
        <v>1</v>
      </c>
    </row>
    <row r="3773" spans="1:21" x14ac:dyDescent="0.3">
      <c r="A3773" s="187">
        <v>23</v>
      </c>
      <c r="B3773" s="242">
        <f t="shared" si="1453"/>
        <v>46327</v>
      </c>
      <c r="C3773" s="243">
        <f t="shared" si="1434"/>
        <v>46356</v>
      </c>
      <c r="D3773" s="120">
        <f t="shared" si="1435"/>
        <v>30</v>
      </c>
      <c r="E3773" s="120">
        <f t="shared" si="1436"/>
        <v>11</v>
      </c>
      <c r="F3773" s="275">
        <f t="shared" si="1437"/>
        <v>46342</v>
      </c>
      <c r="G3773" s="120">
        <f t="shared" si="1438"/>
        <v>24322</v>
      </c>
      <c r="H3773" s="245">
        <f t="shared" si="1439"/>
        <v>1</v>
      </c>
      <c r="I3773" s="121">
        <f t="shared" si="1440"/>
        <v>1</v>
      </c>
      <c r="J3773" s="121">
        <f t="shared" si="1441"/>
        <v>1</v>
      </c>
      <c r="K3773" s="120">
        <f t="shared" si="1442"/>
        <v>0</v>
      </c>
      <c r="L3773" s="120">
        <f t="shared" si="1443"/>
        <v>0</v>
      </c>
      <c r="M3773" s="246">
        <f t="shared" si="1444"/>
        <v>0</v>
      </c>
      <c r="N3773" s="121">
        <f t="shared" si="1445"/>
        <v>1</v>
      </c>
      <c r="O3773" s="246">
        <f t="shared" si="1446"/>
        <v>1</v>
      </c>
      <c r="P3773" s="121">
        <f t="shared" si="1447"/>
        <v>0.25</v>
      </c>
      <c r="Q3773" s="121">
        <f t="shared" si="1448"/>
        <v>0.75</v>
      </c>
      <c r="R3773" s="121">
        <f t="shared" si="1449"/>
        <v>0</v>
      </c>
      <c r="S3773" s="121" t="str">
        <f t="shared" si="1450"/>
        <v/>
      </c>
      <c r="T3773" s="121" t="str">
        <f t="shared" si="1451"/>
        <v/>
      </c>
      <c r="U3773" s="121">
        <f t="shared" si="1452"/>
        <v>1</v>
      </c>
    </row>
    <row r="3774" spans="1:21" x14ac:dyDescent="0.3">
      <c r="A3774" s="187">
        <v>24</v>
      </c>
      <c r="B3774" s="242">
        <f t="shared" si="1453"/>
        <v>46357</v>
      </c>
      <c r="C3774" s="243">
        <f t="shared" si="1434"/>
        <v>46387</v>
      </c>
      <c r="D3774" s="120">
        <f t="shared" si="1435"/>
        <v>31</v>
      </c>
      <c r="E3774" s="120">
        <f t="shared" si="1436"/>
        <v>12</v>
      </c>
      <c r="F3774" s="275">
        <f t="shared" si="1437"/>
        <v>46372.5</v>
      </c>
      <c r="G3774" s="120">
        <f t="shared" si="1438"/>
        <v>24323</v>
      </c>
      <c r="H3774" s="245">
        <f t="shared" si="1439"/>
        <v>1</v>
      </c>
      <c r="I3774" s="121">
        <f t="shared" si="1440"/>
        <v>1</v>
      </c>
      <c r="J3774" s="121">
        <f t="shared" si="1441"/>
        <v>1</v>
      </c>
      <c r="K3774" s="120">
        <f t="shared" si="1442"/>
        <v>0</v>
      </c>
      <c r="L3774" s="120">
        <f t="shared" si="1443"/>
        <v>0</v>
      </c>
      <c r="M3774" s="246">
        <f t="shared" si="1444"/>
        <v>0</v>
      </c>
      <c r="N3774" s="121">
        <f t="shared" si="1445"/>
        <v>1</v>
      </c>
      <c r="O3774" s="246">
        <f t="shared" si="1446"/>
        <v>1</v>
      </c>
      <c r="P3774" s="121">
        <f t="shared" si="1447"/>
        <v>8.3333333333333329E-2</v>
      </c>
      <c r="Q3774" s="121">
        <f t="shared" si="1448"/>
        <v>0.91666666666666663</v>
      </c>
      <c r="R3774" s="121">
        <f t="shared" si="1449"/>
        <v>0</v>
      </c>
      <c r="S3774" s="121" t="str">
        <f t="shared" si="1450"/>
        <v/>
      </c>
      <c r="T3774" s="121" t="str">
        <f t="shared" si="1451"/>
        <v/>
      </c>
      <c r="U3774" s="121">
        <f t="shared" si="1452"/>
        <v>1</v>
      </c>
    </row>
    <row r="3775" spans="1:21" x14ac:dyDescent="0.3">
      <c r="A3775" s="187">
        <v>25</v>
      </c>
      <c r="B3775" s="242">
        <f t="shared" si="1453"/>
        <v>46388</v>
      </c>
      <c r="C3775" s="243">
        <f t="shared" si="1434"/>
        <v>46418</v>
      </c>
      <c r="D3775" s="120">
        <f t="shared" si="1435"/>
        <v>31</v>
      </c>
      <c r="E3775" s="120">
        <f t="shared" si="1436"/>
        <v>1</v>
      </c>
      <c r="F3775" s="275">
        <f t="shared" si="1437"/>
        <v>46403.5</v>
      </c>
      <c r="G3775" s="120">
        <f t="shared" si="1438"/>
        <v>24324</v>
      </c>
      <c r="H3775" s="245">
        <f t="shared" si="1439"/>
        <v>1</v>
      </c>
      <c r="I3775" s="121">
        <f t="shared" si="1440"/>
        <v>1</v>
      </c>
      <c r="J3775" s="121">
        <f t="shared" si="1441"/>
        <v>1</v>
      </c>
      <c r="K3775" s="120">
        <f t="shared" si="1442"/>
        <v>0</v>
      </c>
      <c r="L3775" s="120">
        <f t="shared" si="1443"/>
        <v>0</v>
      </c>
      <c r="M3775" s="246">
        <f t="shared" si="1444"/>
        <v>0</v>
      </c>
      <c r="N3775" s="121">
        <f t="shared" si="1445"/>
        <v>1</v>
      </c>
      <c r="O3775" s="246">
        <f t="shared" si="1446"/>
        <v>1</v>
      </c>
      <c r="P3775" s="121">
        <f t="shared" si="1447"/>
        <v>0</v>
      </c>
      <c r="Q3775" s="121">
        <f t="shared" si="1448"/>
        <v>1</v>
      </c>
      <c r="R3775" s="121">
        <f t="shared" si="1449"/>
        <v>0</v>
      </c>
      <c r="S3775" s="121" t="str">
        <f t="shared" si="1450"/>
        <v/>
      </c>
      <c r="T3775" s="121" t="str">
        <f t="shared" si="1451"/>
        <v/>
      </c>
      <c r="U3775" s="121">
        <f t="shared" si="1452"/>
        <v>1</v>
      </c>
    </row>
    <row r="3776" spans="1:21" x14ac:dyDescent="0.3">
      <c r="A3776" s="187">
        <v>26</v>
      </c>
      <c r="B3776" s="242">
        <f t="shared" si="1453"/>
        <v>46419</v>
      </c>
      <c r="C3776" s="243">
        <f t="shared" si="1434"/>
        <v>46446</v>
      </c>
      <c r="D3776" s="120">
        <f t="shared" si="1435"/>
        <v>28</v>
      </c>
      <c r="E3776" s="120">
        <f t="shared" si="1436"/>
        <v>2</v>
      </c>
      <c r="F3776" s="275">
        <f t="shared" si="1437"/>
        <v>46433</v>
      </c>
      <c r="G3776" s="120">
        <f t="shared" si="1438"/>
        <v>24325</v>
      </c>
      <c r="H3776" s="245">
        <f t="shared" si="1439"/>
        <v>1</v>
      </c>
      <c r="I3776" s="121">
        <f t="shared" si="1440"/>
        <v>1</v>
      </c>
      <c r="J3776" s="121">
        <f t="shared" si="1441"/>
        <v>1</v>
      </c>
      <c r="K3776" s="120">
        <f t="shared" si="1442"/>
        <v>0</v>
      </c>
      <c r="L3776" s="120">
        <f t="shared" si="1443"/>
        <v>0</v>
      </c>
      <c r="M3776" s="246">
        <f t="shared" si="1444"/>
        <v>0</v>
      </c>
      <c r="N3776" s="121">
        <f t="shared" si="1445"/>
        <v>1</v>
      </c>
      <c r="O3776" s="246">
        <f t="shared" si="1446"/>
        <v>1</v>
      </c>
      <c r="P3776" s="121">
        <f t="shared" si="1447"/>
        <v>0</v>
      </c>
      <c r="Q3776" s="121">
        <f t="shared" si="1448"/>
        <v>1</v>
      </c>
      <c r="R3776" s="121">
        <f t="shared" si="1449"/>
        <v>0</v>
      </c>
      <c r="S3776" s="121" t="str">
        <f t="shared" si="1450"/>
        <v/>
      </c>
      <c r="T3776" s="121" t="str">
        <f t="shared" si="1451"/>
        <v/>
      </c>
      <c r="U3776" s="121">
        <f t="shared" si="1452"/>
        <v>1</v>
      </c>
    </row>
    <row r="3777" spans="1:21" x14ac:dyDescent="0.3">
      <c r="A3777" s="187">
        <v>27</v>
      </c>
      <c r="B3777" s="242">
        <f t="shared" si="1453"/>
        <v>46447</v>
      </c>
      <c r="C3777" s="243">
        <f t="shared" si="1434"/>
        <v>46477</v>
      </c>
      <c r="D3777" s="120">
        <f t="shared" si="1435"/>
        <v>31</v>
      </c>
      <c r="E3777" s="120">
        <f t="shared" si="1436"/>
        <v>3</v>
      </c>
      <c r="F3777" s="275">
        <f t="shared" si="1437"/>
        <v>46462.5</v>
      </c>
      <c r="G3777" s="120">
        <f t="shared" si="1438"/>
        <v>24326</v>
      </c>
      <c r="H3777" s="245">
        <f t="shared" si="1439"/>
        <v>1</v>
      </c>
      <c r="I3777" s="121">
        <f t="shared" si="1440"/>
        <v>1</v>
      </c>
      <c r="J3777" s="121">
        <f t="shared" si="1441"/>
        <v>1</v>
      </c>
      <c r="K3777" s="120">
        <f t="shared" si="1442"/>
        <v>0</v>
      </c>
      <c r="L3777" s="120">
        <f t="shared" si="1443"/>
        <v>0</v>
      </c>
      <c r="M3777" s="246">
        <f t="shared" si="1444"/>
        <v>0</v>
      </c>
      <c r="N3777" s="121">
        <f t="shared" si="1445"/>
        <v>1</v>
      </c>
      <c r="O3777" s="246">
        <f t="shared" si="1446"/>
        <v>1</v>
      </c>
      <c r="P3777" s="121">
        <f t="shared" si="1447"/>
        <v>0</v>
      </c>
      <c r="Q3777" s="121">
        <f t="shared" si="1448"/>
        <v>1</v>
      </c>
      <c r="R3777" s="121">
        <f t="shared" si="1449"/>
        <v>0</v>
      </c>
      <c r="S3777" s="121" t="str">
        <f t="shared" si="1450"/>
        <v/>
      </c>
      <c r="T3777" s="121" t="str">
        <f t="shared" si="1451"/>
        <v/>
      </c>
      <c r="U3777" s="121">
        <f t="shared" si="1452"/>
        <v>1</v>
      </c>
    </row>
    <row r="3778" spans="1:21" x14ac:dyDescent="0.3">
      <c r="A3778" s="187">
        <v>28</v>
      </c>
      <c r="B3778" s="242">
        <f t="shared" si="1453"/>
        <v>46478</v>
      </c>
      <c r="C3778" s="243">
        <f t="shared" si="1434"/>
        <v>46507</v>
      </c>
      <c r="D3778" s="120">
        <f t="shared" si="1435"/>
        <v>30</v>
      </c>
      <c r="E3778" s="120">
        <f t="shared" si="1436"/>
        <v>4</v>
      </c>
      <c r="F3778" s="275">
        <f t="shared" si="1437"/>
        <v>46493</v>
      </c>
      <c r="G3778" s="120">
        <f t="shared" si="1438"/>
        <v>24327</v>
      </c>
      <c r="H3778" s="245">
        <f t="shared" si="1439"/>
        <v>1</v>
      </c>
      <c r="I3778" s="121">
        <f t="shared" si="1440"/>
        <v>1</v>
      </c>
      <c r="J3778" s="121">
        <f t="shared" si="1441"/>
        <v>1</v>
      </c>
      <c r="K3778" s="120">
        <f t="shared" si="1442"/>
        <v>0</v>
      </c>
      <c r="L3778" s="120">
        <f t="shared" si="1443"/>
        <v>0</v>
      </c>
      <c r="M3778" s="246">
        <f t="shared" si="1444"/>
        <v>0</v>
      </c>
      <c r="N3778" s="121">
        <f t="shared" si="1445"/>
        <v>1</v>
      </c>
      <c r="O3778" s="246">
        <f t="shared" si="1446"/>
        <v>1</v>
      </c>
      <c r="P3778" s="121">
        <f t="shared" si="1447"/>
        <v>0</v>
      </c>
      <c r="Q3778" s="121">
        <f t="shared" si="1448"/>
        <v>1</v>
      </c>
      <c r="R3778" s="121">
        <f t="shared" si="1449"/>
        <v>0</v>
      </c>
      <c r="S3778" s="121" t="str">
        <f t="shared" si="1450"/>
        <v/>
      </c>
      <c r="T3778" s="121" t="str">
        <f t="shared" si="1451"/>
        <v/>
      </c>
      <c r="U3778" s="121">
        <f t="shared" si="1452"/>
        <v>1</v>
      </c>
    </row>
    <row r="3779" spans="1:21" x14ac:dyDescent="0.3">
      <c r="A3779" s="187">
        <v>29</v>
      </c>
      <c r="B3779" s="242">
        <f t="shared" si="1453"/>
        <v>46508</v>
      </c>
      <c r="C3779" s="243">
        <f t="shared" si="1434"/>
        <v>46538</v>
      </c>
      <c r="D3779" s="120">
        <f t="shared" si="1435"/>
        <v>31</v>
      </c>
      <c r="E3779" s="120">
        <f t="shared" si="1436"/>
        <v>5</v>
      </c>
      <c r="F3779" s="275">
        <f t="shared" si="1437"/>
        <v>46523.5</v>
      </c>
      <c r="G3779" s="120">
        <f t="shared" si="1438"/>
        <v>24328</v>
      </c>
      <c r="H3779" s="245">
        <f t="shared" si="1439"/>
        <v>1</v>
      </c>
      <c r="I3779" s="121">
        <f t="shared" si="1440"/>
        <v>1</v>
      </c>
      <c r="J3779" s="121">
        <f t="shared" si="1441"/>
        <v>1</v>
      </c>
      <c r="K3779" s="120">
        <f t="shared" si="1442"/>
        <v>0</v>
      </c>
      <c r="L3779" s="120">
        <f t="shared" si="1443"/>
        <v>0</v>
      </c>
      <c r="M3779" s="246">
        <f t="shared" si="1444"/>
        <v>0</v>
      </c>
      <c r="N3779" s="121">
        <f t="shared" si="1445"/>
        <v>1</v>
      </c>
      <c r="O3779" s="246">
        <f t="shared" si="1446"/>
        <v>1</v>
      </c>
      <c r="P3779" s="121">
        <f t="shared" si="1447"/>
        <v>0</v>
      </c>
      <c r="Q3779" s="121">
        <f t="shared" si="1448"/>
        <v>1</v>
      </c>
      <c r="R3779" s="121">
        <f t="shared" si="1449"/>
        <v>0</v>
      </c>
      <c r="S3779" s="121" t="str">
        <f t="shared" si="1450"/>
        <v/>
      </c>
      <c r="T3779" s="121" t="str">
        <f t="shared" si="1451"/>
        <v/>
      </c>
      <c r="U3779" s="121">
        <f t="shared" si="1452"/>
        <v>1</v>
      </c>
    </row>
    <row r="3780" spans="1:21" x14ac:dyDescent="0.3">
      <c r="A3780" s="187">
        <v>30</v>
      </c>
      <c r="B3780" s="242">
        <f t="shared" si="1453"/>
        <v>46539</v>
      </c>
      <c r="C3780" s="243">
        <f t="shared" si="1434"/>
        <v>46568</v>
      </c>
      <c r="D3780" s="120">
        <f t="shared" si="1435"/>
        <v>30</v>
      </c>
      <c r="E3780" s="120">
        <f t="shared" si="1436"/>
        <v>6</v>
      </c>
      <c r="F3780" s="275">
        <f t="shared" si="1437"/>
        <v>46554</v>
      </c>
      <c r="G3780" s="120">
        <f t="shared" si="1438"/>
        <v>24329</v>
      </c>
      <c r="H3780" s="245">
        <f t="shared" si="1439"/>
        <v>1</v>
      </c>
      <c r="I3780" s="121">
        <f t="shared" si="1440"/>
        <v>1</v>
      </c>
      <c r="J3780" s="121">
        <f t="shared" si="1441"/>
        <v>1</v>
      </c>
      <c r="K3780" s="120">
        <f t="shared" si="1442"/>
        <v>0</v>
      </c>
      <c r="L3780" s="120">
        <f t="shared" si="1443"/>
        <v>0</v>
      </c>
      <c r="M3780" s="246">
        <f t="shared" si="1444"/>
        <v>0</v>
      </c>
      <c r="N3780" s="121">
        <f t="shared" si="1445"/>
        <v>1</v>
      </c>
      <c r="O3780" s="246">
        <f t="shared" si="1446"/>
        <v>1</v>
      </c>
      <c r="P3780" s="121">
        <f t="shared" si="1447"/>
        <v>0</v>
      </c>
      <c r="Q3780" s="121">
        <f t="shared" si="1448"/>
        <v>1</v>
      </c>
      <c r="R3780" s="121">
        <f t="shared" si="1449"/>
        <v>0</v>
      </c>
      <c r="S3780" s="121" t="str">
        <f t="shared" si="1450"/>
        <v/>
      </c>
      <c r="T3780" s="121" t="str">
        <f t="shared" si="1451"/>
        <v/>
      </c>
      <c r="U3780" s="121">
        <f t="shared" si="1452"/>
        <v>1</v>
      </c>
    </row>
    <row r="3781" spans="1:21" x14ac:dyDescent="0.3">
      <c r="A3781" s="187">
        <v>31</v>
      </c>
      <c r="B3781" s="242">
        <f t="shared" si="1453"/>
        <v>46569</v>
      </c>
      <c r="C3781" s="243">
        <f t="shared" si="1434"/>
        <v>46599</v>
      </c>
      <c r="D3781" s="120">
        <f t="shared" si="1435"/>
        <v>31</v>
      </c>
      <c r="E3781" s="120">
        <f t="shared" si="1436"/>
        <v>7</v>
      </c>
      <c r="F3781" s="275">
        <f t="shared" si="1437"/>
        <v>46584.5</v>
      </c>
      <c r="G3781" s="120">
        <f t="shared" si="1438"/>
        <v>24330</v>
      </c>
      <c r="H3781" s="245">
        <f t="shared" si="1439"/>
        <v>1</v>
      </c>
      <c r="I3781" s="121">
        <f t="shared" si="1440"/>
        <v>1</v>
      </c>
      <c r="J3781" s="121">
        <f t="shared" si="1441"/>
        <v>1</v>
      </c>
      <c r="K3781" s="120">
        <f t="shared" si="1442"/>
        <v>0</v>
      </c>
      <c r="L3781" s="120">
        <f t="shared" si="1443"/>
        <v>0</v>
      </c>
      <c r="M3781" s="246">
        <f t="shared" si="1444"/>
        <v>0</v>
      </c>
      <c r="N3781" s="121">
        <f t="shared" si="1445"/>
        <v>1</v>
      </c>
      <c r="O3781" s="246">
        <f t="shared" si="1446"/>
        <v>1</v>
      </c>
      <c r="P3781" s="121">
        <f t="shared" si="1447"/>
        <v>0</v>
      </c>
      <c r="Q3781" s="121">
        <f t="shared" si="1448"/>
        <v>0.91666666666666663</v>
      </c>
      <c r="R3781" s="121">
        <f t="shared" si="1449"/>
        <v>8.333333333333337E-2</v>
      </c>
      <c r="S3781" s="121" t="str">
        <f t="shared" si="1450"/>
        <v/>
      </c>
      <c r="T3781" s="121" t="str">
        <f t="shared" si="1451"/>
        <v/>
      </c>
      <c r="U3781" s="121">
        <f t="shared" si="1452"/>
        <v>1</v>
      </c>
    </row>
    <row r="3782" spans="1:21" x14ac:dyDescent="0.3">
      <c r="A3782" s="187">
        <v>32</v>
      </c>
      <c r="B3782" s="242">
        <f t="shared" si="1453"/>
        <v>46600</v>
      </c>
      <c r="C3782" s="243">
        <f t="shared" si="1434"/>
        <v>46630</v>
      </c>
      <c r="D3782" s="120">
        <f t="shared" si="1435"/>
        <v>31</v>
      </c>
      <c r="E3782" s="120">
        <f t="shared" si="1436"/>
        <v>8</v>
      </c>
      <c r="F3782" s="275">
        <f t="shared" si="1437"/>
        <v>46615.5</v>
      </c>
      <c r="G3782" s="120">
        <f t="shared" si="1438"/>
        <v>24331</v>
      </c>
      <c r="H3782" s="245">
        <f t="shared" si="1439"/>
        <v>1</v>
      </c>
      <c r="I3782" s="121">
        <f t="shared" si="1440"/>
        <v>1</v>
      </c>
      <c r="J3782" s="121">
        <f t="shared" si="1441"/>
        <v>1</v>
      </c>
      <c r="K3782" s="120">
        <f t="shared" si="1442"/>
        <v>0</v>
      </c>
      <c r="L3782" s="120">
        <f t="shared" si="1443"/>
        <v>0</v>
      </c>
      <c r="M3782" s="246">
        <f t="shared" si="1444"/>
        <v>0</v>
      </c>
      <c r="N3782" s="121">
        <f t="shared" si="1445"/>
        <v>1</v>
      </c>
      <c r="O3782" s="246">
        <f t="shared" si="1446"/>
        <v>1</v>
      </c>
      <c r="P3782" s="121">
        <f t="shared" si="1447"/>
        <v>0</v>
      </c>
      <c r="Q3782" s="121">
        <f t="shared" si="1448"/>
        <v>0.75</v>
      </c>
      <c r="R3782" s="121">
        <f t="shared" si="1449"/>
        <v>0.25</v>
      </c>
      <c r="S3782" s="121" t="str">
        <f t="shared" si="1450"/>
        <v/>
      </c>
      <c r="T3782" s="121" t="str">
        <f t="shared" si="1451"/>
        <v/>
      </c>
      <c r="U3782" s="121">
        <f t="shared" si="1452"/>
        <v>1</v>
      </c>
    </row>
    <row r="3783" spans="1:21" x14ac:dyDescent="0.3">
      <c r="A3783" s="187">
        <v>33</v>
      </c>
      <c r="B3783" s="242">
        <f t="shared" si="1453"/>
        <v>46631</v>
      </c>
      <c r="C3783" s="243">
        <f t="shared" si="1434"/>
        <v>46660</v>
      </c>
      <c r="D3783" s="120">
        <f t="shared" si="1435"/>
        <v>30</v>
      </c>
      <c r="E3783" s="120">
        <f t="shared" si="1436"/>
        <v>9</v>
      </c>
      <c r="F3783" s="275">
        <f t="shared" si="1437"/>
        <v>46646</v>
      </c>
      <c r="G3783" s="120">
        <f t="shared" si="1438"/>
        <v>24332</v>
      </c>
      <c r="H3783" s="245">
        <f t="shared" si="1439"/>
        <v>1</v>
      </c>
      <c r="I3783" s="121">
        <f t="shared" si="1440"/>
        <v>1</v>
      </c>
      <c r="J3783" s="121">
        <f t="shared" si="1441"/>
        <v>1</v>
      </c>
      <c r="K3783" s="120">
        <f t="shared" si="1442"/>
        <v>0</v>
      </c>
      <c r="L3783" s="120">
        <f t="shared" si="1443"/>
        <v>0</v>
      </c>
      <c r="M3783" s="246">
        <f t="shared" si="1444"/>
        <v>0</v>
      </c>
      <c r="N3783" s="121">
        <f t="shared" si="1445"/>
        <v>1</v>
      </c>
      <c r="O3783" s="246">
        <f t="shared" si="1446"/>
        <v>1</v>
      </c>
      <c r="P3783" s="121">
        <f t="shared" si="1447"/>
        <v>0</v>
      </c>
      <c r="Q3783" s="121">
        <f t="shared" si="1448"/>
        <v>0.58333333333333337</v>
      </c>
      <c r="R3783" s="121">
        <f t="shared" si="1449"/>
        <v>0.41666666666666663</v>
      </c>
      <c r="S3783" s="121" t="str">
        <f t="shared" si="1450"/>
        <v/>
      </c>
      <c r="T3783" s="121" t="str">
        <f t="shared" si="1451"/>
        <v/>
      </c>
      <c r="U3783" s="121">
        <f t="shared" si="1452"/>
        <v>1</v>
      </c>
    </row>
    <row r="3784" spans="1:21" x14ac:dyDescent="0.3">
      <c r="A3784" s="187">
        <v>34</v>
      </c>
      <c r="B3784" s="242">
        <f t="shared" si="1453"/>
        <v>46661</v>
      </c>
      <c r="C3784" s="243">
        <f t="shared" si="1434"/>
        <v>46691</v>
      </c>
      <c r="D3784" s="120">
        <f t="shared" si="1435"/>
        <v>31</v>
      </c>
      <c r="E3784" s="120">
        <f t="shared" si="1436"/>
        <v>10</v>
      </c>
      <c r="F3784" s="275">
        <f t="shared" si="1437"/>
        <v>46676.5</v>
      </c>
      <c r="G3784" s="120">
        <f t="shared" si="1438"/>
        <v>24333</v>
      </c>
      <c r="H3784" s="245">
        <f t="shared" si="1439"/>
        <v>1</v>
      </c>
      <c r="I3784" s="121">
        <f t="shared" si="1440"/>
        <v>1</v>
      </c>
      <c r="J3784" s="121">
        <f t="shared" si="1441"/>
        <v>1</v>
      </c>
      <c r="K3784" s="120">
        <f t="shared" si="1442"/>
        <v>0</v>
      </c>
      <c r="L3784" s="120">
        <f t="shared" si="1443"/>
        <v>0</v>
      </c>
      <c r="M3784" s="246">
        <f t="shared" si="1444"/>
        <v>0</v>
      </c>
      <c r="N3784" s="121">
        <f t="shared" si="1445"/>
        <v>1</v>
      </c>
      <c r="O3784" s="246">
        <f t="shared" si="1446"/>
        <v>1</v>
      </c>
      <c r="P3784" s="121">
        <f t="shared" si="1447"/>
        <v>0</v>
      </c>
      <c r="Q3784" s="121">
        <f t="shared" si="1448"/>
        <v>0.41666666666666669</v>
      </c>
      <c r="R3784" s="121">
        <f t="shared" si="1449"/>
        <v>0.58333333333333326</v>
      </c>
      <c r="S3784" s="121" t="str">
        <f t="shared" si="1450"/>
        <v/>
      </c>
      <c r="T3784" s="121" t="str">
        <f t="shared" si="1451"/>
        <v/>
      </c>
      <c r="U3784" s="121">
        <f t="shared" si="1452"/>
        <v>1</v>
      </c>
    </row>
    <row r="3785" spans="1:21" x14ac:dyDescent="0.3">
      <c r="A3785" s="187">
        <v>35</v>
      </c>
      <c r="B3785" s="242">
        <f t="shared" si="1453"/>
        <v>46692</v>
      </c>
      <c r="C3785" s="243">
        <f t="shared" si="1434"/>
        <v>46721</v>
      </c>
      <c r="D3785" s="120">
        <f t="shared" si="1435"/>
        <v>30</v>
      </c>
      <c r="E3785" s="120">
        <f t="shared" si="1436"/>
        <v>11</v>
      </c>
      <c r="F3785" s="275">
        <f t="shared" si="1437"/>
        <v>46707</v>
      </c>
      <c r="G3785" s="120">
        <f t="shared" si="1438"/>
        <v>24334</v>
      </c>
      <c r="H3785" s="245">
        <f t="shared" si="1439"/>
        <v>1</v>
      </c>
      <c r="I3785" s="121">
        <f t="shared" si="1440"/>
        <v>1</v>
      </c>
      <c r="J3785" s="121">
        <f t="shared" si="1441"/>
        <v>1</v>
      </c>
      <c r="K3785" s="120">
        <f t="shared" si="1442"/>
        <v>0</v>
      </c>
      <c r="L3785" s="120">
        <f t="shared" si="1443"/>
        <v>0</v>
      </c>
      <c r="M3785" s="246">
        <f t="shared" si="1444"/>
        <v>0</v>
      </c>
      <c r="N3785" s="121">
        <f t="shared" si="1445"/>
        <v>1</v>
      </c>
      <c r="O3785" s="246">
        <f t="shared" si="1446"/>
        <v>1</v>
      </c>
      <c r="P3785" s="121">
        <f t="shared" si="1447"/>
        <v>0</v>
      </c>
      <c r="Q3785" s="121">
        <f t="shared" si="1448"/>
        <v>0.25</v>
      </c>
      <c r="R3785" s="121">
        <f t="shared" si="1449"/>
        <v>0.75</v>
      </c>
      <c r="S3785" s="121" t="str">
        <f t="shared" si="1450"/>
        <v/>
      </c>
      <c r="T3785" s="121" t="str">
        <f t="shared" si="1451"/>
        <v/>
      </c>
      <c r="U3785" s="121">
        <f t="shared" si="1452"/>
        <v>1</v>
      </c>
    </row>
    <row r="3786" spans="1:21" x14ac:dyDescent="0.3">
      <c r="A3786" s="187">
        <v>36</v>
      </c>
      <c r="B3786" s="242">
        <f t="shared" si="1453"/>
        <v>46722</v>
      </c>
      <c r="C3786" s="243">
        <f t="shared" si="1434"/>
        <v>46752</v>
      </c>
      <c r="D3786" s="120">
        <f t="shared" si="1435"/>
        <v>31</v>
      </c>
      <c r="E3786" s="120">
        <f t="shared" si="1436"/>
        <v>12</v>
      </c>
      <c r="F3786" s="275">
        <f t="shared" si="1437"/>
        <v>46737.5</v>
      </c>
      <c r="G3786" s="120">
        <f t="shared" si="1438"/>
        <v>24335</v>
      </c>
      <c r="H3786" s="245">
        <f t="shared" si="1439"/>
        <v>1</v>
      </c>
      <c r="I3786" s="121">
        <f t="shared" si="1440"/>
        <v>1</v>
      </c>
      <c r="J3786" s="121">
        <f t="shared" si="1441"/>
        <v>1</v>
      </c>
      <c r="K3786" s="120">
        <f t="shared" si="1442"/>
        <v>0</v>
      </c>
      <c r="L3786" s="120">
        <f t="shared" si="1443"/>
        <v>0</v>
      </c>
      <c r="M3786" s="246">
        <f t="shared" si="1444"/>
        <v>0</v>
      </c>
      <c r="N3786" s="121">
        <f t="shared" si="1445"/>
        <v>1</v>
      </c>
      <c r="O3786" s="246">
        <f t="shared" si="1446"/>
        <v>1</v>
      </c>
      <c r="P3786" s="121">
        <f t="shared" si="1447"/>
        <v>0</v>
      </c>
      <c r="Q3786" s="121">
        <f t="shared" si="1448"/>
        <v>8.3333333333333329E-2</v>
      </c>
      <c r="R3786" s="121">
        <f t="shared" si="1449"/>
        <v>0.91666666666666663</v>
      </c>
      <c r="S3786" s="121" t="str">
        <f t="shared" si="1450"/>
        <v/>
      </c>
      <c r="T3786" s="121" t="str">
        <f t="shared" si="1451"/>
        <v/>
      </c>
      <c r="U3786" s="121">
        <f t="shared" si="1452"/>
        <v>1</v>
      </c>
    </row>
    <row r="3787" spans="1:21" x14ac:dyDescent="0.3">
      <c r="A3787" s="187">
        <v>37</v>
      </c>
      <c r="B3787" s="242">
        <f t="shared" si="1453"/>
        <v>46753</v>
      </c>
      <c r="C3787" s="243">
        <f t="shared" si="1434"/>
        <v>46783</v>
      </c>
      <c r="D3787" s="120">
        <f t="shared" si="1435"/>
        <v>31</v>
      </c>
      <c r="E3787" s="120">
        <f t="shared" si="1436"/>
        <v>1</v>
      </c>
      <c r="F3787" s="275">
        <f t="shared" si="1437"/>
        <v>46768.5</v>
      </c>
      <c r="G3787" s="120">
        <f t="shared" si="1438"/>
        <v>24336</v>
      </c>
      <c r="H3787" s="245">
        <f t="shared" si="1439"/>
        <v>1</v>
      </c>
      <c r="I3787" s="121">
        <f t="shared" si="1440"/>
        <v>1</v>
      </c>
      <c r="J3787" s="121">
        <f t="shared" si="1441"/>
        <v>1</v>
      </c>
      <c r="K3787" s="120">
        <f t="shared" si="1442"/>
        <v>0</v>
      </c>
      <c r="L3787" s="120">
        <f t="shared" si="1443"/>
        <v>0</v>
      </c>
      <c r="M3787" s="246">
        <f t="shared" si="1444"/>
        <v>0</v>
      </c>
      <c r="N3787" s="121">
        <f t="shared" si="1445"/>
        <v>1</v>
      </c>
      <c r="O3787" s="246">
        <f t="shared" si="1446"/>
        <v>1</v>
      </c>
      <c r="P3787" s="121">
        <f t="shared" si="1447"/>
        <v>0</v>
      </c>
      <c r="Q3787" s="121">
        <f t="shared" si="1448"/>
        <v>0</v>
      </c>
      <c r="R3787" s="121">
        <f t="shared" si="1449"/>
        <v>1</v>
      </c>
      <c r="S3787" s="121" t="str">
        <f t="shared" si="1450"/>
        <v/>
      </c>
      <c r="T3787" s="121" t="str">
        <f t="shared" si="1451"/>
        <v/>
      </c>
      <c r="U3787" s="121">
        <f t="shared" si="1452"/>
        <v>1</v>
      </c>
    </row>
    <row r="3788" spans="1:21" x14ac:dyDescent="0.3">
      <c r="A3788" s="187">
        <v>38</v>
      </c>
      <c r="B3788" s="242">
        <f t="shared" si="1453"/>
        <v>46784</v>
      </c>
      <c r="C3788" s="243">
        <f t="shared" si="1434"/>
        <v>46812</v>
      </c>
      <c r="D3788" s="120">
        <f t="shared" si="1435"/>
        <v>29</v>
      </c>
      <c r="E3788" s="120">
        <f t="shared" si="1436"/>
        <v>2</v>
      </c>
      <c r="F3788" s="275">
        <f t="shared" si="1437"/>
        <v>46798.5</v>
      </c>
      <c r="G3788" s="120">
        <f t="shared" si="1438"/>
        <v>24337</v>
      </c>
      <c r="H3788" s="245">
        <f t="shared" si="1439"/>
        <v>1</v>
      </c>
      <c r="I3788" s="121">
        <f t="shared" si="1440"/>
        <v>1</v>
      </c>
      <c r="J3788" s="121">
        <f t="shared" si="1441"/>
        <v>1</v>
      </c>
      <c r="K3788" s="120">
        <f t="shared" si="1442"/>
        <v>0</v>
      </c>
      <c r="L3788" s="120">
        <f t="shared" si="1443"/>
        <v>0</v>
      </c>
      <c r="M3788" s="246">
        <f t="shared" si="1444"/>
        <v>0</v>
      </c>
      <c r="N3788" s="121">
        <f t="shared" si="1445"/>
        <v>1</v>
      </c>
      <c r="O3788" s="246">
        <f t="shared" si="1446"/>
        <v>1</v>
      </c>
      <c r="P3788" s="121">
        <f t="shared" si="1447"/>
        <v>0</v>
      </c>
      <c r="Q3788" s="121">
        <f t="shared" si="1448"/>
        <v>0</v>
      </c>
      <c r="R3788" s="121">
        <f t="shared" si="1449"/>
        <v>1</v>
      </c>
      <c r="S3788" s="121" t="str">
        <f t="shared" si="1450"/>
        <v/>
      </c>
      <c r="T3788" s="121" t="str">
        <f t="shared" si="1451"/>
        <v/>
      </c>
      <c r="U3788" s="121">
        <f t="shared" si="1452"/>
        <v>1</v>
      </c>
    </row>
    <row r="3789" spans="1:21" x14ac:dyDescent="0.3">
      <c r="A3789" s="187">
        <v>39</v>
      </c>
      <c r="B3789" s="242">
        <f t="shared" si="1453"/>
        <v>46813</v>
      </c>
      <c r="C3789" s="243">
        <f t="shared" si="1434"/>
        <v>46843</v>
      </c>
      <c r="D3789" s="120">
        <f t="shared" si="1435"/>
        <v>31</v>
      </c>
      <c r="E3789" s="120">
        <f t="shared" si="1436"/>
        <v>3</v>
      </c>
      <c r="F3789" s="275">
        <f t="shared" si="1437"/>
        <v>46828.5</v>
      </c>
      <c r="G3789" s="120">
        <f t="shared" si="1438"/>
        <v>24338</v>
      </c>
      <c r="H3789" s="245">
        <f t="shared" si="1439"/>
        <v>1</v>
      </c>
      <c r="I3789" s="121">
        <f t="shared" si="1440"/>
        <v>1</v>
      </c>
      <c r="J3789" s="121">
        <f t="shared" si="1441"/>
        <v>1</v>
      </c>
      <c r="K3789" s="120">
        <f t="shared" si="1442"/>
        <v>0</v>
      </c>
      <c r="L3789" s="120">
        <f t="shared" si="1443"/>
        <v>0</v>
      </c>
      <c r="M3789" s="246">
        <f t="shared" si="1444"/>
        <v>0</v>
      </c>
      <c r="N3789" s="121">
        <f t="shared" si="1445"/>
        <v>1</v>
      </c>
      <c r="O3789" s="246">
        <f t="shared" si="1446"/>
        <v>1</v>
      </c>
      <c r="P3789" s="121">
        <f t="shared" si="1447"/>
        <v>0</v>
      </c>
      <c r="Q3789" s="121">
        <f t="shared" si="1448"/>
        <v>0</v>
      </c>
      <c r="R3789" s="121">
        <f t="shared" si="1449"/>
        <v>1</v>
      </c>
      <c r="S3789" s="121" t="str">
        <f t="shared" si="1450"/>
        <v/>
      </c>
      <c r="T3789" s="121" t="str">
        <f t="shared" si="1451"/>
        <v/>
      </c>
      <c r="U3789" s="121">
        <f t="shared" si="1452"/>
        <v>1</v>
      </c>
    </row>
    <row r="3790" spans="1:21" x14ac:dyDescent="0.3">
      <c r="A3790" s="187">
        <v>40</v>
      </c>
      <c r="B3790" s="242">
        <f t="shared" si="1453"/>
        <v>46844</v>
      </c>
      <c r="C3790" s="243">
        <f t="shared" si="1434"/>
        <v>46873</v>
      </c>
      <c r="D3790" s="120">
        <f t="shared" si="1435"/>
        <v>30</v>
      </c>
      <c r="E3790" s="120">
        <f t="shared" si="1436"/>
        <v>4</v>
      </c>
      <c r="F3790" s="275">
        <f t="shared" si="1437"/>
        <v>46859</v>
      </c>
      <c r="G3790" s="120">
        <f t="shared" si="1438"/>
        <v>24339</v>
      </c>
      <c r="H3790" s="245">
        <f t="shared" si="1439"/>
        <v>1</v>
      </c>
      <c r="I3790" s="121">
        <f t="shared" si="1440"/>
        <v>1</v>
      </c>
      <c r="J3790" s="121">
        <f t="shared" si="1441"/>
        <v>1</v>
      </c>
      <c r="K3790" s="120">
        <f t="shared" si="1442"/>
        <v>0</v>
      </c>
      <c r="L3790" s="120">
        <f t="shared" si="1443"/>
        <v>0</v>
      </c>
      <c r="M3790" s="246">
        <f t="shared" si="1444"/>
        <v>0</v>
      </c>
      <c r="N3790" s="121">
        <f t="shared" si="1445"/>
        <v>1</v>
      </c>
      <c r="O3790" s="246">
        <f t="shared" si="1446"/>
        <v>1</v>
      </c>
      <c r="P3790" s="121">
        <f t="shared" si="1447"/>
        <v>0</v>
      </c>
      <c r="Q3790" s="121">
        <f t="shared" si="1448"/>
        <v>0</v>
      </c>
      <c r="R3790" s="121">
        <f t="shared" si="1449"/>
        <v>1</v>
      </c>
      <c r="S3790" s="121" t="str">
        <f t="shared" si="1450"/>
        <v/>
      </c>
      <c r="T3790" s="121" t="str">
        <f t="shared" si="1451"/>
        <v/>
      </c>
      <c r="U3790" s="121">
        <f t="shared" si="1452"/>
        <v>1</v>
      </c>
    </row>
    <row r="3791" spans="1:21" x14ac:dyDescent="0.3">
      <c r="A3791" s="187">
        <v>41</v>
      </c>
      <c r="B3791" s="242">
        <f t="shared" si="1453"/>
        <v>46874</v>
      </c>
      <c r="C3791" s="243">
        <f t="shared" si="1434"/>
        <v>46904</v>
      </c>
      <c r="D3791" s="120">
        <f t="shared" si="1435"/>
        <v>31</v>
      </c>
      <c r="E3791" s="120">
        <f t="shared" si="1436"/>
        <v>5</v>
      </c>
      <c r="F3791" s="275">
        <f t="shared" si="1437"/>
        <v>46889.5</v>
      </c>
      <c r="G3791" s="120">
        <f t="shared" si="1438"/>
        <v>24340</v>
      </c>
      <c r="H3791" s="245">
        <f t="shared" si="1439"/>
        <v>1</v>
      </c>
      <c r="I3791" s="121">
        <f t="shared" si="1440"/>
        <v>1</v>
      </c>
      <c r="J3791" s="121">
        <f t="shared" si="1441"/>
        <v>1</v>
      </c>
      <c r="K3791" s="120">
        <f t="shared" si="1442"/>
        <v>0</v>
      </c>
      <c r="L3791" s="120">
        <f t="shared" si="1443"/>
        <v>0</v>
      </c>
      <c r="M3791" s="246">
        <f t="shared" si="1444"/>
        <v>0</v>
      </c>
      <c r="N3791" s="121">
        <f t="shared" si="1445"/>
        <v>1</v>
      </c>
      <c r="O3791" s="246">
        <f t="shared" si="1446"/>
        <v>1</v>
      </c>
      <c r="P3791" s="121">
        <f t="shared" si="1447"/>
        <v>0</v>
      </c>
      <c r="Q3791" s="121">
        <f t="shared" si="1448"/>
        <v>0</v>
      </c>
      <c r="R3791" s="121">
        <f t="shared" si="1449"/>
        <v>1</v>
      </c>
      <c r="S3791" s="121" t="str">
        <f t="shared" si="1450"/>
        <v/>
      </c>
      <c r="T3791" s="121" t="str">
        <f t="shared" si="1451"/>
        <v/>
      </c>
      <c r="U3791" s="121">
        <f t="shared" si="1452"/>
        <v>1</v>
      </c>
    </row>
    <row r="3792" spans="1:21" x14ac:dyDescent="0.3">
      <c r="A3792" s="187">
        <v>42</v>
      </c>
      <c r="B3792" s="242">
        <f t="shared" si="1453"/>
        <v>46905</v>
      </c>
      <c r="C3792" s="243">
        <f t="shared" si="1434"/>
        <v>46934</v>
      </c>
      <c r="D3792" s="120">
        <f t="shared" si="1435"/>
        <v>30</v>
      </c>
      <c r="E3792" s="120">
        <f t="shared" si="1436"/>
        <v>6</v>
      </c>
      <c r="F3792" s="275">
        <f t="shared" si="1437"/>
        <v>46920</v>
      </c>
      <c r="G3792" s="120">
        <f t="shared" si="1438"/>
        <v>24341</v>
      </c>
      <c r="H3792" s="245">
        <f t="shared" si="1439"/>
        <v>1</v>
      </c>
      <c r="I3792" s="121">
        <f t="shared" si="1440"/>
        <v>1</v>
      </c>
      <c r="J3792" s="121">
        <f t="shared" si="1441"/>
        <v>1</v>
      </c>
      <c r="K3792" s="120">
        <f t="shared" si="1442"/>
        <v>0</v>
      </c>
      <c r="L3792" s="120">
        <f t="shared" si="1443"/>
        <v>0</v>
      </c>
      <c r="M3792" s="246">
        <f t="shared" si="1444"/>
        <v>0</v>
      </c>
      <c r="N3792" s="121">
        <f t="shared" si="1445"/>
        <v>1</v>
      </c>
      <c r="O3792" s="246">
        <f t="shared" si="1446"/>
        <v>1</v>
      </c>
      <c r="P3792" s="121">
        <f t="shared" si="1447"/>
        <v>0</v>
      </c>
      <c r="Q3792" s="121">
        <f t="shared" si="1448"/>
        <v>0</v>
      </c>
      <c r="R3792" s="121">
        <f t="shared" si="1449"/>
        <v>1</v>
      </c>
      <c r="S3792" s="121" t="str">
        <f t="shared" si="1450"/>
        <v/>
      </c>
      <c r="T3792" s="121" t="str">
        <f t="shared" si="1451"/>
        <v/>
      </c>
      <c r="U3792" s="121">
        <f t="shared" si="1452"/>
        <v>1</v>
      </c>
    </row>
    <row r="3793" spans="1:39" x14ac:dyDescent="0.3">
      <c r="A3793" s="187">
        <v>43</v>
      </c>
      <c r="B3793" s="242">
        <f t="shared" si="1453"/>
        <v>46935</v>
      </c>
      <c r="C3793" s="243">
        <f t="shared" si="1434"/>
        <v>46965</v>
      </c>
      <c r="D3793" s="120">
        <f t="shared" si="1435"/>
        <v>31</v>
      </c>
      <c r="E3793" s="120">
        <f t="shared" si="1436"/>
        <v>7</v>
      </c>
      <c r="F3793" s="275">
        <f t="shared" si="1437"/>
        <v>46950.5</v>
      </c>
      <c r="G3793" s="120">
        <f t="shared" si="1438"/>
        <v>24342</v>
      </c>
      <c r="H3793" s="245">
        <f t="shared" si="1439"/>
        <v>1</v>
      </c>
      <c r="I3793" s="121">
        <f t="shared" si="1440"/>
        <v>1</v>
      </c>
      <c r="J3793" s="121">
        <f t="shared" si="1441"/>
        <v>1</v>
      </c>
      <c r="K3793" s="120">
        <f t="shared" si="1442"/>
        <v>0</v>
      </c>
      <c r="L3793" s="120">
        <f t="shared" si="1443"/>
        <v>0</v>
      </c>
      <c r="M3793" s="246">
        <f t="shared" si="1444"/>
        <v>0</v>
      </c>
      <c r="N3793" s="121">
        <f t="shared" si="1445"/>
        <v>1</v>
      </c>
      <c r="O3793" s="246">
        <f t="shared" si="1446"/>
        <v>1</v>
      </c>
      <c r="P3793" s="121">
        <f t="shared" si="1447"/>
        <v>0</v>
      </c>
      <c r="Q3793" s="121">
        <f t="shared" si="1448"/>
        <v>0</v>
      </c>
      <c r="R3793" s="121">
        <f t="shared" si="1449"/>
        <v>0.91666666666666663</v>
      </c>
      <c r="S3793" s="121" t="str">
        <f t="shared" si="1450"/>
        <v/>
      </c>
      <c r="T3793" s="121" t="str">
        <f t="shared" si="1451"/>
        <v/>
      </c>
      <c r="U3793" s="121">
        <f t="shared" si="1452"/>
        <v>1</v>
      </c>
    </row>
    <row r="3794" spans="1:39" x14ac:dyDescent="0.3">
      <c r="A3794" s="187">
        <v>44</v>
      </c>
      <c r="B3794" s="242">
        <f t="shared" si="1453"/>
        <v>46966</v>
      </c>
      <c r="C3794" s="243">
        <f t="shared" si="1434"/>
        <v>46996</v>
      </c>
      <c r="D3794" s="120">
        <f t="shared" si="1435"/>
        <v>31</v>
      </c>
      <c r="E3794" s="120">
        <f t="shared" si="1436"/>
        <v>8</v>
      </c>
      <c r="F3794" s="275">
        <f t="shared" si="1437"/>
        <v>46981.5</v>
      </c>
      <c r="G3794" s="120">
        <f t="shared" si="1438"/>
        <v>24343</v>
      </c>
      <c r="H3794" s="245">
        <f t="shared" si="1439"/>
        <v>1</v>
      </c>
      <c r="I3794" s="121">
        <f t="shared" si="1440"/>
        <v>1</v>
      </c>
      <c r="J3794" s="121">
        <f t="shared" si="1441"/>
        <v>1</v>
      </c>
      <c r="K3794" s="120">
        <f t="shared" si="1442"/>
        <v>0</v>
      </c>
      <c r="L3794" s="120">
        <f t="shared" si="1443"/>
        <v>0</v>
      </c>
      <c r="M3794" s="246">
        <f t="shared" si="1444"/>
        <v>0</v>
      </c>
      <c r="N3794" s="121">
        <f t="shared" si="1445"/>
        <v>1</v>
      </c>
      <c r="O3794" s="246">
        <f t="shared" si="1446"/>
        <v>1</v>
      </c>
      <c r="P3794" s="121">
        <f t="shared" si="1447"/>
        <v>0</v>
      </c>
      <c r="Q3794" s="121">
        <f t="shared" si="1448"/>
        <v>0</v>
      </c>
      <c r="R3794" s="121">
        <f t="shared" si="1449"/>
        <v>0.75</v>
      </c>
      <c r="S3794" s="121" t="str">
        <f t="shared" si="1450"/>
        <v/>
      </c>
      <c r="T3794" s="121" t="str">
        <f t="shared" si="1451"/>
        <v/>
      </c>
      <c r="U3794" s="121">
        <f t="shared" si="1452"/>
        <v>1</v>
      </c>
    </row>
    <row r="3795" spans="1:39" x14ac:dyDescent="0.3">
      <c r="A3795" s="187">
        <v>45</v>
      </c>
      <c r="B3795" s="242">
        <f t="shared" si="1453"/>
        <v>46997</v>
      </c>
      <c r="C3795" s="243">
        <f t="shared" si="1434"/>
        <v>47026</v>
      </c>
      <c r="D3795" s="120">
        <f t="shared" si="1435"/>
        <v>30</v>
      </c>
      <c r="E3795" s="120">
        <f t="shared" si="1436"/>
        <v>9</v>
      </c>
      <c r="F3795" s="275">
        <f t="shared" si="1437"/>
        <v>47012</v>
      </c>
      <c r="G3795" s="120">
        <f t="shared" si="1438"/>
        <v>24344</v>
      </c>
      <c r="H3795" s="245">
        <f t="shared" si="1439"/>
        <v>1</v>
      </c>
      <c r="I3795" s="121">
        <f t="shared" si="1440"/>
        <v>1</v>
      </c>
      <c r="J3795" s="121">
        <f t="shared" si="1441"/>
        <v>1</v>
      </c>
      <c r="K3795" s="120">
        <f t="shared" si="1442"/>
        <v>0</v>
      </c>
      <c r="L3795" s="120">
        <f t="shared" si="1443"/>
        <v>0</v>
      </c>
      <c r="M3795" s="246">
        <f t="shared" si="1444"/>
        <v>0</v>
      </c>
      <c r="N3795" s="121">
        <f t="shared" si="1445"/>
        <v>1</v>
      </c>
      <c r="O3795" s="246">
        <f t="shared" si="1446"/>
        <v>1</v>
      </c>
      <c r="P3795" s="121">
        <f t="shared" si="1447"/>
        <v>0</v>
      </c>
      <c r="Q3795" s="121">
        <f t="shared" si="1448"/>
        <v>0</v>
      </c>
      <c r="R3795" s="121">
        <f t="shared" si="1449"/>
        <v>0.58333333333333337</v>
      </c>
      <c r="S3795" s="121" t="str">
        <f t="shared" si="1450"/>
        <v/>
      </c>
      <c r="T3795" s="121" t="str">
        <f t="shared" si="1451"/>
        <v/>
      </c>
      <c r="U3795" s="121">
        <f t="shared" si="1452"/>
        <v>1</v>
      </c>
    </row>
    <row r="3796" spans="1:39" x14ac:dyDescent="0.3">
      <c r="A3796" s="187">
        <v>46</v>
      </c>
      <c r="B3796" s="242">
        <f t="shared" si="1453"/>
        <v>47027</v>
      </c>
      <c r="C3796" s="243">
        <f t="shared" si="1434"/>
        <v>47057</v>
      </c>
      <c r="D3796" s="120">
        <f t="shared" si="1435"/>
        <v>31</v>
      </c>
      <c r="E3796" s="120">
        <f t="shared" si="1436"/>
        <v>10</v>
      </c>
      <c r="F3796" s="275">
        <f t="shared" si="1437"/>
        <v>47042.5</v>
      </c>
      <c r="G3796" s="120">
        <f t="shared" si="1438"/>
        <v>24345</v>
      </c>
      <c r="H3796" s="245">
        <f t="shared" si="1439"/>
        <v>1</v>
      </c>
      <c r="I3796" s="121">
        <f t="shared" si="1440"/>
        <v>1</v>
      </c>
      <c r="J3796" s="121">
        <f t="shared" si="1441"/>
        <v>1</v>
      </c>
      <c r="K3796" s="120">
        <f t="shared" si="1442"/>
        <v>0</v>
      </c>
      <c r="L3796" s="120">
        <f t="shared" si="1443"/>
        <v>0</v>
      </c>
      <c r="M3796" s="246">
        <f t="shared" si="1444"/>
        <v>0</v>
      </c>
      <c r="N3796" s="121">
        <f t="shared" si="1445"/>
        <v>1</v>
      </c>
      <c r="O3796" s="246">
        <f t="shared" si="1446"/>
        <v>1</v>
      </c>
      <c r="P3796" s="121">
        <f t="shared" si="1447"/>
        <v>0</v>
      </c>
      <c r="Q3796" s="121">
        <f t="shared" si="1448"/>
        <v>0</v>
      </c>
      <c r="R3796" s="121">
        <f t="shared" si="1449"/>
        <v>0.41666666666666669</v>
      </c>
      <c r="S3796" s="121" t="str">
        <f t="shared" si="1450"/>
        <v/>
      </c>
      <c r="T3796" s="121" t="str">
        <f t="shared" si="1451"/>
        <v/>
      </c>
      <c r="U3796" s="121">
        <f t="shared" si="1452"/>
        <v>1</v>
      </c>
    </row>
    <row r="3797" spans="1:39" x14ac:dyDescent="0.3">
      <c r="A3797" s="187">
        <v>47</v>
      </c>
      <c r="B3797" s="242">
        <f t="shared" si="1453"/>
        <v>47058</v>
      </c>
      <c r="C3797" s="243">
        <f t="shared" si="1434"/>
        <v>47087</v>
      </c>
      <c r="D3797" s="120">
        <f t="shared" si="1435"/>
        <v>30</v>
      </c>
      <c r="E3797" s="120">
        <f t="shared" si="1436"/>
        <v>11</v>
      </c>
      <c r="F3797" s="275">
        <f t="shared" si="1437"/>
        <v>47073</v>
      </c>
      <c r="G3797" s="120">
        <f t="shared" si="1438"/>
        <v>24346</v>
      </c>
      <c r="H3797" s="245">
        <f t="shared" si="1439"/>
        <v>1</v>
      </c>
      <c r="I3797" s="121">
        <f t="shared" si="1440"/>
        <v>1</v>
      </c>
      <c r="J3797" s="121">
        <f t="shared" si="1441"/>
        <v>1</v>
      </c>
      <c r="K3797" s="120">
        <f t="shared" si="1442"/>
        <v>0</v>
      </c>
      <c r="L3797" s="120">
        <f t="shared" si="1443"/>
        <v>0</v>
      </c>
      <c r="M3797" s="246">
        <f t="shared" si="1444"/>
        <v>0</v>
      </c>
      <c r="N3797" s="121">
        <f t="shared" si="1445"/>
        <v>1</v>
      </c>
      <c r="O3797" s="246">
        <f t="shared" si="1446"/>
        <v>1</v>
      </c>
      <c r="P3797" s="121">
        <f t="shared" si="1447"/>
        <v>0</v>
      </c>
      <c r="Q3797" s="121">
        <f t="shared" si="1448"/>
        <v>0</v>
      </c>
      <c r="R3797" s="121">
        <f t="shared" si="1449"/>
        <v>0.25</v>
      </c>
      <c r="S3797" s="121" t="str">
        <f t="shared" si="1450"/>
        <v/>
      </c>
      <c r="T3797" s="121" t="str">
        <f t="shared" si="1451"/>
        <v/>
      </c>
      <c r="U3797" s="121">
        <f t="shared" si="1452"/>
        <v>1</v>
      </c>
    </row>
    <row r="3798" spans="1:39" x14ac:dyDescent="0.3">
      <c r="A3798" s="187">
        <v>48</v>
      </c>
      <c r="B3798" s="242">
        <f t="shared" si="1453"/>
        <v>47088</v>
      </c>
      <c r="C3798" s="243">
        <f t="shared" si="1434"/>
        <v>47118</v>
      </c>
      <c r="D3798" s="120">
        <f t="shared" si="1435"/>
        <v>31</v>
      </c>
      <c r="E3798" s="120">
        <f t="shared" si="1436"/>
        <v>12</v>
      </c>
      <c r="F3798" s="275">
        <f t="shared" si="1437"/>
        <v>47103.5</v>
      </c>
      <c r="G3798" s="120">
        <f t="shared" si="1438"/>
        <v>24347</v>
      </c>
      <c r="H3798" s="245">
        <f t="shared" si="1439"/>
        <v>1</v>
      </c>
      <c r="I3798" s="121">
        <f t="shared" si="1440"/>
        <v>1</v>
      </c>
      <c r="J3798" s="121">
        <f t="shared" si="1441"/>
        <v>1</v>
      </c>
      <c r="K3798" s="120">
        <f t="shared" si="1442"/>
        <v>0</v>
      </c>
      <c r="L3798" s="120">
        <f t="shared" si="1443"/>
        <v>0</v>
      </c>
      <c r="M3798" s="246">
        <f t="shared" si="1444"/>
        <v>0</v>
      </c>
      <c r="N3798" s="121">
        <f t="shared" si="1445"/>
        <v>1</v>
      </c>
      <c r="O3798" s="246">
        <f t="shared" si="1446"/>
        <v>1</v>
      </c>
      <c r="P3798" s="121">
        <f t="shared" si="1447"/>
        <v>0</v>
      </c>
      <c r="Q3798" s="121">
        <f t="shared" si="1448"/>
        <v>0</v>
      </c>
      <c r="R3798" s="121">
        <f t="shared" si="1449"/>
        <v>8.3333333333333329E-2</v>
      </c>
      <c r="S3798" s="121" t="str">
        <f t="shared" si="1450"/>
        <v/>
      </c>
      <c r="T3798" s="121" t="str">
        <f t="shared" si="1451"/>
        <v/>
      </c>
      <c r="U3798" s="121">
        <f t="shared" si="1452"/>
        <v>1</v>
      </c>
    </row>
    <row r="3799" spans="1:39" x14ac:dyDescent="0.3">
      <c r="A3799" s="6" t="s">
        <v>1651</v>
      </c>
      <c r="B3799" s="73">
        <f>EXP(SUMPRODUCT((rl_key=$A$3748)*(rl_cons="Y")*rl_ln1p))</f>
        <v>1</v>
      </c>
      <c r="C3799" s="73">
        <f>SUMPRODUCT($H$3751:$H$3798,$P$3751:$P$3798,$U$3751:$U$3798)/SUMPRODUCT($H$3751:$H$3798,$P$3751:$P$3798)</f>
        <v>1</v>
      </c>
      <c r="D3799" s="73">
        <f>SUMPRODUCT($H$3751:$H$3798,$Q$3751:$Q$3798,$U$3751:$U$3798)/SUMPRODUCT($H$3751:$H$3798,$Q$3751:$Q$3798)</f>
        <v>1</v>
      </c>
      <c r="E3799" s="73">
        <f>SUMPRODUCT($H$3751:$H$3798,$R$3751:$R$3798,$U$3751:$U$3798)/SUMPRODUCT($H$3751:$H$3798,$R$3751:$R$3798)</f>
        <v>1</v>
      </c>
      <c r="F3799" s="224">
        <f>SUMPRODUCT($H$3751:$H$3798,$Q$3751:$Q$3798,$O$3751:$O$3798)/SUMPRODUCT($H$3751:$H$3798,$Q$3751:$Q$3798)</f>
        <v>1</v>
      </c>
      <c r="G3799" s="224">
        <f>SUMPRODUCT($H$3751:$H$3798,$R$3751:$R$3798,$O$3751:$O$3798)/SUMPRODUCT($H$3751:$H$3798,$R$3751:$R$3798)</f>
        <v>1</v>
      </c>
      <c r="H3799" s="73">
        <f>SUMPRODUCT($H$3775:$H$3786,$N$3775:$N$3786/$N$3763:$N$3774)/SUM($H$3775:$H$3786)</f>
        <v>1</v>
      </c>
      <c r="I3799" s="73">
        <f>SUMPRODUCT($H$3775:$H$3786,$O$3775:$O$3786/$O$3763:$O$3774)/SUM($H$3775:$H$3786)</f>
        <v>1</v>
      </c>
      <c r="J3799" s="73">
        <f>IF($O$3748=1,SUMPRODUCT($H$3775:$H$3786,$N$3775:$N$3786/$N$3763:$N$3774*$O$3775:$O$3786/$O$3763:$O$3774)/SUM($H$3775:$H$3786),$H3799)</f>
        <v>1</v>
      </c>
      <c r="K3799" s="73">
        <f>SUMPRODUCT($H$3751:$H$3798,$Q$3751:$Q$3798,$N$3751:$N$3798)/SUMPRODUCT($H$3751:$H$3798,$Q$3751:$Q$3798)</f>
        <v>1</v>
      </c>
      <c r="L3799" s="73">
        <f>SUMPRODUCT($H$3751:$H$3798,$R$3751:$R$3798,$N$3751:$N$3798)/SUMPRODUCT($H$3751:$H$3798,$R$3751:$R$3798)</f>
        <v>1</v>
      </c>
    </row>
    <row r="3804" spans="1:39" x14ac:dyDescent="0.3">
      <c r="A3804" s="270" t="s">
        <v>1652</v>
      </c>
    </row>
    <row r="3805" spans="1:39" x14ac:dyDescent="0.3">
      <c r="A3805" s="23" t="s">
        <v>1653</v>
      </c>
      <c r="B3805" s="23" t="s">
        <v>1654</v>
      </c>
      <c r="C3805" s="23" t="s">
        <v>1655</v>
      </c>
      <c r="D3805" s="23" t="s">
        <v>1656</v>
      </c>
      <c r="E3805" s="23" t="s">
        <v>1657</v>
      </c>
      <c r="F3805" s="23" t="s">
        <v>1658</v>
      </c>
      <c r="G3805" s="23" t="s">
        <v>1659</v>
      </c>
      <c r="H3805" s="23" t="s">
        <v>1660</v>
      </c>
      <c r="I3805" s="23" t="s">
        <v>1661</v>
      </c>
      <c r="K3805" s="23" t="s">
        <v>1662</v>
      </c>
      <c r="L3805" s="23" t="s">
        <v>1663</v>
      </c>
      <c r="M3805" s="23" t="s">
        <v>1664</v>
      </c>
      <c r="N3805" s="23" t="s">
        <v>1665</v>
      </c>
      <c r="O3805" s="23" t="s">
        <v>1666</v>
      </c>
      <c r="P3805" s="23" t="s">
        <v>1667</v>
      </c>
      <c r="Q3805" s="23" t="s">
        <v>1668</v>
      </c>
      <c r="R3805" s="23" t="s">
        <v>1669</v>
      </c>
      <c r="S3805" s="23" t="s">
        <v>1670</v>
      </c>
      <c r="U3805" s="23" t="s">
        <v>1671</v>
      </c>
      <c r="V3805" s="23" t="s">
        <v>1672</v>
      </c>
      <c r="W3805" s="23" t="s">
        <v>1673</v>
      </c>
      <c r="X3805" s="23" t="s">
        <v>1674</v>
      </c>
      <c r="Y3805" s="23" t="s">
        <v>1675</v>
      </c>
      <c r="Z3805" s="23" t="s">
        <v>1676</v>
      </c>
      <c r="AA3805" s="23" t="s">
        <v>1677</v>
      </c>
      <c r="AB3805" s="23" t="s">
        <v>1678</v>
      </c>
      <c r="AC3805" s="23" t="s">
        <v>1679</v>
      </c>
      <c r="AE3805" s="23" t="s">
        <v>1680</v>
      </c>
      <c r="AF3805" s="23" t="s">
        <v>1681</v>
      </c>
      <c r="AG3805" s="23" t="s">
        <v>1682</v>
      </c>
      <c r="AH3805" s="23" t="s">
        <v>1683</v>
      </c>
      <c r="AI3805" s="23" t="s">
        <v>1684</v>
      </c>
      <c r="AJ3805" s="23" t="s">
        <v>1685</v>
      </c>
      <c r="AK3805" s="23" t="s">
        <v>1686</v>
      </c>
      <c r="AL3805" s="23" t="s">
        <v>1687</v>
      </c>
      <c r="AM3805" s="23" t="s">
        <v>1688</v>
      </c>
    </row>
    <row r="3806" spans="1:39" x14ac:dyDescent="0.3">
      <c r="A3806" s="74">
        <f>IF('Rate Log'!$C$7="","",IF('Rate Log'!$E$7="planned",EDATE('Rate Log'!$C$7,N(INDEX(sc_shift,1))),'Rate Log'!$C$7))</f>
        <v>45839</v>
      </c>
      <c r="B3806" s="74">
        <f t="shared" ref="B3806:B3869" si="1454">IF($A3806="","",DATE(YEAR($A3806),MONTH($A3806),1))</f>
        <v>45839</v>
      </c>
      <c r="C3806" s="72">
        <f>IF(N(INDEX(sc_ach,1))=0,IF('Rate Log'!$G$7="",1,'Rate Log'!$G$7),INDEX(sc_ach,1))</f>
        <v>1</v>
      </c>
      <c r="D3806" s="72">
        <f>IF('Rate Log'!$C$7="",0,IF('Rate Log'!$E$7="planned",('Rate Log'!$D$7+N(INDEX(sc_dpts,1)))*$C3806,'Rate Log'!$D$7))</f>
        <v>0.04</v>
      </c>
      <c r="E3806" s="73">
        <f>IF('Rate Log'!$C$7="",0,IF(1+$D3806&gt;0,LN(1+$D3806),0))</f>
        <v>3.9220713153281329E-2</v>
      </c>
      <c r="F3806" s="75">
        <f t="shared" ref="F3806:F3869" si="1455">IF($A3806="",0,EOMONTH($A3806,0)-$A3806+1)</f>
        <v>31</v>
      </c>
      <c r="G3806" s="75">
        <f>IF($A3806="",0,COUNTIFS(rl_key,'Rate Log'!$J$7,$B$3806:$B$4045,$B3806,$A$3806:$A$4045,"&lt;"&amp;$A3806))</f>
        <v>0</v>
      </c>
      <c r="H3806" s="75">
        <f>IF($A3806="",0,COUNTIFS('Rate Log'!$J$7:$J$7,'Rate Log'!$J$7,$B$3806:$B3806,$B3806,$A$3806:$A3806,$A3806))</f>
        <v>1</v>
      </c>
      <c r="I3806" s="75">
        <f t="shared" ref="I3806:I3869" si="1456">IF($A3806="",0,IF(AND($G3806=0,$H3806=1),1,0))</f>
        <v>1</v>
      </c>
      <c r="K3806" s="74">
        <f>IF('Rate Log'!$C$7="","",IF('Rate Log'!$E$7="planned",EDATE('Rate Log'!$C$7,N(INDEX(sc_shift,2))),'Rate Log'!$C$7))</f>
        <v>45839</v>
      </c>
      <c r="L3806" s="74">
        <f t="shared" ref="L3806:L3869" si="1457">IF($K3806="","",DATE(YEAR($K3806),MONTH($K3806),1))</f>
        <v>45839</v>
      </c>
      <c r="M3806" s="72">
        <f>IF(N(INDEX(sc_ach,2))=0,IF('Rate Log'!$G$7="",1,'Rate Log'!$G$7),INDEX(sc_ach,2))</f>
        <v>1</v>
      </c>
      <c r="N3806" s="72">
        <f>IF('Rate Log'!$C$7="",0,IF('Rate Log'!$E$7="planned",('Rate Log'!$D$7+N(INDEX(sc_dpts,2)))*$M3806,'Rate Log'!$D$7))</f>
        <v>0.04</v>
      </c>
      <c r="O3806" s="73">
        <f>IF('Rate Log'!$C$7="",0,IF(1+$N3806&gt;0,LN(1+$N3806),0))</f>
        <v>3.9220713153281329E-2</v>
      </c>
      <c r="P3806" s="75">
        <f t="shared" ref="P3806:P3869" si="1458">IF($K3806="",0,EOMONTH($K3806,0)-$K3806+1)</f>
        <v>31</v>
      </c>
      <c r="Q3806" s="75">
        <f>IF($K3806="",0,COUNTIFS(rl_key,'Rate Log'!$J$7,$L$3806:$L$4045,$L3806,$K$3806:$K$4045,"&lt;"&amp;$K3806))</f>
        <v>0</v>
      </c>
      <c r="R3806" s="75">
        <f>IF($K3806="",0,COUNTIFS('Rate Log'!$J$7:$J$7,'Rate Log'!$J$7,$L$3806:$L3806,$L3806,$K$3806:$K3806,$K3806))</f>
        <v>1</v>
      </c>
      <c r="S3806" s="75">
        <f t="shared" ref="S3806:S3869" si="1459">IF($K3806="",0,IF(AND($Q3806=0,$R3806=1),1,0))</f>
        <v>1</v>
      </c>
      <c r="U3806" s="74">
        <f>IF('Rate Log'!$C$7="","",IF('Rate Log'!$E$7="planned",EDATE('Rate Log'!$C$7,N(INDEX(sc_shift,3))),'Rate Log'!$C$7))</f>
        <v>45839</v>
      </c>
      <c r="V3806" s="74">
        <f t="shared" ref="V3806:V3869" si="1460">IF($U3806="","",DATE(YEAR($U3806),MONTH($U3806),1))</f>
        <v>45839</v>
      </c>
      <c r="W3806" s="72">
        <f>IF(N(INDEX(sc_ach,3))=0,IF('Rate Log'!$G$7="",1,'Rate Log'!$G$7),INDEX(sc_ach,3))</f>
        <v>1</v>
      </c>
      <c r="X3806" s="72">
        <f>IF('Rate Log'!$C$7="",0,IF('Rate Log'!$E$7="planned",('Rate Log'!$D$7+N(INDEX(sc_dpts,3)))*$W3806,'Rate Log'!$D$7))</f>
        <v>0.04</v>
      </c>
      <c r="Y3806" s="73">
        <f>IF('Rate Log'!$C$7="",0,IF(1+$X3806&gt;0,LN(1+$X3806),0))</f>
        <v>3.9220713153281329E-2</v>
      </c>
      <c r="Z3806" s="75">
        <f t="shared" ref="Z3806:Z3869" si="1461">IF($U3806="",0,EOMONTH($U3806,0)-$U3806+1)</f>
        <v>31</v>
      </c>
      <c r="AA3806" s="75">
        <f>IF($U3806="",0,COUNTIFS(rl_key,'Rate Log'!$J$7,$V$3806:$V$4045,$V3806,$U$3806:$U$4045,"&lt;"&amp;$U3806))</f>
        <v>0</v>
      </c>
      <c r="AB3806" s="75">
        <f>IF($U3806="",0,COUNTIFS('Rate Log'!$J$7:$J$7,'Rate Log'!$J$7,$V$3806:$V3806,$V3806,$U$3806:$U3806,$U3806))</f>
        <v>1</v>
      </c>
      <c r="AC3806" s="75">
        <f t="shared" ref="AC3806:AC3869" si="1462">IF($U3806="",0,IF(AND($AA3806=0,$AB3806=1),1,0))</f>
        <v>1</v>
      </c>
      <c r="AE3806" s="74">
        <f>IF('Rate Log'!$C$7="","",IF('Rate Log'!$E$7="planned",EDATE('Rate Log'!$C$7,N(INDEX(sc_shift,4))),'Rate Log'!$C$7))</f>
        <v>45839</v>
      </c>
      <c r="AF3806" s="74">
        <f t="shared" ref="AF3806:AF3869" si="1463">IF($AE3806="","",DATE(YEAR($AE3806),MONTH($AE3806),1))</f>
        <v>45839</v>
      </c>
      <c r="AG3806" s="72">
        <f>IF(N(INDEX(sc_ach,4))=0,IF('Rate Log'!$G$7="",1,'Rate Log'!$G$7),INDEX(sc_ach,4))</f>
        <v>1</v>
      </c>
      <c r="AH3806" s="72">
        <f>IF('Rate Log'!$C$7="",0,IF('Rate Log'!$E$7="planned",('Rate Log'!$D$7+N(INDEX(sc_dpts,4)))*$AG3806,'Rate Log'!$D$7))</f>
        <v>0.04</v>
      </c>
      <c r="AI3806" s="73">
        <f>IF('Rate Log'!$C$7="",0,IF(1+$AH3806&gt;0,LN(1+$AH3806),0))</f>
        <v>3.9220713153281329E-2</v>
      </c>
      <c r="AJ3806" s="75">
        <f t="shared" ref="AJ3806:AJ3869" si="1464">IF($AE3806="",0,EOMONTH($AE3806,0)-$AE3806+1)</f>
        <v>31</v>
      </c>
      <c r="AK3806" s="75">
        <f>IF($AE3806="",0,COUNTIFS(rl_key,'Rate Log'!$J$7,$AF$3806:$AF$4045,$AF3806,$AE$3806:$AE$4045,"&lt;"&amp;$AE3806))</f>
        <v>0</v>
      </c>
      <c r="AL3806" s="75">
        <f>IF($AE3806="",0,COUNTIFS('Rate Log'!$J$7:$J$7,'Rate Log'!$J$7,$AF$3806:$AF3806,$AF3806,$AE$3806:$AE3806,$AE3806))</f>
        <v>1</v>
      </c>
      <c r="AM3806" s="75">
        <f t="shared" ref="AM3806:AM3869" si="1465">IF($AE3806="",0,IF(AND($AK3806=0,$AL3806=1),1,0))</f>
        <v>1</v>
      </c>
    </row>
    <row r="3807" spans="1:39" x14ac:dyDescent="0.3">
      <c r="A3807" s="74">
        <f>IF('Rate Log'!$C$8="","",IF('Rate Log'!$E$8="planned",EDATE('Rate Log'!$C$8,N(INDEX(sc_shift,1))),'Rate Log'!$C$8))</f>
        <v>46204</v>
      </c>
      <c r="B3807" s="74">
        <f t="shared" si="1454"/>
        <v>46204</v>
      </c>
      <c r="C3807" s="72">
        <f>IF(N(INDEX(sc_ach,1))=0,IF('Rate Log'!$G$8="",1,'Rate Log'!$G$8),INDEX(sc_ach,1))</f>
        <v>1</v>
      </c>
      <c r="D3807" s="72">
        <f>IF('Rate Log'!$C$8="",0,IF('Rate Log'!$E$8="planned",('Rate Log'!$D$8+N(INDEX(sc_dpts,1)))*$C3807,'Rate Log'!$D$8))</f>
        <v>0.06</v>
      </c>
      <c r="E3807" s="73">
        <f>IF('Rate Log'!$C$8="",0,IF(1+$D3807&gt;0,LN(1+$D3807),0))</f>
        <v>5.8268908123975824E-2</v>
      </c>
      <c r="F3807" s="75">
        <f t="shared" si="1455"/>
        <v>31</v>
      </c>
      <c r="G3807" s="75">
        <f>IF($A3807="",0,COUNTIFS(rl_key,'Rate Log'!$J$8,$B$3806:$B$4045,$B3807,$A$3806:$A$4045,"&lt;"&amp;$A3807))</f>
        <v>0</v>
      </c>
      <c r="H3807" s="75">
        <f>IF($A3807="",0,COUNTIFS('Rate Log'!$J$7:$J$8,'Rate Log'!$J$8,$B$3806:$B3807,$B3807,$A$3806:$A3807,$A3807))</f>
        <v>1</v>
      </c>
      <c r="I3807" s="75">
        <f t="shared" si="1456"/>
        <v>1</v>
      </c>
      <c r="K3807" s="74">
        <f>IF('Rate Log'!$C$8="","",IF('Rate Log'!$E$8="planned",EDATE('Rate Log'!$C$8,N(INDEX(sc_shift,2))),'Rate Log'!$C$8))</f>
        <v>46204</v>
      </c>
      <c r="L3807" s="74">
        <f t="shared" si="1457"/>
        <v>46204</v>
      </c>
      <c r="M3807" s="72">
        <f>IF(N(INDEX(sc_ach,2))=0,IF('Rate Log'!$G$8="",1,'Rate Log'!$G$8),INDEX(sc_ach,2))</f>
        <v>1</v>
      </c>
      <c r="N3807" s="72">
        <f>IF('Rate Log'!$C$8="",0,IF('Rate Log'!$E$8="planned",('Rate Log'!$D$8+N(INDEX(sc_dpts,2)))*$M3807,'Rate Log'!$D$8))</f>
        <v>0.06</v>
      </c>
      <c r="O3807" s="73">
        <f>IF('Rate Log'!$C$8="",0,IF(1+$N3807&gt;0,LN(1+$N3807),0))</f>
        <v>5.8268908123975824E-2</v>
      </c>
      <c r="P3807" s="75">
        <f t="shared" si="1458"/>
        <v>31</v>
      </c>
      <c r="Q3807" s="75">
        <f>IF($K3807="",0,COUNTIFS(rl_key,'Rate Log'!$J$8,$L$3806:$L$4045,$L3807,$K$3806:$K$4045,"&lt;"&amp;$K3807))</f>
        <v>0</v>
      </c>
      <c r="R3807" s="75">
        <f>IF($K3807="",0,COUNTIFS('Rate Log'!$J$7:$J$8,'Rate Log'!$J$8,$L$3806:$L3807,$L3807,$K$3806:$K3807,$K3807))</f>
        <v>1</v>
      </c>
      <c r="S3807" s="75">
        <f t="shared" si="1459"/>
        <v>1</v>
      </c>
      <c r="U3807" s="74">
        <f>IF('Rate Log'!$C$8="","",IF('Rate Log'!$E$8="planned",EDATE('Rate Log'!$C$8,N(INDEX(sc_shift,3))),'Rate Log'!$C$8))</f>
        <v>46204</v>
      </c>
      <c r="V3807" s="74">
        <f t="shared" si="1460"/>
        <v>46204</v>
      </c>
      <c r="W3807" s="72">
        <f>IF(N(INDEX(sc_ach,3))=0,IF('Rate Log'!$G$8="",1,'Rate Log'!$G$8),INDEX(sc_ach,3))</f>
        <v>1</v>
      </c>
      <c r="X3807" s="72">
        <f>IF('Rate Log'!$C$8="",0,IF('Rate Log'!$E$8="planned",('Rate Log'!$D$8+N(INDEX(sc_dpts,3)))*$W3807,'Rate Log'!$D$8))</f>
        <v>0.06</v>
      </c>
      <c r="Y3807" s="73">
        <f>IF('Rate Log'!$C$8="",0,IF(1+$X3807&gt;0,LN(1+$X3807),0))</f>
        <v>5.8268908123975824E-2</v>
      </c>
      <c r="Z3807" s="75">
        <f t="shared" si="1461"/>
        <v>31</v>
      </c>
      <c r="AA3807" s="75">
        <f>IF($U3807="",0,COUNTIFS(rl_key,'Rate Log'!$J$8,$V$3806:$V$4045,$V3807,$U$3806:$U$4045,"&lt;"&amp;$U3807))</f>
        <v>0</v>
      </c>
      <c r="AB3807" s="75">
        <f>IF($U3807="",0,COUNTIFS('Rate Log'!$J$7:$J$8,'Rate Log'!$J$8,$V$3806:$V3807,$V3807,$U$3806:$U3807,$U3807))</f>
        <v>1</v>
      </c>
      <c r="AC3807" s="75">
        <f t="shared" si="1462"/>
        <v>1</v>
      </c>
      <c r="AE3807" s="74">
        <f>IF('Rate Log'!$C$8="","",IF('Rate Log'!$E$8="planned",EDATE('Rate Log'!$C$8,N(INDEX(sc_shift,4))),'Rate Log'!$C$8))</f>
        <v>46204</v>
      </c>
      <c r="AF3807" s="74">
        <f t="shared" si="1463"/>
        <v>46204</v>
      </c>
      <c r="AG3807" s="72">
        <f>IF(N(INDEX(sc_ach,4))=0,IF('Rate Log'!$G$8="",1,'Rate Log'!$G$8),INDEX(sc_ach,4))</f>
        <v>1</v>
      </c>
      <c r="AH3807" s="72">
        <f>IF('Rate Log'!$C$8="",0,IF('Rate Log'!$E$8="planned",('Rate Log'!$D$8+N(INDEX(sc_dpts,4)))*$AG3807,'Rate Log'!$D$8))</f>
        <v>0.06</v>
      </c>
      <c r="AI3807" s="73">
        <f>IF('Rate Log'!$C$8="",0,IF(1+$AH3807&gt;0,LN(1+$AH3807),0))</f>
        <v>5.8268908123975824E-2</v>
      </c>
      <c r="AJ3807" s="75">
        <f t="shared" si="1464"/>
        <v>31</v>
      </c>
      <c r="AK3807" s="75">
        <f>IF($AE3807="",0,COUNTIFS(rl_key,'Rate Log'!$J$8,$AF$3806:$AF$4045,$AF3807,$AE$3806:$AE$4045,"&lt;"&amp;$AE3807))</f>
        <v>0</v>
      </c>
      <c r="AL3807" s="75">
        <f>IF($AE3807="",0,COUNTIFS('Rate Log'!$J$7:$J$8,'Rate Log'!$J$8,$AF$3806:$AF3807,$AF3807,$AE$3806:$AE3807,$AE3807))</f>
        <v>1</v>
      </c>
      <c r="AM3807" s="75">
        <f t="shared" si="1465"/>
        <v>1</v>
      </c>
    </row>
    <row r="3808" spans="1:39" x14ac:dyDescent="0.3">
      <c r="A3808" s="74">
        <f>IF('Rate Log'!$C$9="","",IF('Rate Log'!$E$9="planned",EDATE('Rate Log'!$C$9,N(INDEX(sc_shift,1))),'Rate Log'!$C$9))</f>
        <v>46478</v>
      </c>
      <c r="B3808" s="74">
        <f t="shared" si="1454"/>
        <v>46478</v>
      </c>
      <c r="C3808" s="72">
        <f>IF(N(INDEX(sc_ach,1))=0,IF('Rate Log'!$G$9="",1,'Rate Log'!$G$9),INDEX(sc_ach,1))</f>
        <v>1</v>
      </c>
      <c r="D3808" s="72">
        <f>IF('Rate Log'!$C$9="",0,IF('Rate Log'!$E$9="planned",('Rate Log'!$D$9+N(INDEX(sc_dpts,1)))*$C3808,'Rate Log'!$D$9))</f>
        <v>7.0000000000000007E-2</v>
      </c>
      <c r="E3808" s="73">
        <f>IF('Rate Log'!$C$9="",0,IF(1+$D3808&gt;0,LN(1+$D3808),0))</f>
        <v>6.7658648473814864E-2</v>
      </c>
      <c r="F3808" s="75">
        <f t="shared" si="1455"/>
        <v>30</v>
      </c>
      <c r="G3808" s="75">
        <f>IF($A3808="",0,COUNTIFS(rl_key,'Rate Log'!$J$9,$B$3806:$B$4045,$B3808,$A$3806:$A$4045,"&lt;"&amp;$A3808))</f>
        <v>0</v>
      </c>
      <c r="H3808" s="75">
        <f>IF($A3808="",0,COUNTIFS('Rate Log'!$J$7:$J$9,'Rate Log'!$J$9,$B$3806:$B3808,$B3808,$A$3806:$A3808,$A3808))</f>
        <v>1</v>
      </c>
      <c r="I3808" s="75">
        <f t="shared" si="1456"/>
        <v>1</v>
      </c>
      <c r="K3808" s="74">
        <f>IF('Rate Log'!$C$9="","",IF('Rate Log'!$E$9="planned",EDATE('Rate Log'!$C$9,N(INDEX(sc_shift,2))),'Rate Log'!$C$9))</f>
        <v>46478</v>
      </c>
      <c r="L3808" s="74">
        <f t="shared" si="1457"/>
        <v>46478</v>
      </c>
      <c r="M3808" s="72">
        <f>IF(N(INDEX(sc_ach,2))=0,IF('Rate Log'!$G$9="",1,'Rate Log'!$G$9),INDEX(sc_ach,2))</f>
        <v>1</v>
      </c>
      <c r="N3808" s="72">
        <f>IF('Rate Log'!$C$9="",0,IF('Rate Log'!$E$9="planned",('Rate Log'!$D$9+N(INDEX(sc_dpts,2)))*$M3808,'Rate Log'!$D$9))</f>
        <v>0.05</v>
      </c>
      <c r="O3808" s="73">
        <f>IF('Rate Log'!$C$9="",0,IF(1+$N3808&gt;0,LN(1+$N3808),0))</f>
        <v>4.8790164169432049E-2</v>
      </c>
      <c r="P3808" s="75">
        <f t="shared" si="1458"/>
        <v>30</v>
      </c>
      <c r="Q3808" s="75">
        <f>IF($K3808="",0,COUNTIFS(rl_key,'Rate Log'!$J$9,$L$3806:$L$4045,$L3808,$K$3806:$K$4045,"&lt;"&amp;$K3808))</f>
        <v>0</v>
      </c>
      <c r="R3808" s="75">
        <f>IF($K3808="",0,COUNTIFS('Rate Log'!$J$7:$J$9,'Rate Log'!$J$9,$L$3806:$L3808,$L3808,$K$3806:$K3808,$K3808))</f>
        <v>1</v>
      </c>
      <c r="S3808" s="75">
        <f t="shared" si="1459"/>
        <v>1</v>
      </c>
      <c r="U3808" s="74">
        <f>IF('Rate Log'!$C$9="","",IF('Rate Log'!$E$9="planned",EDATE('Rate Log'!$C$9,N(INDEX(sc_shift,3))),'Rate Log'!$C$9))</f>
        <v>46478</v>
      </c>
      <c r="V3808" s="74">
        <f t="shared" si="1460"/>
        <v>46478</v>
      </c>
      <c r="W3808" s="72">
        <f>IF(N(INDEX(sc_ach,3))=0,IF('Rate Log'!$G$9="",1,'Rate Log'!$G$9),INDEX(sc_ach,3))</f>
        <v>1</v>
      </c>
      <c r="X3808" s="72">
        <f>IF('Rate Log'!$C$9="",0,IF('Rate Log'!$E$9="planned",('Rate Log'!$D$9+N(INDEX(sc_dpts,3)))*$W3808,'Rate Log'!$D$9))</f>
        <v>0.05</v>
      </c>
      <c r="Y3808" s="73">
        <f>IF('Rate Log'!$C$9="",0,IF(1+$X3808&gt;0,LN(1+$X3808),0))</f>
        <v>4.8790164169432049E-2</v>
      </c>
      <c r="Z3808" s="75">
        <f t="shared" si="1461"/>
        <v>30</v>
      </c>
      <c r="AA3808" s="75">
        <f>IF($U3808="",0,COUNTIFS(rl_key,'Rate Log'!$J$9,$V$3806:$V$4045,$V3808,$U$3806:$U$4045,"&lt;"&amp;$U3808))</f>
        <v>0</v>
      </c>
      <c r="AB3808" s="75">
        <f>IF($U3808="",0,COUNTIFS('Rate Log'!$J$7:$J$9,'Rate Log'!$J$9,$V$3806:$V3808,$V3808,$U$3806:$U3808,$U3808))</f>
        <v>1</v>
      </c>
      <c r="AC3808" s="75">
        <f t="shared" si="1462"/>
        <v>1</v>
      </c>
      <c r="AE3808" s="74">
        <f>IF('Rate Log'!$C$9="","",IF('Rate Log'!$E$9="planned",EDATE('Rate Log'!$C$9,N(INDEX(sc_shift,4))),'Rate Log'!$C$9))</f>
        <v>46478</v>
      </c>
      <c r="AF3808" s="74">
        <f t="shared" si="1463"/>
        <v>46478</v>
      </c>
      <c r="AG3808" s="72">
        <f>IF(N(INDEX(sc_ach,4))=0,IF('Rate Log'!$G$9="",1,'Rate Log'!$G$9),INDEX(sc_ach,4))</f>
        <v>1</v>
      </c>
      <c r="AH3808" s="72">
        <f>IF('Rate Log'!$C$9="",0,IF('Rate Log'!$E$9="planned",('Rate Log'!$D$9+N(INDEX(sc_dpts,4)))*$AG3808,'Rate Log'!$D$9))</f>
        <v>0.05</v>
      </c>
      <c r="AI3808" s="73">
        <f>IF('Rate Log'!$C$9="",0,IF(1+$AH3808&gt;0,LN(1+$AH3808),0))</f>
        <v>4.8790164169432049E-2</v>
      </c>
      <c r="AJ3808" s="75">
        <f t="shared" si="1464"/>
        <v>30</v>
      </c>
      <c r="AK3808" s="75">
        <f>IF($AE3808="",0,COUNTIFS(rl_key,'Rate Log'!$J$9,$AF$3806:$AF$4045,$AF3808,$AE$3806:$AE$4045,"&lt;"&amp;$AE3808))</f>
        <v>0</v>
      </c>
      <c r="AL3808" s="75">
        <f>IF($AE3808="",0,COUNTIFS('Rate Log'!$J$7:$J$9,'Rate Log'!$J$9,$AF$3806:$AF3808,$AF3808,$AE$3806:$AE3808,$AE3808))</f>
        <v>1</v>
      </c>
      <c r="AM3808" s="75">
        <f t="shared" si="1465"/>
        <v>1</v>
      </c>
    </row>
    <row r="3809" spans="1:39" x14ac:dyDescent="0.3">
      <c r="A3809" s="74">
        <f>IF('Rate Log'!$C$10="","",IF('Rate Log'!$E$10="planned",EDATE('Rate Log'!$C$10,N(INDEX(sc_shift,1))),'Rate Log'!$C$10))</f>
        <v>46204</v>
      </c>
      <c r="B3809" s="74">
        <f t="shared" si="1454"/>
        <v>46204</v>
      </c>
      <c r="C3809" s="72">
        <f>IF(N(INDEX(sc_ach,1))=0,IF('Rate Log'!$G$10="",1,'Rate Log'!$G$10),INDEX(sc_ach,1))</f>
        <v>1</v>
      </c>
      <c r="D3809" s="72">
        <f>IF('Rate Log'!$C$10="",0,IF('Rate Log'!$E$10="planned",('Rate Log'!$D$10+N(INDEX(sc_dpts,1)))*$C3809,'Rate Log'!$D$10))</f>
        <v>8.5000000000000006E-2</v>
      </c>
      <c r="E3809" s="73">
        <f>IF('Rate Log'!$C$10="",0,IF(1+$D3809&gt;0,LN(1+$D3809),0))</f>
        <v>8.1579986992422845E-2</v>
      </c>
      <c r="F3809" s="75">
        <f t="shared" si="1455"/>
        <v>31</v>
      </c>
      <c r="G3809" s="75">
        <f>IF($A3809="",0,COUNTIFS(rl_key,'Rate Log'!$J$10,$B$3806:$B$4045,$B3809,$A$3806:$A$4045,"&lt;"&amp;$A3809))</f>
        <v>0</v>
      </c>
      <c r="H3809" s="75">
        <f>IF($A3809="",0,COUNTIFS('Rate Log'!$J$7:$J$10,'Rate Log'!$J$10,$B$3806:$B3809,$B3809,$A$3806:$A3809,$A3809))</f>
        <v>1</v>
      </c>
      <c r="I3809" s="75">
        <f t="shared" si="1456"/>
        <v>1</v>
      </c>
      <c r="K3809" s="74">
        <f>IF('Rate Log'!$C$10="","",IF('Rate Log'!$E$10="planned",EDATE('Rate Log'!$C$10,N(INDEX(sc_shift,2))),'Rate Log'!$C$10))</f>
        <v>46204</v>
      </c>
      <c r="L3809" s="74">
        <f t="shared" si="1457"/>
        <v>46204</v>
      </c>
      <c r="M3809" s="72">
        <f>IF(N(INDEX(sc_ach,2))=0,IF('Rate Log'!$G$10="",1,'Rate Log'!$G$10),INDEX(sc_ach,2))</f>
        <v>1</v>
      </c>
      <c r="N3809" s="72">
        <f>IF('Rate Log'!$C$10="",0,IF('Rate Log'!$E$10="planned",('Rate Log'!$D$10+N(INDEX(sc_dpts,2)))*$M3809,'Rate Log'!$D$10))</f>
        <v>6.5000000000000002E-2</v>
      </c>
      <c r="O3809" s="73">
        <f>IF('Rate Log'!$C$10="",0,IF(1+$N3809&gt;0,LN(1+$N3809),0))</f>
        <v>6.2974799161388387E-2</v>
      </c>
      <c r="P3809" s="75">
        <f t="shared" si="1458"/>
        <v>31</v>
      </c>
      <c r="Q3809" s="75">
        <f>IF($K3809="",0,COUNTIFS(rl_key,'Rate Log'!$J$10,$L$3806:$L$4045,$L3809,$K$3806:$K$4045,"&lt;"&amp;$K3809))</f>
        <v>0</v>
      </c>
      <c r="R3809" s="75">
        <f>IF($K3809="",0,COUNTIFS('Rate Log'!$J$7:$J$10,'Rate Log'!$J$10,$L$3806:$L3809,$L3809,$K$3806:$K3809,$K3809))</f>
        <v>1</v>
      </c>
      <c r="S3809" s="75">
        <f t="shared" si="1459"/>
        <v>1</v>
      </c>
      <c r="U3809" s="74">
        <f>IF('Rate Log'!$C$10="","",IF('Rate Log'!$E$10="planned",EDATE('Rate Log'!$C$10,N(INDEX(sc_shift,3))),'Rate Log'!$C$10))</f>
        <v>46204</v>
      </c>
      <c r="V3809" s="74">
        <f t="shared" si="1460"/>
        <v>46204</v>
      </c>
      <c r="W3809" s="72">
        <f>IF(N(INDEX(sc_ach,3))=0,IF('Rate Log'!$G$10="",1,'Rate Log'!$G$10),INDEX(sc_ach,3))</f>
        <v>1</v>
      </c>
      <c r="X3809" s="72">
        <f>IF('Rate Log'!$C$10="",0,IF('Rate Log'!$E$10="planned",('Rate Log'!$D$10+N(INDEX(sc_dpts,3)))*$W3809,'Rate Log'!$D$10))</f>
        <v>6.5000000000000002E-2</v>
      </c>
      <c r="Y3809" s="73">
        <f>IF('Rate Log'!$C$10="",0,IF(1+$X3809&gt;0,LN(1+$X3809),0))</f>
        <v>6.2974799161388387E-2</v>
      </c>
      <c r="Z3809" s="75">
        <f t="shared" si="1461"/>
        <v>31</v>
      </c>
      <c r="AA3809" s="75">
        <f>IF($U3809="",0,COUNTIFS(rl_key,'Rate Log'!$J$10,$V$3806:$V$4045,$V3809,$U$3806:$U$4045,"&lt;"&amp;$U3809))</f>
        <v>0</v>
      </c>
      <c r="AB3809" s="75">
        <f>IF($U3809="",0,COUNTIFS('Rate Log'!$J$7:$J$10,'Rate Log'!$J$10,$V$3806:$V3809,$V3809,$U$3806:$U3809,$U3809))</f>
        <v>1</v>
      </c>
      <c r="AC3809" s="75">
        <f t="shared" si="1462"/>
        <v>1</v>
      </c>
      <c r="AE3809" s="74">
        <f>IF('Rate Log'!$C$10="","",IF('Rate Log'!$E$10="planned",EDATE('Rate Log'!$C$10,N(INDEX(sc_shift,4))),'Rate Log'!$C$10))</f>
        <v>46204</v>
      </c>
      <c r="AF3809" s="74">
        <f t="shared" si="1463"/>
        <v>46204</v>
      </c>
      <c r="AG3809" s="72">
        <f>IF(N(INDEX(sc_ach,4))=0,IF('Rate Log'!$G$10="",1,'Rate Log'!$G$10),INDEX(sc_ach,4))</f>
        <v>1</v>
      </c>
      <c r="AH3809" s="72">
        <f>IF('Rate Log'!$C$10="",0,IF('Rate Log'!$E$10="planned",('Rate Log'!$D$10+N(INDEX(sc_dpts,4)))*$AG3809,'Rate Log'!$D$10))</f>
        <v>6.5000000000000002E-2</v>
      </c>
      <c r="AI3809" s="73">
        <f>IF('Rate Log'!$C$10="",0,IF(1+$AH3809&gt;0,LN(1+$AH3809),0))</f>
        <v>6.2974799161388387E-2</v>
      </c>
      <c r="AJ3809" s="75">
        <f t="shared" si="1464"/>
        <v>31</v>
      </c>
      <c r="AK3809" s="75">
        <f>IF($AE3809="",0,COUNTIFS(rl_key,'Rate Log'!$J$10,$AF$3806:$AF$4045,$AF3809,$AE$3806:$AE$4045,"&lt;"&amp;$AE3809))</f>
        <v>0</v>
      </c>
      <c r="AL3809" s="75">
        <f>IF($AE3809="",0,COUNTIFS('Rate Log'!$J$7:$J$10,'Rate Log'!$J$10,$AF$3806:$AF3809,$AF3809,$AE$3806:$AE3809,$AE3809))</f>
        <v>1</v>
      </c>
      <c r="AM3809" s="75">
        <f t="shared" si="1465"/>
        <v>1</v>
      </c>
    </row>
    <row r="3810" spans="1:39" x14ac:dyDescent="0.3">
      <c r="A3810" s="74">
        <f>IF('Rate Log'!$C$11="","",IF('Rate Log'!$E$11="planned",EDATE('Rate Log'!$C$11,N(INDEX(sc_shift,1))),'Rate Log'!$C$11))</f>
        <v>46113</v>
      </c>
      <c r="B3810" s="74">
        <f t="shared" si="1454"/>
        <v>46113</v>
      </c>
      <c r="C3810" s="72">
        <f>IF(N(INDEX(sc_ach,1))=0,IF('Rate Log'!$G$11="",1,'Rate Log'!$G$11),INDEX(sc_ach,1))</f>
        <v>1</v>
      </c>
      <c r="D3810" s="72">
        <f>IF('Rate Log'!$C$11="",0,IF('Rate Log'!$E$11="planned",('Rate Log'!$D$11+N(INDEX(sc_dpts,1)))*$C3810,'Rate Log'!$D$11))</f>
        <v>0.05</v>
      </c>
      <c r="E3810" s="73">
        <f>IF('Rate Log'!$C$11="",0,IF(1+$D3810&gt;0,LN(1+$D3810),0))</f>
        <v>4.8790164169432049E-2</v>
      </c>
      <c r="F3810" s="75">
        <f t="shared" si="1455"/>
        <v>30</v>
      </c>
      <c r="G3810" s="75">
        <f>IF($A3810="",0,COUNTIFS(rl_key,'Rate Log'!$J$11,$B$3806:$B$4045,$B3810,$A$3806:$A$4045,"&lt;"&amp;$A3810))</f>
        <v>0</v>
      </c>
      <c r="H3810" s="75">
        <f>IF($A3810="",0,COUNTIFS('Rate Log'!$J$7:$J$11,'Rate Log'!$J$11,$B$3806:$B3810,$B3810,$A$3806:$A3810,$A3810))</f>
        <v>1</v>
      </c>
      <c r="I3810" s="75">
        <f t="shared" si="1456"/>
        <v>1</v>
      </c>
      <c r="K3810" s="74">
        <f>IF('Rate Log'!$C$11="","",IF('Rate Log'!$E$11="planned",EDATE('Rate Log'!$C$11,N(INDEX(sc_shift,2))),'Rate Log'!$C$11))</f>
        <v>46113</v>
      </c>
      <c r="L3810" s="74">
        <f t="shared" si="1457"/>
        <v>46113</v>
      </c>
      <c r="M3810" s="72">
        <f>IF(N(INDEX(sc_ach,2))=0,IF('Rate Log'!$G$11="",1,'Rate Log'!$G$11),INDEX(sc_ach,2))</f>
        <v>1</v>
      </c>
      <c r="N3810" s="72">
        <f>IF('Rate Log'!$C$11="",0,IF('Rate Log'!$E$11="planned",('Rate Log'!$D$11+N(INDEX(sc_dpts,2)))*$M3810,'Rate Log'!$D$11))</f>
        <v>0.05</v>
      </c>
      <c r="O3810" s="73">
        <f>IF('Rate Log'!$C$11="",0,IF(1+$N3810&gt;0,LN(1+$N3810),0))</f>
        <v>4.8790164169432049E-2</v>
      </c>
      <c r="P3810" s="75">
        <f t="shared" si="1458"/>
        <v>30</v>
      </c>
      <c r="Q3810" s="75">
        <f>IF($K3810="",0,COUNTIFS(rl_key,'Rate Log'!$J$11,$L$3806:$L$4045,$L3810,$K$3806:$K$4045,"&lt;"&amp;$K3810))</f>
        <v>0</v>
      </c>
      <c r="R3810" s="75">
        <f>IF($K3810="",0,COUNTIFS('Rate Log'!$J$7:$J$11,'Rate Log'!$J$11,$L$3806:$L3810,$L3810,$K$3806:$K3810,$K3810))</f>
        <v>1</v>
      </c>
      <c r="S3810" s="75">
        <f t="shared" si="1459"/>
        <v>1</v>
      </c>
      <c r="U3810" s="74">
        <f>IF('Rate Log'!$C$11="","",IF('Rate Log'!$E$11="planned",EDATE('Rate Log'!$C$11,N(INDEX(sc_shift,3))),'Rate Log'!$C$11))</f>
        <v>46113</v>
      </c>
      <c r="V3810" s="74">
        <f t="shared" si="1460"/>
        <v>46113</v>
      </c>
      <c r="W3810" s="72">
        <f>IF(N(INDEX(sc_ach,3))=0,IF('Rate Log'!$G$11="",1,'Rate Log'!$G$11),INDEX(sc_ach,3))</f>
        <v>1</v>
      </c>
      <c r="X3810" s="72">
        <f>IF('Rate Log'!$C$11="",0,IF('Rate Log'!$E$11="planned",('Rate Log'!$D$11+N(INDEX(sc_dpts,3)))*$W3810,'Rate Log'!$D$11))</f>
        <v>0.05</v>
      </c>
      <c r="Y3810" s="73">
        <f>IF('Rate Log'!$C$11="",0,IF(1+$X3810&gt;0,LN(1+$X3810),0))</f>
        <v>4.8790164169432049E-2</v>
      </c>
      <c r="Z3810" s="75">
        <f t="shared" si="1461"/>
        <v>30</v>
      </c>
      <c r="AA3810" s="75">
        <f>IF($U3810="",0,COUNTIFS(rl_key,'Rate Log'!$J$11,$V$3806:$V$4045,$V3810,$U$3806:$U$4045,"&lt;"&amp;$U3810))</f>
        <v>0</v>
      </c>
      <c r="AB3810" s="75">
        <f>IF($U3810="",0,COUNTIFS('Rate Log'!$J$7:$J$11,'Rate Log'!$J$11,$V$3806:$V3810,$V3810,$U$3806:$U3810,$U3810))</f>
        <v>1</v>
      </c>
      <c r="AC3810" s="75">
        <f t="shared" si="1462"/>
        <v>1</v>
      </c>
      <c r="AE3810" s="74">
        <f>IF('Rate Log'!$C$11="","",IF('Rate Log'!$E$11="planned",EDATE('Rate Log'!$C$11,N(INDEX(sc_shift,4))),'Rate Log'!$C$11))</f>
        <v>46113</v>
      </c>
      <c r="AF3810" s="74">
        <f t="shared" si="1463"/>
        <v>46113</v>
      </c>
      <c r="AG3810" s="72">
        <f>IF(N(INDEX(sc_ach,4))=0,IF('Rate Log'!$G$11="",1,'Rate Log'!$G$11),INDEX(sc_ach,4))</f>
        <v>1</v>
      </c>
      <c r="AH3810" s="72">
        <f>IF('Rate Log'!$C$11="",0,IF('Rate Log'!$E$11="planned",('Rate Log'!$D$11+N(INDEX(sc_dpts,4)))*$AG3810,'Rate Log'!$D$11))</f>
        <v>0.05</v>
      </c>
      <c r="AI3810" s="73">
        <f>IF('Rate Log'!$C$11="",0,IF(1+$AH3810&gt;0,LN(1+$AH3810),0))</f>
        <v>4.8790164169432049E-2</v>
      </c>
      <c r="AJ3810" s="75">
        <f t="shared" si="1464"/>
        <v>30</v>
      </c>
      <c r="AK3810" s="75">
        <f>IF($AE3810="",0,COUNTIFS(rl_key,'Rate Log'!$J$11,$AF$3806:$AF$4045,$AF3810,$AE$3806:$AE$4045,"&lt;"&amp;$AE3810))</f>
        <v>0</v>
      </c>
      <c r="AL3810" s="75">
        <f>IF($AE3810="",0,COUNTIFS('Rate Log'!$J$7:$J$11,'Rate Log'!$J$11,$AF$3806:$AF3810,$AF3810,$AE$3806:$AE3810,$AE3810))</f>
        <v>1</v>
      </c>
      <c r="AM3810" s="75">
        <f t="shared" si="1465"/>
        <v>1</v>
      </c>
    </row>
    <row r="3811" spans="1:39" x14ac:dyDescent="0.3">
      <c r="A3811" s="74">
        <f>IF('Rate Log'!$C$12="","",IF('Rate Log'!$E$12="planned",EDATE('Rate Log'!$C$12,N(INDEX(sc_shift,1))),'Rate Log'!$C$12))</f>
        <v>46522</v>
      </c>
      <c r="B3811" s="74">
        <f t="shared" si="1454"/>
        <v>46508</v>
      </c>
      <c r="C3811" s="72">
        <f>IF(N(INDEX(sc_ach,1))=0,IF('Rate Log'!$G$12="",1,'Rate Log'!$G$12),INDEX(sc_ach,1))</f>
        <v>1</v>
      </c>
      <c r="D3811" s="72">
        <f>IF('Rate Log'!$C$12="",0,IF('Rate Log'!$E$12="planned",('Rate Log'!$D$12+N(INDEX(sc_dpts,1)))*$C3811,'Rate Log'!$D$12))</f>
        <v>0.05</v>
      </c>
      <c r="E3811" s="73">
        <f>IF('Rate Log'!$C$12="",0,IF(1+$D3811&gt;0,LN(1+$D3811),0))</f>
        <v>4.8790164169432049E-2</v>
      </c>
      <c r="F3811" s="75">
        <f t="shared" si="1455"/>
        <v>17</v>
      </c>
      <c r="G3811" s="75">
        <f>IF($A3811="",0,COUNTIFS(rl_key,'Rate Log'!$J$12,$B$3806:$B$4045,$B3811,$A$3806:$A$4045,"&lt;"&amp;$A3811))</f>
        <v>0</v>
      </c>
      <c r="H3811" s="75">
        <f>IF($A3811="",0,COUNTIFS('Rate Log'!$J$7:$J$12,'Rate Log'!$J$12,$B$3806:$B3811,$B3811,$A$3806:$A3811,$A3811))</f>
        <v>1</v>
      </c>
      <c r="I3811" s="75">
        <f t="shared" si="1456"/>
        <v>1</v>
      </c>
      <c r="K3811" s="74">
        <f>IF('Rate Log'!$C$12="","",IF('Rate Log'!$E$12="planned",EDATE('Rate Log'!$C$12,N(INDEX(sc_shift,2))),'Rate Log'!$C$12))</f>
        <v>46522</v>
      </c>
      <c r="L3811" s="74">
        <f t="shared" si="1457"/>
        <v>46508</v>
      </c>
      <c r="M3811" s="72">
        <f>IF(N(INDEX(sc_ach,2))=0,IF('Rate Log'!$G$12="",1,'Rate Log'!$G$12),INDEX(sc_ach,2))</f>
        <v>1</v>
      </c>
      <c r="N3811" s="72">
        <f>IF('Rate Log'!$C$12="",0,IF('Rate Log'!$E$12="planned",('Rate Log'!$D$12+N(INDEX(sc_dpts,2)))*$M3811,'Rate Log'!$D$12))</f>
        <v>0.03</v>
      </c>
      <c r="O3811" s="73">
        <f>IF('Rate Log'!$C$12="",0,IF(1+$N3811&gt;0,LN(1+$N3811),0))</f>
        <v>2.9558802241544429E-2</v>
      </c>
      <c r="P3811" s="75">
        <f t="shared" si="1458"/>
        <v>17</v>
      </c>
      <c r="Q3811" s="75">
        <f>IF($K3811="",0,COUNTIFS(rl_key,'Rate Log'!$J$12,$L$3806:$L$4045,$L3811,$K$3806:$K$4045,"&lt;"&amp;$K3811))</f>
        <v>0</v>
      </c>
      <c r="R3811" s="75">
        <f>IF($K3811="",0,COUNTIFS('Rate Log'!$J$7:$J$12,'Rate Log'!$J$12,$L$3806:$L3811,$L3811,$K$3806:$K3811,$K3811))</f>
        <v>1</v>
      </c>
      <c r="S3811" s="75">
        <f t="shared" si="1459"/>
        <v>1</v>
      </c>
      <c r="U3811" s="74">
        <f>IF('Rate Log'!$C$12="","",IF('Rate Log'!$E$12="planned",EDATE('Rate Log'!$C$12,N(INDEX(sc_shift,3))),'Rate Log'!$C$12))</f>
        <v>46522</v>
      </c>
      <c r="V3811" s="74">
        <f t="shared" si="1460"/>
        <v>46508</v>
      </c>
      <c r="W3811" s="72">
        <f>IF(N(INDEX(sc_ach,3))=0,IF('Rate Log'!$G$12="",1,'Rate Log'!$G$12),INDEX(sc_ach,3))</f>
        <v>1</v>
      </c>
      <c r="X3811" s="72">
        <f>IF('Rate Log'!$C$12="",0,IF('Rate Log'!$E$12="planned",('Rate Log'!$D$12+N(INDEX(sc_dpts,3)))*$W3811,'Rate Log'!$D$12))</f>
        <v>0.03</v>
      </c>
      <c r="Y3811" s="73">
        <f>IF('Rate Log'!$C$12="",0,IF(1+$X3811&gt;0,LN(1+$X3811),0))</f>
        <v>2.9558802241544429E-2</v>
      </c>
      <c r="Z3811" s="75">
        <f t="shared" si="1461"/>
        <v>17</v>
      </c>
      <c r="AA3811" s="75">
        <f>IF($U3811="",0,COUNTIFS(rl_key,'Rate Log'!$J$12,$V$3806:$V$4045,$V3811,$U$3806:$U$4045,"&lt;"&amp;$U3811))</f>
        <v>0</v>
      </c>
      <c r="AB3811" s="75">
        <f>IF($U3811="",0,COUNTIFS('Rate Log'!$J$7:$J$12,'Rate Log'!$J$12,$V$3806:$V3811,$V3811,$U$3806:$U3811,$U3811))</f>
        <v>1</v>
      </c>
      <c r="AC3811" s="75">
        <f t="shared" si="1462"/>
        <v>1</v>
      </c>
      <c r="AE3811" s="74">
        <f>IF('Rate Log'!$C$12="","",IF('Rate Log'!$E$12="planned",EDATE('Rate Log'!$C$12,N(INDEX(sc_shift,4))),'Rate Log'!$C$12))</f>
        <v>46522</v>
      </c>
      <c r="AF3811" s="74">
        <f t="shared" si="1463"/>
        <v>46508</v>
      </c>
      <c r="AG3811" s="72">
        <f>IF(N(INDEX(sc_ach,4))=0,IF('Rate Log'!$G$12="",1,'Rate Log'!$G$12),INDEX(sc_ach,4))</f>
        <v>1</v>
      </c>
      <c r="AH3811" s="72">
        <f>IF('Rate Log'!$C$12="",0,IF('Rate Log'!$E$12="planned",('Rate Log'!$D$12+N(INDEX(sc_dpts,4)))*$AG3811,'Rate Log'!$D$12))</f>
        <v>0.03</v>
      </c>
      <c r="AI3811" s="73">
        <f>IF('Rate Log'!$C$12="",0,IF(1+$AH3811&gt;0,LN(1+$AH3811),0))</f>
        <v>2.9558802241544429E-2</v>
      </c>
      <c r="AJ3811" s="75">
        <f t="shared" si="1464"/>
        <v>17</v>
      </c>
      <c r="AK3811" s="75">
        <f>IF($AE3811="",0,COUNTIFS(rl_key,'Rate Log'!$J$12,$AF$3806:$AF$4045,$AF3811,$AE$3806:$AE$4045,"&lt;"&amp;$AE3811))</f>
        <v>0</v>
      </c>
      <c r="AL3811" s="75">
        <f>IF($AE3811="",0,COUNTIFS('Rate Log'!$J$7:$J$12,'Rate Log'!$J$12,$AF$3806:$AF3811,$AF3811,$AE$3806:$AE3811,$AE3811))</f>
        <v>1</v>
      </c>
      <c r="AM3811" s="75">
        <f t="shared" si="1465"/>
        <v>1</v>
      </c>
    </row>
    <row r="3812" spans="1:39" x14ac:dyDescent="0.3">
      <c r="A3812" s="74">
        <f>IF('Rate Log'!$C$13="","",IF('Rate Log'!$E$13="planned",EDATE('Rate Log'!$C$13,N(INDEX(sc_shift,1))),'Rate Log'!$C$13))</f>
        <v>46296</v>
      </c>
      <c r="B3812" s="74">
        <f t="shared" si="1454"/>
        <v>46296</v>
      </c>
      <c r="C3812" s="72">
        <f>IF(N(INDEX(sc_ach,1))=0,IF('Rate Log'!$G$13="",1,'Rate Log'!$G$13),INDEX(sc_ach,1))</f>
        <v>1</v>
      </c>
      <c r="D3812" s="72">
        <f>IF('Rate Log'!$C$13="",0,IF('Rate Log'!$E$13="planned",('Rate Log'!$D$13+N(INDEX(sc_dpts,1)))*$C3812,'Rate Log'!$D$13))</f>
        <v>0.08</v>
      </c>
      <c r="E3812" s="73">
        <f>IF('Rate Log'!$C$13="",0,IF(1+$D3812&gt;0,LN(1+$D3812),0))</f>
        <v>7.6961041136128394E-2</v>
      </c>
      <c r="F3812" s="75">
        <f t="shared" si="1455"/>
        <v>31</v>
      </c>
      <c r="G3812" s="75">
        <f>IF($A3812="",0,COUNTIFS(rl_key,'Rate Log'!$J$13,$B$3806:$B$4045,$B3812,$A$3806:$A$4045,"&lt;"&amp;$A3812))</f>
        <v>0</v>
      </c>
      <c r="H3812" s="75">
        <f>IF($A3812="",0,COUNTIFS('Rate Log'!$J$7:$J$13,'Rate Log'!$J$13,$B$3806:$B3812,$B3812,$A$3806:$A3812,$A3812))</f>
        <v>1</v>
      </c>
      <c r="I3812" s="75">
        <f t="shared" si="1456"/>
        <v>1</v>
      </c>
      <c r="K3812" s="74">
        <f>IF('Rate Log'!$C$13="","",IF('Rate Log'!$E$13="planned",EDATE('Rate Log'!$C$13,N(INDEX(sc_shift,2))),'Rate Log'!$C$13))</f>
        <v>46296</v>
      </c>
      <c r="L3812" s="74">
        <f t="shared" si="1457"/>
        <v>46296</v>
      </c>
      <c r="M3812" s="72">
        <f>IF(N(INDEX(sc_ach,2))=0,IF('Rate Log'!$G$13="",1,'Rate Log'!$G$13),INDEX(sc_ach,2))</f>
        <v>1</v>
      </c>
      <c r="N3812" s="72">
        <f>IF('Rate Log'!$C$13="",0,IF('Rate Log'!$E$13="planned",('Rate Log'!$D$13+N(INDEX(sc_dpts,2)))*$M3812,'Rate Log'!$D$13))</f>
        <v>0.08</v>
      </c>
      <c r="O3812" s="73">
        <f>IF('Rate Log'!$C$13="",0,IF(1+$N3812&gt;0,LN(1+$N3812),0))</f>
        <v>7.6961041136128394E-2</v>
      </c>
      <c r="P3812" s="75">
        <f t="shared" si="1458"/>
        <v>31</v>
      </c>
      <c r="Q3812" s="75">
        <f>IF($K3812="",0,COUNTIFS(rl_key,'Rate Log'!$J$13,$L$3806:$L$4045,$L3812,$K$3806:$K$4045,"&lt;"&amp;$K3812))</f>
        <v>0</v>
      </c>
      <c r="R3812" s="75">
        <f>IF($K3812="",0,COUNTIFS('Rate Log'!$J$7:$J$13,'Rate Log'!$J$13,$L$3806:$L3812,$L3812,$K$3806:$K3812,$K3812))</f>
        <v>1</v>
      </c>
      <c r="S3812" s="75">
        <f t="shared" si="1459"/>
        <v>1</v>
      </c>
      <c r="U3812" s="74">
        <f>IF('Rate Log'!$C$13="","",IF('Rate Log'!$E$13="planned",EDATE('Rate Log'!$C$13,N(INDEX(sc_shift,3))),'Rate Log'!$C$13))</f>
        <v>46296</v>
      </c>
      <c r="V3812" s="74">
        <f t="shared" si="1460"/>
        <v>46296</v>
      </c>
      <c r="W3812" s="72">
        <f>IF(N(INDEX(sc_ach,3))=0,IF('Rate Log'!$G$13="",1,'Rate Log'!$G$13),INDEX(sc_ach,3))</f>
        <v>1</v>
      </c>
      <c r="X3812" s="72">
        <f>IF('Rate Log'!$C$13="",0,IF('Rate Log'!$E$13="planned",('Rate Log'!$D$13+N(INDEX(sc_dpts,3)))*$W3812,'Rate Log'!$D$13))</f>
        <v>0.08</v>
      </c>
      <c r="Y3812" s="73">
        <f>IF('Rate Log'!$C$13="",0,IF(1+$X3812&gt;0,LN(1+$X3812),0))</f>
        <v>7.6961041136128394E-2</v>
      </c>
      <c r="Z3812" s="75">
        <f t="shared" si="1461"/>
        <v>31</v>
      </c>
      <c r="AA3812" s="75">
        <f>IF($U3812="",0,COUNTIFS(rl_key,'Rate Log'!$J$13,$V$3806:$V$4045,$V3812,$U$3806:$U$4045,"&lt;"&amp;$U3812))</f>
        <v>0</v>
      </c>
      <c r="AB3812" s="75">
        <f>IF($U3812="",0,COUNTIFS('Rate Log'!$J$7:$J$13,'Rate Log'!$J$13,$V$3806:$V3812,$V3812,$U$3806:$U3812,$U3812))</f>
        <v>1</v>
      </c>
      <c r="AC3812" s="75">
        <f t="shared" si="1462"/>
        <v>1</v>
      </c>
      <c r="AE3812" s="74">
        <f>IF('Rate Log'!$C$13="","",IF('Rate Log'!$E$13="planned",EDATE('Rate Log'!$C$13,N(INDEX(sc_shift,4))),'Rate Log'!$C$13))</f>
        <v>46296</v>
      </c>
      <c r="AF3812" s="74">
        <f t="shared" si="1463"/>
        <v>46296</v>
      </c>
      <c r="AG3812" s="72">
        <f>IF(N(INDEX(sc_ach,4))=0,IF('Rate Log'!$G$13="",1,'Rate Log'!$G$13),INDEX(sc_ach,4))</f>
        <v>1</v>
      </c>
      <c r="AH3812" s="72">
        <f>IF('Rate Log'!$C$13="",0,IF('Rate Log'!$E$13="planned",('Rate Log'!$D$13+N(INDEX(sc_dpts,4)))*$AG3812,'Rate Log'!$D$13))</f>
        <v>0.08</v>
      </c>
      <c r="AI3812" s="73">
        <f>IF('Rate Log'!$C$13="",0,IF(1+$AH3812&gt;0,LN(1+$AH3812),0))</f>
        <v>7.6961041136128394E-2</v>
      </c>
      <c r="AJ3812" s="75">
        <f t="shared" si="1464"/>
        <v>31</v>
      </c>
      <c r="AK3812" s="75">
        <f>IF($AE3812="",0,COUNTIFS(rl_key,'Rate Log'!$J$13,$AF$3806:$AF$4045,$AF3812,$AE$3806:$AE$4045,"&lt;"&amp;$AE3812))</f>
        <v>0</v>
      </c>
      <c r="AL3812" s="75">
        <f>IF($AE3812="",0,COUNTIFS('Rate Log'!$J$7:$J$13,'Rate Log'!$J$13,$AF$3806:$AF3812,$AF3812,$AE$3806:$AE3812,$AE3812))</f>
        <v>1</v>
      </c>
      <c r="AM3812" s="75">
        <f t="shared" si="1465"/>
        <v>1</v>
      </c>
    </row>
    <row r="3813" spans="1:39" x14ac:dyDescent="0.3">
      <c r="A3813" s="74">
        <f>IF('Rate Log'!$C$14="","",IF('Rate Log'!$E$14="planned",EDATE('Rate Log'!$C$14,N(INDEX(sc_shift,1))),'Rate Log'!$C$14))</f>
        <v>46447</v>
      </c>
      <c r="B3813" s="74">
        <f t="shared" si="1454"/>
        <v>46447</v>
      </c>
      <c r="C3813" s="72">
        <f>IF(N(INDEX(sc_ach,1))=0,IF('Rate Log'!$G$14="",1,'Rate Log'!$G$14),INDEX(sc_ach,1))</f>
        <v>0.8</v>
      </c>
      <c r="D3813" s="72">
        <f>IF('Rate Log'!$C$14="",0,IF('Rate Log'!$E$14="planned",('Rate Log'!$D$14+N(INDEX(sc_dpts,1)))*$C3813,'Rate Log'!$D$14))</f>
        <v>6.4000000000000001E-2</v>
      </c>
      <c r="E3813" s="73">
        <f>IF('Rate Log'!$C$14="",0,IF(1+$D3813&gt;0,LN(1+$D3813),0))</f>
        <v>6.2035390919452697E-2</v>
      </c>
      <c r="F3813" s="75">
        <f t="shared" si="1455"/>
        <v>31</v>
      </c>
      <c r="G3813" s="75">
        <f>IF($A3813="",0,COUNTIFS(rl_key,'Rate Log'!$J$14,$B$3806:$B$4045,$B3813,$A$3806:$A$4045,"&lt;"&amp;$A3813))</f>
        <v>0</v>
      </c>
      <c r="H3813" s="75">
        <f>IF($A3813="",0,COUNTIFS('Rate Log'!$J$7:$J$14,'Rate Log'!$J$14,$B$3806:$B3813,$B3813,$A$3806:$A3813,$A3813))</f>
        <v>1</v>
      </c>
      <c r="I3813" s="75">
        <f t="shared" si="1456"/>
        <v>1</v>
      </c>
      <c r="K3813" s="74">
        <f>IF('Rate Log'!$C$14="","",IF('Rate Log'!$E$14="planned",EDATE('Rate Log'!$C$14,N(INDEX(sc_shift,2))),'Rate Log'!$C$14))</f>
        <v>46447</v>
      </c>
      <c r="L3813" s="74">
        <f t="shared" si="1457"/>
        <v>46447</v>
      </c>
      <c r="M3813" s="72">
        <f>IF(N(INDEX(sc_ach,2))=0,IF('Rate Log'!$G$14="",1,'Rate Log'!$G$14),INDEX(sc_ach,2))</f>
        <v>0.8</v>
      </c>
      <c r="N3813" s="72">
        <f>IF('Rate Log'!$C$14="",0,IF('Rate Log'!$E$14="planned",('Rate Log'!$D$14+N(INDEX(sc_dpts,2)))*$M3813,'Rate Log'!$D$14))</f>
        <v>4.8000000000000001E-2</v>
      </c>
      <c r="O3813" s="73">
        <f>IF('Rate Log'!$C$14="",0,IF(1+$N3813&gt;0,LN(1+$N3813),0))</f>
        <v>4.6883585898850458E-2</v>
      </c>
      <c r="P3813" s="75">
        <f t="shared" si="1458"/>
        <v>31</v>
      </c>
      <c r="Q3813" s="75">
        <f>IF($K3813="",0,COUNTIFS(rl_key,'Rate Log'!$J$14,$L$3806:$L$4045,$L3813,$K$3806:$K$4045,"&lt;"&amp;$K3813))</f>
        <v>0</v>
      </c>
      <c r="R3813" s="75">
        <f>IF($K3813="",0,COUNTIFS('Rate Log'!$J$7:$J$14,'Rate Log'!$J$14,$L$3806:$L3813,$L3813,$K$3806:$K3813,$K3813))</f>
        <v>1</v>
      </c>
      <c r="S3813" s="75">
        <f t="shared" si="1459"/>
        <v>1</v>
      </c>
      <c r="U3813" s="74">
        <f>IF('Rate Log'!$C$14="","",IF('Rate Log'!$E$14="planned",EDATE('Rate Log'!$C$14,N(INDEX(sc_shift,3))),'Rate Log'!$C$14))</f>
        <v>46447</v>
      </c>
      <c r="V3813" s="74">
        <f t="shared" si="1460"/>
        <v>46447</v>
      </c>
      <c r="W3813" s="72">
        <f>IF(N(INDEX(sc_ach,3))=0,IF('Rate Log'!$G$14="",1,'Rate Log'!$G$14),INDEX(sc_ach,3))</f>
        <v>0.8</v>
      </c>
      <c r="X3813" s="72">
        <f>IF('Rate Log'!$C$14="",0,IF('Rate Log'!$E$14="planned",('Rate Log'!$D$14+N(INDEX(sc_dpts,3)))*$W3813,'Rate Log'!$D$14))</f>
        <v>4.8000000000000001E-2</v>
      </c>
      <c r="Y3813" s="73">
        <f>IF('Rate Log'!$C$14="",0,IF(1+$X3813&gt;0,LN(1+$X3813),0))</f>
        <v>4.6883585898850458E-2</v>
      </c>
      <c r="Z3813" s="75">
        <f t="shared" si="1461"/>
        <v>31</v>
      </c>
      <c r="AA3813" s="75">
        <f>IF($U3813="",0,COUNTIFS(rl_key,'Rate Log'!$J$14,$V$3806:$V$4045,$V3813,$U$3806:$U$4045,"&lt;"&amp;$U3813))</f>
        <v>0</v>
      </c>
      <c r="AB3813" s="75">
        <f>IF($U3813="",0,COUNTIFS('Rate Log'!$J$7:$J$14,'Rate Log'!$J$14,$V$3806:$V3813,$V3813,$U$3806:$U3813,$U3813))</f>
        <v>1</v>
      </c>
      <c r="AC3813" s="75">
        <f t="shared" si="1462"/>
        <v>1</v>
      </c>
      <c r="AE3813" s="74">
        <f>IF('Rate Log'!$C$14="","",IF('Rate Log'!$E$14="planned",EDATE('Rate Log'!$C$14,N(INDEX(sc_shift,4))),'Rate Log'!$C$14))</f>
        <v>46447</v>
      </c>
      <c r="AF3813" s="74">
        <f t="shared" si="1463"/>
        <v>46447</v>
      </c>
      <c r="AG3813" s="72">
        <f>IF(N(INDEX(sc_ach,4))=0,IF('Rate Log'!$G$14="",1,'Rate Log'!$G$14),INDEX(sc_ach,4))</f>
        <v>0.8</v>
      </c>
      <c r="AH3813" s="72">
        <f>IF('Rate Log'!$C$14="",0,IF('Rate Log'!$E$14="planned",('Rate Log'!$D$14+N(INDEX(sc_dpts,4)))*$AG3813,'Rate Log'!$D$14))</f>
        <v>4.8000000000000001E-2</v>
      </c>
      <c r="AI3813" s="73">
        <f>IF('Rate Log'!$C$14="",0,IF(1+$AH3813&gt;0,LN(1+$AH3813),0))</f>
        <v>4.6883585898850458E-2</v>
      </c>
      <c r="AJ3813" s="75">
        <f t="shared" si="1464"/>
        <v>31</v>
      </c>
      <c r="AK3813" s="75">
        <f>IF($AE3813="",0,COUNTIFS(rl_key,'Rate Log'!$J$14,$AF$3806:$AF$4045,$AF3813,$AE$3806:$AE$4045,"&lt;"&amp;$AE3813))</f>
        <v>0</v>
      </c>
      <c r="AL3813" s="75">
        <f>IF($AE3813="",0,COUNTIFS('Rate Log'!$J$7:$J$14,'Rate Log'!$J$14,$AF$3806:$AF3813,$AF3813,$AE$3806:$AE3813,$AE3813))</f>
        <v>1</v>
      </c>
      <c r="AM3813" s="75">
        <f t="shared" si="1465"/>
        <v>1</v>
      </c>
    </row>
    <row r="3814" spans="1:39" x14ac:dyDescent="0.3">
      <c r="A3814" s="74">
        <f>IF('Rate Log'!$C$15="","",IF('Rate Log'!$E$15="planned",EDATE('Rate Log'!$C$15,N(INDEX(sc_shift,1))),'Rate Log'!$C$15))</f>
        <v>46174</v>
      </c>
      <c r="B3814" s="74">
        <f t="shared" si="1454"/>
        <v>46174</v>
      </c>
      <c r="C3814" s="72">
        <f>IF(N(INDEX(sc_ach,1))=0,IF('Rate Log'!$G$15="",1,'Rate Log'!$G$15),INDEX(sc_ach,1))</f>
        <v>1</v>
      </c>
      <c r="D3814" s="72">
        <f>IF('Rate Log'!$C$15="",0,IF('Rate Log'!$E$15="planned",('Rate Log'!$D$15+N(INDEX(sc_dpts,1)))*$C3814,'Rate Log'!$D$15))</f>
        <v>4.4999999999999998E-2</v>
      </c>
      <c r="E3814" s="73">
        <f>IF('Rate Log'!$C$15="",0,IF(1+$D3814&gt;0,LN(1+$D3814),0))</f>
        <v>4.401688541677426E-2</v>
      </c>
      <c r="F3814" s="75">
        <f t="shared" si="1455"/>
        <v>30</v>
      </c>
      <c r="G3814" s="75">
        <f>IF($A3814="",0,COUNTIFS(rl_key,'Rate Log'!$J$15,$B$3806:$B$4045,$B3814,$A$3806:$A$4045,"&lt;"&amp;$A3814))</f>
        <v>0</v>
      </c>
      <c r="H3814" s="75">
        <f>IF($A3814="",0,COUNTIFS('Rate Log'!$J$7:$J$15,'Rate Log'!$J$15,$B$3806:$B3814,$B3814,$A$3806:$A3814,$A3814))</f>
        <v>1</v>
      </c>
      <c r="I3814" s="75">
        <f t="shared" si="1456"/>
        <v>1</v>
      </c>
      <c r="K3814" s="74">
        <f>IF('Rate Log'!$C$15="","",IF('Rate Log'!$E$15="planned",EDATE('Rate Log'!$C$15,N(INDEX(sc_shift,2))),'Rate Log'!$C$15))</f>
        <v>46174</v>
      </c>
      <c r="L3814" s="74">
        <f t="shared" si="1457"/>
        <v>46174</v>
      </c>
      <c r="M3814" s="72">
        <f>IF(N(INDEX(sc_ach,2))=0,IF('Rate Log'!$G$15="",1,'Rate Log'!$G$15),INDEX(sc_ach,2))</f>
        <v>1</v>
      </c>
      <c r="N3814" s="72">
        <f>IF('Rate Log'!$C$15="",0,IF('Rate Log'!$E$15="planned",('Rate Log'!$D$15+N(INDEX(sc_dpts,2)))*$M3814,'Rate Log'!$D$15))</f>
        <v>4.4999999999999998E-2</v>
      </c>
      <c r="O3814" s="73">
        <f>IF('Rate Log'!$C$15="",0,IF(1+$N3814&gt;0,LN(1+$N3814),0))</f>
        <v>4.401688541677426E-2</v>
      </c>
      <c r="P3814" s="75">
        <f t="shared" si="1458"/>
        <v>30</v>
      </c>
      <c r="Q3814" s="75">
        <f>IF($K3814="",0,COUNTIFS(rl_key,'Rate Log'!$J$15,$L$3806:$L$4045,$L3814,$K$3806:$K$4045,"&lt;"&amp;$K3814))</f>
        <v>0</v>
      </c>
      <c r="R3814" s="75">
        <f>IF($K3814="",0,COUNTIFS('Rate Log'!$J$7:$J$15,'Rate Log'!$J$15,$L$3806:$L3814,$L3814,$K$3806:$K3814,$K3814))</f>
        <v>1</v>
      </c>
      <c r="S3814" s="75">
        <f t="shared" si="1459"/>
        <v>1</v>
      </c>
      <c r="U3814" s="74">
        <f>IF('Rate Log'!$C$15="","",IF('Rate Log'!$E$15="planned",EDATE('Rate Log'!$C$15,N(INDEX(sc_shift,3))),'Rate Log'!$C$15))</f>
        <v>46174</v>
      </c>
      <c r="V3814" s="74">
        <f t="shared" si="1460"/>
        <v>46174</v>
      </c>
      <c r="W3814" s="72">
        <f>IF(N(INDEX(sc_ach,3))=0,IF('Rate Log'!$G$15="",1,'Rate Log'!$G$15),INDEX(sc_ach,3))</f>
        <v>1</v>
      </c>
      <c r="X3814" s="72">
        <f>IF('Rate Log'!$C$15="",0,IF('Rate Log'!$E$15="planned",('Rate Log'!$D$15+N(INDEX(sc_dpts,3)))*$W3814,'Rate Log'!$D$15))</f>
        <v>4.4999999999999998E-2</v>
      </c>
      <c r="Y3814" s="73">
        <f>IF('Rate Log'!$C$15="",0,IF(1+$X3814&gt;0,LN(1+$X3814),0))</f>
        <v>4.401688541677426E-2</v>
      </c>
      <c r="Z3814" s="75">
        <f t="shared" si="1461"/>
        <v>30</v>
      </c>
      <c r="AA3814" s="75">
        <f>IF($U3814="",0,COUNTIFS(rl_key,'Rate Log'!$J$15,$V$3806:$V$4045,$V3814,$U$3806:$U$4045,"&lt;"&amp;$U3814))</f>
        <v>0</v>
      </c>
      <c r="AB3814" s="75">
        <f>IF($U3814="",0,COUNTIFS('Rate Log'!$J$7:$J$15,'Rate Log'!$J$15,$V$3806:$V3814,$V3814,$U$3806:$U3814,$U3814))</f>
        <v>1</v>
      </c>
      <c r="AC3814" s="75">
        <f t="shared" si="1462"/>
        <v>1</v>
      </c>
      <c r="AE3814" s="74">
        <f>IF('Rate Log'!$C$15="","",IF('Rate Log'!$E$15="planned",EDATE('Rate Log'!$C$15,N(INDEX(sc_shift,4))),'Rate Log'!$C$15))</f>
        <v>46174</v>
      </c>
      <c r="AF3814" s="74">
        <f t="shared" si="1463"/>
        <v>46174</v>
      </c>
      <c r="AG3814" s="72">
        <f>IF(N(INDEX(sc_ach,4))=0,IF('Rate Log'!$G$15="",1,'Rate Log'!$G$15),INDEX(sc_ach,4))</f>
        <v>1</v>
      </c>
      <c r="AH3814" s="72">
        <f>IF('Rate Log'!$C$15="",0,IF('Rate Log'!$E$15="planned",('Rate Log'!$D$15+N(INDEX(sc_dpts,4)))*$AG3814,'Rate Log'!$D$15))</f>
        <v>4.4999999999999998E-2</v>
      </c>
      <c r="AI3814" s="73">
        <f>IF('Rate Log'!$C$15="",0,IF(1+$AH3814&gt;0,LN(1+$AH3814),0))</f>
        <v>4.401688541677426E-2</v>
      </c>
      <c r="AJ3814" s="75">
        <f t="shared" si="1464"/>
        <v>30</v>
      </c>
      <c r="AK3814" s="75">
        <f>IF($AE3814="",0,COUNTIFS(rl_key,'Rate Log'!$J$15,$AF$3806:$AF$4045,$AF3814,$AE$3806:$AE$4045,"&lt;"&amp;$AE3814))</f>
        <v>0</v>
      </c>
      <c r="AL3814" s="75">
        <f>IF($AE3814="",0,COUNTIFS('Rate Log'!$J$7:$J$15,'Rate Log'!$J$15,$AF$3806:$AF3814,$AF3814,$AE$3806:$AE3814,$AE3814))</f>
        <v>1</v>
      </c>
      <c r="AM3814" s="75">
        <f t="shared" si="1465"/>
        <v>1</v>
      </c>
    </row>
    <row r="3815" spans="1:39" x14ac:dyDescent="0.3">
      <c r="A3815" s="74">
        <f>IF('Rate Log'!$C$16="","",IF('Rate Log'!$E$16="planned",EDATE('Rate Log'!$C$16,N(INDEX(sc_shift,1))),'Rate Log'!$C$16))</f>
        <v>46296</v>
      </c>
      <c r="B3815" s="74">
        <f t="shared" si="1454"/>
        <v>46296</v>
      </c>
      <c r="C3815" s="72">
        <f>IF(N(INDEX(sc_ach,1))=0,IF('Rate Log'!$G$16="",1,'Rate Log'!$G$16),INDEX(sc_ach,1))</f>
        <v>1</v>
      </c>
      <c r="D3815" s="72">
        <f>IF('Rate Log'!$C$16="",0,IF('Rate Log'!$E$16="planned",('Rate Log'!$D$16+N(INDEX(sc_dpts,1)))*$C3815,'Rate Log'!$D$16))</f>
        <v>0.1</v>
      </c>
      <c r="E3815" s="73">
        <f>IF('Rate Log'!$C$16="",0,IF(1+$D3815&gt;0,LN(1+$D3815),0))</f>
        <v>9.5310179804324935E-2</v>
      </c>
      <c r="F3815" s="75">
        <f t="shared" si="1455"/>
        <v>31</v>
      </c>
      <c r="G3815" s="75">
        <f>IF($A3815="",0,COUNTIFS(rl_key,'Rate Log'!$J$16,$B$3806:$B$4045,$B3815,$A$3806:$A$4045,"&lt;"&amp;$A3815))</f>
        <v>0</v>
      </c>
      <c r="H3815" s="75">
        <f>IF($A3815="",0,COUNTIFS('Rate Log'!$J$7:$J$16,'Rate Log'!$J$16,$B$3806:$B3815,$B3815,$A$3806:$A3815,$A3815))</f>
        <v>1</v>
      </c>
      <c r="I3815" s="75">
        <f t="shared" si="1456"/>
        <v>1</v>
      </c>
      <c r="K3815" s="74">
        <f>IF('Rate Log'!$C$16="","",IF('Rate Log'!$E$16="planned",EDATE('Rate Log'!$C$16,N(INDEX(sc_shift,2))),'Rate Log'!$C$16))</f>
        <v>46296</v>
      </c>
      <c r="L3815" s="74">
        <f t="shared" si="1457"/>
        <v>46296</v>
      </c>
      <c r="M3815" s="72">
        <f>IF(N(INDEX(sc_ach,2))=0,IF('Rate Log'!$G$16="",1,'Rate Log'!$G$16),INDEX(sc_ach,2))</f>
        <v>1</v>
      </c>
      <c r="N3815" s="72">
        <f>IF('Rate Log'!$C$16="",0,IF('Rate Log'!$E$16="planned",('Rate Log'!$D$16+N(INDEX(sc_dpts,2)))*$M3815,'Rate Log'!$D$16))</f>
        <v>0.1</v>
      </c>
      <c r="O3815" s="73">
        <f>IF('Rate Log'!$C$16="",0,IF(1+$N3815&gt;0,LN(1+$N3815),0))</f>
        <v>9.5310179804324935E-2</v>
      </c>
      <c r="P3815" s="75">
        <f t="shared" si="1458"/>
        <v>31</v>
      </c>
      <c r="Q3815" s="75">
        <f>IF($K3815="",0,COUNTIFS(rl_key,'Rate Log'!$J$16,$L$3806:$L$4045,$L3815,$K$3806:$K$4045,"&lt;"&amp;$K3815))</f>
        <v>0</v>
      </c>
      <c r="R3815" s="75">
        <f>IF($K3815="",0,COUNTIFS('Rate Log'!$J$7:$J$16,'Rate Log'!$J$16,$L$3806:$L3815,$L3815,$K$3806:$K3815,$K3815))</f>
        <v>1</v>
      </c>
      <c r="S3815" s="75">
        <f t="shared" si="1459"/>
        <v>1</v>
      </c>
      <c r="U3815" s="74">
        <f>IF('Rate Log'!$C$16="","",IF('Rate Log'!$E$16="planned",EDATE('Rate Log'!$C$16,N(INDEX(sc_shift,3))),'Rate Log'!$C$16))</f>
        <v>46296</v>
      </c>
      <c r="V3815" s="74">
        <f t="shared" si="1460"/>
        <v>46296</v>
      </c>
      <c r="W3815" s="72">
        <f>IF(N(INDEX(sc_ach,3))=0,IF('Rate Log'!$G$16="",1,'Rate Log'!$G$16),INDEX(sc_ach,3))</f>
        <v>1</v>
      </c>
      <c r="X3815" s="72">
        <f>IF('Rate Log'!$C$16="",0,IF('Rate Log'!$E$16="planned",('Rate Log'!$D$16+N(INDEX(sc_dpts,3)))*$W3815,'Rate Log'!$D$16))</f>
        <v>0.1</v>
      </c>
      <c r="Y3815" s="73">
        <f>IF('Rate Log'!$C$16="",0,IF(1+$X3815&gt;0,LN(1+$X3815),0))</f>
        <v>9.5310179804324935E-2</v>
      </c>
      <c r="Z3815" s="75">
        <f t="shared" si="1461"/>
        <v>31</v>
      </c>
      <c r="AA3815" s="75">
        <f>IF($U3815="",0,COUNTIFS(rl_key,'Rate Log'!$J$16,$V$3806:$V$4045,$V3815,$U$3806:$U$4045,"&lt;"&amp;$U3815))</f>
        <v>0</v>
      </c>
      <c r="AB3815" s="75">
        <f>IF($U3815="",0,COUNTIFS('Rate Log'!$J$7:$J$16,'Rate Log'!$J$16,$V$3806:$V3815,$V3815,$U$3806:$U3815,$U3815))</f>
        <v>1</v>
      </c>
      <c r="AC3815" s="75">
        <f t="shared" si="1462"/>
        <v>1</v>
      </c>
      <c r="AE3815" s="74">
        <f>IF('Rate Log'!$C$16="","",IF('Rate Log'!$E$16="planned",EDATE('Rate Log'!$C$16,N(INDEX(sc_shift,4))),'Rate Log'!$C$16))</f>
        <v>46296</v>
      </c>
      <c r="AF3815" s="74">
        <f t="shared" si="1463"/>
        <v>46296</v>
      </c>
      <c r="AG3815" s="72">
        <f>IF(N(INDEX(sc_ach,4))=0,IF('Rate Log'!$G$16="",1,'Rate Log'!$G$16),INDEX(sc_ach,4))</f>
        <v>1</v>
      </c>
      <c r="AH3815" s="72">
        <f>IF('Rate Log'!$C$16="",0,IF('Rate Log'!$E$16="planned",('Rate Log'!$D$16+N(INDEX(sc_dpts,4)))*$AG3815,'Rate Log'!$D$16))</f>
        <v>0.1</v>
      </c>
      <c r="AI3815" s="73">
        <f>IF('Rate Log'!$C$16="",0,IF(1+$AH3815&gt;0,LN(1+$AH3815),0))</f>
        <v>9.5310179804324935E-2</v>
      </c>
      <c r="AJ3815" s="75">
        <f t="shared" si="1464"/>
        <v>31</v>
      </c>
      <c r="AK3815" s="75">
        <f>IF($AE3815="",0,COUNTIFS(rl_key,'Rate Log'!$J$16,$AF$3806:$AF$4045,$AF3815,$AE$3806:$AE$4045,"&lt;"&amp;$AE3815))</f>
        <v>0</v>
      </c>
      <c r="AL3815" s="75">
        <f>IF($AE3815="",0,COUNTIFS('Rate Log'!$J$7:$J$16,'Rate Log'!$J$16,$AF$3806:$AF3815,$AF3815,$AE$3806:$AE3815,$AE3815))</f>
        <v>1</v>
      </c>
      <c r="AM3815" s="75">
        <f t="shared" si="1465"/>
        <v>1</v>
      </c>
    </row>
    <row r="3816" spans="1:39" x14ac:dyDescent="0.3">
      <c r="A3816" s="74">
        <f>IF('Rate Log'!$C$17="","",IF('Rate Log'!$E$17="planned",EDATE('Rate Log'!$C$17,N(INDEX(sc_shift,1))),'Rate Log'!$C$17))</f>
        <v>46478</v>
      </c>
      <c r="B3816" s="74">
        <f t="shared" si="1454"/>
        <v>46478</v>
      </c>
      <c r="C3816" s="72">
        <f>IF(N(INDEX(sc_ach,1))=0,IF('Rate Log'!$G$17="",1,'Rate Log'!$G$17),INDEX(sc_ach,1))</f>
        <v>1</v>
      </c>
      <c r="D3816" s="72">
        <f>IF('Rate Log'!$C$17="",0,IF('Rate Log'!$E$17="planned",('Rate Log'!$D$17+N(INDEX(sc_dpts,1)))*$C3816,'Rate Log'!$D$17))</f>
        <v>0.06</v>
      </c>
      <c r="E3816" s="73">
        <f>IF('Rate Log'!$C$17="",0,IF(1+$D3816&gt;0,LN(1+$D3816),0))</f>
        <v>5.8268908123975824E-2</v>
      </c>
      <c r="F3816" s="75">
        <f t="shared" si="1455"/>
        <v>30</v>
      </c>
      <c r="G3816" s="75">
        <f>IF($A3816="",0,COUNTIFS(rl_key,'Rate Log'!$J$17,$B$3806:$B$4045,$B3816,$A$3806:$A$4045,"&lt;"&amp;$A3816))</f>
        <v>0</v>
      </c>
      <c r="H3816" s="75">
        <f>IF($A3816="",0,COUNTIFS('Rate Log'!$J$7:$J$17,'Rate Log'!$J$17,$B$3806:$B3816,$B3816,$A$3806:$A3816,$A3816))</f>
        <v>1</v>
      </c>
      <c r="I3816" s="75">
        <f t="shared" si="1456"/>
        <v>1</v>
      </c>
      <c r="K3816" s="74">
        <f>IF('Rate Log'!$C$17="","",IF('Rate Log'!$E$17="planned",EDATE('Rate Log'!$C$17,N(INDEX(sc_shift,2))),'Rate Log'!$C$17))</f>
        <v>46478</v>
      </c>
      <c r="L3816" s="74">
        <f t="shared" si="1457"/>
        <v>46478</v>
      </c>
      <c r="M3816" s="72">
        <f>IF(N(INDEX(sc_ach,2))=0,IF('Rate Log'!$G$17="",1,'Rate Log'!$G$17),INDEX(sc_ach,2))</f>
        <v>1</v>
      </c>
      <c r="N3816" s="72">
        <f>IF('Rate Log'!$C$17="",0,IF('Rate Log'!$E$17="planned",('Rate Log'!$D$17+N(INDEX(sc_dpts,2)))*$M3816,'Rate Log'!$D$17))</f>
        <v>0.04</v>
      </c>
      <c r="O3816" s="73">
        <f>IF('Rate Log'!$C$17="",0,IF(1+$N3816&gt;0,LN(1+$N3816),0))</f>
        <v>3.9220713153281329E-2</v>
      </c>
      <c r="P3816" s="75">
        <f t="shared" si="1458"/>
        <v>30</v>
      </c>
      <c r="Q3816" s="75">
        <f>IF($K3816="",0,COUNTIFS(rl_key,'Rate Log'!$J$17,$L$3806:$L$4045,$L3816,$K$3806:$K$4045,"&lt;"&amp;$K3816))</f>
        <v>0</v>
      </c>
      <c r="R3816" s="75">
        <f>IF($K3816="",0,COUNTIFS('Rate Log'!$J$7:$J$17,'Rate Log'!$J$17,$L$3806:$L3816,$L3816,$K$3806:$K3816,$K3816))</f>
        <v>1</v>
      </c>
      <c r="S3816" s="75">
        <f t="shared" si="1459"/>
        <v>1</v>
      </c>
      <c r="U3816" s="74">
        <f>IF('Rate Log'!$C$17="","",IF('Rate Log'!$E$17="planned",EDATE('Rate Log'!$C$17,N(INDEX(sc_shift,3))),'Rate Log'!$C$17))</f>
        <v>46478</v>
      </c>
      <c r="V3816" s="74">
        <f t="shared" si="1460"/>
        <v>46478</v>
      </c>
      <c r="W3816" s="72">
        <f>IF(N(INDEX(sc_ach,3))=0,IF('Rate Log'!$G$17="",1,'Rate Log'!$G$17),INDEX(sc_ach,3))</f>
        <v>1</v>
      </c>
      <c r="X3816" s="72">
        <f>IF('Rate Log'!$C$17="",0,IF('Rate Log'!$E$17="planned",('Rate Log'!$D$17+N(INDEX(sc_dpts,3)))*$W3816,'Rate Log'!$D$17))</f>
        <v>0.04</v>
      </c>
      <c r="Y3816" s="73">
        <f>IF('Rate Log'!$C$17="",0,IF(1+$X3816&gt;0,LN(1+$X3816),0))</f>
        <v>3.9220713153281329E-2</v>
      </c>
      <c r="Z3816" s="75">
        <f t="shared" si="1461"/>
        <v>30</v>
      </c>
      <c r="AA3816" s="75">
        <f>IF($U3816="",0,COUNTIFS(rl_key,'Rate Log'!$J$17,$V$3806:$V$4045,$V3816,$U$3806:$U$4045,"&lt;"&amp;$U3816))</f>
        <v>0</v>
      </c>
      <c r="AB3816" s="75">
        <f>IF($U3816="",0,COUNTIFS('Rate Log'!$J$7:$J$17,'Rate Log'!$J$17,$V$3806:$V3816,$V3816,$U$3806:$U3816,$U3816))</f>
        <v>1</v>
      </c>
      <c r="AC3816" s="75">
        <f t="shared" si="1462"/>
        <v>1</v>
      </c>
      <c r="AE3816" s="74">
        <f>IF('Rate Log'!$C$17="","",IF('Rate Log'!$E$17="planned",EDATE('Rate Log'!$C$17,N(INDEX(sc_shift,4))),'Rate Log'!$C$17))</f>
        <v>46478</v>
      </c>
      <c r="AF3816" s="74">
        <f t="shared" si="1463"/>
        <v>46478</v>
      </c>
      <c r="AG3816" s="72">
        <f>IF(N(INDEX(sc_ach,4))=0,IF('Rate Log'!$G$17="",1,'Rate Log'!$G$17),INDEX(sc_ach,4))</f>
        <v>1</v>
      </c>
      <c r="AH3816" s="72">
        <f>IF('Rate Log'!$C$17="",0,IF('Rate Log'!$E$17="planned",('Rate Log'!$D$17+N(INDEX(sc_dpts,4)))*$AG3816,'Rate Log'!$D$17))</f>
        <v>0.04</v>
      </c>
      <c r="AI3816" s="73">
        <f>IF('Rate Log'!$C$17="",0,IF(1+$AH3816&gt;0,LN(1+$AH3816),0))</f>
        <v>3.9220713153281329E-2</v>
      </c>
      <c r="AJ3816" s="75">
        <f t="shared" si="1464"/>
        <v>30</v>
      </c>
      <c r="AK3816" s="75">
        <f>IF($AE3816="",0,COUNTIFS(rl_key,'Rate Log'!$J$17,$AF$3806:$AF$4045,$AF3816,$AE$3806:$AE$4045,"&lt;"&amp;$AE3816))</f>
        <v>0</v>
      </c>
      <c r="AL3816" s="75">
        <f>IF($AE3816="",0,COUNTIFS('Rate Log'!$J$7:$J$17,'Rate Log'!$J$17,$AF$3806:$AF3816,$AF3816,$AE$3806:$AE3816,$AE3816))</f>
        <v>1</v>
      </c>
      <c r="AM3816" s="75">
        <f t="shared" si="1465"/>
        <v>1</v>
      </c>
    </row>
    <row r="3817" spans="1:39" x14ac:dyDescent="0.3">
      <c r="A3817" s="74">
        <f>IF('Rate Log'!$C$18="","",IF('Rate Log'!$E$18="planned",EDATE('Rate Log'!$C$18,N(INDEX(sc_shift,1))),'Rate Log'!$C$18))</f>
        <v>46054</v>
      </c>
      <c r="B3817" s="74">
        <f t="shared" si="1454"/>
        <v>46054</v>
      </c>
      <c r="C3817" s="72">
        <f>IF(N(INDEX(sc_ach,1))=0,IF('Rate Log'!$G$18="",1,'Rate Log'!$G$18),INDEX(sc_ach,1))</f>
        <v>1</v>
      </c>
      <c r="D3817" s="72">
        <f>IF('Rate Log'!$C$18="",0,IF('Rate Log'!$E$18="planned",('Rate Log'!$D$18+N(INDEX(sc_dpts,1)))*$C3817,'Rate Log'!$D$18))</f>
        <v>0.03</v>
      </c>
      <c r="E3817" s="73">
        <f>IF('Rate Log'!$C$18="",0,IF(1+$D3817&gt;0,LN(1+$D3817),0))</f>
        <v>2.9558802241544429E-2</v>
      </c>
      <c r="F3817" s="75">
        <f t="shared" si="1455"/>
        <v>28</v>
      </c>
      <c r="G3817" s="75">
        <f>IF($A3817="",0,COUNTIFS(rl_key,'Rate Log'!$J$18,$B$3806:$B$4045,$B3817,$A$3806:$A$4045,"&lt;"&amp;$A3817))</f>
        <v>0</v>
      </c>
      <c r="H3817" s="75">
        <f>IF($A3817="",0,COUNTIFS('Rate Log'!$J$7:$J$18,'Rate Log'!$J$18,$B$3806:$B3817,$B3817,$A$3806:$A3817,$A3817))</f>
        <v>1</v>
      </c>
      <c r="I3817" s="75">
        <f t="shared" si="1456"/>
        <v>1</v>
      </c>
      <c r="K3817" s="74">
        <f>IF('Rate Log'!$C$18="","",IF('Rate Log'!$E$18="planned",EDATE('Rate Log'!$C$18,N(INDEX(sc_shift,2))),'Rate Log'!$C$18))</f>
        <v>46054</v>
      </c>
      <c r="L3817" s="74">
        <f t="shared" si="1457"/>
        <v>46054</v>
      </c>
      <c r="M3817" s="72">
        <f>IF(N(INDEX(sc_ach,2))=0,IF('Rate Log'!$G$18="",1,'Rate Log'!$G$18),INDEX(sc_ach,2))</f>
        <v>1</v>
      </c>
      <c r="N3817" s="72">
        <f>IF('Rate Log'!$C$18="",0,IF('Rate Log'!$E$18="planned",('Rate Log'!$D$18+N(INDEX(sc_dpts,2)))*$M3817,'Rate Log'!$D$18))</f>
        <v>0.03</v>
      </c>
      <c r="O3817" s="73">
        <f>IF('Rate Log'!$C$18="",0,IF(1+$N3817&gt;0,LN(1+$N3817),0))</f>
        <v>2.9558802241544429E-2</v>
      </c>
      <c r="P3817" s="75">
        <f t="shared" si="1458"/>
        <v>28</v>
      </c>
      <c r="Q3817" s="75">
        <f>IF($K3817="",0,COUNTIFS(rl_key,'Rate Log'!$J$18,$L$3806:$L$4045,$L3817,$K$3806:$K$4045,"&lt;"&amp;$K3817))</f>
        <v>0</v>
      </c>
      <c r="R3817" s="75">
        <f>IF($K3817="",0,COUNTIFS('Rate Log'!$J$7:$J$18,'Rate Log'!$J$18,$L$3806:$L3817,$L3817,$K$3806:$K3817,$K3817))</f>
        <v>1</v>
      </c>
      <c r="S3817" s="75">
        <f t="shared" si="1459"/>
        <v>1</v>
      </c>
      <c r="U3817" s="74">
        <f>IF('Rate Log'!$C$18="","",IF('Rate Log'!$E$18="planned",EDATE('Rate Log'!$C$18,N(INDEX(sc_shift,3))),'Rate Log'!$C$18))</f>
        <v>46054</v>
      </c>
      <c r="V3817" s="74">
        <f t="shared" si="1460"/>
        <v>46054</v>
      </c>
      <c r="W3817" s="72">
        <f>IF(N(INDEX(sc_ach,3))=0,IF('Rate Log'!$G$18="",1,'Rate Log'!$G$18),INDEX(sc_ach,3))</f>
        <v>1</v>
      </c>
      <c r="X3817" s="72">
        <f>IF('Rate Log'!$C$18="",0,IF('Rate Log'!$E$18="planned",('Rate Log'!$D$18+N(INDEX(sc_dpts,3)))*$W3817,'Rate Log'!$D$18))</f>
        <v>0.03</v>
      </c>
      <c r="Y3817" s="73">
        <f>IF('Rate Log'!$C$18="",0,IF(1+$X3817&gt;0,LN(1+$X3817),0))</f>
        <v>2.9558802241544429E-2</v>
      </c>
      <c r="Z3817" s="75">
        <f t="shared" si="1461"/>
        <v>28</v>
      </c>
      <c r="AA3817" s="75">
        <f>IF($U3817="",0,COUNTIFS(rl_key,'Rate Log'!$J$18,$V$3806:$V$4045,$V3817,$U$3806:$U$4045,"&lt;"&amp;$U3817))</f>
        <v>0</v>
      </c>
      <c r="AB3817" s="75">
        <f>IF($U3817="",0,COUNTIFS('Rate Log'!$J$7:$J$18,'Rate Log'!$J$18,$V$3806:$V3817,$V3817,$U$3806:$U3817,$U3817))</f>
        <v>1</v>
      </c>
      <c r="AC3817" s="75">
        <f t="shared" si="1462"/>
        <v>1</v>
      </c>
      <c r="AE3817" s="74">
        <f>IF('Rate Log'!$C$18="","",IF('Rate Log'!$E$18="planned",EDATE('Rate Log'!$C$18,N(INDEX(sc_shift,4))),'Rate Log'!$C$18))</f>
        <v>46054</v>
      </c>
      <c r="AF3817" s="74">
        <f t="shared" si="1463"/>
        <v>46054</v>
      </c>
      <c r="AG3817" s="72">
        <f>IF(N(INDEX(sc_ach,4))=0,IF('Rate Log'!$G$18="",1,'Rate Log'!$G$18),INDEX(sc_ach,4))</f>
        <v>1</v>
      </c>
      <c r="AH3817" s="72">
        <f>IF('Rate Log'!$C$18="",0,IF('Rate Log'!$E$18="planned",('Rate Log'!$D$18+N(INDEX(sc_dpts,4)))*$AG3817,'Rate Log'!$D$18))</f>
        <v>0.03</v>
      </c>
      <c r="AI3817" s="73">
        <f>IF('Rate Log'!$C$18="",0,IF(1+$AH3817&gt;0,LN(1+$AH3817),0))</f>
        <v>2.9558802241544429E-2</v>
      </c>
      <c r="AJ3817" s="75">
        <f t="shared" si="1464"/>
        <v>28</v>
      </c>
      <c r="AK3817" s="75">
        <f>IF($AE3817="",0,COUNTIFS(rl_key,'Rate Log'!$J$18,$AF$3806:$AF$4045,$AF3817,$AE$3806:$AE$4045,"&lt;"&amp;$AE3817))</f>
        <v>0</v>
      </c>
      <c r="AL3817" s="75">
        <f>IF($AE3817="",0,COUNTIFS('Rate Log'!$J$7:$J$18,'Rate Log'!$J$18,$AF$3806:$AF3817,$AF3817,$AE$3806:$AE3817,$AE3817))</f>
        <v>1</v>
      </c>
      <c r="AM3817" s="75">
        <f t="shared" si="1465"/>
        <v>1</v>
      </c>
    </row>
    <row r="3818" spans="1:39" x14ac:dyDescent="0.3">
      <c r="A3818" s="74">
        <f>IF('Rate Log'!$C$19="","",IF('Rate Log'!$E$19="planned",EDATE('Rate Log'!$C$19,N(INDEX(sc_shift,1))),'Rate Log'!$C$19))</f>
        <v>46419</v>
      </c>
      <c r="B3818" s="74">
        <f t="shared" si="1454"/>
        <v>46419</v>
      </c>
      <c r="C3818" s="72">
        <f>IF(N(INDEX(sc_ach,1))=0,IF('Rate Log'!$G$19="",1,'Rate Log'!$G$19),INDEX(sc_ach,1))</f>
        <v>1</v>
      </c>
      <c r="D3818" s="72">
        <f>IF('Rate Log'!$C$19="",0,IF('Rate Log'!$E$19="planned",('Rate Log'!$D$19+N(INDEX(sc_dpts,1)))*$C3818,'Rate Log'!$D$19))</f>
        <v>0.06</v>
      </c>
      <c r="E3818" s="73">
        <f>IF('Rate Log'!$C$19="",0,IF(1+$D3818&gt;0,LN(1+$D3818),0))</f>
        <v>5.8268908123975824E-2</v>
      </c>
      <c r="F3818" s="75">
        <f t="shared" si="1455"/>
        <v>28</v>
      </c>
      <c r="G3818" s="75">
        <f>IF($A3818="",0,COUNTIFS(rl_key,'Rate Log'!$J$19,$B$3806:$B$4045,$B3818,$A$3806:$A$4045,"&lt;"&amp;$A3818))</f>
        <v>0</v>
      </c>
      <c r="H3818" s="75">
        <f>IF($A3818="",0,COUNTIFS('Rate Log'!$J$7:$J$19,'Rate Log'!$J$19,$B$3806:$B3818,$B3818,$A$3806:$A3818,$A3818))</f>
        <v>1</v>
      </c>
      <c r="I3818" s="75">
        <f t="shared" si="1456"/>
        <v>1</v>
      </c>
      <c r="K3818" s="74">
        <f>IF('Rate Log'!$C$19="","",IF('Rate Log'!$E$19="planned",EDATE('Rate Log'!$C$19,N(INDEX(sc_shift,2))),'Rate Log'!$C$19))</f>
        <v>46419</v>
      </c>
      <c r="L3818" s="74">
        <f t="shared" si="1457"/>
        <v>46419</v>
      </c>
      <c r="M3818" s="72">
        <f>IF(N(INDEX(sc_ach,2))=0,IF('Rate Log'!$G$19="",1,'Rate Log'!$G$19),INDEX(sc_ach,2))</f>
        <v>1</v>
      </c>
      <c r="N3818" s="72">
        <f>IF('Rate Log'!$C$19="",0,IF('Rate Log'!$E$19="planned",('Rate Log'!$D$19+N(INDEX(sc_dpts,2)))*$M3818,'Rate Log'!$D$19))</f>
        <v>0.04</v>
      </c>
      <c r="O3818" s="73">
        <f>IF('Rate Log'!$C$19="",0,IF(1+$N3818&gt;0,LN(1+$N3818),0))</f>
        <v>3.9220713153281329E-2</v>
      </c>
      <c r="P3818" s="75">
        <f t="shared" si="1458"/>
        <v>28</v>
      </c>
      <c r="Q3818" s="75">
        <f>IF($K3818="",0,COUNTIFS(rl_key,'Rate Log'!$J$19,$L$3806:$L$4045,$L3818,$K$3806:$K$4045,"&lt;"&amp;$K3818))</f>
        <v>0</v>
      </c>
      <c r="R3818" s="75">
        <f>IF($K3818="",0,COUNTIFS('Rate Log'!$J$7:$J$19,'Rate Log'!$J$19,$L$3806:$L3818,$L3818,$K$3806:$K3818,$K3818))</f>
        <v>1</v>
      </c>
      <c r="S3818" s="75">
        <f t="shared" si="1459"/>
        <v>1</v>
      </c>
      <c r="U3818" s="74">
        <f>IF('Rate Log'!$C$19="","",IF('Rate Log'!$E$19="planned",EDATE('Rate Log'!$C$19,N(INDEX(sc_shift,3))),'Rate Log'!$C$19))</f>
        <v>46419</v>
      </c>
      <c r="V3818" s="74">
        <f t="shared" si="1460"/>
        <v>46419</v>
      </c>
      <c r="W3818" s="72">
        <f>IF(N(INDEX(sc_ach,3))=0,IF('Rate Log'!$G$19="",1,'Rate Log'!$G$19),INDEX(sc_ach,3))</f>
        <v>1</v>
      </c>
      <c r="X3818" s="72">
        <f>IF('Rate Log'!$C$19="",0,IF('Rate Log'!$E$19="planned",('Rate Log'!$D$19+N(INDEX(sc_dpts,3)))*$W3818,'Rate Log'!$D$19))</f>
        <v>0.04</v>
      </c>
      <c r="Y3818" s="73">
        <f>IF('Rate Log'!$C$19="",0,IF(1+$X3818&gt;0,LN(1+$X3818),0))</f>
        <v>3.9220713153281329E-2</v>
      </c>
      <c r="Z3818" s="75">
        <f t="shared" si="1461"/>
        <v>28</v>
      </c>
      <c r="AA3818" s="75">
        <f>IF($U3818="",0,COUNTIFS(rl_key,'Rate Log'!$J$19,$V$3806:$V$4045,$V3818,$U$3806:$U$4045,"&lt;"&amp;$U3818))</f>
        <v>0</v>
      </c>
      <c r="AB3818" s="75">
        <f>IF($U3818="",0,COUNTIFS('Rate Log'!$J$7:$J$19,'Rate Log'!$J$19,$V$3806:$V3818,$V3818,$U$3806:$U3818,$U3818))</f>
        <v>1</v>
      </c>
      <c r="AC3818" s="75">
        <f t="shared" si="1462"/>
        <v>1</v>
      </c>
      <c r="AE3818" s="74">
        <f>IF('Rate Log'!$C$19="","",IF('Rate Log'!$E$19="planned",EDATE('Rate Log'!$C$19,N(INDEX(sc_shift,4))),'Rate Log'!$C$19))</f>
        <v>46419</v>
      </c>
      <c r="AF3818" s="74">
        <f t="shared" si="1463"/>
        <v>46419</v>
      </c>
      <c r="AG3818" s="72">
        <f>IF(N(INDEX(sc_ach,4))=0,IF('Rate Log'!$G$19="",1,'Rate Log'!$G$19),INDEX(sc_ach,4))</f>
        <v>1</v>
      </c>
      <c r="AH3818" s="72">
        <f>IF('Rate Log'!$C$19="",0,IF('Rate Log'!$E$19="planned",('Rate Log'!$D$19+N(INDEX(sc_dpts,4)))*$AG3818,'Rate Log'!$D$19))</f>
        <v>0.04</v>
      </c>
      <c r="AI3818" s="73">
        <f>IF('Rate Log'!$C$19="",0,IF(1+$AH3818&gt;0,LN(1+$AH3818),0))</f>
        <v>3.9220713153281329E-2</v>
      </c>
      <c r="AJ3818" s="75">
        <f t="shared" si="1464"/>
        <v>28</v>
      </c>
      <c r="AK3818" s="75">
        <f>IF($AE3818="",0,COUNTIFS(rl_key,'Rate Log'!$J$19,$AF$3806:$AF$4045,$AF3818,$AE$3806:$AE$4045,"&lt;"&amp;$AE3818))</f>
        <v>0</v>
      </c>
      <c r="AL3818" s="75">
        <f>IF($AE3818="",0,COUNTIFS('Rate Log'!$J$7:$J$19,'Rate Log'!$J$19,$AF$3806:$AF3818,$AF3818,$AE$3806:$AE3818,$AE3818))</f>
        <v>1</v>
      </c>
      <c r="AM3818" s="75">
        <f t="shared" si="1465"/>
        <v>1</v>
      </c>
    </row>
    <row r="3819" spans="1:39" x14ac:dyDescent="0.3">
      <c r="A3819" s="74">
        <f>IF('Rate Log'!$C$20="","",IF('Rate Log'!$E$20="planned",EDATE('Rate Log'!$C$20,N(INDEX(sc_shift,1))),'Rate Log'!$C$20))</f>
        <v>46113</v>
      </c>
      <c r="B3819" s="74">
        <f t="shared" si="1454"/>
        <v>46113</v>
      </c>
      <c r="C3819" s="72">
        <f>IF(N(INDEX(sc_ach,1))=0,IF('Rate Log'!$G$20="",1,'Rate Log'!$G$20),INDEX(sc_ach,1))</f>
        <v>1</v>
      </c>
      <c r="D3819" s="72">
        <f>IF('Rate Log'!$C$20="",0,IF('Rate Log'!$E$20="planned",('Rate Log'!$D$20+N(INDEX(sc_dpts,1)))*$C3819,'Rate Log'!$D$20))</f>
        <v>0.05</v>
      </c>
      <c r="E3819" s="73">
        <f>IF('Rate Log'!$C$20="",0,IF(1+$D3819&gt;0,LN(1+$D3819),0))</f>
        <v>4.8790164169432049E-2</v>
      </c>
      <c r="F3819" s="75">
        <f t="shared" si="1455"/>
        <v>30</v>
      </c>
      <c r="G3819" s="75">
        <f>IF($A3819="",0,COUNTIFS(rl_key,'Rate Log'!$J$20,$B$3806:$B$4045,$B3819,$A$3806:$A$4045,"&lt;"&amp;$A3819))</f>
        <v>0</v>
      </c>
      <c r="H3819" s="75">
        <f>IF($A3819="",0,COUNTIFS('Rate Log'!$J$7:$J$20,'Rate Log'!$J$20,$B$3806:$B3819,$B3819,$A$3806:$A3819,$A3819))</f>
        <v>1</v>
      </c>
      <c r="I3819" s="75">
        <f t="shared" si="1456"/>
        <v>1</v>
      </c>
      <c r="K3819" s="74">
        <f>IF('Rate Log'!$C$20="","",IF('Rate Log'!$E$20="planned",EDATE('Rate Log'!$C$20,N(INDEX(sc_shift,2))),'Rate Log'!$C$20))</f>
        <v>46113</v>
      </c>
      <c r="L3819" s="74">
        <f t="shared" si="1457"/>
        <v>46113</v>
      </c>
      <c r="M3819" s="72">
        <f>IF(N(INDEX(sc_ach,2))=0,IF('Rate Log'!$G$20="",1,'Rate Log'!$G$20),INDEX(sc_ach,2))</f>
        <v>1</v>
      </c>
      <c r="N3819" s="72">
        <f>IF('Rate Log'!$C$20="",0,IF('Rate Log'!$E$20="planned",('Rate Log'!$D$20+N(INDEX(sc_dpts,2)))*$M3819,'Rate Log'!$D$20))</f>
        <v>0.05</v>
      </c>
      <c r="O3819" s="73">
        <f>IF('Rate Log'!$C$20="",0,IF(1+$N3819&gt;0,LN(1+$N3819),0))</f>
        <v>4.8790164169432049E-2</v>
      </c>
      <c r="P3819" s="75">
        <f t="shared" si="1458"/>
        <v>30</v>
      </c>
      <c r="Q3819" s="75">
        <f>IF($K3819="",0,COUNTIFS(rl_key,'Rate Log'!$J$20,$L$3806:$L$4045,$L3819,$K$3806:$K$4045,"&lt;"&amp;$K3819))</f>
        <v>0</v>
      </c>
      <c r="R3819" s="75">
        <f>IF($K3819="",0,COUNTIFS('Rate Log'!$J$7:$J$20,'Rate Log'!$J$20,$L$3806:$L3819,$L3819,$K$3806:$K3819,$K3819))</f>
        <v>1</v>
      </c>
      <c r="S3819" s="75">
        <f t="shared" si="1459"/>
        <v>1</v>
      </c>
      <c r="U3819" s="74">
        <f>IF('Rate Log'!$C$20="","",IF('Rate Log'!$E$20="planned",EDATE('Rate Log'!$C$20,N(INDEX(sc_shift,3))),'Rate Log'!$C$20))</f>
        <v>46113</v>
      </c>
      <c r="V3819" s="74">
        <f t="shared" si="1460"/>
        <v>46113</v>
      </c>
      <c r="W3819" s="72">
        <f>IF(N(INDEX(sc_ach,3))=0,IF('Rate Log'!$G$20="",1,'Rate Log'!$G$20),INDEX(sc_ach,3))</f>
        <v>1</v>
      </c>
      <c r="X3819" s="72">
        <f>IF('Rate Log'!$C$20="",0,IF('Rate Log'!$E$20="planned",('Rate Log'!$D$20+N(INDEX(sc_dpts,3)))*$W3819,'Rate Log'!$D$20))</f>
        <v>0.05</v>
      </c>
      <c r="Y3819" s="73">
        <f>IF('Rate Log'!$C$20="",0,IF(1+$X3819&gt;0,LN(1+$X3819),0))</f>
        <v>4.8790164169432049E-2</v>
      </c>
      <c r="Z3819" s="75">
        <f t="shared" si="1461"/>
        <v>30</v>
      </c>
      <c r="AA3819" s="75">
        <f>IF($U3819="",0,COUNTIFS(rl_key,'Rate Log'!$J$20,$V$3806:$V$4045,$V3819,$U$3806:$U$4045,"&lt;"&amp;$U3819))</f>
        <v>0</v>
      </c>
      <c r="AB3819" s="75">
        <f>IF($U3819="",0,COUNTIFS('Rate Log'!$J$7:$J$20,'Rate Log'!$J$20,$V$3806:$V3819,$V3819,$U$3806:$U3819,$U3819))</f>
        <v>1</v>
      </c>
      <c r="AC3819" s="75">
        <f t="shared" si="1462"/>
        <v>1</v>
      </c>
      <c r="AE3819" s="74">
        <f>IF('Rate Log'!$C$20="","",IF('Rate Log'!$E$20="planned",EDATE('Rate Log'!$C$20,N(INDEX(sc_shift,4))),'Rate Log'!$C$20))</f>
        <v>46113</v>
      </c>
      <c r="AF3819" s="74">
        <f t="shared" si="1463"/>
        <v>46113</v>
      </c>
      <c r="AG3819" s="72">
        <f>IF(N(INDEX(sc_ach,4))=0,IF('Rate Log'!$G$20="",1,'Rate Log'!$G$20),INDEX(sc_ach,4))</f>
        <v>1</v>
      </c>
      <c r="AH3819" s="72">
        <f>IF('Rate Log'!$C$20="",0,IF('Rate Log'!$E$20="planned",('Rate Log'!$D$20+N(INDEX(sc_dpts,4)))*$AG3819,'Rate Log'!$D$20))</f>
        <v>0.05</v>
      </c>
      <c r="AI3819" s="73">
        <f>IF('Rate Log'!$C$20="",0,IF(1+$AH3819&gt;0,LN(1+$AH3819),0))</f>
        <v>4.8790164169432049E-2</v>
      </c>
      <c r="AJ3819" s="75">
        <f t="shared" si="1464"/>
        <v>30</v>
      </c>
      <c r="AK3819" s="75">
        <f>IF($AE3819="",0,COUNTIFS(rl_key,'Rate Log'!$J$20,$AF$3806:$AF$4045,$AF3819,$AE$3806:$AE$4045,"&lt;"&amp;$AE3819))</f>
        <v>0</v>
      </c>
      <c r="AL3819" s="75">
        <f>IF($AE3819="",0,COUNTIFS('Rate Log'!$J$7:$J$20,'Rate Log'!$J$20,$AF$3806:$AF3819,$AF3819,$AE$3806:$AE3819,$AE3819))</f>
        <v>1</v>
      </c>
      <c r="AM3819" s="75">
        <f t="shared" si="1465"/>
        <v>1</v>
      </c>
    </row>
    <row r="3820" spans="1:39" x14ac:dyDescent="0.3">
      <c r="A3820" s="74">
        <f>IF('Rate Log'!$C$21="","",IF('Rate Log'!$E$21="planned",EDATE('Rate Log'!$C$21,N(INDEX(sc_shift,1))),'Rate Log'!$C$21))</f>
        <v>46143</v>
      </c>
      <c r="B3820" s="74">
        <f t="shared" si="1454"/>
        <v>46143</v>
      </c>
      <c r="C3820" s="72">
        <f>IF(N(INDEX(sc_ach,1))=0,IF('Rate Log'!$G$21="",1,'Rate Log'!$G$21),INDEX(sc_ach,1))</f>
        <v>1</v>
      </c>
      <c r="D3820" s="72">
        <f>IF('Rate Log'!$C$21="",0,IF('Rate Log'!$E$21="planned",('Rate Log'!$D$21+N(INDEX(sc_dpts,1)))*$C3820,'Rate Log'!$D$21))</f>
        <v>0.06</v>
      </c>
      <c r="E3820" s="73">
        <f>IF('Rate Log'!$C$21="",0,IF(1+$D3820&gt;0,LN(1+$D3820),0))</f>
        <v>5.8268908123975824E-2</v>
      </c>
      <c r="F3820" s="75">
        <f t="shared" si="1455"/>
        <v>31</v>
      </c>
      <c r="G3820" s="75">
        <f>IF($A3820="",0,COUNTIFS(rl_key,'Rate Log'!$J$21,$B$3806:$B$4045,$B3820,$A$3806:$A$4045,"&lt;"&amp;$A3820))</f>
        <v>0</v>
      </c>
      <c r="H3820" s="75">
        <f>IF($A3820="",0,COUNTIFS('Rate Log'!$J$7:$J$21,'Rate Log'!$J$21,$B$3806:$B3820,$B3820,$A$3806:$A3820,$A3820))</f>
        <v>1</v>
      </c>
      <c r="I3820" s="75">
        <f t="shared" si="1456"/>
        <v>1</v>
      </c>
      <c r="K3820" s="74">
        <f>IF('Rate Log'!$C$21="","",IF('Rate Log'!$E$21="planned",EDATE('Rate Log'!$C$21,N(INDEX(sc_shift,2))),'Rate Log'!$C$21))</f>
        <v>46143</v>
      </c>
      <c r="L3820" s="74">
        <f t="shared" si="1457"/>
        <v>46143</v>
      </c>
      <c r="M3820" s="72">
        <f>IF(N(INDEX(sc_ach,2))=0,IF('Rate Log'!$G$21="",1,'Rate Log'!$G$21),INDEX(sc_ach,2))</f>
        <v>1</v>
      </c>
      <c r="N3820" s="72">
        <f>IF('Rate Log'!$C$21="",0,IF('Rate Log'!$E$21="planned",('Rate Log'!$D$21+N(INDEX(sc_dpts,2)))*$M3820,'Rate Log'!$D$21))</f>
        <v>0.06</v>
      </c>
      <c r="O3820" s="73">
        <f>IF('Rate Log'!$C$21="",0,IF(1+$N3820&gt;0,LN(1+$N3820),0))</f>
        <v>5.8268908123975824E-2</v>
      </c>
      <c r="P3820" s="75">
        <f t="shared" si="1458"/>
        <v>31</v>
      </c>
      <c r="Q3820" s="75">
        <f>IF($K3820="",0,COUNTIFS(rl_key,'Rate Log'!$J$21,$L$3806:$L$4045,$L3820,$K$3806:$K$4045,"&lt;"&amp;$K3820))</f>
        <v>0</v>
      </c>
      <c r="R3820" s="75">
        <f>IF($K3820="",0,COUNTIFS('Rate Log'!$J$7:$J$21,'Rate Log'!$J$21,$L$3806:$L3820,$L3820,$K$3806:$K3820,$K3820))</f>
        <v>1</v>
      </c>
      <c r="S3820" s="75">
        <f t="shared" si="1459"/>
        <v>1</v>
      </c>
      <c r="U3820" s="74">
        <f>IF('Rate Log'!$C$21="","",IF('Rate Log'!$E$21="planned",EDATE('Rate Log'!$C$21,N(INDEX(sc_shift,3))),'Rate Log'!$C$21))</f>
        <v>46143</v>
      </c>
      <c r="V3820" s="74">
        <f t="shared" si="1460"/>
        <v>46143</v>
      </c>
      <c r="W3820" s="72">
        <f>IF(N(INDEX(sc_ach,3))=0,IF('Rate Log'!$G$21="",1,'Rate Log'!$G$21),INDEX(sc_ach,3))</f>
        <v>1</v>
      </c>
      <c r="X3820" s="72">
        <f>IF('Rate Log'!$C$21="",0,IF('Rate Log'!$E$21="planned",('Rate Log'!$D$21+N(INDEX(sc_dpts,3)))*$W3820,'Rate Log'!$D$21))</f>
        <v>0.06</v>
      </c>
      <c r="Y3820" s="73">
        <f>IF('Rate Log'!$C$21="",0,IF(1+$X3820&gt;0,LN(1+$X3820),0))</f>
        <v>5.8268908123975824E-2</v>
      </c>
      <c r="Z3820" s="75">
        <f t="shared" si="1461"/>
        <v>31</v>
      </c>
      <c r="AA3820" s="75">
        <f>IF($U3820="",0,COUNTIFS(rl_key,'Rate Log'!$J$21,$V$3806:$V$4045,$V3820,$U$3806:$U$4045,"&lt;"&amp;$U3820))</f>
        <v>0</v>
      </c>
      <c r="AB3820" s="75">
        <f>IF($U3820="",0,COUNTIFS('Rate Log'!$J$7:$J$21,'Rate Log'!$J$21,$V$3806:$V3820,$V3820,$U$3806:$U3820,$U3820))</f>
        <v>1</v>
      </c>
      <c r="AC3820" s="75">
        <f t="shared" si="1462"/>
        <v>1</v>
      </c>
      <c r="AE3820" s="74">
        <f>IF('Rate Log'!$C$21="","",IF('Rate Log'!$E$21="planned",EDATE('Rate Log'!$C$21,N(INDEX(sc_shift,4))),'Rate Log'!$C$21))</f>
        <v>46143</v>
      </c>
      <c r="AF3820" s="74">
        <f t="shared" si="1463"/>
        <v>46143</v>
      </c>
      <c r="AG3820" s="72">
        <f>IF(N(INDEX(sc_ach,4))=0,IF('Rate Log'!$G$21="",1,'Rate Log'!$G$21),INDEX(sc_ach,4))</f>
        <v>1</v>
      </c>
      <c r="AH3820" s="72">
        <f>IF('Rate Log'!$C$21="",0,IF('Rate Log'!$E$21="planned",('Rate Log'!$D$21+N(INDEX(sc_dpts,4)))*$AG3820,'Rate Log'!$D$21))</f>
        <v>0.06</v>
      </c>
      <c r="AI3820" s="73">
        <f>IF('Rate Log'!$C$21="",0,IF(1+$AH3820&gt;0,LN(1+$AH3820),0))</f>
        <v>5.8268908123975824E-2</v>
      </c>
      <c r="AJ3820" s="75">
        <f t="shared" si="1464"/>
        <v>31</v>
      </c>
      <c r="AK3820" s="75">
        <f>IF($AE3820="",0,COUNTIFS(rl_key,'Rate Log'!$J$21,$AF$3806:$AF$4045,$AF3820,$AE$3806:$AE$4045,"&lt;"&amp;$AE3820))</f>
        <v>0</v>
      </c>
      <c r="AL3820" s="75">
        <f>IF($AE3820="",0,COUNTIFS('Rate Log'!$J$7:$J$21,'Rate Log'!$J$21,$AF$3806:$AF3820,$AF3820,$AE$3806:$AE3820,$AE3820))</f>
        <v>1</v>
      </c>
      <c r="AM3820" s="75">
        <f t="shared" si="1465"/>
        <v>1</v>
      </c>
    </row>
    <row r="3821" spans="1:39" x14ac:dyDescent="0.3">
      <c r="A3821" s="74">
        <f>IF('Rate Log'!$C$22="","",IF('Rate Log'!$E$22="planned",EDATE('Rate Log'!$C$22,N(INDEX(sc_shift,1))),'Rate Log'!$C$22))</f>
        <v>46539</v>
      </c>
      <c r="B3821" s="74">
        <f t="shared" si="1454"/>
        <v>46539</v>
      </c>
      <c r="C3821" s="72">
        <f>IF(N(INDEX(sc_ach,1))=0,IF('Rate Log'!$G$22="",1,'Rate Log'!$G$22),INDEX(sc_ach,1))</f>
        <v>1</v>
      </c>
      <c r="D3821" s="72">
        <f>IF('Rate Log'!$C$22="",0,IF('Rate Log'!$E$22="planned",('Rate Log'!$D$22+N(INDEX(sc_dpts,1)))*$C3821,'Rate Log'!$D$22))</f>
        <v>0.06</v>
      </c>
      <c r="E3821" s="73">
        <f>IF('Rate Log'!$C$22="",0,IF(1+$D3821&gt;0,LN(1+$D3821),0))</f>
        <v>5.8268908123975824E-2</v>
      </c>
      <c r="F3821" s="75">
        <f t="shared" si="1455"/>
        <v>30</v>
      </c>
      <c r="G3821" s="75">
        <f>IF($A3821="",0,COUNTIFS(rl_key,'Rate Log'!$J$22,$B$3806:$B$4045,$B3821,$A$3806:$A$4045,"&lt;"&amp;$A3821))</f>
        <v>0</v>
      </c>
      <c r="H3821" s="75">
        <f>IF($A3821="",0,COUNTIFS('Rate Log'!$J$7:$J$22,'Rate Log'!$J$22,$B$3806:$B3821,$B3821,$A$3806:$A3821,$A3821))</f>
        <v>1</v>
      </c>
      <c r="I3821" s="75">
        <f t="shared" si="1456"/>
        <v>1</v>
      </c>
      <c r="K3821" s="74">
        <f>IF('Rate Log'!$C$22="","",IF('Rate Log'!$E$22="planned",EDATE('Rate Log'!$C$22,N(INDEX(sc_shift,2))),'Rate Log'!$C$22))</f>
        <v>46539</v>
      </c>
      <c r="L3821" s="74">
        <f t="shared" si="1457"/>
        <v>46539</v>
      </c>
      <c r="M3821" s="72">
        <f>IF(N(INDEX(sc_ach,2))=0,IF('Rate Log'!$G$22="",1,'Rate Log'!$G$22),INDEX(sc_ach,2))</f>
        <v>1</v>
      </c>
      <c r="N3821" s="72">
        <f>IF('Rate Log'!$C$22="",0,IF('Rate Log'!$E$22="planned",('Rate Log'!$D$22+N(INDEX(sc_dpts,2)))*$M3821,'Rate Log'!$D$22))</f>
        <v>0.04</v>
      </c>
      <c r="O3821" s="73">
        <f>IF('Rate Log'!$C$22="",0,IF(1+$N3821&gt;0,LN(1+$N3821),0))</f>
        <v>3.9220713153281329E-2</v>
      </c>
      <c r="P3821" s="75">
        <f t="shared" si="1458"/>
        <v>30</v>
      </c>
      <c r="Q3821" s="75">
        <f>IF($K3821="",0,COUNTIFS(rl_key,'Rate Log'!$J$22,$L$3806:$L$4045,$L3821,$K$3806:$K$4045,"&lt;"&amp;$K3821))</f>
        <v>0</v>
      </c>
      <c r="R3821" s="75">
        <f>IF($K3821="",0,COUNTIFS('Rate Log'!$J$7:$J$22,'Rate Log'!$J$22,$L$3806:$L3821,$L3821,$K$3806:$K3821,$K3821))</f>
        <v>1</v>
      </c>
      <c r="S3821" s="75">
        <f t="shared" si="1459"/>
        <v>1</v>
      </c>
      <c r="U3821" s="74">
        <f>IF('Rate Log'!$C$22="","",IF('Rate Log'!$E$22="planned",EDATE('Rate Log'!$C$22,N(INDEX(sc_shift,3))),'Rate Log'!$C$22))</f>
        <v>46539</v>
      </c>
      <c r="V3821" s="74">
        <f t="shared" si="1460"/>
        <v>46539</v>
      </c>
      <c r="W3821" s="72">
        <f>IF(N(INDEX(sc_ach,3))=0,IF('Rate Log'!$G$22="",1,'Rate Log'!$G$22),INDEX(sc_ach,3))</f>
        <v>1</v>
      </c>
      <c r="X3821" s="72">
        <f>IF('Rate Log'!$C$22="",0,IF('Rate Log'!$E$22="planned",('Rate Log'!$D$22+N(INDEX(sc_dpts,3)))*$W3821,'Rate Log'!$D$22))</f>
        <v>0.04</v>
      </c>
      <c r="Y3821" s="73">
        <f>IF('Rate Log'!$C$22="",0,IF(1+$X3821&gt;0,LN(1+$X3821),0))</f>
        <v>3.9220713153281329E-2</v>
      </c>
      <c r="Z3821" s="75">
        <f t="shared" si="1461"/>
        <v>30</v>
      </c>
      <c r="AA3821" s="75">
        <f>IF($U3821="",0,COUNTIFS(rl_key,'Rate Log'!$J$22,$V$3806:$V$4045,$V3821,$U$3806:$U$4045,"&lt;"&amp;$U3821))</f>
        <v>0</v>
      </c>
      <c r="AB3821" s="75">
        <f>IF($U3821="",0,COUNTIFS('Rate Log'!$J$7:$J$22,'Rate Log'!$J$22,$V$3806:$V3821,$V3821,$U$3806:$U3821,$U3821))</f>
        <v>1</v>
      </c>
      <c r="AC3821" s="75">
        <f t="shared" si="1462"/>
        <v>1</v>
      </c>
      <c r="AE3821" s="74">
        <f>IF('Rate Log'!$C$22="","",IF('Rate Log'!$E$22="planned",EDATE('Rate Log'!$C$22,N(INDEX(sc_shift,4))),'Rate Log'!$C$22))</f>
        <v>46539</v>
      </c>
      <c r="AF3821" s="74">
        <f t="shared" si="1463"/>
        <v>46539</v>
      </c>
      <c r="AG3821" s="72">
        <f>IF(N(INDEX(sc_ach,4))=0,IF('Rate Log'!$G$22="",1,'Rate Log'!$G$22),INDEX(sc_ach,4))</f>
        <v>1</v>
      </c>
      <c r="AH3821" s="72">
        <f>IF('Rate Log'!$C$22="",0,IF('Rate Log'!$E$22="planned",('Rate Log'!$D$22+N(INDEX(sc_dpts,4)))*$AG3821,'Rate Log'!$D$22))</f>
        <v>0.04</v>
      </c>
      <c r="AI3821" s="73">
        <f>IF('Rate Log'!$C$22="",0,IF(1+$AH3821&gt;0,LN(1+$AH3821),0))</f>
        <v>3.9220713153281329E-2</v>
      </c>
      <c r="AJ3821" s="75">
        <f t="shared" si="1464"/>
        <v>30</v>
      </c>
      <c r="AK3821" s="75">
        <f>IF($AE3821="",0,COUNTIFS(rl_key,'Rate Log'!$J$22,$AF$3806:$AF$4045,$AF3821,$AE$3806:$AE$4045,"&lt;"&amp;$AE3821))</f>
        <v>0</v>
      </c>
      <c r="AL3821" s="75">
        <f>IF($AE3821="",0,COUNTIFS('Rate Log'!$J$7:$J$22,'Rate Log'!$J$22,$AF$3806:$AF3821,$AF3821,$AE$3806:$AE3821,$AE3821))</f>
        <v>1</v>
      </c>
      <c r="AM3821" s="75">
        <f t="shared" si="1465"/>
        <v>1</v>
      </c>
    </row>
    <row r="3822" spans="1:39" x14ac:dyDescent="0.3">
      <c r="A3822" s="74">
        <f>IF('Rate Log'!$C$23="","",IF('Rate Log'!$E$23="planned",EDATE('Rate Log'!$C$23,N(INDEX(sc_shift,1))),'Rate Log'!$C$23))</f>
        <v>46204</v>
      </c>
      <c r="B3822" s="74">
        <f t="shared" si="1454"/>
        <v>46204</v>
      </c>
      <c r="C3822" s="72">
        <f>IF(N(INDEX(sc_ach,1))=0,IF('Rate Log'!$G$23="",1,'Rate Log'!$G$23),INDEX(sc_ach,1))</f>
        <v>1</v>
      </c>
      <c r="D3822" s="72">
        <f>IF('Rate Log'!$C$23="",0,IF('Rate Log'!$E$23="planned",('Rate Log'!$D$23+N(INDEX(sc_dpts,1)))*$C3822,'Rate Log'!$D$23))</f>
        <v>0.03</v>
      </c>
      <c r="E3822" s="73">
        <f>IF('Rate Log'!$C$23="",0,IF(1+$D3822&gt;0,LN(1+$D3822),0))</f>
        <v>2.9558802241544429E-2</v>
      </c>
      <c r="F3822" s="75">
        <f t="shared" si="1455"/>
        <v>31</v>
      </c>
      <c r="G3822" s="75">
        <f>IF($A3822="",0,COUNTIFS(rl_key,'Rate Log'!$J$23,$B$3806:$B$4045,$B3822,$A$3806:$A$4045,"&lt;"&amp;$A3822))</f>
        <v>0</v>
      </c>
      <c r="H3822" s="75">
        <f>IF($A3822="",0,COUNTIFS('Rate Log'!$J$7:$J$23,'Rate Log'!$J$23,$B$3806:$B3822,$B3822,$A$3806:$A3822,$A3822))</f>
        <v>1</v>
      </c>
      <c r="I3822" s="75">
        <f t="shared" si="1456"/>
        <v>1</v>
      </c>
      <c r="K3822" s="74">
        <f>IF('Rate Log'!$C$23="","",IF('Rate Log'!$E$23="planned",EDATE('Rate Log'!$C$23,N(INDEX(sc_shift,2))),'Rate Log'!$C$23))</f>
        <v>46204</v>
      </c>
      <c r="L3822" s="74">
        <f t="shared" si="1457"/>
        <v>46204</v>
      </c>
      <c r="M3822" s="72">
        <f>IF(N(INDEX(sc_ach,2))=0,IF('Rate Log'!$G$23="",1,'Rate Log'!$G$23),INDEX(sc_ach,2))</f>
        <v>1</v>
      </c>
      <c r="N3822" s="72">
        <f>IF('Rate Log'!$C$23="",0,IF('Rate Log'!$E$23="planned",('Rate Log'!$D$23+N(INDEX(sc_dpts,2)))*$M3822,'Rate Log'!$D$23))</f>
        <v>0.03</v>
      </c>
      <c r="O3822" s="73">
        <f>IF('Rate Log'!$C$23="",0,IF(1+$N3822&gt;0,LN(1+$N3822),0))</f>
        <v>2.9558802241544429E-2</v>
      </c>
      <c r="P3822" s="75">
        <f t="shared" si="1458"/>
        <v>31</v>
      </c>
      <c r="Q3822" s="75">
        <f>IF($K3822="",0,COUNTIFS(rl_key,'Rate Log'!$J$23,$L$3806:$L$4045,$L3822,$K$3806:$K$4045,"&lt;"&amp;$K3822))</f>
        <v>0</v>
      </c>
      <c r="R3822" s="75">
        <f>IF($K3822="",0,COUNTIFS('Rate Log'!$J$7:$J$23,'Rate Log'!$J$23,$L$3806:$L3822,$L3822,$K$3806:$K3822,$K3822))</f>
        <v>1</v>
      </c>
      <c r="S3822" s="75">
        <f t="shared" si="1459"/>
        <v>1</v>
      </c>
      <c r="U3822" s="74">
        <f>IF('Rate Log'!$C$23="","",IF('Rate Log'!$E$23="planned",EDATE('Rate Log'!$C$23,N(INDEX(sc_shift,3))),'Rate Log'!$C$23))</f>
        <v>46204</v>
      </c>
      <c r="V3822" s="74">
        <f t="shared" si="1460"/>
        <v>46204</v>
      </c>
      <c r="W3822" s="72">
        <f>IF(N(INDEX(sc_ach,3))=0,IF('Rate Log'!$G$23="",1,'Rate Log'!$G$23),INDEX(sc_ach,3))</f>
        <v>1</v>
      </c>
      <c r="X3822" s="72">
        <f>IF('Rate Log'!$C$23="",0,IF('Rate Log'!$E$23="planned",('Rate Log'!$D$23+N(INDEX(sc_dpts,3)))*$W3822,'Rate Log'!$D$23))</f>
        <v>0.03</v>
      </c>
      <c r="Y3822" s="73">
        <f>IF('Rate Log'!$C$23="",0,IF(1+$X3822&gt;0,LN(1+$X3822),0))</f>
        <v>2.9558802241544429E-2</v>
      </c>
      <c r="Z3822" s="75">
        <f t="shared" si="1461"/>
        <v>31</v>
      </c>
      <c r="AA3822" s="75">
        <f>IF($U3822="",0,COUNTIFS(rl_key,'Rate Log'!$J$23,$V$3806:$V$4045,$V3822,$U$3806:$U$4045,"&lt;"&amp;$U3822))</f>
        <v>0</v>
      </c>
      <c r="AB3822" s="75">
        <f>IF($U3822="",0,COUNTIFS('Rate Log'!$J$7:$J$23,'Rate Log'!$J$23,$V$3806:$V3822,$V3822,$U$3806:$U3822,$U3822))</f>
        <v>1</v>
      </c>
      <c r="AC3822" s="75">
        <f t="shared" si="1462"/>
        <v>1</v>
      </c>
      <c r="AE3822" s="74">
        <f>IF('Rate Log'!$C$23="","",IF('Rate Log'!$E$23="planned",EDATE('Rate Log'!$C$23,N(INDEX(sc_shift,4))),'Rate Log'!$C$23))</f>
        <v>46204</v>
      </c>
      <c r="AF3822" s="74">
        <f t="shared" si="1463"/>
        <v>46204</v>
      </c>
      <c r="AG3822" s="72">
        <f>IF(N(INDEX(sc_ach,4))=0,IF('Rate Log'!$G$23="",1,'Rate Log'!$G$23),INDEX(sc_ach,4))</f>
        <v>1</v>
      </c>
      <c r="AH3822" s="72">
        <f>IF('Rate Log'!$C$23="",0,IF('Rate Log'!$E$23="planned",('Rate Log'!$D$23+N(INDEX(sc_dpts,4)))*$AG3822,'Rate Log'!$D$23))</f>
        <v>0.03</v>
      </c>
      <c r="AI3822" s="73">
        <f>IF('Rate Log'!$C$23="",0,IF(1+$AH3822&gt;0,LN(1+$AH3822),0))</f>
        <v>2.9558802241544429E-2</v>
      </c>
      <c r="AJ3822" s="75">
        <f t="shared" si="1464"/>
        <v>31</v>
      </c>
      <c r="AK3822" s="75">
        <f>IF($AE3822="",0,COUNTIFS(rl_key,'Rate Log'!$J$23,$AF$3806:$AF$4045,$AF3822,$AE$3806:$AE$4045,"&lt;"&amp;$AE3822))</f>
        <v>0</v>
      </c>
      <c r="AL3822" s="75">
        <f>IF($AE3822="",0,COUNTIFS('Rate Log'!$J$7:$J$23,'Rate Log'!$J$23,$AF$3806:$AF3822,$AF3822,$AE$3806:$AE3822,$AE3822))</f>
        <v>1</v>
      </c>
      <c r="AM3822" s="75">
        <f t="shared" si="1465"/>
        <v>1</v>
      </c>
    </row>
    <row r="3823" spans="1:39" x14ac:dyDescent="0.3">
      <c r="A3823" s="74">
        <f>IF('Rate Log'!$C$24="","",IF('Rate Log'!$E$24="planned",EDATE('Rate Log'!$C$24,N(INDEX(sc_shift,1))),'Rate Log'!$C$24))</f>
        <v>46235</v>
      </c>
      <c r="B3823" s="74">
        <f t="shared" si="1454"/>
        <v>46235</v>
      </c>
      <c r="C3823" s="72">
        <f>IF(N(INDEX(sc_ach,1))=0,IF('Rate Log'!$G$24="",1,'Rate Log'!$G$24),INDEX(sc_ach,1))</f>
        <v>1</v>
      </c>
      <c r="D3823" s="72">
        <f>IF('Rate Log'!$C$24="",0,IF('Rate Log'!$E$24="planned",('Rate Log'!$D$24+N(INDEX(sc_dpts,1)))*$C3823,'Rate Log'!$D$24))</f>
        <v>0.04</v>
      </c>
      <c r="E3823" s="73">
        <f>IF('Rate Log'!$C$24="",0,IF(1+$D3823&gt;0,LN(1+$D3823),0))</f>
        <v>3.9220713153281329E-2</v>
      </c>
      <c r="F3823" s="75">
        <f t="shared" si="1455"/>
        <v>31</v>
      </c>
      <c r="G3823" s="75">
        <f>IF($A3823="",0,COUNTIFS(rl_key,'Rate Log'!$J$24,$B$3806:$B$4045,$B3823,$A$3806:$A$4045,"&lt;"&amp;$A3823))</f>
        <v>0</v>
      </c>
      <c r="H3823" s="75">
        <f>IF($A3823="",0,COUNTIFS('Rate Log'!$J$7:$J$24,'Rate Log'!$J$24,$B$3806:$B3823,$B3823,$A$3806:$A3823,$A3823))</f>
        <v>1</v>
      </c>
      <c r="I3823" s="75">
        <f t="shared" si="1456"/>
        <v>1</v>
      </c>
      <c r="K3823" s="74">
        <f>IF('Rate Log'!$C$24="","",IF('Rate Log'!$E$24="planned",EDATE('Rate Log'!$C$24,N(INDEX(sc_shift,2))),'Rate Log'!$C$24))</f>
        <v>46235</v>
      </c>
      <c r="L3823" s="74">
        <f t="shared" si="1457"/>
        <v>46235</v>
      </c>
      <c r="M3823" s="72">
        <f>IF(N(INDEX(sc_ach,2))=0,IF('Rate Log'!$G$24="",1,'Rate Log'!$G$24),INDEX(sc_ach,2))</f>
        <v>1</v>
      </c>
      <c r="N3823" s="72">
        <f>IF('Rate Log'!$C$24="",0,IF('Rate Log'!$E$24="planned",('Rate Log'!$D$24+N(INDEX(sc_dpts,2)))*$M3823,'Rate Log'!$D$24))</f>
        <v>0.04</v>
      </c>
      <c r="O3823" s="73">
        <f>IF('Rate Log'!$C$24="",0,IF(1+$N3823&gt;0,LN(1+$N3823),0))</f>
        <v>3.9220713153281329E-2</v>
      </c>
      <c r="P3823" s="75">
        <f t="shared" si="1458"/>
        <v>31</v>
      </c>
      <c r="Q3823" s="75">
        <f>IF($K3823="",0,COUNTIFS(rl_key,'Rate Log'!$J$24,$L$3806:$L$4045,$L3823,$K$3806:$K$4045,"&lt;"&amp;$K3823))</f>
        <v>0</v>
      </c>
      <c r="R3823" s="75">
        <f>IF($K3823="",0,COUNTIFS('Rate Log'!$J$7:$J$24,'Rate Log'!$J$24,$L$3806:$L3823,$L3823,$K$3806:$K3823,$K3823))</f>
        <v>1</v>
      </c>
      <c r="S3823" s="75">
        <f t="shared" si="1459"/>
        <v>1</v>
      </c>
      <c r="U3823" s="74">
        <f>IF('Rate Log'!$C$24="","",IF('Rate Log'!$E$24="planned",EDATE('Rate Log'!$C$24,N(INDEX(sc_shift,3))),'Rate Log'!$C$24))</f>
        <v>46235</v>
      </c>
      <c r="V3823" s="74">
        <f t="shared" si="1460"/>
        <v>46235</v>
      </c>
      <c r="W3823" s="72">
        <f>IF(N(INDEX(sc_ach,3))=0,IF('Rate Log'!$G$24="",1,'Rate Log'!$G$24),INDEX(sc_ach,3))</f>
        <v>1</v>
      </c>
      <c r="X3823" s="72">
        <f>IF('Rate Log'!$C$24="",0,IF('Rate Log'!$E$24="planned",('Rate Log'!$D$24+N(INDEX(sc_dpts,3)))*$W3823,'Rate Log'!$D$24))</f>
        <v>0.04</v>
      </c>
      <c r="Y3823" s="73">
        <f>IF('Rate Log'!$C$24="",0,IF(1+$X3823&gt;0,LN(1+$X3823),0))</f>
        <v>3.9220713153281329E-2</v>
      </c>
      <c r="Z3823" s="75">
        <f t="shared" si="1461"/>
        <v>31</v>
      </c>
      <c r="AA3823" s="75">
        <f>IF($U3823="",0,COUNTIFS(rl_key,'Rate Log'!$J$24,$V$3806:$V$4045,$V3823,$U$3806:$U$4045,"&lt;"&amp;$U3823))</f>
        <v>0</v>
      </c>
      <c r="AB3823" s="75">
        <f>IF($U3823="",0,COUNTIFS('Rate Log'!$J$7:$J$24,'Rate Log'!$J$24,$V$3806:$V3823,$V3823,$U$3806:$U3823,$U3823))</f>
        <v>1</v>
      </c>
      <c r="AC3823" s="75">
        <f t="shared" si="1462"/>
        <v>1</v>
      </c>
      <c r="AE3823" s="74">
        <f>IF('Rate Log'!$C$24="","",IF('Rate Log'!$E$24="planned",EDATE('Rate Log'!$C$24,N(INDEX(sc_shift,4))),'Rate Log'!$C$24))</f>
        <v>46235</v>
      </c>
      <c r="AF3823" s="74">
        <f t="shared" si="1463"/>
        <v>46235</v>
      </c>
      <c r="AG3823" s="72">
        <f>IF(N(INDEX(sc_ach,4))=0,IF('Rate Log'!$G$24="",1,'Rate Log'!$G$24),INDEX(sc_ach,4))</f>
        <v>1</v>
      </c>
      <c r="AH3823" s="72">
        <f>IF('Rate Log'!$C$24="",0,IF('Rate Log'!$E$24="planned",('Rate Log'!$D$24+N(INDEX(sc_dpts,4)))*$AG3823,'Rate Log'!$D$24))</f>
        <v>0.04</v>
      </c>
      <c r="AI3823" s="73">
        <f>IF('Rate Log'!$C$24="",0,IF(1+$AH3823&gt;0,LN(1+$AH3823),0))</f>
        <v>3.9220713153281329E-2</v>
      </c>
      <c r="AJ3823" s="75">
        <f t="shared" si="1464"/>
        <v>31</v>
      </c>
      <c r="AK3823" s="75">
        <f>IF($AE3823="",0,COUNTIFS(rl_key,'Rate Log'!$J$24,$AF$3806:$AF$4045,$AF3823,$AE$3806:$AE$4045,"&lt;"&amp;$AE3823))</f>
        <v>0</v>
      </c>
      <c r="AL3823" s="75">
        <f>IF($AE3823="",0,COUNTIFS('Rate Log'!$J$7:$J$24,'Rate Log'!$J$24,$AF$3806:$AF3823,$AF3823,$AE$3806:$AE3823,$AE3823))</f>
        <v>1</v>
      </c>
      <c r="AM3823" s="75">
        <f t="shared" si="1465"/>
        <v>1</v>
      </c>
    </row>
    <row r="3824" spans="1:39" x14ac:dyDescent="0.3">
      <c r="A3824" s="74">
        <f>IF('Rate Log'!$C$25="","",IF('Rate Log'!$E$25="planned",EDATE('Rate Log'!$C$25,N(INDEX(sc_shift,1))),'Rate Log'!$C$25))</f>
        <v>46296</v>
      </c>
      <c r="B3824" s="74">
        <f t="shared" si="1454"/>
        <v>46296</v>
      </c>
      <c r="C3824" s="72">
        <f>IF(N(INDEX(sc_ach,1))=0,IF('Rate Log'!$G$25="",1,'Rate Log'!$G$25),INDEX(sc_ach,1))</f>
        <v>1</v>
      </c>
      <c r="D3824" s="72">
        <f>IF('Rate Log'!$C$25="",0,IF('Rate Log'!$E$25="planned",('Rate Log'!$D$25+N(INDEX(sc_dpts,1)))*$C3824,'Rate Log'!$D$25))</f>
        <v>0.06</v>
      </c>
      <c r="E3824" s="73">
        <f>IF('Rate Log'!$C$25="",0,IF(1+$D3824&gt;0,LN(1+$D3824),0))</f>
        <v>5.8268908123975824E-2</v>
      </c>
      <c r="F3824" s="75">
        <f t="shared" si="1455"/>
        <v>31</v>
      </c>
      <c r="G3824" s="75">
        <f>IF($A3824="",0,COUNTIFS(rl_key,'Rate Log'!$J$25,$B$3806:$B$4045,$B3824,$A$3806:$A$4045,"&lt;"&amp;$A3824))</f>
        <v>0</v>
      </c>
      <c r="H3824" s="75">
        <f>IF($A3824="",0,COUNTIFS('Rate Log'!$J$7:$J$25,'Rate Log'!$J$25,$B$3806:$B3824,$B3824,$A$3806:$A3824,$A3824))</f>
        <v>1</v>
      </c>
      <c r="I3824" s="75">
        <f t="shared" si="1456"/>
        <v>1</v>
      </c>
      <c r="K3824" s="74">
        <f>IF('Rate Log'!$C$25="","",IF('Rate Log'!$E$25="planned",EDATE('Rate Log'!$C$25,N(INDEX(sc_shift,2))),'Rate Log'!$C$25))</f>
        <v>46296</v>
      </c>
      <c r="L3824" s="74">
        <f t="shared" si="1457"/>
        <v>46296</v>
      </c>
      <c r="M3824" s="72">
        <f>IF(N(INDEX(sc_ach,2))=0,IF('Rate Log'!$G$25="",1,'Rate Log'!$G$25),INDEX(sc_ach,2))</f>
        <v>1</v>
      </c>
      <c r="N3824" s="72">
        <f>IF('Rate Log'!$C$25="",0,IF('Rate Log'!$E$25="planned",('Rate Log'!$D$25+N(INDEX(sc_dpts,2)))*$M3824,'Rate Log'!$D$25))</f>
        <v>0.06</v>
      </c>
      <c r="O3824" s="73">
        <f>IF('Rate Log'!$C$25="",0,IF(1+$N3824&gt;0,LN(1+$N3824),0))</f>
        <v>5.8268908123975824E-2</v>
      </c>
      <c r="P3824" s="75">
        <f t="shared" si="1458"/>
        <v>31</v>
      </c>
      <c r="Q3824" s="75">
        <f>IF($K3824="",0,COUNTIFS(rl_key,'Rate Log'!$J$25,$L$3806:$L$4045,$L3824,$K$3806:$K$4045,"&lt;"&amp;$K3824))</f>
        <v>0</v>
      </c>
      <c r="R3824" s="75">
        <f>IF($K3824="",0,COUNTIFS('Rate Log'!$J$7:$J$25,'Rate Log'!$J$25,$L$3806:$L3824,$L3824,$K$3806:$K3824,$K3824))</f>
        <v>1</v>
      </c>
      <c r="S3824" s="75">
        <f t="shared" si="1459"/>
        <v>1</v>
      </c>
      <c r="U3824" s="74">
        <f>IF('Rate Log'!$C$25="","",IF('Rate Log'!$E$25="planned",EDATE('Rate Log'!$C$25,N(INDEX(sc_shift,3))),'Rate Log'!$C$25))</f>
        <v>46296</v>
      </c>
      <c r="V3824" s="74">
        <f t="shared" si="1460"/>
        <v>46296</v>
      </c>
      <c r="W3824" s="72">
        <f>IF(N(INDEX(sc_ach,3))=0,IF('Rate Log'!$G$25="",1,'Rate Log'!$G$25),INDEX(sc_ach,3))</f>
        <v>1</v>
      </c>
      <c r="X3824" s="72">
        <f>IF('Rate Log'!$C$25="",0,IF('Rate Log'!$E$25="planned",('Rate Log'!$D$25+N(INDEX(sc_dpts,3)))*$W3824,'Rate Log'!$D$25))</f>
        <v>0.06</v>
      </c>
      <c r="Y3824" s="73">
        <f>IF('Rate Log'!$C$25="",0,IF(1+$X3824&gt;0,LN(1+$X3824),0))</f>
        <v>5.8268908123975824E-2</v>
      </c>
      <c r="Z3824" s="75">
        <f t="shared" si="1461"/>
        <v>31</v>
      </c>
      <c r="AA3824" s="75">
        <f>IF($U3824="",0,COUNTIFS(rl_key,'Rate Log'!$J$25,$V$3806:$V$4045,$V3824,$U$3806:$U$4045,"&lt;"&amp;$U3824))</f>
        <v>0</v>
      </c>
      <c r="AB3824" s="75">
        <f>IF($U3824="",0,COUNTIFS('Rate Log'!$J$7:$J$25,'Rate Log'!$J$25,$V$3806:$V3824,$V3824,$U$3806:$U3824,$U3824))</f>
        <v>1</v>
      </c>
      <c r="AC3824" s="75">
        <f t="shared" si="1462"/>
        <v>1</v>
      </c>
      <c r="AE3824" s="74">
        <f>IF('Rate Log'!$C$25="","",IF('Rate Log'!$E$25="planned",EDATE('Rate Log'!$C$25,N(INDEX(sc_shift,4))),'Rate Log'!$C$25))</f>
        <v>46296</v>
      </c>
      <c r="AF3824" s="74">
        <f t="shared" si="1463"/>
        <v>46296</v>
      </c>
      <c r="AG3824" s="72">
        <f>IF(N(INDEX(sc_ach,4))=0,IF('Rate Log'!$G$25="",1,'Rate Log'!$G$25),INDEX(sc_ach,4))</f>
        <v>1</v>
      </c>
      <c r="AH3824" s="72">
        <f>IF('Rate Log'!$C$25="",0,IF('Rate Log'!$E$25="planned",('Rate Log'!$D$25+N(INDEX(sc_dpts,4)))*$AG3824,'Rate Log'!$D$25))</f>
        <v>0.06</v>
      </c>
      <c r="AI3824" s="73">
        <f>IF('Rate Log'!$C$25="",0,IF(1+$AH3824&gt;0,LN(1+$AH3824),0))</f>
        <v>5.8268908123975824E-2</v>
      </c>
      <c r="AJ3824" s="75">
        <f t="shared" si="1464"/>
        <v>31</v>
      </c>
      <c r="AK3824" s="75">
        <f>IF($AE3824="",0,COUNTIFS(rl_key,'Rate Log'!$J$25,$AF$3806:$AF$4045,$AF3824,$AE$3806:$AE$4045,"&lt;"&amp;$AE3824))</f>
        <v>0</v>
      </c>
      <c r="AL3824" s="75">
        <f>IF($AE3824="",0,COUNTIFS('Rate Log'!$J$7:$J$25,'Rate Log'!$J$25,$AF$3806:$AF3824,$AF3824,$AE$3806:$AE3824,$AE3824))</f>
        <v>1</v>
      </c>
      <c r="AM3824" s="75">
        <f t="shared" si="1465"/>
        <v>1</v>
      </c>
    </row>
    <row r="3825" spans="1:39" x14ac:dyDescent="0.3">
      <c r="A3825" s="74">
        <f>IF('Rate Log'!$C$26="","",IF('Rate Log'!$E$26="planned",EDATE('Rate Log'!$C$26,N(INDEX(sc_shift,1))),'Rate Log'!$C$26))</f>
        <v>46661</v>
      </c>
      <c r="B3825" s="74">
        <f t="shared" si="1454"/>
        <v>46661</v>
      </c>
      <c r="C3825" s="72">
        <f>IF(N(INDEX(sc_ach,1))=0,IF('Rate Log'!$G$26="",1,'Rate Log'!$G$26),INDEX(sc_ach,1))</f>
        <v>1</v>
      </c>
      <c r="D3825" s="72">
        <f>IF('Rate Log'!$C$26="",0,IF('Rate Log'!$E$26="planned",('Rate Log'!$D$26+N(INDEX(sc_dpts,1)))*$C3825,'Rate Log'!$D$26))</f>
        <v>0.06</v>
      </c>
      <c r="E3825" s="73">
        <f>IF('Rate Log'!$C$26="",0,IF(1+$D3825&gt;0,LN(1+$D3825),0))</f>
        <v>5.8268908123975824E-2</v>
      </c>
      <c r="F3825" s="75">
        <f t="shared" si="1455"/>
        <v>31</v>
      </c>
      <c r="G3825" s="75">
        <f>IF($A3825="",0,COUNTIFS(rl_key,'Rate Log'!$J$26,$B$3806:$B$4045,$B3825,$A$3806:$A$4045,"&lt;"&amp;$A3825))</f>
        <v>0</v>
      </c>
      <c r="H3825" s="75">
        <f>IF($A3825="",0,COUNTIFS('Rate Log'!$J$7:$J$26,'Rate Log'!$J$26,$B$3806:$B3825,$B3825,$A$3806:$A3825,$A3825))</f>
        <v>1</v>
      </c>
      <c r="I3825" s="75">
        <f t="shared" si="1456"/>
        <v>1</v>
      </c>
      <c r="K3825" s="74">
        <f>IF('Rate Log'!$C$26="","",IF('Rate Log'!$E$26="planned",EDATE('Rate Log'!$C$26,N(INDEX(sc_shift,2))),'Rate Log'!$C$26))</f>
        <v>46661</v>
      </c>
      <c r="L3825" s="74">
        <f t="shared" si="1457"/>
        <v>46661</v>
      </c>
      <c r="M3825" s="72">
        <f>IF(N(INDEX(sc_ach,2))=0,IF('Rate Log'!$G$26="",1,'Rate Log'!$G$26),INDEX(sc_ach,2))</f>
        <v>1</v>
      </c>
      <c r="N3825" s="72">
        <f>IF('Rate Log'!$C$26="",0,IF('Rate Log'!$E$26="planned",('Rate Log'!$D$26+N(INDEX(sc_dpts,2)))*$M3825,'Rate Log'!$D$26))</f>
        <v>0.04</v>
      </c>
      <c r="O3825" s="73">
        <f>IF('Rate Log'!$C$26="",0,IF(1+$N3825&gt;0,LN(1+$N3825),0))</f>
        <v>3.9220713153281329E-2</v>
      </c>
      <c r="P3825" s="75">
        <f t="shared" si="1458"/>
        <v>31</v>
      </c>
      <c r="Q3825" s="75">
        <f>IF($K3825="",0,COUNTIFS(rl_key,'Rate Log'!$J$26,$L$3806:$L$4045,$L3825,$K$3806:$K$4045,"&lt;"&amp;$K3825))</f>
        <v>0</v>
      </c>
      <c r="R3825" s="75">
        <f>IF($K3825="",0,COUNTIFS('Rate Log'!$J$7:$J$26,'Rate Log'!$J$26,$L$3806:$L3825,$L3825,$K$3806:$K3825,$K3825))</f>
        <v>1</v>
      </c>
      <c r="S3825" s="75">
        <f t="shared" si="1459"/>
        <v>1</v>
      </c>
      <c r="U3825" s="74">
        <f>IF('Rate Log'!$C$26="","",IF('Rate Log'!$E$26="planned",EDATE('Rate Log'!$C$26,N(INDEX(sc_shift,3))),'Rate Log'!$C$26))</f>
        <v>46661</v>
      </c>
      <c r="V3825" s="74">
        <f t="shared" si="1460"/>
        <v>46661</v>
      </c>
      <c r="W3825" s="72">
        <f>IF(N(INDEX(sc_ach,3))=0,IF('Rate Log'!$G$26="",1,'Rate Log'!$G$26),INDEX(sc_ach,3))</f>
        <v>1</v>
      </c>
      <c r="X3825" s="72">
        <f>IF('Rate Log'!$C$26="",0,IF('Rate Log'!$E$26="planned",('Rate Log'!$D$26+N(INDEX(sc_dpts,3)))*$W3825,'Rate Log'!$D$26))</f>
        <v>0.04</v>
      </c>
      <c r="Y3825" s="73">
        <f>IF('Rate Log'!$C$26="",0,IF(1+$X3825&gt;0,LN(1+$X3825),0))</f>
        <v>3.9220713153281329E-2</v>
      </c>
      <c r="Z3825" s="75">
        <f t="shared" si="1461"/>
        <v>31</v>
      </c>
      <c r="AA3825" s="75">
        <f>IF($U3825="",0,COUNTIFS(rl_key,'Rate Log'!$J$26,$V$3806:$V$4045,$V3825,$U$3806:$U$4045,"&lt;"&amp;$U3825))</f>
        <v>0</v>
      </c>
      <c r="AB3825" s="75">
        <f>IF($U3825="",0,COUNTIFS('Rate Log'!$J$7:$J$26,'Rate Log'!$J$26,$V$3806:$V3825,$V3825,$U$3806:$U3825,$U3825))</f>
        <v>1</v>
      </c>
      <c r="AC3825" s="75">
        <f t="shared" si="1462"/>
        <v>1</v>
      </c>
      <c r="AE3825" s="74">
        <f>IF('Rate Log'!$C$26="","",IF('Rate Log'!$E$26="planned",EDATE('Rate Log'!$C$26,N(INDEX(sc_shift,4))),'Rate Log'!$C$26))</f>
        <v>46661</v>
      </c>
      <c r="AF3825" s="74">
        <f t="shared" si="1463"/>
        <v>46661</v>
      </c>
      <c r="AG3825" s="72">
        <f>IF(N(INDEX(sc_ach,4))=0,IF('Rate Log'!$G$26="",1,'Rate Log'!$G$26),INDEX(sc_ach,4))</f>
        <v>1</v>
      </c>
      <c r="AH3825" s="72">
        <f>IF('Rate Log'!$C$26="",0,IF('Rate Log'!$E$26="planned",('Rate Log'!$D$26+N(INDEX(sc_dpts,4)))*$AG3825,'Rate Log'!$D$26))</f>
        <v>0.04</v>
      </c>
      <c r="AI3825" s="73">
        <f>IF('Rate Log'!$C$26="",0,IF(1+$AH3825&gt;0,LN(1+$AH3825),0))</f>
        <v>3.9220713153281329E-2</v>
      </c>
      <c r="AJ3825" s="75">
        <f t="shared" si="1464"/>
        <v>31</v>
      </c>
      <c r="AK3825" s="75">
        <f>IF($AE3825="",0,COUNTIFS(rl_key,'Rate Log'!$J$26,$AF$3806:$AF$4045,$AF3825,$AE$3806:$AE$4045,"&lt;"&amp;$AE3825))</f>
        <v>0</v>
      </c>
      <c r="AL3825" s="75">
        <f>IF($AE3825="",0,COUNTIFS('Rate Log'!$J$7:$J$26,'Rate Log'!$J$26,$AF$3806:$AF3825,$AF3825,$AE$3806:$AE3825,$AE3825))</f>
        <v>1</v>
      </c>
      <c r="AM3825" s="75">
        <f t="shared" si="1465"/>
        <v>1</v>
      </c>
    </row>
    <row r="3826" spans="1:39" x14ac:dyDescent="0.3">
      <c r="A3826" s="74">
        <f>IF('Rate Log'!$C$27="","",IF('Rate Log'!$E$27="planned",EDATE('Rate Log'!$C$27,N(INDEX(sc_shift,1))),'Rate Log'!$C$27))</f>
        <v>46327</v>
      </c>
      <c r="B3826" s="74">
        <f t="shared" si="1454"/>
        <v>46327</v>
      </c>
      <c r="C3826" s="72">
        <f>IF(N(INDEX(sc_ach,1))=0,IF('Rate Log'!$G$27="",1,'Rate Log'!$G$27),INDEX(sc_ach,1))</f>
        <v>1</v>
      </c>
      <c r="D3826" s="72">
        <f>IF('Rate Log'!$C$27="",0,IF('Rate Log'!$E$27="planned",('Rate Log'!$D$27+N(INDEX(sc_dpts,1)))*$C3826,'Rate Log'!$D$27))</f>
        <v>0.02</v>
      </c>
      <c r="E3826" s="73">
        <f>IF('Rate Log'!$C$27="",0,IF(1+$D3826&gt;0,LN(1+$D3826),0))</f>
        <v>1.980262729617973E-2</v>
      </c>
      <c r="F3826" s="75">
        <f t="shared" si="1455"/>
        <v>30</v>
      </c>
      <c r="G3826" s="75">
        <f>IF($A3826="",0,COUNTIFS(rl_key,'Rate Log'!$J$27,$B$3806:$B$4045,$B3826,$A$3806:$A$4045,"&lt;"&amp;$A3826))</f>
        <v>0</v>
      </c>
      <c r="H3826" s="75">
        <f>IF($A3826="",0,COUNTIFS('Rate Log'!$J$7:$J$27,'Rate Log'!$J$27,$B$3806:$B3826,$B3826,$A$3806:$A3826,$A3826))</f>
        <v>1</v>
      </c>
      <c r="I3826" s="75">
        <f t="shared" si="1456"/>
        <v>1</v>
      </c>
      <c r="K3826" s="74">
        <f>IF('Rate Log'!$C$27="","",IF('Rate Log'!$E$27="planned",EDATE('Rate Log'!$C$27,N(INDEX(sc_shift,2))),'Rate Log'!$C$27))</f>
        <v>46327</v>
      </c>
      <c r="L3826" s="74">
        <f t="shared" si="1457"/>
        <v>46327</v>
      </c>
      <c r="M3826" s="72">
        <f>IF(N(INDEX(sc_ach,2))=0,IF('Rate Log'!$G$27="",1,'Rate Log'!$G$27),INDEX(sc_ach,2))</f>
        <v>1</v>
      </c>
      <c r="N3826" s="72">
        <f>IF('Rate Log'!$C$27="",0,IF('Rate Log'!$E$27="planned",('Rate Log'!$D$27+N(INDEX(sc_dpts,2)))*$M3826,'Rate Log'!$D$27))</f>
        <v>0.02</v>
      </c>
      <c r="O3826" s="73">
        <f>IF('Rate Log'!$C$27="",0,IF(1+$N3826&gt;0,LN(1+$N3826),0))</f>
        <v>1.980262729617973E-2</v>
      </c>
      <c r="P3826" s="75">
        <f t="shared" si="1458"/>
        <v>30</v>
      </c>
      <c r="Q3826" s="75">
        <f>IF($K3826="",0,COUNTIFS(rl_key,'Rate Log'!$J$27,$L$3806:$L$4045,$L3826,$K$3806:$K$4045,"&lt;"&amp;$K3826))</f>
        <v>0</v>
      </c>
      <c r="R3826" s="75">
        <f>IF($K3826="",0,COUNTIFS('Rate Log'!$J$7:$J$27,'Rate Log'!$J$27,$L$3806:$L3826,$L3826,$K$3806:$K3826,$K3826))</f>
        <v>1</v>
      </c>
      <c r="S3826" s="75">
        <f t="shared" si="1459"/>
        <v>1</v>
      </c>
      <c r="U3826" s="74">
        <f>IF('Rate Log'!$C$27="","",IF('Rate Log'!$E$27="planned",EDATE('Rate Log'!$C$27,N(INDEX(sc_shift,3))),'Rate Log'!$C$27))</f>
        <v>46327</v>
      </c>
      <c r="V3826" s="74">
        <f t="shared" si="1460"/>
        <v>46327</v>
      </c>
      <c r="W3826" s="72">
        <f>IF(N(INDEX(sc_ach,3))=0,IF('Rate Log'!$G$27="",1,'Rate Log'!$G$27),INDEX(sc_ach,3))</f>
        <v>1</v>
      </c>
      <c r="X3826" s="72">
        <f>IF('Rate Log'!$C$27="",0,IF('Rate Log'!$E$27="planned",('Rate Log'!$D$27+N(INDEX(sc_dpts,3)))*$W3826,'Rate Log'!$D$27))</f>
        <v>0.02</v>
      </c>
      <c r="Y3826" s="73">
        <f>IF('Rate Log'!$C$27="",0,IF(1+$X3826&gt;0,LN(1+$X3826),0))</f>
        <v>1.980262729617973E-2</v>
      </c>
      <c r="Z3826" s="75">
        <f t="shared" si="1461"/>
        <v>30</v>
      </c>
      <c r="AA3826" s="75">
        <f>IF($U3826="",0,COUNTIFS(rl_key,'Rate Log'!$J$27,$V$3806:$V$4045,$V3826,$U$3806:$U$4045,"&lt;"&amp;$U3826))</f>
        <v>0</v>
      </c>
      <c r="AB3826" s="75">
        <f>IF($U3826="",0,COUNTIFS('Rate Log'!$J$7:$J$27,'Rate Log'!$J$27,$V$3806:$V3826,$V3826,$U$3806:$U3826,$U3826))</f>
        <v>1</v>
      </c>
      <c r="AC3826" s="75">
        <f t="shared" si="1462"/>
        <v>1</v>
      </c>
      <c r="AE3826" s="74">
        <f>IF('Rate Log'!$C$27="","",IF('Rate Log'!$E$27="planned",EDATE('Rate Log'!$C$27,N(INDEX(sc_shift,4))),'Rate Log'!$C$27))</f>
        <v>46327</v>
      </c>
      <c r="AF3826" s="74">
        <f t="shared" si="1463"/>
        <v>46327</v>
      </c>
      <c r="AG3826" s="72">
        <f>IF(N(INDEX(sc_ach,4))=0,IF('Rate Log'!$G$27="",1,'Rate Log'!$G$27),INDEX(sc_ach,4))</f>
        <v>1</v>
      </c>
      <c r="AH3826" s="72">
        <f>IF('Rate Log'!$C$27="",0,IF('Rate Log'!$E$27="planned",('Rate Log'!$D$27+N(INDEX(sc_dpts,4)))*$AG3826,'Rate Log'!$D$27))</f>
        <v>0.02</v>
      </c>
      <c r="AI3826" s="73">
        <f>IF('Rate Log'!$C$27="",0,IF(1+$AH3826&gt;0,LN(1+$AH3826),0))</f>
        <v>1.980262729617973E-2</v>
      </c>
      <c r="AJ3826" s="75">
        <f t="shared" si="1464"/>
        <v>30</v>
      </c>
      <c r="AK3826" s="75">
        <f>IF($AE3826="",0,COUNTIFS(rl_key,'Rate Log'!$J$27,$AF$3806:$AF$4045,$AF3826,$AE$3806:$AE$4045,"&lt;"&amp;$AE3826))</f>
        <v>0</v>
      </c>
      <c r="AL3826" s="75">
        <f>IF($AE3826="",0,COUNTIFS('Rate Log'!$J$7:$J$27,'Rate Log'!$J$27,$AF$3806:$AF3826,$AF3826,$AE$3806:$AE3826,$AE3826))</f>
        <v>1</v>
      </c>
      <c r="AM3826" s="75">
        <f t="shared" si="1465"/>
        <v>1</v>
      </c>
    </row>
    <row r="3827" spans="1:39" x14ac:dyDescent="0.3">
      <c r="A3827" s="74">
        <f>IF('Rate Log'!$C$28="","",IF('Rate Log'!$E$28="planned",EDATE('Rate Log'!$C$28,N(INDEX(sc_shift,1))),'Rate Log'!$C$28))</f>
        <v>46023</v>
      </c>
      <c r="B3827" s="74">
        <f t="shared" si="1454"/>
        <v>46023</v>
      </c>
      <c r="C3827" s="72">
        <f>IF(N(INDEX(sc_ach,1))=0,IF('Rate Log'!$G$28="",1,'Rate Log'!$G$28),INDEX(sc_ach,1))</f>
        <v>1</v>
      </c>
      <c r="D3827" s="72">
        <f>IF('Rate Log'!$C$28="",0,IF('Rate Log'!$E$28="planned",('Rate Log'!$D$28+N(INDEX(sc_dpts,1)))*$C3827,'Rate Log'!$D$28))</f>
        <v>0.04</v>
      </c>
      <c r="E3827" s="73">
        <f>IF('Rate Log'!$C$28="",0,IF(1+$D3827&gt;0,LN(1+$D3827),0))</f>
        <v>3.9220713153281329E-2</v>
      </c>
      <c r="F3827" s="75">
        <f t="shared" si="1455"/>
        <v>31</v>
      </c>
      <c r="G3827" s="75">
        <f>IF($A3827="",0,COUNTIFS(rl_key,'Rate Log'!$J$28,$B$3806:$B$4045,$B3827,$A$3806:$A$4045,"&lt;"&amp;$A3827))</f>
        <v>0</v>
      </c>
      <c r="H3827" s="75">
        <f>IF($A3827="",0,COUNTIFS('Rate Log'!$J$7:$J$28,'Rate Log'!$J$28,$B$3806:$B3827,$B3827,$A$3806:$A3827,$A3827))</f>
        <v>1</v>
      </c>
      <c r="I3827" s="75">
        <f t="shared" si="1456"/>
        <v>1</v>
      </c>
      <c r="K3827" s="74">
        <f>IF('Rate Log'!$C$28="","",IF('Rate Log'!$E$28="planned",EDATE('Rate Log'!$C$28,N(INDEX(sc_shift,2))),'Rate Log'!$C$28))</f>
        <v>46023</v>
      </c>
      <c r="L3827" s="74">
        <f t="shared" si="1457"/>
        <v>46023</v>
      </c>
      <c r="M3827" s="72">
        <f>IF(N(INDEX(sc_ach,2))=0,IF('Rate Log'!$G$28="",1,'Rate Log'!$G$28),INDEX(sc_ach,2))</f>
        <v>1</v>
      </c>
      <c r="N3827" s="72">
        <f>IF('Rate Log'!$C$28="",0,IF('Rate Log'!$E$28="planned",('Rate Log'!$D$28+N(INDEX(sc_dpts,2)))*$M3827,'Rate Log'!$D$28))</f>
        <v>0.04</v>
      </c>
      <c r="O3827" s="73">
        <f>IF('Rate Log'!$C$28="",0,IF(1+$N3827&gt;0,LN(1+$N3827),0))</f>
        <v>3.9220713153281329E-2</v>
      </c>
      <c r="P3827" s="75">
        <f t="shared" si="1458"/>
        <v>31</v>
      </c>
      <c r="Q3827" s="75">
        <f>IF($K3827="",0,COUNTIFS(rl_key,'Rate Log'!$J$28,$L$3806:$L$4045,$L3827,$K$3806:$K$4045,"&lt;"&amp;$K3827))</f>
        <v>0</v>
      </c>
      <c r="R3827" s="75">
        <f>IF($K3827="",0,COUNTIFS('Rate Log'!$J$7:$J$28,'Rate Log'!$J$28,$L$3806:$L3827,$L3827,$K$3806:$K3827,$K3827))</f>
        <v>1</v>
      </c>
      <c r="S3827" s="75">
        <f t="shared" si="1459"/>
        <v>1</v>
      </c>
      <c r="U3827" s="74">
        <f>IF('Rate Log'!$C$28="","",IF('Rate Log'!$E$28="planned",EDATE('Rate Log'!$C$28,N(INDEX(sc_shift,3))),'Rate Log'!$C$28))</f>
        <v>46023</v>
      </c>
      <c r="V3827" s="74">
        <f t="shared" si="1460"/>
        <v>46023</v>
      </c>
      <c r="W3827" s="72">
        <f>IF(N(INDEX(sc_ach,3))=0,IF('Rate Log'!$G$28="",1,'Rate Log'!$G$28),INDEX(sc_ach,3))</f>
        <v>1</v>
      </c>
      <c r="X3827" s="72">
        <f>IF('Rate Log'!$C$28="",0,IF('Rate Log'!$E$28="planned",('Rate Log'!$D$28+N(INDEX(sc_dpts,3)))*$W3827,'Rate Log'!$D$28))</f>
        <v>0.04</v>
      </c>
      <c r="Y3827" s="73">
        <f>IF('Rate Log'!$C$28="",0,IF(1+$X3827&gt;0,LN(1+$X3827),0))</f>
        <v>3.9220713153281329E-2</v>
      </c>
      <c r="Z3827" s="75">
        <f t="shared" si="1461"/>
        <v>31</v>
      </c>
      <c r="AA3827" s="75">
        <f>IF($U3827="",0,COUNTIFS(rl_key,'Rate Log'!$J$28,$V$3806:$V$4045,$V3827,$U$3806:$U$4045,"&lt;"&amp;$U3827))</f>
        <v>0</v>
      </c>
      <c r="AB3827" s="75">
        <f>IF($U3827="",0,COUNTIFS('Rate Log'!$J$7:$J$28,'Rate Log'!$J$28,$V$3806:$V3827,$V3827,$U$3806:$U3827,$U3827))</f>
        <v>1</v>
      </c>
      <c r="AC3827" s="75">
        <f t="shared" si="1462"/>
        <v>1</v>
      </c>
      <c r="AE3827" s="74">
        <f>IF('Rate Log'!$C$28="","",IF('Rate Log'!$E$28="planned",EDATE('Rate Log'!$C$28,N(INDEX(sc_shift,4))),'Rate Log'!$C$28))</f>
        <v>46023</v>
      </c>
      <c r="AF3827" s="74">
        <f t="shared" si="1463"/>
        <v>46023</v>
      </c>
      <c r="AG3827" s="72">
        <f>IF(N(INDEX(sc_ach,4))=0,IF('Rate Log'!$G$28="",1,'Rate Log'!$G$28),INDEX(sc_ach,4))</f>
        <v>1</v>
      </c>
      <c r="AH3827" s="72">
        <f>IF('Rate Log'!$C$28="",0,IF('Rate Log'!$E$28="planned",('Rate Log'!$D$28+N(INDEX(sc_dpts,4)))*$AG3827,'Rate Log'!$D$28))</f>
        <v>0.04</v>
      </c>
      <c r="AI3827" s="73">
        <f>IF('Rate Log'!$C$28="",0,IF(1+$AH3827&gt;0,LN(1+$AH3827),0))</f>
        <v>3.9220713153281329E-2</v>
      </c>
      <c r="AJ3827" s="75">
        <f t="shared" si="1464"/>
        <v>31</v>
      </c>
      <c r="AK3827" s="75">
        <f>IF($AE3827="",0,COUNTIFS(rl_key,'Rate Log'!$J$28,$AF$3806:$AF$4045,$AF3827,$AE$3806:$AE$4045,"&lt;"&amp;$AE3827))</f>
        <v>0</v>
      </c>
      <c r="AL3827" s="75">
        <f>IF($AE3827="",0,COUNTIFS('Rate Log'!$J$7:$J$28,'Rate Log'!$J$28,$AF$3806:$AF3827,$AF3827,$AE$3806:$AE3827,$AE3827))</f>
        <v>1</v>
      </c>
      <c r="AM3827" s="75">
        <f t="shared" si="1465"/>
        <v>1</v>
      </c>
    </row>
    <row r="3828" spans="1:39" x14ac:dyDescent="0.3">
      <c r="A3828" s="74">
        <f>IF('Rate Log'!$C$29="","",IF('Rate Log'!$E$29="planned",EDATE('Rate Log'!$C$29,N(INDEX(sc_shift,1))),'Rate Log'!$C$29))</f>
        <v>46054</v>
      </c>
      <c r="B3828" s="74">
        <f t="shared" si="1454"/>
        <v>46054</v>
      </c>
      <c r="C3828" s="72">
        <f>IF(N(INDEX(sc_ach,1))=0,IF('Rate Log'!$G$29="",1,'Rate Log'!$G$29),INDEX(sc_ach,1))</f>
        <v>1</v>
      </c>
      <c r="D3828" s="72">
        <f>IF('Rate Log'!$C$29="",0,IF('Rate Log'!$E$29="planned",('Rate Log'!$D$29+N(INDEX(sc_dpts,1)))*$C3828,'Rate Log'!$D$29))</f>
        <v>0.05</v>
      </c>
      <c r="E3828" s="73">
        <f>IF('Rate Log'!$C$29="",0,IF(1+$D3828&gt;0,LN(1+$D3828),0))</f>
        <v>4.8790164169432049E-2</v>
      </c>
      <c r="F3828" s="75">
        <f t="shared" si="1455"/>
        <v>28</v>
      </c>
      <c r="G3828" s="75">
        <f>IF($A3828="",0,COUNTIFS(rl_key,'Rate Log'!$J$29,$B$3806:$B$4045,$B3828,$A$3806:$A$4045,"&lt;"&amp;$A3828))</f>
        <v>0</v>
      </c>
      <c r="H3828" s="75">
        <f>IF($A3828="",0,COUNTIFS('Rate Log'!$J$7:$J$29,'Rate Log'!$J$29,$B$3806:$B3828,$B3828,$A$3806:$A3828,$A3828))</f>
        <v>1</v>
      </c>
      <c r="I3828" s="75">
        <f t="shared" si="1456"/>
        <v>1</v>
      </c>
      <c r="K3828" s="74">
        <f>IF('Rate Log'!$C$29="","",IF('Rate Log'!$E$29="planned",EDATE('Rate Log'!$C$29,N(INDEX(sc_shift,2))),'Rate Log'!$C$29))</f>
        <v>46054</v>
      </c>
      <c r="L3828" s="74">
        <f t="shared" si="1457"/>
        <v>46054</v>
      </c>
      <c r="M3828" s="72">
        <f>IF(N(INDEX(sc_ach,2))=0,IF('Rate Log'!$G$29="",1,'Rate Log'!$G$29),INDEX(sc_ach,2))</f>
        <v>1</v>
      </c>
      <c r="N3828" s="72">
        <f>IF('Rate Log'!$C$29="",0,IF('Rate Log'!$E$29="planned",('Rate Log'!$D$29+N(INDEX(sc_dpts,2)))*$M3828,'Rate Log'!$D$29))</f>
        <v>0.05</v>
      </c>
      <c r="O3828" s="73">
        <f>IF('Rate Log'!$C$29="",0,IF(1+$N3828&gt;0,LN(1+$N3828),0))</f>
        <v>4.8790164169432049E-2</v>
      </c>
      <c r="P3828" s="75">
        <f t="shared" si="1458"/>
        <v>28</v>
      </c>
      <c r="Q3828" s="75">
        <f>IF($K3828="",0,COUNTIFS(rl_key,'Rate Log'!$J$29,$L$3806:$L$4045,$L3828,$K$3806:$K$4045,"&lt;"&amp;$K3828))</f>
        <v>0</v>
      </c>
      <c r="R3828" s="75">
        <f>IF($K3828="",0,COUNTIFS('Rate Log'!$J$7:$J$29,'Rate Log'!$J$29,$L$3806:$L3828,$L3828,$K$3806:$K3828,$K3828))</f>
        <v>1</v>
      </c>
      <c r="S3828" s="75">
        <f t="shared" si="1459"/>
        <v>1</v>
      </c>
      <c r="U3828" s="74">
        <f>IF('Rate Log'!$C$29="","",IF('Rate Log'!$E$29="planned",EDATE('Rate Log'!$C$29,N(INDEX(sc_shift,3))),'Rate Log'!$C$29))</f>
        <v>46054</v>
      </c>
      <c r="V3828" s="74">
        <f t="shared" si="1460"/>
        <v>46054</v>
      </c>
      <c r="W3828" s="72">
        <f>IF(N(INDEX(sc_ach,3))=0,IF('Rate Log'!$G$29="",1,'Rate Log'!$G$29),INDEX(sc_ach,3))</f>
        <v>1</v>
      </c>
      <c r="X3828" s="72">
        <f>IF('Rate Log'!$C$29="",0,IF('Rate Log'!$E$29="planned",('Rate Log'!$D$29+N(INDEX(sc_dpts,3)))*$W3828,'Rate Log'!$D$29))</f>
        <v>0.05</v>
      </c>
      <c r="Y3828" s="73">
        <f>IF('Rate Log'!$C$29="",0,IF(1+$X3828&gt;0,LN(1+$X3828),0))</f>
        <v>4.8790164169432049E-2</v>
      </c>
      <c r="Z3828" s="75">
        <f t="shared" si="1461"/>
        <v>28</v>
      </c>
      <c r="AA3828" s="75">
        <f>IF($U3828="",0,COUNTIFS(rl_key,'Rate Log'!$J$29,$V$3806:$V$4045,$V3828,$U$3806:$U$4045,"&lt;"&amp;$U3828))</f>
        <v>0</v>
      </c>
      <c r="AB3828" s="75">
        <f>IF($U3828="",0,COUNTIFS('Rate Log'!$J$7:$J$29,'Rate Log'!$J$29,$V$3806:$V3828,$V3828,$U$3806:$U3828,$U3828))</f>
        <v>1</v>
      </c>
      <c r="AC3828" s="75">
        <f t="shared" si="1462"/>
        <v>1</v>
      </c>
      <c r="AE3828" s="74">
        <f>IF('Rate Log'!$C$29="","",IF('Rate Log'!$E$29="planned",EDATE('Rate Log'!$C$29,N(INDEX(sc_shift,4))),'Rate Log'!$C$29))</f>
        <v>46054</v>
      </c>
      <c r="AF3828" s="74">
        <f t="shared" si="1463"/>
        <v>46054</v>
      </c>
      <c r="AG3828" s="72">
        <f>IF(N(INDEX(sc_ach,4))=0,IF('Rate Log'!$G$29="",1,'Rate Log'!$G$29),INDEX(sc_ach,4))</f>
        <v>1</v>
      </c>
      <c r="AH3828" s="72">
        <f>IF('Rate Log'!$C$29="",0,IF('Rate Log'!$E$29="planned",('Rate Log'!$D$29+N(INDEX(sc_dpts,4)))*$AG3828,'Rate Log'!$D$29))</f>
        <v>0.05</v>
      </c>
      <c r="AI3828" s="73">
        <f>IF('Rate Log'!$C$29="",0,IF(1+$AH3828&gt;0,LN(1+$AH3828),0))</f>
        <v>4.8790164169432049E-2</v>
      </c>
      <c r="AJ3828" s="75">
        <f t="shared" si="1464"/>
        <v>28</v>
      </c>
      <c r="AK3828" s="75">
        <f>IF($AE3828="",0,COUNTIFS(rl_key,'Rate Log'!$J$29,$AF$3806:$AF$4045,$AF3828,$AE$3806:$AE$4045,"&lt;"&amp;$AE3828))</f>
        <v>0</v>
      </c>
      <c r="AL3828" s="75">
        <f>IF($AE3828="",0,COUNTIFS('Rate Log'!$J$7:$J$29,'Rate Log'!$J$29,$AF$3806:$AF3828,$AF3828,$AE$3806:$AE3828,$AE3828))</f>
        <v>1</v>
      </c>
      <c r="AM3828" s="75">
        <f t="shared" si="1465"/>
        <v>1</v>
      </c>
    </row>
    <row r="3829" spans="1:39" x14ac:dyDescent="0.3">
      <c r="A3829" s="74">
        <f>IF('Rate Log'!$C$30="","",IF('Rate Log'!$E$30="planned",EDATE('Rate Log'!$C$30,N(INDEX(sc_shift,1))),'Rate Log'!$C$30))</f>
        <v>46478</v>
      </c>
      <c r="B3829" s="74">
        <f t="shared" si="1454"/>
        <v>46478</v>
      </c>
      <c r="C3829" s="72">
        <f>IF(N(INDEX(sc_ach,1))=0,IF('Rate Log'!$G$30="",1,'Rate Log'!$G$30),INDEX(sc_ach,1))</f>
        <v>1</v>
      </c>
      <c r="D3829" s="72">
        <f>IF('Rate Log'!$C$30="",0,IF('Rate Log'!$E$30="planned",('Rate Log'!$D$30+N(INDEX(sc_dpts,1)))*$C3829,'Rate Log'!$D$30))</f>
        <v>0.06</v>
      </c>
      <c r="E3829" s="73">
        <f>IF('Rate Log'!$C$30="",0,IF(1+$D3829&gt;0,LN(1+$D3829),0))</f>
        <v>5.8268908123975824E-2</v>
      </c>
      <c r="F3829" s="75">
        <f t="shared" si="1455"/>
        <v>30</v>
      </c>
      <c r="G3829" s="75">
        <f>IF($A3829="",0,COUNTIFS(rl_key,'Rate Log'!$J$30,$B$3806:$B$4045,$B3829,$A$3806:$A$4045,"&lt;"&amp;$A3829))</f>
        <v>0</v>
      </c>
      <c r="H3829" s="75">
        <f>IF($A3829="",0,COUNTIFS('Rate Log'!$J$7:$J$30,'Rate Log'!$J$30,$B$3806:$B3829,$B3829,$A$3806:$A3829,$A3829))</f>
        <v>1</v>
      </c>
      <c r="I3829" s="75">
        <f t="shared" si="1456"/>
        <v>1</v>
      </c>
      <c r="K3829" s="74">
        <f>IF('Rate Log'!$C$30="","",IF('Rate Log'!$E$30="planned",EDATE('Rate Log'!$C$30,N(INDEX(sc_shift,2))),'Rate Log'!$C$30))</f>
        <v>46478</v>
      </c>
      <c r="L3829" s="74">
        <f t="shared" si="1457"/>
        <v>46478</v>
      </c>
      <c r="M3829" s="72">
        <f>IF(N(INDEX(sc_ach,2))=0,IF('Rate Log'!$G$30="",1,'Rate Log'!$G$30),INDEX(sc_ach,2))</f>
        <v>1</v>
      </c>
      <c r="N3829" s="72">
        <f>IF('Rate Log'!$C$30="",0,IF('Rate Log'!$E$30="planned",('Rate Log'!$D$30+N(INDEX(sc_dpts,2)))*$M3829,'Rate Log'!$D$30))</f>
        <v>0.04</v>
      </c>
      <c r="O3829" s="73">
        <f>IF('Rate Log'!$C$30="",0,IF(1+$N3829&gt;0,LN(1+$N3829),0))</f>
        <v>3.9220713153281329E-2</v>
      </c>
      <c r="P3829" s="75">
        <f t="shared" si="1458"/>
        <v>30</v>
      </c>
      <c r="Q3829" s="75">
        <f>IF($K3829="",0,COUNTIFS(rl_key,'Rate Log'!$J$30,$L$3806:$L$4045,$L3829,$K$3806:$K$4045,"&lt;"&amp;$K3829))</f>
        <v>0</v>
      </c>
      <c r="R3829" s="75">
        <f>IF($K3829="",0,COUNTIFS('Rate Log'!$J$7:$J$30,'Rate Log'!$J$30,$L$3806:$L3829,$L3829,$K$3806:$K3829,$K3829))</f>
        <v>1</v>
      </c>
      <c r="S3829" s="75">
        <f t="shared" si="1459"/>
        <v>1</v>
      </c>
      <c r="U3829" s="74">
        <f>IF('Rate Log'!$C$30="","",IF('Rate Log'!$E$30="planned",EDATE('Rate Log'!$C$30,N(INDEX(sc_shift,3))),'Rate Log'!$C$30))</f>
        <v>46478</v>
      </c>
      <c r="V3829" s="74">
        <f t="shared" si="1460"/>
        <v>46478</v>
      </c>
      <c r="W3829" s="72">
        <f>IF(N(INDEX(sc_ach,3))=0,IF('Rate Log'!$G$30="",1,'Rate Log'!$G$30),INDEX(sc_ach,3))</f>
        <v>1</v>
      </c>
      <c r="X3829" s="72">
        <f>IF('Rate Log'!$C$30="",0,IF('Rate Log'!$E$30="planned",('Rate Log'!$D$30+N(INDEX(sc_dpts,3)))*$W3829,'Rate Log'!$D$30))</f>
        <v>0.04</v>
      </c>
      <c r="Y3829" s="73">
        <f>IF('Rate Log'!$C$30="",0,IF(1+$X3829&gt;0,LN(1+$X3829),0))</f>
        <v>3.9220713153281329E-2</v>
      </c>
      <c r="Z3829" s="75">
        <f t="shared" si="1461"/>
        <v>30</v>
      </c>
      <c r="AA3829" s="75">
        <f>IF($U3829="",0,COUNTIFS(rl_key,'Rate Log'!$J$30,$V$3806:$V$4045,$V3829,$U$3806:$U$4045,"&lt;"&amp;$U3829))</f>
        <v>0</v>
      </c>
      <c r="AB3829" s="75">
        <f>IF($U3829="",0,COUNTIFS('Rate Log'!$J$7:$J$30,'Rate Log'!$J$30,$V$3806:$V3829,$V3829,$U$3806:$U3829,$U3829))</f>
        <v>1</v>
      </c>
      <c r="AC3829" s="75">
        <f t="shared" si="1462"/>
        <v>1</v>
      </c>
      <c r="AE3829" s="74">
        <f>IF('Rate Log'!$C$30="","",IF('Rate Log'!$E$30="planned",EDATE('Rate Log'!$C$30,N(INDEX(sc_shift,4))),'Rate Log'!$C$30))</f>
        <v>46478</v>
      </c>
      <c r="AF3829" s="74">
        <f t="shared" si="1463"/>
        <v>46478</v>
      </c>
      <c r="AG3829" s="72">
        <f>IF(N(INDEX(sc_ach,4))=0,IF('Rate Log'!$G$30="",1,'Rate Log'!$G$30),INDEX(sc_ach,4))</f>
        <v>1</v>
      </c>
      <c r="AH3829" s="72">
        <f>IF('Rate Log'!$C$30="",0,IF('Rate Log'!$E$30="planned",('Rate Log'!$D$30+N(INDEX(sc_dpts,4)))*$AG3829,'Rate Log'!$D$30))</f>
        <v>0.04</v>
      </c>
      <c r="AI3829" s="73">
        <f>IF('Rate Log'!$C$30="",0,IF(1+$AH3829&gt;0,LN(1+$AH3829),0))</f>
        <v>3.9220713153281329E-2</v>
      </c>
      <c r="AJ3829" s="75">
        <f t="shared" si="1464"/>
        <v>30</v>
      </c>
      <c r="AK3829" s="75">
        <f>IF($AE3829="",0,COUNTIFS(rl_key,'Rate Log'!$J$30,$AF$3806:$AF$4045,$AF3829,$AE$3806:$AE$4045,"&lt;"&amp;$AE3829))</f>
        <v>0</v>
      </c>
      <c r="AL3829" s="75">
        <f>IF($AE3829="",0,COUNTIFS('Rate Log'!$J$7:$J$30,'Rate Log'!$J$30,$AF$3806:$AF3829,$AF3829,$AE$3806:$AE3829,$AE3829))</f>
        <v>1</v>
      </c>
      <c r="AM3829" s="75">
        <f t="shared" si="1465"/>
        <v>1</v>
      </c>
    </row>
    <row r="3830" spans="1:39" x14ac:dyDescent="0.3">
      <c r="A3830" s="74">
        <f>IF('Rate Log'!$C$31="","",IF('Rate Log'!$E$31="planned",EDATE('Rate Log'!$C$31,N(INDEX(sc_shift,1))),'Rate Log'!$C$31))</f>
        <v>46113</v>
      </c>
      <c r="B3830" s="74">
        <f t="shared" si="1454"/>
        <v>46113</v>
      </c>
      <c r="C3830" s="72">
        <f>IF(N(INDEX(sc_ach,1))=0,IF('Rate Log'!$G$31="",1,'Rate Log'!$G$31),INDEX(sc_ach,1))</f>
        <v>1</v>
      </c>
      <c r="D3830" s="72">
        <f>IF('Rate Log'!$C$31="",0,IF('Rate Log'!$E$31="planned",('Rate Log'!$D$31+N(INDEX(sc_dpts,1)))*$C3830,'Rate Log'!$D$31))</f>
        <v>0.02</v>
      </c>
      <c r="E3830" s="73">
        <f>IF('Rate Log'!$C$31="",0,IF(1+$D3830&gt;0,LN(1+$D3830),0))</f>
        <v>1.980262729617973E-2</v>
      </c>
      <c r="F3830" s="75">
        <f t="shared" si="1455"/>
        <v>30</v>
      </c>
      <c r="G3830" s="75">
        <f>IF($A3830="",0,COUNTIFS(rl_key,'Rate Log'!$J$31,$B$3806:$B$4045,$B3830,$A$3806:$A$4045,"&lt;"&amp;$A3830))</f>
        <v>0</v>
      </c>
      <c r="H3830" s="75">
        <f>IF($A3830="",0,COUNTIFS('Rate Log'!$J$7:$J$31,'Rate Log'!$J$31,$B$3806:$B3830,$B3830,$A$3806:$A3830,$A3830))</f>
        <v>1</v>
      </c>
      <c r="I3830" s="75">
        <f t="shared" si="1456"/>
        <v>1</v>
      </c>
      <c r="K3830" s="74">
        <f>IF('Rate Log'!$C$31="","",IF('Rate Log'!$E$31="planned",EDATE('Rate Log'!$C$31,N(INDEX(sc_shift,2))),'Rate Log'!$C$31))</f>
        <v>46113</v>
      </c>
      <c r="L3830" s="74">
        <f t="shared" si="1457"/>
        <v>46113</v>
      </c>
      <c r="M3830" s="72">
        <f>IF(N(INDEX(sc_ach,2))=0,IF('Rate Log'!$G$31="",1,'Rate Log'!$G$31),INDEX(sc_ach,2))</f>
        <v>1</v>
      </c>
      <c r="N3830" s="72">
        <f>IF('Rate Log'!$C$31="",0,IF('Rate Log'!$E$31="planned",('Rate Log'!$D$31+N(INDEX(sc_dpts,2)))*$M3830,'Rate Log'!$D$31))</f>
        <v>0.02</v>
      </c>
      <c r="O3830" s="73">
        <f>IF('Rate Log'!$C$31="",0,IF(1+$N3830&gt;0,LN(1+$N3830),0))</f>
        <v>1.980262729617973E-2</v>
      </c>
      <c r="P3830" s="75">
        <f t="shared" si="1458"/>
        <v>30</v>
      </c>
      <c r="Q3830" s="75">
        <f>IF($K3830="",0,COUNTIFS(rl_key,'Rate Log'!$J$31,$L$3806:$L$4045,$L3830,$K$3806:$K$4045,"&lt;"&amp;$K3830))</f>
        <v>0</v>
      </c>
      <c r="R3830" s="75">
        <f>IF($K3830="",0,COUNTIFS('Rate Log'!$J$7:$J$31,'Rate Log'!$J$31,$L$3806:$L3830,$L3830,$K$3806:$K3830,$K3830))</f>
        <v>1</v>
      </c>
      <c r="S3830" s="75">
        <f t="shared" si="1459"/>
        <v>1</v>
      </c>
      <c r="U3830" s="74">
        <f>IF('Rate Log'!$C$31="","",IF('Rate Log'!$E$31="planned",EDATE('Rate Log'!$C$31,N(INDEX(sc_shift,3))),'Rate Log'!$C$31))</f>
        <v>46113</v>
      </c>
      <c r="V3830" s="74">
        <f t="shared" si="1460"/>
        <v>46113</v>
      </c>
      <c r="W3830" s="72">
        <f>IF(N(INDEX(sc_ach,3))=0,IF('Rate Log'!$G$31="",1,'Rate Log'!$G$31),INDEX(sc_ach,3))</f>
        <v>1</v>
      </c>
      <c r="X3830" s="72">
        <f>IF('Rate Log'!$C$31="",0,IF('Rate Log'!$E$31="planned",('Rate Log'!$D$31+N(INDEX(sc_dpts,3)))*$W3830,'Rate Log'!$D$31))</f>
        <v>0.02</v>
      </c>
      <c r="Y3830" s="73">
        <f>IF('Rate Log'!$C$31="",0,IF(1+$X3830&gt;0,LN(1+$X3830),0))</f>
        <v>1.980262729617973E-2</v>
      </c>
      <c r="Z3830" s="75">
        <f t="shared" si="1461"/>
        <v>30</v>
      </c>
      <c r="AA3830" s="75">
        <f>IF($U3830="",0,COUNTIFS(rl_key,'Rate Log'!$J$31,$V$3806:$V$4045,$V3830,$U$3806:$U$4045,"&lt;"&amp;$U3830))</f>
        <v>0</v>
      </c>
      <c r="AB3830" s="75">
        <f>IF($U3830="",0,COUNTIFS('Rate Log'!$J$7:$J$31,'Rate Log'!$J$31,$V$3806:$V3830,$V3830,$U$3806:$U3830,$U3830))</f>
        <v>1</v>
      </c>
      <c r="AC3830" s="75">
        <f t="shared" si="1462"/>
        <v>1</v>
      </c>
      <c r="AE3830" s="74">
        <f>IF('Rate Log'!$C$31="","",IF('Rate Log'!$E$31="planned",EDATE('Rate Log'!$C$31,N(INDEX(sc_shift,4))),'Rate Log'!$C$31))</f>
        <v>46113</v>
      </c>
      <c r="AF3830" s="74">
        <f t="shared" si="1463"/>
        <v>46113</v>
      </c>
      <c r="AG3830" s="72">
        <f>IF(N(INDEX(sc_ach,4))=0,IF('Rate Log'!$G$31="",1,'Rate Log'!$G$31),INDEX(sc_ach,4))</f>
        <v>1</v>
      </c>
      <c r="AH3830" s="72">
        <f>IF('Rate Log'!$C$31="",0,IF('Rate Log'!$E$31="planned",('Rate Log'!$D$31+N(INDEX(sc_dpts,4)))*$AG3830,'Rate Log'!$D$31))</f>
        <v>0.02</v>
      </c>
      <c r="AI3830" s="73">
        <f>IF('Rate Log'!$C$31="",0,IF(1+$AH3830&gt;0,LN(1+$AH3830),0))</f>
        <v>1.980262729617973E-2</v>
      </c>
      <c r="AJ3830" s="75">
        <f t="shared" si="1464"/>
        <v>30</v>
      </c>
      <c r="AK3830" s="75">
        <f>IF($AE3830="",0,COUNTIFS(rl_key,'Rate Log'!$J$31,$AF$3806:$AF$4045,$AF3830,$AE$3806:$AE$4045,"&lt;"&amp;$AE3830))</f>
        <v>0</v>
      </c>
      <c r="AL3830" s="75">
        <f>IF($AE3830="",0,COUNTIFS('Rate Log'!$J$7:$J$31,'Rate Log'!$J$31,$AF$3806:$AF3830,$AF3830,$AE$3806:$AE3830,$AE3830))</f>
        <v>1</v>
      </c>
      <c r="AM3830" s="75">
        <f t="shared" si="1465"/>
        <v>1</v>
      </c>
    </row>
    <row r="3831" spans="1:39" x14ac:dyDescent="0.3">
      <c r="A3831" s="74">
        <f>IF('Rate Log'!$C$32="","",IF('Rate Log'!$E$32="planned",EDATE('Rate Log'!$C$32,N(INDEX(sc_shift,1))),'Rate Log'!$C$32))</f>
        <v>46143</v>
      </c>
      <c r="B3831" s="74">
        <f t="shared" si="1454"/>
        <v>46143</v>
      </c>
      <c r="C3831" s="72">
        <f>IF(N(INDEX(sc_ach,1))=0,IF('Rate Log'!$G$32="",1,'Rate Log'!$G$32),INDEX(sc_ach,1))</f>
        <v>1</v>
      </c>
      <c r="D3831" s="72">
        <f>IF('Rate Log'!$C$32="",0,IF('Rate Log'!$E$32="planned",('Rate Log'!$D$32+N(INDEX(sc_dpts,1)))*$C3831,'Rate Log'!$D$32))</f>
        <v>0.03</v>
      </c>
      <c r="E3831" s="73">
        <f>IF('Rate Log'!$C$32="",0,IF(1+$D3831&gt;0,LN(1+$D3831),0))</f>
        <v>2.9558802241544429E-2</v>
      </c>
      <c r="F3831" s="75">
        <f t="shared" si="1455"/>
        <v>31</v>
      </c>
      <c r="G3831" s="75">
        <f>IF($A3831="",0,COUNTIFS(rl_key,'Rate Log'!$J$32,$B$3806:$B$4045,$B3831,$A$3806:$A$4045,"&lt;"&amp;$A3831))</f>
        <v>0</v>
      </c>
      <c r="H3831" s="75">
        <f>IF($A3831="",0,COUNTIFS('Rate Log'!$J$7:$J$32,'Rate Log'!$J$32,$B$3806:$B3831,$B3831,$A$3806:$A3831,$A3831))</f>
        <v>1</v>
      </c>
      <c r="I3831" s="75">
        <f t="shared" si="1456"/>
        <v>1</v>
      </c>
      <c r="K3831" s="74">
        <f>IF('Rate Log'!$C$32="","",IF('Rate Log'!$E$32="planned",EDATE('Rate Log'!$C$32,N(INDEX(sc_shift,2))),'Rate Log'!$C$32))</f>
        <v>46143</v>
      </c>
      <c r="L3831" s="74">
        <f t="shared" si="1457"/>
        <v>46143</v>
      </c>
      <c r="M3831" s="72">
        <f>IF(N(INDEX(sc_ach,2))=0,IF('Rate Log'!$G$32="",1,'Rate Log'!$G$32),INDEX(sc_ach,2))</f>
        <v>1</v>
      </c>
      <c r="N3831" s="72">
        <f>IF('Rate Log'!$C$32="",0,IF('Rate Log'!$E$32="planned",('Rate Log'!$D$32+N(INDEX(sc_dpts,2)))*$M3831,'Rate Log'!$D$32))</f>
        <v>0.03</v>
      </c>
      <c r="O3831" s="73">
        <f>IF('Rate Log'!$C$32="",0,IF(1+$N3831&gt;0,LN(1+$N3831),0))</f>
        <v>2.9558802241544429E-2</v>
      </c>
      <c r="P3831" s="75">
        <f t="shared" si="1458"/>
        <v>31</v>
      </c>
      <c r="Q3831" s="75">
        <f>IF($K3831="",0,COUNTIFS(rl_key,'Rate Log'!$J$32,$L$3806:$L$4045,$L3831,$K$3806:$K$4045,"&lt;"&amp;$K3831))</f>
        <v>0</v>
      </c>
      <c r="R3831" s="75">
        <f>IF($K3831="",0,COUNTIFS('Rate Log'!$J$7:$J$32,'Rate Log'!$J$32,$L$3806:$L3831,$L3831,$K$3806:$K3831,$K3831))</f>
        <v>1</v>
      </c>
      <c r="S3831" s="75">
        <f t="shared" si="1459"/>
        <v>1</v>
      </c>
      <c r="U3831" s="74">
        <f>IF('Rate Log'!$C$32="","",IF('Rate Log'!$E$32="planned",EDATE('Rate Log'!$C$32,N(INDEX(sc_shift,3))),'Rate Log'!$C$32))</f>
        <v>46143</v>
      </c>
      <c r="V3831" s="74">
        <f t="shared" si="1460"/>
        <v>46143</v>
      </c>
      <c r="W3831" s="72">
        <f>IF(N(INDEX(sc_ach,3))=0,IF('Rate Log'!$G$32="",1,'Rate Log'!$G$32),INDEX(sc_ach,3))</f>
        <v>1</v>
      </c>
      <c r="X3831" s="72">
        <f>IF('Rate Log'!$C$32="",0,IF('Rate Log'!$E$32="planned",('Rate Log'!$D$32+N(INDEX(sc_dpts,3)))*$W3831,'Rate Log'!$D$32))</f>
        <v>0.03</v>
      </c>
      <c r="Y3831" s="73">
        <f>IF('Rate Log'!$C$32="",0,IF(1+$X3831&gt;0,LN(1+$X3831),0))</f>
        <v>2.9558802241544429E-2</v>
      </c>
      <c r="Z3831" s="75">
        <f t="shared" si="1461"/>
        <v>31</v>
      </c>
      <c r="AA3831" s="75">
        <f>IF($U3831="",0,COUNTIFS(rl_key,'Rate Log'!$J$32,$V$3806:$V$4045,$V3831,$U$3806:$U$4045,"&lt;"&amp;$U3831))</f>
        <v>0</v>
      </c>
      <c r="AB3831" s="75">
        <f>IF($U3831="",0,COUNTIFS('Rate Log'!$J$7:$J$32,'Rate Log'!$J$32,$V$3806:$V3831,$V3831,$U$3806:$U3831,$U3831))</f>
        <v>1</v>
      </c>
      <c r="AC3831" s="75">
        <f t="shared" si="1462"/>
        <v>1</v>
      </c>
      <c r="AE3831" s="74">
        <f>IF('Rate Log'!$C$32="","",IF('Rate Log'!$E$32="planned",EDATE('Rate Log'!$C$32,N(INDEX(sc_shift,4))),'Rate Log'!$C$32))</f>
        <v>46143</v>
      </c>
      <c r="AF3831" s="74">
        <f t="shared" si="1463"/>
        <v>46143</v>
      </c>
      <c r="AG3831" s="72">
        <f>IF(N(INDEX(sc_ach,4))=0,IF('Rate Log'!$G$32="",1,'Rate Log'!$G$32),INDEX(sc_ach,4))</f>
        <v>1</v>
      </c>
      <c r="AH3831" s="72">
        <f>IF('Rate Log'!$C$32="",0,IF('Rate Log'!$E$32="planned",('Rate Log'!$D$32+N(INDEX(sc_dpts,4)))*$AG3831,'Rate Log'!$D$32))</f>
        <v>0.03</v>
      </c>
      <c r="AI3831" s="73">
        <f>IF('Rate Log'!$C$32="",0,IF(1+$AH3831&gt;0,LN(1+$AH3831),0))</f>
        <v>2.9558802241544429E-2</v>
      </c>
      <c r="AJ3831" s="75">
        <f t="shared" si="1464"/>
        <v>31</v>
      </c>
      <c r="AK3831" s="75">
        <f>IF($AE3831="",0,COUNTIFS(rl_key,'Rate Log'!$J$32,$AF$3806:$AF$4045,$AF3831,$AE$3806:$AE$4045,"&lt;"&amp;$AE3831))</f>
        <v>0</v>
      </c>
      <c r="AL3831" s="75">
        <f>IF($AE3831="",0,COUNTIFS('Rate Log'!$J$7:$J$32,'Rate Log'!$J$32,$AF$3806:$AF3831,$AF3831,$AE$3806:$AE3831,$AE3831))</f>
        <v>1</v>
      </c>
      <c r="AM3831" s="75">
        <f t="shared" si="1465"/>
        <v>1</v>
      </c>
    </row>
    <row r="3832" spans="1:39" x14ac:dyDescent="0.3">
      <c r="A3832" s="74">
        <f>IF('Rate Log'!$C$33="","",IF('Rate Log'!$E$33="planned",EDATE('Rate Log'!$C$33,N(INDEX(sc_shift,1))),'Rate Log'!$C$33))</f>
        <v>46600</v>
      </c>
      <c r="B3832" s="74">
        <f t="shared" si="1454"/>
        <v>46600</v>
      </c>
      <c r="C3832" s="72">
        <f>IF(N(INDEX(sc_ach,1))=0,IF('Rate Log'!$G$33="",1,'Rate Log'!$G$33),INDEX(sc_ach,1))</f>
        <v>1</v>
      </c>
      <c r="D3832" s="72">
        <f>IF('Rate Log'!$C$33="",0,IF('Rate Log'!$E$33="planned",('Rate Log'!$D$33+N(INDEX(sc_dpts,1)))*$C3832,'Rate Log'!$D$33))</f>
        <v>0.06</v>
      </c>
      <c r="E3832" s="73">
        <f>IF('Rate Log'!$C$33="",0,IF(1+$D3832&gt;0,LN(1+$D3832),0))</f>
        <v>5.8268908123975824E-2</v>
      </c>
      <c r="F3832" s="75">
        <f t="shared" si="1455"/>
        <v>31</v>
      </c>
      <c r="G3832" s="75">
        <f>IF($A3832="",0,COUNTIFS(rl_key,'Rate Log'!$J$33,$B$3806:$B$4045,$B3832,$A$3806:$A$4045,"&lt;"&amp;$A3832))</f>
        <v>0</v>
      </c>
      <c r="H3832" s="75">
        <f>IF($A3832="",0,COUNTIFS('Rate Log'!$J$7:$J$33,'Rate Log'!$J$33,$B$3806:$B3832,$B3832,$A$3806:$A3832,$A3832))</f>
        <v>1</v>
      </c>
      <c r="I3832" s="75">
        <f t="shared" si="1456"/>
        <v>1</v>
      </c>
      <c r="K3832" s="74">
        <f>IF('Rate Log'!$C$33="","",IF('Rate Log'!$E$33="planned",EDATE('Rate Log'!$C$33,N(INDEX(sc_shift,2))),'Rate Log'!$C$33))</f>
        <v>46600</v>
      </c>
      <c r="L3832" s="74">
        <f t="shared" si="1457"/>
        <v>46600</v>
      </c>
      <c r="M3832" s="72">
        <f>IF(N(INDEX(sc_ach,2))=0,IF('Rate Log'!$G$33="",1,'Rate Log'!$G$33),INDEX(sc_ach,2))</f>
        <v>1</v>
      </c>
      <c r="N3832" s="72">
        <f>IF('Rate Log'!$C$33="",0,IF('Rate Log'!$E$33="planned",('Rate Log'!$D$33+N(INDEX(sc_dpts,2)))*$M3832,'Rate Log'!$D$33))</f>
        <v>0.04</v>
      </c>
      <c r="O3832" s="73">
        <f>IF('Rate Log'!$C$33="",0,IF(1+$N3832&gt;0,LN(1+$N3832),0))</f>
        <v>3.9220713153281329E-2</v>
      </c>
      <c r="P3832" s="75">
        <f t="shared" si="1458"/>
        <v>31</v>
      </c>
      <c r="Q3832" s="75">
        <f>IF($K3832="",0,COUNTIFS(rl_key,'Rate Log'!$J$33,$L$3806:$L$4045,$L3832,$K$3806:$K$4045,"&lt;"&amp;$K3832))</f>
        <v>0</v>
      </c>
      <c r="R3832" s="75">
        <f>IF($K3832="",0,COUNTIFS('Rate Log'!$J$7:$J$33,'Rate Log'!$J$33,$L$3806:$L3832,$L3832,$K$3806:$K3832,$K3832))</f>
        <v>1</v>
      </c>
      <c r="S3832" s="75">
        <f t="shared" si="1459"/>
        <v>1</v>
      </c>
      <c r="U3832" s="74">
        <f>IF('Rate Log'!$C$33="","",IF('Rate Log'!$E$33="planned",EDATE('Rate Log'!$C$33,N(INDEX(sc_shift,3))),'Rate Log'!$C$33))</f>
        <v>46600</v>
      </c>
      <c r="V3832" s="74">
        <f t="shared" si="1460"/>
        <v>46600</v>
      </c>
      <c r="W3832" s="72">
        <f>IF(N(INDEX(sc_ach,3))=0,IF('Rate Log'!$G$33="",1,'Rate Log'!$G$33),INDEX(sc_ach,3))</f>
        <v>1</v>
      </c>
      <c r="X3832" s="72">
        <f>IF('Rate Log'!$C$33="",0,IF('Rate Log'!$E$33="planned",('Rate Log'!$D$33+N(INDEX(sc_dpts,3)))*$W3832,'Rate Log'!$D$33))</f>
        <v>0.04</v>
      </c>
      <c r="Y3832" s="73">
        <f>IF('Rate Log'!$C$33="",0,IF(1+$X3832&gt;0,LN(1+$X3832),0))</f>
        <v>3.9220713153281329E-2</v>
      </c>
      <c r="Z3832" s="75">
        <f t="shared" si="1461"/>
        <v>31</v>
      </c>
      <c r="AA3832" s="75">
        <f>IF($U3832="",0,COUNTIFS(rl_key,'Rate Log'!$J$33,$V$3806:$V$4045,$V3832,$U$3806:$U$4045,"&lt;"&amp;$U3832))</f>
        <v>0</v>
      </c>
      <c r="AB3832" s="75">
        <f>IF($U3832="",0,COUNTIFS('Rate Log'!$J$7:$J$33,'Rate Log'!$J$33,$V$3806:$V3832,$V3832,$U$3806:$U3832,$U3832))</f>
        <v>1</v>
      </c>
      <c r="AC3832" s="75">
        <f t="shared" si="1462"/>
        <v>1</v>
      </c>
      <c r="AE3832" s="74">
        <f>IF('Rate Log'!$C$33="","",IF('Rate Log'!$E$33="planned",EDATE('Rate Log'!$C$33,N(INDEX(sc_shift,4))),'Rate Log'!$C$33))</f>
        <v>46600</v>
      </c>
      <c r="AF3832" s="74">
        <f t="shared" si="1463"/>
        <v>46600</v>
      </c>
      <c r="AG3832" s="72">
        <f>IF(N(INDEX(sc_ach,4))=0,IF('Rate Log'!$G$33="",1,'Rate Log'!$G$33),INDEX(sc_ach,4))</f>
        <v>1</v>
      </c>
      <c r="AH3832" s="72">
        <f>IF('Rate Log'!$C$33="",0,IF('Rate Log'!$E$33="planned",('Rate Log'!$D$33+N(INDEX(sc_dpts,4)))*$AG3832,'Rate Log'!$D$33))</f>
        <v>0.04</v>
      </c>
      <c r="AI3832" s="73">
        <f>IF('Rate Log'!$C$33="",0,IF(1+$AH3832&gt;0,LN(1+$AH3832),0))</f>
        <v>3.9220713153281329E-2</v>
      </c>
      <c r="AJ3832" s="75">
        <f t="shared" si="1464"/>
        <v>31</v>
      </c>
      <c r="AK3832" s="75">
        <f>IF($AE3832="",0,COUNTIFS(rl_key,'Rate Log'!$J$33,$AF$3806:$AF$4045,$AF3832,$AE$3806:$AE$4045,"&lt;"&amp;$AE3832))</f>
        <v>0</v>
      </c>
      <c r="AL3832" s="75">
        <f>IF($AE3832="",0,COUNTIFS('Rate Log'!$J$7:$J$33,'Rate Log'!$J$33,$AF$3806:$AF3832,$AF3832,$AE$3806:$AE3832,$AE3832))</f>
        <v>1</v>
      </c>
      <c r="AM3832" s="75">
        <f t="shared" si="1465"/>
        <v>1</v>
      </c>
    </row>
    <row r="3833" spans="1:39" x14ac:dyDescent="0.3">
      <c r="A3833" s="74">
        <f>IF('Rate Log'!$C$34="","",IF('Rate Log'!$E$34="planned",EDATE('Rate Log'!$C$34,N(INDEX(sc_shift,1))),'Rate Log'!$C$34))</f>
        <v>46204</v>
      </c>
      <c r="B3833" s="74">
        <f t="shared" si="1454"/>
        <v>46204</v>
      </c>
      <c r="C3833" s="72">
        <f>IF(N(INDEX(sc_ach,1))=0,IF('Rate Log'!$G$34="",1,'Rate Log'!$G$34),INDEX(sc_ach,1))</f>
        <v>1</v>
      </c>
      <c r="D3833" s="72">
        <f>IF('Rate Log'!$C$34="",0,IF('Rate Log'!$E$34="planned",('Rate Log'!$D$34+N(INDEX(sc_dpts,1)))*$C3833,'Rate Log'!$D$34))</f>
        <v>0.05</v>
      </c>
      <c r="E3833" s="73">
        <f>IF('Rate Log'!$C$34="",0,IF(1+$D3833&gt;0,LN(1+$D3833),0))</f>
        <v>4.8790164169432049E-2</v>
      </c>
      <c r="F3833" s="75">
        <f t="shared" si="1455"/>
        <v>31</v>
      </c>
      <c r="G3833" s="75">
        <f>IF($A3833="",0,COUNTIFS(rl_key,'Rate Log'!$J$34,$B$3806:$B$4045,$B3833,$A$3806:$A$4045,"&lt;"&amp;$A3833))</f>
        <v>0</v>
      </c>
      <c r="H3833" s="75">
        <f>IF($A3833="",0,COUNTIFS('Rate Log'!$J$7:$J$34,'Rate Log'!$J$34,$B$3806:$B3833,$B3833,$A$3806:$A3833,$A3833))</f>
        <v>1</v>
      </c>
      <c r="I3833" s="75">
        <f t="shared" si="1456"/>
        <v>1</v>
      </c>
      <c r="K3833" s="74">
        <f>IF('Rate Log'!$C$34="","",IF('Rate Log'!$E$34="planned",EDATE('Rate Log'!$C$34,N(INDEX(sc_shift,2))),'Rate Log'!$C$34))</f>
        <v>46204</v>
      </c>
      <c r="L3833" s="74">
        <f t="shared" si="1457"/>
        <v>46204</v>
      </c>
      <c r="M3833" s="72">
        <f>IF(N(INDEX(sc_ach,2))=0,IF('Rate Log'!$G$34="",1,'Rate Log'!$G$34),INDEX(sc_ach,2))</f>
        <v>1</v>
      </c>
      <c r="N3833" s="72">
        <f>IF('Rate Log'!$C$34="",0,IF('Rate Log'!$E$34="planned",('Rate Log'!$D$34+N(INDEX(sc_dpts,2)))*$M3833,'Rate Log'!$D$34))</f>
        <v>0.05</v>
      </c>
      <c r="O3833" s="73">
        <f>IF('Rate Log'!$C$34="",0,IF(1+$N3833&gt;0,LN(1+$N3833),0))</f>
        <v>4.8790164169432049E-2</v>
      </c>
      <c r="P3833" s="75">
        <f t="shared" si="1458"/>
        <v>31</v>
      </c>
      <c r="Q3833" s="75">
        <f>IF($K3833="",0,COUNTIFS(rl_key,'Rate Log'!$J$34,$L$3806:$L$4045,$L3833,$K$3806:$K$4045,"&lt;"&amp;$K3833))</f>
        <v>0</v>
      </c>
      <c r="R3833" s="75">
        <f>IF($K3833="",0,COUNTIFS('Rate Log'!$J$7:$J$34,'Rate Log'!$J$34,$L$3806:$L3833,$L3833,$K$3806:$K3833,$K3833))</f>
        <v>1</v>
      </c>
      <c r="S3833" s="75">
        <f t="shared" si="1459"/>
        <v>1</v>
      </c>
      <c r="U3833" s="74">
        <f>IF('Rate Log'!$C$34="","",IF('Rate Log'!$E$34="planned",EDATE('Rate Log'!$C$34,N(INDEX(sc_shift,3))),'Rate Log'!$C$34))</f>
        <v>46204</v>
      </c>
      <c r="V3833" s="74">
        <f t="shared" si="1460"/>
        <v>46204</v>
      </c>
      <c r="W3833" s="72">
        <f>IF(N(INDEX(sc_ach,3))=0,IF('Rate Log'!$G$34="",1,'Rate Log'!$G$34),INDEX(sc_ach,3))</f>
        <v>1</v>
      </c>
      <c r="X3833" s="72">
        <f>IF('Rate Log'!$C$34="",0,IF('Rate Log'!$E$34="planned",('Rate Log'!$D$34+N(INDEX(sc_dpts,3)))*$W3833,'Rate Log'!$D$34))</f>
        <v>0.05</v>
      </c>
      <c r="Y3833" s="73">
        <f>IF('Rate Log'!$C$34="",0,IF(1+$X3833&gt;0,LN(1+$X3833),0))</f>
        <v>4.8790164169432049E-2</v>
      </c>
      <c r="Z3833" s="75">
        <f t="shared" si="1461"/>
        <v>31</v>
      </c>
      <c r="AA3833" s="75">
        <f>IF($U3833="",0,COUNTIFS(rl_key,'Rate Log'!$J$34,$V$3806:$V$4045,$V3833,$U$3806:$U$4045,"&lt;"&amp;$U3833))</f>
        <v>0</v>
      </c>
      <c r="AB3833" s="75">
        <f>IF($U3833="",0,COUNTIFS('Rate Log'!$J$7:$J$34,'Rate Log'!$J$34,$V$3806:$V3833,$V3833,$U$3806:$U3833,$U3833))</f>
        <v>1</v>
      </c>
      <c r="AC3833" s="75">
        <f t="shared" si="1462"/>
        <v>1</v>
      </c>
      <c r="AE3833" s="74">
        <f>IF('Rate Log'!$C$34="","",IF('Rate Log'!$E$34="planned",EDATE('Rate Log'!$C$34,N(INDEX(sc_shift,4))),'Rate Log'!$C$34))</f>
        <v>46204</v>
      </c>
      <c r="AF3833" s="74">
        <f t="shared" si="1463"/>
        <v>46204</v>
      </c>
      <c r="AG3833" s="72">
        <f>IF(N(INDEX(sc_ach,4))=0,IF('Rate Log'!$G$34="",1,'Rate Log'!$G$34),INDEX(sc_ach,4))</f>
        <v>1</v>
      </c>
      <c r="AH3833" s="72">
        <f>IF('Rate Log'!$C$34="",0,IF('Rate Log'!$E$34="planned",('Rate Log'!$D$34+N(INDEX(sc_dpts,4)))*$AG3833,'Rate Log'!$D$34))</f>
        <v>0.05</v>
      </c>
      <c r="AI3833" s="73">
        <f>IF('Rate Log'!$C$34="",0,IF(1+$AH3833&gt;0,LN(1+$AH3833),0))</f>
        <v>4.8790164169432049E-2</v>
      </c>
      <c r="AJ3833" s="75">
        <f t="shared" si="1464"/>
        <v>31</v>
      </c>
      <c r="AK3833" s="75">
        <f>IF($AE3833="",0,COUNTIFS(rl_key,'Rate Log'!$J$34,$AF$3806:$AF$4045,$AF3833,$AE$3806:$AE$4045,"&lt;"&amp;$AE3833))</f>
        <v>0</v>
      </c>
      <c r="AL3833" s="75">
        <f>IF($AE3833="",0,COUNTIFS('Rate Log'!$J$7:$J$34,'Rate Log'!$J$34,$AF$3806:$AF3833,$AF3833,$AE$3806:$AE3833,$AE3833))</f>
        <v>1</v>
      </c>
      <c r="AM3833" s="75">
        <f t="shared" si="1465"/>
        <v>1</v>
      </c>
    </row>
    <row r="3834" spans="1:39" x14ac:dyDescent="0.3">
      <c r="A3834" s="74">
        <f>IF('Rate Log'!$C$35="","",IF('Rate Log'!$E$35="planned",EDATE('Rate Log'!$C$35,N(INDEX(sc_shift,1))),'Rate Log'!$C$35))</f>
        <v>46235</v>
      </c>
      <c r="B3834" s="74">
        <f t="shared" si="1454"/>
        <v>46235</v>
      </c>
      <c r="C3834" s="72">
        <f>IF(N(INDEX(sc_ach,1))=0,IF('Rate Log'!$G$35="",1,'Rate Log'!$G$35),INDEX(sc_ach,1))</f>
        <v>1</v>
      </c>
      <c r="D3834" s="72">
        <f>IF('Rate Log'!$C$35="",0,IF('Rate Log'!$E$35="planned",('Rate Log'!$D$35+N(INDEX(sc_dpts,1)))*$C3834,'Rate Log'!$D$35))</f>
        <v>0.06</v>
      </c>
      <c r="E3834" s="73">
        <f>IF('Rate Log'!$C$35="",0,IF(1+$D3834&gt;0,LN(1+$D3834),0))</f>
        <v>5.8268908123975824E-2</v>
      </c>
      <c r="F3834" s="75">
        <f t="shared" si="1455"/>
        <v>31</v>
      </c>
      <c r="G3834" s="75">
        <f>IF($A3834="",0,COUNTIFS(rl_key,'Rate Log'!$J$35,$B$3806:$B$4045,$B3834,$A$3806:$A$4045,"&lt;"&amp;$A3834))</f>
        <v>0</v>
      </c>
      <c r="H3834" s="75">
        <f>IF($A3834="",0,COUNTIFS('Rate Log'!$J$7:$J$35,'Rate Log'!$J$35,$B$3806:$B3834,$B3834,$A$3806:$A3834,$A3834))</f>
        <v>1</v>
      </c>
      <c r="I3834" s="75">
        <f t="shared" si="1456"/>
        <v>1</v>
      </c>
      <c r="K3834" s="74">
        <f>IF('Rate Log'!$C$35="","",IF('Rate Log'!$E$35="planned",EDATE('Rate Log'!$C$35,N(INDEX(sc_shift,2))),'Rate Log'!$C$35))</f>
        <v>46235</v>
      </c>
      <c r="L3834" s="74">
        <f t="shared" si="1457"/>
        <v>46235</v>
      </c>
      <c r="M3834" s="72">
        <f>IF(N(INDEX(sc_ach,2))=0,IF('Rate Log'!$G$35="",1,'Rate Log'!$G$35),INDEX(sc_ach,2))</f>
        <v>1</v>
      </c>
      <c r="N3834" s="72">
        <f>IF('Rate Log'!$C$35="",0,IF('Rate Log'!$E$35="planned",('Rate Log'!$D$35+N(INDEX(sc_dpts,2)))*$M3834,'Rate Log'!$D$35))</f>
        <v>0.06</v>
      </c>
      <c r="O3834" s="73">
        <f>IF('Rate Log'!$C$35="",0,IF(1+$N3834&gt;0,LN(1+$N3834),0))</f>
        <v>5.8268908123975824E-2</v>
      </c>
      <c r="P3834" s="75">
        <f t="shared" si="1458"/>
        <v>31</v>
      </c>
      <c r="Q3834" s="75">
        <f>IF($K3834="",0,COUNTIFS(rl_key,'Rate Log'!$J$35,$L$3806:$L$4045,$L3834,$K$3806:$K$4045,"&lt;"&amp;$K3834))</f>
        <v>0</v>
      </c>
      <c r="R3834" s="75">
        <f>IF($K3834="",0,COUNTIFS('Rate Log'!$J$7:$J$35,'Rate Log'!$J$35,$L$3806:$L3834,$L3834,$K$3806:$K3834,$K3834))</f>
        <v>1</v>
      </c>
      <c r="S3834" s="75">
        <f t="shared" si="1459"/>
        <v>1</v>
      </c>
      <c r="U3834" s="74">
        <f>IF('Rate Log'!$C$35="","",IF('Rate Log'!$E$35="planned",EDATE('Rate Log'!$C$35,N(INDEX(sc_shift,3))),'Rate Log'!$C$35))</f>
        <v>46235</v>
      </c>
      <c r="V3834" s="74">
        <f t="shared" si="1460"/>
        <v>46235</v>
      </c>
      <c r="W3834" s="72">
        <f>IF(N(INDEX(sc_ach,3))=0,IF('Rate Log'!$G$35="",1,'Rate Log'!$G$35),INDEX(sc_ach,3))</f>
        <v>1</v>
      </c>
      <c r="X3834" s="72">
        <f>IF('Rate Log'!$C$35="",0,IF('Rate Log'!$E$35="planned",('Rate Log'!$D$35+N(INDEX(sc_dpts,3)))*$W3834,'Rate Log'!$D$35))</f>
        <v>0.06</v>
      </c>
      <c r="Y3834" s="73">
        <f>IF('Rate Log'!$C$35="",0,IF(1+$X3834&gt;0,LN(1+$X3834),0))</f>
        <v>5.8268908123975824E-2</v>
      </c>
      <c r="Z3834" s="75">
        <f t="shared" si="1461"/>
        <v>31</v>
      </c>
      <c r="AA3834" s="75">
        <f>IF($U3834="",0,COUNTIFS(rl_key,'Rate Log'!$J$35,$V$3806:$V$4045,$V3834,$U$3806:$U$4045,"&lt;"&amp;$U3834))</f>
        <v>0</v>
      </c>
      <c r="AB3834" s="75">
        <f>IF($U3834="",0,COUNTIFS('Rate Log'!$J$7:$J$35,'Rate Log'!$J$35,$V$3806:$V3834,$V3834,$U$3806:$U3834,$U3834))</f>
        <v>1</v>
      </c>
      <c r="AC3834" s="75">
        <f t="shared" si="1462"/>
        <v>1</v>
      </c>
      <c r="AE3834" s="74">
        <f>IF('Rate Log'!$C$35="","",IF('Rate Log'!$E$35="planned",EDATE('Rate Log'!$C$35,N(INDEX(sc_shift,4))),'Rate Log'!$C$35))</f>
        <v>46235</v>
      </c>
      <c r="AF3834" s="74">
        <f t="shared" si="1463"/>
        <v>46235</v>
      </c>
      <c r="AG3834" s="72">
        <f>IF(N(INDEX(sc_ach,4))=0,IF('Rate Log'!$G$35="",1,'Rate Log'!$G$35),INDEX(sc_ach,4))</f>
        <v>1</v>
      </c>
      <c r="AH3834" s="72">
        <f>IF('Rate Log'!$C$35="",0,IF('Rate Log'!$E$35="planned",('Rate Log'!$D$35+N(INDEX(sc_dpts,4)))*$AG3834,'Rate Log'!$D$35))</f>
        <v>0.06</v>
      </c>
      <c r="AI3834" s="73">
        <f>IF('Rate Log'!$C$35="",0,IF(1+$AH3834&gt;0,LN(1+$AH3834),0))</f>
        <v>5.8268908123975824E-2</v>
      </c>
      <c r="AJ3834" s="75">
        <f t="shared" si="1464"/>
        <v>31</v>
      </c>
      <c r="AK3834" s="75">
        <f>IF($AE3834="",0,COUNTIFS(rl_key,'Rate Log'!$J$35,$AF$3806:$AF$4045,$AF3834,$AE$3806:$AE$4045,"&lt;"&amp;$AE3834))</f>
        <v>0</v>
      </c>
      <c r="AL3834" s="75">
        <f>IF($AE3834="",0,COUNTIFS('Rate Log'!$J$7:$J$35,'Rate Log'!$J$35,$AF$3806:$AF3834,$AF3834,$AE$3806:$AE3834,$AE3834))</f>
        <v>1</v>
      </c>
      <c r="AM3834" s="75">
        <f t="shared" si="1465"/>
        <v>1</v>
      </c>
    </row>
    <row r="3835" spans="1:39" x14ac:dyDescent="0.3">
      <c r="A3835" s="74">
        <f>IF('Rate Log'!$C$36="","",IF('Rate Log'!$E$36="planned",EDATE('Rate Log'!$C$36,N(INDEX(sc_shift,1))),'Rate Log'!$C$36))</f>
        <v>46296</v>
      </c>
      <c r="B3835" s="74">
        <f t="shared" si="1454"/>
        <v>46296</v>
      </c>
      <c r="C3835" s="72">
        <f>IF(N(INDEX(sc_ach,1))=0,IF('Rate Log'!$G$36="",1,'Rate Log'!$G$36),INDEX(sc_ach,1))</f>
        <v>1</v>
      </c>
      <c r="D3835" s="72">
        <f>IF('Rate Log'!$C$36="",0,IF('Rate Log'!$E$36="planned",('Rate Log'!$D$36+N(INDEX(sc_dpts,1)))*$C3835,'Rate Log'!$D$36))</f>
        <v>0.03</v>
      </c>
      <c r="E3835" s="73">
        <f>IF('Rate Log'!$C$36="",0,IF(1+$D3835&gt;0,LN(1+$D3835),0))</f>
        <v>2.9558802241544429E-2</v>
      </c>
      <c r="F3835" s="75">
        <f t="shared" si="1455"/>
        <v>31</v>
      </c>
      <c r="G3835" s="75">
        <f>IF($A3835="",0,COUNTIFS(rl_key,'Rate Log'!$J$36,$B$3806:$B$4045,$B3835,$A$3806:$A$4045,"&lt;"&amp;$A3835))</f>
        <v>0</v>
      </c>
      <c r="H3835" s="75">
        <f>IF($A3835="",0,COUNTIFS('Rate Log'!$J$7:$J$36,'Rate Log'!$J$36,$B$3806:$B3835,$B3835,$A$3806:$A3835,$A3835))</f>
        <v>1</v>
      </c>
      <c r="I3835" s="75">
        <f t="shared" si="1456"/>
        <v>1</v>
      </c>
      <c r="K3835" s="74">
        <f>IF('Rate Log'!$C$36="","",IF('Rate Log'!$E$36="planned",EDATE('Rate Log'!$C$36,N(INDEX(sc_shift,2))),'Rate Log'!$C$36))</f>
        <v>46296</v>
      </c>
      <c r="L3835" s="74">
        <f t="shared" si="1457"/>
        <v>46296</v>
      </c>
      <c r="M3835" s="72">
        <f>IF(N(INDEX(sc_ach,2))=0,IF('Rate Log'!$G$36="",1,'Rate Log'!$G$36),INDEX(sc_ach,2))</f>
        <v>1</v>
      </c>
      <c r="N3835" s="72">
        <f>IF('Rate Log'!$C$36="",0,IF('Rate Log'!$E$36="planned",('Rate Log'!$D$36+N(INDEX(sc_dpts,2)))*$M3835,'Rate Log'!$D$36))</f>
        <v>0.03</v>
      </c>
      <c r="O3835" s="73">
        <f>IF('Rate Log'!$C$36="",0,IF(1+$N3835&gt;0,LN(1+$N3835),0))</f>
        <v>2.9558802241544429E-2</v>
      </c>
      <c r="P3835" s="75">
        <f t="shared" si="1458"/>
        <v>31</v>
      </c>
      <c r="Q3835" s="75">
        <f>IF($K3835="",0,COUNTIFS(rl_key,'Rate Log'!$J$36,$L$3806:$L$4045,$L3835,$K$3806:$K$4045,"&lt;"&amp;$K3835))</f>
        <v>0</v>
      </c>
      <c r="R3835" s="75">
        <f>IF($K3835="",0,COUNTIFS('Rate Log'!$J$7:$J$36,'Rate Log'!$J$36,$L$3806:$L3835,$L3835,$K$3806:$K3835,$K3835))</f>
        <v>1</v>
      </c>
      <c r="S3835" s="75">
        <f t="shared" si="1459"/>
        <v>1</v>
      </c>
      <c r="U3835" s="74">
        <f>IF('Rate Log'!$C$36="","",IF('Rate Log'!$E$36="planned",EDATE('Rate Log'!$C$36,N(INDEX(sc_shift,3))),'Rate Log'!$C$36))</f>
        <v>46296</v>
      </c>
      <c r="V3835" s="74">
        <f t="shared" si="1460"/>
        <v>46296</v>
      </c>
      <c r="W3835" s="72">
        <f>IF(N(INDEX(sc_ach,3))=0,IF('Rate Log'!$G$36="",1,'Rate Log'!$G$36),INDEX(sc_ach,3))</f>
        <v>1</v>
      </c>
      <c r="X3835" s="72">
        <f>IF('Rate Log'!$C$36="",0,IF('Rate Log'!$E$36="planned",('Rate Log'!$D$36+N(INDEX(sc_dpts,3)))*$W3835,'Rate Log'!$D$36))</f>
        <v>0.03</v>
      </c>
      <c r="Y3835" s="73">
        <f>IF('Rate Log'!$C$36="",0,IF(1+$X3835&gt;0,LN(1+$X3835),0))</f>
        <v>2.9558802241544429E-2</v>
      </c>
      <c r="Z3835" s="75">
        <f t="shared" si="1461"/>
        <v>31</v>
      </c>
      <c r="AA3835" s="75">
        <f>IF($U3835="",0,COUNTIFS(rl_key,'Rate Log'!$J$36,$V$3806:$V$4045,$V3835,$U$3806:$U$4045,"&lt;"&amp;$U3835))</f>
        <v>0</v>
      </c>
      <c r="AB3835" s="75">
        <f>IF($U3835="",0,COUNTIFS('Rate Log'!$J$7:$J$36,'Rate Log'!$J$36,$V$3806:$V3835,$V3835,$U$3806:$U3835,$U3835))</f>
        <v>1</v>
      </c>
      <c r="AC3835" s="75">
        <f t="shared" si="1462"/>
        <v>1</v>
      </c>
      <c r="AE3835" s="74">
        <f>IF('Rate Log'!$C$36="","",IF('Rate Log'!$E$36="planned",EDATE('Rate Log'!$C$36,N(INDEX(sc_shift,4))),'Rate Log'!$C$36))</f>
        <v>46296</v>
      </c>
      <c r="AF3835" s="74">
        <f t="shared" si="1463"/>
        <v>46296</v>
      </c>
      <c r="AG3835" s="72">
        <f>IF(N(INDEX(sc_ach,4))=0,IF('Rate Log'!$G$36="",1,'Rate Log'!$G$36),INDEX(sc_ach,4))</f>
        <v>1</v>
      </c>
      <c r="AH3835" s="72">
        <f>IF('Rate Log'!$C$36="",0,IF('Rate Log'!$E$36="planned",('Rate Log'!$D$36+N(INDEX(sc_dpts,4)))*$AG3835,'Rate Log'!$D$36))</f>
        <v>0.03</v>
      </c>
      <c r="AI3835" s="73">
        <f>IF('Rate Log'!$C$36="",0,IF(1+$AH3835&gt;0,LN(1+$AH3835),0))</f>
        <v>2.9558802241544429E-2</v>
      </c>
      <c r="AJ3835" s="75">
        <f t="shared" si="1464"/>
        <v>31</v>
      </c>
      <c r="AK3835" s="75">
        <f>IF($AE3835="",0,COUNTIFS(rl_key,'Rate Log'!$J$36,$AF$3806:$AF$4045,$AF3835,$AE$3806:$AE$4045,"&lt;"&amp;$AE3835))</f>
        <v>0</v>
      </c>
      <c r="AL3835" s="75">
        <f>IF($AE3835="",0,COUNTIFS('Rate Log'!$J$7:$J$36,'Rate Log'!$J$36,$AF$3806:$AF3835,$AF3835,$AE$3806:$AE3835,$AE3835))</f>
        <v>1</v>
      </c>
      <c r="AM3835" s="75">
        <f t="shared" si="1465"/>
        <v>1</v>
      </c>
    </row>
    <row r="3836" spans="1:39" x14ac:dyDescent="0.3">
      <c r="A3836" s="74">
        <f>IF('Rate Log'!$C$37="","",IF('Rate Log'!$E$37="planned",EDATE('Rate Log'!$C$37,N(INDEX(sc_shift,1))),'Rate Log'!$C$37))</f>
        <v>46419</v>
      </c>
      <c r="B3836" s="74">
        <f t="shared" si="1454"/>
        <v>46419</v>
      </c>
      <c r="C3836" s="72">
        <f>IF(N(INDEX(sc_ach,1))=0,IF('Rate Log'!$G$37="",1,'Rate Log'!$G$37),INDEX(sc_ach,1))</f>
        <v>1</v>
      </c>
      <c r="D3836" s="72">
        <f>IF('Rate Log'!$C$37="",0,IF('Rate Log'!$E$37="planned",('Rate Log'!$D$37+N(INDEX(sc_dpts,1)))*$C3836,'Rate Log'!$D$37))</f>
        <v>0.06</v>
      </c>
      <c r="E3836" s="73">
        <f>IF('Rate Log'!$C$37="",0,IF(1+$D3836&gt;0,LN(1+$D3836),0))</f>
        <v>5.8268908123975824E-2</v>
      </c>
      <c r="F3836" s="75">
        <f t="shared" si="1455"/>
        <v>28</v>
      </c>
      <c r="G3836" s="75">
        <f>IF($A3836="",0,COUNTIFS(rl_key,'Rate Log'!$J$37,$B$3806:$B$4045,$B3836,$A$3806:$A$4045,"&lt;"&amp;$A3836))</f>
        <v>0</v>
      </c>
      <c r="H3836" s="75">
        <f>IF($A3836="",0,COUNTIFS('Rate Log'!$J$7:$J$37,'Rate Log'!$J$37,$B$3806:$B3836,$B3836,$A$3806:$A3836,$A3836))</f>
        <v>1</v>
      </c>
      <c r="I3836" s="75">
        <f t="shared" si="1456"/>
        <v>1</v>
      </c>
      <c r="K3836" s="74">
        <f>IF('Rate Log'!$C$37="","",IF('Rate Log'!$E$37="planned",EDATE('Rate Log'!$C$37,N(INDEX(sc_shift,2))),'Rate Log'!$C$37))</f>
        <v>46419</v>
      </c>
      <c r="L3836" s="74">
        <f t="shared" si="1457"/>
        <v>46419</v>
      </c>
      <c r="M3836" s="72">
        <f>IF(N(INDEX(sc_ach,2))=0,IF('Rate Log'!$G$37="",1,'Rate Log'!$G$37),INDEX(sc_ach,2))</f>
        <v>1</v>
      </c>
      <c r="N3836" s="72">
        <f>IF('Rate Log'!$C$37="",0,IF('Rate Log'!$E$37="planned",('Rate Log'!$D$37+N(INDEX(sc_dpts,2)))*$M3836,'Rate Log'!$D$37))</f>
        <v>0.04</v>
      </c>
      <c r="O3836" s="73">
        <f>IF('Rate Log'!$C$37="",0,IF(1+$N3836&gt;0,LN(1+$N3836),0))</f>
        <v>3.9220713153281329E-2</v>
      </c>
      <c r="P3836" s="75">
        <f t="shared" si="1458"/>
        <v>28</v>
      </c>
      <c r="Q3836" s="75">
        <f>IF($K3836="",0,COUNTIFS(rl_key,'Rate Log'!$J$37,$L$3806:$L$4045,$L3836,$K$3806:$K$4045,"&lt;"&amp;$K3836))</f>
        <v>0</v>
      </c>
      <c r="R3836" s="75">
        <f>IF($K3836="",0,COUNTIFS('Rate Log'!$J$7:$J$37,'Rate Log'!$J$37,$L$3806:$L3836,$L3836,$K$3806:$K3836,$K3836))</f>
        <v>1</v>
      </c>
      <c r="S3836" s="75">
        <f t="shared" si="1459"/>
        <v>1</v>
      </c>
      <c r="U3836" s="74">
        <f>IF('Rate Log'!$C$37="","",IF('Rate Log'!$E$37="planned",EDATE('Rate Log'!$C$37,N(INDEX(sc_shift,3))),'Rate Log'!$C$37))</f>
        <v>46419</v>
      </c>
      <c r="V3836" s="74">
        <f t="shared" si="1460"/>
        <v>46419</v>
      </c>
      <c r="W3836" s="72">
        <f>IF(N(INDEX(sc_ach,3))=0,IF('Rate Log'!$G$37="",1,'Rate Log'!$G$37),INDEX(sc_ach,3))</f>
        <v>1</v>
      </c>
      <c r="X3836" s="72">
        <f>IF('Rate Log'!$C$37="",0,IF('Rate Log'!$E$37="planned",('Rate Log'!$D$37+N(INDEX(sc_dpts,3)))*$W3836,'Rate Log'!$D$37))</f>
        <v>0.04</v>
      </c>
      <c r="Y3836" s="73">
        <f>IF('Rate Log'!$C$37="",0,IF(1+$X3836&gt;0,LN(1+$X3836),0))</f>
        <v>3.9220713153281329E-2</v>
      </c>
      <c r="Z3836" s="75">
        <f t="shared" si="1461"/>
        <v>28</v>
      </c>
      <c r="AA3836" s="75">
        <f>IF($U3836="",0,COUNTIFS(rl_key,'Rate Log'!$J$37,$V$3806:$V$4045,$V3836,$U$3806:$U$4045,"&lt;"&amp;$U3836))</f>
        <v>0</v>
      </c>
      <c r="AB3836" s="75">
        <f>IF($U3836="",0,COUNTIFS('Rate Log'!$J$7:$J$37,'Rate Log'!$J$37,$V$3806:$V3836,$V3836,$U$3806:$U3836,$U3836))</f>
        <v>1</v>
      </c>
      <c r="AC3836" s="75">
        <f t="shared" si="1462"/>
        <v>1</v>
      </c>
      <c r="AE3836" s="74">
        <f>IF('Rate Log'!$C$37="","",IF('Rate Log'!$E$37="planned",EDATE('Rate Log'!$C$37,N(INDEX(sc_shift,4))),'Rate Log'!$C$37))</f>
        <v>46419</v>
      </c>
      <c r="AF3836" s="74">
        <f t="shared" si="1463"/>
        <v>46419</v>
      </c>
      <c r="AG3836" s="72">
        <f>IF(N(INDEX(sc_ach,4))=0,IF('Rate Log'!$G$37="",1,'Rate Log'!$G$37),INDEX(sc_ach,4))</f>
        <v>1</v>
      </c>
      <c r="AH3836" s="72">
        <f>IF('Rate Log'!$C$37="",0,IF('Rate Log'!$E$37="planned",('Rate Log'!$D$37+N(INDEX(sc_dpts,4)))*$AG3836,'Rate Log'!$D$37))</f>
        <v>0.04</v>
      </c>
      <c r="AI3836" s="73">
        <f>IF('Rate Log'!$C$37="",0,IF(1+$AH3836&gt;0,LN(1+$AH3836),0))</f>
        <v>3.9220713153281329E-2</v>
      </c>
      <c r="AJ3836" s="75">
        <f t="shared" si="1464"/>
        <v>28</v>
      </c>
      <c r="AK3836" s="75">
        <f>IF($AE3836="",0,COUNTIFS(rl_key,'Rate Log'!$J$37,$AF$3806:$AF$4045,$AF3836,$AE$3806:$AE$4045,"&lt;"&amp;$AE3836))</f>
        <v>0</v>
      </c>
      <c r="AL3836" s="75">
        <f>IF($AE3836="",0,COUNTIFS('Rate Log'!$J$7:$J$37,'Rate Log'!$J$37,$AF$3806:$AF3836,$AF3836,$AE$3806:$AE3836,$AE3836))</f>
        <v>1</v>
      </c>
      <c r="AM3836" s="75">
        <f t="shared" si="1465"/>
        <v>1</v>
      </c>
    </row>
    <row r="3837" spans="1:39" x14ac:dyDescent="0.3">
      <c r="A3837" s="74">
        <f>IF('Rate Log'!$C$38="","",IF('Rate Log'!$E$38="planned",EDATE('Rate Log'!$C$38,N(INDEX(sc_shift,1))),'Rate Log'!$C$38))</f>
        <v>46327</v>
      </c>
      <c r="B3837" s="74">
        <f t="shared" si="1454"/>
        <v>46327</v>
      </c>
      <c r="C3837" s="72">
        <f>IF(N(INDEX(sc_ach,1))=0,IF('Rate Log'!$G$38="",1,'Rate Log'!$G$38),INDEX(sc_ach,1))</f>
        <v>1</v>
      </c>
      <c r="D3837" s="72">
        <f>IF('Rate Log'!$C$38="",0,IF('Rate Log'!$E$38="planned",('Rate Log'!$D$38+N(INDEX(sc_dpts,1)))*$C3837,'Rate Log'!$D$38))</f>
        <v>0.04</v>
      </c>
      <c r="E3837" s="73">
        <f>IF('Rate Log'!$C$38="",0,IF(1+$D3837&gt;0,LN(1+$D3837),0))</f>
        <v>3.9220713153281329E-2</v>
      </c>
      <c r="F3837" s="75">
        <f t="shared" si="1455"/>
        <v>30</v>
      </c>
      <c r="G3837" s="75">
        <f>IF($A3837="",0,COUNTIFS(rl_key,'Rate Log'!$J$38,$B$3806:$B$4045,$B3837,$A$3806:$A$4045,"&lt;"&amp;$A3837))</f>
        <v>0</v>
      </c>
      <c r="H3837" s="75">
        <f>IF($A3837="",0,COUNTIFS('Rate Log'!$J$7:$J$38,'Rate Log'!$J$38,$B$3806:$B3837,$B3837,$A$3806:$A3837,$A3837))</f>
        <v>1</v>
      </c>
      <c r="I3837" s="75">
        <f t="shared" si="1456"/>
        <v>1</v>
      </c>
      <c r="K3837" s="74">
        <f>IF('Rate Log'!$C$38="","",IF('Rate Log'!$E$38="planned",EDATE('Rate Log'!$C$38,N(INDEX(sc_shift,2))),'Rate Log'!$C$38))</f>
        <v>46327</v>
      </c>
      <c r="L3837" s="74">
        <f t="shared" si="1457"/>
        <v>46327</v>
      </c>
      <c r="M3837" s="72">
        <f>IF(N(INDEX(sc_ach,2))=0,IF('Rate Log'!$G$38="",1,'Rate Log'!$G$38),INDEX(sc_ach,2))</f>
        <v>1</v>
      </c>
      <c r="N3837" s="72">
        <f>IF('Rate Log'!$C$38="",0,IF('Rate Log'!$E$38="planned",('Rate Log'!$D$38+N(INDEX(sc_dpts,2)))*$M3837,'Rate Log'!$D$38))</f>
        <v>0.04</v>
      </c>
      <c r="O3837" s="73">
        <f>IF('Rate Log'!$C$38="",0,IF(1+$N3837&gt;0,LN(1+$N3837),0))</f>
        <v>3.9220713153281329E-2</v>
      </c>
      <c r="P3837" s="75">
        <f t="shared" si="1458"/>
        <v>30</v>
      </c>
      <c r="Q3837" s="75">
        <f>IF($K3837="",0,COUNTIFS(rl_key,'Rate Log'!$J$38,$L$3806:$L$4045,$L3837,$K$3806:$K$4045,"&lt;"&amp;$K3837))</f>
        <v>0</v>
      </c>
      <c r="R3837" s="75">
        <f>IF($K3837="",0,COUNTIFS('Rate Log'!$J$7:$J$38,'Rate Log'!$J$38,$L$3806:$L3837,$L3837,$K$3806:$K3837,$K3837))</f>
        <v>1</v>
      </c>
      <c r="S3837" s="75">
        <f t="shared" si="1459"/>
        <v>1</v>
      </c>
      <c r="U3837" s="74">
        <f>IF('Rate Log'!$C$38="","",IF('Rate Log'!$E$38="planned",EDATE('Rate Log'!$C$38,N(INDEX(sc_shift,3))),'Rate Log'!$C$38))</f>
        <v>46327</v>
      </c>
      <c r="V3837" s="74">
        <f t="shared" si="1460"/>
        <v>46327</v>
      </c>
      <c r="W3837" s="72">
        <f>IF(N(INDEX(sc_ach,3))=0,IF('Rate Log'!$G$38="",1,'Rate Log'!$G$38),INDEX(sc_ach,3))</f>
        <v>1</v>
      </c>
      <c r="X3837" s="72">
        <f>IF('Rate Log'!$C$38="",0,IF('Rate Log'!$E$38="planned",('Rate Log'!$D$38+N(INDEX(sc_dpts,3)))*$W3837,'Rate Log'!$D$38))</f>
        <v>0.04</v>
      </c>
      <c r="Y3837" s="73">
        <f>IF('Rate Log'!$C$38="",0,IF(1+$X3837&gt;0,LN(1+$X3837),0))</f>
        <v>3.9220713153281329E-2</v>
      </c>
      <c r="Z3837" s="75">
        <f t="shared" si="1461"/>
        <v>30</v>
      </c>
      <c r="AA3837" s="75">
        <f>IF($U3837="",0,COUNTIFS(rl_key,'Rate Log'!$J$38,$V$3806:$V$4045,$V3837,$U$3806:$U$4045,"&lt;"&amp;$U3837))</f>
        <v>0</v>
      </c>
      <c r="AB3837" s="75">
        <f>IF($U3837="",0,COUNTIFS('Rate Log'!$J$7:$J$38,'Rate Log'!$J$38,$V$3806:$V3837,$V3837,$U$3806:$U3837,$U3837))</f>
        <v>1</v>
      </c>
      <c r="AC3837" s="75">
        <f t="shared" si="1462"/>
        <v>1</v>
      </c>
      <c r="AE3837" s="74">
        <f>IF('Rate Log'!$C$38="","",IF('Rate Log'!$E$38="planned",EDATE('Rate Log'!$C$38,N(INDEX(sc_shift,4))),'Rate Log'!$C$38))</f>
        <v>46327</v>
      </c>
      <c r="AF3837" s="74">
        <f t="shared" si="1463"/>
        <v>46327</v>
      </c>
      <c r="AG3837" s="72">
        <f>IF(N(INDEX(sc_ach,4))=0,IF('Rate Log'!$G$38="",1,'Rate Log'!$G$38),INDEX(sc_ach,4))</f>
        <v>1</v>
      </c>
      <c r="AH3837" s="72">
        <f>IF('Rate Log'!$C$38="",0,IF('Rate Log'!$E$38="planned",('Rate Log'!$D$38+N(INDEX(sc_dpts,4)))*$AG3837,'Rate Log'!$D$38))</f>
        <v>0.04</v>
      </c>
      <c r="AI3837" s="73">
        <f>IF('Rate Log'!$C$38="",0,IF(1+$AH3837&gt;0,LN(1+$AH3837),0))</f>
        <v>3.9220713153281329E-2</v>
      </c>
      <c r="AJ3837" s="75">
        <f t="shared" si="1464"/>
        <v>30</v>
      </c>
      <c r="AK3837" s="75">
        <f>IF($AE3837="",0,COUNTIFS(rl_key,'Rate Log'!$J$38,$AF$3806:$AF$4045,$AF3837,$AE$3806:$AE$4045,"&lt;"&amp;$AE3837))</f>
        <v>0</v>
      </c>
      <c r="AL3837" s="75">
        <f>IF($AE3837="",0,COUNTIFS('Rate Log'!$J$7:$J$38,'Rate Log'!$J$38,$AF$3806:$AF3837,$AF3837,$AE$3806:$AE3837,$AE3837))</f>
        <v>1</v>
      </c>
      <c r="AM3837" s="75">
        <f t="shared" si="1465"/>
        <v>1</v>
      </c>
    </row>
    <row r="3838" spans="1:39" x14ac:dyDescent="0.3">
      <c r="A3838" s="74">
        <f>IF('Rate Log'!$C$39="","",IF('Rate Log'!$E$39="planned",EDATE('Rate Log'!$C$39,N(INDEX(sc_shift,1))),'Rate Log'!$C$39))</f>
        <v>46054</v>
      </c>
      <c r="B3838" s="74">
        <f t="shared" si="1454"/>
        <v>46054</v>
      </c>
      <c r="C3838" s="72">
        <f>IF(N(INDEX(sc_ach,1))=0,IF('Rate Log'!$G$39="",1,'Rate Log'!$G$39),INDEX(sc_ach,1))</f>
        <v>1</v>
      </c>
      <c r="D3838" s="72">
        <f>IF('Rate Log'!$C$39="",0,IF('Rate Log'!$E$39="planned",('Rate Log'!$D$39+N(INDEX(sc_dpts,1)))*$C3838,'Rate Log'!$D$39))</f>
        <v>0.02</v>
      </c>
      <c r="E3838" s="73">
        <f>IF('Rate Log'!$C$39="",0,IF(1+$D3838&gt;0,LN(1+$D3838),0))</f>
        <v>1.980262729617973E-2</v>
      </c>
      <c r="F3838" s="75">
        <f t="shared" si="1455"/>
        <v>28</v>
      </c>
      <c r="G3838" s="75">
        <f>IF($A3838="",0,COUNTIFS(rl_key,'Rate Log'!$J$39,$B$3806:$B$4045,$B3838,$A$3806:$A$4045,"&lt;"&amp;$A3838))</f>
        <v>0</v>
      </c>
      <c r="H3838" s="75">
        <f>IF($A3838="",0,COUNTIFS('Rate Log'!$J$7:$J$39,'Rate Log'!$J$39,$B$3806:$B3838,$B3838,$A$3806:$A3838,$A3838))</f>
        <v>1</v>
      </c>
      <c r="I3838" s="75">
        <f t="shared" si="1456"/>
        <v>1</v>
      </c>
      <c r="K3838" s="74">
        <f>IF('Rate Log'!$C$39="","",IF('Rate Log'!$E$39="planned",EDATE('Rate Log'!$C$39,N(INDEX(sc_shift,2))),'Rate Log'!$C$39))</f>
        <v>46054</v>
      </c>
      <c r="L3838" s="74">
        <f t="shared" si="1457"/>
        <v>46054</v>
      </c>
      <c r="M3838" s="72">
        <f>IF(N(INDEX(sc_ach,2))=0,IF('Rate Log'!$G$39="",1,'Rate Log'!$G$39),INDEX(sc_ach,2))</f>
        <v>1</v>
      </c>
      <c r="N3838" s="72">
        <f>IF('Rate Log'!$C$39="",0,IF('Rate Log'!$E$39="planned",('Rate Log'!$D$39+N(INDEX(sc_dpts,2)))*$M3838,'Rate Log'!$D$39))</f>
        <v>0.02</v>
      </c>
      <c r="O3838" s="73">
        <f>IF('Rate Log'!$C$39="",0,IF(1+$N3838&gt;0,LN(1+$N3838),0))</f>
        <v>1.980262729617973E-2</v>
      </c>
      <c r="P3838" s="75">
        <f t="shared" si="1458"/>
        <v>28</v>
      </c>
      <c r="Q3838" s="75">
        <f>IF($K3838="",0,COUNTIFS(rl_key,'Rate Log'!$J$39,$L$3806:$L$4045,$L3838,$K$3806:$K$4045,"&lt;"&amp;$K3838))</f>
        <v>0</v>
      </c>
      <c r="R3838" s="75">
        <f>IF($K3838="",0,COUNTIFS('Rate Log'!$J$7:$J$39,'Rate Log'!$J$39,$L$3806:$L3838,$L3838,$K$3806:$K3838,$K3838))</f>
        <v>1</v>
      </c>
      <c r="S3838" s="75">
        <f t="shared" si="1459"/>
        <v>1</v>
      </c>
      <c r="U3838" s="74">
        <f>IF('Rate Log'!$C$39="","",IF('Rate Log'!$E$39="planned",EDATE('Rate Log'!$C$39,N(INDEX(sc_shift,3))),'Rate Log'!$C$39))</f>
        <v>46054</v>
      </c>
      <c r="V3838" s="74">
        <f t="shared" si="1460"/>
        <v>46054</v>
      </c>
      <c r="W3838" s="72">
        <f>IF(N(INDEX(sc_ach,3))=0,IF('Rate Log'!$G$39="",1,'Rate Log'!$G$39),INDEX(sc_ach,3))</f>
        <v>1</v>
      </c>
      <c r="X3838" s="72">
        <f>IF('Rate Log'!$C$39="",0,IF('Rate Log'!$E$39="planned",('Rate Log'!$D$39+N(INDEX(sc_dpts,3)))*$W3838,'Rate Log'!$D$39))</f>
        <v>0.02</v>
      </c>
      <c r="Y3838" s="73">
        <f>IF('Rate Log'!$C$39="",0,IF(1+$X3838&gt;0,LN(1+$X3838),0))</f>
        <v>1.980262729617973E-2</v>
      </c>
      <c r="Z3838" s="75">
        <f t="shared" si="1461"/>
        <v>28</v>
      </c>
      <c r="AA3838" s="75">
        <f>IF($U3838="",0,COUNTIFS(rl_key,'Rate Log'!$J$39,$V$3806:$V$4045,$V3838,$U$3806:$U$4045,"&lt;"&amp;$U3838))</f>
        <v>0</v>
      </c>
      <c r="AB3838" s="75">
        <f>IF($U3838="",0,COUNTIFS('Rate Log'!$J$7:$J$39,'Rate Log'!$J$39,$V$3806:$V3838,$V3838,$U$3806:$U3838,$U3838))</f>
        <v>1</v>
      </c>
      <c r="AC3838" s="75">
        <f t="shared" si="1462"/>
        <v>1</v>
      </c>
      <c r="AE3838" s="74">
        <f>IF('Rate Log'!$C$39="","",IF('Rate Log'!$E$39="planned",EDATE('Rate Log'!$C$39,N(INDEX(sc_shift,4))),'Rate Log'!$C$39))</f>
        <v>46054</v>
      </c>
      <c r="AF3838" s="74">
        <f t="shared" si="1463"/>
        <v>46054</v>
      </c>
      <c r="AG3838" s="72">
        <f>IF(N(INDEX(sc_ach,4))=0,IF('Rate Log'!$G$39="",1,'Rate Log'!$G$39),INDEX(sc_ach,4))</f>
        <v>1</v>
      </c>
      <c r="AH3838" s="72">
        <f>IF('Rate Log'!$C$39="",0,IF('Rate Log'!$E$39="planned",('Rate Log'!$D$39+N(INDEX(sc_dpts,4)))*$AG3838,'Rate Log'!$D$39))</f>
        <v>0.02</v>
      </c>
      <c r="AI3838" s="73">
        <f>IF('Rate Log'!$C$39="",0,IF(1+$AH3838&gt;0,LN(1+$AH3838),0))</f>
        <v>1.980262729617973E-2</v>
      </c>
      <c r="AJ3838" s="75">
        <f t="shared" si="1464"/>
        <v>28</v>
      </c>
      <c r="AK3838" s="75">
        <f>IF($AE3838="",0,COUNTIFS(rl_key,'Rate Log'!$J$39,$AF$3806:$AF$4045,$AF3838,$AE$3806:$AE$4045,"&lt;"&amp;$AE3838))</f>
        <v>0</v>
      </c>
      <c r="AL3838" s="75">
        <f>IF($AE3838="",0,COUNTIFS('Rate Log'!$J$7:$J$39,'Rate Log'!$J$39,$AF$3806:$AF3838,$AF3838,$AE$3806:$AE3838,$AE3838))</f>
        <v>1</v>
      </c>
      <c r="AM3838" s="75">
        <f t="shared" si="1465"/>
        <v>1</v>
      </c>
    </row>
    <row r="3839" spans="1:39" x14ac:dyDescent="0.3">
      <c r="A3839" s="74">
        <f>IF('Rate Log'!$C$40="","",IF('Rate Log'!$E$40="planned",EDATE('Rate Log'!$C$40,N(INDEX(sc_shift,1))),'Rate Log'!$C$40))</f>
        <v>46539</v>
      </c>
      <c r="B3839" s="74">
        <f t="shared" si="1454"/>
        <v>46539</v>
      </c>
      <c r="C3839" s="72">
        <f>IF(N(INDEX(sc_ach,1))=0,IF('Rate Log'!$G$40="",1,'Rate Log'!$G$40),INDEX(sc_ach,1))</f>
        <v>1</v>
      </c>
      <c r="D3839" s="72">
        <f>IF('Rate Log'!$C$40="",0,IF('Rate Log'!$E$40="planned",('Rate Log'!$D$40+N(INDEX(sc_dpts,1)))*$C3839,'Rate Log'!$D$40))</f>
        <v>0.06</v>
      </c>
      <c r="E3839" s="73">
        <f>IF('Rate Log'!$C$40="",0,IF(1+$D3839&gt;0,LN(1+$D3839),0))</f>
        <v>5.8268908123975824E-2</v>
      </c>
      <c r="F3839" s="75">
        <f t="shared" si="1455"/>
        <v>30</v>
      </c>
      <c r="G3839" s="75">
        <f>IF($A3839="",0,COUNTIFS(rl_key,'Rate Log'!$J$40,$B$3806:$B$4045,$B3839,$A$3806:$A$4045,"&lt;"&amp;$A3839))</f>
        <v>0</v>
      </c>
      <c r="H3839" s="75">
        <f>IF($A3839="",0,COUNTIFS('Rate Log'!$J$7:$J$40,'Rate Log'!$J$40,$B$3806:$B3839,$B3839,$A$3806:$A3839,$A3839))</f>
        <v>1</v>
      </c>
      <c r="I3839" s="75">
        <f t="shared" si="1456"/>
        <v>1</v>
      </c>
      <c r="K3839" s="74">
        <f>IF('Rate Log'!$C$40="","",IF('Rate Log'!$E$40="planned",EDATE('Rate Log'!$C$40,N(INDEX(sc_shift,2))),'Rate Log'!$C$40))</f>
        <v>46539</v>
      </c>
      <c r="L3839" s="74">
        <f t="shared" si="1457"/>
        <v>46539</v>
      </c>
      <c r="M3839" s="72">
        <f>IF(N(INDEX(sc_ach,2))=0,IF('Rate Log'!$G$40="",1,'Rate Log'!$G$40),INDEX(sc_ach,2))</f>
        <v>1</v>
      </c>
      <c r="N3839" s="72">
        <f>IF('Rate Log'!$C$40="",0,IF('Rate Log'!$E$40="planned",('Rate Log'!$D$40+N(INDEX(sc_dpts,2)))*$M3839,'Rate Log'!$D$40))</f>
        <v>0.04</v>
      </c>
      <c r="O3839" s="73">
        <f>IF('Rate Log'!$C$40="",0,IF(1+$N3839&gt;0,LN(1+$N3839),0))</f>
        <v>3.9220713153281329E-2</v>
      </c>
      <c r="P3839" s="75">
        <f t="shared" si="1458"/>
        <v>30</v>
      </c>
      <c r="Q3839" s="75">
        <f>IF($K3839="",0,COUNTIFS(rl_key,'Rate Log'!$J$40,$L$3806:$L$4045,$L3839,$K$3806:$K$4045,"&lt;"&amp;$K3839))</f>
        <v>0</v>
      </c>
      <c r="R3839" s="75">
        <f>IF($K3839="",0,COUNTIFS('Rate Log'!$J$7:$J$40,'Rate Log'!$J$40,$L$3806:$L3839,$L3839,$K$3806:$K3839,$K3839))</f>
        <v>1</v>
      </c>
      <c r="S3839" s="75">
        <f t="shared" si="1459"/>
        <v>1</v>
      </c>
      <c r="U3839" s="74">
        <f>IF('Rate Log'!$C$40="","",IF('Rate Log'!$E$40="planned",EDATE('Rate Log'!$C$40,N(INDEX(sc_shift,3))),'Rate Log'!$C$40))</f>
        <v>46539</v>
      </c>
      <c r="V3839" s="74">
        <f t="shared" si="1460"/>
        <v>46539</v>
      </c>
      <c r="W3839" s="72">
        <f>IF(N(INDEX(sc_ach,3))=0,IF('Rate Log'!$G$40="",1,'Rate Log'!$G$40),INDEX(sc_ach,3))</f>
        <v>1</v>
      </c>
      <c r="X3839" s="72">
        <f>IF('Rate Log'!$C$40="",0,IF('Rate Log'!$E$40="planned",('Rate Log'!$D$40+N(INDEX(sc_dpts,3)))*$W3839,'Rate Log'!$D$40))</f>
        <v>0.04</v>
      </c>
      <c r="Y3839" s="73">
        <f>IF('Rate Log'!$C$40="",0,IF(1+$X3839&gt;0,LN(1+$X3839),0))</f>
        <v>3.9220713153281329E-2</v>
      </c>
      <c r="Z3839" s="75">
        <f t="shared" si="1461"/>
        <v>30</v>
      </c>
      <c r="AA3839" s="75">
        <f>IF($U3839="",0,COUNTIFS(rl_key,'Rate Log'!$J$40,$V$3806:$V$4045,$V3839,$U$3806:$U$4045,"&lt;"&amp;$U3839))</f>
        <v>0</v>
      </c>
      <c r="AB3839" s="75">
        <f>IF($U3839="",0,COUNTIFS('Rate Log'!$J$7:$J$40,'Rate Log'!$J$40,$V$3806:$V3839,$V3839,$U$3806:$U3839,$U3839))</f>
        <v>1</v>
      </c>
      <c r="AC3839" s="75">
        <f t="shared" si="1462"/>
        <v>1</v>
      </c>
      <c r="AE3839" s="74">
        <f>IF('Rate Log'!$C$40="","",IF('Rate Log'!$E$40="planned",EDATE('Rate Log'!$C$40,N(INDEX(sc_shift,4))),'Rate Log'!$C$40))</f>
        <v>46539</v>
      </c>
      <c r="AF3839" s="74">
        <f t="shared" si="1463"/>
        <v>46539</v>
      </c>
      <c r="AG3839" s="72">
        <f>IF(N(INDEX(sc_ach,4))=0,IF('Rate Log'!$G$40="",1,'Rate Log'!$G$40),INDEX(sc_ach,4))</f>
        <v>1</v>
      </c>
      <c r="AH3839" s="72">
        <f>IF('Rate Log'!$C$40="",0,IF('Rate Log'!$E$40="planned",('Rate Log'!$D$40+N(INDEX(sc_dpts,4)))*$AG3839,'Rate Log'!$D$40))</f>
        <v>0.04</v>
      </c>
      <c r="AI3839" s="73">
        <f>IF('Rate Log'!$C$40="",0,IF(1+$AH3839&gt;0,LN(1+$AH3839),0))</f>
        <v>3.9220713153281329E-2</v>
      </c>
      <c r="AJ3839" s="75">
        <f t="shared" si="1464"/>
        <v>30</v>
      </c>
      <c r="AK3839" s="75">
        <f>IF($AE3839="",0,COUNTIFS(rl_key,'Rate Log'!$J$40,$AF$3806:$AF$4045,$AF3839,$AE$3806:$AE$4045,"&lt;"&amp;$AE3839))</f>
        <v>0</v>
      </c>
      <c r="AL3839" s="75">
        <f>IF($AE3839="",0,COUNTIFS('Rate Log'!$J$7:$J$40,'Rate Log'!$J$40,$AF$3806:$AF3839,$AF3839,$AE$3806:$AE3839,$AE3839))</f>
        <v>1</v>
      </c>
      <c r="AM3839" s="75">
        <f t="shared" si="1465"/>
        <v>1</v>
      </c>
    </row>
    <row r="3840" spans="1:39" x14ac:dyDescent="0.3">
      <c r="A3840" s="74">
        <f>IF('Rate Log'!$C$41="","",IF('Rate Log'!$E$41="planned",EDATE('Rate Log'!$C$41,N(INDEX(sc_shift,1))),'Rate Log'!$C$41))</f>
        <v>46113</v>
      </c>
      <c r="B3840" s="74">
        <f t="shared" si="1454"/>
        <v>46113</v>
      </c>
      <c r="C3840" s="72">
        <f>IF(N(INDEX(sc_ach,1))=0,IF('Rate Log'!$G$41="",1,'Rate Log'!$G$41),INDEX(sc_ach,1))</f>
        <v>1</v>
      </c>
      <c r="D3840" s="72">
        <f>IF('Rate Log'!$C$41="",0,IF('Rate Log'!$E$41="planned",('Rate Log'!$D$41+N(INDEX(sc_dpts,1)))*$C3840,'Rate Log'!$D$41))</f>
        <v>0.04</v>
      </c>
      <c r="E3840" s="73">
        <f>IF('Rate Log'!$C$41="",0,IF(1+$D3840&gt;0,LN(1+$D3840),0))</f>
        <v>3.9220713153281329E-2</v>
      </c>
      <c r="F3840" s="75">
        <f t="shared" si="1455"/>
        <v>30</v>
      </c>
      <c r="G3840" s="75">
        <f>IF($A3840="",0,COUNTIFS(rl_key,'Rate Log'!$J$41,$B$3806:$B$4045,$B3840,$A$3806:$A$4045,"&lt;"&amp;$A3840))</f>
        <v>0</v>
      </c>
      <c r="H3840" s="75">
        <f>IF($A3840="",0,COUNTIFS('Rate Log'!$J$7:$J$41,'Rate Log'!$J$41,$B$3806:$B3840,$B3840,$A$3806:$A3840,$A3840))</f>
        <v>1</v>
      </c>
      <c r="I3840" s="75">
        <f t="shared" si="1456"/>
        <v>1</v>
      </c>
      <c r="K3840" s="74">
        <f>IF('Rate Log'!$C$41="","",IF('Rate Log'!$E$41="planned",EDATE('Rate Log'!$C$41,N(INDEX(sc_shift,2))),'Rate Log'!$C$41))</f>
        <v>46113</v>
      </c>
      <c r="L3840" s="74">
        <f t="shared" si="1457"/>
        <v>46113</v>
      </c>
      <c r="M3840" s="72">
        <f>IF(N(INDEX(sc_ach,2))=0,IF('Rate Log'!$G$41="",1,'Rate Log'!$G$41),INDEX(sc_ach,2))</f>
        <v>1</v>
      </c>
      <c r="N3840" s="72">
        <f>IF('Rate Log'!$C$41="",0,IF('Rate Log'!$E$41="planned",('Rate Log'!$D$41+N(INDEX(sc_dpts,2)))*$M3840,'Rate Log'!$D$41))</f>
        <v>0.04</v>
      </c>
      <c r="O3840" s="73">
        <f>IF('Rate Log'!$C$41="",0,IF(1+$N3840&gt;0,LN(1+$N3840),0))</f>
        <v>3.9220713153281329E-2</v>
      </c>
      <c r="P3840" s="75">
        <f t="shared" si="1458"/>
        <v>30</v>
      </c>
      <c r="Q3840" s="75">
        <f>IF($K3840="",0,COUNTIFS(rl_key,'Rate Log'!$J$41,$L$3806:$L$4045,$L3840,$K$3806:$K$4045,"&lt;"&amp;$K3840))</f>
        <v>0</v>
      </c>
      <c r="R3840" s="75">
        <f>IF($K3840="",0,COUNTIFS('Rate Log'!$J$7:$J$41,'Rate Log'!$J$41,$L$3806:$L3840,$L3840,$K$3806:$K3840,$K3840))</f>
        <v>1</v>
      </c>
      <c r="S3840" s="75">
        <f t="shared" si="1459"/>
        <v>1</v>
      </c>
      <c r="U3840" s="74">
        <f>IF('Rate Log'!$C$41="","",IF('Rate Log'!$E$41="planned",EDATE('Rate Log'!$C$41,N(INDEX(sc_shift,3))),'Rate Log'!$C$41))</f>
        <v>46113</v>
      </c>
      <c r="V3840" s="74">
        <f t="shared" si="1460"/>
        <v>46113</v>
      </c>
      <c r="W3840" s="72">
        <f>IF(N(INDEX(sc_ach,3))=0,IF('Rate Log'!$G$41="",1,'Rate Log'!$G$41),INDEX(sc_ach,3))</f>
        <v>1</v>
      </c>
      <c r="X3840" s="72">
        <f>IF('Rate Log'!$C$41="",0,IF('Rate Log'!$E$41="planned",('Rate Log'!$D$41+N(INDEX(sc_dpts,3)))*$W3840,'Rate Log'!$D$41))</f>
        <v>0.04</v>
      </c>
      <c r="Y3840" s="73">
        <f>IF('Rate Log'!$C$41="",0,IF(1+$X3840&gt;0,LN(1+$X3840),0))</f>
        <v>3.9220713153281329E-2</v>
      </c>
      <c r="Z3840" s="75">
        <f t="shared" si="1461"/>
        <v>30</v>
      </c>
      <c r="AA3840" s="75">
        <f>IF($U3840="",0,COUNTIFS(rl_key,'Rate Log'!$J$41,$V$3806:$V$4045,$V3840,$U$3806:$U$4045,"&lt;"&amp;$U3840))</f>
        <v>0</v>
      </c>
      <c r="AB3840" s="75">
        <f>IF($U3840="",0,COUNTIFS('Rate Log'!$J$7:$J$41,'Rate Log'!$J$41,$V$3806:$V3840,$V3840,$U$3806:$U3840,$U3840))</f>
        <v>1</v>
      </c>
      <c r="AC3840" s="75">
        <f t="shared" si="1462"/>
        <v>1</v>
      </c>
      <c r="AE3840" s="74">
        <f>IF('Rate Log'!$C$41="","",IF('Rate Log'!$E$41="planned",EDATE('Rate Log'!$C$41,N(INDEX(sc_shift,4))),'Rate Log'!$C$41))</f>
        <v>46113</v>
      </c>
      <c r="AF3840" s="74">
        <f t="shared" si="1463"/>
        <v>46113</v>
      </c>
      <c r="AG3840" s="72">
        <f>IF(N(INDEX(sc_ach,4))=0,IF('Rate Log'!$G$41="",1,'Rate Log'!$G$41),INDEX(sc_ach,4))</f>
        <v>1</v>
      </c>
      <c r="AH3840" s="72">
        <f>IF('Rate Log'!$C$41="",0,IF('Rate Log'!$E$41="planned",('Rate Log'!$D$41+N(INDEX(sc_dpts,4)))*$AG3840,'Rate Log'!$D$41))</f>
        <v>0.04</v>
      </c>
      <c r="AI3840" s="73">
        <f>IF('Rate Log'!$C$41="",0,IF(1+$AH3840&gt;0,LN(1+$AH3840),0))</f>
        <v>3.9220713153281329E-2</v>
      </c>
      <c r="AJ3840" s="75">
        <f t="shared" si="1464"/>
        <v>30</v>
      </c>
      <c r="AK3840" s="75">
        <f>IF($AE3840="",0,COUNTIFS(rl_key,'Rate Log'!$J$41,$AF$3806:$AF$4045,$AF3840,$AE$3806:$AE$4045,"&lt;"&amp;$AE3840))</f>
        <v>0</v>
      </c>
      <c r="AL3840" s="75">
        <f>IF($AE3840="",0,COUNTIFS('Rate Log'!$J$7:$J$41,'Rate Log'!$J$41,$AF$3806:$AF3840,$AF3840,$AE$3806:$AE3840,$AE3840))</f>
        <v>1</v>
      </c>
      <c r="AM3840" s="75">
        <f t="shared" si="1465"/>
        <v>1</v>
      </c>
    </row>
    <row r="3841" spans="1:39" x14ac:dyDescent="0.3">
      <c r="A3841" s="74">
        <f>IF('Rate Log'!$C$42="","",IF('Rate Log'!$E$42="planned",EDATE('Rate Log'!$C$42,N(INDEX(sc_shift,1))),'Rate Log'!$C$42))</f>
        <v>46143</v>
      </c>
      <c r="B3841" s="74">
        <f t="shared" si="1454"/>
        <v>46143</v>
      </c>
      <c r="C3841" s="72">
        <f>IF(N(INDEX(sc_ach,1))=0,IF('Rate Log'!$G$42="",1,'Rate Log'!$G$42),INDEX(sc_ach,1))</f>
        <v>1</v>
      </c>
      <c r="D3841" s="72">
        <f>IF('Rate Log'!$C$42="",0,IF('Rate Log'!$E$42="planned",('Rate Log'!$D$42+N(INDEX(sc_dpts,1)))*$C3841,'Rate Log'!$D$42))</f>
        <v>0.05</v>
      </c>
      <c r="E3841" s="73">
        <f>IF('Rate Log'!$C$42="",0,IF(1+$D3841&gt;0,LN(1+$D3841),0))</f>
        <v>4.8790164169432049E-2</v>
      </c>
      <c r="F3841" s="75">
        <f t="shared" si="1455"/>
        <v>31</v>
      </c>
      <c r="G3841" s="75">
        <f>IF($A3841="",0,COUNTIFS(rl_key,'Rate Log'!$J$42,$B$3806:$B$4045,$B3841,$A$3806:$A$4045,"&lt;"&amp;$A3841))</f>
        <v>0</v>
      </c>
      <c r="H3841" s="75">
        <f>IF($A3841="",0,COUNTIFS('Rate Log'!$J$7:$J$42,'Rate Log'!$J$42,$B$3806:$B3841,$B3841,$A$3806:$A3841,$A3841))</f>
        <v>1</v>
      </c>
      <c r="I3841" s="75">
        <f t="shared" si="1456"/>
        <v>1</v>
      </c>
      <c r="K3841" s="74">
        <f>IF('Rate Log'!$C$42="","",IF('Rate Log'!$E$42="planned",EDATE('Rate Log'!$C$42,N(INDEX(sc_shift,2))),'Rate Log'!$C$42))</f>
        <v>46143</v>
      </c>
      <c r="L3841" s="74">
        <f t="shared" si="1457"/>
        <v>46143</v>
      </c>
      <c r="M3841" s="72">
        <f>IF(N(INDEX(sc_ach,2))=0,IF('Rate Log'!$G$42="",1,'Rate Log'!$G$42),INDEX(sc_ach,2))</f>
        <v>1</v>
      </c>
      <c r="N3841" s="72">
        <f>IF('Rate Log'!$C$42="",0,IF('Rate Log'!$E$42="planned",('Rate Log'!$D$42+N(INDEX(sc_dpts,2)))*$M3841,'Rate Log'!$D$42))</f>
        <v>0.05</v>
      </c>
      <c r="O3841" s="73">
        <f>IF('Rate Log'!$C$42="",0,IF(1+$N3841&gt;0,LN(1+$N3841),0))</f>
        <v>4.8790164169432049E-2</v>
      </c>
      <c r="P3841" s="75">
        <f t="shared" si="1458"/>
        <v>31</v>
      </c>
      <c r="Q3841" s="75">
        <f>IF($K3841="",0,COUNTIFS(rl_key,'Rate Log'!$J$42,$L$3806:$L$4045,$L3841,$K$3806:$K$4045,"&lt;"&amp;$K3841))</f>
        <v>0</v>
      </c>
      <c r="R3841" s="75">
        <f>IF($K3841="",0,COUNTIFS('Rate Log'!$J$7:$J$42,'Rate Log'!$J$42,$L$3806:$L3841,$L3841,$K$3806:$K3841,$K3841))</f>
        <v>1</v>
      </c>
      <c r="S3841" s="75">
        <f t="shared" si="1459"/>
        <v>1</v>
      </c>
      <c r="U3841" s="74">
        <f>IF('Rate Log'!$C$42="","",IF('Rate Log'!$E$42="planned",EDATE('Rate Log'!$C$42,N(INDEX(sc_shift,3))),'Rate Log'!$C$42))</f>
        <v>46143</v>
      </c>
      <c r="V3841" s="74">
        <f t="shared" si="1460"/>
        <v>46143</v>
      </c>
      <c r="W3841" s="72">
        <f>IF(N(INDEX(sc_ach,3))=0,IF('Rate Log'!$G$42="",1,'Rate Log'!$G$42),INDEX(sc_ach,3))</f>
        <v>1</v>
      </c>
      <c r="X3841" s="72">
        <f>IF('Rate Log'!$C$42="",0,IF('Rate Log'!$E$42="planned",('Rate Log'!$D$42+N(INDEX(sc_dpts,3)))*$W3841,'Rate Log'!$D$42))</f>
        <v>0.05</v>
      </c>
      <c r="Y3841" s="73">
        <f>IF('Rate Log'!$C$42="",0,IF(1+$X3841&gt;0,LN(1+$X3841),0))</f>
        <v>4.8790164169432049E-2</v>
      </c>
      <c r="Z3841" s="75">
        <f t="shared" si="1461"/>
        <v>31</v>
      </c>
      <c r="AA3841" s="75">
        <f>IF($U3841="",0,COUNTIFS(rl_key,'Rate Log'!$J$42,$V$3806:$V$4045,$V3841,$U$3806:$U$4045,"&lt;"&amp;$U3841))</f>
        <v>0</v>
      </c>
      <c r="AB3841" s="75">
        <f>IF($U3841="",0,COUNTIFS('Rate Log'!$J$7:$J$42,'Rate Log'!$J$42,$V$3806:$V3841,$V3841,$U$3806:$U3841,$U3841))</f>
        <v>1</v>
      </c>
      <c r="AC3841" s="75">
        <f t="shared" si="1462"/>
        <v>1</v>
      </c>
      <c r="AE3841" s="74">
        <f>IF('Rate Log'!$C$42="","",IF('Rate Log'!$E$42="planned",EDATE('Rate Log'!$C$42,N(INDEX(sc_shift,4))),'Rate Log'!$C$42))</f>
        <v>46143</v>
      </c>
      <c r="AF3841" s="74">
        <f t="shared" si="1463"/>
        <v>46143</v>
      </c>
      <c r="AG3841" s="72">
        <f>IF(N(INDEX(sc_ach,4))=0,IF('Rate Log'!$G$42="",1,'Rate Log'!$G$42),INDEX(sc_ach,4))</f>
        <v>1</v>
      </c>
      <c r="AH3841" s="72">
        <f>IF('Rate Log'!$C$42="",0,IF('Rate Log'!$E$42="planned",('Rate Log'!$D$42+N(INDEX(sc_dpts,4)))*$AG3841,'Rate Log'!$D$42))</f>
        <v>0.05</v>
      </c>
      <c r="AI3841" s="73">
        <f>IF('Rate Log'!$C$42="",0,IF(1+$AH3841&gt;0,LN(1+$AH3841),0))</f>
        <v>4.8790164169432049E-2</v>
      </c>
      <c r="AJ3841" s="75">
        <f t="shared" si="1464"/>
        <v>31</v>
      </c>
      <c r="AK3841" s="75">
        <f>IF($AE3841="",0,COUNTIFS(rl_key,'Rate Log'!$J$42,$AF$3806:$AF$4045,$AF3841,$AE$3806:$AE$4045,"&lt;"&amp;$AE3841))</f>
        <v>0</v>
      </c>
      <c r="AL3841" s="75">
        <f>IF($AE3841="",0,COUNTIFS('Rate Log'!$J$7:$J$42,'Rate Log'!$J$42,$AF$3806:$AF3841,$AF3841,$AE$3806:$AE3841,$AE3841))</f>
        <v>1</v>
      </c>
      <c r="AM3841" s="75">
        <f t="shared" si="1465"/>
        <v>1</v>
      </c>
    </row>
    <row r="3842" spans="1:39" x14ac:dyDescent="0.3">
      <c r="A3842" s="74">
        <f>IF('Rate Log'!$C$43="","",IF('Rate Log'!$E$43="planned",EDATE('Rate Log'!$C$43,N(INDEX(sc_shift,1))),'Rate Log'!$C$43))</f>
        <v>46661</v>
      </c>
      <c r="B3842" s="74">
        <f t="shared" si="1454"/>
        <v>46661</v>
      </c>
      <c r="C3842" s="72">
        <f>IF(N(INDEX(sc_ach,1))=0,IF('Rate Log'!$G$43="",1,'Rate Log'!$G$43),INDEX(sc_ach,1))</f>
        <v>1</v>
      </c>
      <c r="D3842" s="72">
        <f>IF('Rate Log'!$C$43="",0,IF('Rate Log'!$E$43="planned",('Rate Log'!$D$43+N(INDEX(sc_dpts,1)))*$C3842,'Rate Log'!$D$43))</f>
        <v>0.06</v>
      </c>
      <c r="E3842" s="73">
        <f>IF('Rate Log'!$C$43="",0,IF(1+$D3842&gt;0,LN(1+$D3842),0))</f>
        <v>5.8268908123975824E-2</v>
      </c>
      <c r="F3842" s="75">
        <f t="shared" si="1455"/>
        <v>31</v>
      </c>
      <c r="G3842" s="75">
        <f>IF($A3842="",0,COUNTIFS(rl_key,'Rate Log'!$J$43,$B$3806:$B$4045,$B3842,$A$3806:$A$4045,"&lt;"&amp;$A3842))</f>
        <v>0</v>
      </c>
      <c r="H3842" s="75">
        <f>IF($A3842="",0,COUNTIFS('Rate Log'!$J$7:$J$43,'Rate Log'!$J$43,$B$3806:$B3842,$B3842,$A$3806:$A3842,$A3842))</f>
        <v>1</v>
      </c>
      <c r="I3842" s="75">
        <f t="shared" si="1456"/>
        <v>1</v>
      </c>
      <c r="K3842" s="74">
        <f>IF('Rate Log'!$C$43="","",IF('Rate Log'!$E$43="planned",EDATE('Rate Log'!$C$43,N(INDEX(sc_shift,2))),'Rate Log'!$C$43))</f>
        <v>46661</v>
      </c>
      <c r="L3842" s="74">
        <f t="shared" si="1457"/>
        <v>46661</v>
      </c>
      <c r="M3842" s="72">
        <f>IF(N(INDEX(sc_ach,2))=0,IF('Rate Log'!$G$43="",1,'Rate Log'!$G$43),INDEX(sc_ach,2))</f>
        <v>1</v>
      </c>
      <c r="N3842" s="72">
        <f>IF('Rate Log'!$C$43="",0,IF('Rate Log'!$E$43="planned",('Rate Log'!$D$43+N(INDEX(sc_dpts,2)))*$M3842,'Rate Log'!$D$43))</f>
        <v>0.04</v>
      </c>
      <c r="O3842" s="73">
        <f>IF('Rate Log'!$C$43="",0,IF(1+$N3842&gt;0,LN(1+$N3842),0))</f>
        <v>3.9220713153281329E-2</v>
      </c>
      <c r="P3842" s="75">
        <f t="shared" si="1458"/>
        <v>31</v>
      </c>
      <c r="Q3842" s="75">
        <f>IF($K3842="",0,COUNTIFS(rl_key,'Rate Log'!$J$43,$L$3806:$L$4045,$L3842,$K$3806:$K$4045,"&lt;"&amp;$K3842))</f>
        <v>0</v>
      </c>
      <c r="R3842" s="75">
        <f>IF($K3842="",0,COUNTIFS('Rate Log'!$J$7:$J$43,'Rate Log'!$J$43,$L$3806:$L3842,$L3842,$K$3806:$K3842,$K3842))</f>
        <v>1</v>
      </c>
      <c r="S3842" s="75">
        <f t="shared" si="1459"/>
        <v>1</v>
      </c>
      <c r="U3842" s="74">
        <f>IF('Rate Log'!$C$43="","",IF('Rate Log'!$E$43="planned",EDATE('Rate Log'!$C$43,N(INDEX(sc_shift,3))),'Rate Log'!$C$43))</f>
        <v>46661</v>
      </c>
      <c r="V3842" s="74">
        <f t="shared" si="1460"/>
        <v>46661</v>
      </c>
      <c r="W3842" s="72">
        <f>IF(N(INDEX(sc_ach,3))=0,IF('Rate Log'!$G$43="",1,'Rate Log'!$G$43),INDEX(sc_ach,3))</f>
        <v>1</v>
      </c>
      <c r="X3842" s="72">
        <f>IF('Rate Log'!$C$43="",0,IF('Rate Log'!$E$43="planned",('Rate Log'!$D$43+N(INDEX(sc_dpts,3)))*$W3842,'Rate Log'!$D$43))</f>
        <v>0.04</v>
      </c>
      <c r="Y3842" s="73">
        <f>IF('Rate Log'!$C$43="",0,IF(1+$X3842&gt;0,LN(1+$X3842),0))</f>
        <v>3.9220713153281329E-2</v>
      </c>
      <c r="Z3842" s="75">
        <f t="shared" si="1461"/>
        <v>31</v>
      </c>
      <c r="AA3842" s="75">
        <f>IF($U3842="",0,COUNTIFS(rl_key,'Rate Log'!$J$43,$V$3806:$V$4045,$V3842,$U$3806:$U$4045,"&lt;"&amp;$U3842))</f>
        <v>0</v>
      </c>
      <c r="AB3842" s="75">
        <f>IF($U3842="",0,COUNTIFS('Rate Log'!$J$7:$J$43,'Rate Log'!$J$43,$V$3806:$V3842,$V3842,$U$3806:$U3842,$U3842))</f>
        <v>1</v>
      </c>
      <c r="AC3842" s="75">
        <f t="shared" si="1462"/>
        <v>1</v>
      </c>
      <c r="AE3842" s="74">
        <f>IF('Rate Log'!$C$43="","",IF('Rate Log'!$E$43="planned",EDATE('Rate Log'!$C$43,N(INDEX(sc_shift,4))),'Rate Log'!$C$43))</f>
        <v>46661</v>
      </c>
      <c r="AF3842" s="74">
        <f t="shared" si="1463"/>
        <v>46661</v>
      </c>
      <c r="AG3842" s="72">
        <f>IF(N(INDEX(sc_ach,4))=0,IF('Rate Log'!$G$43="",1,'Rate Log'!$G$43),INDEX(sc_ach,4))</f>
        <v>1</v>
      </c>
      <c r="AH3842" s="72">
        <f>IF('Rate Log'!$C$43="",0,IF('Rate Log'!$E$43="planned",('Rate Log'!$D$43+N(INDEX(sc_dpts,4)))*$AG3842,'Rate Log'!$D$43))</f>
        <v>0.04</v>
      </c>
      <c r="AI3842" s="73">
        <f>IF('Rate Log'!$C$43="",0,IF(1+$AH3842&gt;0,LN(1+$AH3842),0))</f>
        <v>3.9220713153281329E-2</v>
      </c>
      <c r="AJ3842" s="75">
        <f t="shared" si="1464"/>
        <v>31</v>
      </c>
      <c r="AK3842" s="75">
        <f>IF($AE3842="",0,COUNTIFS(rl_key,'Rate Log'!$J$43,$AF$3806:$AF$4045,$AF3842,$AE$3806:$AE$4045,"&lt;"&amp;$AE3842))</f>
        <v>0</v>
      </c>
      <c r="AL3842" s="75">
        <f>IF($AE3842="",0,COUNTIFS('Rate Log'!$J$7:$J$43,'Rate Log'!$J$43,$AF$3806:$AF3842,$AF3842,$AE$3806:$AE3842,$AE3842))</f>
        <v>1</v>
      </c>
      <c r="AM3842" s="75">
        <f t="shared" si="1465"/>
        <v>1</v>
      </c>
    </row>
    <row r="3843" spans="1:39" x14ac:dyDescent="0.3">
      <c r="A3843" s="74">
        <f>IF('Rate Log'!$C$44="","",IF('Rate Log'!$E$44="planned",EDATE('Rate Log'!$C$44,N(INDEX(sc_shift,1))),'Rate Log'!$C$44))</f>
        <v>46204</v>
      </c>
      <c r="B3843" s="74">
        <f t="shared" si="1454"/>
        <v>46204</v>
      </c>
      <c r="C3843" s="72">
        <f>IF(N(INDEX(sc_ach,1))=0,IF('Rate Log'!$G$44="",1,'Rate Log'!$G$44),INDEX(sc_ach,1))</f>
        <v>1</v>
      </c>
      <c r="D3843" s="72">
        <f>IF('Rate Log'!$C$44="",0,IF('Rate Log'!$E$44="planned",('Rate Log'!$D$44+N(INDEX(sc_dpts,1)))*$C3843,'Rate Log'!$D$44))</f>
        <v>0.02</v>
      </c>
      <c r="E3843" s="73">
        <f>IF('Rate Log'!$C$44="",0,IF(1+$D3843&gt;0,LN(1+$D3843),0))</f>
        <v>1.980262729617973E-2</v>
      </c>
      <c r="F3843" s="75">
        <f t="shared" si="1455"/>
        <v>31</v>
      </c>
      <c r="G3843" s="75">
        <f>IF($A3843="",0,COUNTIFS(rl_key,'Rate Log'!$J$44,$B$3806:$B$4045,$B3843,$A$3806:$A$4045,"&lt;"&amp;$A3843))</f>
        <v>0</v>
      </c>
      <c r="H3843" s="75">
        <f>IF($A3843="",0,COUNTIFS('Rate Log'!$J$7:$J$44,'Rate Log'!$J$44,$B$3806:$B3843,$B3843,$A$3806:$A3843,$A3843))</f>
        <v>1</v>
      </c>
      <c r="I3843" s="75">
        <f t="shared" si="1456"/>
        <v>1</v>
      </c>
      <c r="K3843" s="74">
        <f>IF('Rate Log'!$C$44="","",IF('Rate Log'!$E$44="planned",EDATE('Rate Log'!$C$44,N(INDEX(sc_shift,2))),'Rate Log'!$C$44))</f>
        <v>46204</v>
      </c>
      <c r="L3843" s="74">
        <f t="shared" si="1457"/>
        <v>46204</v>
      </c>
      <c r="M3843" s="72">
        <f>IF(N(INDEX(sc_ach,2))=0,IF('Rate Log'!$G$44="",1,'Rate Log'!$G$44),INDEX(sc_ach,2))</f>
        <v>1</v>
      </c>
      <c r="N3843" s="72">
        <f>IF('Rate Log'!$C$44="",0,IF('Rate Log'!$E$44="planned",('Rate Log'!$D$44+N(INDEX(sc_dpts,2)))*$M3843,'Rate Log'!$D$44))</f>
        <v>0.02</v>
      </c>
      <c r="O3843" s="73">
        <f>IF('Rate Log'!$C$44="",0,IF(1+$N3843&gt;0,LN(1+$N3843),0))</f>
        <v>1.980262729617973E-2</v>
      </c>
      <c r="P3843" s="75">
        <f t="shared" si="1458"/>
        <v>31</v>
      </c>
      <c r="Q3843" s="75">
        <f>IF($K3843="",0,COUNTIFS(rl_key,'Rate Log'!$J$44,$L$3806:$L$4045,$L3843,$K$3806:$K$4045,"&lt;"&amp;$K3843))</f>
        <v>0</v>
      </c>
      <c r="R3843" s="75">
        <f>IF($K3843="",0,COUNTIFS('Rate Log'!$J$7:$J$44,'Rate Log'!$J$44,$L$3806:$L3843,$L3843,$K$3806:$K3843,$K3843))</f>
        <v>1</v>
      </c>
      <c r="S3843" s="75">
        <f t="shared" si="1459"/>
        <v>1</v>
      </c>
      <c r="U3843" s="74">
        <f>IF('Rate Log'!$C$44="","",IF('Rate Log'!$E$44="planned",EDATE('Rate Log'!$C$44,N(INDEX(sc_shift,3))),'Rate Log'!$C$44))</f>
        <v>46204</v>
      </c>
      <c r="V3843" s="74">
        <f t="shared" si="1460"/>
        <v>46204</v>
      </c>
      <c r="W3843" s="72">
        <f>IF(N(INDEX(sc_ach,3))=0,IF('Rate Log'!$G$44="",1,'Rate Log'!$G$44),INDEX(sc_ach,3))</f>
        <v>1</v>
      </c>
      <c r="X3843" s="72">
        <f>IF('Rate Log'!$C$44="",0,IF('Rate Log'!$E$44="planned",('Rate Log'!$D$44+N(INDEX(sc_dpts,3)))*$W3843,'Rate Log'!$D$44))</f>
        <v>0.02</v>
      </c>
      <c r="Y3843" s="73">
        <f>IF('Rate Log'!$C$44="",0,IF(1+$X3843&gt;0,LN(1+$X3843),0))</f>
        <v>1.980262729617973E-2</v>
      </c>
      <c r="Z3843" s="75">
        <f t="shared" si="1461"/>
        <v>31</v>
      </c>
      <c r="AA3843" s="75">
        <f>IF($U3843="",0,COUNTIFS(rl_key,'Rate Log'!$J$44,$V$3806:$V$4045,$V3843,$U$3806:$U$4045,"&lt;"&amp;$U3843))</f>
        <v>0</v>
      </c>
      <c r="AB3843" s="75">
        <f>IF($U3843="",0,COUNTIFS('Rate Log'!$J$7:$J$44,'Rate Log'!$J$44,$V$3806:$V3843,$V3843,$U$3806:$U3843,$U3843))</f>
        <v>1</v>
      </c>
      <c r="AC3843" s="75">
        <f t="shared" si="1462"/>
        <v>1</v>
      </c>
      <c r="AE3843" s="74">
        <f>IF('Rate Log'!$C$44="","",IF('Rate Log'!$E$44="planned",EDATE('Rate Log'!$C$44,N(INDEX(sc_shift,4))),'Rate Log'!$C$44))</f>
        <v>46204</v>
      </c>
      <c r="AF3843" s="74">
        <f t="shared" si="1463"/>
        <v>46204</v>
      </c>
      <c r="AG3843" s="72">
        <f>IF(N(INDEX(sc_ach,4))=0,IF('Rate Log'!$G$44="",1,'Rate Log'!$G$44),INDEX(sc_ach,4))</f>
        <v>1</v>
      </c>
      <c r="AH3843" s="72">
        <f>IF('Rate Log'!$C$44="",0,IF('Rate Log'!$E$44="planned",('Rate Log'!$D$44+N(INDEX(sc_dpts,4)))*$AG3843,'Rate Log'!$D$44))</f>
        <v>0.02</v>
      </c>
      <c r="AI3843" s="73">
        <f>IF('Rate Log'!$C$44="",0,IF(1+$AH3843&gt;0,LN(1+$AH3843),0))</f>
        <v>1.980262729617973E-2</v>
      </c>
      <c r="AJ3843" s="75">
        <f t="shared" si="1464"/>
        <v>31</v>
      </c>
      <c r="AK3843" s="75">
        <f>IF($AE3843="",0,COUNTIFS(rl_key,'Rate Log'!$J$44,$AF$3806:$AF$4045,$AF3843,$AE$3806:$AE$4045,"&lt;"&amp;$AE3843))</f>
        <v>0</v>
      </c>
      <c r="AL3843" s="75">
        <f>IF($AE3843="",0,COUNTIFS('Rate Log'!$J$7:$J$44,'Rate Log'!$J$44,$AF$3806:$AF3843,$AF3843,$AE$3806:$AE3843,$AE3843))</f>
        <v>1</v>
      </c>
      <c r="AM3843" s="75">
        <f t="shared" si="1465"/>
        <v>1</v>
      </c>
    </row>
    <row r="3844" spans="1:39" x14ac:dyDescent="0.3">
      <c r="A3844" s="74">
        <f>IF('Rate Log'!$C$45="","",IF('Rate Log'!$E$45="planned",EDATE('Rate Log'!$C$45,N(INDEX(sc_shift,1))),'Rate Log'!$C$45))</f>
        <v>46235</v>
      </c>
      <c r="B3844" s="74">
        <f t="shared" si="1454"/>
        <v>46235</v>
      </c>
      <c r="C3844" s="72">
        <f>IF(N(INDEX(sc_ach,1))=0,IF('Rate Log'!$G$45="",1,'Rate Log'!$G$45),INDEX(sc_ach,1))</f>
        <v>1</v>
      </c>
      <c r="D3844" s="72">
        <f>IF('Rate Log'!$C$45="",0,IF('Rate Log'!$E$45="planned",('Rate Log'!$D$45+N(INDEX(sc_dpts,1)))*$C3844,'Rate Log'!$D$45))</f>
        <v>0.03</v>
      </c>
      <c r="E3844" s="73">
        <f>IF('Rate Log'!$C$45="",0,IF(1+$D3844&gt;0,LN(1+$D3844),0))</f>
        <v>2.9558802241544429E-2</v>
      </c>
      <c r="F3844" s="75">
        <f t="shared" si="1455"/>
        <v>31</v>
      </c>
      <c r="G3844" s="75">
        <f>IF($A3844="",0,COUNTIFS(rl_key,'Rate Log'!$J$45,$B$3806:$B$4045,$B3844,$A$3806:$A$4045,"&lt;"&amp;$A3844))</f>
        <v>0</v>
      </c>
      <c r="H3844" s="75">
        <f>IF($A3844="",0,COUNTIFS('Rate Log'!$J$7:$J$45,'Rate Log'!$J$45,$B$3806:$B3844,$B3844,$A$3806:$A3844,$A3844))</f>
        <v>1</v>
      </c>
      <c r="I3844" s="75">
        <f t="shared" si="1456"/>
        <v>1</v>
      </c>
      <c r="K3844" s="74">
        <f>IF('Rate Log'!$C$45="","",IF('Rate Log'!$E$45="planned",EDATE('Rate Log'!$C$45,N(INDEX(sc_shift,2))),'Rate Log'!$C$45))</f>
        <v>46235</v>
      </c>
      <c r="L3844" s="74">
        <f t="shared" si="1457"/>
        <v>46235</v>
      </c>
      <c r="M3844" s="72">
        <f>IF(N(INDEX(sc_ach,2))=0,IF('Rate Log'!$G$45="",1,'Rate Log'!$G$45),INDEX(sc_ach,2))</f>
        <v>1</v>
      </c>
      <c r="N3844" s="72">
        <f>IF('Rate Log'!$C$45="",0,IF('Rate Log'!$E$45="planned",('Rate Log'!$D$45+N(INDEX(sc_dpts,2)))*$M3844,'Rate Log'!$D$45))</f>
        <v>0.03</v>
      </c>
      <c r="O3844" s="73">
        <f>IF('Rate Log'!$C$45="",0,IF(1+$N3844&gt;0,LN(1+$N3844),0))</f>
        <v>2.9558802241544429E-2</v>
      </c>
      <c r="P3844" s="75">
        <f t="shared" si="1458"/>
        <v>31</v>
      </c>
      <c r="Q3844" s="75">
        <f>IF($K3844="",0,COUNTIFS(rl_key,'Rate Log'!$J$45,$L$3806:$L$4045,$L3844,$K$3806:$K$4045,"&lt;"&amp;$K3844))</f>
        <v>0</v>
      </c>
      <c r="R3844" s="75">
        <f>IF($K3844="",0,COUNTIFS('Rate Log'!$J$7:$J$45,'Rate Log'!$J$45,$L$3806:$L3844,$L3844,$K$3806:$K3844,$K3844))</f>
        <v>1</v>
      </c>
      <c r="S3844" s="75">
        <f t="shared" si="1459"/>
        <v>1</v>
      </c>
      <c r="U3844" s="74">
        <f>IF('Rate Log'!$C$45="","",IF('Rate Log'!$E$45="planned",EDATE('Rate Log'!$C$45,N(INDEX(sc_shift,3))),'Rate Log'!$C$45))</f>
        <v>46235</v>
      </c>
      <c r="V3844" s="74">
        <f t="shared" si="1460"/>
        <v>46235</v>
      </c>
      <c r="W3844" s="72">
        <f>IF(N(INDEX(sc_ach,3))=0,IF('Rate Log'!$G$45="",1,'Rate Log'!$G$45),INDEX(sc_ach,3))</f>
        <v>1</v>
      </c>
      <c r="X3844" s="72">
        <f>IF('Rate Log'!$C$45="",0,IF('Rate Log'!$E$45="planned",('Rate Log'!$D$45+N(INDEX(sc_dpts,3)))*$W3844,'Rate Log'!$D$45))</f>
        <v>0.03</v>
      </c>
      <c r="Y3844" s="73">
        <f>IF('Rate Log'!$C$45="",0,IF(1+$X3844&gt;0,LN(1+$X3844),0))</f>
        <v>2.9558802241544429E-2</v>
      </c>
      <c r="Z3844" s="75">
        <f t="shared" si="1461"/>
        <v>31</v>
      </c>
      <c r="AA3844" s="75">
        <f>IF($U3844="",0,COUNTIFS(rl_key,'Rate Log'!$J$45,$V$3806:$V$4045,$V3844,$U$3806:$U$4045,"&lt;"&amp;$U3844))</f>
        <v>0</v>
      </c>
      <c r="AB3844" s="75">
        <f>IF($U3844="",0,COUNTIFS('Rate Log'!$J$7:$J$45,'Rate Log'!$J$45,$V$3806:$V3844,$V3844,$U$3806:$U3844,$U3844))</f>
        <v>1</v>
      </c>
      <c r="AC3844" s="75">
        <f t="shared" si="1462"/>
        <v>1</v>
      </c>
      <c r="AE3844" s="74">
        <f>IF('Rate Log'!$C$45="","",IF('Rate Log'!$E$45="planned",EDATE('Rate Log'!$C$45,N(INDEX(sc_shift,4))),'Rate Log'!$C$45))</f>
        <v>46235</v>
      </c>
      <c r="AF3844" s="74">
        <f t="shared" si="1463"/>
        <v>46235</v>
      </c>
      <c r="AG3844" s="72">
        <f>IF(N(INDEX(sc_ach,4))=0,IF('Rate Log'!$G$45="",1,'Rate Log'!$G$45),INDEX(sc_ach,4))</f>
        <v>1</v>
      </c>
      <c r="AH3844" s="72">
        <f>IF('Rate Log'!$C$45="",0,IF('Rate Log'!$E$45="planned",('Rate Log'!$D$45+N(INDEX(sc_dpts,4)))*$AG3844,'Rate Log'!$D$45))</f>
        <v>0.03</v>
      </c>
      <c r="AI3844" s="73">
        <f>IF('Rate Log'!$C$45="",0,IF(1+$AH3844&gt;0,LN(1+$AH3844),0))</f>
        <v>2.9558802241544429E-2</v>
      </c>
      <c r="AJ3844" s="75">
        <f t="shared" si="1464"/>
        <v>31</v>
      </c>
      <c r="AK3844" s="75">
        <f>IF($AE3844="",0,COUNTIFS(rl_key,'Rate Log'!$J$45,$AF$3806:$AF$4045,$AF3844,$AE$3806:$AE$4045,"&lt;"&amp;$AE3844))</f>
        <v>0</v>
      </c>
      <c r="AL3844" s="75">
        <f>IF($AE3844="",0,COUNTIFS('Rate Log'!$J$7:$J$45,'Rate Log'!$J$45,$AF$3806:$AF3844,$AF3844,$AE$3806:$AE3844,$AE3844))</f>
        <v>1</v>
      </c>
      <c r="AM3844" s="75">
        <f t="shared" si="1465"/>
        <v>1</v>
      </c>
    </row>
    <row r="3845" spans="1:39" x14ac:dyDescent="0.3">
      <c r="A3845" s="74">
        <f>IF('Rate Log'!$C$46="","",IF('Rate Log'!$E$46="planned",EDATE('Rate Log'!$C$46,N(INDEX(sc_shift,1))),'Rate Log'!$C$46))</f>
        <v>46296</v>
      </c>
      <c r="B3845" s="74">
        <f t="shared" si="1454"/>
        <v>46296</v>
      </c>
      <c r="C3845" s="72">
        <f>IF(N(INDEX(sc_ach,1))=0,IF('Rate Log'!$G$46="",1,'Rate Log'!$G$46),INDEX(sc_ach,1))</f>
        <v>1</v>
      </c>
      <c r="D3845" s="72">
        <f>IF('Rate Log'!$C$46="",0,IF('Rate Log'!$E$46="planned",('Rate Log'!$D$46+N(INDEX(sc_dpts,1)))*$C3845,'Rate Log'!$D$46))</f>
        <v>0.05</v>
      </c>
      <c r="E3845" s="73">
        <f>IF('Rate Log'!$C$46="",0,IF(1+$D3845&gt;0,LN(1+$D3845),0))</f>
        <v>4.8790164169432049E-2</v>
      </c>
      <c r="F3845" s="75">
        <f t="shared" si="1455"/>
        <v>31</v>
      </c>
      <c r="G3845" s="75">
        <f>IF($A3845="",0,COUNTIFS(rl_key,'Rate Log'!$J$46,$B$3806:$B$4045,$B3845,$A$3806:$A$4045,"&lt;"&amp;$A3845))</f>
        <v>0</v>
      </c>
      <c r="H3845" s="75">
        <f>IF($A3845="",0,COUNTIFS('Rate Log'!$J$7:$J$46,'Rate Log'!$J$46,$B$3806:$B3845,$B3845,$A$3806:$A3845,$A3845))</f>
        <v>1</v>
      </c>
      <c r="I3845" s="75">
        <f t="shared" si="1456"/>
        <v>1</v>
      </c>
      <c r="K3845" s="74">
        <f>IF('Rate Log'!$C$46="","",IF('Rate Log'!$E$46="planned",EDATE('Rate Log'!$C$46,N(INDEX(sc_shift,2))),'Rate Log'!$C$46))</f>
        <v>46296</v>
      </c>
      <c r="L3845" s="74">
        <f t="shared" si="1457"/>
        <v>46296</v>
      </c>
      <c r="M3845" s="72">
        <f>IF(N(INDEX(sc_ach,2))=0,IF('Rate Log'!$G$46="",1,'Rate Log'!$G$46),INDEX(sc_ach,2))</f>
        <v>1</v>
      </c>
      <c r="N3845" s="72">
        <f>IF('Rate Log'!$C$46="",0,IF('Rate Log'!$E$46="planned",('Rate Log'!$D$46+N(INDEX(sc_dpts,2)))*$M3845,'Rate Log'!$D$46))</f>
        <v>0.05</v>
      </c>
      <c r="O3845" s="73">
        <f>IF('Rate Log'!$C$46="",0,IF(1+$N3845&gt;0,LN(1+$N3845),0))</f>
        <v>4.8790164169432049E-2</v>
      </c>
      <c r="P3845" s="75">
        <f t="shared" si="1458"/>
        <v>31</v>
      </c>
      <c r="Q3845" s="75">
        <f>IF($K3845="",0,COUNTIFS(rl_key,'Rate Log'!$J$46,$L$3806:$L$4045,$L3845,$K$3806:$K$4045,"&lt;"&amp;$K3845))</f>
        <v>0</v>
      </c>
      <c r="R3845" s="75">
        <f>IF($K3845="",0,COUNTIFS('Rate Log'!$J$7:$J$46,'Rate Log'!$J$46,$L$3806:$L3845,$L3845,$K$3806:$K3845,$K3845))</f>
        <v>1</v>
      </c>
      <c r="S3845" s="75">
        <f t="shared" si="1459"/>
        <v>1</v>
      </c>
      <c r="U3845" s="74">
        <f>IF('Rate Log'!$C$46="","",IF('Rate Log'!$E$46="planned",EDATE('Rate Log'!$C$46,N(INDEX(sc_shift,3))),'Rate Log'!$C$46))</f>
        <v>46296</v>
      </c>
      <c r="V3845" s="74">
        <f t="shared" si="1460"/>
        <v>46296</v>
      </c>
      <c r="W3845" s="72">
        <f>IF(N(INDEX(sc_ach,3))=0,IF('Rate Log'!$G$46="",1,'Rate Log'!$G$46),INDEX(sc_ach,3))</f>
        <v>1</v>
      </c>
      <c r="X3845" s="72">
        <f>IF('Rate Log'!$C$46="",0,IF('Rate Log'!$E$46="planned",('Rate Log'!$D$46+N(INDEX(sc_dpts,3)))*$W3845,'Rate Log'!$D$46))</f>
        <v>0.05</v>
      </c>
      <c r="Y3845" s="73">
        <f>IF('Rate Log'!$C$46="",0,IF(1+$X3845&gt;0,LN(1+$X3845),0))</f>
        <v>4.8790164169432049E-2</v>
      </c>
      <c r="Z3845" s="75">
        <f t="shared" si="1461"/>
        <v>31</v>
      </c>
      <c r="AA3845" s="75">
        <f>IF($U3845="",0,COUNTIFS(rl_key,'Rate Log'!$J$46,$V$3806:$V$4045,$V3845,$U$3806:$U$4045,"&lt;"&amp;$U3845))</f>
        <v>0</v>
      </c>
      <c r="AB3845" s="75">
        <f>IF($U3845="",0,COUNTIFS('Rate Log'!$J$7:$J$46,'Rate Log'!$J$46,$V$3806:$V3845,$V3845,$U$3806:$U3845,$U3845))</f>
        <v>1</v>
      </c>
      <c r="AC3845" s="75">
        <f t="shared" si="1462"/>
        <v>1</v>
      </c>
      <c r="AE3845" s="74">
        <f>IF('Rate Log'!$C$46="","",IF('Rate Log'!$E$46="planned",EDATE('Rate Log'!$C$46,N(INDEX(sc_shift,4))),'Rate Log'!$C$46))</f>
        <v>46296</v>
      </c>
      <c r="AF3845" s="74">
        <f t="shared" si="1463"/>
        <v>46296</v>
      </c>
      <c r="AG3845" s="72">
        <f>IF(N(INDEX(sc_ach,4))=0,IF('Rate Log'!$G$46="",1,'Rate Log'!$G$46),INDEX(sc_ach,4))</f>
        <v>1</v>
      </c>
      <c r="AH3845" s="72">
        <f>IF('Rate Log'!$C$46="",0,IF('Rate Log'!$E$46="planned",('Rate Log'!$D$46+N(INDEX(sc_dpts,4)))*$AG3845,'Rate Log'!$D$46))</f>
        <v>0.05</v>
      </c>
      <c r="AI3845" s="73">
        <f>IF('Rate Log'!$C$46="",0,IF(1+$AH3845&gt;0,LN(1+$AH3845),0))</f>
        <v>4.8790164169432049E-2</v>
      </c>
      <c r="AJ3845" s="75">
        <f t="shared" si="1464"/>
        <v>31</v>
      </c>
      <c r="AK3845" s="75">
        <f>IF($AE3845="",0,COUNTIFS(rl_key,'Rate Log'!$J$46,$AF$3806:$AF$4045,$AF3845,$AE$3806:$AE$4045,"&lt;"&amp;$AE3845))</f>
        <v>0</v>
      </c>
      <c r="AL3845" s="75">
        <f>IF($AE3845="",0,COUNTIFS('Rate Log'!$J$7:$J$46,'Rate Log'!$J$46,$AF$3806:$AF3845,$AF3845,$AE$3806:$AE3845,$AE3845))</f>
        <v>1</v>
      </c>
      <c r="AM3845" s="75">
        <f t="shared" si="1465"/>
        <v>1</v>
      </c>
    </row>
    <row r="3846" spans="1:39" x14ac:dyDescent="0.3">
      <c r="A3846" s="74">
        <f>IF('Rate Log'!$C$47="","",IF('Rate Log'!$E$47="planned",EDATE('Rate Log'!$C$47,N(INDEX(sc_shift,1))),'Rate Log'!$C$47))</f>
        <v>46478</v>
      </c>
      <c r="B3846" s="74">
        <f t="shared" si="1454"/>
        <v>46478</v>
      </c>
      <c r="C3846" s="72">
        <f>IF(N(INDEX(sc_ach,1))=0,IF('Rate Log'!$G$47="",1,'Rate Log'!$G$47),INDEX(sc_ach,1))</f>
        <v>1</v>
      </c>
      <c r="D3846" s="72">
        <f>IF('Rate Log'!$C$47="",0,IF('Rate Log'!$E$47="planned",('Rate Log'!$D$47+N(INDEX(sc_dpts,1)))*$C3846,'Rate Log'!$D$47))</f>
        <v>0.06</v>
      </c>
      <c r="E3846" s="73">
        <f>IF('Rate Log'!$C$47="",0,IF(1+$D3846&gt;0,LN(1+$D3846),0))</f>
        <v>5.8268908123975824E-2</v>
      </c>
      <c r="F3846" s="75">
        <f t="shared" si="1455"/>
        <v>30</v>
      </c>
      <c r="G3846" s="75">
        <f>IF($A3846="",0,COUNTIFS(rl_key,'Rate Log'!$J$47,$B$3806:$B$4045,$B3846,$A$3806:$A$4045,"&lt;"&amp;$A3846))</f>
        <v>0</v>
      </c>
      <c r="H3846" s="75">
        <f>IF($A3846="",0,COUNTIFS('Rate Log'!$J$7:$J$47,'Rate Log'!$J$47,$B$3806:$B3846,$B3846,$A$3806:$A3846,$A3846))</f>
        <v>1</v>
      </c>
      <c r="I3846" s="75">
        <f t="shared" si="1456"/>
        <v>1</v>
      </c>
      <c r="K3846" s="74">
        <f>IF('Rate Log'!$C$47="","",IF('Rate Log'!$E$47="planned",EDATE('Rate Log'!$C$47,N(INDEX(sc_shift,2))),'Rate Log'!$C$47))</f>
        <v>46478</v>
      </c>
      <c r="L3846" s="74">
        <f t="shared" si="1457"/>
        <v>46478</v>
      </c>
      <c r="M3846" s="72">
        <f>IF(N(INDEX(sc_ach,2))=0,IF('Rate Log'!$G$47="",1,'Rate Log'!$G$47),INDEX(sc_ach,2))</f>
        <v>1</v>
      </c>
      <c r="N3846" s="72">
        <f>IF('Rate Log'!$C$47="",0,IF('Rate Log'!$E$47="planned",('Rate Log'!$D$47+N(INDEX(sc_dpts,2)))*$M3846,'Rate Log'!$D$47))</f>
        <v>0.04</v>
      </c>
      <c r="O3846" s="73">
        <f>IF('Rate Log'!$C$47="",0,IF(1+$N3846&gt;0,LN(1+$N3846),0))</f>
        <v>3.9220713153281329E-2</v>
      </c>
      <c r="P3846" s="75">
        <f t="shared" si="1458"/>
        <v>30</v>
      </c>
      <c r="Q3846" s="75">
        <f>IF($K3846="",0,COUNTIFS(rl_key,'Rate Log'!$J$47,$L$3806:$L$4045,$L3846,$K$3806:$K$4045,"&lt;"&amp;$K3846))</f>
        <v>0</v>
      </c>
      <c r="R3846" s="75">
        <f>IF($K3846="",0,COUNTIFS('Rate Log'!$J$7:$J$47,'Rate Log'!$J$47,$L$3806:$L3846,$L3846,$K$3806:$K3846,$K3846))</f>
        <v>1</v>
      </c>
      <c r="S3846" s="75">
        <f t="shared" si="1459"/>
        <v>1</v>
      </c>
      <c r="U3846" s="74">
        <f>IF('Rate Log'!$C$47="","",IF('Rate Log'!$E$47="planned",EDATE('Rate Log'!$C$47,N(INDEX(sc_shift,3))),'Rate Log'!$C$47))</f>
        <v>46478</v>
      </c>
      <c r="V3846" s="74">
        <f t="shared" si="1460"/>
        <v>46478</v>
      </c>
      <c r="W3846" s="72">
        <f>IF(N(INDEX(sc_ach,3))=0,IF('Rate Log'!$G$47="",1,'Rate Log'!$G$47),INDEX(sc_ach,3))</f>
        <v>1</v>
      </c>
      <c r="X3846" s="72">
        <f>IF('Rate Log'!$C$47="",0,IF('Rate Log'!$E$47="planned",('Rate Log'!$D$47+N(INDEX(sc_dpts,3)))*$W3846,'Rate Log'!$D$47))</f>
        <v>0.04</v>
      </c>
      <c r="Y3846" s="73">
        <f>IF('Rate Log'!$C$47="",0,IF(1+$X3846&gt;0,LN(1+$X3846),0))</f>
        <v>3.9220713153281329E-2</v>
      </c>
      <c r="Z3846" s="75">
        <f t="shared" si="1461"/>
        <v>30</v>
      </c>
      <c r="AA3846" s="75">
        <f>IF($U3846="",0,COUNTIFS(rl_key,'Rate Log'!$J$47,$V$3806:$V$4045,$V3846,$U$3806:$U$4045,"&lt;"&amp;$U3846))</f>
        <v>0</v>
      </c>
      <c r="AB3846" s="75">
        <f>IF($U3846="",0,COUNTIFS('Rate Log'!$J$7:$J$47,'Rate Log'!$J$47,$V$3806:$V3846,$V3846,$U$3806:$U3846,$U3846))</f>
        <v>1</v>
      </c>
      <c r="AC3846" s="75">
        <f t="shared" si="1462"/>
        <v>1</v>
      </c>
      <c r="AE3846" s="74">
        <f>IF('Rate Log'!$C$47="","",IF('Rate Log'!$E$47="planned",EDATE('Rate Log'!$C$47,N(INDEX(sc_shift,4))),'Rate Log'!$C$47))</f>
        <v>46478</v>
      </c>
      <c r="AF3846" s="74">
        <f t="shared" si="1463"/>
        <v>46478</v>
      </c>
      <c r="AG3846" s="72">
        <f>IF(N(INDEX(sc_ach,4))=0,IF('Rate Log'!$G$47="",1,'Rate Log'!$G$47),INDEX(sc_ach,4))</f>
        <v>1</v>
      </c>
      <c r="AH3846" s="72">
        <f>IF('Rate Log'!$C$47="",0,IF('Rate Log'!$E$47="planned",('Rate Log'!$D$47+N(INDEX(sc_dpts,4)))*$AG3846,'Rate Log'!$D$47))</f>
        <v>0.04</v>
      </c>
      <c r="AI3846" s="73">
        <f>IF('Rate Log'!$C$47="",0,IF(1+$AH3846&gt;0,LN(1+$AH3846),0))</f>
        <v>3.9220713153281329E-2</v>
      </c>
      <c r="AJ3846" s="75">
        <f t="shared" si="1464"/>
        <v>30</v>
      </c>
      <c r="AK3846" s="75">
        <f>IF($AE3846="",0,COUNTIFS(rl_key,'Rate Log'!$J$47,$AF$3806:$AF$4045,$AF3846,$AE$3806:$AE$4045,"&lt;"&amp;$AE3846))</f>
        <v>0</v>
      </c>
      <c r="AL3846" s="75">
        <f>IF($AE3846="",0,COUNTIFS('Rate Log'!$J$7:$J$47,'Rate Log'!$J$47,$AF$3806:$AF3846,$AF3846,$AE$3806:$AE3846,$AE3846))</f>
        <v>1</v>
      </c>
      <c r="AM3846" s="75">
        <f t="shared" si="1465"/>
        <v>1</v>
      </c>
    </row>
    <row r="3847" spans="1:39" x14ac:dyDescent="0.3">
      <c r="A3847" s="74">
        <f>IF('Rate Log'!$C$48="","",IF('Rate Log'!$E$48="planned",EDATE('Rate Log'!$C$48,N(INDEX(sc_shift,1))),'Rate Log'!$C$48))</f>
        <v>46327</v>
      </c>
      <c r="B3847" s="74">
        <f t="shared" si="1454"/>
        <v>46327</v>
      </c>
      <c r="C3847" s="72">
        <f>IF(N(INDEX(sc_ach,1))=0,IF('Rate Log'!$G$48="",1,'Rate Log'!$G$48),INDEX(sc_ach,1))</f>
        <v>1</v>
      </c>
      <c r="D3847" s="72">
        <f>IF('Rate Log'!$C$48="",0,IF('Rate Log'!$E$48="planned",('Rate Log'!$D$48+N(INDEX(sc_dpts,1)))*$C3847,'Rate Log'!$D$48))</f>
        <v>0.06</v>
      </c>
      <c r="E3847" s="73">
        <f>IF('Rate Log'!$C$48="",0,IF(1+$D3847&gt;0,LN(1+$D3847),0))</f>
        <v>5.8268908123975824E-2</v>
      </c>
      <c r="F3847" s="75">
        <f t="shared" si="1455"/>
        <v>30</v>
      </c>
      <c r="G3847" s="75">
        <f>IF($A3847="",0,COUNTIFS(rl_key,'Rate Log'!$J$48,$B$3806:$B$4045,$B3847,$A$3806:$A$4045,"&lt;"&amp;$A3847))</f>
        <v>0</v>
      </c>
      <c r="H3847" s="75">
        <f>IF($A3847="",0,COUNTIFS('Rate Log'!$J$7:$J$48,'Rate Log'!$J$48,$B$3806:$B3847,$B3847,$A$3806:$A3847,$A3847))</f>
        <v>1</v>
      </c>
      <c r="I3847" s="75">
        <f t="shared" si="1456"/>
        <v>1</v>
      </c>
      <c r="K3847" s="74">
        <f>IF('Rate Log'!$C$48="","",IF('Rate Log'!$E$48="planned",EDATE('Rate Log'!$C$48,N(INDEX(sc_shift,2))),'Rate Log'!$C$48))</f>
        <v>46327</v>
      </c>
      <c r="L3847" s="74">
        <f t="shared" si="1457"/>
        <v>46327</v>
      </c>
      <c r="M3847" s="72">
        <f>IF(N(INDEX(sc_ach,2))=0,IF('Rate Log'!$G$48="",1,'Rate Log'!$G$48),INDEX(sc_ach,2))</f>
        <v>1</v>
      </c>
      <c r="N3847" s="72">
        <f>IF('Rate Log'!$C$48="",0,IF('Rate Log'!$E$48="planned",('Rate Log'!$D$48+N(INDEX(sc_dpts,2)))*$M3847,'Rate Log'!$D$48))</f>
        <v>0.06</v>
      </c>
      <c r="O3847" s="73">
        <f>IF('Rate Log'!$C$48="",0,IF(1+$N3847&gt;0,LN(1+$N3847),0))</f>
        <v>5.8268908123975824E-2</v>
      </c>
      <c r="P3847" s="75">
        <f t="shared" si="1458"/>
        <v>30</v>
      </c>
      <c r="Q3847" s="75">
        <f>IF($K3847="",0,COUNTIFS(rl_key,'Rate Log'!$J$48,$L$3806:$L$4045,$L3847,$K$3806:$K$4045,"&lt;"&amp;$K3847))</f>
        <v>0</v>
      </c>
      <c r="R3847" s="75">
        <f>IF($K3847="",0,COUNTIFS('Rate Log'!$J$7:$J$48,'Rate Log'!$J$48,$L$3806:$L3847,$L3847,$K$3806:$K3847,$K3847))</f>
        <v>1</v>
      </c>
      <c r="S3847" s="75">
        <f t="shared" si="1459"/>
        <v>1</v>
      </c>
      <c r="U3847" s="74">
        <f>IF('Rate Log'!$C$48="","",IF('Rate Log'!$E$48="planned",EDATE('Rate Log'!$C$48,N(INDEX(sc_shift,3))),'Rate Log'!$C$48))</f>
        <v>46327</v>
      </c>
      <c r="V3847" s="74">
        <f t="shared" si="1460"/>
        <v>46327</v>
      </c>
      <c r="W3847" s="72">
        <f>IF(N(INDEX(sc_ach,3))=0,IF('Rate Log'!$G$48="",1,'Rate Log'!$G$48),INDEX(sc_ach,3))</f>
        <v>1</v>
      </c>
      <c r="X3847" s="72">
        <f>IF('Rate Log'!$C$48="",0,IF('Rate Log'!$E$48="planned",('Rate Log'!$D$48+N(INDEX(sc_dpts,3)))*$W3847,'Rate Log'!$D$48))</f>
        <v>0.06</v>
      </c>
      <c r="Y3847" s="73">
        <f>IF('Rate Log'!$C$48="",0,IF(1+$X3847&gt;0,LN(1+$X3847),0))</f>
        <v>5.8268908123975824E-2</v>
      </c>
      <c r="Z3847" s="75">
        <f t="shared" si="1461"/>
        <v>30</v>
      </c>
      <c r="AA3847" s="75">
        <f>IF($U3847="",0,COUNTIFS(rl_key,'Rate Log'!$J$48,$V$3806:$V$4045,$V3847,$U$3806:$U$4045,"&lt;"&amp;$U3847))</f>
        <v>0</v>
      </c>
      <c r="AB3847" s="75">
        <f>IF($U3847="",0,COUNTIFS('Rate Log'!$J$7:$J$48,'Rate Log'!$J$48,$V$3806:$V3847,$V3847,$U$3806:$U3847,$U3847))</f>
        <v>1</v>
      </c>
      <c r="AC3847" s="75">
        <f t="shared" si="1462"/>
        <v>1</v>
      </c>
      <c r="AE3847" s="74">
        <f>IF('Rate Log'!$C$48="","",IF('Rate Log'!$E$48="planned",EDATE('Rate Log'!$C$48,N(INDEX(sc_shift,4))),'Rate Log'!$C$48))</f>
        <v>46327</v>
      </c>
      <c r="AF3847" s="74">
        <f t="shared" si="1463"/>
        <v>46327</v>
      </c>
      <c r="AG3847" s="72">
        <f>IF(N(INDEX(sc_ach,4))=0,IF('Rate Log'!$G$48="",1,'Rate Log'!$G$48),INDEX(sc_ach,4))</f>
        <v>1</v>
      </c>
      <c r="AH3847" s="72">
        <f>IF('Rate Log'!$C$48="",0,IF('Rate Log'!$E$48="planned",('Rate Log'!$D$48+N(INDEX(sc_dpts,4)))*$AG3847,'Rate Log'!$D$48))</f>
        <v>0.06</v>
      </c>
      <c r="AI3847" s="73">
        <f>IF('Rate Log'!$C$48="",0,IF(1+$AH3847&gt;0,LN(1+$AH3847),0))</f>
        <v>5.8268908123975824E-2</v>
      </c>
      <c r="AJ3847" s="75">
        <f t="shared" si="1464"/>
        <v>30</v>
      </c>
      <c r="AK3847" s="75">
        <f>IF($AE3847="",0,COUNTIFS(rl_key,'Rate Log'!$J$48,$AF$3806:$AF$4045,$AF3847,$AE$3806:$AE$4045,"&lt;"&amp;$AE3847))</f>
        <v>0</v>
      </c>
      <c r="AL3847" s="75">
        <f>IF($AE3847="",0,COUNTIFS('Rate Log'!$J$7:$J$48,'Rate Log'!$J$48,$AF$3806:$AF3847,$AF3847,$AE$3806:$AE3847,$AE3847))</f>
        <v>1</v>
      </c>
      <c r="AM3847" s="75">
        <f t="shared" si="1465"/>
        <v>1</v>
      </c>
    </row>
    <row r="3848" spans="1:39" x14ac:dyDescent="0.3">
      <c r="A3848" s="74">
        <f>IF('Rate Log'!$C$49="","",IF('Rate Log'!$E$49="planned",EDATE('Rate Log'!$C$49,N(INDEX(sc_shift,1))),'Rate Log'!$C$49))</f>
        <v>46023</v>
      </c>
      <c r="B3848" s="74">
        <f t="shared" si="1454"/>
        <v>46023</v>
      </c>
      <c r="C3848" s="72">
        <f>IF(N(INDEX(sc_ach,1))=0,IF('Rate Log'!$G$49="",1,'Rate Log'!$G$49),INDEX(sc_ach,1))</f>
        <v>1</v>
      </c>
      <c r="D3848" s="72">
        <f>IF('Rate Log'!$C$49="",0,IF('Rate Log'!$E$49="planned",('Rate Log'!$D$49+N(INDEX(sc_dpts,1)))*$C3848,'Rate Log'!$D$49))</f>
        <v>0.03</v>
      </c>
      <c r="E3848" s="73">
        <f>IF('Rate Log'!$C$49="",0,IF(1+$D3848&gt;0,LN(1+$D3848),0))</f>
        <v>2.9558802241544429E-2</v>
      </c>
      <c r="F3848" s="75">
        <f t="shared" si="1455"/>
        <v>31</v>
      </c>
      <c r="G3848" s="75">
        <f>IF($A3848="",0,COUNTIFS(rl_key,'Rate Log'!$J$49,$B$3806:$B$4045,$B3848,$A$3806:$A$4045,"&lt;"&amp;$A3848))</f>
        <v>0</v>
      </c>
      <c r="H3848" s="75">
        <f>IF($A3848="",0,COUNTIFS('Rate Log'!$J$7:$J$49,'Rate Log'!$J$49,$B$3806:$B3848,$B3848,$A$3806:$A3848,$A3848))</f>
        <v>1</v>
      </c>
      <c r="I3848" s="75">
        <f t="shared" si="1456"/>
        <v>1</v>
      </c>
      <c r="K3848" s="74">
        <f>IF('Rate Log'!$C$49="","",IF('Rate Log'!$E$49="planned",EDATE('Rate Log'!$C$49,N(INDEX(sc_shift,2))),'Rate Log'!$C$49))</f>
        <v>46023</v>
      </c>
      <c r="L3848" s="74">
        <f t="shared" si="1457"/>
        <v>46023</v>
      </c>
      <c r="M3848" s="72">
        <f>IF(N(INDEX(sc_ach,2))=0,IF('Rate Log'!$G$49="",1,'Rate Log'!$G$49),INDEX(sc_ach,2))</f>
        <v>1</v>
      </c>
      <c r="N3848" s="72">
        <f>IF('Rate Log'!$C$49="",0,IF('Rate Log'!$E$49="planned",('Rate Log'!$D$49+N(INDEX(sc_dpts,2)))*$M3848,'Rate Log'!$D$49))</f>
        <v>0.03</v>
      </c>
      <c r="O3848" s="73">
        <f>IF('Rate Log'!$C$49="",0,IF(1+$N3848&gt;0,LN(1+$N3848),0))</f>
        <v>2.9558802241544429E-2</v>
      </c>
      <c r="P3848" s="75">
        <f t="shared" si="1458"/>
        <v>31</v>
      </c>
      <c r="Q3848" s="75">
        <f>IF($K3848="",0,COUNTIFS(rl_key,'Rate Log'!$J$49,$L$3806:$L$4045,$L3848,$K$3806:$K$4045,"&lt;"&amp;$K3848))</f>
        <v>0</v>
      </c>
      <c r="R3848" s="75">
        <f>IF($K3848="",0,COUNTIFS('Rate Log'!$J$7:$J$49,'Rate Log'!$J$49,$L$3806:$L3848,$L3848,$K$3806:$K3848,$K3848))</f>
        <v>1</v>
      </c>
      <c r="S3848" s="75">
        <f t="shared" si="1459"/>
        <v>1</v>
      </c>
      <c r="U3848" s="74">
        <f>IF('Rate Log'!$C$49="","",IF('Rate Log'!$E$49="planned",EDATE('Rate Log'!$C$49,N(INDEX(sc_shift,3))),'Rate Log'!$C$49))</f>
        <v>46023</v>
      </c>
      <c r="V3848" s="74">
        <f t="shared" si="1460"/>
        <v>46023</v>
      </c>
      <c r="W3848" s="72">
        <f>IF(N(INDEX(sc_ach,3))=0,IF('Rate Log'!$G$49="",1,'Rate Log'!$G$49),INDEX(sc_ach,3))</f>
        <v>1</v>
      </c>
      <c r="X3848" s="72">
        <f>IF('Rate Log'!$C$49="",0,IF('Rate Log'!$E$49="planned",('Rate Log'!$D$49+N(INDEX(sc_dpts,3)))*$W3848,'Rate Log'!$D$49))</f>
        <v>0.03</v>
      </c>
      <c r="Y3848" s="73">
        <f>IF('Rate Log'!$C$49="",0,IF(1+$X3848&gt;0,LN(1+$X3848),0))</f>
        <v>2.9558802241544429E-2</v>
      </c>
      <c r="Z3848" s="75">
        <f t="shared" si="1461"/>
        <v>31</v>
      </c>
      <c r="AA3848" s="75">
        <f>IF($U3848="",0,COUNTIFS(rl_key,'Rate Log'!$J$49,$V$3806:$V$4045,$V3848,$U$3806:$U$4045,"&lt;"&amp;$U3848))</f>
        <v>0</v>
      </c>
      <c r="AB3848" s="75">
        <f>IF($U3848="",0,COUNTIFS('Rate Log'!$J$7:$J$49,'Rate Log'!$J$49,$V$3806:$V3848,$V3848,$U$3806:$U3848,$U3848))</f>
        <v>1</v>
      </c>
      <c r="AC3848" s="75">
        <f t="shared" si="1462"/>
        <v>1</v>
      </c>
      <c r="AE3848" s="74">
        <f>IF('Rate Log'!$C$49="","",IF('Rate Log'!$E$49="planned",EDATE('Rate Log'!$C$49,N(INDEX(sc_shift,4))),'Rate Log'!$C$49))</f>
        <v>46023</v>
      </c>
      <c r="AF3848" s="74">
        <f t="shared" si="1463"/>
        <v>46023</v>
      </c>
      <c r="AG3848" s="72">
        <f>IF(N(INDEX(sc_ach,4))=0,IF('Rate Log'!$G$49="",1,'Rate Log'!$G$49),INDEX(sc_ach,4))</f>
        <v>1</v>
      </c>
      <c r="AH3848" s="72">
        <f>IF('Rate Log'!$C$49="",0,IF('Rate Log'!$E$49="planned",('Rate Log'!$D$49+N(INDEX(sc_dpts,4)))*$AG3848,'Rate Log'!$D$49))</f>
        <v>0.03</v>
      </c>
      <c r="AI3848" s="73">
        <f>IF('Rate Log'!$C$49="",0,IF(1+$AH3848&gt;0,LN(1+$AH3848),0))</f>
        <v>2.9558802241544429E-2</v>
      </c>
      <c r="AJ3848" s="75">
        <f t="shared" si="1464"/>
        <v>31</v>
      </c>
      <c r="AK3848" s="75">
        <f>IF($AE3848="",0,COUNTIFS(rl_key,'Rate Log'!$J$49,$AF$3806:$AF$4045,$AF3848,$AE$3806:$AE$4045,"&lt;"&amp;$AE3848))</f>
        <v>0</v>
      </c>
      <c r="AL3848" s="75">
        <f>IF($AE3848="",0,COUNTIFS('Rate Log'!$J$7:$J$49,'Rate Log'!$J$49,$AF$3806:$AF3848,$AF3848,$AE$3806:$AE3848,$AE3848))</f>
        <v>1</v>
      </c>
      <c r="AM3848" s="75">
        <f t="shared" si="1465"/>
        <v>1</v>
      </c>
    </row>
    <row r="3849" spans="1:39" x14ac:dyDescent="0.3">
      <c r="A3849" s="74">
        <f>IF('Rate Log'!$C$50="","",IF('Rate Log'!$E$50="planned",EDATE('Rate Log'!$C$50,N(INDEX(sc_shift,1))),'Rate Log'!$C$50))</f>
        <v>46054</v>
      </c>
      <c r="B3849" s="74">
        <f t="shared" si="1454"/>
        <v>46054</v>
      </c>
      <c r="C3849" s="72">
        <f>IF(N(INDEX(sc_ach,1))=0,IF('Rate Log'!$G$50="",1,'Rate Log'!$G$50),INDEX(sc_ach,1))</f>
        <v>1</v>
      </c>
      <c r="D3849" s="72">
        <f>IF('Rate Log'!$C$50="",0,IF('Rate Log'!$E$50="planned",('Rate Log'!$D$50+N(INDEX(sc_dpts,1)))*$C3849,'Rate Log'!$D$50))</f>
        <v>0.04</v>
      </c>
      <c r="E3849" s="73">
        <f>IF('Rate Log'!$C$50="",0,IF(1+$D3849&gt;0,LN(1+$D3849),0))</f>
        <v>3.9220713153281329E-2</v>
      </c>
      <c r="F3849" s="75">
        <f t="shared" si="1455"/>
        <v>28</v>
      </c>
      <c r="G3849" s="75">
        <f>IF($A3849="",0,COUNTIFS(rl_key,'Rate Log'!$J$50,$B$3806:$B$4045,$B3849,$A$3806:$A$4045,"&lt;"&amp;$A3849))</f>
        <v>0</v>
      </c>
      <c r="H3849" s="75">
        <f>IF($A3849="",0,COUNTIFS('Rate Log'!$J$7:$J$50,'Rate Log'!$J$50,$B$3806:$B3849,$B3849,$A$3806:$A3849,$A3849))</f>
        <v>1</v>
      </c>
      <c r="I3849" s="75">
        <f t="shared" si="1456"/>
        <v>1</v>
      </c>
      <c r="K3849" s="74">
        <f>IF('Rate Log'!$C$50="","",IF('Rate Log'!$E$50="planned",EDATE('Rate Log'!$C$50,N(INDEX(sc_shift,2))),'Rate Log'!$C$50))</f>
        <v>46054</v>
      </c>
      <c r="L3849" s="74">
        <f t="shared" si="1457"/>
        <v>46054</v>
      </c>
      <c r="M3849" s="72">
        <f>IF(N(INDEX(sc_ach,2))=0,IF('Rate Log'!$G$50="",1,'Rate Log'!$G$50),INDEX(sc_ach,2))</f>
        <v>1</v>
      </c>
      <c r="N3849" s="72">
        <f>IF('Rate Log'!$C$50="",0,IF('Rate Log'!$E$50="planned",('Rate Log'!$D$50+N(INDEX(sc_dpts,2)))*$M3849,'Rate Log'!$D$50))</f>
        <v>0.04</v>
      </c>
      <c r="O3849" s="73">
        <f>IF('Rate Log'!$C$50="",0,IF(1+$N3849&gt;0,LN(1+$N3849),0))</f>
        <v>3.9220713153281329E-2</v>
      </c>
      <c r="P3849" s="75">
        <f t="shared" si="1458"/>
        <v>28</v>
      </c>
      <c r="Q3849" s="75">
        <f>IF($K3849="",0,COUNTIFS(rl_key,'Rate Log'!$J$50,$L$3806:$L$4045,$L3849,$K$3806:$K$4045,"&lt;"&amp;$K3849))</f>
        <v>0</v>
      </c>
      <c r="R3849" s="75">
        <f>IF($K3849="",0,COUNTIFS('Rate Log'!$J$7:$J$50,'Rate Log'!$J$50,$L$3806:$L3849,$L3849,$K$3806:$K3849,$K3849))</f>
        <v>1</v>
      </c>
      <c r="S3849" s="75">
        <f t="shared" si="1459"/>
        <v>1</v>
      </c>
      <c r="U3849" s="74">
        <f>IF('Rate Log'!$C$50="","",IF('Rate Log'!$E$50="planned",EDATE('Rate Log'!$C$50,N(INDEX(sc_shift,3))),'Rate Log'!$C$50))</f>
        <v>46054</v>
      </c>
      <c r="V3849" s="74">
        <f t="shared" si="1460"/>
        <v>46054</v>
      </c>
      <c r="W3849" s="72">
        <f>IF(N(INDEX(sc_ach,3))=0,IF('Rate Log'!$G$50="",1,'Rate Log'!$G$50),INDEX(sc_ach,3))</f>
        <v>1</v>
      </c>
      <c r="X3849" s="72">
        <f>IF('Rate Log'!$C$50="",0,IF('Rate Log'!$E$50="planned",('Rate Log'!$D$50+N(INDEX(sc_dpts,3)))*$W3849,'Rate Log'!$D$50))</f>
        <v>0.04</v>
      </c>
      <c r="Y3849" s="73">
        <f>IF('Rate Log'!$C$50="",0,IF(1+$X3849&gt;0,LN(1+$X3849),0))</f>
        <v>3.9220713153281329E-2</v>
      </c>
      <c r="Z3849" s="75">
        <f t="shared" si="1461"/>
        <v>28</v>
      </c>
      <c r="AA3849" s="75">
        <f>IF($U3849="",0,COUNTIFS(rl_key,'Rate Log'!$J$50,$V$3806:$V$4045,$V3849,$U$3806:$U$4045,"&lt;"&amp;$U3849))</f>
        <v>0</v>
      </c>
      <c r="AB3849" s="75">
        <f>IF($U3849="",0,COUNTIFS('Rate Log'!$J$7:$J$50,'Rate Log'!$J$50,$V$3806:$V3849,$V3849,$U$3806:$U3849,$U3849))</f>
        <v>1</v>
      </c>
      <c r="AC3849" s="75">
        <f t="shared" si="1462"/>
        <v>1</v>
      </c>
      <c r="AE3849" s="74">
        <f>IF('Rate Log'!$C$50="","",IF('Rate Log'!$E$50="planned",EDATE('Rate Log'!$C$50,N(INDEX(sc_shift,4))),'Rate Log'!$C$50))</f>
        <v>46054</v>
      </c>
      <c r="AF3849" s="74">
        <f t="shared" si="1463"/>
        <v>46054</v>
      </c>
      <c r="AG3849" s="72">
        <f>IF(N(INDEX(sc_ach,4))=0,IF('Rate Log'!$G$50="",1,'Rate Log'!$G$50),INDEX(sc_ach,4))</f>
        <v>1</v>
      </c>
      <c r="AH3849" s="72">
        <f>IF('Rate Log'!$C$50="",0,IF('Rate Log'!$E$50="planned",('Rate Log'!$D$50+N(INDEX(sc_dpts,4)))*$AG3849,'Rate Log'!$D$50))</f>
        <v>0.04</v>
      </c>
      <c r="AI3849" s="73">
        <f>IF('Rate Log'!$C$50="",0,IF(1+$AH3849&gt;0,LN(1+$AH3849),0))</f>
        <v>3.9220713153281329E-2</v>
      </c>
      <c r="AJ3849" s="75">
        <f t="shared" si="1464"/>
        <v>28</v>
      </c>
      <c r="AK3849" s="75">
        <f>IF($AE3849="",0,COUNTIFS(rl_key,'Rate Log'!$J$50,$AF$3806:$AF$4045,$AF3849,$AE$3806:$AE$4045,"&lt;"&amp;$AE3849))</f>
        <v>0</v>
      </c>
      <c r="AL3849" s="75">
        <f>IF($AE3849="",0,COUNTIFS('Rate Log'!$J$7:$J$50,'Rate Log'!$J$50,$AF$3806:$AF3849,$AF3849,$AE$3806:$AE3849,$AE3849))</f>
        <v>1</v>
      </c>
      <c r="AM3849" s="75">
        <f t="shared" si="1465"/>
        <v>1</v>
      </c>
    </row>
    <row r="3850" spans="1:39" x14ac:dyDescent="0.3">
      <c r="A3850" s="74">
        <f>IF('Rate Log'!$C$51="","",IF('Rate Log'!$E$51="planned",EDATE('Rate Log'!$C$51,N(INDEX(sc_shift,1))),'Rate Log'!$C$51))</f>
        <v>46600</v>
      </c>
      <c r="B3850" s="74">
        <f t="shared" si="1454"/>
        <v>46600</v>
      </c>
      <c r="C3850" s="72">
        <f>IF(N(INDEX(sc_ach,1))=0,IF('Rate Log'!$G$51="",1,'Rate Log'!$G$51),INDEX(sc_ach,1))</f>
        <v>1</v>
      </c>
      <c r="D3850" s="72">
        <f>IF('Rate Log'!$C$51="",0,IF('Rate Log'!$E$51="planned",('Rate Log'!$D$51+N(INDEX(sc_dpts,1)))*$C3850,'Rate Log'!$D$51))</f>
        <v>0.06</v>
      </c>
      <c r="E3850" s="73">
        <f>IF('Rate Log'!$C$51="",0,IF(1+$D3850&gt;0,LN(1+$D3850),0))</f>
        <v>5.8268908123975824E-2</v>
      </c>
      <c r="F3850" s="75">
        <f t="shared" si="1455"/>
        <v>31</v>
      </c>
      <c r="G3850" s="75">
        <f>IF($A3850="",0,COUNTIFS(rl_key,'Rate Log'!$J$51,$B$3806:$B$4045,$B3850,$A$3806:$A$4045,"&lt;"&amp;$A3850))</f>
        <v>0</v>
      </c>
      <c r="H3850" s="75">
        <f>IF($A3850="",0,COUNTIFS('Rate Log'!$J$7:$J$51,'Rate Log'!$J$51,$B$3806:$B3850,$B3850,$A$3806:$A3850,$A3850))</f>
        <v>1</v>
      </c>
      <c r="I3850" s="75">
        <f t="shared" si="1456"/>
        <v>1</v>
      </c>
      <c r="K3850" s="74">
        <f>IF('Rate Log'!$C$51="","",IF('Rate Log'!$E$51="planned",EDATE('Rate Log'!$C$51,N(INDEX(sc_shift,2))),'Rate Log'!$C$51))</f>
        <v>46600</v>
      </c>
      <c r="L3850" s="74">
        <f t="shared" si="1457"/>
        <v>46600</v>
      </c>
      <c r="M3850" s="72">
        <f>IF(N(INDEX(sc_ach,2))=0,IF('Rate Log'!$G$51="",1,'Rate Log'!$G$51),INDEX(sc_ach,2))</f>
        <v>1</v>
      </c>
      <c r="N3850" s="72">
        <f>IF('Rate Log'!$C$51="",0,IF('Rate Log'!$E$51="planned",('Rate Log'!$D$51+N(INDEX(sc_dpts,2)))*$M3850,'Rate Log'!$D$51))</f>
        <v>0.04</v>
      </c>
      <c r="O3850" s="73">
        <f>IF('Rate Log'!$C$51="",0,IF(1+$N3850&gt;0,LN(1+$N3850),0))</f>
        <v>3.9220713153281329E-2</v>
      </c>
      <c r="P3850" s="75">
        <f t="shared" si="1458"/>
        <v>31</v>
      </c>
      <c r="Q3850" s="75">
        <f>IF($K3850="",0,COUNTIFS(rl_key,'Rate Log'!$J$51,$L$3806:$L$4045,$L3850,$K$3806:$K$4045,"&lt;"&amp;$K3850))</f>
        <v>0</v>
      </c>
      <c r="R3850" s="75">
        <f>IF($K3850="",0,COUNTIFS('Rate Log'!$J$7:$J$51,'Rate Log'!$J$51,$L$3806:$L3850,$L3850,$K$3806:$K3850,$K3850))</f>
        <v>1</v>
      </c>
      <c r="S3850" s="75">
        <f t="shared" si="1459"/>
        <v>1</v>
      </c>
      <c r="U3850" s="74">
        <f>IF('Rate Log'!$C$51="","",IF('Rate Log'!$E$51="planned",EDATE('Rate Log'!$C$51,N(INDEX(sc_shift,3))),'Rate Log'!$C$51))</f>
        <v>46600</v>
      </c>
      <c r="V3850" s="74">
        <f t="shared" si="1460"/>
        <v>46600</v>
      </c>
      <c r="W3850" s="72">
        <f>IF(N(INDEX(sc_ach,3))=0,IF('Rate Log'!$G$51="",1,'Rate Log'!$G$51),INDEX(sc_ach,3))</f>
        <v>1</v>
      </c>
      <c r="X3850" s="72">
        <f>IF('Rate Log'!$C$51="",0,IF('Rate Log'!$E$51="planned",('Rate Log'!$D$51+N(INDEX(sc_dpts,3)))*$W3850,'Rate Log'!$D$51))</f>
        <v>0.04</v>
      </c>
      <c r="Y3850" s="73">
        <f>IF('Rate Log'!$C$51="",0,IF(1+$X3850&gt;0,LN(1+$X3850),0))</f>
        <v>3.9220713153281329E-2</v>
      </c>
      <c r="Z3850" s="75">
        <f t="shared" si="1461"/>
        <v>31</v>
      </c>
      <c r="AA3850" s="75">
        <f>IF($U3850="",0,COUNTIFS(rl_key,'Rate Log'!$J$51,$V$3806:$V$4045,$V3850,$U$3806:$U$4045,"&lt;"&amp;$U3850))</f>
        <v>0</v>
      </c>
      <c r="AB3850" s="75">
        <f>IF($U3850="",0,COUNTIFS('Rate Log'!$J$7:$J$51,'Rate Log'!$J$51,$V$3806:$V3850,$V3850,$U$3806:$U3850,$U3850))</f>
        <v>1</v>
      </c>
      <c r="AC3850" s="75">
        <f t="shared" si="1462"/>
        <v>1</v>
      </c>
      <c r="AE3850" s="74">
        <f>IF('Rate Log'!$C$51="","",IF('Rate Log'!$E$51="planned",EDATE('Rate Log'!$C$51,N(INDEX(sc_shift,4))),'Rate Log'!$C$51))</f>
        <v>46600</v>
      </c>
      <c r="AF3850" s="74">
        <f t="shared" si="1463"/>
        <v>46600</v>
      </c>
      <c r="AG3850" s="72">
        <f>IF(N(INDEX(sc_ach,4))=0,IF('Rate Log'!$G$51="",1,'Rate Log'!$G$51),INDEX(sc_ach,4))</f>
        <v>1</v>
      </c>
      <c r="AH3850" s="72">
        <f>IF('Rate Log'!$C$51="",0,IF('Rate Log'!$E$51="planned",('Rate Log'!$D$51+N(INDEX(sc_dpts,4)))*$AG3850,'Rate Log'!$D$51))</f>
        <v>0.04</v>
      </c>
      <c r="AI3850" s="73">
        <f>IF('Rate Log'!$C$51="",0,IF(1+$AH3850&gt;0,LN(1+$AH3850),0))</f>
        <v>3.9220713153281329E-2</v>
      </c>
      <c r="AJ3850" s="75">
        <f t="shared" si="1464"/>
        <v>31</v>
      </c>
      <c r="AK3850" s="75">
        <f>IF($AE3850="",0,COUNTIFS(rl_key,'Rate Log'!$J$51,$AF$3806:$AF$4045,$AF3850,$AE$3806:$AE$4045,"&lt;"&amp;$AE3850))</f>
        <v>0</v>
      </c>
      <c r="AL3850" s="75">
        <f>IF($AE3850="",0,COUNTIFS('Rate Log'!$J$7:$J$51,'Rate Log'!$J$51,$AF$3806:$AF3850,$AF3850,$AE$3806:$AE3850,$AE3850))</f>
        <v>1</v>
      </c>
      <c r="AM3850" s="75">
        <f t="shared" si="1465"/>
        <v>1</v>
      </c>
    </row>
    <row r="3851" spans="1:39" x14ac:dyDescent="0.3">
      <c r="A3851" s="74">
        <f>IF('Rate Log'!$C$52="","",IF('Rate Log'!$E$52="planned",EDATE('Rate Log'!$C$52,N(INDEX(sc_shift,1))),'Rate Log'!$C$52))</f>
        <v>46113</v>
      </c>
      <c r="B3851" s="74">
        <f t="shared" si="1454"/>
        <v>46113</v>
      </c>
      <c r="C3851" s="72">
        <f>IF(N(INDEX(sc_ach,1))=0,IF('Rate Log'!$G$52="",1,'Rate Log'!$G$52),INDEX(sc_ach,1))</f>
        <v>1</v>
      </c>
      <c r="D3851" s="72">
        <f>IF('Rate Log'!$C$52="",0,IF('Rate Log'!$E$52="planned",('Rate Log'!$D$52+N(INDEX(sc_dpts,1)))*$C3851,'Rate Log'!$D$52))</f>
        <v>0.06</v>
      </c>
      <c r="E3851" s="73">
        <f>IF('Rate Log'!$C$52="",0,IF(1+$D3851&gt;0,LN(1+$D3851),0))</f>
        <v>5.8268908123975824E-2</v>
      </c>
      <c r="F3851" s="75">
        <f t="shared" si="1455"/>
        <v>30</v>
      </c>
      <c r="G3851" s="75">
        <f>IF($A3851="",0,COUNTIFS(rl_key,'Rate Log'!$J$52,$B$3806:$B$4045,$B3851,$A$3806:$A$4045,"&lt;"&amp;$A3851))</f>
        <v>0</v>
      </c>
      <c r="H3851" s="75">
        <f>IF($A3851="",0,COUNTIFS('Rate Log'!$J$7:$J$52,'Rate Log'!$J$52,$B$3806:$B3851,$B3851,$A$3806:$A3851,$A3851))</f>
        <v>1</v>
      </c>
      <c r="I3851" s="75">
        <f t="shared" si="1456"/>
        <v>1</v>
      </c>
      <c r="K3851" s="74">
        <f>IF('Rate Log'!$C$52="","",IF('Rate Log'!$E$52="planned",EDATE('Rate Log'!$C$52,N(INDEX(sc_shift,2))),'Rate Log'!$C$52))</f>
        <v>46113</v>
      </c>
      <c r="L3851" s="74">
        <f t="shared" si="1457"/>
        <v>46113</v>
      </c>
      <c r="M3851" s="72">
        <f>IF(N(INDEX(sc_ach,2))=0,IF('Rate Log'!$G$52="",1,'Rate Log'!$G$52),INDEX(sc_ach,2))</f>
        <v>1</v>
      </c>
      <c r="N3851" s="72">
        <f>IF('Rate Log'!$C$52="",0,IF('Rate Log'!$E$52="planned",('Rate Log'!$D$52+N(INDEX(sc_dpts,2)))*$M3851,'Rate Log'!$D$52))</f>
        <v>0.06</v>
      </c>
      <c r="O3851" s="73">
        <f>IF('Rate Log'!$C$52="",0,IF(1+$N3851&gt;0,LN(1+$N3851),0))</f>
        <v>5.8268908123975824E-2</v>
      </c>
      <c r="P3851" s="75">
        <f t="shared" si="1458"/>
        <v>30</v>
      </c>
      <c r="Q3851" s="75">
        <f>IF($K3851="",0,COUNTIFS(rl_key,'Rate Log'!$J$52,$L$3806:$L$4045,$L3851,$K$3806:$K$4045,"&lt;"&amp;$K3851))</f>
        <v>0</v>
      </c>
      <c r="R3851" s="75">
        <f>IF($K3851="",0,COUNTIFS('Rate Log'!$J$7:$J$52,'Rate Log'!$J$52,$L$3806:$L3851,$L3851,$K$3806:$K3851,$K3851))</f>
        <v>1</v>
      </c>
      <c r="S3851" s="75">
        <f t="shared" si="1459"/>
        <v>1</v>
      </c>
      <c r="U3851" s="74">
        <f>IF('Rate Log'!$C$52="","",IF('Rate Log'!$E$52="planned",EDATE('Rate Log'!$C$52,N(INDEX(sc_shift,3))),'Rate Log'!$C$52))</f>
        <v>46113</v>
      </c>
      <c r="V3851" s="74">
        <f t="shared" si="1460"/>
        <v>46113</v>
      </c>
      <c r="W3851" s="72">
        <f>IF(N(INDEX(sc_ach,3))=0,IF('Rate Log'!$G$52="",1,'Rate Log'!$G$52),INDEX(sc_ach,3))</f>
        <v>1</v>
      </c>
      <c r="X3851" s="72">
        <f>IF('Rate Log'!$C$52="",0,IF('Rate Log'!$E$52="planned",('Rate Log'!$D$52+N(INDEX(sc_dpts,3)))*$W3851,'Rate Log'!$D$52))</f>
        <v>0.06</v>
      </c>
      <c r="Y3851" s="73">
        <f>IF('Rate Log'!$C$52="",0,IF(1+$X3851&gt;0,LN(1+$X3851),0))</f>
        <v>5.8268908123975824E-2</v>
      </c>
      <c r="Z3851" s="75">
        <f t="shared" si="1461"/>
        <v>30</v>
      </c>
      <c r="AA3851" s="75">
        <f>IF($U3851="",0,COUNTIFS(rl_key,'Rate Log'!$J$52,$V$3806:$V$4045,$V3851,$U$3806:$U$4045,"&lt;"&amp;$U3851))</f>
        <v>0</v>
      </c>
      <c r="AB3851" s="75">
        <f>IF($U3851="",0,COUNTIFS('Rate Log'!$J$7:$J$52,'Rate Log'!$J$52,$V$3806:$V3851,$V3851,$U$3806:$U3851,$U3851))</f>
        <v>1</v>
      </c>
      <c r="AC3851" s="75">
        <f t="shared" si="1462"/>
        <v>1</v>
      </c>
      <c r="AE3851" s="74">
        <f>IF('Rate Log'!$C$52="","",IF('Rate Log'!$E$52="planned",EDATE('Rate Log'!$C$52,N(INDEX(sc_shift,4))),'Rate Log'!$C$52))</f>
        <v>46113</v>
      </c>
      <c r="AF3851" s="74">
        <f t="shared" si="1463"/>
        <v>46113</v>
      </c>
      <c r="AG3851" s="72">
        <f>IF(N(INDEX(sc_ach,4))=0,IF('Rate Log'!$G$52="",1,'Rate Log'!$G$52),INDEX(sc_ach,4))</f>
        <v>1</v>
      </c>
      <c r="AH3851" s="72">
        <f>IF('Rate Log'!$C$52="",0,IF('Rate Log'!$E$52="planned",('Rate Log'!$D$52+N(INDEX(sc_dpts,4)))*$AG3851,'Rate Log'!$D$52))</f>
        <v>0.06</v>
      </c>
      <c r="AI3851" s="73">
        <f>IF('Rate Log'!$C$52="",0,IF(1+$AH3851&gt;0,LN(1+$AH3851),0))</f>
        <v>5.8268908123975824E-2</v>
      </c>
      <c r="AJ3851" s="75">
        <f t="shared" si="1464"/>
        <v>30</v>
      </c>
      <c r="AK3851" s="75">
        <f>IF($AE3851="",0,COUNTIFS(rl_key,'Rate Log'!$J$52,$AF$3806:$AF$4045,$AF3851,$AE$3806:$AE$4045,"&lt;"&amp;$AE3851))</f>
        <v>0</v>
      </c>
      <c r="AL3851" s="75">
        <f>IF($AE3851="",0,COUNTIFS('Rate Log'!$J$7:$J$52,'Rate Log'!$J$52,$AF$3806:$AF3851,$AF3851,$AE$3806:$AE3851,$AE3851))</f>
        <v>1</v>
      </c>
      <c r="AM3851" s="75">
        <f t="shared" si="1465"/>
        <v>1</v>
      </c>
    </row>
    <row r="3852" spans="1:39" x14ac:dyDescent="0.3">
      <c r="A3852" s="74">
        <f>IF('Rate Log'!$C$53="","",IF('Rate Log'!$E$53="planned",EDATE('Rate Log'!$C$53,N(INDEX(sc_shift,1))),'Rate Log'!$C$53))</f>
        <v>46143</v>
      </c>
      <c r="B3852" s="74">
        <f t="shared" si="1454"/>
        <v>46143</v>
      </c>
      <c r="C3852" s="72">
        <f>IF(N(INDEX(sc_ach,1))=0,IF('Rate Log'!$G$53="",1,'Rate Log'!$G$53),INDEX(sc_ach,1))</f>
        <v>1</v>
      </c>
      <c r="D3852" s="72">
        <f>IF('Rate Log'!$C$53="",0,IF('Rate Log'!$E$53="planned",('Rate Log'!$D$53+N(INDEX(sc_dpts,1)))*$C3852,'Rate Log'!$D$53))</f>
        <v>0.02</v>
      </c>
      <c r="E3852" s="73">
        <f>IF('Rate Log'!$C$53="",0,IF(1+$D3852&gt;0,LN(1+$D3852),0))</f>
        <v>1.980262729617973E-2</v>
      </c>
      <c r="F3852" s="75">
        <f t="shared" si="1455"/>
        <v>31</v>
      </c>
      <c r="G3852" s="75">
        <f>IF($A3852="",0,COUNTIFS(rl_key,'Rate Log'!$J$53,$B$3806:$B$4045,$B3852,$A$3806:$A$4045,"&lt;"&amp;$A3852))</f>
        <v>0</v>
      </c>
      <c r="H3852" s="75">
        <f>IF($A3852="",0,COUNTIFS('Rate Log'!$J$7:$J$53,'Rate Log'!$J$53,$B$3806:$B3852,$B3852,$A$3806:$A3852,$A3852))</f>
        <v>1</v>
      </c>
      <c r="I3852" s="75">
        <f t="shared" si="1456"/>
        <v>1</v>
      </c>
      <c r="K3852" s="74">
        <f>IF('Rate Log'!$C$53="","",IF('Rate Log'!$E$53="planned",EDATE('Rate Log'!$C$53,N(INDEX(sc_shift,2))),'Rate Log'!$C$53))</f>
        <v>46143</v>
      </c>
      <c r="L3852" s="74">
        <f t="shared" si="1457"/>
        <v>46143</v>
      </c>
      <c r="M3852" s="72">
        <f>IF(N(INDEX(sc_ach,2))=0,IF('Rate Log'!$G$53="",1,'Rate Log'!$G$53),INDEX(sc_ach,2))</f>
        <v>1</v>
      </c>
      <c r="N3852" s="72">
        <f>IF('Rate Log'!$C$53="",0,IF('Rate Log'!$E$53="planned",('Rate Log'!$D$53+N(INDEX(sc_dpts,2)))*$M3852,'Rate Log'!$D$53))</f>
        <v>0.02</v>
      </c>
      <c r="O3852" s="73">
        <f>IF('Rate Log'!$C$53="",0,IF(1+$N3852&gt;0,LN(1+$N3852),0))</f>
        <v>1.980262729617973E-2</v>
      </c>
      <c r="P3852" s="75">
        <f t="shared" si="1458"/>
        <v>31</v>
      </c>
      <c r="Q3852" s="75">
        <f>IF($K3852="",0,COUNTIFS(rl_key,'Rate Log'!$J$53,$L$3806:$L$4045,$L3852,$K$3806:$K$4045,"&lt;"&amp;$K3852))</f>
        <v>0</v>
      </c>
      <c r="R3852" s="75">
        <f>IF($K3852="",0,COUNTIFS('Rate Log'!$J$7:$J$53,'Rate Log'!$J$53,$L$3806:$L3852,$L3852,$K$3806:$K3852,$K3852))</f>
        <v>1</v>
      </c>
      <c r="S3852" s="75">
        <f t="shared" si="1459"/>
        <v>1</v>
      </c>
      <c r="U3852" s="74">
        <f>IF('Rate Log'!$C$53="","",IF('Rate Log'!$E$53="planned",EDATE('Rate Log'!$C$53,N(INDEX(sc_shift,3))),'Rate Log'!$C$53))</f>
        <v>46143</v>
      </c>
      <c r="V3852" s="74">
        <f t="shared" si="1460"/>
        <v>46143</v>
      </c>
      <c r="W3852" s="72">
        <f>IF(N(INDEX(sc_ach,3))=0,IF('Rate Log'!$G$53="",1,'Rate Log'!$G$53),INDEX(sc_ach,3))</f>
        <v>1</v>
      </c>
      <c r="X3852" s="72">
        <f>IF('Rate Log'!$C$53="",0,IF('Rate Log'!$E$53="planned",('Rate Log'!$D$53+N(INDEX(sc_dpts,3)))*$W3852,'Rate Log'!$D$53))</f>
        <v>0.02</v>
      </c>
      <c r="Y3852" s="73">
        <f>IF('Rate Log'!$C$53="",0,IF(1+$X3852&gt;0,LN(1+$X3852),0))</f>
        <v>1.980262729617973E-2</v>
      </c>
      <c r="Z3852" s="75">
        <f t="shared" si="1461"/>
        <v>31</v>
      </c>
      <c r="AA3852" s="75">
        <f>IF($U3852="",0,COUNTIFS(rl_key,'Rate Log'!$J$53,$V$3806:$V$4045,$V3852,$U$3806:$U$4045,"&lt;"&amp;$U3852))</f>
        <v>0</v>
      </c>
      <c r="AB3852" s="75">
        <f>IF($U3852="",0,COUNTIFS('Rate Log'!$J$7:$J$53,'Rate Log'!$J$53,$V$3806:$V3852,$V3852,$U$3806:$U3852,$U3852))</f>
        <v>1</v>
      </c>
      <c r="AC3852" s="75">
        <f t="shared" si="1462"/>
        <v>1</v>
      </c>
      <c r="AE3852" s="74">
        <f>IF('Rate Log'!$C$53="","",IF('Rate Log'!$E$53="planned",EDATE('Rate Log'!$C$53,N(INDEX(sc_shift,4))),'Rate Log'!$C$53))</f>
        <v>46143</v>
      </c>
      <c r="AF3852" s="74">
        <f t="shared" si="1463"/>
        <v>46143</v>
      </c>
      <c r="AG3852" s="72">
        <f>IF(N(INDEX(sc_ach,4))=0,IF('Rate Log'!$G$53="",1,'Rate Log'!$G$53),INDEX(sc_ach,4))</f>
        <v>1</v>
      </c>
      <c r="AH3852" s="72">
        <f>IF('Rate Log'!$C$53="",0,IF('Rate Log'!$E$53="planned",('Rate Log'!$D$53+N(INDEX(sc_dpts,4)))*$AG3852,'Rate Log'!$D$53))</f>
        <v>0.02</v>
      </c>
      <c r="AI3852" s="73">
        <f>IF('Rate Log'!$C$53="",0,IF(1+$AH3852&gt;0,LN(1+$AH3852),0))</f>
        <v>1.980262729617973E-2</v>
      </c>
      <c r="AJ3852" s="75">
        <f t="shared" si="1464"/>
        <v>31</v>
      </c>
      <c r="AK3852" s="75">
        <f>IF($AE3852="",0,COUNTIFS(rl_key,'Rate Log'!$J$53,$AF$3806:$AF$4045,$AF3852,$AE$3806:$AE$4045,"&lt;"&amp;$AE3852))</f>
        <v>0</v>
      </c>
      <c r="AL3852" s="75">
        <f>IF($AE3852="",0,COUNTIFS('Rate Log'!$J$7:$J$53,'Rate Log'!$J$53,$AF$3806:$AF3852,$AF3852,$AE$3806:$AE3852,$AE3852))</f>
        <v>1</v>
      </c>
      <c r="AM3852" s="75">
        <f t="shared" si="1465"/>
        <v>1</v>
      </c>
    </row>
    <row r="3853" spans="1:39" x14ac:dyDescent="0.3">
      <c r="A3853" s="74">
        <f>IF('Rate Log'!$C$54="","",IF('Rate Log'!$E$54="planned",EDATE('Rate Log'!$C$54,N(INDEX(sc_shift,1))),'Rate Log'!$C$54))</f>
        <v>46419</v>
      </c>
      <c r="B3853" s="74">
        <f t="shared" si="1454"/>
        <v>46419</v>
      </c>
      <c r="C3853" s="72">
        <f>IF(N(INDEX(sc_ach,1))=0,IF('Rate Log'!$G$54="",1,'Rate Log'!$G$54),INDEX(sc_ach,1))</f>
        <v>1</v>
      </c>
      <c r="D3853" s="72">
        <f>IF('Rate Log'!$C$54="",0,IF('Rate Log'!$E$54="planned",('Rate Log'!$D$54+N(INDEX(sc_dpts,1)))*$C3853,'Rate Log'!$D$54))</f>
        <v>0.06</v>
      </c>
      <c r="E3853" s="73">
        <f>IF('Rate Log'!$C$54="",0,IF(1+$D3853&gt;0,LN(1+$D3853),0))</f>
        <v>5.8268908123975824E-2</v>
      </c>
      <c r="F3853" s="75">
        <f t="shared" si="1455"/>
        <v>28</v>
      </c>
      <c r="G3853" s="75">
        <f>IF($A3853="",0,COUNTIFS(rl_key,'Rate Log'!$J$54,$B$3806:$B$4045,$B3853,$A$3806:$A$4045,"&lt;"&amp;$A3853))</f>
        <v>0</v>
      </c>
      <c r="H3853" s="75">
        <f>IF($A3853="",0,COUNTIFS('Rate Log'!$J$7:$J$54,'Rate Log'!$J$54,$B$3806:$B3853,$B3853,$A$3806:$A3853,$A3853))</f>
        <v>1</v>
      </c>
      <c r="I3853" s="75">
        <f t="shared" si="1456"/>
        <v>1</v>
      </c>
      <c r="K3853" s="74">
        <f>IF('Rate Log'!$C$54="","",IF('Rate Log'!$E$54="planned",EDATE('Rate Log'!$C$54,N(INDEX(sc_shift,2))),'Rate Log'!$C$54))</f>
        <v>46419</v>
      </c>
      <c r="L3853" s="74">
        <f t="shared" si="1457"/>
        <v>46419</v>
      </c>
      <c r="M3853" s="72">
        <f>IF(N(INDEX(sc_ach,2))=0,IF('Rate Log'!$G$54="",1,'Rate Log'!$G$54),INDEX(sc_ach,2))</f>
        <v>1</v>
      </c>
      <c r="N3853" s="72">
        <f>IF('Rate Log'!$C$54="",0,IF('Rate Log'!$E$54="planned",('Rate Log'!$D$54+N(INDEX(sc_dpts,2)))*$M3853,'Rate Log'!$D$54))</f>
        <v>0.04</v>
      </c>
      <c r="O3853" s="73">
        <f>IF('Rate Log'!$C$54="",0,IF(1+$N3853&gt;0,LN(1+$N3853),0))</f>
        <v>3.9220713153281329E-2</v>
      </c>
      <c r="P3853" s="75">
        <f t="shared" si="1458"/>
        <v>28</v>
      </c>
      <c r="Q3853" s="75">
        <f>IF($K3853="",0,COUNTIFS(rl_key,'Rate Log'!$J$54,$L$3806:$L$4045,$L3853,$K$3806:$K$4045,"&lt;"&amp;$K3853))</f>
        <v>0</v>
      </c>
      <c r="R3853" s="75">
        <f>IF($K3853="",0,COUNTIFS('Rate Log'!$J$7:$J$54,'Rate Log'!$J$54,$L$3806:$L3853,$L3853,$K$3806:$K3853,$K3853))</f>
        <v>1</v>
      </c>
      <c r="S3853" s="75">
        <f t="shared" si="1459"/>
        <v>1</v>
      </c>
      <c r="U3853" s="74">
        <f>IF('Rate Log'!$C$54="","",IF('Rate Log'!$E$54="planned",EDATE('Rate Log'!$C$54,N(INDEX(sc_shift,3))),'Rate Log'!$C$54))</f>
        <v>46419</v>
      </c>
      <c r="V3853" s="74">
        <f t="shared" si="1460"/>
        <v>46419</v>
      </c>
      <c r="W3853" s="72">
        <f>IF(N(INDEX(sc_ach,3))=0,IF('Rate Log'!$G$54="",1,'Rate Log'!$G$54),INDEX(sc_ach,3))</f>
        <v>1</v>
      </c>
      <c r="X3853" s="72">
        <f>IF('Rate Log'!$C$54="",0,IF('Rate Log'!$E$54="planned",('Rate Log'!$D$54+N(INDEX(sc_dpts,3)))*$W3853,'Rate Log'!$D$54))</f>
        <v>0.04</v>
      </c>
      <c r="Y3853" s="73">
        <f>IF('Rate Log'!$C$54="",0,IF(1+$X3853&gt;0,LN(1+$X3853),0))</f>
        <v>3.9220713153281329E-2</v>
      </c>
      <c r="Z3853" s="75">
        <f t="shared" si="1461"/>
        <v>28</v>
      </c>
      <c r="AA3853" s="75">
        <f>IF($U3853="",0,COUNTIFS(rl_key,'Rate Log'!$J$54,$V$3806:$V$4045,$V3853,$U$3806:$U$4045,"&lt;"&amp;$U3853))</f>
        <v>0</v>
      </c>
      <c r="AB3853" s="75">
        <f>IF($U3853="",0,COUNTIFS('Rate Log'!$J$7:$J$54,'Rate Log'!$J$54,$V$3806:$V3853,$V3853,$U$3806:$U3853,$U3853))</f>
        <v>1</v>
      </c>
      <c r="AC3853" s="75">
        <f t="shared" si="1462"/>
        <v>1</v>
      </c>
      <c r="AE3853" s="74">
        <f>IF('Rate Log'!$C$54="","",IF('Rate Log'!$E$54="planned",EDATE('Rate Log'!$C$54,N(INDEX(sc_shift,4))),'Rate Log'!$C$54))</f>
        <v>46419</v>
      </c>
      <c r="AF3853" s="74">
        <f t="shared" si="1463"/>
        <v>46419</v>
      </c>
      <c r="AG3853" s="72">
        <f>IF(N(INDEX(sc_ach,4))=0,IF('Rate Log'!$G$54="",1,'Rate Log'!$G$54),INDEX(sc_ach,4))</f>
        <v>1</v>
      </c>
      <c r="AH3853" s="72">
        <f>IF('Rate Log'!$C$54="",0,IF('Rate Log'!$E$54="planned",('Rate Log'!$D$54+N(INDEX(sc_dpts,4)))*$AG3853,'Rate Log'!$D$54))</f>
        <v>0.04</v>
      </c>
      <c r="AI3853" s="73">
        <f>IF('Rate Log'!$C$54="",0,IF(1+$AH3853&gt;0,LN(1+$AH3853),0))</f>
        <v>3.9220713153281329E-2</v>
      </c>
      <c r="AJ3853" s="75">
        <f t="shared" si="1464"/>
        <v>28</v>
      </c>
      <c r="AK3853" s="75">
        <f>IF($AE3853="",0,COUNTIFS(rl_key,'Rate Log'!$J$54,$AF$3806:$AF$4045,$AF3853,$AE$3806:$AE$4045,"&lt;"&amp;$AE3853))</f>
        <v>0</v>
      </c>
      <c r="AL3853" s="75">
        <f>IF($AE3853="",0,COUNTIFS('Rate Log'!$J$7:$J$54,'Rate Log'!$J$54,$AF$3806:$AF3853,$AF3853,$AE$3806:$AE3853,$AE3853))</f>
        <v>1</v>
      </c>
      <c r="AM3853" s="75">
        <f t="shared" si="1465"/>
        <v>1</v>
      </c>
    </row>
    <row r="3854" spans="1:39" x14ac:dyDescent="0.3">
      <c r="A3854" s="74">
        <f>IF('Rate Log'!$C$55="","",IF('Rate Log'!$E$55="planned",EDATE('Rate Log'!$C$55,N(INDEX(sc_shift,1))),'Rate Log'!$C$55))</f>
        <v>46204</v>
      </c>
      <c r="B3854" s="74">
        <f t="shared" si="1454"/>
        <v>46204</v>
      </c>
      <c r="C3854" s="72">
        <f>IF(N(INDEX(sc_ach,1))=0,IF('Rate Log'!$G$55="",1,'Rate Log'!$G$55),INDEX(sc_ach,1))</f>
        <v>1</v>
      </c>
      <c r="D3854" s="72">
        <f>IF('Rate Log'!$C$55="",0,IF('Rate Log'!$E$55="planned",('Rate Log'!$D$55+N(INDEX(sc_dpts,1)))*$C3854,'Rate Log'!$D$55))</f>
        <v>0.04</v>
      </c>
      <c r="E3854" s="73">
        <f>IF('Rate Log'!$C$55="",0,IF(1+$D3854&gt;0,LN(1+$D3854),0))</f>
        <v>3.9220713153281329E-2</v>
      </c>
      <c r="F3854" s="75">
        <f t="shared" si="1455"/>
        <v>31</v>
      </c>
      <c r="G3854" s="75">
        <f>IF($A3854="",0,COUNTIFS(rl_key,'Rate Log'!$J$55,$B$3806:$B$4045,$B3854,$A$3806:$A$4045,"&lt;"&amp;$A3854))</f>
        <v>0</v>
      </c>
      <c r="H3854" s="75">
        <f>IF($A3854="",0,COUNTIFS('Rate Log'!$J$7:$J$55,'Rate Log'!$J$55,$B$3806:$B3854,$B3854,$A$3806:$A3854,$A3854))</f>
        <v>1</v>
      </c>
      <c r="I3854" s="75">
        <f t="shared" si="1456"/>
        <v>1</v>
      </c>
      <c r="K3854" s="74">
        <f>IF('Rate Log'!$C$55="","",IF('Rate Log'!$E$55="planned",EDATE('Rate Log'!$C$55,N(INDEX(sc_shift,2))),'Rate Log'!$C$55))</f>
        <v>46204</v>
      </c>
      <c r="L3854" s="74">
        <f t="shared" si="1457"/>
        <v>46204</v>
      </c>
      <c r="M3854" s="72">
        <f>IF(N(INDEX(sc_ach,2))=0,IF('Rate Log'!$G$55="",1,'Rate Log'!$G$55),INDEX(sc_ach,2))</f>
        <v>1</v>
      </c>
      <c r="N3854" s="72">
        <f>IF('Rate Log'!$C$55="",0,IF('Rate Log'!$E$55="planned",('Rate Log'!$D$55+N(INDEX(sc_dpts,2)))*$M3854,'Rate Log'!$D$55))</f>
        <v>0.04</v>
      </c>
      <c r="O3854" s="73">
        <f>IF('Rate Log'!$C$55="",0,IF(1+$N3854&gt;0,LN(1+$N3854),0))</f>
        <v>3.9220713153281329E-2</v>
      </c>
      <c r="P3854" s="75">
        <f t="shared" si="1458"/>
        <v>31</v>
      </c>
      <c r="Q3854" s="75">
        <f>IF($K3854="",0,COUNTIFS(rl_key,'Rate Log'!$J$55,$L$3806:$L$4045,$L3854,$K$3806:$K$4045,"&lt;"&amp;$K3854))</f>
        <v>0</v>
      </c>
      <c r="R3854" s="75">
        <f>IF($K3854="",0,COUNTIFS('Rate Log'!$J$7:$J$55,'Rate Log'!$J$55,$L$3806:$L3854,$L3854,$K$3806:$K3854,$K3854))</f>
        <v>1</v>
      </c>
      <c r="S3854" s="75">
        <f t="shared" si="1459"/>
        <v>1</v>
      </c>
      <c r="U3854" s="74">
        <f>IF('Rate Log'!$C$55="","",IF('Rate Log'!$E$55="planned",EDATE('Rate Log'!$C$55,N(INDEX(sc_shift,3))),'Rate Log'!$C$55))</f>
        <v>46204</v>
      </c>
      <c r="V3854" s="74">
        <f t="shared" si="1460"/>
        <v>46204</v>
      </c>
      <c r="W3854" s="72">
        <f>IF(N(INDEX(sc_ach,3))=0,IF('Rate Log'!$G$55="",1,'Rate Log'!$G$55),INDEX(sc_ach,3))</f>
        <v>1</v>
      </c>
      <c r="X3854" s="72">
        <f>IF('Rate Log'!$C$55="",0,IF('Rate Log'!$E$55="planned",('Rate Log'!$D$55+N(INDEX(sc_dpts,3)))*$W3854,'Rate Log'!$D$55))</f>
        <v>0.04</v>
      </c>
      <c r="Y3854" s="73">
        <f>IF('Rate Log'!$C$55="",0,IF(1+$X3854&gt;0,LN(1+$X3854),0))</f>
        <v>3.9220713153281329E-2</v>
      </c>
      <c r="Z3854" s="75">
        <f t="shared" si="1461"/>
        <v>31</v>
      </c>
      <c r="AA3854" s="75">
        <f>IF($U3854="",0,COUNTIFS(rl_key,'Rate Log'!$J$55,$V$3806:$V$4045,$V3854,$U$3806:$U$4045,"&lt;"&amp;$U3854))</f>
        <v>0</v>
      </c>
      <c r="AB3854" s="75">
        <f>IF($U3854="",0,COUNTIFS('Rate Log'!$J$7:$J$55,'Rate Log'!$J$55,$V$3806:$V3854,$V3854,$U$3806:$U3854,$U3854))</f>
        <v>1</v>
      </c>
      <c r="AC3854" s="75">
        <f t="shared" si="1462"/>
        <v>1</v>
      </c>
      <c r="AE3854" s="74">
        <f>IF('Rate Log'!$C$55="","",IF('Rate Log'!$E$55="planned",EDATE('Rate Log'!$C$55,N(INDEX(sc_shift,4))),'Rate Log'!$C$55))</f>
        <v>46204</v>
      </c>
      <c r="AF3854" s="74">
        <f t="shared" si="1463"/>
        <v>46204</v>
      </c>
      <c r="AG3854" s="72">
        <f>IF(N(INDEX(sc_ach,4))=0,IF('Rate Log'!$G$55="",1,'Rate Log'!$G$55),INDEX(sc_ach,4))</f>
        <v>1</v>
      </c>
      <c r="AH3854" s="72">
        <f>IF('Rate Log'!$C$55="",0,IF('Rate Log'!$E$55="planned",('Rate Log'!$D$55+N(INDEX(sc_dpts,4)))*$AG3854,'Rate Log'!$D$55))</f>
        <v>0.04</v>
      </c>
      <c r="AI3854" s="73">
        <f>IF('Rate Log'!$C$55="",0,IF(1+$AH3854&gt;0,LN(1+$AH3854),0))</f>
        <v>3.9220713153281329E-2</v>
      </c>
      <c r="AJ3854" s="75">
        <f t="shared" si="1464"/>
        <v>31</v>
      </c>
      <c r="AK3854" s="75">
        <f>IF($AE3854="",0,COUNTIFS(rl_key,'Rate Log'!$J$55,$AF$3806:$AF$4045,$AF3854,$AE$3806:$AE$4045,"&lt;"&amp;$AE3854))</f>
        <v>0</v>
      </c>
      <c r="AL3854" s="75">
        <f>IF($AE3854="",0,COUNTIFS('Rate Log'!$J$7:$J$55,'Rate Log'!$J$55,$AF$3806:$AF3854,$AF3854,$AE$3806:$AE3854,$AE3854))</f>
        <v>1</v>
      </c>
      <c r="AM3854" s="75">
        <f t="shared" si="1465"/>
        <v>1</v>
      </c>
    </row>
    <row r="3855" spans="1:39" x14ac:dyDescent="0.3">
      <c r="A3855" s="74">
        <f>IF('Rate Log'!$C$56="","",IF('Rate Log'!$E$56="planned",EDATE('Rate Log'!$C$56,N(INDEX(sc_shift,1))),'Rate Log'!$C$56))</f>
        <v>46235</v>
      </c>
      <c r="B3855" s="74">
        <f t="shared" si="1454"/>
        <v>46235</v>
      </c>
      <c r="C3855" s="72">
        <f>IF(N(INDEX(sc_ach,1))=0,IF('Rate Log'!$G$56="",1,'Rate Log'!$G$56),INDEX(sc_ach,1))</f>
        <v>1</v>
      </c>
      <c r="D3855" s="72">
        <f>IF('Rate Log'!$C$56="",0,IF('Rate Log'!$E$56="planned",('Rate Log'!$D$56+N(INDEX(sc_dpts,1)))*$C3855,'Rate Log'!$D$56))</f>
        <v>0.05</v>
      </c>
      <c r="E3855" s="73">
        <f>IF('Rate Log'!$C$56="",0,IF(1+$D3855&gt;0,LN(1+$D3855),0))</f>
        <v>4.8790164169432049E-2</v>
      </c>
      <c r="F3855" s="75">
        <f t="shared" si="1455"/>
        <v>31</v>
      </c>
      <c r="G3855" s="75">
        <f>IF($A3855="",0,COUNTIFS(rl_key,'Rate Log'!$J$56,$B$3806:$B$4045,$B3855,$A$3806:$A$4045,"&lt;"&amp;$A3855))</f>
        <v>0</v>
      </c>
      <c r="H3855" s="75">
        <f>IF($A3855="",0,COUNTIFS('Rate Log'!$J$7:$J$56,'Rate Log'!$J$56,$B$3806:$B3855,$B3855,$A$3806:$A3855,$A3855))</f>
        <v>1</v>
      </c>
      <c r="I3855" s="75">
        <f t="shared" si="1456"/>
        <v>1</v>
      </c>
      <c r="K3855" s="74">
        <f>IF('Rate Log'!$C$56="","",IF('Rate Log'!$E$56="planned",EDATE('Rate Log'!$C$56,N(INDEX(sc_shift,2))),'Rate Log'!$C$56))</f>
        <v>46235</v>
      </c>
      <c r="L3855" s="74">
        <f t="shared" si="1457"/>
        <v>46235</v>
      </c>
      <c r="M3855" s="72">
        <f>IF(N(INDEX(sc_ach,2))=0,IF('Rate Log'!$G$56="",1,'Rate Log'!$G$56),INDEX(sc_ach,2))</f>
        <v>1</v>
      </c>
      <c r="N3855" s="72">
        <f>IF('Rate Log'!$C$56="",0,IF('Rate Log'!$E$56="planned",('Rate Log'!$D$56+N(INDEX(sc_dpts,2)))*$M3855,'Rate Log'!$D$56))</f>
        <v>0.05</v>
      </c>
      <c r="O3855" s="73">
        <f>IF('Rate Log'!$C$56="",0,IF(1+$N3855&gt;0,LN(1+$N3855),0))</f>
        <v>4.8790164169432049E-2</v>
      </c>
      <c r="P3855" s="75">
        <f t="shared" si="1458"/>
        <v>31</v>
      </c>
      <c r="Q3855" s="75">
        <f>IF($K3855="",0,COUNTIFS(rl_key,'Rate Log'!$J$56,$L$3806:$L$4045,$L3855,$K$3806:$K$4045,"&lt;"&amp;$K3855))</f>
        <v>0</v>
      </c>
      <c r="R3855" s="75">
        <f>IF($K3855="",0,COUNTIFS('Rate Log'!$J$7:$J$56,'Rate Log'!$J$56,$L$3806:$L3855,$L3855,$K$3806:$K3855,$K3855))</f>
        <v>1</v>
      </c>
      <c r="S3855" s="75">
        <f t="shared" si="1459"/>
        <v>1</v>
      </c>
      <c r="U3855" s="74">
        <f>IF('Rate Log'!$C$56="","",IF('Rate Log'!$E$56="planned",EDATE('Rate Log'!$C$56,N(INDEX(sc_shift,3))),'Rate Log'!$C$56))</f>
        <v>46235</v>
      </c>
      <c r="V3855" s="74">
        <f t="shared" si="1460"/>
        <v>46235</v>
      </c>
      <c r="W3855" s="72">
        <f>IF(N(INDEX(sc_ach,3))=0,IF('Rate Log'!$G$56="",1,'Rate Log'!$G$56),INDEX(sc_ach,3))</f>
        <v>1</v>
      </c>
      <c r="X3855" s="72">
        <f>IF('Rate Log'!$C$56="",0,IF('Rate Log'!$E$56="planned",('Rate Log'!$D$56+N(INDEX(sc_dpts,3)))*$W3855,'Rate Log'!$D$56))</f>
        <v>0.05</v>
      </c>
      <c r="Y3855" s="73">
        <f>IF('Rate Log'!$C$56="",0,IF(1+$X3855&gt;0,LN(1+$X3855),0))</f>
        <v>4.8790164169432049E-2</v>
      </c>
      <c r="Z3855" s="75">
        <f t="shared" si="1461"/>
        <v>31</v>
      </c>
      <c r="AA3855" s="75">
        <f>IF($U3855="",0,COUNTIFS(rl_key,'Rate Log'!$J$56,$V$3806:$V$4045,$V3855,$U$3806:$U$4045,"&lt;"&amp;$U3855))</f>
        <v>0</v>
      </c>
      <c r="AB3855" s="75">
        <f>IF($U3855="",0,COUNTIFS('Rate Log'!$J$7:$J$56,'Rate Log'!$J$56,$V$3806:$V3855,$V3855,$U$3806:$U3855,$U3855))</f>
        <v>1</v>
      </c>
      <c r="AC3855" s="75">
        <f t="shared" si="1462"/>
        <v>1</v>
      </c>
      <c r="AE3855" s="74">
        <f>IF('Rate Log'!$C$56="","",IF('Rate Log'!$E$56="planned",EDATE('Rate Log'!$C$56,N(INDEX(sc_shift,4))),'Rate Log'!$C$56))</f>
        <v>46235</v>
      </c>
      <c r="AF3855" s="74">
        <f t="shared" si="1463"/>
        <v>46235</v>
      </c>
      <c r="AG3855" s="72">
        <f>IF(N(INDEX(sc_ach,4))=0,IF('Rate Log'!$G$56="",1,'Rate Log'!$G$56),INDEX(sc_ach,4))</f>
        <v>1</v>
      </c>
      <c r="AH3855" s="72">
        <f>IF('Rate Log'!$C$56="",0,IF('Rate Log'!$E$56="planned",('Rate Log'!$D$56+N(INDEX(sc_dpts,4)))*$AG3855,'Rate Log'!$D$56))</f>
        <v>0.05</v>
      </c>
      <c r="AI3855" s="73">
        <f>IF('Rate Log'!$C$56="",0,IF(1+$AH3855&gt;0,LN(1+$AH3855),0))</f>
        <v>4.8790164169432049E-2</v>
      </c>
      <c r="AJ3855" s="75">
        <f t="shared" si="1464"/>
        <v>31</v>
      </c>
      <c r="AK3855" s="75">
        <f>IF($AE3855="",0,COUNTIFS(rl_key,'Rate Log'!$J$56,$AF$3806:$AF$4045,$AF3855,$AE$3806:$AE$4045,"&lt;"&amp;$AE3855))</f>
        <v>0</v>
      </c>
      <c r="AL3855" s="75">
        <f>IF($AE3855="",0,COUNTIFS('Rate Log'!$J$7:$J$56,'Rate Log'!$J$56,$AF$3806:$AF3855,$AF3855,$AE$3806:$AE3855,$AE3855))</f>
        <v>1</v>
      </c>
      <c r="AM3855" s="75">
        <f t="shared" si="1465"/>
        <v>1</v>
      </c>
    </row>
    <row r="3856" spans="1:39" x14ac:dyDescent="0.3">
      <c r="A3856" s="74">
        <f>IF('Rate Log'!$C$57="","",IF('Rate Log'!$E$57="planned",EDATE('Rate Log'!$C$57,N(INDEX(sc_shift,1))),'Rate Log'!$C$57))</f>
        <v>46296</v>
      </c>
      <c r="B3856" s="74">
        <f t="shared" si="1454"/>
        <v>46296</v>
      </c>
      <c r="C3856" s="72">
        <f>IF(N(INDEX(sc_ach,1))=0,IF('Rate Log'!$G$57="",1,'Rate Log'!$G$57),INDEX(sc_ach,1))</f>
        <v>1</v>
      </c>
      <c r="D3856" s="72">
        <f>IF('Rate Log'!$C$57="",0,IF('Rate Log'!$E$57="planned",('Rate Log'!$D$57+N(INDEX(sc_dpts,1)))*$C3856,'Rate Log'!$D$57))</f>
        <v>0.02</v>
      </c>
      <c r="E3856" s="73">
        <f>IF('Rate Log'!$C$57="",0,IF(1+$D3856&gt;0,LN(1+$D3856),0))</f>
        <v>1.980262729617973E-2</v>
      </c>
      <c r="F3856" s="75">
        <f t="shared" si="1455"/>
        <v>31</v>
      </c>
      <c r="G3856" s="75">
        <f>IF($A3856="",0,COUNTIFS(rl_key,'Rate Log'!$J$57,$B$3806:$B$4045,$B3856,$A$3806:$A$4045,"&lt;"&amp;$A3856))</f>
        <v>0</v>
      </c>
      <c r="H3856" s="75">
        <f>IF($A3856="",0,COUNTIFS('Rate Log'!$J$7:$J$57,'Rate Log'!$J$57,$B$3806:$B3856,$B3856,$A$3806:$A3856,$A3856))</f>
        <v>1</v>
      </c>
      <c r="I3856" s="75">
        <f t="shared" si="1456"/>
        <v>1</v>
      </c>
      <c r="K3856" s="74">
        <f>IF('Rate Log'!$C$57="","",IF('Rate Log'!$E$57="planned",EDATE('Rate Log'!$C$57,N(INDEX(sc_shift,2))),'Rate Log'!$C$57))</f>
        <v>46296</v>
      </c>
      <c r="L3856" s="74">
        <f t="shared" si="1457"/>
        <v>46296</v>
      </c>
      <c r="M3856" s="72">
        <f>IF(N(INDEX(sc_ach,2))=0,IF('Rate Log'!$G$57="",1,'Rate Log'!$G$57),INDEX(sc_ach,2))</f>
        <v>1</v>
      </c>
      <c r="N3856" s="72">
        <f>IF('Rate Log'!$C$57="",0,IF('Rate Log'!$E$57="planned",('Rate Log'!$D$57+N(INDEX(sc_dpts,2)))*$M3856,'Rate Log'!$D$57))</f>
        <v>0.02</v>
      </c>
      <c r="O3856" s="73">
        <f>IF('Rate Log'!$C$57="",0,IF(1+$N3856&gt;0,LN(1+$N3856),0))</f>
        <v>1.980262729617973E-2</v>
      </c>
      <c r="P3856" s="75">
        <f t="shared" si="1458"/>
        <v>31</v>
      </c>
      <c r="Q3856" s="75">
        <f>IF($K3856="",0,COUNTIFS(rl_key,'Rate Log'!$J$57,$L$3806:$L$4045,$L3856,$K$3806:$K$4045,"&lt;"&amp;$K3856))</f>
        <v>0</v>
      </c>
      <c r="R3856" s="75">
        <f>IF($K3856="",0,COUNTIFS('Rate Log'!$J$7:$J$57,'Rate Log'!$J$57,$L$3806:$L3856,$L3856,$K$3806:$K3856,$K3856))</f>
        <v>1</v>
      </c>
      <c r="S3856" s="75">
        <f t="shared" si="1459"/>
        <v>1</v>
      </c>
      <c r="U3856" s="74">
        <f>IF('Rate Log'!$C$57="","",IF('Rate Log'!$E$57="planned",EDATE('Rate Log'!$C$57,N(INDEX(sc_shift,3))),'Rate Log'!$C$57))</f>
        <v>46296</v>
      </c>
      <c r="V3856" s="74">
        <f t="shared" si="1460"/>
        <v>46296</v>
      </c>
      <c r="W3856" s="72">
        <f>IF(N(INDEX(sc_ach,3))=0,IF('Rate Log'!$G$57="",1,'Rate Log'!$G$57),INDEX(sc_ach,3))</f>
        <v>1</v>
      </c>
      <c r="X3856" s="72">
        <f>IF('Rate Log'!$C$57="",0,IF('Rate Log'!$E$57="planned",('Rate Log'!$D$57+N(INDEX(sc_dpts,3)))*$W3856,'Rate Log'!$D$57))</f>
        <v>0.02</v>
      </c>
      <c r="Y3856" s="73">
        <f>IF('Rate Log'!$C$57="",0,IF(1+$X3856&gt;0,LN(1+$X3856),0))</f>
        <v>1.980262729617973E-2</v>
      </c>
      <c r="Z3856" s="75">
        <f t="shared" si="1461"/>
        <v>31</v>
      </c>
      <c r="AA3856" s="75">
        <f>IF($U3856="",0,COUNTIFS(rl_key,'Rate Log'!$J$57,$V$3806:$V$4045,$V3856,$U$3806:$U$4045,"&lt;"&amp;$U3856))</f>
        <v>0</v>
      </c>
      <c r="AB3856" s="75">
        <f>IF($U3856="",0,COUNTIFS('Rate Log'!$J$7:$J$57,'Rate Log'!$J$57,$V$3806:$V3856,$V3856,$U$3806:$U3856,$U3856))</f>
        <v>1</v>
      </c>
      <c r="AC3856" s="75">
        <f t="shared" si="1462"/>
        <v>1</v>
      </c>
      <c r="AE3856" s="74">
        <f>IF('Rate Log'!$C$57="","",IF('Rate Log'!$E$57="planned",EDATE('Rate Log'!$C$57,N(INDEX(sc_shift,4))),'Rate Log'!$C$57))</f>
        <v>46296</v>
      </c>
      <c r="AF3856" s="74">
        <f t="shared" si="1463"/>
        <v>46296</v>
      </c>
      <c r="AG3856" s="72">
        <f>IF(N(INDEX(sc_ach,4))=0,IF('Rate Log'!$G$57="",1,'Rate Log'!$G$57),INDEX(sc_ach,4))</f>
        <v>1</v>
      </c>
      <c r="AH3856" s="72">
        <f>IF('Rate Log'!$C$57="",0,IF('Rate Log'!$E$57="planned",('Rate Log'!$D$57+N(INDEX(sc_dpts,4)))*$AG3856,'Rate Log'!$D$57))</f>
        <v>0.02</v>
      </c>
      <c r="AI3856" s="73">
        <f>IF('Rate Log'!$C$57="",0,IF(1+$AH3856&gt;0,LN(1+$AH3856),0))</f>
        <v>1.980262729617973E-2</v>
      </c>
      <c r="AJ3856" s="75">
        <f t="shared" si="1464"/>
        <v>31</v>
      </c>
      <c r="AK3856" s="75">
        <f>IF($AE3856="",0,COUNTIFS(rl_key,'Rate Log'!$J$57,$AF$3806:$AF$4045,$AF3856,$AE$3806:$AE$4045,"&lt;"&amp;$AE3856))</f>
        <v>0</v>
      </c>
      <c r="AL3856" s="75">
        <f>IF($AE3856="",0,COUNTIFS('Rate Log'!$J$7:$J$57,'Rate Log'!$J$57,$AF$3806:$AF3856,$AF3856,$AE$3806:$AE3856,$AE3856))</f>
        <v>1</v>
      </c>
      <c r="AM3856" s="75">
        <f t="shared" si="1465"/>
        <v>1</v>
      </c>
    </row>
    <row r="3857" spans="1:39" x14ac:dyDescent="0.3">
      <c r="A3857" s="74">
        <f>IF('Rate Log'!$C$58="","",IF('Rate Log'!$E$58="planned",EDATE('Rate Log'!$C$58,N(INDEX(sc_shift,1))),'Rate Log'!$C$58))</f>
        <v>46539</v>
      </c>
      <c r="B3857" s="74">
        <f t="shared" si="1454"/>
        <v>46539</v>
      </c>
      <c r="C3857" s="72">
        <f>IF(N(INDEX(sc_ach,1))=0,IF('Rate Log'!$G$58="",1,'Rate Log'!$G$58),INDEX(sc_ach,1))</f>
        <v>1</v>
      </c>
      <c r="D3857" s="72">
        <f>IF('Rate Log'!$C$58="",0,IF('Rate Log'!$E$58="planned",('Rate Log'!$D$58+N(INDEX(sc_dpts,1)))*$C3857,'Rate Log'!$D$58))</f>
        <v>0.06</v>
      </c>
      <c r="E3857" s="73">
        <f>IF('Rate Log'!$C$58="",0,IF(1+$D3857&gt;0,LN(1+$D3857),0))</f>
        <v>5.8268908123975824E-2</v>
      </c>
      <c r="F3857" s="75">
        <f t="shared" si="1455"/>
        <v>30</v>
      </c>
      <c r="G3857" s="75">
        <f>IF($A3857="",0,COUNTIFS(rl_key,'Rate Log'!$J$58,$B$3806:$B$4045,$B3857,$A$3806:$A$4045,"&lt;"&amp;$A3857))</f>
        <v>0</v>
      </c>
      <c r="H3857" s="75">
        <f>IF($A3857="",0,COUNTIFS('Rate Log'!$J$7:$J$58,'Rate Log'!$J$58,$B$3806:$B3857,$B3857,$A$3806:$A3857,$A3857))</f>
        <v>1</v>
      </c>
      <c r="I3857" s="75">
        <f t="shared" si="1456"/>
        <v>1</v>
      </c>
      <c r="K3857" s="74">
        <f>IF('Rate Log'!$C$58="","",IF('Rate Log'!$E$58="planned",EDATE('Rate Log'!$C$58,N(INDEX(sc_shift,2))),'Rate Log'!$C$58))</f>
        <v>46539</v>
      </c>
      <c r="L3857" s="74">
        <f t="shared" si="1457"/>
        <v>46539</v>
      </c>
      <c r="M3857" s="72">
        <f>IF(N(INDEX(sc_ach,2))=0,IF('Rate Log'!$G$58="",1,'Rate Log'!$G$58),INDEX(sc_ach,2))</f>
        <v>1</v>
      </c>
      <c r="N3857" s="72">
        <f>IF('Rate Log'!$C$58="",0,IF('Rate Log'!$E$58="planned",('Rate Log'!$D$58+N(INDEX(sc_dpts,2)))*$M3857,'Rate Log'!$D$58))</f>
        <v>0.04</v>
      </c>
      <c r="O3857" s="73">
        <f>IF('Rate Log'!$C$58="",0,IF(1+$N3857&gt;0,LN(1+$N3857),0))</f>
        <v>3.9220713153281329E-2</v>
      </c>
      <c r="P3857" s="75">
        <f t="shared" si="1458"/>
        <v>30</v>
      </c>
      <c r="Q3857" s="75">
        <f>IF($K3857="",0,COUNTIFS(rl_key,'Rate Log'!$J$58,$L$3806:$L$4045,$L3857,$K$3806:$K$4045,"&lt;"&amp;$K3857))</f>
        <v>0</v>
      </c>
      <c r="R3857" s="75">
        <f>IF($K3857="",0,COUNTIFS('Rate Log'!$J$7:$J$58,'Rate Log'!$J$58,$L$3806:$L3857,$L3857,$K$3806:$K3857,$K3857))</f>
        <v>1</v>
      </c>
      <c r="S3857" s="75">
        <f t="shared" si="1459"/>
        <v>1</v>
      </c>
      <c r="U3857" s="74">
        <f>IF('Rate Log'!$C$58="","",IF('Rate Log'!$E$58="planned",EDATE('Rate Log'!$C$58,N(INDEX(sc_shift,3))),'Rate Log'!$C$58))</f>
        <v>46539</v>
      </c>
      <c r="V3857" s="74">
        <f t="shared" si="1460"/>
        <v>46539</v>
      </c>
      <c r="W3857" s="72">
        <f>IF(N(INDEX(sc_ach,3))=0,IF('Rate Log'!$G$58="",1,'Rate Log'!$G$58),INDEX(sc_ach,3))</f>
        <v>1</v>
      </c>
      <c r="X3857" s="72">
        <f>IF('Rate Log'!$C$58="",0,IF('Rate Log'!$E$58="planned",('Rate Log'!$D$58+N(INDEX(sc_dpts,3)))*$W3857,'Rate Log'!$D$58))</f>
        <v>0.04</v>
      </c>
      <c r="Y3857" s="73">
        <f>IF('Rate Log'!$C$58="",0,IF(1+$X3857&gt;0,LN(1+$X3857),0))</f>
        <v>3.9220713153281329E-2</v>
      </c>
      <c r="Z3857" s="75">
        <f t="shared" si="1461"/>
        <v>30</v>
      </c>
      <c r="AA3857" s="75">
        <f>IF($U3857="",0,COUNTIFS(rl_key,'Rate Log'!$J$58,$V$3806:$V$4045,$V3857,$U$3806:$U$4045,"&lt;"&amp;$U3857))</f>
        <v>0</v>
      </c>
      <c r="AB3857" s="75">
        <f>IF($U3857="",0,COUNTIFS('Rate Log'!$J$7:$J$58,'Rate Log'!$J$58,$V$3806:$V3857,$V3857,$U$3806:$U3857,$U3857))</f>
        <v>1</v>
      </c>
      <c r="AC3857" s="75">
        <f t="shared" si="1462"/>
        <v>1</v>
      </c>
      <c r="AE3857" s="74">
        <f>IF('Rate Log'!$C$58="","",IF('Rate Log'!$E$58="planned",EDATE('Rate Log'!$C$58,N(INDEX(sc_shift,4))),'Rate Log'!$C$58))</f>
        <v>46539</v>
      </c>
      <c r="AF3857" s="74">
        <f t="shared" si="1463"/>
        <v>46539</v>
      </c>
      <c r="AG3857" s="72">
        <f>IF(N(INDEX(sc_ach,4))=0,IF('Rate Log'!$G$58="",1,'Rate Log'!$G$58),INDEX(sc_ach,4))</f>
        <v>1</v>
      </c>
      <c r="AH3857" s="72">
        <f>IF('Rate Log'!$C$58="",0,IF('Rate Log'!$E$58="planned",('Rate Log'!$D$58+N(INDEX(sc_dpts,4)))*$AG3857,'Rate Log'!$D$58))</f>
        <v>0.04</v>
      </c>
      <c r="AI3857" s="73">
        <f>IF('Rate Log'!$C$58="",0,IF(1+$AH3857&gt;0,LN(1+$AH3857),0))</f>
        <v>3.9220713153281329E-2</v>
      </c>
      <c r="AJ3857" s="75">
        <f t="shared" si="1464"/>
        <v>30</v>
      </c>
      <c r="AK3857" s="75">
        <f>IF($AE3857="",0,COUNTIFS(rl_key,'Rate Log'!$J$58,$AF$3806:$AF$4045,$AF3857,$AE$3806:$AE$4045,"&lt;"&amp;$AE3857))</f>
        <v>0</v>
      </c>
      <c r="AL3857" s="75">
        <f>IF($AE3857="",0,COUNTIFS('Rate Log'!$J$7:$J$58,'Rate Log'!$J$58,$AF$3806:$AF3857,$AF3857,$AE$3806:$AE3857,$AE3857))</f>
        <v>1</v>
      </c>
      <c r="AM3857" s="75">
        <f t="shared" si="1465"/>
        <v>1</v>
      </c>
    </row>
    <row r="3858" spans="1:39" x14ac:dyDescent="0.3">
      <c r="A3858" s="74">
        <f>IF('Rate Log'!$C$59="","",IF('Rate Log'!$E$59="planned",EDATE('Rate Log'!$C$59,N(INDEX(sc_shift,1))),'Rate Log'!$C$59))</f>
        <v>46054</v>
      </c>
      <c r="B3858" s="74">
        <f t="shared" si="1454"/>
        <v>46054</v>
      </c>
      <c r="C3858" s="72">
        <f>IF(N(INDEX(sc_ach,1))=0,IF('Rate Log'!$G$59="",1,'Rate Log'!$G$59),INDEX(sc_ach,1))</f>
        <v>1</v>
      </c>
      <c r="D3858" s="72">
        <f>IF('Rate Log'!$C$59="",0,IF('Rate Log'!$E$59="planned",('Rate Log'!$D$59+N(INDEX(sc_dpts,1)))*$C3858,'Rate Log'!$D$59))</f>
        <v>0.06</v>
      </c>
      <c r="E3858" s="73">
        <f>IF('Rate Log'!$C$59="",0,IF(1+$D3858&gt;0,LN(1+$D3858),0))</f>
        <v>5.8268908123975824E-2</v>
      </c>
      <c r="F3858" s="75">
        <f t="shared" si="1455"/>
        <v>28</v>
      </c>
      <c r="G3858" s="75">
        <f>IF($A3858="",0,COUNTIFS(rl_key,'Rate Log'!$J$59,$B$3806:$B$4045,$B3858,$A$3806:$A$4045,"&lt;"&amp;$A3858))</f>
        <v>0</v>
      </c>
      <c r="H3858" s="75">
        <f>IF($A3858="",0,COUNTIFS('Rate Log'!$J$7:$J$59,'Rate Log'!$J$59,$B$3806:$B3858,$B3858,$A$3806:$A3858,$A3858))</f>
        <v>1</v>
      </c>
      <c r="I3858" s="75">
        <f t="shared" si="1456"/>
        <v>1</v>
      </c>
      <c r="K3858" s="74">
        <f>IF('Rate Log'!$C$59="","",IF('Rate Log'!$E$59="planned",EDATE('Rate Log'!$C$59,N(INDEX(sc_shift,2))),'Rate Log'!$C$59))</f>
        <v>46054</v>
      </c>
      <c r="L3858" s="74">
        <f t="shared" si="1457"/>
        <v>46054</v>
      </c>
      <c r="M3858" s="72">
        <f>IF(N(INDEX(sc_ach,2))=0,IF('Rate Log'!$G$59="",1,'Rate Log'!$G$59),INDEX(sc_ach,2))</f>
        <v>1</v>
      </c>
      <c r="N3858" s="72">
        <f>IF('Rate Log'!$C$59="",0,IF('Rate Log'!$E$59="planned",('Rate Log'!$D$59+N(INDEX(sc_dpts,2)))*$M3858,'Rate Log'!$D$59))</f>
        <v>0.06</v>
      </c>
      <c r="O3858" s="73">
        <f>IF('Rate Log'!$C$59="",0,IF(1+$N3858&gt;0,LN(1+$N3858),0))</f>
        <v>5.8268908123975824E-2</v>
      </c>
      <c r="P3858" s="75">
        <f t="shared" si="1458"/>
        <v>28</v>
      </c>
      <c r="Q3858" s="75">
        <f>IF($K3858="",0,COUNTIFS(rl_key,'Rate Log'!$J$59,$L$3806:$L$4045,$L3858,$K$3806:$K$4045,"&lt;"&amp;$K3858))</f>
        <v>0</v>
      </c>
      <c r="R3858" s="75">
        <f>IF($K3858="",0,COUNTIFS('Rate Log'!$J$7:$J$59,'Rate Log'!$J$59,$L$3806:$L3858,$L3858,$K$3806:$K3858,$K3858))</f>
        <v>1</v>
      </c>
      <c r="S3858" s="75">
        <f t="shared" si="1459"/>
        <v>1</v>
      </c>
      <c r="U3858" s="74">
        <f>IF('Rate Log'!$C$59="","",IF('Rate Log'!$E$59="planned",EDATE('Rate Log'!$C$59,N(INDEX(sc_shift,3))),'Rate Log'!$C$59))</f>
        <v>46054</v>
      </c>
      <c r="V3858" s="74">
        <f t="shared" si="1460"/>
        <v>46054</v>
      </c>
      <c r="W3858" s="72">
        <f>IF(N(INDEX(sc_ach,3))=0,IF('Rate Log'!$G$59="",1,'Rate Log'!$G$59),INDEX(sc_ach,3))</f>
        <v>1</v>
      </c>
      <c r="X3858" s="72">
        <f>IF('Rate Log'!$C$59="",0,IF('Rate Log'!$E$59="planned",('Rate Log'!$D$59+N(INDEX(sc_dpts,3)))*$W3858,'Rate Log'!$D$59))</f>
        <v>0.06</v>
      </c>
      <c r="Y3858" s="73">
        <f>IF('Rate Log'!$C$59="",0,IF(1+$X3858&gt;0,LN(1+$X3858),0))</f>
        <v>5.8268908123975824E-2</v>
      </c>
      <c r="Z3858" s="75">
        <f t="shared" si="1461"/>
        <v>28</v>
      </c>
      <c r="AA3858" s="75">
        <f>IF($U3858="",0,COUNTIFS(rl_key,'Rate Log'!$J$59,$V$3806:$V$4045,$V3858,$U$3806:$U$4045,"&lt;"&amp;$U3858))</f>
        <v>0</v>
      </c>
      <c r="AB3858" s="75">
        <f>IF($U3858="",0,COUNTIFS('Rate Log'!$J$7:$J$59,'Rate Log'!$J$59,$V$3806:$V3858,$V3858,$U$3806:$U3858,$U3858))</f>
        <v>1</v>
      </c>
      <c r="AC3858" s="75">
        <f t="shared" si="1462"/>
        <v>1</v>
      </c>
      <c r="AE3858" s="74">
        <f>IF('Rate Log'!$C$59="","",IF('Rate Log'!$E$59="planned",EDATE('Rate Log'!$C$59,N(INDEX(sc_shift,4))),'Rate Log'!$C$59))</f>
        <v>46054</v>
      </c>
      <c r="AF3858" s="74">
        <f t="shared" si="1463"/>
        <v>46054</v>
      </c>
      <c r="AG3858" s="72">
        <f>IF(N(INDEX(sc_ach,4))=0,IF('Rate Log'!$G$59="",1,'Rate Log'!$G$59),INDEX(sc_ach,4))</f>
        <v>1</v>
      </c>
      <c r="AH3858" s="72">
        <f>IF('Rate Log'!$C$59="",0,IF('Rate Log'!$E$59="planned",('Rate Log'!$D$59+N(INDEX(sc_dpts,4)))*$AG3858,'Rate Log'!$D$59))</f>
        <v>0.06</v>
      </c>
      <c r="AI3858" s="73">
        <f>IF('Rate Log'!$C$59="",0,IF(1+$AH3858&gt;0,LN(1+$AH3858),0))</f>
        <v>5.8268908123975824E-2</v>
      </c>
      <c r="AJ3858" s="75">
        <f t="shared" si="1464"/>
        <v>28</v>
      </c>
      <c r="AK3858" s="75">
        <f>IF($AE3858="",0,COUNTIFS(rl_key,'Rate Log'!$J$59,$AF$3806:$AF$4045,$AF3858,$AE$3806:$AE$4045,"&lt;"&amp;$AE3858))</f>
        <v>0</v>
      </c>
      <c r="AL3858" s="75">
        <f>IF($AE3858="",0,COUNTIFS('Rate Log'!$J$7:$J$59,'Rate Log'!$J$59,$AF$3806:$AF3858,$AF3858,$AE$3806:$AE3858,$AE3858))</f>
        <v>1</v>
      </c>
      <c r="AM3858" s="75">
        <f t="shared" si="1465"/>
        <v>1</v>
      </c>
    </row>
    <row r="3859" spans="1:39" x14ac:dyDescent="0.3">
      <c r="A3859" s="74">
        <f>IF('Rate Log'!$C$60="","",IF('Rate Log'!$E$60="planned",EDATE('Rate Log'!$C$60,N(INDEX(sc_shift,1))),'Rate Log'!$C$60))</f>
        <v>46661</v>
      </c>
      <c r="B3859" s="74">
        <f t="shared" si="1454"/>
        <v>46661</v>
      </c>
      <c r="C3859" s="72">
        <f>IF(N(INDEX(sc_ach,1))=0,IF('Rate Log'!$G$60="",1,'Rate Log'!$G$60),INDEX(sc_ach,1))</f>
        <v>1</v>
      </c>
      <c r="D3859" s="72">
        <f>IF('Rate Log'!$C$60="",0,IF('Rate Log'!$E$60="planned",('Rate Log'!$D$60+N(INDEX(sc_dpts,1)))*$C3859,'Rate Log'!$D$60))</f>
        <v>0.06</v>
      </c>
      <c r="E3859" s="73">
        <f>IF('Rate Log'!$C$60="",0,IF(1+$D3859&gt;0,LN(1+$D3859),0))</f>
        <v>5.8268908123975824E-2</v>
      </c>
      <c r="F3859" s="75">
        <f t="shared" si="1455"/>
        <v>31</v>
      </c>
      <c r="G3859" s="75">
        <f>IF($A3859="",0,COUNTIFS(rl_key,'Rate Log'!$J$60,$B$3806:$B$4045,$B3859,$A$3806:$A$4045,"&lt;"&amp;$A3859))</f>
        <v>0</v>
      </c>
      <c r="H3859" s="75">
        <f>IF($A3859="",0,COUNTIFS('Rate Log'!$J$7:$J$60,'Rate Log'!$J$60,$B$3806:$B3859,$B3859,$A$3806:$A3859,$A3859))</f>
        <v>1</v>
      </c>
      <c r="I3859" s="75">
        <f t="shared" si="1456"/>
        <v>1</v>
      </c>
      <c r="K3859" s="74">
        <f>IF('Rate Log'!$C$60="","",IF('Rate Log'!$E$60="planned",EDATE('Rate Log'!$C$60,N(INDEX(sc_shift,2))),'Rate Log'!$C$60))</f>
        <v>46661</v>
      </c>
      <c r="L3859" s="74">
        <f t="shared" si="1457"/>
        <v>46661</v>
      </c>
      <c r="M3859" s="72">
        <f>IF(N(INDEX(sc_ach,2))=0,IF('Rate Log'!$G$60="",1,'Rate Log'!$G$60),INDEX(sc_ach,2))</f>
        <v>1</v>
      </c>
      <c r="N3859" s="72">
        <f>IF('Rate Log'!$C$60="",0,IF('Rate Log'!$E$60="planned",('Rate Log'!$D$60+N(INDEX(sc_dpts,2)))*$M3859,'Rate Log'!$D$60))</f>
        <v>0.04</v>
      </c>
      <c r="O3859" s="73">
        <f>IF('Rate Log'!$C$60="",0,IF(1+$N3859&gt;0,LN(1+$N3859),0))</f>
        <v>3.9220713153281329E-2</v>
      </c>
      <c r="P3859" s="75">
        <f t="shared" si="1458"/>
        <v>31</v>
      </c>
      <c r="Q3859" s="75">
        <f>IF($K3859="",0,COUNTIFS(rl_key,'Rate Log'!$J$60,$L$3806:$L$4045,$L3859,$K$3806:$K$4045,"&lt;"&amp;$K3859))</f>
        <v>0</v>
      </c>
      <c r="R3859" s="75">
        <f>IF($K3859="",0,COUNTIFS('Rate Log'!$J$7:$J$60,'Rate Log'!$J$60,$L$3806:$L3859,$L3859,$K$3806:$K3859,$K3859))</f>
        <v>1</v>
      </c>
      <c r="S3859" s="75">
        <f t="shared" si="1459"/>
        <v>1</v>
      </c>
      <c r="U3859" s="74">
        <f>IF('Rate Log'!$C$60="","",IF('Rate Log'!$E$60="planned",EDATE('Rate Log'!$C$60,N(INDEX(sc_shift,3))),'Rate Log'!$C$60))</f>
        <v>46661</v>
      </c>
      <c r="V3859" s="74">
        <f t="shared" si="1460"/>
        <v>46661</v>
      </c>
      <c r="W3859" s="72">
        <f>IF(N(INDEX(sc_ach,3))=0,IF('Rate Log'!$G$60="",1,'Rate Log'!$G$60),INDEX(sc_ach,3))</f>
        <v>1</v>
      </c>
      <c r="X3859" s="72">
        <f>IF('Rate Log'!$C$60="",0,IF('Rate Log'!$E$60="planned",('Rate Log'!$D$60+N(INDEX(sc_dpts,3)))*$W3859,'Rate Log'!$D$60))</f>
        <v>0.04</v>
      </c>
      <c r="Y3859" s="73">
        <f>IF('Rate Log'!$C$60="",0,IF(1+$X3859&gt;0,LN(1+$X3859),0))</f>
        <v>3.9220713153281329E-2</v>
      </c>
      <c r="Z3859" s="75">
        <f t="shared" si="1461"/>
        <v>31</v>
      </c>
      <c r="AA3859" s="75">
        <f>IF($U3859="",0,COUNTIFS(rl_key,'Rate Log'!$J$60,$V$3806:$V$4045,$V3859,$U$3806:$U$4045,"&lt;"&amp;$U3859))</f>
        <v>0</v>
      </c>
      <c r="AB3859" s="75">
        <f>IF($U3859="",0,COUNTIFS('Rate Log'!$J$7:$J$60,'Rate Log'!$J$60,$V$3806:$V3859,$V3859,$U$3806:$U3859,$U3859))</f>
        <v>1</v>
      </c>
      <c r="AC3859" s="75">
        <f t="shared" si="1462"/>
        <v>1</v>
      </c>
      <c r="AE3859" s="74">
        <f>IF('Rate Log'!$C$60="","",IF('Rate Log'!$E$60="planned",EDATE('Rate Log'!$C$60,N(INDEX(sc_shift,4))),'Rate Log'!$C$60))</f>
        <v>46661</v>
      </c>
      <c r="AF3859" s="74">
        <f t="shared" si="1463"/>
        <v>46661</v>
      </c>
      <c r="AG3859" s="72">
        <f>IF(N(INDEX(sc_ach,4))=0,IF('Rate Log'!$G$60="",1,'Rate Log'!$G$60),INDEX(sc_ach,4))</f>
        <v>1</v>
      </c>
      <c r="AH3859" s="72">
        <f>IF('Rate Log'!$C$60="",0,IF('Rate Log'!$E$60="planned",('Rate Log'!$D$60+N(INDEX(sc_dpts,4)))*$AG3859,'Rate Log'!$D$60))</f>
        <v>0.04</v>
      </c>
      <c r="AI3859" s="73">
        <f>IF('Rate Log'!$C$60="",0,IF(1+$AH3859&gt;0,LN(1+$AH3859),0))</f>
        <v>3.9220713153281329E-2</v>
      </c>
      <c r="AJ3859" s="75">
        <f t="shared" si="1464"/>
        <v>31</v>
      </c>
      <c r="AK3859" s="75">
        <f>IF($AE3859="",0,COUNTIFS(rl_key,'Rate Log'!$J$60,$AF$3806:$AF$4045,$AF3859,$AE$3806:$AE$4045,"&lt;"&amp;$AE3859))</f>
        <v>0</v>
      </c>
      <c r="AL3859" s="75">
        <f>IF($AE3859="",0,COUNTIFS('Rate Log'!$J$7:$J$60,'Rate Log'!$J$60,$AF$3806:$AF3859,$AF3859,$AE$3806:$AE3859,$AE3859))</f>
        <v>1</v>
      </c>
      <c r="AM3859" s="75">
        <f t="shared" si="1465"/>
        <v>1</v>
      </c>
    </row>
    <row r="3860" spans="1:39" x14ac:dyDescent="0.3">
      <c r="A3860" s="74">
        <f>IF('Rate Log'!$C$61="","",IF('Rate Log'!$E$61="planned",EDATE('Rate Log'!$C$61,N(INDEX(sc_shift,1))),'Rate Log'!$C$61))</f>
        <v>46113</v>
      </c>
      <c r="B3860" s="74">
        <f t="shared" si="1454"/>
        <v>46113</v>
      </c>
      <c r="C3860" s="72">
        <f>IF(N(INDEX(sc_ach,1))=0,IF('Rate Log'!$G$61="",1,'Rate Log'!$G$61),INDEX(sc_ach,1))</f>
        <v>1</v>
      </c>
      <c r="D3860" s="72">
        <f>IF('Rate Log'!$C$61="",0,IF('Rate Log'!$E$61="planned",('Rate Log'!$D$61+N(INDEX(sc_dpts,1)))*$C3860,'Rate Log'!$D$61))</f>
        <v>0.03</v>
      </c>
      <c r="E3860" s="73">
        <f>IF('Rate Log'!$C$61="",0,IF(1+$D3860&gt;0,LN(1+$D3860),0))</f>
        <v>2.9558802241544429E-2</v>
      </c>
      <c r="F3860" s="75">
        <f t="shared" si="1455"/>
        <v>30</v>
      </c>
      <c r="G3860" s="75">
        <f>IF($A3860="",0,COUNTIFS(rl_key,'Rate Log'!$J$61,$B$3806:$B$4045,$B3860,$A$3806:$A$4045,"&lt;"&amp;$A3860))</f>
        <v>0</v>
      </c>
      <c r="H3860" s="75">
        <f>IF($A3860="",0,COUNTIFS('Rate Log'!$J$7:$J$61,'Rate Log'!$J$61,$B$3806:$B3860,$B3860,$A$3806:$A3860,$A3860))</f>
        <v>1</v>
      </c>
      <c r="I3860" s="75">
        <f t="shared" si="1456"/>
        <v>1</v>
      </c>
      <c r="K3860" s="74">
        <f>IF('Rate Log'!$C$61="","",IF('Rate Log'!$E$61="planned",EDATE('Rate Log'!$C$61,N(INDEX(sc_shift,2))),'Rate Log'!$C$61))</f>
        <v>46113</v>
      </c>
      <c r="L3860" s="74">
        <f t="shared" si="1457"/>
        <v>46113</v>
      </c>
      <c r="M3860" s="72">
        <f>IF(N(INDEX(sc_ach,2))=0,IF('Rate Log'!$G$61="",1,'Rate Log'!$G$61),INDEX(sc_ach,2))</f>
        <v>1</v>
      </c>
      <c r="N3860" s="72">
        <f>IF('Rate Log'!$C$61="",0,IF('Rate Log'!$E$61="planned",('Rate Log'!$D$61+N(INDEX(sc_dpts,2)))*$M3860,'Rate Log'!$D$61))</f>
        <v>0.03</v>
      </c>
      <c r="O3860" s="73">
        <f>IF('Rate Log'!$C$61="",0,IF(1+$N3860&gt;0,LN(1+$N3860),0))</f>
        <v>2.9558802241544429E-2</v>
      </c>
      <c r="P3860" s="75">
        <f t="shared" si="1458"/>
        <v>30</v>
      </c>
      <c r="Q3860" s="75">
        <f>IF($K3860="",0,COUNTIFS(rl_key,'Rate Log'!$J$61,$L$3806:$L$4045,$L3860,$K$3806:$K$4045,"&lt;"&amp;$K3860))</f>
        <v>0</v>
      </c>
      <c r="R3860" s="75">
        <f>IF($K3860="",0,COUNTIFS('Rate Log'!$J$7:$J$61,'Rate Log'!$J$61,$L$3806:$L3860,$L3860,$K$3806:$K3860,$K3860))</f>
        <v>1</v>
      </c>
      <c r="S3860" s="75">
        <f t="shared" si="1459"/>
        <v>1</v>
      </c>
      <c r="U3860" s="74">
        <f>IF('Rate Log'!$C$61="","",IF('Rate Log'!$E$61="planned",EDATE('Rate Log'!$C$61,N(INDEX(sc_shift,3))),'Rate Log'!$C$61))</f>
        <v>46113</v>
      </c>
      <c r="V3860" s="74">
        <f t="shared" si="1460"/>
        <v>46113</v>
      </c>
      <c r="W3860" s="72">
        <f>IF(N(INDEX(sc_ach,3))=0,IF('Rate Log'!$G$61="",1,'Rate Log'!$G$61),INDEX(sc_ach,3))</f>
        <v>1</v>
      </c>
      <c r="X3860" s="72">
        <f>IF('Rate Log'!$C$61="",0,IF('Rate Log'!$E$61="planned",('Rate Log'!$D$61+N(INDEX(sc_dpts,3)))*$W3860,'Rate Log'!$D$61))</f>
        <v>0.03</v>
      </c>
      <c r="Y3860" s="73">
        <f>IF('Rate Log'!$C$61="",0,IF(1+$X3860&gt;0,LN(1+$X3860),0))</f>
        <v>2.9558802241544429E-2</v>
      </c>
      <c r="Z3860" s="75">
        <f t="shared" si="1461"/>
        <v>30</v>
      </c>
      <c r="AA3860" s="75">
        <f>IF($U3860="",0,COUNTIFS(rl_key,'Rate Log'!$J$61,$V$3806:$V$4045,$V3860,$U$3806:$U$4045,"&lt;"&amp;$U3860))</f>
        <v>0</v>
      </c>
      <c r="AB3860" s="75">
        <f>IF($U3860="",0,COUNTIFS('Rate Log'!$J$7:$J$61,'Rate Log'!$J$61,$V$3806:$V3860,$V3860,$U$3806:$U3860,$U3860))</f>
        <v>1</v>
      </c>
      <c r="AC3860" s="75">
        <f t="shared" si="1462"/>
        <v>1</v>
      </c>
      <c r="AE3860" s="74">
        <f>IF('Rate Log'!$C$61="","",IF('Rate Log'!$E$61="planned",EDATE('Rate Log'!$C$61,N(INDEX(sc_shift,4))),'Rate Log'!$C$61))</f>
        <v>46113</v>
      </c>
      <c r="AF3860" s="74">
        <f t="shared" si="1463"/>
        <v>46113</v>
      </c>
      <c r="AG3860" s="72">
        <f>IF(N(INDEX(sc_ach,4))=0,IF('Rate Log'!$G$61="",1,'Rate Log'!$G$61),INDEX(sc_ach,4))</f>
        <v>1</v>
      </c>
      <c r="AH3860" s="72">
        <f>IF('Rate Log'!$C$61="",0,IF('Rate Log'!$E$61="planned",('Rate Log'!$D$61+N(INDEX(sc_dpts,4)))*$AG3860,'Rate Log'!$D$61))</f>
        <v>0.03</v>
      </c>
      <c r="AI3860" s="73">
        <f>IF('Rate Log'!$C$61="",0,IF(1+$AH3860&gt;0,LN(1+$AH3860),0))</f>
        <v>2.9558802241544429E-2</v>
      </c>
      <c r="AJ3860" s="75">
        <f t="shared" si="1464"/>
        <v>30</v>
      </c>
      <c r="AK3860" s="75">
        <f>IF($AE3860="",0,COUNTIFS(rl_key,'Rate Log'!$J$61,$AF$3806:$AF$4045,$AF3860,$AE$3806:$AE$4045,"&lt;"&amp;$AE3860))</f>
        <v>0</v>
      </c>
      <c r="AL3860" s="75">
        <f>IF($AE3860="",0,COUNTIFS('Rate Log'!$J$7:$J$61,'Rate Log'!$J$61,$AF$3806:$AF3860,$AF3860,$AE$3806:$AE3860,$AE3860))</f>
        <v>1</v>
      </c>
      <c r="AM3860" s="75">
        <f t="shared" si="1465"/>
        <v>1</v>
      </c>
    </row>
    <row r="3861" spans="1:39" x14ac:dyDescent="0.3">
      <c r="A3861" s="74">
        <f>IF('Rate Log'!$C$62="","",IF('Rate Log'!$E$62="planned",EDATE('Rate Log'!$C$62,N(INDEX(sc_shift,1))),'Rate Log'!$C$62))</f>
        <v>46143</v>
      </c>
      <c r="B3861" s="74">
        <f t="shared" si="1454"/>
        <v>46143</v>
      </c>
      <c r="C3861" s="72">
        <f>IF(N(INDEX(sc_ach,1))=0,IF('Rate Log'!$G$62="",1,'Rate Log'!$G$62),INDEX(sc_ach,1))</f>
        <v>1</v>
      </c>
      <c r="D3861" s="72">
        <f>IF('Rate Log'!$C$62="",0,IF('Rate Log'!$E$62="planned",('Rate Log'!$D$62+N(INDEX(sc_dpts,1)))*$C3861,'Rate Log'!$D$62))</f>
        <v>0.04</v>
      </c>
      <c r="E3861" s="73">
        <f>IF('Rate Log'!$C$62="",0,IF(1+$D3861&gt;0,LN(1+$D3861),0))</f>
        <v>3.9220713153281329E-2</v>
      </c>
      <c r="F3861" s="75">
        <f t="shared" si="1455"/>
        <v>31</v>
      </c>
      <c r="G3861" s="75">
        <f>IF($A3861="",0,COUNTIFS(rl_key,'Rate Log'!$J$62,$B$3806:$B$4045,$B3861,$A$3806:$A$4045,"&lt;"&amp;$A3861))</f>
        <v>0</v>
      </c>
      <c r="H3861" s="75">
        <f>IF($A3861="",0,COUNTIFS('Rate Log'!$J$7:$J$62,'Rate Log'!$J$62,$B$3806:$B3861,$B3861,$A$3806:$A3861,$A3861))</f>
        <v>1</v>
      </c>
      <c r="I3861" s="75">
        <f t="shared" si="1456"/>
        <v>1</v>
      </c>
      <c r="K3861" s="74">
        <f>IF('Rate Log'!$C$62="","",IF('Rate Log'!$E$62="planned",EDATE('Rate Log'!$C$62,N(INDEX(sc_shift,2))),'Rate Log'!$C$62))</f>
        <v>46143</v>
      </c>
      <c r="L3861" s="74">
        <f t="shared" si="1457"/>
        <v>46143</v>
      </c>
      <c r="M3861" s="72">
        <f>IF(N(INDEX(sc_ach,2))=0,IF('Rate Log'!$G$62="",1,'Rate Log'!$G$62),INDEX(sc_ach,2))</f>
        <v>1</v>
      </c>
      <c r="N3861" s="72">
        <f>IF('Rate Log'!$C$62="",0,IF('Rate Log'!$E$62="planned",('Rate Log'!$D$62+N(INDEX(sc_dpts,2)))*$M3861,'Rate Log'!$D$62))</f>
        <v>0.04</v>
      </c>
      <c r="O3861" s="73">
        <f>IF('Rate Log'!$C$62="",0,IF(1+$N3861&gt;0,LN(1+$N3861),0))</f>
        <v>3.9220713153281329E-2</v>
      </c>
      <c r="P3861" s="75">
        <f t="shared" si="1458"/>
        <v>31</v>
      </c>
      <c r="Q3861" s="75">
        <f>IF($K3861="",0,COUNTIFS(rl_key,'Rate Log'!$J$62,$L$3806:$L$4045,$L3861,$K$3806:$K$4045,"&lt;"&amp;$K3861))</f>
        <v>0</v>
      </c>
      <c r="R3861" s="75">
        <f>IF($K3861="",0,COUNTIFS('Rate Log'!$J$7:$J$62,'Rate Log'!$J$62,$L$3806:$L3861,$L3861,$K$3806:$K3861,$K3861))</f>
        <v>1</v>
      </c>
      <c r="S3861" s="75">
        <f t="shared" si="1459"/>
        <v>1</v>
      </c>
      <c r="U3861" s="74">
        <f>IF('Rate Log'!$C$62="","",IF('Rate Log'!$E$62="planned",EDATE('Rate Log'!$C$62,N(INDEX(sc_shift,3))),'Rate Log'!$C$62))</f>
        <v>46143</v>
      </c>
      <c r="V3861" s="74">
        <f t="shared" si="1460"/>
        <v>46143</v>
      </c>
      <c r="W3861" s="72">
        <f>IF(N(INDEX(sc_ach,3))=0,IF('Rate Log'!$G$62="",1,'Rate Log'!$G$62),INDEX(sc_ach,3))</f>
        <v>1</v>
      </c>
      <c r="X3861" s="72">
        <f>IF('Rate Log'!$C$62="",0,IF('Rate Log'!$E$62="planned",('Rate Log'!$D$62+N(INDEX(sc_dpts,3)))*$W3861,'Rate Log'!$D$62))</f>
        <v>0.04</v>
      </c>
      <c r="Y3861" s="73">
        <f>IF('Rate Log'!$C$62="",0,IF(1+$X3861&gt;0,LN(1+$X3861),0))</f>
        <v>3.9220713153281329E-2</v>
      </c>
      <c r="Z3861" s="75">
        <f t="shared" si="1461"/>
        <v>31</v>
      </c>
      <c r="AA3861" s="75">
        <f>IF($U3861="",0,COUNTIFS(rl_key,'Rate Log'!$J$62,$V$3806:$V$4045,$V3861,$U$3806:$U$4045,"&lt;"&amp;$U3861))</f>
        <v>0</v>
      </c>
      <c r="AB3861" s="75">
        <f>IF($U3861="",0,COUNTIFS('Rate Log'!$J$7:$J$62,'Rate Log'!$J$62,$V$3806:$V3861,$V3861,$U$3806:$U3861,$U3861))</f>
        <v>1</v>
      </c>
      <c r="AC3861" s="75">
        <f t="shared" si="1462"/>
        <v>1</v>
      </c>
      <c r="AE3861" s="74">
        <f>IF('Rate Log'!$C$62="","",IF('Rate Log'!$E$62="planned",EDATE('Rate Log'!$C$62,N(INDEX(sc_shift,4))),'Rate Log'!$C$62))</f>
        <v>46143</v>
      </c>
      <c r="AF3861" s="74">
        <f t="shared" si="1463"/>
        <v>46143</v>
      </c>
      <c r="AG3861" s="72">
        <f>IF(N(INDEX(sc_ach,4))=0,IF('Rate Log'!$G$62="",1,'Rate Log'!$G$62),INDEX(sc_ach,4))</f>
        <v>1</v>
      </c>
      <c r="AH3861" s="72">
        <f>IF('Rate Log'!$C$62="",0,IF('Rate Log'!$E$62="planned",('Rate Log'!$D$62+N(INDEX(sc_dpts,4)))*$AG3861,'Rate Log'!$D$62))</f>
        <v>0.04</v>
      </c>
      <c r="AI3861" s="73">
        <f>IF('Rate Log'!$C$62="",0,IF(1+$AH3861&gt;0,LN(1+$AH3861),0))</f>
        <v>3.9220713153281329E-2</v>
      </c>
      <c r="AJ3861" s="75">
        <f t="shared" si="1464"/>
        <v>31</v>
      </c>
      <c r="AK3861" s="75">
        <f>IF($AE3861="",0,COUNTIFS(rl_key,'Rate Log'!$J$62,$AF$3806:$AF$4045,$AF3861,$AE$3806:$AE$4045,"&lt;"&amp;$AE3861))</f>
        <v>0</v>
      </c>
      <c r="AL3861" s="75">
        <f>IF($AE3861="",0,COUNTIFS('Rate Log'!$J$7:$J$62,'Rate Log'!$J$62,$AF$3806:$AF3861,$AF3861,$AE$3806:$AE3861,$AE3861))</f>
        <v>1</v>
      </c>
      <c r="AM3861" s="75">
        <f t="shared" si="1465"/>
        <v>1</v>
      </c>
    </row>
    <row r="3862" spans="1:39" x14ac:dyDescent="0.3">
      <c r="A3862" s="74">
        <f>IF('Rate Log'!$C$63="","",IF('Rate Log'!$E$63="planned",EDATE('Rate Log'!$C$63,N(INDEX(sc_shift,1))),'Rate Log'!$C$63))</f>
        <v>46478</v>
      </c>
      <c r="B3862" s="74">
        <f t="shared" si="1454"/>
        <v>46478</v>
      </c>
      <c r="C3862" s="72">
        <f>IF(N(INDEX(sc_ach,1))=0,IF('Rate Log'!$G$63="",1,'Rate Log'!$G$63),INDEX(sc_ach,1))</f>
        <v>1</v>
      </c>
      <c r="D3862" s="72">
        <f>IF('Rate Log'!$C$63="",0,IF('Rate Log'!$E$63="planned",('Rate Log'!$D$63+N(INDEX(sc_dpts,1)))*$C3862,'Rate Log'!$D$63))</f>
        <v>0.06</v>
      </c>
      <c r="E3862" s="73">
        <f>IF('Rate Log'!$C$63="",0,IF(1+$D3862&gt;0,LN(1+$D3862),0))</f>
        <v>5.8268908123975824E-2</v>
      </c>
      <c r="F3862" s="75">
        <f t="shared" si="1455"/>
        <v>30</v>
      </c>
      <c r="G3862" s="75">
        <f>IF($A3862="",0,COUNTIFS(rl_key,'Rate Log'!$J$63,$B$3806:$B$4045,$B3862,$A$3806:$A$4045,"&lt;"&amp;$A3862))</f>
        <v>0</v>
      </c>
      <c r="H3862" s="75">
        <f>IF($A3862="",0,COUNTIFS('Rate Log'!$J$7:$J$63,'Rate Log'!$J$63,$B$3806:$B3862,$B3862,$A$3806:$A3862,$A3862))</f>
        <v>1</v>
      </c>
      <c r="I3862" s="75">
        <f t="shared" si="1456"/>
        <v>1</v>
      </c>
      <c r="K3862" s="74">
        <f>IF('Rate Log'!$C$63="","",IF('Rate Log'!$E$63="planned",EDATE('Rate Log'!$C$63,N(INDEX(sc_shift,2))),'Rate Log'!$C$63))</f>
        <v>46478</v>
      </c>
      <c r="L3862" s="74">
        <f t="shared" si="1457"/>
        <v>46478</v>
      </c>
      <c r="M3862" s="72">
        <f>IF(N(INDEX(sc_ach,2))=0,IF('Rate Log'!$G$63="",1,'Rate Log'!$G$63),INDEX(sc_ach,2))</f>
        <v>1</v>
      </c>
      <c r="N3862" s="72">
        <f>IF('Rate Log'!$C$63="",0,IF('Rate Log'!$E$63="planned",('Rate Log'!$D$63+N(INDEX(sc_dpts,2)))*$M3862,'Rate Log'!$D$63))</f>
        <v>0.04</v>
      </c>
      <c r="O3862" s="73">
        <f>IF('Rate Log'!$C$63="",0,IF(1+$N3862&gt;0,LN(1+$N3862),0))</f>
        <v>3.9220713153281329E-2</v>
      </c>
      <c r="P3862" s="75">
        <f t="shared" si="1458"/>
        <v>30</v>
      </c>
      <c r="Q3862" s="75">
        <f>IF($K3862="",0,COUNTIFS(rl_key,'Rate Log'!$J$63,$L$3806:$L$4045,$L3862,$K$3806:$K$4045,"&lt;"&amp;$K3862))</f>
        <v>0</v>
      </c>
      <c r="R3862" s="75">
        <f>IF($K3862="",0,COUNTIFS('Rate Log'!$J$7:$J$63,'Rate Log'!$J$63,$L$3806:$L3862,$L3862,$K$3806:$K3862,$K3862))</f>
        <v>1</v>
      </c>
      <c r="S3862" s="75">
        <f t="shared" si="1459"/>
        <v>1</v>
      </c>
      <c r="U3862" s="74">
        <f>IF('Rate Log'!$C$63="","",IF('Rate Log'!$E$63="planned",EDATE('Rate Log'!$C$63,N(INDEX(sc_shift,3))),'Rate Log'!$C$63))</f>
        <v>46478</v>
      </c>
      <c r="V3862" s="74">
        <f t="shared" si="1460"/>
        <v>46478</v>
      </c>
      <c r="W3862" s="72">
        <f>IF(N(INDEX(sc_ach,3))=0,IF('Rate Log'!$G$63="",1,'Rate Log'!$G$63),INDEX(sc_ach,3))</f>
        <v>1</v>
      </c>
      <c r="X3862" s="72">
        <f>IF('Rate Log'!$C$63="",0,IF('Rate Log'!$E$63="planned",('Rate Log'!$D$63+N(INDEX(sc_dpts,3)))*$W3862,'Rate Log'!$D$63))</f>
        <v>0.04</v>
      </c>
      <c r="Y3862" s="73">
        <f>IF('Rate Log'!$C$63="",0,IF(1+$X3862&gt;0,LN(1+$X3862),0))</f>
        <v>3.9220713153281329E-2</v>
      </c>
      <c r="Z3862" s="75">
        <f t="shared" si="1461"/>
        <v>30</v>
      </c>
      <c r="AA3862" s="75">
        <f>IF($U3862="",0,COUNTIFS(rl_key,'Rate Log'!$J$63,$V$3806:$V$4045,$V3862,$U$3806:$U$4045,"&lt;"&amp;$U3862))</f>
        <v>0</v>
      </c>
      <c r="AB3862" s="75">
        <f>IF($U3862="",0,COUNTIFS('Rate Log'!$J$7:$J$63,'Rate Log'!$J$63,$V$3806:$V3862,$V3862,$U$3806:$U3862,$U3862))</f>
        <v>1</v>
      </c>
      <c r="AC3862" s="75">
        <f t="shared" si="1462"/>
        <v>1</v>
      </c>
      <c r="AE3862" s="74">
        <f>IF('Rate Log'!$C$63="","",IF('Rate Log'!$E$63="planned",EDATE('Rate Log'!$C$63,N(INDEX(sc_shift,4))),'Rate Log'!$C$63))</f>
        <v>46478</v>
      </c>
      <c r="AF3862" s="74">
        <f t="shared" si="1463"/>
        <v>46478</v>
      </c>
      <c r="AG3862" s="72">
        <f>IF(N(INDEX(sc_ach,4))=0,IF('Rate Log'!$G$63="",1,'Rate Log'!$G$63),INDEX(sc_ach,4))</f>
        <v>1</v>
      </c>
      <c r="AH3862" s="72">
        <f>IF('Rate Log'!$C$63="",0,IF('Rate Log'!$E$63="planned",('Rate Log'!$D$63+N(INDEX(sc_dpts,4)))*$AG3862,'Rate Log'!$D$63))</f>
        <v>0.04</v>
      </c>
      <c r="AI3862" s="73">
        <f>IF('Rate Log'!$C$63="",0,IF(1+$AH3862&gt;0,LN(1+$AH3862),0))</f>
        <v>3.9220713153281329E-2</v>
      </c>
      <c r="AJ3862" s="75">
        <f t="shared" si="1464"/>
        <v>30</v>
      </c>
      <c r="AK3862" s="75">
        <f>IF($AE3862="",0,COUNTIFS(rl_key,'Rate Log'!$J$63,$AF$3806:$AF$4045,$AF3862,$AE$3806:$AE$4045,"&lt;"&amp;$AE3862))</f>
        <v>0</v>
      </c>
      <c r="AL3862" s="75">
        <f>IF($AE3862="",0,COUNTIFS('Rate Log'!$J$7:$J$63,'Rate Log'!$J$63,$AF$3806:$AF3862,$AF3862,$AE$3806:$AE3862,$AE3862))</f>
        <v>1</v>
      </c>
      <c r="AM3862" s="75">
        <f t="shared" si="1465"/>
        <v>1</v>
      </c>
    </row>
    <row r="3863" spans="1:39" x14ac:dyDescent="0.3">
      <c r="A3863" s="74">
        <f>IF('Rate Log'!$C$64="","",IF('Rate Log'!$E$64="planned",EDATE('Rate Log'!$C$64,N(INDEX(sc_shift,1))),'Rate Log'!$C$64))</f>
        <v>46204</v>
      </c>
      <c r="B3863" s="74">
        <f t="shared" si="1454"/>
        <v>46204</v>
      </c>
      <c r="C3863" s="72">
        <f>IF(N(INDEX(sc_ach,1))=0,IF('Rate Log'!$G$64="",1,'Rate Log'!$G$64),INDEX(sc_ach,1))</f>
        <v>1</v>
      </c>
      <c r="D3863" s="72">
        <f>IF('Rate Log'!$C$64="",0,IF('Rate Log'!$E$64="planned",('Rate Log'!$D$64+N(INDEX(sc_dpts,1)))*$C3863,'Rate Log'!$D$64))</f>
        <v>0.06</v>
      </c>
      <c r="E3863" s="73">
        <f>IF('Rate Log'!$C$64="",0,IF(1+$D3863&gt;0,LN(1+$D3863),0))</f>
        <v>5.8268908123975824E-2</v>
      </c>
      <c r="F3863" s="75">
        <f t="shared" si="1455"/>
        <v>31</v>
      </c>
      <c r="G3863" s="75">
        <f>IF($A3863="",0,COUNTIFS(rl_key,'Rate Log'!$J$64,$B$3806:$B$4045,$B3863,$A$3806:$A$4045,"&lt;"&amp;$A3863))</f>
        <v>0</v>
      </c>
      <c r="H3863" s="75">
        <f>IF($A3863="",0,COUNTIFS('Rate Log'!$J$7:$J$64,'Rate Log'!$J$64,$B$3806:$B3863,$B3863,$A$3806:$A3863,$A3863))</f>
        <v>1</v>
      </c>
      <c r="I3863" s="75">
        <f t="shared" si="1456"/>
        <v>1</v>
      </c>
      <c r="K3863" s="74">
        <f>IF('Rate Log'!$C$64="","",IF('Rate Log'!$E$64="planned",EDATE('Rate Log'!$C$64,N(INDEX(sc_shift,2))),'Rate Log'!$C$64))</f>
        <v>46204</v>
      </c>
      <c r="L3863" s="74">
        <f t="shared" si="1457"/>
        <v>46204</v>
      </c>
      <c r="M3863" s="72">
        <f>IF(N(INDEX(sc_ach,2))=0,IF('Rate Log'!$G$64="",1,'Rate Log'!$G$64),INDEX(sc_ach,2))</f>
        <v>1</v>
      </c>
      <c r="N3863" s="72">
        <f>IF('Rate Log'!$C$64="",0,IF('Rate Log'!$E$64="planned",('Rate Log'!$D$64+N(INDEX(sc_dpts,2)))*$M3863,'Rate Log'!$D$64))</f>
        <v>0.06</v>
      </c>
      <c r="O3863" s="73">
        <f>IF('Rate Log'!$C$64="",0,IF(1+$N3863&gt;0,LN(1+$N3863),0))</f>
        <v>5.8268908123975824E-2</v>
      </c>
      <c r="P3863" s="75">
        <f t="shared" si="1458"/>
        <v>31</v>
      </c>
      <c r="Q3863" s="75">
        <f>IF($K3863="",0,COUNTIFS(rl_key,'Rate Log'!$J$64,$L$3806:$L$4045,$L3863,$K$3806:$K$4045,"&lt;"&amp;$K3863))</f>
        <v>0</v>
      </c>
      <c r="R3863" s="75">
        <f>IF($K3863="",0,COUNTIFS('Rate Log'!$J$7:$J$64,'Rate Log'!$J$64,$L$3806:$L3863,$L3863,$K$3806:$K3863,$K3863))</f>
        <v>1</v>
      </c>
      <c r="S3863" s="75">
        <f t="shared" si="1459"/>
        <v>1</v>
      </c>
      <c r="U3863" s="74">
        <f>IF('Rate Log'!$C$64="","",IF('Rate Log'!$E$64="planned",EDATE('Rate Log'!$C$64,N(INDEX(sc_shift,3))),'Rate Log'!$C$64))</f>
        <v>46204</v>
      </c>
      <c r="V3863" s="74">
        <f t="shared" si="1460"/>
        <v>46204</v>
      </c>
      <c r="W3863" s="72">
        <f>IF(N(INDEX(sc_ach,3))=0,IF('Rate Log'!$G$64="",1,'Rate Log'!$G$64),INDEX(sc_ach,3))</f>
        <v>1</v>
      </c>
      <c r="X3863" s="72">
        <f>IF('Rate Log'!$C$64="",0,IF('Rate Log'!$E$64="planned",('Rate Log'!$D$64+N(INDEX(sc_dpts,3)))*$W3863,'Rate Log'!$D$64))</f>
        <v>0.06</v>
      </c>
      <c r="Y3863" s="73">
        <f>IF('Rate Log'!$C$64="",0,IF(1+$X3863&gt;0,LN(1+$X3863),0))</f>
        <v>5.8268908123975824E-2</v>
      </c>
      <c r="Z3863" s="75">
        <f t="shared" si="1461"/>
        <v>31</v>
      </c>
      <c r="AA3863" s="75">
        <f>IF($U3863="",0,COUNTIFS(rl_key,'Rate Log'!$J$64,$V$3806:$V$4045,$V3863,$U$3806:$U$4045,"&lt;"&amp;$U3863))</f>
        <v>0</v>
      </c>
      <c r="AB3863" s="75">
        <f>IF($U3863="",0,COUNTIFS('Rate Log'!$J$7:$J$64,'Rate Log'!$J$64,$V$3806:$V3863,$V3863,$U$3806:$U3863,$U3863))</f>
        <v>1</v>
      </c>
      <c r="AC3863" s="75">
        <f t="shared" si="1462"/>
        <v>1</v>
      </c>
      <c r="AE3863" s="74">
        <f>IF('Rate Log'!$C$64="","",IF('Rate Log'!$E$64="planned",EDATE('Rate Log'!$C$64,N(INDEX(sc_shift,4))),'Rate Log'!$C$64))</f>
        <v>46204</v>
      </c>
      <c r="AF3863" s="74">
        <f t="shared" si="1463"/>
        <v>46204</v>
      </c>
      <c r="AG3863" s="72">
        <f>IF(N(INDEX(sc_ach,4))=0,IF('Rate Log'!$G$64="",1,'Rate Log'!$G$64),INDEX(sc_ach,4))</f>
        <v>1</v>
      </c>
      <c r="AH3863" s="72">
        <f>IF('Rate Log'!$C$64="",0,IF('Rate Log'!$E$64="planned",('Rate Log'!$D$64+N(INDEX(sc_dpts,4)))*$AG3863,'Rate Log'!$D$64))</f>
        <v>0.06</v>
      </c>
      <c r="AI3863" s="73">
        <f>IF('Rate Log'!$C$64="",0,IF(1+$AH3863&gt;0,LN(1+$AH3863),0))</f>
        <v>5.8268908123975824E-2</v>
      </c>
      <c r="AJ3863" s="75">
        <f t="shared" si="1464"/>
        <v>31</v>
      </c>
      <c r="AK3863" s="75">
        <f>IF($AE3863="",0,COUNTIFS(rl_key,'Rate Log'!$J$64,$AF$3806:$AF$4045,$AF3863,$AE$3806:$AE$4045,"&lt;"&amp;$AE3863))</f>
        <v>0</v>
      </c>
      <c r="AL3863" s="75">
        <f>IF($AE3863="",0,COUNTIFS('Rate Log'!$J$7:$J$64,'Rate Log'!$J$64,$AF$3806:$AF3863,$AF3863,$AE$3806:$AE3863,$AE3863))</f>
        <v>1</v>
      </c>
      <c r="AM3863" s="75">
        <f t="shared" si="1465"/>
        <v>1</v>
      </c>
    </row>
    <row r="3864" spans="1:39" x14ac:dyDescent="0.3">
      <c r="A3864" s="74">
        <f>IF('Rate Log'!$C$65="","",IF('Rate Log'!$E$65="planned",EDATE('Rate Log'!$C$65,N(INDEX(sc_shift,1))),'Rate Log'!$C$65))</f>
        <v>46235</v>
      </c>
      <c r="B3864" s="74">
        <f t="shared" si="1454"/>
        <v>46235</v>
      </c>
      <c r="C3864" s="72">
        <f>IF(N(INDEX(sc_ach,1))=0,IF('Rate Log'!$G$65="",1,'Rate Log'!$G$65),INDEX(sc_ach,1))</f>
        <v>1</v>
      </c>
      <c r="D3864" s="72">
        <f>IF('Rate Log'!$C$65="",0,IF('Rate Log'!$E$65="planned",('Rate Log'!$D$65+N(INDEX(sc_dpts,1)))*$C3864,'Rate Log'!$D$65))</f>
        <v>0.02</v>
      </c>
      <c r="E3864" s="73">
        <f>IF('Rate Log'!$C$65="",0,IF(1+$D3864&gt;0,LN(1+$D3864),0))</f>
        <v>1.980262729617973E-2</v>
      </c>
      <c r="F3864" s="75">
        <f t="shared" si="1455"/>
        <v>31</v>
      </c>
      <c r="G3864" s="75">
        <f>IF($A3864="",0,COUNTIFS(rl_key,'Rate Log'!$J$65,$B$3806:$B$4045,$B3864,$A$3806:$A$4045,"&lt;"&amp;$A3864))</f>
        <v>0</v>
      </c>
      <c r="H3864" s="75">
        <f>IF($A3864="",0,COUNTIFS('Rate Log'!$J$7:$J$65,'Rate Log'!$J$65,$B$3806:$B3864,$B3864,$A$3806:$A3864,$A3864))</f>
        <v>1</v>
      </c>
      <c r="I3864" s="75">
        <f t="shared" si="1456"/>
        <v>1</v>
      </c>
      <c r="K3864" s="74">
        <f>IF('Rate Log'!$C$65="","",IF('Rate Log'!$E$65="planned",EDATE('Rate Log'!$C$65,N(INDEX(sc_shift,2))),'Rate Log'!$C$65))</f>
        <v>46235</v>
      </c>
      <c r="L3864" s="74">
        <f t="shared" si="1457"/>
        <v>46235</v>
      </c>
      <c r="M3864" s="72">
        <f>IF(N(INDEX(sc_ach,2))=0,IF('Rate Log'!$G$65="",1,'Rate Log'!$G$65),INDEX(sc_ach,2))</f>
        <v>1</v>
      </c>
      <c r="N3864" s="72">
        <f>IF('Rate Log'!$C$65="",0,IF('Rate Log'!$E$65="planned",('Rate Log'!$D$65+N(INDEX(sc_dpts,2)))*$M3864,'Rate Log'!$D$65))</f>
        <v>0.02</v>
      </c>
      <c r="O3864" s="73">
        <f>IF('Rate Log'!$C$65="",0,IF(1+$N3864&gt;0,LN(1+$N3864),0))</f>
        <v>1.980262729617973E-2</v>
      </c>
      <c r="P3864" s="75">
        <f t="shared" si="1458"/>
        <v>31</v>
      </c>
      <c r="Q3864" s="75">
        <f>IF($K3864="",0,COUNTIFS(rl_key,'Rate Log'!$J$65,$L$3806:$L$4045,$L3864,$K$3806:$K$4045,"&lt;"&amp;$K3864))</f>
        <v>0</v>
      </c>
      <c r="R3864" s="75">
        <f>IF($K3864="",0,COUNTIFS('Rate Log'!$J$7:$J$65,'Rate Log'!$J$65,$L$3806:$L3864,$L3864,$K$3806:$K3864,$K3864))</f>
        <v>1</v>
      </c>
      <c r="S3864" s="75">
        <f t="shared" si="1459"/>
        <v>1</v>
      </c>
      <c r="U3864" s="74">
        <f>IF('Rate Log'!$C$65="","",IF('Rate Log'!$E$65="planned",EDATE('Rate Log'!$C$65,N(INDEX(sc_shift,3))),'Rate Log'!$C$65))</f>
        <v>46235</v>
      </c>
      <c r="V3864" s="74">
        <f t="shared" si="1460"/>
        <v>46235</v>
      </c>
      <c r="W3864" s="72">
        <f>IF(N(INDEX(sc_ach,3))=0,IF('Rate Log'!$G$65="",1,'Rate Log'!$G$65),INDEX(sc_ach,3))</f>
        <v>1</v>
      </c>
      <c r="X3864" s="72">
        <f>IF('Rate Log'!$C$65="",0,IF('Rate Log'!$E$65="planned",('Rate Log'!$D$65+N(INDEX(sc_dpts,3)))*$W3864,'Rate Log'!$D$65))</f>
        <v>0.02</v>
      </c>
      <c r="Y3864" s="73">
        <f>IF('Rate Log'!$C$65="",0,IF(1+$X3864&gt;0,LN(1+$X3864),0))</f>
        <v>1.980262729617973E-2</v>
      </c>
      <c r="Z3864" s="75">
        <f t="shared" si="1461"/>
        <v>31</v>
      </c>
      <c r="AA3864" s="75">
        <f>IF($U3864="",0,COUNTIFS(rl_key,'Rate Log'!$J$65,$V$3806:$V$4045,$V3864,$U$3806:$U$4045,"&lt;"&amp;$U3864))</f>
        <v>0</v>
      </c>
      <c r="AB3864" s="75">
        <f>IF($U3864="",0,COUNTIFS('Rate Log'!$J$7:$J$65,'Rate Log'!$J$65,$V$3806:$V3864,$V3864,$U$3806:$U3864,$U3864))</f>
        <v>1</v>
      </c>
      <c r="AC3864" s="75">
        <f t="shared" si="1462"/>
        <v>1</v>
      </c>
      <c r="AE3864" s="74">
        <f>IF('Rate Log'!$C$65="","",IF('Rate Log'!$E$65="planned",EDATE('Rate Log'!$C$65,N(INDEX(sc_shift,4))),'Rate Log'!$C$65))</f>
        <v>46235</v>
      </c>
      <c r="AF3864" s="74">
        <f t="shared" si="1463"/>
        <v>46235</v>
      </c>
      <c r="AG3864" s="72">
        <f>IF(N(INDEX(sc_ach,4))=0,IF('Rate Log'!$G$65="",1,'Rate Log'!$G$65),INDEX(sc_ach,4))</f>
        <v>1</v>
      </c>
      <c r="AH3864" s="72">
        <f>IF('Rate Log'!$C$65="",0,IF('Rate Log'!$E$65="planned",('Rate Log'!$D$65+N(INDEX(sc_dpts,4)))*$AG3864,'Rate Log'!$D$65))</f>
        <v>0.02</v>
      </c>
      <c r="AI3864" s="73">
        <f>IF('Rate Log'!$C$65="",0,IF(1+$AH3864&gt;0,LN(1+$AH3864),0))</f>
        <v>1.980262729617973E-2</v>
      </c>
      <c r="AJ3864" s="75">
        <f t="shared" si="1464"/>
        <v>31</v>
      </c>
      <c r="AK3864" s="75">
        <f>IF($AE3864="",0,COUNTIFS(rl_key,'Rate Log'!$J$65,$AF$3806:$AF$4045,$AF3864,$AE$3806:$AE$4045,"&lt;"&amp;$AE3864))</f>
        <v>0</v>
      </c>
      <c r="AL3864" s="75">
        <f>IF($AE3864="",0,COUNTIFS('Rate Log'!$J$7:$J$65,'Rate Log'!$J$65,$AF$3806:$AF3864,$AF3864,$AE$3806:$AE3864,$AE3864))</f>
        <v>1</v>
      </c>
      <c r="AM3864" s="75">
        <f t="shared" si="1465"/>
        <v>1</v>
      </c>
    </row>
    <row r="3865" spans="1:39" x14ac:dyDescent="0.3">
      <c r="A3865" s="74">
        <f>IF('Rate Log'!$C$66="","",IF('Rate Log'!$E$66="planned",EDATE('Rate Log'!$C$66,N(INDEX(sc_shift,1))),'Rate Log'!$C$66))</f>
        <v>46296</v>
      </c>
      <c r="B3865" s="74">
        <f t="shared" si="1454"/>
        <v>46296</v>
      </c>
      <c r="C3865" s="72">
        <f>IF(N(INDEX(sc_ach,1))=0,IF('Rate Log'!$G$66="",1,'Rate Log'!$G$66),INDEX(sc_ach,1))</f>
        <v>1</v>
      </c>
      <c r="D3865" s="72">
        <f>IF('Rate Log'!$C$66="",0,IF('Rate Log'!$E$66="planned",('Rate Log'!$D$66+N(INDEX(sc_dpts,1)))*$C3865,'Rate Log'!$D$66))</f>
        <v>0.04</v>
      </c>
      <c r="E3865" s="73">
        <f>IF('Rate Log'!$C$66="",0,IF(1+$D3865&gt;0,LN(1+$D3865),0))</f>
        <v>3.9220713153281329E-2</v>
      </c>
      <c r="F3865" s="75">
        <f t="shared" si="1455"/>
        <v>31</v>
      </c>
      <c r="G3865" s="75">
        <f>IF($A3865="",0,COUNTIFS(rl_key,'Rate Log'!$J$66,$B$3806:$B$4045,$B3865,$A$3806:$A$4045,"&lt;"&amp;$A3865))</f>
        <v>0</v>
      </c>
      <c r="H3865" s="75">
        <f>IF($A3865="",0,COUNTIFS('Rate Log'!$J$7:$J$66,'Rate Log'!$J$66,$B$3806:$B3865,$B3865,$A$3806:$A3865,$A3865))</f>
        <v>1</v>
      </c>
      <c r="I3865" s="75">
        <f t="shared" si="1456"/>
        <v>1</v>
      </c>
      <c r="K3865" s="74">
        <f>IF('Rate Log'!$C$66="","",IF('Rate Log'!$E$66="planned",EDATE('Rate Log'!$C$66,N(INDEX(sc_shift,2))),'Rate Log'!$C$66))</f>
        <v>46296</v>
      </c>
      <c r="L3865" s="74">
        <f t="shared" si="1457"/>
        <v>46296</v>
      </c>
      <c r="M3865" s="72">
        <f>IF(N(INDEX(sc_ach,2))=0,IF('Rate Log'!$G$66="",1,'Rate Log'!$G$66),INDEX(sc_ach,2))</f>
        <v>1</v>
      </c>
      <c r="N3865" s="72">
        <f>IF('Rate Log'!$C$66="",0,IF('Rate Log'!$E$66="planned",('Rate Log'!$D$66+N(INDEX(sc_dpts,2)))*$M3865,'Rate Log'!$D$66))</f>
        <v>0.04</v>
      </c>
      <c r="O3865" s="73">
        <f>IF('Rate Log'!$C$66="",0,IF(1+$N3865&gt;0,LN(1+$N3865),0))</f>
        <v>3.9220713153281329E-2</v>
      </c>
      <c r="P3865" s="75">
        <f t="shared" si="1458"/>
        <v>31</v>
      </c>
      <c r="Q3865" s="75">
        <f>IF($K3865="",0,COUNTIFS(rl_key,'Rate Log'!$J$66,$L$3806:$L$4045,$L3865,$K$3806:$K$4045,"&lt;"&amp;$K3865))</f>
        <v>0</v>
      </c>
      <c r="R3865" s="75">
        <f>IF($K3865="",0,COUNTIFS('Rate Log'!$J$7:$J$66,'Rate Log'!$J$66,$L$3806:$L3865,$L3865,$K$3806:$K3865,$K3865))</f>
        <v>1</v>
      </c>
      <c r="S3865" s="75">
        <f t="shared" si="1459"/>
        <v>1</v>
      </c>
      <c r="U3865" s="74">
        <f>IF('Rate Log'!$C$66="","",IF('Rate Log'!$E$66="planned",EDATE('Rate Log'!$C$66,N(INDEX(sc_shift,3))),'Rate Log'!$C$66))</f>
        <v>46296</v>
      </c>
      <c r="V3865" s="74">
        <f t="shared" si="1460"/>
        <v>46296</v>
      </c>
      <c r="W3865" s="72">
        <f>IF(N(INDEX(sc_ach,3))=0,IF('Rate Log'!$G$66="",1,'Rate Log'!$G$66),INDEX(sc_ach,3))</f>
        <v>1</v>
      </c>
      <c r="X3865" s="72">
        <f>IF('Rate Log'!$C$66="",0,IF('Rate Log'!$E$66="planned",('Rate Log'!$D$66+N(INDEX(sc_dpts,3)))*$W3865,'Rate Log'!$D$66))</f>
        <v>0.04</v>
      </c>
      <c r="Y3865" s="73">
        <f>IF('Rate Log'!$C$66="",0,IF(1+$X3865&gt;0,LN(1+$X3865),0))</f>
        <v>3.9220713153281329E-2</v>
      </c>
      <c r="Z3865" s="75">
        <f t="shared" si="1461"/>
        <v>31</v>
      </c>
      <c r="AA3865" s="75">
        <f>IF($U3865="",0,COUNTIFS(rl_key,'Rate Log'!$J$66,$V$3806:$V$4045,$V3865,$U$3806:$U$4045,"&lt;"&amp;$U3865))</f>
        <v>0</v>
      </c>
      <c r="AB3865" s="75">
        <f>IF($U3865="",0,COUNTIFS('Rate Log'!$J$7:$J$66,'Rate Log'!$J$66,$V$3806:$V3865,$V3865,$U$3806:$U3865,$U3865))</f>
        <v>1</v>
      </c>
      <c r="AC3865" s="75">
        <f t="shared" si="1462"/>
        <v>1</v>
      </c>
      <c r="AE3865" s="74">
        <f>IF('Rate Log'!$C$66="","",IF('Rate Log'!$E$66="planned",EDATE('Rate Log'!$C$66,N(INDEX(sc_shift,4))),'Rate Log'!$C$66))</f>
        <v>46296</v>
      </c>
      <c r="AF3865" s="74">
        <f t="shared" si="1463"/>
        <v>46296</v>
      </c>
      <c r="AG3865" s="72">
        <f>IF(N(INDEX(sc_ach,4))=0,IF('Rate Log'!$G$66="",1,'Rate Log'!$G$66),INDEX(sc_ach,4))</f>
        <v>1</v>
      </c>
      <c r="AH3865" s="72">
        <f>IF('Rate Log'!$C$66="",0,IF('Rate Log'!$E$66="planned",('Rate Log'!$D$66+N(INDEX(sc_dpts,4)))*$AG3865,'Rate Log'!$D$66))</f>
        <v>0.04</v>
      </c>
      <c r="AI3865" s="73">
        <f>IF('Rate Log'!$C$66="",0,IF(1+$AH3865&gt;0,LN(1+$AH3865),0))</f>
        <v>3.9220713153281329E-2</v>
      </c>
      <c r="AJ3865" s="75">
        <f t="shared" si="1464"/>
        <v>31</v>
      </c>
      <c r="AK3865" s="75">
        <f>IF($AE3865="",0,COUNTIFS(rl_key,'Rate Log'!$J$66,$AF$3806:$AF$4045,$AF3865,$AE$3806:$AE$4045,"&lt;"&amp;$AE3865))</f>
        <v>0</v>
      </c>
      <c r="AL3865" s="75">
        <f>IF($AE3865="",0,COUNTIFS('Rate Log'!$J$7:$J$66,'Rate Log'!$J$66,$AF$3806:$AF3865,$AF3865,$AE$3806:$AE3865,$AE3865))</f>
        <v>1</v>
      </c>
      <c r="AM3865" s="75">
        <f t="shared" si="1465"/>
        <v>1</v>
      </c>
    </row>
    <row r="3866" spans="1:39" x14ac:dyDescent="0.3">
      <c r="A3866" s="74">
        <f>IF('Rate Log'!$C$67="","",IF('Rate Log'!$E$67="planned",EDATE('Rate Log'!$C$67,N(INDEX(sc_shift,1))),'Rate Log'!$C$67))</f>
        <v>46600</v>
      </c>
      <c r="B3866" s="74">
        <f t="shared" si="1454"/>
        <v>46600</v>
      </c>
      <c r="C3866" s="72">
        <f>IF(N(INDEX(sc_ach,1))=0,IF('Rate Log'!$G$67="",1,'Rate Log'!$G$67),INDEX(sc_ach,1))</f>
        <v>1</v>
      </c>
      <c r="D3866" s="72">
        <f>IF('Rate Log'!$C$67="",0,IF('Rate Log'!$E$67="planned",('Rate Log'!$D$67+N(INDEX(sc_dpts,1)))*$C3866,'Rate Log'!$D$67))</f>
        <v>0.06</v>
      </c>
      <c r="E3866" s="73">
        <f>IF('Rate Log'!$C$67="",0,IF(1+$D3866&gt;0,LN(1+$D3866),0))</f>
        <v>5.8268908123975824E-2</v>
      </c>
      <c r="F3866" s="75">
        <f t="shared" si="1455"/>
        <v>31</v>
      </c>
      <c r="G3866" s="75">
        <f>IF($A3866="",0,COUNTIFS(rl_key,'Rate Log'!$J$67,$B$3806:$B$4045,$B3866,$A$3806:$A$4045,"&lt;"&amp;$A3866))</f>
        <v>0</v>
      </c>
      <c r="H3866" s="75">
        <f>IF($A3866="",0,COUNTIFS('Rate Log'!$J$7:$J$67,'Rate Log'!$J$67,$B$3806:$B3866,$B3866,$A$3806:$A3866,$A3866))</f>
        <v>1</v>
      </c>
      <c r="I3866" s="75">
        <f t="shared" si="1456"/>
        <v>1</v>
      </c>
      <c r="K3866" s="74">
        <f>IF('Rate Log'!$C$67="","",IF('Rate Log'!$E$67="planned",EDATE('Rate Log'!$C$67,N(INDEX(sc_shift,2))),'Rate Log'!$C$67))</f>
        <v>46600</v>
      </c>
      <c r="L3866" s="74">
        <f t="shared" si="1457"/>
        <v>46600</v>
      </c>
      <c r="M3866" s="72">
        <f>IF(N(INDEX(sc_ach,2))=0,IF('Rate Log'!$G$67="",1,'Rate Log'!$G$67),INDEX(sc_ach,2))</f>
        <v>1</v>
      </c>
      <c r="N3866" s="72">
        <f>IF('Rate Log'!$C$67="",0,IF('Rate Log'!$E$67="planned",('Rate Log'!$D$67+N(INDEX(sc_dpts,2)))*$M3866,'Rate Log'!$D$67))</f>
        <v>0.04</v>
      </c>
      <c r="O3866" s="73">
        <f>IF('Rate Log'!$C$67="",0,IF(1+$N3866&gt;0,LN(1+$N3866),0))</f>
        <v>3.9220713153281329E-2</v>
      </c>
      <c r="P3866" s="75">
        <f t="shared" si="1458"/>
        <v>31</v>
      </c>
      <c r="Q3866" s="75">
        <f>IF($K3866="",0,COUNTIFS(rl_key,'Rate Log'!$J$67,$L$3806:$L$4045,$L3866,$K$3806:$K$4045,"&lt;"&amp;$K3866))</f>
        <v>0</v>
      </c>
      <c r="R3866" s="75">
        <f>IF($K3866="",0,COUNTIFS('Rate Log'!$J$7:$J$67,'Rate Log'!$J$67,$L$3806:$L3866,$L3866,$K$3806:$K3866,$K3866))</f>
        <v>1</v>
      </c>
      <c r="S3866" s="75">
        <f t="shared" si="1459"/>
        <v>1</v>
      </c>
      <c r="U3866" s="74">
        <f>IF('Rate Log'!$C$67="","",IF('Rate Log'!$E$67="planned",EDATE('Rate Log'!$C$67,N(INDEX(sc_shift,3))),'Rate Log'!$C$67))</f>
        <v>46600</v>
      </c>
      <c r="V3866" s="74">
        <f t="shared" si="1460"/>
        <v>46600</v>
      </c>
      <c r="W3866" s="72">
        <f>IF(N(INDEX(sc_ach,3))=0,IF('Rate Log'!$G$67="",1,'Rate Log'!$G$67),INDEX(sc_ach,3))</f>
        <v>1</v>
      </c>
      <c r="X3866" s="72">
        <f>IF('Rate Log'!$C$67="",0,IF('Rate Log'!$E$67="planned",('Rate Log'!$D$67+N(INDEX(sc_dpts,3)))*$W3866,'Rate Log'!$D$67))</f>
        <v>0.04</v>
      </c>
      <c r="Y3866" s="73">
        <f>IF('Rate Log'!$C$67="",0,IF(1+$X3866&gt;0,LN(1+$X3866),0))</f>
        <v>3.9220713153281329E-2</v>
      </c>
      <c r="Z3866" s="75">
        <f t="shared" si="1461"/>
        <v>31</v>
      </c>
      <c r="AA3866" s="75">
        <f>IF($U3866="",0,COUNTIFS(rl_key,'Rate Log'!$J$67,$V$3806:$V$4045,$V3866,$U$3806:$U$4045,"&lt;"&amp;$U3866))</f>
        <v>0</v>
      </c>
      <c r="AB3866" s="75">
        <f>IF($U3866="",0,COUNTIFS('Rate Log'!$J$7:$J$67,'Rate Log'!$J$67,$V$3806:$V3866,$V3866,$U$3806:$U3866,$U3866))</f>
        <v>1</v>
      </c>
      <c r="AC3866" s="75">
        <f t="shared" si="1462"/>
        <v>1</v>
      </c>
      <c r="AE3866" s="74">
        <f>IF('Rate Log'!$C$67="","",IF('Rate Log'!$E$67="planned",EDATE('Rate Log'!$C$67,N(INDEX(sc_shift,4))),'Rate Log'!$C$67))</f>
        <v>46600</v>
      </c>
      <c r="AF3866" s="74">
        <f t="shared" si="1463"/>
        <v>46600</v>
      </c>
      <c r="AG3866" s="72">
        <f>IF(N(INDEX(sc_ach,4))=0,IF('Rate Log'!$G$67="",1,'Rate Log'!$G$67),INDEX(sc_ach,4))</f>
        <v>1</v>
      </c>
      <c r="AH3866" s="72">
        <f>IF('Rate Log'!$C$67="",0,IF('Rate Log'!$E$67="planned",('Rate Log'!$D$67+N(INDEX(sc_dpts,4)))*$AG3866,'Rate Log'!$D$67))</f>
        <v>0.04</v>
      </c>
      <c r="AI3866" s="73">
        <f>IF('Rate Log'!$C$67="",0,IF(1+$AH3866&gt;0,LN(1+$AH3866),0))</f>
        <v>3.9220713153281329E-2</v>
      </c>
      <c r="AJ3866" s="75">
        <f t="shared" si="1464"/>
        <v>31</v>
      </c>
      <c r="AK3866" s="75">
        <f>IF($AE3866="",0,COUNTIFS(rl_key,'Rate Log'!$J$67,$AF$3806:$AF$4045,$AF3866,$AE$3806:$AE$4045,"&lt;"&amp;$AE3866))</f>
        <v>0</v>
      </c>
      <c r="AL3866" s="75">
        <f>IF($AE3866="",0,COUNTIFS('Rate Log'!$J$7:$J$67,'Rate Log'!$J$67,$AF$3806:$AF3866,$AF3866,$AE$3806:$AE3866,$AE3866))</f>
        <v>1</v>
      </c>
      <c r="AM3866" s="75">
        <f t="shared" si="1465"/>
        <v>1</v>
      </c>
    </row>
    <row r="3867" spans="1:39" x14ac:dyDescent="0.3">
      <c r="A3867" s="74">
        <f>IF('Rate Log'!$C$68="","",IF('Rate Log'!$E$68="planned",EDATE('Rate Log'!$C$68,N(INDEX(sc_shift,1))),'Rate Log'!$C$68))</f>
        <v>46327</v>
      </c>
      <c r="B3867" s="74">
        <f t="shared" si="1454"/>
        <v>46327</v>
      </c>
      <c r="C3867" s="72">
        <f>IF(N(INDEX(sc_ach,1))=0,IF('Rate Log'!$G$68="",1,'Rate Log'!$G$68),INDEX(sc_ach,1))</f>
        <v>1</v>
      </c>
      <c r="D3867" s="72">
        <f>IF('Rate Log'!$C$68="",0,IF('Rate Log'!$E$68="planned",('Rate Log'!$D$68+N(INDEX(sc_dpts,1)))*$C3867,'Rate Log'!$D$68))</f>
        <v>0.05</v>
      </c>
      <c r="E3867" s="73">
        <f>IF('Rate Log'!$C$68="",0,IF(1+$D3867&gt;0,LN(1+$D3867),0))</f>
        <v>4.8790164169432049E-2</v>
      </c>
      <c r="F3867" s="75">
        <f t="shared" si="1455"/>
        <v>30</v>
      </c>
      <c r="G3867" s="75">
        <f>IF($A3867="",0,COUNTIFS(rl_key,'Rate Log'!$J$68,$B$3806:$B$4045,$B3867,$A$3806:$A$4045,"&lt;"&amp;$A3867))</f>
        <v>0</v>
      </c>
      <c r="H3867" s="75">
        <f>IF($A3867="",0,COUNTIFS('Rate Log'!$J$7:$J$68,'Rate Log'!$J$68,$B$3806:$B3867,$B3867,$A$3806:$A3867,$A3867))</f>
        <v>1</v>
      </c>
      <c r="I3867" s="75">
        <f t="shared" si="1456"/>
        <v>1</v>
      </c>
      <c r="K3867" s="74">
        <f>IF('Rate Log'!$C$68="","",IF('Rate Log'!$E$68="planned",EDATE('Rate Log'!$C$68,N(INDEX(sc_shift,2))),'Rate Log'!$C$68))</f>
        <v>46327</v>
      </c>
      <c r="L3867" s="74">
        <f t="shared" si="1457"/>
        <v>46327</v>
      </c>
      <c r="M3867" s="72">
        <f>IF(N(INDEX(sc_ach,2))=0,IF('Rate Log'!$G$68="",1,'Rate Log'!$G$68),INDEX(sc_ach,2))</f>
        <v>1</v>
      </c>
      <c r="N3867" s="72">
        <f>IF('Rate Log'!$C$68="",0,IF('Rate Log'!$E$68="planned",('Rate Log'!$D$68+N(INDEX(sc_dpts,2)))*$M3867,'Rate Log'!$D$68))</f>
        <v>0.05</v>
      </c>
      <c r="O3867" s="73">
        <f>IF('Rate Log'!$C$68="",0,IF(1+$N3867&gt;0,LN(1+$N3867),0))</f>
        <v>4.8790164169432049E-2</v>
      </c>
      <c r="P3867" s="75">
        <f t="shared" si="1458"/>
        <v>30</v>
      </c>
      <c r="Q3867" s="75">
        <f>IF($K3867="",0,COUNTIFS(rl_key,'Rate Log'!$J$68,$L$3806:$L$4045,$L3867,$K$3806:$K$4045,"&lt;"&amp;$K3867))</f>
        <v>0</v>
      </c>
      <c r="R3867" s="75">
        <f>IF($K3867="",0,COUNTIFS('Rate Log'!$J$7:$J$68,'Rate Log'!$J$68,$L$3806:$L3867,$L3867,$K$3806:$K3867,$K3867))</f>
        <v>1</v>
      </c>
      <c r="S3867" s="75">
        <f t="shared" si="1459"/>
        <v>1</v>
      </c>
      <c r="U3867" s="74">
        <f>IF('Rate Log'!$C$68="","",IF('Rate Log'!$E$68="planned",EDATE('Rate Log'!$C$68,N(INDEX(sc_shift,3))),'Rate Log'!$C$68))</f>
        <v>46327</v>
      </c>
      <c r="V3867" s="74">
        <f t="shared" si="1460"/>
        <v>46327</v>
      </c>
      <c r="W3867" s="72">
        <f>IF(N(INDEX(sc_ach,3))=0,IF('Rate Log'!$G$68="",1,'Rate Log'!$G$68),INDEX(sc_ach,3))</f>
        <v>1</v>
      </c>
      <c r="X3867" s="72">
        <f>IF('Rate Log'!$C$68="",0,IF('Rate Log'!$E$68="planned",('Rate Log'!$D$68+N(INDEX(sc_dpts,3)))*$W3867,'Rate Log'!$D$68))</f>
        <v>0.05</v>
      </c>
      <c r="Y3867" s="73">
        <f>IF('Rate Log'!$C$68="",0,IF(1+$X3867&gt;0,LN(1+$X3867),0))</f>
        <v>4.8790164169432049E-2</v>
      </c>
      <c r="Z3867" s="75">
        <f t="shared" si="1461"/>
        <v>30</v>
      </c>
      <c r="AA3867" s="75">
        <f>IF($U3867="",0,COUNTIFS(rl_key,'Rate Log'!$J$68,$V$3806:$V$4045,$V3867,$U$3806:$U$4045,"&lt;"&amp;$U3867))</f>
        <v>0</v>
      </c>
      <c r="AB3867" s="75">
        <f>IF($U3867="",0,COUNTIFS('Rate Log'!$J$7:$J$68,'Rate Log'!$J$68,$V$3806:$V3867,$V3867,$U$3806:$U3867,$U3867))</f>
        <v>1</v>
      </c>
      <c r="AC3867" s="75">
        <f t="shared" si="1462"/>
        <v>1</v>
      </c>
      <c r="AE3867" s="74">
        <f>IF('Rate Log'!$C$68="","",IF('Rate Log'!$E$68="planned",EDATE('Rate Log'!$C$68,N(INDEX(sc_shift,4))),'Rate Log'!$C$68))</f>
        <v>46327</v>
      </c>
      <c r="AF3867" s="74">
        <f t="shared" si="1463"/>
        <v>46327</v>
      </c>
      <c r="AG3867" s="72">
        <f>IF(N(INDEX(sc_ach,4))=0,IF('Rate Log'!$G$68="",1,'Rate Log'!$G$68),INDEX(sc_ach,4))</f>
        <v>1</v>
      </c>
      <c r="AH3867" s="72">
        <f>IF('Rate Log'!$C$68="",0,IF('Rate Log'!$E$68="planned",('Rate Log'!$D$68+N(INDEX(sc_dpts,4)))*$AG3867,'Rate Log'!$D$68))</f>
        <v>0.05</v>
      </c>
      <c r="AI3867" s="73">
        <f>IF('Rate Log'!$C$68="",0,IF(1+$AH3867&gt;0,LN(1+$AH3867),0))</f>
        <v>4.8790164169432049E-2</v>
      </c>
      <c r="AJ3867" s="75">
        <f t="shared" si="1464"/>
        <v>30</v>
      </c>
      <c r="AK3867" s="75">
        <f>IF($AE3867="",0,COUNTIFS(rl_key,'Rate Log'!$J$68,$AF$3806:$AF$4045,$AF3867,$AE$3806:$AE$4045,"&lt;"&amp;$AE3867))</f>
        <v>0</v>
      </c>
      <c r="AL3867" s="75">
        <f>IF($AE3867="",0,COUNTIFS('Rate Log'!$J$7:$J$68,'Rate Log'!$J$68,$AF$3806:$AF3867,$AF3867,$AE$3806:$AE3867,$AE3867))</f>
        <v>1</v>
      </c>
      <c r="AM3867" s="75">
        <f t="shared" si="1465"/>
        <v>1</v>
      </c>
    </row>
    <row r="3868" spans="1:39" x14ac:dyDescent="0.3">
      <c r="A3868" s="74">
        <f>IF('Rate Log'!$C$69="","",IF('Rate Log'!$E$69="planned",EDATE('Rate Log'!$C$69,N(INDEX(sc_shift,1))),'Rate Log'!$C$69))</f>
        <v>46023</v>
      </c>
      <c r="B3868" s="74">
        <f t="shared" si="1454"/>
        <v>46023</v>
      </c>
      <c r="C3868" s="72">
        <f>IF(N(INDEX(sc_ach,1))=0,IF('Rate Log'!$G$69="",1,'Rate Log'!$G$69),INDEX(sc_ach,1))</f>
        <v>1</v>
      </c>
      <c r="D3868" s="72">
        <f>IF('Rate Log'!$C$69="",0,IF('Rate Log'!$E$69="planned",('Rate Log'!$D$69+N(INDEX(sc_dpts,1)))*$C3868,'Rate Log'!$D$69))</f>
        <v>0.02</v>
      </c>
      <c r="E3868" s="73">
        <f>IF('Rate Log'!$C$69="",0,IF(1+$D3868&gt;0,LN(1+$D3868),0))</f>
        <v>1.980262729617973E-2</v>
      </c>
      <c r="F3868" s="75">
        <f t="shared" si="1455"/>
        <v>31</v>
      </c>
      <c r="G3868" s="75">
        <f>IF($A3868="",0,COUNTIFS(rl_key,'Rate Log'!$J$69,$B$3806:$B$4045,$B3868,$A$3806:$A$4045,"&lt;"&amp;$A3868))</f>
        <v>0</v>
      </c>
      <c r="H3868" s="75">
        <f>IF($A3868="",0,COUNTIFS('Rate Log'!$J$7:$J$69,'Rate Log'!$J$69,$B$3806:$B3868,$B3868,$A$3806:$A3868,$A3868))</f>
        <v>1</v>
      </c>
      <c r="I3868" s="75">
        <f t="shared" si="1456"/>
        <v>1</v>
      </c>
      <c r="K3868" s="74">
        <f>IF('Rate Log'!$C$69="","",IF('Rate Log'!$E$69="planned",EDATE('Rate Log'!$C$69,N(INDEX(sc_shift,2))),'Rate Log'!$C$69))</f>
        <v>46023</v>
      </c>
      <c r="L3868" s="74">
        <f t="shared" si="1457"/>
        <v>46023</v>
      </c>
      <c r="M3868" s="72">
        <f>IF(N(INDEX(sc_ach,2))=0,IF('Rate Log'!$G$69="",1,'Rate Log'!$G$69),INDEX(sc_ach,2))</f>
        <v>1</v>
      </c>
      <c r="N3868" s="72">
        <f>IF('Rate Log'!$C$69="",0,IF('Rate Log'!$E$69="planned",('Rate Log'!$D$69+N(INDEX(sc_dpts,2)))*$M3868,'Rate Log'!$D$69))</f>
        <v>0.02</v>
      </c>
      <c r="O3868" s="73">
        <f>IF('Rate Log'!$C$69="",0,IF(1+$N3868&gt;0,LN(1+$N3868),0))</f>
        <v>1.980262729617973E-2</v>
      </c>
      <c r="P3868" s="75">
        <f t="shared" si="1458"/>
        <v>31</v>
      </c>
      <c r="Q3868" s="75">
        <f>IF($K3868="",0,COUNTIFS(rl_key,'Rate Log'!$J$69,$L$3806:$L$4045,$L3868,$K$3806:$K$4045,"&lt;"&amp;$K3868))</f>
        <v>0</v>
      </c>
      <c r="R3868" s="75">
        <f>IF($K3868="",0,COUNTIFS('Rate Log'!$J$7:$J$69,'Rate Log'!$J$69,$L$3806:$L3868,$L3868,$K$3806:$K3868,$K3868))</f>
        <v>1</v>
      </c>
      <c r="S3868" s="75">
        <f t="shared" si="1459"/>
        <v>1</v>
      </c>
      <c r="U3868" s="74">
        <f>IF('Rate Log'!$C$69="","",IF('Rate Log'!$E$69="planned",EDATE('Rate Log'!$C$69,N(INDEX(sc_shift,3))),'Rate Log'!$C$69))</f>
        <v>46023</v>
      </c>
      <c r="V3868" s="74">
        <f t="shared" si="1460"/>
        <v>46023</v>
      </c>
      <c r="W3868" s="72">
        <f>IF(N(INDEX(sc_ach,3))=0,IF('Rate Log'!$G$69="",1,'Rate Log'!$G$69),INDEX(sc_ach,3))</f>
        <v>1</v>
      </c>
      <c r="X3868" s="72">
        <f>IF('Rate Log'!$C$69="",0,IF('Rate Log'!$E$69="planned",('Rate Log'!$D$69+N(INDEX(sc_dpts,3)))*$W3868,'Rate Log'!$D$69))</f>
        <v>0.02</v>
      </c>
      <c r="Y3868" s="73">
        <f>IF('Rate Log'!$C$69="",0,IF(1+$X3868&gt;0,LN(1+$X3868),0))</f>
        <v>1.980262729617973E-2</v>
      </c>
      <c r="Z3868" s="75">
        <f t="shared" si="1461"/>
        <v>31</v>
      </c>
      <c r="AA3868" s="75">
        <f>IF($U3868="",0,COUNTIFS(rl_key,'Rate Log'!$J$69,$V$3806:$V$4045,$V3868,$U$3806:$U$4045,"&lt;"&amp;$U3868))</f>
        <v>0</v>
      </c>
      <c r="AB3868" s="75">
        <f>IF($U3868="",0,COUNTIFS('Rate Log'!$J$7:$J$69,'Rate Log'!$J$69,$V$3806:$V3868,$V3868,$U$3806:$U3868,$U3868))</f>
        <v>1</v>
      </c>
      <c r="AC3868" s="75">
        <f t="shared" si="1462"/>
        <v>1</v>
      </c>
      <c r="AE3868" s="74">
        <f>IF('Rate Log'!$C$69="","",IF('Rate Log'!$E$69="planned",EDATE('Rate Log'!$C$69,N(INDEX(sc_shift,4))),'Rate Log'!$C$69))</f>
        <v>46023</v>
      </c>
      <c r="AF3868" s="74">
        <f t="shared" si="1463"/>
        <v>46023</v>
      </c>
      <c r="AG3868" s="72">
        <f>IF(N(INDEX(sc_ach,4))=0,IF('Rate Log'!$G$69="",1,'Rate Log'!$G$69),INDEX(sc_ach,4))</f>
        <v>1</v>
      </c>
      <c r="AH3868" s="72">
        <f>IF('Rate Log'!$C$69="",0,IF('Rate Log'!$E$69="planned",('Rate Log'!$D$69+N(INDEX(sc_dpts,4)))*$AG3868,'Rate Log'!$D$69))</f>
        <v>0.02</v>
      </c>
      <c r="AI3868" s="73">
        <f>IF('Rate Log'!$C$69="",0,IF(1+$AH3868&gt;0,LN(1+$AH3868),0))</f>
        <v>1.980262729617973E-2</v>
      </c>
      <c r="AJ3868" s="75">
        <f t="shared" si="1464"/>
        <v>31</v>
      </c>
      <c r="AK3868" s="75">
        <f>IF($AE3868="",0,COUNTIFS(rl_key,'Rate Log'!$J$69,$AF$3806:$AF$4045,$AF3868,$AE$3806:$AE$4045,"&lt;"&amp;$AE3868))</f>
        <v>0</v>
      </c>
      <c r="AL3868" s="75">
        <f>IF($AE3868="",0,COUNTIFS('Rate Log'!$J$7:$J$69,'Rate Log'!$J$69,$AF$3806:$AF3868,$AF3868,$AE$3806:$AE3868,$AE3868))</f>
        <v>1</v>
      </c>
      <c r="AM3868" s="75">
        <f t="shared" si="1465"/>
        <v>1</v>
      </c>
    </row>
    <row r="3869" spans="1:39" x14ac:dyDescent="0.3">
      <c r="A3869" s="74">
        <f>IF('Rate Log'!$C$70="","",IF('Rate Log'!$E$70="planned",EDATE('Rate Log'!$C$70,N(INDEX(sc_shift,1))),'Rate Log'!$C$70))</f>
        <v>46054</v>
      </c>
      <c r="B3869" s="74">
        <f t="shared" si="1454"/>
        <v>46054</v>
      </c>
      <c r="C3869" s="72">
        <f>IF(N(INDEX(sc_ach,1))=0,IF('Rate Log'!$G$70="",1,'Rate Log'!$G$70),INDEX(sc_ach,1))</f>
        <v>1</v>
      </c>
      <c r="D3869" s="72">
        <f>IF('Rate Log'!$C$70="",0,IF('Rate Log'!$E$70="planned",('Rate Log'!$D$70+N(INDEX(sc_dpts,1)))*$C3869,'Rate Log'!$D$70))</f>
        <v>0.03</v>
      </c>
      <c r="E3869" s="73">
        <f>IF('Rate Log'!$C$70="",0,IF(1+$D3869&gt;0,LN(1+$D3869),0))</f>
        <v>2.9558802241544429E-2</v>
      </c>
      <c r="F3869" s="75">
        <f t="shared" si="1455"/>
        <v>28</v>
      </c>
      <c r="G3869" s="75">
        <f>IF($A3869="",0,COUNTIFS(rl_key,'Rate Log'!$J$70,$B$3806:$B$4045,$B3869,$A$3806:$A$4045,"&lt;"&amp;$A3869))</f>
        <v>0</v>
      </c>
      <c r="H3869" s="75">
        <f>IF($A3869="",0,COUNTIFS('Rate Log'!$J$7:$J$70,'Rate Log'!$J$70,$B$3806:$B3869,$B3869,$A$3806:$A3869,$A3869))</f>
        <v>1</v>
      </c>
      <c r="I3869" s="75">
        <f t="shared" si="1456"/>
        <v>1</v>
      </c>
      <c r="K3869" s="74">
        <f>IF('Rate Log'!$C$70="","",IF('Rate Log'!$E$70="planned",EDATE('Rate Log'!$C$70,N(INDEX(sc_shift,2))),'Rate Log'!$C$70))</f>
        <v>46054</v>
      </c>
      <c r="L3869" s="74">
        <f t="shared" si="1457"/>
        <v>46054</v>
      </c>
      <c r="M3869" s="72">
        <f>IF(N(INDEX(sc_ach,2))=0,IF('Rate Log'!$G$70="",1,'Rate Log'!$G$70),INDEX(sc_ach,2))</f>
        <v>1</v>
      </c>
      <c r="N3869" s="72">
        <f>IF('Rate Log'!$C$70="",0,IF('Rate Log'!$E$70="planned",('Rate Log'!$D$70+N(INDEX(sc_dpts,2)))*$M3869,'Rate Log'!$D$70))</f>
        <v>0.03</v>
      </c>
      <c r="O3869" s="73">
        <f>IF('Rate Log'!$C$70="",0,IF(1+$N3869&gt;0,LN(1+$N3869),0))</f>
        <v>2.9558802241544429E-2</v>
      </c>
      <c r="P3869" s="75">
        <f t="shared" si="1458"/>
        <v>28</v>
      </c>
      <c r="Q3869" s="75">
        <f>IF($K3869="",0,COUNTIFS(rl_key,'Rate Log'!$J$70,$L$3806:$L$4045,$L3869,$K$3806:$K$4045,"&lt;"&amp;$K3869))</f>
        <v>0</v>
      </c>
      <c r="R3869" s="75">
        <f>IF($K3869="",0,COUNTIFS('Rate Log'!$J$7:$J$70,'Rate Log'!$J$70,$L$3806:$L3869,$L3869,$K$3806:$K3869,$K3869))</f>
        <v>1</v>
      </c>
      <c r="S3869" s="75">
        <f t="shared" si="1459"/>
        <v>1</v>
      </c>
      <c r="U3869" s="74">
        <f>IF('Rate Log'!$C$70="","",IF('Rate Log'!$E$70="planned",EDATE('Rate Log'!$C$70,N(INDEX(sc_shift,3))),'Rate Log'!$C$70))</f>
        <v>46054</v>
      </c>
      <c r="V3869" s="74">
        <f t="shared" si="1460"/>
        <v>46054</v>
      </c>
      <c r="W3869" s="72">
        <f>IF(N(INDEX(sc_ach,3))=0,IF('Rate Log'!$G$70="",1,'Rate Log'!$G$70),INDEX(sc_ach,3))</f>
        <v>1</v>
      </c>
      <c r="X3869" s="72">
        <f>IF('Rate Log'!$C$70="",0,IF('Rate Log'!$E$70="planned",('Rate Log'!$D$70+N(INDEX(sc_dpts,3)))*$W3869,'Rate Log'!$D$70))</f>
        <v>0.03</v>
      </c>
      <c r="Y3869" s="73">
        <f>IF('Rate Log'!$C$70="",0,IF(1+$X3869&gt;0,LN(1+$X3869),0))</f>
        <v>2.9558802241544429E-2</v>
      </c>
      <c r="Z3869" s="75">
        <f t="shared" si="1461"/>
        <v>28</v>
      </c>
      <c r="AA3869" s="75">
        <f>IF($U3869="",0,COUNTIFS(rl_key,'Rate Log'!$J$70,$V$3806:$V$4045,$V3869,$U$3806:$U$4045,"&lt;"&amp;$U3869))</f>
        <v>0</v>
      </c>
      <c r="AB3869" s="75">
        <f>IF($U3869="",0,COUNTIFS('Rate Log'!$J$7:$J$70,'Rate Log'!$J$70,$V$3806:$V3869,$V3869,$U$3806:$U3869,$U3869))</f>
        <v>1</v>
      </c>
      <c r="AC3869" s="75">
        <f t="shared" si="1462"/>
        <v>1</v>
      </c>
      <c r="AE3869" s="74">
        <f>IF('Rate Log'!$C$70="","",IF('Rate Log'!$E$70="planned",EDATE('Rate Log'!$C$70,N(INDEX(sc_shift,4))),'Rate Log'!$C$70))</f>
        <v>46054</v>
      </c>
      <c r="AF3869" s="74">
        <f t="shared" si="1463"/>
        <v>46054</v>
      </c>
      <c r="AG3869" s="72">
        <f>IF(N(INDEX(sc_ach,4))=0,IF('Rate Log'!$G$70="",1,'Rate Log'!$G$70),INDEX(sc_ach,4))</f>
        <v>1</v>
      </c>
      <c r="AH3869" s="72">
        <f>IF('Rate Log'!$C$70="",0,IF('Rate Log'!$E$70="planned",('Rate Log'!$D$70+N(INDEX(sc_dpts,4)))*$AG3869,'Rate Log'!$D$70))</f>
        <v>0.03</v>
      </c>
      <c r="AI3869" s="73">
        <f>IF('Rate Log'!$C$70="",0,IF(1+$AH3869&gt;0,LN(1+$AH3869),0))</f>
        <v>2.9558802241544429E-2</v>
      </c>
      <c r="AJ3869" s="75">
        <f t="shared" si="1464"/>
        <v>28</v>
      </c>
      <c r="AK3869" s="75">
        <f>IF($AE3869="",0,COUNTIFS(rl_key,'Rate Log'!$J$70,$AF$3806:$AF$4045,$AF3869,$AE$3806:$AE$4045,"&lt;"&amp;$AE3869))</f>
        <v>0</v>
      </c>
      <c r="AL3869" s="75">
        <f>IF($AE3869="",0,COUNTIFS('Rate Log'!$J$7:$J$70,'Rate Log'!$J$70,$AF$3806:$AF3869,$AF3869,$AE$3806:$AE3869,$AE3869))</f>
        <v>1</v>
      </c>
      <c r="AM3869" s="75">
        <f t="shared" si="1465"/>
        <v>1</v>
      </c>
    </row>
    <row r="3870" spans="1:39" x14ac:dyDescent="0.3">
      <c r="A3870" s="74">
        <f>IF('Rate Log'!$C$71="","",IF('Rate Log'!$E$71="planned",EDATE('Rate Log'!$C$71,N(INDEX(sc_shift,1))),'Rate Log'!$C$71))</f>
        <v>46419</v>
      </c>
      <c r="B3870" s="74">
        <f t="shared" ref="B3870:B3933" si="1466">IF($A3870="","",DATE(YEAR($A3870),MONTH($A3870),1))</f>
        <v>46419</v>
      </c>
      <c r="C3870" s="72">
        <f>IF(N(INDEX(sc_ach,1))=0,IF('Rate Log'!$G$71="",1,'Rate Log'!$G$71),INDEX(sc_ach,1))</f>
        <v>1</v>
      </c>
      <c r="D3870" s="72">
        <f>IF('Rate Log'!$C$71="",0,IF('Rate Log'!$E$71="planned",('Rate Log'!$D$71+N(INDEX(sc_dpts,1)))*$C3870,'Rate Log'!$D$71))</f>
        <v>0.06</v>
      </c>
      <c r="E3870" s="73">
        <f>IF('Rate Log'!$C$71="",0,IF(1+$D3870&gt;0,LN(1+$D3870),0))</f>
        <v>5.8268908123975824E-2</v>
      </c>
      <c r="F3870" s="75">
        <f t="shared" ref="F3870:F3933" si="1467">IF($A3870="",0,EOMONTH($A3870,0)-$A3870+1)</f>
        <v>28</v>
      </c>
      <c r="G3870" s="75">
        <f>IF($A3870="",0,COUNTIFS(rl_key,'Rate Log'!$J$71,$B$3806:$B$4045,$B3870,$A$3806:$A$4045,"&lt;"&amp;$A3870))</f>
        <v>0</v>
      </c>
      <c r="H3870" s="75">
        <f>IF($A3870="",0,COUNTIFS('Rate Log'!$J$7:$J$71,'Rate Log'!$J$71,$B$3806:$B3870,$B3870,$A$3806:$A3870,$A3870))</f>
        <v>1</v>
      </c>
      <c r="I3870" s="75">
        <f t="shared" ref="I3870:I3933" si="1468">IF($A3870="",0,IF(AND($G3870=0,$H3870=1),1,0))</f>
        <v>1</v>
      </c>
      <c r="K3870" s="74">
        <f>IF('Rate Log'!$C$71="","",IF('Rate Log'!$E$71="planned",EDATE('Rate Log'!$C$71,N(INDEX(sc_shift,2))),'Rate Log'!$C$71))</f>
        <v>46419</v>
      </c>
      <c r="L3870" s="74">
        <f t="shared" ref="L3870:L3933" si="1469">IF($K3870="","",DATE(YEAR($K3870),MONTH($K3870),1))</f>
        <v>46419</v>
      </c>
      <c r="M3870" s="72">
        <f>IF(N(INDEX(sc_ach,2))=0,IF('Rate Log'!$G$71="",1,'Rate Log'!$G$71),INDEX(sc_ach,2))</f>
        <v>1</v>
      </c>
      <c r="N3870" s="72">
        <f>IF('Rate Log'!$C$71="",0,IF('Rate Log'!$E$71="planned",('Rate Log'!$D$71+N(INDEX(sc_dpts,2)))*$M3870,'Rate Log'!$D$71))</f>
        <v>0.04</v>
      </c>
      <c r="O3870" s="73">
        <f>IF('Rate Log'!$C$71="",0,IF(1+$N3870&gt;0,LN(1+$N3870),0))</f>
        <v>3.9220713153281329E-2</v>
      </c>
      <c r="P3870" s="75">
        <f t="shared" ref="P3870:P3933" si="1470">IF($K3870="",0,EOMONTH($K3870,0)-$K3870+1)</f>
        <v>28</v>
      </c>
      <c r="Q3870" s="75">
        <f>IF($K3870="",0,COUNTIFS(rl_key,'Rate Log'!$J$71,$L$3806:$L$4045,$L3870,$K$3806:$K$4045,"&lt;"&amp;$K3870))</f>
        <v>0</v>
      </c>
      <c r="R3870" s="75">
        <f>IF($K3870="",0,COUNTIFS('Rate Log'!$J$7:$J$71,'Rate Log'!$J$71,$L$3806:$L3870,$L3870,$K$3806:$K3870,$K3870))</f>
        <v>1</v>
      </c>
      <c r="S3870" s="75">
        <f t="shared" ref="S3870:S3933" si="1471">IF($K3870="",0,IF(AND($Q3870=0,$R3870=1),1,0))</f>
        <v>1</v>
      </c>
      <c r="U3870" s="74">
        <f>IF('Rate Log'!$C$71="","",IF('Rate Log'!$E$71="planned",EDATE('Rate Log'!$C$71,N(INDEX(sc_shift,3))),'Rate Log'!$C$71))</f>
        <v>46419</v>
      </c>
      <c r="V3870" s="74">
        <f t="shared" ref="V3870:V3933" si="1472">IF($U3870="","",DATE(YEAR($U3870),MONTH($U3870),1))</f>
        <v>46419</v>
      </c>
      <c r="W3870" s="72">
        <f>IF(N(INDEX(sc_ach,3))=0,IF('Rate Log'!$G$71="",1,'Rate Log'!$G$71),INDEX(sc_ach,3))</f>
        <v>1</v>
      </c>
      <c r="X3870" s="72">
        <f>IF('Rate Log'!$C$71="",0,IF('Rate Log'!$E$71="planned",('Rate Log'!$D$71+N(INDEX(sc_dpts,3)))*$W3870,'Rate Log'!$D$71))</f>
        <v>0.04</v>
      </c>
      <c r="Y3870" s="73">
        <f>IF('Rate Log'!$C$71="",0,IF(1+$X3870&gt;0,LN(1+$X3870),0))</f>
        <v>3.9220713153281329E-2</v>
      </c>
      <c r="Z3870" s="75">
        <f t="shared" ref="Z3870:Z3933" si="1473">IF($U3870="",0,EOMONTH($U3870,0)-$U3870+1)</f>
        <v>28</v>
      </c>
      <c r="AA3870" s="75">
        <f>IF($U3870="",0,COUNTIFS(rl_key,'Rate Log'!$J$71,$V$3806:$V$4045,$V3870,$U$3806:$U$4045,"&lt;"&amp;$U3870))</f>
        <v>0</v>
      </c>
      <c r="AB3870" s="75">
        <f>IF($U3870="",0,COUNTIFS('Rate Log'!$J$7:$J$71,'Rate Log'!$J$71,$V$3806:$V3870,$V3870,$U$3806:$U3870,$U3870))</f>
        <v>1</v>
      </c>
      <c r="AC3870" s="75">
        <f t="shared" ref="AC3870:AC3933" si="1474">IF($U3870="",0,IF(AND($AA3870=0,$AB3870=1),1,0))</f>
        <v>1</v>
      </c>
      <c r="AE3870" s="74">
        <f>IF('Rate Log'!$C$71="","",IF('Rate Log'!$E$71="planned",EDATE('Rate Log'!$C$71,N(INDEX(sc_shift,4))),'Rate Log'!$C$71))</f>
        <v>46419</v>
      </c>
      <c r="AF3870" s="74">
        <f t="shared" ref="AF3870:AF3933" si="1475">IF($AE3870="","",DATE(YEAR($AE3870),MONTH($AE3870),1))</f>
        <v>46419</v>
      </c>
      <c r="AG3870" s="72">
        <f>IF(N(INDEX(sc_ach,4))=0,IF('Rate Log'!$G$71="",1,'Rate Log'!$G$71),INDEX(sc_ach,4))</f>
        <v>1</v>
      </c>
      <c r="AH3870" s="72">
        <f>IF('Rate Log'!$C$71="",0,IF('Rate Log'!$E$71="planned",('Rate Log'!$D$71+N(INDEX(sc_dpts,4)))*$AG3870,'Rate Log'!$D$71))</f>
        <v>0.04</v>
      </c>
      <c r="AI3870" s="73">
        <f>IF('Rate Log'!$C$71="",0,IF(1+$AH3870&gt;0,LN(1+$AH3870),0))</f>
        <v>3.9220713153281329E-2</v>
      </c>
      <c r="AJ3870" s="75">
        <f t="shared" ref="AJ3870:AJ3933" si="1476">IF($AE3870="",0,EOMONTH($AE3870,0)-$AE3870+1)</f>
        <v>28</v>
      </c>
      <c r="AK3870" s="75">
        <f>IF($AE3870="",0,COUNTIFS(rl_key,'Rate Log'!$J$71,$AF$3806:$AF$4045,$AF3870,$AE$3806:$AE$4045,"&lt;"&amp;$AE3870))</f>
        <v>0</v>
      </c>
      <c r="AL3870" s="75">
        <f>IF($AE3870="",0,COUNTIFS('Rate Log'!$J$7:$J$71,'Rate Log'!$J$71,$AF$3806:$AF3870,$AF3870,$AE$3806:$AE3870,$AE3870))</f>
        <v>1</v>
      </c>
      <c r="AM3870" s="75">
        <f t="shared" ref="AM3870:AM3933" si="1477">IF($AE3870="",0,IF(AND($AK3870=0,$AL3870=1),1,0))</f>
        <v>1</v>
      </c>
    </row>
    <row r="3871" spans="1:39" x14ac:dyDescent="0.3">
      <c r="A3871" s="74" t="str">
        <f>IF('Rate Log'!$C$72="","",IF('Rate Log'!$E$72="planned",EDATE('Rate Log'!$C$72,N(INDEX(sc_shift,1))),'Rate Log'!$C$72))</f>
        <v/>
      </c>
      <c r="B3871" s="74" t="str">
        <f t="shared" si="1466"/>
        <v/>
      </c>
      <c r="C3871" s="72">
        <f>IF(N(INDEX(sc_ach,1))=0,IF('Rate Log'!$G$72="",1,'Rate Log'!$G$72),INDEX(sc_ach,1))</f>
        <v>1</v>
      </c>
      <c r="D3871" s="72">
        <f>IF('Rate Log'!$C$72="",0,IF('Rate Log'!$E$72="planned",('Rate Log'!$D$72+N(INDEX(sc_dpts,1)))*$C3871,'Rate Log'!$D$72))</f>
        <v>0</v>
      </c>
      <c r="E3871" s="73">
        <f>IF('Rate Log'!$C$72="",0,IF(1+$D3871&gt;0,LN(1+$D3871),0))</f>
        <v>0</v>
      </c>
      <c r="F3871" s="75">
        <f t="shared" si="1467"/>
        <v>0</v>
      </c>
      <c r="G3871" s="75">
        <f>IF($A3871="",0,COUNTIFS(rl_key,'Rate Log'!$J$72,$B$3806:$B$4045,$B3871,$A$3806:$A$4045,"&lt;"&amp;$A3871))</f>
        <v>0</v>
      </c>
      <c r="H3871" s="75">
        <f>IF($A3871="",0,COUNTIFS('Rate Log'!$J$7:$J$72,'Rate Log'!$J$72,$B$3806:$B3871,$B3871,$A$3806:$A3871,$A3871))</f>
        <v>0</v>
      </c>
      <c r="I3871" s="75">
        <f t="shared" si="1468"/>
        <v>0</v>
      </c>
      <c r="K3871" s="74" t="str">
        <f>IF('Rate Log'!$C$72="","",IF('Rate Log'!$E$72="planned",EDATE('Rate Log'!$C$72,N(INDEX(sc_shift,2))),'Rate Log'!$C$72))</f>
        <v/>
      </c>
      <c r="L3871" s="74" t="str">
        <f t="shared" si="1469"/>
        <v/>
      </c>
      <c r="M3871" s="72">
        <f>IF(N(INDEX(sc_ach,2))=0,IF('Rate Log'!$G$72="",1,'Rate Log'!$G$72),INDEX(sc_ach,2))</f>
        <v>1</v>
      </c>
      <c r="N3871" s="72">
        <f>IF('Rate Log'!$C$72="",0,IF('Rate Log'!$E$72="planned",('Rate Log'!$D$72+N(INDEX(sc_dpts,2)))*$M3871,'Rate Log'!$D$72))</f>
        <v>0</v>
      </c>
      <c r="O3871" s="73">
        <f>IF('Rate Log'!$C$72="",0,IF(1+$N3871&gt;0,LN(1+$N3871),0))</f>
        <v>0</v>
      </c>
      <c r="P3871" s="75">
        <f t="shared" si="1470"/>
        <v>0</v>
      </c>
      <c r="Q3871" s="75">
        <f>IF($K3871="",0,COUNTIFS(rl_key,'Rate Log'!$J$72,$L$3806:$L$4045,$L3871,$K$3806:$K$4045,"&lt;"&amp;$K3871))</f>
        <v>0</v>
      </c>
      <c r="R3871" s="75">
        <f>IF($K3871="",0,COUNTIFS('Rate Log'!$J$7:$J$72,'Rate Log'!$J$72,$L$3806:$L3871,$L3871,$K$3806:$K3871,$K3871))</f>
        <v>0</v>
      </c>
      <c r="S3871" s="75">
        <f t="shared" si="1471"/>
        <v>0</v>
      </c>
      <c r="U3871" s="74" t="str">
        <f>IF('Rate Log'!$C$72="","",IF('Rate Log'!$E$72="planned",EDATE('Rate Log'!$C$72,N(INDEX(sc_shift,3))),'Rate Log'!$C$72))</f>
        <v/>
      </c>
      <c r="V3871" s="74" t="str">
        <f t="shared" si="1472"/>
        <v/>
      </c>
      <c r="W3871" s="72">
        <f>IF(N(INDEX(sc_ach,3))=0,IF('Rate Log'!$G$72="",1,'Rate Log'!$G$72),INDEX(sc_ach,3))</f>
        <v>1</v>
      </c>
      <c r="X3871" s="72">
        <f>IF('Rate Log'!$C$72="",0,IF('Rate Log'!$E$72="planned",('Rate Log'!$D$72+N(INDEX(sc_dpts,3)))*$W3871,'Rate Log'!$D$72))</f>
        <v>0</v>
      </c>
      <c r="Y3871" s="73">
        <f>IF('Rate Log'!$C$72="",0,IF(1+$X3871&gt;0,LN(1+$X3871),0))</f>
        <v>0</v>
      </c>
      <c r="Z3871" s="75">
        <f t="shared" si="1473"/>
        <v>0</v>
      </c>
      <c r="AA3871" s="75">
        <f>IF($U3871="",0,COUNTIFS(rl_key,'Rate Log'!$J$72,$V$3806:$V$4045,$V3871,$U$3806:$U$4045,"&lt;"&amp;$U3871))</f>
        <v>0</v>
      </c>
      <c r="AB3871" s="75">
        <f>IF($U3871="",0,COUNTIFS('Rate Log'!$J$7:$J$72,'Rate Log'!$J$72,$V$3806:$V3871,$V3871,$U$3806:$U3871,$U3871))</f>
        <v>0</v>
      </c>
      <c r="AC3871" s="75">
        <f t="shared" si="1474"/>
        <v>0</v>
      </c>
      <c r="AE3871" s="74" t="str">
        <f>IF('Rate Log'!$C$72="","",IF('Rate Log'!$E$72="planned",EDATE('Rate Log'!$C$72,N(INDEX(sc_shift,4))),'Rate Log'!$C$72))</f>
        <v/>
      </c>
      <c r="AF3871" s="74" t="str">
        <f t="shared" si="1475"/>
        <v/>
      </c>
      <c r="AG3871" s="72">
        <f>IF(N(INDEX(sc_ach,4))=0,IF('Rate Log'!$G$72="",1,'Rate Log'!$G$72),INDEX(sc_ach,4))</f>
        <v>1</v>
      </c>
      <c r="AH3871" s="72">
        <f>IF('Rate Log'!$C$72="",0,IF('Rate Log'!$E$72="planned",('Rate Log'!$D$72+N(INDEX(sc_dpts,4)))*$AG3871,'Rate Log'!$D$72))</f>
        <v>0</v>
      </c>
      <c r="AI3871" s="73">
        <f>IF('Rate Log'!$C$72="",0,IF(1+$AH3871&gt;0,LN(1+$AH3871),0))</f>
        <v>0</v>
      </c>
      <c r="AJ3871" s="75">
        <f t="shared" si="1476"/>
        <v>0</v>
      </c>
      <c r="AK3871" s="75">
        <f>IF($AE3871="",0,COUNTIFS(rl_key,'Rate Log'!$J$72,$AF$3806:$AF$4045,$AF3871,$AE$3806:$AE$4045,"&lt;"&amp;$AE3871))</f>
        <v>0</v>
      </c>
      <c r="AL3871" s="75">
        <f>IF($AE3871="",0,COUNTIFS('Rate Log'!$J$7:$J$72,'Rate Log'!$J$72,$AF$3806:$AF3871,$AF3871,$AE$3806:$AE3871,$AE3871))</f>
        <v>0</v>
      </c>
      <c r="AM3871" s="75">
        <f t="shared" si="1477"/>
        <v>0</v>
      </c>
    </row>
    <row r="3872" spans="1:39" x14ac:dyDescent="0.3">
      <c r="A3872" s="74" t="str">
        <f>IF('Rate Log'!$C$73="","",IF('Rate Log'!$E$73="planned",EDATE('Rate Log'!$C$73,N(INDEX(sc_shift,1))),'Rate Log'!$C$73))</f>
        <v/>
      </c>
      <c r="B3872" s="74" t="str">
        <f t="shared" si="1466"/>
        <v/>
      </c>
      <c r="C3872" s="72">
        <f>IF(N(INDEX(sc_ach,1))=0,IF('Rate Log'!$G$73="",1,'Rate Log'!$G$73),INDEX(sc_ach,1))</f>
        <v>1</v>
      </c>
      <c r="D3872" s="72">
        <f>IF('Rate Log'!$C$73="",0,IF('Rate Log'!$E$73="planned",('Rate Log'!$D$73+N(INDEX(sc_dpts,1)))*$C3872,'Rate Log'!$D$73))</f>
        <v>0</v>
      </c>
      <c r="E3872" s="73">
        <f>IF('Rate Log'!$C$73="",0,IF(1+$D3872&gt;0,LN(1+$D3872),0))</f>
        <v>0</v>
      </c>
      <c r="F3872" s="75">
        <f t="shared" si="1467"/>
        <v>0</v>
      </c>
      <c r="G3872" s="75">
        <f>IF($A3872="",0,COUNTIFS(rl_key,'Rate Log'!$J$73,$B$3806:$B$4045,$B3872,$A$3806:$A$4045,"&lt;"&amp;$A3872))</f>
        <v>0</v>
      </c>
      <c r="H3872" s="75">
        <f>IF($A3872="",0,COUNTIFS('Rate Log'!$J$7:$J$73,'Rate Log'!$J$73,$B$3806:$B3872,$B3872,$A$3806:$A3872,$A3872))</f>
        <v>0</v>
      </c>
      <c r="I3872" s="75">
        <f t="shared" si="1468"/>
        <v>0</v>
      </c>
      <c r="K3872" s="74" t="str">
        <f>IF('Rate Log'!$C$73="","",IF('Rate Log'!$E$73="planned",EDATE('Rate Log'!$C$73,N(INDEX(sc_shift,2))),'Rate Log'!$C$73))</f>
        <v/>
      </c>
      <c r="L3872" s="74" t="str">
        <f t="shared" si="1469"/>
        <v/>
      </c>
      <c r="M3872" s="72">
        <f>IF(N(INDEX(sc_ach,2))=0,IF('Rate Log'!$G$73="",1,'Rate Log'!$G$73),INDEX(sc_ach,2))</f>
        <v>1</v>
      </c>
      <c r="N3872" s="72">
        <f>IF('Rate Log'!$C$73="",0,IF('Rate Log'!$E$73="planned",('Rate Log'!$D$73+N(INDEX(sc_dpts,2)))*$M3872,'Rate Log'!$D$73))</f>
        <v>0</v>
      </c>
      <c r="O3872" s="73">
        <f>IF('Rate Log'!$C$73="",0,IF(1+$N3872&gt;0,LN(1+$N3872),0))</f>
        <v>0</v>
      </c>
      <c r="P3872" s="75">
        <f t="shared" si="1470"/>
        <v>0</v>
      </c>
      <c r="Q3872" s="75">
        <f>IF($K3872="",0,COUNTIFS(rl_key,'Rate Log'!$J$73,$L$3806:$L$4045,$L3872,$K$3806:$K$4045,"&lt;"&amp;$K3872))</f>
        <v>0</v>
      </c>
      <c r="R3872" s="75">
        <f>IF($K3872="",0,COUNTIFS('Rate Log'!$J$7:$J$73,'Rate Log'!$J$73,$L$3806:$L3872,$L3872,$K$3806:$K3872,$K3872))</f>
        <v>0</v>
      </c>
      <c r="S3872" s="75">
        <f t="shared" si="1471"/>
        <v>0</v>
      </c>
      <c r="U3872" s="74" t="str">
        <f>IF('Rate Log'!$C$73="","",IF('Rate Log'!$E$73="planned",EDATE('Rate Log'!$C$73,N(INDEX(sc_shift,3))),'Rate Log'!$C$73))</f>
        <v/>
      </c>
      <c r="V3872" s="74" t="str">
        <f t="shared" si="1472"/>
        <v/>
      </c>
      <c r="W3872" s="72">
        <f>IF(N(INDEX(sc_ach,3))=0,IF('Rate Log'!$G$73="",1,'Rate Log'!$G$73),INDEX(sc_ach,3))</f>
        <v>1</v>
      </c>
      <c r="X3872" s="72">
        <f>IF('Rate Log'!$C$73="",0,IF('Rate Log'!$E$73="planned",('Rate Log'!$D$73+N(INDEX(sc_dpts,3)))*$W3872,'Rate Log'!$D$73))</f>
        <v>0</v>
      </c>
      <c r="Y3872" s="73">
        <f>IF('Rate Log'!$C$73="",0,IF(1+$X3872&gt;0,LN(1+$X3872),0))</f>
        <v>0</v>
      </c>
      <c r="Z3872" s="75">
        <f t="shared" si="1473"/>
        <v>0</v>
      </c>
      <c r="AA3872" s="75">
        <f>IF($U3872="",0,COUNTIFS(rl_key,'Rate Log'!$J$73,$V$3806:$V$4045,$V3872,$U$3806:$U$4045,"&lt;"&amp;$U3872))</f>
        <v>0</v>
      </c>
      <c r="AB3872" s="75">
        <f>IF($U3872="",0,COUNTIFS('Rate Log'!$J$7:$J$73,'Rate Log'!$J$73,$V$3806:$V3872,$V3872,$U$3806:$U3872,$U3872))</f>
        <v>0</v>
      </c>
      <c r="AC3872" s="75">
        <f t="shared" si="1474"/>
        <v>0</v>
      </c>
      <c r="AE3872" s="74" t="str">
        <f>IF('Rate Log'!$C$73="","",IF('Rate Log'!$E$73="planned",EDATE('Rate Log'!$C$73,N(INDEX(sc_shift,4))),'Rate Log'!$C$73))</f>
        <v/>
      </c>
      <c r="AF3872" s="74" t="str">
        <f t="shared" si="1475"/>
        <v/>
      </c>
      <c r="AG3872" s="72">
        <f>IF(N(INDEX(sc_ach,4))=0,IF('Rate Log'!$G$73="",1,'Rate Log'!$G$73),INDEX(sc_ach,4))</f>
        <v>1</v>
      </c>
      <c r="AH3872" s="72">
        <f>IF('Rate Log'!$C$73="",0,IF('Rate Log'!$E$73="planned",('Rate Log'!$D$73+N(INDEX(sc_dpts,4)))*$AG3872,'Rate Log'!$D$73))</f>
        <v>0</v>
      </c>
      <c r="AI3872" s="73">
        <f>IF('Rate Log'!$C$73="",0,IF(1+$AH3872&gt;0,LN(1+$AH3872),0))</f>
        <v>0</v>
      </c>
      <c r="AJ3872" s="75">
        <f t="shared" si="1476"/>
        <v>0</v>
      </c>
      <c r="AK3872" s="75">
        <f>IF($AE3872="",0,COUNTIFS(rl_key,'Rate Log'!$J$73,$AF$3806:$AF$4045,$AF3872,$AE$3806:$AE$4045,"&lt;"&amp;$AE3872))</f>
        <v>0</v>
      </c>
      <c r="AL3872" s="75">
        <f>IF($AE3872="",0,COUNTIFS('Rate Log'!$J$7:$J$73,'Rate Log'!$J$73,$AF$3806:$AF3872,$AF3872,$AE$3806:$AE3872,$AE3872))</f>
        <v>0</v>
      </c>
      <c r="AM3872" s="75">
        <f t="shared" si="1477"/>
        <v>0</v>
      </c>
    </row>
    <row r="3873" spans="1:39" x14ac:dyDescent="0.3">
      <c r="A3873" s="74" t="str">
        <f>IF('Rate Log'!$C$74="","",IF('Rate Log'!$E$74="planned",EDATE('Rate Log'!$C$74,N(INDEX(sc_shift,1))),'Rate Log'!$C$74))</f>
        <v/>
      </c>
      <c r="B3873" s="74" t="str">
        <f t="shared" si="1466"/>
        <v/>
      </c>
      <c r="C3873" s="72">
        <f>IF(N(INDEX(sc_ach,1))=0,IF('Rate Log'!$G$74="",1,'Rate Log'!$G$74),INDEX(sc_ach,1))</f>
        <v>1</v>
      </c>
      <c r="D3873" s="72">
        <f>IF('Rate Log'!$C$74="",0,IF('Rate Log'!$E$74="planned",('Rate Log'!$D$74+N(INDEX(sc_dpts,1)))*$C3873,'Rate Log'!$D$74))</f>
        <v>0</v>
      </c>
      <c r="E3873" s="73">
        <f>IF('Rate Log'!$C$74="",0,IF(1+$D3873&gt;0,LN(1+$D3873),0))</f>
        <v>0</v>
      </c>
      <c r="F3873" s="75">
        <f t="shared" si="1467"/>
        <v>0</v>
      </c>
      <c r="G3873" s="75">
        <f>IF($A3873="",0,COUNTIFS(rl_key,'Rate Log'!$J$74,$B$3806:$B$4045,$B3873,$A$3806:$A$4045,"&lt;"&amp;$A3873))</f>
        <v>0</v>
      </c>
      <c r="H3873" s="75">
        <f>IF($A3873="",0,COUNTIFS('Rate Log'!$J$7:$J$74,'Rate Log'!$J$74,$B$3806:$B3873,$B3873,$A$3806:$A3873,$A3873))</f>
        <v>0</v>
      </c>
      <c r="I3873" s="75">
        <f t="shared" si="1468"/>
        <v>0</v>
      </c>
      <c r="K3873" s="74" t="str">
        <f>IF('Rate Log'!$C$74="","",IF('Rate Log'!$E$74="planned",EDATE('Rate Log'!$C$74,N(INDEX(sc_shift,2))),'Rate Log'!$C$74))</f>
        <v/>
      </c>
      <c r="L3873" s="74" t="str">
        <f t="shared" si="1469"/>
        <v/>
      </c>
      <c r="M3873" s="72">
        <f>IF(N(INDEX(sc_ach,2))=0,IF('Rate Log'!$G$74="",1,'Rate Log'!$G$74),INDEX(sc_ach,2))</f>
        <v>1</v>
      </c>
      <c r="N3873" s="72">
        <f>IF('Rate Log'!$C$74="",0,IF('Rate Log'!$E$74="planned",('Rate Log'!$D$74+N(INDEX(sc_dpts,2)))*$M3873,'Rate Log'!$D$74))</f>
        <v>0</v>
      </c>
      <c r="O3873" s="73">
        <f>IF('Rate Log'!$C$74="",0,IF(1+$N3873&gt;0,LN(1+$N3873),0))</f>
        <v>0</v>
      </c>
      <c r="P3873" s="75">
        <f t="shared" si="1470"/>
        <v>0</v>
      </c>
      <c r="Q3873" s="75">
        <f>IF($K3873="",0,COUNTIFS(rl_key,'Rate Log'!$J$74,$L$3806:$L$4045,$L3873,$K$3806:$K$4045,"&lt;"&amp;$K3873))</f>
        <v>0</v>
      </c>
      <c r="R3873" s="75">
        <f>IF($K3873="",0,COUNTIFS('Rate Log'!$J$7:$J$74,'Rate Log'!$J$74,$L$3806:$L3873,$L3873,$K$3806:$K3873,$K3873))</f>
        <v>0</v>
      </c>
      <c r="S3873" s="75">
        <f t="shared" si="1471"/>
        <v>0</v>
      </c>
      <c r="U3873" s="74" t="str">
        <f>IF('Rate Log'!$C$74="","",IF('Rate Log'!$E$74="planned",EDATE('Rate Log'!$C$74,N(INDEX(sc_shift,3))),'Rate Log'!$C$74))</f>
        <v/>
      </c>
      <c r="V3873" s="74" t="str">
        <f t="shared" si="1472"/>
        <v/>
      </c>
      <c r="W3873" s="72">
        <f>IF(N(INDEX(sc_ach,3))=0,IF('Rate Log'!$G$74="",1,'Rate Log'!$G$74),INDEX(sc_ach,3))</f>
        <v>1</v>
      </c>
      <c r="X3873" s="72">
        <f>IF('Rate Log'!$C$74="",0,IF('Rate Log'!$E$74="planned",('Rate Log'!$D$74+N(INDEX(sc_dpts,3)))*$W3873,'Rate Log'!$D$74))</f>
        <v>0</v>
      </c>
      <c r="Y3873" s="73">
        <f>IF('Rate Log'!$C$74="",0,IF(1+$X3873&gt;0,LN(1+$X3873),0))</f>
        <v>0</v>
      </c>
      <c r="Z3873" s="75">
        <f t="shared" si="1473"/>
        <v>0</v>
      </c>
      <c r="AA3873" s="75">
        <f>IF($U3873="",0,COUNTIFS(rl_key,'Rate Log'!$J$74,$V$3806:$V$4045,$V3873,$U$3806:$U$4045,"&lt;"&amp;$U3873))</f>
        <v>0</v>
      </c>
      <c r="AB3873" s="75">
        <f>IF($U3873="",0,COUNTIFS('Rate Log'!$J$7:$J$74,'Rate Log'!$J$74,$V$3806:$V3873,$V3873,$U$3806:$U3873,$U3873))</f>
        <v>0</v>
      </c>
      <c r="AC3873" s="75">
        <f t="shared" si="1474"/>
        <v>0</v>
      </c>
      <c r="AE3873" s="74" t="str">
        <f>IF('Rate Log'!$C$74="","",IF('Rate Log'!$E$74="planned",EDATE('Rate Log'!$C$74,N(INDEX(sc_shift,4))),'Rate Log'!$C$74))</f>
        <v/>
      </c>
      <c r="AF3873" s="74" t="str">
        <f t="shared" si="1475"/>
        <v/>
      </c>
      <c r="AG3873" s="72">
        <f>IF(N(INDEX(sc_ach,4))=0,IF('Rate Log'!$G$74="",1,'Rate Log'!$G$74),INDEX(sc_ach,4))</f>
        <v>1</v>
      </c>
      <c r="AH3873" s="72">
        <f>IF('Rate Log'!$C$74="",0,IF('Rate Log'!$E$74="planned",('Rate Log'!$D$74+N(INDEX(sc_dpts,4)))*$AG3873,'Rate Log'!$D$74))</f>
        <v>0</v>
      </c>
      <c r="AI3873" s="73">
        <f>IF('Rate Log'!$C$74="",0,IF(1+$AH3873&gt;0,LN(1+$AH3873),0))</f>
        <v>0</v>
      </c>
      <c r="AJ3873" s="75">
        <f t="shared" si="1476"/>
        <v>0</v>
      </c>
      <c r="AK3873" s="75">
        <f>IF($AE3873="",0,COUNTIFS(rl_key,'Rate Log'!$J$74,$AF$3806:$AF$4045,$AF3873,$AE$3806:$AE$4045,"&lt;"&amp;$AE3873))</f>
        <v>0</v>
      </c>
      <c r="AL3873" s="75">
        <f>IF($AE3873="",0,COUNTIFS('Rate Log'!$J$7:$J$74,'Rate Log'!$J$74,$AF$3806:$AF3873,$AF3873,$AE$3806:$AE3873,$AE3873))</f>
        <v>0</v>
      </c>
      <c r="AM3873" s="75">
        <f t="shared" si="1477"/>
        <v>0</v>
      </c>
    </row>
    <row r="3874" spans="1:39" x14ac:dyDescent="0.3">
      <c r="A3874" s="74" t="str">
        <f>IF('Rate Log'!$C$75="","",IF('Rate Log'!$E$75="planned",EDATE('Rate Log'!$C$75,N(INDEX(sc_shift,1))),'Rate Log'!$C$75))</f>
        <v/>
      </c>
      <c r="B3874" s="74" t="str">
        <f t="shared" si="1466"/>
        <v/>
      </c>
      <c r="C3874" s="72">
        <f>IF(N(INDEX(sc_ach,1))=0,IF('Rate Log'!$G$75="",1,'Rate Log'!$G$75),INDEX(sc_ach,1))</f>
        <v>1</v>
      </c>
      <c r="D3874" s="72">
        <f>IF('Rate Log'!$C$75="",0,IF('Rate Log'!$E$75="planned",('Rate Log'!$D$75+N(INDEX(sc_dpts,1)))*$C3874,'Rate Log'!$D$75))</f>
        <v>0</v>
      </c>
      <c r="E3874" s="73">
        <f>IF('Rate Log'!$C$75="",0,IF(1+$D3874&gt;0,LN(1+$D3874),0))</f>
        <v>0</v>
      </c>
      <c r="F3874" s="75">
        <f t="shared" si="1467"/>
        <v>0</v>
      </c>
      <c r="G3874" s="75">
        <f>IF($A3874="",0,COUNTIFS(rl_key,'Rate Log'!$J$75,$B$3806:$B$4045,$B3874,$A$3806:$A$4045,"&lt;"&amp;$A3874))</f>
        <v>0</v>
      </c>
      <c r="H3874" s="75">
        <f>IF($A3874="",0,COUNTIFS('Rate Log'!$J$7:$J$75,'Rate Log'!$J$75,$B$3806:$B3874,$B3874,$A$3806:$A3874,$A3874))</f>
        <v>0</v>
      </c>
      <c r="I3874" s="75">
        <f t="shared" si="1468"/>
        <v>0</v>
      </c>
      <c r="K3874" s="74" t="str">
        <f>IF('Rate Log'!$C$75="","",IF('Rate Log'!$E$75="planned",EDATE('Rate Log'!$C$75,N(INDEX(sc_shift,2))),'Rate Log'!$C$75))</f>
        <v/>
      </c>
      <c r="L3874" s="74" t="str">
        <f t="shared" si="1469"/>
        <v/>
      </c>
      <c r="M3874" s="72">
        <f>IF(N(INDEX(sc_ach,2))=0,IF('Rate Log'!$G$75="",1,'Rate Log'!$G$75),INDEX(sc_ach,2))</f>
        <v>1</v>
      </c>
      <c r="N3874" s="72">
        <f>IF('Rate Log'!$C$75="",0,IF('Rate Log'!$E$75="planned",('Rate Log'!$D$75+N(INDEX(sc_dpts,2)))*$M3874,'Rate Log'!$D$75))</f>
        <v>0</v>
      </c>
      <c r="O3874" s="73">
        <f>IF('Rate Log'!$C$75="",0,IF(1+$N3874&gt;0,LN(1+$N3874),0))</f>
        <v>0</v>
      </c>
      <c r="P3874" s="75">
        <f t="shared" si="1470"/>
        <v>0</v>
      </c>
      <c r="Q3874" s="75">
        <f>IF($K3874="",0,COUNTIFS(rl_key,'Rate Log'!$J$75,$L$3806:$L$4045,$L3874,$K$3806:$K$4045,"&lt;"&amp;$K3874))</f>
        <v>0</v>
      </c>
      <c r="R3874" s="75">
        <f>IF($K3874="",0,COUNTIFS('Rate Log'!$J$7:$J$75,'Rate Log'!$J$75,$L$3806:$L3874,$L3874,$K$3806:$K3874,$K3874))</f>
        <v>0</v>
      </c>
      <c r="S3874" s="75">
        <f t="shared" si="1471"/>
        <v>0</v>
      </c>
      <c r="U3874" s="74" t="str">
        <f>IF('Rate Log'!$C$75="","",IF('Rate Log'!$E$75="planned",EDATE('Rate Log'!$C$75,N(INDEX(sc_shift,3))),'Rate Log'!$C$75))</f>
        <v/>
      </c>
      <c r="V3874" s="74" t="str">
        <f t="shared" si="1472"/>
        <v/>
      </c>
      <c r="W3874" s="72">
        <f>IF(N(INDEX(sc_ach,3))=0,IF('Rate Log'!$G$75="",1,'Rate Log'!$G$75),INDEX(sc_ach,3))</f>
        <v>1</v>
      </c>
      <c r="X3874" s="72">
        <f>IF('Rate Log'!$C$75="",0,IF('Rate Log'!$E$75="planned",('Rate Log'!$D$75+N(INDEX(sc_dpts,3)))*$W3874,'Rate Log'!$D$75))</f>
        <v>0</v>
      </c>
      <c r="Y3874" s="73">
        <f>IF('Rate Log'!$C$75="",0,IF(1+$X3874&gt;0,LN(1+$X3874),0))</f>
        <v>0</v>
      </c>
      <c r="Z3874" s="75">
        <f t="shared" si="1473"/>
        <v>0</v>
      </c>
      <c r="AA3874" s="75">
        <f>IF($U3874="",0,COUNTIFS(rl_key,'Rate Log'!$J$75,$V$3806:$V$4045,$V3874,$U$3806:$U$4045,"&lt;"&amp;$U3874))</f>
        <v>0</v>
      </c>
      <c r="AB3874" s="75">
        <f>IF($U3874="",0,COUNTIFS('Rate Log'!$J$7:$J$75,'Rate Log'!$J$75,$V$3806:$V3874,$V3874,$U$3806:$U3874,$U3874))</f>
        <v>0</v>
      </c>
      <c r="AC3874" s="75">
        <f t="shared" si="1474"/>
        <v>0</v>
      </c>
      <c r="AE3874" s="74" t="str">
        <f>IF('Rate Log'!$C$75="","",IF('Rate Log'!$E$75="planned",EDATE('Rate Log'!$C$75,N(INDEX(sc_shift,4))),'Rate Log'!$C$75))</f>
        <v/>
      </c>
      <c r="AF3874" s="74" t="str">
        <f t="shared" si="1475"/>
        <v/>
      </c>
      <c r="AG3874" s="72">
        <f>IF(N(INDEX(sc_ach,4))=0,IF('Rate Log'!$G$75="",1,'Rate Log'!$G$75),INDEX(sc_ach,4))</f>
        <v>1</v>
      </c>
      <c r="AH3874" s="72">
        <f>IF('Rate Log'!$C$75="",0,IF('Rate Log'!$E$75="planned",('Rate Log'!$D$75+N(INDEX(sc_dpts,4)))*$AG3874,'Rate Log'!$D$75))</f>
        <v>0</v>
      </c>
      <c r="AI3874" s="73">
        <f>IF('Rate Log'!$C$75="",0,IF(1+$AH3874&gt;0,LN(1+$AH3874),0))</f>
        <v>0</v>
      </c>
      <c r="AJ3874" s="75">
        <f t="shared" si="1476"/>
        <v>0</v>
      </c>
      <c r="AK3874" s="75">
        <f>IF($AE3874="",0,COUNTIFS(rl_key,'Rate Log'!$J$75,$AF$3806:$AF$4045,$AF3874,$AE$3806:$AE$4045,"&lt;"&amp;$AE3874))</f>
        <v>0</v>
      </c>
      <c r="AL3874" s="75">
        <f>IF($AE3874="",0,COUNTIFS('Rate Log'!$J$7:$J$75,'Rate Log'!$J$75,$AF$3806:$AF3874,$AF3874,$AE$3806:$AE3874,$AE3874))</f>
        <v>0</v>
      </c>
      <c r="AM3874" s="75">
        <f t="shared" si="1477"/>
        <v>0</v>
      </c>
    </row>
    <row r="3875" spans="1:39" x14ac:dyDescent="0.3">
      <c r="A3875" s="74" t="str">
        <f>IF('Rate Log'!$C$76="","",IF('Rate Log'!$E$76="planned",EDATE('Rate Log'!$C$76,N(INDEX(sc_shift,1))),'Rate Log'!$C$76))</f>
        <v/>
      </c>
      <c r="B3875" s="74" t="str">
        <f t="shared" si="1466"/>
        <v/>
      </c>
      <c r="C3875" s="72">
        <f>IF(N(INDEX(sc_ach,1))=0,IF('Rate Log'!$G$76="",1,'Rate Log'!$G$76),INDEX(sc_ach,1))</f>
        <v>1</v>
      </c>
      <c r="D3875" s="72">
        <f>IF('Rate Log'!$C$76="",0,IF('Rate Log'!$E$76="planned",('Rate Log'!$D$76+N(INDEX(sc_dpts,1)))*$C3875,'Rate Log'!$D$76))</f>
        <v>0</v>
      </c>
      <c r="E3875" s="73">
        <f>IF('Rate Log'!$C$76="",0,IF(1+$D3875&gt;0,LN(1+$D3875),0))</f>
        <v>0</v>
      </c>
      <c r="F3875" s="75">
        <f t="shared" si="1467"/>
        <v>0</v>
      </c>
      <c r="G3875" s="75">
        <f>IF($A3875="",0,COUNTIFS(rl_key,'Rate Log'!$J$76,$B$3806:$B$4045,$B3875,$A$3806:$A$4045,"&lt;"&amp;$A3875))</f>
        <v>0</v>
      </c>
      <c r="H3875" s="75">
        <f>IF($A3875="",0,COUNTIFS('Rate Log'!$J$7:$J$76,'Rate Log'!$J$76,$B$3806:$B3875,$B3875,$A$3806:$A3875,$A3875))</f>
        <v>0</v>
      </c>
      <c r="I3875" s="75">
        <f t="shared" si="1468"/>
        <v>0</v>
      </c>
      <c r="K3875" s="74" t="str">
        <f>IF('Rate Log'!$C$76="","",IF('Rate Log'!$E$76="planned",EDATE('Rate Log'!$C$76,N(INDEX(sc_shift,2))),'Rate Log'!$C$76))</f>
        <v/>
      </c>
      <c r="L3875" s="74" t="str">
        <f t="shared" si="1469"/>
        <v/>
      </c>
      <c r="M3875" s="72">
        <f>IF(N(INDEX(sc_ach,2))=0,IF('Rate Log'!$G$76="",1,'Rate Log'!$G$76),INDEX(sc_ach,2))</f>
        <v>1</v>
      </c>
      <c r="N3875" s="72">
        <f>IF('Rate Log'!$C$76="",0,IF('Rate Log'!$E$76="planned",('Rate Log'!$D$76+N(INDEX(sc_dpts,2)))*$M3875,'Rate Log'!$D$76))</f>
        <v>0</v>
      </c>
      <c r="O3875" s="73">
        <f>IF('Rate Log'!$C$76="",0,IF(1+$N3875&gt;0,LN(1+$N3875),0))</f>
        <v>0</v>
      </c>
      <c r="P3875" s="75">
        <f t="shared" si="1470"/>
        <v>0</v>
      </c>
      <c r="Q3875" s="75">
        <f>IF($K3875="",0,COUNTIFS(rl_key,'Rate Log'!$J$76,$L$3806:$L$4045,$L3875,$K$3806:$K$4045,"&lt;"&amp;$K3875))</f>
        <v>0</v>
      </c>
      <c r="R3875" s="75">
        <f>IF($K3875="",0,COUNTIFS('Rate Log'!$J$7:$J$76,'Rate Log'!$J$76,$L$3806:$L3875,$L3875,$K$3806:$K3875,$K3875))</f>
        <v>0</v>
      </c>
      <c r="S3875" s="75">
        <f t="shared" si="1471"/>
        <v>0</v>
      </c>
      <c r="U3875" s="74" t="str">
        <f>IF('Rate Log'!$C$76="","",IF('Rate Log'!$E$76="planned",EDATE('Rate Log'!$C$76,N(INDEX(sc_shift,3))),'Rate Log'!$C$76))</f>
        <v/>
      </c>
      <c r="V3875" s="74" t="str">
        <f t="shared" si="1472"/>
        <v/>
      </c>
      <c r="W3875" s="72">
        <f>IF(N(INDEX(sc_ach,3))=0,IF('Rate Log'!$G$76="",1,'Rate Log'!$G$76),INDEX(sc_ach,3))</f>
        <v>1</v>
      </c>
      <c r="X3875" s="72">
        <f>IF('Rate Log'!$C$76="",0,IF('Rate Log'!$E$76="planned",('Rate Log'!$D$76+N(INDEX(sc_dpts,3)))*$W3875,'Rate Log'!$D$76))</f>
        <v>0</v>
      </c>
      <c r="Y3875" s="73">
        <f>IF('Rate Log'!$C$76="",0,IF(1+$X3875&gt;0,LN(1+$X3875),0))</f>
        <v>0</v>
      </c>
      <c r="Z3875" s="75">
        <f t="shared" si="1473"/>
        <v>0</v>
      </c>
      <c r="AA3875" s="75">
        <f>IF($U3875="",0,COUNTIFS(rl_key,'Rate Log'!$J$76,$V$3806:$V$4045,$V3875,$U$3806:$U$4045,"&lt;"&amp;$U3875))</f>
        <v>0</v>
      </c>
      <c r="AB3875" s="75">
        <f>IF($U3875="",0,COUNTIFS('Rate Log'!$J$7:$J$76,'Rate Log'!$J$76,$V$3806:$V3875,$V3875,$U$3806:$U3875,$U3875))</f>
        <v>0</v>
      </c>
      <c r="AC3875" s="75">
        <f t="shared" si="1474"/>
        <v>0</v>
      </c>
      <c r="AE3875" s="74" t="str">
        <f>IF('Rate Log'!$C$76="","",IF('Rate Log'!$E$76="planned",EDATE('Rate Log'!$C$76,N(INDEX(sc_shift,4))),'Rate Log'!$C$76))</f>
        <v/>
      </c>
      <c r="AF3875" s="74" t="str">
        <f t="shared" si="1475"/>
        <v/>
      </c>
      <c r="AG3875" s="72">
        <f>IF(N(INDEX(sc_ach,4))=0,IF('Rate Log'!$G$76="",1,'Rate Log'!$G$76),INDEX(sc_ach,4))</f>
        <v>1</v>
      </c>
      <c r="AH3875" s="72">
        <f>IF('Rate Log'!$C$76="",0,IF('Rate Log'!$E$76="planned",('Rate Log'!$D$76+N(INDEX(sc_dpts,4)))*$AG3875,'Rate Log'!$D$76))</f>
        <v>0</v>
      </c>
      <c r="AI3875" s="73">
        <f>IF('Rate Log'!$C$76="",0,IF(1+$AH3875&gt;0,LN(1+$AH3875),0))</f>
        <v>0</v>
      </c>
      <c r="AJ3875" s="75">
        <f t="shared" si="1476"/>
        <v>0</v>
      </c>
      <c r="AK3875" s="75">
        <f>IF($AE3875="",0,COUNTIFS(rl_key,'Rate Log'!$J$76,$AF$3806:$AF$4045,$AF3875,$AE$3806:$AE$4045,"&lt;"&amp;$AE3875))</f>
        <v>0</v>
      </c>
      <c r="AL3875" s="75">
        <f>IF($AE3875="",0,COUNTIFS('Rate Log'!$J$7:$J$76,'Rate Log'!$J$76,$AF$3806:$AF3875,$AF3875,$AE$3806:$AE3875,$AE3875))</f>
        <v>0</v>
      </c>
      <c r="AM3875" s="75">
        <f t="shared" si="1477"/>
        <v>0</v>
      </c>
    </row>
    <row r="3876" spans="1:39" x14ac:dyDescent="0.3">
      <c r="A3876" s="74" t="str">
        <f>IF('Rate Log'!$C$77="","",IF('Rate Log'!$E$77="planned",EDATE('Rate Log'!$C$77,N(INDEX(sc_shift,1))),'Rate Log'!$C$77))</f>
        <v/>
      </c>
      <c r="B3876" s="74" t="str">
        <f t="shared" si="1466"/>
        <v/>
      </c>
      <c r="C3876" s="72">
        <f>IF(N(INDEX(sc_ach,1))=0,IF('Rate Log'!$G$77="",1,'Rate Log'!$G$77),INDEX(sc_ach,1))</f>
        <v>1</v>
      </c>
      <c r="D3876" s="72">
        <f>IF('Rate Log'!$C$77="",0,IF('Rate Log'!$E$77="planned",('Rate Log'!$D$77+N(INDEX(sc_dpts,1)))*$C3876,'Rate Log'!$D$77))</f>
        <v>0</v>
      </c>
      <c r="E3876" s="73">
        <f>IF('Rate Log'!$C$77="",0,IF(1+$D3876&gt;0,LN(1+$D3876),0))</f>
        <v>0</v>
      </c>
      <c r="F3876" s="75">
        <f t="shared" si="1467"/>
        <v>0</v>
      </c>
      <c r="G3876" s="75">
        <f>IF($A3876="",0,COUNTIFS(rl_key,'Rate Log'!$J$77,$B$3806:$B$4045,$B3876,$A$3806:$A$4045,"&lt;"&amp;$A3876))</f>
        <v>0</v>
      </c>
      <c r="H3876" s="75">
        <f>IF($A3876="",0,COUNTIFS('Rate Log'!$J$7:$J$77,'Rate Log'!$J$77,$B$3806:$B3876,$B3876,$A$3806:$A3876,$A3876))</f>
        <v>0</v>
      </c>
      <c r="I3876" s="75">
        <f t="shared" si="1468"/>
        <v>0</v>
      </c>
      <c r="K3876" s="74" t="str">
        <f>IF('Rate Log'!$C$77="","",IF('Rate Log'!$E$77="planned",EDATE('Rate Log'!$C$77,N(INDEX(sc_shift,2))),'Rate Log'!$C$77))</f>
        <v/>
      </c>
      <c r="L3876" s="74" t="str">
        <f t="shared" si="1469"/>
        <v/>
      </c>
      <c r="M3876" s="72">
        <f>IF(N(INDEX(sc_ach,2))=0,IF('Rate Log'!$G$77="",1,'Rate Log'!$G$77),INDEX(sc_ach,2))</f>
        <v>1</v>
      </c>
      <c r="N3876" s="72">
        <f>IF('Rate Log'!$C$77="",0,IF('Rate Log'!$E$77="planned",('Rate Log'!$D$77+N(INDEX(sc_dpts,2)))*$M3876,'Rate Log'!$D$77))</f>
        <v>0</v>
      </c>
      <c r="O3876" s="73">
        <f>IF('Rate Log'!$C$77="",0,IF(1+$N3876&gt;0,LN(1+$N3876),0))</f>
        <v>0</v>
      </c>
      <c r="P3876" s="75">
        <f t="shared" si="1470"/>
        <v>0</v>
      </c>
      <c r="Q3876" s="75">
        <f>IF($K3876="",0,COUNTIFS(rl_key,'Rate Log'!$J$77,$L$3806:$L$4045,$L3876,$K$3806:$K$4045,"&lt;"&amp;$K3876))</f>
        <v>0</v>
      </c>
      <c r="R3876" s="75">
        <f>IF($K3876="",0,COUNTIFS('Rate Log'!$J$7:$J$77,'Rate Log'!$J$77,$L$3806:$L3876,$L3876,$K$3806:$K3876,$K3876))</f>
        <v>0</v>
      </c>
      <c r="S3876" s="75">
        <f t="shared" si="1471"/>
        <v>0</v>
      </c>
      <c r="U3876" s="74" t="str">
        <f>IF('Rate Log'!$C$77="","",IF('Rate Log'!$E$77="planned",EDATE('Rate Log'!$C$77,N(INDEX(sc_shift,3))),'Rate Log'!$C$77))</f>
        <v/>
      </c>
      <c r="V3876" s="74" t="str">
        <f t="shared" si="1472"/>
        <v/>
      </c>
      <c r="W3876" s="72">
        <f>IF(N(INDEX(sc_ach,3))=0,IF('Rate Log'!$G$77="",1,'Rate Log'!$G$77),INDEX(sc_ach,3))</f>
        <v>1</v>
      </c>
      <c r="X3876" s="72">
        <f>IF('Rate Log'!$C$77="",0,IF('Rate Log'!$E$77="planned",('Rate Log'!$D$77+N(INDEX(sc_dpts,3)))*$W3876,'Rate Log'!$D$77))</f>
        <v>0</v>
      </c>
      <c r="Y3876" s="73">
        <f>IF('Rate Log'!$C$77="",0,IF(1+$X3876&gt;0,LN(1+$X3876),0))</f>
        <v>0</v>
      </c>
      <c r="Z3876" s="75">
        <f t="shared" si="1473"/>
        <v>0</v>
      </c>
      <c r="AA3876" s="75">
        <f>IF($U3876="",0,COUNTIFS(rl_key,'Rate Log'!$J$77,$V$3806:$V$4045,$V3876,$U$3806:$U$4045,"&lt;"&amp;$U3876))</f>
        <v>0</v>
      </c>
      <c r="AB3876" s="75">
        <f>IF($U3876="",0,COUNTIFS('Rate Log'!$J$7:$J$77,'Rate Log'!$J$77,$V$3806:$V3876,$V3876,$U$3806:$U3876,$U3876))</f>
        <v>0</v>
      </c>
      <c r="AC3876" s="75">
        <f t="shared" si="1474"/>
        <v>0</v>
      </c>
      <c r="AE3876" s="74" t="str">
        <f>IF('Rate Log'!$C$77="","",IF('Rate Log'!$E$77="planned",EDATE('Rate Log'!$C$77,N(INDEX(sc_shift,4))),'Rate Log'!$C$77))</f>
        <v/>
      </c>
      <c r="AF3876" s="74" t="str">
        <f t="shared" si="1475"/>
        <v/>
      </c>
      <c r="AG3876" s="72">
        <f>IF(N(INDEX(sc_ach,4))=0,IF('Rate Log'!$G$77="",1,'Rate Log'!$G$77),INDEX(sc_ach,4))</f>
        <v>1</v>
      </c>
      <c r="AH3876" s="72">
        <f>IF('Rate Log'!$C$77="",0,IF('Rate Log'!$E$77="planned",('Rate Log'!$D$77+N(INDEX(sc_dpts,4)))*$AG3876,'Rate Log'!$D$77))</f>
        <v>0</v>
      </c>
      <c r="AI3876" s="73">
        <f>IF('Rate Log'!$C$77="",0,IF(1+$AH3876&gt;0,LN(1+$AH3876),0))</f>
        <v>0</v>
      </c>
      <c r="AJ3876" s="75">
        <f t="shared" si="1476"/>
        <v>0</v>
      </c>
      <c r="AK3876" s="75">
        <f>IF($AE3876="",0,COUNTIFS(rl_key,'Rate Log'!$J$77,$AF$3806:$AF$4045,$AF3876,$AE$3806:$AE$4045,"&lt;"&amp;$AE3876))</f>
        <v>0</v>
      </c>
      <c r="AL3876" s="75">
        <f>IF($AE3876="",0,COUNTIFS('Rate Log'!$J$7:$J$77,'Rate Log'!$J$77,$AF$3806:$AF3876,$AF3876,$AE$3806:$AE3876,$AE3876))</f>
        <v>0</v>
      </c>
      <c r="AM3876" s="75">
        <f t="shared" si="1477"/>
        <v>0</v>
      </c>
    </row>
    <row r="3877" spans="1:39" x14ac:dyDescent="0.3">
      <c r="A3877" s="74" t="str">
        <f>IF('Rate Log'!$C$78="","",IF('Rate Log'!$E$78="planned",EDATE('Rate Log'!$C$78,N(INDEX(sc_shift,1))),'Rate Log'!$C$78))</f>
        <v/>
      </c>
      <c r="B3877" s="74" t="str">
        <f t="shared" si="1466"/>
        <v/>
      </c>
      <c r="C3877" s="72">
        <f>IF(N(INDEX(sc_ach,1))=0,IF('Rate Log'!$G$78="",1,'Rate Log'!$G$78),INDEX(sc_ach,1))</f>
        <v>1</v>
      </c>
      <c r="D3877" s="72">
        <f>IF('Rate Log'!$C$78="",0,IF('Rate Log'!$E$78="planned",('Rate Log'!$D$78+N(INDEX(sc_dpts,1)))*$C3877,'Rate Log'!$D$78))</f>
        <v>0</v>
      </c>
      <c r="E3877" s="73">
        <f>IF('Rate Log'!$C$78="",0,IF(1+$D3877&gt;0,LN(1+$D3877),0))</f>
        <v>0</v>
      </c>
      <c r="F3877" s="75">
        <f t="shared" si="1467"/>
        <v>0</v>
      </c>
      <c r="G3877" s="75">
        <f>IF($A3877="",0,COUNTIFS(rl_key,'Rate Log'!$J$78,$B$3806:$B$4045,$B3877,$A$3806:$A$4045,"&lt;"&amp;$A3877))</f>
        <v>0</v>
      </c>
      <c r="H3877" s="75">
        <f>IF($A3877="",0,COUNTIFS('Rate Log'!$J$7:$J$78,'Rate Log'!$J$78,$B$3806:$B3877,$B3877,$A$3806:$A3877,$A3877))</f>
        <v>0</v>
      </c>
      <c r="I3877" s="75">
        <f t="shared" si="1468"/>
        <v>0</v>
      </c>
      <c r="K3877" s="74" t="str">
        <f>IF('Rate Log'!$C$78="","",IF('Rate Log'!$E$78="planned",EDATE('Rate Log'!$C$78,N(INDEX(sc_shift,2))),'Rate Log'!$C$78))</f>
        <v/>
      </c>
      <c r="L3877" s="74" t="str">
        <f t="shared" si="1469"/>
        <v/>
      </c>
      <c r="M3877" s="72">
        <f>IF(N(INDEX(sc_ach,2))=0,IF('Rate Log'!$G$78="",1,'Rate Log'!$G$78),INDEX(sc_ach,2))</f>
        <v>1</v>
      </c>
      <c r="N3877" s="72">
        <f>IF('Rate Log'!$C$78="",0,IF('Rate Log'!$E$78="planned",('Rate Log'!$D$78+N(INDEX(sc_dpts,2)))*$M3877,'Rate Log'!$D$78))</f>
        <v>0</v>
      </c>
      <c r="O3877" s="73">
        <f>IF('Rate Log'!$C$78="",0,IF(1+$N3877&gt;0,LN(1+$N3877),0))</f>
        <v>0</v>
      </c>
      <c r="P3877" s="75">
        <f t="shared" si="1470"/>
        <v>0</v>
      </c>
      <c r="Q3877" s="75">
        <f>IF($K3877="",0,COUNTIFS(rl_key,'Rate Log'!$J$78,$L$3806:$L$4045,$L3877,$K$3806:$K$4045,"&lt;"&amp;$K3877))</f>
        <v>0</v>
      </c>
      <c r="R3877" s="75">
        <f>IF($K3877="",0,COUNTIFS('Rate Log'!$J$7:$J$78,'Rate Log'!$J$78,$L$3806:$L3877,$L3877,$K$3806:$K3877,$K3877))</f>
        <v>0</v>
      </c>
      <c r="S3877" s="75">
        <f t="shared" si="1471"/>
        <v>0</v>
      </c>
      <c r="U3877" s="74" t="str">
        <f>IF('Rate Log'!$C$78="","",IF('Rate Log'!$E$78="planned",EDATE('Rate Log'!$C$78,N(INDEX(sc_shift,3))),'Rate Log'!$C$78))</f>
        <v/>
      </c>
      <c r="V3877" s="74" t="str">
        <f t="shared" si="1472"/>
        <v/>
      </c>
      <c r="W3877" s="72">
        <f>IF(N(INDEX(sc_ach,3))=0,IF('Rate Log'!$G$78="",1,'Rate Log'!$G$78),INDEX(sc_ach,3))</f>
        <v>1</v>
      </c>
      <c r="X3877" s="72">
        <f>IF('Rate Log'!$C$78="",0,IF('Rate Log'!$E$78="planned",('Rate Log'!$D$78+N(INDEX(sc_dpts,3)))*$W3877,'Rate Log'!$D$78))</f>
        <v>0</v>
      </c>
      <c r="Y3877" s="73">
        <f>IF('Rate Log'!$C$78="",0,IF(1+$X3877&gt;0,LN(1+$X3877),0))</f>
        <v>0</v>
      </c>
      <c r="Z3877" s="75">
        <f t="shared" si="1473"/>
        <v>0</v>
      </c>
      <c r="AA3877" s="75">
        <f>IF($U3877="",0,COUNTIFS(rl_key,'Rate Log'!$J$78,$V$3806:$V$4045,$V3877,$U$3806:$U$4045,"&lt;"&amp;$U3877))</f>
        <v>0</v>
      </c>
      <c r="AB3877" s="75">
        <f>IF($U3877="",0,COUNTIFS('Rate Log'!$J$7:$J$78,'Rate Log'!$J$78,$V$3806:$V3877,$V3877,$U$3806:$U3877,$U3877))</f>
        <v>0</v>
      </c>
      <c r="AC3877" s="75">
        <f t="shared" si="1474"/>
        <v>0</v>
      </c>
      <c r="AE3877" s="74" t="str">
        <f>IF('Rate Log'!$C$78="","",IF('Rate Log'!$E$78="planned",EDATE('Rate Log'!$C$78,N(INDEX(sc_shift,4))),'Rate Log'!$C$78))</f>
        <v/>
      </c>
      <c r="AF3877" s="74" t="str">
        <f t="shared" si="1475"/>
        <v/>
      </c>
      <c r="AG3877" s="72">
        <f>IF(N(INDEX(sc_ach,4))=0,IF('Rate Log'!$G$78="",1,'Rate Log'!$G$78),INDEX(sc_ach,4))</f>
        <v>1</v>
      </c>
      <c r="AH3877" s="72">
        <f>IF('Rate Log'!$C$78="",0,IF('Rate Log'!$E$78="planned",('Rate Log'!$D$78+N(INDEX(sc_dpts,4)))*$AG3877,'Rate Log'!$D$78))</f>
        <v>0</v>
      </c>
      <c r="AI3877" s="73">
        <f>IF('Rate Log'!$C$78="",0,IF(1+$AH3877&gt;0,LN(1+$AH3877),0))</f>
        <v>0</v>
      </c>
      <c r="AJ3877" s="75">
        <f t="shared" si="1476"/>
        <v>0</v>
      </c>
      <c r="AK3877" s="75">
        <f>IF($AE3877="",0,COUNTIFS(rl_key,'Rate Log'!$J$78,$AF$3806:$AF$4045,$AF3877,$AE$3806:$AE$4045,"&lt;"&amp;$AE3877))</f>
        <v>0</v>
      </c>
      <c r="AL3877" s="75">
        <f>IF($AE3877="",0,COUNTIFS('Rate Log'!$J$7:$J$78,'Rate Log'!$J$78,$AF$3806:$AF3877,$AF3877,$AE$3806:$AE3877,$AE3877))</f>
        <v>0</v>
      </c>
      <c r="AM3877" s="75">
        <f t="shared" si="1477"/>
        <v>0</v>
      </c>
    </row>
    <row r="3878" spans="1:39" x14ac:dyDescent="0.3">
      <c r="A3878" s="74" t="str">
        <f>IF('Rate Log'!$C$79="","",IF('Rate Log'!$E$79="planned",EDATE('Rate Log'!$C$79,N(INDEX(sc_shift,1))),'Rate Log'!$C$79))</f>
        <v/>
      </c>
      <c r="B3878" s="74" t="str">
        <f t="shared" si="1466"/>
        <v/>
      </c>
      <c r="C3878" s="72">
        <f>IF(N(INDEX(sc_ach,1))=0,IF('Rate Log'!$G$79="",1,'Rate Log'!$G$79),INDEX(sc_ach,1))</f>
        <v>1</v>
      </c>
      <c r="D3878" s="72">
        <f>IF('Rate Log'!$C$79="",0,IF('Rate Log'!$E$79="planned",('Rate Log'!$D$79+N(INDEX(sc_dpts,1)))*$C3878,'Rate Log'!$D$79))</f>
        <v>0</v>
      </c>
      <c r="E3878" s="73">
        <f>IF('Rate Log'!$C$79="",0,IF(1+$D3878&gt;0,LN(1+$D3878),0))</f>
        <v>0</v>
      </c>
      <c r="F3878" s="75">
        <f t="shared" si="1467"/>
        <v>0</v>
      </c>
      <c r="G3878" s="75">
        <f>IF($A3878="",0,COUNTIFS(rl_key,'Rate Log'!$J$79,$B$3806:$B$4045,$B3878,$A$3806:$A$4045,"&lt;"&amp;$A3878))</f>
        <v>0</v>
      </c>
      <c r="H3878" s="75">
        <f>IF($A3878="",0,COUNTIFS('Rate Log'!$J$7:$J$79,'Rate Log'!$J$79,$B$3806:$B3878,$B3878,$A$3806:$A3878,$A3878))</f>
        <v>0</v>
      </c>
      <c r="I3878" s="75">
        <f t="shared" si="1468"/>
        <v>0</v>
      </c>
      <c r="K3878" s="74" t="str">
        <f>IF('Rate Log'!$C$79="","",IF('Rate Log'!$E$79="planned",EDATE('Rate Log'!$C$79,N(INDEX(sc_shift,2))),'Rate Log'!$C$79))</f>
        <v/>
      </c>
      <c r="L3878" s="74" t="str">
        <f t="shared" si="1469"/>
        <v/>
      </c>
      <c r="M3878" s="72">
        <f>IF(N(INDEX(sc_ach,2))=0,IF('Rate Log'!$G$79="",1,'Rate Log'!$G$79),INDEX(sc_ach,2))</f>
        <v>1</v>
      </c>
      <c r="N3878" s="72">
        <f>IF('Rate Log'!$C$79="",0,IF('Rate Log'!$E$79="planned",('Rate Log'!$D$79+N(INDEX(sc_dpts,2)))*$M3878,'Rate Log'!$D$79))</f>
        <v>0</v>
      </c>
      <c r="O3878" s="73">
        <f>IF('Rate Log'!$C$79="",0,IF(1+$N3878&gt;0,LN(1+$N3878),0))</f>
        <v>0</v>
      </c>
      <c r="P3878" s="75">
        <f t="shared" si="1470"/>
        <v>0</v>
      </c>
      <c r="Q3878" s="75">
        <f>IF($K3878="",0,COUNTIFS(rl_key,'Rate Log'!$J$79,$L$3806:$L$4045,$L3878,$K$3806:$K$4045,"&lt;"&amp;$K3878))</f>
        <v>0</v>
      </c>
      <c r="R3878" s="75">
        <f>IF($K3878="",0,COUNTIFS('Rate Log'!$J$7:$J$79,'Rate Log'!$J$79,$L$3806:$L3878,$L3878,$K$3806:$K3878,$K3878))</f>
        <v>0</v>
      </c>
      <c r="S3878" s="75">
        <f t="shared" si="1471"/>
        <v>0</v>
      </c>
      <c r="U3878" s="74" t="str">
        <f>IF('Rate Log'!$C$79="","",IF('Rate Log'!$E$79="planned",EDATE('Rate Log'!$C$79,N(INDEX(sc_shift,3))),'Rate Log'!$C$79))</f>
        <v/>
      </c>
      <c r="V3878" s="74" t="str">
        <f t="shared" si="1472"/>
        <v/>
      </c>
      <c r="W3878" s="72">
        <f>IF(N(INDEX(sc_ach,3))=0,IF('Rate Log'!$G$79="",1,'Rate Log'!$G$79),INDEX(sc_ach,3))</f>
        <v>1</v>
      </c>
      <c r="X3878" s="72">
        <f>IF('Rate Log'!$C$79="",0,IF('Rate Log'!$E$79="planned",('Rate Log'!$D$79+N(INDEX(sc_dpts,3)))*$W3878,'Rate Log'!$D$79))</f>
        <v>0</v>
      </c>
      <c r="Y3878" s="73">
        <f>IF('Rate Log'!$C$79="",0,IF(1+$X3878&gt;0,LN(1+$X3878),0))</f>
        <v>0</v>
      </c>
      <c r="Z3878" s="75">
        <f t="shared" si="1473"/>
        <v>0</v>
      </c>
      <c r="AA3878" s="75">
        <f>IF($U3878="",0,COUNTIFS(rl_key,'Rate Log'!$J$79,$V$3806:$V$4045,$V3878,$U$3806:$U$4045,"&lt;"&amp;$U3878))</f>
        <v>0</v>
      </c>
      <c r="AB3878" s="75">
        <f>IF($U3878="",0,COUNTIFS('Rate Log'!$J$7:$J$79,'Rate Log'!$J$79,$V$3806:$V3878,$V3878,$U$3806:$U3878,$U3878))</f>
        <v>0</v>
      </c>
      <c r="AC3878" s="75">
        <f t="shared" si="1474"/>
        <v>0</v>
      </c>
      <c r="AE3878" s="74" t="str">
        <f>IF('Rate Log'!$C$79="","",IF('Rate Log'!$E$79="planned",EDATE('Rate Log'!$C$79,N(INDEX(sc_shift,4))),'Rate Log'!$C$79))</f>
        <v/>
      </c>
      <c r="AF3878" s="74" t="str">
        <f t="shared" si="1475"/>
        <v/>
      </c>
      <c r="AG3878" s="72">
        <f>IF(N(INDEX(sc_ach,4))=0,IF('Rate Log'!$G$79="",1,'Rate Log'!$G$79),INDEX(sc_ach,4))</f>
        <v>1</v>
      </c>
      <c r="AH3878" s="72">
        <f>IF('Rate Log'!$C$79="",0,IF('Rate Log'!$E$79="planned",('Rate Log'!$D$79+N(INDEX(sc_dpts,4)))*$AG3878,'Rate Log'!$D$79))</f>
        <v>0</v>
      </c>
      <c r="AI3878" s="73">
        <f>IF('Rate Log'!$C$79="",0,IF(1+$AH3878&gt;0,LN(1+$AH3878),0))</f>
        <v>0</v>
      </c>
      <c r="AJ3878" s="75">
        <f t="shared" si="1476"/>
        <v>0</v>
      </c>
      <c r="AK3878" s="75">
        <f>IF($AE3878="",0,COUNTIFS(rl_key,'Rate Log'!$J$79,$AF$3806:$AF$4045,$AF3878,$AE$3806:$AE$4045,"&lt;"&amp;$AE3878))</f>
        <v>0</v>
      </c>
      <c r="AL3878" s="75">
        <f>IF($AE3878="",0,COUNTIFS('Rate Log'!$J$7:$J$79,'Rate Log'!$J$79,$AF$3806:$AF3878,$AF3878,$AE$3806:$AE3878,$AE3878))</f>
        <v>0</v>
      </c>
      <c r="AM3878" s="75">
        <f t="shared" si="1477"/>
        <v>0</v>
      </c>
    </row>
    <row r="3879" spans="1:39" x14ac:dyDescent="0.3">
      <c r="A3879" s="74" t="str">
        <f>IF('Rate Log'!$C$80="","",IF('Rate Log'!$E$80="planned",EDATE('Rate Log'!$C$80,N(INDEX(sc_shift,1))),'Rate Log'!$C$80))</f>
        <v/>
      </c>
      <c r="B3879" s="74" t="str">
        <f t="shared" si="1466"/>
        <v/>
      </c>
      <c r="C3879" s="72">
        <f>IF(N(INDEX(sc_ach,1))=0,IF('Rate Log'!$G$80="",1,'Rate Log'!$G$80),INDEX(sc_ach,1))</f>
        <v>1</v>
      </c>
      <c r="D3879" s="72">
        <f>IF('Rate Log'!$C$80="",0,IF('Rate Log'!$E$80="planned",('Rate Log'!$D$80+N(INDEX(sc_dpts,1)))*$C3879,'Rate Log'!$D$80))</f>
        <v>0</v>
      </c>
      <c r="E3879" s="73">
        <f>IF('Rate Log'!$C$80="",0,IF(1+$D3879&gt;0,LN(1+$D3879),0))</f>
        <v>0</v>
      </c>
      <c r="F3879" s="75">
        <f t="shared" si="1467"/>
        <v>0</v>
      </c>
      <c r="G3879" s="75">
        <f>IF($A3879="",0,COUNTIFS(rl_key,'Rate Log'!$J$80,$B$3806:$B$4045,$B3879,$A$3806:$A$4045,"&lt;"&amp;$A3879))</f>
        <v>0</v>
      </c>
      <c r="H3879" s="75">
        <f>IF($A3879="",0,COUNTIFS('Rate Log'!$J$7:$J$80,'Rate Log'!$J$80,$B$3806:$B3879,$B3879,$A$3806:$A3879,$A3879))</f>
        <v>0</v>
      </c>
      <c r="I3879" s="75">
        <f t="shared" si="1468"/>
        <v>0</v>
      </c>
      <c r="K3879" s="74" t="str">
        <f>IF('Rate Log'!$C$80="","",IF('Rate Log'!$E$80="planned",EDATE('Rate Log'!$C$80,N(INDEX(sc_shift,2))),'Rate Log'!$C$80))</f>
        <v/>
      </c>
      <c r="L3879" s="74" t="str">
        <f t="shared" si="1469"/>
        <v/>
      </c>
      <c r="M3879" s="72">
        <f>IF(N(INDEX(sc_ach,2))=0,IF('Rate Log'!$G$80="",1,'Rate Log'!$G$80),INDEX(sc_ach,2))</f>
        <v>1</v>
      </c>
      <c r="N3879" s="72">
        <f>IF('Rate Log'!$C$80="",0,IF('Rate Log'!$E$80="planned",('Rate Log'!$D$80+N(INDEX(sc_dpts,2)))*$M3879,'Rate Log'!$D$80))</f>
        <v>0</v>
      </c>
      <c r="O3879" s="73">
        <f>IF('Rate Log'!$C$80="",0,IF(1+$N3879&gt;0,LN(1+$N3879),0))</f>
        <v>0</v>
      </c>
      <c r="P3879" s="75">
        <f t="shared" si="1470"/>
        <v>0</v>
      </c>
      <c r="Q3879" s="75">
        <f>IF($K3879="",0,COUNTIFS(rl_key,'Rate Log'!$J$80,$L$3806:$L$4045,$L3879,$K$3806:$K$4045,"&lt;"&amp;$K3879))</f>
        <v>0</v>
      </c>
      <c r="R3879" s="75">
        <f>IF($K3879="",0,COUNTIFS('Rate Log'!$J$7:$J$80,'Rate Log'!$J$80,$L$3806:$L3879,$L3879,$K$3806:$K3879,$K3879))</f>
        <v>0</v>
      </c>
      <c r="S3879" s="75">
        <f t="shared" si="1471"/>
        <v>0</v>
      </c>
      <c r="U3879" s="74" t="str">
        <f>IF('Rate Log'!$C$80="","",IF('Rate Log'!$E$80="planned",EDATE('Rate Log'!$C$80,N(INDEX(sc_shift,3))),'Rate Log'!$C$80))</f>
        <v/>
      </c>
      <c r="V3879" s="74" t="str">
        <f t="shared" si="1472"/>
        <v/>
      </c>
      <c r="W3879" s="72">
        <f>IF(N(INDEX(sc_ach,3))=0,IF('Rate Log'!$G$80="",1,'Rate Log'!$G$80),INDEX(sc_ach,3))</f>
        <v>1</v>
      </c>
      <c r="X3879" s="72">
        <f>IF('Rate Log'!$C$80="",0,IF('Rate Log'!$E$80="planned",('Rate Log'!$D$80+N(INDEX(sc_dpts,3)))*$W3879,'Rate Log'!$D$80))</f>
        <v>0</v>
      </c>
      <c r="Y3879" s="73">
        <f>IF('Rate Log'!$C$80="",0,IF(1+$X3879&gt;0,LN(1+$X3879),0))</f>
        <v>0</v>
      </c>
      <c r="Z3879" s="75">
        <f t="shared" si="1473"/>
        <v>0</v>
      </c>
      <c r="AA3879" s="75">
        <f>IF($U3879="",0,COUNTIFS(rl_key,'Rate Log'!$J$80,$V$3806:$V$4045,$V3879,$U$3806:$U$4045,"&lt;"&amp;$U3879))</f>
        <v>0</v>
      </c>
      <c r="AB3879" s="75">
        <f>IF($U3879="",0,COUNTIFS('Rate Log'!$J$7:$J$80,'Rate Log'!$J$80,$V$3806:$V3879,$V3879,$U$3806:$U3879,$U3879))</f>
        <v>0</v>
      </c>
      <c r="AC3879" s="75">
        <f t="shared" si="1474"/>
        <v>0</v>
      </c>
      <c r="AE3879" s="74" t="str">
        <f>IF('Rate Log'!$C$80="","",IF('Rate Log'!$E$80="planned",EDATE('Rate Log'!$C$80,N(INDEX(sc_shift,4))),'Rate Log'!$C$80))</f>
        <v/>
      </c>
      <c r="AF3879" s="74" t="str">
        <f t="shared" si="1475"/>
        <v/>
      </c>
      <c r="AG3879" s="72">
        <f>IF(N(INDEX(sc_ach,4))=0,IF('Rate Log'!$G$80="",1,'Rate Log'!$G$80),INDEX(sc_ach,4))</f>
        <v>1</v>
      </c>
      <c r="AH3879" s="72">
        <f>IF('Rate Log'!$C$80="",0,IF('Rate Log'!$E$80="planned",('Rate Log'!$D$80+N(INDEX(sc_dpts,4)))*$AG3879,'Rate Log'!$D$80))</f>
        <v>0</v>
      </c>
      <c r="AI3879" s="73">
        <f>IF('Rate Log'!$C$80="",0,IF(1+$AH3879&gt;0,LN(1+$AH3879),0))</f>
        <v>0</v>
      </c>
      <c r="AJ3879" s="75">
        <f t="shared" si="1476"/>
        <v>0</v>
      </c>
      <c r="AK3879" s="75">
        <f>IF($AE3879="",0,COUNTIFS(rl_key,'Rate Log'!$J$80,$AF$3806:$AF$4045,$AF3879,$AE$3806:$AE$4045,"&lt;"&amp;$AE3879))</f>
        <v>0</v>
      </c>
      <c r="AL3879" s="75">
        <f>IF($AE3879="",0,COUNTIFS('Rate Log'!$J$7:$J$80,'Rate Log'!$J$80,$AF$3806:$AF3879,$AF3879,$AE$3806:$AE3879,$AE3879))</f>
        <v>0</v>
      </c>
      <c r="AM3879" s="75">
        <f t="shared" si="1477"/>
        <v>0</v>
      </c>
    </row>
    <row r="3880" spans="1:39" x14ac:dyDescent="0.3">
      <c r="A3880" s="74" t="str">
        <f>IF('Rate Log'!$C$81="","",IF('Rate Log'!$E$81="planned",EDATE('Rate Log'!$C$81,N(INDEX(sc_shift,1))),'Rate Log'!$C$81))</f>
        <v/>
      </c>
      <c r="B3880" s="74" t="str">
        <f t="shared" si="1466"/>
        <v/>
      </c>
      <c r="C3880" s="72">
        <f>IF(N(INDEX(sc_ach,1))=0,IF('Rate Log'!$G$81="",1,'Rate Log'!$G$81),INDEX(sc_ach,1))</f>
        <v>1</v>
      </c>
      <c r="D3880" s="72">
        <f>IF('Rate Log'!$C$81="",0,IF('Rate Log'!$E$81="planned",('Rate Log'!$D$81+N(INDEX(sc_dpts,1)))*$C3880,'Rate Log'!$D$81))</f>
        <v>0</v>
      </c>
      <c r="E3880" s="73">
        <f>IF('Rate Log'!$C$81="",0,IF(1+$D3880&gt;0,LN(1+$D3880),0))</f>
        <v>0</v>
      </c>
      <c r="F3880" s="75">
        <f t="shared" si="1467"/>
        <v>0</v>
      </c>
      <c r="G3880" s="75">
        <f>IF($A3880="",0,COUNTIFS(rl_key,'Rate Log'!$J$81,$B$3806:$B$4045,$B3880,$A$3806:$A$4045,"&lt;"&amp;$A3880))</f>
        <v>0</v>
      </c>
      <c r="H3880" s="75">
        <f>IF($A3880="",0,COUNTIFS('Rate Log'!$J$7:$J$81,'Rate Log'!$J$81,$B$3806:$B3880,$B3880,$A$3806:$A3880,$A3880))</f>
        <v>0</v>
      </c>
      <c r="I3880" s="75">
        <f t="shared" si="1468"/>
        <v>0</v>
      </c>
      <c r="K3880" s="74" t="str">
        <f>IF('Rate Log'!$C$81="","",IF('Rate Log'!$E$81="planned",EDATE('Rate Log'!$C$81,N(INDEX(sc_shift,2))),'Rate Log'!$C$81))</f>
        <v/>
      </c>
      <c r="L3880" s="74" t="str">
        <f t="shared" si="1469"/>
        <v/>
      </c>
      <c r="M3880" s="72">
        <f>IF(N(INDEX(sc_ach,2))=0,IF('Rate Log'!$G$81="",1,'Rate Log'!$G$81),INDEX(sc_ach,2))</f>
        <v>1</v>
      </c>
      <c r="N3880" s="72">
        <f>IF('Rate Log'!$C$81="",0,IF('Rate Log'!$E$81="planned",('Rate Log'!$D$81+N(INDEX(sc_dpts,2)))*$M3880,'Rate Log'!$D$81))</f>
        <v>0</v>
      </c>
      <c r="O3880" s="73">
        <f>IF('Rate Log'!$C$81="",0,IF(1+$N3880&gt;0,LN(1+$N3880),0))</f>
        <v>0</v>
      </c>
      <c r="P3880" s="75">
        <f t="shared" si="1470"/>
        <v>0</v>
      </c>
      <c r="Q3880" s="75">
        <f>IF($K3880="",0,COUNTIFS(rl_key,'Rate Log'!$J$81,$L$3806:$L$4045,$L3880,$K$3806:$K$4045,"&lt;"&amp;$K3880))</f>
        <v>0</v>
      </c>
      <c r="R3880" s="75">
        <f>IF($K3880="",0,COUNTIFS('Rate Log'!$J$7:$J$81,'Rate Log'!$J$81,$L$3806:$L3880,$L3880,$K$3806:$K3880,$K3880))</f>
        <v>0</v>
      </c>
      <c r="S3880" s="75">
        <f t="shared" si="1471"/>
        <v>0</v>
      </c>
      <c r="U3880" s="74" t="str">
        <f>IF('Rate Log'!$C$81="","",IF('Rate Log'!$E$81="planned",EDATE('Rate Log'!$C$81,N(INDEX(sc_shift,3))),'Rate Log'!$C$81))</f>
        <v/>
      </c>
      <c r="V3880" s="74" t="str">
        <f t="shared" si="1472"/>
        <v/>
      </c>
      <c r="W3880" s="72">
        <f>IF(N(INDEX(sc_ach,3))=0,IF('Rate Log'!$G$81="",1,'Rate Log'!$G$81),INDEX(sc_ach,3))</f>
        <v>1</v>
      </c>
      <c r="X3880" s="72">
        <f>IF('Rate Log'!$C$81="",0,IF('Rate Log'!$E$81="planned",('Rate Log'!$D$81+N(INDEX(sc_dpts,3)))*$W3880,'Rate Log'!$D$81))</f>
        <v>0</v>
      </c>
      <c r="Y3880" s="73">
        <f>IF('Rate Log'!$C$81="",0,IF(1+$X3880&gt;0,LN(1+$X3880),0))</f>
        <v>0</v>
      </c>
      <c r="Z3880" s="75">
        <f t="shared" si="1473"/>
        <v>0</v>
      </c>
      <c r="AA3880" s="75">
        <f>IF($U3880="",0,COUNTIFS(rl_key,'Rate Log'!$J$81,$V$3806:$V$4045,$V3880,$U$3806:$U$4045,"&lt;"&amp;$U3880))</f>
        <v>0</v>
      </c>
      <c r="AB3880" s="75">
        <f>IF($U3880="",0,COUNTIFS('Rate Log'!$J$7:$J$81,'Rate Log'!$J$81,$V$3806:$V3880,$V3880,$U$3806:$U3880,$U3880))</f>
        <v>0</v>
      </c>
      <c r="AC3880" s="75">
        <f t="shared" si="1474"/>
        <v>0</v>
      </c>
      <c r="AE3880" s="74" t="str">
        <f>IF('Rate Log'!$C$81="","",IF('Rate Log'!$E$81="planned",EDATE('Rate Log'!$C$81,N(INDEX(sc_shift,4))),'Rate Log'!$C$81))</f>
        <v/>
      </c>
      <c r="AF3880" s="74" t="str">
        <f t="shared" si="1475"/>
        <v/>
      </c>
      <c r="AG3880" s="72">
        <f>IF(N(INDEX(sc_ach,4))=0,IF('Rate Log'!$G$81="",1,'Rate Log'!$G$81),INDEX(sc_ach,4))</f>
        <v>1</v>
      </c>
      <c r="AH3880" s="72">
        <f>IF('Rate Log'!$C$81="",0,IF('Rate Log'!$E$81="planned",('Rate Log'!$D$81+N(INDEX(sc_dpts,4)))*$AG3880,'Rate Log'!$D$81))</f>
        <v>0</v>
      </c>
      <c r="AI3880" s="73">
        <f>IF('Rate Log'!$C$81="",0,IF(1+$AH3880&gt;0,LN(1+$AH3880),0))</f>
        <v>0</v>
      </c>
      <c r="AJ3880" s="75">
        <f t="shared" si="1476"/>
        <v>0</v>
      </c>
      <c r="AK3880" s="75">
        <f>IF($AE3880="",0,COUNTIFS(rl_key,'Rate Log'!$J$81,$AF$3806:$AF$4045,$AF3880,$AE$3806:$AE$4045,"&lt;"&amp;$AE3880))</f>
        <v>0</v>
      </c>
      <c r="AL3880" s="75">
        <f>IF($AE3880="",0,COUNTIFS('Rate Log'!$J$7:$J$81,'Rate Log'!$J$81,$AF$3806:$AF3880,$AF3880,$AE$3806:$AE3880,$AE3880))</f>
        <v>0</v>
      </c>
      <c r="AM3880" s="75">
        <f t="shared" si="1477"/>
        <v>0</v>
      </c>
    </row>
    <row r="3881" spans="1:39" x14ac:dyDescent="0.3">
      <c r="A3881" s="74" t="str">
        <f>IF('Rate Log'!$C$82="","",IF('Rate Log'!$E$82="planned",EDATE('Rate Log'!$C$82,N(INDEX(sc_shift,1))),'Rate Log'!$C$82))</f>
        <v/>
      </c>
      <c r="B3881" s="74" t="str">
        <f t="shared" si="1466"/>
        <v/>
      </c>
      <c r="C3881" s="72">
        <f>IF(N(INDEX(sc_ach,1))=0,IF('Rate Log'!$G$82="",1,'Rate Log'!$G$82),INDEX(sc_ach,1))</f>
        <v>1</v>
      </c>
      <c r="D3881" s="72">
        <f>IF('Rate Log'!$C$82="",0,IF('Rate Log'!$E$82="planned",('Rate Log'!$D$82+N(INDEX(sc_dpts,1)))*$C3881,'Rate Log'!$D$82))</f>
        <v>0</v>
      </c>
      <c r="E3881" s="73">
        <f>IF('Rate Log'!$C$82="",0,IF(1+$D3881&gt;0,LN(1+$D3881),0))</f>
        <v>0</v>
      </c>
      <c r="F3881" s="75">
        <f t="shared" si="1467"/>
        <v>0</v>
      </c>
      <c r="G3881" s="75">
        <f>IF($A3881="",0,COUNTIFS(rl_key,'Rate Log'!$J$82,$B$3806:$B$4045,$B3881,$A$3806:$A$4045,"&lt;"&amp;$A3881))</f>
        <v>0</v>
      </c>
      <c r="H3881" s="75">
        <f>IF($A3881="",0,COUNTIFS('Rate Log'!$J$7:$J$82,'Rate Log'!$J$82,$B$3806:$B3881,$B3881,$A$3806:$A3881,$A3881))</f>
        <v>0</v>
      </c>
      <c r="I3881" s="75">
        <f t="shared" si="1468"/>
        <v>0</v>
      </c>
      <c r="K3881" s="74" t="str">
        <f>IF('Rate Log'!$C$82="","",IF('Rate Log'!$E$82="planned",EDATE('Rate Log'!$C$82,N(INDEX(sc_shift,2))),'Rate Log'!$C$82))</f>
        <v/>
      </c>
      <c r="L3881" s="74" t="str">
        <f t="shared" si="1469"/>
        <v/>
      </c>
      <c r="M3881" s="72">
        <f>IF(N(INDEX(sc_ach,2))=0,IF('Rate Log'!$G$82="",1,'Rate Log'!$G$82),INDEX(sc_ach,2))</f>
        <v>1</v>
      </c>
      <c r="N3881" s="72">
        <f>IF('Rate Log'!$C$82="",0,IF('Rate Log'!$E$82="planned",('Rate Log'!$D$82+N(INDEX(sc_dpts,2)))*$M3881,'Rate Log'!$D$82))</f>
        <v>0</v>
      </c>
      <c r="O3881" s="73">
        <f>IF('Rate Log'!$C$82="",0,IF(1+$N3881&gt;0,LN(1+$N3881),0))</f>
        <v>0</v>
      </c>
      <c r="P3881" s="75">
        <f t="shared" si="1470"/>
        <v>0</v>
      </c>
      <c r="Q3881" s="75">
        <f>IF($K3881="",0,COUNTIFS(rl_key,'Rate Log'!$J$82,$L$3806:$L$4045,$L3881,$K$3806:$K$4045,"&lt;"&amp;$K3881))</f>
        <v>0</v>
      </c>
      <c r="R3881" s="75">
        <f>IF($K3881="",0,COUNTIFS('Rate Log'!$J$7:$J$82,'Rate Log'!$J$82,$L$3806:$L3881,$L3881,$K$3806:$K3881,$K3881))</f>
        <v>0</v>
      </c>
      <c r="S3881" s="75">
        <f t="shared" si="1471"/>
        <v>0</v>
      </c>
      <c r="U3881" s="74" t="str">
        <f>IF('Rate Log'!$C$82="","",IF('Rate Log'!$E$82="planned",EDATE('Rate Log'!$C$82,N(INDEX(sc_shift,3))),'Rate Log'!$C$82))</f>
        <v/>
      </c>
      <c r="V3881" s="74" t="str">
        <f t="shared" si="1472"/>
        <v/>
      </c>
      <c r="W3881" s="72">
        <f>IF(N(INDEX(sc_ach,3))=0,IF('Rate Log'!$G$82="",1,'Rate Log'!$G$82),INDEX(sc_ach,3))</f>
        <v>1</v>
      </c>
      <c r="X3881" s="72">
        <f>IF('Rate Log'!$C$82="",0,IF('Rate Log'!$E$82="planned",('Rate Log'!$D$82+N(INDEX(sc_dpts,3)))*$W3881,'Rate Log'!$D$82))</f>
        <v>0</v>
      </c>
      <c r="Y3881" s="73">
        <f>IF('Rate Log'!$C$82="",0,IF(1+$X3881&gt;0,LN(1+$X3881),0))</f>
        <v>0</v>
      </c>
      <c r="Z3881" s="75">
        <f t="shared" si="1473"/>
        <v>0</v>
      </c>
      <c r="AA3881" s="75">
        <f>IF($U3881="",0,COUNTIFS(rl_key,'Rate Log'!$J$82,$V$3806:$V$4045,$V3881,$U$3806:$U$4045,"&lt;"&amp;$U3881))</f>
        <v>0</v>
      </c>
      <c r="AB3881" s="75">
        <f>IF($U3881="",0,COUNTIFS('Rate Log'!$J$7:$J$82,'Rate Log'!$J$82,$V$3806:$V3881,$V3881,$U$3806:$U3881,$U3881))</f>
        <v>0</v>
      </c>
      <c r="AC3881" s="75">
        <f t="shared" si="1474"/>
        <v>0</v>
      </c>
      <c r="AE3881" s="74" t="str">
        <f>IF('Rate Log'!$C$82="","",IF('Rate Log'!$E$82="planned",EDATE('Rate Log'!$C$82,N(INDEX(sc_shift,4))),'Rate Log'!$C$82))</f>
        <v/>
      </c>
      <c r="AF3881" s="74" t="str">
        <f t="shared" si="1475"/>
        <v/>
      </c>
      <c r="AG3881" s="72">
        <f>IF(N(INDEX(sc_ach,4))=0,IF('Rate Log'!$G$82="",1,'Rate Log'!$G$82),INDEX(sc_ach,4))</f>
        <v>1</v>
      </c>
      <c r="AH3881" s="72">
        <f>IF('Rate Log'!$C$82="",0,IF('Rate Log'!$E$82="planned",('Rate Log'!$D$82+N(INDEX(sc_dpts,4)))*$AG3881,'Rate Log'!$D$82))</f>
        <v>0</v>
      </c>
      <c r="AI3881" s="73">
        <f>IF('Rate Log'!$C$82="",0,IF(1+$AH3881&gt;0,LN(1+$AH3881),0))</f>
        <v>0</v>
      </c>
      <c r="AJ3881" s="75">
        <f t="shared" si="1476"/>
        <v>0</v>
      </c>
      <c r="AK3881" s="75">
        <f>IF($AE3881="",0,COUNTIFS(rl_key,'Rate Log'!$J$82,$AF$3806:$AF$4045,$AF3881,$AE$3806:$AE$4045,"&lt;"&amp;$AE3881))</f>
        <v>0</v>
      </c>
      <c r="AL3881" s="75">
        <f>IF($AE3881="",0,COUNTIFS('Rate Log'!$J$7:$J$82,'Rate Log'!$J$82,$AF$3806:$AF3881,$AF3881,$AE$3806:$AE3881,$AE3881))</f>
        <v>0</v>
      </c>
      <c r="AM3881" s="75">
        <f t="shared" si="1477"/>
        <v>0</v>
      </c>
    </row>
    <row r="3882" spans="1:39" x14ac:dyDescent="0.3">
      <c r="A3882" s="74" t="str">
        <f>IF('Rate Log'!$C$83="","",IF('Rate Log'!$E$83="planned",EDATE('Rate Log'!$C$83,N(INDEX(sc_shift,1))),'Rate Log'!$C$83))</f>
        <v/>
      </c>
      <c r="B3882" s="74" t="str">
        <f t="shared" si="1466"/>
        <v/>
      </c>
      <c r="C3882" s="72">
        <f>IF(N(INDEX(sc_ach,1))=0,IF('Rate Log'!$G$83="",1,'Rate Log'!$G$83),INDEX(sc_ach,1))</f>
        <v>1</v>
      </c>
      <c r="D3882" s="72">
        <f>IF('Rate Log'!$C$83="",0,IF('Rate Log'!$E$83="planned",('Rate Log'!$D$83+N(INDEX(sc_dpts,1)))*$C3882,'Rate Log'!$D$83))</f>
        <v>0</v>
      </c>
      <c r="E3882" s="73">
        <f>IF('Rate Log'!$C$83="",0,IF(1+$D3882&gt;0,LN(1+$D3882),0))</f>
        <v>0</v>
      </c>
      <c r="F3882" s="75">
        <f t="shared" si="1467"/>
        <v>0</v>
      </c>
      <c r="G3882" s="75">
        <f>IF($A3882="",0,COUNTIFS(rl_key,'Rate Log'!$J$83,$B$3806:$B$4045,$B3882,$A$3806:$A$4045,"&lt;"&amp;$A3882))</f>
        <v>0</v>
      </c>
      <c r="H3882" s="75">
        <f>IF($A3882="",0,COUNTIFS('Rate Log'!$J$7:$J$83,'Rate Log'!$J$83,$B$3806:$B3882,$B3882,$A$3806:$A3882,$A3882))</f>
        <v>0</v>
      </c>
      <c r="I3882" s="75">
        <f t="shared" si="1468"/>
        <v>0</v>
      </c>
      <c r="K3882" s="74" t="str">
        <f>IF('Rate Log'!$C$83="","",IF('Rate Log'!$E$83="planned",EDATE('Rate Log'!$C$83,N(INDEX(sc_shift,2))),'Rate Log'!$C$83))</f>
        <v/>
      </c>
      <c r="L3882" s="74" t="str">
        <f t="shared" si="1469"/>
        <v/>
      </c>
      <c r="M3882" s="72">
        <f>IF(N(INDEX(sc_ach,2))=0,IF('Rate Log'!$G$83="",1,'Rate Log'!$G$83),INDEX(sc_ach,2))</f>
        <v>1</v>
      </c>
      <c r="N3882" s="72">
        <f>IF('Rate Log'!$C$83="",0,IF('Rate Log'!$E$83="planned",('Rate Log'!$D$83+N(INDEX(sc_dpts,2)))*$M3882,'Rate Log'!$D$83))</f>
        <v>0</v>
      </c>
      <c r="O3882" s="73">
        <f>IF('Rate Log'!$C$83="",0,IF(1+$N3882&gt;0,LN(1+$N3882),0))</f>
        <v>0</v>
      </c>
      <c r="P3882" s="75">
        <f t="shared" si="1470"/>
        <v>0</v>
      </c>
      <c r="Q3882" s="75">
        <f>IF($K3882="",0,COUNTIFS(rl_key,'Rate Log'!$J$83,$L$3806:$L$4045,$L3882,$K$3806:$K$4045,"&lt;"&amp;$K3882))</f>
        <v>0</v>
      </c>
      <c r="R3882" s="75">
        <f>IF($K3882="",0,COUNTIFS('Rate Log'!$J$7:$J$83,'Rate Log'!$J$83,$L$3806:$L3882,$L3882,$K$3806:$K3882,$K3882))</f>
        <v>0</v>
      </c>
      <c r="S3882" s="75">
        <f t="shared" si="1471"/>
        <v>0</v>
      </c>
      <c r="U3882" s="74" t="str">
        <f>IF('Rate Log'!$C$83="","",IF('Rate Log'!$E$83="planned",EDATE('Rate Log'!$C$83,N(INDEX(sc_shift,3))),'Rate Log'!$C$83))</f>
        <v/>
      </c>
      <c r="V3882" s="74" t="str">
        <f t="shared" si="1472"/>
        <v/>
      </c>
      <c r="W3882" s="72">
        <f>IF(N(INDEX(sc_ach,3))=0,IF('Rate Log'!$G$83="",1,'Rate Log'!$G$83),INDEX(sc_ach,3))</f>
        <v>1</v>
      </c>
      <c r="X3882" s="72">
        <f>IF('Rate Log'!$C$83="",0,IF('Rate Log'!$E$83="planned",('Rate Log'!$D$83+N(INDEX(sc_dpts,3)))*$W3882,'Rate Log'!$D$83))</f>
        <v>0</v>
      </c>
      <c r="Y3882" s="73">
        <f>IF('Rate Log'!$C$83="",0,IF(1+$X3882&gt;0,LN(1+$X3882),0))</f>
        <v>0</v>
      </c>
      <c r="Z3882" s="75">
        <f t="shared" si="1473"/>
        <v>0</v>
      </c>
      <c r="AA3882" s="75">
        <f>IF($U3882="",0,COUNTIFS(rl_key,'Rate Log'!$J$83,$V$3806:$V$4045,$V3882,$U$3806:$U$4045,"&lt;"&amp;$U3882))</f>
        <v>0</v>
      </c>
      <c r="AB3882" s="75">
        <f>IF($U3882="",0,COUNTIFS('Rate Log'!$J$7:$J$83,'Rate Log'!$J$83,$V$3806:$V3882,$V3882,$U$3806:$U3882,$U3882))</f>
        <v>0</v>
      </c>
      <c r="AC3882" s="75">
        <f t="shared" si="1474"/>
        <v>0</v>
      </c>
      <c r="AE3882" s="74" t="str">
        <f>IF('Rate Log'!$C$83="","",IF('Rate Log'!$E$83="planned",EDATE('Rate Log'!$C$83,N(INDEX(sc_shift,4))),'Rate Log'!$C$83))</f>
        <v/>
      </c>
      <c r="AF3882" s="74" t="str">
        <f t="shared" si="1475"/>
        <v/>
      </c>
      <c r="AG3882" s="72">
        <f>IF(N(INDEX(sc_ach,4))=0,IF('Rate Log'!$G$83="",1,'Rate Log'!$G$83),INDEX(sc_ach,4))</f>
        <v>1</v>
      </c>
      <c r="AH3882" s="72">
        <f>IF('Rate Log'!$C$83="",0,IF('Rate Log'!$E$83="planned",('Rate Log'!$D$83+N(INDEX(sc_dpts,4)))*$AG3882,'Rate Log'!$D$83))</f>
        <v>0</v>
      </c>
      <c r="AI3882" s="73">
        <f>IF('Rate Log'!$C$83="",0,IF(1+$AH3882&gt;0,LN(1+$AH3882),0))</f>
        <v>0</v>
      </c>
      <c r="AJ3882" s="75">
        <f t="shared" si="1476"/>
        <v>0</v>
      </c>
      <c r="AK3882" s="75">
        <f>IF($AE3882="",0,COUNTIFS(rl_key,'Rate Log'!$J$83,$AF$3806:$AF$4045,$AF3882,$AE$3806:$AE$4045,"&lt;"&amp;$AE3882))</f>
        <v>0</v>
      </c>
      <c r="AL3882" s="75">
        <f>IF($AE3882="",0,COUNTIFS('Rate Log'!$J$7:$J$83,'Rate Log'!$J$83,$AF$3806:$AF3882,$AF3882,$AE$3806:$AE3882,$AE3882))</f>
        <v>0</v>
      </c>
      <c r="AM3882" s="75">
        <f t="shared" si="1477"/>
        <v>0</v>
      </c>
    </row>
    <row r="3883" spans="1:39" x14ac:dyDescent="0.3">
      <c r="A3883" s="74" t="str">
        <f>IF('Rate Log'!$C$84="","",IF('Rate Log'!$E$84="planned",EDATE('Rate Log'!$C$84,N(INDEX(sc_shift,1))),'Rate Log'!$C$84))</f>
        <v/>
      </c>
      <c r="B3883" s="74" t="str">
        <f t="shared" si="1466"/>
        <v/>
      </c>
      <c r="C3883" s="72">
        <f>IF(N(INDEX(sc_ach,1))=0,IF('Rate Log'!$G$84="",1,'Rate Log'!$G$84),INDEX(sc_ach,1))</f>
        <v>1</v>
      </c>
      <c r="D3883" s="72">
        <f>IF('Rate Log'!$C$84="",0,IF('Rate Log'!$E$84="planned",('Rate Log'!$D$84+N(INDEX(sc_dpts,1)))*$C3883,'Rate Log'!$D$84))</f>
        <v>0</v>
      </c>
      <c r="E3883" s="73">
        <f>IF('Rate Log'!$C$84="",0,IF(1+$D3883&gt;0,LN(1+$D3883),0))</f>
        <v>0</v>
      </c>
      <c r="F3883" s="75">
        <f t="shared" si="1467"/>
        <v>0</v>
      </c>
      <c r="G3883" s="75">
        <f>IF($A3883="",0,COUNTIFS(rl_key,'Rate Log'!$J$84,$B$3806:$B$4045,$B3883,$A$3806:$A$4045,"&lt;"&amp;$A3883))</f>
        <v>0</v>
      </c>
      <c r="H3883" s="75">
        <f>IF($A3883="",0,COUNTIFS('Rate Log'!$J$7:$J$84,'Rate Log'!$J$84,$B$3806:$B3883,$B3883,$A$3806:$A3883,$A3883))</f>
        <v>0</v>
      </c>
      <c r="I3883" s="75">
        <f t="shared" si="1468"/>
        <v>0</v>
      </c>
      <c r="K3883" s="74" t="str">
        <f>IF('Rate Log'!$C$84="","",IF('Rate Log'!$E$84="planned",EDATE('Rate Log'!$C$84,N(INDEX(sc_shift,2))),'Rate Log'!$C$84))</f>
        <v/>
      </c>
      <c r="L3883" s="74" t="str">
        <f t="shared" si="1469"/>
        <v/>
      </c>
      <c r="M3883" s="72">
        <f>IF(N(INDEX(sc_ach,2))=0,IF('Rate Log'!$G$84="",1,'Rate Log'!$G$84),INDEX(sc_ach,2))</f>
        <v>1</v>
      </c>
      <c r="N3883" s="72">
        <f>IF('Rate Log'!$C$84="",0,IF('Rate Log'!$E$84="planned",('Rate Log'!$D$84+N(INDEX(sc_dpts,2)))*$M3883,'Rate Log'!$D$84))</f>
        <v>0</v>
      </c>
      <c r="O3883" s="73">
        <f>IF('Rate Log'!$C$84="",0,IF(1+$N3883&gt;0,LN(1+$N3883),0))</f>
        <v>0</v>
      </c>
      <c r="P3883" s="75">
        <f t="shared" si="1470"/>
        <v>0</v>
      </c>
      <c r="Q3883" s="75">
        <f>IF($K3883="",0,COUNTIFS(rl_key,'Rate Log'!$J$84,$L$3806:$L$4045,$L3883,$K$3806:$K$4045,"&lt;"&amp;$K3883))</f>
        <v>0</v>
      </c>
      <c r="R3883" s="75">
        <f>IF($K3883="",0,COUNTIFS('Rate Log'!$J$7:$J$84,'Rate Log'!$J$84,$L$3806:$L3883,$L3883,$K$3806:$K3883,$K3883))</f>
        <v>0</v>
      </c>
      <c r="S3883" s="75">
        <f t="shared" si="1471"/>
        <v>0</v>
      </c>
      <c r="U3883" s="74" t="str">
        <f>IF('Rate Log'!$C$84="","",IF('Rate Log'!$E$84="planned",EDATE('Rate Log'!$C$84,N(INDEX(sc_shift,3))),'Rate Log'!$C$84))</f>
        <v/>
      </c>
      <c r="V3883" s="74" t="str">
        <f t="shared" si="1472"/>
        <v/>
      </c>
      <c r="W3883" s="72">
        <f>IF(N(INDEX(sc_ach,3))=0,IF('Rate Log'!$G$84="",1,'Rate Log'!$G$84),INDEX(sc_ach,3))</f>
        <v>1</v>
      </c>
      <c r="X3883" s="72">
        <f>IF('Rate Log'!$C$84="",0,IF('Rate Log'!$E$84="planned",('Rate Log'!$D$84+N(INDEX(sc_dpts,3)))*$W3883,'Rate Log'!$D$84))</f>
        <v>0</v>
      </c>
      <c r="Y3883" s="73">
        <f>IF('Rate Log'!$C$84="",0,IF(1+$X3883&gt;0,LN(1+$X3883),0))</f>
        <v>0</v>
      </c>
      <c r="Z3883" s="75">
        <f t="shared" si="1473"/>
        <v>0</v>
      </c>
      <c r="AA3883" s="75">
        <f>IF($U3883="",0,COUNTIFS(rl_key,'Rate Log'!$J$84,$V$3806:$V$4045,$V3883,$U$3806:$U$4045,"&lt;"&amp;$U3883))</f>
        <v>0</v>
      </c>
      <c r="AB3883" s="75">
        <f>IF($U3883="",0,COUNTIFS('Rate Log'!$J$7:$J$84,'Rate Log'!$J$84,$V$3806:$V3883,$V3883,$U$3806:$U3883,$U3883))</f>
        <v>0</v>
      </c>
      <c r="AC3883" s="75">
        <f t="shared" si="1474"/>
        <v>0</v>
      </c>
      <c r="AE3883" s="74" t="str">
        <f>IF('Rate Log'!$C$84="","",IF('Rate Log'!$E$84="planned",EDATE('Rate Log'!$C$84,N(INDEX(sc_shift,4))),'Rate Log'!$C$84))</f>
        <v/>
      </c>
      <c r="AF3883" s="74" t="str">
        <f t="shared" si="1475"/>
        <v/>
      </c>
      <c r="AG3883" s="72">
        <f>IF(N(INDEX(sc_ach,4))=0,IF('Rate Log'!$G$84="",1,'Rate Log'!$G$84),INDEX(sc_ach,4))</f>
        <v>1</v>
      </c>
      <c r="AH3883" s="72">
        <f>IF('Rate Log'!$C$84="",0,IF('Rate Log'!$E$84="planned",('Rate Log'!$D$84+N(INDEX(sc_dpts,4)))*$AG3883,'Rate Log'!$D$84))</f>
        <v>0</v>
      </c>
      <c r="AI3883" s="73">
        <f>IF('Rate Log'!$C$84="",0,IF(1+$AH3883&gt;0,LN(1+$AH3883),0))</f>
        <v>0</v>
      </c>
      <c r="AJ3883" s="75">
        <f t="shared" si="1476"/>
        <v>0</v>
      </c>
      <c r="AK3883" s="75">
        <f>IF($AE3883="",0,COUNTIFS(rl_key,'Rate Log'!$J$84,$AF$3806:$AF$4045,$AF3883,$AE$3806:$AE$4045,"&lt;"&amp;$AE3883))</f>
        <v>0</v>
      </c>
      <c r="AL3883" s="75">
        <f>IF($AE3883="",0,COUNTIFS('Rate Log'!$J$7:$J$84,'Rate Log'!$J$84,$AF$3806:$AF3883,$AF3883,$AE$3806:$AE3883,$AE3883))</f>
        <v>0</v>
      </c>
      <c r="AM3883" s="75">
        <f t="shared" si="1477"/>
        <v>0</v>
      </c>
    </row>
    <row r="3884" spans="1:39" x14ac:dyDescent="0.3">
      <c r="A3884" s="74" t="str">
        <f>IF('Rate Log'!$C$85="","",IF('Rate Log'!$E$85="planned",EDATE('Rate Log'!$C$85,N(INDEX(sc_shift,1))),'Rate Log'!$C$85))</f>
        <v/>
      </c>
      <c r="B3884" s="74" t="str">
        <f t="shared" si="1466"/>
        <v/>
      </c>
      <c r="C3884" s="72">
        <f>IF(N(INDEX(sc_ach,1))=0,IF('Rate Log'!$G$85="",1,'Rate Log'!$G$85),INDEX(sc_ach,1))</f>
        <v>1</v>
      </c>
      <c r="D3884" s="72">
        <f>IF('Rate Log'!$C$85="",0,IF('Rate Log'!$E$85="planned",('Rate Log'!$D$85+N(INDEX(sc_dpts,1)))*$C3884,'Rate Log'!$D$85))</f>
        <v>0</v>
      </c>
      <c r="E3884" s="73">
        <f>IF('Rate Log'!$C$85="",0,IF(1+$D3884&gt;0,LN(1+$D3884),0))</f>
        <v>0</v>
      </c>
      <c r="F3884" s="75">
        <f t="shared" si="1467"/>
        <v>0</v>
      </c>
      <c r="G3884" s="75">
        <f>IF($A3884="",0,COUNTIFS(rl_key,'Rate Log'!$J$85,$B$3806:$B$4045,$B3884,$A$3806:$A$4045,"&lt;"&amp;$A3884))</f>
        <v>0</v>
      </c>
      <c r="H3884" s="75">
        <f>IF($A3884="",0,COUNTIFS('Rate Log'!$J$7:$J$85,'Rate Log'!$J$85,$B$3806:$B3884,$B3884,$A$3806:$A3884,$A3884))</f>
        <v>0</v>
      </c>
      <c r="I3884" s="75">
        <f t="shared" si="1468"/>
        <v>0</v>
      </c>
      <c r="K3884" s="74" t="str">
        <f>IF('Rate Log'!$C$85="","",IF('Rate Log'!$E$85="planned",EDATE('Rate Log'!$C$85,N(INDEX(sc_shift,2))),'Rate Log'!$C$85))</f>
        <v/>
      </c>
      <c r="L3884" s="74" t="str">
        <f t="shared" si="1469"/>
        <v/>
      </c>
      <c r="M3884" s="72">
        <f>IF(N(INDEX(sc_ach,2))=0,IF('Rate Log'!$G$85="",1,'Rate Log'!$G$85),INDEX(sc_ach,2))</f>
        <v>1</v>
      </c>
      <c r="N3884" s="72">
        <f>IF('Rate Log'!$C$85="",0,IF('Rate Log'!$E$85="planned",('Rate Log'!$D$85+N(INDEX(sc_dpts,2)))*$M3884,'Rate Log'!$D$85))</f>
        <v>0</v>
      </c>
      <c r="O3884" s="73">
        <f>IF('Rate Log'!$C$85="",0,IF(1+$N3884&gt;0,LN(1+$N3884),0))</f>
        <v>0</v>
      </c>
      <c r="P3884" s="75">
        <f t="shared" si="1470"/>
        <v>0</v>
      </c>
      <c r="Q3884" s="75">
        <f>IF($K3884="",0,COUNTIFS(rl_key,'Rate Log'!$J$85,$L$3806:$L$4045,$L3884,$K$3806:$K$4045,"&lt;"&amp;$K3884))</f>
        <v>0</v>
      </c>
      <c r="R3884" s="75">
        <f>IF($K3884="",0,COUNTIFS('Rate Log'!$J$7:$J$85,'Rate Log'!$J$85,$L$3806:$L3884,$L3884,$K$3806:$K3884,$K3884))</f>
        <v>0</v>
      </c>
      <c r="S3884" s="75">
        <f t="shared" si="1471"/>
        <v>0</v>
      </c>
      <c r="U3884" s="74" t="str">
        <f>IF('Rate Log'!$C$85="","",IF('Rate Log'!$E$85="planned",EDATE('Rate Log'!$C$85,N(INDEX(sc_shift,3))),'Rate Log'!$C$85))</f>
        <v/>
      </c>
      <c r="V3884" s="74" t="str">
        <f t="shared" si="1472"/>
        <v/>
      </c>
      <c r="W3884" s="72">
        <f>IF(N(INDEX(sc_ach,3))=0,IF('Rate Log'!$G$85="",1,'Rate Log'!$G$85),INDEX(sc_ach,3))</f>
        <v>1</v>
      </c>
      <c r="X3884" s="72">
        <f>IF('Rate Log'!$C$85="",0,IF('Rate Log'!$E$85="planned",('Rate Log'!$D$85+N(INDEX(sc_dpts,3)))*$W3884,'Rate Log'!$D$85))</f>
        <v>0</v>
      </c>
      <c r="Y3884" s="73">
        <f>IF('Rate Log'!$C$85="",0,IF(1+$X3884&gt;0,LN(1+$X3884),0))</f>
        <v>0</v>
      </c>
      <c r="Z3884" s="75">
        <f t="shared" si="1473"/>
        <v>0</v>
      </c>
      <c r="AA3884" s="75">
        <f>IF($U3884="",0,COUNTIFS(rl_key,'Rate Log'!$J$85,$V$3806:$V$4045,$V3884,$U$3806:$U$4045,"&lt;"&amp;$U3884))</f>
        <v>0</v>
      </c>
      <c r="AB3884" s="75">
        <f>IF($U3884="",0,COUNTIFS('Rate Log'!$J$7:$J$85,'Rate Log'!$J$85,$V$3806:$V3884,$V3884,$U$3806:$U3884,$U3884))</f>
        <v>0</v>
      </c>
      <c r="AC3884" s="75">
        <f t="shared" si="1474"/>
        <v>0</v>
      </c>
      <c r="AE3884" s="74" t="str">
        <f>IF('Rate Log'!$C$85="","",IF('Rate Log'!$E$85="planned",EDATE('Rate Log'!$C$85,N(INDEX(sc_shift,4))),'Rate Log'!$C$85))</f>
        <v/>
      </c>
      <c r="AF3884" s="74" t="str">
        <f t="shared" si="1475"/>
        <v/>
      </c>
      <c r="AG3884" s="72">
        <f>IF(N(INDEX(sc_ach,4))=0,IF('Rate Log'!$G$85="",1,'Rate Log'!$G$85),INDEX(sc_ach,4))</f>
        <v>1</v>
      </c>
      <c r="AH3884" s="72">
        <f>IF('Rate Log'!$C$85="",0,IF('Rate Log'!$E$85="planned",('Rate Log'!$D$85+N(INDEX(sc_dpts,4)))*$AG3884,'Rate Log'!$D$85))</f>
        <v>0</v>
      </c>
      <c r="AI3884" s="73">
        <f>IF('Rate Log'!$C$85="",0,IF(1+$AH3884&gt;0,LN(1+$AH3884),0))</f>
        <v>0</v>
      </c>
      <c r="AJ3884" s="75">
        <f t="shared" si="1476"/>
        <v>0</v>
      </c>
      <c r="AK3884" s="75">
        <f>IF($AE3884="",0,COUNTIFS(rl_key,'Rate Log'!$J$85,$AF$3806:$AF$4045,$AF3884,$AE$3806:$AE$4045,"&lt;"&amp;$AE3884))</f>
        <v>0</v>
      </c>
      <c r="AL3884" s="75">
        <f>IF($AE3884="",0,COUNTIFS('Rate Log'!$J$7:$J$85,'Rate Log'!$J$85,$AF$3806:$AF3884,$AF3884,$AE$3806:$AE3884,$AE3884))</f>
        <v>0</v>
      </c>
      <c r="AM3884" s="75">
        <f t="shared" si="1477"/>
        <v>0</v>
      </c>
    </row>
    <row r="3885" spans="1:39" x14ac:dyDescent="0.3">
      <c r="A3885" s="74" t="str">
        <f>IF('Rate Log'!$C$86="","",IF('Rate Log'!$E$86="planned",EDATE('Rate Log'!$C$86,N(INDEX(sc_shift,1))),'Rate Log'!$C$86))</f>
        <v/>
      </c>
      <c r="B3885" s="74" t="str">
        <f t="shared" si="1466"/>
        <v/>
      </c>
      <c r="C3885" s="72">
        <f>IF(N(INDEX(sc_ach,1))=0,IF('Rate Log'!$G$86="",1,'Rate Log'!$G$86),INDEX(sc_ach,1))</f>
        <v>1</v>
      </c>
      <c r="D3885" s="72">
        <f>IF('Rate Log'!$C$86="",0,IF('Rate Log'!$E$86="planned",('Rate Log'!$D$86+N(INDEX(sc_dpts,1)))*$C3885,'Rate Log'!$D$86))</f>
        <v>0</v>
      </c>
      <c r="E3885" s="73">
        <f>IF('Rate Log'!$C$86="",0,IF(1+$D3885&gt;0,LN(1+$D3885),0))</f>
        <v>0</v>
      </c>
      <c r="F3885" s="75">
        <f t="shared" si="1467"/>
        <v>0</v>
      </c>
      <c r="G3885" s="75">
        <f>IF($A3885="",0,COUNTIFS(rl_key,'Rate Log'!$J$86,$B$3806:$B$4045,$B3885,$A$3806:$A$4045,"&lt;"&amp;$A3885))</f>
        <v>0</v>
      </c>
      <c r="H3885" s="75">
        <f>IF($A3885="",0,COUNTIFS('Rate Log'!$J$7:$J$86,'Rate Log'!$J$86,$B$3806:$B3885,$B3885,$A$3806:$A3885,$A3885))</f>
        <v>0</v>
      </c>
      <c r="I3885" s="75">
        <f t="shared" si="1468"/>
        <v>0</v>
      </c>
      <c r="K3885" s="74" t="str">
        <f>IF('Rate Log'!$C$86="","",IF('Rate Log'!$E$86="planned",EDATE('Rate Log'!$C$86,N(INDEX(sc_shift,2))),'Rate Log'!$C$86))</f>
        <v/>
      </c>
      <c r="L3885" s="74" t="str">
        <f t="shared" si="1469"/>
        <v/>
      </c>
      <c r="M3885" s="72">
        <f>IF(N(INDEX(sc_ach,2))=0,IF('Rate Log'!$G$86="",1,'Rate Log'!$G$86),INDEX(sc_ach,2))</f>
        <v>1</v>
      </c>
      <c r="N3885" s="72">
        <f>IF('Rate Log'!$C$86="",0,IF('Rate Log'!$E$86="planned",('Rate Log'!$D$86+N(INDEX(sc_dpts,2)))*$M3885,'Rate Log'!$D$86))</f>
        <v>0</v>
      </c>
      <c r="O3885" s="73">
        <f>IF('Rate Log'!$C$86="",0,IF(1+$N3885&gt;0,LN(1+$N3885),0))</f>
        <v>0</v>
      </c>
      <c r="P3885" s="75">
        <f t="shared" si="1470"/>
        <v>0</v>
      </c>
      <c r="Q3885" s="75">
        <f>IF($K3885="",0,COUNTIFS(rl_key,'Rate Log'!$J$86,$L$3806:$L$4045,$L3885,$K$3806:$K$4045,"&lt;"&amp;$K3885))</f>
        <v>0</v>
      </c>
      <c r="R3885" s="75">
        <f>IF($K3885="",0,COUNTIFS('Rate Log'!$J$7:$J$86,'Rate Log'!$J$86,$L$3806:$L3885,$L3885,$K$3806:$K3885,$K3885))</f>
        <v>0</v>
      </c>
      <c r="S3885" s="75">
        <f t="shared" si="1471"/>
        <v>0</v>
      </c>
      <c r="U3885" s="74" t="str">
        <f>IF('Rate Log'!$C$86="","",IF('Rate Log'!$E$86="planned",EDATE('Rate Log'!$C$86,N(INDEX(sc_shift,3))),'Rate Log'!$C$86))</f>
        <v/>
      </c>
      <c r="V3885" s="74" t="str">
        <f t="shared" si="1472"/>
        <v/>
      </c>
      <c r="W3885" s="72">
        <f>IF(N(INDEX(sc_ach,3))=0,IF('Rate Log'!$G$86="",1,'Rate Log'!$G$86),INDEX(sc_ach,3))</f>
        <v>1</v>
      </c>
      <c r="X3885" s="72">
        <f>IF('Rate Log'!$C$86="",0,IF('Rate Log'!$E$86="planned",('Rate Log'!$D$86+N(INDEX(sc_dpts,3)))*$W3885,'Rate Log'!$D$86))</f>
        <v>0</v>
      </c>
      <c r="Y3885" s="73">
        <f>IF('Rate Log'!$C$86="",0,IF(1+$X3885&gt;0,LN(1+$X3885),0))</f>
        <v>0</v>
      </c>
      <c r="Z3885" s="75">
        <f t="shared" si="1473"/>
        <v>0</v>
      </c>
      <c r="AA3885" s="75">
        <f>IF($U3885="",0,COUNTIFS(rl_key,'Rate Log'!$J$86,$V$3806:$V$4045,$V3885,$U$3806:$U$4045,"&lt;"&amp;$U3885))</f>
        <v>0</v>
      </c>
      <c r="AB3885" s="75">
        <f>IF($U3885="",0,COUNTIFS('Rate Log'!$J$7:$J$86,'Rate Log'!$J$86,$V$3806:$V3885,$V3885,$U$3806:$U3885,$U3885))</f>
        <v>0</v>
      </c>
      <c r="AC3885" s="75">
        <f t="shared" si="1474"/>
        <v>0</v>
      </c>
      <c r="AE3885" s="74" t="str">
        <f>IF('Rate Log'!$C$86="","",IF('Rate Log'!$E$86="planned",EDATE('Rate Log'!$C$86,N(INDEX(sc_shift,4))),'Rate Log'!$C$86))</f>
        <v/>
      </c>
      <c r="AF3885" s="74" t="str">
        <f t="shared" si="1475"/>
        <v/>
      </c>
      <c r="AG3885" s="72">
        <f>IF(N(INDEX(sc_ach,4))=0,IF('Rate Log'!$G$86="",1,'Rate Log'!$G$86),INDEX(sc_ach,4))</f>
        <v>1</v>
      </c>
      <c r="AH3885" s="72">
        <f>IF('Rate Log'!$C$86="",0,IF('Rate Log'!$E$86="planned",('Rate Log'!$D$86+N(INDEX(sc_dpts,4)))*$AG3885,'Rate Log'!$D$86))</f>
        <v>0</v>
      </c>
      <c r="AI3885" s="73">
        <f>IF('Rate Log'!$C$86="",0,IF(1+$AH3885&gt;0,LN(1+$AH3885),0))</f>
        <v>0</v>
      </c>
      <c r="AJ3885" s="75">
        <f t="shared" si="1476"/>
        <v>0</v>
      </c>
      <c r="AK3885" s="75">
        <f>IF($AE3885="",0,COUNTIFS(rl_key,'Rate Log'!$J$86,$AF$3806:$AF$4045,$AF3885,$AE$3806:$AE$4045,"&lt;"&amp;$AE3885))</f>
        <v>0</v>
      </c>
      <c r="AL3885" s="75">
        <f>IF($AE3885="",0,COUNTIFS('Rate Log'!$J$7:$J$86,'Rate Log'!$J$86,$AF$3806:$AF3885,$AF3885,$AE$3806:$AE3885,$AE3885))</f>
        <v>0</v>
      </c>
      <c r="AM3885" s="75">
        <f t="shared" si="1477"/>
        <v>0</v>
      </c>
    </row>
    <row r="3886" spans="1:39" x14ac:dyDescent="0.3">
      <c r="A3886" s="74" t="str">
        <f>IF('Rate Log'!$C$87="","",IF('Rate Log'!$E$87="planned",EDATE('Rate Log'!$C$87,N(INDEX(sc_shift,1))),'Rate Log'!$C$87))</f>
        <v/>
      </c>
      <c r="B3886" s="74" t="str">
        <f t="shared" si="1466"/>
        <v/>
      </c>
      <c r="C3886" s="72">
        <f>IF(N(INDEX(sc_ach,1))=0,IF('Rate Log'!$G$87="",1,'Rate Log'!$G$87),INDEX(sc_ach,1))</f>
        <v>1</v>
      </c>
      <c r="D3886" s="72">
        <f>IF('Rate Log'!$C$87="",0,IF('Rate Log'!$E$87="planned",('Rate Log'!$D$87+N(INDEX(sc_dpts,1)))*$C3886,'Rate Log'!$D$87))</f>
        <v>0</v>
      </c>
      <c r="E3886" s="73">
        <f>IF('Rate Log'!$C$87="",0,IF(1+$D3886&gt;0,LN(1+$D3886),0))</f>
        <v>0</v>
      </c>
      <c r="F3886" s="75">
        <f t="shared" si="1467"/>
        <v>0</v>
      </c>
      <c r="G3886" s="75">
        <f>IF($A3886="",0,COUNTIFS(rl_key,'Rate Log'!$J$87,$B$3806:$B$4045,$B3886,$A$3806:$A$4045,"&lt;"&amp;$A3886))</f>
        <v>0</v>
      </c>
      <c r="H3886" s="75">
        <f>IF($A3886="",0,COUNTIFS('Rate Log'!$J$7:$J$87,'Rate Log'!$J$87,$B$3806:$B3886,$B3886,$A$3806:$A3886,$A3886))</f>
        <v>0</v>
      </c>
      <c r="I3886" s="75">
        <f t="shared" si="1468"/>
        <v>0</v>
      </c>
      <c r="K3886" s="74" t="str">
        <f>IF('Rate Log'!$C$87="","",IF('Rate Log'!$E$87="planned",EDATE('Rate Log'!$C$87,N(INDEX(sc_shift,2))),'Rate Log'!$C$87))</f>
        <v/>
      </c>
      <c r="L3886" s="74" t="str">
        <f t="shared" si="1469"/>
        <v/>
      </c>
      <c r="M3886" s="72">
        <f>IF(N(INDEX(sc_ach,2))=0,IF('Rate Log'!$G$87="",1,'Rate Log'!$G$87),INDEX(sc_ach,2))</f>
        <v>1</v>
      </c>
      <c r="N3886" s="72">
        <f>IF('Rate Log'!$C$87="",0,IF('Rate Log'!$E$87="planned",('Rate Log'!$D$87+N(INDEX(sc_dpts,2)))*$M3886,'Rate Log'!$D$87))</f>
        <v>0</v>
      </c>
      <c r="O3886" s="73">
        <f>IF('Rate Log'!$C$87="",0,IF(1+$N3886&gt;0,LN(1+$N3886),0))</f>
        <v>0</v>
      </c>
      <c r="P3886" s="75">
        <f t="shared" si="1470"/>
        <v>0</v>
      </c>
      <c r="Q3886" s="75">
        <f>IF($K3886="",0,COUNTIFS(rl_key,'Rate Log'!$J$87,$L$3806:$L$4045,$L3886,$K$3806:$K$4045,"&lt;"&amp;$K3886))</f>
        <v>0</v>
      </c>
      <c r="R3886" s="75">
        <f>IF($K3886="",0,COUNTIFS('Rate Log'!$J$7:$J$87,'Rate Log'!$J$87,$L$3806:$L3886,$L3886,$K$3806:$K3886,$K3886))</f>
        <v>0</v>
      </c>
      <c r="S3886" s="75">
        <f t="shared" si="1471"/>
        <v>0</v>
      </c>
      <c r="U3886" s="74" t="str">
        <f>IF('Rate Log'!$C$87="","",IF('Rate Log'!$E$87="planned",EDATE('Rate Log'!$C$87,N(INDEX(sc_shift,3))),'Rate Log'!$C$87))</f>
        <v/>
      </c>
      <c r="V3886" s="74" t="str">
        <f t="shared" si="1472"/>
        <v/>
      </c>
      <c r="W3886" s="72">
        <f>IF(N(INDEX(sc_ach,3))=0,IF('Rate Log'!$G$87="",1,'Rate Log'!$G$87),INDEX(sc_ach,3))</f>
        <v>1</v>
      </c>
      <c r="X3886" s="72">
        <f>IF('Rate Log'!$C$87="",0,IF('Rate Log'!$E$87="planned",('Rate Log'!$D$87+N(INDEX(sc_dpts,3)))*$W3886,'Rate Log'!$D$87))</f>
        <v>0</v>
      </c>
      <c r="Y3886" s="73">
        <f>IF('Rate Log'!$C$87="",0,IF(1+$X3886&gt;0,LN(1+$X3886),0))</f>
        <v>0</v>
      </c>
      <c r="Z3886" s="75">
        <f t="shared" si="1473"/>
        <v>0</v>
      </c>
      <c r="AA3886" s="75">
        <f>IF($U3886="",0,COUNTIFS(rl_key,'Rate Log'!$J$87,$V$3806:$V$4045,$V3886,$U$3806:$U$4045,"&lt;"&amp;$U3886))</f>
        <v>0</v>
      </c>
      <c r="AB3886" s="75">
        <f>IF($U3886="",0,COUNTIFS('Rate Log'!$J$7:$J$87,'Rate Log'!$J$87,$V$3806:$V3886,$V3886,$U$3806:$U3886,$U3886))</f>
        <v>0</v>
      </c>
      <c r="AC3886" s="75">
        <f t="shared" si="1474"/>
        <v>0</v>
      </c>
      <c r="AE3886" s="74" t="str">
        <f>IF('Rate Log'!$C$87="","",IF('Rate Log'!$E$87="planned",EDATE('Rate Log'!$C$87,N(INDEX(sc_shift,4))),'Rate Log'!$C$87))</f>
        <v/>
      </c>
      <c r="AF3886" s="74" t="str">
        <f t="shared" si="1475"/>
        <v/>
      </c>
      <c r="AG3886" s="72">
        <f>IF(N(INDEX(sc_ach,4))=0,IF('Rate Log'!$G$87="",1,'Rate Log'!$G$87),INDEX(sc_ach,4))</f>
        <v>1</v>
      </c>
      <c r="AH3886" s="72">
        <f>IF('Rate Log'!$C$87="",0,IF('Rate Log'!$E$87="planned",('Rate Log'!$D$87+N(INDEX(sc_dpts,4)))*$AG3886,'Rate Log'!$D$87))</f>
        <v>0</v>
      </c>
      <c r="AI3886" s="73">
        <f>IF('Rate Log'!$C$87="",0,IF(1+$AH3886&gt;0,LN(1+$AH3886),0))</f>
        <v>0</v>
      </c>
      <c r="AJ3886" s="75">
        <f t="shared" si="1476"/>
        <v>0</v>
      </c>
      <c r="AK3886" s="75">
        <f>IF($AE3886="",0,COUNTIFS(rl_key,'Rate Log'!$J$87,$AF$3806:$AF$4045,$AF3886,$AE$3806:$AE$4045,"&lt;"&amp;$AE3886))</f>
        <v>0</v>
      </c>
      <c r="AL3886" s="75">
        <f>IF($AE3886="",0,COUNTIFS('Rate Log'!$J$7:$J$87,'Rate Log'!$J$87,$AF$3806:$AF3886,$AF3886,$AE$3806:$AE3886,$AE3886))</f>
        <v>0</v>
      </c>
      <c r="AM3886" s="75">
        <f t="shared" si="1477"/>
        <v>0</v>
      </c>
    </row>
    <row r="3887" spans="1:39" x14ac:dyDescent="0.3">
      <c r="A3887" s="74" t="str">
        <f>IF('Rate Log'!$C$88="","",IF('Rate Log'!$E$88="planned",EDATE('Rate Log'!$C$88,N(INDEX(sc_shift,1))),'Rate Log'!$C$88))</f>
        <v/>
      </c>
      <c r="B3887" s="74" t="str">
        <f t="shared" si="1466"/>
        <v/>
      </c>
      <c r="C3887" s="72">
        <f>IF(N(INDEX(sc_ach,1))=0,IF('Rate Log'!$G$88="",1,'Rate Log'!$G$88),INDEX(sc_ach,1))</f>
        <v>1</v>
      </c>
      <c r="D3887" s="72">
        <f>IF('Rate Log'!$C$88="",0,IF('Rate Log'!$E$88="planned",('Rate Log'!$D$88+N(INDEX(sc_dpts,1)))*$C3887,'Rate Log'!$D$88))</f>
        <v>0</v>
      </c>
      <c r="E3887" s="73">
        <f>IF('Rate Log'!$C$88="",0,IF(1+$D3887&gt;0,LN(1+$D3887),0))</f>
        <v>0</v>
      </c>
      <c r="F3887" s="75">
        <f t="shared" si="1467"/>
        <v>0</v>
      </c>
      <c r="G3887" s="75">
        <f>IF($A3887="",0,COUNTIFS(rl_key,'Rate Log'!$J$88,$B$3806:$B$4045,$B3887,$A$3806:$A$4045,"&lt;"&amp;$A3887))</f>
        <v>0</v>
      </c>
      <c r="H3887" s="75">
        <f>IF($A3887="",0,COUNTIFS('Rate Log'!$J$7:$J$88,'Rate Log'!$J$88,$B$3806:$B3887,$B3887,$A$3806:$A3887,$A3887))</f>
        <v>0</v>
      </c>
      <c r="I3887" s="75">
        <f t="shared" si="1468"/>
        <v>0</v>
      </c>
      <c r="K3887" s="74" t="str">
        <f>IF('Rate Log'!$C$88="","",IF('Rate Log'!$E$88="planned",EDATE('Rate Log'!$C$88,N(INDEX(sc_shift,2))),'Rate Log'!$C$88))</f>
        <v/>
      </c>
      <c r="L3887" s="74" t="str">
        <f t="shared" si="1469"/>
        <v/>
      </c>
      <c r="M3887" s="72">
        <f>IF(N(INDEX(sc_ach,2))=0,IF('Rate Log'!$G$88="",1,'Rate Log'!$G$88),INDEX(sc_ach,2))</f>
        <v>1</v>
      </c>
      <c r="N3887" s="72">
        <f>IF('Rate Log'!$C$88="",0,IF('Rate Log'!$E$88="planned",('Rate Log'!$D$88+N(INDEX(sc_dpts,2)))*$M3887,'Rate Log'!$D$88))</f>
        <v>0</v>
      </c>
      <c r="O3887" s="73">
        <f>IF('Rate Log'!$C$88="",0,IF(1+$N3887&gt;0,LN(1+$N3887),0))</f>
        <v>0</v>
      </c>
      <c r="P3887" s="75">
        <f t="shared" si="1470"/>
        <v>0</v>
      </c>
      <c r="Q3887" s="75">
        <f>IF($K3887="",0,COUNTIFS(rl_key,'Rate Log'!$J$88,$L$3806:$L$4045,$L3887,$K$3806:$K$4045,"&lt;"&amp;$K3887))</f>
        <v>0</v>
      </c>
      <c r="R3887" s="75">
        <f>IF($K3887="",0,COUNTIFS('Rate Log'!$J$7:$J$88,'Rate Log'!$J$88,$L$3806:$L3887,$L3887,$K$3806:$K3887,$K3887))</f>
        <v>0</v>
      </c>
      <c r="S3887" s="75">
        <f t="shared" si="1471"/>
        <v>0</v>
      </c>
      <c r="U3887" s="74" t="str">
        <f>IF('Rate Log'!$C$88="","",IF('Rate Log'!$E$88="planned",EDATE('Rate Log'!$C$88,N(INDEX(sc_shift,3))),'Rate Log'!$C$88))</f>
        <v/>
      </c>
      <c r="V3887" s="74" t="str">
        <f t="shared" si="1472"/>
        <v/>
      </c>
      <c r="W3887" s="72">
        <f>IF(N(INDEX(sc_ach,3))=0,IF('Rate Log'!$G$88="",1,'Rate Log'!$G$88),INDEX(sc_ach,3))</f>
        <v>1</v>
      </c>
      <c r="X3887" s="72">
        <f>IF('Rate Log'!$C$88="",0,IF('Rate Log'!$E$88="planned",('Rate Log'!$D$88+N(INDEX(sc_dpts,3)))*$W3887,'Rate Log'!$D$88))</f>
        <v>0</v>
      </c>
      <c r="Y3887" s="73">
        <f>IF('Rate Log'!$C$88="",0,IF(1+$X3887&gt;0,LN(1+$X3887),0))</f>
        <v>0</v>
      </c>
      <c r="Z3887" s="75">
        <f t="shared" si="1473"/>
        <v>0</v>
      </c>
      <c r="AA3887" s="75">
        <f>IF($U3887="",0,COUNTIFS(rl_key,'Rate Log'!$J$88,$V$3806:$V$4045,$V3887,$U$3806:$U$4045,"&lt;"&amp;$U3887))</f>
        <v>0</v>
      </c>
      <c r="AB3887" s="75">
        <f>IF($U3887="",0,COUNTIFS('Rate Log'!$J$7:$J$88,'Rate Log'!$J$88,$V$3806:$V3887,$V3887,$U$3806:$U3887,$U3887))</f>
        <v>0</v>
      </c>
      <c r="AC3887" s="75">
        <f t="shared" si="1474"/>
        <v>0</v>
      </c>
      <c r="AE3887" s="74" t="str">
        <f>IF('Rate Log'!$C$88="","",IF('Rate Log'!$E$88="planned",EDATE('Rate Log'!$C$88,N(INDEX(sc_shift,4))),'Rate Log'!$C$88))</f>
        <v/>
      </c>
      <c r="AF3887" s="74" t="str">
        <f t="shared" si="1475"/>
        <v/>
      </c>
      <c r="AG3887" s="72">
        <f>IF(N(INDEX(sc_ach,4))=0,IF('Rate Log'!$G$88="",1,'Rate Log'!$G$88),INDEX(sc_ach,4))</f>
        <v>1</v>
      </c>
      <c r="AH3887" s="72">
        <f>IF('Rate Log'!$C$88="",0,IF('Rate Log'!$E$88="planned",('Rate Log'!$D$88+N(INDEX(sc_dpts,4)))*$AG3887,'Rate Log'!$D$88))</f>
        <v>0</v>
      </c>
      <c r="AI3887" s="73">
        <f>IF('Rate Log'!$C$88="",0,IF(1+$AH3887&gt;0,LN(1+$AH3887),0))</f>
        <v>0</v>
      </c>
      <c r="AJ3887" s="75">
        <f t="shared" si="1476"/>
        <v>0</v>
      </c>
      <c r="AK3887" s="75">
        <f>IF($AE3887="",0,COUNTIFS(rl_key,'Rate Log'!$J$88,$AF$3806:$AF$4045,$AF3887,$AE$3806:$AE$4045,"&lt;"&amp;$AE3887))</f>
        <v>0</v>
      </c>
      <c r="AL3887" s="75">
        <f>IF($AE3887="",0,COUNTIFS('Rate Log'!$J$7:$J$88,'Rate Log'!$J$88,$AF$3806:$AF3887,$AF3887,$AE$3806:$AE3887,$AE3887))</f>
        <v>0</v>
      </c>
      <c r="AM3887" s="75">
        <f t="shared" si="1477"/>
        <v>0</v>
      </c>
    </row>
    <row r="3888" spans="1:39" x14ac:dyDescent="0.3">
      <c r="A3888" s="74" t="str">
        <f>IF('Rate Log'!$C$89="","",IF('Rate Log'!$E$89="planned",EDATE('Rate Log'!$C$89,N(INDEX(sc_shift,1))),'Rate Log'!$C$89))</f>
        <v/>
      </c>
      <c r="B3888" s="74" t="str">
        <f t="shared" si="1466"/>
        <v/>
      </c>
      <c r="C3888" s="72">
        <f>IF(N(INDEX(sc_ach,1))=0,IF('Rate Log'!$G$89="",1,'Rate Log'!$G$89),INDEX(sc_ach,1))</f>
        <v>1</v>
      </c>
      <c r="D3888" s="72">
        <f>IF('Rate Log'!$C$89="",0,IF('Rate Log'!$E$89="planned",('Rate Log'!$D$89+N(INDEX(sc_dpts,1)))*$C3888,'Rate Log'!$D$89))</f>
        <v>0</v>
      </c>
      <c r="E3888" s="73">
        <f>IF('Rate Log'!$C$89="",0,IF(1+$D3888&gt;0,LN(1+$D3888),0))</f>
        <v>0</v>
      </c>
      <c r="F3888" s="75">
        <f t="shared" si="1467"/>
        <v>0</v>
      </c>
      <c r="G3888" s="75">
        <f>IF($A3888="",0,COUNTIFS(rl_key,'Rate Log'!$J$89,$B$3806:$B$4045,$B3888,$A$3806:$A$4045,"&lt;"&amp;$A3888))</f>
        <v>0</v>
      </c>
      <c r="H3888" s="75">
        <f>IF($A3888="",0,COUNTIFS('Rate Log'!$J$7:$J$89,'Rate Log'!$J$89,$B$3806:$B3888,$B3888,$A$3806:$A3888,$A3888))</f>
        <v>0</v>
      </c>
      <c r="I3888" s="75">
        <f t="shared" si="1468"/>
        <v>0</v>
      </c>
      <c r="K3888" s="74" t="str">
        <f>IF('Rate Log'!$C$89="","",IF('Rate Log'!$E$89="planned",EDATE('Rate Log'!$C$89,N(INDEX(sc_shift,2))),'Rate Log'!$C$89))</f>
        <v/>
      </c>
      <c r="L3888" s="74" t="str">
        <f t="shared" si="1469"/>
        <v/>
      </c>
      <c r="M3888" s="72">
        <f>IF(N(INDEX(sc_ach,2))=0,IF('Rate Log'!$G$89="",1,'Rate Log'!$G$89),INDEX(sc_ach,2))</f>
        <v>1</v>
      </c>
      <c r="N3888" s="72">
        <f>IF('Rate Log'!$C$89="",0,IF('Rate Log'!$E$89="planned",('Rate Log'!$D$89+N(INDEX(sc_dpts,2)))*$M3888,'Rate Log'!$D$89))</f>
        <v>0</v>
      </c>
      <c r="O3888" s="73">
        <f>IF('Rate Log'!$C$89="",0,IF(1+$N3888&gt;0,LN(1+$N3888),0))</f>
        <v>0</v>
      </c>
      <c r="P3888" s="75">
        <f t="shared" si="1470"/>
        <v>0</v>
      </c>
      <c r="Q3888" s="75">
        <f>IF($K3888="",0,COUNTIFS(rl_key,'Rate Log'!$J$89,$L$3806:$L$4045,$L3888,$K$3806:$K$4045,"&lt;"&amp;$K3888))</f>
        <v>0</v>
      </c>
      <c r="R3888" s="75">
        <f>IF($K3888="",0,COUNTIFS('Rate Log'!$J$7:$J$89,'Rate Log'!$J$89,$L$3806:$L3888,$L3888,$K$3806:$K3888,$K3888))</f>
        <v>0</v>
      </c>
      <c r="S3888" s="75">
        <f t="shared" si="1471"/>
        <v>0</v>
      </c>
      <c r="U3888" s="74" t="str">
        <f>IF('Rate Log'!$C$89="","",IF('Rate Log'!$E$89="planned",EDATE('Rate Log'!$C$89,N(INDEX(sc_shift,3))),'Rate Log'!$C$89))</f>
        <v/>
      </c>
      <c r="V3888" s="74" t="str">
        <f t="shared" si="1472"/>
        <v/>
      </c>
      <c r="W3888" s="72">
        <f>IF(N(INDEX(sc_ach,3))=0,IF('Rate Log'!$G$89="",1,'Rate Log'!$G$89),INDEX(sc_ach,3))</f>
        <v>1</v>
      </c>
      <c r="X3888" s="72">
        <f>IF('Rate Log'!$C$89="",0,IF('Rate Log'!$E$89="planned",('Rate Log'!$D$89+N(INDEX(sc_dpts,3)))*$W3888,'Rate Log'!$D$89))</f>
        <v>0</v>
      </c>
      <c r="Y3888" s="73">
        <f>IF('Rate Log'!$C$89="",0,IF(1+$X3888&gt;0,LN(1+$X3888),0))</f>
        <v>0</v>
      </c>
      <c r="Z3888" s="75">
        <f t="shared" si="1473"/>
        <v>0</v>
      </c>
      <c r="AA3888" s="75">
        <f>IF($U3888="",0,COUNTIFS(rl_key,'Rate Log'!$J$89,$V$3806:$V$4045,$V3888,$U$3806:$U$4045,"&lt;"&amp;$U3888))</f>
        <v>0</v>
      </c>
      <c r="AB3888" s="75">
        <f>IF($U3888="",0,COUNTIFS('Rate Log'!$J$7:$J$89,'Rate Log'!$J$89,$V$3806:$V3888,$V3888,$U$3806:$U3888,$U3888))</f>
        <v>0</v>
      </c>
      <c r="AC3888" s="75">
        <f t="shared" si="1474"/>
        <v>0</v>
      </c>
      <c r="AE3888" s="74" t="str">
        <f>IF('Rate Log'!$C$89="","",IF('Rate Log'!$E$89="planned",EDATE('Rate Log'!$C$89,N(INDEX(sc_shift,4))),'Rate Log'!$C$89))</f>
        <v/>
      </c>
      <c r="AF3888" s="74" t="str">
        <f t="shared" si="1475"/>
        <v/>
      </c>
      <c r="AG3888" s="72">
        <f>IF(N(INDEX(sc_ach,4))=0,IF('Rate Log'!$G$89="",1,'Rate Log'!$G$89),INDEX(sc_ach,4))</f>
        <v>1</v>
      </c>
      <c r="AH3888" s="72">
        <f>IF('Rate Log'!$C$89="",0,IF('Rate Log'!$E$89="planned",('Rate Log'!$D$89+N(INDEX(sc_dpts,4)))*$AG3888,'Rate Log'!$D$89))</f>
        <v>0</v>
      </c>
      <c r="AI3888" s="73">
        <f>IF('Rate Log'!$C$89="",0,IF(1+$AH3888&gt;0,LN(1+$AH3888),0))</f>
        <v>0</v>
      </c>
      <c r="AJ3888" s="75">
        <f t="shared" si="1476"/>
        <v>0</v>
      </c>
      <c r="AK3888" s="75">
        <f>IF($AE3888="",0,COUNTIFS(rl_key,'Rate Log'!$J$89,$AF$3806:$AF$4045,$AF3888,$AE$3806:$AE$4045,"&lt;"&amp;$AE3888))</f>
        <v>0</v>
      </c>
      <c r="AL3888" s="75">
        <f>IF($AE3888="",0,COUNTIFS('Rate Log'!$J$7:$J$89,'Rate Log'!$J$89,$AF$3806:$AF3888,$AF3888,$AE$3806:$AE3888,$AE3888))</f>
        <v>0</v>
      </c>
      <c r="AM3888" s="75">
        <f t="shared" si="1477"/>
        <v>0</v>
      </c>
    </row>
    <row r="3889" spans="1:39" x14ac:dyDescent="0.3">
      <c r="A3889" s="74" t="str">
        <f>IF('Rate Log'!$C$90="","",IF('Rate Log'!$E$90="planned",EDATE('Rate Log'!$C$90,N(INDEX(sc_shift,1))),'Rate Log'!$C$90))</f>
        <v/>
      </c>
      <c r="B3889" s="74" t="str">
        <f t="shared" si="1466"/>
        <v/>
      </c>
      <c r="C3889" s="72">
        <f>IF(N(INDEX(sc_ach,1))=0,IF('Rate Log'!$G$90="",1,'Rate Log'!$G$90),INDEX(sc_ach,1))</f>
        <v>1</v>
      </c>
      <c r="D3889" s="72">
        <f>IF('Rate Log'!$C$90="",0,IF('Rate Log'!$E$90="planned",('Rate Log'!$D$90+N(INDEX(sc_dpts,1)))*$C3889,'Rate Log'!$D$90))</f>
        <v>0</v>
      </c>
      <c r="E3889" s="73">
        <f>IF('Rate Log'!$C$90="",0,IF(1+$D3889&gt;0,LN(1+$D3889),0))</f>
        <v>0</v>
      </c>
      <c r="F3889" s="75">
        <f t="shared" si="1467"/>
        <v>0</v>
      </c>
      <c r="G3889" s="75">
        <f>IF($A3889="",0,COUNTIFS(rl_key,'Rate Log'!$J$90,$B$3806:$B$4045,$B3889,$A$3806:$A$4045,"&lt;"&amp;$A3889))</f>
        <v>0</v>
      </c>
      <c r="H3889" s="75">
        <f>IF($A3889="",0,COUNTIFS('Rate Log'!$J$7:$J$90,'Rate Log'!$J$90,$B$3806:$B3889,$B3889,$A$3806:$A3889,$A3889))</f>
        <v>0</v>
      </c>
      <c r="I3889" s="75">
        <f t="shared" si="1468"/>
        <v>0</v>
      </c>
      <c r="K3889" s="74" t="str">
        <f>IF('Rate Log'!$C$90="","",IF('Rate Log'!$E$90="planned",EDATE('Rate Log'!$C$90,N(INDEX(sc_shift,2))),'Rate Log'!$C$90))</f>
        <v/>
      </c>
      <c r="L3889" s="74" t="str">
        <f t="shared" si="1469"/>
        <v/>
      </c>
      <c r="M3889" s="72">
        <f>IF(N(INDEX(sc_ach,2))=0,IF('Rate Log'!$G$90="",1,'Rate Log'!$G$90),INDEX(sc_ach,2))</f>
        <v>1</v>
      </c>
      <c r="N3889" s="72">
        <f>IF('Rate Log'!$C$90="",0,IF('Rate Log'!$E$90="planned",('Rate Log'!$D$90+N(INDEX(sc_dpts,2)))*$M3889,'Rate Log'!$D$90))</f>
        <v>0</v>
      </c>
      <c r="O3889" s="73">
        <f>IF('Rate Log'!$C$90="",0,IF(1+$N3889&gt;0,LN(1+$N3889),0))</f>
        <v>0</v>
      </c>
      <c r="P3889" s="75">
        <f t="shared" si="1470"/>
        <v>0</v>
      </c>
      <c r="Q3889" s="75">
        <f>IF($K3889="",0,COUNTIFS(rl_key,'Rate Log'!$J$90,$L$3806:$L$4045,$L3889,$K$3806:$K$4045,"&lt;"&amp;$K3889))</f>
        <v>0</v>
      </c>
      <c r="R3889" s="75">
        <f>IF($K3889="",0,COUNTIFS('Rate Log'!$J$7:$J$90,'Rate Log'!$J$90,$L$3806:$L3889,$L3889,$K$3806:$K3889,$K3889))</f>
        <v>0</v>
      </c>
      <c r="S3889" s="75">
        <f t="shared" si="1471"/>
        <v>0</v>
      </c>
      <c r="U3889" s="74" t="str">
        <f>IF('Rate Log'!$C$90="","",IF('Rate Log'!$E$90="planned",EDATE('Rate Log'!$C$90,N(INDEX(sc_shift,3))),'Rate Log'!$C$90))</f>
        <v/>
      </c>
      <c r="V3889" s="74" t="str">
        <f t="shared" si="1472"/>
        <v/>
      </c>
      <c r="W3889" s="72">
        <f>IF(N(INDEX(sc_ach,3))=0,IF('Rate Log'!$G$90="",1,'Rate Log'!$G$90),INDEX(sc_ach,3))</f>
        <v>1</v>
      </c>
      <c r="X3889" s="72">
        <f>IF('Rate Log'!$C$90="",0,IF('Rate Log'!$E$90="planned",('Rate Log'!$D$90+N(INDEX(sc_dpts,3)))*$W3889,'Rate Log'!$D$90))</f>
        <v>0</v>
      </c>
      <c r="Y3889" s="73">
        <f>IF('Rate Log'!$C$90="",0,IF(1+$X3889&gt;0,LN(1+$X3889),0))</f>
        <v>0</v>
      </c>
      <c r="Z3889" s="75">
        <f t="shared" si="1473"/>
        <v>0</v>
      </c>
      <c r="AA3889" s="75">
        <f>IF($U3889="",0,COUNTIFS(rl_key,'Rate Log'!$J$90,$V$3806:$V$4045,$V3889,$U$3806:$U$4045,"&lt;"&amp;$U3889))</f>
        <v>0</v>
      </c>
      <c r="AB3889" s="75">
        <f>IF($U3889="",0,COUNTIFS('Rate Log'!$J$7:$J$90,'Rate Log'!$J$90,$V$3806:$V3889,$V3889,$U$3806:$U3889,$U3889))</f>
        <v>0</v>
      </c>
      <c r="AC3889" s="75">
        <f t="shared" si="1474"/>
        <v>0</v>
      </c>
      <c r="AE3889" s="74" t="str">
        <f>IF('Rate Log'!$C$90="","",IF('Rate Log'!$E$90="planned",EDATE('Rate Log'!$C$90,N(INDEX(sc_shift,4))),'Rate Log'!$C$90))</f>
        <v/>
      </c>
      <c r="AF3889" s="74" t="str">
        <f t="shared" si="1475"/>
        <v/>
      </c>
      <c r="AG3889" s="72">
        <f>IF(N(INDEX(sc_ach,4))=0,IF('Rate Log'!$G$90="",1,'Rate Log'!$G$90),INDEX(sc_ach,4))</f>
        <v>1</v>
      </c>
      <c r="AH3889" s="72">
        <f>IF('Rate Log'!$C$90="",0,IF('Rate Log'!$E$90="planned",('Rate Log'!$D$90+N(INDEX(sc_dpts,4)))*$AG3889,'Rate Log'!$D$90))</f>
        <v>0</v>
      </c>
      <c r="AI3889" s="73">
        <f>IF('Rate Log'!$C$90="",0,IF(1+$AH3889&gt;0,LN(1+$AH3889),0))</f>
        <v>0</v>
      </c>
      <c r="AJ3889" s="75">
        <f t="shared" si="1476"/>
        <v>0</v>
      </c>
      <c r="AK3889" s="75">
        <f>IF($AE3889="",0,COUNTIFS(rl_key,'Rate Log'!$J$90,$AF$3806:$AF$4045,$AF3889,$AE$3806:$AE$4045,"&lt;"&amp;$AE3889))</f>
        <v>0</v>
      </c>
      <c r="AL3889" s="75">
        <f>IF($AE3889="",0,COUNTIFS('Rate Log'!$J$7:$J$90,'Rate Log'!$J$90,$AF$3806:$AF3889,$AF3889,$AE$3806:$AE3889,$AE3889))</f>
        <v>0</v>
      </c>
      <c r="AM3889" s="75">
        <f t="shared" si="1477"/>
        <v>0</v>
      </c>
    </row>
    <row r="3890" spans="1:39" x14ac:dyDescent="0.3">
      <c r="A3890" s="74" t="str">
        <f>IF('Rate Log'!$C$91="","",IF('Rate Log'!$E$91="planned",EDATE('Rate Log'!$C$91,N(INDEX(sc_shift,1))),'Rate Log'!$C$91))</f>
        <v/>
      </c>
      <c r="B3890" s="74" t="str">
        <f t="shared" si="1466"/>
        <v/>
      </c>
      <c r="C3890" s="72">
        <f>IF(N(INDEX(sc_ach,1))=0,IF('Rate Log'!$G$91="",1,'Rate Log'!$G$91),INDEX(sc_ach,1))</f>
        <v>1</v>
      </c>
      <c r="D3890" s="72">
        <f>IF('Rate Log'!$C$91="",0,IF('Rate Log'!$E$91="planned",('Rate Log'!$D$91+N(INDEX(sc_dpts,1)))*$C3890,'Rate Log'!$D$91))</f>
        <v>0</v>
      </c>
      <c r="E3890" s="73">
        <f>IF('Rate Log'!$C$91="",0,IF(1+$D3890&gt;0,LN(1+$D3890),0))</f>
        <v>0</v>
      </c>
      <c r="F3890" s="75">
        <f t="shared" si="1467"/>
        <v>0</v>
      </c>
      <c r="G3890" s="75">
        <f>IF($A3890="",0,COUNTIFS(rl_key,'Rate Log'!$J$91,$B$3806:$B$4045,$B3890,$A$3806:$A$4045,"&lt;"&amp;$A3890))</f>
        <v>0</v>
      </c>
      <c r="H3890" s="75">
        <f>IF($A3890="",0,COUNTIFS('Rate Log'!$J$7:$J$91,'Rate Log'!$J$91,$B$3806:$B3890,$B3890,$A$3806:$A3890,$A3890))</f>
        <v>0</v>
      </c>
      <c r="I3890" s="75">
        <f t="shared" si="1468"/>
        <v>0</v>
      </c>
      <c r="K3890" s="74" t="str">
        <f>IF('Rate Log'!$C$91="","",IF('Rate Log'!$E$91="planned",EDATE('Rate Log'!$C$91,N(INDEX(sc_shift,2))),'Rate Log'!$C$91))</f>
        <v/>
      </c>
      <c r="L3890" s="74" t="str">
        <f t="shared" si="1469"/>
        <v/>
      </c>
      <c r="M3890" s="72">
        <f>IF(N(INDEX(sc_ach,2))=0,IF('Rate Log'!$G$91="",1,'Rate Log'!$G$91),INDEX(sc_ach,2))</f>
        <v>1</v>
      </c>
      <c r="N3890" s="72">
        <f>IF('Rate Log'!$C$91="",0,IF('Rate Log'!$E$91="planned",('Rate Log'!$D$91+N(INDEX(sc_dpts,2)))*$M3890,'Rate Log'!$D$91))</f>
        <v>0</v>
      </c>
      <c r="O3890" s="73">
        <f>IF('Rate Log'!$C$91="",0,IF(1+$N3890&gt;0,LN(1+$N3890),0))</f>
        <v>0</v>
      </c>
      <c r="P3890" s="75">
        <f t="shared" si="1470"/>
        <v>0</v>
      </c>
      <c r="Q3890" s="75">
        <f>IF($K3890="",0,COUNTIFS(rl_key,'Rate Log'!$J$91,$L$3806:$L$4045,$L3890,$K$3806:$K$4045,"&lt;"&amp;$K3890))</f>
        <v>0</v>
      </c>
      <c r="R3890" s="75">
        <f>IF($K3890="",0,COUNTIFS('Rate Log'!$J$7:$J$91,'Rate Log'!$J$91,$L$3806:$L3890,$L3890,$K$3806:$K3890,$K3890))</f>
        <v>0</v>
      </c>
      <c r="S3890" s="75">
        <f t="shared" si="1471"/>
        <v>0</v>
      </c>
      <c r="U3890" s="74" t="str">
        <f>IF('Rate Log'!$C$91="","",IF('Rate Log'!$E$91="planned",EDATE('Rate Log'!$C$91,N(INDEX(sc_shift,3))),'Rate Log'!$C$91))</f>
        <v/>
      </c>
      <c r="V3890" s="74" t="str">
        <f t="shared" si="1472"/>
        <v/>
      </c>
      <c r="W3890" s="72">
        <f>IF(N(INDEX(sc_ach,3))=0,IF('Rate Log'!$G$91="",1,'Rate Log'!$G$91),INDEX(sc_ach,3))</f>
        <v>1</v>
      </c>
      <c r="X3890" s="72">
        <f>IF('Rate Log'!$C$91="",0,IF('Rate Log'!$E$91="planned",('Rate Log'!$D$91+N(INDEX(sc_dpts,3)))*$W3890,'Rate Log'!$D$91))</f>
        <v>0</v>
      </c>
      <c r="Y3890" s="73">
        <f>IF('Rate Log'!$C$91="",0,IF(1+$X3890&gt;0,LN(1+$X3890),0))</f>
        <v>0</v>
      </c>
      <c r="Z3890" s="75">
        <f t="shared" si="1473"/>
        <v>0</v>
      </c>
      <c r="AA3890" s="75">
        <f>IF($U3890="",0,COUNTIFS(rl_key,'Rate Log'!$J$91,$V$3806:$V$4045,$V3890,$U$3806:$U$4045,"&lt;"&amp;$U3890))</f>
        <v>0</v>
      </c>
      <c r="AB3890" s="75">
        <f>IF($U3890="",0,COUNTIFS('Rate Log'!$J$7:$J$91,'Rate Log'!$J$91,$V$3806:$V3890,$V3890,$U$3806:$U3890,$U3890))</f>
        <v>0</v>
      </c>
      <c r="AC3890" s="75">
        <f t="shared" si="1474"/>
        <v>0</v>
      </c>
      <c r="AE3890" s="74" t="str">
        <f>IF('Rate Log'!$C$91="","",IF('Rate Log'!$E$91="planned",EDATE('Rate Log'!$C$91,N(INDEX(sc_shift,4))),'Rate Log'!$C$91))</f>
        <v/>
      </c>
      <c r="AF3890" s="74" t="str">
        <f t="shared" si="1475"/>
        <v/>
      </c>
      <c r="AG3890" s="72">
        <f>IF(N(INDEX(sc_ach,4))=0,IF('Rate Log'!$G$91="",1,'Rate Log'!$G$91),INDEX(sc_ach,4))</f>
        <v>1</v>
      </c>
      <c r="AH3890" s="72">
        <f>IF('Rate Log'!$C$91="",0,IF('Rate Log'!$E$91="planned",('Rate Log'!$D$91+N(INDEX(sc_dpts,4)))*$AG3890,'Rate Log'!$D$91))</f>
        <v>0</v>
      </c>
      <c r="AI3890" s="73">
        <f>IF('Rate Log'!$C$91="",0,IF(1+$AH3890&gt;0,LN(1+$AH3890),0))</f>
        <v>0</v>
      </c>
      <c r="AJ3890" s="75">
        <f t="shared" si="1476"/>
        <v>0</v>
      </c>
      <c r="AK3890" s="75">
        <f>IF($AE3890="",0,COUNTIFS(rl_key,'Rate Log'!$J$91,$AF$3806:$AF$4045,$AF3890,$AE$3806:$AE$4045,"&lt;"&amp;$AE3890))</f>
        <v>0</v>
      </c>
      <c r="AL3890" s="75">
        <f>IF($AE3890="",0,COUNTIFS('Rate Log'!$J$7:$J$91,'Rate Log'!$J$91,$AF$3806:$AF3890,$AF3890,$AE$3806:$AE3890,$AE3890))</f>
        <v>0</v>
      </c>
      <c r="AM3890" s="75">
        <f t="shared" si="1477"/>
        <v>0</v>
      </c>
    </row>
    <row r="3891" spans="1:39" x14ac:dyDescent="0.3">
      <c r="A3891" s="74" t="str">
        <f>IF('Rate Log'!$C$92="","",IF('Rate Log'!$E$92="planned",EDATE('Rate Log'!$C$92,N(INDEX(sc_shift,1))),'Rate Log'!$C$92))</f>
        <v/>
      </c>
      <c r="B3891" s="74" t="str">
        <f t="shared" si="1466"/>
        <v/>
      </c>
      <c r="C3891" s="72">
        <f>IF(N(INDEX(sc_ach,1))=0,IF('Rate Log'!$G$92="",1,'Rate Log'!$G$92),INDEX(sc_ach,1))</f>
        <v>1</v>
      </c>
      <c r="D3891" s="72">
        <f>IF('Rate Log'!$C$92="",0,IF('Rate Log'!$E$92="planned",('Rate Log'!$D$92+N(INDEX(sc_dpts,1)))*$C3891,'Rate Log'!$D$92))</f>
        <v>0</v>
      </c>
      <c r="E3891" s="73">
        <f>IF('Rate Log'!$C$92="",0,IF(1+$D3891&gt;0,LN(1+$D3891),0))</f>
        <v>0</v>
      </c>
      <c r="F3891" s="75">
        <f t="shared" si="1467"/>
        <v>0</v>
      </c>
      <c r="G3891" s="75">
        <f>IF($A3891="",0,COUNTIFS(rl_key,'Rate Log'!$J$92,$B$3806:$B$4045,$B3891,$A$3806:$A$4045,"&lt;"&amp;$A3891))</f>
        <v>0</v>
      </c>
      <c r="H3891" s="75">
        <f>IF($A3891="",0,COUNTIFS('Rate Log'!$J$7:$J$92,'Rate Log'!$J$92,$B$3806:$B3891,$B3891,$A$3806:$A3891,$A3891))</f>
        <v>0</v>
      </c>
      <c r="I3891" s="75">
        <f t="shared" si="1468"/>
        <v>0</v>
      </c>
      <c r="K3891" s="74" t="str">
        <f>IF('Rate Log'!$C$92="","",IF('Rate Log'!$E$92="planned",EDATE('Rate Log'!$C$92,N(INDEX(sc_shift,2))),'Rate Log'!$C$92))</f>
        <v/>
      </c>
      <c r="L3891" s="74" t="str">
        <f t="shared" si="1469"/>
        <v/>
      </c>
      <c r="M3891" s="72">
        <f>IF(N(INDEX(sc_ach,2))=0,IF('Rate Log'!$G$92="",1,'Rate Log'!$G$92),INDEX(sc_ach,2))</f>
        <v>1</v>
      </c>
      <c r="N3891" s="72">
        <f>IF('Rate Log'!$C$92="",0,IF('Rate Log'!$E$92="planned",('Rate Log'!$D$92+N(INDEX(sc_dpts,2)))*$M3891,'Rate Log'!$D$92))</f>
        <v>0</v>
      </c>
      <c r="O3891" s="73">
        <f>IF('Rate Log'!$C$92="",0,IF(1+$N3891&gt;0,LN(1+$N3891),0))</f>
        <v>0</v>
      </c>
      <c r="P3891" s="75">
        <f t="shared" si="1470"/>
        <v>0</v>
      </c>
      <c r="Q3891" s="75">
        <f>IF($K3891="",0,COUNTIFS(rl_key,'Rate Log'!$J$92,$L$3806:$L$4045,$L3891,$K$3806:$K$4045,"&lt;"&amp;$K3891))</f>
        <v>0</v>
      </c>
      <c r="R3891" s="75">
        <f>IF($K3891="",0,COUNTIFS('Rate Log'!$J$7:$J$92,'Rate Log'!$J$92,$L$3806:$L3891,$L3891,$K$3806:$K3891,$K3891))</f>
        <v>0</v>
      </c>
      <c r="S3891" s="75">
        <f t="shared" si="1471"/>
        <v>0</v>
      </c>
      <c r="U3891" s="74" t="str">
        <f>IF('Rate Log'!$C$92="","",IF('Rate Log'!$E$92="planned",EDATE('Rate Log'!$C$92,N(INDEX(sc_shift,3))),'Rate Log'!$C$92))</f>
        <v/>
      </c>
      <c r="V3891" s="74" t="str">
        <f t="shared" si="1472"/>
        <v/>
      </c>
      <c r="W3891" s="72">
        <f>IF(N(INDEX(sc_ach,3))=0,IF('Rate Log'!$G$92="",1,'Rate Log'!$G$92),INDEX(sc_ach,3))</f>
        <v>1</v>
      </c>
      <c r="X3891" s="72">
        <f>IF('Rate Log'!$C$92="",0,IF('Rate Log'!$E$92="planned",('Rate Log'!$D$92+N(INDEX(sc_dpts,3)))*$W3891,'Rate Log'!$D$92))</f>
        <v>0</v>
      </c>
      <c r="Y3891" s="73">
        <f>IF('Rate Log'!$C$92="",0,IF(1+$X3891&gt;0,LN(1+$X3891),0))</f>
        <v>0</v>
      </c>
      <c r="Z3891" s="75">
        <f t="shared" si="1473"/>
        <v>0</v>
      </c>
      <c r="AA3891" s="75">
        <f>IF($U3891="",0,COUNTIFS(rl_key,'Rate Log'!$J$92,$V$3806:$V$4045,$V3891,$U$3806:$U$4045,"&lt;"&amp;$U3891))</f>
        <v>0</v>
      </c>
      <c r="AB3891" s="75">
        <f>IF($U3891="",0,COUNTIFS('Rate Log'!$J$7:$J$92,'Rate Log'!$J$92,$V$3806:$V3891,$V3891,$U$3806:$U3891,$U3891))</f>
        <v>0</v>
      </c>
      <c r="AC3891" s="75">
        <f t="shared" si="1474"/>
        <v>0</v>
      </c>
      <c r="AE3891" s="74" t="str">
        <f>IF('Rate Log'!$C$92="","",IF('Rate Log'!$E$92="planned",EDATE('Rate Log'!$C$92,N(INDEX(sc_shift,4))),'Rate Log'!$C$92))</f>
        <v/>
      </c>
      <c r="AF3891" s="74" t="str">
        <f t="shared" si="1475"/>
        <v/>
      </c>
      <c r="AG3891" s="72">
        <f>IF(N(INDEX(sc_ach,4))=0,IF('Rate Log'!$G$92="",1,'Rate Log'!$G$92),INDEX(sc_ach,4))</f>
        <v>1</v>
      </c>
      <c r="AH3891" s="72">
        <f>IF('Rate Log'!$C$92="",0,IF('Rate Log'!$E$92="planned",('Rate Log'!$D$92+N(INDEX(sc_dpts,4)))*$AG3891,'Rate Log'!$D$92))</f>
        <v>0</v>
      </c>
      <c r="AI3891" s="73">
        <f>IF('Rate Log'!$C$92="",0,IF(1+$AH3891&gt;0,LN(1+$AH3891),0))</f>
        <v>0</v>
      </c>
      <c r="AJ3891" s="75">
        <f t="shared" si="1476"/>
        <v>0</v>
      </c>
      <c r="AK3891" s="75">
        <f>IF($AE3891="",0,COUNTIFS(rl_key,'Rate Log'!$J$92,$AF$3806:$AF$4045,$AF3891,$AE$3806:$AE$4045,"&lt;"&amp;$AE3891))</f>
        <v>0</v>
      </c>
      <c r="AL3891" s="75">
        <f>IF($AE3891="",0,COUNTIFS('Rate Log'!$J$7:$J$92,'Rate Log'!$J$92,$AF$3806:$AF3891,$AF3891,$AE$3806:$AE3891,$AE3891))</f>
        <v>0</v>
      </c>
      <c r="AM3891" s="75">
        <f t="shared" si="1477"/>
        <v>0</v>
      </c>
    </row>
    <row r="3892" spans="1:39" x14ac:dyDescent="0.3">
      <c r="A3892" s="74" t="str">
        <f>IF('Rate Log'!$C$93="","",IF('Rate Log'!$E$93="planned",EDATE('Rate Log'!$C$93,N(INDEX(sc_shift,1))),'Rate Log'!$C$93))</f>
        <v/>
      </c>
      <c r="B3892" s="74" t="str">
        <f t="shared" si="1466"/>
        <v/>
      </c>
      <c r="C3892" s="72">
        <f>IF(N(INDEX(sc_ach,1))=0,IF('Rate Log'!$G$93="",1,'Rate Log'!$G$93),INDEX(sc_ach,1))</f>
        <v>1</v>
      </c>
      <c r="D3892" s="72">
        <f>IF('Rate Log'!$C$93="",0,IF('Rate Log'!$E$93="planned",('Rate Log'!$D$93+N(INDEX(sc_dpts,1)))*$C3892,'Rate Log'!$D$93))</f>
        <v>0</v>
      </c>
      <c r="E3892" s="73">
        <f>IF('Rate Log'!$C$93="",0,IF(1+$D3892&gt;0,LN(1+$D3892),0))</f>
        <v>0</v>
      </c>
      <c r="F3892" s="75">
        <f t="shared" si="1467"/>
        <v>0</v>
      </c>
      <c r="G3892" s="75">
        <f>IF($A3892="",0,COUNTIFS(rl_key,'Rate Log'!$J$93,$B$3806:$B$4045,$B3892,$A$3806:$A$4045,"&lt;"&amp;$A3892))</f>
        <v>0</v>
      </c>
      <c r="H3892" s="75">
        <f>IF($A3892="",0,COUNTIFS('Rate Log'!$J$7:$J$93,'Rate Log'!$J$93,$B$3806:$B3892,$B3892,$A$3806:$A3892,$A3892))</f>
        <v>0</v>
      </c>
      <c r="I3892" s="75">
        <f t="shared" si="1468"/>
        <v>0</v>
      </c>
      <c r="K3892" s="74" t="str">
        <f>IF('Rate Log'!$C$93="","",IF('Rate Log'!$E$93="planned",EDATE('Rate Log'!$C$93,N(INDEX(sc_shift,2))),'Rate Log'!$C$93))</f>
        <v/>
      </c>
      <c r="L3892" s="74" t="str">
        <f t="shared" si="1469"/>
        <v/>
      </c>
      <c r="M3892" s="72">
        <f>IF(N(INDEX(sc_ach,2))=0,IF('Rate Log'!$G$93="",1,'Rate Log'!$G$93),INDEX(sc_ach,2))</f>
        <v>1</v>
      </c>
      <c r="N3892" s="72">
        <f>IF('Rate Log'!$C$93="",0,IF('Rate Log'!$E$93="planned",('Rate Log'!$D$93+N(INDEX(sc_dpts,2)))*$M3892,'Rate Log'!$D$93))</f>
        <v>0</v>
      </c>
      <c r="O3892" s="73">
        <f>IF('Rate Log'!$C$93="",0,IF(1+$N3892&gt;0,LN(1+$N3892),0))</f>
        <v>0</v>
      </c>
      <c r="P3892" s="75">
        <f t="shared" si="1470"/>
        <v>0</v>
      </c>
      <c r="Q3892" s="75">
        <f>IF($K3892="",0,COUNTIFS(rl_key,'Rate Log'!$J$93,$L$3806:$L$4045,$L3892,$K$3806:$K$4045,"&lt;"&amp;$K3892))</f>
        <v>0</v>
      </c>
      <c r="R3892" s="75">
        <f>IF($K3892="",0,COUNTIFS('Rate Log'!$J$7:$J$93,'Rate Log'!$J$93,$L$3806:$L3892,$L3892,$K$3806:$K3892,$K3892))</f>
        <v>0</v>
      </c>
      <c r="S3892" s="75">
        <f t="shared" si="1471"/>
        <v>0</v>
      </c>
      <c r="U3892" s="74" t="str">
        <f>IF('Rate Log'!$C$93="","",IF('Rate Log'!$E$93="planned",EDATE('Rate Log'!$C$93,N(INDEX(sc_shift,3))),'Rate Log'!$C$93))</f>
        <v/>
      </c>
      <c r="V3892" s="74" t="str">
        <f t="shared" si="1472"/>
        <v/>
      </c>
      <c r="W3892" s="72">
        <f>IF(N(INDEX(sc_ach,3))=0,IF('Rate Log'!$G$93="",1,'Rate Log'!$G$93),INDEX(sc_ach,3))</f>
        <v>1</v>
      </c>
      <c r="X3892" s="72">
        <f>IF('Rate Log'!$C$93="",0,IF('Rate Log'!$E$93="planned",('Rate Log'!$D$93+N(INDEX(sc_dpts,3)))*$W3892,'Rate Log'!$D$93))</f>
        <v>0</v>
      </c>
      <c r="Y3892" s="73">
        <f>IF('Rate Log'!$C$93="",0,IF(1+$X3892&gt;0,LN(1+$X3892),0))</f>
        <v>0</v>
      </c>
      <c r="Z3892" s="75">
        <f t="shared" si="1473"/>
        <v>0</v>
      </c>
      <c r="AA3892" s="75">
        <f>IF($U3892="",0,COUNTIFS(rl_key,'Rate Log'!$J$93,$V$3806:$V$4045,$V3892,$U$3806:$U$4045,"&lt;"&amp;$U3892))</f>
        <v>0</v>
      </c>
      <c r="AB3892" s="75">
        <f>IF($U3892="",0,COUNTIFS('Rate Log'!$J$7:$J$93,'Rate Log'!$J$93,$V$3806:$V3892,$V3892,$U$3806:$U3892,$U3892))</f>
        <v>0</v>
      </c>
      <c r="AC3892" s="75">
        <f t="shared" si="1474"/>
        <v>0</v>
      </c>
      <c r="AE3892" s="74" t="str">
        <f>IF('Rate Log'!$C$93="","",IF('Rate Log'!$E$93="planned",EDATE('Rate Log'!$C$93,N(INDEX(sc_shift,4))),'Rate Log'!$C$93))</f>
        <v/>
      </c>
      <c r="AF3892" s="74" t="str">
        <f t="shared" si="1475"/>
        <v/>
      </c>
      <c r="AG3892" s="72">
        <f>IF(N(INDEX(sc_ach,4))=0,IF('Rate Log'!$G$93="",1,'Rate Log'!$G$93),INDEX(sc_ach,4))</f>
        <v>1</v>
      </c>
      <c r="AH3892" s="72">
        <f>IF('Rate Log'!$C$93="",0,IF('Rate Log'!$E$93="planned",('Rate Log'!$D$93+N(INDEX(sc_dpts,4)))*$AG3892,'Rate Log'!$D$93))</f>
        <v>0</v>
      </c>
      <c r="AI3892" s="73">
        <f>IF('Rate Log'!$C$93="",0,IF(1+$AH3892&gt;0,LN(1+$AH3892),0))</f>
        <v>0</v>
      </c>
      <c r="AJ3892" s="75">
        <f t="shared" si="1476"/>
        <v>0</v>
      </c>
      <c r="AK3892" s="75">
        <f>IF($AE3892="",0,COUNTIFS(rl_key,'Rate Log'!$J$93,$AF$3806:$AF$4045,$AF3892,$AE$3806:$AE$4045,"&lt;"&amp;$AE3892))</f>
        <v>0</v>
      </c>
      <c r="AL3892" s="75">
        <f>IF($AE3892="",0,COUNTIFS('Rate Log'!$J$7:$J$93,'Rate Log'!$J$93,$AF$3806:$AF3892,$AF3892,$AE$3806:$AE3892,$AE3892))</f>
        <v>0</v>
      </c>
      <c r="AM3892" s="75">
        <f t="shared" si="1477"/>
        <v>0</v>
      </c>
    </row>
    <row r="3893" spans="1:39" x14ac:dyDescent="0.3">
      <c r="A3893" s="74" t="str">
        <f>IF('Rate Log'!$C$94="","",IF('Rate Log'!$E$94="planned",EDATE('Rate Log'!$C$94,N(INDEX(sc_shift,1))),'Rate Log'!$C$94))</f>
        <v/>
      </c>
      <c r="B3893" s="74" t="str">
        <f t="shared" si="1466"/>
        <v/>
      </c>
      <c r="C3893" s="72">
        <f>IF(N(INDEX(sc_ach,1))=0,IF('Rate Log'!$G$94="",1,'Rate Log'!$G$94),INDEX(sc_ach,1))</f>
        <v>1</v>
      </c>
      <c r="D3893" s="72">
        <f>IF('Rate Log'!$C$94="",0,IF('Rate Log'!$E$94="planned",('Rate Log'!$D$94+N(INDEX(sc_dpts,1)))*$C3893,'Rate Log'!$D$94))</f>
        <v>0</v>
      </c>
      <c r="E3893" s="73">
        <f>IF('Rate Log'!$C$94="",0,IF(1+$D3893&gt;0,LN(1+$D3893),0))</f>
        <v>0</v>
      </c>
      <c r="F3893" s="75">
        <f t="shared" si="1467"/>
        <v>0</v>
      </c>
      <c r="G3893" s="75">
        <f>IF($A3893="",0,COUNTIFS(rl_key,'Rate Log'!$J$94,$B$3806:$B$4045,$B3893,$A$3806:$A$4045,"&lt;"&amp;$A3893))</f>
        <v>0</v>
      </c>
      <c r="H3893" s="75">
        <f>IF($A3893="",0,COUNTIFS('Rate Log'!$J$7:$J$94,'Rate Log'!$J$94,$B$3806:$B3893,$B3893,$A$3806:$A3893,$A3893))</f>
        <v>0</v>
      </c>
      <c r="I3893" s="75">
        <f t="shared" si="1468"/>
        <v>0</v>
      </c>
      <c r="K3893" s="74" t="str">
        <f>IF('Rate Log'!$C$94="","",IF('Rate Log'!$E$94="planned",EDATE('Rate Log'!$C$94,N(INDEX(sc_shift,2))),'Rate Log'!$C$94))</f>
        <v/>
      </c>
      <c r="L3893" s="74" t="str">
        <f t="shared" si="1469"/>
        <v/>
      </c>
      <c r="M3893" s="72">
        <f>IF(N(INDEX(sc_ach,2))=0,IF('Rate Log'!$G$94="",1,'Rate Log'!$G$94),INDEX(sc_ach,2))</f>
        <v>1</v>
      </c>
      <c r="N3893" s="72">
        <f>IF('Rate Log'!$C$94="",0,IF('Rate Log'!$E$94="planned",('Rate Log'!$D$94+N(INDEX(sc_dpts,2)))*$M3893,'Rate Log'!$D$94))</f>
        <v>0</v>
      </c>
      <c r="O3893" s="73">
        <f>IF('Rate Log'!$C$94="",0,IF(1+$N3893&gt;0,LN(1+$N3893),0))</f>
        <v>0</v>
      </c>
      <c r="P3893" s="75">
        <f t="shared" si="1470"/>
        <v>0</v>
      </c>
      <c r="Q3893" s="75">
        <f>IF($K3893="",0,COUNTIFS(rl_key,'Rate Log'!$J$94,$L$3806:$L$4045,$L3893,$K$3806:$K$4045,"&lt;"&amp;$K3893))</f>
        <v>0</v>
      </c>
      <c r="R3893" s="75">
        <f>IF($K3893="",0,COUNTIFS('Rate Log'!$J$7:$J$94,'Rate Log'!$J$94,$L$3806:$L3893,$L3893,$K$3806:$K3893,$K3893))</f>
        <v>0</v>
      </c>
      <c r="S3893" s="75">
        <f t="shared" si="1471"/>
        <v>0</v>
      </c>
      <c r="U3893" s="74" t="str">
        <f>IF('Rate Log'!$C$94="","",IF('Rate Log'!$E$94="planned",EDATE('Rate Log'!$C$94,N(INDEX(sc_shift,3))),'Rate Log'!$C$94))</f>
        <v/>
      </c>
      <c r="V3893" s="74" t="str">
        <f t="shared" si="1472"/>
        <v/>
      </c>
      <c r="W3893" s="72">
        <f>IF(N(INDEX(sc_ach,3))=0,IF('Rate Log'!$G$94="",1,'Rate Log'!$G$94),INDEX(sc_ach,3))</f>
        <v>1</v>
      </c>
      <c r="X3893" s="72">
        <f>IF('Rate Log'!$C$94="",0,IF('Rate Log'!$E$94="planned",('Rate Log'!$D$94+N(INDEX(sc_dpts,3)))*$W3893,'Rate Log'!$D$94))</f>
        <v>0</v>
      </c>
      <c r="Y3893" s="73">
        <f>IF('Rate Log'!$C$94="",0,IF(1+$X3893&gt;0,LN(1+$X3893),0))</f>
        <v>0</v>
      </c>
      <c r="Z3893" s="75">
        <f t="shared" si="1473"/>
        <v>0</v>
      </c>
      <c r="AA3893" s="75">
        <f>IF($U3893="",0,COUNTIFS(rl_key,'Rate Log'!$J$94,$V$3806:$V$4045,$V3893,$U$3806:$U$4045,"&lt;"&amp;$U3893))</f>
        <v>0</v>
      </c>
      <c r="AB3893" s="75">
        <f>IF($U3893="",0,COUNTIFS('Rate Log'!$J$7:$J$94,'Rate Log'!$J$94,$V$3806:$V3893,$V3893,$U$3806:$U3893,$U3893))</f>
        <v>0</v>
      </c>
      <c r="AC3893" s="75">
        <f t="shared" si="1474"/>
        <v>0</v>
      </c>
      <c r="AE3893" s="74" t="str">
        <f>IF('Rate Log'!$C$94="","",IF('Rate Log'!$E$94="planned",EDATE('Rate Log'!$C$94,N(INDEX(sc_shift,4))),'Rate Log'!$C$94))</f>
        <v/>
      </c>
      <c r="AF3893" s="74" t="str">
        <f t="shared" si="1475"/>
        <v/>
      </c>
      <c r="AG3893" s="72">
        <f>IF(N(INDEX(sc_ach,4))=0,IF('Rate Log'!$G$94="",1,'Rate Log'!$G$94),INDEX(sc_ach,4))</f>
        <v>1</v>
      </c>
      <c r="AH3893" s="72">
        <f>IF('Rate Log'!$C$94="",0,IF('Rate Log'!$E$94="planned",('Rate Log'!$D$94+N(INDEX(sc_dpts,4)))*$AG3893,'Rate Log'!$D$94))</f>
        <v>0</v>
      </c>
      <c r="AI3893" s="73">
        <f>IF('Rate Log'!$C$94="",0,IF(1+$AH3893&gt;0,LN(1+$AH3893),0))</f>
        <v>0</v>
      </c>
      <c r="AJ3893" s="75">
        <f t="shared" si="1476"/>
        <v>0</v>
      </c>
      <c r="AK3893" s="75">
        <f>IF($AE3893="",0,COUNTIFS(rl_key,'Rate Log'!$J$94,$AF$3806:$AF$4045,$AF3893,$AE$3806:$AE$4045,"&lt;"&amp;$AE3893))</f>
        <v>0</v>
      </c>
      <c r="AL3893" s="75">
        <f>IF($AE3893="",0,COUNTIFS('Rate Log'!$J$7:$J$94,'Rate Log'!$J$94,$AF$3806:$AF3893,$AF3893,$AE$3806:$AE3893,$AE3893))</f>
        <v>0</v>
      </c>
      <c r="AM3893" s="75">
        <f t="shared" si="1477"/>
        <v>0</v>
      </c>
    </row>
    <row r="3894" spans="1:39" x14ac:dyDescent="0.3">
      <c r="A3894" s="74" t="str">
        <f>IF('Rate Log'!$C$95="","",IF('Rate Log'!$E$95="planned",EDATE('Rate Log'!$C$95,N(INDEX(sc_shift,1))),'Rate Log'!$C$95))</f>
        <v/>
      </c>
      <c r="B3894" s="74" t="str">
        <f t="shared" si="1466"/>
        <v/>
      </c>
      <c r="C3894" s="72">
        <f>IF(N(INDEX(sc_ach,1))=0,IF('Rate Log'!$G$95="",1,'Rate Log'!$G$95),INDEX(sc_ach,1))</f>
        <v>1</v>
      </c>
      <c r="D3894" s="72">
        <f>IF('Rate Log'!$C$95="",0,IF('Rate Log'!$E$95="planned",('Rate Log'!$D$95+N(INDEX(sc_dpts,1)))*$C3894,'Rate Log'!$D$95))</f>
        <v>0</v>
      </c>
      <c r="E3894" s="73">
        <f>IF('Rate Log'!$C$95="",0,IF(1+$D3894&gt;0,LN(1+$D3894),0))</f>
        <v>0</v>
      </c>
      <c r="F3894" s="75">
        <f t="shared" si="1467"/>
        <v>0</v>
      </c>
      <c r="G3894" s="75">
        <f>IF($A3894="",0,COUNTIFS(rl_key,'Rate Log'!$J$95,$B$3806:$B$4045,$B3894,$A$3806:$A$4045,"&lt;"&amp;$A3894))</f>
        <v>0</v>
      </c>
      <c r="H3894" s="75">
        <f>IF($A3894="",0,COUNTIFS('Rate Log'!$J$7:$J$95,'Rate Log'!$J$95,$B$3806:$B3894,$B3894,$A$3806:$A3894,$A3894))</f>
        <v>0</v>
      </c>
      <c r="I3894" s="75">
        <f t="shared" si="1468"/>
        <v>0</v>
      </c>
      <c r="K3894" s="74" t="str">
        <f>IF('Rate Log'!$C$95="","",IF('Rate Log'!$E$95="planned",EDATE('Rate Log'!$C$95,N(INDEX(sc_shift,2))),'Rate Log'!$C$95))</f>
        <v/>
      </c>
      <c r="L3894" s="74" t="str">
        <f t="shared" si="1469"/>
        <v/>
      </c>
      <c r="M3894" s="72">
        <f>IF(N(INDEX(sc_ach,2))=0,IF('Rate Log'!$G$95="",1,'Rate Log'!$G$95),INDEX(sc_ach,2))</f>
        <v>1</v>
      </c>
      <c r="N3894" s="72">
        <f>IF('Rate Log'!$C$95="",0,IF('Rate Log'!$E$95="planned",('Rate Log'!$D$95+N(INDEX(sc_dpts,2)))*$M3894,'Rate Log'!$D$95))</f>
        <v>0</v>
      </c>
      <c r="O3894" s="73">
        <f>IF('Rate Log'!$C$95="",0,IF(1+$N3894&gt;0,LN(1+$N3894),0))</f>
        <v>0</v>
      </c>
      <c r="P3894" s="75">
        <f t="shared" si="1470"/>
        <v>0</v>
      </c>
      <c r="Q3894" s="75">
        <f>IF($K3894="",0,COUNTIFS(rl_key,'Rate Log'!$J$95,$L$3806:$L$4045,$L3894,$K$3806:$K$4045,"&lt;"&amp;$K3894))</f>
        <v>0</v>
      </c>
      <c r="R3894" s="75">
        <f>IF($K3894="",0,COUNTIFS('Rate Log'!$J$7:$J$95,'Rate Log'!$J$95,$L$3806:$L3894,$L3894,$K$3806:$K3894,$K3894))</f>
        <v>0</v>
      </c>
      <c r="S3894" s="75">
        <f t="shared" si="1471"/>
        <v>0</v>
      </c>
      <c r="U3894" s="74" t="str">
        <f>IF('Rate Log'!$C$95="","",IF('Rate Log'!$E$95="planned",EDATE('Rate Log'!$C$95,N(INDEX(sc_shift,3))),'Rate Log'!$C$95))</f>
        <v/>
      </c>
      <c r="V3894" s="74" t="str">
        <f t="shared" si="1472"/>
        <v/>
      </c>
      <c r="W3894" s="72">
        <f>IF(N(INDEX(sc_ach,3))=0,IF('Rate Log'!$G$95="",1,'Rate Log'!$G$95),INDEX(sc_ach,3))</f>
        <v>1</v>
      </c>
      <c r="X3894" s="72">
        <f>IF('Rate Log'!$C$95="",0,IF('Rate Log'!$E$95="planned",('Rate Log'!$D$95+N(INDEX(sc_dpts,3)))*$W3894,'Rate Log'!$D$95))</f>
        <v>0</v>
      </c>
      <c r="Y3894" s="73">
        <f>IF('Rate Log'!$C$95="",0,IF(1+$X3894&gt;0,LN(1+$X3894),0))</f>
        <v>0</v>
      </c>
      <c r="Z3894" s="75">
        <f t="shared" si="1473"/>
        <v>0</v>
      </c>
      <c r="AA3894" s="75">
        <f>IF($U3894="",0,COUNTIFS(rl_key,'Rate Log'!$J$95,$V$3806:$V$4045,$V3894,$U$3806:$U$4045,"&lt;"&amp;$U3894))</f>
        <v>0</v>
      </c>
      <c r="AB3894" s="75">
        <f>IF($U3894="",0,COUNTIFS('Rate Log'!$J$7:$J$95,'Rate Log'!$J$95,$V$3806:$V3894,$V3894,$U$3806:$U3894,$U3894))</f>
        <v>0</v>
      </c>
      <c r="AC3894" s="75">
        <f t="shared" si="1474"/>
        <v>0</v>
      </c>
      <c r="AE3894" s="74" t="str">
        <f>IF('Rate Log'!$C$95="","",IF('Rate Log'!$E$95="planned",EDATE('Rate Log'!$C$95,N(INDEX(sc_shift,4))),'Rate Log'!$C$95))</f>
        <v/>
      </c>
      <c r="AF3894" s="74" t="str">
        <f t="shared" si="1475"/>
        <v/>
      </c>
      <c r="AG3894" s="72">
        <f>IF(N(INDEX(sc_ach,4))=0,IF('Rate Log'!$G$95="",1,'Rate Log'!$G$95),INDEX(sc_ach,4))</f>
        <v>1</v>
      </c>
      <c r="AH3894" s="72">
        <f>IF('Rate Log'!$C$95="",0,IF('Rate Log'!$E$95="planned",('Rate Log'!$D$95+N(INDEX(sc_dpts,4)))*$AG3894,'Rate Log'!$D$95))</f>
        <v>0</v>
      </c>
      <c r="AI3894" s="73">
        <f>IF('Rate Log'!$C$95="",0,IF(1+$AH3894&gt;0,LN(1+$AH3894),0))</f>
        <v>0</v>
      </c>
      <c r="AJ3894" s="75">
        <f t="shared" si="1476"/>
        <v>0</v>
      </c>
      <c r="AK3894" s="75">
        <f>IF($AE3894="",0,COUNTIFS(rl_key,'Rate Log'!$J$95,$AF$3806:$AF$4045,$AF3894,$AE$3806:$AE$4045,"&lt;"&amp;$AE3894))</f>
        <v>0</v>
      </c>
      <c r="AL3894" s="75">
        <f>IF($AE3894="",0,COUNTIFS('Rate Log'!$J$7:$J$95,'Rate Log'!$J$95,$AF$3806:$AF3894,$AF3894,$AE$3806:$AE3894,$AE3894))</f>
        <v>0</v>
      </c>
      <c r="AM3894" s="75">
        <f t="shared" si="1477"/>
        <v>0</v>
      </c>
    </row>
    <row r="3895" spans="1:39" x14ac:dyDescent="0.3">
      <c r="A3895" s="74" t="str">
        <f>IF('Rate Log'!$C$96="","",IF('Rate Log'!$E$96="planned",EDATE('Rate Log'!$C$96,N(INDEX(sc_shift,1))),'Rate Log'!$C$96))</f>
        <v/>
      </c>
      <c r="B3895" s="74" t="str">
        <f t="shared" si="1466"/>
        <v/>
      </c>
      <c r="C3895" s="72">
        <f>IF(N(INDEX(sc_ach,1))=0,IF('Rate Log'!$G$96="",1,'Rate Log'!$G$96),INDEX(sc_ach,1))</f>
        <v>1</v>
      </c>
      <c r="D3895" s="72">
        <f>IF('Rate Log'!$C$96="",0,IF('Rate Log'!$E$96="planned",('Rate Log'!$D$96+N(INDEX(sc_dpts,1)))*$C3895,'Rate Log'!$D$96))</f>
        <v>0</v>
      </c>
      <c r="E3895" s="73">
        <f>IF('Rate Log'!$C$96="",0,IF(1+$D3895&gt;0,LN(1+$D3895),0))</f>
        <v>0</v>
      </c>
      <c r="F3895" s="75">
        <f t="shared" si="1467"/>
        <v>0</v>
      </c>
      <c r="G3895" s="75">
        <f>IF($A3895="",0,COUNTIFS(rl_key,'Rate Log'!$J$96,$B$3806:$B$4045,$B3895,$A$3806:$A$4045,"&lt;"&amp;$A3895))</f>
        <v>0</v>
      </c>
      <c r="H3895" s="75">
        <f>IF($A3895="",0,COUNTIFS('Rate Log'!$J$7:$J$96,'Rate Log'!$J$96,$B$3806:$B3895,$B3895,$A$3806:$A3895,$A3895))</f>
        <v>0</v>
      </c>
      <c r="I3895" s="75">
        <f t="shared" si="1468"/>
        <v>0</v>
      </c>
      <c r="K3895" s="74" t="str">
        <f>IF('Rate Log'!$C$96="","",IF('Rate Log'!$E$96="planned",EDATE('Rate Log'!$C$96,N(INDEX(sc_shift,2))),'Rate Log'!$C$96))</f>
        <v/>
      </c>
      <c r="L3895" s="74" t="str">
        <f t="shared" si="1469"/>
        <v/>
      </c>
      <c r="M3895" s="72">
        <f>IF(N(INDEX(sc_ach,2))=0,IF('Rate Log'!$G$96="",1,'Rate Log'!$G$96),INDEX(sc_ach,2))</f>
        <v>1</v>
      </c>
      <c r="N3895" s="72">
        <f>IF('Rate Log'!$C$96="",0,IF('Rate Log'!$E$96="planned",('Rate Log'!$D$96+N(INDEX(sc_dpts,2)))*$M3895,'Rate Log'!$D$96))</f>
        <v>0</v>
      </c>
      <c r="O3895" s="73">
        <f>IF('Rate Log'!$C$96="",0,IF(1+$N3895&gt;0,LN(1+$N3895),0))</f>
        <v>0</v>
      </c>
      <c r="P3895" s="75">
        <f t="shared" si="1470"/>
        <v>0</v>
      </c>
      <c r="Q3895" s="75">
        <f>IF($K3895="",0,COUNTIFS(rl_key,'Rate Log'!$J$96,$L$3806:$L$4045,$L3895,$K$3806:$K$4045,"&lt;"&amp;$K3895))</f>
        <v>0</v>
      </c>
      <c r="R3895" s="75">
        <f>IF($K3895="",0,COUNTIFS('Rate Log'!$J$7:$J$96,'Rate Log'!$J$96,$L$3806:$L3895,$L3895,$K$3806:$K3895,$K3895))</f>
        <v>0</v>
      </c>
      <c r="S3895" s="75">
        <f t="shared" si="1471"/>
        <v>0</v>
      </c>
      <c r="U3895" s="74" t="str">
        <f>IF('Rate Log'!$C$96="","",IF('Rate Log'!$E$96="planned",EDATE('Rate Log'!$C$96,N(INDEX(sc_shift,3))),'Rate Log'!$C$96))</f>
        <v/>
      </c>
      <c r="V3895" s="74" t="str">
        <f t="shared" si="1472"/>
        <v/>
      </c>
      <c r="W3895" s="72">
        <f>IF(N(INDEX(sc_ach,3))=0,IF('Rate Log'!$G$96="",1,'Rate Log'!$G$96),INDEX(sc_ach,3))</f>
        <v>1</v>
      </c>
      <c r="X3895" s="72">
        <f>IF('Rate Log'!$C$96="",0,IF('Rate Log'!$E$96="planned",('Rate Log'!$D$96+N(INDEX(sc_dpts,3)))*$W3895,'Rate Log'!$D$96))</f>
        <v>0</v>
      </c>
      <c r="Y3895" s="73">
        <f>IF('Rate Log'!$C$96="",0,IF(1+$X3895&gt;0,LN(1+$X3895),0))</f>
        <v>0</v>
      </c>
      <c r="Z3895" s="75">
        <f t="shared" si="1473"/>
        <v>0</v>
      </c>
      <c r="AA3895" s="75">
        <f>IF($U3895="",0,COUNTIFS(rl_key,'Rate Log'!$J$96,$V$3806:$V$4045,$V3895,$U$3806:$U$4045,"&lt;"&amp;$U3895))</f>
        <v>0</v>
      </c>
      <c r="AB3895" s="75">
        <f>IF($U3895="",0,COUNTIFS('Rate Log'!$J$7:$J$96,'Rate Log'!$J$96,$V$3806:$V3895,$V3895,$U$3806:$U3895,$U3895))</f>
        <v>0</v>
      </c>
      <c r="AC3895" s="75">
        <f t="shared" si="1474"/>
        <v>0</v>
      </c>
      <c r="AE3895" s="74" t="str">
        <f>IF('Rate Log'!$C$96="","",IF('Rate Log'!$E$96="planned",EDATE('Rate Log'!$C$96,N(INDEX(sc_shift,4))),'Rate Log'!$C$96))</f>
        <v/>
      </c>
      <c r="AF3895" s="74" t="str">
        <f t="shared" si="1475"/>
        <v/>
      </c>
      <c r="AG3895" s="72">
        <f>IF(N(INDEX(sc_ach,4))=0,IF('Rate Log'!$G$96="",1,'Rate Log'!$G$96),INDEX(sc_ach,4))</f>
        <v>1</v>
      </c>
      <c r="AH3895" s="72">
        <f>IF('Rate Log'!$C$96="",0,IF('Rate Log'!$E$96="planned",('Rate Log'!$D$96+N(INDEX(sc_dpts,4)))*$AG3895,'Rate Log'!$D$96))</f>
        <v>0</v>
      </c>
      <c r="AI3895" s="73">
        <f>IF('Rate Log'!$C$96="",0,IF(1+$AH3895&gt;0,LN(1+$AH3895),0))</f>
        <v>0</v>
      </c>
      <c r="AJ3895" s="75">
        <f t="shared" si="1476"/>
        <v>0</v>
      </c>
      <c r="AK3895" s="75">
        <f>IF($AE3895="",0,COUNTIFS(rl_key,'Rate Log'!$J$96,$AF$3806:$AF$4045,$AF3895,$AE$3806:$AE$4045,"&lt;"&amp;$AE3895))</f>
        <v>0</v>
      </c>
      <c r="AL3895" s="75">
        <f>IF($AE3895="",0,COUNTIFS('Rate Log'!$J$7:$J$96,'Rate Log'!$J$96,$AF$3806:$AF3895,$AF3895,$AE$3806:$AE3895,$AE3895))</f>
        <v>0</v>
      </c>
      <c r="AM3895" s="75">
        <f t="shared" si="1477"/>
        <v>0</v>
      </c>
    </row>
    <row r="3896" spans="1:39" x14ac:dyDescent="0.3">
      <c r="A3896" s="74" t="str">
        <f>IF('Rate Log'!$C$97="","",IF('Rate Log'!$E$97="planned",EDATE('Rate Log'!$C$97,N(INDEX(sc_shift,1))),'Rate Log'!$C$97))</f>
        <v/>
      </c>
      <c r="B3896" s="74" t="str">
        <f t="shared" si="1466"/>
        <v/>
      </c>
      <c r="C3896" s="72">
        <f>IF(N(INDEX(sc_ach,1))=0,IF('Rate Log'!$G$97="",1,'Rate Log'!$G$97),INDEX(sc_ach,1))</f>
        <v>1</v>
      </c>
      <c r="D3896" s="72">
        <f>IF('Rate Log'!$C$97="",0,IF('Rate Log'!$E$97="planned",('Rate Log'!$D$97+N(INDEX(sc_dpts,1)))*$C3896,'Rate Log'!$D$97))</f>
        <v>0</v>
      </c>
      <c r="E3896" s="73">
        <f>IF('Rate Log'!$C$97="",0,IF(1+$D3896&gt;0,LN(1+$D3896),0))</f>
        <v>0</v>
      </c>
      <c r="F3896" s="75">
        <f t="shared" si="1467"/>
        <v>0</v>
      </c>
      <c r="G3896" s="75">
        <f>IF($A3896="",0,COUNTIFS(rl_key,'Rate Log'!$J$97,$B$3806:$B$4045,$B3896,$A$3806:$A$4045,"&lt;"&amp;$A3896))</f>
        <v>0</v>
      </c>
      <c r="H3896" s="75">
        <f>IF($A3896="",0,COUNTIFS('Rate Log'!$J$7:$J$97,'Rate Log'!$J$97,$B$3806:$B3896,$B3896,$A$3806:$A3896,$A3896))</f>
        <v>0</v>
      </c>
      <c r="I3896" s="75">
        <f t="shared" si="1468"/>
        <v>0</v>
      </c>
      <c r="K3896" s="74" t="str">
        <f>IF('Rate Log'!$C$97="","",IF('Rate Log'!$E$97="planned",EDATE('Rate Log'!$C$97,N(INDEX(sc_shift,2))),'Rate Log'!$C$97))</f>
        <v/>
      </c>
      <c r="L3896" s="74" t="str">
        <f t="shared" si="1469"/>
        <v/>
      </c>
      <c r="M3896" s="72">
        <f>IF(N(INDEX(sc_ach,2))=0,IF('Rate Log'!$G$97="",1,'Rate Log'!$G$97),INDEX(sc_ach,2))</f>
        <v>1</v>
      </c>
      <c r="N3896" s="72">
        <f>IF('Rate Log'!$C$97="",0,IF('Rate Log'!$E$97="planned",('Rate Log'!$D$97+N(INDEX(sc_dpts,2)))*$M3896,'Rate Log'!$D$97))</f>
        <v>0</v>
      </c>
      <c r="O3896" s="73">
        <f>IF('Rate Log'!$C$97="",0,IF(1+$N3896&gt;0,LN(1+$N3896),0))</f>
        <v>0</v>
      </c>
      <c r="P3896" s="75">
        <f t="shared" si="1470"/>
        <v>0</v>
      </c>
      <c r="Q3896" s="75">
        <f>IF($K3896="",0,COUNTIFS(rl_key,'Rate Log'!$J$97,$L$3806:$L$4045,$L3896,$K$3806:$K$4045,"&lt;"&amp;$K3896))</f>
        <v>0</v>
      </c>
      <c r="R3896" s="75">
        <f>IF($K3896="",0,COUNTIFS('Rate Log'!$J$7:$J$97,'Rate Log'!$J$97,$L$3806:$L3896,$L3896,$K$3806:$K3896,$K3896))</f>
        <v>0</v>
      </c>
      <c r="S3896" s="75">
        <f t="shared" si="1471"/>
        <v>0</v>
      </c>
      <c r="U3896" s="74" t="str">
        <f>IF('Rate Log'!$C$97="","",IF('Rate Log'!$E$97="planned",EDATE('Rate Log'!$C$97,N(INDEX(sc_shift,3))),'Rate Log'!$C$97))</f>
        <v/>
      </c>
      <c r="V3896" s="74" t="str">
        <f t="shared" si="1472"/>
        <v/>
      </c>
      <c r="W3896" s="72">
        <f>IF(N(INDEX(sc_ach,3))=0,IF('Rate Log'!$G$97="",1,'Rate Log'!$G$97),INDEX(sc_ach,3))</f>
        <v>1</v>
      </c>
      <c r="X3896" s="72">
        <f>IF('Rate Log'!$C$97="",0,IF('Rate Log'!$E$97="planned",('Rate Log'!$D$97+N(INDEX(sc_dpts,3)))*$W3896,'Rate Log'!$D$97))</f>
        <v>0</v>
      </c>
      <c r="Y3896" s="73">
        <f>IF('Rate Log'!$C$97="",0,IF(1+$X3896&gt;0,LN(1+$X3896),0))</f>
        <v>0</v>
      </c>
      <c r="Z3896" s="75">
        <f t="shared" si="1473"/>
        <v>0</v>
      </c>
      <c r="AA3896" s="75">
        <f>IF($U3896="",0,COUNTIFS(rl_key,'Rate Log'!$J$97,$V$3806:$V$4045,$V3896,$U$3806:$U$4045,"&lt;"&amp;$U3896))</f>
        <v>0</v>
      </c>
      <c r="AB3896" s="75">
        <f>IF($U3896="",0,COUNTIFS('Rate Log'!$J$7:$J$97,'Rate Log'!$J$97,$V$3806:$V3896,$V3896,$U$3806:$U3896,$U3896))</f>
        <v>0</v>
      </c>
      <c r="AC3896" s="75">
        <f t="shared" si="1474"/>
        <v>0</v>
      </c>
      <c r="AE3896" s="74" t="str">
        <f>IF('Rate Log'!$C$97="","",IF('Rate Log'!$E$97="planned",EDATE('Rate Log'!$C$97,N(INDEX(sc_shift,4))),'Rate Log'!$C$97))</f>
        <v/>
      </c>
      <c r="AF3896" s="74" t="str">
        <f t="shared" si="1475"/>
        <v/>
      </c>
      <c r="AG3896" s="72">
        <f>IF(N(INDEX(sc_ach,4))=0,IF('Rate Log'!$G$97="",1,'Rate Log'!$G$97),INDEX(sc_ach,4))</f>
        <v>1</v>
      </c>
      <c r="AH3896" s="72">
        <f>IF('Rate Log'!$C$97="",0,IF('Rate Log'!$E$97="planned",('Rate Log'!$D$97+N(INDEX(sc_dpts,4)))*$AG3896,'Rate Log'!$D$97))</f>
        <v>0</v>
      </c>
      <c r="AI3896" s="73">
        <f>IF('Rate Log'!$C$97="",0,IF(1+$AH3896&gt;0,LN(1+$AH3896),0))</f>
        <v>0</v>
      </c>
      <c r="AJ3896" s="75">
        <f t="shared" si="1476"/>
        <v>0</v>
      </c>
      <c r="AK3896" s="75">
        <f>IF($AE3896="",0,COUNTIFS(rl_key,'Rate Log'!$J$97,$AF$3806:$AF$4045,$AF3896,$AE$3806:$AE$4045,"&lt;"&amp;$AE3896))</f>
        <v>0</v>
      </c>
      <c r="AL3896" s="75">
        <f>IF($AE3896="",0,COUNTIFS('Rate Log'!$J$7:$J$97,'Rate Log'!$J$97,$AF$3806:$AF3896,$AF3896,$AE$3806:$AE3896,$AE3896))</f>
        <v>0</v>
      </c>
      <c r="AM3896" s="75">
        <f t="shared" si="1477"/>
        <v>0</v>
      </c>
    </row>
    <row r="3897" spans="1:39" x14ac:dyDescent="0.3">
      <c r="A3897" s="74" t="str">
        <f>IF('Rate Log'!$C$98="","",IF('Rate Log'!$E$98="planned",EDATE('Rate Log'!$C$98,N(INDEX(sc_shift,1))),'Rate Log'!$C$98))</f>
        <v/>
      </c>
      <c r="B3897" s="74" t="str">
        <f t="shared" si="1466"/>
        <v/>
      </c>
      <c r="C3897" s="72">
        <f>IF(N(INDEX(sc_ach,1))=0,IF('Rate Log'!$G$98="",1,'Rate Log'!$G$98),INDEX(sc_ach,1))</f>
        <v>1</v>
      </c>
      <c r="D3897" s="72">
        <f>IF('Rate Log'!$C$98="",0,IF('Rate Log'!$E$98="planned",('Rate Log'!$D$98+N(INDEX(sc_dpts,1)))*$C3897,'Rate Log'!$D$98))</f>
        <v>0</v>
      </c>
      <c r="E3897" s="73">
        <f>IF('Rate Log'!$C$98="",0,IF(1+$D3897&gt;0,LN(1+$D3897),0))</f>
        <v>0</v>
      </c>
      <c r="F3897" s="75">
        <f t="shared" si="1467"/>
        <v>0</v>
      </c>
      <c r="G3897" s="75">
        <f>IF($A3897="",0,COUNTIFS(rl_key,'Rate Log'!$J$98,$B$3806:$B$4045,$B3897,$A$3806:$A$4045,"&lt;"&amp;$A3897))</f>
        <v>0</v>
      </c>
      <c r="H3897" s="75">
        <f>IF($A3897="",0,COUNTIFS('Rate Log'!$J$7:$J$98,'Rate Log'!$J$98,$B$3806:$B3897,$B3897,$A$3806:$A3897,$A3897))</f>
        <v>0</v>
      </c>
      <c r="I3897" s="75">
        <f t="shared" si="1468"/>
        <v>0</v>
      </c>
      <c r="K3897" s="74" t="str">
        <f>IF('Rate Log'!$C$98="","",IF('Rate Log'!$E$98="planned",EDATE('Rate Log'!$C$98,N(INDEX(sc_shift,2))),'Rate Log'!$C$98))</f>
        <v/>
      </c>
      <c r="L3897" s="74" t="str">
        <f t="shared" si="1469"/>
        <v/>
      </c>
      <c r="M3897" s="72">
        <f>IF(N(INDEX(sc_ach,2))=0,IF('Rate Log'!$G$98="",1,'Rate Log'!$G$98),INDEX(sc_ach,2))</f>
        <v>1</v>
      </c>
      <c r="N3897" s="72">
        <f>IF('Rate Log'!$C$98="",0,IF('Rate Log'!$E$98="planned",('Rate Log'!$D$98+N(INDEX(sc_dpts,2)))*$M3897,'Rate Log'!$D$98))</f>
        <v>0</v>
      </c>
      <c r="O3897" s="73">
        <f>IF('Rate Log'!$C$98="",0,IF(1+$N3897&gt;0,LN(1+$N3897),0))</f>
        <v>0</v>
      </c>
      <c r="P3897" s="75">
        <f t="shared" si="1470"/>
        <v>0</v>
      </c>
      <c r="Q3897" s="75">
        <f>IF($K3897="",0,COUNTIFS(rl_key,'Rate Log'!$J$98,$L$3806:$L$4045,$L3897,$K$3806:$K$4045,"&lt;"&amp;$K3897))</f>
        <v>0</v>
      </c>
      <c r="R3897" s="75">
        <f>IF($K3897="",0,COUNTIFS('Rate Log'!$J$7:$J$98,'Rate Log'!$J$98,$L$3806:$L3897,$L3897,$K$3806:$K3897,$K3897))</f>
        <v>0</v>
      </c>
      <c r="S3897" s="75">
        <f t="shared" si="1471"/>
        <v>0</v>
      </c>
      <c r="U3897" s="74" t="str">
        <f>IF('Rate Log'!$C$98="","",IF('Rate Log'!$E$98="planned",EDATE('Rate Log'!$C$98,N(INDEX(sc_shift,3))),'Rate Log'!$C$98))</f>
        <v/>
      </c>
      <c r="V3897" s="74" t="str">
        <f t="shared" si="1472"/>
        <v/>
      </c>
      <c r="W3897" s="72">
        <f>IF(N(INDEX(sc_ach,3))=0,IF('Rate Log'!$G$98="",1,'Rate Log'!$G$98),INDEX(sc_ach,3))</f>
        <v>1</v>
      </c>
      <c r="X3897" s="72">
        <f>IF('Rate Log'!$C$98="",0,IF('Rate Log'!$E$98="planned",('Rate Log'!$D$98+N(INDEX(sc_dpts,3)))*$W3897,'Rate Log'!$D$98))</f>
        <v>0</v>
      </c>
      <c r="Y3897" s="73">
        <f>IF('Rate Log'!$C$98="",0,IF(1+$X3897&gt;0,LN(1+$X3897),0))</f>
        <v>0</v>
      </c>
      <c r="Z3897" s="75">
        <f t="shared" si="1473"/>
        <v>0</v>
      </c>
      <c r="AA3897" s="75">
        <f>IF($U3897="",0,COUNTIFS(rl_key,'Rate Log'!$J$98,$V$3806:$V$4045,$V3897,$U$3806:$U$4045,"&lt;"&amp;$U3897))</f>
        <v>0</v>
      </c>
      <c r="AB3897" s="75">
        <f>IF($U3897="",0,COUNTIFS('Rate Log'!$J$7:$J$98,'Rate Log'!$J$98,$V$3806:$V3897,$V3897,$U$3806:$U3897,$U3897))</f>
        <v>0</v>
      </c>
      <c r="AC3897" s="75">
        <f t="shared" si="1474"/>
        <v>0</v>
      </c>
      <c r="AE3897" s="74" t="str">
        <f>IF('Rate Log'!$C$98="","",IF('Rate Log'!$E$98="planned",EDATE('Rate Log'!$C$98,N(INDEX(sc_shift,4))),'Rate Log'!$C$98))</f>
        <v/>
      </c>
      <c r="AF3897" s="74" t="str">
        <f t="shared" si="1475"/>
        <v/>
      </c>
      <c r="AG3897" s="72">
        <f>IF(N(INDEX(sc_ach,4))=0,IF('Rate Log'!$G$98="",1,'Rate Log'!$G$98),INDEX(sc_ach,4))</f>
        <v>1</v>
      </c>
      <c r="AH3897" s="72">
        <f>IF('Rate Log'!$C$98="",0,IF('Rate Log'!$E$98="planned",('Rate Log'!$D$98+N(INDEX(sc_dpts,4)))*$AG3897,'Rate Log'!$D$98))</f>
        <v>0</v>
      </c>
      <c r="AI3897" s="73">
        <f>IF('Rate Log'!$C$98="",0,IF(1+$AH3897&gt;0,LN(1+$AH3897),0))</f>
        <v>0</v>
      </c>
      <c r="AJ3897" s="75">
        <f t="shared" si="1476"/>
        <v>0</v>
      </c>
      <c r="AK3897" s="75">
        <f>IF($AE3897="",0,COUNTIFS(rl_key,'Rate Log'!$J$98,$AF$3806:$AF$4045,$AF3897,$AE$3806:$AE$4045,"&lt;"&amp;$AE3897))</f>
        <v>0</v>
      </c>
      <c r="AL3897" s="75">
        <f>IF($AE3897="",0,COUNTIFS('Rate Log'!$J$7:$J$98,'Rate Log'!$J$98,$AF$3806:$AF3897,$AF3897,$AE$3806:$AE3897,$AE3897))</f>
        <v>0</v>
      </c>
      <c r="AM3897" s="75">
        <f t="shared" si="1477"/>
        <v>0</v>
      </c>
    </row>
    <row r="3898" spans="1:39" x14ac:dyDescent="0.3">
      <c r="A3898" s="74" t="str">
        <f>IF('Rate Log'!$C$99="","",IF('Rate Log'!$E$99="planned",EDATE('Rate Log'!$C$99,N(INDEX(sc_shift,1))),'Rate Log'!$C$99))</f>
        <v/>
      </c>
      <c r="B3898" s="74" t="str">
        <f t="shared" si="1466"/>
        <v/>
      </c>
      <c r="C3898" s="72">
        <f>IF(N(INDEX(sc_ach,1))=0,IF('Rate Log'!$G$99="",1,'Rate Log'!$G$99),INDEX(sc_ach,1))</f>
        <v>1</v>
      </c>
      <c r="D3898" s="72">
        <f>IF('Rate Log'!$C$99="",0,IF('Rate Log'!$E$99="planned",('Rate Log'!$D$99+N(INDEX(sc_dpts,1)))*$C3898,'Rate Log'!$D$99))</f>
        <v>0</v>
      </c>
      <c r="E3898" s="73">
        <f>IF('Rate Log'!$C$99="",0,IF(1+$D3898&gt;0,LN(1+$D3898),0))</f>
        <v>0</v>
      </c>
      <c r="F3898" s="75">
        <f t="shared" si="1467"/>
        <v>0</v>
      </c>
      <c r="G3898" s="75">
        <f>IF($A3898="",0,COUNTIFS(rl_key,'Rate Log'!$J$99,$B$3806:$B$4045,$B3898,$A$3806:$A$4045,"&lt;"&amp;$A3898))</f>
        <v>0</v>
      </c>
      <c r="H3898" s="75">
        <f>IF($A3898="",0,COUNTIFS('Rate Log'!$J$7:$J$99,'Rate Log'!$J$99,$B$3806:$B3898,$B3898,$A$3806:$A3898,$A3898))</f>
        <v>0</v>
      </c>
      <c r="I3898" s="75">
        <f t="shared" si="1468"/>
        <v>0</v>
      </c>
      <c r="K3898" s="74" t="str">
        <f>IF('Rate Log'!$C$99="","",IF('Rate Log'!$E$99="planned",EDATE('Rate Log'!$C$99,N(INDEX(sc_shift,2))),'Rate Log'!$C$99))</f>
        <v/>
      </c>
      <c r="L3898" s="74" t="str">
        <f t="shared" si="1469"/>
        <v/>
      </c>
      <c r="M3898" s="72">
        <f>IF(N(INDEX(sc_ach,2))=0,IF('Rate Log'!$G$99="",1,'Rate Log'!$G$99),INDEX(sc_ach,2))</f>
        <v>1</v>
      </c>
      <c r="N3898" s="72">
        <f>IF('Rate Log'!$C$99="",0,IF('Rate Log'!$E$99="planned",('Rate Log'!$D$99+N(INDEX(sc_dpts,2)))*$M3898,'Rate Log'!$D$99))</f>
        <v>0</v>
      </c>
      <c r="O3898" s="73">
        <f>IF('Rate Log'!$C$99="",0,IF(1+$N3898&gt;0,LN(1+$N3898),0))</f>
        <v>0</v>
      </c>
      <c r="P3898" s="75">
        <f t="shared" si="1470"/>
        <v>0</v>
      </c>
      <c r="Q3898" s="75">
        <f>IF($K3898="",0,COUNTIFS(rl_key,'Rate Log'!$J$99,$L$3806:$L$4045,$L3898,$K$3806:$K$4045,"&lt;"&amp;$K3898))</f>
        <v>0</v>
      </c>
      <c r="R3898" s="75">
        <f>IF($K3898="",0,COUNTIFS('Rate Log'!$J$7:$J$99,'Rate Log'!$J$99,$L$3806:$L3898,$L3898,$K$3806:$K3898,$K3898))</f>
        <v>0</v>
      </c>
      <c r="S3898" s="75">
        <f t="shared" si="1471"/>
        <v>0</v>
      </c>
      <c r="U3898" s="74" t="str">
        <f>IF('Rate Log'!$C$99="","",IF('Rate Log'!$E$99="planned",EDATE('Rate Log'!$C$99,N(INDEX(sc_shift,3))),'Rate Log'!$C$99))</f>
        <v/>
      </c>
      <c r="V3898" s="74" t="str">
        <f t="shared" si="1472"/>
        <v/>
      </c>
      <c r="W3898" s="72">
        <f>IF(N(INDEX(sc_ach,3))=0,IF('Rate Log'!$G$99="",1,'Rate Log'!$G$99),INDEX(sc_ach,3))</f>
        <v>1</v>
      </c>
      <c r="X3898" s="72">
        <f>IF('Rate Log'!$C$99="",0,IF('Rate Log'!$E$99="planned",('Rate Log'!$D$99+N(INDEX(sc_dpts,3)))*$W3898,'Rate Log'!$D$99))</f>
        <v>0</v>
      </c>
      <c r="Y3898" s="73">
        <f>IF('Rate Log'!$C$99="",0,IF(1+$X3898&gt;0,LN(1+$X3898),0))</f>
        <v>0</v>
      </c>
      <c r="Z3898" s="75">
        <f t="shared" si="1473"/>
        <v>0</v>
      </c>
      <c r="AA3898" s="75">
        <f>IF($U3898="",0,COUNTIFS(rl_key,'Rate Log'!$J$99,$V$3806:$V$4045,$V3898,$U$3806:$U$4045,"&lt;"&amp;$U3898))</f>
        <v>0</v>
      </c>
      <c r="AB3898" s="75">
        <f>IF($U3898="",0,COUNTIFS('Rate Log'!$J$7:$J$99,'Rate Log'!$J$99,$V$3806:$V3898,$V3898,$U$3806:$U3898,$U3898))</f>
        <v>0</v>
      </c>
      <c r="AC3898" s="75">
        <f t="shared" si="1474"/>
        <v>0</v>
      </c>
      <c r="AE3898" s="74" t="str">
        <f>IF('Rate Log'!$C$99="","",IF('Rate Log'!$E$99="planned",EDATE('Rate Log'!$C$99,N(INDEX(sc_shift,4))),'Rate Log'!$C$99))</f>
        <v/>
      </c>
      <c r="AF3898" s="74" t="str">
        <f t="shared" si="1475"/>
        <v/>
      </c>
      <c r="AG3898" s="72">
        <f>IF(N(INDEX(sc_ach,4))=0,IF('Rate Log'!$G$99="",1,'Rate Log'!$G$99),INDEX(sc_ach,4))</f>
        <v>1</v>
      </c>
      <c r="AH3898" s="72">
        <f>IF('Rate Log'!$C$99="",0,IF('Rate Log'!$E$99="planned",('Rate Log'!$D$99+N(INDEX(sc_dpts,4)))*$AG3898,'Rate Log'!$D$99))</f>
        <v>0</v>
      </c>
      <c r="AI3898" s="73">
        <f>IF('Rate Log'!$C$99="",0,IF(1+$AH3898&gt;0,LN(1+$AH3898),0))</f>
        <v>0</v>
      </c>
      <c r="AJ3898" s="75">
        <f t="shared" si="1476"/>
        <v>0</v>
      </c>
      <c r="AK3898" s="75">
        <f>IF($AE3898="",0,COUNTIFS(rl_key,'Rate Log'!$J$99,$AF$3806:$AF$4045,$AF3898,$AE$3806:$AE$4045,"&lt;"&amp;$AE3898))</f>
        <v>0</v>
      </c>
      <c r="AL3898" s="75">
        <f>IF($AE3898="",0,COUNTIFS('Rate Log'!$J$7:$J$99,'Rate Log'!$J$99,$AF$3806:$AF3898,$AF3898,$AE$3806:$AE3898,$AE3898))</f>
        <v>0</v>
      </c>
      <c r="AM3898" s="75">
        <f t="shared" si="1477"/>
        <v>0</v>
      </c>
    </row>
    <row r="3899" spans="1:39" x14ac:dyDescent="0.3">
      <c r="A3899" s="74" t="str">
        <f>IF('Rate Log'!$C$100="","",IF('Rate Log'!$E$100="planned",EDATE('Rate Log'!$C$100,N(INDEX(sc_shift,1))),'Rate Log'!$C$100))</f>
        <v/>
      </c>
      <c r="B3899" s="74" t="str">
        <f t="shared" si="1466"/>
        <v/>
      </c>
      <c r="C3899" s="72">
        <f>IF(N(INDEX(sc_ach,1))=0,IF('Rate Log'!$G$100="",1,'Rate Log'!$G$100),INDEX(sc_ach,1))</f>
        <v>1</v>
      </c>
      <c r="D3899" s="72">
        <f>IF('Rate Log'!$C$100="",0,IF('Rate Log'!$E$100="planned",('Rate Log'!$D$100+N(INDEX(sc_dpts,1)))*$C3899,'Rate Log'!$D$100))</f>
        <v>0</v>
      </c>
      <c r="E3899" s="73">
        <f>IF('Rate Log'!$C$100="",0,IF(1+$D3899&gt;0,LN(1+$D3899),0))</f>
        <v>0</v>
      </c>
      <c r="F3899" s="75">
        <f t="shared" si="1467"/>
        <v>0</v>
      </c>
      <c r="G3899" s="75">
        <f>IF($A3899="",0,COUNTIFS(rl_key,'Rate Log'!$J$100,$B$3806:$B$4045,$B3899,$A$3806:$A$4045,"&lt;"&amp;$A3899))</f>
        <v>0</v>
      </c>
      <c r="H3899" s="75">
        <f>IF($A3899="",0,COUNTIFS('Rate Log'!$J$7:$J$100,'Rate Log'!$J$100,$B$3806:$B3899,$B3899,$A$3806:$A3899,$A3899))</f>
        <v>0</v>
      </c>
      <c r="I3899" s="75">
        <f t="shared" si="1468"/>
        <v>0</v>
      </c>
      <c r="K3899" s="74" t="str">
        <f>IF('Rate Log'!$C$100="","",IF('Rate Log'!$E$100="planned",EDATE('Rate Log'!$C$100,N(INDEX(sc_shift,2))),'Rate Log'!$C$100))</f>
        <v/>
      </c>
      <c r="L3899" s="74" t="str">
        <f t="shared" si="1469"/>
        <v/>
      </c>
      <c r="M3899" s="72">
        <f>IF(N(INDEX(sc_ach,2))=0,IF('Rate Log'!$G$100="",1,'Rate Log'!$G$100),INDEX(sc_ach,2))</f>
        <v>1</v>
      </c>
      <c r="N3899" s="72">
        <f>IF('Rate Log'!$C$100="",0,IF('Rate Log'!$E$100="planned",('Rate Log'!$D$100+N(INDEX(sc_dpts,2)))*$M3899,'Rate Log'!$D$100))</f>
        <v>0</v>
      </c>
      <c r="O3899" s="73">
        <f>IF('Rate Log'!$C$100="",0,IF(1+$N3899&gt;0,LN(1+$N3899),0))</f>
        <v>0</v>
      </c>
      <c r="P3899" s="75">
        <f t="shared" si="1470"/>
        <v>0</v>
      </c>
      <c r="Q3899" s="75">
        <f>IF($K3899="",0,COUNTIFS(rl_key,'Rate Log'!$J$100,$L$3806:$L$4045,$L3899,$K$3806:$K$4045,"&lt;"&amp;$K3899))</f>
        <v>0</v>
      </c>
      <c r="R3899" s="75">
        <f>IF($K3899="",0,COUNTIFS('Rate Log'!$J$7:$J$100,'Rate Log'!$J$100,$L$3806:$L3899,$L3899,$K$3806:$K3899,$K3899))</f>
        <v>0</v>
      </c>
      <c r="S3899" s="75">
        <f t="shared" si="1471"/>
        <v>0</v>
      </c>
      <c r="U3899" s="74" t="str">
        <f>IF('Rate Log'!$C$100="","",IF('Rate Log'!$E$100="planned",EDATE('Rate Log'!$C$100,N(INDEX(sc_shift,3))),'Rate Log'!$C$100))</f>
        <v/>
      </c>
      <c r="V3899" s="74" t="str">
        <f t="shared" si="1472"/>
        <v/>
      </c>
      <c r="W3899" s="72">
        <f>IF(N(INDEX(sc_ach,3))=0,IF('Rate Log'!$G$100="",1,'Rate Log'!$G$100),INDEX(sc_ach,3))</f>
        <v>1</v>
      </c>
      <c r="X3899" s="72">
        <f>IF('Rate Log'!$C$100="",0,IF('Rate Log'!$E$100="planned",('Rate Log'!$D$100+N(INDEX(sc_dpts,3)))*$W3899,'Rate Log'!$D$100))</f>
        <v>0</v>
      </c>
      <c r="Y3899" s="73">
        <f>IF('Rate Log'!$C$100="",0,IF(1+$X3899&gt;0,LN(1+$X3899),0))</f>
        <v>0</v>
      </c>
      <c r="Z3899" s="75">
        <f t="shared" si="1473"/>
        <v>0</v>
      </c>
      <c r="AA3899" s="75">
        <f>IF($U3899="",0,COUNTIFS(rl_key,'Rate Log'!$J$100,$V$3806:$V$4045,$V3899,$U$3806:$U$4045,"&lt;"&amp;$U3899))</f>
        <v>0</v>
      </c>
      <c r="AB3899" s="75">
        <f>IF($U3899="",0,COUNTIFS('Rate Log'!$J$7:$J$100,'Rate Log'!$J$100,$V$3806:$V3899,$V3899,$U$3806:$U3899,$U3899))</f>
        <v>0</v>
      </c>
      <c r="AC3899" s="75">
        <f t="shared" si="1474"/>
        <v>0</v>
      </c>
      <c r="AE3899" s="74" t="str">
        <f>IF('Rate Log'!$C$100="","",IF('Rate Log'!$E$100="planned",EDATE('Rate Log'!$C$100,N(INDEX(sc_shift,4))),'Rate Log'!$C$100))</f>
        <v/>
      </c>
      <c r="AF3899" s="74" t="str">
        <f t="shared" si="1475"/>
        <v/>
      </c>
      <c r="AG3899" s="72">
        <f>IF(N(INDEX(sc_ach,4))=0,IF('Rate Log'!$G$100="",1,'Rate Log'!$G$100),INDEX(sc_ach,4))</f>
        <v>1</v>
      </c>
      <c r="AH3899" s="72">
        <f>IF('Rate Log'!$C$100="",0,IF('Rate Log'!$E$100="planned",('Rate Log'!$D$100+N(INDEX(sc_dpts,4)))*$AG3899,'Rate Log'!$D$100))</f>
        <v>0</v>
      </c>
      <c r="AI3899" s="73">
        <f>IF('Rate Log'!$C$100="",0,IF(1+$AH3899&gt;0,LN(1+$AH3899),0))</f>
        <v>0</v>
      </c>
      <c r="AJ3899" s="75">
        <f t="shared" si="1476"/>
        <v>0</v>
      </c>
      <c r="AK3899" s="75">
        <f>IF($AE3899="",0,COUNTIFS(rl_key,'Rate Log'!$J$100,$AF$3806:$AF$4045,$AF3899,$AE$3806:$AE$4045,"&lt;"&amp;$AE3899))</f>
        <v>0</v>
      </c>
      <c r="AL3899" s="75">
        <f>IF($AE3899="",0,COUNTIFS('Rate Log'!$J$7:$J$100,'Rate Log'!$J$100,$AF$3806:$AF3899,$AF3899,$AE$3806:$AE3899,$AE3899))</f>
        <v>0</v>
      </c>
      <c r="AM3899" s="75">
        <f t="shared" si="1477"/>
        <v>0</v>
      </c>
    </row>
    <row r="3900" spans="1:39" x14ac:dyDescent="0.3">
      <c r="A3900" s="74" t="str">
        <f>IF('Rate Log'!$C$101="","",IF('Rate Log'!$E$101="planned",EDATE('Rate Log'!$C$101,N(INDEX(sc_shift,1))),'Rate Log'!$C$101))</f>
        <v/>
      </c>
      <c r="B3900" s="74" t="str">
        <f t="shared" si="1466"/>
        <v/>
      </c>
      <c r="C3900" s="72">
        <f>IF(N(INDEX(sc_ach,1))=0,IF('Rate Log'!$G$101="",1,'Rate Log'!$G$101),INDEX(sc_ach,1))</f>
        <v>1</v>
      </c>
      <c r="D3900" s="72">
        <f>IF('Rate Log'!$C$101="",0,IF('Rate Log'!$E$101="planned",('Rate Log'!$D$101+N(INDEX(sc_dpts,1)))*$C3900,'Rate Log'!$D$101))</f>
        <v>0</v>
      </c>
      <c r="E3900" s="73">
        <f>IF('Rate Log'!$C$101="",0,IF(1+$D3900&gt;0,LN(1+$D3900),0))</f>
        <v>0</v>
      </c>
      <c r="F3900" s="75">
        <f t="shared" si="1467"/>
        <v>0</v>
      </c>
      <c r="G3900" s="75">
        <f>IF($A3900="",0,COUNTIFS(rl_key,'Rate Log'!$J$101,$B$3806:$B$4045,$B3900,$A$3806:$A$4045,"&lt;"&amp;$A3900))</f>
        <v>0</v>
      </c>
      <c r="H3900" s="75">
        <f>IF($A3900="",0,COUNTIFS('Rate Log'!$J$7:$J$101,'Rate Log'!$J$101,$B$3806:$B3900,$B3900,$A$3806:$A3900,$A3900))</f>
        <v>0</v>
      </c>
      <c r="I3900" s="75">
        <f t="shared" si="1468"/>
        <v>0</v>
      </c>
      <c r="K3900" s="74" t="str">
        <f>IF('Rate Log'!$C$101="","",IF('Rate Log'!$E$101="planned",EDATE('Rate Log'!$C$101,N(INDEX(sc_shift,2))),'Rate Log'!$C$101))</f>
        <v/>
      </c>
      <c r="L3900" s="74" t="str">
        <f t="shared" si="1469"/>
        <v/>
      </c>
      <c r="M3900" s="72">
        <f>IF(N(INDEX(sc_ach,2))=0,IF('Rate Log'!$G$101="",1,'Rate Log'!$G$101),INDEX(sc_ach,2))</f>
        <v>1</v>
      </c>
      <c r="N3900" s="72">
        <f>IF('Rate Log'!$C$101="",0,IF('Rate Log'!$E$101="planned",('Rate Log'!$D$101+N(INDEX(sc_dpts,2)))*$M3900,'Rate Log'!$D$101))</f>
        <v>0</v>
      </c>
      <c r="O3900" s="73">
        <f>IF('Rate Log'!$C$101="",0,IF(1+$N3900&gt;0,LN(1+$N3900),0))</f>
        <v>0</v>
      </c>
      <c r="P3900" s="75">
        <f t="shared" si="1470"/>
        <v>0</v>
      </c>
      <c r="Q3900" s="75">
        <f>IF($K3900="",0,COUNTIFS(rl_key,'Rate Log'!$J$101,$L$3806:$L$4045,$L3900,$K$3806:$K$4045,"&lt;"&amp;$K3900))</f>
        <v>0</v>
      </c>
      <c r="R3900" s="75">
        <f>IF($K3900="",0,COUNTIFS('Rate Log'!$J$7:$J$101,'Rate Log'!$J$101,$L$3806:$L3900,$L3900,$K$3806:$K3900,$K3900))</f>
        <v>0</v>
      </c>
      <c r="S3900" s="75">
        <f t="shared" si="1471"/>
        <v>0</v>
      </c>
      <c r="U3900" s="74" t="str">
        <f>IF('Rate Log'!$C$101="","",IF('Rate Log'!$E$101="planned",EDATE('Rate Log'!$C$101,N(INDEX(sc_shift,3))),'Rate Log'!$C$101))</f>
        <v/>
      </c>
      <c r="V3900" s="74" t="str">
        <f t="shared" si="1472"/>
        <v/>
      </c>
      <c r="W3900" s="72">
        <f>IF(N(INDEX(sc_ach,3))=0,IF('Rate Log'!$G$101="",1,'Rate Log'!$G$101),INDEX(sc_ach,3))</f>
        <v>1</v>
      </c>
      <c r="X3900" s="72">
        <f>IF('Rate Log'!$C$101="",0,IF('Rate Log'!$E$101="planned",('Rate Log'!$D$101+N(INDEX(sc_dpts,3)))*$W3900,'Rate Log'!$D$101))</f>
        <v>0</v>
      </c>
      <c r="Y3900" s="73">
        <f>IF('Rate Log'!$C$101="",0,IF(1+$X3900&gt;0,LN(1+$X3900),0))</f>
        <v>0</v>
      </c>
      <c r="Z3900" s="75">
        <f t="shared" si="1473"/>
        <v>0</v>
      </c>
      <c r="AA3900" s="75">
        <f>IF($U3900="",0,COUNTIFS(rl_key,'Rate Log'!$J$101,$V$3806:$V$4045,$V3900,$U$3806:$U$4045,"&lt;"&amp;$U3900))</f>
        <v>0</v>
      </c>
      <c r="AB3900" s="75">
        <f>IF($U3900="",0,COUNTIFS('Rate Log'!$J$7:$J$101,'Rate Log'!$J$101,$V$3806:$V3900,$V3900,$U$3806:$U3900,$U3900))</f>
        <v>0</v>
      </c>
      <c r="AC3900" s="75">
        <f t="shared" si="1474"/>
        <v>0</v>
      </c>
      <c r="AE3900" s="74" t="str">
        <f>IF('Rate Log'!$C$101="","",IF('Rate Log'!$E$101="planned",EDATE('Rate Log'!$C$101,N(INDEX(sc_shift,4))),'Rate Log'!$C$101))</f>
        <v/>
      </c>
      <c r="AF3900" s="74" t="str">
        <f t="shared" si="1475"/>
        <v/>
      </c>
      <c r="AG3900" s="72">
        <f>IF(N(INDEX(sc_ach,4))=0,IF('Rate Log'!$G$101="",1,'Rate Log'!$G$101),INDEX(sc_ach,4))</f>
        <v>1</v>
      </c>
      <c r="AH3900" s="72">
        <f>IF('Rate Log'!$C$101="",0,IF('Rate Log'!$E$101="planned",('Rate Log'!$D$101+N(INDEX(sc_dpts,4)))*$AG3900,'Rate Log'!$D$101))</f>
        <v>0</v>
      </c>
      <c r="AI3900" s="73">
        <f>IF('Rate Log'!$C$101="",0,IF(1+$AH3900&gt;0,LN(1+$AH3900),0))</f>
        <v>0</v>
      </c>
      <c r="AJ3900" s="75">
        <f t="shared" si="1476"/>
        <v>0</v>
      </c>
      <c r="AK3900" s="75">
        <f>IF($AE3900="",0,COUNTIFS(rl_key,'Rate Log'!$J$101,$AF$3806:$AF$4045,$AF3900,$AE$3806:$AE$4045,"&lt;"&amp;$AE3900))</f>
        <v>0</v>
      </c>
      <c r="AL3900" s="75">
        <f>IF($AE3900="",0,COUNTIFS('Rate Log'!$J$7:$J$101,'Rate Log'!$J$101,$AF$3806:$AF3900,$AF3900,$AE$3806:$AE3900,$AE3900))</f>
        <v>0</v>
      </c>
      <c r="AM3900" s="75">
        <f t="shared" si="1477"/>
        <v>0</v>
      </c>
    </row>
    <row r="3901" spans="1:39" x14ac:dyDescent="0.3">
      <c r="A3901" s="74" t="str">
        <f>IF('Rate Log'!$C$102="","",IF('Rate Log'!$E$102="planned",EDATE('Rate Log'!$C$102,N(INDEX(sc_shift,1))),'Rate Log'!$C$102))</f>
        <v/>
      </c>
      <c r="B3901" s="74" t="str">
        <f t="shared" si="1466"/>
        <v/>
      </c>
      <c r="C3901" s="72">
        <f>IF(N(INDEX(sc_ach,1))=0,IF('Rate Log'!$G$102="",1,'Rate Log'!$G$102),INDEX(sc_ach,1))</f>
        <v>1</v>
      </c>
      <c r="D3901" s="72">
        <f>IF('Rate Log'!$C$102="",0,IF('Rate Log'!$E$102="planned",('Rate Log'!$D$102+N(INDEX(sc_dpts,1)))*$C3901,'Rate Log'!$D$102))</f>
        <v>0</v>
      </c>
      <c r="E3901" s="73">
        <f>IF('Rate Log'!$C$102="",0,IF(1+$D3901&gt;0,LN(1+$D3901),0))</f>
        <v>0</v>
      </c>
      <c r="F3901" s="75">
        <f t="shared" si="1467"/>
        <v>0</v>
      </c>
      <c r="G3901" s="75">
        <f>IF($A3901="",0,COUNTIFS(rl_key,'Rate Log'!$J$102,$B$3806:$B$4045,$B3901,$A$3806:$A$4045,"&lt;"&amp;$A3901))</f>
        <v>0</v>
      </c>
      <c r="H3901" s="75">
        <f>IF($A3901="",0,COUNTIFS('Rate Log'!$J$7:$J$102,'Rate Log'!$J$102,$B$3806:$B3901,$B3901,$A$3806:$A3901,$A3901))</f>
        <v>0</v>
      </c>
      <c r="I3901" s="75">
        <f t="shared" si="1468"/>
        <v>0</v>
      </c>
      <c r="K3901" s="74" t="str">
        <f>IF('Rate Log'!$C$102="","",IF('Rate Log'!$E$102="planned",EDATE('Rate Log'!$C$102,N(INDEX(sc_shift,2))),'Rate Log'!$C$102))</f>
        <v/>
      </c>
      <c r="L3901" s="74" t="str">
        <f t="shared" si="1469"/>
        <v/>
      </c>
      <c r="M3901" s="72">
        <f>IF(N(INDEX(sc_ach,2))=0,IF('Rate Log'!$G$102="",1,'Rate Log'!$G$102),INDEX(sc_ach,2))</f>
        <v>1</v>
      </c>
      <c r="N3901" s="72">
        <f>IF('Rate Log'!$C$102="",0,IF('Rate Log'!$E$102="planned",('Rate Log'!$D$102+N(INDEX(sc_dpts,2)))*$M3901,'Rate Log'!$D$102))</f>
        <v>0</v>
      </c>
      <c r="O3901" s="73">
        <f>IF('Rate Log'!$C$102="",0,IF(1+$N3901&gt;0,LN(1+$N3901),0))</f>
        <v>0</v>
      </c>
      <c r="P3901" s="75">
        <f t="shared" si="1470"/>
        <v>0</v>
      </c>
      <c r="Q3901" s="75">
        <f>IF($K3901="",0,COUNTIFS(rl_key,'Rate Log'!$J$102,$L$3806:$L$4045,$L3901,$K$3806:$K$4045,"&lt;"&amp;$K3901))</f>
        <v>0</v>
      </c>
      <c r="R3901" s="75">
        <f>IF($K3901="",0,COUNTIFS('Rate Log'!$J$7:$J$102,'Rate Log'!$J$102,$L$3806:$L3901,$L3901,$K$3806:$K3901,$K3901))</f>
        <v>0</v>
      </c>
      <c r="S3901" s="75">
        <f t="shared" si="1471"/>
        <v>0</v>
      </c>
      <c r="U3901" s="74" t="str">
        <f>IF('Rate Log'!$C$102="","",IF('Rate Log'!$E$102="planned",EDATE('Rate Log'!$C$102,N(INDEX(sc_shift,3))),'Rate Log'!$C$102))</f>
        <v/>
      </c>
      <c r="V3901" s="74" t="str">
        <f t="shared" si="1472"/>
        <v/>
      </c>
      <c r="W3901" s="72">
        <f>IF(N(INDEX(sc_ach,3))=0,IF('Rate Log'!$G$102="",1,'Rate Log'!$G$102),INDEX(sc_ach,3))</f>
        <v>1</v>
      </c>
      <c r="X3901" s="72">
        <f>IF('Rate Log'!$C$102="",0,IF('Rate Log'!$E$102="planned",('Rate Log'!$D$102+N(INDEX(sc_dpts,3)))*$W3901,'Rate Log'!$D$102))</f>
        <v>0</v>
      </c>
      <c r="Y3901" s="73">
        <f>IF('Rate Log'!$C$102="",0,IF(1+$X3901&gt;0,LN(1+$X3901),0))</f>
        <v>0</v>
      </c>
      <c r="Z3901" s="75">
        <f t="shared" si="1473"/>
        <v>0</v>
      </c>
      <c r="AA3901" s="75">
        <f>IF($U3901="",0,COUNTIFS(rl_key,'Rate Log'!$J$102,$V$3806:$V$4045,$V3901,$U$3806:$U$4045,"&lt;"&amp;$U3901))</f>
        <v>0</v>
      </c>
      <c r="AB3901" s="75">
        <f>IF($U3901="",0,COUNTIFS('Rate Log'!$J$7:$J$102,'Rate Log'!$J$102,$V$3806:$V3901,$V3901,$U$3806:$U3901,$U3901))</f>
        <v>0</v>
      </c>
      <c r="AC3901" s="75">
        <f t="shared" si="1474"/>
        <v>0</v>
      </c>
      <c r="AE3901" s="74" t="str">
        <f>IF('Rate Log'!$C$102="","",IF('Rate Log'!$E$102="planned",EDATE('Rate Log'!$C$102,N(INDEX(sc_shift,4))),'Rate Log'!$C$102))</f>
        <v/>
      </c>
      <c r="AF3901" s="74" t="str">
        <f t="shared" si="1475"/>
        <v/>
      </c>
      <c r="AG3901" s="72">
        <f>IF(N(INDEX(sc_ach,4))=0,IF('Rate Log'!$G$102="",1,'Rate Log'!$G$102),INDEX(sc_ach,4))</f>
        <v>1</v>
      </c>
      <c r="AH3901" s="72">
        <f>IF('Rate Log'!$C$102="",0,IF('Rate Log'!$E$102="planned",('Rate Log'!$D$102+N(INDEX(sc_dpts,4)))*$AG3901,'Rate Log'!$D$102))</f>
        <v>0</v>
      </c>
      <c r="AI3901" s="73">
        <f>IF('Rate Log'!$C$102="",0,IF(1+$AH3901&gt;0,LN(1+$AH3901),0))</f>
        <v>0</v>
      </c>
      <c r="AJ3901" s="75">
        <f t="shared" si="1476"/>
        <v>0</v>
      </c>
      <c r="AK3901" s="75">
        <f>IF($AE3901="",0,COUNTIFS(rl_key,'Rate Log'!$J$102,$AF$3806:$AF$4045,$AF3901,$AE$3806:$AE$4045,"&lt;"&amp;$AE3901))</f>
        <v>0</v>
      </c>
      <c r="AL3901" s="75">
        <f>IF($AE3901="",0,COUNTIFS('Rate Log'!$J$7:$J$102,'Rate Log'!$J$102,$AF$3806:$AF3901,$AF3901,$AE$3806:$AE3901,$AE3901))</f>
        <v>0</v>
      </c>
      <c r="AM3901" s="75">
        <f t="shared" si="1477"/>
        <v>0</v>
      </c>
    </row>
    <row r="3902" spans="1:39" x14ac:dyDescent="0.3">
      <c r="A3902" s="74" t="str">
        <f>IF('Rate Log'!$C$103="","",IF('Rate Log'!$E$103="planned",EDATE('Rate Log'!$C$103,N(INDEX(sc_shift,1))),'Rate Log'!$C$103))</f>
        <v/>
      </c>
      <c r="B3902" s="74" t="str">
        <f t="shared" si="1466"/>
        <v/>
      </c>
      <c r="C3902" s="72">
        <f>IF(N(INDEX(sc_ach,1))=0,IF('Rate Log'!$G$103="",1,'Rate Log'!$G$103),INDEX(sc_ach,1))</f>
        <v>1</v>
      </c>
      <c r="D3902" s="72">
        <f>IF('Rate Log'!$C$103="",0,IF('Rate Log'!$E$103="planned",('Rate Log'!$D$103+N(INDEX(sc_dpts,1)))*$C3902,'Rate Log'!$D$103))</f>
        <v>0</v>
      </c>
      <c r="E3902" s="73">
        <f>IF('Rate Log'!$C$103="",0,IF(1+$D3902&gt;0,LN(1+$D3902),0))</f>
        <v>0</v>
      </c>
      <c r="F3902" s="75">
        <f t="shared" si="1467"/>
        <v>0</v>
      </c>
      <c r="G3902" s="75">
        <f>IF($A3902="",0,COUNTIFS(rl_key,'Rate Log'!$J$103,$B$3806:$B$4045,$B3902,$A$3806:$A$4045,"&lt;"&amp;$A3902))</f>
        <v>0</v>
      </c>
      <c r="H3902" s="75">
        <f>IF($A3902="",0,COUNTIFS('Rate Log'!$J$7:$J$103,'Rate Log'!$J$103,$B$3806:$B3902,$B3902,$A$3806:$A3902,$A3902))</f>
        <v>0</v>
      </c>
      <c r="I3902" s="75">
        <f t="shared" si="1468"/>
        <v>0</v>
      </c>
      <c r="K3902" s="74" t="str">
        <f>IF('Rate Log'!$C$103="","",IF('Rate Log'!$E$103="planned",EDATE('Rate Log'!$C$103,N(INDEX(sc_shift,2))),'Rate Log'!$C$103))</f>
        <v/>
      </c>
      <c r="L3902" s="74" t="str">
        <f t="shared" si="1469"/>
        <v/>
      </c>
      <c r="M3902" s="72">
        <f>IF(N(INDEX(sc_ach,2))=0,IF('Rate Log'!$G$103="",1,'Rate Log'!$G$103),INDEX(sc_ach,2))</f>
        <v>1</v>
      </c>
      <c r="N3902" s="72">
        <f>IF('Rate Log'!$C$103="",0,IF('Rate Log'!$E$103="planned",('Rate Log'!$D$103+N(INDEX(sc_dpts,2)))*$M3902,'Rate Log'!$D$103))</f>
        <v>0</v>
      </c>
      <c r="O3902" s="73">
        <f>IF('Rate Log'!$C$103="",0,IF(1+$N3902&gt;0,LN(1+$N3902),0))</f>
        <v>0</v>
      </c>
      <c r="P3902" s="75">
        <f t="shared" si="1470"/>
        <v>0</v>
      </c>
      <c r="Q3902" s="75">
        <f>IF($K3902="",0,COUNTIFS(rl_key,'Rate Log'!$J$103,$L$3806:$L$4045,$L3902,$K$3806:$K$4045,"&lt;"&amp;$K3902))</f>
        <v>0</v>
      </c>
      <c r="R3902" s="75">
        <f>IF($K3902="",0,COUNTIFS('Rate Log'!$J$7:$J$103,'Rate Log'!$J$103,$L$3806:$L3902,$L3902,$K$3806:$K3902,$K3902))</f>
        <v>0</v>
      </c>
      <c r="S3902" s="75">
        <f t="shared" si="1471"/>
        <v>0</v>
      </c>
      <c r="U3902" s="74" t="str">
        <f>IF('Rate Log'!$C$103="","",IF('Rate Log'!$E$103="planned",EDATE('Rate Log'!$C$103,N(INDEX(sc_shift,3))),'Rate Log'!$C$103))</f>
        <v/>
      </c>
      <c r="V3902" s="74" t="str">
        <f t="shared" si="1472"/>
        <v/>
      </c>
      <c r="W3902" s="72">
        <f>IF(N(INDEX(sc_ach,3))=0,IF('Rate Log'!$G$103="",1,'Rate Log'!$G$103),INDEX(sc_ach,3))</f>
        <v>1</v>
      </c>
      <c r="X3902" s="72">
        <f>IF('Rate Log'!$C$103="",0,IF('Rate Log'!$E$103="planned",('Rate Log'!$D$103+N(INDEX(sc_dpts,3)))*$W3902,'Rate Log'!$D$103))</f>
        <v>0</v>
      </c>
      <c r="Y3902" s="73">
        <f>IF('Rate Log'!$C$103="",0,IF(1+$X3902&gt;0,LN(1+$X3902),0))</f>
        <v>0</v>
      </c>
      <c r="Z3902" s="75">
        <f t="shared" si="1473"/>
        <v>0</v>
      </c>
      <c r="AA3902" s="75">
        <f>IF($U3902="",0,COUNTIFS(rl_key,'Rate Log'!$J$103,$V$3806:$V$4045,$V3902,$U$3806:$U$4045,"&lt;"&amp;$U3902))</f>
        <v>0</v>
      </c>
      <c r="AB3902" s="75">
        <f>IF($U3902="",0,COUNTIFS('Rate Log'!$J$7:$J$103,'Rate Log'!$J$103,$V$3806:$V3902,$V3902,$U$3806:$U3902,$U3902))</f>
        <v>0</v>
      </c>
      <c r="AC3902" s="75">
        <f t="shared" si="1474"/>
        <v>0</v>
      </c>
      <c r="AE3902" s="74" t="str">
        <f>IF('Rate Log'!$C$103="","",IF('Rate Log'!$E$103="planned",EDATE('Rate Log'!$C$103,N(INDEX(sc_shift,4))),'Rate Log'!$C$103))</f>
        <v/>
      </c>
      <c r="AF3902" s="74" t="str">
        <f t="shared" si="1475"/>
        <v/>
      </c>
      <c r="AG3902" s="72">
        <f>IF(N(INDEX(sc_ach,4))=0,IF('Rate Log'!$G$103="",1,'Rate Log'!$G$103),INDEX(sc_ach,4))</f>
        <v>1</v>
      </c>
      <c r="AH3902" s="72">
        <f>IF('Rate Log'!$C$103="",0,IF('Rate Log'!$E$103="planned",('Rate Log'!$D$103+N(INDEX(sc_dpts,4)))*$AG3902,'Rate Log'!$D$103))</f>
        <v>0</v>
      </c>
      <c r="AI3902" s="73">
        <f>IF('Rate Log'!$C$103="",0,IF(1+$AH3902&gt;0,LN(1+$AH3902),0))</f>
        <v>0</v>
      </c>
      <c r="AJ3902" s="75">
        <f t="shared" si="1476"/>
        <v>0</v>
      </c>
      <c r="AK3902" s="75">
        <f>IF($AE3902="",0,COUNTIFS(rl_key,'Rate Log'!$J$103,$AF$3806:$AF$4045,$AF3902,$AE$3806:$AE$4045,"&lt;"&amp;$AE3902))</f>
        <v>0</v>
      </c>
      <c r="AL3902" s="75">
        <f>IF($AE3902="",0,COUNTIFS('Rate Log'!$J$7:$J$103,'Rate Log'!$J$103,$AF$3806:$AF3902,$AF3902,$AE$3806:$AE3902,$AE3902))</f>
        <v>0</v>
      </c>
      <c r="AM3902" s="75">
        <f t="shared" si="1477"/>
        <v>0</v>
      </c>
    </row>
    <row r="3903" spans="1:39" x14ac:dyDescent="0.3">
      <c r="A3903" s="74" t="str">
        <f>IF('Rate Log'!$C$104="","",IF('Rate Log'!$E$104="planned",EDATE('Rate Log'!$C$104,N(INDEX(sc_shift,1))),'Rate Log'!$C$104))</f>
        <v/>
      </c>
      <c r="B3903" s="74" t="str">
        <f t="shared" si="1466"/>
        <v/>
      </c>
      <c r="C3903" s="72">
        <f>IF(N(INDEX(sc_ach,1))=0,IF('Rate Log'!$G$104="",1,'Rate Log'!$G$104),INDEX(sc_ach,1))</f>
        <v>1</v>
      </c>
      <c r="D3903" s="72">
        <f>IF('Rate Log'!$C$104="",0,IF('Rate Log'!$E$104="planned",('Rate Log'!$D$104+N(INDEX(sc_dpts,1)))*$C3903,'Rate Log'!$D$104))</f>
        <v>0</v>
      </c>
      <c r="E3903" s="73">
        <f>IF('Rate Log'!$C$104="",0,IF(1+$D3903&gt;0,LN(1+$D3903),0))</f>
        <v>0</v>
      </c>
      <c r="F3903" s="75">
        <f t="shared" si="1467"/>
        <v>0</v>
      </c>
      <c r="G3903" s="75">
        <f>IF($A3903="",0,COUNTIFS(rl_key,'Rate Log'!$J$104,$B$3806:$B$4045,$B3903,$A$3806:$A$4045,"&lt;"&amp;$A3903))</f>
        <v>0</v>
      </c>
      <c r="H3903" s="75">
        <f>IF($A3903="",0,COUNTIFS('Rate Log'!$J$7:$J$104,'Rate Log'!$J$104,$B$3806:$B3903,$B3903,$A$3806:$A3903,$A3903))</f>
        <v>0</v>
      </c>
      <c r="I3903" s="75">
        <f t="shared" si="1468"/>
        <v>0</v>
      </c>
      <c r="K3903" s="74" t="str">
        <f>IF('Rate Log'!$C$104="","",IF('Rate Log'!$E$104="planned",EDATE('Rate Log'!$C$104,N(INDEX(sc_shift,2))),'Rate Log'!$C$104))</f>
        <v/>
      </c>
      <c r="L3903" s="74" t="str">
        <f t="shared" si="1469"/>
        <v/>
      </c>
      <c r="M3903" s="72">
        <f>IF(N(INDEX(sc_ach,2))=0,IF('Rate Log'!$G$104="",1,'Rate Log'!$G$104),INDEX(sc_ach,2))</f>
        <v>1</v>
      </c>
      <c r="N3903" s="72">
        <f>IF('Rate Log'!$C$104="",0,IF('Rate Log'!$E$104="planned",('Rate Log'!$D$104+N(INDEX(sc_dpts,2)))*$M3903,'Rate Log'!$D$104))</f>
        <v>0</v>
      </c>
      <c r="O3903" s="73">
        <f>IF('Rate Log'!$C$104="",0,IF(1+$N3903&gt;0,LN(1+$N3903),0))</f>
        <v>0</v>
      </c>
      <c r="P3903" s="75">
        <f t="shared" si="1470"/>
        <v>0</v>
      </c>
      <c r="Q3903" s="75">
        <f>IF($K3903="",0,COUNTIFS(rl_key,'Rate Log'!$J$104,$L$3806:$L$4045,$L3903,$K$3806:$K$4045,"&lt;"&amp;$K3903))</f>
        <v>0</v>
      </c>
      <c r="R3903" s="75">
        <f>IF($K3903="",0,COUNTIFS('Rate Log'!$J$7:$J$104,'Rate Log'!$J$104,$L$3806:$L3903,$L3903,$K$3806:$K3903,$K3903))</f>
        <v>0</v>
      </c>
      <c r="S3903" s="75">
        <f t="shared" si="1471"/>
        <v>0</v>
      </c>
      <c r="U3903" s="74" t="str">
        <f>IF('Rate Log'!$C$104="","",IF('Rate Log'!$E$104="planned",EDATE('Rate Log'!$C$104,N(INDEX(sc_shift,3))),'Rate Log'!$C$104))</f>
        <v/>
      </c>
      <c r="V3903" s="74" t="str">
        <f t="shared" si="1472"/>
        <v/>
      </c>
      <c r="W3903" s="72">
        <f>IF(N(INDEX(sc_ach,3))=0,IF('Rate Log'!$G$104="",1,'Rate Log'!$G$104),INDEX(sc_ach,3))</f>
        <v>1</v>
      </c>
      <c r="X3903" s="72">
        <f>IF('Rate Log'!$C$104="",0,IF('Rate Log'!$E$104="planned",('Rate Log'!$D$104+N(INDEX(sc_dpts,3)))*$W3903,'Rate Log'!$D$104))</f>
        <v>0</v>
      </c>
      <c r="Y3903" s="73">
        <f>IF('Rate Log'!$C$104="",0,IF(1+$X3903&gt;0,LN(1+$X3903),0))</f>
        <v>0</v>
      </c>
      <c r="Z3903" s="75">
        <f t="shared" si="1473"/>
        <v>0</v>
      </c>
      <c r="AA3903" s="75">
        <f>IF($U3903="",0,COUNTIFS(rl_key,'Rate Log'!$J$104,$V$3806:$V$4045,$V3903,$U$3806:$U$4045,"&lt;"&amp;$U3903))</f>
        <v>0</v>
      </c>
      <c r="AB3903" s="75">
        <f>IF($U3903="",0,COUNTIFS('Rate Log'!$J$7:$J$104,'Rate Log'!$J$104,$V$3806:$V3903,$V3903,$U$3806:$U3903,$U3903))</f>
        <v>0</v>
      </c>
      <c r="AC3903" s="75">
        <f t="shared" si="1474"/>
        <v>0</v>
      </c>
      <c r="AE3903" s="74" t="str">
        <f>IF('Rate Log'!$C$104="","",IF('Rate Log'!$E$104="planned",EDATE('Rate Log'!$C$104,N(INDEX(sc_shift,4))),'Rate Log'!$C$104))</f>
        <v/>
      </c>
      <c r="AF3903" s="74" t="str">
        <f t="shared" si="1475"/>
        <v/>
      </c>
      <c r="AG3903" s="72">
        <f>IF(N(INDEX(sc_ach,4))=0,IF('Rate Log'!$G$104="",1,'Rate Log'!$G$104),INDEX(sc_ach,4))</f>
        <v>1</v>
      </c>
      <c r="AH3903" s="72">
        <f>IF('Rate Log'!$C$104="",0,IF('Rate Log'!$E$104="planned",('Rate Log'!$D$104+N(INDEX(sc_dpts,4)))*$AG3903,'Rate Log'!$D$104))</f>
        <v>0</v>
      </c>
      <c r="AI3903" s="73">
        <f>IF('Rate Log'!$C$104="",0,IF(1+$AH3903&gt;0,LN(1+$AH3903),0))</f>
        <v>0</v>
      </c>
      <c r="AJ3903" s="75">
        <f t="shared" si="1476"/>
        <v>0</v>
      </c>
      <c r="AK3903" s="75">
        <f>IF($AE3903="",0,COUNTIFS(rl_key,'Rate Log'!$J$104,$AF$3806:$AF$4045,$AF3903,$AE$3806:$AE$4045,"&lt;"&amp;$AE3903))</f>
        <v>0</v>
      </c>
      <c r="AL3903" s="75">
        <f>IF($AE3903="",0,COUNTIFS('Rate Log'!$J$7:$J$104,'Rate Log'!$J$104,$AF$3806:$AF3903,$AF3903,$AE$3806:$AE3903,$AE3903))</f>
        <v>0</v>
      </c>
      <c r="AM3903" s="75">
        <f t="shared" si="1477"/>
        <v>0</v>
      </c>
    </row>
    <row r="3904" spans="1:39" x14ac:dyDescent="0.3">
      <c r="A3904" s="74" t="str">
        <f>IF('Rate Log'!$C$105="","",IF('Rate Log'!$E$105="planned",EDATE('Rate Log'!$C$105,N(INDEX(sc_shift,1))),'Rate Log'!$C$105))</f>
        <v/>
      </c>
      <c r="B3904" s="74" t="str">
        <f t="shared" si="1466"/>
        <v/>
      </c>
      <c r="C3904" s="72">
        <f>IF(N(INDEX(sc_ach,1))=0,IF('Rate Log'!$G$105="",1,'Rate Log'!$G$105),INDEX(sc_ach,1))</f>
        <v>1</v>
      </c>
      <c r="D3904" s="72">
        <f>IF('Rate Log'!$C$105="",0,IF('Rate Log'!$E$105="planned",('Rate Log'!$D$105+N(INDEX(sc_dpts,1)))*$C3904,'Rate Log'!$D$105))</f>
        <v>0</v>
      </c>
      <c r="E3904" s="73">
        <f>IF('Rate Log'!$C$105="",0,IF(1+$D3904&gt;0,LN(1+$D3904),0))</f>
        <v>0</v>
      </c>
      <c r="F3904" s="75">
        <f t="shared" si="1467"/>
        <v>0</v>
      </c>
      <c r="G3904" s="75">
        <f>IF($A3904="",0,COUNTIFS(rl_key,'Rate Log'!$J$105,$B$3806:$B$4045,$B3904,$A$3806:$A$4045,"&lt;"&amp;$A3904))</f>
        <v>0</v>
      </c>
      <c r="H3904" s="75">
        <f>IF($A3904="",0,COUNTIFS('Rate Log'!$J$7:$J$105,'Rate Log'!$J$105,$B$3806:$B3904,$B3904,$A$3806:$A3904,$A3904))</f>
        <v>0</v>
      </c>
      <c r="I3904" s="75">
        <f t="shared" si="1468"/>
        <v>0</v>
      </c>
      <c r="K3904" s="74" t="str">
        <f>IF('Rate Log'!$C$105="","",IF('Rate Log'!$E$105="planned",EDATE('Rate Log'!$C$105,N(INDEX(sc_shift,2))),'Rate Log'!$C$105))</f>
        <v/>
      </c>
      <c r="L3904" s="74" t="str">
        <f t="shared" si="1469"/>
        <v/>
      </c>
      <c r="M3904" s="72">
        <f>IF(N(INDEX(sc_ach,2))=0,IF('Rate Log'!$G$105="",1,'Rate Log'!$G$105),INDEX(sc_ach,2))</f>
        <v>1</v>
      </c>
      <c r="N3904" s="72">
        <f>IF('Rate Log'!$C$105="",0,IF('Rate Log'!$E$105="planned",('Rate Log'!$D$105+N(INDEX(sc_dpts,2)))*$M3904,'Rate Log'!$D$105))</f>
        <v>0</v>
      </c>
      <c r="O3904" s="73">
        <f>IF('Rate Log'!$C$105="",0,IF(1+$N3904&gt;0,LN(1+$N3904),0))</f>
        <v>0</v>
      </c>
      <c r="P3904" s="75">
        <f t="shared" si="1470"/>
        <v>0</v>
      </c>
      <c r="Q3904" s="75">
        <f>IF($K3904="",0,COUNTIFS(rl_key,'Rate Log'!$J$105,$L$3806:$L$4045,$L3904,$K$3806:$K$4045,"&lt;"&amp;$K3904))</f>
        <v>0</v>
      </c>
      <c r="R3904" s="75">
        <f>IF($K3904="",0,COUNTIFS('Rate Log'!$J$7:$J$105,'Rate Log'!$J$105,$L$3806:$L3904,$L3904,$K$3806:$K3904,$K3904))</f>
        <v>0</v>
      </c>
      <c r="S3904" s="75">
        <f t="shared" si="1471"/>
        <v>0</v>
      </c>
      <c r="U3904" s="74" t="str">
        <f>IF('Rate Log'!$C$105="","",IF('Rate Log'!$E$105="planned",EDATE('Rate Log'!$C$105,N(INDEX(sc_shift,3))),'Rate Log'!$C$105))</f>
        <v/>
      </c>
      <c r="V3904" s="74" t="str">
        <f t="shared" si="1472"/>
        <v/>
      </c>
      <c r="W3904" s="72">
        <f>IF(N(INDEX(sc_ach,3))=0,IF('Rate Log'!$G$105="",1,'Rate Log'!$G$105),INDEX(sc_ach,3))</f>
        <v>1</v>
      </c>
      <c r="X3904" s="72">
        <f>IF('Rate Log'!$C$105="",0,IF('Rate Log'!$E$105="planned",('Rate Log'!$D$105+N(INDEX(sc_dpts,3)))*$W3904,'Rate Log'!$D$105))</f>
        <v>0</v>
      </c>
      <c r="Y3904" s="73">
        <f>IF('Rate Log'!$C$105="",0,IF(1+$X3904&gt;0,LN(1+$X3904),0))</f>
        <v>0</v>
      </c>
      <c r="Z3904" s="75">
        <f t="shared" si="1473"/>
        <v>0</v>
      </c>
      <c r="AA3904" s="75">
        <f>IF($U3904="",0,COUNTIFS(rl_key,'Rate Log'!$J$105,$V$3806:$V$4045,$V3904,$U$3806:$U$4045,"&lt;"&amp;$U3904))</f>
        <v>0</v>
      </c>
      <c r="AB3904" s="75">
        <f>IF($U3904="",0,COUNTIFS('Rate Log'!$J$7:$J$105,'Rate Log'!$J$105,$V$3806:$V3904,$V3904,$U$3806:$U3904,$U3904))</f>
        <v>0</v>
      </c>
      <c r="AC3904" s="75">
        <f t="shared" si="1474"/>
        <v>0</v>
      </c>
      <c r="AE3904" s="74" t="str">
        <f>IF('Rate Log'!$C$105="","",IF('Rate Log'!$E$105="planned",EDATE('Rate Log'!$C$105,N(INDEX(sc_shift,4))),'Rate Log'!$C$105))</f>
        <v/>
      </c>
      <c r="AF3904" s="74" t="str">
        <f t="shared" si="1475"/>
        <v/>
      </c>
      <c r="AG3904" s="72">
        <f>IF(N(INDEX(sc_ach,4))=0,IF('Rate Log'!$G$105="",1,'Rate Log'!$G$105),INDEX(sc_ach,4))</f>
        <v>1</v>
      </c>
      <c r="AH3904" s="72">
        <f>IF('Rate Log'!$C$105="",0,IF('Rate Log'!$E$105="planned",('Rate Log'!$D$105+N(INDEX(sc_dpts,4)))*$AG3904,'Rate Log'!$D$105))</f>
        <v>0</v>
      </c>
      <c r="AI3904" s="73">
        <f>IF('Rate Log'!$C$105="",0,IF(1+$AH3904&gt;0,LN(1+$AH3904),0))</f>
        <v>0</v>
      </c>
      <c r="AJ3904" s="75">
        <f t="shared" si="1476"/>
        <v>0</v>
      </c>
      <c r="AK3904" s="75">
        <f>IF($AE3904="",0,COUNTIFS(rl_key,'Rate Log'!$J$105,$AF$3806:$AF$4045,$AF3904,$AE$3806:$AE$4045,"&lt;"&amp;$AE3904))</f>
        <v>0</v>
      </c>
      <c r="AL3904" s="75">
        <f>IF($AE3904="",0,COUNTIFS('Rate Log'!$J$7:$J$105,'Rate Log'!$J$105,$AF$3806:$AF3904,$AF3904,$AE$3806:$AE3904,$AE3904))</f>
        <v>0</v>
      </c>
      <c r="AM3904" s="75">
        <f t="shared" si="1477"/>
        <v>0</v>
      </c>
    </row>
    <row r="3905" spans="1:39" x14ac:dyDescent="0.3">
      <c r="A3905" s="74" t="str">
        <f>IF('Rate Log'!$C$106="","",IF('Rate Log'!$E$106="planned",EDATE('Rate Log'!$C$106,N(INDEX(sc_shift,1))),'Rate Log'!$C$106))</f>
        <v/>
      </c>
      <c r="B3905" s="74" t="str">
        <f t="shared" si="1466"/>
        <v/>
      </c>
      <c r="C3905" s="72">
        <f>IF(N(INDEX(sc_ach,1))=0,IF('Rate Log'!$G$106="",1,'Rate Log'!$G$106),INDEX(sc_ach,1))</f>
        <v>1</v>
      </c>
      <c r="D3905" s="72">
        <f>IF('Rate Log'!$C$106="",0,IF('Rate Log'!$E$106="planned",('Rate Log'!$D$106+N(INDEX(sc_dpts,1)))*$C3905,'Rate Log'!$D$106))</f>
        <v>0</v>
      </c>
      <c r="E3905" s="73">
        <f>IF('Rate Log'!$C$106="",0,IF(1+$D3905&gt;0,LN(1+$D3905),0))</f>
        <v>0</v>
      </c>
      <c r="F3905" s="75">
        <f t="shared" si="1467"/>
        <v>0</v>
      </c>
      <c r="G3905" s="75">
        <f>IF($A3905="",0,COUNTIFS(rl_key,'Rate Log'!$J$106,$B$3806:$B$4045,$B3905,$A$3806:$A$4045,"&lt;"&amp;$A3905))</f>
        <v>0</v>
      </c>
      <c r="H3905" s="75">
        <f>IF($A3905="",0,COUNTIFS('Rate Log'!$J$7:$J$106,'Rate Log'!$J$106,$B$3806:$B3905,$B3905,$A$3806:$A3905,$A3905))</f>
        <v>0</v>
      </c>
      <c r="I3905" s="75">
        <f t="shared" si="1468"/>
        <v>0</v>
      </c>
      <c r="K3905" s="74" t="str">
        <f>IF('Rate Log'!$C$106="","",IF('Rate Log'!$E$106="planned",EDATE('Rate Log'!$C$106,N(INDEX(sc_shift,2))),'Rate Log'!$C$106))</f>
        <v/>
      </c>
      <c r="L3905" s="74" t="str">
        <f t="shared" si="1469"/>
        <v/>
      </c>
      <c r="M3905" s="72">
        <f>IF(N(INDEX(sc_ach,2))=0,IF('Rate Log'!$G$106="",1,'Rate Log'!$G$106),INDEX(sc_ach,2))</f>
        <v>1</v>
      </c>
      <c r="N3905" s="72">
        <f>IF('Rate Log'!$C$106="",0,IF('Rate Log'!$E$106="planned",('Rate Log'!$D$106+N(INDEX(sc_dpts,2)))*$M3905,'Rate Log'!$D$106))</f>
        <v>0</v>
      </c>
      <c r="O3905" s="73">
        <f>IF('Rate Log'!$C$106="",0,IF(1+$N3905&gt;0,LN(1+$N3905),0))</f>
        <v>0</v>
      </c>
      <c r="P3905" s="75">
        <f t="shared" si="1470"/>
        <v>0</v>
      </c>
      <c r="Q3905" s="75">
        <f>IF($K3905="",0,COUNTIFS(rl_key,'Rate Log'!$J$106,$L$3806:$L$4045,$L3905,$K$3806:$K$4045,"&lt;"&amp;$K3905))</f>
        <v>0</v>
      </c>
      <c r="R3905" s="75">
        <f>IF($K3905="",0,COUNTIFS('Rate Log'!$J$7:$J$106,'Rate Log'!$J$106,$L$3806:$L3905,$L3905,$K$3806:$K3905,$K3905))</f>
        <v>0</v>
      </c>
      <c r="S3905" s="75">
        <f t="shared" si="1471"/>
        <v>0</v>
      </c>
      <c r="U3905" s="74" t="str">
        <f>IF('Rate Log'!$C$106="","",IF('Rate Log'!$E$106="planned",EDATE('Rate Log'!$C$106,N(INDEX(sc_shift,3))),'Rate Log'!$C$106))</f>
        <v/>
      </c>
      <c r="V3905" s="74" t="str">
        <f t="shared" si="1472"/>
        <v/>
      </c>
      <c r="W3905" s="72">
        <f>IF(N(INDEX(sc_ach,3))=0,IF('Rate Log'!$G$106="",1,'Rate Log'!$G$106),INDEX(sc_ach,3))</f>
        <v>1</v>
      </c>
      <c r="X3905" s="72">
        <f>IF('Rate Log'!$C$106="",0,IF('Rate Log'!$E$106="planned",('Rate Log'!$D$106+N(INDEX(sc_dpts,3)))*$W3905,'Rate Log'!$D$106))</f>
        <v>0</v>
      </c>
      <c r="Y3905" s="73">
        <f>IF('Rate Log'!$C$106="",0,IF(1+$X3905&gt;0,LN(1+$X3905),0))</f>
        <v>0</v>
      </c>
      <c r="Z3905" s="75">
        <f t="shared" si="1473"/>
        <v>0</v>
      </c>
      <c r="AA3905" s="75">
        <f>IF($U3905="",0,COUNTIFS(rl_key,'Rate Log'!$J$106,$V$3806:$V$4045,$V3905,$U$3806:$U$4045,"&lt;"&amp;$U3905))</f>
        <v>0</v>
      </c>
      <c r="AB3905" s="75">
        <f>IF($U3905="",0,COUNTIFS('Rate Log'!$J$7:$J$106,'Rate Log'!$J$106,$V$3806:$V3905,$V3905,$U$3806:$U3905,$U3905))</f>
        <v>0</v>
      </c>
      <c r="AC3905" s="75">
        <f t="shared" si="1474"/>
        <v>0</v>
      </c>
      <c r="AE3905" s="74" t="str">
        <f>IF('Rate Log'!$C$106="","",IF('Rate Log'!$E$106="planned",EDATE('Rate Log'!$C$106,N(INDEX(sc_shift,4))),'Rate Log'!$C$106))</f>
        <v/>
      </c>
      <c r="AF3905" s="74" t="str">
        <f t="shared" si="1475"/>
        <v/>
      </c>
      <c r="AG3905" s="72">
        <f>IF(N(INDEX(sc_ach,4))=0,IF('Rate Log'!$G$106="",1,'Rate Log'!$G$106),INDEX(sc_ach,4))</f>
        <v>1</v>
      </c>
      <c r="AH3905" s="72">
        <f>IF('Rate Log'!$C$106="",0,IF('Rate Log'!$E$106="planned",('Rate Log'!$D$106+N(INDEX(sc_dpts,4)))*$AG3905,'Rate Log'!$D$106))</f>
        <v>0</v>
      </c>
      <c r="AI3905" s="73">
        <f>IF('Rate Log'!$C$106="",0,IF(1+$AH3905&gt;0,LN(1+$AH3905),0))</f>
        <v>0</v>
      </c>
      <c r="AJ3905" s="75">
        <f t="shared" si="1476"/>
        <v>0</v>
      </c>
      <c r="AK3905" s="75">
        <f>IF($AE3905="",0,COUNTIFS(rl_key,'Rate Log'!$J$106,$AF$3806:$AF$4045,$AF3905,$AE$3806:$AE$4045,"&lt;"&amp;$AE3905))</f>
        <v>0</v>
      </c>
      <c r="AL3905" s="75">
        <f>IF($AE3905="",0,COUNTIFS('Rate Log'!$J$7:$J$106,'Rate Log'!$J$106,$AF$3806:$AF3905,$AF3905,$AE$3806:$AE3905,$AE3905))</f>
        <v>0</v>
      </c>
      <c r="AM3905" s="75">
        <f t="shared" si="1477"/>
        <v>0</v>
      </c>
    </row>
    <row r="3906" spans="1:39" x14ac:dyDescent="0.3">
      <c r="A3906" s="74" t="str">
        <f>IF('Rate Log'!$C$107="","",IF('Rate Log'!$E$107="planned",EDATE('Rate Log'!$C$107,N(INDEX(sc_shift,1))),'Rate Log'!$C$107))</f>
        <v/>
      </c>
      <c r="B3906" s="74" t="str">
        <f t="shared" si="1466"/>
        <v/>
      </c>
      <c r="C3906" s="72">
        <f>IF(N(INDEX(sc_ach,1))=0,IF('Rate Log'!$G$107="",1,'Rate Log'!$G$107),INDEX(sc_ach,1))</f>
        <v>1</v>
      </c>
      <c r="D3906" s="72">
        <f>IF('Rate Log'!$C$107="",0,IF('Rate Log'!$E$107="planned",('Rate Log'!$D$107+N(INDEX(sc_dpts,1)))*$C3906,'Rate Log'!$D$107))</f>
        <v>0</v>
      </c>
      <c r="E3906" s="73">
        <f>IF('Rate Log'!$C$107="",0,IF(1+$D3906&gt;0,LN(1+$D3906),0))</f>
        <v>0</v>
      </c>
      <c r="F3906" s="75">
        <f t="shared" si="1467"/>
        <v>0</v>
      </c>
      <c r="G3906" s="75">
        <f>IF($A3906="",0,COUNTIFS(rl_key,'Rate Log'!$J$107,$B$3806:$B$4045,$B3906,$A$3806:$A$4045,"&lt;"&amp;$A3906))</f>
        <v>0</v>
      </c>
      <c r="H3906" s="75">
        <f>IF($A3906="",0,COUNTIFS('Rate Log'!$J$7:$J$107,'Rate Log'!$J$107,$B$3806:$B3906,$B3906,$A$3806:$A3906,$A3906))</f>
        <v>0</v>
      </c>
      <c r="I3906" s="75">
        <f t="shared" si="1468"/>
        <v>0</v>
      </c>
      <c r="K3906" s="74" t="str">
        <f>IF('Rate Log'!$C$107="","",IF('Rate Log'!$E$107="planned",EDATE('Rate Log'!$C$107,N(INDEX(sc_shift,2))),'Rate Log'!$C$107))</f>
        <v/>
      </c>
      <c r="L3906" s="74" t="str">
        <f t="shared" si="1469"/>
        <v/>
      </c>
      <c r="M3906" s="72">
        <f>IF(N(INDEX(sc_ach,2))=0,IF('Rate Log'!$G$107="",1,'Rate Log'!$G$107),INDEX(sc_ach,2))</f>
        <v>1</v>
      </c>
      <c r="N3906" s="72">
        <f>IF('Rate Log'!$C$107="",0,IF('Rate Log'!$E$107="planned",('Rate Log'!$D$107+N(INDEX(sc_dpts,2)))*$M3906,'Rate Log'!$D$107))</f>
        <v>0</v>
      </c>
      <c r="O3906" s="73">
        <f>IF('Rate Log'!$C$107="",0,IF(1+$N3906&gt;0,LN(1+$N3906),0))</f>
        <v>0</v>
      </c>
      <c r="P3906" s="75">
        <f t="shared" si="1470"/>
        <v>0</v>
      </c>
      <c r="Q3906" s="75">
        <f>IF($K3906="",0,COUNTIFS(rl_key,'Rate Log'!$J$107,$L$3806:$L$4045,$L3906,$K$3806:$K$4045,"&lt;"&amp;$K3906))</f>
        <v>0</v>
      </c>
      <c r="R3906" s="75">
        <f>IF($K3906="",0,COUNTIFS('Rate Log'!$J$7:$J$107,'Rate Log'!$J$107,$L$3806:$L3906,$L3906,$K$3806:$K3906,$K3906))</f>
        <v>0</v>
      </c>
      <c r="S3906" s="75">
        <f t="shared" si="1471"/>
        <v>0</v>
      </c>
      <c r="U3906" s="74" t="str">
        <f>IF('Rate Log'!$C$107="","",IF('Rate Log'!$E$107="planned",EDATE('Rate Log'!$C$107,N(INDEX(sc_shift,3))),'Rate Log'!$C$107))</f>
        <v/>
      </c>
      <c r="V3906" s="74" t="str">
        <f t="shared" si="1472"/>
        <v/>
      </c>
      <c r="W3906" s="72">
        <f>IF(N(INDEX(sc_ach,3))=0,IF('Rate Log'!$G$107="",1,'Rate Log'!$G$107),INDEX(sc_ach,3))</f>
        <v>1</v>
      </c>
      <c r="X3906" s="72">
        <f>IF('Rate Log'!$C$107="",0,IF('Rate Log'!$E$107="planned",('Rate Log'!$D$107+N(INDEX(sc_dpts,3)))*$W3906,'Rate Log'!$D$107))</f>
        <v>0</v>
      </c>
      <c r="Y3906" s="73">
        <f>IF('Rate Log'!$C$107="",0,IF(1+$X3906&gt;0,LN(1+$X3906),0))</f>
        <v>0</v>
      </c>
      <c r="Z3906" s="75">
        <f t="shared" si="1473"/>
        <v>0</v>
      </c>
      <c r="AA3906" s="75">
        <f>IF($U3906="",0,COUNTIFS(rl_key,'Rate Log'!$J$107,$V$3806:$V$4045,$V3906,$U$3806:$U$4045,"&lt;"&amp;$U3906))</f>
        <v>0</v>
      </c>
      <c r="AB3906" s="75">
        <f>IF($U3906="",0,COUNTIFS('Rate Log'!$J$7:$J$107,'Rate Log'!$J$107,$V$3806:$V3906,$V3906,$U$3806:$U3906,$U3906))</f>
        <v>0</v>
      </c>
      <c r="AC3906" s="75">
        <f t="shared" si="1474"/>
        <v>0</v>
      </c>
      <c r="AE3906" s="74" t="str">
        <f>IF('Rate Log'!$C$107="","",IF('Rate Log'!$E$107="planned",EDATE('Rate Log'!$C$107,N(INDEX(sc_shift,4))),'Rate Log'!$C$107))</f>
        <v/>
      </c>
      <c r="AF3906" s="74" t="str">
        <f t="shared" si="1475"/>
        <v/>
      </c>
      <c r="AG3906" s="72">
        <f>IF(N(INDEX(sc_ach,4))=0,IF('Rate Log'!$G$107="",1,'Rate Log'!$G$107),INDEX(sc_ach,4))</f>
        <v>1</v>
      </c>
      <c r="AH3906" s="72">
        <f>IF('Rate Log'!$C$107="",0,IF('Rate Log'!$E$107="planned",('Rate Log'!$D$107+N(INDEX(sc_dpts,4)))*$AG3906,'Rate Log'!$D$107))</f>
        <v>0</v>
      </c>
      <c r="AI3906" s="73">
        <f>IF('Rate Log'!$C$107="",0,IF(1+$AH3906&gt;0,LN(1+$AH3906),0))</f>
        <v>0</v>
      </c>
      <c r="AJ3906" s="75">
        <f t="shared" si="1476"/>
        <v>0</v>
      </c>
      <c r="AK3906" s="75">
        <f>IF($AE3906="",0,COUNTIFS(rl_key,'Rate Log'!$J$107,$AF$3806:$AF$4045,$AF3906,$AE$3806:$AE$4045,"&lt;"&amp;$AE3906))</f>
        <v>0</v>
      </c>
      <c r="AL3906" s="75">
        <f>IF($AE3906="",0,COUNTIFS('Rate Log'!$J$7:$J$107,'Rate Log'!$J$107,$AF$3806:$AF3906,$AF3906,$AE$3806:$AE3906,$AE3906))</f>
        <v>0</v>
      </c>
      <c r="AM3906" s="75">
        <f t="shared" si="1477"/>
        <v>0</v>
      </c>
    </row>
    <row r="3907" spans="1:39" x14ac:dyDescent="0.3">
      <c r="A3907" s="74" t="str">
        <f>IF('Rate Log'!$C$108="","",IF('Rate Log'!$E$108="planned",EDATE('Rate Log'!$C$108,N(INDEX(sc_shift,1))),'Rate Log'!$C$108))</f>
        <v/>
      </c>
      <c r="B3907" s="74" t="str">
        <f t="shared" si="1466"/>
        <v/>
      </c>
      <c r="C3907" s="72">
        <f>IF(N(INDEX(sc_ach,1))=0,IF('Rate Log'!$G$108="",1,'Rate Log'!$G$108),INDEX(sc_ach,1))</f>
        <v>1</v>
      </c>
      <c r="D3907" s="72">
        <f>IF('Rate Log'!$C$108="",0,IF('Rate Log'!$E$108="planned",('Rate Log'!$D$108+N(INDEX(sc_dpts,1)))*$C3907,'Rate Log'!$D$108))</f>
        <v>0</v>
      </c>
      <c r="E3907" s="73">
        <f>IF('Rate Log'!$C$108="",0,IF(1+$D3907&gt;0,LN(1+$D3907),0))</f>
        <v>0</v>
      </c>
      <c r="F3907" s="75">
        <f t="shared" si="1467"/>
        <v>0</v>
      </c>
      <c r="G3907" s="75">
        <f>IF($A3907="",0,COUNTIFS(rl_key,'Rate Log'!$J$108,$B$3806:$B$4045,$B3907,$A$3806:$A$4045,"&lt;"&amp;$A3907))</f>
        <v>0</v>
      </c>
      <c r="H3907" s="75">
        <f>IF($A3907="",0,COUNTIFS('Rate Log'!$J$7:$J$108,'Rate Log'!$J$108,$B$3806:$B3907,$B3907,$A$3806:$A3907,$A3907))</f>
        <v>0</v>
      </c>
      <c r="I3907" s="75">
        <f t="shared" si="1468"/>
        <v>0</v>
      </c>
      <c r="K3907" s="74" t="str">
        <f>IF('Rate Log'!$C$108="","",IF('Rate Log'!$E$108="planned",EDATE('Rate Log'!$C$108,N(INDEX(sc_shift,2))),'Rate Log'!$C$108))</f>
        <v/>
      </c>
      <c r="L3907" s="74" t="str">
        <f t="shared" si="1469"/>
        <v/>
      </c>
      <c r="M3907" s="72">
        <f>IF(N(INDEX(sc_ach,2))=0,IF('Rate Log'!$G$108="",1,'Rate Log'!$G$108),INDEX(sc_ach,2))</f>
        <v>1</v>
      </c>
      <c r="N3907" s="72">
        <f>IF('Rate Log'!$C$108="",0,IF('Rate Log'!$E$108="planned",('Rate Log'!$D$108+N(INDEX(sc_dpts,2)))*$M3907,'Rate Log'!$D$108))</f>
        <v>0</v>
      </c>
      <c r="O3907" s="73">
        <f>IF('Rate Log'!$C$108="",0,IF(1+$N3907&gt;0,LN(1+$N3907),0))</f>
        <v>0</v>
      </c>
      <c r="P3907" s="75">
        <f t="shared" si="1470"/>
        <v>0</v>
      </c>
      <c r="Q3907" s="75">
        <f>IF($K3907="",0,COUNTIFS(rl_key,'Rate Log'!$J$108,$L$3806:$L$4045,$L3907,$K$3806:$K$4045,"&lt;"&amp;$K3907))</f>
        <v>0</v>
      </c>
      <c r="R3907" s="75">
        <f>IF($K3907="",0,COUNTIFS('Rate Log'!$J$7:$J$108,'Rate Log'!$J$108,$L$3806:$L3907,$L3907,$K$3806:$K3907,$K3907))</f>
        <v>0</v>
      </c>
      <c r="S3907" s="75">
        <f t="shared" si="1471"/>
        <v>0</v>
      </c>
      <c r="U3907" s="74" t="str">
        <f>IF('Rate Log'!$C$108="","",IF('Rate Log'!$E$108="planned",EDATE('Rate Log'!$C$108,N(INDEX(sc_shift,3))),'Rate Log'!$C$108))</f>
        <v/>
      </c>
      <c r="V3907" s="74" t="str">
        <f t="shared" si="1472"/>
        <v/>
      </c>
      <c r="W3907" s="72">
        <f>IF(N(INDEX(sc_ach,3))=0,IF('Rate Log'!$G$108="",1,'Rate Log'!$G$108),INDEX(sc_ach,3))</f>
        <v>1</v>
      </c>
      <c r="X3907" s="72">
        <f>IF('Rate Log'!$C$108="",0,IF('Rate Log'!$E$108="planned",('Rate Log'!$D$108+N(INDEX(sc_dpts,3)))*$W3907,'Rate Log'!$D$108))</f>
        <v>0</v>
      </c>
      <c r="Y3907" s="73">
        <f>IF('Rate Log'!$C$108="",0,IF(1+$X3907&gt;0,LN(1+$X3907),0))</f>
        <v>0</v>
      </c>
      <c r="Z3907" s="75">
        <f t="shared" si="1473"/>
        <v>0</v>
      </c>
      <c r="AA3907" s="75">
        <f>IF($U3907="",0,COUNTIFS(rl_key,'Rate Log'!$J$108,$V$3806:$V$4045,$V3907,$U$3806:$U$4045,"&lt;"&amp;$U3907))</f>
        <v>0</v>
      </c>
      <c r="AB3907" s="75">
        <f>IF($U3907="",0,COUNTIFS('Rate Log'!$J$7:$J$108,'Rate Log'!$J$108,$V$3806:$V3907,$V3907,$U$3806:$U3907,$U3907))</f>
        <v>0</v>
      </c>
      <c r="AC3907" s="75">
        <f t="shared" si="1474"/>
        <v>0</v>
      </c>
      <c r="AE3907" s="74" t="str">
        <f>IF('Rate Log'!$C$108="","",IF('Rate Log'!$E$108="planned",EDATE('Rate Log'!$C$108,N(INDEX(sc_shift,4))),'Rate Log'!$C$108))</f>
        <v/>
      </c>
      <c r="AF3907" s="74" t="str">
        <f t="shared" si="1475"/>
        <v/>
      </c>
      <c r="AG3907" s="72">
        <f>IF(N(INDEX(sc_ach,4))=0,IF('Rate Log'!$G$108="",1,'Rate Log'!$G$108),INDEX(sc_ach,4))</f>
        <v>1</v>
      </c>
      <c r="AH3907" s="72">
        <f>IF('Rate Log'!$C$108="",0,IF('Rate Log'!$E$108="planned",('Rate Log'!$D$108+N(INDEX(sc_dpts,4)))*$AG3907,'Rate Log'!$D$108))</f>
        <v>0</v>
      </c>
      <c r="AI3907" s="73">
        <f>IF('Rate Log'!$C$108="",0,IF(1+$AH3907&gt;0,LN(1+$AH3907),0))</f>
        <v>0</v>
      </c>
      <c r="AJ3907" s="75">
        <f t="shared" si="1476"/>
        <v>0</v>
      </c>
      <c r="AK3907" s="75">
        <f>IF($AE3907="",0,COUNTIFS(rl_key,'Rate Log'!$J$108,$AF$3806:$AF$4045,$AF3907,$AE$3806:$AE$4045,"&lt;"&amp;$AE3907))</f>
        <v>0</v>
      </c>
      <c r="AL3907" s="75">
        <f>IF($AE3907="",0,COUNTIFS('Rate Log'!$J$7:$J$108,'Rate Log'!$J$108,$AF$3806:$AF3907,$AF3907,$AE$3806:$AE3907,$AE3907))</f>
        <v>0</v>
      </c>
      <c r="AM3907" s="75">
        <f t="shared" si="1477"/>
        <v>0</v>
      </c>
    </row>
    <row r="3908" spans="1:39" x14ac:dyDescent="0.3">
      <c r="A3908" s="74" t="str">
        <f>IF('Rate Log'!$C$109="","",IF('Rate Log'!$E$109="planned",EDATE('Rate Log'!$C$109,N(INDEX(sc_shift,1))),'Rate Log'!$C$109))</f>
        <v/>
      </c>
      <c r="B3908" s="74" t="str">
        <f t="shared" si="1466"/>
        <v/>
      </c>
      <c r="C3908" s="72">
        <f>IF(N(INDEX(sc_ach,1))=0,IF('Rate Log'!$G$109="",1,'Rate Log'!$G$109),INDEX(sc_ach,1))</f>
        <v>1</v>
      </c>
      <c r="D3908" s="72">
        <f>IF('Rate Log'!$C$109="",0,IF('Rate Log'!$E$109="planned",('Rate Log'!$D$109+N(INDEX(sc_dpts,1)))*$C3908,'Rate Log'!$D$109))</f>
        <v>0</v>
      </c>
      <c r="E3908" s="73">
        <f>IF('Rate Log'!$C$109="",0,IF(1+$D3908&gt;0,LN(1+$D3908),0))</f>
        <v>0</v>
      </c>
      <c r="F3908" s="75">
        <f t="shared" si="1467"/>
        <v>0</v>
      </c>
      <c r="G3908" s="75">
        <f>IF($A3908="",0,COUNTIFS(rl_key,'Rate Log'!$J$109,$B$3806:$B$4045,$B3908,$A$3806:$A$4045,"&lt;"&amp;$A3908))</f>
        <v>0</v>
      </c>
      <c r="H3908" s="75">
        <f>IF($A3908="",0,COUNTIFS('Rate Log'!$J$7:$J$109,'Rate Log'!$J$109,$B$3806:$B3908,$B3908,$A$3806:$A3908,$A3908))</f>
        <v>0</v>
      </c>
      <c r="I3908" s="75">
        <f t="shared" si="1468"/>
        <v>0</v>
      </c>
      <c r="K3908" s="74" t="str">
        <f>IF('Rate Log'!$C$109="","",IF('Rate Log'!$E$109="planned",EDATE('Rate Log'!$C$109,N(INDEX(sc_shift,2))),'Rate Log'!$C$109))</f>
        <v/>
      </c>
      <c r="L3908" s="74" t="str">
        <f t="shared" si="1469"/>
        <v/>
      </c>
      <c r="M3908" s="72">
        <f>IF(N(INDEX(sc_ach,2))=0,IF('Rate Log'!$G$109="",1,'Rate Log'!$G$109),INDEX(sc_ach,2))</f>
        <v>1</v>
      </c>
      <c r="N3908" s="72">
        <f>IF('Rate Log'!$C$109="",0,IF('Rate Log'!$E$109="planned",('Rate Log'!$D$109+N(INDEX(sc_dpts,2)))*$M3908,'Rate Log'!$D$109))</f>
        <v>0</v>
      </c>
      <c r="O3908" s="73">
        <f>IF('Rate Log'!$C$109="",0,IF(1+$N3908&gt;0,LN(1+$N3908),0))</f>
        <v>0</v>
      </c>
      <c r="P3908" s="75">
        <f t="shared" si="1470"/>
        <v>0</v>
      </c>
      <c r="Q3908" s="75">
        <f>IF($K3908="",0,COUNTIFS(rl_key,'Rate Log'!$J$109,$L$3806:$L$4045,$L3908,$K$3806:$K$4045,"&lt;"&amp;$K3908))</f>
        <v>0</v>
      </c>
      <c r="R3908" s="75">
        <f>IF($K3908="",0,COUNTIFS('Rate Log'!$J$7:$J$109,'Rate Log'!$J$109,$L$3806:$L3908,$L3908,$K$3806:$K3908,$K3908))</f>
        <v>0</v>
      </c>
      <c r="S3908" s="75">
        <f t="shared" si="1471"/>
        <v>0</v>
      </c>
      <c r="U3908" s="74" t="str">
        <f>IF('Rate Log'!$C$109="","",IF('Rate Log'!$E$109="planned",EDATE('Rate Log'!$C$109,N(INDEX(sc_shift,3))),'Rate Log'!$C$109))</f>
        <v/>
      </c>
      <c r="V3908" s="74" t="str">
        <f t="shared" si="1472"/>
        <v/>
      </c>
      <c r="W3908" s="72">
        <f>IF(N(INDEX(sc_ach,3))=0,IF('Rate Log'!$G$109="",1,'Rate Log'!$G$109),INDEX(sc_ach,3))</f>
        <v>1</v>
      </c>
      <c r="X3908" s="72">
        <f>IF('Rate Log'!$C$109="",0,IF('Rate Log'!$E$109="planned",('Rate Log'!$D$109+N(INDEX(sc_dpts,3)))*$W3908,'Rate Log'!$D$109))</f>
        <v>0</v>
      </c>
      <c r="Y3908" s="73">
        <f>IF('Rate Log'!$C$109="",0,IF(1+$X3908&gt;0,LN(1+$X3908),0))</f>
        <v>0</v>
      </c>
      <c r="Z3908" s="75">
        <f t="shared" si="1473"/>
        <v>0</v>
      </c>
      <c r="AA3908" s="75">
        <f>IF($U3908="",0,COUNTIFS(rl_key,'Rate Log'!$J$109,$V$3806:$V$4045,$V3908,$U$3806:$U$4045,"&lt;"&amp;$U3908))</f>
        <v>0</v>
      </c>
      <c r="AB3908" s="75">
        <f>IF($U3908="",0,COUNTIFS('Rate Log'!$J$7:$J$109,'Rate Log'!$J$109,$V$3806:$V3908,$V3908,$U$3806:$U3908,$U3908))</f>
        <v>0</v>
      </c>
      <c r="AC3908" s="75">
        <f t="shared" si="1474"/>
        <v>0</v>
      </c>
      <c r="AE3908" s="74" t="str">
        <f>IF('Rate Log'!$C$109="","",IF('Rate Log'!$E$109="planned",EDATE('Rate Log'!$C$109,N(INDEX(sc_shift,4))),'Rate Log'!$C$109))</f>
        <v/>
      </c>
      <c r="AF3908" s="74" t="str">
        <f t="shared" si="1475"/>
        <v/>
      </c>
      <c r="AG3908" s="72">
        <f>IF(N(INDEX(sc_ach,4))=0,IF('Rate Log'!$G$109="",1,'Rate Log'!$G$109),INDEX(sc_ach,4))</f>
        <v>1</v>
      </c>
      <c r="AH3908" s="72">
        <f>IF('Rate Log'!$C$109="",0,IF('Rate Log'!$E$109="planned",('Rate Log'!$D$109+N(INDEX(sc_dpts,4)))*$AG3908,'Rate Log'!$D$109))</f>
        <v>0</v>
      </c>
      <c r="AI3908" s="73">
        <f>IF('Rate Log'!$C$109="",0,IF(1+$AH3908&gt;0,LN(1+$AH3908),0))</f>
        <v>0</v>
      </c>
      <c r="AJ3908" s="75">
        <f t="shared" si="1476"/>
        <v>0</v>
      </c>
      <c r="AK3908" s="75">
        <f>IF($AE3908="",0,COUNTIFS(rl_key,'Rate Log'!$J$109,$AF$3806:$AF$4045,$AF3908,$AE$3806:$AE$4045,"&lt;"&amp;$AE3908))</f>
        <v>0</v>
      </c>
      <c r="AL3908" s="75">
        <f>IF($AE3908="",0,COUNTIFS('Rate Log'!$J$7:$J$109,'Rate Log'!$J$109,$AF$3806:$AF3908,$AF3908,$AE$3806:$AE3908,$AE3908))</f>
        <v>0</v>
      </c>
      <c r="AM3908" s="75">
        <f t="shared" si="1477"/>
        <v>0</v>
      </c>
    </row>
    <row r="3909" spans="1:39" x14ac:dyDescent="0.3">
      <c r="A3909" s="74" t="str">
        <f>IF('Rate Log'!$C$110="","",IF('Rate Log'!$E$110="planned",EDATE('Rate Log'!$C$110,N(INDEX(sc_shift,1))),'Rate Log'!$C$110))</f>
        <v/>
      </c>
      <c r="B3909" s="74" t="str">
        <f t="shared" si="1466"/>
        <v/>
      </c>
      <c r="C3909" s="72">
        <f>IF(N(INDEX(sc_ach,1))=0,IF('Rate Log'!$G$110="",1,'Rate Log'!$G$110),INDEX(sc_ach,1))</f>
        <v>1</v>
      </c>
      <c r="D3909" s="72">
        <f>IF('Rate Log'!$C$110="",0,IF('Rate Log'!$E$110="planned",('Rate Log'!$D$110+N(INDEX(sc_dpts,1)))*$C3909,'Rate Log'!$D$110))</f>
        <v>0</v>
      </c>
      <c r="E3909" s="73">
        <f>IF('Rate Log'!$C$110="",0,IF(1+$D3909&gt;0,LN(1+$D3909),0))</f>
        <v>0</v>
      </c>
      <c r="F3909" s="75">
        <f t="shared" si="1467"/>
        <v>0</v>
      </c>
      <c r="G3909" s="75">
        <f>IF($A3909="",0,COUNTIFS(rl_key,'Rate Log'!$J$110,$B$3806:$B$4045,$B3909,$A$3806:$A$4045,"&lt;"&amp;$A3909))</f>
        <v>0</v>
      </c>
      <c r="H3909" s="75">
        <f>IF($A3909="",0,COUNTIFS('Rate Log'!$J$7:$J$110,'Rate Log'!$J$110,$B$3806:$B3909,$B3909,$A$3806:$A3909,$A3909))</f>
        <v>0</v>
      </c>
      <c r="I3909" s="75">
        <f t="shared" si="1468"/>
        <v>0</v>
      </c>
      <c r="K3909" s="74" t="str">
        <f>IF('Rate Log'!$C$110="","",IF('Rate Log'!$E$110="planned",EDATE('Rate Log'!$C$110,N(INDEX(sc_shift,2))),'Rate Log'!$C$110))</f>
        <v/>
      </c>
      <c r="L3909" s="74" t="str">
        <f t="shared" si="1469"/>
        <v/>
      </c>
      <c r="M3909" s="72">
        <f>IF(N(INDEX(sc_ach,2))=0,IF('Rate Log'!$G$110="",1,'Rate Log'!$G$110),INDEX(sc_ach,2))</f>
        <v>1</v>
      </c>
      <c r="N3909" s="72">
        <f>IF('Rate Log'!$C$110="",0,IF('Rate Log'!$E$110="planned",('Rate Log'!$D$110+N(INDEX(sc_dpts,2)))*$M3909,'Rate Log'!$D$110))</f>
        <v>0</v>
      </c>
      <c r="O3909" s="73">
        <f>IF('Rate Log'!$C$110="",0,IF(1+$N3909&gt;0,LN(1+$N3909),0))</f>
        <v>0</v>
      </c>
      <c r="P3909" s="75">
        <f t="shared" si="1470"/>
        <v>0</v>
      </c>
      <c r="Q3909" s="75">
        <f>IF($K3909="",0,COUNTIFS(rl_key,'Rate Log'!$J$110,$L$3806:$L$4045,$L3909,$K$3806:$K$4045,"&lt;"&amp;$K3909))</f>
        <v>0</v>
      </c>
      <c r="R3909" s="75">
        <f>IF($K3909="",0,COUNTIFS('Rate Log'!$J$7:$J$110,'Rate Log'!$J$110,$L$3806:$L3909,$L3909,$K$3806:$K3909,$K3909))</f>
        <v>0</v>
      </c>
      <c r="S3909" s="75">
        <f t="shared" si="1471"/>
        <v>0</v>
      </c>
      <c r="U3909" s="74" t="str">
        <f>IF('Rate Log'!$C$110="","",IF('Rate Log'!$E$110="planned",EDATE('Rate Log'!$C$110,N(INDEX(sc_shift,3))),'Rate Log'!$C$110))</f>
        <v/>
      </c>
      <c r="V3909" s="74" t="str">
        <f t="shared" si="1472"/>
        <v/>
      </c>
      <c r="W3909" s="72">
        <f>IF(N(INDEX(sc_ach,3))=0,IF('Rate Log'!$G$110="",1,'Rate Log'!$G$110),INDEX(sc_ach,3))</f>
        <v>1</v>
      </c>
      <c r="X3909" s="72">
        <f>IF('Rate Log'!$C$110="",0,IF('Rate Log'!$E$110="planned",('Rate Log'!$D$110+N(INDEX(sc_dpts,3)))*$W3909,'Rate Log'!$D$110))</f>
        <v>0</v>
      </c>
      <c r="Y3909" s="73">
        <f>IF('Rate Log'!$C$110="",0,IF(1+$X3909&gt;0,LN(1+$X3909),0))</f>
        <v>0</v>
      </c>
      <c r="Z3909" s="75">
        <f t="shared" si="1473"/>
        <v>0</v>
      </c>
      <c r="AA3909" s="75">
        <f>IF($U3909="",0,COUNTIFS(rl_key,'Rate Log'!$J$110,$V$3806:$V$4045,$V3909,$U$3806:$U$4045,"&lt;"&amp;$U3909))</f>
        <v>0</v>
      </c>
      <c r="AB3909" s="75">
        <f>IF($U3909="",0,COUNTIFS('Rate Log'!$J$7:$J$110,'Rate Log'!$J$110,$V$3806:$V3909,$V3909,$U$3806:$U3909,$U3909))</f>
        <v>0</v>
      </c>
      <c r="AC3909" s="75">
        <f t="shared" si="1474"/>
        <v>0</v>
      </c>
      <c r="AE3909" s="74" t="str">
        <f>IF('Rate Log'!$C$110="","",IF('Rate Log'!$E$110="planned",EDATE('Rate Log'!$C$110,N(INDEX(sc_shift,4))),'Rate Log'!$C$110))</f>
        <v/>
      </c>
      <c r="AF3909" s="74" t="str">
        <f t="shared" si="1475"/>
        <v/>
      </c>
      <c r="AG3909" s="72">
        <f>IF(N(INDEX(sc_ach,4))=0,IF('Rate Log'!$G$110="",1,'Rate Log'!$G$110),INDEX(sc_ach,4))</f>
        <v>1</v>
      </c>
      <c r="AH3909" s="72">
        <f>IF('Rate Log'!$C$110="",0,IF('Rate Log'!$E$110="planned",('Rate Log'!$D$110+N(INDEX(sc_dpts,4)))*$AG3909,'Rate Log'!$D$110))</f>
        <v>0</v>
      </c>
      <c r="AI3909" s="73">
        <f>IF('Rate Log'!$C$110="",0,IF(1+$AH3909&gt;0,LN(1+$AH3909),0))</f>
        <v>0</v>
      </c>
      <c r="AJ3909" s="75">
        <f t="shared" si="1476"/>
        <v>0</v>
      </c>
      <c r="AK3909" s="75">
        <f>IF($AE3909="",0,COUNTIFS(rl_key,'Rate Log'!$J$110,$AF$3806:$AF$4045,$AF3909,$AE$3806:$AE$4045,"&lt;"&amp;$AE3909))</f>
        <v>0</v>
      </c>
      <c r="AL3909" s="75">
        <f>IF($AE3909="",0,COUNTIFS('Rate Log'!$J$7:$J$110,'Rate Log'!$J$110,$AF$3806:$AF3909,$AF3909,$AE$3806:$AE3909,$AE3909))</f>
        <v>0</v>
      </c>
      <c r="AM3909" s="75">
        <f t="shared" si="1477"/>
        <v>0</v>
      </c>
    </row>
    <row r="3910" spans="1:39" x14ac:dyDescent="0.3">
      <c r="A3910" s="74" t="str">
        <f>IF('Rate Log'!$C$111="","",IF('Rate Log'!$E$111="planned",EDATE('Rate Log'!$C$111,N(INDEX(sc_shift,1))),'Rate Log'!$C$111))</f>
        <v/>
      </c>
      <c r="B3910" s="74" t="str">
        <f t="shared" si="1466"/>
        <v/>
      </c>
      <c r="C3910" s="72">
        <f>IF(N(INDEX(sc_ach,1))=0,IF('Rate Log'!$G$111="",1,'Rate Log'!$G$111),INDEX(sc_ach,1))</f>
        <v>1</v>
      </c>
      <c r="D3910" s="72">
        <f>IF('Rate Log'!$C$111="",0,IF('Rate Log'!$E$111="planned",('Rate Log'!$D$111+N(INDEX(sc_dpts,1)))*$C3910,'Rate Log'!$D$111))</f>
        <v>0</v>
      </c>
      <c r="E3910" s="73">
        <f>IF('Rate Log'!$C$111="",0,IF(1+$D3910&gt;0,LN(1+$D3910),0))</f>
        <v>0</v>
      </c>
      <c r="F3910" s="75">
        <f t="shared" si="1467"/>
        <v>0</v>
      </c>
      <c r="G3910" s="75">
        <f>IF($A3910="",0,COUNTIFS(rl_key,'Rate Log'!$J$111,$B$3806:$B$4045,$B3910,$A$3806:$A$4045,"&lt;"&amp;$A3910))</f>
        <v>0</v>
      </c>
      <c r="H3910" s="75">
        <f>IF($A3910="",0,COUNTIFS('Rate Log'!$J$7:$J$111,'Rate Log'!$J$111,$B$3806:$B3910,$B3910,$A$3806:$A3910,$A3910))</f>
        <v>0</v>
      </c>
      <c r="I3910" s="75">
        <f t="shared" si="1468"/>
        <v>0</v>
      </c>
      <c r="K3910" s="74" t="str">
        <f>IF('Rate Log'!$C$111="","",IF('Rate Log'!$E$111="planned",EDATE('Rate Log'!$C$111,N(INDEX(sc_shift,2))),'Rate Log'!$C$111))</f>
        <v/>
      </c>
      <c r="L3910" s="74" t="str">
        <f t="shared" si="1469"/>
        <v/>
      </c>
      <c r="M3910" s="72">
        <f>IF(N(INDEX(sc_ach,2))=0,IF('Rate Log'!$G$111="",1,'Rate Log'!$G$111),INDEX(sc_ach,2))</f>
        <v>1</v>
      </c>
      <c r="N3910" s="72">
        <f>IF('Rate Log'!$C$111="",0,IF('Rate Log'!$E$111="planned",('Rate Log'!$D$111+N(INDEX(sc_dpts,2)))*$M3910,'Rate Log'!$D$111))</f>
        <v>0</v>
      </c>
      <c r="O3910" s="73">
        <f>IF('Rate Log'!$C$111="",0,IF(1+$N3910&gt;0,LN(1+$N3910),0))</f>
        <v>0</v>
      </c>
      <c r="P3910" s="75">
        <f t="shared" si="1470"/>
        <v>0</v>
      </c>
      <c r="Q3910" s="75">
        <f>IF($K3910="",0,COUNTIFS(rl_key,'Rate Log'!$J$111,$L$3806:$L$4045,$L3910,$K$3806:$K$4045,"&lt;"&amp;$K3910))</f>
        <v>0</v>
      </c>
      <c r="R3910" s="75">
        <f>IF($K3910="",0,COUNTIFS('Rate Log'!$J$7:$J$111,'Rate Log'!$J$111,$L$3806:$L3910,$L3910,$K$3806:$K3910,$K3910))</f>
        <v>0</v>
      </c>
      <c r="S3910" s="75">
        <f t="shared" si="1471"/>
        <v>0</v>
      </c>
      <c r="U3910" s="74" t="str">
        <f>IF('Rate Log'!$C$111="","",IF('Rate Log'!$E$111="planned",EDATE('Rate Log'!$C$111,N(INDEX(sc_shift,3))),'Rate Log'!$C$111))</f>
        <v/>
      </c>
      <c r="V3910" s="74" t="str">
        <f t="shared" si="1472"/>
        <v/>
      </c>
      <c r="W3910" s="72">
        <f>IF(N(INDEX(sc_ach,3))=0,IF('Rate Log'!$G$111="",1,'Rate Log'!$G$111),INDEX(sc_ach,3))</f>
        <v>1</v>
      </c>
      <c r="X3910" s="72">
        <f>IF('Rate Log'!$C$111="",0,IF('Rate Log'!$E$111="planned",('Rate Log'!$D$111+N(INDEX(sc_dpts,3)))*$W3910,'Rate Log'!$D$111))</f>
        <v>0</v>
      </c>
      <c r="Y3910" s="73">
        <f>IF('Rate Log'!$C$111="",0,IF(1+$X3910&gt;0,LN(1+$X3910),0))</f>
        <v>0</v>
      </c>
      <c r="Z3910" s="75">
        <f t="shared" si="1473"/>
        <v>0</v>
      </c>
      <c r="AA3910" s="75">
        <f>IF($U3910="",0,COUNTIFS(rl_key,'Rate Log'!$J$111,$V$3806:$V$4045,$V3910,$U$3806:$U$4045,"&lt;"&amp;$U3910))</f>
        <v>0</v>
      </c>
      <c r="AB3910" s="75">
        <f>IF($U3910="",0,COUNTIFS('Rate Log'!$J$7:$J$111,'Rate Log'!$J$111,$V$3806:$V3910,$V3910,$U$3806:$U3910,$U3910))</f>
        <v>0</v>
      </c>
      <c r="AC3910" s="75">
        <f t="shared" si="1474"/>
        <v>0</v>
      </c>
      <c r="AE3910" s="74" t="str">
        <f>IF('Rate Log'!$C$111="","",IF('Rate Log'!$E$111="planned",EDATE('Rate Log'!$C$111,N(INDEX(sc_shift,4))),'Rate Log'!$C$111))</f>
        <v/>
      </c>
      <c r="AF3910" s="74" t="str">
        <f t="shared" si="1475"/>
        <v/>
      </c>
      <c r="AG3910" s="72">
        <f>IF(N(INDEX(sc_ach,4))=0,IF('Rate Log'!$G$111="",1,'Rate Log'!$G$111),INDEX(sc_ach,4))</f>
        <v>1</v>
      </c>
      <c r="AH3910" s="72">
        <f>IF('Rate Log'!$C$111="",0,IF('Rate Log'!$E$111="planned",('Rate Log'!$D$111+N(INDEX(sc_dpts,4)))*$AG3910,'Rate Log'!$D$111))</f>
        <v>0</v>
      </c>
      <c r="AI3910" s="73">
        <f>IF('Rate Log'!$C$111="",0,IF(1+$AH3910&gt;0,LN(1+$AH3910),0))</f>
        <v>0</v>
      </c>
      <c r="AJ3910" s="75">
        <f t="shared" si="1476"/>
        <v>0</v>
      </c>
      <c r="AK3910" s="75">
        <f>IF($AE3910="",0,COUNTIFS(rl_key,'Rate Log'!$J$111,$AF$3806:$AF$4045,$AF3910,$AE$3806:$AE$4045,"&lt;"&amp;$AE3910))</f>
        <v>0</v>
      </c>
      <c r="AL3910" s="75">
        <f>IF($AE3910="",0,COUNTIFS('Rate Log'!$J$7:$J$111,'Rate Log'!$J$111,$AF$3806:$AF3910,$AF3910,$AE$3806:$AE3910,$AE3910))</f>
        <v>0</v>
      </c>
      <c r="AM3910" s="75">
        <f t="shared" si="1477"/>
        <v>0</v>
      </c>
    </row>
    <row r="3911" spans="1:39" x14ac:dyDescent="0.3">
      <c r="A3911" s="74" t="str">
        <f>IF('Rate Log'!$C$112="","",IF('Rate Log'!$E$112="planned",EDATE('Rate Log'!$C$112,N(INDEX(sc_shift,1))),'Rate Log'!$C$112))</f>
        <v/>
      </c>
      <c r="B3911" s="74" t="str">
        <f t="shared" si="1466"/>
        <v/>
      </c>
      <c r="C3911" s="72">
        <f>IF(N(INDEX(sc_ach,1))=0,IF('Rate Log'!$G$112="",1,'Rate Log'!$G$112),INDEX(sc_ach,1))</f>
        <v>1</v>
      </c>
      <c r="D3911" s="72">
        <f>IF('Rate Log'!$C$112="",0,IF('Rate Log'!$E$112="planned",('Rate Log'!$D$112+N(INDEX(sc_dpts,1)))*$C3911,'Rate Log'!$D$112))</f>
        <v>0</v>
      </c>
      <c r="E3911" s="73">
        <f>IF('Rate Log'!$C$112="",0,IF(1+$D3911&gt;0,LN(1+$D3911),0))</f>
        <v>0</v>
      </c>
      <c r="F3911" s="75">
        <f t="shared" si="1467"/>
        <v>0</v>
      </c>
      <c r="G3911" s="75">
        <f>IF($A3911="",0,COUNTIFS(rl_key,'Rate Log'!$J$112,$B$3806:$B$4045,$B3911,$A$3806:$A$4045,"&lt;"&amp;$A3911))</f>
        <v>0</v>
      </c>
      <c r="H3911" s="75">
        <f>IF($A3911="",0,COUNTIFS('Rate Log'!$J$7:$J$112,'Rate Log'!$J$112,$B$3806:$B3911,$B3911,$A$3806:$A3911,$A3911))</f>
        <v>0</v>
      </c>
      <c r="I3911" s="75">
        <f t="shared" si="1468"/>
        <v>0</v>
      </c>
      <c r="K3911" s="74" t="str">
        <f>IF('Rate Log'!$C$112="","",IF('Rate Log'!$E$112="planned",EDATE('Rate Log'!$C$112,N(INDEX(sc_shift,2))),'Rate Log'!$C$112))</f>
        <v/>
      </c>
      <c r="L3911" s="74" t="str">
        <f t="shared" si="1469"/>
        <v/>
      </c>
      <c r="M3911" s="72">
        <f>IF(N(INDEX(sc_ach,2))=0,IF('Rate Log'!$G$112="",1,'Rate Log'!$G$112),INDEX(sc_ach,2))</f>
        <v>1</v>
      </c>
      <c r="N3911" s="72">
        <f>IF('Rate Log'!$C$112="",0,IF('Rate Log'!$E$112="planned",('Rate Log'!$D$112+N(INDEX(sc_dpts,2)))*$M3911,'Rate Log'!$D$112))</f>
        <v>0</v>
      </c>
      <c r="O3911" s="73">
        <f>IF('Rate Log'!$C$112="",0,IF(1+$N3911&gt;0,LN(1+$N3911),0))</f>
        <v>0</v>
      </c>
      <c r="P3911" s="75">
        <f t="shared" si="1470"/>
        <v>0</v>
      </c>
      <c r="Q3911" s="75">
        <f>IF($K3911="",0,COUNTIFS(rl_key,'Rate Log'!$J$112,$L$3806:$L$4045,$L3911,$K$3806:$K$4045,"&lt;"&amp;$K3911))</f>
        <v>0</v>
      </c>
      <c r="R3911" s="75">
        <f>IF($K3911="",0,COUNTIFS('Rate Log'!$J$7:$J$112,'Rate Log'!$J$112,$L$3806:$L3911,$L3911,$K$3806:$K3911,$K3911))</f>
        <v>0</v>
      </c>
      <c r="S3911" s="75">
        <f t="shared" si="1471"/>
        <v>0</v>
      </c>
      <c r="U3911" s="74" t="str">
        <f>IF('Rate Log'!$C$112="","",IF('Rate Log'!$E$112="planned",EDATE('Rate Log'!$C$112,N(INDEX(sc_shift,3))),'Rate Log'!$C$112))</f>
        <v/>
      </c>
      <c r="V3911" s="74" t="str">
        <f t="shared" si="1472"/>
        <v/>
      </c>
      <c r="W3911" s="72">
        <f>IF(N(INDEX(sc_ach,3))=0,IF('Rate Log'!$G$112="",1,'Rate Log'!$G$112),INDEX(sc_ach,3))</f>
        <v>1</v>
      </c>
      <c r="X3911" s="72">
        <f>IF('Rate Log'!$C$112="",0,IF('Rate Log'!$E$112="planned",('Rate Log'!$D$112+N(INDEX(sc_dpts,3)))*$W3911,'Rate Log'!$D$112))</f>
        <v>0</v>
      </c>
      <c r="Y3911" s="73">
        <f>IF('Rate Log'!$C$112="",0,IF(1+$X3911&gt;0,LN(1+$X3911),0))</f>
        <v>0</v>
      </c>
      <c r="Z3911" s="75">
        <f t="shared" si="1473"/>
        <v>0</v>
      </c>
      <c r="AA3911" s="75">
        <f>IF($U3911="",0,COUNTIFS(rl_key,'Rate Log'!$J$112,$V$3806:$V$4045,$V3911,$U$3806:$U$4045,"&lt;"&amp;$U3911))</f>
        <v>0</v>
      </c>
      <c r="AB3911" s="75">
        <f>IF($U3911="",0,COUNTIFS('Rate Log'!$J$7:$J$112,'Rate Log'!$J$112,$V$3806:$V3911,$V3911,$U$3806:$U3911,$U3911))</f>
        <v>0</v>
      </c>
      <c r="AC3911" s="75">
        <f t="shared" si="1474"/>
        <v>0</v>
      </c>
      <c r="AE3911" s="74" t="str">
        <f>IF('Rate Log'!$C$112="","",IF('Rate Log'!$E$112="planned",EDATE('Rate Log'!$C$112,N(INDEX(sc_shift,4))),'Rate Log'!$C$112))</f>
        <v/>
      </c>
      <c r="AF3911" s="74" t="str">
        <f t="shared" si="1475"/>
        <v/>
      </c>
      <c r="AG3911" s="72">
        <f>IF(N(INDEX(sc_ach,4))=0,IF('Rate Log'!$G$112="",1,'Rate Log'!$G$112),INDEX(sc_ach,4))</f>
        <v>1</v>
      </c>
      <c r="AH3911" s="72">
        <f>IF('Rate Log'!$C$112="",0,IF('Rate Log'!$E$112="planned",('Rate Log'!$D$112+N(INDEX(sc_dpts,4)))*$AG3911,'Rate Log'!$D$112))</f>
        <v>0</v>
      </c>
      <c r="AI3911" s="73">
        <f>IF('Rate Log'!$C$112="",0,IF(1+$AH3911&gt;0,LN(1+$AH3911),0))</f>
        <v>0</v>
      </c>
      <c r="AJ3911" s="75">
        <f t="shared" si="1476"/>
        <v>0</v>
      </c>
      <c r="AK3911" s="75">
        <f>IF($AE3911="",0,COUNTIFS(rl_key,'Rate Log'!$J$112,$AF$3806:$AF$4045,$AF3911,$AE$3806:$AE$4045,"&lt;"&amp;$AE3911))</f>
        <v>0</v>
      </c>
      <c r="AL3911" s="75">
        <f>IF($AE3911="",0,COUNTIFS('Rate Log'!$J$7:$J$112,'Rate Log'!$J$112,$AF$3806:$AF3911,$AF3911,$AE$3806:$AE3911,$AE3911))</f>
        <v>0</v>
      </c>
      <c r="AM3911" s="75">
        <f t="shared" si="1477"/>
        <v>0</v>
      </c>
    </row>
    <row r="3912" spans="1:39" x14ac:dyDescent="0.3">
      <c r="A3912" s="74" t="str">
        <f>IF('Rate Log'!$C$113="","",IF('Rate Log'!$E$113="planned",EDATE('Rate Log'!$C$113,N(INDEX(sc_shift,1))),'Rate Log'!$C$113))</f>
        <v/>
      </c>
      <c r="B3912" s="74" t="str">
        <f t="shared" si="1466"/>
        <v/>
      </c>
      <c r="C3912" s="72">
        <f>IF(N(INDEX(sc_ach,1))=0,IF('Rate Log'!$G$113="",1,'Rate Log'!$G$113),INDEX(sc_ach,1))</f>
        <v>1</v>
      </c>
      <c r="D3912" s="72">
        <f>IF('Rate Log'!$C$113="",0,IF('Rate Log'!$E$113="planned",('Rate Log'!$D$113+N(INDEX(sc_dpts,1)))*$C3912,'Rate Log'!$D$113))</f>
        <v>0</v>
      </c>
      <c r="E3912" s="73">
        <f>IF('Rate Log'!$C$113="",0,IF(1+$D3912&gt;0,LN(1+$D3912),0))</f>
        <v>0</v>
      </c>
      <c r="F3912" s="75">
        <f t="shared" si="1467"/>
        <v>0</v>
      </c>
      <c r="G3912" s="75">
        <f>IF($A3912="",0,COUNTIFS(rl_key,'Rate Log'!$J$113,$B$3806:$B$4045,$B3912,$A$3806:$A$4045,"&lt;"&amp;$A3912))</f>
        <v>0</v>
      </c>
      <c r="H3912" s="75">
        <f>IF($A3912="",0,COUNTIFS('Rate Log'!$J$7:$J$113,'Rate Log'!$J$113,$B$3806:$B3912,$B3912,$A$3806:$A3912,$A3912))</f>
        <v>0</v>
      </c>
      <c r="I3912" s="75">
        <f t="shared" si="1468"/>
        <v>0</v>
      </c>
      <c r="K3912" s="74" t="str">
        <f>IF('Rate Log'!$C$113="","",IF('Rate Log'!$E$113="planned",EDATE('Rate Log'!$C$113,N(INDEX(sc_shift,2))),'Rate Log'!$C$113))</f>
        <v/>
      </c>
      <c r="L3912" s="74" t="str">
        <f t="shared" si="1469"/>
        <v/>
      </c>
      <c r="M3912" s="72">
        <f>IF(N(INDEX(sc_ach,2))=0,IF('Rate Log'!$G$113="",1,'Rate Log'!$G$113),INDEX(sc_ach,2))</f>
        <v>1</v>
      </c>
      <c r="N3912" s="72">
        <f>IF('Rate Log'!$C$113="",0,IF('Rate Log'!$E$113="planned",('Rate Log'!$D$113+N(INDEX(sc_dpts,2)))*$M3912,'Rate Log'!$D$113))</f>
        <v>0</v>
      </c>
      <c r="O3912" s="73">
        <f>IF('Rate Log'!$C$113="",0,IF(1+$N3912&gt;0,LN(1+$N3912),0))</f>
        <v>0</v>
      </c>
      <c r="P3912" s="75">
        <f t="shared" si="1470"/>
        <v>0</v>
      </c>
      <c r="Q3912" s="75">
        <f>IF($K3912="",0,COUNTIFS(rl_key,'Rate Log'!$J$113,$L$3806:$L$4045,$L3912,$K$3806:$K$4045,"&lt;"&amp;$K3912))</f>
        <v>0</v>
      </c>
      <c r="R3912" s="75">
        <f>IF($K3912="",0,COUNTIFS('Rate Log'!$J$7:$J$113,'Rate Log'!$J$113,$L$3806:$L3912,$L3912,$K$3806:$K3912,$K3912))</f>
        <v>0</v>
      </c>
      <c r="S3912" s="75">
        <f t="shared" si="1471"/>
        <v>0</v>
      </c>
      <c r="U3912" s="74" t="str">
        <f>IF('Rate Log'!$C$113="","",IF('Rate Log'!$E$113="planned",EDATE('Rate Log'!$C$113,N(INDEX(sc_shift,3))),'Rate Log'!$C$113))</f>
        <v/>
      </c>
      <c r="V3912" s="74" t="str">
        <f t="shared" si="1472"/>
        <v/>
      </c>
      <c r="W3912" s="72">
        <f>IF(N(INDEX(sc_ach,3))=0,IF('Rate Log'!$G$113="",1,'Rate Log'!$G$113),INDEX(sc_ach,3))</f>
        <v>1</v>
      </c>
      <c r="X3912" s="72">
        <f>IF('Rate Log'!$C$113="",0,IF('Rate Log'!$E$113="planned",('Rate Log'!$D$113+N(INDEX(sc_dpts,3)))*$W3912,'Rate Log'!$D$113))</f>
        <v>0</v>
      </c>
      <c r="Y3912" s="73">
        <f>IF('Rate Log'!$C$113="",0,IF(1+$X3912&gt;0,LN(1+$X3912),0))</f>
        <v>0</v>
      </c>
      <c r="Z3912" s="75">
        <f t="shared" si="1473"/>
        <v>0</v>
      </c>
      <c r="AA3912" s="75">
        <f>IF($U3912="",0,COUNTIFS(rl_key,'Rate Log'!$J$113,$V$3806:$V$4045,$V3912,$U$3806:$U$4045,"&lt;"&amp;$U3912))</f>
        <v>0</v>
      </c>
      <c r="AB3912" s="75">
        <f>IF($U3912="",0,COUNTIFS('Rate Log'!$J$7:$J$113,'Rate Log'!$J$113,$V$3806:$V3912,$V3912,$U$3806:$U3912,$U3912))</f>
        <v>0</v>
      </c>
      <c r="AC3912" s="75">
        <f t="shared" si="1474"/>
        <v>0</v>
      </c>
      <c r="AE3912" s="74" t="str">
        <f>IF('Rate Log'!$C$113="","",IF('Rate Log'!$E$113="planned",EDATE('Rate Log'!$C$113,N(INDEX(sc_shift,4))),'Rate Log'!$C$113))</f>
        <v/>
      </c>
      <c r="AF3912" s="74" t="str">
        <f t="shared" si="1475"/>
        <v/>
      </c>
      <c r="AG3912" s="72">
        <f>IF(N(INDEX(sc_ach,4))=0,IF('Rate Log'!$G$113="",1,'Rate Log'!$G$113),INDEX(sc_ach,4))</f>
        <v>1</v>
      </c>
      <c r="AH3912" s="72">
        <f>IF('Rate Log'!$C$113="",0,IF('Rate Log'!$E$113="planned",('Rate Log'!$D$113+N(INDEX(sc_dpts,4)))*$AG3912,'Rate Log'!$D$113))</f>
        <v>0</v>
      </c>
      <c r="AI3912" s="73">
        <f>IF('Rate Log'!$C$113="",0,IF(1+$AH3912&gt;0,LN(1+$AH3912),0))</f>
        <v>0</v>
      </c>
      <c r="AJ3912" s="75">
        <f t="shared" si="1476"/>
        <v>0</v>
      </c>
      <c r="AK3912" s="75">
        <f>IF($AE3912="",0,COUNTIFS(rl_key,'Rate Log'!$J$113,$AF$3806:$AF$4045,$AF3912,$AE$3806:$AE$4045,"&lt;"&amp;$AE3912))</f>
        <v>0</v>
      </c>
      <c r="AL3912" s="75">
        <f>IF($AE3912="",0,COUNTIFS('Rate Log'!$J$7:$J$113,'Rate Log'!$J$113,$AF$3806:$AF3912,$AF3912,$AE$3806:$AE3912,$AE3912))</f>
        <v>0</v>
      </c>
      <c r="AM3912" s="75">
        <f t="shared" si="1477"/>
        <v>0</v>
      </c>
    </row>
    <row r="3913" spans="1:39" x14ac:dyDescent="0.3">
      <c r="A3913" s="74" t="str">
        <f>IF('Rate Log'!$C$114="","",IF('Rate Log'!$E$114="planned",EDATE('Rate Log'!$C$114,N(INDEX(sc_shift,1))),'Rate Log'!$C$114))</f>
        <v/>
      </c>
      <c r="B3913" s="74" t="str">
        <f t="shared" si="1466"/>
        <v/>
      </c>
      <c r="C3913" s="72">
        <f>IF(N(INDEX(sc_ach,1))=0,IF('Rate Log'!$G$114="",1,'Rate Log'!$G$114),INDEX(sc_ach,1))</f>
        <v>1</v>
      </c>
      <c r="D3913" s="72">
        <f>IF('Rate Log'!$C$114="",0,IF('Rate Log'!$E$114="planned",('Rate Log'!$D$114+N(INDEX(sc_dpts,1)))*$C3913,'Rate Log'!$D$114))</f>
        <v>0</v>
      </c>
      <c r="E3913" s="73">
        <f>IF('Rate Log'!$C$114="",0,IF(1+$D3913&gt;0,LN(1+$D3913),0))</f>
        <v>0</v>
      </c>
      <c r="F3913" s="75">
        <f t="shared" si="1467"/>
        <v>0</v>
      </c>
      <c r="G3913" s="75">
        <f>IF($A3913="",0,COUNTIFS(rl_key,'Rate Log'!$J$114,$B$3806:$B$4045,$B3913,$A$3806:$A$4045,"&lt;"&amp;$A3913))</f>
        <v>0</v>
      </c>
      <c r="H3913" s="75">
        <f>IF($A3913="",0,COUNTIFS('Rate Log'!$J$7:$J$114,'Rate Log'!$J$114,$B$3806:$B3913,$B3913,$A$3806:$A3913,$A3913))</f>
        <v>0</v>
      </c>
      <c r="I3913" s="75">
        <f t="shared" si="1468"/>
        <v>0</v>
      </c>
      <c r="K3913" s="74" t="str">
        <f>IF('Rate Log'!$C$114="","",IF('Rate Log'!$E$114="planned",EDATE('Rate Log'!$C$114,N(INDEX(sc_shift,2))),'Rate Log'!$C$114))</f>
        <v/>
      </c>
      <c r="L3913" s="74" t="str">
        <f t="shared" si="1469"/>
        <v/>
      </c>
      <c r="M3913" s="72">
        <f>IF(N(INDEX(sc_ach,2))=0,IF('Rate Log'!$G$114="",1,'Rate Log'!$G$114),INDEX(sc_ach,2))</f>
        <v>1</v>
      </c>
      <c r="N3913" s="72">
        <f>IF('Rate Log'!$C$114="",0,IF('Rate Log'!$E$114="planned",('Rate Log'!$D$114+N(INDEX(sc_dpts,2)))*$M3913,'Rate Log'!$D$114))</f>
        <v>0</v>
      </c>
      <c r="O3913" s="73">
        <f>IF('Rate Log'!$C$114="",0,IF(1+$N3913&gt;0,LN(1+$N3913),0))</f>
        <v>0</v>
      </c>
      <c r="P3913" s="75">
        <f t="shared" si="1470"/>
        <v>0</v>
      </c>
      <c r="Q3913" s="75">
        <f>IF($K3913="",0,COUNTIFS(rl_key,'Rate Log'!$J$114,$L$3806:$L$4045,$L3913,$K$3806:$K$4045,"&lt;"&amp;$K3913))</f>
        <v>0</v>
      </c>
      <c r="R3913" s="75">
        <f>IF($K3913="",0,COUNTIFS('Rate Log'!$J$7:$J$114,'Rate Log'!$J$114,$L$3806:$L3913,$L3913,$K$3806:$K3913,$K3913))</f>
        <v>0</v>
      </c>
      <c r="S3913" s="75">
        <f t="shared" si="1471"/>
        <v>0</v>
      </c>
      <c r="U3913" s="74" t="str">
        <f>IF('Rate Log'!$C$114="","",IF('Rate Log'!$E$114="planned",EDATE('Rate Log'!$C$114,N(INDEX(sc_shift,3))),'Rate Log'!$C$114))</f>
        <v/>
      </c>
      <c r="V3913" s="74" t="str">
        <f t="shared" si="1472"/>
        <v/>
      </c>
      <c r="W3913" s="72">
        <f>IF(N(INDEX(sc_ach,3))=0,IF('Rate Log'!$G$114="",1,'Rate Log'!$G$114),INDEX(sc_ach,3))</f>
        <v>1</v>
      </c>
      <c r="X3913" s="72">
        <f>IF('Rate Log'!$C$114="",0,IF('Rate Log'!$E$114="planned",('Rate Log'!$D$114+N(INDEX(sc_dpts,3)))*$W3913,'Rate Log'!$D$114))</f>
        <v>0</v>
      </c>
      <c r="Y3913" s="73">
        <f>IF('Rate Log'!$C$114="",0,IF(1+$X3913&gt;0,LN(1+$X3913),0))</f>
        <v>0</v>
      </c>
      <c r="Z3913" s="75">
        <f t="shared" si="1473"/>
        <v>0</v>
      </c>
      <c r="AA3913" s="75">
        <f>IF($U3913="",0,COUNTIFS(rl_key,'Rate Log'!$J$114,$V$3806:$V$4045,$V3913,$U$3806:$U$4045,"&lt;"&amp;$U3913))</f>
        <v>0</v>
      </c>
      <c r="AB3913" s="75">
        <f>IF($U3913="",0,COUNTIFS('Rate Log'!$J$7:$J$114,'Rate Log'!$J$114,$V$3806:$V3913,$V3913,$U$3806:$U3913,$U3913))</f>
        <v>0</v>
      </c>
      <c r="AC3913" s="75">
        <f t="shared" si="1474"/>
        <v>0</v>
      </c>
      <c r="AE3913" s="74" t="str">
        <f>IF('Rate Log'!$C$114="","",IF('Rate Log'!$E$114="planned",EDATE('Rate Log'!$C$114,N(INDEX(sc_shift,4))),'Rate Log'!$C$114))</f>
        <v/>
      </c>
      <c r="AF3913" s="74" t="str">
        <f t="shared" si="1475"/>
        <v/>
      </c>
      <c r="AG3913" s="72">
        <f>IF(N(INDEX(sc_ach,4))=0,IF('Rate Log'!$G$114="",1,'Rate Log'!$G$114),INDEX(sc_ach,4))</f>
        <v>1</v>
      </c>
      <c r="AH3913" s="72">
        <f>IF('Rate Log'!$C$114="",0,IF('Rate Log'!$E$114="planned",('Rate Log'!$D$114+N(INDEX(sc_dpts,4)))*$AG3913,'Rate Log'!$D$114))</f>
        <v>0</v>
      </c>
      <c r="AI3913" s="73">
        <f>IF('Rate Log'!$C$114="",0,IF(1+$AH3913&gt;0,LN(1+$AH3913),0))</f>
        <v>0</v>
      </c>
      <c r="AJ3913" s="75">
        <f t="shared" si="1476"/>
        <v>0</v>
      </c>
      <c r="AK3913" s="75">
        <f>IF($AE3913="",0,COUNTIFS(rl_key,'Rate Log'!$J$114,$AF$3806:$AF$4045,$AF3913,$AE$3806:$AE$4045,"&lt;"&amp;$AE3913))</f>
        <v>0</v>
      </c>
      <c r="AL3913" s="75">
        <f>IF($AE3913="",0,COUNTIFS('Rate Log'!$J$7:$J$114,'Rate Log'!$J$114,$AF$3806:$AF3913,$AF3913,$AE$3806:$AE3913,$AE3913))</f>
        <v>0</v>
      </c>
      <c r="AM3913" s="75">
        <f t="shared" si="1477"/>
        <v>0</v>
      </c>
    </row>
    <row r="3914" spans="1:39" x14ac:dyDescent="0.3">
      <c r="A3914" s="74" t="str">
        <f>IF('Rate Log'!$C$115="","",IF('Rate Log'!$E$115="planned",EDATE('Rate Log'!$C$115,N(INDEX(sc_shift,1))),'Rate Log'!$C$115))</f>
        <v/>
      </c>
      <c r="B3914" s="74" t="str">
        <f t="shared" si="1466"/>
        <v/>
      </c>
      <c r="C3914" s="72">
        <f>IF(N(INDEX(sc_ach,1))=0,IF('Rate Log'!$G$115="",1,'Rate Log'!$G$115),INDEX(sc_ach,1))</f>
        <v>1</v>
      </c>
      <c r="D3914" s="72">
        <f>IF('Rate Log'!$C$115="",0,IF('Rate Log'!$E$115="planned",('Rate Log'!$D$115+N(INDEX(sc_dpts,1)))*$C3914,'Rate Log'!$D$115))</f>
        <v>0</v>
      </c>
      <c r="E3914" s="73">
        <f>IF('Rate Log'!$C$115="",0,IF(1+$D3914&gt;0,LN(1+$D3914),0))</f>
        <v>0</v>
      </c>
      <c r="F3914" s="75">
        <f t="shared" si="1467"/>
        <v>0</v>
      </c>
      <c r="G3914" s="75">
        <f>IF($A3914="",0,COUNTIFS(rl_key,'Rate Log'!$J$115,$B$3806:$B$4045,$B3914,$A$3806:$A$4045,"&lt;"&amp;$A3914))</f>
        <v>0</v>
      </c>
      <c r="H3914" s="75">
        <f>IF($A3914="",0,COUNTIFS('Rate Log'!$J$7:$J$115,'Rate Log'!$J$115,$B$3806:$B3914,$B3914,$A$3806:$A3914,$A3914))</f>
        <v>0</v>
      </c>
      <c r="I3914" s="75">
        <f t="shared" si="1468"/>
        <v>0</v>
      </c>
      <c r="K3914" s="74" t="str">
        <f>IF('Rate Log'!$C$115="","",IF('Rate Log'!$E$115="planned",EDATE('Rate Log'!$C$115,N(INDEX(sc_shift,2))),'Rate Log'!$C$115))</f>
        <v/>
      </c>
      <c r="L3914" s="74" t="str">
        <f t="shared" si="1469"/>
        <v/>
      </c>
      <c r="M3914" s="72">
        <f>IF(N(INDEX(sc_ach,2))=0,IF('Rate Log'!$G$115="",1,'Rate Log'!$G$115),INDEX(sc_ach,2))</f>
        <v>1</v>
      </c>
      <c r="N3914" s="72">
        <f>IF('Rate Log'!$C$115="",0,IF('Rate Log'!$E$115="planned",('Rate Log'!$D$115+N(INDEX(sc_dpts,2)))*$M3914,'Rate Log'!$D$115))</f>
        <v>0</v>
      </c>
      <c r="O3914" s="73">
        <f>IF('Rate Log'!$C$115="",0,IF(1+$N3914&gt;0,LN(1+$N3914),0))</f>
        <v>0</v>
      </c>
      <c r="P3914" s="75">
        <f t="shared" si="1470"/>
        <v>0</v>
      </c>
      <c r="Q3914" s="75">
        <f>IF($K3914="",0,COUNTIFS(rl_key,'Rate Log'!$J$115,$L$3806:$L$4045,$L3914,$K$3806:$K$4045,"&lt;"&amp;$K3914))</f>
        <v>0</v>
      </c>
      <c r="R3914" s="75">
        <f>IF($K3914="",0,COUNTIFS('Rate Log'!$J$7:$J$115,'Rate Log'!$J$115,$L$3806:$L3914,$L3914,$K$3806:$K3914,$K3914))</f>
        <v>0</v>
      </c>
      <c r="S3914" s="75">
        <f t="shared" si="1471"/>
        <v>0</v>
      </c>
      <c r="U3914" s="74" t="str">
        <f>IF('Rate Log'!$C$115="","",IF('Rate Log'!$E$115="planned",EDATE('Rate Log'!$C$115,N(INDEX(sc_shift,3))),'Rate Log'!$C$115))</f>
        <v/>
      </c>
      <c r="V3914" s="74" t="str">
        <f t="shared" si="1472"/>
        <v/>
      </c>
      <c r="W3914" s="72">
        <f>IF(N(INDEX(sc_ach,3))=0,IF('Rate Log'!$G$115="",1,'Rate Log'!$G$115),INDEX(sc_ach,3))</f>
        <v>1</v>
      </c>
      <c r="X3914" s="72">
        <f>IF('Rate Log'!$C$115="",0,IF('Rate Log'!$E$115="planned",('Rate Log'!$D$115+N(INDEX(sc_dpts,3)))*$W3914,'Rate Log'!$D$115))</f>
        <v>0</v>
      </c>
      <c r="Y3914" s="73">
        <f>IF('Rate Log'!$C$115="",0,IF(1+$X3914&gt;0,LN(1+$X3914),0))</f>
        <v>0</v>
      </c>
      <c r="Z3914" s="75">
        <f t="shared" si="1473"/>
        <v>0</v>
      </c>
      <c r="AA3914" s="75">
        <f>IF($U3914="",0,COUNTIFS(rl_key,'Rate Log'!$J$115,$V$3806:$V$4045,$V3914,$U$3806:$U$4045,"&lt;"&amp;$U3914))</f>
        <v>0</v>
      </c>
      <c r="AB3914" s="75">
        <f>IF($U3914="",0,COUNTIFS('Rate Log'!$J$7:$J$115,'Rate Log'!$J$115,$V$3806:$V3914,$V3914,$U$3806:$U3914,$U3914))</f>
        <v>0</v>
      </c>
      <c r="AC3914" s="75">
        <f t="shared" si="1474"/>
        <v>0</v>
      </c>
      <c r="AE3914" s="74" t="str">
        <f>IF('Rate Log'!$C$115="","",IF('Rate Log'!$E$115="planned",EDATE('Rate Log'!$C$115,N(INDEX(sc_shift,4))),'Rate Log'!$C$115))</f>
        <v/>
      </c>
      <c r="AF3914" s="74" t="str">
        <f t="shared" si="1475"/>
        <v/>
      </c>
      <c r="AG3914" s="72">
        <f>IF(N(INDEX(sc_ach,4))=0,IF('Rate Log'!$G$115="",1,'Rate Log'!$G$115),INDEX(sc_ach,4))</f>
        <v>1</v>
      </c>
      <c r="AH3914" s="72">
        <f>IF('Rate Log'!$C$115="",0,IF('Rate Log'!$E$115="planned",('Rate Log'!$D$115+N(INDEX(sc_dpts,4)))*$AG3914,'Rate Log'!$D$115))</f>
        <v>0</v>
      </c>
      <c r="AI3914" s="73">
        <f>IF('Rate Log'!$C$115="",0,IF(1+$AH3914&gt;0,LN(1+$AH3914),0))</f>
        <v>0</v>
      </c>
      <c r="AJ3914" s="75">
        <f t="shared" si="1476"/>
        <v>0</v>
      </c>
      <c r="AK3914" s="75">
        <f>IF($AE3914="",0,COUNTIFS(rl_key,'Rate Log'!$J$115,$AF$3806:$AF$4045,$AF3914,$AE$3806:$AE$4045,"&lt;"&amp;$AE3914))</f>
        <v>0</v>
      </c>
      <c r="AL3914" s="75">
        <f>IF($AE3914="",0,COUNTIFS('Rate Log'!$J$7:$J$115,'Rate Log'!$J$115,$AF$3806:$AF3914,$AF3914,$AE$3806:$AE3914,$AE3914))</f>
        <v>0</v>
      </c>
      <c r="AM3914" s="75">
        <f t="shared" si="1477"/>
        <v>0</v>
      </c>
    </row>
    <row r="3915" spans="1:39" x14ac:dyDescent="0.3">
      <c r="A3915" s="74" t="str">
        <f>IF('Rate Log'!$C$116="","",IF('Rate Log'!$E$116="planned",EDATE('Rate Log'!$C$116,N(INDEX(sc_shift,1))),'Rate Log'!$C$116))</f>
        <v/>
      </c>
      <c r="B3915" s="74" t="str">
        <f t="shared" si="1466"/>
        <v/>
      </c>
      <c r="C3915" s="72">
        <f>IF(N(INDEX(sc_ach,1))=0,IF('Rate Log'!$G$116="",1,'Rate Log'!$G$116),INDEX(sc_ach,1))</f>
        <v>1</v>
      </c>
      <c r="D3915" s="72">
        <f>IF('Rate Log'!$C$116="",0,IF('Rate Log'!$E$116="planned",('Rate Log'!$D$116+N(INDEX(sc_dpts,1)))*$C3915,'Rate Log'!$D$116))</f>
        <v>0</v>
      </c>
      <c r="E3915" s="73">
        <f>IF('Rate Log'!$C$116="",0,IF(1+$D3915&gt;0,LN(1+$D3915),0))</f>
        <v>0</v>
      </c>
      <c r="F3915" s="75">
        <f t="shared" si="1467"/>
        <v>0</v>
      </c>
      <c r="G3915" s="75">
        <f>IF($A3915="",0,COUNTIFS(rl_key,'Rate Log'!$J$116,$B$3806:$B$4045,$B3915,$A$3806:$A$4045,"&lt;"&amp;$A3915))</f>
        <v>0</v>
      </c>
      <c r="H3915" s="75">
        <f>IF($A3915="",0,COUNTIFS('Rate Log'!$J$7:$J$116,'Rate Log'!$J$116,$B$3806:$B3915,$B3915,$A$3806:$A3915,$A3915))</f>
        <v>0</v>
      </c>
      <c r="I3915" s="75">
        <f t="shared" si="1468"/>
        <v>0</v>
      </c>
      <c r="K3915" s="74" t="str">
        <f>IF('Rate Log'!$C$116="","",IF('Rate Log'!$E$116="planned",EDATE('Rate Log'!$C$116,N(INDEX(sc_shift,2))),'Rate Log'!$C$116))</f>
        <v/>
      </c>
      <c r="L3915" s="74" t="str">
        <f t="shared" si="1469"/>
        <v/>
      </c>
      <c r="M3915" s="72">
        <f>IF(N(INDEX(sc_ach,2))=0,IF('Rate Log'!$G$116="",1,'Rate Log'!$G$116),INDEX(sc_ach,2))</f>
        <v>1</v>
      </c>
      <c r="N3915" s="72">
        <f>IF('Rate Log'!$C$116="",0,IF('Rate Log'!$E$116="planned",('Rate Log'!$D$116+N(INDEX(sc_dpts,2)))*$M3915,'Rate Log'!$D$116))</f>
        <v>0</v>
      </c>
      <c r="O3915" s="73">
        <f>IF('Rate Log'!$C$116="",0,IF(1+$N3915&gt;0,LN(1+$N3915),0))</f>
        <v>0</v>
      </c>
      <c r="P3915" s="75">
        <f t="shared" si="1470"/>
        <v>0</v>
      </c>
      <c r="Q3915" s="75">
        <f>IF($K3915="",0,COUNTIFS(rl_key,'Rate Log'!$J$116,$L$3806:$L$4045,$L3915,$K$3806:$K$4045,"&lt;"&amp;$K3915))</f>
        <v>0</v>
      </c>
      <c r="R3915" s="75">
        <f>IF($K3915="",0,COUNTIFS('Rate Log'!$J$7:$J$116,'Rate Log'!$J$116,$L$3806:$L3915,$L3915,$K$3806:$K3915,$K3915))</f>
        <v>0</v>
      </c>
      <c r="S3915" s="75">
        <f t="shared" si="1471"/>
        <v>0</v>
      </c>
      <c r="U3915" s="74" t="str">
        <f>IF('Rate Log'!$C$116="","",IF('Rate Log'!$E$116="planned",EDATE('Rate Log'!$C$116,N(INDEX(sc_shift,3))),'Rate Log'!$C$116))</f>
        <v/>
      </c>
      <c r="V3915" s="74" t="str">
        <f t="shared" si="1472"/>
        <v/>
      </c>
      <c r="W3915" s="72">
        <f>IF(N(INDEX(sc_ach,3))=0,IF('Rate Log'!$G$116="",1,'Rate Log'!$G$116),INDEX(sc_ach,3))</f>
        <v>1</v>
      </c>
      <c r="X3915" s="72">
        <f>IF('Rate Log'!$C$116="",0,IF('Rate Log'!$E$116="planned",('Rate Log'!$D$116+N(INDEX(sc_dpts,3)))*$W3915,'Rate Log'!$D$116))</f>
        <v>0</v>
      </c>
      <c r="Y3915" s="73">
        <f>IF('Rate Log'!$C$116="",0,IF(1+$X3915&gt;0,LN(1+$X3915),0))</f>
        <v>0</v>
      </c>
      <c r="Z3915" s="75">
        <f t="shared" si="1473"/>
        <v>0</v>
      </c>
      <c r="AA3915" s="75">
        <f>IF($U3915="",0,COUNTIFS(rl_key,'Rate Log'!$J$116,$V$3806:$V$4045,$V3915,$U$3806:$U$4045,"&lt;"&amp;$U3915))</f>
        <v>0</v>
      </c>
      <c r="AB3915" s="75">
        <f>IF($U3915="",0,COUNTIFS('Rate Log'!$J$7:$J$116,'Rate Log'!$J$116,$V$3806:$V3915,$V3915,$U$3806:$U3915,$U3915))</f>
        <v>0</v>
      </c>
      <c r="AC3915" s="75">
        <f t="shared" si="1474"/>
        <v>0</v>
      </c>
      <c r="AE3915" s="74" t="str">
        <f>IF('Rate Log'!$C$116="","",IF('Rate Log'!$E$116="planned",EDATE('Rate Log'!$C$116,N(INDEX(sc_shift,4))),'Rate Log'!$C$116))</f>
        <v/>
      </c>
      <c r="AF3915" s="74" t="str">
        <f t="shared" si="1475"/>
        <v/>
      </c>
      <c r="AG3915" s="72">
        <f>IF(N(INDEX(sc_ach,4))=0,IF('Rate Log'!$G$116="",1,'Rate Log'!$G$116),INDEX(sc_ach,4))</f>
        <v>1</v>
      </c>
      <c r="AH3915" s="72">
        <f>IF('Rate Log'!$C$116="",0,IF('Rate Log'!$E$116="planned",('Rate Log'!$D$116+N(INDEX(sc_dpts,4)))*$AG3915,'Rate Log'!$D$116))</f>
        <v>0</v>
      </c>
      <c r="AI3915" s="73">
        <f>IF('Rate Log'!$C$116="",0,IF(1+$AH3915&gt;0,LN(1+$AH3915),0))</f>
        <v>0</v>
      </c>
      <c r="AJ3915" s="75">
        <f t="shared" si="1476"/>
        <v>0</v>
      </c>
      <c r="AK3915" s="75">
        <f>IF($AE3915="",0,COUNTIFS(rl_key,'Rate Log'!$J$116,$AF$3806:$AF$4045,$AF3915,$AE$3806:$AE$4045,"&lt;"&amp;$AE3915))</f>
        <v>0</v>
      </c>
      <c r="AL3915" s="75">
        <f>IF($AE3915="",0,COUNTIFS('Rate Log'!$J$7:$J$116,'Rate Log'!$J$116,$AF$3806:$AF3915,$AF3915,$AE$3806:$AE3915,$AE3915))</f>
        <v>0</v>
      </c>
      <c r="AM3915" s="75">
        <f t="shared" si="1477"/>
        <v>0</v>
      </c>
    </row>
    <row r="3916" spans="1:39" x14ac:dyDescent="0.3">
      <c r="A3916" s="74" t="str">
        <f>IF('Rate Log'!$C$117="","",IF('Rate Log'!$E$117="planned",EDATE('Rate Log'!$C$117,N(INDEX(sc_shift,1))),'Rate Log'!$C$117))</f>
        <v/>
      </c>
      <c r="B3916" s="74" t="str">
        <f t="shared" si="1466"/>
        <v/>
      </c>
      <c r="C3916" s="72">
        <f>IF(N(INDEX(sc_ach,1))=0,IF('Rate Log'!$G$117="",1,'Rate Log'!$G$117),INDEX(sc_ach,1))</f>
        <v>1</v>
      </c>
      <c r="D3916" s="72">
        <f>IF('Rate Log'!$C$117="",0,IF('Rate Log'!$E$117="planned",('Rate Log'!$D$117+N(INDEX(sc_dpts,1)))*$C3916,'Rate Log'!$D$117))</f>
        <v>0</v>
      </c>
      <c r="E3916" s="73">
        <f>IF('Rate Log'!$C$117="",0,IF(1+$D3916&gt;0,LN(1+$D3916),0))</f>
        <v>0</v>
      </c>
      <c r="F3916" s="75">
        <f t="shared" si="1467"/>
        <v>0</v>
      </c>
      <c r="G3916" s="75">
        <f>IF($A3916="",0,COUNTIFS(rl_key,'Rate Log'!$J$117,$B$3806:$B$4045,$B3916,$A$3806:$A$4045,"&lt;"&amp;$A3916))</f>
        <v>0</v>
      </c>
      <c r="H3916" s="75">
        <f>IF($A3916="",0,COUNTIFS('Rate Log'!$J$7:$J$117,'Rate Log'!$J$117,$B$3806:$B3916,$B3916,$A$3806:$A3916,$A3916))</f>
        <v>0</v>
      </c>
      <c r="I3916" s="75">
        <f t="shared" si="1468"/>
        <v>0</v>
      </c>
      <c r="K3916" s="74" t="str">
        <f>IF('Rate Log'!$C$117="","",IF('Rate Log'!$E$117="planned",EDATE('Rate Log'!$C$117,N(INDEX(sc_shift,2))),'Rate Log'!$C$117))</f>
        <v/>
      </c>
      <c r="L3916" s="74" t="str">
        <f t="shared" si="1469"/>
        <v/>
      </c>
      <c r="M3916" s="72">
        <f>IF(N(INDEX(sc_ach,2))=0,IF('Rate Log'!$G$117="",1,'Rate Log'!$G$117),INDEX(sc_ach,2))</f>
        <v>1</v>
      </c>
      <c r="N3916" s="72">
        <f>IF('Rate Log'!$C$117="",0,IF('Rate Log'!$E$117="planned",('Rate Log'!$D$117+N(INDEX(sc_dpts,2)))*$M3916,'Rate Log'!$D$117))</f>
        <v>0</v>
      </c>
      <c r="O3916" s="73">
        <f>IF('Rate Log'!$C$117="",0,IF(1+$N3916&gt;0,LN(1+$N3916),0))</f>
        <v>0</v>
      </c>
      <c r="P3916" s="75">
        <f t="shared" si="1470"/>
        <v>0</v>
      </c>
      <c r="Q3916" s="75">
        <f>IF($K3916="",0,COUNTIFS(rl_key,'Rate Log'!$J$117,$L$3806:$L$4045,$L3916,$K$3806:$K$4045,"&lt;"&amp;$K3916))</f>
        <v>0</v>
      </c>
      <c r="R3916" s="75">
        <f>IF($K3916="",0,COUNTIFS('Rate Log'!$J$7:$J$117,'Rate Log'!$J$117,$L$3806:$L3916,$L3916,$K$3806:$K3916,$K3916))</f>
        <v>0</v>
      </c>
      <c r="S3916" s="75">
        <f t="shared" si="1471"/>
        <v>0</v>
      </c>
      <c r="U3916" s="74" t="str">
        <f>IF('Rate Log'!$C$117="","",IF('Rate Log'!$E$117="planned",EDATE('Rate Log'!$C$117,N(INDEX(sc_shift,3))),'Rate Log'!$C$117))</f>
        <v/>
      </c>
      <c r="V3916" s="74" t="str">
        <f t="shared" si="1472"/>
        <v/>
      </c>
      <c r="W3916" s="72">
        <f>IF(N(INDEX(sc_ach,3))=0,IF('Rate Log'!$G$117="",1,'Rate Log'!$G$117),INDEX(sc_ach,3))</f>
        <v>1</v>
      </c>
      <c r="X3916" s="72">
        <f>IF('Rate Log'!$C$117="",0,IF('Rate Log'!$E$117="planned",('Rate Log'!$D$117+N(INDEX(sc_dpts,3)))*$W3916,'Rate Log'!$D$117))</f>
        <v>0</v>
      </c>
      <c r="Y3916" s="73">
        <f>IF('Rate Log'!$C$117="",0,IF(1+$X3916&gt;0,LN(1+$X3916),0))</f>
        <v>0</v>
      </c>
      <c r="Z3916" s="75">
        <f t="shared" si="1473"/>
        <v>0</v>
      </c>
      <c r="AA3916" s="75">
        <f>IF($U3916="",0,COUNTIFS(rl_key,'Rate Log'!$J$117,$V$3806:$V$4045,$V3916,$U$3806:$U$4045,"&lt;"&amp;$U3916))</f>
        <v>0</v>
      </c>
      <c r="AB3916" s="75">
        <f>IF($U3916="",0,COUNTIFS('Rate Log'!$J$7:$J$117,'Rate Log'!$J$117,$V$3806:$V3916,$V3916,$U$3806:$U3916,$U3916))</f>
        <v>0</v>
      </c>
      <c r="AC3916" s="75">
        <f t="shared" si="1474"/>
        <v>0</v>
      </c>
      <c r="AE3916" s="74" t="str">
        <f>IF('Rate Log'!$C$117="","",IF('Rate Log'!$E$117="planned",EDATE('Rate Log'!$C$117,N(INDEX(sc_shift,4))),'Rate Log'!$C$117))</f>
        <v/>
      </c>
      <c r="AF3916" s="74" t="str">
        <f t="shared" si="1475"/>
        <v/>
      </c>
      <c r="AG3916" s="72">
        <f>IF(N(INDEX(sc_ach,4))=0,IF('Rate Log'!$G$117="",1,'Rate Log'!$G$117),INDEX(sc_ach,4))</f>
        <v>1</v>
      </c>
      <c r="AH3916" s="72">
        <f>IF('Rate Log'!$C$117="",0,IF('Rate Log'!$E$117="planned",('Rate Log'!$D$117+N(INDEX(sc_dpts,4)))*$AG3916,'Rate Log'!$D$117))</f>
        <v>0</v>
      </c>
      <c r="AI3916" s="73">
        <f>IF('Rate Log'!$C$117="",0,IF(1+$AH3916&gt;0,LN(1+$AH3916),0))</f>
        <v>0</v>
      </c>
      <c r="AJ3916" s="75">
        <f t="shared" si="1476"/>
        <v>0</v>
      </c>
      <c r="AK3916" s="75">
        <f>IF($AE3916="",0,COUNTIFS(rl_key,'Rate Log'!$J$117,$AF$3806:$AF$4045,$AF3916,$AE$3806:$AE$4045,"&lt;"&amp;$AE3916))</f>
        <v>0</v>
      </c>
      <c r="AL3916" s="75">
        <f>IF($AE3916="",0,COUNTIFS('Rate Log'!$J$7:$J$117,'Rate Log'!$J$117,$AF$3806:$AF3916,$AF3916,$AE$3806:$AE3916,$AE3916))</f>
        <v>0</v>
      </c>
      <c r="AM3916" s="75">
        <f t="shared" si="1477"/>
        <v>0</v>
      </c>
    </row>
    <row r="3917" spans="1:39" x14ac:dyDescent="0.3">
      <c r="A3917" s="74" t="str">
        <f>IF('Rate Log'!$C$118="","",IF('Rate Log'!$E$118="planned",EDATE('Rate Log'!$C$118,N(INDEX(sc_shift,1))),'Rate Log'!$C$118))</f>
        <v/>
      </c>
      <c r="B3917" s="74" t="str">
        <f t="shared" si="1466"/>
        <v/>
      </c>
      <c r="C3917" s="72">
        <f>IF(N(INDEX(sc_ach,1))=0,IF('Rate Log'!$G$118="",1,'Rate Log'!$G$118),INDEX(sc_ach,1))</f>
        <v>1</v>
      </c>
      <c r="D3917" s="72">
        <f>IF('Rate Log'!$C$118="",0,IF('Rate Log'!$E$118="planned",('Rate Log'!$D$118+N(INDEX(sc_dpts,1)))*$C3917,'Rate Log'!$D$118))</f>
        <v>0</v>
      </c>
      <c r="E3917" s="73">
        <f>IF('Rate Log'!$C$118="",0,IF(1+$D3917&gt;0,LN(1+$D3917),0))</f>
        <v>0</v>
      </c>
      <c r="F3917" s="75">
        <f t="shared" si="1467"/>
        <v>0</v>
      </c>
      <c r="G3917" s="75">
        <f>IF($A3917="",0,COUNTIFS(rl_key,'Rate Log'!$J$118,$B$3806:$B$4045,$B3917,$A$3806:$A$4045,"&lt;"&amp;$A3917))</f>
        <v>0</v>
      </c>
      <c r="H3917" s="75">
        <f>IF($A3917="",0,COUNTIFS('Rate Log'!$J$7:$J$118,'Rate Log'!$J$118,$B$3806:$B3917,$B3917,$A$3806:$A3917,$A3917))</f>
        <v>0</v>
      </c>
      <c r="I3917" s="75">
        <f t="shared" si="1468"/>
        <v>0</v>
      </c>
      <c r="K3917" s="74" t="str">
        <f>IF('Rate Log'!$C$118="","",IF('Rate Log'!$E$118="planned",EDATE('Rate Log'!$C$118,N(INDEX(sc_shift,2))),'Rate Log'!$C$118))</f>
        <v/>
      </c>
      <c r="L3917" s="74" t="str">
        <f t="shared" si="1469"/>
        <v/>
      </c>
      <c r="M3917" s="72">
        <f>IF(N(INDEX(sc_ach,2))=0,IF('Rate Log'!$G$118="",1,'Rate Log'!$G$118),INDEX(sc_ach,2))</f>
        <v>1</v>
      </c>
      <c r="N3917" s="72">
        <f>IF('Rate Log'!$C$118="",0,IF('Rate Log'!$E$118="planned",('Rate Log'!$D$118+N(INDEX(sc_dpts,2)))*$M3917,'Rate Log'!$D$118))</f>
        <v>0</v>
      </c>
      <c r="O3917" s="73">
        <f>IF('Rate Log'!$C$118="",0,IF(1+$N3917&gt;0,LN(1+$N3917),0))</f>
        <v>0</v>
      </c>
      <c r="P3917" s="75">
        <f t="shared" si="1470"/>
        <v>0</v>
      </c>
      <c r="Q3917" s="75">
        <f>IF($K3917="",0,COUNTIFS(rl_key,'Rate Log'!$J$118,$L$3806:$L$4045,$L3917,$K$3806:$K$4045,"&lt;"&amp;$K3917))</f>
        <v>0</v>
      </c>
      <c r="R3917" s="75">
        <f>IF($K3917="",0,COUNTIFS('Rate Log'!$J$7:$J$118,'Rate Log'!$J$118,$L$3806:$L3917,$L3917,$K$3806:$K3917,$K3917))</f>
        <v>0</v>
      </c>
      <c r="S3917" s="75">
        <f t="shared" si="1471"/>
        <v>0</v>
      </c>
      <c r="U3917" s="74" t="str">
        <f>IF('Rate Log'!$C$118="","",IF('Rate Log'!$E$118="planned",EDATE('Rate Log'!$C$118,N(INDEX(sc_shift,3))),'Rate Log'!$C$118))</f>
        <v/>
      </c>
      <c r="V3917" s="74" t="str">
        <f t="shared" si="1472"/>
        <v/>
      </c>
      <c r="W3917" s="72">
        <f>IF(N(INDEX(sc_ach,3))=0,IF('Rate Log'!$G$118="",1,'Rate Log'!$G$118),INDEX(sc_ach,3))</f>
        <v>1</v>
      </c>
      <c r="X3917" s="72">
        <f>IF('Rate Log'!$C$118="",0,IF('Rate Log'!$E$118="planned",('Rate Log'!$D$118+N(INDEX(sc_dpts,3)))*$W3917,'Rate Log'!$D$118))</f>
        <v>0</v>
      </c>
      <c r="Y3917" s="73">
        <f>IF('Rate Log'!$C$118="",0,IF(1+$X3917&gt;0,LN(1+$X3917),0))</f>
        <v>0</v>
      </c>
      <c r="Z3917" s="75">
        <f t="shared" si="1473"/>
        <v>0</v>
      </c>
      <c r="AA3917" s="75">
        <f>IF($U3917="",0,COUNTIFS(rl_key,'Rate Log'!$J$118,$V$3806:$V$4045,$V3917,$U$3806:$U$4045,"&lt;"&amp;$U3917))</f>
        <v>0</v>
      </c>
      <c r="AB3917" s="75">
        <f>IF($U3917="",0,COUNTIFS('Rate Log'!$J$7:$J$118,'Rate Log'!$J$118,$V$3806:$V3917,$V3917,$U$3806:$U3917,$U3917))</f>
        <v>0</v>
      </c>
      <c r="AC3917" s="75">
        <f t="shared" si="1474"/>
        <v>0</v>
      </c>
      <c r="AE3917" s="74" t="str">
        <f>IF('Rate Log'!$C$118="","",IF('Rate Log'!$E$118="planned",EDATE('Rate Log'!$C$118,N(INDEX(sc_shift,4))),'Rate Log'!$C$118))</f>
        <v/>
      </c>
      <c r="AF3917" s="74" t="str">
        <f t="shared" si="1475"/>
        <v/>
      </c>
      <c r="AG3917" s="72">
        <f>IF(N(INDEX(sc_ach,4))=0,IF('Rate Log'!$G$118="",1,'Rate Log'!$G$118),INDEX(sc_ach,4))</f>
        <v>1</v>
      </c>
      <c r="AH3917" s="72">
        <f>IF('Rate Log'!$C$118="",0,IF('Rate Log'!$E$118="planned",('Rate Log'!$D$118+N(INDEX(sc_dpts,4)))*$AG3917,'Rate Log'!$D$118))</f>
        <v>0</v>
      </c>
      <c r="AI3917" s="73">
        <f>IF('Rate Log'!$C$118="",0,IF(1+$AH3917&gt;0,LN(1+$AH3917),0))</f>
        <v>0</v>
      </c>
      <c r="AJ3917" s="75">
        <f t="shared" si="1476"/>
        <v>0</v>
      </c>
      <c r="AK3917" s="75">
        <f>IF($AE3917="",0,COUNTIFS(rl_key,'Rate Log'!$J$118,$AF$3806:$AF$4045,$AF3917,$AE$3806:$AE$4045,"&lt;"&amp;$AE3917))</f>
        <v>0</v>
      </c>
      <c r="AL3917" s="75">
        <f>IF($AE3917="",0,COUNTIFS('Rate Log'!$J$7:$J$118,'Rate Log'!$J$118,$AF$3806:$AF3917,$AF3917,$AE$3806:$AE3917,$AE3917))</f>
        <v>0</v>
      </c>
      <c r="AM3917" s="75">
        <f t="shared" si="1477"/>
        <v>0</v>
      </c>
    </row>
    <row r="3918" spans="1:39" x14ac:dyDescent="0.3">
      <c r="A3918" s="74" t="str">
        <f>IF('Rate Log'!$C$119="","",IF('Rate Log'!$E$119="planned",EDATE('Rate Log'!$C$119,N(INDEX(sc_shift,1))),'Rate Log'!$C$119))</f>
        <v/>
      </c>
      <c r="B3918" s="74" t="str">
        <f t="shared" si="1466"/>
        <v/>
      </c>
      <c r="C3918" s="72">
        <f>IF(N(INDEX(sc_ach,1))=0,IF('Rate Log'!$G$119="",1,'Rate Log'!$G$119),INDEX(sc_ach,1))</f>
        <v>1</v>
      </c>
      <c r="D3918" s="72">
        <f>IF('Rate Log'!$C$119="",0,IF('Rate Log'!$E$119="planned",('Rate Log'!$D$119+N(INDEX(sc_dpts,1)))*$C3918,'Rate Log'!$D$119))</f>
        <v>0</v>
      </c>
      <c r="E3918" s="73">
        <f>IF('Rate Log'!$C$119="",0,IF(1+$D3918&gt;0,LN(1+$D3918),0))</f>
        <v>0</v>
      </c>
      <c r="F3918" s="75">
        <f t="shared" si="1467"/>
        <v>0</v>
      </c>
      <c r="G3918" s="75">
        <f>IF($A3918="",0,COUNTIFS(rl_key,'Rate Log'!$J$119,$B$3806:$B$4045,$B3918,$A$3806:$A$4045,"&lt;"&amp;$A3918))</f>
        <v>0</v>
      </c>
      <c r="H3918" s="75">
        <f>IF($A3918="",0,COUNTIFS('Rate Log'!$J$7:$J$119,'Rate Log'!$J$119,$B$3806:$B3918,$B3918,$A$3806:$A3918,$A3918))</f>
        <v>0</v>
      </c>
      <c r="I3918" s="75">
        <f t="shared" si="1468"/>
        <v>0</v>
      </c>
      <c r="K3918" s="74" t="str">
        <f>IF('Rate Log'!$C$119="","",IF('Rate Log'!$E$119="planned",EDATE('Rate Log'!$C$119,N(INDEX(sc_shift,2))),'Rate Log'!$C$119))</f>
        <v/>
      </c>
      <c r="L3918" s="74" t="str">
        <f t="shared" si="1469"/>
        <v/>
      </c>
      <c r="M3918" s="72">
        <f>IF(N(INDEX(sc_ach,2))=0,IF('Rate Log'!$G$119="",1,'Rate Log'!$G$119),INDEX(sc_ach,2))</f>
        <v>1</v>
      </c>
      <c r="N3918" s="72">
        <f>IF('Rate Log'!$C$119="",0,IF('Rate Log'!$E$119="planned",('Rate Log'!$D$119+N(INDEX(sc_dpts,2)))*$M3918,'Rate Log'!$D$119))</f>
        <v>0</v>
      </c>
      <c r="O3918" s="73">
        <f>IF('Rate Log'!$C$119="",0,IF(1+$N3918&gt;0,LN(1+$N3918),0))</f>
        <v>0</v>
      </c>
      <c r="P3918" s="75">
        <f t="shared" si="1470"/>
        <v>0</v>
      </c>
      <c r="Q3918" s="75">
        <f>IF($K3918="",0,COUNTIFS(rl_key,'Rate Log'!$J$119,$L$3806:$L$4045,$L3918,$K$3806:$K$4045,"&lt;"&amp;$K3918))</f>
        <v>0</v>
      </c>
      <c r="R3918" s="75">
        <f>IF($K3918="",0,COUNTIFS('Rate Log'!$J$7:$J$119,'Rate Log'!$J$119,$L$3806:$L3918,$L3918,$K$3806:$K3918,$K3918))</f>
        <v>0</v>
      </c>
      <c r="S3918" s="75">
        <f t="shared" si="1471"/>
        <v>0</v>
      </c>
      <c r="U3918" s="74" t="str">
        <f>IF('Rate Log'!$C$119="","",IF('Rate Log'!$E$119="planned",EDATE('Rate Log'!$C$119,N(INDEX(sc_shift,3))),'Rate Log'!$C$119))</f>
        <v/>
      </c>
      <c r="V3918" s="74" t="str">
        <f t="shared" si="1472"/>
        <v/>
      </c>
      <c r="W3918" s="72">
        <f>IF(N(INDEX(sc_ach,3))=0,IF('Rate Log'!$G$119="",1,'Rate Log'!$G$119),INDEX(sc_ach,3))</f>
        <v>1</v>
      </c>
      <c r="X3918" s="72">
        <f>IF('Rate Log'!$C$119="",0,IF('Rate Log'!$E$119="planned",('Rate Log'!$D$119+N(INDEX(sc_dpts,3)))*$W3918,'Rate Log'!$D$119))</f>
        <v>0</v>
      </c>
      <c r="Y3918" s="73">
        <f>IF('Rate Log'!$C$119="",0,IF(1+$X3918&gt;0,LN(1+$X3918),0))</f>
        <v>0</v>
      </c>
      <c r="Z3918" s="75">
        <f t="shared" si="1473"/>
        <v>0</v>
      </c>
      <c r="AA3918" s="75">
        <f>IF($U3918="",0,COUNTIFS(rl_key,'Rate Log'!$J$119,$V$3806:$V$4045,$V3918,$U$3806:$U$4045,"&lt;"&amp;$U3918))</f>
        <v>0</v>
      </c>
      <c r="AB3918" s="75">
        <f>IF($U3918="",0,COUNTIFS('Rate Log'!$J$7:$J$119,'Rate Log'!$J$119,$V$3806:$V3918,$V3918,$U$3806:$U3918,$U3918))</f>
        <v>0</v>
      </c>
      <c r="AC3918" s="75">
        <f t="shared" si="1474"/>
        <v>0</v>
      </c>
      <c r="AE3918" s="74" t="str">
        <f>IF('Rate Log'!$C$119="","",IF('Rate Log'!$E$119="planned",EDATE('Rate Log'!$C$119,N(INDEX(sc_shift,4))),'Rate Log'!$C$119))</f>
        <v/>
      </c>
      <c r="AF3918" s="74" t="str">
        <f t="shared" si="1475"/>
        <v/>
      </c>
      <c r="AG3918" s="72">
        <f>IF(N(INDEX(sc_ach,4))=0,IF('Rate Log'!$G$119="",1,'Rate Log'!$G$119),INDEX(sc_ach,4))</f>
        <v>1</v>
      </c>
      <c r="AH3918" s="72">
        <f>IF('Rate Log'!$C$119="",0,IF('Rate Log'!$E$119="planned",('Rate Log'!$D$119+N(INDEX(sc_dpts,4)))*$AG3918,'Rate Log'!$D$119))</f>
        <v>0</v>
      </c>
      <c r="AI3918" s="73">
        <f>IF('Rate Log'!$C$119="",0,IF(1+$AH3918&gt;0,LN(1+$AH3918),0))</f>
        <v>0</v>
      </c>
      <c r="AJ3918" s="75">
        <f t="shared" si="1476"/>
        <v>0</v>
      </c>
      <c r="AK3918" s="75">
        <f>IF($AE3918="",0,COUNTIFS(rl_key,'Rate Log'!$J$119,$AF$3806:$AF$4045,$AF3918,$AE$3806:$AE$4045,"&lt;"&amp;$AE3918))</f>
        <v>0</v>
      </c>
      <c r="AL3918" s="75">
        <f>IF($AE3918="",0,COUNTIFS('Rate Log'!$J$7:$J$119,'Rate Log'!$J$119,$AF$3806:$AF3918,$AF3918,$AE$3806:$AE3918,$AE3918))</f>
        <v>0</v>
      </c>
      <c r="AM3918" s="75">
        <f t="shared" si="1477"/>
        <v>0</v>
      </c>
    </row>
    <row r="3919" spans="1:39" x14ac:dyDescent="0.3">
      <c r="A3919" s="74" t="str">
        <f>IF('Rate Log'!$C$120="","",IF('Rate Log'!$E$120="planned",EDATE('Rate Log'!$C$120,N(INDEX(sc_shift,1))),'Rate Log'!$C$120))</f>
        <v/>
      </c>
      <c r="B3919" s="74" t="str">
        <f t="shared" si="1466"/>
        <v/>
      </c>
      <c r="C3919" s="72">
        <f>IF(N(INDEX(sc_ach,1))=0,IF('Rate Log'!$G$120="",1,'Rate Log'!$G$120),INDEX(sc_ach,1))</f>
        <v>1</v>
      </c>
      <c r="D3919" s="72">
        <f>IF('Rate Log'!$C$120="",0,IF('Rate Log'!$E$120="planned",('Rate Log'!$D$120+N(INDEX(sc_dpts,1)))*$C3919,'Rate Log'!$D$120))</f>
        <v>0</v>
      </c>
      <c r="E3919" s="73">
        <f>IF('Rate Log'!$C$120="",0,IF(1+$D3919&gt;0,LN(1+$D3919),0))</f>
        <v>0</v>
      </c>
      <c r="F3919" s="75">
        <f t="shared" si="1467"/>
        <v>0</v>
      </c>
      <c r="G3919" s="75">
        <f>IF($A3919="",0,COUNTIFS(rl_key,'Rate Log'!$J$120,$B$3806:$B$4045,$B3919,$A$3806:$A$4045,"&lt;"&amp;$A3919))</f>
        <v>0</v>
      </c>
      <c r="H3919" s="75">
        <f>IF($A3919="",0,COUNTIFS('Rate Log'!$J$7:$J$120,'Rate Log'!$J$120,$B$3806:$B3919,$B3919,$A$3806:$A3919,$A3919))</f>
        <v>0</v>
      </c>
      <c r="I3919" s="75">
        <f t="shared" si="1468"/>
        <v>0</v>
      </c>
      <c r="K3919" s="74" t="str">
        <f>IF('Rate Log'!$C$120="","",IF('Rate Log'!$E$120="planned",EDATE('Rate Log'!$C$120,N(INDEX(sc_shift,2))),'Rate Log'!$C$120))</f>
        <v/>
      </c>
      <c r="L3919" s="74" t="str">
        <f t="shared" si="1469"/>
        <v/>
      </c>
      <c r="M3919" s="72">
        <f>IF(N(INDEX(sc_ach,2))=0,IF('Rate Log'!$G$120="",1,'Rate Log'!$G$120),INDEX(sc_ach,2))</f>
        <v>1</v>
      </c>
      <c r="N3919" s="72">
        <f>IF('Rate Log'!$C$120="",0,IF('Rate Log'!$E$120="planned",('Rate Log'!$D$120+N(INDEX(sc_dpts,2)))*$M3919,'Rate Log'!$D$120))</f>
        <v>0</v>
      </c>
      <c r="O3919" s="73">
        <f>IF('Rate Log'!$C$120="",0,IF(1+$N3919&gt;0,LN(1+$N3919),0))</f>
        <v>0</v>
      </c>
      <c r="P3919" s="75">
        <f t="shared" si="1470"/>
        <v>0</v>
      </c>
      <c r="Q3919" s="75">
        <f>IF($K3919="",0,COUNTIFS(rl_key,'Rate Log'!$J$120,$L$3806:$L$4045,$L3919,$K$3806:$K$4045,"&lt;"&amp;$K3919))</f>
        <v>0</v>
      </c>
      <c r="R3919" s="75">
        <f>IF($K3919="",0,COUNTIFS('Rate Log'!$J$7:$J$120,'Rate Log'!$J$120,$L$3806:$L3919,$L3919,$K$3806:$K3919,$K3919))</f>
        <v>0</v>
      </c>
      <c r="S3919" s="75">
        <f t="shared" si="1471"/>
        <v>0</v>
      </c>
      <c r="U3919" s="74" t="str">
        <f>IF('Rate Log'!$C$120="","",IF('Rate Log'!$E$120="planned",EDATE('Rate Log'!$C$120,N(INDEX(sc_shift,3))),'Rate Log'!$C$120))</f>
        <v/>
      </c>
      <c r="V3919" s="74" t="str">
        <f t="shared" si="1472"/>
        <v/>
      </c>
      <c r="W3919" s="72">
        <f>IF(N(INDEX(sc_ach,3))=0,IF('Rate Log'!$G$120="",1,'Rate Log'!$G$120),INDEX(sc_ach,3))</f>
        <v>1</v>
      </c>
      <c r="X3919" s="72">
        <f>IF('Rate Log'!$C$120="",0,IF('Rate Log'!$E$120="planned",('Rate Log'!$D$120+N(INDEX(sc_dpts,3)))*$W3919,'Rate Log'!$D$120))</f>
        <v>0</v>
      </c>
      <c r="Y3919" s="73">
        <f>IF('Rate Log'!$C$120="",0,IF(1+$X3919&gt;0,LN(1+$X3919),0))</f>
        <v>0</v>
      </c>
      <c r="Z3919" s="75">
        <f t="shared" si="1473"/>
        <v>0</v>
      </c>
      <c r="AA3919" s="75">
        <f>IF($U3919="",0,COUNTIFS(rl_key,'Rate Log'!$J$120,$V$3806:$V$4045,$V3919,$U$3806:$U$4045,"&lt;"&amp;$U3919))</f>
        <v>0</v>
      </c>
      <c r="AB3919" s="75">
        <f>IF($U3919="",0,COUNTIFS('Rate Log'!$J$7:$J$120,'Rate Log'!$J$120,$V$3806:$V3919,$V3919,$U$3806:$U3919,$U3919))</f>
        <v>0</v>
      </c>
      <c r="AC3919" s="75">
        <f t="shared" si="1474"/>
        <v>0</v>
      </c>
      <c r="AE3919" s="74" t="str">
        <f>IF('Rate Log'!$C$120="","",IF('Rate Log'!$E$120="planned",EDATE('Rate Log'!$C$120,N(INDEX(sc_shift,4))),'Rate Log'!$C$120))</f>
        <v/>
      </c>
      <c r="AF3919" s="74" t="str">
        <f t="shared" si="1475"/>
        <v/>
      </c>
      <c r="AG3919" s="72">
        <f>IF(N(INDEX(sc_ach,4))=0,IF('Rate Log'!$G$120="",1,'Rate Log'!$G$120),INDEX(sc_ach,4))</f>
        <v>1</v>
      </c>
      <c r="AH3919" s="72">
        <f>IF('Rate Log'!$C$120="",0,IF('Rate Log'!$E$120="planned",('Rate Log'!$D$120+N(INDEX(sc_dpts,4)))*$AG3919,'Rate Log'!$D$120))</f>
        <v>0</v>
      </c>
      <c r="AI3919" s="73">
        <f>IF('Rate Log'!$C$120="",0,IF(1+$AH3919&gt;0,LN(1+$AH3919),0))</f>
        <v>0</v>
      </c>
      <c r="AJ3919" s="75">
        <f t="shared" si="1476"/>
        <v>0</v>
      </c>
      <c r="AK3919" s="75">
        <f>IF($AE3919="",0,COUNTIFS(rl_key,'Rate Log'!$J$120,$AF$3806:$AF$4045,$AF3919,$AE$3806:$AE$4045,"&lt;"&amp;$AE3919))</f>
        <v>0</v>
      </c>
      <c r="AL3919" s="75">
        <f>IF($AE3919="",0,COUNTIFS('Rate Log'!$J$7:$J$120,'Rate Log'!$J$120,$AF$3806:$AF3919,$AF3919,$AE$3806:$AE3919,$AE3919))</f>
        <v>0</v>
      </c>
      <c r="AM3919" s="75">
        <f t="shared" si="1477"/>
        <v>0</v>
      </c>
    </row>
    <row r="3920" spans="1:39" x14ac:dyDescent="0.3">
      <c r="A3920" s="74" t="str">
        <f>IF('Rate Log'!$C$121="","",IF('Rate Log'!$E$121="planned",EDATE('Rate Log'!$C$121,N(INDEX(sc_shift,1))),'Rate Log'!$C$121))</f>
        <v/>
      </c>
      <c r="B3920" s="74" t="str">
        <f t="shared" si="1466"/>
        <v/>
      </c>
      <c r="C3920" s="72">
        <f>IF(N(INDEX(sc_ach,1))=0,IF('Rate Log'!$G$121="",1,'Rate Log'!$G$121),INDEX(sc_ach,1))</f>
        <v>1</v>
      </c>
      <c r="D3920" s="72">
        <f>IF('Rate Log'!$C$121="",0,IF('Rate Log'!$E$121="planned",('Rate Log'!$D$121+N(INDEX(sc_dpts,1)))*$C3920,'Rate Log'!$D$121))</f>
        <v>0</v>
      </c>
      <c r="E3920" s="73">
        <f>IF('Rate Log'!$C$121="",0,IF(1+$D3920&gt;0,LN(1+$D3920),0))</f>
        <v>0</v>
      </c>
      <c r="F3920" s="75">
        <f t="shared" si="1467"/>
        <v>0</v>
      </c>
      <c r="G3920" s="75">
        <f>IF($A3920="",0,COUNTIFS(rl_key,'Rate Log'!$J$121,$B$3806:$B$4045,$B3920,$A$3806:$A$4045,"&lt;"&amp;$A3920))</f>
        <v>0</v>
      </c>
      <c r="H3920" s="75">
        <f>IF($A3920="",0,COUNTIFS('Rate Log'!$J$7:$J$121,'Rate Log'!$J$121,$B$3806:$B3920,$B3920,$A$3806:$A3920,$A3920))</f>
        <v>0</v>
      </c>
      <c r="I3920" s="75">
        <f t="shared" si="1468"/>
        <v>0</v>
      </c>
      <c r="K3920" s="74" t="str">
        <f>IF('Rate Log'!$C$121="","",IF('Rate Log'!$E$121="planned",EDATE('Rate Log'!$C$121,N(INDEX(sc_shift,2))),'Rate Log'!$C$121))</f>
        <v/>
      </c>
      <c r="L3920" s="74" t="str">
        <f t="shared" si="1469"/>
        <v/>
      </c>
      <c r="M3920" s="72">
        <f>IF(N(INDEX(sc_ach,2))=0,IF('Rate Log'!$G$121="",1,'Rate Log'!$G$121),INDEX(sc_ach,2))</f>
        <v>1</v>
      </c>
      <c r="N3920" s="72">
        <f>IF('Rate Log'!$C$121="",0,IF('Rate Log'!$E$121="planned",('Rate Log'!$D$121+N(INDEX(sc_dpts,2)))*$M3920,'Rate Log'!$D$121))</f>
        <v>0</v>
      </c>
      <c r="O3920" s="73">
        <f>IF('Rate Log'!$C$121="",0,IF(1+$N3920&gt;0,LN(1+$N3920),0))</f>
        <v>0</v>
      </c>
      <c r="P3920" s="75">
        <f t="shared" si="1470"/>
        <v>0</v>
      </c>
      <c r="Q3920" s="75">
        <f>IF($K3920="",0,COUNTIFS(rl_key,'Rate Log'!$J$121,$L$3806:$L$4045,$L3920,$K$3806:$K$4045,"&lt;"&amp;$K3920))</f>
        <v>0</v>
      </c>
      <c r="R3920" s="75">
        <f>IF($K3920="",0,COUNTIFS('Rate Log'!$J$7:$J$121,'Rate Log'!$J$121,$L$3806:$L3920,$L3920,$K$3806:$K3920,$K3920))</f>
        <v>0</v>
      </c>
      <c r="S3920" s="75">
        <f t="shared" si="1471"/>
        <v>0</v>
      </c>
      <c r="U3920" s="74" t="str">
        <f>IF('Rate Log'!$C$121="","",IF('Rate Log'!$E$121="planned",EDATE('Rate Log'!$C$121,N(INDEX(sc_shift,3))),'Rate Log'!$C$121))</f>
        <v/>
      </c>
      <c r="V3920" s="74" t="str">
        <f t="shared" si="1472"/>
        <v/>
      </c>
      <c r="W3920" s="72">
        <f>IF(N(INDEX(sc_ach,3))=0,IF('Rate Log'!$G$121="",1,'Rate Log'!$G$121),INDEX(sc_ach,3))</f>
        <v>1</v>
      </c>
      <c r="X3920" s="72">
        <f>IF('Rate Log'!$C$121="",0,IF('Rate Log'!$E$121="planned",('Rate Log'!$D$121+N(INDEX(sc_dpts,3)))*$W3920,'Rate Log'!$D$121))</f>
        <v>0</v>
      </c>
      <c r="Y3920" s="73">
        <f>IF('Rate Log'!$C$121="",0,IF(1+$X3920&gt;0,LN(1+$X3920),0))</f>
        <v>0</v>
      </c>
      <c r="Z3920" s="75">
        <f t="shared" si="1473"/>
        <v>0</v>
      </c>
      <c r="AA3920" s="75">
        <f>IF($U3920="",0,COUNTIFS(rl_key,'Rate Log'!$J$121,$V$3806:$V$4045,$V3920,$U$3806:$U$4045,"&lt;"&amp;$U3920))</f>
        <v>0</v>
      </c>
      <c r="AB3920" s="75">
        <f>IF($U3920="",0,COUNTIFS('Rate Log'!$J$7:$J$121,'Rate Log'!$J$121,$V$3806:$V3920,$V3920,$U$3806:$U3920,$U3920))</f>
        <v>0</v>
      </c>
      <c r="AC3920" s="75">
        <f t="shared" si="1474"/>
        <v>0</v>
      </c>
      <c r="AE3920" s="74" t="str">
        <f>IF('Rate Log'!$C$121="","",IF('Rate Log'!$E$121="planned",EDATE('Rate Log'!$C$121,N(INDEX(sc_shift,4))),'Rate Log'!$C$121))</f>
        <v/>
      </c>
      <c r="AF3920" s="74" t="str">
        <f t="shared" si="1475"/>
        <v/>
      </c>
      <c r="AG3920" s="72">
        <f>IF(N(INDEX(sc_ach,4))=0,IF('Rate Log'!$G$121="",1,'Rate Log'!$G$121),INDEX(sc_ach,4))</f>
        <v>1</v>
      </c>
      <c r="AH3920" s="72">
        <f>IF('Rate Log'!$C$121="",0,IF('Rate Log'!$E$121="planned",('Rate Log'!$D$121+N(INDEX(sc_dpts,4)))*$AG3920,'Rate Log'!$D$121))</f>
        <v>0</v>
      </c>
      <c r="AI3920" s="73">
        <f>IF('Rate Log'!$C$121="",0,IF(1+$AH3920&gt;0,LN(1+$AH3920),0))</f>
        <v>0</v>
      </c>
      <c r="AJ3920" s="75">
        <f t="shared" si="1476"/>
        <v>0</v>
      </c>
      <c r="AK3920" s="75">
        <f>IF($AE3920="",0,COUNTIFS(rl_key,'Rate Log'!$J$121,$AF$3806:$AF$4045,$AF3920,$AE$3806:$AE$4045,"&lt;"&amp;$AE3920))</f>
        <v>0</v>
      </c>
      <c r="AL3920" s="75">
        <f>IF($AE3920="",0,COUNTIFS('Rate Log'!$J$7:$J$121,'Rate Log'!$J$121,$AF$3806:$AF3920,$AF3920,$AE$3806:$AE3920,$AE3920))</f>
        <v>0</v>
      </c>
      <c r="AM3920" s="75">
        <f t="shared" si="1477"/>
        <v>0</v>
      </c>
    </row>
    <row r="3921" spans="1:39" x14ac:dyDescent="0.3">
      <c r="A3921" s="74" t="str">
        <f>IF('Rate Log'!$C$122="","",IF('Rate Log'!$E$122="planned",EDATE('Rate Log'!$C$122,N(INDEX(sc_shift,1))),'Rate Log'!$C$122))</f>
        <v/>
      </c>
      <c r="B3921" s="74" t="str">
        <f t="shared" si="1466"/>
        <v/>
      </c>
      <c r="C3921" s="72">
        <f>IF(N(INDEX(sc_ach,1))=0,IF('Rate Log'!$G$122="",1,'Rate Log'!$G$122),INDEX(sc_ach,1))</f>
        <v>1</v>
      </c>
      <c r="D3921" s="72">
        <f>IF('Rate Log'!$C$122="",0,IF('Rate Log'!$E$122="planned",('Rate Log'!$D$122+N(INDEX(sc_dpts,1)))*$C3921,'Rate Log'!$D$122))</f>
        <v>0</v>
      </c>
      <c r="E3921" s="73">
        <f>IF('Rate Log'!$C$122="",0,IF(1+$D3921&gt;0,LN(1+$D3921),0))</f>
        <v>0</v>
      </c>
      <c r="F3921" s="75">
        <f t="shared" si="1467"/>
        <v>0</v>
      </c>
      <c r="G3921" s="75">
        <f>IF($A3921="",0,COUNTIFS(rl_key,'Rate Log'!$J$122,$B$3806:$B$4045,$B3921,$A$3806:$A$4045,"&lt;"&amp;$A3921))</f>
        <v>0</v>
      </c>
      <c r="H3921" s="75">
        <f>IF($A3921="",0,COUNTIFS('Rate Log'!$J$7:$J$122,'Rate Log'!$J$122,$B$3806:$B3921,$B3921,$A$3806:$A3921,$A3921))</f>
        <v>0</v>
      </c>
      <c r="I3921" s="75">
        <f t="shared" si="1468"/>
        <v>0</v>
      </c>
      <c r="K3921" s="74" t="str">
        <f>IF('Rate Log'!$C$122="","",IF('Rate Log'!$E$122="planned",EDATE('Rate Log'!$C$122,N(INDEX(sc_shift,2))),'Rate Log'!$C$122))</f>
        <v/>
      </c>
      <c r="L3921" s="74" t="str">
        <f t="shared" si="1469"/>
        <v/>
      </c>
      <c r="M3921" s="72">
        <f>IF(N(INDEX(sc_ach,2))=0,IF('Rate Log'!$G$122="",1,'Rate Log'!$G$122),INDEX(sc_ach,2))</f>
        <v>1</v>
      </c>
      <c r="N3921" s="72">
        <f>IF('Rate Log'!$C$122="",0,IF('Rate Log'!$E$122="planned",('Rate Log'!$D$122+N(INDEX(sc_dpts,2)))*$M3921,'Rate Log'!$D$122))</f>
        <v>0</v>
      </c>
      <c r="O3921" s="73">
        <f>IF('Rate Log'!$C$122="",0,IF(1+$N3921&gt;0,LN(1+$N3921),0))</f>
        <v>0</v>
      </c>
      <c r="P3921" s="75">
        <f t="shared" si="1470"/>
        <v>0</v>
      </c>
      <c r="Q3921" s="75">
        <f>IF($K3921="",0,COUNTIFS(rl_key,'Rate Log'!$J$122,$L$3806:$L$4045,$L3921,$K$3806:$K$4045,"&lt;"&amp;$K3921))</f>
        <v>0</v>
      </c>
      <c r="R3921" s="75">
        <f>IF($K3921="",0,COUNTIFS('Rate Log'!$J$7:$J$122,'Rate Log'!$J$122,$L$3806:$L3921,$L3921,$K$3806:$K3921,$K3921))</f>
        <v>0</v>
      </c>
      <c r="S3921" s="75">
        <f t="shared" si="1471"/>
        <v>0</v>
      </c>
      <c r="U3921" s="74" t="str">
        <f>IF('Rate Log'!$C$122="","",IF('Rate Log'!$E$122="planned",EDATE('Rate Log'!$C$122,N(INDEX(sc_shift,3))),'Rate Log'!$C$122))</f>
        <v/>
      </c>
      <c r="V3921" s="74" t="str">
        <f t="shared" si="1472"/>
        <v/>
      </c>
      <c r="W3921" s="72">
        <f>IF(N(INDEX(sc_ach,3))=0,IF('Rate Log'!$G$122="",1,'Rate Log'!$G$122),INDEX(sc_ach,3))</f>
        <v>1</v>
      </c>
      <c r="X3921" s="72">
        <f>IF('Rate Log'!$C$122="",0,IF('Rate Log'!$E$122="planned",('Rate Log'!$D$122+N(INDEX(sc_dpts,3)))*$W3921,'Rate Log'!$D$122))</f>
        <v>0</v>
      </c>
      <c r="Y3921" s="73">
        <f>IF('Rate Log'!$C$122="",0,IF(1+$X3921&gt;0,LN(1+$X3921),0))</f>
        <v>0</v>
      </c>
      <c r="Z3921" s="75">
        <f t="shared" si="1473"/>
        <v>0</v>
      </c>
      <c r="AA3921" s="75">
        <f>IF($U3921="",0,COUNTIFS(rl_key,'Rate Log'!$J$122,$V$3806:$V$4045,$V3921,$U$3806:$U$4045,"&lt;"&amp;$U3921))</f>
        <v>0</v>
      </c>
      <c r="AB3921" s="75">
        <f>IF($U3921="",0,COUNTIFS('Rate Log'!$J$7:$J$122,'Rate Log'!$J$122,$V$3806:$V3921,$V3921,$U$3806:$U3921,$U3921))</f>
        <v>0</v>
      </c>
      <c r="AC3921" s="75">
        <f t="shared" si="1474"/>
        <v>0</v>
      </c>
      <c r="AE3921" s="74" t="str">
        <f>IF('Rate Log'!$C$122="","",IF('Rate Log'!$E$122="planned",EDATE('Rate Log'!$C$122,N(INDEX(sc_shift,4))),'Rate Log'!$C$122))</f>
        <v/>
      </c>
      <c r="AF3921" s="74" t="str">
        <f t="shared" si="1475"/>
        <v/>
      </c>
      <c r="AG3921" s="72">
        <f>IF(N(INDEX(sc_ach,4))=0,IF('Rate Log'!$G$122="",1,'Rate Log'!$G$122),INDEX(sc_ach,4))</f>
        <v>1</v>
      </c>
      <c r="AH3921" s="72">
        <f>IF('Rate Log'!$C$122="",0,IF('Rate Log'!$E$122="planned",('Rate Log'!$D$122+N(INDEX(sc_dpts,4)))*$AG3921,'Rate Log'!$D$122))</f>
        <v>0</v>
      </c>
      <c r="AI3921" s="73">
        <f>IF('Rate Log'!$C$122="",0,IF(1+$AH3921&gt;0,LN(1+$AH3921),0))</f>
        <v>0</v>
      </c>
      <c r="AJ3921" s="75">
        <f t="shared" si="1476"/>
        <v>0</v>
      </c>
      <c r="AK3921" s="75">
        <f>IF($AE3921="",0,COUNTIFS(rl_key,'Rate Log'!$J$122,$AF$3806:$AF$4045,$AF3921,$AE$3806:$AE$4045,"&lt;"&amp;$AE3921))</f>
        <v>0</v>
      </c>
      <c r="AL3921" s="75">
        <f>IF($AE3921="",0,COUNTIFS('Rate Log'!$J$7:$J$122,'Rate Log'!$J$122,$AF$3806:$AF3921,$AF3921,$AE$3806:$AE3921,$AE3921))</f>
        <v>0</v>
      </c>
      <c r="AM3921" s="75">
        <f t="shared" si="1477"/>
        <v>0</v>
      </c>
    </row>
    <row r="3922" spans="1:39" x14ac:dyDescent="0.3">
      <c r="A3922" s="74" t="str">
        <f>IF('Rate Log'!$C$123="","",IF('Rate Log'!$E$123="planned",EDATE('Rate Log'!$C$123,N(INDEX(sc_shift,1))),'Rate Log'!$C$123))</f>
        <v/>
      </c>
      <c r="B3922" s="74" t="str">
        <f t="shared" si="1466"/>
        <v/>
      </c>
      <c r="C3922" s="72">
        <f>IF(N(INDEX(sc_ach,1))=0,IF('Rate Log'!$G$123="",1,'Rate Log'!$G$123),INDEX(sc_ach,1))</f>
        <v>1</v>
      </c>
      <c r="D3922" s="72">
        <f>IF('Rate Log'!$C$123="",0,IF('Rate Log'!$E$123="planned",('Rate Log'!$D$123+N(INDEX(sc_dpts,1)))*$C3922,'Rate Log'!$D$123))</f>
        <v>0</v>
      </c>
      <c r="E3922" s="73">
        <f>IF('Rate Log'!$C$123="",0,IF(1+$D3922&gt;0,LN(1+$D3922),0))</f>
        <v>0</v>
      </c>
      <c r="F3922" s="75">
        <f t="shared" si="1467"/>
        <v>0</v>
      </c>
      <c r="G3922" s="75">
        <f>IF($A3922="",0,COUNTIFS(rl_key,'Rate Log'!$J$123,$B$3806:$B$4045,$B3922,$A$3806:$A$4045,"&lt;"&amp;$A3922))</f>
        <v>0</v>
      </c>
      <c r="H3922" s="75">
        <f>IF($A3922="",0,COUNTIFS('Rate Log'!$J$7:$J$123,'Rate Log'!$J$123,$B$3806:$B3922,$B3922,$A$3806:$A3922,$A3922))</f>
        <v>0</v>
      </c>
      <c r="I3922" s="75">
        <f t="shared" si="1468"/>
        <v>0</v>
      </c>
      <c r="K3922" s="74" t="str">
        <f>IF('Rate Log'!$C$123="","",IF('Rate Log'!$E$123="planned",EDATE('Rate Log'!$C$123,N(INDEX(sc_shift,2))),'Rate Log'!$C$123))</f>
        <v/>
      </c>
      <c r="L3922" s="74" t="str">
        <f t="shared" si="1469"/>
        <v/>
      </c>
      <c r="M3922" s="72">
        <f>IF(N(INDEX(sc_ach,2))=0,IF('Rate Log'!$G$123="",1,'Rate Log'!$G$123),INDEX(sc_ach,2))</f>
        <v>1</v>
      </c>
      <c r="N3922" s="72">
        <f>IF('Rate Log'!$C$123="",0,IF('Rate Log'!$E$123="planned",('Rate Log'!$D$123+N(INDEX(sc_dpts,2)))*$M3922,'Rate Log'!$D$123))</f>
        <v>0</v>
      </c>
      <c r="O3922" s="73">
        <f>IF('Rate Log'!$C$123="",0,IF(1+$N3922&gt;0,LN(1+$N3922),0))</f>
        <v>0</v>
      </c>
      <c r="P3922" s="75">
        <f t="shared" si="1470"/>
        <v>0</v>
      </c>
      <c r="Q3922" s="75">
        <f>IF($K3922="",0,COUNTIFS(rl_key,'Rate Log'!$J$123,$L$3806:$L$4045,$L3922,$K$3806:$K$4045,"&lt;"&amp;$K3922))</f>
        <v>0</v>
      </c>
      <c r="R3922" s="75">
        <f>IF($K3922="",0,COUNTIFS('Rate Log'!$J$7:$J$123,'Rate Log'!$J$123,$L$3806:$L3922,$L3922,$K$3806:$K3922,$K3922))</f>
        <v>0</v>
      </c>
      <c r="S3922" s="75">
        <f t="shared" si="1471"/>
        <v>0</v>
      </c>
      <c r="U3922" s="74" t="str">
        <f>IF('Rate Log'!$C$123="","",IF('Rate Log'!$E$123="planned",EDATE('Rate Log'!$C$123,N(INDEX(sc_shift,3))),'Rate Log'!$C$123))</f>
        <v/>
      </c>
      <c r="V3922" s="74" t="str">
        <f t="shared" si="1472"/>
        <v/>
      </c>
      <c r="W3922" s="72">
        <f>IF(N(INDEX(sc_ach,3))=0,IF('Rate Log'!$G$123="",1,'Rate Log'!$G$123),INDEX(sc_ach,3))</f>
        <v>1</v>
      </c>
      <c r="X3922" s="72">
        <f>IF('Rate Log'!$C$123="",0,IF('Rate Log'!$E$123="planned",('Rate Log'!$D$123+N(INDEX(sc_dpts,3)))*$W3922,'Rate Log'!$D$123))</f>
        <v>0</v>
      </c>
      <c r="Y3922" s="73">
        <f>IF('Rate Log'!$C$123="",0,IF(1+$X3922&gt;0,LN(1+$X3922),0))</f>
        <v>0</v>
      </c>
      <c r="Z3922" s="75">
        <f t="shared" si="1473"/>
        <v>0</v>
      </c>
      <c r="AA3922" s="75">
        <f>IF($U3922="",0,COUNTIFS(rl_key,'Rate Log'!$J$123,$V$3806:$V$4045,$V3922,$U$3806:$U$4045,"&lt;"&amp;$U3922))</f>
        <v>0</v>
      </c>
      <c r="AB3922" s="75">
        <f>IF($U3922="",0,COUNTIFS('Rate Log'!$J$7:$J$123,'Rate Log'!$J$123,$V$3806:$V3922,$V3922,$U$3806:$U3922,$U3922))</f>
        <v>0</v>
      </c>
      <c r="AC3922" s="75">
        <f t="shared" si="1474"/>
        <v>0</v>
      </c>
      <c r="AE3922" s="74" t="str">
        <f>IF('Rate Log'!$C$123="","",IF('Rate Log'!$E$123="planned",EDATE('Rate Log'!$C$123,N(INDEX(sc_shift,4))),'Rate Log'!$C$123))</f>
        <v/>
      </c>
      <c r="AF3922" s="74" t="str">
        <f t="shared" si="1475"/>
        <v/>
      </c>
      <c r="AG3922" s="72">
        <f>IF(N(INDEX(sc_ach,4))=0,IF('Rate Log'!$G$123="",1,'Rate Log'!$G$123),INDEX(sc_ach,4))</f>
        <v>1</v>
      </c>
      <c r="AH3922" s="72">
        <f>IF('Rate Log'!$C$123="",0,IF('Rate Log'!$E$123="planned",('Rate Log'!$D$123+N(INDEX(sc_dpts,4)))*$AG3922,'Rate Log'!$D$123))</f>
        <v>0</v>
      </c>
      <c r="AI3922" s="73">
        <f>IF('Rate Log'!$C$123="",0,IF(1+$AH3922&gt;0,LN(1+$AH3922),0))</f>
        <v>0</v>
      </c>
      <c r="AJ3922" s="75">
        <f t="shared" si="1476"/>
        <v>0</v>
      </c>
      <c r="AK3922" s="75">
        <f>IF($AE3922="",0,COUNTIFS(rl_key,'Rate Log'!$J$123,$AF$3806:$AF$4045,$AF3922,$AE$3806:$AE$4045,"&lt;"&amp;$AE3922))</f>
        <v>0</v>
      </c>
      <c r="AL3922" s="75">
        <f>IF($AE3922="",0,COUNTIFS('Rate Log'!$J$7:$J$123,'Rate Log'!$J$123,$AF$3806:$AF3922,$AF3922,$AE$3806:$AE3922,$AE3922))</f>
        <v>0</v>
      </c>
      <c r="AM3922" s="75">
        <f t="shared" si="1477"/>
        <v>0</v>
      </c>
    </row>
    <row r="3923" spans="1:39" x14ac:dyDescent="0.3">
      <c r="A3923" s="74" t="str">
        <f>IF('Rate Log'!$C$124="","",IF('Rate Log'!$E$124="planned",EDATE('Rate Log'!$C$124,N(INDEX(sc_shift,1))),'Rate Log'!$C$124))</f>
        <v/>
      </c>
      <c r="B3923" s="74" t="str">
        <f t="shared" si="1466"/>
        <v/>
      </c>
      <c r="C3923" s="72">
        <f>IF(N(INDEX(sc_ach,1))=0,IF('Rate Log'!$G$124="",1,'Rate Log'!$G$124),INDEX(sc_ach,1))</f>
        <v>1</v>
      </c>
      <c r="D3923" s="72">
        <f>IF('Rate Log'!$C$124="",0,IF('Rate Log'!$E$124="planned",('Rate Log'!$D$124+N(INDEX(sc_dpts,1)))*$C3923,'Rate Log'!$D$124))</f>
        <v>0</v>
      </c>
      <c r="E3923" s="73">
        <f>IF('Rate Log'!$C$124="",0,IF(1+$D3923&gt;0,LN(1+$D3923),0))</f>
        <v>0</v>
      </c>
      <c r="F3923" s="75">
        <f t="shared" si="1467"/>
        <v>0</v>
      </c>
      <c r="G3923" s="75">
        <f>IF($A3923="",0,COUNTIFS(rl_key,'Rate Log'!$J$124,$B$3806:$B$4045,$B3923,$A$3806:$A$4045,"&lt;"&amp;$A3923))</f>
        <v>0</v>
      </c>
      <c r="H3923" s="75">
        <f>IF($A3923="",0,COUNTIFS('Rate Log'!$J$7:$J$124,'Rate Log'!$J$124,$B$3806:$B3923,$B3923,$A$3806:$A3923,$A3923))</f>
        <v>0</v>
      </c>
      <c r="I3923" s="75">
        <f t="shared" si="1468"/>
        <v>0</v>
      </c>
      <c r="K3923" s="74" t="str">
        <f>IF('Rate Log'!$C$124="","",IF('Rate Log'!$E$124="planned",EDATE('Rate Log'!$C$124,N(INDEX(sc_shift,2))),'Rate Log'!$C$124))</f>
        <v/>
      </c>
      <c r="L3923" s="74" t="str">
        <f t="shared" si="1469"/>
        <v/>
      </c>
      <c r="M3923" s="72">
        <f>IF(N(INDEX(sc_ach,2))=0,IF('Rate Log'!$G$124="",1,'Rate Log'!$G$124),INDEX(sc_ach,2))</f>
        <v>1</v>
      </c>
      <c r="N3923" s="72">
        <f>IF('Rate Log'!$C$124="",0,IF('Rate Log'!$E$124="planned",('Rate Log'!$D$124+N(INDEX(sc_dpts,2)))*$M3923,'Rate Log'!$D$124))</f>
        <v>0</v>
      </c>
      <c r="O3923" s="73">
        <f>IF('Rate Log'!$C$124="",0,IF(1+$N3923&gt;0,LN(1+$N3923),0))</f>
        <v>0</v>
      </c>
      <c r="P3923" s="75">
        <f t="shared" si="1470"/>
        <v>0</v>
      </c>
      <c r="Q3923" s="75">
        <f>IF($K3923="",0,COUNTIFS(rl_key,'Rate Log'!$J$124,$L$3806:$L$4045,$L3923,$K$3806:$K$4045,"&lt;"&amp;$K3923))</f>
        <v>0</v>
      </c>
      <c r="R3923" s="75">
        <f>IF($K3923="",0,COUNTIFS('Rate Log'!$J$7:$J$124,'Rate Log'!$J$124,$L$3806:$L3923,$L3923,$K$3806:$K3923,$K3923))</f>
        <v>0</v>
      </c>
      <c r="S3923" s="75">
        <f t="shared" si="1471"/>
        <v>0</v>
      </c>
      <c r="U3923" s="74" t="str">
        <f>IF('Rate Log'!$C$124="","",IF('Rate Log'!$E$124="planned",EDATE('Rate Log'!$C$124,N(INDEX(sc_shift,3))),'Rate Log'!$C$124))</f>
        <v/>
      </c>
      <c r="V3923" s="74" t="str">
        <f t="shared" si="1472"/>
        <v/>
      </c>
      <c r="W3923" s="72">
        <f>IF(N(INDEX(sc_ach,3))=0,IF('Rate Log'!$G$124="",1,'Rate Log'!$G$124),INDEX(sc_ach,3))</f>
        <v>1</v>
      </c>
      <c r="X3923" s="72">
        <f>IF('Rate Log'!$C$124="",0,IF('Rate Log'!$E$124="planned",('Rate Log'!$D$124+N(INDEX(sc_dpts,3)))*$W3923,'Rate Log'!$D$124))</f>
        <v>0</v>
      </c>
      <c r="Y3923" s="73">
        <f>IF('Rate Log'!$C$124="",0,IF(1+$X3923&gt;0,LN(1+$X3923),0))</f>
        <v>0</v>
      </c>
      <c r="Z3923" s="75">
        <f t="shared" si="1473"/>
        <v>0</v>
      </c>
      <c r="AA3923" s="75">
        <f>IF($U3923="",0,COUNTIFS(rl_key,'Rate Log'!$J$124,$V$3806:$V$4045,$V3923,$U$3806:$U$4045,"&lt;"&amp;$U3923))</f>
        <v>0</v>
      </c>
      <c r="AB3923" s="75">
        <f>IF($U3923="",0,COUNTIFS('Rate Log'!$J$7:$J$124,'Rate Log'!$J$124,$V$3806:$V3923,$V3923,$U$3806:$U3923,$U3923))</f>
        <v>0</v>
      </c>
      <c r="AC3923" s="75">
        <f t="shared" si="1474"/>
        <v>0</v>
      </c>
      <c r="AE3923" s="74" t="str">
        <f>IF('Rate Log'!$C$124="","",IF('Rate Log'!$E$124="planned",EDATE('Rate Log'!$C$124,N(INDEX(sc_shift,4))),'Rate Log'!$C$124))</f>
        <v/>
      </c>
      <c r="AF3923" s="74" t="str">
        <f t="shared" si="1475"/>
        <v/>
      </c>
      <c r="AG3923" s="72">
        <f>IF(N(INDEX(sc_ach,4))=0,IF('Rate Log'!$G$124="",1,'Rate Log'!$G$124),INDEX(sc_ach,4))</f>
        <v>1</v>
      </c>
      <c r="AH3923" s="72">
        <f>IF('Rate Log'!$C$124="",0,IF('Rate Log'!$E$124="planned",('Rate Log'!$D$124+N(INDEX(sc_dpts,4)))*$AG3923,'Rate Log'!$D$124))</f>
        <v>0</v>
      </c>
      <c r="AI3923" s="73">
        <f>IF('Rate Log'!$C$124="",0,IF(1+$AH3923&gt;0,LN(1+$AH3923),0))</f>
        <v>0</v>
      </c>
      <c r="AJ3923" s="75">
        <f t="shared" si="1476"/>
        <v>0</v>
      </c>
      <c r="AK3923" s="75">
        <f>IF($AE3923="",0,COUNTIFS(rl_key,'Rate Log'!$J$124,$AF$3806:$AF$4045,$AF3923,$AE$3806:$AE$4045,"&lt;"&amp;$AE3923))</f>
        <v>0</v>
      </c>
      <c r="AL3923" s="75">
        <f>IF($AE3923="",0,COUNTIFS('Rate Log'!$J$7:$J$124,'Rate Log'!$J$124,$AF$3806:$AF3923,$AF3923,$AE$3806:$AE3923,$AE3923))</f>
        <v>0</v>
      </c>
      <c r="AM3923" s="75">
        <f t="shared" si="1477"/>
        <v>0</v>
      </c>
    </row>
    <row r="3924" spans="1:39" x14ac:dyDescent="0.3">
      <c r="A3924" s="74" t="str">
        <f>IF('Rate Log'!$C$125="","",IF('Rate Log'!$E$125="planned",EDATE('Rate Log'!$C$125,N(INDEX(sc_shift,1))),'Rate Log'!$C$125))</f>
        <v/>
      </c>
      <c r="B3924" s="74" t="str">
        <f t="shared" si="1466"/>
        <v/>
      </c>
      <c r="C3924" s="72">
        <f>IF(N(INDEX(sc_ach,1))=0,IF('Rate Log'!$G$125="",1,'Rate Log'!$G$125),INDEX(sc_ach,1))</f>
        <v>1</v>
      </c>
      <c r="D3924" s="72">
        <f>IF('Rate Log'!$C$125="",0,IF('Rate Log'!$E$125="planned",('Rate Log'!$D$125+N(INDEX(sc_dpts,1)))*$C3924,'Rate Log'!$D$125))</f>
        <v>0</v>
      </c>
      <c r="E3924" s="73">
        <f>IF('Rate Log'!$C$125="",0,IF(1+$D3924&gt;0,LN(1+$D3924),0))</f>
        <v>0</v>
      </c>
      <c r="F3924" s="75">
        <f t="shared" si="1467"/>
        <v>0</v>
      </c>
      <c r="G3924" s="75">
        <f>IF($A3924="",0,COUNTIFS(rl_key,'Rate Log'!$J$125,$B$3806:$B$4045,$B3924,$A$3806:$A$4045,"&lt;"&amp;$A3924))</f>
        <v>0</v>
      </c>
      <c r="H3924" s="75">
        <f>IF($A3924="",0,COUNTIFS('Rate Log'!$J$7:$J$125,'Rate Log'!$J$125,$B$3806:$B3924,$B3924,$A$3806:$A3924,$A3924))</f>
        <v>0</v>
      </c>
      <c r="I3924" s="75">
        <f t="shared" si="1468"/>
        <v>0</v>
      </c>
      <c r="K3924" s="74" t="str">
        <f>IF('Rate Log'!$C$125="","",IF('Rate Log'!$E$125="planned",EDATE('Rate Log'!$C$125,N(INDEX(sc_shift,2))),'Rate Log'!$C$125))</f>
        <v/>
      </c>
      <c r="L3924" s="74" t="str">
        <f t="shared" si="1469"/>
        <v/>
      </c>
      <c r="M3924" s="72">
        <f>IF(N(INDEX(sc_ach,2))=0,IF('Rate Log'!$G$125="",1,'Rate Log'!$G$125),INDEX(sc_ach,2))</f>
        <v>1</v>
      </c>
      <c r="N3924" s="72">
        <f>IF('Rate Log'!$C$125="",0,IF('Rate Log'!$E$125="planned",('Rate Log'!$D$125+N(INDEX(sc_dpts,2)))*$M3924,'Rate Log'!$D$125))</f>
        <v>0</v>
      </c>
      <c r="O3924" s="73">
        <f>IF('Rate Log'!$C$125="",0,IF(1+$N3924&gt;0,LN(1+$N3924),0))</f>
        <v>0</v>
      </c>
      <c r="P3924" s="75">
        <f t="shared" si="1470"/>
        <v>0</v>
      </c>
      <c r="Q3924" s="75">
        <f>IF($K3924="",0,COUNTIFS(rl_key,'Rate Log'!$J$125,$L$3806:$L$4045,$L3924,$K$3806:$K$4045,"&lt;"&amp;$K3924))</f>
        <v>0</v>
      </c>
      <c r="R3924" s="75">
        <f>IF($K3924="",0,COUNTIFS('Rate Log'!$J$7:$J$125,'Rate Log'!$J$125,$L$3806:$L3924,$L3924,$K$3806:$K3924,$K3924))</f>
        <v>0</v>
      </c>
      <c r="S3924" s="75">
        <f t="shared" si="1471"/>
        <v>0</v>
      </c>
      <c r="U3924" s="74" t="str">
        <f>IF('Rate Log'!$C$125="","",IF('Rate Log'!$E$125="planned",EDATE('Rate Log'!$C$125,N(INDEX(sc_shift,3))),'Rate Log'!$C$125))</f>
        <v/>
      </c>
      <c r="V3924" s="74" t="str">
        <f t="shared" si="1472"/>
        <v/>
      </c>
      <c r="W3924" s="72">
        <f>IF(N(INDEX(sc_ach,3))=0,IF('Rate Log'!$G$125="",1,'Rate Log'!$G$125),INDEX(sc_ach,3))</f>
        <v>1</v>
      </c>
      <c r="X3924" s="72">
        <f>IF('Rate Log'!$C$125="",0,IF('Rate Log'!$E$125="planned",('Rate Log'!$D$125+N(INDEX(sc_dpts,3)))*$W3924,'Rate Log'!$D$125))</f>
        <v>0</v>
      </c>
      <c r="Y3924" s="73">
        <f>IF('Rate Log'!$C$125="",0,IF(1+$X3924&gt;0,LN(1+$X3924),0))</f>
        <v>0</v>
      </c>
      <c r="Z3924" s="75">
        <f t="shared" si="1473"/>
        <v>0</v>
      </c>
      <c r="AA3924" s="75">
        <f>IF($U3924="",0,COUNTIFS(rl_key,'Rate Log'!$J$125,$V$3806:$V$4045,$V3924,$U$3806:$U$4045,"&lt;"&amp;$U3924))</f>
        <v>0</v>
      </c>
      <c r="AB3924" s="75">
        <f>IF($U3924="",0,COUNTIFS('Rate Log'!$J$7:$J$125,'Rate Log'!$J$125,$V$3806:$V3924,$V3924,$U$3806:$U3924,$U3924))</f>
        <v>0</v>
      </c>
      <c r="AC3924" s="75">
        <f t="shared" si="1474"/>
        <v>0</v>
      </c>
      <c r="AE3924" s="74" t="str">
        <f>IF('Rate Log'!$C$125="","",IF('Rate Log'!$E$125="planned",EDATE('Rate Log'!$C$125,N(INDEX(sc_shift,4))),'Rate Log'!$C$125))</f>
        <v/>
      </c>
      <c r="AF3924" s="74" t="str">
        <f t="shared" si="1475"/>
        <v/>
      </c>
      <c r="AG3924" s="72">
        <f>IF(N(INDEX(sc_ach,4))=0,IF('Rate Log'!$G$125="",1,'Rate Log'!$G$125),INDEX(sc_ach,4))</f>
        <v>1</v>
      </c>
      <c r="AH3924" s="72">
        <f>IF('Rate Log'!$C$125="",0,IF('Rate Log'!$E$125="planned",('Rate Log'!$D$125+N(INDEX(sc_dpts,4)))*$AG3924,'Rate Log'!$D$125))</f>
        <v>0</v>
      </c>
      <c r="AI3924" s="73">
        <f>IF('Rate Log'!$C$125="",0,IF(1+$AH3924&gt;0,LN(1+$AH3924),0))</f>
        <v>0</v>
      </c>
      <c r="AJ3924" s="75">
        <f t="shared" si="1476"/>
        <v>0</v>
      </c>
      <c r="AK3924" s="75">
        <f>IF($AE3924="",0,COUNTIFS(rl_key,'Rate Log'!$J$125,$AF$3806:$AF$4045,$AF3924,$AE$3806:$AE$4045,"&lt;"&amp;$AE3924))</f>
        <v>0</v>
      </c>
      <c r="AL3924" s="75">
        <f>IF($AE3924="",0,COUNTIFS('Rate Log'!$J$7:$J$125,'Rate Log'!$J$125,$AF$3806:$AF3924,$AF3924,$AE$3806:$AE3924,$AE3924))</f>
        <v>0</v>
      </c>
      <c r="AM3924" s="75">
        <f t="shared" si="1477"/>
        <v>0</v>
      </c>
    </row>
    <row r="3925" spans="1:39" x14ac:dyDescent="0.3">
      <c r="A3925" s="74" t="str">
        <f>IF('Rate Log'!$C$126="","",IF('Rate Log'!$E$126="planned",EDATE('Rate Log'!$C$126,N(INDEX(sc_shift,1))),'Rate Log'!$C$126))</f>
        <v/>
      </c>
      <c r="B3925" s="74" t="str">
        <f t="shared" si="1466"/>
        <v/>
      </c>
      <c r="C3925" s="72">
        <f>IF(N(INDEX(sc_ach,1))=0,IF('Rate Log'!$G$126="",1,'Rate Log'!$G$126),INDEX(sc_ach,1))</f>
        <v>1</v>
      </c>
      <c r="D3925" s="72">
        <f>IF('Rate Log'!$C$126="",0,IF('Rate Log'!$E$126="planned",('Rate Log'!$D$126+N(INDEX(sc_dpts,1)))*$C3925,'Rate Log'!$D$126))</f>
        <v>0</v>
      </c>
      <c r="E3925" s="73">
        <f>IF('Rate Log'!$C$126="",0,IF(1+$D3925&gt;0,LN(1+$D3925),0))</f>
        <v>0</v>
      </c>
      <c r="F3925" s="75">
        <f t="shared" si="1467"/>
        <v>0</v>
      </c>
      <c r="G3925" s="75">
        <f>IF($A3925="",0,COUNTIFS(rl_key,'Rate Log'!$J$126,$B$3806:$B$4045,$B3925,$A$3806:$A$4045,"&lt;"&amp;$A3925))</f>
        <v>0</v>
      </c>
      <c r="H3925" s="75">
        <f>IF($A3925="",0,COUNTIFS('Rate Log'!$J$7:$J$126,'Rate Log'!$J$126,$B$3806:$B3925,$B3925,$A$3806:$A3925,$A3925))</f>
        <v>0</v>
      </c>
      <c r="I3925" s="75">
        <f t="shared" si="1468"/>
        <v>0</v>
      </c>
      <c r="K3925" s="74" t="str">
        <f>IF('Rate Log'!$C$126="","",IF('Rate Log'!$E$126="planned",EDATE('Rate Log'!$C$126,N(INDEX(sc_shift,2))),'Rate Log'!$C$126))</f>
        <v/>
      </c>
      <c r="L3925" s="74" t="str">
        <f t="shared" si="1469"/>
        <v/>
      </c>
      <c r="M3925" s="72">
        <f>IF(N(INDEX(sc_ach,2))=0,IF('Rate Log'!$G$126="",1,'Rate Log'!$G$126),INDEX(sc_ach,2))</f>
        <v>1</v>
      </c>
      <c r="N3925" s="72">
        <f>IF('Rate Log'!$C$126="",0,IF('Rate Log'!$E$126="planned",('Rate Log'!$D$126+N(INDEX(sc_dpts,2)))*$M3925,'Rate Log'!$D$126))</f>
        <v>0</v>
      </c>
      <c r="O3925" s="73">
        <f>IF('Rate Log'!$C$126="",0,IF(1+$N3925&gt;0,LN(1+$N3925),0))</f>
        <v>0</v>
      </c>
      <c r="P3925" s="75">
        <f t="shared" si="1470"/>
        <v>0</v>
      </c>
      <c r="Q3925" s="75">
        <f>IF($K3925="",0,COUNTIFS(rl_key,'Rate Log'!$J$126,$L$3806:$L$4045,$L3925,$K$3806:$K$4045,"&lt;"&amp;$K3925))</f>
        <v>0</v>
      </c>
      <c r="R3925" s="75">
        <f>IF($K3925="",0,COUNTIFS('Rate Log'!$J$7:$J$126,'Rate Log'!$J$126,$L$3806:$L3925,$L3925,$K$3806:$K3925,$K3925))</f>
        <v>0</v>
      </c>
      <c r="S3925" s="75">
        <f t="shared" si="1471"/>
        <v>0</v>
      </c>
      <c r="U3925" s="74" t="str">
        <f>IF('Rate Log'!$C$126="","",IF('Rate Log'!$E$126="planned",EDATE('Rate Log'!$C$126,N(INDEX(sc_shift,3))),'Rate Log'!$C$126))</f>
        <v/>
      </c>
      <c r="V3925" s="74" t="str">
        <f t="shared" si="1472"/>
        <v/>
      </c>
      <c r="W3925" s="72">
        <f>IF(N(INDEX(sc_ach,3))=0,IF('Rate Log'!$G$126="",1,'Rate Log'!$G$126),INDEX(sc_ach,3))</f>
        <v>1</v>
      </c>
      <c r="X3925" s="72">
        <f>IF('Rate Log'!$C$126="",0,IF('Rate Log'!$E$126="planned",('Rate Log'!$D$126+N(INDEX(sc_dpts,3)))*$W3925,'Rate Log'!$D$126))</f>
        <v>0</v>
      </c>
      <c r="Y3925" s="73">
        <f>IF('Rate Log'!$C$126="",0,IF(1+$X3925&gt;0,LN(1+$X3925),0))</f>
        <v>0</v>
      </c>
      <c r="Z3925" s="75">
        <f t="shared" si="1473"/>
        <v>0</v>
      </c>
      <c r="AA3925" s="75">
        <f>IF($U3925="",0,COUNTIFS(rl_key,'Rate Log'!$J$126,$V$3806:$V$4045,$V3925,$U$3806:$U$4045,"&lt;"&amp;$U3925))</f>
        <v>0</v>
      </c>
      <c r="AB3925" s="75">
        <f>IF($U3925="",0,COUNTIFS('Rate Log'!$J$7:$J$126,'Rate Log'!$J$126,$V$3806:$V3925,$V3925,$U$3806:$U3925,$U3925))</f>
        <v>0</v>
      </c>
      <c r="AC3925" s="75">
        <f t="shared" si="1474"/>
        <v>0</v>
      </c>
      <c r="AE3925" s="74" t="str">
        <f>IF('Rate Log'!$C$126="","",IF('Rate Log'!$E$126="planned",EDATE('Rate Log'!$C$126,N(INDEX(sc_shift,4))),'Rate Log'!$C$126))</f>
        <v/>
      </c>
      <c r="AF3925" s="74" t="str">
        <f t="shared" si="1475"/>
        <v/>
      </c>
      <c r="AG3925" s="72">
        <f>IF(N(INDEX(sc_ach,4))=0,IF('Rate Log'!$G$126="",1,'Rate Log'!$G$126),INDEX(sc_ach,4))</f>
        <v>1</v>
      </c>
      <c r="AH3925" s="72">
        <f>IF('Rate Log'!$C$126="",0,IF('Rate Log'!$E$126="planned",('Rate Log'!$D$126+N(INDEX(sc_dpts,4)))*$AG3925,'Rate Log'!$D$126))</f>
        <v>0</v>
      </c>
      <c r="AI3925" s="73">
        <f>IF('Rate Log'!$C$126="",0,IF(1+$AH3925&gt;0,LN(1+$AH3925),0))</f>
        <v>0</v>
      </c>
      <c r="AJ3925" s="75">
        <f t="shared" si="1476"/>
        <v>0</v>
      </c>
      <c r="AK3925" s="75">
        <f>IF($AE3925="",0,COUNTIFS(rl_key,'Rate Log'!$J$126,$AF$3806:$AF$4045,$AF3925,$AE$3806:$AE$4045,"&lt;"&amp;$AE3925))</f>
        <v>0</v>
      </c>
      <c r="AL3925" s="75">
        <f>IF($AE3925="",0,COUNTIFS('Rate Log'!$J$7:$J$126,'Rate Log'!$J$126,$AF$3806:$AF3925,$AF3925,$AE$3806:$AE3925,$AE3925))</f>
        <v>0</v>
      </c>
      <c r="AM3925" s="75">
        <f t="shared" si="1477"/>
        <v>0</v>
      </c>
    </row>
    <row r="3926" spans="1:39" x14ac:dyDescent="0.3">
      <c r="A3926" s="74" t="str">
        <f>IF('Rate Log'!$C$127="","",IF('Rate Log'!$E$127="planned",EDATE('Rate Log'!$C$127,N(INDEX(sc_shift,1))),'Rate Log'!$C$127))</f>
        <v/>
      </c>
      <c r="B3926" s="74" t="str">
        <f t="shared" si="1466"/>
        <v/>
      </c>
      <c r="C3926" s="72">
        <f>IF(N(INDEX(sc_ach,1))=0,IF('Rate Log'!$G$127="",1,'Rate Log'!$G$127),INDEX(sc_ach,1))</f>
        <v>1</v>
      </c>
      <c r="D3926" s="72">
        <f>IF('Rate Log'!$C$127="",0,IF('Rate Log'!$E$127="planned",('Rate Log'!$D$127+N(INDEX(sc_dpts,1)))*$C3926,'Rate Log'!$D$127))</f>
        <v>0</v>
      </c>
      <c r="E3926" s="73">
        <f>IF('Rate Log'!$C$127="",0,IF(1+$D3926&gt;0,LN(1+$D3926),0))</f>
        <v>0</v>
      </c>
      <c r="F3926" s="75">
        <f t="shared" si="1467"/>
        <v>0</v>
      </c>
      <c r="G3926" s="75">
        <f>IF($A3926="",0,COUNTIFS(rl_key,'Rate Log'!$J$127,$B$3806:$B$4045,$B3926,$A$3806:$A$4045,"&lt;"&amp;$A3926))</f>
        <v>0</v>
      </c>
      <c r="H3926" s="75">
        <f>IF($A3926="",0,COUNTIFS('Rate Log'!$J$7:$J$127,'Rate Log'!$J$127,$B$3806:$B3926,$B3926,$A$3806:$A3926,$A3926))</f>
        <v>0</v>
      </c>
      <c r="I3926" s="75">
        <f t="shared" si="1468"/>
        <v>0</v>
      </c>
      <c r="K3926" s="74" t="str">
        <f>IF('Rate Log'!$C$127="","",IF('Rate Log'!$E$127="planned",EDATE('Rate Log'!$C$127,N(INDEX(sc_shift,2))),'Rate Log'!$C$127))</f>
        <v/>
      </c>
      <c r="L3926" s="74" t="str">
        <f t="shared" si="1469"/>
        <v/>
      </c>
      <c r="M3926" s="72">
        <f>IF(N(INDEX(sc_ach,2))=0,IF('Rate Log'!$G$127="",1,'Rate Log'!$G$127),INDEX(sc_ach,2))</f>
        <v>1</v>
      </c>
      <c r="N3926" s="72">
        <f>IF('Rate Log'!$C$127="",0,IF('Rate Log'!$E$127="planned",('Rate Log'!$D$127+N(INDEX(sc_dpts,2)))*$M3926,'Rate Log'!$D$127))</f>
        <v>0</v>
      </c>
      <c r="O3926" s="73">
        <f>IF('Rate Log'!$C$127="",0,IF(1+$N3926&gt;0,LN(1+$N3926),0))</f>
        <v>0</v>
      </c>
      <c r="P3926" s="75">
        <f t="shared" si="1470"/>
        <v>0</v>
      </c>
      <c r="Q3926" s="75">
        <f>IF($K3926="",0,COUNTIFS(rl_key,'Rate Log'!$J$127,$L$3806:$L$4045,$L3926,$K$3806:$K$4045,"&lt;"&amp;$K3926))</f>
        <v>0</v>
      </c>
      <c r="R3926" s="75">
        <f>IF($K3926="",0,COUNTIFS('Rate Log'!$J$7:$J$127,'Rate Log'!$J$127,$L$3806:$L3926,$L3926,$K$3806:$K3926,$K3926))</f>
        <v>0</v>
      </c>
      <c r="S3926" s="75">
        <f t="shared" si="1471"/>
        <v>0</v>
      </c>
      <c r="U3926" s="74" t="str">
        <f>IF('Rate Log'!$C$127="","",IF('Rate Log'!$E$127="planned",EDATE('Rate Log'!$C$127,N(INDEX(sc_shift,3))),'Rate Log'!$C$127))</f>
        <v/>
      </c>
      <c r="V3926" s="74" t="str">
        <f t="shared" si="1472"/>
        <v/>
      </c>
      <c r="W3926" s="72">
        <f>IF(N(INDEX(sc_ach,3))=0,IF('Rate Log'!$G$127="",1,'Rate Log'!$G$127),INDEX(sc_ach,3))</f>
        <v>1</v>
      </c>
      <c r="X3926" s="72">
        <f>IF('Rate Log'!$C$127="",0,IF('Rate Log'!$E$127="planned",('Rate Log'!$D$127+N(INDEX(sc_dpts,3)))*$W3926,'Rate Log'!$D$127))</f>
        <v>0</v>
      </c>
      <c r="Y3926" s="73">
        <f>IF('Rate Log'!$C$127="",0,IF(1+$X3926&gt;0,LN(1+$X3926),0))</f>
        <v>0</v>
      </c>
      <c r="Z3926" s="75">
        <f t="shared" si="1473"/>
        <v>0</v>
      </c>
      <c r="AA3926" s="75">
        <f>IF($U3926="",0,COUNTIFS(rl_key,'Rate Log'!$J$127,$V$3806:$V$4045,$V3926,$U$3806:$U$4045,"&lt;"&amp;$U3926))</f>
        <v>0</v>
      </c>
      <c r="AB3926" s="75">
        <f>IF($U3926="",0,COUNTIFS('Rate Log'!$J$7:$J$127,'Rate Log'!$J$127,$V$3806:$V3926,$V3926,$U$3806:$U3926,$U3926))</f>
        <v>0</v>
      </c>
      <c r="AC3926" s="75">
        <f t="shared" si="1474"/>
        <v>0</v>
      </c>
      <c r="AE3926" s="74" t="str">
        <f>IF('Rate Log'!$C$127="","",IF('Rate Log'!$E$127="planned",EDATE('Rate Log'!$C$127,N(INDEX(sc_shift,4))),'Rate Log'!$C$127))</f>
        <v/>
      </c>
      <c r="AF3926" s="74" t="str">
        <f t="shared" si="1475"/>
        <v/>
      </c>
      <c r="AG3926" s="72">
        <f>IF(N(INDEX(sc_ach,4))=0,IF('Rate Log'!$G$127="",1,'Rate Log'!$G$127),INDEX(sc_ach,4))</f>
        <v>1</v>
      </c>
      <c r="AH3926" s="72">
        <f>IF('Rate Log'!$C$127="",0,IF('Rate Log'!$E$127="planned",('Rate Log'!$D$127+N(INDEX(sc_dpts,4)))*$AG3926,'Rate Log'!$D$127))</f>
        <v>0</v>
      </c>
      <c r="AI3926" s="73">
        <f>IF('Rate Log'!$C$127="",0,IF(1+$AH3926&gt;0,LN(1+$AH3926),0))</f>
        <v>0</v>
      </c>
      <c r="AJ3926" s="75">
        <f t="shared" si="1476"/>
        <v>0</v>
      </c>
      <c r="AK3926" s="75">
        <f>IF($AE3926="",0,COUNTIFS(rl_key,'Rate Log'!$J$127,$AF$3806:$AF$4045,$AF3926,$AE$3806:$AE$4045,"&lt;"&amp;$AE3926))</f>
        <v>0</v>
      </c>
      <c r="AL3926" s="75">
        <f>IF($AE3926="",0,COUNTIFS('Rate Log'!$J$7:$J$127,'Rate Log'!$J$127,$AF$3806:$AF3926,$AF3926,$AE$3806:$AE3926,$AE3926))</f>
        <v>0</v>
      </c>
      <c r="AM3926" s="75">
        <f t="shared" si="1477"/>
        <v>0</v>
      </c>
    </row>
    <row r="3927" spans="1:39" x14ac:dyDescent="0.3">
      <c r="A3927" s="74" t="str">
        <f>IF('Rate Log'!$C$128="","",IF('Rate Log'!$E$128="planned",EDATE('Rate Log'!$C$128,N(INDEX(sc_shift,1))),'Rate Log'!$C$128))</f>
        <v/>
      </c>
      <c r="B3927" s="74" t="str">
        <f t="shared" si="1466"/>
        <v/>
      </c>
      <c r="C3927" s="72">
        <f>IF(N(INDEX(sc_ach,1))=0,IF('Rate Log'!$G$128="",1,'Rate Log'!$G$128),INDEX(sc_ach,1))</f>
        <v>1</v>
      </c>
      <c r="D3927" s="72">
        <f>IF('Rate Log'!$C$128="",0,IF('Rate Log'!$E$128="planned",('Rate Log'!$D$128+N(INDEX(sc_dpts,1)))*$C3927,'Rate Log'!$D$128))</f>
        <v>0</v>
      </c>
      <c r="E3927" s="73">
        <f>IF('Rate Log'!$C$128="",0,IF(1+$D3927&gt;0,LN(1+$D3927),0))</f>
        <v>0</v>
      </c>
      <c r="F3927" s="75">
        <f t="shared" si="1467"/>
        <v>0</v>
      </c>
      <c r="G3927" s="75">
        <f>IF($A3927="",0,COUNTIFS(rl_key,'Rate Log'!$J$128,$B$3806:$B$4045,$B3927,$A$3806:$A$4045,"&lt;"&amp;$A3927))</f>
        <v>0</v>
      </c>
      <c r="H3927" s="75">
        <f>IF($A3927="",0,COUNTIFS('Rate Log'!$J$7:$J$128,'Rate Log'!$J$128,$B$3806:$B3927,$B3927,$A$3806:$A3927,$A3927))</f>
        <v>0</v>
      </c>
      <c r="I3927" s="75">
        <f t="shared" si="1468"/>
        <v>0</v>
      </c>
      <c r="K3927" s="74" t="str">
        <f>IF('Rate Log'!$C$128="","",IF('Rate Log'!$E$128="planned",EDATE('Rate Log'!$C$128,N(INDEX(sc_shift,2))),'Rate Log'!$C$128))</f>
        <v/>
      </c>
      <c r="L3927" s="74" t="str">
        <f t="shared" si="1469"/>
        <v/>
      </c>
      <c r="M3927" s="72">
        <f>IF(N(INDEX(sc_ach,2))=0,IF('Rate Log'!$G$128="",1,'Rate Log'!$G$128),INDEX(sc_ach,2))</f>
        <v>1</v>
      </c>
      <c r="N3927" s="72">
        <f>IF('Rate Log'!$C$128="",0,IF('Rate Log'!$E$128="planned",('Rate Log'!$D$128+N(INDEX(sc_dpts,2)))*$M3927,'Rate Log'!$D$128))</f>
        <v>0</v>
      </c>
      <c r="O3927" s="73">
        <f>IF('Rate Log'!$C$128="",0,IF(1+$N3927&gt;0,LN(1+$N3927),0))</f>
        <v>0</v>
      </c>
      <c r="P3927" s="75">
        <f t="shared" si="1470"/>
        <v>0</v>
      </c>
      <c r="Q3927" s="75">
        <f>IF($K3927="",0,COUNTIFS(rl_key,'Rate Log'!$J$128,$L$3806:$L$4045,$L3927,$K$3806:$K$4045,"&lt;"&amp;$K3927))</f>
        <v>0</v>
      </c>
      <c r="R3927" s="75">
        <f>IF($K3927="",0,COUNTIFS('Rate Log'!$J$7:$J$128,'Rate Log'!$J$128,$L$3806:$L3927,$L3927,$K$3806:$K3927,$K3927))</f>
        <v>0</v>
      </c>
      <c r="S3927" s="75">
        <f t="shared" si="1471"/>
        <v>0</v>
      </c>
      <c r="U3927" s="74" t="str">
        <f>IF('Rate Log'!$C$128="","",IF('Rate Log'!$E$128="planned",EDATE('Rate Log'!$C$128,N(INDEX(sc_shift,3))),'Rate Log'!$C$128))</f>
        <v/>
      </c>
      <c r="V3927" s="74" t="str">
        <f t="shared" si="1472"/>
        <v/>
      </c>
      <c r="W3927" s="72">
        <f>IF(N(INDEX(sc_ach,3))=0,IF('Rate Log'!$G$128="",1,'Rate Log'!$G$128),INDEX(sc_ach,3))</f>
        <v>1</v>
      </c>
      <c r="X3927" s="72">
        <f>IF('Rate Log'!$C$128="",0,IF('Rate Log'!$E$128="planned",('Rate Log'!$D$128+N(INDEX(sc_dpts,3)))*$W3927,'Rate Log'!$D$128))</f>
        <v>0</v>
      </c>
      <c r="Y3927" s="73">
        <f>IF('Rate Log'!$C$128="",0,IF(1+$X3927&gt;0,LN(1+$X3927),0))</f>
        <v>0</v>
      </c>
      <c r="Z3927" s="75">
        <f t="shared" si="1473"/>
        <v>0</v>
      </c>
      <c r="AA3927" s="75">
        <f>IF($U3927="",0,COUNTIFS(rl_key,'Rate Log'!$J$128,$V$3806:$V$4045,$V3927,$U$3806:$U$4045,"&lt;"&amp;$U3927))</f>
        <v>0</v>
      </c>
      <c r="AB3927" s="75">
        <f>IF($U3927="",0,COUNTIFS('Rate Log'!$J$7:$J$128,'Rate Log'!$J$128,$V$3806:$V3927,$V3927,$U$3806:$U3927,$U3927))</f>
        <v>0</v>
      </c>
      <c r="AC3927" s="75">
        <f t="shared" si="1474"/>
        <v>0</v>
      </c>
      <c r="AE3927" s="74" t="str">
        <f>IF('Rate Log'!$C$128="","",IF('Rate Log'!$E$128="planned",EDATE('Rate Log'!$C$128,N(INDEX(sc_shift,4))),'Rate Log'!$C$128))</f>
        <v/>
      </c>
      <c r="AF3927" s="74" t="str">
        <f t="shared" si="1475"/>
        <v/>
      </c>
      <c r="AG3927" s="72">
        <f>IF(N(INDEX(sc_ach,4))=0,IF('Rate Log'!$G$128="",1,'Rate Log'!$G$128),INDEX(sc_ach,4))</f>
        <v>1</v>
      </c>
      <c r="AH3927" s="72">
        <f>IF('Rate Log'!$C$128="",0,IF('Rate Log'!$E$128="planned",('Rate Log'!$D$128+N(INDEX(sc_dpts,4)))*$AG3927,'Rate Log'!$D$128))</f>
        <v>0</v>
      </c>
      <c r="AI3927" s="73">
        <f>IF('Rate Log'!$C$128="",0,IF(1+$AH3927&gt;0,LN(1+$AH3927),0))</f>
        <v>0</v>
      </c>
      <c r="AJ3927" s="75">
        <f t="shared" si="1476"/>
        <v>0</v>
      </c>
      <c r="AK3927" s="75">
        <f>IF($AE3927="",0,COUNTIFS(rl_key,'Rate Log'!$J$128,$AF$3806:$AF$4045,$AF3927,$AE$3806:$AE$4045,"&lt;"&amp;$AE3927))</f>
        <v>0</v>
      </c>
      <c r="AL3927" s="75">
        <f>IF($AE3927="",0,COUNTIFS('Rate Log'!$J$7:$J$128,'Rate Log'!$J$128,$AF$3806:$AF3927,$AF3927,$AE$3806:$AE3927,$AE3927))</f>
        <v>0</v>
      </c>
      <c r="AM3927" s="75">
        <f t="shared" si="1477"/>
        <v>0</v>
      </c>
    </row>
    <row r="3928" spans="1:39" x14ac:dyDescent="0.3">
      <c r="A3928" s="74" t="str">
        <f>IF('Rate Log'!$C$129="","",IF('Rate Log'!$E$129="planned",EDATE('Rate Log'!$C$129,N(INDEX(sc_shift,1))),'Rate Log'!$C$129))</f>
        <v/>
      </c>
      <c r="B3928" s="74" t="str">
        <f t="shared" si="1466"/>
        <v/>
      </c>
      <c r="C3928" s="72">
        <f>IF(N(INDEX(sc_ach,1))=0,IF('Rate Log'!$G$129="",1,'Rate Log'!$G$129),INDEX(sc_ach,1))</f>
        <v>1</v>
      </c>
      <c r="D3928" s="72">
        <f>IF('Rate Log'!$C$129="",0,IF('Rate Log'!$E$129="planned",('Rate Log'!$D$129+N(INDEX(sc_dpts,1)))*$C3928,'Rate Log'!$D$129))</f>
        <v>0</v>
      </c>
      <c r="E3928" s="73">
        <f>IF('Rate Log'!$C$129="",0,IF(1+$D3928&gt;0,LN(1+$D3928),0))</f>
        <v>0</v>
      </c>
      <c r="F3928" s="75">
        <f t="shared" si="1467"/>
        <v>0</v>
      </c>
      <c r="G3928" s="75">
        <f>IF($A3928="",0,COUNTIFS(rl_key,'Rate Log'!$J$129,$B$3806:$B$4045,$B3928,$A$3806:$A$4045,"&lt;"&amp;$A3928))</f>
        <v>0</v>
      </c>
      <c r="H3928" s="75">
        <f>IF($A3928="",0,COUNTIFS('Rate Log'!$J$7:$J$129,'Rate Log'!$J$129,$B$3806:$B3928,$B3928,$A$3806:$A3928,$A3928))</f>
        <v>0</v>
      </c>
      <c r="I3928" s="75">
        <f t="shared" si="1468"/>
        <v>0</v>
      </c>
      <c r="K3928" s="74" t="str">
        <f>IF('Rate Log'!$C$129="","",IF('Rate Log'!$E$129="planned",EDATE('Rate Log'!$C$129,N(INDEX(sc_shift,2))),'Rate Log'!$C$129))</f>
        <v/>
      </c>
      <c r="L3928" s="74" t="str">
        <f t="shared" si="1469"/>
        <v/>
      </c>
      <c r="M3928" s="72">
        <f>IF(N(INDEX(sc_ach,2))=0,IF('Rate Log'!$G$129="",1,'Rate Log'!$G$129),INDEX(sc_ach,2))</f>
        <v>1</v>
      </c>
      <c r="N3928" s="72">
        <f>IF('Rate Log'!$C$129="",0,IF('Rate Log'!$E$129="planned",('Rate Log'!$D$129+N(INDEX(sc_dpts,2)))*$M3928,'Rate Log'!$D$129))</f>
        <v>0</v>
      </c>
      <c r="O3928" s="73">
        <f>IF('Rate Log'!$C$129="",0,IF(1+$N3928&gt;0,LN(1+$N3928),0))</f>
        <v>0</v>
      </c>
      <c r="P3928" s="75">
        <f t="shared" si="1470"/>
        <v>0</v>
      </c>
      <c r="Q3928" s="75">
        <f>IF($K3928="",0,COUNTIFS(rl_key,'Rate Log'!$J$129,$L$3806:$L$4045,$L3928,$K$3806:$K$4045,"&lt;"&amp;$K3928))</f>
        <v>0</v>
      </c>
      <c r="R3928" s="75">
        <f>IF($K3928="",0,COUNTIFS('Rate Log'!$J$7:$J$129,'Rate Log'!$J$129,$L$3806:$L3928,$L3928,$K$3806:$K3928,$K3928))</f>
        <v>0</v>
      </c>
      <c r="S3928" s="75">
        <f t="shared" si="1471"/>
        <v>0</v>
      </c>
      <c r="U3928" s="74" t="str">
        <f>IF('Rate Log'!$C$129="","",IF('Rate Log'!$E$129="planned",EDATE('Rate Log'!$C$129,N(INDEX(sc_shift,3))),'Rate Log'!$C$129))</f>
        <v/>
      </c>
      <c r="V3928" s="74" t="str">
        <f t="shared" si="1472"/>
        <v/>
      </c>
      <c r="W3928" s="72">
        <f>IF(N(INDEX(sc_ach,3))=0,IF('Rate Log'!$G$129="",1,'Rate Log'!$G$129),INDEX(sc_ach,3))</f>
        <v>1</v>
      </c>
      <c r="X3928" s="72">
        <f>IF('Rate Log'!$C$129="",0,IF('Rate Log'!$E$129="planned",('Rate Log'!$D$129+N(INDEX(sc_dpts,3)))*$W3928,'Rate Log'!$D$129))</f>
        <v>0</v>
      </c>
      <c r="Y3928" s="73">
        <f>IF('Rate Log'!$C$129="",0,IF(1+$X3928&gt;0,LN(1+$X3928),0))</f>
        <v>0</v>
      </c>
      <c r="Z3928" s="75">
        <f t="shared" si="1473"/>
        <v>0</v>
      </c>
      <c r="AA3928" s="75">
        <f>IF($U3928="",0,COUNTIFS(rl_key,'Rate Log'!$J$129,$V$3806:$V$4045,$V3928,$U$3806:$U$4045,"&lt;"&amp;$U3928))</f>
        <v>0</v>
      </c>
      <c r="AB3928" s="75">
        <f>IF($U3928="",0,COUNTIFS('Rate Log'!$J$7:$J$129,'Rate Log'!$J$129,$V$3806:$V3928,$V3928,$U$3806:$U3928,$U3928))</f>
        <v>0</v>
      </c>
      <c r="AC3928" s="75">
        <f t="shared" si="1474"/>
        <v>0</v>
      </c>
      <c r="AE3928" s="74" t="str">
        <f>IF('Rate Log'!$C$129="","",IF('Rate Log'!$E$129="planned",EDATE('Rate Log'!$C$129,N(INDEX(sc_shift,4))),'Rate Log'!$C$129))</f>
        <v/>
      </c>
      <c r="AF3928" s="74" t="str">
        <f t="shared" si="1475"/>
        <v/>
      </c>
      <c r="AG3928" s="72">
        <f>IF(N(INDEX(sc_ach,4))=0,IF('Rate Log'!$G$129="",1,'Rate Log'!$G$129),INDEX(sc_ach,4))</f>
        <v>1</v>
      </c>
      <c r="AH3928" s="72">
        <f>IF('Rate Log'!$C$129="",0,IF('Rate Log'!$E$129="planned",('Rate Log'!$D$129+N(INDEX(sc_dpts,4)))*$AG3928,'Rate Log'!$D$129))</f>
        <v>0</v>
      </c>
      <c r="AI3928" s="73">
        <f>IF('Rate Log'!$C$129="",0,IF(1+$AH3928&gt;0,LN(1+$AH3928),0))</f>
        <v>0</v>
      </c>
      <c r="AJ3928" s="75">
        <f t="shared" si="1476"/>
        <v>0</v>
      </c>
      <c r="AK3928" s="75">
        <f>IF($AE3928="",0,COUNTIFS(rl_key,'Rate Log'!$J$129,$AF$3806:$AF$4045,$AF3928,$AE$3806:$AE$4045,"&lt;"&amp;$AE3928))</f>
        <v>0</v>
      </c>
      <c r="AL3928" s="75">
        <f>IF($AE3928="",0,COUNTIFS('Rate Log'!$J$7:$J$129,'Rate Log'!$J$129,$AF$3806:$AF3928,$AF3928,$AE$3806:$AE3928,$AE3928))</f>
        <v>0</v>
      </c>
      <c r="AM3928" s="75">
        <f t="shared" si="1477"/>
        <v>0</v>
      </c>
    </row>
    <row r="3929" spans="1:39" x14ac:dyDescent="0.3">
      <c r="A3929" s="74" t="str">
        <f>IF('Rate Log'!$C$130="","",IF('Rate Log'!$E$130="planned",EDATE('Rate Log'!$C$130,N(INDEX(sc_shift,1))),'Rate Log'!$C$130))</f>
        <v/>
      </c>
      <c r="B3929" s="74" t="str">
        <f t="shared" si="1466"/>
        <v/>
      </c>
      <c r="C3929" s="72">
        <f>IF(N(INDEX(sc_ach,1))=0,IF('Rate Log'!$G$130="",1,'Rate Log'!$G$130),INDEX(sc_ach,1))</f>
        <v>1</v>
      </c>
      <c r="D3929" s="72">
        <f>IF('Rate Log'!$C$130="",0,IF('Rate Log'!$E$130="planned",('Rate Log'!$D$130+N(INDEX(sc_dpts,1)))*$C3929,'Rate Log'!$D$130))</f>
        <v>0</v>
      </c>
      <c r="E3929" s="73">
        <f>IF('Rate Log'!$C$130="",0,IF(1+$D3929&gt;0,LN(1+$D3929),0))</f>
        <v>0</v>
      </c>
      <c r="F3929" s="75">
        <f t="shared" si="1467"/>
        <v>0</v>
      </c>
      <c r="G3929" s="75">
        <f>IF($A3929="",0,COUNTIFS(rl_key,'Rate Log'!$J$130,$B$3806:$B$4045,$B3929,$A$3806:$A$4045,"&lt;"&amp;$A3929))</f>
        <v>0</v>
      </c>
      <c r="H3929" s="75">
        <f>IF($A3929="",0,COUNTIFS('Rate Log'!$J$7:$J$130,'Rate Log'!$J$130,$B$3806:$B3929,$B3929,$A$3806:$A3929,$A3929))</f>
        <v>0</v>
      </c>
      <c r="I3929" s="75">
        <f t="shared" si="1468"/>
        <v>0</v>
      </c>
      <c r="K3929" s="74" t="str">
        <f>IF('Rate Log'!$C$130="","",IF('Rate Log'!$E$130="planned",EDATE('Rate Log'!$C$130,N(INDEX(sc_shift,2))),'Rate Log'!$C$130))</f>
        <v/>
      </c>
      <c r="L3929" s="74" t="str">
        <f t="shared" si="1469"/>
        <v/>
      </c>
      <c r="M3929" s="72">
        <f>IF(N(INDEX(sc_ach,2))=0,IF('Rate Log'!$G$130="",1,'Rate Log'!$G$130),INDEX(sc_ach,2))</f>
        <v>1</v>
      </c>
      <c r="N3929" s="72">
        <f>IF('Rate Log'!$C$130="",0,IF('Rate Log'!$E$130="planned",('Rate Log'!$D$130+N(INDEX(sc_dpts,2)))*$M3929,'Rate Log'!$D$130))</f>
        <v>0</v>
      </c>
      <c r="O3929" s="73">
        <f>IF('Rate Log'!$C$130="",0,IF(1+$N3929&gt;0,LN(1+$N3929),0))</f>
        <v>0</v>
      </c>
      <c r="P3929" s="75">
        <f t="shared" si="1470"/>
        <v>0</v>
      </c>
      <c r="Q3929" s="75">
        <f>IF($K3929="",0,COUNTIFS(rl_key,'Rate Log'!$J$130,$L$3806:$L$4045,$L3929,$K$3806:$K$4045,"&lt;"&amp;$K3929))</f>
        <v>0</v>
      </c>
      <c r="R3929" s="75">
        <f>IF($K3929="",0,COUNTIFS('Rate Log'!$J$7:$J$130,'Rate Log'!$J$130,$L$3806:$L3929,$L3929,$K$3806:$K3929,$K3929))</f>
        <v>0</v>
      </c>
      <c r="S3929" s="75">
        <f t="shared" si="1471"/>
        <v>0</v>
      </c>
      <c r="U3929" s="74" t="str">
        <f>IF('Rate Log'!$C$130="","",IF('Rate Log'!$E$130="planned",EDATE('Rate Log'!$C$130,N(INDEX(sc_shift,3))),'Rate Log'!$C$130))</f>
        <v/>
      </c>
      <c r="V3929" s="74" t="str">
        <f t="shared" si="1472"/>
        <v/>
      </c>
      <c r="W3929" s="72">
        <f>IF(N(INDEX(sc_ach,3))=0,IF('Rate Log'!$G$130="",1,'Rate Log'!$G$130),INDEX(sc_ach,3))</f>
        <v>1</v>
      </c>
      <c r="X3929" s="72">
        <f>IF('Rate Log'!$C$130="",0,IF('Rate Log'!$E$130="planned",('Rate Log'!$D$130+N(INDEX(sc_dpts,3)))*$W3929,'Rate Log'!$D$130))</f>
        <v>0</v>
      </c>
      <c r="Y3929" s="73">
        <f>IF('Rate Log'!$C$130="",0,IF(1+$X3929&gt;0,LN(1+$X3929),0))</f>
        <v>0</v>
      </c>
      <c r="Z3929" s="75">
        <f t="shared" si="1473"/>
        <v>0</v>
      </c>
      <c r="AA3929" s="75">
        <f>IF($U3929="",0,COUNTIFS(rl_key,'Rate Log'!$J$130,$V$3806:$V$4045,$V3929,$U$3806:$U$4045,"&lt;"&amp;$U3929))</f>
        <v>0</v>
      </c>
      <c r="AB3929" s="75">
        <f>IF($U3929="",0,COUNTIFS('Rate Log'!$J$7:$J$130,'Rate Log'!$J$130,$V$3806:$V3929,$V3929,$U$3806:$U3929,$U3929))</f>
        <v>0</v>
      </c>
      <c r="AC3929" s="75">
        <f t="shared" si="1474"/>
        <v>0</v>
      </c>
      <c r="AE3929" s="74" t="str">
        <f>IF('Rate Log'!$C$130="","",IF('Rate Log'!$E$130="planned",EDATE('Rate Log'!$C$130,N(INDEX(sc_shift,4))),'Rate Log'!$C$130))</f>
        <v/>
      </c>
      <c r="AF3929" s="74" t="str">
        <f t="shared" si="1475"/>
        <v/>
      </c>
      <c r="AG3929" s="72">
        <f>IF(N(INDEX(sc_ach,4))=0,IF('Rate Log'!$G$130="",1,'Rate Log'!$G$130),INDEX(sc_ach,4))</f>
        <v>1</v>
      </c>
      <c r="AH3929" s="72">
        <f>IF('Rate Log'!$C$130="",0,IF('Rate Log'!$E$130="planned",('Rate Log'!$D$130+N(INDEX(sc_dpts,4)))*$AG3929,'Rate Log'!$D$130))</f>
        <v>0</v>
      </c>
      <c r="AI3929" s="73">
        <f>IF('Rate Log'!$C$130="",0,IF(1+$AH3929&gt;0,LN(1+$AH3929),0))</f>
        <v>0</v>
      </c>
      <c r="AJ3929" s="75">
        <f t="shared" si="1476"/>
        <v>0</v>
      </c>
      <c r="AK3929" s="75">
        <f>IF($AE3929="",0,COUNTIFS(rl_key,'Rate Log'!$J$130,$AF$3806:$AF$4045,$AF3929,$AE$3806:$AE$4045,"&lt;"&amp;$AE3929))</f>
        <v>0</v>
      </c>
      <c r="AL3929" s="75">
        <f>IF($AE3929="",0,COUNTIFS('Rate Log'!$J$7:$J$130,'Rate Log'!$J$130,$AF$3806:$AF3929,$AF3929,$AE$3806:$AE3929,$AE3929))</f>
        <v>0</v>
      </c>
      <c r="AM3929" s="75">
        <f t="shared" si="1477"/>
        <v>0</v>
      </c>
    </row>
    <row r="3930" spans="1:39" x14ac:dyDescent="0.3">
      <c r="A3930" s="74" t="str">
        <f>IF('Rate Log'!$C$131="","",IF('Rate Log'!$E$131="planned",EDATE('Rate Log'!$C$131,N(INDEX(sc_shift,1))),'Rate Log'!$C$131))</f>
        <v/>
      </c>
      <c r="B3930" s="74" t="str">
        <f t="shared" si="1466"/>
        <v/>
      </c>
      <c r="C3930" s="72">
        <f>IF(N(INDEX(sc_ach,1))=0,IF('Rate Log'!$G$131="",1,'Rate Log'!$G$131),INDEX(sc_ach,1))</f>
        <v>1</v>
      </c>
      <c r="D3930" s="72">
        <f>IF('Rate Log'!$C$131="",0,IF('Rate Log'!$E$131="planned",('Rate Log'!$D$131+N(INDEX(sc_dpts,1)))*$C3930,'Rate Log'!$D$131))</f>
        <v>0</v>
      </c>
      <c r="E3930" s="73">
        <f>IF('Rate Log'!$C$131="",0,IF(1+$D3930&gt;0,LN(1+$D3930),0))</f>
        <v>0</v>
      </c>
      <c r="F3930" s="75">
        <f t="shared" si="1467"/>
        <v>0</v>
      </c>
      <c r="G3930" s="75">
        <f>IF($A3930="",0,COUNTIFS(rl_key,'Rate Log'!$J$131,$B$3806:$B$4045,$B3930,$A$3806:$A$4045,"&lt;"&amp;$A3930))</f>
        <v>0</v>
      </c>
      <c r="H3930" s="75">
        <f>IF($A3930="",0,COUNTIFS('Rate Log'!$J$7:$J$131,'Rate Log'!$J$131,$B$3806:$B3930,$B3930,$A$3806:$A3930,$A3930))</f>
        <v>0</v>
      </c>
      <c r="I3930" s="75">
        <f t="shared" si="1468"/>
        <v>0</v>
      </c>
      <c r="K3930" s="74" t="str">
        <f>IF('Rate Log'!$C$131="","",IF('Rate Log'!$E$131="planned",EDATE('Rate Log'!$C$131,N(INDEX(sc_shift,2))),'Rate Log'!$C$131))</f>
        <v/>
      </c>
      <c r="L3930" s="74" t="str">
        <f t="shared" si="1469"/>
        <v/>
      </c>
      <c r="M3930" s="72">
        <f>IF(N(INDEX(sc_ach,2))=0,IF('Rate Log'!$G$131="",1,'Rate Log'!$G$131),INDEX(sc_ach,2))</f>
        <v>1</v>
      </c>
      <c r="N3930" s="72">
        <f>IF('Rate Log'!$C$131="",0,IF('Rate Log'!$E$131="planned",('Rate Log'!$D$131+N(INDEX(sc_dpts,2)))*$M3930,'Rate Log'!$D$131))</f>
        <v>0</v>
      </c>
      <c r="O3930" s="73">
        <f>IF('Rate Log'!$C$131="",0,IF(1+$N3930&gt;0,LN(1+$N3930),0))</f>
        <v>0</v>
      </c>
      <c r="P3930" s="75">
        <f t="shared" si="1470"/>
        <v>0</v>
      </c>
      <c r="Q3930" s="75">
        <f>IF($K3930="",0,COUNTIFS(rl_key,'Rate Log'!$J$131,$L$3806:$L$4045,$L3930,$K$3806:$K$4045,"&lt;"&amp;$K3930))</f>
        <v>0</v>
      </c>
      <c r="R3930" s="75">
        <f>IF($K3930="",0,COUNTIFS('Rate Log'!$J$7:$J$131,'Rate Log'!$J$131,$L$3806:$L3930,$L3930,$K$3806:$K3930,$K3930))</f>
        <v>0</v>
      </c>
      <c r="S3930" s="75">
        <f t="shared" si="1471"/>
        <v>0</v>
      </c>
      <c r="U3930" s="74" t="str">
        <f>IF('Rate Log'!$C$131="","",IF('Rate Log'!$E$131="planned",EDATE('Rate Log'!$C$131,N(INDEX(sc_shift,3))),'Rate Log'!$C$131))</f>
        <v/>
      </c>
      <c r="V3930" s="74" t="str">
        <f t="shared" si="1472"/>
        <v/>
      </c>
      <c r="W3930" s="72">
        <f>IF(N(INDEX(sc_ach,3))=0,IF('Rate Log'!$G$131="",1,'Rate Log'!$G$131),INDEX(sc_ach,3))</f>
        <v>1</v>
      </c>
      <c r="X3930" s="72">
        <f>IF('Rate Log'!$C$131="",0,IF('Rate Log'!$E$131="planned",('Rate Log'!$D$131+N(INDEX(sc_dpts,3)))*$W3930,'Rate Log'!$D$131))</f>
        <v>0</v>
      </c>
      <c r="Y3930" s="73">
        <f>IF('Rate Log'!$C$131="",0,IF(1+$X3930&gt;0,LN(1+$X3930),0))</f>
        <v>0</v>
      </c>
      <c r="Z3930" s="75">
        <f t="shared" si="1473"/>
        <v>0</v>
      </c>
      <c r="AA3930" s="75">
        <f>IF($U3930="",0,COUNTIFS(rl_key,'Rate Log'!$J$131,$V$3806:$V$4045,$V3930,$U$3806:$U$4045,"&lt;"&amp;$U3930))</f>
        <v>0</v>
      </c>
      <c r="AB3930" s="75">
        <f>IF($U3930="",0,COUNTIFS('Rate Log'!$J$7:$J$131,'Rate Log'!$J$131,$V$3806:$V3930,$V3930,$U$3806:$U3930,$U3930))</f>
        <v>0</v>
      </c>
      <c r="AC3930" s="75">
        <f t="shared" si="1474"/>
        <v>0</v>
      </c>
      <c r="AE3930" s="74" t="str">
        <f>IF('Rate Log'!$C$131="","",IF('Rate Log'!$E$131="planned",EDATE('Rate Log'!$C$131,N(INDEX(sc_shift,4))),'Rate Log'!$C$131))</f>
        <v/>
      </c>
      <c r="AF3930" s="74" t="str">
        <f t="shared" si="1475"/>
        <v/>
      </c>
      <c r="AG3930" s="72">
        <f>IF(N(INDEX(sc_ach,4))=0,IF('Rate Log'!$G$131="",1,'Rate Log'!$G$131),INDEX(sc_ach,4))</f>
        <v>1</v>
      </c>
      <c r="AH3930" s="72">
        <f>IF('Rate Log'!$C$131="",0,IF('Rate Log'!$E$131="planned",('Rate Log'!$D$131+N(INDEX(sc_dpts,4)))*$AG3930,'Rate Log'!$D$131))</f>
        <v>0</v>
      </c>
      <c r="AI3930" s="73">
        <f>IF('Rate Log'!$C$131="",0,IF(1+$AH3930&gt;0,LN(1+$AH3930),0))</f>
        <v>0</v>
      </c>
      <c r="AJ3930" s="75">
        <f t="shared" si="1476"/>
        <v>0</v>
      </c>
      <c r="AK3930" s="75">
        <f>IF($AE3930="",0,COUNTIFS(rl_key,'Rate Log'!$J$131,$AF$3806:$AF$4045,$AF3930,$AE$3806:$AE$4045,"&lt;"&amp;$AE3930))</f>
        <v>0</v>
      </c>
      <c r="AL3930" s="75">
        <f>IF($AE3930="",0,COUNTIFS('Rate Log'!$J$7:$J$131,'Rate Log'!$J$131,$AF$3806:$AF3930,$AF3930,$AE$3806:$AE3930,$AE3930))</f>
        <v>0</v>
      </c>
      <c r="AM3930" s="75">
        <f t="shared" si="1477"/>
        <v>0</v>
      </c>
    </row>
    <row r="3931" spans="1:39" x14ac:dyDescent="0.3">
      <c r="A3931" s="74" t="str">
        <f>IF('Rate Log'!$C$132="","",IF('Rate Log'!$E$132="planned",EDATE('Rate Log'!$C$132,N(INDEX(sc_shift,1))),'Rate Log'!$C$132))</f>
        <v/>
      </c>
      <c r="B3931" s="74" t="str">
        <f t="shared" si="1466"/>
        <v/>
      </c>
      <c r="C3931" s="72">
        <f>IF(N(INDEX(sc_ach,1))=0,IF('Rate Log'!$G$132="",1,'Rate Log'!$G$132),INDEX(sc_ach,1))</f>
        <v>1</v>
      </c>
      <c r="D3931" s="72">
        <f>IF('Rate Log'!$C$132="",0,IF('Rate Log'!$E$132="planned",('Rate Log'!$D$132+N(INDEX(sc_dpts,1)))*$C3931,'Rate Log'!$D$132))</f>
        <v>0</v>
      </c>
      <c r="E3931" s="73">
        <f>IF('Rate Log'!$C$132="",0,IF(1+$D3931&gt;0,LN(1+$D3931),0))</f>
        <v>0</v>
      </c>
      <c r="F3931" s="75">
        <f t="shared" si="1467"/>
        <v>0</v>
      </c>
      <c r="G3931" s="75">
        <f>IF($A3931="",0,COUNTIFS(rl_key,'Rate Log'!$J$132,$B$3806:$B$4045,$B3931,$A$3806:$A$4045,"&lt;"&amp;$A3931))</f>
        <v>0</v>
      </c>
      <c r="H3931" s="75">
        <f>IF($A3931="",0,COUNTIFS('Rate Log'!$J$7:$J$132,'Rate Log'!$J$132,$B$3806:$B3931,$B3931,$A$3806:$A3931,$A3931))</f>
        <v>0</v>
      </c>
      <c r="I3931" s="75">
        <f t="shared" si="1468"/>
        <v>0</v>
      </c>
      <c r="K3931" s="74" t="str">
        <f>IF('Rate Log'!$C$132="","",IF('Rate Log'!$E$132="planned",EDATE('Rate Log'!$C$132,N(INDEX(sc_shift,2))),'Rate Log'!$C$132))</f>
        <v/>
      </c>
      <c r="L3931" s="74" t="str">
        <f t="shared" si="1469"/>
        <v/>
      </c>
      <c r="M3931" s="72">
        <f>IF(N(INDEX(sc_ach,2))=0,IF('Rate Log'!$G$132="",1,'Rate Log'!$G$132),INDEX(sc_ach,2))</f>
        <v>1</v>
      </c>
      <c r="N3931" s="72">
        <f>IF('Rate Log'!$C$132="",0,IF('Rate Log'!$E$132="planned",('Rate Log'!$D$132+N(INDEX(sc_dpts,2)))*$M3931,'Rate Log'!$D$132))</f>
        <v>0</v>
      </c>
      <c r="O3931" s="73">
        <f>IF('Rate Log'!$C$132="",0,IF(1+$N3931&gt;0,LN(1+$N3931),0))</f>
        <v>0</v>
      </c>
      <c r="P3931" s="75">
        <f t="shared" si="1470"/>
        <v>0</v>
      </c>
      <c r="Q3931" s="75">
        <f>IF($K3931="",0,COUNTIFS(rl_key,'Rate Log'!$J$132,$L$3806:$L$4045,$L3931,$K$3806:$K$4045,"&lt;"&amp;$K3931))</f>
        <v>0</v>
      </c>
      <c r="R3931" s="75">
        <f>IF($K3931="",0,COUNTIFS('Rate Log'!$J$7:$J$132,'Rate Log'!$J$132,$L$3806:$L3931,$L3931,$K$3806:$K3931,$K3931))</f>
        <v>0</v>
      </c>
      <c r="S3931" s="75">
        <f t="shared" si="1471"/>
        <v>0</v>
      </c>
      <c r="U3931" s="74" t="str">
        <f>IF('Rate Log'!$C$132="","",IF('Rate Log'!$E$132="planned",EDATE('Rate Log'!$C$132,N(INDEX(sc_shift,3))),'Rate Log'!$C$132))</f>
        <v/>
      </c>
      <c r="V3931" s="74" t="str">
        <f t="shared" si="1472"/>
        <v/>
      </c>
      <c r="W3931" s="72">
        <f>IF(N(INDEX(sc_ach,3))=0,IF('Rate Log'!$G$132="",1,'Rate Log'!$G$132),INDEX(sc_ach,3))</f>
        <v>1</v>
      </c>
      <c r="X3931" s="72">
        <f>IF('Rate Log'!$C$132="",0,IF('Rate Log'!$E$132="planned",('Rate Log'!$D$132+N(INDEX(sc_dpts,3)))*$W3931,'Rate Log'!$D$132))</f>
        <v>0</v>
      </c>
      <c r="Y3931" s="73">
        <f>IF('Rate Log'!$C$132="",0,IF(1+$X3931&gt;0,LN(1+$X3931),0))</f>
        <v>0</v>
      </c>
      <c r="Z3931" s="75">
        <f t="shared" si="1473"/>
        <v>0</v>
      </c>
      <c r="AA3931" s="75">
        <f>IF($U3931="",0,COUNTIFS(rl_key,'Rate Log'!$J$132,$V$3806:$V$4045,$V3931,$U$3806:$U$4045,"&lt;"&amp;$U3931))</f>
        <v>0</v>
      </c>
      <c r="AB3931" s="75">
        <f>IF($U3931="",0,COUNTIFS('Rate Log'!$J$7:$J$132,'Rate Log'!$J$132,$V$3806:$V3931,$V3931,$U$3806:$U3931,$U3931))</f>
        <v>0</v>
      </c>
      <c r="AC3931" s="75">
        <f t="shared" si="1474"/>
        <v>0</v>
      </c>
      <c r="AE3931" s="74" t="str">
        <f>IF('Rate Log'!$C$132="","",IF('Rate Log'!$E$132="planned",EDATE('Rate Log'!$C$132,N(INDEX(sc_shift,4))),'Rate Log'!$C$132))</f>
        <v/>
      </c>
      <c r="AF3931" s="74" t="str">
        <f t="shared" si="1475"/>
        <v/>
      </c>
      <c r="AG3931" s="72">
        <f>IF(N(INDEX(sc_ach,4))=0,IF('Rate Log'!$G$132="",1,'Rate Log'!$G$132),INDEX(sc_ach,4))</f>
        <v>1</v>
      </c>
      <c r="AH3931" s="72">
        <f>IF('Rate Log'!$C$132="",0,IF('Rate Log'!$E$132="planned",('Rate Log'!$D$132+N(INDEX(sc_dpts,4)))*$AG3931,'Rate Log'!$D$132))</f>
        <v>0</v>
      </c>
      <c r="AI3931" s="73">
        <f>IF('Rate Log'!$C$132="",0,IF(1+$AH3931&gt;0,LN(1+$AH3931),0))</f>
        <v>0</v>
      </c>
      <c r="AJ3931" s="75">
        <f t="shared" si="1476"/>
        <v>0</v>
      </c>
      <c r="AK3931" s="75">
        <f>IF($AE3931="",0,COUNTIFS(rl_key,'Rate Log'!$J$132,$AF$3806:$AF$4045,$AF3931,$AE$3806:$AE$4045,"&lt;"&amp;$AE3931))</f>
        <v>0</v>
      </c>
      <c r="AL3931" s="75">
        <f>IF($AE3931="",0,COUNTIFS('Rate Log'!$J$7:$J$132,'Rate Log'!$J$132,$AF$3806:$AF3931,$AF3931,$AE$3806:$AE3931,$AE3931))</f>
        <v>0</v>
      </c>
      <c r="AM3931" s="75">
        <f t="shared" si="1477"/>
        <v>0</v>
      </c>
    </row>
    <row r="3932" spans="1:39" x14ac:dyDescent="0.3">
      <c r="A3932" s="74" t="str">
        <f>IF('Rate Log'!$C$133="","",IF('Rate Log'!$E$133="planned",EDATE('Rate Log'!$C$133,N(INDEX(sc_shift,1))),'Rate Log'!$C$133))</f>
        <v/>
      </c>
      <c r="B3932" s="74" t="str">
        <f t="shared" si="1466"/>
        <v/>
      </c>
      <c r="C3932" s="72">
        <f>IF(N(INDEX(sc_ach,1))=0,IF('Rate Log'!$G$133="",1,'Rate Log'!$G$133),INDEX(sc_ach,1))</f>
        <v>1</v>
      </c>
      <c r="D3932" s="72">
        <f>IF('Rate Log'!$C$133="",0,IF('Rate Log'!$E$133="planned",('Rate Log'!$D$133+N(INDEX(sc_dpts,1)))*$C3932,'Rate Log'!$D$133))</f>
        <v>0</v>
      </c>
      <c r="E3932" s="73">
        <f>IF('Rate Log'!$C$133="",0,IF(1+$D3932&gt;0,LN(1+$D3932),0))</f>
        <v>0</v>
      </c>
      <c r="F3932" s="75">
        <f t="shared" si="1467"/>
        <v>0</v>
      </c>
      <c r="G3932" s="75">
        <f>IF($A3932="",0,COUNTIFS(rl_key,'Rate Log'!$J$133,$B$3806:$B$4045,$B3932,$A$3806:$A$4045,"&lt;"&amp;$A3932))</f>
        <v>0</v>
      </c>
      <c r="H3932" s="75">
        <f>IF($A3932="",0,COUNTIFS('Rate Log'!$J$7:$J$133,'Rate Log'!$J$133,$B$3806:$B3932,$B3932,$A$3806:$A3932,$A3932))</f>
        <v>0</v>
      </c>
      <c r="I3932" s="75">
        <f t="shared" si="1468"/>
        <v>0</v>
      </c>
      <c r="K3932" s="74" t="str">
        <f>IF('Rate Log'!$C$133="","",IF('Rate Log'!$E$133="planned",EDATE('Rate Log'!$C$133,N(INDEX(sc_shift,2))),'Rate Log'!$C$133))</f>
        <v/>
      </c>
      <c r="L3932" s="74" t="str">
        <f t="shared" si="1469"/>
        <v/>
      </c>
      <c r="M3932" s="72">
        <f>IF(N(INDEX(sc_ach,2))=0,IF('Rate Log'!$G$133="",1,'Rate Log'!$G$133),INDEX(sc_ach,2))</f>
        <v>1</v>
      </c>
      <c r="N3932" s="72">
        <f>IF('Rate Log'!$C$133="",0,IF('Rate Log'!$E$133="planned",('Rate Log'!$D$133+N(INDEX(sc_dpts,2)))*$M3932,'Rate Log'!$D$133))</f>
        <v>0</v>
      </c>
      <c r="O3932" s="73">
        <f>IF('Rate Log'!$C$133="",0,IF(1+$N3932&gt;0,LN(1+$N3932),0))</f>
        <v>0</v>
      </c>
      <c r="P3932" s="75">
        <f t="shared" si="1470"/>
        <v>0</v>
      </c>
      <c r="Q3932" s="75">
        <f>IF($K3932="",0,COUNTIFS(rl_key,'Rate Log'!$J$133,$L$3806:$L$4045,$L3932,$K$3806:$K$4045,"&lt;"&amp;$K3932))</f>
        <v>0</v>
      </c>
      <c r="R3932" s="75">
        <f>IF($K3932="",0,COUNTIFS('Rate Log'!$J$7:$J$133,'Rate Log'!$J$133,$L$3806:$L3932,$L3932,$K$3806:$K3932,$K3932))</f>
        <v>0</v>
      </c>
      <c r="S3932" s="75">
        <f t="shared" si="1471"/>
        <v>0</v>
      </c>
      <c r="U3932" s="74" t="str">
        <f>IF('Rate Log'!$C$133="","",IF('Rate Log'!$E$133="planned",EDATE('Rate Log'!$C$133,N(INDEX(sc_shift,3))),'Rate Log'!$C$133))</f>
        <v/>
      </c>
      <c r="V3932" s="74" t="str">
        <f t="shared" si="1472"/>
        <v/>
      </c>
      <c r="W3932" s="72">
        <f>IF(N(INDEX(sc_ach,3))=0,IF('Rate Log'!$G$133="",1,'Rate Log'!$G$133),INDEX(sc_ach,3))</f>
        <v>1</v>
      </c>
      <c r="X3932" s="72">
        <f>IF('Rate Log'!$C$133="",0,IF('Rate Log'!$E$133="planned",('Rate Log'!$D$133+N(INDEX(sc_dpts,3)))*$W3932,'Rate Log'!$D$133))</f>
        <v>0</v>
      </c>
      <c r="Y3932" s="73">
        <f>IF('Rate Log'!$C$133="",0,IF(1+$X3932&gt;0,LN(1+$X3932),0))</f>
        <v>0</v>
      </c>
      <c r="Z3932" s="75">
        <f t="shared" si="1473"/>
        <v>0</v>
      </c>
      <c r="AA3932" s="75">
        <f>IF($U3932="",0,COUNTIFS(rl_key,'Rate Log'!$J$133,$V$3806:$V$4045,$V3932,$U$3806:$U$4045,"&lt;"&amp;$U3932))</f>
        <v>0</v>
      </c>
      <c r="AB3932" s="75">
        <f>IF($U3932="",0,COUNTIFS('Rate Log'!$J$7:$J$133,'Rate Log'!$J$133,$V$3806:$V3932,$V3932,$U$3806:$U3932,$U3932))</f>
        <v>0</v>
      </c>
      <c r="AC3932" s="75">
        <f t="shared" si="1474"/>
        <v>0</v>
      </c>
      <c r="AE3932" s="74" t="str">
        <f>IF('Rate Log'!$C$133="","",IF('Rate Log'!$E$133="planned",EDATE('Rate Log'!$C$133,N(INDEX(sc_shift,4))),'Rate Log'!$C$133))</f>
        <v/>
      </c>
      <c r="AF3932" s="74" t="str">
        <f t="shared" si="1475"/>
        <v/>
      </c>
      <c r="AG3932" s="72">
        <f>IF(N(INDEX(sc_ach,4))=0,IF('Rate Log'!$G$133="",1,'Rate Log'!$G$133),INDEX(sc_ach,4))</f>
        <v>1</v>
      </c>
      <c r="AH3932" s="72">
        <f>IF('Rate Log'!$C$133="",0,IF('Rate Log'!$E$133="planned",('Rate Log'!$D$133+N(INDEX(sc_dpts,4)))*$AG3932,'Rate Log'!$D$133))</f>
        <v>0</v>
      </c>
      <c r="AI3932" s="73">
        <f>IF('Rate Log'!$C$133="",0,IF(1+$AH3932&gt;0,LN(1+$AH3932),0))</f>
        <v>0</v>
      </c>
      <c r="AJ3932" s="75">
        <f t="shared" si="1476"/>
        <v>0</v>
      </c>
      <c r="AK3932" s="75">
        <f>IF($AE3932="",0,COUNTIFS(rl_key,'Rate Log'!$J$133,$AF$3806:$AF$4045,$AF3932,$AE$3806:$AE$4045,"&lt;"&amp;$AE3932))</f>
        <v>0</v>
      </c>
      <c r="AL3932" s="75">
        <f>IF($AE3932="",0,COUNTIFS('Rate Log'!$J$7:$J$133,'Rate Log'!$J$133,$AF$3806:$AF3932,$AF3932,$AE$3806:$AE3932,$AE3932))</f>
        <v>0</v>
      </c>
      <c r="AM3932" s="75">
        <f t="shared" si="1477"/>
        <v>0</v>
      </c>
    </row>
    <row r="3933" spans="1:39" x14ac:dyDescent="0.3">
      <c r="A3933" s="74" t="str">
        <f>IF('Rate Log'!$C$134="","",IF('Rate Log'!$E$134="planned",EDATE('Rate Log'!$C$134,N(INDEX(sc_shift,1))),'Rate Log'!$C$134))</f>
        <v/>
      </c>
      <c r="B3933" s="74" t="str">
        <f t="shared" si="1466"/>
        <v/>
      </c>
      <c r="C3933" s="72">
        <f>IF(N(INDEX(sc_ach,1))=0,IF('Rate Log'!$G$134="",1,'Rate Log'!$G$134),INDEX(sc_ach,1))</f>
        <v>1</v>
      </c>
      <c r="D3933" s="72">
        <f>IF('Rate Log'!$C$134="",0,IF('Rate Log'!$E$134="planned",('Rate Log'!$D$134+N(INDEX(sc_dpts,1)))*$C3933,'Rate Log'!$D$134))</f>
        <v>0</v>
      </c>
      <c r="E3933" s="73">
        <f>IF('Rate Log'!$C$134="",0,IF(1+$D3933&gt;0,LN(1+$D3933),0))</f>
        <v>0</v>
      </c>
      <c r="F3933" s="75">
        <f t="shared" si="1467"/>
        <v>0</v>
      </c>
      <c r="G3933" s="75">
        <f>IF($A3933="",0,COUNTIFS(rl_key,'Rate Log'!$J$134,$B$3806:$B$4045,$B3933,$A$3806:$A$4045,"&lt;"&amp;$A3933))</f>
        <v>0</v>
      </c>
      <c r="H3933" s="75">
        <f>IF($A3933="",0,COUNTIFS('Rate Log'!$J$7:$J$134,'Rate Log'!$J$134,$B$3806:$B3933,$B3933,$A$3806:$A3933,$A3933))</f>
        <v>0</v>
      </c>
      <c r="I3933" s="75">
        <f t="shared" si="1468"/>
        <v>0</v>
      </c>
      <c r="K3933" s="74" t="str">
        <f>IF('Rate Log'!$C$134="","",IF('Rate Log'!$E$134="planned",EDATE('Rate Log'!$C$134,N(INDEX(sc_shift,2))),'Rate Log'!$C$134))</f>
        <v/>
      </c>
      <c r="L3933" s="74" t="str">
        <f t="shared" si="1469"/>
        <v/>
      </c>
      <c r="M3933" s="72">
        <f>IF(N(INDEX(sc_ach,2))=0,IF('Rate Log'!$G$134="",1,'Rate Log'!$G$134),INDEX(sc_ach,2))</f>
        <v>1</v>
      </c>
      <c r="N3933" s="72">
        <f>IF('Rate Log'!$C$134="",0,IF('Rate Log'!$E$134="planned",('Rate Log'!$D$134+N(INDEX(sc_dpts,2)))*$M3933,'Rate Log'!$D$134))</f>
        <v>0</v>
      </c>
      <c r="O3933" s="73">
        <f>IF('Rate Log'!$C$134="",0,IF(1+$N3933&gt;0,LN(1+$N3933),0))</f>
        <v>0</v>
      </c>
      <c r="P3933" s="75">
        <f t="shared" si="1470"/>
        <v>0</v>
      </c>
      <c r="Q3933" s="75">
        <f>IF($K3933="",0,COUNTIFS(rl_key,'Rate Log'!$J$134,$L$3806:$L$4045,$L3933,$K$3806:$K$4045,"&lt;"&amp;$K3933))</f>
        <v>0</v>
      </c>
      <c r="R3933" s="75">
        <f>IF($K3933="",0,COUNTIFS('Rate Log'!$J$7:$J$134,'Rate Log'!$J$134,$L$3806:$L3933,$L3933,$K$3806:$K3933,$K3933))</f>
        <v>0</v>
      </c>
      <c r="S3933" s="75">
        <f t="shared" si="1471"/>
        <v>0</v>
      </c>
      <c r="U3933" s="74" t="str">
        <f>IF('Rate Log'!$C$134="","",IF('Rate Log'!$E$134="planned",EDATE('Rate Log'!$C$134,N(INDEX(sc_shift,3))),'Rate Log'!$C$134))</f>
        <v/>
      </c>
      <c r="V3933" s="74" t="str">
        <f t="shared" si="1472"/>
        <v/>
      </c>
      <c r="W3933" s="72">
        <f>IF(N(INDEX(sc_ach,3))=0,IF('Rate Log'!$G$134="",1,'Rate Log'!$G$134),INDEX(sc_ach,3))</f>
        <v>1</v>
      </c>
      <c r="X3933" s="72">
        <f>IF('Rate Log'!$C$134="",0,IF('Rate Log'!$E$134="planned",('Rate Log'!$D$134+N(INDEX(sc_dpts,3)))*$W3933,'Rate Log'!$D$134))</f>
        <v>0</v>
      </c>
      <c r="Y3933" s="73">
        <f>IF('Rate Log'!$C$134="",0,IF(1+$X3933&gt;0,LN(1+$X3933),0))</f>
        <v>0</v>
      </c>
      <c r="Z3933" s="75">
        <f t="shared" si="1473"/>
        <v>0</v>
      </c>
      <c r="AA3933" s="75">
        <f>IF($U3933="",0,COUNTIFS(rl_key,'Rate Log'!$J$134,$V$3806:$V$4045,$V3933,$U$3806:$U$4045,"&lt;"&amp;$U3933))</f>
        <v>0</v>
      </c>
      <c r="AB3933" s="75">
        <f>IF($U3933="",0,COUNTIFS('Rate Log'!$J$7:$J$134,'Rate Log'!$J$134,$V$3806:$V3933,$V3933,$U$3806:$U3933,$U3933))</f>
        <v>0</v>
      </c>
      <c r="AC3933" s="75">
        <f t="shared" si="1474"/>
        <v>0</v>
      </c>
      <c r="AE3933" s="74" t="str">
        <f>IF('Rate Log'!$C$134="","",IF('Rate Log'!$E$134="planned",EDATE('Rate Log'!$C$134,N(INDEX(sc_shift,4))),'Rate Log'!$C$134))</f>
        <v/>
      </c>
      <c r="AF3933" s="74" t="str">
        <f t="shared" si="1475"/>
        <v/>
      </c>
      <c r="AG3933" s="72">
        <f>IF(N(INDEX(sc_ach,4))=0,IF('Rate Log'!$G$134="",1,'Rate Log'!$G$134),INDEX(sc_ach,4))</f>
        <v>1</v>
      </c>
      <c r="AH3933" s="72">
        <f>IF('Rate Log'!$C$134="",0,IF('Rate Log'!$E$134="planned",('Rate Log'!$D$134+N(INDEX(sc_dpts,4)))*$AG3933,'Rate Log'!$D$134))</f>
        <v>0</v>
      </c>
      <c r="AI3933" s="73">
        <f>IF('Rate Log'!$C$134="",0,IF(1+$AH3933&gt;0,LN(1+$AH3933),0))</f>
        <v>0</v>
      </c>
      <c r="AJ3933" s="75">
        <f t="shared" si="1476"/>
        <v>0</v>
      </c>
      <c r="AK3933" s="75">
        <f>IF($AE3933="",0,COUNTIFS(rl_key,'Rate Log'!$J$134,$AF$3806:$AF$4045,$AF3933,$AE$3806:$AE$4045,"&lt;"&amp;$AE3933))</f>
        <v>0</v>
      </c>
      <c r="AL3933" s="75">
        <f>IF($AE3933="",0,COUNTIFS('Rate Log'!$J$7:$J$134,'Rate Log'!$J$134,$AF$3806:$AF3933,$AF3933,$AE$3806:$AE3933,$AE3933))</f>
        <v>0</v>
      </c>
      <c r="AM3933" s="75">
        <f t="shared" si="1477"/>
        <v>0</v>
      </c>
    </row>
    <row r="3934" spans="1:39" x14ac:dyDescent="0.3">
      <c r="A3934" s="74" t="str">
        <f>IF('Rate Log'!$C$135="","",IF('Rate Log'!$E$135="planned",EDATE('Rate Log'!$C$135,N(INDEX(sc_shift,1))),'Rate Log'!$C$135))</f>
        <v/>
      </c>
      <c r="B3934" s="74" t="str">
        <f t="shared" ref="B3934:B3997" si="1478">IF($A3934="","",DATE(YEAR($A3934),MONTH($A3934),1))</f>
        <v/>
      </c>
      <c r="C3934" s="72">
        <f>IF(N(INDEX(sc_ach,1))=0,IF('Rate Log'!$G$135="",1,'Rate Log'!$G$135),INDEX(sc_ach,1))</f>
        <v>1</v>
      </c>
      <c r="D3934" s="72">
        <f>IF('Rate Log'!$C$135="",0,IF('Rate Log'!$E$135="planned",('Rate Log'!$D$135+N(INDEX(sc_dpts,1)))*$C3934,'Rate Log'!$D$135))</f>
        <v>0</v>
      </c>
      <c r="E3934" s="73">
        <f>IF('Rate Log'!$C$135="",0,IF(1+$D3934&gt;0,LN(1+$D3934),0))</f>
        <v>0</v>
      </c>
      <c r="F3934" s="75">
        <f t="shared" ref="F3934:F3997" si="1479">IF($A3934="",0,EOMONTH($A3934,0)-$A3934+1)</f>
        <v>0</v>
      </c>
      <c r="G3934" s="75">
        <f>IF($A3934="",0,COUNTIFS(rl_key,'Rate Log'!$J$135,$B$3806:$B$4045,$B3934,$A$3806:$A$4045,"&lt;"&amp;$A3934))</f>
        <v>0</v>
      </c>
      <c r="H3934" s="75">
        <f>IF($A3934="",0,COUNTIFS('Rate Log'!$J$7:$J$135,'Rate Log'!$J$135,$B$3806:$B3934,$B3934,$A$3806:$A3934,$A3934))</f>
        <v>0</v>
      </c>
      <c r="I3934" s="75">
        <f t="shared" ref="I3934:I3997" si="1480">IF($A3934="",0,IF(AND($G3934=0,$H3934=1),1,0))</f>
        <v>0</v>
      </c>
      <c r="K3934" s="74" t="str">
        <f>IF('Rate Log'!$C$135="","",IF('Rate Log'!$E$135="planned",EDATE('Rate Log'!$C$135,N(INDEX(sc_shift,2))),'Rate Log'!$C$135))</f>
        <v/>
      </c>
      <c r="L3934" s="74" t="str">
        <f t="shared" ref="L3934:L3997" si="1481">IF($K3934="","",DATE(YEAR($K3934),MONTH($K3934),1))</f>
        <v/>
      </c>
      <c r="M3934" s="72">
        <f>IF(N(INDEX(sc_ach,2))=0,IF('Rate Log'!$G$135="",1,'Rate Log'!$G$135),INDEX(sc_ach,2))</f>
        <v>1</v>
      </c>
      <c r="N3934" s="72">
        <f>IF('Rate Log'!$C$135="",0,IF('Rate Log'!$E$135="planned",('Rate Log'!$D$135+N(INDEX(sc_dpts,2)))*$M3934,'Rate Log'!$D$135))</f>
        <v>0</v>
      </c>
      <c r="O3934" s="73">
        <f>IF('Rate Log'!$C$135="",0,IF(1+$N3934&gt;0,LN(1+$N3934),0))</f>
        <v>0</v>
      </c>
      <c r="P3934" s="75">
        <f t="shared" ref="P3934:P3997" si="1482">IF($K3934="",0,EOMONTH($K3934,0)-$K3934+1)</f>
        <v>0</v>
      </c>
      <c r="Q3934" s="75">
        <f>IF($K3934="",0,COUNTIFS(rl_key,'Rate Log'!$J$135,$L$3806:$L$4045,$L3934,$K$3806:$K$4045,"&lt;"&amp;$K3934))</f>
        <v>0</v>
      </c>
      <c r="R3934" s="75">
        <f>IF($K3934="",0,COUNTIFS('Rate Log'!$J$7:$J$135,'Rate Log'!$J$135,$L$3806:$L3934,$L3934,$K$3806:$K3934,$K3934))</f>
        <v>0</v>
      </c>
      <c r="S3934" s="75">
        <f t="shared" ref="S3934:S3997" si="1483">IF($K3934="",0,IF(AND($Q3934=0,$R3934=1),1,0))</f>
        <v>0</v>
      </c>
      <c r="U3934" s="74" t="str">
        <f>IF('Rate Log'!$C$135="","",IF('Rate Log'!$E$135="planned",EDATE('Rate Log'!$C$135,N(INDEX(sc_shift,3))),'Rate Log'!$C$135))</f>
        <v/>
      </c>
      <c r="V3934" s="74" t="str">
        <f t="shared" ref="V3934:V3997" si="1484">IF($U3934="","",DATE(YEAR($U3934),MONTH($U3934),1))</f>
        <v/>
      </c>
      <c r="W3934" s="72">
        <f>IF(N(INDEX(sc_ach,3))=0,IF('Rate Log'!$G$135="",1,'Rate Log'!$G$135),INDEX(sc_ach,3))</f>
        <v>1</v>
      </c>
      <c r="X3934" s="72">
        <f>IF('Rate Log'!$C$135="",0,IF('Rate Log'!$E$135="planned",('Rate Log'!$D$135+N(INDEX(sc_dpts,3)))*$W3934,'Rate Log'!$D$135))</f>
        <v>0</v>
      </c>
      <c r="Y3934" s="73">
        <f>IF('Rate Log'!$C$135="",0,IF(1+$X3934&gt;0,LN(1+$X3934),0))</f>
        <v>0</v>
      </c>
      <c r="Z3934" s="75">
        <f t="shared" ref="Z3934:Z3997" si="1485">IF($U3934="",0,EOMONTH($U3934,0)-$U3934+1)</f>
        <v>0</v>
      </c>
      <c r="AA3934" s="75">
        <f>IF($U3934="",0,COUNTIFS(rl_key,'Rate Log'!$J$135,$V$3806:$V$4045,$V3934,$U$3806:$U$4045,"&lt;"&amp;$U3934))</f>
        <v>0</v>
      </c>
      <c r="AB3934" s="75">
        <f>IF($U3934="",0,COUNTIFS('Rate Log'!$J$7:$J$135,'Rate Log'!$J$135,$V$3806:$V3934,$V3934,$U$3806:$U3934,$U3934))</f>
        <v>0</v>
      </c>
      <c r="AC3934" s="75">
        <f t="shared" ref="AC3934:AC3997" si="1486">IF($U3934="",0,IF(AND($AA3934=0,$AB3934=1),1,0))</f>
        <v>0</v>
      </c>
      <c r="AE3934" s="74" t="str">
        <f>IF('Rate Log'!$C$135="","",IF('Rate Log'!$E$135="planned",EDATE('Rate Log'!$C$135,N(INDEX(sc_shift,4))),'Rate Log'!$C$135))</f>
        <v/>
      </c>
      <c r="AF3934" s="74" t="str">
        <f t="shared" ref="AF3934:AF3997" si="1487">IF($AE3934="","",DATE(YEAR($AE3934),MONTH($AE3934),1))</f>
        <v/>
      </c>
      <c r="AG3934" s="72">
        <f>IF(N(INDEX(sc_ach,4))=0,IF('Rate Log'!$G$135="",1,'Rate Log'!$G$135),INDEX(sc_ach,4))</f>
        <v>1</v>
      </c>
      <c r="AH3934" s="72">
        <f>IF('Rate Log'!$C$135="",0,IF('Rate Log'!$E$135="planned",('Rate Log'!$D$135+N(INDEX(sc_dpts,4)))*$AG3934,'Rate Log'!$D$135))</f>
        <v>0</v>
      </c>
      <c r="AI3934" s="73">
        <f>IF('Rate Log'!$C$135="",0,IF(1+$AH3934&gt;0,LN(1+$AH3934),0))</f>
        <v>0</v>
      </c>
      <c r="AJ3934" s="75">
        <f t="shared" ref="AJ3934:AJ3997" si="1488">IF($AE3934="",0,EOMONTH($AE3934,0)-$AE3934+1)</f>
        <v>0</v>
      </c>
      <c r="AK3934" s="75">
        <f>IF($AE3934="",0,COUNTIFS(rl_key,'Rate Log'!$J$135,$AF$3806:$AF$4045,$AF3934,$AE$3806:$AE$4045,"&lt;"&amp;$AE3934))</f>
        <v>0</v>
      </c>
      <c r="AL3934" s="75">
        <f>IF($AE3934="",0,COUNTIFS('Rate Log'!$J$7:$J$135,'Rate Log'!$J$135,$AF$3806:$AF3934,$AF3934,$AE$3806:$AE3934,$AE3934))</f>
        <v>0</v>
      </c>
      <c r="AM3934" s="75">
        <f t="shared" ref="AM3934:AM3997" si="1489">IF($AE3934="",0,IF(AND($AK3934=0,$AL3934=1),1,0))</f>
        <v>0</v>
      </c>
    </row>
    <row r="3935" spans="1:39" x14ac:dyDescent="0.3">
      <c r="A3935" s="74" t="str">
        <f>IF('Rate Log'!$C$136="","",IF('Rate Log'!$E$136="planned",EDATE('Rate Log'!$C$136,N(INDEX(sc_shift,1))),'Rate Log'!$C$136))</f>
        <v/>
      </c>
      <c r="B3935" s="74" t="str">
        <f t="shared" si="1478"/>
        <v/>
      </c>
      <c r="C3935" s="72">
        <f>IF(N(INDEX(sc_ach,1))=0,IF('Rate Log'!$G$136="",1,'Rate Log'!$G$136),INDEX(sc_ach,1))</f>
        <v>1</v>
      </c>
      <c r="D3935" s="72">
        <f>IF('Rate Log'!$C$136="",0,IF('Rate Log'!$E$136="planned",('Rate Log'!$D$136+N(INDEX(sc_dpts,1)))*$C3935,'Rate Log'!$D$136))</f>
        <v>0</v>
      </c>
      <c r="E3935" s="73">
        <f>IF('Rate Log'!$C$136="",0,IF(1+$D3935&gt;0,LN(1+$D3935),0))</f>
        <v>0</v>
      </c>
      <c r="F3935" s="75">
        <f t="shared" si="1479"/>
        <v>0</v>
      </c>
      <c r="G3935" s="75">
        <f>IF($A3935="",0,COUNTIFS(rl_key,'Rate Log'!$J$136,$B$3806:$B$4045,$B3935,$A$3806:$A$4045,"&lt;"&amp;$A3935))</f>
        <v>0</v>
      </c>
      <c r="H3935" s="75">
        <f>IF($A3935="",0,COUNTIFS('Rate Log'!$J$7:$J$136,'Rate Log'!$J$136,$B$3806:$B3935,$B3935,$A$3806:$A3935,$A3935))</f>
        <v>0</v>
      </c>
      <c r="I3935" s="75">
        <f t="shared" si="1480"/>
        <v>0</v>
      </c>
      <c r="K3935" s="74" t="str">
        <f>IF('Rate Log'!$C$136="","",IF('Rate Log'!$E$136="planned",EDATE('Rate Log'!$C$136,N(INDEX(sc_shift,2))),'Rate Log'!$C$136))</f>
        <v/>
      </c>
      <c r="L3935" s="74" t="str">
        <f t="shared" si="1481"/>
        <v/>
      </c>
      <c r="M3935" s="72">
        <f>IF(N(INDEX(sc_ach,2))=0,IF('Rate Log'!$G$136="",1,'Rate Log'!$G$136),INDEX(sc_ach,2))</f>
        <v>1</v>
      </c>
      <c r="N3935" s="72">
        <f>IF('Rate Log'!$C$136="",0,IF('Rate Log'!$E$136="planned",('Rate Log'!$D$136+N(INDEX(sc_dpts,2)))*$M3935,'Rate Log'!$D$136))</f>
        <v>0</v>
      </c>
      <c r="O3935" s="73">
        <f>IF('Rate Log'!$C$136="",0,IF(1+$N3935&gt;0,LN(1+$N3935),0))</f>
        <v>0</v>
      </c>
      <c r="P3935" s="75">
        <f t="shared" si="1482"/>
        <v>0</v>
      </c>
      <c r="Q3935" s="75">
        <f>IF($K3935="",0,COUNTIFS(rl_key,'Rate Log'!$J$136,$L$3806:$L$4045,$L3935,$K$3806:$K$4045,"&lt;"&amp;$K3935))</f>
        <v>0</v>
      </c>
      <c r="R3935" s="75">
        <f>IF($K3935="",0,COUNTIFS('Rate Log'!$J$7:$J$136,'Rate Log'!$J$136,$L$3806:$L3935,$L3935,$K$3806:$K3935,$K3935))</f>
        <v>0</v>
      </c>
      <c r="S3935" s="75">
        <f t="shared" si="1483"/>
        <v>0</v>
      </c>
      <c r="U3935" s="74" t="str">
        <f>IF('Rate Log'!$C$136="","",IF('Rate Log'!$E$136="planned",EDATE('Rate Log'!$C$136,N(INDEX(sc_shift,3))),'Rate Log'!$C$136))</f>
        <v/>
      </c>
      <c r="V3935" s="74" t="str">
        <f t="shared" si="1484"/>
        <v/>
      </c>
      <c r="W3935" s="72">
        <f>IF(N(INDEX(sc_ach,3))=0,IF('Rate Log'!$G$136="",1,'Rate Log'!$G$136),INDEX(sc_ach,3))</f>
        <v>1</v>
      </c>
      <c r="X3935" s="72">
        <f>IF('Rate Log'!$C$136="",0,IF('Rate Log'!$E$136="planned",('Rate Log'!$D$136+N(INDEX(sc_dpts,3)))*$W3935,'Rate Log'!$D$136))</f>
        <v>0</v>
      </c>
      <c r="Y3935" s="73">
        <f>IF('Rate Log'!$C$136="",0,IF(1+$X3935&gt;0,LN(1+$X3935),0))</f>
        <v>0</v>
      </c>
      <c r="Z3935" s="75">
        <f t="shared" si="1485"/>
        <v>0</v>
      </c>
      <c r="AA3935" s="75">
        <f>IF($U3935="",0,COUNTIFS(rl_key,'Rate Log'!$J$136,$V$3806:$V$4045,$V3935,$U$3806:$U$4045,"&lt;"&amp;$U3935))</f>
        <v>0</v>
      </c>
      <c r="AB3935" s="75">
        <f>IF($U3935="",0,COUNTIFS('Rate Log'!$J$7:$J$136,'Rate Log'!$J$136,$V$3806:$V3935,$V3935,$U$3806:$U3935,$U3935))</f>
        <v>0</v>
      </c>
      <c r="AC3935" s="75">
        <f t="shared" si="1486"/>
        <v>0</v>
      </c>
      <c r="AE3935" s="74" t="str">
        <f>IF('Rate Log'!$C$136="","",IF('Rate Log'!$E$136="planned",EDATE('Rate Log'!$C$136,N(INDEX(sc_shift,4))),'Rate Log'!$C$136))</f>
        <v/>
      </c>
      <c r="AF3935" s="74" t="str">
        <f t="shared" si="1487"/>
        <v/>
      </c>
      <c r="AG3935" s="72">
        <f>IF(N(INDEX(sc_ach,4))=0,IF('Rate Log'!$G$136="",1,'Rate Log'!$G$136),INDEX(sc_ach,4))</f>
        <v>1</v>
      </c>
      <c r="AH3935" s="72">
        <f>IF('Rate Log'!$C$136="",0,IF('Rate Log'!$E$136="planned",('Rate Log'!$D$136+N(INDEX(sc_dpts,4)))*$AG3935,'Rate Log'!$D$136))</f>
        <v>0</v>
      </c>
      <c r="AI3935" s="73">
        <f>IF('Rate Log'!$C$136="",0,IF(1+$AH3935&gt;0,LN(1+$AH3935),0))</f>
        <v>0</v>
      </c>
      <c r="AJ3935" s="75">
        <f t="shared" si="1488"/>
        <v>0</v>
      </c>
      <c r="AK3935" s="75">
        <f>IF($AE3935="",0,COUNTIFS(rl_key,'Rate Log'!$J$136,$AF$3806:$AF$4045,$AF3935,$AE$3806:$AE$4045,"&lt;"&amp;$AE3935))</f>
        <v>0</v>
      </c>
      <c r="AL3935" s="75">
        <f>IF($AE3935="",0,COUNTIFS('Rate Log'!$J$7:$J$136,'Rate Log'!$J$136,$AF$3806:$AF3935,$AF3935,$AE$3806:$AE3935,$AE3935))</f>
        <v>0</v>
      </c>
      <c r="AM3935" s="75">
        <f t="shared" si="1489"/>
        <v>0</v>
      </c>
    </row>
    <row r="3936" spans="1:39" x14ac:dyDescent="0.3">
      <c r="A3936" s="74" t="str">
        <f>IF('Rate Log'!$C$137="","",IF('Rate Log'!$E$137="planned",EDATE('Rate Log'!$C$137,N(INDEX(sc_shift,1))),'Rate Log'!$C$137))</f>
        <v/>
      </c>
      <c r="B3936" s="74" t="str">
        <f t="shared" si="1478"/>
        <v/>
      </c>
      <c r="C3936" s="72">
        <f>IF(N(INDEX(sc_ach,1))=0,IF('Rate Log'!$G$137="",1,'Rate Log'!$G$137),INDEX(sc_ach,1))</f>
        <v>1</v>
      </c>
      <c r="D3936" s="72">
        <f>IF('Rate Log'!$C$137="",0,IF('Rate Log'!$E$137="planned",('Rate Log'!$D$137+N(INDEX(sc_dpts,1)))*$C3936,'Rate Log'!$D$137))</f>
        <v>0</v>
      </c>
      <c r="E3936" s="73">
        <f>IF('Rate Log'!$C$137="",0,IF(1+$D3936&gt;0,LN(1+$D3936),0))</f>
        <v>0</v>
      </c>
      <c r="F3936" s="75">
        <f t="shared" si="1479"/>
        <v>0</v>
      </c>
      <c r="G3936" s="75">
        <f>IF($A3936="",0,COUNTIFS(rl_key,'Rate Log'!$J$137,$B$3806:$B$4045,$B3936,$A$3806:$A$4045,"&lt;"&amp;$A3936))</f>
        <v>0</v>
      </c>
      <c r="H3936" s="75">
        <f>IF($A3936="",0,COUNTIFS('Rate Log'!$J$7:$J$137,'Rate Log'!$J$137,$B$3806:$B3936,$B3936,$A$3806:$A3936,$A3936))</f>
        <v>0</v>
      </c>
      <c r="I3936" s="75">
        <f t="shared" si="1480"/>
        <v>0</v>
      </c>
      <c r="K3936" s="74" t="str">
        <f>IF('Rate Log'!$C$137="","",IF('Rate Log'!$E$137="planned",EDATE('Rate Log'!$C$137,N(INDEX(sc_shift,2))),'Rate Log'!$C$137))</f>
        <v/>
      </c>
      <c r="L3936" s="74" t="str">
        <f t="shared" si="1481"/>
        <v/>
      </c>
      <c r="M3936" s="72">
        <f>IF(N(INDEX(sc_ach,2))=0,IF('Rate Log'!$G$137="",1,'Rate Log'!$G$137),INDEX(sc_ach,2))</f>
        <v>1</v>
      </c>
      <c r="N3936" s="72">
        <f>IF('Rate Log'!$C$137="",0,IF('Rate Log'!$E$137="planned",('Rate Log'!$D$137+N(INDEX(sc_dpts,2)))*$M3936,'Rate Log'!$D$137))</f>
        <v>0</v>
      </c>
      <c r="O3936" s="73">
        <f>IF('Rate Log'!$C$137="",0,IF(1+$N3936&gt;0,LN(1+$N3936),0))</f>
        <v>0</v>
      </c>
      <c r="P3936" s="75">
        <f t="shared" si="1482"/>
        <v>0</v>
      </c>
      <c r="Q3936" s="75">
        <f>IF($K3936="",0,COUNTIFS(rl_key,'Rate Log'!$J$137,$L$3806:$L$4045,$L3936,$K$3806:$K$4045,"&lt;"&amp;$K3936))</f>
        <v>0</v>
      </c>
      <c r="R3936" s="75">
        <f>IF($K3936="",0,COUNTIFS('Rate Log'!$J$7:$J$137,'Rate Log'!$J$137,$L$3806:$L3936,$L3936,$K$3806:$K3936,$K3936))</f>
        <v>0</v>
      </c>
      <c r="S3936" s="75">
        <f t="shared" si="1483"/>
        <v>0</v>
      </c>
      <c r="U3936" s="74" t="str">
        <f>IF('Rate Log'!$C$137="","",IF('Rate Log'!$E$137="planned",EDATE('Rate Log'!$C$137,N(INDEX(sc_shift,3))),'Rate Log'!$C$137))</f>
        <v/>
      </c>
      <c r="V3936" s="74" t="str">
        <f t="shared" si="1484"/>
        <v/>
      </c>
      <c r="W3936" s="72">
        <f>IF(N(INDEX(sc_ach,3))=0,IF('Rate Log'!$G$137="",1,'Rate Log'!$G$137),INDEX(sc_ach,3))</f>
        <v>1</v>
      </c>
      <c r="X3936" s="72">
        <f>IF('Rate Log'!$C$137="",0,IF('Rate Log'!$E$137="planned",('Rate Log'!$D$137+N(INDEX(sc_dpts,3)))*$W3936,'Rate Log'!$D$137))</f>
        <v>0</v>
      </c>
      <c r="Y3936" s="73">
        <f>IF('Rate Log'!$C$137="",0,IF(1+$X3936&gt;0,LN(1+$X3936),0))</f>
        <v>0</v>
      </c>
      <c r="Z3936" s="75">
        <f t="shared" si="1485"/>
        <v>0</v>
      </c>
      <c r="AA3936" s="75">
        <f>IF($U3936="",0,COUNTIFS(rl_key,'Rate Log'!$J$137,$V$3806:$V$4045,$V3936,$U$3806:$U$4045,"&lt;"&amp;$U3936))</f>
        <v>0</v>
      </c>
      <c r="AB3936" s="75">
        <f>IF($U3936="",0,COUNTIFS('Rate Log'!$J$7:$J$137,'Rate Log'!$J$137,$V$3806:$V3936,$V3936,$U$3806:$U3936,$U3936))</f>
        <v>0</v>
      </c>
      <c r="AC3936" s="75">
        <f t="shared" si="1486"/>
        <v>0</v>
      </c>
      <c r="AE3936" s="74" t="str">
        <f>IF('Rate Log'!$C$137="","",IF('Rate Log'!$E$137="planned",EDATE('Rate Log'!$C$137,N(INDEX(sc_shift,4))),'Rate Log'!$C$137))</f>
        <v/>
      </c>
      <c r="AF3936" s="74" t="str">
        <f t="shared" si="1487"/>
        <v/>
      </c>
      <c r="AG3936" s="72">
        <f>IF(N(INDEX(sc_ach,4))=0,IF('Rate Log'!$G$137="",1,'Rate Log'!$G$137),INDEX(sc_ach,4))</f>
        <v>1</v>
      </c>
      <c r="AH3936" s="72">
        <f>IF('Rate Log'!$C$137="",0,IF('Rate Log'!$E$137="planned",('Rate Log'!$D$137+N(INDEX(sc_dpts,4)))*$AG3936,'Rate Log'!$D$137))</f>
        <v>0</v>
      </c>
      <c r="AI3936" s="73">
        <f>IF('Rate Log'!$C$137="",0,IF(1+$AH3936&gt;0,LN(1+$AH3936),0))</f>
        <v>0</v>
      </c>
      <c r="AJ3936" s="75">
        <f t="shared" si="1488"/>
        <v>0</v>
      </c>
      <c r="AK3936" s="75">
        <f>IF($AE3936="",0,COUNTIFS(rl_key,'Rate Log'!$J$137,$AF$3806:$AF$4045,$AF3936,$AE$3806:$AE$4045,"&lt;"&amp;$AE3936))</f>
        <v>0</v>
      </c>
      <c r="AL3936" s="75">
        <f>IF($AE3936="",0,COUNTIFS('Rate Log'!$J$7:$J$137,'Rate Log'!$J$137,$AF$3806:$AF3936,$AF3936,$AE$3806:$AE3936,$AE3936))</f>
        <v>0</v>
      </c>
      <c r="AM3936" s="75">
        <f t="shared" si="1489"/>
        <v>0</v>
      </c>
    </row>
    <row r="3937" spans="1:39" x14ac:dyDescent="0.3">
      <c r="A3937" s="74" t="str">
        <f>IF('Rate Log'!$C$138="","",IF('Rate Log'!$E$138="planned",EDATE('Rate Log'!$C$138,N(INDEX(sc_shift,1))),'Rate Log'!$C$138))</f>
        <v/>
      </c>
      <c r="B3937" s="74" t="str">
        <f t="shared" si="1478"/>
        <v/>
      </c>
      <c r="C3937" s="72">
        <f>IF(N(INDEX(sc_ach,1))=0,IF('Rate Log'!$G$138="",1,'Rate Log'!$G$138),INDEX(sc_ach,1))</f>
        <v>1</v>
      </c>
      <c r="D3937" s="72">
        <f>IF('Rate Log'!$C$138="",0,IF('Rate Log'!$E$138="planned",('Rate Log'!$D$138+N(INDEX(sc_dpts,1)))*$C3937,'Rate Log'!$D$138))</f>
        <v>0</v>
      </c>
      <c r="E3937" s="73">
        <f>IF('Rate Log'!$C$138="",0,IF(1+$D3937&gt;0,LN(1+$D3937),0))</f>
        <v>0</v>
      </c>
      <c r="F3937" s="75">
        <f t="shared" si="1479"/>
        <v>0</v>
      </c>
      <c r="G3937" s="75">
        <f>IF($A3937="",0,COUNTIFS(rl_key,'Rate Log'!$J$138,$B$3806:$B$4045,$B3937,$A$3806:$A$4045,"&lt;"&amp;$A3937))</f>
        <v>0</v>
      </c>
      <c r="H3937" s="75">
        <f>IF($A3937="",0,COUNTIFS('Rate Log'!$J$7:$J$138,'Rate Log'!$J$138,$B$3806:$B3937,$B3937,$A$3806:$A3937,$A3937))</f>
        <v>0</v>
      </c>
      <c r="I3937" s="75">
        <f t="shared" si="1480"/>
        <v>0</v>
      </c>
      <c r="K3937" s="74" t="str">
        <f>IF('Rate Log'!$C$138="","",IF('Rate Log'!$E$138="planned",EDATE('Rate Log'!$C$138,N(INDEX(sc_shift,2))),'Rate Log'!$C$138))</f>
        <v/>
      </c>
      <c r="L3937" s="74" t="str">
        <f t="shared" si="1481"/>
        <v/>
      </c>
      <c r="M3937" s="72">
        <f>IF(N(INDEX(sc_ach,2))=0,IF('Rate Log'!$G$138="",1,'Rate Log'!$G$138),INDEX(sc_ach,2))</f>
        <v>1</v>
      </c>
      <c r="N3937" s="72">
        <f>IF('Rate Log'!$C$138="",0,IF('Rate Log'!$E$138="planned",('Rate Log'!$D$138+N(INDEX(sc_dpts,2)))*$M3937,'Rate Log'!$D$138))</f>
        <v>0</v>
      </c>
      <c r="O3937" s="73">
        <f>IF('Rate Log'!$C$138="",0,IF(1+$N3937&gt;0,LN(1+$N3937),0))</f>
        <v>0</v>
      </c>
      <c r="P3937" s="75">
        <f t="shared" si="1482"/>
        <v>0</v>
      </c>
      <c r="Q3937" s="75">
        <f>IF($K3937="",0,COUNTIFS(rl_key,'Rate Log'!$J$138,$L$3806:$L$4045,$L3937,$K$3806:$K$4045,"&lt;"&amp;$K3937))</f>
        <v>0</v>
      </c>
      <c r="R3937" s="75">
        <f>IF($K3937="",0,COUNTIFS('Rate Log'!$J$7:$J$138,'Rate Log'!$J$138,$L$3806:$L3937,$L3937,$K$3806:$K3937,$K3937))</f>
        <v>0</v>
      </c>
      <c r="S3937" s="75">
        <f t="shared" si="1483"/>
        <v>0</v>
      </c>
      <c r="U3937" s="74" t="str">
        <f>IF('Rate Log'!$C$138="","",IF('Rate Log'!$E$138="planned",EDATE('Rate Log'!$C$138,N(INDEX(sc_shift,3))),'Rate Log'!$C$138))</f>
        <v/>
      </c>
      <c r="V3937" s="74" t="str">
        <f t="shared" si="1484"/>
        <v/>
      </c>
      <c r="W3937" s="72">
        <f>IF(N(INDEX(sc_ach,3))=0,IF('Rate Log'!$G$138="",1,'Rate Log'!$G$138),INDEX(sc_ach,3))</f>
        <v>1</v>
      </c>
      <c r="X3937" s="72">
        <f>IF('Rate Log'!$C$138="",0,IF('Rate Log'!$E$138="planned",('Rate Log'!$D$138+N(INDEX(sc_dpts,3)))*$W3937,'Rate Log'!$D$138))</f>
        <v>0</v>
      </c>
      <c r="Y3937" s="73">
        <f>IF('Rate Log'!$C$138="",0,IF(1+$X3937&gt;0,LN(1+$X3937),0))</f>
        <v>0</v>
      </c>
      <c r="Z3937" s="75">
        <f t="shared" si="1485"/>
        <v>0</v>
      </c>
      <c r="AA3937" s="75">
        <f>IF($U3937="",0,COUNTIFS(rl_key,'Rate Log'!$J$138,$V$3806:$V$4045,$V3937,$U$3806:$U$4045,"&lt;"&amp;$U3937))</f>
        <v>0</v>
      </c>
      <c r="AB3937" s="75">
        <f>IF($U3937="",0,COUNTIFS('Rate Log'!$J$7:$J$138,'Rate Log'!$J$138,$V$3806:$V3937,$V3937,$U$3806:$U3937,$U3937))</f>
        <v>0</v>
      </c>
      <c r="AC3937" s="75">
        <f t="shared" si="1486"/>
        <v>0</v>
      </c>
      <c r="AE3937" s="74" t="str">
        <f>IF('Rate Log'!$C$138="","",IF('Rate Log'!$E$138="planned",EDATE('Rate Log'!$C$138,N(INDEX(sc_shift,4))),'Rate Log'!$C$138))</f>
        <v/>
      </c>
      <c r="AF3937" s="74" t="str">
        <f t="shared" si="1487"/>
        <v/>
      </c>
      <c r="AG3937" s="72">
        <f>IF(N(INDEX(sc_ach,4))=0,IF('Rate Log'!$G$138="",1,'Rate Log'!$G$138),INDEX(sc_ach,4))</f>
        <v>1</v>
      </c>
      <c r="AH3937" s="72">
        <f>IF('Rate Log'!$C$138="",0,IF('Rate Log'!$E$138="planned",('Rate Log'!$D$138+N(INDEX(sc_dpts,4)))*$AG3937,'Rate Log'!$D$138))</f>
        <v>0</v>
      </c>
      <c r="AI3937" s="73">
        <f>IF('Rate Log'!$C$138="",0,IF(1+$AH3937&gt;0,LN(1+$AH3937),0))</f>
        <v>0</v>
      </c>
      <c r="AJ3937" s="75">
        <f t="shared" si="1488"/>
        <v>0</v>
      </c>
      <c r="AK3937" s="75">
        <f>IF($AE3937="",0,COUNTIFS(rl_key,'Rate Log'!$J$138,$AF$3806:$AF$4045,$AF3937,$AE$3806:$AE$4045,"&lt;"&amp;$AE3937))</f>
        <v>0</v>
      </c>
      <c r="AL3937" s="75">
        <f>IF($AE3937="",0,COUNTIFS('Rate Log'!$J$7:$J$138,'Rate Log'!$J$138,$AF$3806:$AF3937,$AF3937,$AE$3806:$AE3937,$AE3937))</f>
        <v>0</v>
      </c>
      <c r="AM3937" s="75">
        <f t="shared" si="1489"/>
        <v>0</v>
      </c>
    </row>
    <row r="3938" spans="1:39" x14ac:dyDescent="0.3">
      <c r="A3938" s="74" t="str">
        <f>IF('Rate Log'!$C$139="","",IF('Rate Log'!$E$139="planned",EDATE('Rate Log'!$C$139,N(INDEX(sc_shift,1))),'Rate Log'!$C$139))</f>
        <v/>
      </c>
      <c r="B3938" s="74" t="str">
        <f t="shared" si="1478"/>
        <v/>
      </c>
      <c r="C3938" s="72">
        <f>IF(N(INDEX(sc_ach,1))=0,IF('Rate Log'!$G$139="",1,'Rate Log'!$G$139),INDEX(sc_ach,1))</f>
        <v>1</v>
      </c>
      <c r="D3938" s="72">
        <f>IF('Rate Log'!$C$139="",0,IF('Rate Log'!$E$139="planned",('Rate Log'!$D$139+N(INDEX(sc_dpts,1)))*$C3938,'Rate Log'!$D$139))</f>
        <v>0</v>
      </c>
      <c r="E3938" s="73">
        <f>IF('Rate Log'!$C$139="",0,IF(1+$D3938&gt;0,LN(1+$D3938),0))</f>
        <v>0</v>
      </c>
      <c r="F3938" s="75">
        <f t="shared" si="1479"/>
        <v>0</v>
      </c>
      <c r="G3938" s="75">
        <f>IF($A3938="",0,COUNTIFS(rl_key,'Rate Log'!$J$139,$B$3806:$B$4045,$B3938,$A$3806:$A$4045,"&lt;"&amp;$A3938))</f>
        <v>0</v>
      </c>
      <c r="H3938" s="75">
        <f>IF($A3938="",0,COUNTIFS('Rate Log'!$J$7:$J$139,'Rate Log'!$J$139,$B$3806:$B3938,$B3938,$A$3806:$A3938,$A3938))</f>
        <v>0</v>
      </c>
      <c r="I3938" s="75">
        <f t="shared" si="1480"/>
        <v>0</v>
      </c>
      <c r="K3938" s="74" t="str">
        <f>IF('Rate Log'!$C$139="","",IF('Rate Log'!$E$139="planned",EDATE('Rate Log'!$C$139,N(INDEX(sc_shift,2))),'Rate Log'!$C$139))</f>
        <v/>
      </c>
      <c r="L3938" s="74" t="str">
        <f t="shared" si="1481"/>
        <v/>
      </c>
      <c r="M3938" s="72">
        <f>IF(N(INDEX(sc_ach,2))=0,IF('Rate Log'!$G$139="",1,'Rate Log'!$G$139),INDEX(sc_ach,2))</f>
        <v>1</v>
      </c>
      <c r="N3938" s="72">
        <f>IF('Rate Log'!$C$139="",0,IF('Rate Log'!$E$139="planned",('Rate Log'!$D$139+N(INDEX(sc_dpts,2)))*$M3938,'Rate Log'!$D$139))</f>
        <v>0</v>
      </c>
      <c r="O3938" s="73">
        <f>IF('Rate Log'!$C$139="",0,IF(1+$N3938&gt;0,LN(1+$N3938),0))</f>
        <v>0</v>
      </c>
      <c r="P3938" s="75">
        <f t="shared" si="1482"/>
        <v>0</v>
      </c>
      <c r="Q3938" s="75">
        <f>IF($K3938="",0,COUNTIFS(rl_key,'Rate Log'!$J$139,$L$3806:$L$4045,$L3938,$K$3806:$K$4045,"&lt;"&amp;$K3938))</f>
        <v>0</v>
      </c>
      <c r="R3938" s="75">
        <f>IF($K3938="",0,COUNTIFS('Rate Log'!$J$7:$J$139,'Rate Log'!$J$139,$L$3806:$L3938,$L3938,$K$3806:$K3938,$K3938))</f>
        <v>0</v>
      </c>
      <c r="S3938" s="75">
        <f t="shared" si="1483"/>
        <v>0</v>
      </c>
      <c r="U3938" s="74" t="str">
        <f>IF('Rate Log'!$C$139="","",IF('Rate Log'!$E$139="planned",EDATE('Rate Log'!$C$139,N(INDEX(sc_shift,3))),'Rate Log'!$C$139))</f>
        <v/>
      </c>
      <c r="V3938" s="74" t="str">
        <f t="shared" si="1484"/>
        <v/>
      </c>
      <c r="W3938" s="72">
        <f>IF(N(INDEX(sc_ach,3))=0,IF('Rate Log'!$G$139="",1,'Rate Log'!$G$139),INDEX(sc_ach,3))</f>
        <v>1</v>
      </c>
      <c r="X3938" s="72">
        <f>IF('Rate Log'!$C$139="",0,IF('Rate Log'!$E$139="planned",('Rate Log'!$D$139+N(INDEX(sc_dpts,3)))*$W3938,'Rate Log'!$D$139))</f>
        <v>0</v>
      </c>
      <c r="Y3938" s="73">
        <f>IF('Rate Log'!$C$139="",0,IF(1+$X3938&gt;0,LN(1+$X3938),0))</f>
        <v>0</v>
      </c>
      <c r="Z3938" s="75">
        <f t="shared" si="1485"/>
        <v>0</v>
      </c>
      <c r="AA3938" s="75">
        <f>IF($U3938="",0,COUNTIFS(rl_key,'Rate Log'!$J$139,$V$3806:$V$4045,$V3938,$U$3806:$U$4045,"&lt;"&amp;$U3938))</f>
        <v>0</v>
      </c>
      <c r="AB3938" s="75">
        <f>IF($U3938="",0,COUNTIFS('Rate Log'!$J$7:$J$139,'Rate Log'!$J$139,$V$3806:$V3938,$V3938,$U$3806:$U3938,$U3938))</f>
        <v>0</v>
      </c>
      <c r="AC3938" s="75">
        <f t="shared" si="1486"/>
        <v>0</v>
      </c>
      <c r="AE3938" s="74" t="str">
        <f>IF('Rate Log'!$C$139="","",IF('Rate Log'!$E$139="planned",EDATE('Rate Log'!$C$139,N(INDEX(sc_shift,4))),'Rate Log'!$C$139))</f>
        <v/>
      </c>
      <c r="AF3938" s="74" t="str">
        <f t="shared" si="1487"/>
        <v/>
      </c>
      <c r="AG3938" s="72">
        <f>IF(N(INDEX(sc_ach,4))=0,IF('Rate Log'!$G$139="",1,'Rate Log'!$G$139),INDEX(sc_ach,4))</f>
        <v>1</v>
      </c>
      <c r="AH3938" s="72">
        <f>IF('Rate Log'!$C$139="",0,IF('Rate Log'!$E$139="planned",('Rate Log'!$D$139+N(INDEX(sc_dpts,4)))*$AG3938,'Rate Log'!$D$139))</f>
        <v>0</v>
      </c>
      <c r="AI3938" s="73">
        <f>IF('Rate Log'!$C$139="",0,IF(1+$AH3938&gt;0,LN(1+$AH3938),0))</f>
        <v>0</v>
      </c>
      <c r="AJ3938" s="75">
        <f t="shared" si="1488"/>
        <v>0</v>
      </c>
      <c r="AK3938" s="75">
        <f>IF($AE3938="",0,COUNTIFS(rl_key,'Rate Log'!$J$139,$AF$3806:$AF$4045,$AF3938,$AE$3806:$AE$4045,"&lt;"&amp;$AE3938))</f>
        <v>0</v>
      </c>
      <c r="AL3938" s="75">
        <f>IF($AE3938="",0,COUNTIFS('Rate Log'!$J$7:$J$139,'Rate Log'!$J$139,$AF$3806:$AF3938,$AF3938,$AE$3806:$AE3938,$AE3938))</f>
        <v>0</v>
      </c>
      <c r="AM3938" s="75">
        <f t="shared" si="1489"/>
        <v>0</v>
      </c>
    </row>
    <row r="3939" spans="1:39" x14ac:dyDescent="0.3">
      <c r="A3939" s="74" t="str">
        <f>IF('Rate Log'!$C$140="","",IF('Rate Log'!$E$140="planned",EDATE('Rate Log'!$C$140,N(INDEX(sc_shift,1))),'Rate Log'!$C$140))</f>
        <v/>
      </c>
      <c r="B3939" s="74" t="str">
        <f t="shared" si="1478"/>
        <v/>
      </c>
      <c r="C3939" s="72">
        <f>IF(N(INDEX(sc_ach,1))=0,IF('Rate Log'!$G$140="",1,'Rate Log'!$G$140),INDEX(sc_ach,1))</f>
        <v>1</v>
      </c>
      <c r="D3939" s="72">
        <f>IF('Rate Log'!$C$140="",0,IF('Rate Log'!$E$140="planned",('Rate Log'!$D$140+N(INDEX(sc_dpts,1)))*$C3939,'Rate Log'!$D$140))</f>
        <v>0</v>
      </c>
      <c r="E3939" s="73">
        <f>IF('Rate Log'!$C$140="",0,IF(1+$D3939&gt;0,LN(1+$D3939),0))</f>
        <v>0</v>
      </c>
      <c r="F3939" s="75">
        <f t="shared" si="1479"/>
        <v>0</v>
      </c>
      <c r="G3939" s="75">
        <f>IF($A3939="",0,COUNTIFS(rl_key,'Rate Log'!$J$140,$B$3806:$B$4045,$B3939,$A$3806:$A$4045,"&lt;"&amp;$A3939))</f>
        <v>0</v>
      </c>
      <c r="H3939" s="75">
        <f>IF($A3939="",0,COUNTIFS('Rate Log'!$J$7:$J$140,'Rate Log'!$J$140,$B$3806:$B3939,$B3939,$A$3806:$A3939,$A3939))</f>
        <v>0</v>
      </c>
      <c r="I3939" s="75">
        <f t="shared" si="1480"/>
        <v>0</v>
      </c>
      <c r="K3939" s="74" t="str">
        <f>IF('Rate Log'!$C$140="","",IF('Rate Log'!$E$140="planned",EDATE('Rate Log'!$C$140,N(INDEX(sc_shift,2))),'Rate Log'!$C$140))</f>
        <v/>
      </c>
      <c r="L3939" s="74" t="str">
        <f t="shared" si="1481"/>
        <v/>
      </c>
      <c r="M3939" s="72">
        <f>IF(N(INDEX(sc_ach,2))=0,IF('Rate Log'!$G$140="",1,'Rate Log'!$G$140),INDEX(sc_ach,2))</f>
        <v>1</v>
      </c>
      <c r="N3939" s="72">
        <f>IF('Rate Log'!$C$140="",0,IF('Rate Log'!$E$140="planned",('Rate Log'!$D$140+N(INDEX(sc_dpts,2)))*$M3939,'Rate Log'!$D$140))</f>
        <v>0</v>
      </c>
      <c r="O3939" s="73">
        <f>IF('Rate Log'!$C$140="",0,IF(1+$N3939&gt;0,LN(1+$N3939),0))</f>
        <v>0</v>
      </c>
      <c r="P3939" s="75">
        <f t="shared" si="1482"/>
        <v>0</v>
      </c>
      <c r="Q3939" s="75">
        <f>IF($K3939="",0,COUNTIFS(rl_key,'Rate Log'!$J$140,$L$3806:$L$4045,$L3939,$K$3806:$K$4045,"&lt;"&amp;$K3939))</f>
        <v>0</v>
      </c>
      <c r="R3939" s="75">
        <f>IF($K3939="",0,COUNTIFS('Rate Log'!$J$7:$J$140,'Rate Log'!$J$140,$L$3806:$L3939,$L3939,$K$3806:$K3939,$K3939))</f>
        <v>0</v>
      </c>
      <c r="S3939" s="75">
        <f t="shared" si="1483"/>
        <v>0</v>
      </c>
      <c r="U3939" s="74" t="str">
        <f>IF('Rate Log'!$C$140="","",IF('Rate Log'!$E$140="planned",EDATE('Rate Log'!$C$140,N(INDEX(sc_shift,3))),'Rate Log'!$C$140))</f>
        <v/>
      </c>
      <c r="V3939" s="74" t="str">
        <f t="shared" si="1484"/>
        <v/>
      </c>
      <c r="W3939" s="72">
        <f>IF(N(INDEX(sc_ach,3))=0,IF('Rate Log'!$G$140="",1,'Rate Log'!$G$140),INDEX(sc_ach,3))</f>
        <v>1</v>
      </c>
      <c r="X3939" s="72">
        <f>IF('Rate Log'!$C$140="",0,IF('Rate Log'!$E$140="planned",('Rate Log'!$D$140+N(INDEX(sc_dpts,3)))*$W3939,'Rate Log'!$D$140))</f>
        <v>0</v>
      </c>
      <c r="Y3939" s="73">
        <f>IF('Rate Log'!$C$140="",0,IF(1+$X3939&gt;0,LN(1+$X3939),0))</f>
        <v>0</v>
      </c>
      <c r="Z3939" s="75">
        <f t="shared" si="1485"/>
        <v>0</v>
      </c>
      <c r="AA3939" s="75">
        <f>IF($U3939="",0,COUNTIFS(rl_key,'Rate Log'!$J$140,$V$3806:$V$4045,$V3939,$U$3806:$U$4045,"&lt;"&amp;$U3939))</f>
        <v>0</v>
      </c>
      <c r="AB3939" s="75">
        <f>IF($U3939="",0,COUNTIFS('Rate Log'!$J$7:$J$140,'Rate Log'!$J$140,$V$3806:$V3939,$V3939,$U$3806:$U3939,$U3939))</f>
        <v>0</v>
      </c>
      <c r="AC3939" s="75">
        <f t="shared" si="1486"/>
        <v>0</v>
      </c>
      <c r="AE3939" s="74" t="str">
        <f>IF('Rate Log'!$C$140="","",IF('Rate Log'!$E$140="planned",EDATE('Rate Log'!$C$140,N(INDEX(sc_shift,4))),'Rate Log'!$C$140))</f>
        <v/>
      </c>
      <c r="AF3939" s="74" t="str">
        <f t="shared" si="1487"/>
        <v/>
      </c>
      <c r="AG3939" s="72">
        <f>IF(N(INDEX(sc_ach,4))=0,IF('Rate Log'!$G$140="",1,'Rate Log'!$G$140),INDEX(sc_ach,4))</f>
        <v>1</v>
      </c>
      <c r="AH3939" s="72">
        <f>IF('Rate Log'!$C$140="",0,IF('Rate Log'!$E$140="planned",('Rate Log'!$D$140+N(INDEX(sc_dpts,4)))*$AG3939,'Rate Log'!$D$140))</f>
        <v>0</v>
      </c>
      <c r="AI3939" s="73">
        <f>IF('Rate Log'!$C$140="",0,IF(1+$AH3939&gt;0,LN(1+$AH3939),0))</f>
        <v>0</v>
      </c>
      <c r="AJ3939" s="75">
        <f t="shared" si="1488"/>
        <v>0</v>
      </c>
      <c r="AK3939" s="75">
        <f>IF($AE3939="",0,COUNTIFS(rl_key,'Rate Log'!$J$140,$AF$3806:$AF$4045,$AF3939,$AE$3806:$AE$4045,"&lt;"&amp;$AE3939))</f>
        <v>0</v>
      </c>
      <c r="AL3939" s="75">
        <f>IF($AE3939="",0,COUNTIFS('Rate Log'!$J$7:$J$140,'Rate Log'!$J$140,$AF$3806:$AF3939,$AF3939,$AE$3806:$AE3939,$AE3939))</f>
        <v>0</v>
      </c>
      <c r="AM3939" s="75">
        <f t="shared" si="1489"/>
        <v>0</v>
      </c>
    </row>
    <row r="3940" spans="1:39" x14ac:dyDescent="0.3">
      <c r="A3940" s="74" t="str">
        <f>IF('Rate Log'!$C$141="","",IF('Rate Log'!$E$141="planned",EDATE('Rate Log'!$C$141,N(INDEX(sc_shift,1))),'Rate Log'!$C$141))</f>
        <v/>
      </c>
      <c r="B3940" s="74" t="str">
        <f t="shared" si="1478"/>
        <v/>
      </c>
      <c r="C3940" s="72">
        <f>IF(N(INDEX(sc_ach,1))=0,IF('Rate Log'!$G$141="",1,'Rate Log'!$G$141),INDEX(sc_ach,1))</f>
        <v>1</v>
      </c>
      <c r="D3940" s="72">
        <f>IF('Rate Log'!$C$141="",0,IF('Rate Log'!$E$141="planned",('Rate Log'!$D$141+N(INDEX(sc_dpts,1)))*$C3940,'Rate Log'!$D$141))</f>
        <v>0</v>
      </c>
      <c r="E3940" s="73">
        <f>IF('Rate Log'!$C$141="",0,IF(1+$D3940&gt;0,LN(1+$D3940),0))</f>
        <v>0</v>
      </c>
      <c r="F3940" s="75">
        <f t="shared" si="1479"/>
        <v>0</v>
      </c>
      <c r="G3940" s="75">
        <f>IF($A3940="",0,COUNTIFS(rl_key,'Rate Log'!$J$141,$B$3806:$B$4045,$B3940,$A$3806:$A$4045,"&lt;"&amp;$A3940))</f>
        <v>0</v>
      </c>
      <c r="H3940" s="75">
        <f>IF($A3940="",0,COUNTIFS('Rate Log'!$J$7:$J$141,'Rate Log'!$J$141,$B$3806:$B3940,$B3940,$A$3806:$A3940,$A3940))</f>
        <v>0</v>
      </c>
      <c r="I3940" s="75">
        <f t="shared" si="1480"/>
        <v>0</v>
      </c>
      <c r="K3940" s="74" t="str">
        <f>IF('Rate Log'!$C$141="","",IF('Rate Log'!$E$141="planned",EDATE('Rate Log'!$C$141,N(INDEX(sc_shift,2))),'Rate Log'!$C$141))</f>
        <v/>
      </c>
      <c r="L3940" s="74" t="str">
        <f t="shared" si="1481"/>
        <v/>
      </c>
      <c r="M3940" s="72">
        <f>IF(N(INDEX(sc_ach,2))=0,IF('Rate Log'!$G$141="",1,'Rate Log'!$G$141),INDEX(sc_ach,2))</f>
        <v>1</v>
      </c>
      <c r="N3940" s="72">
        <f>IF('Rate Log'!$C$141="",0,IF('Rate Log'!$E$141="planned",('Rate Log'!$D$141+N(INDEX(sc_dpts,2)))*$M3940,'Rate Log'!$D$141))</f>
        <v>0</v>
      </c>
      <c r="O3940" s="73">
        <f>IF('Rate Log'!$C$141="",0,IF(1+$N3940&gt;0,LN(1+$N3940),0))</f>
        <v>0</v>
      </c>
      <c r="P3940" s="75">
        <f t="shared" si="1482"/>
        <v>0</v>
      </c>
      <c r="Q3940" s="75">
        <f>IF($K3940="",0,COUNTIFS(rl_key,'Rate Log'!$J$141,$L$3806:$L$4045,$L3940,$K$3806:$K$4045,"&lt;"&amp;$K3940))</f>
        <v>0</v>
      </c>
      <c r="R3940" s="75">
        <f>IF($K3940="",0,COUNTIFS('Rate Log'!$J$7:$J$141,'Rate Log'!$J$141,$L$3806:$L3940,$L3940,$K$3806:$K3940,$K3940))</f>
        <v>0</v>
      </c>
      <c r="S3940" s="75">
        <f t="shared" si="1483"/>
        <v>0</v>
      </c>
      <c r="U3940" s="74" t="str">
        <f>IF('Rate Log'!$C$141="","",IF('Rate Log'!$E$141="planned",EDATE('Rate Log'!$C$141,N(INDEX(sc_shift,3))),'Rate Log'!$C$141))</f>
        <v/>
      </c>
      <c r="V3940" s="74" t="str">
        <f t="shared" si="1484"/>
        <v/>
      </c>
      <c r="W3940" s="72">
        <f>IF(N(INDEX(sc_ach,3))=0,IF('Rate Log'!$G$141="",1,'Rate Log'!$G$141),INDEX(sc_ach,3))</f>
        <v>1</v>
      </c>
      <c r="X3940" s="72">
        <f>IF('Rate Log'!$C$141="",0,IF('Rate Log'!$E$141="planned",('Rate Log'!$D$141+N(INDEX(sc_dpts,3)))*$W3940,'Rate Log'!$D$141))</f>
        <v>0</v>
      </c>
      <c r="Y3940" s="73">
        <f>IF('Rate Log'!$C$141="",0,IF(1+$X3940&gt;0,LN(1+$X3940),0))</f>
        <v>0</v>
      </c>
      <c r="Z3940" s="75">
        <f t="shared" si="1485"/>
        <v>0</v>
      </c>
      <c r="AA3940" s="75">
        <f>IF($U3940="",0,COUNTIFS(rl_key,'Rate Log'!$J$141,$V$3806:$V$4045,$V3940,$U$3806:$U$4045,"&lt;"&amp;$U3940))</f>
        <v>0</v>
      </c>
      <c r="AB3940" s="75">
        <f>IF($U3940="",0,COUNTIFS('Rate Log'!$J$7:$J$141,'Rate Log'!$J$141,$V$3806:$V3940,$V3940,$U$3806:$U3940,$U3940))</f>
        <v>0</v>
      </c>
      <c r="AC3940" s="75">
        <f t="shared" si="1486"/>
        <v>0</v>
      </c>
      <c r="AE3940" s="74" t="str">
        <f>IF('Rate Log'!$C$141="","",IF('Rate Log'!$E$141="planned",EDATE('Rate Log'!$C$141,N(INDEX(sc_shift,4))),'Rate Log'!$C$141))</f>
        <v/>
      </c>
      <c r="AF3940" s="74" t="str">
        <f t="shared" si="1487"/>
        <v/>
      </c>
      <c r="AG3940" s="72">
        <f>IF(N(INDEX(sc_ach,4))=0,IF('Rate Log'!$G$141="",1,'Rate Log'!$G$141),INDEX(sc_ach,4))</f>
        <v>1</v>
      </c>
      <c r="AH3940" s="72">
        <f>IF('Rate Log'!$C$141="",0,IF('Rate Log'!$E$141="planned",('Rate Log'!$D$141+N(INDEX(sc_dpts,4)))*$AG3940,'Rate Log'!$D$141))</f>
        <v>0</v>
      </c>
      <c r="AI3940" s="73">
        <f>IF('Rate Log'!$C$141="",0,IF(1+$AH3940&gt;0,LN(1+$AH3940),0))</f>
        <v>0</v>
      </c>
      <c r="AJ3940" s="75">
        <f t="shared" si="1488"/>
        <v>0</v>
      </c>
      <c r="AK3940" s="75">
        <f>IF($AE3940="",0,COUNTIFS(rl_key,'Rate Log'!$J$141,$AF$3806:$AF$4045,$AF3940,$AE$3806:$AE$4045,"&lt;"&amp;$AE3940))</f>
        <v>0</v>
      </c>
      <c r="AL3940" s="75">
        <f>IF($AE3940="",0,COUNTIFS('Rate Log'!$J$7:$J$141,'Rate Log'!$J$141,$AF$3806:$AF3940,$AF3940,$AE$3806:$AE3940,$AE3940))</f>
        <v>0</v>
      </c>
      <c r="AM3940" s="75">
        <f t="shared" si="1489"/>
        <v>0</v>
      </c>
    </row>
    <row r="3941" spans="1:39" x14ac:dyDescent="0.3">
      <c r="A3941" s="74" t="str">
        <f>IF('Rate Log'!$C$142="","",IF('Rate Log'!$E$142="planned",EDATE('Rate Log'!$C$142,N(INDEX(sc_shift,1))),'Rate Log'!$C$142))</f>
        <v/>
      </c>
      <c r="B3941" s="74" t="str">
        <f t="shared" si="1478"/>
        <v/>
      </c>
      <c r="C3941" s="72">
        <f>IF(N(INDEX(sc_ach,1))=0,IF('Rate Log'!$G$142="",1,'Rate Log'!$G$142),INDEX(sc_ach,1))</f>
        <v>1</v>
      </c>
      <c r="D3941" s="72">
        <f>IF('Rate Log'!$C$142="",0,IF('Rate Log'!$E$142="planned",('Rate Log'!$D$142+N(INDEX(sc_dpts,1)))*$C3941,'Rate Log'!$D$142))</f>
        <v>0</v>
      </c>
      <c r="E3941" s="73">
        <f>IF('Rate Log'!$C$142="",0,IF(1+$D3941&gt;0,LN(1+$D3941),0))</f>
        <v>0</v>
      </c>
      <c r="F3941" s="75">
        <f t="shared" si="1479"/>
        <v>0</v>
      </c>
      <c r="G3941" s="75">
        <f>IF($A3941="",0,COUNTIFS(rl_key,'Rate Log'!$J$142,$B$3806:$B$4045,$B3941,$A$3806:$A$4045,"&lt;"&amp;$A3941))</f>
        <v>0</v>
      </c>
      <c r="H3941" s="75">
        <f>IF($A3941="",0,COUNTIFS('Rate Log'!$J$7:$J$142,'Rate Log'!$J$142,$B$3806:$B3941,$B3941,$A$3806:$A3941,$A3941))</f>
        <v>0</v>
      </c>
      <c r="I3941" s="75">
        <f t="shared" si="1480"/>
        <v>0</v>
      </c>
      <c r="K3941" s="74" t="str">
        <f>IF('Rate Log'!$C$142="","",IF('Rate Log'!$E$142="planned",EDATE('Rate Log'!$C$142,N(INDEX(sc_shift,2))),'Rate Log'!$C$142))</f>
        <v/>
      </c>
      <c r="L3941" s="74" t="str">
        <f t="shared" si="1481"/>
        <v/>
      </c>
      <c r="M3941" s="72">
        <f>IF(N(INDEX(sc_ach,2))=0,IF('Rate Log'!$G$142="",1,'Rate Log'!$G$142),INDEX(sc_ach,2))</f>
        <v>1</v>
      </c>
      <c r="N3941" s="72">
        <f>IF('Rate Log'!$C$142="",0,IF('Rate Log'!$E$142="planned",('Rate Log'!$D$142+N(INDEX(sc_dpts,2)))*$M3941,'Rate Log'!$D$142))</f>
        <v>0</v>
      </c>
      <c r="O3941" s="73">
        <f>IF('Rate Log'!$C$142="",0,IF(1+$N3941&gt;0,LN(1+$N3941),0))</f>
        <v>0</v>
      </c>
      <c r="P3941" s="75">
        <f t="shared" si="1482"/>
        <v>0</v>
      </c>
      <c r="Q3941" s="75">
        <f>IF($K3941="",0,COUNTIFS(rl_key,'Rate Log'!$J$142,$L$3806:$L$4045,$L3941,$K$3806:$K$4045,"&lt;"&amp;$K3941))</f>
        <v>0</v>
      </c>
      <c r="R3941" s="75">
        <f>IF($K3941="",0,COUNTIFS('Rate Log'!$J$7:$J$142,'Rate Log'!$J$142,$L$3806:$L3941,$L3941,$K$3806:$K3941,$K3941))</f>
        <v>0</v>
      </c>
      <c r="S3941" s="75">
        <f t="shared" si="1483"/>
        <v>0</v>
      </c>
      <c r="U3941" s="74" t="str">
        <f>IF('Rate Log'!$C$142="","",IF('Rate Log'!$E$142="planned",EDATE('Rate Log'!$C$142,N(INDEX(sc_shift,3))),'Rate Log'!$C$142))</f>
        <v/>
      </c>
      <c r="V3941" s="74" t="str">
        <f t="shared" si="1484"/>
        <v/>
      </c>
      <c r="W3941" s="72">
        <f>IF(N(INDEX(sc_ach,3))=0,IF('Rate Log'!$G$142="",1,'Rate Log'!$G$142),INDEX(sc_ach,3))</f>
        <v>1</v>
      </c>
      <c r="X3941" s="72">
        <f>IF('Rate Log'!$C$142="",0,IF('Rate Log'!$E$142="planned",('Rate Log'!$D$142+N(INDEX(sc_dpts,3)))*$W3941,'Rate Log'!$D$142))</f>
        <v>0</v>
      </c>
      <c r="Y3941" s="73">
        <f>IF('Rate Log'!$C$142="",0,IF(1+$X3941&gt;0,LN(1+$X3941),0))</f>
        <v>0</v>
      </c>
      <c r="Z3941" s="75">
        <f t="shared" si="1485"/>
        <v>0</v>
      </c>
      <c r="AA3941" s="75">
        <f>IF($U3941="",0,COUNTIFS(rl_key,'Rate Log'!$J$142,$V$3806:$V$4045,$V3941,$U$3806:$U$4045,"&lt;"&amp;$U3941))</f>
        <v>0</v>
      </c>
      <c r="AB3941" s="75">
        <f>IF($U3941="",0,COUNTIFS('Rate Log'!$J$7:$J$142,'Rate Log'!$J$142,$V$3806:$V3941,$V3941,$U$3806:$U3941,$U3941))</f>
        <v>0</v>
      </c>
      <c r="AC3941" s="75">
        <f t="shared" si="1486"/>
        <v>0</v>
      </c>
      <c r="AE3941" s="74" t="str">
        <f>IF('Rate Log'!$C$142="","",IF('Rate Log'!$E$142="planned",EDATE('Rate Log'!$C$142,N(INDEX(sc_shift,4))),'Rate Log'!$C$142))</f>
        <v/>
      </c>
      <c r="AF3941" s="74" t="str">
        <f t="shared" si="1487"/>
        <v/>
      </c>
      <c r="AG3941" s="72">
        <f>IF(N(INDEX(sc_ach,4))=0,IF('Rate Log'!$G$142="",1,'Rate Log'!$G$142),INDEX(sc_ach,4))</f>
        <v>1</v>
      </c>
      <c r="AH3941" s="72">
        <f>IF('Rate Log'!$C$142="",0,IF('Rate Log'!$E$142="planned",('Rate Log'!$D$142+N(INDEX(sc_dpts,4)))*$AG3941,'Rate Log'!$D$142))</f>
        <v>0</v>
      </c>
      <c r="AI3941" s="73">
        <f>IF('Rate Log'!$C$142="",0,IF(1+$AH3941&gt;0,LN(1+$AH3941),0))</f>
        <v>0</v>
      </c>
      <c r="AJ3941" s="75">
        <f t="shared" si="1488"/>
        <v>0</v>
      </c>
      <c r="AK3941" s="75">
        <f>IF($AE3941="",0,COUNTIFS(rl_key,'Rate Log'!$J$142,$AF$3806:$AF$4045,$AF3941,$AE$3806:$AE$4045,"&lt;"&amp;$AE3941))</f>
        <v>0</v>
      </c>
      <c r="AL3941" s="75">
        <f>IF($AE3941="",0,COUNTIFS('Rate Log'!$J$7:$J$142,'Rate Log'!$J$142,$AF$3806:$AF3941,$AF3941,$AE$3806:$AE3941,$AE3941))</f>
        <v>0</v>
      </c>
      <c r="AM3941" s="75">
        <f t="shared" si="1489"/>
        <v>0</v>
      </c>
    </row>
    <row r="3942" spans="1:39" x14ac:dyDescent="0.3">
      <c r="A3942" s="74" t="str">
        <f>IF('Rate Log'!$C$143="","",IF('Rate Log'!$E$143="planned",EDATE('Rate Log'!$C$143,N(INDEX(sc_shift,1))),'Rate Log'!$C$143))</f>
        <v/>
      </c>
      <c r="B3942" s="74" t="str">
        <f t="shared" si="1478"/>
        <v/>
      </c>
      <c r="C3942" s="72">
        <f>IF(N(INDEX(sc_ach,1))=0,IF('Rate Log'!$G$143="",1,'Rate Log'!$G$143),INDEX(sc_ach,1))</f>
        <v>1</v>
      </c>
      <c r="D3942" s="72">
        <f>IF('Rate Log'!$C$143="",0,IF('Rate Log'!$E$143="planned",('Rate Log'!$D$143+N(INDEX(sc_dpts,1)))*$C3942,'Rate Log'!$D$143))</f>
        <v>0</v>
      </c>
      <c r="E3942" s="73">
        <f>IF('Rate Log'!$C$143="",0,IF(1+$D3942&gt;0,LN(1+$D3942),0))</f>
        <v>0</v>
      </c>
      <c r="F3942" s="75">
        <f t="shared" si="1479"/>
        <v>0</v>
      </c>
      <c r="G3942" s="75">
        <f>IF($A3942="",0,COUNTIFS(rl_key,'Rate Log'!$J$143,$B$3806:$B$4045,$B3942,$A$3806:$A$4045,"&lt;"&amp;$A3942))</f>
        <v>0</v>
      </c>
      <c r="H3942" s="75">
        <f>IF($A3942="",0,COUNTIFS('Rate Log'!$J$7:$J$143,'Rate Log'!$J$143,$B$3806:$B3942,$B3942,$A$3806:$A3942,$A3942))</f>
        <v>0</v>
      </c>
      <c r="I3942" s="75">
        <f t="shared" si="1480"/>
        <v>0</v>
      </c>
      <c r="K3942" s="74" t="str">
        <f>IF('Rate Log'!$C$143="","",IF('Rate Log'!$E$143="planned",EDATE('Rate Log'!$C$143,N(INDEX(sc_shift,2))),'Rate Log'!$C$143))</f>
        <v/>
      </c>
      <c r="L3942" s="74" t="str">
        <f t="shared" si="1481"/>
        <v/>
      </c>
      <c r="M3942" s="72">
        <f>IF(N(INDEX(sc_ach,2))=0,IF('Rate Log'!$G$143="",1,'Rate Log'!$G$143),INDEX(sc_ach,2))</f>
        <v>1</v>
      </c>
      <c r="N3942" s="72">
        <f>IF('Rate Log'!$C$143="",0,IF('Rate Log'!$E$143="planned",('Rate Log'!$D$143+N(INDEX(sc_dpts,2)))*$M3942,'Rate Log'!$D$143))</f>
        <v>0</v>
      </c>
      <c r="O3942" s="73">
        <f>IF('Rate Log'!$C$143="",0,IF(1+$N3942&gt;0,LN(1+$N3942),0))</f>
        <v>0</v>
      </c>
      <c r="P3942" s="75">
        <f t="shared" si="1482"/>
        <v>0</v>
      </c>
      <c r="Q3942" s="75">
        <f>IF($K3942="",0,COUNTIFS(rl_key,'Rate Log'!$J$143,$L$3806:$L$4045,$L3942,$K$3806:$K$4045,"&lt;"&amp;$K3942))</f>
        <v>0</v>
      </c>
      <c r="R3942" s="75">
        <f>IF($K3942="",0,COUNTIFS('Rate Log'!$J$7:$J$143,'Rate Log'!$J$143,$L$3806:$L3942,$L3942,$K$3806:$K3942,$K3942))</f>
        <v>0</v>
      </c>
      <c r="S3942" s="75">
        <f t="shared" si="1483"/>
        <v>0</v>
      </c>
      <c r="U3942" s="74" t="str">
        <f>IF('Rate Log'!$C$143="","",IF('Rate Log'!$E$143="planned",EDATE('Rate Log'!$C$143,N(INDEX(sc_shift,3))),'Rate Log'!$C$143))</f>
        <v/>
      </c>
      <c r="V3942" s="74" t="str">
        <f t="shared" si="1484"/>
        <v/>
      </c>
      <c r="W3942" s="72">
        <f>IF(N(INDEX(sc_ach,3))=0,IF('Rate Log'!$G$143="",1,'Rate Log'!$G$143),INDEX(sc_ach,3))</f>
        <v>1</v>
      </c>
      <c r="X3942" s="72">
        <f>IF('Rate Log'!$C$143="",0,IF('Rate Log'!$E$143="planned",('Rate Log'!$D$143+N(INDEX(sc_dpts,3)))*$W3942,'Rate Log'!$D$143))</f>
        <v>0</v>
      </c>
      <c r="Y3942" s="73">
        <f>IF('Rate Log'!$C$143="",0,IF(1+$X3942&gt;0,LN(1+$X3942),0))</f>
        <v>0</v>
      </c>
      <c r="Z3942" s="75">
        <f t="shared" si="1485"/>
        <v>0</v>
      </c>
      <c r="AA3942" s="75">
        <f>IF($U3942="",0,COUNTIFS(rl_key,'Rate Log'!$J$143,$V$3806:$V$4045,$V3942,$U$3806:$U$4045,"&lt;"&amp;$U3942))</f>
        <v>0</v>
      </c>
      <c r="AB3942" s="75">
        <f>IF($U3942="",0,COUNTIFS('Rate Log'!$J$7:$J$143,'Rate Log'!$J$143,$V$3806:$V3942,$V3942,$U$3806:$U3942,$U3942))</f>
        <v>0</v>
      </c>
      <c r="AC3942" s="75">
        <f t="shared" si="1486"/>
        <v>0</v>
      </c>
      <c r="AE3942" s="74" t="str">
        <f>IF('Rate Log'!$C$143="","",IF('Rate Log'!$E$143="planned",EDATE('Rate Log'!$C$143,N(INDEX(sc_shift,4))),'Rate Log'!$C$143))</f>
        <v/>
      </c>
      <c r="AF3942" s="74" t="str">
        <f t="shared" si="1487"/>
        <v/>
      </c>
      <c r="AG3942" s="72">
        <f>IF(N(INDEX(sc_ach,4))=0,IF('Rate Log'!$G$143="",1,'Rate Log'!$G$143),INDEX(sc_ach,4))</f>
        <v>1</v>
      </c>
      <c r="AH3942" s="72">
        <f>IF('Rate Log'!$C$143="",0,IF('Rate Log'!$E$143="planned",('Rate Log'!$D$143+N(INDEX(sc_dpts,4)))*$AG3942,'Rate Log'!$D$143))</f>
        <v>0</v>
      </c>
      <c r="AI3942" s="73">
        <f>IF('Rate Log'!$C$143="",0,IF(1+$AH3942&gt;0,LN(1+$AH3942),0))</f>
        <v>0</v>
      </c>
      <c r="AJ3942" s="75">
        <f t="shared" si="1488"/>
        <v>0</v>
      </c>
      <c r="AK3942" s="75">
        <f>IF($AE3942="",0,COUNTIFS(rl_key,'Rate Log'!$J$143,$AF$3806:$AF$4045,$AF3942,$AE$3806:$AE$4045,"&lt;"&amp;$AE3942))</f>
        <v>0</v>
      </c>
      <c r="AL3942" s="75">
        <f>IF($AE3942="",0,COUNTIFS('Rate Log'!$J$7:$J$143,'Rate Log'!$J$143,$AF$3806:$AF3942,$AF3942,$AE$3806:$AE3942,$AE3942))</f>
        <v>0</v>
      </c>
      <c r="AM3942" s="75">
        <f t="shared" si="1489"/>
        <v>0</v>
      </c>
    </row>
    <row r="3943" spans="1:39" x14ac:dyDescent="0.3">
      <c r="A3943" s="74" t="str">
        <f>IF('Rate Log'!$C$144="","",IF('Rate Log'!$E$144="planned",EDATE('Rate Log'!$C$144,N(INDEX(sc_shift,1))),'Rate Log'!$C$144))</f>
        <v/>
      </c>
      <c r="B3943" s="74" t="str">
        <f t="shared" si="1478"/>
        <v/>
      </c>
      <c r="C3943" s="72">
        <f>IF(N(INDEX(sc_ach,1))=0,IF('Rate Log'!$G$144="",1,'Rate Log'!$G$144),INDEX(sc_ach,1))</f>
        <v>1</v>
      </c>
      <c r="D3943" s="72">
        <f>IF('Rate Log'!$C$144="",0,IF('Rate Log'!$E$144="planned",('Rate Log'!$D$144+N(INDEX(sc_dpts,1)))*$C3943,'Rate Log'!$D$144))</f>
        <v>0</v>
      </c>
      <c r="E3943" s="73">
        <f>IF('Rate Log'!$C$144="",0,IF(1+$D3943&gt;0,LN(1+$D3943),0))</f>
        <v>0</v>
      </c>
      <c r="F3943" s="75">
        <f t="shared" si="1479"/>
        <v>0</v>
      </c>
      <c r="G3943" s="75">
        <f>IF($A3943="",0,COUNTIFS(rl_key,'Rate Log'!$J$144,$B$3806:$B$4045,$B3943,$A$3806:$A$4045,"&lt;"&amp;$A3943))</f>
        <v>0</v>
      </c>
      <c r="H3943" s="75">
        <f>IF($A3943="",0,COUNTIFS('Rate Log'!$J$7:$J$144,'Rate Log'!$J$144,$B$3806:$B3943,$B3943,$A$3806:$A3943,$A3943))</f>
        <v>0</v>
      </c>
      <c r="I3943" s="75">
        <f t="shared" si="1480"/>
        <v>0</v>
      </c>
      <c r="K3943" s="74" t="str">
        <f>IF('Rate Log'!$C$144="","",IF('Rate Log'!$E$144="planned",EDATE('Rate Log'!$C$144,N(INDEX(sc_shift,2))),'Rate Log'!$C$144))</f>
        <v/>
      </c>
      <c r="L3943" s="74" t="str">
        <f t="shared" si="1481"/>
        <v/>
      </c>
      <c r="M3943" s="72">
        <f>IF(N(INDEX(sc_ach,2))=0,IF('Rate Log'!$G$144="",1,'Rate Log'!$G$144),INDEX(sc_ach,2))</f>
        <v>1</v>
      </c>
      <c r="N3943" s="72">
        <f>IF('Rate Log'!$C$144="",0,IF('Rate Log'!$E$144="planned",('Rate Log'!$D$144+N(INDEX(sc_dpts,2)))*$M3943,'Rate Log'!$D$144))</f>
        <v>0</v>
      </c>
      <c r="O3943" s="73">
        <f>IF('Rate Log'!$C$144="",0,IF(1+$N3943&gt;0,LN(1+$N3943),0))</f>
        <v>0</v>
      </c>
      <c r="P3943" s="75">
        <f t="shared" si="1482"/>
        <v>0</v>
      </c>
      <c r="Q3943" s="75">
        <f>IF($K3943="",0,COUNTIFS(rl_key,'Rate Log'!$J$144,$L$3806:$L$4045,$L3943,$K$3806:$K$4045,"&lt;"&amp;$K3943))</f>
        <v>0</v>
      </c>
      <c r="R3943" s="75">
        <f>IF($K3943="",0,COUNTIFS('Rate Log'!$J$7:$J$144,'Rate Log'!$J$144,$L$3806:$L3943,$L3943,$K$3806:$K3943,$K3943))</f>
        <v>0</v>
      </c>
      <c r="S3943" s="75">
        <f t="shared" si="1483"/>
        <v>0</v>
      </c>
      <c r="U3943" s="74" t="str">
        <f>IF('Rate Log'!$C$144="","",IF('Rate Log'!$E$144="planned",EDATE('Rate Log'!$C$144,N(INDEX(sc_shift,3))),'Rate Log'!$C$144))</f>
        <v/>
      </c>
      <c r="V3943" s="74" t="str">
        <f t="shared" si="1484"/>
        <v/>
      </c>
      <c r="W3943" s="72">
        <f>IF(N(INDEX(sc_ach,3))=0,IF('Rate Log'!$G$144="",1,'Rate Log'!$G$144),INDEX(sc_ach,3))</f>
        <v>1</v>
      </c>
      <c r="X3943" s="72">
        <f>IF('Rate Log'!$C$144="",0,IF('Rate Log'!$E$144="planned",('Rate Log'!$D$144+N(INDEX(sc_dpts,3)))*$W3943,'Rate Log'!$D$144))</f>
        <v>0</v>
      </c>
      <c r="Y3943" s="73">
        <f>IF('Rate Log'!$C$144="",0,IF(1+$X3943&gt;0,LN(1+$X3943),0))</f>
        <v>0</v>
      </c>
      <c r="Z3943" s="75">
        <f t="shared" si="1485"/>
        <v>0</v>
      </c>
      <c r="AA3943" s="75">
        <f>IF($U3943="",0,COUNTIFS(rl_key,'Rate Log'!$J$144,$V$3806:$V$4045,$V3943,$U$3806:$U$4045,"&lt;"&amp;$U3943))</f>
        <v>0</v>
      </c>
      <c r="AB3943" s="75">
        <f>IF($U3943="",0,COUNTIFS('Rate Log'!$J$7:$J$144,'Rate Log'!$J$144,$V$3806:$V3943,$V3943,$U$3806:$U3943,$U3943))</f>
        <v>0</v>
      </c>
      <c r="AC3943" s="75">
        <f t="shared" si="1486"/>
        <v>0</v>
      </c>
      <c r="AE3943" s="74" t="str">
        <f>IF('Rate Log'!$C$144="","",IF('Rate Log'!$E$144="planned",EDATE('Rate Log'!$C$144,N(INDEX(sc_shift,4))),'Rate Log'!$C$144))</f>
        <v/>
      </c>
      <c r="AF3943" s="74" t="str">
        <f t="shared" si="1487"/>
        <v/>
      </c>
      <c r="AG3943" s="72">
        <f>IF(N(INDEX(sc_ach,4))=0,IF('Rate Log'!$G$144="",1,'Rate Log'!$G$144),INDEX(sc_ach,4))</f>
        <v>1</v>
      </c>
      <c r="AH3943" s="72">
        <f>IF('Rate Log'!$C$144="",0,IF('Rate Log'!$E$144="planned",('Rate Log'!$D$144+N(INDEX(sc_dpts,4)))*$AG3943,'Rate Log'!$D$144))</f>
        <v>0</v>
      </c>
      <c r="AI3943" s="73">
        <f>IF('Rate Log'!$C$144="",0,IF(1+$AH3943&gt;0,LN(1+$AH3943),0))</f>
        <v>0</v>
      </c>
      <c r="AJ3943" s="75">
        <f t="shared" si="1488"/>
        <v>0</v>
      </c>
      <c r="AK3943" s="75">
        <f>IF($AE3943="",0,COUNTIFS(rl_key,'Rate Log'!$J$144,$AF$3806:$AF$4045,$AF3943,$AE$3806:$AE$4045,"&lt;"&amp;$AE3943))</f>
        <v>0</v>
      </c>
      <c r="AL3943" s="75">
        <f>IF($AE3943="",0,COUNTIFS('Rate Log'!$J$7:$J$144,'Rate Log'!$J$144,$AF$3806:$AF3943,$AF3943,$AE$3806:$AE3943,$AE3943))</f>
        <v>0</v>
      </c>
      <c r="AM3943" s="75">
        <f t="shared" si="1489"/>
        <v>0</v>
      </c>
    </row>
    <row r="3944" spans="1:39" x14ac:dyDescent="0.3">
      <c r="A3944" s="74" t="str">
        <f>IF('Rate Log'!$C$145="","",IF('Rate Log'!$E$145="planned",EDATE('Rate Log'!$C$145,N(INDEX(sc_shift,1))),'Rate Log'!$C$145))</f>
        <v/>
      </c>
      <c r="B3944" s="74" t="str">
        <f t="shared" si="1478"/>
        <v/>
      </c>
      <c r="C3944" s="72">
        <f>IF(N(INDEX(sc_ach,1))=0,IF('Rate Log'!$G$145="",1,'Rate Log'!$G$145),INDEX(sc_ach,1))</f>
        <v>1</v>
      </c>
      <c r="D3944" s="72">
        <f>IF('Rate Log'!$C$145="",0,IF('Rate Log'!$E$145="planned",('Rate Log'!$D$145+N(INDEX(sc_dpts,1)))*$C3944,'Rate Log'!$D$145))</f>
        <v>0</v>
      </c>
      <c r="E3944" s="73">
        <f>IF('Rate Log'!$C$145="",0,IF(1+$D3944&gt;0,LN(1+$D3944),0))</f>
        <v>0</v>
      </c>
      <c r="F3944" s="75">
        <f t="shared" si="1479"/>
        <v>0</v>
      </c>
      <c r="G3944" s="75">
        <f>IF($A3944="",0,COUNTIFS(rl_key,'Rate Log'!$J$145,$B$3806:$B$4045,$B3944,$A$3806:$A$4045,"&lt;"&amp;$A3944))</f>
        <v>0</v>
      </c>
      <c r="H3944" s="75">
        <f>IF($A3944="",0,COUNTIFS('Rate Log'!$J$7:$J$145,'Rate Log'!$J$145,$B$3806:$B3944,$B3944,$A$3806:$A3944,$A3944))</f>
        <v>0</v>
      </c>
      <c r="I3944" s="75">
        <f t="shared" si="1480"/>
        <v>0</v>
      </c>
      <c r="K3944" s="74" t="str">
        <f>IF('Rate Log'!$C$145="","",IF('Rate Log'!$E$145="planned",EDATE('Rate Log'!$C$145,N(INDEX(sc_shift,2))),'Rate Log'!$C$145))</f>
        <v/>
      </c>
      <c r="L3944" s="74" t="str">
        <f t="shared" si="1481"/>
        <v/>
      </c>
      <c r="M3944" s="72">
        <f>IF(N(INDEX(sc_ach,2))=0,IF('Rate Log'!$G$145="",1,'Rate Log'!$G$145),INDEX(sc_ach,2))</f>
        <v>1</v>
      </c>
      <c r="N3944" s="72">
        <f>IF('Rate Log'!$C$145="",0,IF('Rate Log'!$E$145="planned",('Rate Log'!$D$145+N(INDEX(sc_dpts,2)))*$M3944,'Rate Log'!$D$145))</f>
        <v>0</v>
      </c>
      <c r="O3944" s="73">
        <f>IF('Rate Log'!$C$145="",0,IF(1+$N3944&gt;0,LN(1+$N3944),0))</f>
        <v>0</v>
      </c>
      <c r="P3944" s="75">
        <f t="shared" si="1482"/>
        <v>0</v>
      </c>
      <c r="Q3944" s="75">
        <f>IF($K3944="",0,COUNTIFS(rl_key,'Rate Log'!$J$145,$L$3806:$L$4045,$L3944,$K$3806:$K$4045,"&lt;"&amp;$K3944))</f>
        <v>0</v>
      </c>
      <c r="R3944" s="75">
        <f>IF($K3944="",0,COUNTIFS('Rate Log'!$J$7:$J$145,'Rate Log'!$J$145,$L$3806:$L3944,$L3944,$K$3806:$K3944,$K3944))</f>
        <v>0</v>
      </c>
      <c r="S3944" s="75">
        <f t="shared" si="1483"/>
        <v>0</v>
      </c>
      <c r="U3944" s="74" t="str">
        <f>IF('Rate Log'!$C$145="","",IF('Rate Log'!$E$145="planned",EDATE('Rate Log'!$C$145,N(INDEX(sc_shift,3))),'Rate Log'!$C$145))</f>
        <v/>
      </c>
      <c r="V3944" s="74" t="str">
        <f t="shared" si="1484"/>
        <v/>
      </c>
      <c r="W3944" s="72">
        <f>IF(N(INDEX(sc_ach,3))=0,IF('Rate Log'!$G$145="",1,'Rate Log'!$G$145),INDEX(sc_ach,3))</f>
        <v>1</v>
      </c>
      <c r="X3944" s="72">
        <f>IF('Rate Log'!$C$145="",0,IF('Rate Log'!$E$145="planned",('Rate Log'!$D$145+N(INDEX(sc_dpts,3)))*$W3944,'Rate Log'!$D$145))</f>
        <v>0</v>
      </c>
      <c r="Y3944" s="73">
        <f>IF('Rate Log'!$C$145="",0,IF(1+$X3944&gt;0,LN(1+$X3944),0))</f>
        <v>0</v>
      </c>
      <c r="Z3944" s="75">
        <f t="shared" si="1485"/>
        <v>0</v>
      </c>
      <c r="AA3944" s="75">
        <f>IF($U3944="",0,COUNTIFS(rl_key,'Rate Log'!$J$145,$V$3806:$V$4045,$V3944,$U$3806:$U$4045,"&lt;"&amp;$U3944))</f>
        <v>0</v>
      </c>
      <c r="AB3944" s="75">
        <f>IF($U3944="",0,COUNTIFS('Rate Log'!$J$7:$J$145,'Rate Log'!$J$145,$V$3806:$V3944,$V3944,$U$3806:$U3944,$U3944))</f>
        <v>0</v>
      </c>
      <c r="AC3944" s="75">
        <f t="shared" si="1486"/>
        <v>0</v>
      </c>
      <c r="AE3944" s="74" t="str">
        <f>IF('Rate Log'!$C$145="","",IF('Rate Log'!$E$145="planned",EDATE('Rate Log'!$C$145,N(INDEX(sc_shift,4))),'Rate Log'!$C$145))</f>
        <v/>
      </c>
      <c r="AF3944" s="74" t="str">
        <f t="shared" si="1487"/>
        <v/>
      </c>
      <c r="AG3944" s="72">
        <f>IF(N(INDEX(sc_ach,4))=0,IF('Rate Log'!$G$145="",1,'Rate Log'!$G$145),INDEX(sc_ach,4))</f>
        <v>1</v>
      </c>
      <c r="AH3944" s="72">
        <f>IF('Rate Log'!$C$145="",0,IF('Rate Log'!$E$145="planned",('Rate Log'!$D$145+N(INDEX(sc_dpts,4)))*$AG3944,'Rate Log'!$D$145))</f>
        <v>0</v>
      </c>
      <c r="AI3944" s="73">
        <f>IF('Rate Log'!$C$145="",0,IF(1+$AH3944&gt;0,LN(1+$AH3944),0))</f>
        <v>0</v>
      </c>
      <c r="AJ3944" s="75">
        <f t="shared" si="1488"/>
        <v>0</v>
      </c>
      <c r="AK3944" s="75">
        <f>IF($AE3944="",0,COUNTIFS(rl_key,'Rate Log'!$J$145,$AF$3806:$AF$4045,$AF3944,$AE$3806:$AE$4045,"&lt;"&amp;$AE3944))</f>
        <v>0</v>
      </c>
      <c r="AL3944" s="75">
        <f>IF($AE3944="",0,COUNTIFS('Rate Log'!$J$7:$J$145,'Rate Log'!$J$145,$AF$3806:$AF3944,$AF3944,$AE$3806:$AE3944,$AE3944))</f>
        <v>0</v>
      </c>
      <c r="AM3944" s="75">
        <f t="shared" si="1489"/>
        <v>0</v>
      </c>
    </row>
    <row r="3945" spans="1:39" x14ac:dyDescent="0.3">
      <c r="A3945" s="74" t="str">
        <f>IF('Rate Log'!$C$146="","",IF('Rate Log'!$E$146="planned",EDATE('Rate Log'!$C$146,N(INDEX(sc_shift,1))),'Rate Log'!$C$146))</f>
        <v/>
      </c>
      <c r="B3945" s="74" t="str">
        <f t="shared" si="1478"/>
        <v/>
      </c>
      <c r="C3945" s="72">
        <f>IF(N(INDEX(sc_ach,1))=0,IF('Rate Log'!$G$146="",1,'Rate Log'!$G$146),INDEX(sc_ach,1))</f>
        <v>1</v>
      </c>
      <c r="D3945" s="72">
        <f>IF('Rate Log'!$C$146="",0,IF('Rate Log'!$E$146="planned",('Rate Log'!$D$146+N(INDEX(sc_dpts,1)))*$C3945,'Rate Log'!$D$146))</f>
        <v>0</v>
      </c>
      <c r="E3945" s="73">
        <f>IF('Rate Log'!$C$146="",0,IF(1+$D3945&gt;0,LN(1+$D3945),0))</f>
        <v>0</v>
      </c>
      <c r="F3945" s="75">
        <f t="shared" si="1479"/>
        <v>0</v>
      </c>
      <c r="G3945" s="75">
        <f>IF($A3945="",0,COUNTIFS(rl_key,'Rate Log'!$J$146,$B$3806:$B$4045,$B3945,$A$3806:$A$4045,"&lt;"&amp;$A3945))</f>
        <v>0</v>
      </c>
      <c r="H3945" s="75">
        <f>IF($A3945="",0,COUNTIFS('Rate Log'!$J$7:$J$146,'Rate Log'!$J$146,$B$3806:$B3945,$B3945,$A$3806:$A3945,$A3945))</f>
        <v>0</v>
      </c>
      <c r="I3945" s="75">
        <f t="shared" si="1480"/>
        <v>0</v>
      </c>
      <c r="K3945" s="74" t="str">
        <f>IF('Rate Log'!$C$146="","",IF('Rate Log'!$E$146="planned",EDATE('Rate Log'!$C$146,N(INDEX(sc_shift,2))),'Rate Log'!$C$146))</f>
        <v/>
      </c>
      <c r="L3945" s="74" t="str">
        <f t="shared" si="1481"/>
        <v/>
      </c>
      <c r="M3945" s="72">
        <f>IF(N(INDEX(sc_ach,2))=0,IF('Rate Log'!$G$146="",1,'Rate Log'!$G$146),INDEX(sc_ach,2))</f>
        <v>1</v>
      </c>
      <c r="N3945" s="72">
        <f>IF('Rate Log'!$C$146="",0,IF('Rate Log'!$E$146="planned",('Rate Log'!$D$146+N(INDEX(sc_dpts,2)))*$M3945,'Rate Log'!$D$146))</f>
        <v>0</v>
      </c>
      <c r="O3945" s="73">
        <f>IF('Rate Log'!$C$146="",0,IF(1+$N3945&gt;0,LN(1+$N3945),0))</f>
        <v>0</v>
      </c>
      <c r="P3945" s="75">
        <f t="shared" si="1482"/>
        <v>0</v>
      </c>
      <c r="Q3945" s="75">
        <f>IF($K3945="",0,COUNTIFS(rl_key,'Rate Log'!$J$146,$L$3806:$L$4045,$L3945,$K$3806:$K$4045,"&lt;"&amp;$K3945))</f>
        <v>0</v>
      </c>
      <c r="R3945" s="75">
        <f>IF($K3945="",0,COUNTIFS('Rate Log'!$J$7:$J$146,'Rate Log'!$J$146,$L$3806:$L3945,$L3945,$K$3806:$K3945,$K3945))</f>
        <v>0</v>
      </c>
      <c r="S3945" s="75">
        <f t="shared" si="1483"/>
        <v>0</v>
      </c>
      <c r="U3945" s="74" t="str">
        <f>IF('Rate Log'!$C$146="","",IF('Rate Log'!$E$146="planned",EDATE('Rate Log'!$C$146,N(INDEX(sc_shift,3))),'Rate Log'!$C$146))</f>
        <v/>
      </c>
      <c r="V3945" s="74" t="str">
        <f t="shared" si="1484"/>
        <v/>
      </c>
      <c r="W3945" s="72">
        <f>IF(N(INDEX(sc_ach,3))=0,IF('Rate Log'!$G$146="",1,'Rate Log'!$G$146),INDEX(sc_ach,3))</f>
        <v>1</v>
      </c>
      <c r="X3945" s="72">
        <f>IF('Rate Log'!$C$146="",0,IF('Rate Log'!$E$146="planned",('Rate Log'!$D$146+N(INDEX(sc_dpts,3)))*$W3945,'Rate Log'!$D$146))</f>
        <v>0</v>
      </c>
      <c r="Y3945" s="73">
        <f>IF('Rate Log'!$C$146="",0,IF(1+$X3945&gt;0,LN(1+$X3945),0))</f>
        <v>0</v>
      </c>
      <c r="Z3945" s="75">
        <f t="shared" si="1485"/>
        <v>0</v>
      </c>
      <c r="AA3945" s="75">
        <f>IF($U3945="",0,COUNTIFS(rl_key,'Rate Log'!$J$146,$V$3806:$V$4045,$V3945,$U$3806:$U$4045,"&lt;"&amp;$U3945))</f>
        <v>0</v>
      </c>
      <c r="AB3945" s="75">
        <f>IF($U3945="",0,COUNTIFS('Rate Log'!$J$7:$J$146,'Rate Log'!$J$146,$V$3806:$V3945,$V3945,$U$3806:$U3945,$U3945))</f>
        <v>0</v>
      </c>
      <c r="AC3945" s="75">
        <f t="shared" si="1486"/>
        <v>0</v>
      </c>
      <c r="AE3945" s="74" t="str">
        <f>IF('Rate Log'!$C$146="","",IF('Rate Log'!$E$146="planned",EDATE('Rate Log'!$C$146,N(INDEX(sc_shift,4))),'Rate Log'!$C$146))</f>
        <v/>
      </c>
      <c r="AF3945" s="74" t="str">
        <f t="shared" si="1487"/>
        <v/>
      </c>
      <c r="AG3945" s="72">
        <f>IF(N(INDEX(sc_ach,4))=0,IF('Rate Log'!$G$146="",1,'Rate Log'!$G$146),INDEX(sc_ach,4))</f>
        <v>1</v>
      </c>
      <c r="AH3945" s="72">
        <f>IF('Rate Log'!$C$146="",0,IF('Rate Log'!$E$146="planned",('Rate Log'!$D$146+N(INDEX(sc_dpts,4)))*$AG3945,'Rate Log'!$D$146))</f>
        <v>0</v>
      </c>
      <c r="AI3945" s="73">
        <f>IF('Rate Log'!$C$146="",0,IF(1+$AH3945&gt;0,LN(1+$AH3945),0))</f>
        <v>0</v>
      </c>
      <c r="AJ3945" s="75">
        <f t="shared" si="1488"/>
        <v>0</v>
      </c>
      <c r="AK3945" s="75">
        <f>IF($AE3945="",0,COUNTIFS(rl_key,'Rate Log'!$J$146,$AF$3806:$AF$4045,$AF3945,$AE$3806:$AE$4045,"&lt;"&amp;$AE3945))</f>
        <v>0</v>
      </c>
      <c r="AL3945" s="75">
        <f>IF($AE3945="",0,COUNTIFS('Rate Log'!$J$7:$J$146,'Rate Log'!$J$146,$AF$3806:$AF3945,$AF3945,$AE$3806:$AE3945,$AE3945))</f>
        <v>0</v>
      </c>
      <c r="AM3945" s="75">
        <f t="shared" si="1489"/>
        <v>0</v>
      </c>
    </row>
    <row r="3946" spans="1:39" x14ac:dyDescent="0.3">
      <c r="A3946" s="74" t="str">
        <f>IF('Rate Log'!$C$147="","",IF('Rate Log'!$E$147="planned",EDATE('Rate Log'!$C$147,N(INDEX(sc_shift,1))),'Rate Log'!$C$147))</f>
        <v/>
      </c>
      <c r="B3946" s="74" t="str">
        <f t="shared" si="1478"/>
        <v/>
      </c>
      <c r="C3946" s="72">
        <f>IF(N(INDEX(sc_ach,1))=0,IF('Rate Log'!$G$147="",1,'Rate Log'!$G$147),INDEX(sc_ach,1))</f>
        <v>1</v>
      </c>
      <c r="D3946" s="72">
        <f>IF('Rate Log'!$C$147="",0,IF('Rate Log'!$E$147="planned",('Rate Log'!$D$147+N(INDEX(sc_dpts,1)))*$C3946,'Rate Log'!$D$147))</f>
        <v>0</v>
      </c>
      <c r="E3946" s="73">
        <f>IF('Rate Log'!$C$147="",0,IF(1+$D3946&gt;0,LN(1+$D3946),0))</f>
        <v>0</v>
      </c>
      <c r="F3946" s="75">
        <f t="shared" si="1479"/>
        <v>0</v>
      </c>
      <c r="G3946" s="75">
        <f>IF($A3946="",0,COUNTIFS(rl_key,'Rate Log'!$J$147,$B$3806:$B$4045,$B3946,$A$3806:$A$4045,"&lt;"&amp;$A3946))</f>
        <v>0</v>
      </c>
      <c r="H3946" s="75">
        <f>IF($A3946="",0,COUNTIFS('Rate Log'!$J$7:$J$147,'Rate Log'!$J$147,$B$3806:$B3946,$B3946,$A$3806:$A3946,$A3946))</f>
        <v>0</v>
      </c>
      <c r="I3946" s="75">
        <f t="shared" si="1480"/>
        <v>0</v>
      </c>
      <c r="K3946" s="74" t="str">
        <f>IF('Rate Log'!$C$147="","",IF('Rate Log'!$E$147="planned",EDATE('Rate Log'!$C$147,N(INDEX(sc_shift,2))),'Rate Log'!$C$147))</f>
        <v/>
      </c>
      <c r="L3946" s="74" t="str">
        <f t="shared" si="1481"/>
        <v/>
      </c>
      <c r="M3946" s="72">
        <f>IF(N(INDEX(sc_ach,2))=0,IF('Rate Log'!$G$147="",1,'Rate Log'!$G$147),INDEX(sc_ach,2))</f>
        <v>1</v>
      </c>
      <c r="N3946" s="72">
        <f>IF('Rate Log'!$C$147="",0,IF('Rate Log'!$E$147="planned",('Rate Log'!$D$147+N(INDEX(sc_dpts,2)))*$M3946,'Rate Log'!$D$147))</f>
        <v>0</v>
      </c>
      <c r="O3946" s="73">
        <f>IF('Rate Log'!$C$147="",0,IF(1+$N3946&gt;0,LN(1+$N3946),0))</f>
        <v>0</v>
      </c>
      <c r="P3946" s="75">
        <f t="shared" si="1482"/>
        <v>0</v>
      </c>
      <c r="Q3946" s="75">
        <f>IF($K3946="",0,COUNTIFS(rl_key,'Rate Log'!$J$147,$L$3806:$L$4045,$L3946,$K$3806:$K$4045,"&lt;"&amp;$K3946))</f>
        <v>0</v>
      </c>
      <c r="R3946" s="75">
        <f>IF($K3946="",0,COUNTIFS('Rate Log'!$J$7:$J$147,'Rate Log'!$J$147,$L$3806:$L3946,$L3946,$K$3806:$K3946,$K3946))</f>
        <v>0</v>
      </c>
      <c r="S3946" s="75">
        <f t="shared" si="1483"/>
        <v>0</v>
      </c>
      <c r="U3946" s="74" t="str">
        <f>IF('Rate Log'!$C$147="","",IF('Rate Log'!$E$147="planned",EDATE('Rate Log'!$C$147,N(INDEX(sc_shift,3))),'Rate Log'!$C$147))</f>
        <v/>
      </c>
      <c r="V3946" s="74" t="str">
        <f t="shared" si="1484"/>
        <v/>
      </c>
      <c r="W3946" s="72">
        <f>IF(N(INDEX(sc_ach,3))=0,IF('Rate Log'!$G$147="",1,'Rate Log'!$G$147),INDEX(sc_ach,3))</f>
        <v>1</v>
      </c>
      <c r="X3946" s="72">
        <f>IF('Rate Log'!$C$147="",0,IF('Rate Log'!$E$147="planned",('Rate Log'!$D$147+N(INDEX(sc_dpts,3)))*$W3946,'Rate Log'!$D$147))</f>
        <v>0</v>
      </c>
      <c r="Y3946" s="73">
        <f>IF('Rate Log'!$C$147="",0,IF(1+$X3946&gt;0,LN(1+$X3946),0))</f>
        <v>0</v>
      </c>
      <c r="Z3946" s="75">
        <f t="shared" si="1485"/>
        <v>0</v>
      </c>
      <c r="AA3946" s="75">
        <f>IF($U3946="",0,COUNTIFS(rl_key,'Rate Log'!$J$147,$V$3806:$V$4045,$V3946,$U$3806:$U$4045,"&lt;"&amp;$U3946))</f>
        <v>0</v>
      </c>
      <c r="AB3946" s="75">
        <f>IF($U3946="",0,COUNTIFS('Rate Log'!$J$7:$J$147,'Rate Log'!$J$147,$V$3806:$V3946,$V3946,$U$3806:$U3946,$U3946))</f>
        <v>0</v>
      </c>
      <c r="AC3946" s="75">
        <f t="shared" si="1486"/>
        <v>0</v>
      </c>
      <c r="AE3946" s="74" t="str">
        <f>IF('Rate Log'!$C$147="","",IF('Rate Log'!$E$147="planned",EDATE('Rate Log'!$C$147,N(INDEX(sc_shift,4))),'Rate Log'!$C$147))</f>
        <v/>
      </c>
      <c r="AF3946" s="74" t="str">
        <f t="shared" si="1487"/>
        <v/>
      </c>
      <c r="AG3946" s="72">
        <f>IF(N(INDEX(sc_ach,4))=0,IF('Rate Log'!$G$147="",1,'Rate Log'!$G$147),INDEX(sc_ach,4))</f>
        <v>1</v>
      </c>
      <c r="AH3946" s="72">
        <f>IF('Rate Log'!$C$147="",0,IF('Rate Log'!$E$147="planned",('Rate Log'!$D$147+N(INDEX(sc_dpts,4)))*$AG3946,'Rate Log'!$D$147))</f>
        <v>0</v>
      </c>
      <c r="AI3946" s="73">
        <f>IF('Rate Log'!$C$147="",0,IF(1+$AH3946&gt;0,LN(1+$AH3946),0))</f>
        <v>0</v>
      </c>
      <c r="AJ3946" s="75">
        <f t="shared" si="1488"/>
        <v>0</v>
      </c>
      <c r="AK3946" s="75">
        <f>IF($AE3946="",0,COUNTIFS(rl_key,'Rate Log'!$J$147,$AF$3806:$AF$4045,$AF3946,$AE$3806:$AE$4045,"&lt;"&amp;$AE3946))</f>
        <v>0</v>
      </c>
      <c r="AL3946" s="75">
        <f>IF($AE3946="",0,COUNTIFS('Rate Log'!$J$7:$J$147,'Rate Log'!$J$147,$AF$3806:$AF3946,$AF3946,$AE$3806:$AE3946,$AE3946))</f>
        <v>0</v>
      </c>
      <c r="AM3946" s="75">
        <f t="shared" si="1489"/>
        <v>0</v>
      </c>
    </row>
    <row r="3947" spans="1:39" x14ac:dyDescent="0.3">
      <c r="A3947" s="74" t="str">
        <f>IF('Rate Log'!$C$148="","",IF('Rate Log'!$E$148="planned",EDATE('Rate Log'!$C$148,N(INDEX(sc_shift,1))),'Rate Log'!$C$148))</f>
        <v/>
      </c>
      <c r="B3947" s="74" t="str">
        <f t="shared" si="1478"/>
        <v/>
      </c>
      <c r="C3947" s="72">
        <f>IF(N(INDEX(sc_ach,1))=0,IF('Rate Log'!$G$148="",1,'Rate Log'!$G$148),INDEX(sc_ach,1))</f>
        <v>1</v>
      </c>
      <c r="D3947" s="72">
        <f>IF('Rate Log'!$C$148="",0,IF('Rate Log'!$E$148="planned",('Rate Log'!$D$148+N(INDEX(sc_dpts,1)))*$C3947,'Rate Log'!$D$148))</f>
        <v>0</v>
      </c>
      <c r="E3947" s="73">
        <f>IF('Rate Log'!$C$148="",0,IF(1+$D3947&gt;0,LN(1+$D3947),0))</f>
        <v>0</v>
      </c>
      <c r="F3947" s="75">
        <f t="shared" si="1479"/>
        <v>0</v>
      </c>
      <c r="G3947" s="75">
        <f>IF($A3947="",0,COUNTIFS(rl_key,'Rate Log'!$J$148,$B$3806:$B$4045,$B3947,$A$3806:$A$4045,"&lt;"&amp;$A3947))</f>
        <v>0</v>
      </c>
      <c r="H3947" s="75">
        <f>IF($A3947="",0,COUNTIFS('Rate Log'!$J$7:$J$148,'Rate Log'!$J$148,$B$3806:$B3947,$B3947,$A$3806:$A3947,$A3947))</f>
        <v>0</v>
      </c>
      <c r="I3947" s="75">
        <f t="shared" si="1480"/>
        <v>0</v>
      </c>
      <c r="K3947" s="74" t="str">
        <f>IF('Rate Log'!$C$148="","",IF('Rate Log'!$E$148="planned",EDATE('Rate Log'!$C$148,N(INDEX(sc_shift,2))),'Rate Log'!$C$148))</f>
        <v/>
      </c>
      <c r="L3947" s="74" t="str">
        <f t="shared" si="1481"/>
        <v/>
      </c>
      <c r="M3947" s="72">
        <f>IF(N(INDEX(sc_ach,2))=0,IF('Rate Log'!$G$148="",1,'Rate Log'!$G$148),INDEX(sc_ach,2))</f>
        <v>1</v>
      </c>
      <c r="N3947" s="72">
        <f>IF('Rate Log'!$C$148="",0,IF('Rate Log'!$E$148="planned",('Rate Log'!$D$148+N(INDEX(sc_dpts,2)))*$M3947,'Rate Log'!$D$148))</f>
        <v>0</v>
      </c>
      <c r="O3947" s="73">
        <f>IF('Rate Log'!$C$148="",0,IF(1+$N3947&gt;0,LN(1+$N3947),0))</f>
        <v>0</v>
      </c>
      <c r="P3947" s="75">
        <f t="shared" si="1482"/>
        <v>0</v>
      </c>
      <c r="Q3947" s="75">
        <f>IF($K3947="",0,COUNTIFS(rl_key,'Rate Log'!$J$148,$L$3806:$L$4045,$L3947,$K$3806:$K$4045,"&lt;"&amp;$K3947))</f>
        <v>0</v>
      </c>
      <c r="R3947" s="75">
        <f>IF($K3947="",0,COUNTIFS('Rate Log'!$J$7:$J$148,'Rate Log'!$J$148,$L$3806:$L3947,$L3947,$K$3806:$K3947,$K3947))</f>
        <v>0</v>
      </c>
      <c r="S3947" s="75">
        <f t="shared" si="1483"/>
        <v>0</v>
      </c>
      <c r="U3947" s="74" t="str">
        <f>IF('Rate Log'!$C$148="","",IF('Rate Log'!$E$148="planned",EDATE('Rate Log'!$C$148,N(INDEX(sc_shift,3))),'Rate Log'!$C$148))</f>
        <v/>
      </c>
      <c r="V3947" s="74" t="str">
        <f t="shared" si="1484"/>
        <v/>
      </c>
      <c r="W3947" s="72">
        <f>IF(N(INDEX(sc_ach,3))=0,IF('Rate Log'!$G$148="",1,'Rate Log'!$G$148),INDEX(sc_ach,3))</f>
        <v>1</v>
      </c>
      <c r="X3947" s="72">
        <f>IF('Rate Log'!$C$148="",0,IF('Rate Log'!$E$148="planned",('Rate Log'!$D$148+N(INDEX(sc_dpts,3)))*$W3947,'Rate Log'!$D$148))</f>
        <v>0</v>
      </c>
      <c r="Y3947" s="73">
        <f>IF('Rate Log'!$C$148="",0,IF(1+$X3947&gt;0,LN(1+$X3947),0))</f>
        <v>0</v>
      </c>
      <c r="Z3947" s="75">
        <f t="shared" si="1485"/>
        <v>0</v>
      </c>
      <c r="AA3947" s="75">
        <f>IF($U3947="",0,COUNTIFS(rl_key,'Rate Log'!$J$148,$V$3806:$V$4045,$V3947,$U$3806:$U$4045,"&lt;"&amp;$U3947))</f>
        <v>0</v>
      </c>
      <c r="AB3947" s="75">
        <f>IF($U3947="",0,COUNTIFS('Rate Log'!$J$7:$J$148,'Rate Log'!$J$148,$V$3806:$V3947,$V3947,$U$3806:$U3947,$U3947))</f>
        <v>0</v>
      </c>
      <c r="AC3947" s="75">
        <f t="shared" si="1486"/>
        <v>0</v>
      </c>
      <c r="AE3947" s="74" t="str">
        <f>IF('Rate Log'!$C$148="","",IF('Rate Log'!$E$148="planned",EDATE('Rate Log'!$C$148,N(INDEX(sc_shift,4))),'Rate Log'!$C$148))</f>
        <v/>
      </c>
      <c r="AF3947" s="74" t="str">
        <f t="shared" si="1487"/>
        <v/>
      </c>
      <c r="AG3947" s="72">
        <f>IF(N(INDEX(sc_ach,4))=0,IF('Rate Log'!$G$148="",1,'Rate Log'!$G$148),INDEX(sc_ach,4))</f>
        <v>1</v>
      </c>
      <c r="AH3947" s="72">
        <f>IF('Rate Log'!$C$148="",0,IF('Rate Log'!$E$148="planned",('Rate Log'!$D$148+N(INDEX(sc_dpts,4)))*$AG3947,'Rate Log'!$D$148))</f>
        <v>0</v>
      </c>
      <c r="AI3947" s="73">
        <f>IF('Rate Log'!$C$148="",0,IF(1+$AH3947&gt;0,LN(1+$AH3947),0))</f>
        <v>0</v>
      </c>
      <c r="AJ3947" s="75">
        <f t="shared" si="1488"/>
        <v>0</v>
      </c>
      <c r="AK3947" s="75">
        <f>IF($AE3947="",0,COUNTIFS(rl_key,'Rate Log'!$J$148,$AF$3806:$AF$4045,$AF3947,$AE$3806:$AE$4045,"&lt;"&amp;$AE3947))</f>
        <v>0</v>
      </c>
      <c r="AL3947" s="75">
        <f>IF($AE3947="",0,COUNTIFS('Rate Log'!$J$7:$J$148,'Rate Log'!$J$148,$AF$3806:$AF3947,$AF3947,$AE$3806:$AE3947,$AE3947))</f>
        <v>0</v>
      </c>
      <c r="AM3947" s="75">
        <f t="shared" si="1489"/>
        <v>0</v>
      </c>
    </row>
    <row r="3948" spans="1:39" x14ac:dyDescent="0.3">
      <c r="A3948" s="74" t="str">
        <f>IF('Rate Log'!$C$149="","",IF('Rate Log'!$E$149="planned",EDATE('Rate Log'!$C$149,N(INDEX(sc_shift,1))),'Rate Log'!$C$149))</f>
        <v/>
      </c>
      <c r="B3948" s="74" t="str">
        <f t="shared" si="1478"/>
        <v/>
      </c>
      <c r="C3948" s="72">
        <f>IF(N(INDEX(sc_ach,1))=0,IF('Rate Log'!$G$149="",1,'Rate Log'!$G$149),INDEX(sc_ach,1))</f>
        <v>1</v>
      </c>
      <c r="D3948" s="72">
        <f>IF('Rate Log'!$C$149="",0,IF('Rate Log'!$E$149="planned",('Rate Log'!$D$149+N(INDEX(sc_dpts,1)))*$C3948,'Rate Log'!$D$149))</f>
        <v>0</v>
      </c>
      <c r="E3948" s="73">
        <f>IF('Rate Log'!$C$149="",0,IF(1+$D3948&gt;0,LN(1+$D3948),0))</f>
        <v>0</v>
      </c>
      <c r="F3948" s="75">
        <f t="shared" si="1479"/>
        <v>0</v>
      </c>
      <c r="G3948" s="75">
        <f>IF($A3948="",0,COUNTIFS(rl_key,'Rate Log'!$J$149,$B$3806:$B$4045,$B3948,$A$3806:$A$4045,"&lt;"&amp;$A3948))</f>
        <v>0</v>
      </c>
      <c r="H3948" s="75">
        <f>IF($A3948="",0,COUNTIFS('Rate Log'!$J$7:$J$149,'Rate Log'!$J$149,$B$3806:$B3948,$B3948,$A$3806:$A3948,$A3948))</f>
        <v>0</v>
      </c>
      <c r="I3948" s="75">
        <f t="shared" si="1480"/>
        <v>0</v>
      </c>
      <c r="K3948" s="74" t="str">
        <f>IF('Rate Log'!$C$149="","",IF('Rate Log'!$E$149="planned",EDATE('Rate Log'!$C$149,N(INDEX(sc_shift,2))),'Rate Log'!$C$149))</f>
        <v/>
      </c>
      <c r="L3948" s="74" t="str">
        <f t="shared" si="1481"/>
        <v/>
      </c>
      <c r="M3948" s="72">
        <f>IF(N(INDEX(sc_ach,2))=0,IF('Rate Log'!$G$149="",1,'Rate Log'!$G$149),INDEX(sc_ach,2))</f>
        <v>1</v>
      </c>
      <c r="N3948" s="72">
        <f>IF('Rate Log'!$C$149="",0,IF('Rate Log'!$E$149="planned",('Rate Log'!$D$149+N(INDEX(sc_dpts,2)))*$M3948,'Rate Log'!$D$149))</f>
        <v>0</v>
      </c>
      <c r="O3948" s="73">
        <f>IF('Rate Log'!$C$149="",0,IF(1+$N3948&gt;0,LN(1+$N3948),0))</f>
        <v>0</v>
      </c>
      <c r="P3948" s="75">
        <f t="shared" si="1482"/>
        <v>0</v>
      </c>
      <c r="Q3948" s="75">
        <f>IF($K3948="",0,COUNTIFS(rl_key,'Rate Log'!$J$149,$L$3806:$L$4045,$L3948,$K$3806:$K$4045,"&lt;"&amp;$K3948))</f>
        <v>0</v>
      </c>
      <c r="R3948" s="75">
        <f>IF($K3948="",0,COUNTIFS('Rate Log'!$J$7:$J$149,'Rate Log'!$J$149,$L$3806:$L3948,$L3948,$K$3806:$K3948,$K3948))</f>
        <v>0</v>
      </c>
      <c r="S3948" s="75">
        <f t="shared" si="1483"/>
        <v>0</v>
      </c>
      <c r="U3948" s="74" t="str">
        <f>IF('Rate Log'!$C$149="","",IF('Rate Log'!$E$149="planned",EDATE('Rate Log'!$C$149,N(INDEX(sc_shift,3))),'Rate Log'!$C$149))</f>
        <v/>
      </c>
      <c r="V3948" s="74" t="str">
        <f t="shared" si="1484"/>
        <v/>
      </c>
      <c r="W3948" s="72">
        <f>IF(N(INDEX(sc_ach,3))=0,IF('Rate Log'!$G$149="",1,'Rate Log'!$G$149),INDEX(sc_ach,3))</f>
        <v>1</v>
      </c>
      <c r="X3948" s="72">
        <f>IF('Rate Log'!$C$149="",0,IF('Rate Log'!$E$149="planned",('Rate Log'!$D$149+N(INDEX(sc_dpts,3)))*$W3948,'Rate Log'!$D$149))</f>
        <v>0</v>
      </c>
      <c r="Y3948" s="73">
        <f>IF('Rate Log'!$C$149="",0,IF(1+$X3948&gt;0,LN(1+$X3948),0))</f>
        <v>0</v>
      </c>
      <c r="Z3948" s="75">
        <f t="shared" si="1485"/>
        <v>0</v>
      </c>
      <c r="AA3948" s="75">
        <f>IF($U3948="",0,COUNTIFS(rl_key,'Rate Log'!$J$149,$V$3806:$V$4045,$V3948,$U$3806:$U$4045,"&lt;"&amp;$U3948))</f>
        <v>0</v>
      </c>
      <c r="AB3948" s="75">
        <f>IF($U3948="",0,COUNTIFS('Rate Log'!$J$7:$J$149,'Rate Log'!$J$149,$V$3806:$V3948,$V3948,$U$3806:$U3948,$U3948))</f>
        <v>0</v>
      </c>
      <c r="AC3948" s="75">
        <f t="shared" si="1486"/>
        <v>0</v>
      </c>
      <c r="AE3948" s="74" t="str">
        <f>IF('Rate Log'!$C$149="","",IF('Rate Log'!$E$149="planned",EDATE('Rate Log'!$C$149,N(INDEX(sc_shift,4))),'Rate Log'!$C$149))</f>
        <v/>
      </c>
      <c r="AF3948" s="74" t="str">
        <f t="shared" si="1487"/>
        <v/>
      </c>
      <c r="AG3948" s="72">
        <f>IF(N(INDEX(sc_ach,4))=0,IF('Rate Log'!$G$149="",1,'Rate Log'!$G$149),INDEX(sc_ach,4))</f>
        <v>1</v>
      </c>
      <c r="AH3948" s="72">
        <f>IF('Rate Log'!$C$149="",0,IF('Rate Log'!$E$149="planned",('Rate Log'!$D$149+N(INDEX(sc_dpts,4)))*$AG3948,'Rate Log'!$D$149))</f>
        <v>0</v>
      </c>
      <c r="AI3948" s="73">
        <f>IF('Rate Log'!$C$149="",0,IF(1+$AH3948&gt;0,LN(1+$AH3948),0))</f>
        <v>0</v>
      </c>
      <c r="AJ3948" s="75">
        <f t="shared" si="1488"/>
        <v>0</v>
      </c>
      <c r="AK3948" s="75">
        <f>IF($AE3948="",0,COUNTIFS(rl_key,'Rate Log'!$J$149,$AF$3806:$AF$4045,$AF3948,$AE$3806:$AE$4045,"&lt;"&amp;$AE3948))</f>
        <v>0</v>
      </c>
      <c r="AL3948" s="75">
        <f>IF($AE3948="",0,COUNTIFS('Rate Log'!$J$7:$J$149,'Rate Log'!$J$149,$AF$3806:$AF3948,$AF3948,$AE$3806:$AE3948,$AE3948))</f>
        <v>0</v>
      </c>
      <c r="AM3948" s="75">
        <f t="shared" si="1489"/>
        <v>0</v>
      </c>
    </row>
    <row r="3949" spans="1:39" x14ac:dyDescent="0.3">
      <c r="A3949" s="74" t="str">
        <f>IF('Rate Log'!$C$150="","",IF('Rate Log'!$E$150="planned",EDATE('Rate Log'!$C$150,N(INDEX(sc_shift,1))),'Rate Log'!$C$150))</f>
        <v/>
      </c>
      <c r="B3949" s="74" t="str">
        <f t="shared" si="1478"/>
        <v/>
      </c>
      <c r="C3949" s="72">
        <f>IF(N(INDEX(sc_ach,1))=0,IF('Rate Log'!$G$150="",1,'Rate Log'!$G$150),INDEX(sc_ach,1))</f>
        <v>1</v>
      </c>
      <c r="D3949" s="72">
        <f>IF('Rate Log'!$C$150="",0,IF('Rate Log'!$E$150="planned",('Rate Log'!$D$150+N(INDEX(sc_dpts,1)))*$C3949,'Rate Log'!$D$150))</f>
        <v>0</v>
      </c>
      <c r="E3949" s="73">
        <f>IF('Rate Log'!$C$150="",0,IF(1+$D3949&gt;0,LN(1+$D3949),0))</f>
        <v>0</v>
      </c>
      <c r="F3949" s="75">
        <f t="shared" si="1479"/>
        <v>0</v>
      </c>
      <c r="G3949" s="75">
        <f>IF($A3949="",0,COUNTIFS(rl_key,'Rate Log'!$J$150,$B$3806:$B$4045,$B3949,$A$3806:$A$4045,"&lt;"&amp;$A3949))</f>
        <v>0</v>
      </c>
      <c r="H3949" s="75">
        <f>IF($A3949="",0,COUNTIFS('Rate Log'!$J$7:$J$150,'Rate Log'!$J$150,$B$3806:$B3949,$B3949,$A$3806:$A3949,$A3949))</f>
        <v>0</v>
      </c>
      <c r="I3949" s="75">
        <f t="shared" si="1480"/>
        <v>0</v>
      </c>
      <c r="K3949" s="74" t="str">
        <f>IF('Rate Log'!$C$150="","",IF('Rate Log'!$E$150="planned",EDATE('Rate Log'!$C$150,N(INDEX(sc_shift,2))),'Rate Log'!$C$150))</f>
        <v/>
      </c>
      <c r="L3949" s="74" t="str">
        <f t="shared" si="1481"/>
        <v/>
      </c>
      <c r="M3949" s="72">
        <f>IF(N(INDEX(sc_ach,2))=0,IF('Rate Log'!$G$150="",1,'Rate Log'!$G$150),INDEX(sc_ach,2))</f>
        <v>1</v>
      </c>
      <c r="N3949" s="72">
        <f>IF('Rate Log'!$C$150="",0,IF('Rate Log'!$E$150="planned",('Rate Log'!$D$150+N(INDEX(sc_dpts,2)))*$M3949,'Rate Log'!$D$150))</f>
        <v>0</v>
      </c>
      <c r="O3949" s="73">
        <f>IF('Rate Log'!$C$150="",0,IF(1+$N3949&gt;0,LN(1+$N3949),0))</f>
        <v>0</v>
      </c>
      <c r="P3949" s="75">
        <f t="shared" si="1482"/>
        <v>0</v>
      </c>
      <c r="Q3949" s="75">
        <f>IF($K3949="",0,COUNTIFS(rl_key,'Rate Log'!$J$150,$L$3806:$L$4045,$L3949,$K$3806:$K$4045,"&lt;"&amp;$K3949))</f>
        <v>0</v>
      </c>
      <c r="R3949" s="75">
        <f>IF($K3949="",0,COUNTIFS('Rate Log'!$J$7:$J$150,'Rate Log'!$J$150,$L$3806:$L3949,$L3949,$K$3806:$K3949,$K3949))</f>
        <v>0</v>
      </c>
      <c r="S3949" s="75">
        <f t="shared" si="1483"/>
        <v>0</v>
      </c>
      <c r="U3949" s="74" t="str">
        <f>IF('Rate Log'!$C$150="","",IF('Rate Log'!$E$150="planned",EDATE('Rate Log'!$C$150,N(INDEX(sc_shift,3))),'Rate Log'!$C$150))</f>
        <v/>
      </c>
      <c r="V3949" s="74" t="str">
        <f t="shared" si="1484"/>
        <v/>
      </c>
      <c r="W3949" s="72">
        <f>IF(N(INDEX(sc_ach,3))=0,IF('Rate Log'!$G$150="",1,'Rate Log'!$G$150),INDEX(sc_ach,3))</f>
        <v>1</v>
      </c>
      <c r="X3949" s="72">
        <f>IF('Rate Log'!$C$150="",0,IF('Rate Log'!$E$150="planned",('Rate Log'!$D$150+N(INDEX(sc_dpts,3)))*$W3949,'Rate Log'!$D$150))</f>
        <v>0</v>
      </c>
      <c r="Y3949" s="73">
        <f>IF('Rate Log'!$C$150="",0,IF(1+$X3949&gt;0,LN(1+$X3949),0))</f>
        <v>0</v>
      </c>
      <c r="Z3949" s="75">
        <f t="shared" si="1485"/>
        <v>0</v>
      </c>
      <c r="AA3949" s="75">
        <f>IF($U3949="",0,COUNTIFS(rl_key,'Rate Log'!$J$150,$V$3806:$V$4045,$V3949,$U$3806:$U$4045,"&lt;"&amp;$U3949))</f>
        <v>0</v>
      </c>
      <c r="AB3949" s="75">
        <f>IF($U3949="",0,COUNTIFS('Rate Log'!$J$7:$J$150,'Rate Log'!$J$150,$V$3806:$V3949,$V3949,$U$3806:$U3949,$U3949))</f>
        <v>0</v>
      </c>
      <c r="AC3949" s="75">
        <f t="shared" si="1486"/>
        <v>0</v>
      </c>
      <c r="AE3949" s="74" t="str">
        <f>IF('Rate Log'!$C$150="","",IF('Rate Log'!$E$150="planned",EDATE('Rate Log'!$C$150,N(INDEX(sc_shift,4))),'Rate Log'!$C$150))</f>
        <v/>
      </c>
      <c r="AF3949" s="74" t="str">
        <f t="shared" si="1487"/>
        <v/>
      </c>
      <c r="AG3949" s="72">
        <f>IF(N(INDEX(sc_ach,4))=0,IF('Rate Log'!$G$150="",1,'Rate Log'!$G$150),INDEX(sc_ach,4))</f>
        <v>1</v>
      </c>
      <c r="AH3949" s="72">
        <f>IF('Rate Log'!$C$150="",0,IF('Rate Log'!$E$150="planned",('Rate Log'!$D$150+N(INDEX(sc_dpts,4)))*$AG3949,'Rate Log'!$D$150))</f>
        <v>0</v>
      </c>
      <c r="AI3949" s="73">
        <f>IF('Rate Log'!$C$150="",0,IF(1+$AH3949&gt;0,LN(1+$AH3949),0))</f>
        <v>0</v>
      </c>
      <c r="AJ3949" s="75">
        <f t="shared" si="1488"/>
        <v>0</v>
      </c>
      <c r="AK3949" s="75">
        <f>IF($AE3949="",0,COUNTIFS(rl_key,'Rate Log'!$J$150,$AF$3806:$AF$4045,$AF3949,$AE$3806:$AE$4045,"&lt;"&amp;$AE3949))</f>
        <v>0</v>
      </c>
      <c r="AL3949" s="75">
        <f>IF($AE3949="",0,COUNTIFS('Rate Log'!$J$7:$J$150,'Rate Log'!$J$150,$AF$3806:$AF3949,$AF3949,$AE$3806:$AE3949,$AE3949))</f>
        <v>0</v>
      </c>
      <c r="AM3949" s="75">
        <f t="shared" si="1489"/>
        <v>0</v>
      </c>
    </row>
    <row r="3950" spans="1:39" x14ac:dyDescent="0.3">
      <c r="A3950" s="74" t="str">
        <f>IF('Rate Log'!$C$151="","",IF('Rate Log'!$E$151="planned",EDATE('Rate Log'!$C$151,N(INDEX(sc_shift,1))),'Rate Log'!$C$151))</f>
        <v/>
      </c>
      <c r="B3950" s="74" t="str">
        <f t="shared" si="1478"/>
        <v/>
      </c>
      <c r="C3950" s="72">
        <f>IF(N(INDEX(sc_ach,1))=0,IF('Rate Log'!$G$151="",1,'Rate Log'!$G$151),INDEX(sc_ach,1))</f>
        <v>1</v>
      </c>
      <c r="D3950" s="72">
        <f>IF('Rate Log'!$C$151="",0,IF('Rate Log'!$E$151="planned",('Rate Log'!$D$151+N(INDEX(sc_dpts,1)))*$C3950,'Rate Log'!$D$151))</f>
        <v>0</v>
      </c>
      <c r="E3950" s="73">
        <f>IF('Rate Log'!$C$151="",0,IF(1+$D3950&gt;0,LN(1+$D3950),0))</f>
        <v>0</v>
      </c>
      <c r="F3950" s="75">
        <f t="shared" si="1479"/>
        <v>0</v>
      </c>
      <c r="G3950" s="75">
        <f>IF($A3950="",0,COUNTIFS(rl_key,'Rate Log'!$J$151,$B$3806:$B$4045,$B3950,$A$3806:$A$4045,"&lt;"&amp;$A3950))</f>
        <v>0</v>
      </c>
      <c r="H3950" s="75">
        <f>IF($A3950="",0,COUNTIFS('Rate Log'!$J$7:$J$151,'Rate Log'!$J$151,$B$3806:$B3950,$B3950,$A$3806:$A3950,$A3950))</f>
        <v>0</v>
      </c>
      <c r="I3950" s="75">
        <f t="shared" si="1480"/>
        <v>0</v>
      </c>
      <c r="K3950" s="74" t="str">
        <f>IF('Rate Log'!$C$151="","",IF('Rate Log'!$E$151="planned",EDATE('Rate Log'!$C$151,N(INDEX(sc_shift,2))),'Rate Log'!$C$151))</f>
        <v/>
      </c>
      <c r="L3950" s="74" t="str">
        <f t="shared" si="1481"/>
        <v/>
      </c>
      <c r="M3950" s="72">
        <f>IF(N(INDEX(sc_ach,2))=0,IF('Rate Log'!$G$151="",1,'Rate Log'!$G$151),INDEX(sc_ach,2))</f>
        <v>1</v>
      </c>
      <c r="N3950" s="72">
        <f>IF('Rate Log'!$C$151="",0,IF('Rate Log'!$E$151="planned",('Rate Log'!$D$151+N(INDEX(sc_dpts,2)))*$M3950,'Rate Log'!$D$151))</f>
        <v>0</v>
      </c>
      <c r="O3950" s="73">
        <f>IF('Rate Log'!$C$151="",0,IF(1+$N3950&gt;0,LN(1+$N3950),0))</f>
        <v>0</v>
      </c>
      <c r="P3950" s="75">
        <f t="shared" si="1482"/>
        <v>0</v>
      </c>
      <c r="Q3950" s="75">
        <f>IF($K3950="",0,COUNTIFS(rl_key,'Rate Log'!$J$151,$L$3806:$L$4045,$L3950,$K$3806:$K$4045,"&lt;"&amp;$K3950))</f>
        <v>0</v>
      </c>
      <c r="R3950" s="75">
        <f>IF($K3950="",0,COUNTIFS('Rate Log'!$J$7:$J$151,'Rate Log'!$J$151,$L$3806:$L3950,$L3950,$K$3806:$K3950,$K3950))</f>
        <v>0</v>
      </c>
      <c r="S3950" s="75">
        <f t="shared" si="1483"/>
        <v>0</v>
      </c>
      <c r="U3950" s="74" t="str">
        <f>IF('Rate Log'!$C$151="","",IF('Rate Log'!$E$151="planned",EDATE('Rate Log'!$C$151,N(INDEX(sc_shift,3))),'Rate Log'!$C$151))</f>
        <v/>
      </c>
      <c r="V3950" s="74" t="str">
        <f t="shared" si="1484"/>
        <v/>
      </c>
      <c r="W3950" s="72">
        <f>IF(N(INDEX(sc_ach,3))=0,IF('Rate Log'!$G$151="",1,'Rate Log'!$G$151),INDEX(sc_ach,3))</f>
        <v>1</v>
      </c>
      <c r="X3950" s="72">
        <f>IF('Rate Log'!$C$151="",0,IF('Rate Log'!$E$151="planned",('Rate Log'!$D$151+N(INDEX(sc_dpts,3)))*$W3950,'Rate Log'!$D$151))</f>
        <v>0</v>
      </c>
      <c r="Y3950" s="73">
        <f>IF('Rate Log'!$C$151="",0,IF(1+$X3950&gt;0,LN(1+$X3950),0))</f>
        <v>0</v>
      </c>
      <c r="Z3950" s="75">
        <f t="shared" si="1485"/>
        <v>0</v>
      </c>
      <c r="AA3950" s="75">
        <f>IF($U3950="",0,COUNTIFS(rl_key,'Rate Log'!$J$151,$V$3806:$V$4045,$V3950,$U$3806:$U$4045,"&lt;"&amp;$U3950))</f>
        <v>0</v>
      </c>
      <c r="AB3950" s="75">
        <f>IF($U3950="",0,COUNTIFS('Rate Log'!$J$7:$J$151,'Rate Log'!$J$151,$V$3806:$V3950,$V3950,$U$3806:$U3950,$U3950))</f>
        <v>0</v>
      </c>
      <c r="AC3950" s="75">
        <f t="shared" si="1486"/>
        <v>0</v>
      </c>
      <c r="AE3950" s="74" t="str">
        <f>IF('Rate Log'!$C$151="","",IF('Rate Log'!$E$151="planned",EDATE('Rate Log'!$C$151,N(INDEX(sc_shift,4))),'Rate Log'!$C$151))</f>
        <v/>
      </c>
      <c r="AF3950" s="74" t="str">
        <f t="shared" si="1487"/>
        <v/>
      </c>
      <c r="AG3950" s="72">
        <f>IF(N(INDEX(sc_ach,4))=0,IF('Rate Log'!$G$151="",1,'Rate Log'!$G$151),INDEX(sc_ach,4))</f>
        <v>1</v>
      </c>
      <c r="AH3950" s="72">
        <f>IF('Rate Log'!$C$151="",0,IF('Rate Log'!$E$151="planned",('Rate Log'!$D$151+N(INDEX(sc_dpts,4)))*$AG3950,'Rate Log'!$D$151))</f>
        <v>0</v>
      </c>
      <c r="AI3950" s="73">
        <f>IF('Rate Log'!$C$151="",0,IF(1+$AH3950&gt;0,LN(1+$AH3950),0))</f>
        <v>0</v>
      </c>
      <c r="AJ3950" s="75">
        <f t="shared" si="1488"/>
        <v>0</v>
      </c>
      <c r="AK3950" s="75">
        <f>IF($AE3950="",0,COUNTIFS(rl_key,'Rate Log'!$J$151,$AF$3806:$AF$4045,$AF3950,$AE$3806:$AE$4045,"&lt;"&amp;$AE3950))</f>
        <v>0</v>
      </c>
      <c r="AL3950" s="75">
        <f>IF($AE3950="",0,COUNTIFS('Rate Log'!$J$7:$J$151,'Rate Log'!$J$151,$AF$3806:$AF3950,$AF3950,$AE$3806:$AE3950,$AE3950))</f>
        <v>0</v>
      </c>
      <c r="AM3950" s="75">
        <f t="shared" si="1489"/>
        <v>0</v>
      </c>
    </row>
    <row r="3951" spans="1:39" x14ac:dyDescent="0.3">
      <c r="A3951" s="74" t="str">
        <f>IF('Rate Log'!$C$152="","",IF('Rate Log'!$E$152="planned",EDATE('Rate Log'!$C$152,N(INDEX(sc_shift,1))),'Rate Log'!$C$152))</f>
        <v/>
      </c>
      <c r="B3951" s="74" t="str">
        <f t="shared" si="1478"/>
        <v/>
      </c>
      <c r="C3951" s="72">
        <f>IF(N(INDEX(sc_ach,1))=0,IF('Rate Log'!$G$152="",1,'Rate Log'!$G$152),INDEX(sc_ach,1))</f>
        <v>1</v>
      </c>
      <c r="D3951" s="72">
        <f>IF('Rate Log'!$C$152="",0,IF('Rate Log'!$E$152="planned",('Rate Log'!$D$152+N(INDEX(sc_dpts,1)))*$C3951,'Rate Log'!$D$152))</f>
        <v>0</v>
      </c>
      <c r="E3951" s="73">
        <f>IF('Rate Log'!$C$152="",0,IF(1+$D3951&gt;0,LN(1+$D3951),0))</f>
        <v>0</v>
      </c>
      <c r="F3951" s="75">
        <f t="shared" si="1479"/>
        <v>0</v>
      </c>
      <c r="G3951" s="75">
        <f>IF($A3951="",0,COUNTIFS(rl_key,'Rate Log'!$J$152,$B$3806:$B$4045,$B3951,$A$3806:$A$4045,"&lt;"&amp;$A3951))</f>
        <v>0</v>
      </c>
      <c r="H3951" s="75">
        <f>IF($A3951="",0,COUNTIFS('Rate Log'!$J$7:$J$152,'Rate Log'!$J$152,$B$3806:$B3951,$B3951,$A$3806:$A3951,$A3951))</f>
        <v>0</v>
      </c>
      <c r="I3951" s="75">
        <f t="shared" si="1480"/>
        <v>0</v>
      </c>
      <c r="K3951" s="74" t="str">
        <f>IF('Rate Log'!$C$152="","",IF('Rate Log'!$E$152="planned",EDATE('Rate Log'!$C$152,N(INDEX(sc_shift,2))),'Rate Log'!$C$152))</f>
        <v/>
      </c>
      <c r="L3951" s="74" t="str">
        <f t="shared" si="1481"/>
        <v/>
      </c>
      <c r="M3951" s="72">
        <f>IF(N(INDEX(sc_ach,2))=0,IF('Rate Log'!$G$152="",1,'Rate Log'!$G$152),INDEX(sc_ach,2))</f>
        <v>1</v>
      </c>
      <c r="N3951" s="72">
        <f>IF('Rate Log'!$C$152="",0,IF('Rate Log'!$E$152="planned",('Rate Log'!$D$152+N(INDEX(sc_dpts,2)))*$M3951,'Rate Log'!$D$152))</f>
        <v>0</v>
      </c>
      <c r="O3951" s="73">
        <f>IF('Rate Log'!$C$152="",0,IF(1+$N3951&gt;0,LN(1+$N3951),0))</f>
        <v>0</v>
      </c>
      <c r="P3951" s="75">
        <f t="shared" si="1482"/>
        <v>0</v>
      </c>
      <c r="Q3951" s="75">
        <f>IF($K3951="",0,COUNTIFS(rl_key,'Rate Log'!$J$152,$L$3806:$L$4045,$L3951,$K$3806:$K$4045,"&lt;"&amp;$K3951))</f>
        <v>0</v>
      </c>
      <c r="R3951" s="75">
        <f>IF($K3951="",0,COUNTIFS('Rate Log'!$J$7:$J$152,'Rate Log'!$J$152,$L$3806:$L3951,$L3951,$K$3806:$K3951,$K3951))</f>
        <v>0</v>
      </c>
      <c r="S3951" s="75">
        <f t="shared" si="1483"/>
        <v>0</v>
      </c>
      <c r="U3951" s="74" t="str">
        <f>IF('Rate Log'!$C$152="","",IF('Rate Log'!$E$152="planned",EDATE('Rate Log'!$C$152,N(INDEX(sc_shift,3))),'Rate Log'!$C$152))</f>
        <v/>
      </c>
      <c r="V3951" s="74" t="str">
        <f t="shared" si="1484"/>
        <v/>
      </c>
      <c r="W3951" s="72">
        <f>IF(N(INDEX(sc_ach,3))=0,IF('Rate Log'!$G$152="",1,'Rate Log'!$G$152),INDEX(sc_ach,3))</f>
        <v>1</v>
      </c>
      <c r="X3951" s="72">
        <f>IF('Rate Log'!$C$152="",0,IF('Rate Log'!$E$152="planned",('Rate Log'!$D$152+N(INDEX(sc_dpts,3)))*$W3951,'Rate Log'!$D$152))</f>
        <v>0</v>
      </c>
      <c r="Y3951" s="73">
        <f>IF('Rate Log'!$C$152="",0,IF(1+$X3951&gt;0,LN(1+$X3951),0))</f>
        <v>0</v>
      </c>
      <c r="Z3951" s="75">
        <f t="shared" si="1485"/>
        <v>0</v>
      </c>
      <c r="AA3951" s="75">
        <f>IF($U3951="",0,COUNTIFS(rl_key,'Rate Log'!$J$152,$V$3806:$V$4045,$V3951,$U$3806:$U$4045,"&lt;"&amp;$U3951))</f>
        <v>0</v>
      </c>
      <c r="AB3951" s="75">
        <f>IF($U3951="",0,COUNTIFS('Rate Log'!$J$7:$J$152,'Rate Log'!$J$152,$V$3806:$V3951,$V3951,$U$3806:$U3951,$U3951))</f>
        <v>0</v>
      </c>
      <c r="AC3951" s="75">
        <f t="shared" si="1486"/>
        <v>0</v>
      </c>
      <c r="AE3951" s="74" t="str">
        <f>IF('Rate Log'!$C$152="","",IF('Rate Log'!$E$152="planned",EDATE('Rate Log'!$C$152,N(INDEX(sc_shift,4))),'Rate Log'!$C$152))</f>
        <v/>
      </c>
      <c r="AF3951" s="74" t="str">
        <f t="shared" si="1487"/>
        <v/>
      </c>
      <c r="AG3951" s="72">
        <f>IF(N(INDEX(sc_ach,4))=0,IF('Rate Log'!$G$152="",1,'Rate Log'!$G$152),INDEX(sc_ach,4))</f>
        <v>1</v>
      </c>
      <c r="AH3951" s="72">
        <f>IF('Rate Log'!$C$152="",0,IF('Rate Log'!$E$152="planned",('Rate Log'!$D$152+N(INDEX(sc_dpts,4)))*$AG3951,'Rate Log'!$D$152))</f>
        <v>0</v>
      </c>
      <c r="AI3951" s="73">
        <f>IF('Rate Log'!$C$152="",0,IF(1+$AH3951&gt;0,LN(1+$AH3951),0))</f>
        <v>0</v>
      </c>
      <c r="AJ3951" s="75">
        <f t="shared" si="1488"/>
        <v>0</v>
      </c>
      <c r="AK3951" s="75">
        <f>IF($AE3951="",0,COUNTIFS(rl_key,'Rate Log'!$J$152,$AF$3806:$AF$4045,$AF3951,$AE$3806:$AE$4045,"&lt;"&amp;$AE3951))</f>
        <v>0</v>
      </c>
      <c r="AL3951" s="75">
        <f>IF($AE3951="",0,COUNTIFS('Rate Log'!$J$7:$J$152,'Rate Log'!$J$152,$AF$3806:$AF3951,$AF3951,$AE$3806:$AE3951,$AE3951))</f>
        <v>0</v>
      </c>
      <c r="AM3951" s="75">
        <f t="shared" si="1489"/>
        <v>0</v>
      </c>
    </row>
    <row r="3952" spans="1:39" x14ac:dyDescent="0.3">
      <c r="A3952" s="74" t="str">
        <f>IF('Rate Log'!$C$153="","",IF('Rate Log'!$E$153="planned",EDATE('Rate Log'!$C$153,N(INDEX(sc_shift,1))),'Rate Log'!$C$153))</f>
        <v/>
      </c>
      <c r="B3952" s="74" t="str">
        <f t="shared" si="1478"/>
        <v/>
      </c>
      <c r="C3952" s="72">
        <f>IF(N(INDEX(sc_ach,1))=0,IF('Rate Log'!$G$153="",1,'Rate Log'!$G$153),INDEX(sc_ach,1))</f>
        <v>1</v>
      </c>
      <c r="D3952" s="72">
        <f>IF('Rate Log'!$C$153="",0,IF('Rate Log'!$E$153="planned",('Rate Log'!$D$153+N(INDEX(sc_dpts,1)))*$C3952,'Rate Log'!$D$153))</f>
        <v>0</v>
      </c>
      <c r="E3952" s="73">
        <f>IF('Rate Log'!$C$153="",0,IF(1+$D3952&gt;0,LN(1+$D3952),0))</f>
        <v>0</v>
      </c>
      <c r="F3952" s="75">
        <f t="shared" si="1479"/>
        <v>0</v>
      </c>
      <c r="G3952" s="75">
        <f>IF($A3952="",0,COUNTIFS(rl_key,'Rate Log'!$J$153,$B$3806:$B$4045,$B3952,$A$3806:$A$4045,"&lt;"&amp;$A3952))</f>
        <v>0</v>
      </c>
      <c r="H3952" s="75">
        <f>IF($A3952="",0,COUNTIFS('Rate Log'!$J$7:$J$153,'Rate Log'!$J$153,$B$3806:$B3952,$B3952,$A$3806:$A3952,$A3952))</f>
        <v>0</v>
      </c>
      <c r="I3952" s="75">
        <f t="shared" si="1480"/>
        <v>0</v>
      </c>
      <c r="K3952" s="74" t="str">
        <f>IF('Rate Log'!$C$153="","",IF('Rate Log'!$E$153="planned",EDATE('Rate Log'!$C$153,N(INDEX(sc_shift,2))),'Rate Log'!$C$153))</f>
        <v/>
      </c>
      <c r="L3952" s="74" t="str">
        <f t="shared" si="1481"/>
        <v/>
      </c>
      <c r="M3952" s="72">
        <f>IF(N(INDEX(sc_ach,2))=0,IF('Rate Log'!$G$153="",1,'Rate Log'!$G$153),INDEX(sc_ach,2))</f>
        <v>1</v>
      </c>
      <c r="N3952" s="72">
        <f>IF('Rate Log'!$C$153="",0,IF('Rate Log'!$E$153="planned",('Rate Log'!$D$153+N(INDEX(sc_dpts,2)))*$M3952,'Rate Log'!$D$153))</f>
        <v>0</v>
      </c>
      <c r="O3952" s="73">
        <f>IF('Rate Log'!$C$153="",0,IF(1+$N3952&gt;0,LN(1+$N3952),0))</f>
        <v>0</v>
      </c>
      <c r="P3952" s="75">
        <f t="shared" si="1482"/>
        <v>0</v>
      </c>
      <c r="Q3952" s="75">
        <f>IF($K3952="",0,COUNTIFS(rl_key,'Rate Log'!$J$153,$L$3806:$L$4045,$L3952,$K$3806:$K$4045,"&lt;"&amp;$K3952))</f>
        <v>0</v>
      </c>
      <c r="R3952" s="75">
        <f>IF($K3952="",0,COUNTIFS('Rate Log'!$J$7:$J$153,'Rate Log'!$J$153,$L$3806:$L3952,$L3952,$K$3806:$K3952,$K3952))</f>
        <v>0</v>
      </c>
      <c r="S3952" s="75">
        <f t="shared" si="1483"/>
        <v>0</v>
      </c>
      <c r="U3952" s="74" t="str">
        <f>IF('Rate Log'!$C$153="","",IF('Rate Log'!$E$153="planned",EDATE('Rate Log'!$C$153,N(INDEX(sc_shift,3))),'Rate Log'!$C$153))</f>
        <v/>
      </c>
      <c r="V3952" s="74" t="str">
        <f t="shared" si="1484"/>
        <v/>
      </c>
      <c r="W3952" s="72">
        <f>IF(N(INDEX(sc_ach,3))=0,IF('Rate Log'!$G$153="",1,'Rate Log'!$G$153),INDEX(sc_ach,3))</f>
        <v>1</v>
      </c>
      <c r="X3952" s="72">
        <f>IF('Rate Log'!$C$153="",0,IF('Rate Log'!$E$153="planned",('Rate Log'!$D$153+N(INDEX(sc_dpts,3)))*$W3952,'Rate Log'!$D$153))</f>
        <v>0</v>
      </c>
      <c r="Y3952" s="73">
        <f>IF('Rate Log'!$C$153="",0,IF(1+$X3952&gt;0,LN(1+$X3952),0))</f>
        <v>0</v>
      </c>
      <c r="Z3952" s="75">
        <f t="shared" si="1485"/>
        <v>0</v>
      </c>
      <c r="AA3952" s="75">
        <f>IF($U3952="",0,COUNTIFS(rl_key,'Rate Log'!$J$153,$V$3806:$V$4045,$V3952,$U$3806:$U$4045,"&lt;"&amp;$U3952))</f>
        <v>0</v>
      </c>
      <c r="AB3952" s="75">
        <f>IF($U3952="",0,COUNTIFS('Rate Log'!$J$7:$J$153,'Rate Log'!$J$153,$V$3806:$V3952,$V3952,$U$3806:$U3952,$U3952))</f>
        <v>0</v>
      </c>
      <c r="AC3952" s="75">
        <f t="shared" si="1486"/>
        <v>0</v>
      </c>
      <c r="AE3952" s="74" t="str">
        <f>IF('Rate Log'!$C$153="","",IF('Rate Log'!$E$153="planned",EDATE('Rate Log'!$C$153,N(INDEX(sc_shift,4))),'Rate Log'!$C$153))</f>
        <v/>
      </c>
      <c r="AF3952" s="74" t="str">
        <f t="shared" si="1487"/>
        <v/>
      </c>
      <c r="AG3952" s="72">
        <f>IF(N(INDEX(sc_ach,4))=0,IF('Rate Log'!$G$153="",1,'Rate Log'!$G$153),INDEX(sc_ach,4))</f>
        <v>1</v>
      </c>
      <c r="AH3952" s="72">
        <f>IF('Rate Log'!$C$153="",0,IF('Rate Log'!$E$153="planned",('Rate Log'!$D$153+N(INDEX(sc_dpts,4)))*$AG3952,'Rate Log'!$D$153))</f>
        <v>0</v>
      </c>
      <c r="AI3952" s="73">
        <f>IF('Rate Log'!$C$153="",0,IF(1+$AH3952&gt;0,LN(1+$AH3952),0))</f>
        <v>0</v>
      </c>
      <c r="AJ3952" s="75">
        <f t="shared" si="1488"/>
        <v>0</v>
      </c>
      <c r="AK3952" s="75">
        <f>IF($AE3952="",0,COUNTIFS(rl_key,'Rate Log'!$J$153,$AF$3806:$AF$4045,$AF3952,$AE$3806:$AE$4045,"&lt;"&amp;$AE3952))</f>
        <v>0</v>
      </c>
      <c r="AL3952" s="75">
        <f>IF($AE3952="",0,COUNTIFS('Rate Log'!$J$7:$J$153,'Rate Log'!$J$153,$AF$3806:$AF3952,$AF3952,$AE$3806:$AE3952,$AE3952))</f>
        <v>0</v>
      </c>
      <c r="AM3952" s="75">
        <f t="shared" si="1489"/>
        <v>0</v>
      </c>
    </row>
    <row r="3953" spans="1:39" x14ac:dyDescent="0.3">
      <c r="A3953" s="74" t="str">
        <f>IF('Rate Log'!$C$154="","",IF('Rate Log'!$E$154="planned",EDATE('Rate Log'!$C$154,N(INDEX(sc_shift,1))),'Rate Log'!$C$154))</f>
        <v/>
      </c>
      <c r="B3953" s="74" t="str">
        <f t="shared" si="1478"/>
        <v/>
      </c>
      <c r="C3953" s="72">
        <f>IF(N(INDEX(sc_ach,1))=0,IF('Rate Log'!$G$154="",1,'Rate Log'!$G$154),INDEX(sc_ach,1))</f>
        <v>1</v>
      </c>
      <c r="D3953" s="72">
        <f>IF('Rate Log'!$C$154="",0,IF('Rate Log'!$E$154="planned",('Rate Log'!$D$154+N(INDEX(sc_dpts,1)))*$C3953,'Rate Log'!$D$154))</f>
        <v>0</v>
      </c>
      <c r="E3953" s="73">
        <f>IF('Rate Log'!$C$154="",0,IF(1+$D3953&gt;0,LN(1+$D3953),0))</f>
        <v>0</v>
      </c>
      <c r="F3953" s="75">
        <f t="shared" si="1479"/>
        <v>0</v>
      </c>
      <c r="G3953" s="75">
        <f>IF($A3953="",0,COUNTIFS(rl_key,'Rate Log'!$J$154,$B$3806:$B$4045,$B3953,$A$3806:$A$4045,"&lt;"&amp;$A3953))</f>
        <v>0</v>
      </c>
      <c r="H3953" s="75">
        <f>IF($A3953="",0,COUNTIFS('Rate Log'!$J$7:$J$154,'Rate Log'!$J$154,$B$3806:$B3953,$B3953,$A$3806:$A3953,$A3953))</f>
        <v>0</v>
      </c>
      <c r="I3953" s="75">
        <f t="shared" si="1480"/>
        <v>0</v>
      </c>
      <c r="K3953" s="74" t="str">
        <f>IF('Rate Log'!$C$154="","",IF('Rate Log'!$E$154="planned",EDATE('Rate Log'!$C$154,N(INDEX(sc_shift,2))),'Rate Log'!$C$154))</f>
        <v/>
      </c>
      <c r="L3953" s="74" t="str">
        <f t="shared" si="1481"/>
        <v/>
      </c>
      <c r="M3953" s="72">
        <f>IF(N(INDEX(sc_ach,2))=0,IF('Rate Log'!$G$154="",1,'Rate Log'!$G$154),INDEX(sc_ach,2))</f>
        <v>1</v>
      </c>
      <c r="N3953" s="72">
        <f>IF('Rate Log'!$C$154="",0,IF('Rate Log'!$E$154="planned",('Rate Log'!$D$154+N(INDEX(sc_dpts,2)))*$M3953,'Rate Log'!$D$154))</f>
        <v>0</v>
      </c>
      <c r="O3953" s="73">
        <f>IF('Rate Log'!$C$154="",0,IF(1+$N3953&gt;0,LN(1+$N3953),0))</f>
        <v>0</v>
      </c>
      <c r="P3953" s="75">
        <f t="shared" si="1482"/>
        <v>0</v>
      </c>
      <c r="Q3953" s="75">
        <f>IF($K3953="",0,COUNTIFS(rl_key,'Rate Log'!$J$154,$L$3806:$L$4045,$L3953,$K$3806:$K$4045,"&lt;"&amp;$K3953))</f>
        <v>0</v>
      </c>
      <c r="R3953" s="75">
        <f>IF($K3953="",0,COUNTIFS('Rate Log'!$J$7:$J$154,'Rate Log'!$J$154,$L$3806:$L3953,$L3953,$K$3806:$K3953,$K3953))</f>
        <v>0</v>
      </c>
      <c r="S3953" s="75">
        <f t="shared" si="1483"/>
        <v>0</v>
      </c>
      <c r="U3953" s="74" t="str">
        <f>IF('Rate Log'!$C$154="","",IF('Rate Log'!$E$154="planned",EDATE('Rate Log'!$C$154,N(INDEX(sc_shift,3))),'Rate Log'!$C$154))</f>
        <v/>
      </c>
      <c r="V3953" s="74" t="str">
        <f t="shared" si="1484"/>
        <v/>
      </c>
      <c r="W3953" s="72">
        <f>IF(N(INDEX(sc_ach,3))=0,IF('Rate Log'!$G$154="",1,'Rate Log'!$G$154),INDEX(sc_ach,3))</f>
        <v>1</v>
      </c>
      <c r="X3953" s="72">
        <f>IF('Rate Log'!$C$154="",0,IF('Rate Log'!$E$154="planned",('Rate Log'!$D$154+N(INDEX(sc_dpts,3)))*$W3953,'Rate Log'!$D$154))</f>
        <v>0</v>
      </c>
      <c r="Y3953" s="73">
        <f>IF('Rate Log'!$C$154="",0,IF(1+$X3953&gt;0,LN(1+$X3953),0))</f>
        <v>0</v>
      </c>
      <c r="Z3953" s="75">
        <f t="shared" si="1485"/>
        <v>0</v>
      </c>
      <c r="AA3953" s="75">
        <f>IF($U3953="",0,COUNTIFS(rl_key,'Rate Log'!$J$154,$V$3806:$V$4045,$V3953,$U$3806:$U$4045,"&lt;"&amp;$U3953))</f>
        <v>0</v>
      </c>
      <c r="AB3953" s="75">
        <f>IF($U3953="",0,COUNTIFS('Rate Log'!$J$7:$J$154,'Rate Log'!$J$154,$V$3806:$V3953,$V3953,$U$3806:$U3953,$U3953))</f>
        <v>0</v>
      </c>
      <c r="AC3953" s="75">
        <f t="shared" si="1486"/>
        <v>0</v>
      </c>
      <c r="AE3953" s="74" t="str">
        <f>IF('Rate Log'!$C$154="","",IF('Rate Log'!$E$154="planned",EDATE('Rate Log'!$C$154,N(INDEX(sc_shift,4))),'Rate Log'!$C$154))</f>
        <v/>
      </c>
      <c r="AF3953" s="74" t="str">
        <f t="shared" si="1487"/>
        <v/>
      </c>
      <c r="AG3953" s="72">
        <f>IF(N(INDEX(sc_ach,4))=0,IF('Rate Log'!$G$154="",1,'Rate Log'!$G$154),INDEX(sc_ach,4))</f>
        <v>1</v>
      </c>
      <c r="AH3953" s="72">
        <f>IF('Rate Log'!$C$154="",0,IF('Rate Log'!$E$154="planned",('Rate Log'!$D$154+N(INDEX(sc_dpts,4)))*$AG3953,'Rate Log'!$D$154))</f>
        <v>0</v>
      </c>
      <c r="AI3953" s="73">
        <f>IF('Rate Log'!$C$154="",0,IF(1+$AH3953&gt;0,LN(1+$AH3953),0))</f>
        <v>0</v>
      </c>
      <c r="AJ3953" s="75">
        <f t="shared" si="1488"/>
        <v>0</v>
      </c>
      <c r="AK3953" s="75">
        <f>IF($AE3953="",0,COUNTIFS(rl_key,'Rate Log'!$J$154,$AF$3806:$AF$4045,$AF3953,$AE$3806:$AE$4045,"&lt;"&amp;$AE3953))</f>
        <v>0</v>
      </c>
      <c r="AL3953" s="75">
        <f>IF($AE3953="",0,COUNTIFS('Rate Log'!$J$7:$J$154,'Rate Log'!$J$154,$AF$3806:$AF3953,$AF3953,$AE$3806:$AE3953,$AE3953))</f>
        <v>0</v>
      </c>
      <c r="AM3953" s="75">
        <f t="shared" si="1489"/>
        <v>0</v>
      </c>
    </row>
    <row r="3954" spans="1:39" x14ac:dyDescent="0.3">
      <c r="A3954" s="74" t="str">
        <f>IF('Rate Log'!$C$155="","",IF('Rate Log'!$E$155="planned",EDATE('Rate Log'!$C$155,N(INDEX(sc_shift,1))),'Rate Log'!$C$155))</f>
        <v/>
      </c>
      <c r="B3954" s="74" t="str">
        <f t="shared" si="1478"/>
        <v/>
      </c>
      <c r="C3954" s="72">
        <f>IF(N(INDEX(sc_ach,1))=0,IF('Rate Log'!$G$155="",1,'Rate Log'!$G$155),INDEX(sc_ach,1))</f>
        <v>1</v>
      </c>
      <c r="D3954" s="72">
        <f>IF('Rate Log'!$C$155="",0,IF('Rate Log'!$E$155="planned",('Rate Log'!$D$155+N(INDEX(sc_dpts,1)))*$C3954,'Rate Log'!$D$155))</f>
        <v>0</v>
      </c>
      <c r="E3954" s="73">
        <f>IF('Rate Log'!$C$155="",0,IF(1+$D3954&gt;0,LN(1+$D3954),0))</f>
        <v>0</v>
      </c>
      <c r="F3954" s="75">
        <f t="shared" si="1479"/>
        <v>0</v>
      </c>
      <c r="G3954" s="75">
        <f>IF($A3954="",0,COUNTIFS(rl_key,'Rate Log'!$J$155,$B$3806:$B$4045,$B3954,$A$3806:$A$4045,"&lt;"&amp;$A3954))</f>
        <v>0</v>
      </c>
      <c r="H3954" s="75">
        <f>IF($A3954="",0,COUNTIFS('Rate Log'!$J$7:$J$155,'Rate Log'!$J$155,$B$3806:$B3954,$B3954,$A$3806:$A3954,$A3954))</f>
        <v>0</v>
      </c>
      <c r="I3954" s="75">
        <f t="shared" si="1480"/>
        <v>0</v>
      </c>
      <c r="K3954" s="74" t="str">
        <f>IF('Rate Log'!$C$155="","",IF('Rate Log'!$E$155="planned",EDATE('Rate Log'!$C$155,N(INDEX(sc_shift,2))),'Rate Log'!$C$155))</f>
        <v/>
      </c>
      <c r="L3954" s="74" t="str">
        <f t="shared" si="1481"/>
        <v/>
      </c>
      <c r="M3954" s="72">
        <f>IF(N(INDEX(sc_ach,2))=0,IF('Rate Log'!$G$155="",1,'Rate Log'!$G$155),INDEX(sc_ach,2))</f>
        <v>1</v>
      </c>
      <c r="N3954" s="72">
        <f>IF('Rate Log'!$C$155="",0,IF('Rate Log'!$E$155="planned",('Rate Log'!$D$155+N(INDEX(sc_dpts,2)))*$M3954,'Rate Log'!$D$155))</f>
        <v>0</v>
      </c>
      <c r="O3954" s="73">
        <f>IF('Rate Log'!$C$155="",0,IF(1+$N3954&gt;0,LN(1+$N3954),0))</f>
        <v>0</v>
      </c>
      <c r="P3954" s="75">
        <f t="shared" si="1482"/>
        <v>0</v>
      </c>
      <c r="Q3954" s="75">
        <f>IF($K3954="",0,COUNTIFS(rl_key,'Rate Log'!$J$155,$L$3806:$L$4045,$L3954,$K$3806:$K$4045,"&lt;"&amp;$K3954))</f>
        <v>0</v>
      </c>
      <c r="R3954" s="75">
        <f>IF($K3954="",0,COUNTIFS('Rate Log'!$J$7:$J$155,'Rate Log'!$J$155,$L$3806:$L3954,$L3954,$K$3806:$K3954,$K3954))</f>
        <v>0</v>
      </c>
      <c r="S3954" s="75">
        <f t="shared" si="1483"/>
        <v>0</v>
      </c>
      <c r="U3954" s="74" t="str">
        <f>IF('Rate Log'!$C$155="","",IF('Rate Log'!$E$155="planned",EDATE('Rate Log'!$C$155,N(INDEX(sc_shift,3))),'Rate Log'!$C$155))</f>
        <v/>
      </c>
      <c r="V3954" s="74" t="str">
        <f t="shared" si="1484"/>
        <v/>
      </c>
      <c r="W3954" s="72">
        <f>IF(N(INDEX(sc_ach,3))=0,IF('Rate Log'!$G$155="",1,'Rate Log'!$G$155),INDEX(sc_ach,3))</f>
        <v>1</v>
      </c>
      <c r="X3954" s="72">
        <f>IF('Rate Log'!$C$155="",0,IF('Rate Log'!$E$155="planned",('Rate Log'!$D$155+N(INDEX(sc_dpts,3)))*$W3954,'Rate Log'!$D$155))</f>
        <v>0</v>
      </c>
      <c r="Y3954" s="73">
        <f>IF('Rate Log'!$C$155="",0,IF(1+$X3954&gt;0,LN(1+$X3954),0))</f>
        <v>0</v>
      </c>
      <c r="Z3954" s="75">
        <f t="shared" si="1485"/>
        <v>0</v>
      </c>
      <c r="AA3954" s="75">
        <f>IF($U3954="",0,COUNTIFS(rl_key,'Rate Log'!$J$155,$V$3806:$V$4045,$V3954,$U$3806:$U$4045,"&lt;"&amp;$U3954))</f>
        <v>0</v>
      </c>
      <c r="AB3954" s="75">
        <f>IF($U3954="",0,COUNTIFS('Rate Log'!$J$7:$J$155,'Rate Log'!$J$155,$V$3806:$V3954,$V3954,$U$3806:$U3954,$U3954))</f>
        <v>0</v>
      </c>
      <c r="AC3954" s="75">
        <f t="shared" si="1486"/>
        <v>0</v>
      </c>
      <c r="AE3954" s="74" t="str">
        <f>IF('Rate Log'!$C$155="","",IF('Rate Log'!$E$155="planned",EDATE('Rate Log'!$C$155,N(INDEX(sc_shift,4))),'Rate Log'!$C$155))</f>
        <v/>
      </c>
      <c r="AF3954" s="74" t="str">
        <f t="shared" si="1487"/>
        <v/>
      </c>
      <c r="AG3954" s="72">
        <f>IF(N(INDEX(sc_ach,4))=0,IF('Rate Log'!$G$155="",1,'Rate Log'!$G$155),INDEX(sc_ach,4))</f>
        <v>1</v>
      </c>
      <c r="AH3954" s="72">
        <f>IF('Rate Log'!$C$155="",0,IF('Rate Log'!$E$155="planned",('Rate Log'!$D$155+N(INDEX(sc_dpts,4)))*$AG3954,'Rate Log'!$D$155))</f>
        <v>0</v>
      </c>
      <c r="AI3954" s="73">
        <f>IF('Rate Log'!$C$155="",0,IF(1+$AH3954&gt;0,LN(1+$AH3954),0))</f>
        <v>0</v>
      </c>
      <c r="AJ3954" s="75">
        <f t="shared" si="1488"/>
        <v>0</v>
      </c>
      <c r="AK3954" s="75">
        <f>IF($AE3954="",0,COUNTIFS(rl_key,'Rate Log'!$J$155,$AF$3806:$AF$4045,$AF3954,$AE$3806:$AE$4045,"&lt;"&amp;$AE3954))</f>
        <v>0</v>
      </c>
      <c r="AL3954" s="75">
        <f>IF($AE3954="",0,COUNTIFS('Rate Log'!$J$7:$J$155,'Rate Log'!$J$155,$AF$3806:$AF3954,$AF3954,$AE$3806:$AE3954,$AE3954))</f>
        <v>0</v>
      </c>
      <c r="AM3954" s="75">
        <f t="shared" si="1489"/>
        <v>0</v>
      </c>
    </row>
    <row r="3955" spans="1:39" x14ac:dyDescent="0.3">
      <c r="A3955" s="74" t="str">
        <f>IF('Rate Log'!$C$156="","",IF('Rate Log'!$E$156="planned",EDATE('Rate Log'!$C$156,N(INDEX(sc_shift,1))),'Rate Log'!$C$156))</f>
        <v/>
      </c>
      <c r="B3955" s="74" t="str">
        <f t="shared" si="1478"/>
        <v/>
      </c>
      <c r="C3955" s="72">
        <f>IF(N(INDEX(sc_ach,1))=0,IF('Rate Log'!$G$156="",1,'Rate Log'!$G$156),INDEX(sc_ach,1))</f>
        <v>1</v>
      </c>
      <c r="D3955" s="72">
        <f>IF('Rate Log'!$C$156="",0,IF('Rate Log'!$E$156="planned",('Rate Log'!$D$156+N(INDEX(sc_dpts,1)))*$C3955,'Rate Log'!$D$156))</f>
        <v>0</v>
      </c>
      <c r="E3955" s="73">
        <f>IF('Rate Log'!$C$156="",0,IF(1+$D3955&gt;0,LN(1+$D3955),0))</f>
        <v>0</v>
      </c>
      <c r="F3955" s="75">
        <f t="shared" si="1479"/>
        <v>0</v>
      </c>
      <c r="G3955" s="75">
        <f>IF($A3955="",0,COUNTIFS(rl_key,'Rate Log'!$J$156,$B$3806:$B$4045,$B3955,$A$3806:$A$4045,"&lt;"&amp;$A3955))</f>
        <v>0</v>
      </c>
      <c r="H3955" s="75">
        <f>IF($A3955="",0,COUNTIFS('Rate Log'!$J$7:$J$156,'Rate Log'!$J$156,$B$3806:$B3955,$B3955,$A$3806:$A3955,$A3955))</f>
        <v>0</v>
      </c>
      <c r="I3955" s="75">
        <f t="shared" si="1480"/>
        <v>0</v>
      </c>
      <c r="K3955" s="74" t="str">
        <f>IF('Rate Log'!$C$156="","",IF('Rate Log'!$E$156="planned",EDATE('Rate Log'!$C$156,N(INDEX(sc_shift,2))),'Rate Log'!$C$156))</f>
        <v/>
      </c>
      <c r="L3955" s="74" t="str">
        <f t="shared" si="1481"/>
        <v/>
      </c>
      <c r="M3955" s="72">
        <f>IF(N(INDEX(sc_ach,2))=0,IF('Rate Log'!$G$156="",1,'Rate Log'!$G$156),INDEX(sc_ach,2))</f>
        <v>1</v>
      </c>
      <c r="N3955" s="72">
        <f>IF('Rate Log'!$C$156="",0,IF('Rate Log'!$E$156="planned",('Rate Log'!$D$156+N(INDEX(sc_dpts,2)))*$M3955,'Rate Log'!$D$156))</f>
        <v>0</v>
      </c>
      <c r="O3955" s="73">
        <f>IF('Rate Log'!$C$156="",0,IF(1+$N3955&gt;0,LN(1+$N3955),0))</f>
        <v>0</v>
      </c>
      <c r="P3955" s="75">
        <f t="shared" si="1482"/>
        <v>0</v>
      </c>
      <c r="Q3955" s="75">
        <f>IF($K3955="",0,COUNTIFS(rl_key,'Rate Log'!$J$156,$L$3806:$L$4045,$L3955,$K$3806:$K$4045,"&lt;"&amp;$K3955))</f>
        <v>0</v>
      </c>
      <c r="R3955" s="75">
        <f>IF($K3955="",0,COUNTIFS('Rate Log'!$J$7:$J$156,'Rate Log'!$J$156,$L$3806:$L3955,$L3955,$K$3806:$K3955,$K3955))</f>
        <v>0</v>
      </c>
      <c r="S3955" s="75">
        <f t="shared" si="1483"/>
        <v>0</v>
      </c>
      <c r="U3955" s="74" t="str">
        <f>IF('Rate Log'!$C$156="","",IF('Rate Log'!$E$156="planned",EDATE('Rate Log'!$C$156,N(INDEX(sc_shift,3))),'Rate Log'!$C$156))</f>
        <v/>
      </c>
      <c r="V3955" s="74" t="str">
        <f t="shared" si="1484"/>
        <v/>
      </c>
      <c r="W3955" s="72">
        <f>IF(N(INDEX(sc_ach,3))=0,IF('Rate Log'!$G$156="",1,'Rate Log'!$G$156),INDEX(sc_ach,3))</f>
        <v>1</v>
      </c>
      <c r="X3955" s="72">
        <f>IF('Rate Log'!$C$156="",0,IF('Rate Log'!$E$156="planned",('Rate Log'!$D$156+N(INDEX(sc_dpts,3)))*$W3955,'Rate Log'!$D$156))</f>
        <v>0</v>
      </c>
      <c r="Y3955" s="73">
        <f>IF('Rate Log'!$C$156="",0,IF(1+$X3955&gt;0,LN(1+$X3955),0))</f>
        <v>0</v>
      </c>
      <c r="Z3955" s="75">
        <f t="shared" si="1485"/>
        <v>0</v>
      </c>
      <c r="AA3955" s="75">
        <f>IF($U3955="",0,COUNTIFS(rl_key,'Rate Log'!$J$156,$V$3806:$V$4045,$V3955,$U$3806:$U$4045,"&lt;"&amp;$U3955))</f>
        <v>0</v>
      </c>
      <c r="AB3955" s="75">
        <f>IF($U3955="",0,COUNTIFS('Rate Log'!$J$7:$J$156,'Rate Log'!$J$156,$V$3806:$V3955,$V3955,$U$3806:$U3955,$U3955))</f>
        <v>0</v>
      </c>
      <c r="AC3955" s="75">
        <f t="shared" si="1486"/>
        <v>0</v>
      </c>
      <c r="AE3955" s="74" t="str">
        <f>IF('Rate Log'!$C$156="","",IF('Rate Log'!$E$156="planned",EDATE('Rate Log'!$C$156,N(INDEX(sc_shift,4))),'Rate Log'!$C$156))</f>
        <v/>
      </c>
      <c r="AF3955" s="74" t="str">
        <f t="shared" si="1487"/>
        <v/>
      </c>
      <c r="AG3955" s="72">
        <f>IF(N(INDEX(sc_ach,4))=0,IF('Rate Log'!$G$156="",1,'Rate Log'!$G$156),INDEX(sc_ach,4))</f>
        <v>1</v>
      </c>
      <c r="AH3955" s="72">
        <f>IF('Rate Log'!$C$156="",0,IF('Rate Log'!$E$156="planned",('Rate Log'!$D$156+N(INDEX(sc_dpts,4)))*$AG3955,'Rate Log'!$D$156))</f>
        <v>0</v>
      </c>
      <c r="AI3955" s="73">
        <f>IF('Rate Log'!$C$156="",0,IF(1+$AH3955&gt;0,LN(1+$AH3955),0))</f>
        <v>0</v>
      </c>
      <c r="AJ3955" s="75">
        <f t="shared" si="1488"/>
        <v>0</v>
      </c>
      <c r="AK3955" s="75">
        <f>IF($AE3955="",0,COUNTIFS(rl_key,'Rate Log'!$J$156,$AF$3806:$AF$4045,$AF3955,$AE$3806:$AE$4045,"&lt;"&amp;$AE3955))</f>
        <v>0</v>
      </c>
      <c r="AL3955" s="75">
        <f>IF($AE3955="",0,COUNTIFS('Rate Log'!$J$7:$J$156,'Rate Log'!$J$156,$AF$3806:$AF3955,$AF3955,$AE$3806:$AE3955,$AE3955))</f>
        <v>0</v>
      </c>
      <c r="AM3955" s="75">
        <f t="shared" si="1489"/>
        <v>0</v>
      </c>
    </row>
    <row r="3956" spans="1:39" x14ac:dyDescent="0.3">
      <c r="A3956" s="74" t="str">
        <f>IF('Rate Log'!$C$157="","",IF('Rate Log'!$E$157="planned",EDATE('Rate Log'!$C$157,N(INDEX(sc_shift,1))),'Rate Log'!$C$157))</f>
        <v/>
      </c>
      <c r="B3956" s="74" t="str">
        <f t="shared" si="1478"/>
        <v/>
      </c>
      <c r="C3956" s="72">
        <f>IF(N(INDEX(sc_ach,1))=0,IF('Rate Log'!$G$157="",1,'Rate Log'!$G$157),INDEX(sc_ach,1))</f>
        <v>1</v>
      </c>
      <c r="D3956" s="72">
        <f>IF('Rate Log'!$C$157="",0,IF('Rate Log'!$E$157="planned",('Rate Log'!$D$157+N(INDEX(sc_dpts,1)))*$C3956,'Rate Log'!$D$157))</f>
        <v>0</v>
      </c>
      <c r="E3956" s="73">
        <f>IF('Rate Log'!$C$157="",0,IF(1+$D3956&gt;0,LN(1+$D3956),0))</f>
        <v>0</v>
      </c>
      <c r="F3956" s="75">
        <f t="shared" si="1479"/>
        <v>0</v>
      </c>
      <c r="G3956" s="75">
        <f>IF($A3956="",0,COUNTIFS(rl_key,'Rate Log'!$J$157,$B$3806:$B$4045,$B3956,$A$3806:$A$4045,"&lt;"&amp;$A3956))</f>
        <v>0</v>
      </c>
      <c r="H3956" s="75">
        <f>IF($A3956="",0,COUNTIFS('Rate Log'!$J$7:$J$157,'Rate Log'!$J$157,$B$3806:$B3956,$B3956,$A$3806:$A3956,$A3956))</f>
        <v>0</v>
      </c>
      <c r="I3956" s="75">
        <f t="shared" si="1480"/>
        <v>0</v>
      </c>
      <c r="K3956" s="74" t="str">
        <f>IF('Rate Log'!$C$157="","",IF('Rate Log'!$E$157="planned",EDATE('Rate Log'!$C$157,N(INDEX(sc_shift,2))),'Rate Log'!$C$157))</f>
        <v/>
      </c>
      <c r="L3956" s="74" t="str">
        <f t="shared" si="1481"/>
        <v/>
      </c>
      <c r="M3956" s="72">
        <f>IF(N(INDEX(sc_ach,2))=0,IF('Rate Log'!$G$157="",1,'Rate Log'!$G$157),INDEX(sc_ach,2))</f>
        <v>1</v>
      </c>
      <c r="N3956" s="72">
        <f>IF('Rate Log'!$C$157="",0,IF('Rate Log'!$E$157="planned",('Rate Log'!$D$157+N(INDEX(sc_dpts,2)))*$M3956,'Rate Log'!$D$157))</f>
        <v>0</v>
      </c>
      <c r="O3956" s="73">
        <f>IF('Rate Log'!$C$157="",0,IF(1+$N3956&gt;0,LN(1+$N3956),0))</f>
        <v>0</v>
      </c>
      <c r="P3956" s="75">
        <f t="shared" si="1482"/>
        <v>0</v>
      </c>
      <c r="Q3956" s="75">
        <f>IF($K3956="",0,COUNTIFS(rl_key,'Rate Log'!$J$157,$L$3806:$L$4045,$L3956,$K$3806:$K$4045,"&lt;"&amp;$K3956))</f>
        <v>0</v>
      </c>
      <c r="R3956" s="75">
        <f>IF($K3956="",0,COUNTIFS('Rate Log'!$J$7:$J$157,'Rate Log'!$J$157,$L$3806:$L3956,$L3956,$K$3806:$K3956,$K3956))</f>
        <v>0</v>
      </c>
      <c r="S3956" s="75">
        <f t="shared" si="1483"/>
        <v>0</v>
      </c>
      <c r="U3956" s="74" t="str">
        <f>IF('Rate Log'!$C$157="","",IF('Rate Log'!$E$157="planned",EDATE('Rate Log'!$C$157,N(INDEX(sc_shift,3))),'Rate Log'!$C$157))</f>
        <v/>
      </c>
      <c r="V3956" s="74" t="str">
        <f t="shared" si="1484"/>
        <v/>
      </c>
      <c r="W3956" s="72">
        <f>IF(N(INDEX(sc_ach,3))=0,IF('Rate Log'!$G$157="",1,'Rate Log'!$G$157),INDEX(sc_ach,3))</f>
        <v>1</v>
      </c>
      <c r="X3956" s="72">
        <f>IF('Rate Log'!$C$157="",0,IF('Rate Log'!$E$157="planned",('Rate Log'!$D$157+N(INDEX(sc_dpts,3)))*$W3956,'Rate Log'!$D$157))</f>
        <v>0</v>
      </c>
      <c r="Y3956" s="73">
        <f>IF('Rate Log'!$C$157="",0,IF(1+$X3956&gt;0,LN(1+$X3956),0))</f>
        <v>0</v>
      </c>
      <c r="Z3956" s="75">
        <f t="shared" si="1485"/>
        <v>0</v>
      </c>
      <c r="AA3956" s="75">
        <f>IF($U3956="",0,COUNTIFS(rl_key,'Rate Log'!$J$157,$V$3806:$V$4045,$V3956,$U$3806:$U$4045,"&lt;"&amp;$U3956))</f>
        <v>0</v>
      </c>
      <c r="AB3956" s="75">
        <f>IF($U3956="",0,COUNTIFS('Rate Log'!$J$7:$J$157,'Rate Log'!$J$157,$V$3806:$V3956,$V3956,$U$3806:$U3956,$U3956))</f>
        <v>0</v>
      </c>
      <c r="AC3956" s="75">
        <f t="shared" si="1486"/>
        <v>0</v>
      </c>
      <c r="AE3956" s="74" t="str">
        <f>IF('Rate Log'!$C$157="","",IF('Rate Log'!$E$157="planned",EDATE('Rate Log'!$C$157,N(INDEX(sc_shift,4))),'Rate Log'!$C$157))</f>
        <v/>
      </c>
      <c r="AF3956" s="74" t="str">
        <f t="shared" si="1487"/>
        <v/>
      </c>
      <c r="AG3956" s="72">
        <f>IF(N(INDEX(sc_ach,4))=0,IF('Rate Log'!$G$157="",1,'Rate Log'!$G$157),INDEX(sc_ach,4))</f>
        <v>1</v>
      </c>
      <c r="AH3956" s="72">
        <f>IF('Rate Log'!$C$157="",0,IF('Rate Log'!$E$157="planned",('Rate Log'!$D$157+N(INDEX(sc_dpts,4)))*$AG3956,'Rate Log'!$D$157))</f>
        <v>0</v>
      </c>
      <c r="AI3956" s="73">
        <f>IF('Rate Log'!$C$157="",0,IF(1+$AH3956&gt;0,LN(1+$AH3956),0))</f>
        <v>0</v>
      </c>
      <c r="AJ3956" s="75">
        <f t="shared" si="1488"/>
        <v>0</v>
      </c>
      <c r="AK3956" s="75">
        <f>IF($AE3956="",0,COUNTIFS(rl_key,'Rate Log'!$J$157,$AF$3806:$AF$4045,$AF3956,$AE$3806:$AE$4045,"&lt;"&amp;$AE3956))</f>
        <v>0</v>
      </c>
      <c r="AL3956" s="75">
        <f>IF($AE3956="",0,COUNTIFS('Rate Log'!$J$7:$J$157,'Rate Log'!$J$157,$AF$3806:$AF3956,$AF3956,$AE$3806:$AE3956,$AE3956))</f>
        <v>0</v>
      </c>
      <c r="AM3956" s="75">
        <f t="shared" si="1489"/>
        <v>0</v>
      </c>
    </row>
    <row r="3957" spans="1:39" x14ac:dyDescent="0.3">
      <c r="A3957" s="74" t="str">
        <f>IF('Rate Log'!$C$158="","",IF('Rate Log'!$E$158="planned",EDATE('Rate Log'!$C$158,N(INDEX(sc_shift,1))),'Rate Log'!$C$158))</f>
        <v/>
      </c>
      <c r="B3957" s="74" t="str">
        <f t="shared" si="1478"/>
        <v/>
      </c>
      <c r="C3957" s="72">
        <f>IF(N(INDEX(sc_ach,1))=0,IF('Rate Log'!$G$158="",1,'Rate Log'!$G$158),INDEX(sc_ach,1))</f>
        <v>1</v>
      </c>
      <c r="D3957" s="72">
        <f>IF('Rate Log'!$C$158="",0,IF('Rate Log'!$E$158="planned",('Rate Log'!$D$158+N(INDEX(sc_dpts,1)))*$C3957,'Rate Log'!$D$158))</f>
        <v>0</v>
      </c>
      <c r="E3957" s="73">
        <f>IF('Rate Log'!$C$158="",0,IF(1+$D3957&gt;0,LN(1+$D3957),0))</f>
        <v>0</v>
      </c>
      <c r="F3957" s="75">
        <f t="shared" si="1479"/>
        <v>0</v>
      </c>
      <c r="G3957" s="75">
        <f>IF($A3957="",0,COUNTIFS(rl_key,'Rate Log'!$J$158,$B$3806:$B$4045,$B3957,$A$3806:$A$4045,"&lt;"&amp;$A3957))</f>
        <v>0</v>
      </c>
      <c r="H3957" s="75">
        <f>IF($A3957="",0,COUNTIFS('Rate Log'!$J$7:$J$158,'Rate Log'!$J$158,$B$3806:$B3957,$B3957,$A$3806:$A3957,$A3957))</f>
        <v>0</v>
      </c>
      <c r="I3957" s="75">
        <f t="shared" si="1480"/>
        <v>0</v>
      </c>
      <c r="K3957" s="74" t="str">
        <f>IF('Rate Log'!$C$158="","",IF('Rate Log'!$E$158="planned",EDATE('Rate Log'!$C$158,N(INDEX(sc_shift,2))),'Rate Log'!$C$158))</f>
        <v/>
      </c>
      <c r="L3957" s="74" t="str">
        <f t="shared" si="1481"/>
        <v/>
      </c>
      <c r="M3957" s="72">
        <f>IF(N(INDEX(sc_ach,2))=0,IF('Rate Log'!$G$158="",1,'Rate Log'!$G$158),INDEX(sc_ach,2))</f>
        <v>1</v>
      </c>
      <c r="N3957" s="72">
        <f>IF('Rate Log'!$C$158="",0,IF('Rate Log'!$E$158="planned",('Rate Log'!$D$158+N(INDEX(sc_dpts,2)))*$M3957,'Rate Log'!$D$158))</f>
        <v>0</v>
      </c>
      <c r="O3957" s="73">
        <f>IF('Rate Log'!$C$158="",0,IF(1+$N3957&gt;0,LN(1+$N3957),0))</f>
        <v>0</v>
      </c>
      <c r="P3957" s="75">
        <f t="shared" si="1482"/>
        <v>0</v>
      </c>
      <c r="Q3957" s="75">
        <f>IF($K3957="",0,COUNTIFS(rl_key,'Rate Log'!$J$158,$L$3806:$L$4045,$L3957,$K$3806:$K$4045,"&lt;"&amp;$K3957))</f>
        <v>0</v>
      </c>
      <c r="R3957" s="75">
        <f>IF($K3957="",0,COUNTIFS('Rate Log'!$J$7:$J$158,'Rate Log'!$J$158,$L$3806:$L3957,$L3957,$K$3806:$K3957,$K3957))</f>
        <v>0</v>
      </c>
      <c r="S3957" s="75">
        <f t="shared" si="1483"/>
        <v>0</v>
      </c>
      <c r="U3957" s="74" t="str">
        <f>IF('Rate Log'!$C$158="","",IF('Rate Log'!$E$158="planned",EDATE('Rate Log'!$C$158,N(INDEX(sc_shift,3))),'Rate Log'!$C$158))</f>
        <v/>
      </c>
      <c r="V3957" s="74" t="str">
        <f t="shared" si="1484"/>
        <v/>
      </c>
      <c r="W3957" s="72">
        <f>IF(N(INDEX(sc_ach,3))=0,IF('Rate Log'!$G$158="",1,'Rate Log'!$G$158),INDEX(sc_ach,3))</f>
        <v>1</v>
      </c>
      <c r="X3957" s="72">
        <f>IF('Rate Log'!$C$158="",0,IF('Rate Log'!$E$158="planned",('Rate Log'!$D$158+N(INDEX(sc_dpts,3)))*$W3957,'Rate Log'!$D$158))</f>
        <v>0</v>
      </c>
      <c r="Y3957" s="73">
        <f>IF('Rate Log'!$C$158="",0,IF(1+$X3957&gt;0,LN(1+$X3957),0))</f>
        <v>0</v>
      </c>
      <c r="Z3957" s="75">
        <f t="shared" si="1485"/>
        <v>0</v>
      </c>
      <c r="AA3957" s="75">
        <f>IF($U3957="",0,COUNTIFS(rl_key,'Rate Log'!$J$158,$V$3806:$V$4045,$V3957,$U$3806:$U$4045,"&lt;"&amp;$U3957))</f>
        <v>0</v>
      </c>
      <c r="AB3957" s="75">
        <f>IF($U3957="",0,COUNTIFS('Rate Log'!$J$7:$J$158,'Rate Log'!$J$158,$V$3806:$V3957,$V3957,$U$3806:$U3957,$U3957))</f>
        <v>0</v>
      </c>
      <c r="AC3957" s="75">
        <f t="shared" si="1486"/>
        <v>0</v>
      </c>
      <c r="AE3957" s="74" t="str">
        <f>IF('Rate Log'!$C$158="","",IF('Rate Log'!$E$158="planned",EDATE('Rate Log'!$C$158,N(INDEX(sc_shift,4))),'Rate Log'!$C$158))</f>
        <v/>
      </c>
      <c r="AF3957" s="74" t="str">
        <f t="shared" si="1487"/>
        <v/>
      </c>
      <c r="AG3957" s="72">
        <f>IF(N(INDEX(sc_ach,4))=0,IF('Rate Log'!$G$158="",1,'Rate Log'!$G$158),INDEX(sc_ach,4))</f>
        <v>1</v>
      </c>
      <c r="AH3957" s="72">
        <f>IF('Rate Log'!$C$158="",0,IF('Rate Log'!$E$158="planned",('Rate Log'!$D$158+N(INDEX(sc_dpts,4)))*$AG3957,'Rate Log'!$D$158))</f>
        <v>0</v>
      </c>
      <c r="AI3957" s="73">
        <f>IF('Rate Log'!$C$158="",0,IF(1+$AH3957&gt;0,LN(1+$AH3957),0))</f>
        <v>0</v>
      </c>
      <c r="AJ3957" s="75">
        <f t="shared" si="1488"/>
        <v>0</v>
      </c>
      <c r="AK3957" s="75">
        <f>IF($AE3957="",0,COUNTIFS(rl_key,'Rate Log'!$J$158,$AF$3806:$AF$4045,$AF3957,$AE$3806:$AE$4045,"&lt;"&amp;$AE3957))</f>
        <v>0</v>
      </c>
      <c r="AL3957" s="75">
        <f>IF($AE3957="",0,COUNTIFS('Rate Log'!$J$7:$J$158,'Rate Log'!$J$158,$AF$3806:$AF3957,$AF3957,$AE$3806:$AE3957,$AE3957))</f>
        <v>0</v>
      </c>
      <c r="AM3957" s="75">
        <f t="shared" si="1489"/>
        <v>0</v>
      </c>
    </row>
    <row r="3958" spans="1:39" x14ac:dyDescent="0.3">
      <c r="A3958" s="74" t="str">
        <f>IF('Rate Log'!$C$159="","",IF('Rate Log'!$E$159="planned",EDATE('Rate Log'!$C$159,N(INDEX(sc_shift,1))),'Rate Log'!$C$159))</f>
        <v/>
      </c>
      <c r="B3958" s="74" t="str">
        <f t="shared" si="1478"/>
        <v/>
      </c>
      <c r="C3958" s="72">
        <f>IF(N(INDEX(sc_ach,1))=0,IF('Rate Log'!$G$159="",1,'Rate Log'!$G$159),INDEX(sc_ach,1))</f>
        <v>1</v>
      </c>
      <c r="D3958" s="72">
        <f>IF('Rate Log'!$C$159="",0,IF('Rate Log'!$E$159="planned",('Rate Log'!$D$159+N(INDEX(sc_dpts,1)))*$C3958,'Rate Log'!$D$159))</f>
        <v>0</v>
      </c>
      <c r="E3958" s="73">
        <f>IF('Rate Log'!$C$159="",0,IF(1+$D3958&gt;0,LN(1+$D3958),0))</f>
        <v>0</v>
      </c>
      <c r="F3958" s="75">
        <f t="shared" si="1479"/>
        <v>0</v>
      </c>
      <c r="G3958" s="75">
        <f>IF($A3958="",0,COUNTIFS(rl_key,'Rate Log'!$J$159,$B$3806:$B$4045,$B3958,$A$3806:$A$4045,"&lt;"&amp;$A3958))</f>
        <v>0</v>
      </c>
      <c r="H3958" s="75">
        <f>IF($A3958="",0,COUNTIFS('Rate Log'!$J$7:$J$159,'Rate Log'!$J$159,$B$3806:$B3958,$B3958,$A$3806:$A3958,$A3958))</f>
        <v>0</v>
      </c>
      <c r="I3958" s="75">
        <f t="shared" si="1480"/>
        <v>0</v>
      </c>
      <c r="K3958" s="74" t="str">
        <f>IF('Rate Log'!$C$159="","",IF('Rate Log'!$E$159="planned",EDATE('Rate Log'!$C$159,N(INDEX(sc_shift,2))),'Rate Log'!$C$159))</f>
        <v/>
      </c>
      <c r="L3958" s="74" t="str">
        <f t="shared" si="1481"/>
        <v/>
      </c>
      <c r="M3958" s="72">
        <f>IF(N(INDEX(sc_ach,2))=0,IF('Rate Log'!$G$159="",1,'Rate Log'!$G$159),INDEX(sc_ach,2))</f>
        <v>1</v>
      </c>
      <c r="N3958" s="72">
        <f>IF('Rate Log'!$C$159="",0,IF('Rate Log'!$E$159="planned",('Rate Log'!$D$159+N(INDEX(sc_dpts,2)))*$M3958,'Rate Log'!$D$159))</f>
        <v>0</v>
      </c>
      <c r="O3958" s="73">
        <f>IF('Rate Log'!$C$159="",0,IF(1+$N3958&gt;0,LN(1+$N3958),0))</f>
        <v>0</v>
      </c>
      <c r="P3958" s="75">
        <f t="shared" si="1482"/>
        <v>0</v>
      </c>
      <c r="Q3958" s="75">
        <f>IF($K3958="",0,COUNTIFS(rl_key,'Rate Log'!$J$159,$L$3806:$L$4045,$L3958,$K$3806:$K$4045,"&lt;"&amp;$K3958))</f>
        <v>0</v>
      </c>
      <c r="R3958" s="75">
        <f>IF($K3958="",0,COUNTIFS('Rate Log'!$J$7:$J$159,'Rate Log'!$J$159,$L$3806:$L3958,$L3958,$K$3806:$K3958,$K3958))</f>
        <v>0</v>
      </c>
      <c r="S3958" s="75">
        <f t="shared" si="1483"/>
        <v>0</v>
      </c>
      <c r="U3958" s="74" t="str">
        <f>IF('Rate Log'!$C$159="","",IF('Rate Log'!$E$159="planned",EDATE('Rate Log'!$C$159,N(INDEX(sc_shift,3))),'Rate Log'!$C$159))</f>
        <v/>
      </c>
      <c r="V3958" s="74" t="str">
        <f t="shared" si="1484"/>
        <v/>
      </c>
      <c r="W3958" s="72">
        <f>IF(N(INDEX(sc_ach,3))=0,IF('Rate Log'!$G$159="",1,'Rate Log'!$G$159),INDEX(sc_ach,3))</f>
        <v>1</v>
      </c>
      <c r="X3958" s="72">
        <f>IF('Rate Log'!$C$159="",0,IF('Rate Log'!$E$159="planned",('Rate Log'!$D$159+N(INDEX(sc_dpts,3)))*$W3958,'Rate Log'!$D$159))</f>
        <v>0</v>
      </c>
      <c r="Y3958" s="73">
        <f>IF('Rate Log'!$C$159="",0,IF(1+$X3958&gt;0,LN(1+$X3958),0))</f>
        <v>0</v>
      </c>
      <c r="Z3958" s="75">
        <f t="shared" si="1485"/>
        <v>0</v>
      </c>
      <c r="AA3958" s="75">
        <f>IF($U3958="",0,COUNTIFS(rl_key,'Rate Log'!$J$159,$V$3806:$V$4045,$V3958,$U$3806:$U$4045,"&lt;"&amp;$U3958))</f>
        <v>0</v>
      </c>
      <c r="AB3958" s="75">
        <f>IF($U3958="",0,COUNTIFS('Rate Log'!$J$7:$J$159,'Rate Log'!$J$159,$V$3806:$V3958,$V3958,$U$3806:$U3958,$U3958))</f>
        <v>0</v>
      </c>
      <c r="AC3958" s="75">
        <f t="shared" si="1486"/>
        <v>0</v>
      </c>
      <c r="AE3958" s="74" t="str">
        <f>IF('Rate Log'!$C$159="","",IF('Rate Log'!$E$159="planned",EDATE('Rate Log'!$C$159,N(INDEX(sc_shift,4))),'Rate Log'!$C$159))</f>
        <v/>
      </c>
      <c r="AF3958" s="74" t="str">
        <f t="shared" si="1487"/>
        <v/>
      </c>
      <c r="AG3958" s="72">
        <f>IF(N(INDEX(sc_ach,4))=0,IF('Rate Log'!$G$159="",1,'Rate Log'!$G$159),INDEX(sc_ach,4))</f>
        <v>1</v>
      </c>
      <c r="AH3958" s="72">
        <f>IF('Rate Log'!$C$159="",0,IF('Rate Log'!$E$159="planned",('Rate Log'!$D$159+N(INDEX(sc_dpts,4)))*$AG3958,'Rate Log'!$D$159))</f>
        <v>0</v>
      </c>
      <c r="AI3958" s="73">
        <f>IF('Rate Log'!$C$159="",0,IF(1+$AH3958&gt;0,LN(1+$AH3958),0))</f>
        <v>0</v>
      </c>
      <c r="AJ3958" s="75">
        <f t="shared" si="1488"/>
        <v>0</v>
      </c>
      <c r="AK3958" s="75">
        <f>IF($AE3958="",0,COUNTIFS(rl_key,'Rate Log'!$J$159,$AF$3806:$AF$4045,$AF3958,$AE$3806:$AE$4045,"&lt;"&amp;$AE3958))</f>
        <v>0</v>
      </c>
      <c r="AL3958" s="75">
        <f>IF($AE3958="",0,COUNTIFS('Rate Log'!$J$7:$J$159,'Rate Log'!$J$159,$AF$3806:$AF3958,$AF3958,$AE$3806:$AE3958,$AE3958))</f>
        <v>0</v>
      </c>
      <c r="AM3958" s="75">
        <f t="shared" si="1489"/>
        <v>0</v>
      </c>
    </row>
    <row r="3959" spans="1:39" x14ac:dyDescent="0.3">
      <c r="A3959" s="74" t="str">
        <f>IF('Rate Log'!$C$160="","",IF('Rate Log'!$E$160="planned",EDATE('Rate Log'!$C$160,N(INDEX(sc_shift,1))),'Rate Log'!$C$160))</f>
        <v/>
      </c>
      <c r="B3959" s="74" t="str">
        <f t="shared" si="1478"/>
        <v/>
      </c>
      <c r="C3959" s="72">
        <f>IF(N(INDEX(sc_ach,1))=0,IF('Rate Log'!$G$160="",1,'Rate Log'!$G$160),INDEX(sc_ach,1))</f>
        <v>1</v>
      </c>
      <c r="D3959" s="72">
        <f>IF('Rate Log'!$C$160="",0,IF('Rate Log'!$E$160="planned",('Rate Log'!$D$160+N(INDEX(sc_dpts,1)))*$C3959,'Rate Log'!$D$160))</f>
        <v>0</v>
      </c>
      <c r="E3959" s="73">
        <f>IF('Rate Log'!$C$160="",0,IF(1+$D3959&gt;0,LN(1+$D3959),0))</f>
        <v>0</v>
      </c>
      <c r="F3959" s="75">
        <f t="shared" si="1479"/>
        <v>0</v>
      </c>
      <c r="G3959" s="75">
        <f>IF($A3959="",0,COUNTIFS(rl_key,'Rate Log'!$J$160,$B$3806:$B$4045,$B3959,$A$3806:$A$4045,"&lt;"&amp;$A3959))</f>
        <v>0</v>
      </c>
      <c r="H3959" s="75">
        <f>IF($A3959="",0,COUNTIFS('Rate Log'!$J$7:$J$160,'Rate Log'!$J$160,$B$3806:$B3959,$B3959,$A$3806:$A3959,$A3959))</f>
        <v>0</v>
      </c>
      <c r="I3959" s="75">
        <f t="shared" si="1480"/>
        <v>0</v>
      </c>
      <c r="K3959" s="74" t="str">
        <f>IF('Rate Log'!$C$160="","",IF('Rate Log'!$E$160="planned",EDATE('Rate Log'!$C$160,N(INDEX(sc_shift,2))),'Rate Log'!$C$160))</f>
        <v/>
      </c>
      <c r="L3959" s="74" t="str">
        <f t="shared" si="1481"/>
        <v/>
      </c>
      <c r="M3959" s="72">
        <f>IF(N(INDEX(sc_ach,2))=0,IF('Rate Log'!$G$160="",1,'Rate Log'!$G$160),INDEX(sc_ach,2))</f>
        <v>1</v>
      </c>
      <c r="N3959" s="72">
        <f>IF('Rate Log'!$C$160="",0,IF('Rate Log'!$E$160="planned",('Rate Log'!$D$160+N(INDEX(sc_dpts,2)))*$M3959,'Rate Log'!$D$160))</f>
        <v>0</v>
      </c>
      <c r="O3959" s="73">
        <f>IF('Rate Log'!$C$160="",0,IF(1+$N3959&gt;0,LN(1+$N3959),0))</f>
        <v>0</v>
      </c>
      <c r="P3959" s="75">
        <f t="shared" si="1482"/>
        <v>0</v>
      </c>
      <c r="Q3959" s="75">
        <f>IF($K3959="",0,COUNTIFS(rl_key,'Rate Log'!$J$160,$L$3806:$L$4045,$L3959,$K$3806:$K$4045,"&lt;"&amp;$K3959))</f>
        <v>0</v>
      </c>
      <c r="R3959" s="75">
        <f>IF($K3959="",0,COUNTIFS('Rate Log'!$J$7:$J$160,'Rate Log'!$J$160,$L$3806:$L3959,$L3959,$K$3806:$K3959,$K3959))</f>
        <v>0</v>
      </c>
      <c r="S3959" s="75">
        <f t="shared" si="1483"/>
        <v>0</v>
      </c>
      <c r="U3959" s="74" t="str">
        <f>IF('Rate Log'!$C$160="","",IF('Rate Log'!$E$160="planned",EDATE('Rate Log'!$C$160,N(INDEX(sc_shift,3))),'Rate Log'!$C$160))</f>
        <v/>
      </c>
      <c r="V3959" s="74" t="str">
        <f t="shared" si="1484"/>
        <v/>
      </c>
      <c r="W3959" s="72">
        <f>IF(N(INDEX(sc_ach,3))=0,IF('Rate Log'!$G$160="",1,'Rate Log'!$G$160),INDEX(sc_ach,3))</f>
        <v>1</v>
      </c>
      <c r="X3959" s="72">
        <f>IF('Rate Log'!$C$160="",0,IF('Rate Log'!$E$160="planned",('Rate Log'!$D$160+N(INDEX(sc_dpts,3)))*$W3959,'Rate Log'!$D$160))</f>
        <v>0</v>
      </c>
      <c r="Y3959" s="73">
        <f>IF('Rate Log'!$C$160="",0,IF(1+$X3959&gt;0,LN(1+$X3959),0))</f>
        <v>0</v>
      </c>
      <c r="Z3959" s="75">
        <f t="shared" si="1485"/>
        <v>0</v>
      </c>
      <c r="AA3959" s="75">
        <f>IF($U3959="",0,COUNTIFS(rl_key,'Rate Log'!$J$160,$V$3806:$V$4045,$V3959,$U$3806:$U$4045,"&lt;"&amp;$U3959))</f>
        <v>0</v>
      </c>
      <c r="AB3959" s="75">
        <f>IF($U3959="",0,COUNTIFS('Rate Log'!$J$7:$J$160,'Rate Log'!$J$160,$V$3806:$V3959,$V3959,$U$3806:$U3959,$U3959))</f>
        <v>0</v>
      </c>
      <c r="AC3959" s="75">
        <f t="shared" si="1486"/>
        <v>0</v>
      </c>
      <c r="AE3959" s="74" t="str">
        <f>IF('Rate Log'!$C$160="","",IF('Rate Log'!$E$160="planned",EDATE('Rate Log'!$C$160,N(INDEX(sc_shift,4))),'Rate Log'!$C$160))</f>
        <v/>
      </c>
      <c r="AF3959" s="74" t="str">
        <f t="shared" si="1487"/>
        <v/>
      </c>
      <c r="AG3959" s="72">
        <f>IF(N(INDEX(sc_ach,4))=0,IF('Rate Log'!$G$160="",1,'Rate Log'!$G$160),INDEX(sc_ach,4))</f>
        <v>1</v>
      </c>
      <c r="AH3959" s="72">
        <f>IF('Rate Log'!$C$160="",0,IF('Rate Log'!$E$160="planned",('Rate Log'!$D$160+N(INDEX(sc_dpts,4)))*$AG3959,'Rate Log'!$D$160))</f>
        <v>0</v>
      </c>
      <c r="AI3959" s="73">
        <f>IF('Rate Log'!$C$160="",0,IF(1+$AH3959&gt;0,LN(1+$AH3959),0))</f>
        <v>0</v>
      </c>
      <c r="AJ3959" s="75">
        <f t="shared" si="1488"/>
        <v>0</v>
      </c>
      <c r="AK3959" s="75">
        <f>IF($AE3959="",0,COUNTIFS(rl_key,'Rate Log'!$J$160,$AF$3806:$AF$4045,$AF3959,$AE$3806:$AE$4045,"&lt;"&amp;$AE3959))</f>
        <v>0</v>
      </c>
      <c r="AL3959" s="75">
        <f>IF($AE3959="",0,COUNTIFS('Rate Log'!$J$7:$J$160,'Rate Log'!$J$160,$AF$3806:$AF3959,$AF3959,$AE$3806:$AE3959,$AE3959))</f>
        <v>0</v>
      </c>
      <c r="AM3959" s="75">
        <f t="shared" si="1489"/>
        <v>0</v>
      </c>
    </row>
    <row r="3960" spans="1:39" x14ac:dyDescent="0.3">
      <c r="A3960" s="74" t="str">
        <f>IF('Rate Log'!$C$161="","",IF('Rate Log'!$E$161="planned",EDATE('Rate Log'!$C$161,N(INDEX(sc_shift,1))),'Rate Log'!$C$161))</f>
        <v/>
      </c>
      <c r="B3960" s="74" t="str">
        <f t="shared" si="1478"/>
        <v/>
      </c>
      <c r="C3960" s="72">
        <f>IF(N(INDEX(sc_ach,1))=0,IF('Rate Log'!$G$161="",1,'Rate Log'!$G$161),INDEX(sc_ach,1))</f>
        <v>1</v>
      </c>
      <c r="D3960" s="72">
        <f>IF('Rate Log'!$C$161="",0,IF('Rate Log'!$E$161="planned",('Rate Log'!$D$161+N(INDEX(sc_dpts,1)))*$C3960,'Rate Log'!$D$161))</f>
        <v>0</v>
      </c>
      <c r="E3960" s="73">
        <f>IF('Rate Log'!$C$161="",0,IF(1+$D3960&gt;0,LN(1+$D3960),0))</f>
        <v>0</v>
      </c>
      <c r="F3960" s="75">
        <f t="shared" si="1479"/>
        <v>0</v>
      </c>
      <c r="G3960" s="75">
        <f>IF($A3960="",0,COUNTIFS(rl_key,'Rate Log'!$J$161,$B$3806:$B$4045,$B3960,$A$3806:$A$4045,"&lt;"&amp;$A3960))</f>
        <v>0</v>
      </c>
      <c r="H3960" s="75">
        <f>IF($A3960="",0,COUNTIFS('Rate Log'!$J$7:$J$161,'Rate Log'!$J$161,$B$3806:$B3960,$B3960,$A$3806:$A3960,$A3960))</f>
        <v>0</v>
      </c>
      <c r="I3960" s="75">
        <f t="shared" si="1480"/>
        <v>0</v>
      </c>
      <c r="K3960" s="74" t="str">
        <f>IF('Rate Log'!$C$161="","",IF('Rate Log'!$E$161="planned",EDATE('Rate Log'!$C$161,N(INDEX(sc_shift,2))),'Rate Log'!$C$161))</f>
        <v/>
      </c>
      <c r="L3960" s="74" t="str">
        <f t="shared" si="1481"/>
        <v/>
      </c>
      <c r="M3960" s="72">
        <f>IF(N(INDEX(sc_ach,2))=0,IF('Rate Log'!$G$161="",1,'Rate Log'!$G$161),INDEX(sc_ach,2))</f>
        <v>1</v>
      </c>
      <c r="N3960" s="72">
        <f>IF('Rate Log'!$C$161="",0,IF('Rate Log'!$E$161="planned",('Rate Log'!$D$161+N(INDEX(sc_dpts,2)))*$M3960,'Rate Log'!$D$161))</f>
        <v>0</v>
      </c>
      <c r="O3960" s="73">
        <f>IF('Rate Log'!$C$161="",0,IF(1+$N3960&gt;0,LN(1+$N3960),0))</f>
        <v>0</v>
      </c>
      <c r="P3960" s="75">
        <f t="shared" si="1482"/>
        <v>0</v>
      </c>
      <c r="Q3960" s="75">
        <f>IF($K3960="",0,COUNTIFS(rl_key,'Rate Log'!$J$161,$L$3806:$L$4045,$L3960,$K$3806:$K$4045,"&lt;"&amp;$K3960))</f>
        <v>0</v>
      </c>
      <c r="R3960" s="75">
        <f>IF($K3960="",0,COUNTIFS('Rate Log'!$J$7:$J$161,'Rate Log'!$J$161,$L$3806:$L3960,$L3960,$K$3806:$K3960,$K3960))</f>
        <v>0</v>
      </c>
      <c r="S3960" s="75">
        <f t="shared" si="1483"/>
        <v>0</v>
      </c>
      <c r="U3960" s="74" t="str">
        <f>IF('Rate Log'!$C$161="","",IF('Rate Log'!$E$161="planned",EDATE('Rate Log'!$C$161,N(INDEX(sc_shift,3))),'Rate Log'!$C$161))</f>
        <v/>
      </c>
      <c r="V3960" s="74" t="str">
        <f t="shared" si="1484"/>
        <v/>
      </c>
      <c r="W3960" s="72">
        <f>IF(N(INDEX(sc_ach,3))=0,IF('Rate Log'!$G$161="",1,'Rate Log'!$G$161),INDEX(sc_ach,3))</f>
        <v>1</v>
      </c>
      <c r="X3960" s="72">
        <f>IF('Rate Log'!$C$161="",0,IF('Rate Log'!$E$161="planned",('Rate Log'!$D$161+N(INDEX(sc_dpts,3)))*$W3960,'Rate Log'!$D$161))</f>
        <v>0</v>
      </c>
      <c r="Y3960" s="73">
        <f>IF('Rate Log'!$C$161="",0,IF(1+$X3960&gt;0,LN(1+$X3960),0))</f>
        <v>0</v>
      </c>
      <c r="Z3960" s="75">
        <f t="shared" si="1485"/>
        <v>0</v>
      </c>
      <c r="AA3960" s="75">
        <f>IF($U3960="",0,COUNTIFS(rl_key,'Rate Log'!$J$161,$V$3806:$V$4045,$V3960,$U$3806:$U$4045,"&lt;"&amp;$U3960))</f>
        <v>0</v>
      </c>
      <c r="AB3960" s="75">
        <f>IF($U3960="",0,COUNTIFS('Rate Log'!$J$7:$J$161,'Rate Log'!$J$161,$V$3806:$V3960,$V3960,$U$3806:$U3960,$U3960))</f>
        <v>0</v>
      </c>
      <c r="AC3960" s="75">
        <f t="shared" si="1486"/>
        <v>0</v>
      </c>
      <c r="AE3960" s="74" t="str">
        <f>IF('Rate Log'!$C$161="","",IF('Rate Log'!$E$161="planned",EDATE('Rate Log'!$C$161,N(INDEX(sc_shift,4))),'Rate Log'!$C$161))</f>
        <v/>
      </c>
      <c r="AF3960" s="74" t="str">
        <f t="shared" si="1487"/>
        <v/>
      </c>
      <c r="AG3960" s="72">
        <f>IF(N(INDEX(sc_ach,4))=0,IF('Rate Log'!$G$161="",1,'Rate Log'!$G$161),INDEX(sc_ach,4))</f>
        <v>1</v>
      </c>
      <c r="AH3960" s="72">
        <f>IF('Rate Log'!$C$161="",0,IF('Rate Log'!$E$161="planned",('Rate Log'!$D$161+N(INDEX(sc_dpts,4)))*$AG3960,'Rate Log'!$D$161))</f>
        <v>0</v>
      </c>
      <c r="AI3960" s="73">
        <f>IF('Rate Log'!$C$161="",0,IF(1+$AH3960&gt;0,LN(1+$AH3960),0))</f>
        <v>0</v>
      </c>
      <c r="AJ3960" s="75">
        <f t="shared" si="1488"/>
        <v>0</v>
      </c>
      <c r="AK3960" s="75">
        <f>IF($AE3960="",0,COUNTIFS(rl_key,'Rate Log'!$J$161,$AF$3806:$AF$4045,$AF3960,$AE$3806:$AE$4045,"&lt;"&amp;$AE3960))</f>
        <v>0</v>
      </c>
      <c r="AL3960" s="75">
        <f>IF($AE3960="",0,COUNTIFS('Rate Log'!$J$7:$J$161,'Rate Log'!$J$161,$AF$3806:$AF3960,$AF3960,$AE$3806:$AE3960,$AE3960))</f>
        <v>0</v>
      </c>
      <c r="AM3960" s="75">
        <f t="shared" si="1489"/>
        <v>0</v>
      </c>
    </row>
    <row r="3961" spans="1:39" x14ac:dyDescent="0.3">
      <c r="A3961" s="74" t="str">
        <f>IF('Rate Log'!$C$162="","",IF('Rate Log'!$E$162="planned",EDATE('Rate Log'!$C$162,N(INDEX(sc_shift,1))),'Rate Log'!$C$162))</f>
        <v/>
      </c>
      <c r="B3961" s="74" t="str">
        <f t="shared" si="1478"/>
        <v/>
      </c>
      <c r="C3961" s="72">
        <f>IF(N(INDEX(sc_ach,1))=0,IF('Rate Log'!$G$162="",1,'Rate Log'!$G$162),INDEX(sc_ach,1))</f>
        <v>1</v>
      </c>
      <c r="D3961" s="72">
        <f>IF('Rate Log'!$C$162="",0,IF('Rate Log'!$E$162="planned",('Rate Log'!$D$162+N(INDEX(sc_dpts,1)))*$C3961,'Rate Log'!$D$162))</f>
        <v>0</v>
      </c>
      <c r="E3961" s="73">
        <f>IF('Rate Log'!$C$162="",0,IF(1+$D3961&gt;0,LN(1+$D3961),0))</f>
        <v>0</v>
      </c>
      <c r="F3961" s="75">
        <f t="shared" si="1479"/>
        <v>0</v>
      </c>
      <c r="G3961" s="75">
        <f>IF($A3961="",0,COUNTIFS(rl_key,'Rate Log'!$J$162,$B$3806:$B$4045,$B3961,$A$3806:$A$4045,"&lt;"&amp;$A3961))</f>
        <v>0</v>
      </c>
      <c r="H3961" s="75">
        <f>IF($A3961="",0,COUNTIFS('Rate Log'!$J$7:$J$162,'Rate Log'!$J$162,$B$3806:$B3961,$B3961,$A$3806:$A3961,$A3961))</f>
        <v>0</v>
      </c>
      <c r="I3961" s="75">
        <f t="shared" si="1480"/>
        <v>0</v>
      </c>
      <c r="K3961" s="74" t="str">
        <f>IF('Rate Log'!$C$162="","",IF('Rate Log'!$E$162="planned",EDATE('Rate Log'!$C$162,N(INDEX(sc_shift,2))),'Rate Log'!$C$162))</f>
        <v/>
      </c>
      <c r="L3961" s="74" t="str">
        <f t="shared" si="1481"/>
        <v/>
      </c>
      <c r="M3961" s="72">
        <f>IF(N(INDEX(sc_ach,2))=0,IF('Rate Log'!$G$162="",1,'Rate Log'!$G$162),INDEX(sc_ach,2))</f>
        <v>1</v>
      </c>
      <c r="N3961" s="72">
        <f>IF('Rate Log'!$C$162="",0,IF('Rate Log'!$E$162="planned",('Rate Log'!$D$162+N(INDEX(sc_dpts,2)))*$M3961,'Rate Log'!$D$162))</f>
        <v>0</v>
      </c>
      <c r="O3961" s="73">
        <f>IF('Rate Log'!$C$162="",0,IF(1+$N3961&gt;0,LN(1+$N3961),0))</f>
        <v>0</v>
      </c>
      <c r="P3961" s="75">
        <f t="shared" si="1482"/>
        <v>0</v>
      </c>
      <c r="Q3961" s="75">
        <f>IF($K3961="",0,COUNTIFS(rl_key,'Rate Log'!$J$162,$L$3806:$L$4045,$L3961,$K$3806:$K$4045,"&lt;"&amp;$K3961))</f>
        <v>0</v>
      </c>
      <c r="R3961" s="75">
        <f>IF($K3961="",0,COUNTIFS('Rate Log'!$J$7:$J$162,'Rate Log'!$J$162,$L$3806:$L3961,$L3961,$K$3806:$K3961,$K3961))</f>
        <v>0</v>
      </c>
      <c r="S3961" s="75">
        <f t="shared" si="1483"/>
        <v>0</v>
      </c>
      <c r="U3961" s="74" t="str">
        <f>IF('Rate Log'!$C$162="","",IF('Rate Log'!$E$162="planned",EDATE('Rate Log'!$C$162,N(INDEX(sc_shift,3))),'Rate Log'!$C$162))</f>
        <v/>
      </c>
      <c r="V3961" s="74" t="str">
        <f t="shared" si="1484"/>
        <v/>
      </c>
      <c r="W3961" s="72">
        <f>IF(N(INDEX(sc_ach,3))=0,IF('Rate Log'!$G$162="",1,'Rate Log'!$G$162),INDEX(sc_ach,3))</f>
        <v>1</v>
      </c>
      <c r="X3961" s="72">
        <f>IF('Rate Log'!$C$162="",0,IF('Rate Log'!$E$162="planned",('Rate Log'!$D$162+N(INDEX(sc_dpts,3)))*$W3961,'Rate Log'!$D$162))</f>
        <v>0</v>
      </c>
      <c r="Y3961" s="73">
        <f>IF('Rate Log'!$C$162="",0,IF(1+$X3961&gt;0,LN(1+$X3961),0))</f>
        <v>0</v>
      </c>
      <c r="Z3961" s="75">
        <f t="shared" si="1485"/>
        <v>0</v>
      </c>
      <c r="AA3961" s="75">
        <f>IF($U3961="",0,COUNTIFS(rl_key,'Rate Log'!$J$162,$V$3806:$V$4045,$V3961,$U$3806:$U$4045,"&lt;"&amp;$U3961))</f>
        <v>0</v>
      </c>
      <c r="AB3961" s="75">
        <f>IF($U3961="",0,COUNTIFS('Rate Log'!$J$7:$J$162,'Rate Log'!$J$162,$V$3806:$V3961,$V3961,$U$3806:$U3961,$U3961))</f>
        <v>0</v>
      </c>
      <c r="AC3961" s="75">
        <f t="shared" si="1486"/>
        <v>0</v>
      </c>
      <c r="AE3961" s="74" t="str">
        <f>IF('Rate Log'!$C$162="","",IF('Rate Log'!$E$162="planned",EDATE('Rate Log'!$C$162,N(INDEX(sc_shift,4))),'Rate Log'!$C$162))</f>
        <v/>
      </c>
      <c r="AF3961" s="74" t="str">
        <f t="shared" si="1487"/>
        <v/>
      </c>
      <c r="AG3961" s="72">
        <f>IF(N(INDEX(sc_ach,4))=0,IF('Rate Log'!$G$162="",1,'Rate Log'!$G$162),INDEX(sc_ach,4))</f>
        <v>1</v>
      </c>
      <c r="AH3961" s="72">
        <f>IF('Rate Log'!$C$162="",0,IF('Rate Log'!$E$162="planned",('Rate Log'!$D$162+N(INDEX(sc_dpts,4)))*$AG3961,'Rate Log'!$D$162))</f>
        <v>0</v>
      </c>
      <c r="AI3961" s="73">
        <f>IF('Rate Log'!$C$162="",0,IF(1+$AH3961&gt;0,LN(1+$AH3961),0))</f>
        <v>0</v>
      </c>
      <c r="AJ3961" s="75">
        <f t="shared" si="1488"/>
        <v>0</v>
      </c>
      <c r="AK3961" s="75">
        <f>IF($AE3961="",0,COUNTIFS(rl_key,'Rate Log'!$J$162,$AF$3806:$AF$4045,$AF3961,$AE$3806:$AE$4045,"&lt;"&amp;$AE3961))</f>
        <v>0</v>
      </c>
      <c r="AL3961" s="75">
        <f>IF($AE3961="",0,COUNTIFS('Rate Log'!$J$7:$J$162,'Rate Log'!$J$162,$AF$3806:$AF3961,$AF3961,$AE$3806:$AE3961,$AE3961))</f>
        <v>0</v>
      </c>
      <c r="AM3961" s="75">
        <f t="shared" si="1489"/>
        <v>0</v>
      </c>
    </row>
    <row r="3962" spans="1:39" x14ac:dyDescent="0.3">
      <c r="A3962" s="74" t="str">
        <f>IF('Rate Log'!$C$163="","",IF('Rate Log'!$E$163="planned",EDATE('Rate Log'!$C$163,N(INDEX(sc_shift,1))),'Rate Log'!$C$163))</f>
        <v/>
      </c>
      <c r="B3962" s="74" t="str">
        <f t="shared" si="1478"/>
        <v/>
      </c>
      <c r="C3962" s="72">
        <f>IF(N(INDEX(sc_ach,1))=0,IF('Rate Log'!$G$163="",1,'Rate Log'!$G$163),INDEX(sc_ach,1))</f>
        <v>1</v>
      </c>
      <c r="D3962" s="72">
        <f>IF('Rate Log'!$C$163="",0,IF('Rate Log'!$E$163="planned",('Rate Log'!$D$163+N(INDEX(sc_dpts,1)))*$C3962,'Rate Log'!$D$163))</f>
        <v>0</v>
      </c>
      <c r="E3962" s="73">
        <f>IF('Rate Log'!$C$163="",0,IF(1+$D3962&gt;0,LN(1+$D3962),0))</f>
        <v>0</v>
      </c>
      <c r="F3962" s="75">
        <f t="shared" si="1479"/>
        <v>0</v>
      </c>
      <c r="G3962" s="75">
        <f>IF($A3962="",0,COUNTIFS(rl_key,'Rate Log'!$J$163,$B$3806:$B$4045,$B3962,$A$3806:$A$4045,"&lt;"&amp;$A3962))</f>
        <v>0</v>
      </c>
      <c r="H3962" s="75">
        <f>IF($A3962="",0,COUNTIFS('Rate Log'!$J$7:$J$163,'Rate Log'!$J$163,$B$3806:$B3962,$B3962,$A$3806:$A3962,$A3962))</f>
        <v>0</v>
      </c>
      <c r="I3962" s="75">
        <f t="shared" si="1480"/>
        <v>0</v>
      </c>
      <c r="K3962" s="74" t="str">
        <f>IF('Rate Log'!$C$163="","",IF('Rate Log'!$E$163="planned",EDATE('Rate Log'!$C$163,N(INDEX(sc_shift,2))),'Rate Log'!$C$163))</f>
        <v/>
      </c>
      <c r="L3962" s="74" t="str">
        <f t="shared" si="1481"/>
        <v/>
      </c>
      <c r="M3962" s="72">
        <f>IF(N(INDEX(sc_ach,2))=0,IF('Rate Log'!$G$163="",1,'Rate Log'!$G$163),INDEX(sc_ach,2))</f>
        <v>1</v>
      </c>
      <c r="N3962" s="72">
        <f>IF('Rate Log'!$C$163="",0,IF('Rate Log'!$E$163="planned",('Rate Log'!$D$163+N(INDEX(sc_dpts,2)))*$M3962,'Rate Log'!$D$163))</f>
        <v>0</v>
      </c>
      <c r="O3962" s="73">
        <f>IF('Rate Log'!$C$163="",0,IF(1+$N3962&gt;0,LN(1+$N3962),0))</f>
        <v>0</v>
      </c>
      <c r="P3962" s="75">
        <f t="shared" si="1482"/>
        <v>0</v>
      </c>
      <c r="Q3962" s="75">
        <f>IF($K3962="",0,COUNTIFS(rl_key,'Rate Log'!$J$163,$L$3806:$L$4045,$L3962,$K$3806:$K$4045,"&lt;"&amp;$K3962))</f>
        <v>0</v>
      </c>
      <c r="R3962" s="75">
        <f>IF($K3962="",0,COUNTIFS('Rate Log'!$J$7:$J$163,'Rate Log'!$J$163,$L$3806:$L3962,$L3962,$K$3806:$K3962,$K3962))</f>
        <v>0</v>
      </c>
      <c r="S3962" s="75">
        <f t="shared" si="1483"/>
        <v>0</v>
      </c>
      <c r="U3962" s="74" t="str">
        <f>IF('Rate Log'!$C$163="","",IF('Rate Log'!$E$163="planned",EDATE('Rate Log'!$C$163,N(INDEX(sc_shift,3))),'Rate Log'!$C$163))</f>
        <v/>
      </c>
      <c r="V3962" s="74" t="str">
        <f t="shared" si="1484"/>
        <v/>
      </c>
      <c r="W3962" s="72">
        <f>IF(N(INDEX(sc_ach,3))=0,IF('Rate Log'!$G$163="",1,'Rate Log'!$G$163),INDEX(sc_ach,3))</f>
        <v>1</v>
      </c>
      <c r="X3962" s="72">
        <f>IF('Rate Log'!$C$163="",0,IF('Rate Log'!$E$163="planned",('Rate Log'!$D$163+N(INDEX(sc_dpts,3)))*$W3962,'Rate Log'!$D$163))</f>
        <v>0</v>
      </c>
      <c r="Y3962" s="73">
        <f>IF('Rate Log'!$C$163="",0,IF(1+$X3962&gt;0,LN(1+$X3962),0))</f>
        <v>0</v>
      </c>
      <c r="Z3962" s="75">
        <f t="shared" si="1485"/>
        <v>0</v>
      </c>
      <c r="AA3962" s="75">
        <f>IF($U3962="",0,COUNTIFS(rl_key,'Rate Log'!$J$163,$V$3806:$V$4045,$V3962,$U$3806:$U$4045,"&lt;"&amp;$U3962))</f>
        <v>0</v>
      </c>
      <c r="AB3962" s="75">
        <f>IF($U3962="",0,COUNTIFS('Rate Log'!$J$7:$J$163,'Rate Log'!$J$163,$V$3806:$V3962,$V3962,$U$3806:$U3962,$U3962))</f>
        <v>0</v>
      </c>
      <c r="AC3962" s="75">
        <f t="shared" si="1486"/>
        <v>0</v>
      </c>
      <c r="AE3962" s="74" t="str">
        <f>IF('Rate Log'!$C$163="","",IF('Rate Log'!$E$163="planned",EDATE('Rate Log'!$C$163,N(INDEX(sc_shift,4))),'Rate Log'!$C$163))</f>
        <v/>
      </c>
      <c r="AF3962" s="74" t="str">
        <f t="shared" si="1487"/>
        <v/>
      </c>
      <c r="AG3962" s="72">
        <f>IF(N(INDEX(sc_ach,4))=0,IF('Rate Log'!$G$163="",1,'Rate Log'!$G$163),INDEX(sc_ach,4))</f>
        <v>1</v>
      </c>
      <c r="AH3962" s="72">
        <f>IF('Rate Log'!$C$163="",0,IF('Rate Log'!$E$163="planned",('Rate Log'!$D$163+N(INDEX(sc_dpts,4)))*$AG3962,'Rate Log'!$D$163))</f>
        <v>0</v>
      </c>
      <c r="AI3962" s="73">
        <f>IF('Rate Log'!$C$163="",0,IF(1+$AH3962&gt;0,LN(1+$AH3962),0))</f>
        <v>0</v>
      </c>
      <c r="AJ3962" s="75">
        <f t="shared" si="1488"/>
        <v>0</v>
      </c>
      <c r="AK3962" s="75">
        <f>IF($AE3962="",0,COUNTIFS(rl_key,'Rate Log'!$J$163,$AF$3806:$AF$4045,$AF3962,$AE$3806:$AE$4045,"&lt;"&amp;$AE3962))</f>
        <v>0</v>
      </c>
      <c r="AL3962" s="75">
        <f>IF($AE3962="",0,COUNTIFS('Rate Log'!$J$7:$J$163,'Rate Log'!$J$163,$AF$3806:$AF3962,$AF3962,$AE$3806:$AE3962,$AE3962))</f>
        <v>0</v>
      </c>
      <c r="AM3962" s="75">
        <f t="shared" si="1489"/>
        <v>0</v>
      </c>
    </row>
    <row r="3963" spans="1:39" x14ac:dyDescent="0.3">
      <c r="A3963" s="74" t="str">
        <f>IF('Rate Log'!$C$164="","",IF('Rate Log'!$E$164="planned",EDATE('Rate Log'!$C$164,N(INDEX(sc_shift,1))),'Rate Log'!$C$164))</f>
        <v/>
      </c>
      <c r="B3963" s="74" t="str">
        <f t="shared" si="1478"/>
        <v/>
      </c>
      <c r="C3963" s="72">
        <f>IF(N(INDEX(sc_ach,1))=0,IF('Rate Log'!$G$164="",1,'Rate Log'!$G$164),INDEX(sc_ach,1))</f>
        <v>1</v>
      </c>
      <c r="D3963" s="72">
        <f>IF('Rate Log'!$C$164="",0,IF('Rate Log'!$E$164="planned",('Rate Log'!$D$164+N(INDEX(sc_dpts,1)))*$C3963,'Rate Log'!$D$164))</f>
        <v>0</v>
      </c>
      <c r="E3963" s="73">
        <f>IF('Rate Log'!$C$164="",0,IF(1+$D3963&gt;0,LN(1+$D3963),0))</f>
        <v>0</v>
      </c>
      <c r="F3963" s="75">
        <f t="shared" si="1479"/>
        <v>0</v>
      </c>
      <c r="G3963" s="75">
        <f>IF($A3963="",0,COUNTIFS(rl_key,'Rate Log'!$J$164,$B$3806:$B$4045,$B3963,$A$3806:$A$4045,"&lt;"&amp;$A3963))</f>
        <v>0</v>
      </c>
      <c r="H3963" s="75">
        <f>IF($A3963="",0,COUNTIFS('Rate Log'!$J$7:$J$164,'Rate Log'!$J$164,$B$3806:$B3963,$B3963,$A$3806:$A3963,$A3963))</f>
        <v>0</v>
      </c>
      <c r="I3963" s="75">
        <f t="shared" si="1480"/>
        <v>0</v>
      </c>
      <c r="K3963" s="74" t="str">
        <f>IF('Rate Log'!$C$164="","",IF('Rate Log'!$E$164="planned",EDATE('Rate Log'!$C$164,N(INDEX(sc_shift,2))),'Rate Log'!$C$164))</f>
        <v/>
      </c>
      <c r="L3963" s="74" t="str">
        <f t="shared" si="1481"/>
        <v/>
      </c>
      <c r="M3963" s="72">
        <f>IF(N(INDEX(sc_ach,2))=0,IF('Rate Log'!$G$164="",1,'Rate Log'!$G$164),INDEX(sc_ach,2))</f>
        <v>1</v>
      </c>
      <c r="N3963" s="72">
        <f>IF('Rate Log'!$C$164="",0,IF('Rate Log'!$E$164="planned",('Rate Log'!$D$164+N(INDEX(sc_dpts,2)))*$M3963,'Rate Log'!$D$164))</f>
        <v>0</v>
      </c>
      <c r="O3963" s="73">
        <f>IF('Rate Log'!$C$164="",0,IF(1+$N3963&gt;0,LN(1+$N3963),0))</f>
        <v>0</v>
      </c>
      <c r="P3963" s="75">
        <f t="shared" si="1482"/>
        <v>0</v>
      </c>
      <c r="Q3963" s="75">
        <f>IF($K3963="",0,COUNTIFS(rl_key,'Rate Log'!$J$164,$L$3806:$L$4045,$L3963,$K$3806:$K$4045,"&lt;"&amp;$K3963))</f>
        <v>0</v>
      </c>
      <c r="R3963" s="75">
        <f>IF($K3963="",0,COUNTIFS('Rate Log'!$J$7:$J$164,'Rate Log'!$J$164,$L$3806:$L3963,$L3963,$K$3806:$K3963,$K3963))</f>
        <v>0</v>
      </c>
      <c r="S3963" s="75">
        <f t="shared" si="1483"/>
        <v>0</v>
      </c>
      <c r="U3963" s="74" t="str">
        <f>IF('Rate Log'!$C$164="","",IF('Rate Log'!$E$164="planned",EDATE('Rate Log'!$C$164,N(INDEX(sc_shift,3))),'Rate Log'!$C$164))</f>
        <v/>
      </c>
      <c r="V3963" s="74" t="str">
        <f t="shared" si="1484"/>
        <v/>
      </c>
      <c r="W3963" s="72">
        <f>IF(N(INDEX(sc_ach,3))=0,IF('Rate Log'!$G$164="",1,'Rate Log'!$G$164),INDEX(sc_ach,3))</f>
        <v>1</v>
      </c>
      <c r="X3963" s="72">
        <f>IF('Rate Log'!$C$164="",0,IF('Rate Log'!$E$164="planned",('Rate Log'!$D$164+N(INDEX(sc_dpts,3)))*$W3963,'Rate Log'!$D$164))</f>
        <v>0</v>
      </c>
      <c r="Y3963" s="73">
        <f>IF('Rate Log'!$C$164="",0,IF(1+$X3963&gt;0,LN(1+$X3963),0))</f>
        <v>0</v>
      </c>
      <c r="Z3963" s="75">
        <f t="shared" si="1485"/>
        <v>0</v>
      </c>
      <c r="AA3963" s="75">
        <f>IF($U3963="",0,COUNTIFS(rl_key,'Rate Log'!$J$164,$V$3806:$V$4045,$V3963,$U$3806:$U$4045,"&lt;"&amp;$U3963))</f>
        <v>0</v>
      </c>
      <c r="AB3963" s="75">
        <f>IF($U3963="",0,COUNTIFS('Rate Log'!$J$7:$J$164,'Rate Log'!$J$164,$V$3806:$V3963,$V3963,$U$3806:$U3963,$U3963))</f>
        <v>0</v>
      </c>
      <c r="AC3963" s="75">
        <f t="shared" si="1486"/>
        <v>0</v>
      </c>
      <c r="AE3963" s="74" t="str">
        <f>IF('Rate Log'!$C$164="","",IF('Rate Log'!$E$164="planned",EDATE('Rate Log'!$C$164,N(INDEX(sc_shift,4))),'Rate Log'!$C$164))</f>
        <v/>
      </c>
      <c r="AF3963" s="74" t="str">
        <f t="shared" si="1487"/>
        <v/>
      </c>
      <c r="AG3963" s="72">
        <f>IF(N(INDEX(sc_ach,4))=0,IF('Rate Log'!$G$164="",1,'Rate Log'!$G$164),INDEX(sc_ach,4))</f>
        <v>1</v>
      </c>
      <c r="AH3963" s="72">
        <f>IF('Rate Log'!$C$164="",0,IF('Rate Log'!$E$164="planned",('Rate Log'!$D$164+N(INDEX(sc_dpts,4)))*$AG3963,'Rate Log'!$D$164))</f>
        <v>0</v>
      </c>
      <c r="AI3963" s="73">
        <f>IF('Rate Log'!$C$164="",0,IF(1+$AH3963&gt;0,LN(1+$AH3963),0))</f>
        <v>0</v>
      </c>
      <c r="AJ3963" s="75">
        <f t="shared" si="1488"/>
        <v>0</v>
      </c>
      <c r="AK3963" s="75">
        <f>IF($AE3963="",0,COUNTIFS(rl_key,'Rate Log'!$J$164,$AF$3806:$AF$4045,$AF3963,$AE$3806:$AE$4045,"&lt;"&amp;$AE3963))</f>
        <v>0</v>
      </c>
      <c r="AL3963" s="75">
        <f>IF($AE3963="",0,COUNTIFS('Rate Log'!$J$7:$J$164,'Rate Log'!$J$164,$AF$3806:$AF3963,$AF3963,$AE$3806:$AE3963,$AE3963))</f>
        <v>0</v>
      </c>
      <c r="AM3963" s="75">
        <f t="shared" si="1489"/>
        <v>0</v>
      </c>
    </row>
    <row r="3964" spans="1:39" x14ac:dyDescent="0.3">
      <c r="A3964" s="74" t="str">
        <f>IF('Rate Log'!$C$165="","",IF('Rate Log'!$E$165="planned",EDATE('Rate Log'!$C$165,N(INDEX(sc_shift,1))),'Rate Log'!$C$165))</f>
        <v/>
      </c>
      <c r="B3964" s="74" t="str">
        <f t="shared" si="1478"/>
        <v/>
      </c>
      <c r="C3964" s="72">
        <f>IF(N(INDEX(sc_ach,1))=0,IF('Rate Log'!$G$165="",1,'Rate Log'!$G$165),INDEX(sc_ach,1))</f>
        <v>1</v>
      </c>
      <c r="D3964" s="72">
        <f>IF('Rate Log'!$C$165="",0,IF('Rate Log'!$E$165="planned",('Rate Log'!$D$165+N(INDEX(sc_dpts,1)))*$C3964,'Rate Log'!$D$165))</f>
        <v>0</v>
      </c>
      <c r="E3964" s="73">
        <f>IF('Rate Log'!$C$165="",0,IF(1+$D3964&gt;0,LN(1+$D3964),0))</f>
        <v>0</v>
      </c>
      <c r="F3964" s="75">
        <f t="shared" si="1479"/>
        <v>0</v>
      </c>
      <c r="G3964" s="75">
        <f>IF($A3964="",0,COUNTIFS(rl_key,'Rate Log'!$J$165,$B$3806:$B$4045,$B3964,$A$3806:$A$4045,"&lt;"&amp;$A3964))</f>
        <v>0</v>
      </c>
      <c r="H3964" s="75">
        <f>IF($A3964="",0,COUNTIFS('Rate Log'!$J$7:$J$165,'Rate Log'!$J$165,$B$3806:$B3964,$B3964,$A$3806:$A3964,$A3964))</f>
        <v>0</v>
      </c>
      <c r="I3964" s="75">
        <f t="shared" si="1480"/>
        <v>0</v>
      </c>
      <c r="K3964" s="74" t="str">
        <f>IF('Rate Log'!$C$165="","",IF('Rate Log'!$E$165="planned",EDATE('Rate Log'!$C$165,N(INDEX(sc_shift,2))),'Rate Log'!$C$165))</f>
        <v/>
      </c>
      <c r="L3964" s="74" t="str">
        <f t="shared" si="1481"/>
        <v/>
      </c>
      <c r="M3964" s="72">
        <f>IF(N(INDEX(sc_ach,2))=0,IF('Rate Log'!$G$165="",1,'Rate Log'!$G$165),INDEX(sc_ach,2))</f>
        <v>1</v>
      </c>
      <c r="N3964" s="72">
        <f>IF('Rate Log'!$C$165="",0,IF('Rate Log'!$E$165="planned",('Rate Log'!$D$165+N(INDEX(sc_dpts,2)))*$M3964,'Rate Log'!$D$165))</f>
        <v>0</v>
      </c>
      <c r="O3964" s="73">
        <f>IF('Rate Log'!$C$165="",0,IF(1+$N3964&gt;0,LN(1+$N3964),0))</f>
        <v>0</v>
      </c>
      <c r="P3964" s="75">
        <f t="shared" si="1482"/>
        <v>0</v>
      </c>
      <c r="Q3964" s="75">
        <f>IF($K3964="",0,COUNTIFS(rl_key,'Rate Log'!$J$165,$L$3806:$L$4045,$L3964,$K$3806:$K$4045,"&lt;"&amp;$K3964))</f>
        <v>0</v>
      </c>
      <c r="R3964" s="75">
        <f>IF($K3964="",0,COUNTIFS('Rate Log'!$J$7:$J$165,'Rate Log'!$J$165,$L$3806:$L3964,$L3964,$K$3806:$K3964,$K3964))</f>
        <v>0</v>
      </c>
      <c r="S3964" s="75">
        <f t="shared" si="1483"/>
        <v>0</v>
      </c>
      <c r="U3964" s="74" t="str">
        <f>IF('Rate Log'!$C$165="","",IF('Rate Log'!$E$165="planned",EDATE('Rate Log'!$C$165,N(INDEX(sc_shift,3))),'Rate Log'!$C$165))</f>
        <v/>
      </c>
      <c r="V3964" s="74" t="str">
        <f t="shared" si="1484"/>
        <v/>
      </c>
      <c r="W3964" s="72">
        <f>IF(N(INDEX(sc_ach,3))=0,IF('Rate Log'!$G$165="",1,'Rate Log'!$G$165),INDEX(sc_ach,3))</f>
        <v>1</v>
      </c>
      <c r="X3964" s="72">
        <f>IF('Rate Log'!$C$165="",0,IF('Rate Log'!$E$165="planned",('Rate Log'!$D$165+N(INDEX(sc_dpts,3)))*$W3964,'Rate Log'!$D$165))</f>
        <v>0</v>
      </c>
      <c r="Y3964" s="73">
        <f>IF('Rate Log'!$C$165="",0,IF(1+$X3964&gt;0,LN(1+$X3964),0))</f>
        <v>0</v>
      </c>
      <c r="Z3964" s="75">
        <f t="shared" si="1485"/>
        <v>0</v>
      </c>
      <c r="AA3964" s="75">
        <f>IF($U3964="",0,COUNTIFS(rl_key,'Rate Log'!$J$165,$V$3806:$V$4045,$V3964,$U$3806:$U$4045,"&lt;"&amp;$U3964))</f>
        <v>0</v>
      </c>
      <c r="AB3964" s="75">
        <f>IF($U3964="",0,COUNTIFS('Rate Log'!$J$7:$J$165,'Rate Log'!$J$165,$V$3806:$V3964,$V3964,$U$3806:$U3964,$U3964))</f>
        <v>0</v>
      </c>
      <c r="AC3964" s="75">
        <f t="shared" si="1486"/>
        <v>0</v>
      </c>
      <c r="AE3964" s="74" t="str">
        <f>IF('Rate Log'!$C$165="","",IF('Rate Log'!$E$165="planned",EDATE('Rate Log'!$C$165,N(INDEX(sc_shift,4))),'Rate Log'!$C$165))</f>
        <v/>
      </c>
      <c r="AF3964" s="74" t="str">
        <f t="shared" si="1487"/>
        <v/>
      </c>
      <c r="AG3964" s="72">
        <f>IF(N(INDEX(sc_ach,4))=0,IF('Rate Log'!$G$165="",1,'Rate Log'!$G$165),INDEX(sc_ach,4))</f>
        <v>1</v>
      </c>
      <c r="AH3964" s="72">
        <f>IF('Rate Log'!$C$165="",0,IF('Rate Log'!$E$165="planned",('Rate Log'!$D$165+N(INDEX(sc_dpts,4)))*$AG3964,'Rate Log'!$D$165))</f>
        <v>0</v>
      </c>
      <c r="AI3964" s="73">
        <f>IF('Rate Log'!$C$165="",0,IF(1+$AH3964&gt;0,LN(1+$AH3964),0))</f>
        <v>0</v>
      </c>
      <c r="AJ3964" s="75">
        <f t="shared" si="1488"/>
        <v>0</v>
      </c>
      <c r="AK3964" s="75">
        <f>IF($AE3964="",0,COUNTIFS(rl_key,'Rate Log'!$J$165,$AF$3806:$AF$4045,$AF3964,$AE$3806:$AE$4045,"&lt;"&amp;$AE3964))</f>
        <v>0</v>
      </c>
      <c r="AL3964" s="75">
        <f>IF($AE3964="",0,COUNTIFS('Rate Log'!$J$7:$J$165,'Rate Log'!$J$165,$AF$3806:$AF3964,$AF3964,$AE$3806:$AE3964,$AE3964))</f>
        <v>0</v>
      </c>
      <c r="AM3964" s="75">
        <f t="shared" si="1489"/>
        <v>0</v>
      </c>
    </row>
    <row r="3965" spans="1:39" x14ac:dyDescent="0.3">
      <c r="A3965" s="74" t="str">
        <f>IF('Rate Log'!$C$166="","",IF('Rate Log'!$E$166="planned",EDATE('Rate Log'!$C$166,N(INDEX(sc_shift,1))),'Rate Log'!$C$166))</f>
        <v/>
      </c>
      <c r="B3965" s="74" t="str">
        <f t="shared" si="1478"/>
        <v/>
      </c>
      <c r="C3965" s="72">
        <f>IF(N(INDEX(sc_ach,1))=0,IF('Rate Log'!$G$166="",1,'Rate Log'!$G$166),INDEX(sc_ach,1))</f>
        <v>1</v>
      </c>
      <c r="D3965" s="72">
        <f>IF('Rate Log'!$C$166="",0,IF('Rate Log'!$E$166="planned",('Rate Log'!$D$166+N(INDEX(sc_dpts,1)))*$C3965,'Rate Log'!$D$166))</f>
        <v>0</v>
      </c>
      <c r="E3965" s="73">
        <f>IF('Rate Log'!$C$166="",0,IF(1+$D3965&gt;0,LN(1+$D3965),0))</f>
        <v>0</v>
      </c>
      <c r="F3965" s="75">
        <f t="shared" si="1479"/>
        <v>0</v>
      </c>
      <c r="G3965" s="75">
        <f>IF($A3965="",0,COUNTIFS(rl_key,'Rate Log'!$J$166,$B$3806:$B$4045,$B3965,$A$3806:$A$4045,"&lt;"&amp;$A3965))</f>
        <v>0</v>
      </c>
      <c r="H3965" s="75">
        <f>IF($A3965="",0,COUNTIFS('Rate Log'!$J$7:$J$166,'Rate Log'!$J$166,$B$3806:$B3965,$B3965,$A$3806:$A3965,$A3965))</f>
        <v>0</v>
      </c>
      <c r="I3965" s="75">
        <f t="shared" si="1480"/>
        <v>0</v>
      </c>
      <c r="K3965" s="74" t="str">
        <f>IF('Rate Log'!$C$166="","",IF('Rate Log'!$E$166="planned",EDATE('Rate Log'!$C$166,N(INDEX(sc_shift,2))),'Rate Log'!$C$166))</f>
        <v/>
      </c>
      <c r="L3965" s="74" t="str">
        <f t="shared" si="1481"/>
        <v/>
      </c>
      <c r="M3965" s="72">
        <f>IF(N(INDEX(sc_ach,2))=0,IF('Rate Log'!$G$166="",1,'Rate Log'!$G$166),INDEX(sc_ach,2))</f>
        <v>1</v>
      </c>
      <c r="N3965" s="72">
        <f>IF('Rate Log'!$C$166="",0,IF('Rate Log'!$E$166="planned",('Rate Log'!$D$166+N(INDEX(sc_dpts,2)))*$M3965,'Rate Log'!$D$166))</f>
        <v>0</v>
      </c>
      <c r="O3965" s="73">
        <f>IF('Rate Log'!$C$166="",0,IF(1+$N3965&gt;0,LN(1+$N3965),0))</f>
        <v>0</v>
      </c>
      <c r="P3965" s="75">
        <f t="shared" si="1482"/>
        <v>0</v>
      </c>
      <c r="Q3965" s="75">
        <f>IF($K3965="",0,COUNTIFS(rl_key,'Rate Log'!$J$166,$L$3806:$L$4045,$L3965,$K$3806:$K$4045,"&lt;"&amp;$K3965))</f>
        <v>0</v>
      </c>
      <c r="R3965" s="75">
        <f>IF($K3965="",0,COUNTIFS('Rate Log'!$J$7:$J$166,'Rate Log'!$J$166,$L$3806:$L3965,$L3965,$K$3806:$K3965,$K3965))</f>
        <v>0</v>
      </c>
      <c r="S3965" s="75">
        <f t="shared" si="1483"/>
        <v>0</v>
      </c>
      <c r="U3965" s="74" t="str">
        <f>IF('Rate Log'!$C$166="","",IF('Rate Log'!$E$166="planned",EDATE('Rate Log'!$C$166,N(INDEX(sc_shift,3))),'Rate Log'!$C$166))</f>
        <v/>
      </c>
      <c r="V3965" s="74" t="str">
        <f t="shared" si="1484"/>
        <v/>
      </c>
      <c r="W3965" s="72">
        <f>IF(N(INDEX(sc_ach,3))=0,IF('Rate Log'!$G$166="",1,'Rate Log'!$G$166),INDEX(sc_ach,3))</f>
        <v>1</v>
      </c>
      <c r="X3965" s="72">
        <f>IF('Rate Log'!$C$166="",0,IF('Rate Log'!$E$166="planned",('Rate Log'!$D$166+N(INDEX(sc_dpts,3)))*$W3965,'Rate Log'!$D$166))</f>
        <v>0</v>
      </c>
      <c r="Y3965" s="73">
        <f>IF('Rate Log'!$C$166="",0,IF(1+$X3965&gt;0,LN(1+$X3965),0))</f>
        <v>0</v>
      </c>
      <c r="Z3965" s="75">
        <f t="shared" si="1485"/>
        <v>0</v>
      </c>
      <c r="AA3965" s="75">
        <f>IF($U3965="",0,COUNTIFS(rl_key,'Rate Log'!$J$166,$V$3806:$V$4045,$V3965,$U$3806:$U$4045,"&lt;"&amp;$U3965))</f>
        <v>0</v>
      </c>
      <c r="AB3965" s="75">
        <f>IF($U3965="",0,COUNTIFS('Rate Log'!$J$7:$J$166,'Rate Log'!$J$166,$V$3806:$V3965,$V3965,$U$3806:$U3965,$U3965))</f>
        <v>0</v>
      </c>
      <c r="AC3965" s="75">
        <f t="shared" si="1486"/>
        <v>0</v>
      </c>
      <c r="AE3965" s="74" t="str">
        <f>IF('Rate Log'!$C$166="","",IF('Rate Log'!$E$166="planned",EDATE('Rate Log'!$C$166,N(INDEX(sc_shift,4))),'Rate Log'!$C$166))</f>
        <v/>
      </c>
      <c r="AF3965" s="74" t="str">
        <f t="shared" si="1487"/>
        <v/>
      </c>
      <c r="AG3965" s="72">
        <f>IF(N(INDEX(sc_ach,4))=0,IF('Rate Log'!$G$166="",1,'Rate Log'!$G$166),INDEX(sc_ach,4))</f>
        <v>1</v>
      </c>
      <c r="AH3965" s="72">
        <f>IF('Rate Log'!$C$166="",0,IF('Rate Log'!$E$166="planned",('Rate Log'!$D$166+N(INDEX(sc_dpts,4)))*$AG3965,'Rate Log'!$D$166))</f>
        <v>0</v>
      </c>
      <c r="AI3965" s="73">
        <f>IF('Rate Log'!$C$166="",0,IF(1+$AH3965&gt;0,LN(1+$AH3965),0))</f>
        <v>0</v>
      </c>
      <c r="AJ3965" s="75">
        <f t="shared" si="1488"/>
        <v>0</v>
      </c>
      <c r="AK3965" s="75">
        <f>IF($AE3965="",0,COUNTIFS(rl_key,'Rate Log'!$J$166,$AF$3806:$AF$4045,$AF3965,$AE$3806:$AE$4045,"&lt;"&amp;$AE3965))</f>
        <v>0</v>
      </c>
      <c r="AL3965" s="75">
        <f>IF($AE3965="",0,COUNTIFS('Rate Log'!$J$7:$J$166,'Rate Log'!$J$166,$AF$3806:$AF3965,$AF3965,$AE$3806:$AE3965,$AE3965))</f>
        <v>0</v>
      </c>
      <c r="AM3965" s="75">
        <f t="shared" si="1489"/>
        <v>0</v>
      </c>
    </row>
    <row r="3966" spans="1:39" x14ac:dyDescent="0.3">
      <c r="A3966" s="74" t="str">
        <f>IF('Rate Log'!$C$167="","",IF('Rate Log'!$E$167="planned",EDATE('Rate Log'!$C$167,N(INDEX(sc_shift,1))),'Rate Log'!$C$167))</f>
        <v/>
      </c>
      <c r="B3966" s="74" t="str">
        <f t="shared" si="1478"/>
        <v/>
      </c>
      <c r="C3966" s="72">
        <f>IF(N(INDEX(sc_ach,1))=0,IF('Rate Log'!$G$167="",1,'Rate Log'!$G$167),INDEX(sc_ach,1))</f>
        <v>1</v>
      </c>
      <c r="D3966" s="72">
        <f>IF('Rate Log'!$C$167="",0,IF('Rate Log'!$E$167="planned",('Rate Log'!$D$167+N(INDEX(sc_dpts,1)))*$C3966,'Rate Log'!$D$167))</f>
        <v>0</v>
      </c>
      <c r="E3966" s="73">
        <f>IF('Rate Log'!$C$167="",0,IF(1+$D3966&gt;0,LN(1+$D3966),0))</f>
        <v>0</v>
      </c>
      <c r="F3966" s="75">
        <f t="shared" si="1479"/>
        <v>0</v>
      </c>
      <c r="G3966" s="75">
        <f>IF($A3966="",0,COUNTIFS(rl_key,'Rate Log'!$J$167,$B$3806:$B$4045,$B3966,$A$3806:$A$4045,"&lt;"&amp;$A3966))</f>
        <v>0</v>
      </c>
      <c r="H3966" s="75">
        <f>IF($A3966="",0,COUNTIFS('Rate Log'!$J$7:$J$167,'Rate Log'!$J$167,$B$3806:$B3966,$B3966,$A$3806:$A3966,$A3966))</f>
        <v>0</v>
      </c>
      <c r="I3966" s="75">
        <f t="shared" si="1480"/>
        <v>0</v>
      </c>
      <c r="K3966" s="74" t="str">
        <f>IF('Rate Log'!$C$167="","",IF('Rate Log'!$E$167="planned",EDATE('Rate Log'!$C$167,N(INDEX(sc_shift,2))),'Rate Log'!$C$167))</f>
        <v/>
      </c>
      <c r="L3966" s="74" t="str">
        <f t="shared" si="1481"/>
        <v/>
      </c>
      <c r="M3966" s="72">
        <f>IF(N(INDEX(sc_ach,2))=0,IF('Rate Log'!$G$167="",1,'Rate Log'!$G$167),INDEX(sc_ach,2))</f>
        <v>1</v>
      </c>
      <c r="N3966" s="72">
        <f>IF('Rate Log'!$C$167="",0,IF('Rate Log'!$E$167="planned",('Rate Log'!$D$167+N(INDEX(sc_dpts,2)))*$M3966,'Rate Log'!$D$167))</f>
        <v>0</v>
      </c>
      <c r="O3966" s="73">
        <f>IF('Rate Log'!$C$167="",0,IF(1+$N3966&gt;0,LN(1+$N3966),0))</f>
        <v>0</v>
      </c>
      <c r="P3966" s="75">
        <f t="shared" si="1482"/>
        <v>0</v>
      </c>
      <c r="Q3966" s="75">
        <f>IF($K3966="",0,COUNTIFS(rl_key,'Rate Log'!$J$167,$L$3806:$L$4045,$L3966,$K$3806:$K$4045,"&lt;"&amp;$K3966))</f>
        <v>0</v>
      </c>
      <c r="R3966" s="75">
        <f>IF($K3966="",0,COUNTIFS('Rate Log'!$J$7:$J$167,'Rate Log'!$J$167,$L$3806:$L3966,$L3966,$K$3806:$K3966,$K3966))</f>
        <v>0</v>
      </c>
      <c r="S3966" s="75">
        <f t="shared" si="1483"/>
        <v>0</v>
      </c>
      <c r="U3966" s="74" t="str">
        <f>IF('Rate Log'!$C$167="","",IF('Rate Log'!$E$167="planned",EDATE('Rate Log'!$C$167,N(INDEX(sc_shift,3))),'Rate Log'!$C$167))</f>
        <v/>
      </c>
      <c r="V3966" s="74" t="str">
        <f t="shared" si="1484"/>
        <v/>
      </c>
      <c r="W3966" s="72">
        <f>IF(N(INDEX(sc_ach,3))=0,IF('Rate Log'!$G$167="",1,'Rate Log'!$G$167),INDEX(sc_ach,3))</f>
        <v>1</v>
      </c>
      <c r="X3966" s="72">
        <f>IF('Rate Log'!$C$167="",0,IF('Rate Log'!$E$167="planned",('Rate Log'!$D$167+N(INDEX(sc_dpts,3)))*$W3966,'Rate Log'!$D$167))</f>
        <v>0</v>
      </c>
      <c r="Y3966" s="73">
        <f>IF('Rate Log'!$C$167="",0,IF(1+$X3966&gt;0,LN(1+$X3966),0))</f>
        <v>0</v>
      </c>
      <c r="Z3966" s="75">
        <f t="shared" si="1485"/>
        <v>0</v>
      </c>
      <c r="AA3966" s="75">
        <f>IF($U3966="",0,COUNTIFS(rl_key,'Rate Log'!$J$167,$V$3806:$V$4045,$V3966,$U$3806:$U$4045,"&lt;"&amp;$U3966))</f>
        <v>0</v>
      </c>
      <c r="AB3966" s="75">
        <f>IF($U3966="",0,COUNTIFS('Rate Log'!$J$7:$J$167,'Rate Log'!$J$167,$V$3806:$V3966,$V3966,$U$3806:$U3966,$U3966))</f>
        <v>0</v>
      </c>
      <c r="AC3966" s="75">
        <f t="shared" si="1486"/>
        <v>0</v>
      </c>
      <c r="AE3966" s="74" t="str">
        <f>IF('Rate Log'!$C$167="","",IF('Rate Log'!$E$167="planned",EDATE('Rate Log'!$C$167,N(INDEX(sc_shift,4))),'Rate Log'!$C$167))</f>
        <v/>
      </c>
      <c r="AF3966" s="74" t="str">
        <f t="shared" si="1487"/>
        <v/>
      </c>
      <c r="AG3966" s="72">
        <f>IF(N(INDEX(sc_ach,4))=0,IF('Rate Log'!$G$167="",1,'Rate Log'!$G$167),INDEX(sc_ach,4))</f>
        <v>1</v>
      </c>
      <c r="AH3966" s="72">
        <f>IF('Rate Log'!$C$167="",0,IF('Rate Log'!$E$167="planned",('Rate Log'!$D$167+N(INDEX(sc_dpts,4)))*$AG3966,'Rate Log'!$D$167))</f>
        <v>0</v>
      </c>
      <c r="AI3966" s="73">
        <f>IF('Rate Log'!$C$167="",0,IF(1+$AH3966&gt;0,LN(1+$AH3966),0))</f>
        <v>0</v>
      </c>
      <c r="AJ3966" s="75">
        <f t="shared" si="1488"/>
        <v>0</v>
      </c>
      <c r="AK3966" s="75">
        <f>IF($AE3966="",0,COUNTIFS(rl_key,'Rate Log'!$J$167,$AF$3806:$AF$4045,$AF3966,$AE$3806:$AE$4045,"&lt;"&amp;$AE3966))</f>
        <v>0</v>
      </c>
      <c r="AL3966" s="75">
        <f>IF($AE3966="",0,COUNTIFS('Rate Log'!$J$7:$J$167,'Rate Log'!$J$167,$AF$3806:$AF3966,$AF3966,$AE$3806:$AE3966,$AE3966))</f>
        <v>0</v>
      </c>
      <c r="AM3966" s="75">
        <f t="shared" si="1489"/>
        <v>0</v>
      </c>
    </row>
    <row r="3967" spans="1:39" x14ac:dyDescent="0.3">
      <c r="A3967" s="74" t="str">
        <f>IF('Rate Log'!$C$168="","",IF('Rate Log'!$E$168="planned",EDATE('Rate Log'!$C$168,N(INDEX(sc_shift,1))),'Rate Log'!$C$168))</f>
        <v/>
      </c>
      <c r="B3967" s="74" t="str">
        <f t="shared" si="1478"/>
        <v/>
      </c>
      <c r="C3967" s="72">
        <f>IF(N(INDEX(sc_ach,1))=0,IF('Rate Log'!$G$168="",1,'Rate Log'!$G$168),INDEX(sc_ach,1))</f>
        <v>1</v>
      </c>
      <c r="D3967" s="72">
        <f>IF('Rate Log'!$C$168="",0,IF('Rate Log'!$E$168="planned",('Rate Log'!$D$168+N(INDEX(sc_dpts,1)))*$C3967,'Rate Log'!$D$168))</f>
        <v>0</v>
      </c>
      <c r="E3967" s="73">
        <f>IF('Rate Log'!$C$168="",0,IF(1+$D3967&gt;0,LN(1+$D3967),0))</f>
        <v>0</v>
      </c>
      <c r="F3967" s="75">
        <f t="shared" si="1479"/>
        <v>0</v>
      </c>
      <c r="G3967" s="75">
        <f>IF($A3967="",0,COUNTIFS(rl_key,'Rate Log'!$J$168,$B$3806:$B$4045,$B3967,$A$3806:$A$4045,"&lt;"&amp;$A3967))</f>
        <v>0</v>
      </c>
      <c r="H3967" s="75">
        <f>IF($A3967="",0,COUNTIFS('Rate Log'!$J$7:$J$168,'Rate Log'!$J$168,$B$3806:$B3967,$B3967,$A$3806:$A3967,$A3967))</f>
        <v>0</v>
      </c>
      <c r="I3967" s="75">
        <f t="shared" si="1480"/>
        <v>0</v>
      </c>
      <c r="K3967" s="74" t="str">
        <f>IF('Rate Log'!$C$168="","",IF('Rate Log'!$E$168="planned",EDATE('Rate Log'!$C$168,N(INDEX(sc_shift,2))),'Rate Log'!$C$168))</f>
        <v/>
      </c>
      <c r="L3967" s="74" t="str">
        <f t="shared" si="1481"/>
        <v/>
      </c>
      <c r="M3967" s="72">
        <f>IF(N(INDEX(sc_ach,2))=0,IF('Rate Log'!$G$168="",1,'Rate Log'!$G$168),INDEX(sc_ach,2))</f>
        <v>1</v>
      </c>
      <c r="N3967" s="72">
        <f>IF('Rate Log'!$C$168="",0,IF('Rate Log'!$E$168="planned",('Rate Log'!$D$168+N(INDEX(sc_dpts,2)))*$M3967,'Rate Log'!$D$168))</f>
        <v>0</v>
      </c>
      <c r="O3967" s="73">
        <f>IF('Rate Log'!$C$168="",0,IF(1+$N3967&gt;0,LN(1+$N3967),0))</f>
        <v>0</v>
      </c>
      <c r="P3967" s="75">
        <f t="shared" si="1482"/>
        <v>0</v>
      </c>
      <c r="Q3967" s="75">
        <f>IF($K3967="",0,COUNTIFS(rl_key,'Rate Log'!$J$168,$L$3806:$L$4045,$L3967,$K$3806:$K$4045,"&lt;"&amp;$K3967))</f>
        <v>0</v>
      </c>
      <c r="R3967" s="75">
        <f>IF($K3967="",0,COUNTIFS('Rate Log'!$J$7:$J$168,'Rate Log'!$J$168,$L$3806:$L3967,$L3967,$K$3806:$K3967,$K3967))</f>
        <v>0</v>
      </c>
      <c r="S3967" s="75">
        <f t="shared" si="1483"/>
        <v>0</v>
      </c>
      <c r="U3967" s="74" t="str">
        <f>IF('Rate Log'!$C$168="","",IF('Rate Log'!$E$168="planned",EDATE('Rate Log'!$C$168,N(INDEX(sc_shift,3))),'Rate Log'!$C$168))</f>
        <v/>
      </c>
      <c r="V3967" s="74" t="str">
        <f t="shared" si="1484"/>
        <v/>
      </c>
      <c r="W3967" s="72">
        <f>IF(N(INDEX(sc_ach,3))=0,IF('Rate Log'!$G$168="",1,'Rate Log'!$G$168),INDEX(sc_ach,3))</f>
        <v>1</v>
      </c>
      <c r="X3967" s="72">
        <f>IF('Rate Log'!$C$168="",0,IF('Rate Log'!$E$168="planned",('Rate Log'!$D$168+N(INDEX(sc_dpts,3)))*$W3967,'Rate Log'!$D$168))</f>
        <v>0</v>
      </c>
      <c r="Y3967" s="73">
        <f>IF('Rate Log'!$C$168="",0,IF(1+$X3967&gt;0,LN(1+$X3967),0))</f>
        <v>0</v>
      </c>
      <c r="Z3967" s="75">
        <f t="shared" si="1485"/>
        <v>0</v>
      </c>
      <c r="AA3967" s="75">
        <f>IF($U3967="",0,COUNTIFS(rl_key,'Rate Log'!$J$168,$V$3806:$V$4045,$V3967,$U$3806:$U$4045,"&lt;"&amp;$U3967))</f>
        <v>0</v>
      </c>
      <c r="AB3967" s="75">
        <f>IF($U3967="",0,COUNTIFS('Rate Log'!$J$7:$J$168,'Rate Log'!$J$168,$V$3806:$V3967,$V3967,$U$3806:$U3967,$U3967))</f>
        <v>0</v>
      </c>
      <c r="AC3967" s="75">
        <f t="shared" si="1486"/>
        <v>0</v>
      </c>
      <c r="AE3967" s="74" t="str">
        <f>IF('Rate Log'!$C$168="","",IF('Rate Log'!$E$168="planned",EDATE('Rate Log'!$C$168,N(INDEX(sc_shift,4))),'Rate Log'!$C$168))</f>
        <v/>
      </c>
      <c r="AF3967" s="74" t="str">
        <f t="shared" si="1487"/>
        <v/>
      </c>
      <c r="AG3967" s="72">
        <f>IF(N(INDEX(sc_ach,4))=0,IF('Rate Log'!$G$168="",1,'Rate Log'!$G$168),INDEX(sc_ach,4))</f>
        <v>1</v>
      </c>
      <c r="AH3967" s="72">
        <f>IF('Rate Log'!$C$168="",0,IF('Rate Log'!$E$168="planned",('Rate Log'!$D$168+N(INDEX(sc_dpts,4)))*$AG3967,'Rate Log'!$D$168))</f>
        <v>0</v>
      </c>
      <c r="AI3967" s="73">
        <f>IF('Rate Log'!$C$168="",0,IF(1+$AH3967&gt;0,LN(1+$AH3967),0))</f>
        <v>0</v>
      </c>
      <c r="AJ3967" s="75">
        <f t="shared" si="1488"/>
        <v>0</v>
      </c>
      <c r="AK3967" s="75">
        <f>IF($AE3967="",0,COUNTIFS(rl_key,'Rate Log'!$J$168,$AF$3806:$AF$4045,$AF3967,$AE$3806:$AE$4045,"&lt;"&amp;$AE3967))</f>
        <v>0</v>
      </c>
      <c r="AL3967" s="75">
        <f>IF($AE3967="",0,COUNTIFS('Rate Log'!$J$7:$J$168,'Rate Log'!$J$168,$AF$3806:$AF3967,$AF3967,$AE$3806:$AE3967,$AE3967))</f>
        <v>0</v>
      </c>
      <c r="AM3967" s="75">
        <f t="shared" si="1489"/>
        <v>0</v>
      </c>
    </row>
    <row r="3968" spans="1:39" x14ac:dyDescent="0.3">
      <c r="A3968" s="74" t="str">
        <f>IF('Rate Log'!$C$169="","",IF('Rate Log'!$E$169="planned",EDATE('Rate Log'!$C$169,N(INDEX(sc_shift,1))),'Rate Log'!$C$169))</f>
        <v/>
      </c>
      <c r="B3968" s="74" t="str">
        <f t="shared" si="1478"/>
        <v/>
      </c>
      <c r="C3968" s="72">
        <f>IF(N(INDEX(sc_ach,1))=0,IF('Rate Log'!$G$169="",1,'Rate Log'!$G$169),INDEX(sc_ach,1))</f>
        <v>1</v>
      </c>
      <c r="D3968" s="72">
        <f>IF('Rate Log'!$C$169="",0,IF('Rate Log'!$E$169="planned",('Rate Log'!$D$169+N(INDEX(sc_dpts,1)))*$C3968,'Rate Log'!$D$169))</f>
        <v>0</v>
      </c>
      <c r="E3968" s="73">
        <f>IF('Rate Log'!$C$169="",0,IF(1+$D3968&gt;0,LN(1+$D3968),0))</f>
        <v>0</v>
      </c>
      <c r="F3968" s="75">
        <f t="shared" si="1479"/>
        <v>0</v>
      </c>
      <c r="G3968" s="75">
        <f>IF($A3968="",0,COUNTIFS(rl_key,'Rate Log'!$J$169,$B$3806:$B$4045,$B3968,$A$3806:$A$4045,"&lt;"&amp;$A3968))</f>
        <v>0</v>
      </c>
      <c r="H3968" s="75">
        <f>IF($A3968="",0,COUNTIFS('Rate Log'!$J$7:$J$169,'Rate Log'!$J$169,$B$3806:$B3968,$B3968,$A$3806:$A3968,$A3968))</f>
        <v>0</v>
      </c>
      <c r="I3968" s="75">
        <f t="shared" si="1480"/>
        <v>0</v>
      </c>
      <c r="K3968" s="74" t="str">
        <f>IF('Rate Log'!$C$169="","",IF('Rate Log'!$E$169="planned",EDATE('Rate Log'!$C$169,N(INDEX(sc_shift,2))),'Rate Log'!$C$169))</f>
        <v/>
      </c>
      <c r="L3968" s="74" t="str">
        <f t="shared" si="1481"/>
        <v/>
      </c>
      <c r="M3968" s="72">
        <f>IF(N(INDEX(sc_ach,2))=0,IF('Rate Log'!$G$169="",1,'Rate Log'!$G$169),INDEX(sc_ach,2))</f>
        <v>1</v>
      </c>
      <c r="N3968" s="72">
        <f>IF('Rate Log'!$C$169="",0,IF('Rate Log'!$E$169="planned",('Rate Log'!$D$169+N(INDEX(sc_dpts,2)))*$M3968,'Rate Log'!$D$169))</f>
        <v>0</v>
      </c>
      <c r="O3968" s="73">
        <f>IF('Rate Log'!$C$169="",0,IF(1+$N3968&gt;0,LN(1+$N3968),0))</f>
        <v>0</v>
      </c>
      <c r="P3968" s="75">
        <f t="shared" si="1482"/>
        <v>0</v>
      </c>
      <c r="Q3968" s="75">
        <f>IF($K3968="",0,COUNTIFS(rl_key,'Rate Log'!$J$169,$L$3806:$L$4045,$L3968,$K$3806:$K$4045,"&lt;"&amp;$K3968))</f>
        <v>0</v>
      </c>
      <c r="R3968" s="75">
        <f>IF($K3968="",0,COUNTIFS('Rate Log'!$J$7:$J$169,'Rate Log'!$J$169,$L$3806:$L3968,$L3968,$K$3806:$K3968,$K3968))</f>
        <v>0</v>
      </c>
      <c r="S3968" s="75">
        <f t="shared" si="1483"/>
        <v>0</v>
      </c>
      <c r="U3968" s="74" t="str">
        <f>IF('Rate Log'!$C$169="","",IF('Rate Log'!$E$169="planned",EDATE('Rate Log'!$C$169,N(INDEX(sc_shift,3))),'Rate Log'!$C$169))</f>
        <v/>
      </c>
      <c r="V3968" s="74" t="str">
        <f t="shared" si="1484"/>
        <v/>
      </c>
      <c r="W3968" s="72">
        <f>IF(N(INDEX(sc_ach,3))=0,IF('Rate Log'!$G$169="",1,'Rate Log'!$G$169),INDEX(sc_ach,3))</f>
        <v>1</v>
      </c>
      <c r="X3968" s="72">
        <f>IF('Rate Log'!$C$169="",0,IF('Rate Log'!$E$169="planned",('Rate Log'!$D$169+N(INDEX(sc_dpts,3)))*$W3968,'Rate Log'!$D$169))</f>
        <v>0</v>
      </c>
      <c r="Y3968" s="73">
        <f>IF('Rate Log'!$C$169="",0,IF(1+$X3968&gt;0,LN(1+$X3968),0))</f>
        <v>0</v>
      </c>
      <c r="Z3968" s="75">
        <f t="shared" si="1485"/>
        <v>0</v>
      </c>
      <c r="AA3968" s="75">
        <f>IF($U3968="",0,COUNTIFS(rl_key,'Rate Log'!$J$169,$V$3806:$V$4045,$V3968,$U$3806:$U$4045,"&lt;"&amp;$U3968))</f>
        <v>0</v>
      </c>
      <c r="AB3968" s="75">
        <f>IF($U3968="",0,COUNTIFS('Rate Log'!$J$7:$J$169,'Rate Log'!$J$169,$V$3806:$V3968,$V3968,$U$3806:$U3968,$U3968))</f>
        <v>0</v>
      </c>
      <c r="AC3968" s="75">
        <f t="shared" si="1486"/>
        <v>0</v>
      </c>
      <c r="AE3968" s="74" t="str">
        <f>IF('Rate Log'!$C$169="","",IF('Rate Log'!$E$169="planned",EDATE('Rate Log'!$C$169,N(INDEX(sc_shift,4))),'Rate Log'!$C$169))</f>
        <v/>
      </c>
      <c r="AF3968" s="74" t="str">
        <f t="shared" si="1487"/>
        <v/>
      </c>
      <c r="AG3968" s="72">
        <f>IF(N(INDEX(sc_ach,4))=0,IF('Rate Log'!$G$169="",1,'Rate Log'!$G$169),INDEX(sc_ach,4))</f>
        <v>1</v>
      </c>
      <c r="AH3968" s="72">
        <f>IF('Rate Log'!$C$169="",0,IF('Rate Log'!$E$169="planned",('Rate Log'!$D$169+N(INDEX(sc_dpts,4)))*$AG3968,'Rate Log'!$D$169))</f>
        <v>0</v>
      </c>
      <c r="AI3968" s="73">
        <f>IF('Rate Log'!$C$169="",0,IF(1+$AH3968&gt;0,LN(1+$AH3968),0))</f>
        <v>0</v>
      </c>
      <c r="AJ3968" s="75">
        <f t="shared" si="1488"/>
        <v>0</v>
      </c>
      <c r="AK3968" s="75">
        <f>IF($AE3968="",0,COUNTIFS(rl_key,'Rate Log'!$J$169,$AF$3806:$AF$4045,$AF3968,$AE$3806:$AE$4045,"&lt;"&amp;$AE3968))</f>
        <v>0</v>
      </c>
      <c r="AL3968" s="75">
        <f>IF($AE3968="",0,COUNTIFS('Rate Log'!$J$7:$J$169,'Rate Log'!$J$169,$AF$3806:$AF3968,$AF3968,$AE$3806:$AE3968,$AE3968))</f>
        <v>0</v>
      </c>
      <c r="AM3968" s="75">
        <f t="shared" si="1489"/>
        <v>0</v>
      </c>
    </row>
    <row r="3969" spans="1:39" x14ac:dyDescent="0.3">
      <c r="A3969" s="74" t="str">
        <f>IF('Rate Log'!$C$170="","",IF('Rate Log'!$E$170="planned",EDATE('Rate Log'!$C$170,N(INDEX(sc_shift,1))),'Rate Log'!$C$170))</f>
        <v/>
      </c>
      <c r="B3969" s="74" t="str">
        <f t="shared" si="1478"/>
        <v/>
      </c>
      <c r="C3969" s="72">
        <f>IF(N(INDEX(sc_ach,1))=0,IF('Rate Log'!$G$170="",1,'Rate Log'!$G$170),INDEX(sc_ach,1))</f>
        <v>1</v>
      </c>
      <c r="D3969" s="72">
        <f>IF('Rate Log'!$C$170="",0,IF('Rate Log'!$E$170="planned",('Rate Log'!$D$170+N(INDEX(sc_dpts,1)))*$C3969,'Rate Log'!$D$170))</f>
        <v>0</v>
      </c>
      <c r="E3969" s="73">
        <f>IF('Rate Log'!$C$170="",0,IF(1+$D3969&gt;0,LN(1+$D3969),0))</f>
        <v>0</v>
      </c>
      <c r="F3969" s="75">
        <f t="shared" si="1479"/>
        <v>0</v>
      </c>
      <c r="G3969" s="75">
        <f>IF($A3969="",0,COUNTIFS(rl_key,'Rate Log'!$J$170,$B$3806:$B$4045,$B3969,$A$3806:$A$4045,"&lt;"&amp;$A3969))</f>
        <v>0</v>
      </c>
      <c r="H3969" s="75">
        <f>IF($A3969="",0,COUNTIFS('Rate Log'!$J$7:$J$170,'Rate Log'!$J$170,$B$3806:$B3969,$B3969,$A$3806:$A3969,$A3969))</f>
        <v>0</v>
      </c>
      <c r="I3969" s="75">
        <f t="shared" si="1480"/>
        <v>0</v>
      </c>
      <c r="K3969" s="74" t="str">
        <f>IF('Rate Log'!$C$170="","",IF('Rate Log'!$E$170="planned",EDATE('Rate Log'!$C$170,N(INDEX(sc_shift,2))),'Rate Log'!$C$170))</f>
        <v/>
      </c>
      <c r="L3969" s="74" t="str">
        <f t="shared" si="1481"/>
        <v/>
      </c>
      <c r="M3969" s="72">
        <f>IF(N(INDEX(sc_ach,2))=0,IF('Rate Log'!$G$170="",1,'Rate Log'!$G$170),INDEX(sc_ach,2))</f>
        <v>1</v>
      </c>
      <c r="N3969" s="72">
        <f>IF('Rate Log'!$C$170="",0,IF('Rate Log'!$E$170="planned",('Rate Log'!$D$170+N(INDEX(sc_dpts,2)))*$M3969,'Rate Log'!$D$170))</f>
        <v>0</v>
      </c>
      <c r="O3969" s="73">
        <f>IF('Rate Log'!$C$170="",0,IF(1+$N3969&gt;0,LN(1+$N3969),0))</f>
        <v>0</v>
      </c>
      <c r="P3969" s="75">
        <f t="shared" si="1482"/>
        <v>0</v>
      </c>
      <c r="Q3969" s="75">
        <f>IF($K3969="",0,COUNTIFS(rl_key,'Rate Log'!$J$170,$L$3806:$L$4045,$L3969,$K$3806:$K$4045,"&lt;"&amp;$K3969))</f>
        <v>0</v>
      </c>
      <c r="R3969" s="75">
        <f>IF($K3969="",0,COUNTIFS('Rate Log'!$J$7:$J$170,'Rate Log'!$J$170,$L$3806:$L3969,$L3969,$K$3806:$K3969,$K3969))</f>
        <v>0</v>
      </c>
      <c r="S3969" s="75">
        <f t="shared" si="1483"/>
        <v>0</v>
      </c>
      <c r="U3969" s="74" t="str">
        <f>IF('Rate Log'!$C$170="","",IF('Rate Log'!$E$170="planned",EDATE('Rate Log'!$C$170,N(INDEX(sc_shift,3))),'Rate Log'!$C$170))</f>
        <v/>
      </c>
      <c r="V3969" s="74" t="str">
        <f t="shared" si="1484"/>
        <v/>
      </c>
      <c r="W3969" s="72">
        <f>IF(N(INDEX(sc_ach,3))=0,IF('Rate Log'!$G$170="",1,'Rate Log'!$G$170),INDEX(sc_ach,3))</f>
        <v>1</v>
      </c>
      <c r="X3969" s="72">
        <f>IF('Rate Log'!$C$170="",0,IF('Rate Log'!$E$170="planned",('Rate Log'!$D$170+N(INDEX(sc_dpts,3)))*$W3969,'Rate Log'!$D$170))</f>
        <v>0</v>
      </c>
      <c r="Y3969" s="73">
        <f>IF('Rate Log'!$C$170="",0,IF(1+$X3969&gt;0,LN(1+$X3969),0))</f>
        <v>0</v>
      </c>
      <c r="Z3969" s="75">
        <f t="shared" si="1485"/>
        <v>0</v>
      </c>
      <c r="AA3969" s="75">
        <f>IF($U3969="",0,COUNTIFS(rl_key,'Rate Log'!$J$170,$V$3806:$V$4045,$V3969,$U$3806:$U$4045,"&lt;"&amp;$U3969))</f>
        <v>0</v>
      </c>
      <c r="AB3969" s="75">
        <f>IF($U3969="",0,COUNTIFS('Rate Log'!$J$7:$J$170,'Rate Log'!$J$170,$V$3806:$V3969,$V3969,$U$3806:$U3969,$U3969))</f>
        <v>0</v>
      </c>
      <c r="AC3969" s="75">
        <f t="shared" si="1486"/>
        <v>0</v>
      </c>
      <c r="AE3969" s="74" t="str">
        <f>IF('Rate Log'!$C$170="","",IF('Rate Log'!$E$170="planned",EDATE('Rate Log'!$C$170,N(INDEX(sc_shift,4))),'Rate Log'!$C$170))</f>
        <v/>
      </c>
      <c r="AF3969" s="74" t="str">
        <f t="shared" si="1487"/>
        <v/>
      </c>
      <c r="AG3969" s="72">
        <f>IF(N(INDEX(sc_ach,4))=0,IF('Rate Log'!$G$170="",1,'Rate Log'!$G$170),INDEX(sc_ach,4))</f>
        <v>1</v>
      </c>
      <c r="AH3969" s="72">
        <f>IF('Rate Log'!$C$170="",0,IF('Rate Log'!$E$170="planned",('Rate Log'!$D$170+N(INDEX(sc_dpts,4)))*$AG3969,'Rate Log'!$D$170))</f>
        <v>0</v>
      </c>
      <c r="AI3969" s="73">
        <f>IF('Rate Log'!$C$170="",0,IF(1+$AH3969&gt;0,LN(1+$AH3969),0))</f>
        <v>0</v>
      </c>
      <c r="AJ3969" s="75">
        <f t="shared" si="1488"/>
        <v>0</v>
      </c>
      <c r="AK3969" s="75">
        <f>IF($AE3969="",0,COUNTIFS(rl_key,'Rate Log'!$J$170,$AF$3806:$AF$4045,$AF3969,$AE$3806:$AE$4045,"&lt;"&amp;$AE3969))</f>
        <v>0</v>
      </c>
      <c r="AL3969" s="75">
        <f>IF($AE3969="",0,COUNTIFS('Rate Log'!$J$7:$J$170,'Rate Log'!$J$170,$AF$3806:$AF3969,$AF3969,$AE$3806:$AE3969,$AE3969))</f>
        <v>0</v>
      </c>
      <c r="AM3969" s="75">
        <f t="shared" si="1489"/>
        <v>0</v>
      </c>
    </row>
    <row r="3970" spans="1:39" x14ac:dyDescent="0.3">
      <c r="A3970" s="74" t="str">
        <f>IF('Rate Log'!$C$171="","",IF('Rate Log'!$E$171="planned",EDATE('Rate Log'!$C$171,N(INDEX(sc_shift,1))),'Rate Log'!$C$171))</f>
        <v/>
      </c>
      <c r="B3970" s="74" t="str">
        <f t="shared" si="1478"/>
        <v/>
      </c>
      <c r="C3970" s="72">
        <f>IF(N(INDEX(sc_ach,1))=0,IF('Rate Log'!$G$171="",1,'Rate Log'!$G$171),INDEX(sc_ach,1))</f>
        <v>1</v>
      </c>
      <c r="D3970" s="72">
        <f>IF('Rate Log'!$C$171="",0,IF('Rate Log'!$E$171="planned",('Rate Log'!$D$171+N(INDEX(sc_dpts,1)))*$C3970,'Rate Log'!$D$171))</f>
        <v>0</v>
      </c>
      <c r="E3970" s="73">
        <f>IF('Rate Log'!$C$171="",0,IF(1+$D3970&gt;0,LN(1+$D3970),0))</f>
        <v>0</v>
      </c>
      <c r="F3970" s="75">
        <f t="shared" si="1479"/>
        <v>0</v>
      </c>
      <c r="G3970" s="75">
        <f>IF($A3970="",0,COUNTIFS(rl_key,'Rate Log'!$J$171,$B$3806:$B$4045,$B3970,$A$3806:$A$4045,"&lt;"&amp;$A3970))</f>
        <v>0</v>
      </c>
      <c r="H3970" s="75">
        <f>IF($A3970="",0,COUNTIFS('Rate Log'!$J$7:$J$171,'Rate Log'!$J$171,$B$3806:$B3970,$B3970,$A$3806:$A3970,$A3970))</f>
        <v>0</v>
      </c>
      <c r="I3970" s="75">
        <f t="shared" si="1480"/>
        <v>0</v>
      </c>
      <c r="K3970" s="74" t="str">
        <f>IF('Rate Log'!$C$171="","",IF('Rate Log'!$E$171="planned",EDATE('Rate Log'!$C$171,N(INDEX(sc_shift,2))),'Rate Log'!$C$171))</f>
        <v/>
      </c>
      <c r="L3970" s="74" t="str">
        <f t="shared" si="1481"/>
        <v/>
      </c>
      <c r="M3970" s="72">
        <f>IF(N(INDEX(sc_ach,2))=0,IF('Rate Log'!$G$171="",1,'Rate Log'!$G$171),INDEX(sc_ach,2))</f>
        <v>1</v>
      </c>
      <c r="N3970" s="72">
        <f>IF('Rate Log'!$C$171="",0,IF('Rate Log'!$E$171="planned",('Rate Log'!$D$171+N(INDEX(sc_dpts,2)))*$M3970,'Rate Log'!$D$171))</f>
        <v>0</v>
      </c>
      <c r="O3970" s="73">
        <f>IF('Rate Log'!$C$171="",0,IF(1+$N3970&gt;0,LN(1+$N3970),0))</f>
        <v>0</v>
      </c>
      <c r="P3970" s="75">
        <f t="shared" si="1482"/>
        <v>0</v>
      </c>
      <c r="Q3970" s="75">
        <f>IF($K3970="",0,COUNTIFS(rl_key,'Rate Log'!$J$171,$L$3806:$L$4045,$L3970,$K$3806:$K$4045,"&lt;"&amp;$K3970))</f>
        <v>0</v>
      </c>
      <c r="R3970" s="75">
        <f>IF($K3970="",0,COUNTIFS('Rate Log'!$J$7:$J$171,'Rate Log'!$J$171,$L$3806:$L3970,$L3970,$K$3806:$K3970,$K3970))</f>
        <v>0</v>
      </c>
      <c r="S3970" s="75">
        <f t="shared" si="1483"/>
        <v>0</v>
      </c>
      <c r="U3970" s="74" t="str">
        <f>IF('Rate Log'!$C$171="","",IF('Rate Log'!$E$171="planned",EDATE('Rate Log'!$C$171,N(INDEX(sc_shift,3))),'Rate Log'!$C$171))</f>
        <v/>
      </c>
      <c r="V3970" s="74" t="str">
        <f t="shared" si="1484"/>
        <v/>
      </c>
      <c r="W3970" s="72">
        <f>IF(N(INDEX(sc_ach,3))=0,IF('Rate Log'!$G$171="",1,'Rate Log'!$G$171),INDEX(sc_ach,3))</f>
        <v>1</v>
      </c>
      <c r="X3970" s="72">
        <f>IF('Rate Log'!$C$171="",0,IF('Rate Log'!$E$171="planned",('Rate Log'!$D$171+N(INDEX(sc_dpts,3)))*$W3970,'Rate Log'!$D$171))</f>
        <v>0</v>
      </c>
      <c r="Y3970" s="73">
        <f>IF('Rate Log'!$C$171="",0,IF(1+$X3970&gt;0,LN(1+$X3970),0))</f>
        <v>0</v>
      </c>
      <c r="Z3970" s="75">
        <f t="shared" si="1485"/>
        <v>0</v>
      </c>
      <c r="AA3970" s="75">
        <f>IF($U3970="",0,COUNTIFS(rl_key,'Rate Log'!$J$171,$V$3806:$V$4045,$V3970,$U$3806:$U$4045,"&lt;"&amp;$U3970))</f>
        <v>0</v>
      </c>
      <c r="AB3970" s="75">
        <f>IF($U3970="",0,COUNTIFS('Rate Log'!$J$7:$J$171,'Rate Log'!$J$171,$V$3806:$V3970,$V3970,$U$3806:$U3970,$U3970))</f>
        <v>0</v>
      </c>
      <c r="AC3970" s="75">
        <f t="shared" si="1486"/>
        <v>0</v>
      </c>
      <c r="AE3970" s="74" t="str">
        <f>IF('Rate Log'!$C$171="","",IF('Rate Log'!$E$171="planned",EDATE('Rate Log'!$C$171,N(INDEX(sc_shift,4))),'Rate Log'!$C$171))</f>
        <v/>
      </c>
      <c r="AF3970" s="74" t="str">
        <f t="shared" si="1487"/>
        <v/>
      </c>
      <c r="AG3970" s="72">
        <f>IF(N(INDEX(sc_ach,4))=0,IF('Rate Log'!$G$171="",1,'Rate Log'!$G$171),INDEX(sc_ach,4))</f>
        <v>1</v>
      </c>
      <c r="AH3970" s="72">
        <f>IF('Rate Log'!$C$171="",0,IF('Rate Log'!$E$171="planned",('Rate Log'!$D$171+N(INDEX(sc_dpts,4)))*$AG3970,'Rate Log'!$D$171))</f>
        <v>0</v>
      </c>
      <c r="AI3970" s="73">
        <f>IF('Rate Log'!$C$171="",0,IF(1+$AH3970&gt;0,LN(1+$AH3970),0))</f>
        <v>0</v>
      </c>
      <c r="AJ3970" s="75">
        <f t="shared" si="1488"/>
        <v>0</v>
      </c>
      <c r="AK3970" s="75">
        <f>IF($AE3970="",0,COUNTIFS(rl_key,'Rate Log'!$J$171,$AF$3806:$AF$4045,$AF3970,$AE$3806:$AE$4045,"&lt;"&amp;$AE3970))</f>
        <v>0</v>
      </c>
      <c r="AL3970" s="75">
        <f>IF($AE3970="",0,COUNTIFS('Rate Log'!$J$7:$J$171,'Rate Log'!$J$171,$AF$3806:$AF3970,$AF3970,$AE$3806:$AE3970,$AE3970))</f>
        <v>0</v>
      </c>
      <c r="AM3970" s="75">
        <f t="shared" si="1489"/>
        <v>0</v>
      </c>
    </row>
    <row r="3971" spans="1:39" x14ac:dyDescent="0.3">
      <c r="A3971" s="74" t="str">
        <f>IF('Rate Log'!$C$172="","",IF('Rate Log'!$E$172="planned",EDATE('Rate Log'!$C$172,N(INDEX(sc_shift,1))),'Rate Log'!$C$172))</f>
        <v/>
      </c>
      <c r="B3971" s="74" t="str">
        <f t="shared" si="1478"/>
        <v/>
      </c>
      <c r="C3971" s="72">
        <f>IF(N(INDEX(sc_ach,1))=0,IF('Rate Log'!$G$172="",1,'Rate Log'!$G$172),INDEX(sc_ach,1))</f>
        <v>1</v>
      </c>
      <c r="D3971" s="72">
        <f>IF('Rate Log'!$C$172="",0,IF('Rate Log'!$E$172="planned",('Rate Log'!$D$172+N(INDEX(sc_dpts,1)))*$C3971,'Rate Log'!$D$172))</f>
        <v>0</v>
      </c>
      <c r="E3971" s="73">
        <f>IF('Rate Log'!$C$172="",0,IF(1+$D3971&gt;0,LN(1+$D3971),0))</f>
        <v>0</v>
      </c>
      <c r="F3971" s="75">
        <f t="shared" si="1479"/>
        <v>0</v>
      </c>
      <c r="G3971" s="75">
        <f>IF($A3971="",0,COUNTIFS(rl_key,'Rate Log'!$J$172,$B$3806:$B$4045,$B3971,$A$3806:$A$4045,"&lt;"&amp;$A3971))</f>
        <v>0</v>
      </c>
      <c r="H3971" s="75">
        <f>IF($A3971="",0,COUNTIFS('Rate Log'!$J$7:$J$172,'Rate Log'!$J$172,$B$3806:$B3971,$B3971,$A$3806:$A3971,$A3971))</f>
        <v>0</v>
      </c>
      <c r="I3971" s="75">
        <f t="shared" si="1480"/>
        <v>0</v>
      </c>
      <c r="K3971" s="74" t="str">
        <f>IF('Rate Log'!$C$172="","",IF('Rate Log'!$E$172="planned",EDATE('Rate Log'!$C$172,N(INDEX(sc_shift,2))),'Rate Log'!$C$172))</f>
        <v/>
      </c>
      <c r="L3971" s="74" t="str">
        <f t="shared" si="1481"/>
        <v/>
      </c>
      <c r="M3971" s="72">
        <f>IF(N(INDEX(sc_ach,2))=0,IF('Rate Log'!$G$172="",1,'Rate Log'!$G$172),INDEX(sc_ach,2))</f>
        <v>1</v>
      </c>
      <c r="N3971" s="72">
        <f>IF('Rate Log'!$C$172="",0,IF('Rate Log'!$E$172="planned",('Rate Log'!$D$172+N(INDEX(sc_dpts,2)))*$M3971,'Rate Log'!$D$172))</f>
        <v>0</v>
      </c>
      <c r="O3971" s="73">
        <f>IF('Rate Log'!$C$172="",0,IF(1+$N3971&gt;0,LN(1+$N3971),0))</f>
        <v>0</v>
      </c>
      <c r="P3971" s="75">
        <f t="shared" si="1482"/>
        <v>0</v>
      </c>
      <c r="Q3971" s="75">
        <f>IF($K3971="",0,COUNTIFS(rl_key,'Rate Log'!$J$172,$L$3806:$L$4045,$L3971,$K$3806:$K$4045,"&lt;"&amp;$K3971))</f>
        <v>0</v>
      </c>
      <c r="R3971" s="75">
        <f>IF($K3971="",0,COUNTIFS('Rate Log'!$J$7:$J$172,'Rate Log'!$J$172,$L$3806:$L3971,$L3971,$K$3806:$K3971,$K3971))</f>
        <v>0</v>
      </c>
      <c r="S3971" s="75">
        <f t="shared" si="1483"/>
        <v>0</v>
      </c>
      <c r="U3971" s="74" t="str">
        <f>IF('Rate Log'!$C$172="","",IF('Rate Log'!$E$172="planned",EDATE('Rate Log'!$C$172,N(INDEX(sc_shift,3))),'Rate Log'!$C$172))</f>
        <v/>
      </c>
      <c r="V3971" s="74" t="str">
        <f t="shared" si="1484"/>
        <v/>
      </c>
      <c r="W3971" s="72">
        <f>IF(N(INDEX(sc_ach,3))=0,IF('Rate Log'!$G$172="",1,'Rate Log'!$G$172),INDEX(sc_ach,3))</f>
        <v>1</v>
      </c>
      <c r="X3971" s="72">
        <f>IF('Rate Log'!$C$172="",0,IF('Rate Log'!$E$172="planned",('Rate Log'!$D$172+N(INDEX(sc_dpts,3)))*$W3971,'Rate Log'!$D$172))</f>
        <v>0</v>
      </c>
      <c r="Y3971" s="73">
        <f>IF('Rate Log'!$C$172="",0,IF(1+$X3971&gt;0,LN(1+$X3971),0))</f>
        <v>0</v>
      </c>
      <c r="Z3971" s="75">
        <f t="shared" si="1485"/>
        <v>0</v>
      </c>
      <c r="AA3971" s="75">
        <f>IF($U3971="",0,COUNTIFS(rl_key,'Rate Log'!$J$172,$V$3806:$V$4045,$V3971,$U$3806:$U$4045,"&lt;"&amp;$U3971))</f>
        <v>0</v>
      </c>
      <c r="AB3971" s="75">
        <f>IF($U3971="",0,COUNTIFS('Rate Log'!$J$7:$J$172,'Rate Log'!$J$172,$V$3806:$V3971,$V3971,$U$3806:$U3971,$U3971))</f>
        <v>0</v>
      </c>
      <c r="AC3971" s="75">
        <f t="shared" si="1486"/>
        <v>0</v>
      </c>
      <c r="AE3971" s="74" t="str">
        <f>IF('Rate Log'!$C$172="","",IF('Rate Log'!$E$172="planned",EDATE('Rate Log'!$C$172,N(INDEX(sc_shift,4))),'Rate Log'!$C$172))</f>
        <v/>
      </c>
      <c r="AF3971" s="74" t="str">
        <f t="shared" si="1487"/>
        <v/>
      </c>
      <c r="AG3971" s="72">
        <f>IF(N(INDEX(sc_ach,4))=0,IF('Rate Log'!$G$172="",1,'Rate Log'!$G$172),INDEX(sc_ach,4))</f>
        <v>1</v>
      </c>
      <c r="AH3971" s="72">
        <f>IF('Rate Log'!$C$172="",0,IF('Rate Log'!$E$172="planned",('Rate Log'!$D$172+N(INDEX(sc_dpts,4)))*$AG3971,'Rate Log'!$D$172))</f>
        <v>0</v>
      </c>
      <c r="AI3971" s="73">
        <f>IF('Rate Log'!$C$172="",0,IF(1+$AH3971&gt;0,LN(1+$AH3971),0))</f>
        <v>0</v>
      </c>
      <c r="AJ3971" s="75">
        <f t="shared" si="1488"/>
        <v>0</v>
      </c>
      <c r="AK3971" s="75">
        <f>IF($AE3971="",0,COUNTIFS(rl_key,'Rate Log'!$J$172,$AF$3806:$AF$4045,$AF3971,$AE$3806:$AE$4045,"&lt;"&amp;$AE3971))</f>
        <v>0</v>
      </c>
      <c r="AL3971" s="75">
        <f>IF($AE3971="",0,COUNTIFS('Rate Log'!$J$7:$J$172,'Rate Log'!$J$172,$AF$3806:$AF3971,$AF3971,$AE$3806:$AE3971,$AE3971))</f>
        <v>0</v>
      </c>
      <c r="AM3971" s="75">
        <f t="shared" si="1489"/>
        <v>0</v>
      </c>
    </row>
    <row r="3972" spans="1:39" x14ac:dyDescent="0.3">
      <c r="A3972" s="74" t="str">
        <f>IF('Rate Log'!$C$173="","",IF('Rate Log'!$E$173="planned",EDATE('Rate Log'!$C$173,N(INDEX(sc_shift,1))),'Rate Log'!$C$173))</f>
        <v/>
      </c>
      <c r="B3972" s="74" t="str">
        <f t="shared" si="1478"/>
        <v/>
      </c>
      <c r="C3972" s="72">
        <f>IF(N(INDEX(sc_ach,1))=0,IF('Rate Log'!$G$173="",1,'Rate Log'!$G$173),INDEX(sc_ach,1))</f>
        <v>1</v>
      </c>
      <c r="D3972" s="72">
        <f>IF('Rate Log'!$C$173="",0,IF('Rate Log'!$E$173="planned",('Rate Log'!$D$173+N(INDEX(sc_dpts,1)))*$C3972,'Rate Log'!$D$173))</f>
        <v>0</v>
      </c>
      <c r="E3972" s="73">
        <f>IF('Rate Log'!$C$173="",0,IF(1+$D3972&gt;0,LN(1+$D3972),0))</f>
        <v>0</v>
      </c>
      <c r="F3972" s="75">
        <f t="shared" si="1479"/>
        <v>0</v>
      </c>
      <c r="G3972" s="75">
        <f>IF($A3972="",0,COUNTIFS(rl_key,'Rate Log'!$J$173,$B$3806:$B$4045,$B3972,$A$3806:$A$4045,"&lt;"&amp;$A3972))</f>
        <v>0</v>
      </c>
      <c r="H3972" s="75">
        <f>IF($A3972="",0,COUNTIFS('Rate Log'!$J$7:$J$173,'Rate Log'!$J$173,$B$3806:$B3972,$B3972,$A$3806:$A3972,$A3972))</f>
        <v>0</v>
      </c>
      <c r="I3972" s="75">
        <f t="shared" si="1480"/>
        <v>0</v>
      </c>
      <c r="K3972" s="74" t="str">
        <f>IF('Rate Log'!$C$173="","",IF('Rate Log'!$E$173="planned",EDATE('Rate Log'!$C$173,N(INDEX(sc_shift,2))),'Rate Log'!$C$173))</f>
        <v/>
      </c>
      <c r="L3972" s="74" t="str">
        <f t="shared" si="1481"/>
        <v/>
      </c>
      <c r="M3972" s="72">
        <f>IF(N(INDEX(sc_ach,2))=0,IF('Rate Log'!$G$173="",1,'Rate Log'!$G$173),INDEX(sc_ach,2))</f>
        <v>1</v>
      </c>
      <c r="N3972" s="72">
        <f>IF('Rate Log'!$C$173="",0,IF('Rate Log'!$E$173="planned",('Rate Log'!$D$173+N(INDEX(sc_dpts,2)))*$M3972,'Rate Log'!$D$173))</f>
        <v>0</v>
      </c>
      <c r="O3972" s="73">
        <f>IF('Rate Log'!$C$173="",0,IF(1+$N3972&gt;0,LN(1+$N3972),0))</f>
        <v>0</v>
      </c>
      <c r="P3972" s="75">
        <f t="shared" si="1482"/>
        <v>0</v>
      </c>
      <c r="Q3972" s="75">
        <f>IF($K3972="",0,COUNTIFS(rl_key,'Rate Log'!$J$173,$L$3806:$L$4045,$L3972,$K$3806:$K$4045,"&lt;"&amp;$K3972))</f>
        <v>0</v>
      </c>
      <c r="R3972" s="75">
        <f>IF($K3972="",0,COUNTIFS('Rate Log'!$J$7:$J$173,'Rate Log'!$J$173,$L$3806:$L3972,$L3972,$K$3806:$K3972,$K3972))</f>
        <v>0</v>
      </c>
      <c r="S3972" s="75">
        <f t="shared" si="1483"/>
        <v>0</v>
      </c>
      <c r="U3972" s="74" t="str">
        <f>IF('Rate Log'!$C$173="","",IF('Rate Log'!$E$173="planned",EDATE('Rate Log'!$C$173,N(INDEX(sc_shift,3))),'Rate Log'!$C$173))</f>
        <v/>
      </c>
      <c r="V3972" s="74" t="str">
        <f t="shared" si="1484"/>
        <v/>
      </c>
      <c r="W3972" s="72">
        <f>IF(N(INDEX(sc_ach,3))=0,IF('Rate Log'!$G$173="",1,'Rate Log'!$G$173),INDEX(sc_ach,3))</f>
        <v>1</v>
      </c>
      <c r="X3972" s="72">
        <f>IF('Rate Log'!$C$173="",0,IF('Rate Log'!$E$173="planned",('Rate Log'!$D$173+N(INDEX(sc_dpts,3)))*$W3972,'Rate Log'!$D$173))</f>
        <v>0</v>
      </c>
      <c r="Y3972" s="73">
        <f>IF('Rate Log'!$C$173="",0,IF(1+$X3972&gt;0,LN(1+$X3972),0))</f>
        <v>0</v>
      </c>
      <c r="Z3972" s="75">
        <f t="shared" si="1485"/>
        <v>0</v>
      </c>
      <c r="AA3972" s="75">
        <f>IF($U3972="",0,COUNTIFS(rl_key,'Rate Log'!$J$173,$V$3806:$V$4045,$V3972,$U$3806:$U$4045,"&lt;"&amp;$U3972))</f>
        <v>0</v>
      </c>
      <c r="AB3972" s="75">
        <f>IF($U3972="",0,COUNTIFS('Rate Log'!$J$7:$J$173,'Rate Log'!$J$173,$V$3806:$V3972,$V3972,$U$3806:$U3972,$U3972))</f>
        <v>0</v>
      </c>
      <c r="AC3972" s="75">
        <f t="shared" si="1486"/>
        <v>0</v>
      </c>
      <c r="AE3972" s="74" t="str">
        <f>IF('Rate Log'!$C$173="","",IF('Rate Log'!$E$173="planned",EDATE('Rate Log'!$C$173,N(INDEX(sc_shift,4))),'Rate Log'!$C$173))</f>
        <v/>
      </c>
      <c r="AF3972" s="74" t="str">
        <f t="shared" si="1487"/>
        <v/>
      </c>
      <c r="AG3972" s="72">
        <f>IF(N(INDEX(sc_ach,4))=0,IF('Rate Log'!$G$173="",1,'Rate Log'!$G$173),INDEX(sc_ach,4))</f>
        <v>1</v>
      </c>
      <c r="AH3972" s="72">
        <f>IF('Rate Log'!$C$173="",0,IF('Rate Log'!$E$173="planned",('Rate Log'!$D$173+N(INDEX(sc_dpts,4)))*$AG3972,'Rate Log'!$D$173))</f>
        <v>0</v>
      </c>
      <c r="AI3972" s="73">
        <f>IF('Rate Log'!$C$173="",0,IF(1+$AH3972&gt;0,LN(1+$AH3972),0))</f>
        <v>0</v>
      </c>
      <c r="AJ3972" s="75">
        <f t="shared" si="1488"/>
        <v>0</v>
      </c>
      <c r="AK3972" s="75">
        <f>IF($AE3972="",0,COUNTIFS(rl_key,'Rate Log'!$J$173,$AF$3806:$AF$4045,$AF3972,$AE$3806:$AE$4045,"&lt;"&amp;$AE3972))</f>
        <v>0</v>
      </c>
      <c r="AL3972" s="75">
        <f>IF($AE3972="",0,COUNTIFS('Rate Log'!$J$7:$J$173,'Rate Log'!$J$173,$AF$3806:$AF3972,$AF3972,$AE$3806:$AE3972,$AE3972))</f>
        <v>0</v>
      </c>
      <c r="AM3972" s="75">
        <f t="shared" si="1489"/>
        <v>0</v>
      </c>
    </row>
    <row r="3973" spans="1:39" x14ac:dyDescent="0.3">
      <c r="A3973" s="74" t="str">
        <f>IF('Rate Log'!$C$174="","",IF('Rate Log'!$E$174="planned",EDATE('Rate Log'!$C$174,N(INDEX(sc_shift,1))),'Rate Log'!$C$174))</f>
        <v/>
      </c>
      <c r="B3973" s="74" t="str">
        <f t="shared" si="1478"/>
        <v/>
      </c>
      <c r="C3973" s="72">
        <f>IF(N(INDEX(sc_ach,1))=0,IF('Rate Log'!$G$174="",1,'Rate Log'!$G$174),INDEX(sc_ach,1))</f>
        <v>1</v>
      </c>
      <c r="D3973" s="72">
        <f>IF('Rate Log'!$C$174="",0,IF('Rate Log'!$E$174="planned",('Rate Log'!$D$174+N(INDEX(sc_dpts,1)))*$C3973,'Rate Log'!$D$174))</f>
        <v>0</v>
      </c>
      <c r="E3973" s="73">
        <f>IF('Rate Log'!$C$174="",0,IF(1+$D3973&gt;0,LN(1+$D3973),0))</f>
        <v>0</v>
      </c>
      <c r="F3973" s="75">
        <f t="shared" si="1479"/>
        <v>0</v>
      </c>
      <c r="G3973" s="75">
        <f>IF($A3973="",0,COUNTIFS(rl_key,'Rate Log'!$J$174,$B$3806:$B$4045,$B3973,$A$3806:$A$4045,"&lt;"&amp;$A3973))</f>
        <v>0</v>
      </c>
      <c r="H3973" s="75">
        <f>IF($A3973="",0,COUNTIFS('Rate Log'!$J$7:$J$174,'Rate Log'!$J$174,$B$3806:$B3973,$B3973,$A$3806:$A3973,$A3973))</f>
        <v>0</v>
      </c>
      <c r="I3973" s="75">
        <f t="shared" si="1480"/>
        <v>0</v>
      </c>
      <c r="K3973" s="74" t="str">
        <f>IF('Rate Log'!$C$174="","",IF('Rate Log'!$E$174="planned",EDATE('Rate Log'!$C$174,N(INDEX(sc_shift,2))),'Rate Log'!$C$174))</f>
        <v/>
      </c>
      <c r="L3973" s="74" t="str">
        <f t="shared" si="1481"/>
        <v/>
      </c>
      <c r="M3973" s="72">
        <f>IF(N(INDEX(sc_ach,2))=0,IF('Rate Log'!$G$174="",1,'Rate Log'!$G$174),INDEX(sc_ach,2))</f>
        <v>1</v>
      </c>
      <c r="N3973" s="72">
        <f>IF('Rate Log'!$C$174="",0,IF('Rate Log'!$E$174="planned",('Rate Log'!$D$174+N(INDEX(sc_dpts,2)))*$M3973,'Rate Log'!$D$174))</f>
        <v>0</v>
      </c>
      <c r="O3973" s="73">
        <f>IF('Rate Log'!$C$174="",0,IF(1+$N3973&gt;0,LN(1+$N3973),0))</f>
        <v>0</v>
      </c>
      <c r="P3973" s="75">
        <f t="shared" si="1482"/>
        <v>0</v>
      </c>
      <c r="Q3973" s="75">
        <f>IF($K3973="",0,COUNTIFS(rl_key,'Rate Log'!$J$174,$L$3806:$L$4045,$L3973,$K$3806:$K$4045,"&lt;"&amp;$K3973))</f>
        <v>0</v>
      </c>
      <c r="R3973" s="75">
        <f>IF($K3973="",0,COUNTIFS('Rate Log'!$J$7:$J$174,'Rate Log'!$J$174,$L$3806:$L3973,$L3973,$K$3806:$K3973,$K3973))</f>
        <v>0</v>
      </c>
      <c r="S3973" s="75">
        <f t="shared" si="1483"/>
        <v>0</v>
      </c>
      <c r="U3973" s="74" t="str">
        <f>IF('Rate Log'!$C$174="","",IF('Rate Log'!$E$174="planned",EDATE('Rate Log'!$C$174,N(INDEX(sc_shift,3))),'Rate Log'!$C$174))</f>
        <v/>
      </c>
      <c r="V3973" s="74" t="str">
        <f t="shared" si="1484"/>
        <v/>
      </c>
      <c r="W3973" s="72">
        <f>IF(N(INDEX(sc_ach,3))=0,IF('Rate Log'!$G$174="",1,'Rate Log'!$G$174),INDEX(sc_ach,3))</f>
        <v>1</v>
      </c>
      <c r="X3973" s="72">
        <f>IF('Rate Log'!$C$174="",0,IF('Rate Log'!$E$174="planned",('Rate Log'!$D$174+N(INDEX(sc_dpts,3)))*$W3973,'Rate Log'!$D$174))</f>
        <v>0</v>
      </c>
      <c r="Y3973" s="73">
        <f>IF('Rate Log'!$C$174="",0,IF(1+$X3973&gt;0,LN(1+$X3973),0))</f>
        <v>0</v>
      </c>
      <c r="Z3973" s="75">
        <f t="shared" si="1485"/>
        <v>0</v>
      </c>
      <c r="AA3973" s="75">
        <f>IF($U3973="",0,COUNTIFS(rl_key,'Rate Log'!$J$174,$V$3806:$V$4045,$V3973,$U$3806:$U$4045,"&lt;"&amp;$U3973))</f>
        <v>0</v>
      </c>
      <c r="AB3973" s="75">
        <f>IF($U3973="",0,COUNTIFS('Rate Log'!$J$7:$J$174,'Rate Log'!$J$174,$V$3806:$V3973,$V3973,$U$3806:$U3973,$U3973))</f>
        <v>0</v>
      </c>
      <c r="AC3973" s="75">
        <f t="shared" si="1486"/>
        <v>0</v>
      </c>
      <c r="AE3973" s="74" t="str">
        <f>IF('Rate Log'!$C$174="","",IF('Rate Log'!$E$174="planned",EDATE('Rate Log'!$C$174,N(INDEX(sc_shift,4))),'Rate Log'!$C$174))</f>
        <v/>
      </c>
      <c r="AF3973" s="74" t="str">
        <f t="shared" si="1487"/>
        <v/>
      </c>
      <c r="AG3973" s="72">
        <f>IF(N(INDEX(sc_ach,4))=0,IF('Rate Log'!$G$174="",1,'Rate Log'!$G$174),INDEX(sc_ach,4))</f>
        <v>1</v>
      </c>
      <c r="AH3973" s="72">
        <f>IF('Rate Log'!$C$174="",0,IF('Rate Log'!$E$174="planned",('Rate Log'!$D$174+N(INDEX(sc_dpts,4)))*$AG3973,'Rate Log'!$D$174))</f>
        <v>0</v>
      </c>
      <c r="AI3973" s="73">
        <f>IF('Rate Log'!$C$174="",0,IF(1+$AH3973&gt;0,LN(1+$AH3973),0))</f>
        <v>0</v>
      </c>
      <c r="AJ3973" s="75">
        <f t="shared" si="1488"/>
        <v>0</v>
      </c>
      <c r="AK3973" s="75">
        <f>IF($AE3973="",0,COUNTIFS(rl_key,'Rate Log'!$J$174,$AF$3806:$AF$4045,$AF3973,$AE$3806:$AE$4045,"&lt;"&amp;$AE3973))</f>
        <v>0</v>
      </c>
      <c r="AL3973" s="75">
        <f>IF($AE3973="",0,COUNTIFS('Rate Log'!$J$7:$J$174,'Rate Log'!$J$174,$AF$3806:$AF3973,$AF3973,$AE$3806:$AE3973,$AE3973))</f>
        <v>0</v>
      </c>
      <c r="AM3973" s="75">
        <f t="shared" si="1489"/>
        <v>0</v>
      </c>
    </row>
    <row r="3974" spans="1:39" x14ac:dyDescent="0.3">
      <c r="A3974" s="74" t="str">
        <f>IF('Rate Log'!$C$175="","",IF('Rate Log'!$E$175="planned",EDATE('Rate Log'!$C$175,N(INDEX(sc_shift,1))),'Rate Log'!$C$175))</f>
        <v/>
      </c>
      <c r="B3974" s="74" t="str">
        <f t="shared" si="1478"/>
        <v/>
      </c>
      <c r="C3974" s="72">
        <f>IF(N(INDEX(sc_ach,1))=0,IF('Rate Log'!$G$175="",1,'Rate Log'!$G$175),INDEX(sc_ach,1))</f>
        <v>1</v>
      </c>
      <c r="D3974" s="72">
        <f>IF('Rate Log'!$C$175="",0,IF('Rate Log'!$E$175="planned",('Rate Log'!$D$175+N(INDEX(sc_dpts,1)))*$C3974,'Rate Log'!$D$175))</f>
        <v>0</v>
      </c>
      <c r="E3974" s="73">
        <f>IF('Rate Log'!$C$175="",0,IF(1+$D3974&gt;0,LN(1+$D3974),0))</f>
        <v>0</v>
      </c>
      <c r="F3974" s="75">
        <f t="shared" si="1479"/>
        <v>0</v>
      </c>
      <c r="G3974" s="75">
        <f>IF($A3974="",0,COUNTIFS(rl_key,'Rate Log'!$J$175,$B$3806:$B$4045,$B3974,$A$3806:$A$4045,"&lt;"&amp;$A3974))</f>
        <v>0</v>
      </c>
      <c r="H3974" s="75">
        <f>IF($A3974="",0,COUNTIFS('Rate Log'!$J$7:$J$175,'Rate Log'!$J$175,$B$3806:$B3974,$B3974,$A$3806:$A3974,$A3974))</f>
        <v>0</v>
      </c>
      <c r="I3974" s="75">
        <f t="shared" si="1480"/>
        <v>0</v>
      </c>
      <c r="K3974" s="74" t="str">
        <f>IF('Rate Log'!$C$175="","",IF('Rate Log'!$E$175="planned",EDATE('Rate Log'!$C$175,N(INDEX(sc_shift,2))),'Rate Log'!$C$175))</f>
        <v/>
      </c>
      <c r="L3974" s="74" t="str">
        <f t="shared" si="1481"/>
        <v/>
      </c>
      <c r="M3974" s="72">
        <f>IF(N(INDEX(sc_ach,2))=0,IF('Rate Log'!$G$175="",1,'Rate Log'!$G$175),INDEX(sc_ach,2))</f>
        <v>1</v>
      </c>
      <c r="N3974" s="72">
        <f>IF('Rate Log'!$C$175="",0,IF('Rate Log'!$E$175="planned",('Rate Log'!$D$175+N(INDEX(sc_dpts,2)))*$M3974,'Rate Log'!$D$175))</f>
        <v>0</v>
      </c>
      <c r="O3974" s="73">
        <f>IF('Rate Log'!$C$175="",0,IF(1+$N3974&gt;0,LN(1+$N3974),0))</f>
        <v>0</v>
      </c>
      <c r="P3974" s="75">
        <f t="shared" si="1482"/>
        <v>0</v>
      </c>
      <c r="Q3974" s="75">
        <f>IF($K3974="",0,COUNTIFS(rl_key,'Rate Log'!$J$175,$L$3806:$L$4045,$L3974,$K$3806:$K$4045,"&lt;"&amp;$K3974))</f>
        <v>0</v>
      </c>
      <c r="R3974" s="75">
        <f>IF($K3974="",0,COUNTIFS('Rate Log'!$J$7:$J$175,'Rate Log'!$J$175,$L$3806:$L3974,$L3974,$K$3806:$K3974,$K3974))</f>
        <v>0</v>
      </c>
      <c r="S3974" s="75">
        <f t="shared" si="1483"/>
        <v>0</v>
      </c>
      <c r="U3974" s="74" t="str">
        <f>IF('Rate Log'!$C$175="","",IF('Rate Log'!$E$175="planned",EDATE('Rate Log'!$C$175,N(INDEX(sc_shift,3))),'Rate Log'!$C$175))</f>
        <v/>
      </c>
      <c r="V3974" s="74" t="str">
        <f t="shared" si="1484"/>
        <v/>
      </c>
      <c r="W3974" s="72">
        <f>IF(N(INDEX(sc_ach,3))=0,IF('Rate Log'!$G$175="",1,'Rate Log'!$G$175),INDEX(sc_ach,3))</f>
        <v>1</v>
      </c>
      <c r="X3974" s="72">
        <f>IF('Rate Log'!$C$175="",0,IF('Rate Log'!$E$175="planned",('Rate Log'!$D$175+N(INDEX(sc_dpts,3)))*$W3974,'Rate Log'!$D$175))</f>
        <v>0</v>
      </c>
      <c r="Y3974" s="73">
        <f>IF('Rate Log'!$C$175="",0,IF(1+$X3974&gt;0,LN(1+$X3974),0))</f>
        <v>0</v>
      </c>
      <c r="Z3974" s="75">
        <f t="shared" si="1485"/>
        <v>0</v>
      </c>
      <c r="AA3974" s="75">
        <f>IF($U3974="",0,COUNTIFS(rl_key,'Rate Log'!$J$175,$V$3806:$V$4045,$V3974,$U$3806:$U$4045,"&lt;"&amp;$U3974))</f>
        <v>0</v>
      </c>
      <c r="AB3974" s="75">
        <f>IF($U3974="",0,COUNTIFS('Rate Log'!$J$7:$J$175,'Rate Log'!$J$175,$V$3806:$V3974,$V3974,$U$3806:$U3974,$U3974))</f>
        <v>0</v>
      </c>
      <c r="AC3974" s="75">
        <f t="shared" si="1486"/>
        <v>0</v>
      </c>
      <c r="AE3974" s="74" t="str">
        <f>IF('Rate Log'!$C$175="","",IF('Rate Log'!$E$175="planned",EDATE('Rate Log'!$C$175,N(INDEX(sc_shift,4))),'Rate Log'!$C$175))</f>
        <v/>
      </c>
      <c r="AF3974" s="74" t="str">
        <f t="shared" si="1487"/>
        <v/>
      </c>
      <c r="AG3974" s="72">
        <f>IF(N(INDEX(sc_ach,4))=0,IF('Rate Log'!$G$175="",1,'Rate Log'!$G$175),INDEX(sc_ach,4))</f>
        <v>1</v>
      </c>
      <c r="AH3974" s="72">
        <f>IF('Rate Log'!$C$175="",0,IF('Rate Log'!$E$175="planned",('Rate Log'!$D$175+N(INDEX(sc_dpts,4)))*$AG3974,'Rate Log'!$D$175))</f>
        <v>0</v>
      </c>
      <c r="AI3974" s="73">
        <f>IF('Rate Log'!$C$175="",0,IF(1+$AH3974&gt;0,LN(1+$AH3974),0))</f>
        <v>0</v>
      </c>
      <c r="AJ3974" s="75">
        <f t="shared" si="1488"/>
        <v>0</v>
      </c>
      <c r="AK3974" s="75">
        <f>IF($AE3974="",0,COUNTIFS(rl_key,'Rate Log'!$J$175,$AF$3806:$AF$4045,$AF3974,$AE$3806:$AE$4045,"&lt;"&amp;$AE3974))</f>
        <v>0</v>
      </c>
      <c r="AL3974" s="75">
        <f>IF($AE3974="",0,COUNTIFS('Rate Log'!$J$7:$J$175,'Rate Log'!$J$175,$AF$3806:$AF3974,$AF3974,$AE$3806:$AE3974,$AE3974))</f>
        <v>0</v>
      </c>
      <c r="AM3974" s="75">
        <f t="shared" si="1489"/>
        <v>0</v>
      </c>
    </row>
    <row r="3975" spans="1:39" x14ac:dyDescent="0.3">
      <c r="A3975" s="74" t="str">
        <f>IF('Rate Log'!$C$176="","",IF('Rate Log'!$E$176="planned",EDATE('Rate Log'!$C$176,N(INDEX(sc_shift,1))),'Rate Log'!$C$176))</f>
        <v/>
      </c>
      <c r="B3975" s="74" t="str">
        <f t="shared" si="1478"/>
        <v/>
      </c>
      <c r="C3975" s="72">
        <f>IF(N(INDEX(sc_ach,1))=0,IF('Rate Log'!$G$176="",1,'Rate Log'!$G$176),INDEX(sc_ach,1))</f>
        <v>1</v>
      </c>
      <c r="D3975" s="72">
        <f>IF('Rate Log'!$C$176="",0,IF('Rate Log'!$E$176="planned",('Rate Log'!$D$176+N(INDEX(sc_dpts,1)))*$C3975,'Rate Log'!$D$176))</f>
        <v>0</v>
      </c>
      <c r="E3975" s="73">
        <f>IF('Rate Log'!$C$176="",0,IF(1+$D3975&gt;0,LN(1+$D3975),0))</f>
        <v>0</v>
      </c>
      <c r="F3975" s="75">
        <f t="shared" si="1479"/>
        <v>0</v>
      </c>
      <c r="G3975" s="75">
        <f>IF($A3975="",0,COUNTIFS(rl_key,'Rate Log'!$J$176,$B$3806:$B$4045,$B3975,$A$3806:$A$4045,"&lt;"&amp;$A3975))</f>
        <v>0</v>
      </c>
      <c r="H3975" s="75">
        <f>IF($A3975="",0,COUNTIFS('Rate Log'!$J$7:$J$176,'Rate Log'!$J$176,$B$3806:$B3975,$B3975,$A$3806:$A3975,$A3975))</f>
        <v>0</v>
      </c>
      <c r="I3975" s="75">
        <f t="shared" si="1480"/>
        <v>0</v>
      </c>
      <c r="K3975" s="74" t="str">
        <f>IF('Rate Log'!$C$176="","",IF('Rate Log'!$E$176="planned",EDATE('Rate Log'!$C$176,N(INDEX(sc_shift,2))),'Rate Log'!$C$176))</f>
        <v/>
      </c>
      <c r="L3975" s="74" t="str">
        <f t="shared" si="1481"/>
        <v/>
      </c>
      <c r="M3975" s="72">
        <f>IF(N(INDEX(sc_ach,2))=0,IF('Rate Log'!$G$176="",1,'Rate Log'!$G$176),INDEX(sc_ach,2))</f>
        <v>1</v>
      </c>
      <c r="N3975" s="72">
        <f>IF('Rate Log'!$C$176="",0,IF('Rate Log'!$E$176="planned",('Rate Log'!$D$176+N(INDEX(sc_dpts,2)))*$M3975,'Rate Log'!$D$176))</f>
        <v>0</v>
      </c>
      <c r="O3975" s="73">
        <f>IF('Rate Log'!$C$176="",0,IF(1+$N3975&gt;0,LN(1+$N3975),0))</f>
        <v>0</v>
      </c>
      <c r="P3975" s="75">
        <f t="shared" si="1482"/>
        <v>0</v>
      </c>
      <c r="Q3975" s="75">
        <f>IF($K3975="",0,COUNTIFS(rl_key,'Rate Log'!$J$176,$L$3806:$L$4045,$L3975,$K$3806:$K$4045,"&lt;"&amp;$K3975))</f>
        <v>0</v>
      </c>
      <c r="R3975" s="75">
        <f>IF($K3975="",0,COUNTIFS('Rate Log'!$J$7:$J$176,'Rate Log'!$J$176,$L$3806:$L3975,$L3975,$K$3806:$K3975,$K3975))</f>
        <v>0</v>
      </c>
      <c r="S3975" s="75">
        <f t="shared" si="1483"/>
        <v>0</v>
      </c>
      <c r="U3975" s="74" t="str">
        <f>IF('Rate Log'!$C$176="","",IF('Rate Log'!$E$176="planned",EDATE('Rate Log'!$C$176,N(INDEX(sc_shift,3))),'Rate Log'!$C$176))</f>
        <v/>
      </c>
      <c r="V3975" s="74" t="str">
        <f t="shared" si="1484"/>
        <v/>
      </c>
      <c r="W3975" s="72">
        <f>IF(N(INDEX(sc_ach,3))=0,IF('Rate Log'!$G$176="",1,'Rate Log'!$G$176),INDEX(sc_ach,3))</f>
        <v>1</v>
      </c>
      <c r="X3975" s="72">
        <f>IF('Rate Log'!$C$176="",0,IF('Rate Log'!$E$176="planned",('Rate Log'!$D$176+N(INDEX(sc_dpts,3)))*$W3975,'Rate Log'!$D$176))</f>
        <v>0</v>
      </c>
      <c r="Y3975" s="73">
        <f>IF('Rate Log'!$C$176="",0,IF(1+$X3975&gt;0,LN(1+$X3975),0))</f>
        <v>0</v>
      </c>
      <c r="Z3975" s="75">
        <f t="shared" si="1485"/>
        <v>0</v>
      </c>
      <c r="AA3975" s="75">
        <f>IF($U3975="",0,COUNTIFS(rl_key,'Rate Log'!$J$176,$V$3806:$V$4045,$V3975,$U$3806:$U$4045,"&lt;"&amp;$U3975))</f>
        <v>0</v>
      </c>
      <c r="AB3975" s="75">
        <f>IF($U3975="",0,COUNTIFS('Rate Log'!$J$7:$J$176,'Rate Log'!$J$176,$V$3806:$V3975,$V3975,$U$3806:$U3975,$U3975))</f>
        <v>0</v>
      </c>
      <c r="AC3975" s="75">
        <f t="shared" si="1486"/>
        <v>0</v>
      </c>
      <c r="AE3975" s="74" t="str">
        <f>IF('Rate Log'!$C$176="","",IF('Rate Log'!$E$176="planned",EDATE('Rate Log'!$C$176,N(INDEX(sc_shift,4))),'Rate Log'!$C$176))</f>
        <v/>
      </c>
      <c r="AF3975" s="74" t="str">
        <f t="shared" si="1487"/>
        <v/>
      </c>
      <c r="AG3975" s="72">
        <f>IF(N(INDEX(sc_ach,4))=0,IF('Rate Log'!$G$176="",1,'Rate Log'!$G$176),INDEX(sc_ach,4))</f>
        <v>1</v>
      </c>
      <c r="AH3975" s="72">
        <f>IF('Rate Log'!$C$176="",0,IF('Rate Log'!$E$176="planned",('Rate Log'!$D$176+N(INDEX(sc_dpts,4)))*$AG3975,'Rate Log'!$D$176))</f>
        <v>0</v>
      </c>
      <c r="AI3975" s="73">
        <f>IF('Rate Log'!$C$176="",0,IF(1+$AH3975&gt;0,LN(1+$AH3975),0))</f>
        <v>0</v>
      </c>
      <c r="AJ3975" s="75">
        <f t="shared" si="1488"/>
        <v>0</v>
      </c>
      <c r="AK3975" s="75">
        <f>IF($AE3975="",0,COUNTIFS(rl_key,'Rate Log'!$J$176,$AF$3806:$AF$4045,$AF3975,$AE$3806:$AE$4045,"&lt;"&amp;$AE3975))</f>
        <v>0</v>
      </c>
      <c r="AL3975" s="75">
        <f>IF($AE3975="",0,COUNTIFS('Rate Log'!$J$7:$J$176,'Rate Log'!$J$176,$AF$3806:$AF3975,$AF3975,$AE$3806:$AE3975,$AE3975))</f>
        <v>0</v>
      </c>
      <c r="AM3975" s="75">
        <f t="shared" si="1489"/>
        <v>0</v>
      </c>
    </row>
    <row r="3976" spans="1:39" x14ac:dyDescent="0.3">
      <c r="A3976" s="74" t="str">
        <f>IF('Rate Log'!$C$177="","",IF('Rate Log'!$E$177="planned",EDATE('Rate Log'!$C$177,N(INDEX(sc_shift,1))),'Rate Log'!$C$177))</f>
        <v/>
      </c>
      <c r="B3976" s="74" t="str">
        <f t="shared" si="1478"/>
        <v/>
      </c>
      <c r="C3976" s="72">
        <f>IF(N(INDEX(sc_ach,1))=0,IF('Rate Log'!$G$177="",1,'Rate Log'!$G$177),INDEX(sc_ach,1))</f>
        <v>1</v>
      </c>
      <c r="D3976" s="72">
        <f>IF('Rate Log'!$C$177="",0,IF('Rate Log'!$E$177="planned",('Rate Log'!$D$177+N(INDEX(sc_dpts,1)))*$C3976,'Rate Log'!$D$177))</f>
        <v>0</v>
      </c>
      <c r="E3976" s="73">
        <f>IF('Rate Log'!$C$177="",0,IF(1+$D3976&gt;0,LN(1+$D3976),0))</f>
        <v>0</v>
      </c>
      <c r="F3976" s="75">
        <f t="shared" si="1479"/>
        <v>0</v>
      </c>
      <c r="G3976" s="75">
        <f>IF($A3976="",0,COUNTIFS(rl_key,'Rate Log'!$J$177,$B$3806:$B$4045,$B3976,$A$3806:$A$4045,"&lt;"&amp;$A3976))</f>
        <v>0</v>
      </c>
      <c r="H3976" s="75">
        <f>IF($A3976="",0,COUNTIFS('Rate Log'!$J$7:$J$177,'Rate Log'!$J$177,$B$3806:$B3976,$B3976,$A$3806:$A3976,$A3976))</f>
        <v>0</v>
      </c>
      <c r="I3976" s="75">
        <f t="shared" si="1480"/>
        <v>0</v>
      </c>
      <c r="K3976" s="74" t="str">
        <f>IF('Rate Log'!$C$177="","",IF('Rate Log'!$E$177="planned",EDATE('Rate Log'!$C$177,N(INDEX(sc_shift,2))),'Rate Log'!$C$177))</f>
        <v/>
      </c>
      <c r="L3976" s="74" t="str">
        <f t="shared" si="1481"/>
        <v/>
      </c>
      <c r="M3976" s="72">
        <f>IF(N(INDEX(sc_ach,2))=0,IF('Rate Log'!$G$177="",1,'Rate Log'!$G$177),INDEX(sc_ach,2))</f>
        <v>1</v>
      </c>
      <c r="N3976" s="72">
        <f>IF('Rate Log'!$C$177="",0,IF('Rate Log'!$E$177="planned",('Rate Log'!$D$177+N(INDEX(sc_dpts,2)))*$M3976,'Rate Log'!$D$177))</f>
        <v>0</v>
      </c>
      <c r="O3976" s="73">
        <f>IF('Rate Log'!$C$177="",0,IF(1+$N3976&gt;0,LN(1+$N3976),0))</f>
        <v>0</v>
      </c>
      <c r="P3976" s="75">
        <f t="shared" si="1482"/>
        <v>0</v>
      </c>
      <c r="Q3976" s="75">
        <f>IF($K3976="",0,COUNTIFS(rl_key,'Rate Log'!$J$177,$L$3806:$L$4045,$L3976,$K$3806:$K$4045,"&lt;"&amp;$K3976))</f>
        <v>0</v>
      </c>
      <c r="R3976" s="75">
        <f>IF($K3976="",0,COUNTIFS('Rate Log'!$J$7:$J$177,'Rate Log'!$J$177,$L$3806:$L3976,$L3976,$K$3806:$K3976,$K3976))</f>
        <v>0</v>
      </c>
      <c r="S3976" s="75">
        <f t="shared" si="1483"/>
        <v>0</v>
      </c>
      <c r="U3976" s="74" t="str">
        <f>IF('Rate Log'!$C$177="","",IF('Rate Log'!$E$177="planned",EDATE('Rate Log'!$C$177,N(INDEX(sc_shift,3))),'Rate Log'!$C$177))</f>
        <v/>
      </c>
      <c r="V3976" s="74" t="str">
        <f t="shared" si="1484"/>
        <v/>
      </c>
      <c r="W3976" s="72">
        <f>IF(N(INDEX(sc_ach,3))=0,IF('Rate Log'!$G$177="",1,'Rate Log'!$G$177),INDEX(sc_ach,3))</f>
        <v>1</v>
      </c>
      <c r="X3976" s="72">
        <f>IF('Rate Log'!$C$177="",0,IF('Rate Log'!$E$177="planned",('Rate Log'!$D$177+N(INDEX(sc_dpts,3)))*$W3976,'Rate Log'!$D$177))</f>
        <v>0</v>
      </c>
      <c r="Y3976" s="73">
        <f>IF('Rate Log'!$C$177="",0,IF(1+$X3976&gt;0,LN(1+$X3976),0))</f>
        <v>0</v>
      </c>
      <c r="Z3976" s="75">
        <f t="shared" si="1485"/>
        <v>0</v>
      </c>
      <c r="AA3976" s="75">
        <f>IF($U3976="",0,COUNTIFS(rl_key,'Rate Log'!$J$177,$V$3806:$V$4045,$V3976,$U$3806:$U$4045,"&lt;"&amp;$U3976))</f>
        <v>0</v>
      </c>
      <c r="AB3976" s="75">
        <f>IF($U3976="",0,COUNTIFS('Rate Log'!$J$7:$J$177,'Rate Log'!$J$177,$V$3806:$V3976,$V3976,$U$3806:$U3976,$U3976))</f>
        <v>0</v>
      </c>
      <c r="AC3976" s="75">
        <f t="shared" si="1486"/>
        <v>0</v>
      </c>
      <c r="AE3976" s="74" t="str">
        <f>IF('Rate Log'!$C$177="","",IF('Rate Log'!$E$177="planned",EDATE('Rate Log'!$C$177,N(INDEX(sc_shift,4))),'Rate Log'!$C$177))</f>
        <v/>
      </c>
      <c r="AF3976" s="74" t="str">
        <f t="shared" si="1487"/>
        <v/>
      </c>
      <c r="AG3976" s="72">
        <f>IF(N(INDEX(sc_ach,4))=0,IF('Rate Log'!$G$177="",1,'Rate Log'!$G$177),INDEX(sc_ach,4))</f>
        <v>1</v>
      </c>
      <c r="AH3976" s="72">
        <f>IF('Rate Log'!$C$177="",0,IF('Rate Log'!$E$177="planned",('Rate Log'!$D$177+N(INDEX(sc_dpts,4)))*$AG3976,'Rate Log'!$D$177))</f>
        <v>0</v>
      </c>
      <c r="AI3976" s="73">
        <f>IF('Rate Log'!$C$177="",0,IF(1+$AH3976&gt;0,LN(1+$AH3976),0))</f>
        <v>0</v>
      </c>
      <c r="AJ3976" s="75">
        <f t="shared" si="1488"/>
        <v>0</v>
      </c>
      <c r="AK3976" s="75">
        <f>IF($AE3976="",0,COUNTIFS(rl_key,'Rate Log'!$J$177,$AF$3806:$AF$4045,$AF3976,$AE$3806:$AE$4045,"&lt;"&amp;$AE3976))</f>
        <v>0</v>
      </c>
      <c r="AL3976" s="75">
        <f>IF($AE3976="",0,COUNTIFS('Rate Log'!$J$7:$J$177,'Rate Log'!$J$177,$AF$3806:$AF3976,$AF3976,$AE$3806:$AE3976,$AE3976))</f>
        <v>0</v>
      </c>
      <c r="AM3976" s="75">
        <f t="shared" si="1489"/>
        <v>0</v>
      </c>
    </row>
    <row r="3977" spans="1:39" x14ac:dyDescent="0.3">
      <c r="A3977" s="74" t="str">
        <f>IF('Rate Log'!$C$178="","",IF('Rate Log'!$E$178="planned",EDATE('Rate Log'!$C$178,N(INDEX(sc_shift,1))),'Rate Log'!$C$178))</f>
        <v/>
      </c>
      <c r="B3977" s="74" t="str">
        <f t="shared" si="1478"/>
        <v/>
      </c>
      <c r="C3977" s="72">
        <f>IF(N(INDEX(sc_ach,1))=0,IF('Rate Log'!$G$178="",1,'Rate Log'!$G$178),INDEX(sc_ach,1))</f>
        <v>1</v>
      </c>
      <c r="D3977" s="72">
        <f>IF('Rate Log'!$C$178="",0,IF('Rate Log'!$E$178="planned",('Rate Log'!$D$178+N(INDEX(sc_dpts,1)))*$C3977,'Rate Log'!$D$178))</f>
        <v>0</v>
      </c>
      <c r="E3977" s="73">
        <f>IF('Rate Log'!$C$178="",0,IF(1+$D3977&gt;0,LN(1+$D3977),0))</f>
        <v>0</v>
      </c>
      <c r="F3977" s="75">
        <f t="shared" si="1479"/>
        <v>0</v>
      </c>
      <c r="G3977" s="75">
        <f>IF($A3977="",0,COUNTIFS(rl_key,'Rate Log'!$J$178,$B$3806:$B$4045,$B3977,$A$3806:$A$4045,"&lt;"&amp;$A3977))</f>
        <v>0</v>
      </c>
      <c r="H3977" s="75">
        <f>IF($A3977="",0,COUNTIFS('Rate Log'!$J$7:$J$178,'Rate Log'!$J$178,$B$3806:$B3977,$B3977,$A$3806:$A3977,$A3977))</f>
        <v>0</v>
      </c>
      <c r="I3977" s="75">
        <f t="shared" si="1480"/>
        <v>0</v>
      </c>
      <c r="K3977" s="74" t="str">
        <f>IF('Rate Log'!$C$178="","",IF('Rate Log'!$E$178="planned",EDATE('Rate Log'!$C$178,N(INDEX(sc_shift,2))),'Rate Log'!$C$178))</f>
        <v/>
      </c>
      <c r="L3977" s="74" t="str">
        <f t="shared" si="1481"/>
        <v/>
      </c>
      <c r="M3977" s="72">
        <f>IF(N(INDEX(sc_ach,2))=0,IF('Rate Log'!$G$178="",1,'Rate Log'!$G$178),INDEX(sc_ach,2))</f>
        <v>1</v>
      </c>
      <c r="N3977" s="72">
        <f>IF('Rate Log'!$C$178="",0,IF('Rate Log'!$E$178="planned",('Rate Log'!$D$178+N(INDEX(sc_dpts,2)))*$M3977,'Rate Log'!$D$178))</f>
        <v>0</v>
      </c>
      <c r="O3977" s="73">
        <f>IF('Rate Log'!$C$178="",0,IF(1+$N3977&gt;0,LN(1+$N3977),0))</f>
        <v>0</v>
      </c>
      <c r="P3977" s="75">
        <f t="shared" si="1482"/>
        <v>0</v>
      </c>
      <c r="Q3977" s="75">
        <f>IF($K3977="",0,COUNTIFS(rl_key,'Rate Log'!$J$178,$L$3806:$L$4045,$L3977,$K$3806:$K$4045,"&lt;"&amp;$K3977))</f>
        <v>0</v>
      </c>
      <c r="R3977" s="75">
        <f>IF($K3977="",0,COUNTIFS('Rate Log'!$J$7:$J$178,'Rate Log'!$J$178,$L$3806:$L3977,$L3977,$K$3806:$K3977,$K3977))</f>
        <v>0</v>
      </c>
      <c r="S3977" s="75">
        <f t="shared" si="1483"/>
        <v>0</v>
      </c>
      <c r="U3977" s="74" t="str">
        <f>IF('Rate Log'!$C$178="","",IF('Rate Log'!$E$178="planned",EDATE('Rate Log'!$C$178,N(INDEX(sc_shift,3))),'Rate Log'!$C$178))</f>
        <v/>
      </c>
      <c r="V3977" s="74" t="str">
        <f t="shared" si="1484"/>
        <v/>
      </c>
      <c r="W3977" s="72">
        <f>IF(N(INDEX(sc_ach,3))=0,IF('Rate Log'!$G$178="",1,'Rate Log'!$G$178),INDEX(sc_ach,3))</f>
        <v>1</v>
      </c>
      <c r="X3977" s="72">
        <f>IF('Rate Log'!$C$178="",0,IF('Rate Log'!$E$178="planned",('Rate Log'!$D$178+N(INDEX(sc_dpts,3)))*$W3977,'Rate Log'!$D$178))</f>
        <v>0</v>
      </c>
      <c r="Y3977" s="73">
        <f>IF('Rate Log'!$C$178="",0,IF(1+$X3977&gt;0,LN(1+$X3977),0))</f>
        <v>0</v>
      </c>
      <c r="Z3977" s="75">
        <f t="shared" si="1485"/>
        <v>0</v>
      </c>
      <c r="AA3977" s="75">
        <f>IF($U3977="",0,COUNTIFS(rl_key,'Rate Log'!$J$178,$V$3806:$V$4045,$V3977,$U$3806:$U$4045,"&lt;"&amp;$U3977))</f>
        <v>0</v>
      </c>
      <c r="AB3977" s="75">
        <f>IF($U3977="",0,COUNTIFS('Rate Log'!$J$7:$J$178,'Rate Log'!$J$178,$V$3806:$V3977,$V3977,$U$3806:$U3977,$U3977))</f>
        <v>0</v>
      </c>
      <c r="AC3977" s="75">
        <f t="shared" si="1486"/>
        <v>0</v>
      </c>
      <c r="AE3977" s="74" t="str">
        <f>IF('Rate Log'!$C$178="","",IF('Rate Log'!$E$178="planned",EDATE('Rate Log'!$C$178,N(INDEX(sc_shift,4))),'Rate Log'!$C$178))</f>
        <v/>
      </c>
      <c r="AF3977" s="74" t="str">
        <f t="shared" si="1487"/>
        <v/>
      </c>
      <c r="AG3977" s="72">
        <f>IF(N(INDEX(sc_ach,4))=0,IF('Rate Log'!$G$178="",1,'Rate Log'!$G$178),INDEX(sc_ach,4))</f>
        <v>1</v>
      </c>
      <c r="AH3977" s="72">
        <f>IF('Rate Log'!$C$178="",0,IF('Rate Log'!$E$178="planned",('Rate Log'!$D$178+N(INDEX(sc_dpts,4)))*$AG3977,'Rate Log'!$D$178))</f>
        <v>0</v>
      </c>
      <c r="AI3977" s="73">
        <f>IF('Rate Log'!$C$178="",0,IF(1+$AH3977&gt;0,LN(1+$AH3977),0))</f>
        <v>0</v>
      </c>
      <c r="AJ3977" s="75">
        <f t="shared" si="1488"/>
        <v>0</v>
      </c>
      <c r="AK3977" s="75">
        <f>IF($AE3977="",0,COUNTIFS(rl_key,'Rate Log'!$J$178,$AF$3806:$AF$4045,$AF3977,$AE$3806:$AE$4045,"&lt;"&amp;$AE3977))</f>
        <v>0</v>
      </c>
      <c r="AL3977" s="75">
        <f>IF($AE3977="",0,COUNTIFS('Rate Log'!$J$7:$J$178,'Rate Log'!$J$178,$AF$3806:$AF3977,$AF3977,$AE$3806:$AE3977,$AE3977))</f>
        <v>0</v>
      </c>
      <c r="AM3977" s="75">
        <f t="shared" si="1489"/>
        <v>0</v>
      </c>
    </row>
    <row r="3978" spans="1:39" x14ac:dyDescent="0.3">
      <c r="A3978" s="74" t="str">
        <f>IF('Rate Log'!$C$179="","",IF('Rate Log'!$E$179="planned",EDATE('Rate Log'!$C$179,N(INDEX(sc_shift,1))),'Rate Log'!$C$179))</f>
        <v/>
      </c>
      <c r="B3978" s="74" t="str">
        <f t="shared" si="1478"/>
        <v/>
      </c>
      <c r="C3978" s="72">
        <f>IF(N(INDEX(sc_ach,1))=0,IF('Rate Log'!$G$179="",1,'Rate Log'!$G$179),INDEX(sc_ach,1))</f>
        <v>1</v>
      </c>
      <c r="D3978" s="72">
        <f>IF('Rate Log'!$C$179="",0,IF('Rate Log'!$E$179="planned",('Rate Log'!$D$179+N(INDEX(sc_dpts,1)))*$C3978,'Rate Log'!$D$179))</f>
        <v>0</v>
      </c>
      <c r="E3978" s="73">
        <f>IF('Rate Log'!$C$179="",0,IF(1+$D3978&gt;0,LN(1+$D3978),0))</f>
        <v>0</v>
      </c>
      <c r="F3978" s="75">
        <f t="shared" si="1479"/>
        <v>0</v>
      </c>
      <c r="G3978" s="75">
        <f>IF($A3978="",0,COUNTIFS(rl_key,'Rate Log'!$J$179,$B$3806:$B$4045,$B3978,$A$3806:$A$4045,"&lt;"&amp;$A3978))</f>
        <v>0</v>
      </c>
      <c r="H3978" s="75">
        <f>IF($A3978="",0,COUNTIFS('Rate Log'!$J$7:$J$179,'Rate Log'!$J$179,$B$3806:$B3978,$B3978,$A$3806:$A3978,$A3978))</f>
        <v>0</v>
      </c>
      <c r="I3978" s="75">
        <f t="shared" si="1480"/>
        <v>0</v>
      </c>
      <c r="K3978" s="74" t="str">
        <f>IF('Rate Log'!$C$179="","",IF('Rate Log'!$E$179="planned",EDATE('Rate Log'!$C$179,N(INDEX(sc_shift,2))),'Rate Log'!$C$179))</f>
        <v/>
      </c>
      <c r="L3978" s="74" t="str">
        <f t="shared" si="1481"/>
        <v/>
      </c>
      <c r="M3978" s="72">
        <f>IF(N(INDEX(sc_ach,2))=0,IF('Rate Log'!$G$179="",1,'Rate Log'!$G$179),INDEX(sc_ach,2))</f>
        <v>1</v>
      </c>
      <c r="N3978" s="72">
        <f>IF('Rate Log'!$C$179="",0,IF('Rate Log'!$E$179="planned",('Rate Log'!$D$179+N(INDEX(sc_dpts,2)))*$M3978,'Rate Log'!$D$179))</f>
        <v>0</v>
      </c>
      <c r="O3978" s="73">
        <f>IF('Rate Log'!$C$179="",0,IF(1+$N3978&gt;0,LN(1+$N3978),0))</f>
        <v>0</v>
      </c>
      <c r="P3978" s="75">
        <f t="shared" si="1482"/>
        <v>0</v>
      </c>
      <c r="Q3978" s="75">
        <f>IF($K3978="",0,COUNTIFS(rl_key,'Rate Log'!$J$179,$L$3806:$L$4045,$L3978,$K$3806:$K$4045,"&lt;"&amp;$K3978))</f>
        <v>0</v>
      </c>
      <c r="R3978" s="75">
        <f>IF($K3978="",0,COUNTIFS('Rate Log'!$J$7:$J$179,'Rate Log'!$J$179,$L$3806:$L3978,$L3978,$K$3806:$K3978,$K3978))</f>
        <v>0</v>
      </c>
      <c r="S3978" s="75">
        <f t="shared" si="1483"/>
        <v>0</v>
      </c>
      <c r="U3978" s="74" t="str">
        <f>IF('Rate Log'!$C$179="","",IF('Rate Log'!$E$179="planned",EDATE('Rate Log'!$C$179,N(INDEX(sc_shift,3))),'Rate Log'!$C$179))</f>
        <v/>
      </c>
      <c r="V3978" s="74" t="str">
        <f t="shared" si="1484"/>
        <v/>
      </c>
      <c r="W3978" s="72">
        <f>IF(N(INDEX(sc_ach,3))=0,IF('Rate Log'!$G$179="",1,'Rate Log'!$G$179),INDEX(sc_ach,3))</f>
        <v>1</v>
      </c>
      <c r="X3978" s="72">
        <f>IF('Rate Log'!$C$179="",0,IF('Rate Log'!$E$179="planned",('Rate Log'!$D$179+N(INDEX(sc_dpts,3)))*$W3978,'Rate Log'!$D$179))</f>
        <v>0</v>
      </c>
      <c r="Y3978" s="73">
        <f>IF('Rate Log'!$C$179="",0,IF(1+$X3978&gt;0,LN(1+$X3978),0))</f>
        <v>0</v>
      </c>
      <c r="Z3978" s="75">
        <f t="shared" si="1485"/>
        <v>0</v>
      </c>
      <c r="AA3978" s="75">
        <f>IF($U3978="",0,COUNTIFS(rl_key,'Rate Log'!$J$179,$V$3806:$V$4045,$V3978,$U$3806:$U$4045,"&lt;"&amp;$U3978))</f>
        <v>0</v>
      </c>
      <c r="AB3978" s="75">
        <f>IF($U3978="",0,COUNTIFS('Rate Log'!$J$7:$J$179,'Rate Log'!$J$179,$V$3806:$V3978,$V3978,$U$3806:$U3978,$U3978))</f>
        <v>0</v>
      </c>
      <c r="AC3978" s="75">
        <f t="shared" si="1486"/>
        <v>0</v>
      </c>
      <c r="AE3978" s="74" t="str">
        <f>IF('Rate Log'!$C$179="","",IF('Rate Log'!$E$179="planned",EDATE('Rate Log'!$C$179,N(INDEX(sc_shift,4))),'Rate Log'!$C$179))</f>
        <v/>
      </c>
      <c r="AF3978" s="74" t="str">
        <f t="shared" si="1487"/>
        <v/>
      </c>
      <c r="AG3978" s="72">
        <f>IF(N(INDEX(sc_ach,4))=0,IF('Rate Log'!$G$179="",1,'Rate Log'!$G$179),INDEX(sc_ach,4))</f>
        <v>1</v>
      </c>
      <c r="AH3978" s="72">
        <f>IF('Rate Log'!$C$179="",0,IF('Rate Log'!$E$179="planned",('Rate Log'!$D$179+N(INDEX(sc_dpts,4)))*$AG3978,'Rate Log'!$D$179))</f>
        <v>0</v>
      </c>
      <c r="AI3978" s="73">
        <f>IF('Rate Log'!$C$179="",0,IF(1+$AH3978&gt;0,LN(1+$AH3978),0))</f>
        <v>0</v>
      </c>
      <c r="AJ3978" s="75">
        <f t="shared" si="1488"/>
        <v>0</v>
      </c>
      <c r="AK3978" s="75">
        <f>IF($AE3978="",0,COUNTIFS(rl_key,'Rate Log'!$J$179,$AF$3806:$AF$4045,$AF3978,$AE$3806:$AE$4045,"&lt;"&amp;$AE3978))</f>
        <v>0</v>
      </c>
      <c r="AL3978" s="75">
        <f>IF($AE3978="",0,COUNTIFS('Rate Log'!$J$7:$J$179,'Rate Log'!$J$179,$AF$3806:$AF3978,$AF3978,$AE$3806:$AE3978,$AE3978))</f>
        <v>0</v>
      </c>
      <c r="AM3978" s="75">
        <f t="shared" si="1489"/>
        <v>0</v>
      </c>
    </row>
    <row r="3979" spans="1:39" x14ac:dyDescent="0.3">
      <c r="A3979" s="74" t="str">
        <f>IF('Rate Log'!$C$180="","",IF('Rate Log'!$E$180="planned",EDATE('Rate Log'!$C$180,N(INDEX(sc_shift,1))),'Rate Log'!$C$180))</f>
        <v/>
      </c>
      <c r="B3979" s="74" t="str">
        <f t="shared" si="1478"/>
        <v/>
      </c>
      <c r="C3979" s="72">
        <f>IF(N(INDEX(sc_ach,1))=0,IF('Rate Log'!$G$180="",1,'Rate Log'!$G$180),INDEX(sc_ach,1))</f>
        <v>1</v>
      </c>
      <c r="D3979" s="72">
        <f>IF('Rate Log'!$C$180="",0,IF('Rate Log'!$E$180="planned",('Rate Log'!$D$180+N(INDEX(sc_dpts,1)))*$C3979,'Rate Log'!$D$180))</f>
        <v>0</v>
      </c>
      <c r="E3979" s="73">
        <f>IF('Rate Log'!$C$180="",0,IF(1+$D3979&gt;0,LN(1+$D3979),0))</f>
        <v>0</v>
      </c>
      <c r="F3979" s="75">
        <f t="shared" si="1479"/>
        <v>0</v>
      </c>
      <c r="G3979" s="75">
        <f>IF($A3979="",0,COUNTIFS(rl_key,'Rate Log'!$J$180,$B$3806:$B$4045,$B3979,$A$3806:$A$4045,"&lt;"&amp;$A3979))</f>
        <v>0</v>
      </c>
      <c r="H3979" s="75">
        <f>IF($A3979="",0,COUNTIFS('Rate Log'!$J$7:$J$180,'Rate Log'!$J$180,$B$3806:$B3979,$B3979,$A$3806:$A3979,$A3979))</f>
        <v>0</v>
      </c>
      <c r="I3979" s="75">
        <f t="shared" si="1480"/>
        <v>0</v>
      </c>
      <c r="K3979" s="74" t="str">
        <f>IF('Rate Log'!$C$180="","",IF('Rate Log'!$E$180="planned",EDATE('Rate Log'!$C$180,N(INDEX(sc_shift,2))),'Rate Log'!$C$180))</f>
        <v/>
      </c>
      <c r="L3979" s="74" t="str">
        <f t="shared" si="1481"/>
        <v/>
      </c>
      <c r="M3979" s="72">
        <f>IF(N(INDEX(sc_ach,2))=0,IF('Rate Log'!$G$180="",1,'Rate Log'!$G$180),INDEX(sc_ach,2))</f>
        <v>1</v>
      </c>
      <c r="N3979" s="72">
        <f>IF('Rate Log'!$C$180="",0,IF('Rate Log'!$E$180="planned",('Rate Log'!$D$180+N(INDEX(sc_dpts,2)))*$M3979,'Rate Log'!$D$180))</f>
        <v>0</v>
      </c>
      <c r="O3979" s="73">
        <f>IF('Rate Log'!$C$180="",0,IF(1+$N3979&gt;0,LN(1+$N3979),0))</f>
        <v>0</v>
      </c>
      <c r="P3979" s="75">
        <f t="shared" si="1482"/>
        <v>0</v>
      </c>
      <c r="Q3979" s="75">
        <f>IF($K3979="",0,COUNTIFS(rl_key,'Rate Log'!$J$180,$L$3806:$L$4045,$L3979,$K$3806:$K$4045,"&lt;"&amp;$K3979))</f>
        <v>0</v>
      </c>
      <c r="R3979" s="75">
        <f>IF($K3979="",0,COUNTIFS('Rate Log'!$J$7:$J$180,'Rate Log'!$J$180,$L$3806:$L3979,$L3979,$K$3806:$K3979,$K3979))</f>
        <v>0</v>
      </c>
      <c r="S3979" s="75">
        <f t="shared" si="1483"/>
        <v>0</v>
      </c>
      <c r="U3979" s="74" t="str">
        <f>IF('Rate Log'!$C$180="","",IF('Rate Log'!$E$180="planned",EDATE('Rate Log'!$C$180,N(INDEX(sc_shift,3))),'Rate Log'!$C$180))</f>
        <v/>
      </c>
      <c r="V3979" s="74" t="str">
        <f t="shared" si="1484"/>
        <v/>
      </c>
      <c r="W3979" s="72">
        <f>IF(N(INDEX(sc_ach,3))=0,IF('Rate Log'!$G$180="",1,'Rate Log'!$G$180),INDEX(sc_ach,3))</f>
        <v>1</v>
      </c>
      <c r="X3979" s="72">
        <f>IF('Rate Log'!$C$180="",0,IF('Rate Log'!$E$180="planned",('Rate Log'!$D$180+N(INDEX(sc_dpts,3)))*$W3979,'Rate Log'!$D$180))</f>
        <v>0</v>
      </c>
      <c r="Y3979" s="73">
        <f>IF('Rate Log'!$C$180="",0,IF(1+$X3979&gt;0,LN(1+$X3979),0))</f>
        <v>0</v>
      </c>
      <c r="Z3979" s="75">
        <f t="shared" si="1485"/>
        <v>0</v>
      </c>
      <c r="AA3979" s="75">
        <f>IF($U3979="",0,COUNTIFS(rl_key,'Rate Log'!$J$180,$V$3806:$V$4045,$V3979,$U$3806:$U$4045,"&lt;"&amp;$U3979))</f>
        <v>0</v>
      </c>
      <c r="AB3979" s="75">
        <f>IF($U3979="",0,COUNTIFS('Rate Log'!$J$7:$J$180,'Rate Log'!$J$180,$V$3806:$V3979,$V3979,$U$3806:$U3979,$U3979))</f>
        <v>0</v>
      </c>
      <c r="AC3979" s="75">
        <f t="shared" si="1486"/>
        <v>0</v>
      </c>
      <c r="AE3979" s="74" t="str">
        <f>IF('Rate Log'!$C$180="","",IF('Rate Log'!$E$180="planned",EDATE('Rate Log'!$C$180,N(INDEX(sc_shift,4))),'Rate Log'!$C$180))</f>
        <v/>
      </c>
      <c r="AF3979" s="74" t="str">
        <f t="shared" si="1487"/>
        <v/>
      </c>
      <c r="AG3979" s="72">
        <f>IF(N(INDEX(sc_ach,4))=0,IF('Rate Log'!$G$180="",1,'Rate Log'!$G$180),INDEX(sc_ach,4))</f>
        <v>1</v>
      </c>
      <c r="AH3979" s="72">
        <f>IF('Rate Log'!$C$180="",0,IF('Rate Log'!$E$180="planned",('Rate Log'!$D$180+N(INDEX(sc_dpts,4)))*$AG3979,'Rate Log'!$D$180))</f>
        <v>0</v>
      </c>
      <c r="AI3979" s="73">
        <f>IF('Rate Log'!$C$180="",0,IF(1+$AH3979&gt;0,LN(1+$AH3979),0))</f>
        <v>0</v>
      </c>
      <c r="AJ3979" s="75">
        <f t="shared" si="1488"/>
        <v>0</v>
      </c>
      <c r="AK3979" s="75">
        <f>IF($AE3979="",0,COUNTIFS(rl_key,'Rate Log'!$J$180,$AF$3806:$AF$4045,$AF3979,$AE$3806:$AE$4045,"&lt;"&amp;$AE3979))</f>
        <v>0</v>
      </c>
      <c r="AL3979" s="75">
        <f>IF($AE3979="",0,COUNTIFS('Rate Log'!$J$7:$J$180,'Rate Log'!$J$180,$AF$3806:$AF3979,$AF3979,$AE$3806:$AE3979,$AE3979))</f>
        <v>0</v>
      </c>
      <c r="AM3979" s="75">
        <f t="shared" si="1489"/>
        <v>0</v>
      </c>
    </row>
    <row r="3980" spans="1:39" x14ac:dyDescent="0.3">
      <c r="A3980" s="74" t="str">
        <f>IF('Rate Log'!$C$181="","",IF('Rate Log'!$E$181="planned",EDATE('Rate Log'!$C$181,N(INDEX(sc_shift,1))),'Rate Log'!$C$181))</f>
        <v/>
      </c>
      <c r="B3980" s="74" t="str">
        <f t="shared" si="1478"/>
        <v/>
      </c>
      <c r="C3980" s="72">
        <f>IF(N(INDEX(sc_ach,1))=0,IF('Rate Log'!$G$181="",1,'Rate Log'!$G$181),INDEX(sc_ach,1))</f>
        <v>1</v>
      </c>
      <c r="D3980" s="72">
        <f>IF('Rate Log'!$C$181="",0,IF('Rate Log'!$E$181="planned",('Rate Log'!$D$181+N(INDEX(sc_dpts,1)))*$C3980,'Rate Log'!$D$181))</f>
        <v>0</v>
      </c>
      <c r="E3980" s="73">
        <f>IF('Rate Log'!$C$181="",0,IF(1+$D3980&gt;0,LN(1+$D3980),0))</f>
        <v>0</v>
      </c>
      <c r="F3980" s="75">
        <f t="shared" si="1479"/>
        <v>0</v>
      </c>
      <c r="G3980" s="75">
        <f>IF($A3980="",0,COUNTIFS(rl_key,'Rate Log'!$J$181,$B$3806:$B$4045,$B3980,$A$3806:$A$4045,"&lt;"&amp;$A3980))</f>
        <v>0</v>
      </c>
      <c r="H3980" s="75">
        <f>IF($A3980="",0,COUNTIFS('Rate Log'!$J$7:$J$181,'Rate Log'!$J$181,$B$3806:$B3980,$B3980,$A$3806:$A3980,$A3980))</f>
        <v>0</v>
      </c>
      <c r="I3980" s="75">
        <f t="shared" si="1480"/>
        <v>0</v>
      </c>
      <c r="K3980" s="74" t="str">
        <f>IF('Rate Log'!$C$181="","",IF('Rate Log'!$E$181="planned",EDATE('Rate Log'!$C$181,N(INDEX(sc_shift,2))),'Rate Log'!$C$181))</f>
        <v/>
      </c>
      <c r="L3980" s="74" t="str">
        <f t="shared" si="1481"/>
        <v/>
      </c>
      <c r="M3980" s="72">
        <f>IF(N(INDEX(sc_ach,2))=0,IF('Rate Log'!$G$181="",1,'Rate Log'!$G$181),INDEX(sc_ach,2))</f>
        <v>1</v>
      </c>
      <c r="N3980" s="72">
        <f>IF('Rate Log'!$C$181="",0,IF('Rate Log'!$E$181="planned",('Rate Log'!$D$181+N(INDEX(sc_dpts,2)))*$M3980,'Rate Log'!$D$181))</f>
        <v>0</v>
      </c>
      <c r="O3980" s="73">
        <f>IF('Rate Log'!$C$181="",0,IF(1+$N3980&gt;0,LN(1+$N3980),0))</f>
        <v>0</v>
      </c>
      <c r="P3980" s="75">
        <f t="shared" si="1482"/>
        <v>0</v>
      </c>
      <c r="Q3980" s="75">
        <f>IF($K3980="",0,COUNTIFS(rl_key,'Rate Log'!$J$181,$L$3806:$L$4045,$L3980,$K$3806:$K$4045,"&lt;"&amp;$K3980))</f>
        <v>0</v>
      </c>
      <c r="R3980" s="75">
        <f>IF($K3980="",0,COUNTIFS('Rate Log'!$J$7:$J$181,'Rate Log'!$J$181,$L$3806:$L3980,$L3980,$K$3806:$K3980,$K3980))</f>
        <v>0</v>
      </c>
      <c r="S3980" s="75">
        <f t="shared" si="1483"/>
        <v>0</v>
      </c>
      <c r="U3980" s="74" t="str">
        <f>IF('Rate Log'!$C$181="","",IF('Rate Log'!$E$181="planned",EDATE('Rate Log'!$C$181,N(INDEX(sc_shift,3))),'Rate Log'!$C$181))</f>
        <v/>
      </c>
      <c r="V3980" s="74" t="str">
        <f t="shared" si="1484"/>
        <v/>
      </c>
      <c r="W3980" s="72">
        <f>IF(N(INDEX(sc_ach,3))=0,IF('Rate Log'!$G$181="",1,'Rate Log'!$G$181),INDEX(sc_ach,3))</f>
        <v>1</v>
      </c>
      <c r="X3980" s="72">
        <f>IF('Rate Log'!$C$181="",0,IF('Rate Log'!$E$181="planned",('Rate Log'!$D$181+N(INDEX(sc_dpts,3)))*$W3980,'Rate Log'!$D$181))</f>
        <v>0</v>
      </c>
      <c r="Y3980" s="73">
        <f>IF('Rate Log'!$C$181="",0,IF(1+$X3980&gt;0,LN(1+$X3980),0))</f>
        <v>0</v>
      </c>
      <c r="Z3980" s="75">
        <f t="shared" si="1485"/>
        <v>0</v>
      </c>
      <c r="AA3980" s="75">
        <f>IF($U3980="",0,COUNTIFS(rl_key,'Rate Log'!$J$181,$V$3806:$V$4045,$V3980,$U$3806:$U$4045,"&lt;"&amp;$U3980))</f>
        <v>0</v>
      </c>
      <c r="AB3980" s="75">
        <f>IF($U3980="",0,COUNTIFS('Rate Log'!$J$7:$J$181,'Rate Log'!$J$181,$V$3806:$V3980,$V3980,$U$3806:$U3980,$U3980))</f>
        <v>0</v>
      </c>
      <c r="AC3980" s="75">
        <f t="shared" si="1486"/>
        <v>0</v>
      </c>
      <c r="AE3980" s="74" t="str">
        <f>IF('Rate Log'!$C$181="","",IF('Rate Log'!$E$181="planned",EDATE('Rate Log'!$C$181,N(INDEX(sc_shift,4))),'Rate Log'!$C$181))</f>
        <v/>
      </c>
      <c r="AF3980" s="74" t="str">
        <f t="shared" si="1487"/>
        <v/>
      </c>
      <c r="AG3980" s="72">
        <f>IF(N(INDEX(sc_ach,4))=0,IF('Rate Log'!$G$181="",1,'Rate Log'!$G$181),INDEX(sc_ach,4))</f>
        <v>1</v>
      </c>
      <c r="AH3980" s="72">
        <f>IF('Rate Log'!$C$181="",0,IF('Rate Log'!$E$181="planned",('Rate Log'!$D$181+N(INDEX(sc_dpts,4)))*$AG3980,'Rate Log'!$D$181))</f>
        <v>0</v>
      </c>
      <c r="AI3980" s="73">
        <f>IF('Rate Log'!$C$181="",0,IF(1+$AH3980&gt;0,LN(1+$AH3980),0))</f>
        <v>0</v>
      </c>
      <c r="AJ3980" s="75">
        <f t="shared" si="1488"/>
        <v>0</v>
      </c>
      <c r="AK3980" s="75">
        <f>IF($AE3980="",0,COUNTIFS(rl_key,'Rate Log'!$J$181,$AF$3806:$AF$4045,$AF3980,$AE$3806:$AE$4045,"&lt;"&amp;$AE3980))</f>
        <v>0</v>
      </c>
      <c r="AL3980" s="75">
        <f>IF($AE3980="",0,COUNTIFS('Rate Log'!$J$7:$J$181,'Rate Log'!$J$181,$AF$3806:$AF3980,$AF3980,$AE$3806:$AE3980,$AE3980))</f>
        <v>0</v>
      </c>
      <c r="AM3980" s="75">
        <f t="shared" si="1489"/>
        <v>0</v>
      </c>
    </row>
    <row r="3981" spans="1:39" x14ac:dyDescent="0.3">
      <c r="A3981" s="74" t="str">
        <f>IF('Rate Log'!$C$182="","",IF('Rate Log'!$E$182="planned",EDATE('Rate Log'!$C$182,N(INDEX(sc_shift,1))),'Rate Log'!$C$182))</f>
        <v/>
      </c>
      <c r="B3981" s="74" t="str">
        <f t="shared" si="1478"/>
        <v/>
      </c>
      <c r="C3981" s="72">
        <f>IF(N(INDEX(sc_ach,1))=0,IF('Rate Log'!$G$182="",1,'Rate Log'!$G$182),INDEX(sc_ach,1))</f>
        <v>1</v>
      </c>
      <c r="D3981" s="72">
        <f>IF('Rate Log'!$C$182="",0,IF('Rate Log'!$E$182="planned",('Rate Log'!$D$182+N(INDEX(sc_dpts,1)))*$C3981,'Rate Log'!$D$182))</f>
        <v>0</v>
      </c>
      <c r="E3981" s="73">
        <f>IF('Rate Log'!$C$182="",0,IF(1+$D3981&gt;0,LN(1+$D3981),0))</f>
        <v>0</v>
      </c>
      <c r="F3981" s="75">
        <f t="shared" si="1479"/>
        <v>0</v>
      </c>
      <c r="G3981" s="75">
        <f>IF($A3981="",0,COUNTIFS(rl_key,'Rate Log'!$J$182,$B$3806:$B$4045,$B3981,$A$3806:$A$4045,"&lt;"&amp;$A3981))</f>
        <v>0</v>
      </c>
      <c r="H3981" s="75">
        <f>IF($A3981="",0,COUNTIFS('Rate Log'!$J$7:$J$182,'Rate Log'!$J$182,$B$3806:$B3981,$B3981,$A$3806:$A3981,$A3981))</f>
        <v>0</v>
      </c>
      <c r="I3981" s="75">
        <f t="shared" si="1480"/>
        <v>0</v>
      </c>
      <c r="K3981" s="74" t="str">
        <f>IF('Rate Log'!$C$182="","",IF('Rate Log'!$E$182="planned",EDATE('Rate Log'!$C$182,N(INDEX(sc_shift,2))),'Rate Log'!$C$182))</f>
        <v/>
      </c>
      <c r="L3981" s="74" t="str">
        <f t="shared" si="1481"/>
        <v/>
      </c>
      <c r="M3981" s="72">
        <f>IF(N(INDEX(sc_ach,2))=0,IF('Rate Log'!$G$182="",1,'Rate Log'!$G$182),INDEX(sc_ach,2))</f>
        <v>1</v>
      </c>
      <c r="N3981" s="72">
        <f>IF('Rate Log'!$C$182="",0,IF('Rate Log'!$E$182="planned",('Rate Log'!$D$182+N(INDEX(sc_dpts,2)))*$M3981,'Rate Log'!$D$182))</f>
        <v>0</v>
      </c>
      <c r="O3981" s="73">
        <f>IF('Rate Log'!$C$182="",0,IF(1+$N3981&gt;0,LN(1+$N3981),0))</f>
        <v>0</v>
      </c>
      <c r="P3981" s="75">
        <f t="shared" si="1482"/>
        <v>0</v>
      </c>
      <c r="Q3981" s="75">
        <f>IF($K3981="",0,COUNTIFS(rl_key,'Rate Log'!$J$182,$L$3806:$L$4045,$L3981,$K$3806:$K$4045,"&lt;"&amp;$K3981))</f>
        <v>0</v>
      </c>
      <c r="R3981" s="75">
        <f>IF($K3981="",0,COUNTIFS('Rate Log'!$J$7:$J$182,'Rate Log'!$J$182,$L$3806:$L3981,$L3981,$K$3806:$K3981,$K3981))</f>
        <v>0</v>
      </c>
      <c r="S3981" s="75">
        <f t="shared" si="1483"/>
        <v>0</v>
      </c>
      <c r="U3981" s="74" t="str">
        <f>IF('Rate Log'!$C$182="","",IF('Rate Log'!$E$182="planned",EDATE('Rate Log'!$C$182,N(INDEX(sc_shift,3))),'Rate Log'!$C$182))</f>
        <v/>
      </c>
      <c r="V3981" s="74" t="str">
        <f t="shared" si="1484"/>
        <v/>
      </c>
      <c r="W3981" s="72">
        <f>IF(N(INDEX(sc_ach,3))=0,IF('Rate Log'!$G$182="",1,'Rate Log'!$G$182),INDEX(sc_ach,3))</f>
        <v>1</v>
      </c>
      <c r="X3981" s="72">
        <f>IF('Rate Log'!$C$182="",0,IF('Rate Log'!$E$182="planned",('Rate Log'!$D$182+N(INDEX(sc_dpts,3)))*$W3981,'Rate Log'!$D$182))</f>
        <v>0</v>
      </c>
      <c r="Y3981" s="73">
        <f>IF('Rate Log'!$C$182="",0,IF(1+$X3981&gt;0,LN(1+$X3981),0))</f>
        <v>0</v>
      </c>
      <c r="Z3981" s="75">
        <f t="shared" si="1485"/>
        <v>0</v>
      </c>
      <c r="AA3981" s="75">
        <f>IF($U3981="",0,COUNTIFS(rl_key,'Rate Log'!$J$182,$V$3806:$V$4045,$V3981,$U$3806:$U$4045,"&lt;"&amp;$U3981))</f>
        <v>0</v>
      </c>
      <c r="AB3981" s="75">
        <f>IF($U3981="",0,COUNTIFS('Rate Log'!$J$7:$J$182,'Rate Log'!$J$182,$V$3806:$V3981,$V3981,$U$3806:$U3981,$U3981))</f>
        <v>0</v>
      </c>
      <c r="AC3981" s="75">
        <f t="shared" si="1486"/>
        <v>0</v>
      </c>
      <c r="AE3981" s="74" t="str">
        <f>IF('Rate Log'!$C$182="","",IF('Rate Log'!$E$182="planned",EDATE('Rate Log'!$C$182,N(INDEX(sc_shift,4))),'Rate Log'!$C$182))</f>
        <v/>
      </c>
      <c r="AF3981" s="74" t="str">
        <f t="shared" si="1487"/>
        <v/>
      </c>
      <c r="AG3981" s="72">
        <f>IF(N(INDEX(sc_ach,4))=0,IF('Rate Log'!$G$182="",1,'Rate Log'!$G$182),INDEX(sc_ach,4))</f>
        <v>1</v>
      </c>
      <c r="AH3981" s="72">
        <f>IF('Rate Log'!$C$182="",0,IF('Rate Log'!$E$182="planned",('Rate Log'!$D$182+N(INDEX(sc_dpts,4)))*$AG3981,'Rate Log'!$D$182))</f>
        <v>0</v>
      </c>
      <c r="AI3981" s="73">
        <f>IF('Rate Log'!$C$182="",0,IF(1+$AH3981&gt;0,LN(1+$AH3981),0))</f>
        <v>0</v>
      </c>
      <c r="AJ3981" s="75">
        <f t="shared" si="1488"/>
        <v>0</v>
      </c>
      <c r="AK3981" s="75">
        <f>IF($AE3981="",0,COUNTIFS(rl_key,'Rate Log'!$J$182,$AF$3806:$AF$4045,$AF3981,$AE$3806:$AE$4045,"&lt;"&amp;$AE3981))</f>
        <v>0</v>
      </c>
      <c r="AL3981" s="75">
        <f>IF($AE3981="",0,COUNTIFS('Rate Log'!$J$7:$J$182,'Rate Log'!$J$182,$AF$3806:$AF3981,$AF3981,$AE$3806:$AE3981,$AE3981))</f>
        <v>0</v>
      </c>
      <c r="AM3981" s="75">
        <f t="shared" si="1489"/>
        <v>0</v>
      </c>
    </row>
    <row r="3982" spans="1:39" x14ac:dyDescent="0.3">
      <c r="A3982" s="74" t="str">
        <f>IF('Rate Log'!$C$183="","",IF('Rate Log'!$E$183="planned",EDATE('Rate Log'!$C$183,N(INDEX(sc_shift,1))),'Rate Log'!$C$183))</f>
        <v/>
      </c>
      <c r="B3982" s="74" t="str">
        <f t="shared" si="1478"/>
        <v/>
      </c>
      <c r="C3982" s="72">
        <f>IF(N(INDEX(sc_ach,1))=0,IF('Rate Log'!$G$183="",1,'Rate Log'!$G$183),INDEX(sc_ach,1))</f>
        <v>1</v>
      </c>
      <c r="D3982" s="72">
        <f>IF('Rate Log'!$C$183="",0,IF('Rate Log'!$E$183="planned",('Rate Log'!$D$183+N(INDEX(sc_dpts,1)))*$C3982,'Rate Log'!$D$183))</f>
        <v>0</v>
      </c>
      <c r="E3982" s="73">
        <f>IF('Rate Log'!$C$183="",0,IF(1+$D3982&gt;0,LN(1+$D3982),0))</f>
        <v>0</v>
      </c>
      <c r="F3982" s="75">
        <f t="shared" si="1479"/>
        <v>0</v>
      </c>
      <c r="G3982" s="75">
        <f>IF($A3982="",0,COUNTIFS(rl_key,'Rate Log'!$J$183,$B$3806:$B$4045,$B3982,$A$3806:$A$4045,"&lt;"&amp;$A3982))</f>
        <v>0</v>
      </c>
      <c r="H3982" s="75">
        <f>IF($A3982="",0,COUNTIFS('Rate Log'!$J$7:$J$183,'Rate Log'!$J$183,$B$3806:$B3982,$B3982,$A$3806:$A3982,$A3982))</f>
        <v>0</v>
      </c>
      <c r="I3982" s="75">
        <f t="shared" si="1480"/>
        <v>0</v>
      </c>
      <c r="K3982" s="74" t="str">
        <f>IF('Rate Log'!$C$183="","",IF('Rate Log'!$E$183="planned",EDATE('Rate Log'!$C$183,N(INDEX(sc_shift,2))),'Rate Log'!$C$183))</f>
        <v/>
      </c>
      <c r="L3982" s="74" t="str">
        <f t="shared" si="1481"/>
        <v/>
      </c>
      <c r="M3982" s="72">
        <f>IF(N(INDEX(sc_ach,2))=0,IF('Rate Log'!$G$183="",1,'Rate Log'!$G$183),INDEX(sc_ach,2))</f>
        <v>1</v>
      </c>
      <c r="N3982" s="72">
        <f>IF('Rate Log'!$C$183="",0,IF('Rate Log'!$E$183="planned",('Rate Log'!$D$183+N(INDEX(sc_dpts,2)))*$M3982,'Rate Log'!$D$183))</f>
        <v>0</v>
      </c>
      <c r="O3982" s="73">
        <f>IF('Rate Log'!$C$183="",0,IF(1+$N3982&gt;0,LN(1+$N3982),0))</f>
        <v>0</v>
      </c>
      <c r="P3982" s="75">
        <f t="shared" si="1482"/>
        <v>0</v>
      </c>
      <c r="Q3982" s="75">
        <f>IF($K3982="",0,COUNTIFS(rl_key,'Rate Log'!$J$183,$L$3806:$L$4045,$L3982,$K$3806:$K$4045,"&lt;"&amp;$K3982))</f>
        <v>0</v>
      </c>
      <c r="R3982" s="75">
        <f>IF($K3982="",0,COUNTIFS('Rate Log'!$J$7:$J$183,'Rate Log'!$J$183,$L$3806:$L3982,$L3982,$K$3806:$K3982,$K3982))</f>
        <v>0</v>
      </c>
      <c r="S3982" s="75">
        <f t="shared" si="1483"/>
        <v>0</v>
      </c>
      <c r="U3982" s="74" t="str">
        <f>IF('Rate Log'!$C$183="","",IF('Rate Log'!$E$183="planned",EDATE('Rate Log'!$C$183,N(INDEX(sc_shift,3))),'Rate Log'!$C$183))</f>
        <v/>
      </c>
      <c r="V3982" s="74" t="str">
        <f t="shared" si="1484"/>
        <v/>
      </c>
      <c r="W3982" s="72">
        <f>IF(N(INDEX(sc_ach,3))=0,IF('Rate Log'!$G$183="",1,'Rate Log'!$G$183),INDEX(sc_ach,3))</f>
        <v>1</v>
      </c>
      <c r="X3982" s="72">
        <f>IF('Rate Log'!$C$183="",0,IF('Rate Log'!$E$183="planned",('Rate Log'!$D$183+N(INDEX(sc_dpts,3)))*$W3982,'Rate Log'!$D$183))</f>
        <v>0</v>
      </c>
      <c r="Y3982" s="73">
        <f>IF('Rate Log'!$C$183="",0,IF(1+$X3982&gt;0,LN(1+$X3982),0))</f>
        <v>0</v>
      </c>
      <c r="Z3982" s="75">
        <f t="shared" si="1485"/>
        <v>0</v>
      </c>
      <c r="AA3982" s="75">
        <f>IF($U3982="",0,COUNTIFS(rl_key,'Rate Log'!$J$183,$V$3806:$V$4045,$V3982,$U$3806:$U$4045,"&lt;"&amp;$U3982))</f>
        <v>0</v>
      </c>
      <c r="AB3982" s="75">
        <f>IF($U3982="",0,COUNTIFS('Rate Log'!$J$7:$J$183,'Rate Log'!$J$183,$V$3806:$V3982,$V3982,$U$3806:$U3982,$U3982))</f>
        <v>0</v>
      </c>
      <c r="AC3982" s="75">
        <f t="shared" si="1486"/>
        <v>0</v>
      </c>
      <c r="AE3982" s="74" t="str">
        <f>IF('Rate Log'!$C$183="","",IF('Rate Log'!$E$183="planned",EDATE('Rate Log'!$C$183,N(INDEX(sc_shift,4))),'Rate Log'!$C$183))</f>
        <v/>
      </c>
      <c r="AF3982" s="74" t="str">
        <f t="shared" si="1487"/>
        <v/>
      </c>
      <c r="AG3982" s="72">
        <f>IF(N(INDEX(sc_ach,4))=0,IF('Rate Log'!$G$183="",1,'Rate Log'!$G$183),INDEX(sc_ach,4))</f>
        <v>1</v>
      </c>
      <c r="AH3982" s="72">
        <f>IF('Rate Log'!$C$183="",0,IF('Rate Log'!$E$183="planned",('Rate Log'!$D$183+N(INDEX(sc_dpts,4)))*$AG3982,'Rate Log'!$D$183))</f>
        <v>0</v>
      </c>
      <c r="AI3982" s="73">
        <f>IF('Rate Log'!$C$183="",0,IF(1+$AH3982&gt;0,LN(1+$AH3982),0))</f>
        <v>0</v>
      </c>
      <c r="AJ3982" s="75">
        <f t="shared" si="1488"/>
        <v>0</v>
      </c>
      <c r="AK3982" s="75">
        <f>IF($AE3982="",0,COUNTIFS(rl_key,'Rate Log'!$J$183,$AF$3806:$AF$4045,$AF3982,$AE$3806:$AE$4045,"&lt;"&amp;$AE3982))</f>
        <v>0</v>
      </c>
      <c r="AL3982" s="75">
        <f>IF($AE3982="",0,COUNTIFS('Rate Log'!$J$7:$J$183,'Rate Log'!$J$183,$AF$3806:$AF3982,$AF3982,$AE$3806:$AE3982,$AE3982))</f>
        <v>0</v>
      </c>
      <c r="AM3982" s="75">
        <f t="shared" si="1489"/>
        <v>0</v>
      </c>
    </row>
    <row r="3983" spans="1:39" x14ac:dyDescent="0.3">
      <c r="A3983" s="74" t="str">
        <f>IF('Rate Log'!$C$184="","",IF('Rate Log'!$E$184="planned",EDATE('Rate Log'!$C$184,N(INDEX(sc_shift,1))),'Rate Log'!$C$184))</f>
        <v/>
      </c>
      <c r="B3983" s="74" t="str">
        <f t="shared" si="1478"/>
        <v/>
      </c>
      <c r="C3983" s="72">
        <f>IF(N(INDEX(sc_ach,1))=0,IF('Rate Log'!$G$184="",1,'Rate Log'!$G$184),INDEX(sc_ach,1))</f>
        <v>1</v>
      </c>
      <c r="D3983" s="72">
        <f>IF('Rate Log'!$C$184="",0,IF('Rate Log'!$E$184="planned",('Rate Log'!$D$184+N(INDEX(sc_dpts,1)))*$C3983,'Rate Log'!$D$184))</f>
        <v>0</v>
      </c>
      <c r="E3983" s="73">
        <f>IF('Rate Log'!$C$184="",0,IF(1+$D3983&gt;0,LN(1+$D3983),0))</f>
        <v>0</v>
      </c>
      <c r="F3983" s="75">
        <f t="shared" si="1479"/>
        <v>0</v>
      </c>
      <c r="G3983" s="75">
        <f>IF($A3983="",0,COUNTIFS(rl_key,'Rate Log'!$J$184,$B$3806:$B$4045,$B3983,$A$3806:$A$4045,"&lt;"&amp;$A3983))</f>
        <v>0</v>
      </c>
      <c r="H3983" s="75">
        <f>IF($A3983="",0,COUNTIFS('Rate Log'!$J$7:$J$184,'Rate Log'!$J$184,$B$3806:$B3983,$B3983,$A$3806:$A3983,$A3983))</f>
        <v>0</v>
      </c>
      <c r="I3983" s="75">
        <f t="shared" si="1480"/>
        <v>0</v>
      </c>
      <c r="K3983" s="74" t="str">
        <f>IF('Rate Log'!$C$184="","",IF('Rate Log'!$E$184="planned",EDATE('Rate Log'!$C$184,N(INDEX(sc_shift,2))),'Rate Log'!$C$184))</f>
        <v/>
      </c>
      <c r="L3983" s="74" t="str">
        <f t="shared" si="1481"/>
        <v/>
      </c>
      <c r="M3983" s="72">
        <f>IF(N(INDEX(sc_ach,2))=0,IF('Rate Log'!$G$184="",1,'Rate Log'!$G$184),INDEX(sc_ach,2))</f>
        <v>1</v>
      </c>
      <c r="N3983" s="72">
        <f>IF('Rate Log'!$C$184="",0,IF('Rate Log'!$E$184="planned",('Rate Log'!$D$184+N(INDEX(sc_dpts,2)))*$M3983,'Rate Log'!$D$184))</f>
        <v>0</v>
      </c>
      <c r="O3983" s="73">
        <f>IF('Rate Log'!$C$184="",0,IF(1+$N3983&gt;0,LN(1+$N3983),0))</f>
        <v>0</v>
      </c>
      <c r="P3983" s="75">
        <f t="shared" si="1482"/>
        <v>0</v>
      </c>
      <c r="Q3983" s="75">
        <f>IF($K3983="",0,COUNTIFS(rl_key,'Rate Log'!$J$184,$L$3806:$L$4045,$L3983,$K$3806:$K$4045,"&lt;"&amp;$K3983))</f>
        <v>0</v>
      </c>
      <c r="R3983" s="75">
        <f>IF($K3983="",0,COUNTIFS('Rate Log'!$J$7:$J$184,'Rate Log'!$J$184,$L$3806:$L3983,$L3983,$K$3806:$K3983,$K3983))</f>
        <v>0</v>
      </c>
      <c r="S3983" s="75">
        <f t="shared" si="1483"/>
        <v>0</v>
      </c>
      <c r="U3983" s="74" t="str">
        <f>IF('Rate Log'!$C$184="","",IF('Rate Log'!$E$184="planned",EDATE('Rate Log'!$C$184,N(INDEX(sc_shift,3))),'Rate Log'!$C$184))</f>
        <v/>
      </c>
      <c r="V3983" s="74" t="str">
        <f t="shared" si="1484"/>
        <v/>
      </c>
      <c r="W3983" s="72">
        <f>IF(N(INDEX(sc_ach,3))=0,IF('Rate Log'!$G$184="",1,'Rate Log'!$G$184),INDEX(sc_ach,3))</f>
        <v>1</v>
      </c>
      <c r="X3983" s="72">
        <f>IF('Rate Log'!$C$184="",0,IF('Rate Log'!$E$184="planned",('Rate Log'!$D$184+N(INDEX(sc_dpts,3)))*$W3983,'Rate Log'!$D$184))</f>
        <v>0</v>
      </c>
      <c r="Y3983" s="73">
        <f>IF('Rate Log'!$C$184="",0,IF(1+$X3983&gt;0,LN(1+$X3983),0))</f>
        <v>0</v>
      </c>
      <c r="Z3983" s="75">
        <f t="shared" si="1485"/>
        <v>0</v>
      </c>
      <c r="AA3983" s="75">
        <f>IF($U3983="",0,COUNTIFS(rl_key,'Rate Log'!$J$184,$V$3806:$V$4045,$V3983,$U$3806:$U$4045,"&lt;"&amp;$U3983))</f>
        <v>0</v>
      </c>
      <c r="AB3983" s="75">
        <f>IF($U3983="",0,COUNTIFS('Rate Log'!$J$7:$J$184,'Rate Log'!$J$184,$V$3806:$V3983,$V3983,$U$3806:$U3983,$U3983))</f>
        <v>0</v>
      </c>
      <c r="AC3983" s="75">
        <f t="shared" si="1486"/>
        <v>0</v>
      </c>
      <c r="AE3983" s="74" t="str">
        <f>IF('Rate Log'!$C$184="","",IF('Rate Log'!$E$184="planned",EDATE('Rate Log'!$C$184,N(INDEX(sc_shift,4))),'Rate Log'!$C$184))</f>
        <v/>
      </c>
      <c r="AF3983" s="74" t="str">
        <f t="shared" si="1487"/>
        <v/>
      </c>
      <c r="AG3983" s="72">
        <f>IF(N(INDEX(sc_ach,4))=0,IF('Rate Log'!$G$184="",1,'Rate Log'!$G$184),INDEX(sc_ach,4))</f>
        <v>1</v>
      </c>
      <c r="AH3983" s="72">
        <f>IF('Rate Log'!$C$184="",0,IF('Rate Log'!$E$184="planned",('Rate Log'!$D$184+N(INDEX(sc_dpts,4)))*$AG3983,'Rate Log'!$D$184))</f>
        <v>0</v>
      </c>
      <c r="AI3983" s="73">
        <f>IF('Rate Log'!$C$184="",0,IF(1+$AH3983&gt;0,LN(1+$AH3983),0))</f>
        <v>0</v>
      </c>
      <c r="AJ3983" s="75">
        <f t="shared" si="1488"/>
        <v>0</v>
      </c>
      <c r="AK3983" s="75">
        <f>IF($AE3983="",0,COUNTIFS(rl_key,'Rate Log'!$J$184,$AF$3806:$AF$4045,$AF3983,$AE$3806:$AE$4045,"&lt;"&amp;$AE3983))</f>
        <v>0</v>
      </c>
      <c r="AL3983" s="75">
        <f>IF($AE3983="",0,COUNTIFS('Rate Log'!$J$7:$J$184,'Rate Log'!$J$184,$AF$3806:$AF3983,$AF3983,$AE$3806:$AE3983,$AE3983))</f>
        <v>0</v>
      </c>
      <c r="AM3983" s="75">
        <f t="shared" si="1489"/>
        <v>0</v>
      </c>
    </row>
    <row r="3984" spans="1:39" x14ac:dyDescent="0.3">
      <c r="A3984" s="74" t="str">
        <f>IF('Rate Log'!$C$185="","",IF('Rate Log'!$E$185="planned",EDATE('Rate Log'!$C$185,N(INDEX(sc_shift,1))),'Rate Log'!$C$185))</f>
        <v/>
      </c>
      <c r="B3984" s="74" t="str">
        <f t="shared" si="1478"/>
        <v/>
      </c>
      <c r="C3984" s="72">
        <f>IF(N(INDEX(sc_ach,1))=0,IF('Rate Log'!$G$185="",1,'Rate Log'!$G$185),INDEX(sc_ach,1))</f>
        <v>1</v>
      </c>
      <c r="D3984" s="72">
        <f>IF('Rate Log'!$C$185="",0,IF('Rate Log'!$E$185="planned",('Rate Log'!$D$185+N(INDEX(sc_dpts,1)))*$C3984,'Rate Log'!$D$185))</f>
        <v>0</v>
      </c>
      <c r="E3984" s="73">
        <f>IF('Rate Log'!$C$185="",0,IF(1+$D3984&gt;0,LN(1+$D3984),0))</f>
        <v>0</v>
      </c>
      <c r="F3984" s="75">
        <f t="shared" si="1479"/>
        <v>0</v>
      </c>
      <c r="G3984" s="75">
        <f>IF($A3984="",0,COUNTIFS(rl_key,'Rate Log'!$J$185,$B$3806:$B$4045,$B3984,$A$3806:$A$4045,"&lt;"&amp;$A3984))</f>
        <v>0</v>
      </c>
      <c r="H3984" s="75">
        <f>IF($A3984="",0,COUNTIFS('Rate Log'!$J$7:$J$185,'Rate Log'!$J$185,$B$3806:$B3984,$B3984,$A$3806:$A3984,$A3984))</f>
        <v>0</v>
      </c>
      <c r="I3984" s="75">
        <f t="shared" si="1480"/>
        <v>0</v>
      </c>
      <c r="K3984" s="74" t="str">
        <f>IF('Rate Log'!$C$185="","",IF('Rate Log'!$E$185="planned",EDATE('Rate Log'!$C$185,N(INDEX(sc_shift,2))),'Rate Log'!$C$185))</f>
        <v/>
      </c>
      <c r="L3984" s="74" t="str">
        <f t="shared" si="1481"/>
        <v/>
      </c>
      <c r="M3984" s="72">
        <f>IF(N(INDEX(sc_ach,2))=0,IF('Rate Log'!$G$185="",1,'Rate Log'!$G$185),INDEX(sc_ach,2))</f>
        <v>1</v>
      </c>
      <c r="N3984" s="72">
        <f>IF('Rate Log'!$C$185="",0,IF('Rate Log'!$E$185="planned",('Rate Log'!$D$185+N(INDEX(sc_dpts,2)))*$M3984,'Rate Log'!$D$185))</f>
        <v>0</v>
      </c>
      <c r="O3984" s="73">
        <f>IF('Rate Log'!$C$185="",0,IF(1+$N3984&gt;0,LN(1+$N3984),0))</f>
        <v>0</v>
      </c>
      <c r="P3984" s="75">
        <f t="shared" si="1482"/>
        <v>0</v>
      </c>
      <c r="Q3984" s="75">
        <f>IF($K3984="",0,COUNTIFS(rl_key,'Rate Log'!$J$185,$L$3806:$L$4045,$L3984,$K$3806:$K$4045,"&lt;"&amp;$K3984))</f>
        <v>0</v>
      </c>
      <c r="R3984" s="75">
        <f>IF($K3984="",0,COUNTIFS('Rate Log'!$J$7:$J$185,'Rate Log'!$J$185,$L$3806:$L3984,$L3984,$K$3806:$K3984,$K3984))</f>
        <v>0</v>
      </c>
      <c r="S3984" s="75">
        <f t="shared" si="1483"/>
        <v>0</v>
      </c>
      <c r="U3984" s="74" t="str">
        <f>IF('Rate Log'!$C$185="","",IF('Rate Log'!$E$185="planned",EDATE('Rate Log'!$C$185,N(INDEX(sc_shift,3))),'Rate Log'!$C$185))</f>
        <v/>
      </c>
      <c r="V3984" s="74" t="str">
        <f t="shared" si="1484"/>
        <v/>
      </c>
      <c r="W3984" s="72">
        <f>IF(N(INDEX(sc_ach,3))=0,IF('Rate Log'!$G$185="",1,'Rate Log'!$G$185),INDEX(sc_ach,3))</f>
        <v>1</v>
      </c>
      <c r="X3984" s="72">
        <f>IF('Rate Log'!$C$185="",0,IF('Rate Log'!$E$185="planned",('Rate Log'!$D$185+N(INDEX(sc_dpts,3)))*$W3984,'Rate Log'!$D$185))</f>
        <v>0</v>
      </c>
      <c r="Y3984" s="73">
        <f>IF('Rate Log'!$C$185="",0,IF(1+$X3984&gt;0,LN(1+$X3984),0))</f>
        <v>0</v>
      </c>
      <c r="Z3984" s="75">
        <f t="shared" si="1485"/>
        <v>0</v>
      </c>
      <c r="AA3984" s="75">
        <f>IF($U3984="",0,COUNTIFS(rl_key,'Rate Log'!$J$185,$V$3806:$V$4045,$V3984,$U$3806:$U$4045,"&lt;"&amp;$U3984))</f>
        <v>0</v>
      </c>
      <c r="AB3984" s="75">
        <f>IF($U3984="",0,COUNTIFS('Rate Log'!$J$7:$J$185,'Rate Log'!$J$185,$V$3806:$V3984,$V3984,$U$3806:$U3984,$U3984))</f>
        <v>0</v>
      </c>
      <c r="AC3984" s="75">
        <f t="shared" si="1486"/>
        <v>0</v>
      </c>
      <c r="AE3984" s="74" t="str">
        <f>IF('Rate Log'!$C$185="","",IF('Rate Log'!$E$185="planned",EDATE('Rate Log'!$C$185,N(INDEX(sc_shift,4))),'Rate Log'!$C$185))</f>
        <v/>
      </c>
      <c r="AF3984" s="74" t="str">
        <f t="shared" si="1487"/>
        <v/>
      </c>
      <c r="AG3984" s="72">
        <f>IF(N(INDEX(sc_ach,4))=0,IF('Rate Log'!$G$185="",1,'Rate Log'!$G$185),INDEX(sc_ach,4))</f>
        <v>1</v>
      </c>
      <c r="AH3984" s="72">
        <f>IF('Rate Log'!$C$185="",0,IF('Rate Log'!$E$185="planned",('Rate Log'!$D$185+N(INDEX(sc_dpts,4)))*$AG3984,'Rate Log'!$D$185))</f>
        <v>0</v>
      </c>
      <c r="AI3984" s="73">
        <f>IF('Rate Log'!$C$185="",0,IF(1+$AH3984&gt;0,LN(1+$AH3984),0))</f>
        <v>0</v>
      </c>
      <c r="AJ3984" s="75">
        <f t="shared" si="1488"/>
        <v>0</v>
      </c>
      <c r="AK3984" s="75">
        <f>IF($AE3984="",0,COUNTIFS(rl_key,'Rate Log'!$J$185,$AF$3806:$AF$4045,$AF3984,$AE$3806:$AE$4045,"&lt;"&amp;$AE3984))</f>
        <v>0</v>
      </c>
      <c r="AL3984" s="75">
        <f>IF($AE3984="",0,COUNTIFS('Rate Log'!$J$7:$J$185,'Rate Log'!$J$185,$AF$3806:$AF3984,$AF3984,$AE$3806:$AE3984,$AE3984))</f>
        <v>0</v>
      </c>
      <c r="AM3984" s="75">
        <f t="shared" si="1489"/>
        <v>0</v>
      </c>
    </row>
    <row r="3985" spans="1:39" x14ac:dyDescent="0.3">
      <c r="A3985" s="74" t="str">
        <f>IF('Rate Log'!$C$186="","",IF('Rate Log'!$E$186="planned",EDATE('Rate Log'!$C$186,N(INDEX(sc_shift,1))),'Rate Log'!$C$186))</f>
        <v/>
      </c>
      <c r="B3985" s="74" t="str">
        <f t="shared" si="1478"/>
        <v/>
      </c>
      <c r="C3985" s="72">
        <f>IF(N(INDEX(sc_ach,1))=0,IF('Rate Log'!$G$186="",1,'Rate Log'!$G$186),INDEX(sc_ach,1))</f>
        <v>1</v>
      </c>
      <c r="D3985" s="72">
        <f>IF('Rate Log'!$C$186="",0,IF('Rate Log'!$E$186="planned",('Rate Log'!$D$186+N(INDEX(sc_dpts,1)))*$C3985,'Rate Log'!$D$186))</f>
        <v>0</v>
      </c>
      <c r="E3985" s="73">
        <f>IF('Rate Log'!$C$186="",0,IF(1+$D3985&gt;0,LN(1+$D3985),0))</f>
        <v>0</v>
      </c>
      <c r="F3985" s="75">
        <f t="shared" si="1479"/>
        <v>0</v>
      </c>
      <c r="G3985" s="75">
        <f>IF($A3985="",0,COUNTIFS(rl_key,'Rate Log'!$J$186,$B$3806:$B$4045,$B3985,$A$3806:$A$4045,"&lt;"&amp;$A3985))</f>
        <v>0</v>
      </c>
      <c r="H3985" s="75">
        <f>IF($A3985="",0,COUNTIFS('Rate Log'!$J$7:$J$186,'Rate Log'!$J$186,$B$3806:$B3985,$B3985,$A$3806:$A3985,$A3985))</f>
        <v>0</v>
      </c>
      <c r="I3985" s="75">
        <f t="shared" si="1480"/>
        <v>0</v>
      </c>
      <c r="K3985" s="74" t="str">
        <f>IF('Rate Log'!$C$186="","",IF('Rate Log'!$E$186="planned",EDATE('Rate Log'!$C$186,N(INDEX(sc_shift,2))),'Rate Log'!$C$186))</f>
        <v/>
      </c>
      <c r="L3985" s="74" t="str">
        <f t="shared" si="1481"/>
        <v/>
      </c>
      <c r="M3985" s="72">
        <f>IF(N(INDEX(sc_ach,2))=0,IF('Rate Log'!$G$186="",1,'Rate Log'!$G$186),INDEX(sc_ach,2))</f>
        <v>1</v>
      </c>
      <c r="N3985" s="72">
        <f>IF('Rate Log'!$C$186="",0,IF('Rate Log'!$E$186="planned",('Rate Log'!$D$186+N(INDEX(sc_dpts,2)))*$M3985,'Rate Log'!$D$186))</f>
        <v>0</v>
      </c>
      <c r="O3985" s="73">
        <f>IF('Rate Log'!$C$186="",0,IF(1+$N3985&gt;0,LN(1+$N3985),0))</f>
        <v>0</v>
      </c>
      <c r="P3985" s="75">
        <f t="shared" si="1482"/>
        <v>0</v>
      </c>
      <c r="Q3985" s="75">
        <f>IF($K3985="",0,COUNTIFS(rl_key,'Rate Log'!$J$186,$L$3806:$L$4045,$L3985,$K$3806:$K$4045,"&lt;"&amp;$K3985))</f>
        <v>0</v>
      </c>
      <c r="R3985" s="75">
        <f>IF($K3985="",0,COUNTIFS('Rate Log'!$J$7:$J$186,'Rate Log'!$J$186,$L$3806:$L3985,$L3985,$K$3806:$K3985,$K3985))</f>
        <v>0</v>
      </c>
      <c r="S3985" s="75">
        <f t="shared" si="1483"/>
        <v>0</v>
      </c>
      <c r="U3985" s="74" t="str">
        <f>IF('Rate Log'!$C$186="","",IF('Rate Log'!$E$186="planned",EDATE('Rate Log'!$C$186,N(INDEX(sc_shift,3))),'Rate Log'!$C$186))</f>
        <v/>
      </c>
      <c r="V3985" s="74" t="str">
        <f t="shared" si="1484"/>
        <v/>
      </c>
      <c r="W3985" s="72">
        <f>IF(N(INDEX(sc_ach,3))=0,IF('Rate Log'!$G$186="",1,'Rate Log'!$G$186),INDEX(sc_ach,3))</f>
        <v>1</v>
      </c>
      <c r="X3985" s="72">
        <f>IF('Rate Log'!$C$186="",0,IF('Rate Log'!$E$186="planned",('Rate Log'!$D$186+N(INDEX(sc_dpts,3)))*$W3985,'Rate Log'!$D$186))</f>
        <v>0</v>
      </c>
      <c r="Y3985" s="73">
        <f>IF('Rate Log'!$C$186="",0,IF(1+$X3985&gt;0,LN(1+$X3985),0))</f>
        <v>0</v>
      </c>
      <c r="Z3985" s="75">
        <f t="shared" si="1485"/>
        <v>0</v>
      </c>
      <c r="AA3985" s="75">
        <f>IF($U3985="",0,COUNTIFS(rl_key,'Rate Log'!$J$186,$V$3806:$V$4045,$V3985,$U$3806:$U$4045,"&lt;"&amp;$U3985))</f>
        <v>0</v>
      </c>
      <c r="AB3985" s="75">
        <f>IF($U3985="",0,COUNTIFS('Rate Log'!$J$7:$J$186,'Rate Log'!$J$186,$V$3806:$V3985,$V3985,$U$3806:$U3985,$U3985))</f>
        <v>0</v>
      </c>
      <c r="AC3985" s="75">
        <f t="shared" si="1486"/>
        <v>0</v>
      </c>
      <c r="AE3985" s="74" t="str">
        <f>IF('Rate Log'!$C$186="","",IF('Rate Log'!$E$186="planned",EDATE('Rate Log'!$C$186,N(INDEX(sc_shift,4))),'Rate Log'!$C$186))</f>
        <v/>
      </c>
      <c r="AF3985" s="74" t="str">
        <f t="shared" si="1487"/>
        <v/>
      </c>
      <c r="AG3985" s="72">
        <f>IF(N(INDEX(sc_ach,4))=0,IF('Rate Log'!$G$186="",1,'Rate Log'!$G$186),INDEX(sc_ach,4))</f>
        <v>1</v>
      </c>
      <c r="AH3985" s="72">
        <f>IF('Rate Log'!$C$186="",0,IF('Rate Log'!$E$186="planned",('Rate Log'!$D$186+N(INDEX(sc_dpts,4)))*$AG3985,'Rate Log'!$D$186))</f>
        <v>0</v>
      </c>
      <c r="AI3985" s="73">
        <f>IF('Rate Log'!$C$186="",0,IF(1+$AH3985&gt;0,LN(1+$AH3985),0))</f>
        <v>0</v>
      </c>
      <c r="AJ3985" s="75">
        <f t="shared" si="1488"/>
        <v>0</v>
      </c>
      <c r="AK3985" s="75">
        <f>IF($AE3985="",0,COUNTIFS(rl_key,'Rate Log'!$J$186,$AF$3806:$AF$4045,$AF3985,$AE$3806:$AE$4045,"&lt;"&amp;$AE3985))</f>
        <v>0</v>
      </c>
      <c r="AL3985" s="75">
        <f>IF($AE3985="",0,COUNTIFS('Rate Log'!$J$7:$J$186,'Rate Log'!$J$186,$AF$3806:$AF3985,$AF3985,$AE$3806:$AE3985,$AE3985))</f>
        <v>0</v>
      </c>
      <c r="AM3985" s="75">
        <f t="shared" si="1489"/>
        <v>0</v>
      </c>
    </row>
    <row r="3986" spans="1:39" x14ac:dyDescent="0.3">
      <c r="A3986" s="74" t="str">
        <f>IF('Rate Log'!$C$187="","",IF('Rate Log'!$E$187="planned",EDATE('Rate Log'!$C$187,N(INDEX(sc_shift,1))),'Rate Log'!$C$187))</f>
        <v/>
      </c>
      <c r="B3986" s="74" t="str">
        <f t="shared" si="1478"/>
        <v/>
      </c>
      <c r="C3986" s="72">
        <f>IF(N(INDEX(sc_ach,1))=0,IF('Rate Log'!$G$187="",1,'Rate Log'!$G$187),INDEX(sc_ach,1))</f>
        <v>1</v>
      </c>
      <c r="D3986" s="72">
        <f>IF('Rate Log'!$C$187="",0,IF('Rate Log'!$E$187="planned",('Rate Log'!$D$187+N(INDEX(sc_dpts,1)))*$C3986,'Rate Log'!$D$187))</f>
        <v>0</v>
      </c>
      <c r="E3986" s="73">
        <f>IF('Rate Log'!$C$187="",0,IF(1+$D3986&gt;0,LN(1+$D3986),0))</f>
        <v>0</v>
      </c>
      <c r="F3986" s="75">
        <f t="shared" si="1479"/>
        <v>0</v>
      </c>
      <c r="G3986" s="75">
        <f>IF($A3986="",0,COUNTIFS(rl_key,'Rate Log'!$J$187,$B$3806:$B$4045,$B3986,$A$3806:$A$4045,"&lt;"&amp;$A3986))</f>
        <v>0</v>
      </c>
      <c r="H3986" s="75">
        <f>IF($A3986="",0,COUNTIFS('Rate Log'!$J$7:$J$187,'Rate Log'!$J$187,$B$3806:$B3986,$B3986,$A$3806:$A3986,$A3986))</f>
        <v>0</v>
      </c>
      <c r="I3986" s="75">
        <f t="shared" si="1480"/>
        <v>0</v>
      </c>
      <c r="K3986" s="74" t="str">
        <f>IF('Rate Log'!$C$187="","",IF('Rate Log'!$E$187="planned",EDATE('Rate Log'!$C$187,N(INDEX(sc_shift,2))),'Rate Log'!$C$187))</f>
        <v/>
      </c>
      <c r="L3986" s="74" t="str">
        <f t="shared" si="1481"/>
        <v/>
      </c>
      <c r="M3986" s="72">
        <f>IF(N(INDEX(sc_ach,2))=0,IF('Rate Log'!$G$187="",1,'Rate Log'!$G$187),INDEX(sc_ach,2))</f>
        <v>1</v>
      </c>
      <c r="N3986" s="72">
        <f>IF('Rate Log'!$C$187="",0,IF('Rate Log'!$E$187="planned",('Rate Log'!$D$187+N(INDEX(sc_dpts,2)))*$M3986,'Rate Log'!$D$187))</f>
        <v>0</v>
      </c>
      <c r="O3986" s="73">
        <f>IF('Rate Log'!$C$187="",0,IF(1+$N3986&gt;0,LN(1+$N3986),0))</f>
        <v>0</v>
      </c>
      <c r="P3986" s="75">
        <f t="shared" si="1482"/>
        <v>0</v>
      </c>
      <c r="Q3986" s="75">
        <f>IF($K3986="",0,COUNTIFS(rl_key,'Rate Log'!$J$187,$L$3806:$L$4045,$L3986,$K$3806:$K$4045,"&lt;"&amp;$K3986))</f>
        <v>0</v>
      </c>
      <c r="R3986" s="75">
        <f>IF($K3986="",0,COUNTIFS('Rate Log'!$J$7:$J$187,'Rate Log'!$J$187,$L$3806:$L3986,$L3986,$K$3806:$K3986,$K3986))</f>
        <v>0</v>
      </c>
      <c r="S3986" s="75">
        <f t="shared" si="1483"/>
        <v>0</v>
      </c>
      <c r="U3986" s="74" t="str">
        <f>IF('Rate Log'!$C$187="","",IF('Rate Log'!$E$187="planned",EDATE('Rate Log'!$C$187,N(INDEX(sc_shift,3))),'Rate Log'!$C$187))</f>
        <v/>
      </c>
      <c r="V3986" s="74" t="str">
        <f t="shared" si="1484"/>
        <v/>
      </c>
      <c r="W3986" s="72">
        <f>IF(N(INDEX(sc_ach,3))=0,IF('Rate Log'!$G$187="",1,'Rate Log'!$G$187),INDEX(sc_ach,3))</f>
        <v>1</v>
      </c>
      <c r="X3986" s="72">
        <f>IF('Rate Log'!$C$187="",0,IF('Rate Log'!$E$187="planned",('Rate Log'!$D$187+N(INDEX(sc_dpts,3)))*$W3986,'Rate Log'!$D$187))</f>
        <v>0</v>
      </c>
      <c r="Y3986" s="73">
        <f>IF('Rate Log'!$C$187="",0,IF(1+$X3986&gt;0,LN(1+$X3986),0))</f>
        <v>0</v>
      </c>
      <c r="Z3986" s="75">
        <f t="shared" si="1485"/>
        <v>0</v>
      </c>
      <c r="AA3986" s="75">
        <f>IF($U3986="",0,COUNTIFS(rl_key,'Rate Log'!$J$187,$V$3806:$V$4045,$V3986,$U$3806:$U$4045,"&lt;"&amp;$U3986))</f>
        <v>0</v>
      </c>
      <c r="AB3986" s="75">
        <f>IF($U3986="",0,COUNTIFS('Rate Log'!$J$7:$J$187,'Rate Log'!$J$187,$V$3806:$V3986,$V3986,$U$3806:$U3986,$U3986))</f>
        <v>0</v>
      </c>
      <c r="AC3986" s="75">
        <f t="shared" si="1486"/>
        <v>0</v>
      </c>
      <c r="AE3986" s="74" t="str">
        <f>IF('Rate Log'!$C$187="","",IF('Rate Log'!$E$187="planned",EDATE('Rate Log'!$C$187,N(INDEX(sc_shift,4))),'Rate Log'!$C$187))</f>
        <v/>
      </c>
      <c r="AF3986" s="74" t="str">
        <f t="shared" si="1487"/>
        <v/>
      </c>
      <c r="AG3986" s="72">
        <f>IF(N(INDEX(sc_ach,4))=0,IF('Rate Log'!$G$187="",1,'Rate Log'!$G$187),INDEX(sc_ach,4))</f>
        <v>1</v>
      </c>
      <c r="AH3986" s="72">
        <f>IF('Rate Log'!$C$187="",0,IF('Rate Log'!$E$187="planned",('Rate Log'!$D$187+N(INDEX(sc_dpts,4)))*$AG3986,'Rate Log'!$D$187))</f>
        <v>0</v>
      </c>
      <c r="AI3986" s="73">
        <f>IF('Rate Log'!$C$187="",0,IF(1+$AH3986&gt;0,LN(1+$AH3986),0))</f>
        <v>0</v>
      </c>
      <c r="AJ3986" s="75">
        <f t="shared" si="1488"/>
        <v>0</v>
      </c>
      <c r="AK3986" s="75">
        <f>IF($AE3986="",0,COUNTIFS(rl_key,'Rate Log'!$J$187,$AF$3806:$AF$4045,$AF3986,$AE$3806:$AE$4045,"&lt;"&amp;$AE3986))</f>
        <v>0</v>
      </c>
      <c r="AL3986" s="75">
        <f>IF($AE3986="",0,COUNTIFS('Rate Log'!$J$7:$J$187,'Rate Log'!$J$187,$AF$3806:$AF3986,$AF3986,$AE$3806:$AE3986,$AE3986))</f>
        <v>0</v>
      </c>
      <c r="AM3986" s="75">
        <f t="shared" si="1489"/>
        <v>0</v>
      </c>
    </row>
    <row r="3987" spans="1:39" x14ac:dyDescent="0.3">
      <c r="A3987" s="74" t="str">
        <f>IF('Rate Log'!$C$188="","",IF('Rate Log'!$E$188="planned",EDATE('Rate Log'!$C$188,N(INDEX(sc_shift,1))),'Rate Log'!$C$188))</f>
        <v/>
      </c>
      <c r="B3987" s="74" t="str">
        <f t="shared" si="1478"/>
        <v/>
      </c>
      <c r="C3987" s="72">
        <f>IF(N(INDEX(sc_ach,1))=0,IF('Rate Log'!$G$188="",1,'Rate Log'!$G$188),INDEX(sc_ach,1))</f>
        <v>1</v>
      </c>
      <c r="D3987" s="72">
        <f>IF('Rate Log'!$C$188="",0,IF('Rate Log'!$E$188="planned",('Rate Log'!$D$188+N(INDEX(sc_dpts,1)))*$C3987,'Rate Log'!$D$188))</f>
        <v>0</v>
      </c>
      <c r="E3987" s="73">
        <f>IF('Rate Log'!$C$188="",0,IF(1+$D3987&gt;0,LN(1+$D3987),0))</f>
        <v>0</v>
      </c>
      <c r="F3987" s="75">
        <f t="shared" si="1479"/>
        <v>0</v>
      </c>
      <c r="G3987" s="75">
        <f>IF($A3987="",0,COUNTIFS(rl_key,'Rate Log'!$J$188,$B$3806:$B$4045,$B3987,$A$3806:$A$4045,"&lt;"&amp;$A3987))</f>
        <v>0</v>
      </c>
      <c r="H3987" s="75">
        <f>IF($A3987="",0,COUNTIFS('Rate Log'!$J$7:$J$188,'Rate Log'!$J$188,$B$3806:$B3987,$B3987,$A$3806:$A3987,$A3987))</f>
        <v>0</v>
      </c>
      <c r="I3987" s="75">
        <f t="shared" si="1480"/>
        <v>0</v>
      </c>
      <c r="K3987" s="74" t="str">
        <f>IF('Rate Log'!$C$188="","",IF('Rate Log'!$E$188="planned",EDATE('Rate Log'!$C$188,N(INDEX(sc_shift,2))),'Rate Log'!$C$188))</f>
        <v/>
      </c>
      <c r="L3987" s="74" t="str">
        <f t="shared" si="1481"/>
        <v/>
      </c>
      <c r="M3987" s="72">
        <f>IF(N(INDEX(sc_ach,2))=0,IF('Rate Log'!$G$188="",1,'Rate Log'!$G$188),INDEX(sc_ach,2))</f>
        <v>1</v>
      </c>
      <c r="N3987" s="72">
        <f>IF('Rate Log'!$C$188="",0,IF('Rate Log'!$E$188="planned",('Rate Log'!$D$188+N(INDEX(sc_dpts,2)))*$M3987,'Rate Log'!$D$188))</f>
        <v>0</v>
      </c>
      <c r="O3987" s="73">
        <f>IF('Rate Log'!$C$188="",0,IF(1+$N3987&gt;0,LN(1+$N3987),0))</f>
        <v>0</v>
      </c>
      <c r="P3987" s="75">
        <f t="shared" si="1482"/>
        <v>0</v>
      </c>
      <c r="Q3987" s="75">
        <f>IF($K3987="",0,COUNTIFS(rl_key,'Rate Log'!$J$188,$L$3806:$L$4045,$L3987,$K$3806:$K$4045,"&lt;"&amp;$K3987))</f>
        <v>0</v>
      </c>
      <c r="R3987" s="75">
        <f>IF($K3987="",0,COUNTIFS('Rate Log'!$J$7:$J$188,'Rate Log'!$J$188,$L$3806:$L3987,$L3987,$K$3806:$K3987,$K3987))</f>
        <v>0</v>
      </c>
      <c r="S3987" s="75">
        <f t="shared" si="1483"/>
        <v>0</v>
      </c>
      <c r="U3987" s="74" t="str">
        <f>IF('Rate Log'!$C$188="","",IF('Rate Log'!$E$188="planned",EDATE('Rate Log'!$C$188,N(INDEX(sc_shift,3))),'Rate Log'!$C$188))</f>
        <v/>
      </c>
      <c r="V3987" s="74" t="str">
        <f t="shared" si="1484"/>
        <v/>
      </c>
      <c r="W3987" s="72">
        <f>IF(N(INDEX(sc_ach,3))=0,IF('Rate Log'!$G$188="",1,'Rate Log'!$G$188),INDEX(sc_ach,3))</f>
        <v>1</v>
      </c>
      <c r="X3987" s="72">
        <f>IF('Rate Log'!$C$188="",0,IF('Rate Log'!$E$188="planned",('Rate Log'!$D$188+N(INDEX(sc_dpts,3)))*$W3987,'Rate Log'!$D$188))</f>
        <v>0</v>
      </c>
      <c r="Y3987" s="73">
        <f>IF('Rate Log'!$C$188="",0,IF(1+$X3987&gt;0,LN(1+$X3987),0))</f>
        <v>0</v>
      </c>
      <c r="Z3987" s="75">
        <f t="shared" si="1485"/>
        <v>0</v>
      </c>
      <c r="AA3987" s="75">
        <f>IF($U3987="",0,COUNTIFS(rl_key,'Rate Log'!$J$188,$V$3806:$V$4045,$V3987,$U$3806:$U$4045,"&lt;"&amp;$U3987))</f>
        <v>0</v>
      </c>
      <c r="AB3987" s="75">
        <f>IF($U3987="",0,COUNTIFS('Rate Log'!$J$7:$J$188,'Rate Log'!$J$188,$V$3806:$V3987,$V3987,$U$3806:$U3987,$U3987))</f>
        <v>0</v>
      </c>
      <c r="AC3987" s="75">
        <f t="shared" si="1486"/>
        <v>0</v>
      </c>
      <c r="AE3987" s="74" t="str">
        <f>IF('Rate Log'!$C$188="","",IF('Rate Log'!$E$188="planned",EDATE('Rate Log'!$C$188,N(INDEX(sc_shift,4))),'Rate Log'!$C$188))</f>
        <v/>
      </c>
      <c r="AF3987" s="74" t="str">
        <f t="shared" si="1487"/>
        <v/>
      </c>
      <c r="AG3987" s="72">
        <f>IF(N(INDEX(sc_ach,4))=0,IF('Rate Log'!$G$188="",1,'Rate Log'!$G$188),INDEX(sc_ach,4))</f>
        <v>1</v>
      </c>
      <c r="AH3987" s="72">
        <f>IF('Rate Log'!$C$188="",0,IF('Rate Log'!$E$188="planned",('Rate Log'!$D$188+N(INDEX(sc_dpts,4)))*$AG3987,'Rate Log'!$D$188))</f>
        <v>0</v>
      </c>
      <c r="AI3987" s="73">
        <f>IF('Rate Log'!$C$188="",0,IF(1+$AH3987&gt;0,LN(1+$AH3987),0))</f>
        <v>0</v>
      </c>
      <c r="AJ3987" s="75">
        <f t="shared" si="1488"/>
        <v>0</v>
      </c>
      <c r="AK3987" s="75">
        <f>IF($AE3987="",0,COUNTIFS(rl_key,'Rate Log'!$J$188,$AF$3806:$AF$4045,$AF3987,$AE$3806:$AE$4045,"&lt;"&amp;$AE3987))</f>
        <v>0</v>
      </c>
      <c r="AL3987" s="75">
        <f>IF($AE3987="",0,COUNTIFS('Rate Log'!$J$7:$J$188,'Rate Log'!$J$188,$AF$3806:$AF3987,$AF3987,$AE$3806:$AE3987,$AE3987))</f>
        <v>0</v>
      </c>
      <c r="AM3987" s="75">
        <f t="shared" si="1489"/>
        <v>0</v>
      </c>
    </row>
    <row r="3988" spans="1:39" x14ac:dyDescent="0.3">
      <c r="A3988" s="74" t="str">
        <f>IF('Rate Log'!$C$189="","",IF('Rate Log'!$E$189="planned",EDATE('Rate Log'!$C$189,N(INDEX(sc_shift,1))),'Rate Log'!$C$189))</f>
        <v/>
      </c>
      <c r="B3988" s="74" t="str">
        <f t="shared" si="1478"/>
        <v/>
      </c>
      <c r="C3988" s="72">
        <f>IF(N(INDEX(sc_ach,1))=0,IF('Rate Log'!$G$189="",1,'Rate Log'!$G$189),INDEX(sc_ach,1))</f>
        <v>1</v>
      </c>
      <c r="D3988" s="72">
        <f>IF('Rate Log'!$C$189="",0,IF('Rate Log'!$E$189="planned",('Rate Log'!$D$189+N(INDEX(sc_dpts,1)))*$C3988,'Rate Log'!$D$189))</f>
        <v>0</v>
      </c>
      <c r="E3988" s="73">
        <f>IF('Rate Log'!$C$189="",0,IF(1+$D3988&gt;0,LN(1+$D3988),0))</f>
        <v>0</v>
      </c>
      <c r="F3988" s="75">
        <f t="shared" si="1479"/>
        <v>0</v>
      </c>
      <c r="G3988" s="75">
        <f>IF($A3988="",0,COUNTIFS(rl_key,'Rate Log'!$J$189,$B$3806:$B$4045,$B3988,$A$3806:$A$4045,"&lt;"&amp;$A3988))</f>
        <v>0</v>
      </c>
      <c r="H3988" s="75">
        <f>IF($A3988="",0,COUNTIFS('Rate Log'!$J$7:$J$189,'Rate Log'!$J$189,$B$3806:$B3988,$B3988,$A$3806:$A3988,$A3988))</f>
        <v>0</v>
      </c>
      <c r="I3988" s="75">
        <f t="shared" si="1480"/>
        <v>0</v>
      </c>
      <c r="K3988" s="74" t="str">
        <f>IF('Rate Log'!$C$189="","",IF('Rate Log'!$E$189="planned",EDATE('Rate Log'!$C$189,N(INDEX(sc_shift,2))),'Rate Log'!$C$189))</f>
        <v/>
      </c>
      <c r="L3988" s="74" t="str">
        <f t="shared" si="1481"/>
        <v/>
      </c>
      <c r="M3988" s="72">
        <f>IF(N(INDEX(sc_ach,2))=0,IF('Rate Log'!$G$189="",1,'Rate Log'!$G$189),INDEX(sc_ach,2))</f>
        <v>1</v>
      </c>
      <c r="N3988" s="72">
        <f>IF('Rate Log'!$C$189="",0,IF('Rate Log'!$E$189="planned",('Rate Log'!$D$189+N(INDEX(sc_dpts,2)))*$M3988,'Rate Log'!$D$189))</f>
        <v>0</v>
      </c>
      <c r="O3988" s="73">
        <f>IF('Rate Log'!$C$189="",0,IF(1+$N3988&gt;0,LN(1+$N3988),0))</f>
        <v>0</v>
      </c>
      <c r="P3988" s="75">
        <f t="shared" si="1482"/>
        <v>0</v>
      </c>
      <c r="Q3988" s="75">
        <f>IF($K3988="",0,COUNTIFS(rl_key,'Rate Log'!$J$189,$L$3806:$L$4045,$L3988,$K$3806:$K$4045,"&lt;"&amp;$K3988))</f>
        <v>0</v>
      </c>
      <c r="R3988" s="75">
        <f>IF($K3988="",0,COUNTIFS('Rate Log'!$J$7:$J$189,'Rate Log'!$J$189,$L$3806:$L3988,$L3988,$K$3806:$K3988,$K3988))</f>
        <v>0</v>
      </c>
      <c r="S3988" s="75">
        <f t="shared" si="1483"/>
        <v>0</v>
      </c>
      <c r="U3988" s="74" t="str">
        <f>IF('Rate Log'!$C$189="","",IF('Rate Log'!$E$189="planned",EDATE('Rate Log'!$C$189,N(INDEX(sc_shift,3))),'Rate Log'!$C$189))</f>
        <v/>
      </c>
      <c r="V3988" s="74" t="str">
        <f t="shared" si="1484"/>
        <v/>
      </c>
      <c r="W3988" s="72">
        <f>IF(N(INDEX(sc_ach,3))=0,IF('Rate Log'!$G$189="",1,'Rate Log'!$G$189),INDEX(sc_ach,3))</f>
        <v>1</v>
      </c>
      <c r="X3988" s="72">
        <f>IF('Rate Log'!$C$189="",0,IF('Rate Log'!$E$189="planned",('Rate Log'!$D$189+N(INDEX(sc_dpts,3)))*$W3988,'Rate Log'!$D$189))</f>
        <v>0</v>
      </c>
      <c r="Y3988" s="73">
        <f>IF('Rate Log'!$C$189="",0,IF(1+$X3988&gt;0,LN(1+$X3988),0))</f>
        <v>0</v>
      </c>
      <c r="Z3988" s="75">
        <f t="shared" si="1485"/>
        <v>0</v>
      </c>
      <c r="AA3988" s="75">
        <f>IF($U3988="",0,COUNTIFS(rl_key,'Rate Log'!$J$189,$V$3806:$V$4045,$V3988,$U$3806:$U$4045,"&lt;"&amp;$U3988))</f>
        <v>0</v>
      </c>
      <c r="AB3988" s="75">
        <f>IF($U3988="",0,COUNTIFS('Rate Log'!$J$7:$J$189,'Rate Log'!$J$189,$V$3806:$V3988,$V3988,$U$3806:$U3988,$U3988))</f>
        <v>0</v>
      </c>
      <c r="AC3988" s="75">
        <f t="shared" si="1486"/>
        <v>0</v>
      </c>
      <c r="AE3988" s="74" t="str">
        <f>IF('Rate Log'!$C$189="","",IF('Rate Log'!$E$189="planned",EDATE('Rate Log'!$C$189,N(INDEX(sc_shift,4))),'Rate Log'!$C$189))</f>
        <v/>
      </c>
      <c r="AF3988" s="74" t="str">
        <f t="shared" si="1487"/>
        <v/>
      </c>
      <c r="AG3988" s="72">
        <f>IF(N(INDEX(sc_ach,4))=0,IF('Rate Log'!$G$189="",1,'Rate Log'!$G$189),INDEX(sc_ach,4))</f>
        <v>1</v>
      </c>
      <c r="AH3988" s="72">
        <f>IF('Rate Log'!$C$189="",0,IF('Rate Log'!$E$189="planned",('Rate Log'!$D$189+N(INDEX(sc_dpts,4)))*$AG3988,'Rate Log'!$D$189))</f>
        <v>0</v>
      </c>
      <c r="AI3988" s="73">
        <f>IF('Rate Log'!$C$189="",0,IF(1+$AH3988&gt;0,LN(1+$AH3988),0))</f>
        <v>0</v>
      </c>
      <c r="AJ3988" s="75">
        <f t="shared" si="1488"/>
        <v>0</v>
      </c>
      <c r="AK3988" s="75">
        <f>IF($AE3988="",0,COUNTIFS(rl_key,'Rate Log'!$J$189,$AF$3806:$AF$4045,$AF3988,$AE$3806:$AE$4045,"&lt;"&amp;$AE3988))</f>
        <v>0</v>
      </c>
      <c r="AL3988" s="75">
        <f>IF($AE3988="",0,COUNTIFS('Rate Log'!$J$7:$J$189,'Rate Log'!$J$189,$AF$3806:$AF3988,$AF3988,$AE$3806:$AE3988,$AE3988))</f>
        <v>0</v>
      </c>
      <c r="AM3988" s="75">
        <f t="shared" si="1489"/>
        <v>0</v>
      </c>
    </row>
    <row r="3989" spans="1:39" x14ac:dyDescent="0.3">
      <c r="A3989" s="74" t="str">
        <f>IF('Rate Log'!$C$190="","",IF('Rate Log'!$E$190="planned",EDATE('Rate Log'!$C$190,N(INDEX(sc_shift,1))),'Rate Log'!$C$190))</f>
        <v/>
      </c>
      <c r="B3989" s="74" t="str">
        <f t="shared" si="1478"/>
        <v/>
      </c>
      <c r="C3989" s="72">
        <f>IF(N(INDEX(sc_ach,1))=0,IF('Rate Log'!$G$190="",1,'Rate Log'!$G$190),INDEX(sc_ach,1))</f>
        <v>1</v>
      </c>
      <c r="D3989" s="72">
        <f>IF('Rate Log'!$C$190="",0,IF('Rate Log'!$E$190="planned",('Rate Log'!$D$190+N(INDEX(sc_dpts,1)))*$C3989,'Rate Log'!$D$190))</f>
        <v>0</v>
      </c>
      <c r="E3989" s="73">
        <f>IF('Rate Log'!$C$190="",0,IF(1+$D3989&gt;0,LN(1+$D3989),0))</f>
        <v>0</v>
      </c>
      <c r="F3989" s="75">
        <f t="shared" si="1479"/>
        <v>0</v>
      </c>
      <c r="G3989" s="75">
        <f>IF($A3989="",0,COUNTIFS(rl_key,'Rate Log'!$J$190,$B$3806:$B$4045,$B3989,$A$3806:$A$4045,"&lt;"&amp;$A3989))</f>
        <v>0</v>
      </c>
      <c r="H3989" s="75">
        <f>IF($A3989="",0,COUNTIFS('Rate Log'!$J$7:$J$190,'Rate Log'!$J$190,$B$3806:$B3989,$B3989,$A$3806:$A3989,$A3989))</f>
        <v>0</v>
      </c>
      <c r="I3989" s="75">
        <f t="shared" si="1480"/>
        <v>0</v>
      </c>
      <c r="K3989" s="74" t="str">
        <f>IF('Rate Log'!$C$190="","",IF('Rate Log'!$E$190="planned",EDATE('Rate Log'!$C$190,N(INDEX(sc_shift,2))),'Rate Log'!$C$190))</f>
        <v/>
      </c>
      <c r="L3989" s="74" t="str">
        <f t="shared" si="1481"/>
        <v/>
      </c>
      <c r="M3989" s="72">
        <f>IF(N(INDEX(sc_ach,2))=0,IF('Rate Log'!$G$190="",1,'Rate Log'!$G$190),INDEX(sc_ach,2))</f>
        <v>1</v>
      </c>
      <c r="N3989" s="72">
        <f>IF('Rate Log'!$C$190="",0,IF('Rate Log'!$E$190="planned",('Rate Log'!$D$190+N(INDEX(sc_dpts,2)))*$M3989,'Rate Log'!$D$190))</f>
        <v>0</v>
      </c>
      <c r="O3989" s="73">
        <f>IF('Rate Log'!$C$190="",0,IF(1+$N3989&gt;0,LN(1+$N3989),0))</f>
        <v>0</v>
      </c>
      <c r="P3989" s="75">
        <f t="shared" si="1482"/>
        <v>0</v>
      </c>
      <c r="Q3989" s="75">
        <f>IF($K3989="",0,COUNTIFS(rl_key,'Rate Log'!$J$190,$L$3806:$L$4045,$L3989,$K$3806:$K$4045,"&lt;"&amp;$K3989))</f>
        <v>0</v>
      </c>
      <c r="R3989" s="75">
        <f>IF($K3989="",0,COUNTIFS('Rate Log'!$J$7:$J$190,'Rate Log'!$J$190,$L$3806:$L3989,$L3989,$K$3806:$K3989,$K3989))</f>
        <v>0</v>
      </c>
      <c r="S3989" s="75">
        <f t="shared" si="1483"/>
        <v>0</v>
      </c>
      <c r="U3989" s="74" t="str">
        <f>IF('Rate Log'!$C$190="","",IF('Rate Log'!$E$190="planned",EDATE('Rate Log'!$C$190,N(INDEX(sc_shift,3))),'Rate Log'!$C$190))</f>
        <v/>
      </c>
      <c r="V3989" s="74" t="str">
        <f t="shared" si="1484"/>
        <v/>
      </c>
      <c r="W3989" s="72">
        <f>IF(N(INDEX(sc_ach,3))=0,IF('Rate Log'!$G$190="",1,'Rate Log'!$G$190),INDEX(sc_ach,3))</f>
        <v>1</v>
      </c>
      <c r="X3989" s="72">
        <f>IF('Rate Log'!$C$190="",0,IF('Rate Log'!$E$190="planned",('Rate Log'!$D$190+N(INDEX(sc_dpts,3)))*$W3989,'Rate Log'!$D$190))</f>
        <v>0</v>
      </c>
      <c r="Y3989" s="73">
        <f>IF('Rate Log'!$C$190="",0,IF(1+$X3989&gt;0,LN(1+$X3989),0))</f>
        <v>0</v>
      </c>
      <c r="Z3989" s="75">
        <f t="shared" si="1485"/>
        <v>0</v>
      </c>
      <c r="AA3989" s="75">
        <f>IF($U3989="",0,COUNTIFS(rl_key,'Rate Log'!$J$190,$V$3806:$V$4045,$V3989,$U$3806:$U$4045,"&lt;"&amp;$U3989))</f>
        <v>0</v>
      </c>
      <c r="AB3989" s="75">
        <f>IF($U3989="",0,COUNTIFS('Rate Log'!$J$7:$J$190,'Rate Log'!$J$190,$V$3806:$V3989,$V3989,$U$3806:$U3989,$U3989))</f>
        <v>0</v>
      </c>
      <c r="AC3989" s="75">
        <f t="shared" si="1486"/>
        <v>0</v>
      </c>
      <c r="AE3989" s="74" t="str">
        <f>IF('Rate Log'!$C$190="","",IF('Rate Log'!$E$190="planned",EDATE('Rate Log'!$C$190,N(INDEX(sc_shift,4))),'Rate Log'!$C$190))</f>
        <v/>
      </c>
      <c r="AF3989" s="74" t="str">
        <f t="shared" si="1487"/>
        <v/>
      </c>
      <c r="AG3989" s="72">
        <f>IF(N(INDEX(sc_ach,4))=0,IF('Rate Log'!$G$190="",1,'Rate Log'!$G$190),INDEX(sc_ach,4))</f>
        <v>1</v>
      </c>
      <c r="AH3989" s="72">
        <f>IF('Rate Log'!$C$190="",0,IF('Rate Log'!$E$190="planned",('Rate Log'!$D$190+N(INDEX(sc_dpts,4)))*$AG3989,'Rate Log'!$D$190))</f>
        <v>0</v>
      </c>
      <c r="AI3989" s="73">
        <f>IF('Rate Log'!$C$190="",0,IF(1+$AH3989&gt;0,LN(1+$AH3989),0))</f>
        <v>0</v>
      </c>
      <c r="AJ3989" s="75">
        <f t="shared" si="1488"/>
        <v>0</v>
      </c>
      <c r="AK3989" s="75">
        <f>IF($AE3989="",0,COUNTIFS(rl_key,'Rate Log'!$J$190,$AF$3806:$AF$4045,$AF3989,$AE$3806:$AE$4045,"&lt;"&amp;$AE3989))</f>
        <v>0</v>
      </c>
      <c r="AL3989" s="75">
        <f>IF($AE3989="",0,COUNTIFS('Rate Log'!$J$7:$J$190,'Rate Log'!$J$190,$AF$3806:$AF3989,$AF3989,$AE$3806:$AE3989,$AE3989))</f>
        <v>0</v>
      </c>
      <c r="AM3989" s="75">
        <f t="shared" si="1489"/>
        <v>0</v>
      </c>
    </row>
    <row r="3990" spans="1:39" x14ac:dyDescent="0.3">
      <c r="A3990" s="74" t="str">
        <f>IF('Rate Log'!$C$191="","",IF('Rate Log'!$E$191="planned",EDATE('Rate Log'!$C$191,N(INDEX(sc_shift,1))),'Rate Log'!$C$191))</f>
        <v/>
      </c>
      <c r="B3990" s="74" t="str">
        <f t="shared" si="1478"/>
        <v/>
      </c>
      <c r="C3990" s="72">
        <f>IF(N(INDEX(sc_ach,1))=0,IF('Rate Log'!$G$191="",1,'Rate Log'!$G$191),INDEX(sc_ach,1))</f>
        <v>1</v>
      </c>
      <c r="D3990" s="72">
        <f>IF('Rate Log'!$C$191="",0,IF('Rate Log'!$E$191="planned",('Rate Log'!$D$191+N(INDEX(sc_dpts,1)))*$C3990,'Rate Log'!$D$191))</f>
        <v>0</v>
      </c>
      <c r="E3990" s="73">
        <f>IF('Rate Log'!$C$191="",0,IF(1+$D3990&gt;0,LN(1+$D3990),0))</f>
        <v>0</v>
      </c>
      <c r="F3990" s="75">
        <f t="shared" si="1479"/>
        <v>0</v>
      </c>
      <c r="G3990" s="75">
        <f>IF($A3990="",0,COUNTIFS(rl_key,'Rate Log'!$J$191,$B$3806:$B$4045,$B3990,$A$3806:$A$4045,"&lt;"&amp;$A3990))</f>
        <v>0</v>
      </c>
      <c r="H3990" s="75">
        <f>IF($A3990="",0,COUNTIFS('Rate Log'!$J$7:$J$191,'Rate Log'!$J$191,$B$3806:$B3990,$B3990,$A$3806:$A3990,$A3990))</f>
        <v>0</v>
      </c>
      <c r="I3990" s="75">
        <f t="shared" si="1480"/>
        <v>0</v>
      </c>
      <c r="K3990" s="74" t="str">
        <f>IF('Rate Log'!$C$191="","",IF('Rate Log'!$E$191="planned",EDATE('Rate Log'!$C$191,N(INDEX(sc_shift,2))),'Rate Log'!$C$191))</f>
        <v/>
      </c>
      <c r="L3990" s="74" t="str">
        <f t="shared" si="1481"/>
        <v/>
      </c>
      <c r="M3990" s="72">
        <f>IF(N(INDEX(sc_ach,2))=0,IF('Rate Log'!$G$191="",1,'Rate Log'!$G$191),INDEX(sc_ach,2))</f>
        <v>1</v>
      </c>
      <c r="N3990" s="72">
        <f>IF('Rate Log'!$C$191="",0,IF('Rate Log'!$E$191="planned",('Rate Log'!$D$191+N(INDEX(sc_dpts,2)))*$M3990,'Rate Log'!$D$191))</f>
        <v>0</v>
      </c>
      <c r="O3990" s="73">
        <f>IF('Rate Log'!$C$191="",0,IF(1+$N3990&gt;0,LN(1+$N3990),0))</f>
        <v>0</v>
      </c>
      <c r="P3990" s="75">
        <f t="shared" si="1482"/>
        <v>0</v>
      </c>
      <c r="Q3990" s="75">
        <f>IF($K3990="",0,COUNTIFS(rl_key,'Rate Log'!$J$191,$L$3806:$L$4045,$L3990,$K$3806:$K$4045,"&lt;"&amp;$K3990))</f>
        <v>0</v>
      </c>
      <c r="R3990" s="75">
        <f>IF($K3990="",0,COUNTIFS('Rate Log'!$J$7:$J$191,'Rate Log'!$J$191,$L$3806:$L3990,$L3990,$K$3806:$K3990,$K3990))</f>
        <v>0</v>
      </c>
      <c r="S3990" s="75">
        <f t="shared" si="1483"/>
        <v>0</v>
      </c>
      <c r="U3990" s="74" t="str">
        <f>IF('Rate Log'!$C$191="","",IF('Rate Log'!$E$191="planned",EDATE('Rate Log'!$C$191,N(INDEX(sc_shift,3))),'Rate Log'!$C$191))</f>
        <v/>
      </c>
      <c r="V3990" s="74" t="str">
        <f t="shared" si="1484"/>
        <v/>
      </c>
      <c r="W3990" s="72">
        <f>IF(N(INDEX(sc_ach,3))=0,IF('Rate Log'!$G$191="",1,'Rate Log'!$G$191),INDEX(sc_ach,3))</f>
        <v>1</v>
      </c>
      <c r="X3990" s="72">
        <f>IF('Rate Log'!$C$191="",0,IF('Rate Log'!$E$191="planned",('Rate Log'!$D$191+N(INDEX(sc_dpts,3)))*$W3990,'Rate Log'!$D$191))</f>
        <v>0</v>
      </c>
      <c r="Y3990" s="73">
        <f>IF('Rate Log'!$C$191="",0,IF(1+$X3990&gt;0,LN(1+$X3990),0))</f>
        <v>0</v>
      </c>
      <c r="Z3990" s="75">
        <f t="shared" si="1485"/>
        <v>0</v>
      </c>
      <c r="AA3990" s="75">
        <f>IF($U3990="",0,COUNTIFS(rl_key,'Rate Log'!$J$191,$V$3806:$V$4045,$V3990,$U$3806:$U$4045,"&lt;"&amp;$U3990))</f>
        <v>0</v>
      </c>
      <c r="AB3990" s="75">
        <f>IF($U3990="",0,COUNTIFS('Rate Log'!$J$7:$J$191,'Rate Log'!$J$191,$V$3806:$V3990,$V3990,$U$3806:$U3990,$U3990))</f>
        <v>0</v>
      </c>
      <c r="AC3990" s="75">
        <f t="shared" si="1486"/>
        <v>0</v>
      </c>
      <c r="AE3990" s="74" t="str">
        <f>IF('Rate Log'!$C$191="","",IF('Rate Log'!$E$191="planned",EDATE('Rate Log'!$C$191,N(INDEX(sc_shift,4))),'Rate Log'!$C$191))</f>
        <v/>
      </c>
      <c r="AF3990" s="74" t="str">
        <f t="shared" si="1487"/>
        <v/>
      </c>
      <c r="AG3990" s="72">
        <f>IF(N(INDEX(sc_ach,4))=0,IF('Rate Log'!$G$191="",1,'Rate Log'!$G$191),INDEX(sc_ach,4))</f>
        <v>1</v>
      </c>
      <c r="AH3990" s="72">
        <f>IF('Rate Log'!$C$191="",0,IF('Rate Log'!$E$191="planned",('Rate Log'!$D$191+N(INDEX(sc_dpts,4)))*$AG3990,'Rate Log'!$D$191))</f>
        <v>0</v>
      </c>
      <c r="AI3990" s="73">
        <f>IF('Rate Log'!$C$191="",0,IF(1+$AH3990&gt;0,LN(1+$AH3990),0))</f>
        <v>0</v>
      </c>
      <c r="AJ3990" s="75">
        <f t="shared" si="1488"/>
        <v>0</v>
      </c>
      <c r="AK3990" s="75">
        <f>IF($AE3990="",0,COUNTIFS(rl_key,'Rate Log'!$J$191,$AF$3806:$AF$4045,$AF3990,$AE$3806:$AE$4045,"&lt;"&amp;$AE3990))</f>
        <v>0</v>
      </c>
      <c r="AL3990" s="75">
        <f>IF($AE3990="",0,COUNTIFS('Rate Log'!$J$7:$J$191,'Rate Log'!$J$191,$AF$3806:$AF3990,$AF3990,$AE$3806:$AE3990,$AE3990))</f>
        <v>0</v>
      </c>
      <c r="AM3990" s="75">
        <f t="shared" si="1489"/>
        <v>0</v>
      </c>
    </row>
    <row r="3991" spans="1:39" x14ac:dyDescent="0.3">
      <c r="A3991" s="74" t="str">
        <f>IF('Rate Log'!$C$192="","",IF('Rate Log'!$E$192="planned",EDATE('Rate Log'!$C$192,N(INDEX(sc_shift,1))),'Rate Log'!$C$192))</f>
        <v/>
      </c>
      <c r="B3991" s="74" t="str">
        <f t="shared" si="1478"/>
        <v/>
      </c>
      <c r="C3991" s="72">
        <f>IF(N(INDEX(sc_ach,1))=0,IF('Rate Log'!$G$192="",1,'Rate Log'!$G$192),INDEX(sc_ach,1))</f>
        <v>1</v>
      </c>
      <c r="D3991" s="72">
        <f>IF('Rate Log'!$C$192="",0,IF('Rate Log'!$E$192="planned",('Rate Log'!$D$192+N(INDEX(sc_dpts,1)))*$C3991,'Rate Log'!$D$192))</f>
        <v>0</v>
      </c>
      <c r="E3991" s="73">
        <f>IF('Rate Log'!$C$192="",0,IF(1+$D3991&gt;0,LN(1+$D3991),0))</f>
        <v>0</v>
      </c>
      <c r="F3991" s="75">
        <f t="shared" si="1479"/>
        <v>0</v>
      </c>
      <c r="G3991" s="75">
        <f>IF($A3991="",0,COUNTIFS(rl_key,'Rate Log'!$J$192,$B$3806:$B$4045,$B3991,$A$3806:$A$4045,"&lt;"&amp;$A3991))</f>
        <v>0</v>
      </c>
      <c r="H3991" s="75">
        <f>IF($A3991="",0,COUNTIFS('Rate Log'!$J$7:$J$192,'Rate Log'!$J$192,$B$3806:$B3991,$B3991,$A$3806:$A3991,$A3991))</f>
        <v>0</v>
      </c>
      <c r="I3991" s="75">
        <f t="shared" si="1480"/>
        <v>0</v>
      </c>
      <c r="K3991" s="74" t="str">
        <f>IF('Rate Log'!$C$192="","",IF('Rate Log'!$E$192="planned",EDATE('Rate Log'!$C$192,N(INDEX(sc_shift,2))),'Rate Log'!$C$192))</f>
        <v/>
      </c>
      <c r="L3991" s="74" t="str">
        <f t="shared" si="1481"/>
        <v/>
      </c>
      <c r="M3991" s="72">
        <f>IF(N(INDEX(sc_ach,2))=0,IF('Rate Log'!$G$192="",1,'Rate Log'!$G$192),INDEX(sc_ach,2))</f>
        <v>1</v>
      </c>
      <c r="N3991" s="72">
        <f>IF('Rate Log'!$C$192="",0,IF('Rate Log'!$E$192="planned",('Rate Log'!$D$192+N(INDEX(sc_dpts,2)))*$M3991,'Rate Log'!$D$192))</f>
        <v>0</v>
      </c>
      <c r="O3991" s="73">
        <f>IF('Rate Log'!$C$192="",0,IF(1+$N3991&gt;0,LN(1+$N3991),0))</f>
        <v>0</v>
      </c>
      <c r="P3991" s="75">
        <f t="shared" si="1482"/>
        <v>0</v>
      </c>
      <c r="Q3991" s="75">
        <f>IF($K3991="",0,COUNTIFS(rl_key,'Rate Log'!$J$192,$L$3806:$L$4045,$L3991,$K$3806:$K$4045,"&lt;"&amp;$K3991))</f>
        <v>0</v>
      </c>
      <c r="R3991" s="75">
        <f>IF($K3991="",0,COUNTIFS('Rate Log'!$J$7:$J$192,'Rate Log'!$J$192,$L$3806:$L3991,$L3991,$K$3806:$K3991,$K3991))</f>
        <v>0</v>
      </c>
      <c r="S3991" s="75">
        <f t="shared" si="1483"/>
        <v>0</v>
      </c>
      <c r="U3991" s="74" t="str">
        <f>IF('Rate Log'!$C$192="","",IF('Rate Log'!$E$192="planned",EDATE('Rate Log'!$C$192,N(INDEX(sc_shift,3))),'Rate Log'!$C$192))</f>
        <v/>
      </c>
      <c r="V3991" s="74" t="str">
        <f t="shared" si="1484"/>
        <v/>
      </c>
      <c r="W3991" s="72">
        <f>IF(N(INDEX(sc_ach,3))=0,IF('Rate Log'!$G$192="",1,'Rate Log'!$G$192),INDEX(sc_ach,3))</f>
        <v>1</v>
      </c>
      <c r="X3991" s="72">
        <f>IF('Rate Log'!$C$192="",0,IF('Rate Log'!$E$192="planned",('Rate Log'!$D$192+N(INDEX(sc_dpts,3)))*$W3991,'Rate Log'!$D$192))</f>
        <v>0</v>
      </c>
      <c r="Y3991" s="73">
        <f>IF('Rate Log'!$C$192="",0,IF(1+$X3991&gt;0,LN(1+$X3991),0))</f>
        <v>0</v>
      </c>
      <c r="Z3991" s="75">
        <f t="shared" si="1485"/>
        <v>0</v>
      </c>
      <c r="AA3991" s="75">
        <f>IF($U3991="",0,COUNTIFS(rl_key,'Rate Log'!$J$192,$V$3806:$V$4045,$V3991,$U$3806:$U$4045,"&lt;"&amp;$U3991))</f>
        <v>0</v>
      </c>
      <c r="AB3991" s="75">
        <f>IF($U3991="",0,COUNTIFS('Rate Log'!$J$7:$J$192,'Rate Log'!$J$192,$V$3806:$V3991,$V3991,$U$3806:$U3991,$U3991))</f>
        <v>0</v>
      </c>
      <c r="AC3991" s="75">
        <f t="shared" si="1486"/>
        <v>0</v>
      </c>
      <c r="AE3991" s="74" t="str">
        <f>IF('Rate Log'!$C$192="","",IF('Rate Log'!$E$192="planned",EDATE('Rate Log'!$C$192,N(INDEX(sc_shift,4))),'Rate Log'!$C$192))</f>
        <v/>
      </c>
      <c r="AF3991" s="74" t="str">
        <f t="shared" si="1487"/>
        <v/>
      </c>
      <c r="AG3991" s="72">
        <f>IF(N(INDEX(sc_ach,4))=0,IF('Rate Log'!$G$192="",1,'Rate Log'!$G$192),INDEX(sc_ach,4))</f>
        <v>1</v>
      </c>
      <c r="AH3991" s="72">
        <f>IF('Rate Log'!$C$192="",0,IF('Rate Log'!$E$192="planned",('Rate Log'!$D$192+N(INDEX(sc_dpts,4)))*$AG3991,'Rate Log'!$D$192))</f>
        <v>0</v>
      </c>
      <c r="AI3991" s="73">
        <f>IF('Rate Log'!$C$192="",0,IF(1+$AH3991&gt;0,LN(1+$AH3991),0))</f>
        <v>0</v>
      </c>
      <c r="AJ3991" s="75">
        <f t="shared" si="1488"/>
        <v>0</v>
      </c>
      <c r="AK3991" s="75">
        <f>IF($AE3991="",0,COUNTIFS(rl_key,'Rate Log'!$J$192,$AF$3806:$AF$4045,$AF3991,$AE$3806:$AE$4045,"&lt;"&amp;$AE3991))</f>
        <v>0</v>
      </c>
      <c r="AL3991" s="75">
        <f>IF($AE3991="",0,COUNTIFS('Rate Log'!$J$7:$J$192,'Rate Log'!$J$192,$AF$3806:$AF3991,$AF3991,$AE$3806:$AE3991,$AE3991))</f>
        <v>0</v>
      </c>
      <c r="AM3991" s="75">
        <f t="shared" si="1489"/>
        <v>0</v>
      </c>
    </row>
    <row r="3992" spans="1:39" x14ac:dyDescent="0.3">
      <c r="A3992" s="74" t="str">
        <f>IF('Rate Log'!$C$193="","",IF('Rate Log'!$E$193="planned",EDATE('Rate Log'!$C$193,N(INDEX(sc_shift,1))),'Rate Log'!$C$193))</f>
        <v/>
      </c>
      <c r="B3992" s="74" t="str">
        <f t="shared" si="1478"/>
        <v/>
      </c>
      <c r="C3992" s="72">
        <f>IF(N(INDEX(sc_ach,1))=0,IF('Rate Log'!$G$193="",1,'Rate Log'!$G$193),INDEX(sc_ach,1))</f>
        <v>1</v>
      </c>
      <c r="D3992" s="72">
        <f>IF('Rate Log'!$C$193="",0,IF('Rate Log'!$E$193="planned",('Rate Log'!$D$193+N(INDEX(sc_dpts,1)))*$C3992,'Rate Log'!$D$193))</f>
        <v>0</v>
      </c>
      <c r="E3992" s="73">
        <f>IF('Rate Log'!$C$193="",0,IF(1+$D3992&gt;0,LN(1+$D3992),0))</f>
        <v>0</v>
      </c>
      <c r="F3992" s="75">
        <f t="shared" si="1479"/>
        <v>0</v>
      </c>
      <c r="G3992" s="75">
        <f>IF($A3992="",0,COUNTIFS(rl_key,'Rate Log'!$J$193,$B$3806:$B$4045,$B3992,$A$3806:$A$4045,"&lt;"&amp;$A3992))</f>
        <v>0</v>
      </c>
      <c r="H3992" s="75">
        <f>IF($A3992="",0,COUNTIFS('Rate Log'!$J$7:$J$193,'Rate Log'!$J$193,$B$3806:$B3992,$B3992,$A$3806:$A3992,$A3992))</f>
        <v>0</v>
      </c>
      <c r="I3992" s="75">
        <f t="shared" si="1480"/>
        <v>0</v>
      </c>
      <c r="K3992" s="74" t="str">
        <f>IF('Rate Log'!$C$193="","",IF('Rate Log'!$E$193="planned",EDATE('Rate Log'!$C$193,N(INDEX(sc_shift,2))),'Rate Log'!$C$193))</f>
        <v/>
      </c>
      <c r="L3992" s="74" t="str">
        <f t="shared" si="1481"/>
        <v/>
      </c>
      <c r="M3992" s="72">
        <f>IF(N(INDEX(sc_ach,2))=0,IF('Rate Log'!$G$193="",1,'Rate Log'!$G$193),INDEX(sc_ach,2))</f>
        <v>1</v>
      </c>
      <c r="N3992" s="72">
        <f>IF('Rate Log'!$C$193="",0,IF('Rate Log'!$E$193="planned",('Rate Log'!$D$193+N(INDEX(sc_dpts,2)))*$M3992,'Rate Log'!$D$193))</f>
        <v>0</v>
      </c>
      <c r="O3992" s="73">
        <f>IF('Rate Log'!$C$193="",0,IF(1+$N3992&gt;0,LN(1+$N3992),0))</f>
        <v>0</v>
      </c>
      <c r="P3992" s="75">
        <f t="shared" si="1482"/>
        <v>0</v>
      </c>
      <c r="Q3992" s="75">
        <f>IF($K3992="",0,COUNTIFS(rl_key,'Rate Log'!$J$193,$L$3806:$L$4045,$L3992,$K$3806:$K$4045,"&lt;"&amp;$K3992))</f>
        <v>0</v>
      </c>
      <c r="R3992" s="75">
        <f>IF($K3992="",0,COUNTIFS('Rate Log'!$J$7:$J$193,'Rate Log'!$J$193,$L$3806:$L3992,$L3992,$K$3806:$K3992,$K3992))</f>
        <v>0</v>
      </c>
      <c r="S3992" s="75">
        <f t="shared" si="1483"/>
        <v>0</v>
      </c>
      <c r="U3992" s="74" t="str">
        <f>IF('Rate Log'!$C$193="","",IF('Rate Log'!$E$193="planned",EDATE('Rate Log'!$C$193,N(INDEX(sc_shift,3))),'Rate Log'!$C$193))</f>
        <v/>
      </c>
      <c r="V3992" s="74" t="str">
        <f t="shared" si="1484"/>
        <v/>
      </c>
      <c r="W3992" s="72">
        <f>IF(N(INDEX(sc_ach,3))=0,IF('Rate Log'!$G$193="",1,'Rate Log'!$G$193),INDEX(sc_ach,3))</f>
        <v>1</v>
      </c>
      <c r="X3992" s="72">
        <f>IF('Rate Log'!$C$193="",0,IF('Rate Log'!$E$193="planned",('Rate Log'!$D$193+N(INDEX(sc_dpts,3)))*$W3992,'Rate Log'!$D$193))</f>
        <v>0</v>
      </c>
      <c r="Y3992" s="73">
        <f>IF('Rate Log'!$C$193="",0,IF(1+$X3992&gt;0,LN(1+$X3992),0))</f>
        <v>0</v>
      </c>
      <c r="Z3992" s="75">
        <f t="shared" si="1485"/>
        <v>0</v>
      </c>
      <c r="AA3992" s="75">
        <f>IF($U3992="",0,COUNTIFS(rl_key,'Rate Log'!$J$193,$V$3806:$V$4045,$V3992,$U$3806:$U$4045,"&lt;"&amp;$U3992))</f>
        <v>0</v>
      </c>
      <c r="AB3992" s="75">
        <f>IF($U3992="",0,COUNTIFS('Rate Log'!$J$7:$J$193,'Rate Log'!$J$193,$V$3806:$V3992,$V3992,$U$3806:$U3992,$U3992))</f>
        <v>0</v>
      </c>
      <c r="AC3992" s="75">
        <f t="shared" si="1486"/>
        <v>0</v>
      </c>
      <c r="AE3992" s="74" t="str">
        <f>IF('Rate Log'!$C$193="","",IF('Rate Log'!$E$193="planned",EDATE('Rate Log'!$C$193,N(INDEX(sc_shift,4))),'Rate Log'!$C$193))</f>
        <v/>
      </c>
      <c r="AF3992" s="74" t="str">
        <f t="shared" si="1487"/>
        <v/>
      </c>
      <c r="AG3992" s="72">
        <f>IF(N(INDEX(sc_ach,4))=0,IF('Rate Log'!$G$193="",1,'Rate Log'!$G$193),INDEX(sc_ach,4))</f>
        <v>1</v>
      </c>
      <c r="AH3992" s="72">
        <f>IF('Rate Log'!$C$193="",0,IF('Rate Log'!$E$193="planned",('Rate Log'!$D$193+N(INDEX(sc_dpts,4)))*$AG3992,'Rate Log'!$D$193))</f>
        <v>0</v>
      </c>
      <c r="AI3992" s="73">
        <f>IF('Rate Log'!$C$193="",0,IF(1+$AH3992&gt;0,LN(1+$AH3992),0))</f>
        <v>0</v>
      </c>
      <c r="AJ3992" s="75">
        <f t="shared" si="1488"/>
        <v>0</v>
      </c>
      <c r="AK3992" s="75">
        <f>IF($AE3992="",0,COUNTIFS(rl_key,'Rate Log'!$J$193,$AF$3806:$AF$4045,$AF3992,$AE$3806:$AE$4045,"&lt;"&amp;$AE3992))</f>
        <v>0</v>
      </c>
      <c r="AL3992" s="75">
        <f>IF($AE3992="",0,COUNTIFS('Rate Log'!$J$7:$J$193,'Rate Log'!$J$193,$AF$3806:$AF3992,$AF3992,$AE$3806:$AE3992,$AE3992))</f>
        <v>0</v>
      </c>
      <c r="AM3992" s="75">
        <f t="shared" si="1489"/>
        <v>0</v>
      </c>
    </row>
    <row r="3993" spans="1:39" x14ac:dyDescent="0.3">
      <c r="A3993" s="74" t="str">
        <f>IF('Rate Log'!$C$194="","",IF('Rate Log'!$E$194="planned",EDATE('Rate Log'!$C$194,N(INDEX(sc_shift,1))),'Rate Log'!$C$194))</f>
        <v/>
      </c>
      <c r="B3993" s="74" t="str">
        <f t="shared" si="1478"/>
        <v/>
      </c>
      <c r="C3993" s="72">
        <f>IF(N(INDEX(sc_ach,1))=0,IF('Rate Log'!$G$194="",1,'Rate Log'!$G$194),INDEX(sc_ach,1))</f>
        <v>1</v>
      </c>
      <c r="D3993" s="72">
        <f>IF('Rate Log'!$C$194="",0,IF('Rate Log'!$E$194="planned",('Rate Log'!$D$194+N(INDEX(sc_dpts,1)))*$C3993,'Rate Log'!$D$194))</f>
        <v>0</v>
      </c>
      <c r="E3993" s="73">
        <f>IF('Rate Log'!$C$194="",0,IF(1+$D3993&gt;0,LN(1+$D3993),0))</f>
        <v>0</v>
      </c>
      <c r="F3993" s="75">
        <f t="shared" si="1479"/>
        <v>0</v>
      </c>
      <c r="G3993" s="75">
        <f>IF($A3993="",0,COUNTIFS(rl_key,'Rate Log'!$J$194,$B$3806:$B$4045,$B3993,$A$3806:$A$4045,"&lt;"&amp;$A3993))</f>
        <v>0</v>
      </c>
      <c r="H3993" s="75">
        <f>IF($A3993="",0,COUNTIFS('Rate Log'!$J$7:$J$194,'Rate Log'!$J$194,$B$3806:$B3993,$B3993,$A$3806:$A3993,$A3993))</f>
        <v>0</v>
      </c>
      <c r="I3993" s="75">
        <f t="shared" si="1480"/>
        <v>0</v>
      </c>
      <c r="K3993" s="74" t="str">
        <f>IF('Rate Log'!$C$194="","",IF('Rate Log'!$E$194="planned",EDATE('Rate Log'!$C$194,N(INDEX(sc_shift,2))),'Rate Log'!$C$194))</f>
        <v/>
      </c>
      <c r="L3993" s="74" t="str">
        <f t="shared" si="1481"/>
        <v/>
      </c>
      <c r="M3993" s="72">
        <f>IF(N(INDEX(sc_ach,2))=0,IF('Rate Log'!$G$194="",1,'Rate Log'!$G$194),INDEX(sc_ach,2))</f>
        <v>1</v>
      </c>
      <c r="N3993" s="72">
        <f>IF('Rate Log'!$C$194="",0,IF('Rate Log'!$E$194="planned",('Rate Log'!$D$194+N(INDEX(sc_dpts,2)))*$M3993,'Rate Log'!$D$194))</f>
        <v>0</v>
      </c>
      <c r="O3993" s="73">
        <f>IF('Rate Log'!$C$194="",0,IF(1+$N3993&gt;0,LN(1+$N3993),0))</f>
        <v>0</v>
      </c>
      <c r="P3993" s="75">
        <f t="shared" si="1482"/>
        <v>0</v>
      </c>
      <c r="Q3993" s="75">
        <f>IF($K3993="",0,COUNTIFS(rl_key,'Rate Log'!$J$194,$L$3806:$L$4045,$L3993,$K$3806:$K$4045,"&lt;"&amp;$K3993))</f>
        <v>0</v>
      </c>
      <c r="R3993" s="75">
        <f>IF($K3993="",0,COUNTIFS('Rate Log'!$J$7:$J$194,'Rate Log'!$J$194,$L$3806:$L3993,$L3993,$K$3806:$K3993,$K3993))</f>
        <v>0</v>
      </c>
      <c r="S3993" s="75">
        <f t="shared" si="1483"/>
        <v>0</v>
      </c>
      <c r="U3993" s="74" t="str">
        <f>IF('Rate Log'!$C$194="","",IF('Rate Log'!$E$194="planned",EDATE('Rate Log'!$C$194,N(INDEX(sc_shift,3))),'Rate Log'!$C$194))</f>
        <v/>
      </c>
      <c r="V3993" s="74" t="str">
        <f t="shared" si="1484"/>
        <v/>
      </c>
      <c r="W3993" s="72">
        <f>IF(N(INDEX(sc_ach,3))=0,IF('Rate Log'!$G$194="",1,'Rate Log'!$G$194),INDEX(sc_ach,3))</f>
        <v>1</v>
      </c>
      <c r="X3993" s="72">
        <f>IF('Rate Log'!$C$194="",0,IF('Rate Log'!$E$194="planned",('Rate Log'!$D$194+N(INDEX(sc_dpts,3)))*$W3993,'Rate Log'!$D$194))</f>
        <v>0</v>
      </c>
      <c r="Y3993" s="73">
        <f>IF('Rate Log'!$C$194="",0,IF(1+$X3993&gt;0,LN(1+$X3993),0))</f>
        <v>0</v>
      </c>
      <c r="Z3993" s="75">
        <f t="shared" si="1485"/>
        <v>0</v>
      </c>
      <c r="AA3993" s="75">
        <f>IF($U3993="",0,COUNTIFS(rl_key,'Rate Log'!$J$194,$V$3806:$V$4045,$V3993,$U$3806:$U$4045,"&lt;"&amp;$U3993))</f>
        <v>0</v>
      </c>
      <c r="AB3993" s="75">
        <f>IF($U3993="",0,COUNTIFS('Rate Log'!$J$7:$J$194,'Rate Log'!$J$194,$V$3806:$V3993,$V3993,$U$3806:$U3993,$U3993))</f>
        <v>0</v>
      </c>
      <c r="AC3993" s="75">
        <f t="shared" si="1486"/>
        <v>0</v>
      </c>
      <c r="AE3993" s="74" t="str">
        <f>IF('Rate Log'!$C$194="","",IF('Rate Log'!$E$194="planned",EDATE('Rate Log'!$C$194,N(INDEX(sc_shift,4))),'Rate Log'!$C$194))</f>
        <v/>
      </c>
      <c r="AF3993" s="74" t="str">
        <f t="shared" si="1487"/>
        <v/>
      </c>
      <c r="AG3993" s="72">
        <f>IF(N(INDEX(sc_ach,4))=0,IF('Rate Log'!$G$194="",1,'Rate Log'!$G$194),INDEX(sc_ach,4))</f>
        <v>1</v>
      </c>
      <c r="AH3993" s="72">
        <f>IF('Rate Log'!$C$194="",0,IF('Rate Log'!$E$194="planned",('Rate Log'!$D$194+N(INDEX(sc_dpts,4)))*$AG3993,'Rate Log'!$D$194))</f>
        <v>0</v>
      </c>
      <c r="AI3993" s="73">
        <f>IF('Rate Log'!$C$194="",0,IF(1+$AH3993&gt;0,LN(1+$AH3993),0))</f>
        <v>0</v>
      </c>
      <c r="AJ3993" s="75">
        <f t="shared" si="1488"/>
        <v>0</v>
      </c>
      <c r="AK3993" s="75">
        <f>IF($AE3993="",0,COUNTIFS(rl_key,'Rate Log'!$J$194,$AF$3806:$AF$4045,$AF3993,$AE$3806:$AE$4045,"&lt;"&amp;$AE3993))</f>
        <v>0</v>
      </c>
      <c r="AL3993" s="75">
        <f>IF($AE3993="",0,COUNTIFS('Rate Log'!$J$7:$J$194,'Rate Log'!$J$194,$AF$3806:$AF3993,$AF3993,$AE$3806:$AE3993,$AE3993))</f>
        <v>0</v>
      </c>
      <c r="AM3993" s="75">
        <f t="shared" si="1489"/>
        <v>0</v>
      </c>
    </row>
    <row r="3994" spans="1:39" x14ac:dyDescent="0.3">
      <c r="A3994" s="74" t="str">
        <f>IF('Rate Log'!$C$195="","",IF('Rate Log'!$E$195="planned",EDATE('Rate Log'!$C$195,N(INDEX(sc_shift,1))),'Rate Log'!$C$195))</f>
        <v/>
      </c>
      <c r="B3994" s="74" t="str">
        <f t="shared" si="1478"/>
        <v/>
      </c>
      <c r="C3994" s="72">
        <f>IF(N(INDEX(sc_ach,1))=0,IF('Rate Log'!$G$195="",1,'Rate Log'!$G$195),INDEX(sc_ach,1))</f>
        <v>1</v>
      </c>
      <c r="D3994" s="72">
        <f>IF('Rate Log'!$C$195="",0,IF('Rate Log'!$E$195="planned",('Rate Log'!$D$195+N(INDEX(sc_dpts,1)))*$C3994,'Rate Log'!$D$195))</f>
        <v>0</v>
      </c>
      <c r="E3994" s="73">
        <f>IF('Rate Log'!$C$195="",0,IF(1+$D3994&gt;0,LN(1+$D3994),0))</f>
        <v>0</v>
      </c>
      <c r="F3994" s="75">
        <f t="shared" si="1479"/>
        <v>0</v>
      </c>
      <c r="G3994" s="75">
        <f>IF($A3994="",0,COUNTIFS(rl_key,'Rate Log'!$J$195,$B$3806:$B$4045,$B3994,$A$3806:$A$4045,"&lt;"&amp;$A3994))</f>
        <v>0</v>
      </c>
      <c r="H3994" s="75">
        <f>IF($A3994="",0,COUNTIFS('Rate Log'!$J$7:$J$195,'Rate Log'!$J$195,$B$3806:$B3994,$B3994,$A$3806:$A3994,$A3994))</f>
        <v>0</v>
      </c>
      <c r="I3994" s="75">
        <f t="shared" si="1480"/>
        <v>0</v>
      </c>
      <c r="K3994" s="74" t="str">
        <f>IF('Rate Log'!$C$195="","",IF('Rate Log'!$E$195="planned",EDATE('Rate Log'!$C$195,N(INDEX(sc_shift,2))),'Rate Log'!$C$195))</f>
        <v/>
      </c>
      <c r="L3994" s="74" t="str">
        <f t="shared" si="1481"/>
        <v/>
      </c>
      <c r="M3994" s="72">
        <f>IF(N(INDEX(sc_ach,2))=0,IF('Rate Log'!$G$195="",1,'Rate Log'!$G$195),INDEX(sc_ach,2))</f>
        <v>1</v>
      </c>
      <c r="N3994" s="72">
        <f>IF('Rate Log'!$C$195="",0,IF('Rate Log'!$E$195="planned",('Rate Log'!$D$195+N(INDEX(sc_dpts,2)))*$M3994,'Rate Log'!$D$195))</f>
        <v>0</v>
      </c>
      <c r="O3994" s="73">
        <f>IF('Rate Log'!$C$195="",0,IF(1+$N3994&gt;0,LN(1+$N3994),0))</f>
        <v>0</v>
      </c>
      <c r="P3994" s="75">
        <f t="shared" si="1482"/>
        <v>0</v>
      </c>
      <c r="Q3994" s="75">
        <f>IF($K3994="",0,COUNTIFS(rl_key,'Rate Log'!$J$195,$L$3806:$L$4045,$L3994,$K$3806:$K$4045,"&lt;"&amp;$K3994))</f>
        <v>0</v>
      </c>
      <c r="R3994" s="75">
        <f>IF($K3994="",0,COUNTIFS('Rate Log'!$J$7:$J$195,'Rate Log'!$J$195,$L$3806:$L3994,$L3994,$K$3806:$K3994,$K3994))</f>
        <v>0</v>
      </c>
      <c r="S3994" s="75">
        <f t="shared" si="1483"/>
        <v>0</v>
      </c>
      <c r="U3994" s="74" t="str">
        <f>IF('Rate Log'!$C$195="","",IF('Rate Log'!$E$195="planned",EDATE('Rate Log'!$C$195,N(INDEX(sc_shift,3))),'Rate Log'!$C$195))</f>
        <v/>
      </c>
      <c r="V3994" s="74" t="str">
        <f t="shared" si="1484"/>
        <v/>
      </c>
      <c r="W3994" s="72">
        <f>IF(N(INDEX(sc_ach,3))=0,IF('Rate Log'!$G$195="",1,'Rate Log'!$G$195),INDEX(sc_ach,3))</f>
        <v>1</v>
      </c>
      <c r="X3994" s="72">
        <f>IF('Rate Log'!$C$195="",0,IF('Rate Log'!$E$195="planned",('Rate Log'!$D$195+N(INDEX(sc_dpts,3)))*$W3994,'Rate Log'!$D$195))</f>
        <v>0</v>
      </c>
      <c r="Y3994" s="73">
        <f>IF('Rate Log'!$C$195="",0,IF(1+$X3994&gt;0,LN(1+$X3994),0))</f>
        <v>0</v>
      </c>
      <c r="Z3994" s="75">
        <f t="shared" si="1485"/>
        <v>0</v>
      </c>
      <c r="AA3994" s="75">
        <f>IF($U3994="",0,COUNTIFS(rl_key,'Rate Log'!$J$195,$V$3806:$V$4045,$V3994,$U$3806:$U$4045,"&lt;"&amp;$U3994))</f>
        <v>0</v>
      </c>
      <c r="AB3994" s="75">
        <f>IF($U3994="",0,COUNTIFS('Rate Log'!$J$7:$J$195,'Rate Log'!$J$195,$V$3806:$V3994,$V3994,$U$3806:$U3994,$U3994))</f>
        <v>0</v>
      </c>
      <c r="AC3994" s="75">
        <f t="shared" si="1486"/>
        <v>0</v>
      </c>
      <c r="AE3994" s="74" t="str">
        <f>IF('Rate Log'!$C$195="","",IF('Rate Log'!$E$195="planned",EDATE('Rate Log'!$C$195,N(INDEX(sc_shift,4))),'Rate Log'!$C$195))</f>
        <v/>
      </c>
      <c r="AF3994" s="74" t="str">
        <f t="shared" si="1487"/>
        <v/>
      </c>
      <c r="AG3994" s="72">
        <f>IF(N(INDEX(sc_ach,4))=0,IF('Rate Log'!$G$195="",1,'Rate Log'!$G$195),INDEX(sc_ach,4))</f>
        <v>1</v>
      </c>
      <c r="AH3994" s="72">
        <f>IF('Rate Log'!$C$195="",0,IF('Rate Log'!$E$195="planned",('Rate Log'!$D$195+N(INDEX(sc_dpts,4)))*$AG3994,'Rate Log'!$D$195))</f>
        <v>0</v>
      </c>
      <c r="AI3994" s="73">
        <f>IF('Rate Log'!$C$195="",0,IF(1+$AH3994&gt;0,LN(1+$AH3994),0))</f>
        <v>0</v>
      </c>
      <c r="AJ3994" s="75">
        <f t="shared" si="1488"/>
        <v>0</v>
      </c>
      <c r="AK3994" s="75">
        <f>IF($AE3994="",0,COUNTIFS(rl_key,'Rate Log'!$J$195,$AF$3806:$AF$4045,$AF3994,$AE$3806:$AE$4045,"&lt;"&amp;$AE3994))</f>
        <v>0</v>
      </c>
      <c r="AL3994" s="75">
        <f>IF($AE3994="",0,COUNTIFS('Rate Log'!$J$7:$J$195,'Rate Log'!$J$195,$AF$3806:$AF3994,$AF3994,$AE$3806:$AE3994,$AE3994))</f>
        <v>0</v>
      </c>
      <c r="AM3994" s="75">
        <f t="shared" si="1489"/>
        <v>0</v>
      </c>
    </row>
    <row r="3995" spans="1:39" x14ac:dyDescent="0.3">
      <c r="A3995" s="74" t="str">
        <f>IF('Rate Log'!$C$196="","",IF('Rate Log'!$E$196="planned",EDATE('Rate Log'!$C$196,N(INDEX(sc_shift,1))),'Rate Log'!$C$196))</f>
        <v/>
      </c>
      <c r="B3995" s="74" t="str">
        <f t="shared" si="1478"/>
        <v/>
      </c>
      <c r="C3995" s="72">
        <f>IF(N(INDEX(sc_ach,1))=0,IF('Rate Log'!$G$196="",1,'Rate Log'!$G$196),INDEX(sc_ach,1))</f>
        <v>1</v>
      </c>
      <c r="D3995" s="72">
        <f>IF('Rate Log'!$C$196="",0,IF('Rate Log'!$E$196="planned",('Rate Log'!$D$196+N(INDEX(sc_dpts,1)))*$C3995,'Rate Log'!$D$196))</f>
        <v>0</v>
      </c>
      <c r="E3995" s="73">
        <f>IF('Rate Log'!$C$196="",0,IF(1+$D3995&gt;0,LN(1+$D3995),0))</f>
        <v>0</v>
      </c>
      <c r="F3995" s="75">
        <f t="shared" si="1479"/>
        <v>0</v>
      </c>
      <c r="G3995" s="75">
        <f>IF($A3995="",0,COUNTIFS(rl_key,'Rate Log'!$J$196,$B$3806:$B$4045,$B3995,$A$3806:$A$4045,"&lt;"&amp;$A3995))</f>
        <v>0</v>
      </c>
      <c r="H3995" s="75">
        <f>IF($A3995="",0,COUNTIFS('Rate Log'!$J$7:$J$196,'Rate Log'!$J$196,$B$3806:$B3995,$B3995,$A$3806:$A3995,$A3995))</f>
        <v>0</v>
      </c>
      <c r="I3995" s="75">
        <f t="shared" si="1480"/>
        <v>0</v>
      </c>
      <c r="K3995" s="74" t="str">
        <f>IF('Rate Log'!$C$196="","",IF('Rate Log'!$E$196="planned",EDATE('Rate Log'!$C$196,N(INDEX(sc_shift,2))),'Rate Log'!$C$196))</f>
        <v/>
      </c>
      <c r="L3995" s="74" t="str">
        <f t="shared" si="1481"/>
        <v/>
      </c>
      <c r="M3995" s="72">
        <f>IF(N(INDEX(sc_ach,2))=0,IF('Rate Log'!$G$196="",1,'Rate Log'!$G$196),INDEX(sc_ach,2))</f>
        <v>1</v>
      </c>
      <c r="N3995" s="72">
        <f>IF('Rate Log'!$C$196="",0,IF('Rate Log'!$E$196="planned",('Rate Log'!$D$196+N(INDEX(sc_dpts,2)))*$M3995,'Rate Log'!$D$196))</f>
        <v>0</v>
      </c>
      <c r="O3995" s="73">
        <f>IF('Rate Log'!$C$196="",0,IF(1+$N3995&gt;0,LN(1+$N3995),0))</f>
        <v>0</v>
      </c>
      <c r="P3995" s="75">
        <f t="shared" si="1482"/>
        <v>0</v>
      </c>
      <c r="Q3995" s="75">
        <f>IF($K3995="",0,COUNTIFS(rl_key,'Rate Log'!$J$196,$L$3806:$L$4045,$L3995,$K$3806:$K$4045,"&lt;"&amp;$K3995))</f>
        <v>0</v>
      </c>
      <c r="R3995" s="75">
        <f>IF($K3995="",0,COUNTIFS('Rate Log'!$J$7:$J$196,'Rate Log'!$J$196,$L$3806:$L3995,$L3995,$K$3806:$K3995,$K3995))</f>
        <v>0</v>
      </c>
      <c r="S3995" s="75">
        <f t="shared" si="1483"/>
        <v>0</v>
      </c>
      <c r="U3995" s="74" t="str">
        <f>IF('Rate Log'!$C$196="","",IF('Rate Log'!$E$196="planned",EDATE('Rate Log'!$C$196,N(INDEX(sc_shift,3))),'Rate Log'!$C$196))</f>
        <v/>
      </c>
      <c r="V3995" s="74" t="str">
        <f t="shared" si="1484"/>
        <v/>
      </c>
      <c r="W3995" s="72">
        <f>IF(N(INDEX(sc_ach,3))=0,IF('Rate Log'!$G$196="",1,'Rate Log'!$G$196),INDEX(sc_ach,3))</f>
        <v>1</v>
      </c>
      <c r="X3995" s="72">
        <f>IF('Rate Log'!$C$196="",0,IF('Rate Log'!$E$196="planned",('Rate Log'!$D$196+N(INDEX(sc_dpts,3)))*$W3995,'Rate Log'!$D$196))</f>
        <v>0</v>
      </c>
      <c r="Y3995" s="73">
        <f>IF('Rate Log'!$C$196="",0,IF(1+$X3995&gt;0,LN(1+$X3995),0))</f>
        <v>0</v>
      </c>
      <c r="Z3995" s="75">
        <f t="shared" si="1485"/>
        <v>0</v>
      </c>
      <c r="AA3995" s="75">
        <f>IF($U3995="",0,COUNTIFS(rl_key,'Rate Log'!$J$196,$V$3806:$V$4045,$V3995,$U$3806:$U$4045,"&lt;"&amp;$U3995))</f>
        <v>0</v>
      </c>
      <c r="AB3995" s="75">
        <f>IF($U3995="",0,COUNTIFS('Rate Log'!$J$7:$J$196,'Rate Log'!$J$196,$V$3806:$V3995,$V3995,$U$3806:$U3995,$U3995))</f>
        <v>0</v>
      </c>
      <c r="AC3995" s="75">
        <f t="shared" si="1486"/>
        <v>0</v>
      </c>
      <c r="AE3995" s="74" t="str">
        <f>IF('Rate Log'!$C$196="","",IF('Rate Log'!$E$196="planned",EDATE('Rate Log'!$C$196,N(INDEX(sc_shift,4))),'Rate Log'!$C$196))</f>
        <v/>
      </c>
      <c r="AF3995" s="74" t="str">
        <f t="shared" si="1487"/>
        <v/>
      </c>
      <c r="AG3995" s="72">
        <f>IF(N(INDEX(sc_ach,4))=0,IF('Rate Log'!$G$196="",1,'Rate Log'!$G$196),INDEX(sc_ach,4))</f>
        <v>1</v>
      </c>
      <c r="AH3995" s="72">
        <f>IF('Rate Log'!$C$196="",0,IF('Rate Log'!$E$196="planned",('Rate Log'!$D$196+N(INDEX(sc_dpts,4)))*$AG3995,'Rate Log'!$D$196))</f>
        <v>0</v>
      </c>
      <c r="AI3995" s="73">
        <f>IF('Rate Log'!$C$196="",0,IF(1+$AH3995&gt;0,LN(1+$AH3995),0))</f>
        <v>0</v>
      </c>
      <c r="AJ3995" s="75">
        <f t="shared" si="1488"/>
        <v>0</v>
      </c>
      <c r="AK3995" s="75">
        <f>IF($AE3995="",0,COUNTIFS(rl_key,'Rate Log'!$J$196,$AF$3806:$AF$4045,$AF3995,$AE$3806:$AE$4045,"&lt;"&amp;$AE3995))</f>
        <v>0</v>
      </c>
      <c r="AL3995" s="75">
        <f>IF($AE3995="",0,COUNTIFS('Rate Log'!$J$7:$J$196,'Rate Log'!$J$196,$AF$3806:$AF3995,$AF3995,$AE$3806:$AE3995,$AE3995))</f>
        <v>0</v>
      </c>
      <c r="AM3995" s="75">
        <f t="shared" si="1489"/>
        <v>0</v>
      </c>
    </row>
    <row r="3996" spans="1:39" x14ac:dyDescent="0.3">
      <c r="A3996" s="74" t="str">
        <f>IF('Rate Log'!$C$197="","",IF('Rate Log'!$E$197="planned",EDATE('Rate Log'!$C$197,N(INDEX(sc_shift,1))),'Rate Log'!$C$197))</f>
        <v/>
      </c>
      <c r="B3996" s="74" t="str">
        <f t="shared" si="1478"/>
        <v/>
      </c>
      <c r="C3996" s="72">
        <f>IF(N(INDEX(sc_ach,1))=0,IF('Rate Log'!$G$197="",1,'Rate Log'!$G$197),INDEX(sc_ach,1))</f>
        <v>1</v>
      </c>
      <c r="D3996" s="72">
        <f>IF('Rate Log'!$C$197="",0,IF('Rate Log'!$E$197="planned",('Rate Log'!$D$197+N(INDEX(sc_dpts,1)))*$C3996,'Rate Log'!$D$197))</f>
        <v>0</v>
      </c>
      <c r="E3996" s="73">
        <f>IF('Rate Log'!$C$197="",0,IF(1+$D3996&gt;0,LN(1+$D3996),0))</f>
        <v>0</v>
      </c>
      <c r="F3996" s="75">
        <f t="shared" si="1479"/>
        <v>0</v>
      </c>
      <c r="G3996" s="75">
        <f>IF($A3996="",0,COUNTIFS(rl_key,'Rate Log'!$J$197,$B$3806:$B$4045,$B3996,$A$3806:$A$4045,"&lt;"&amp;$A3996))</f>
        <v>0</v>
      </c>
      <c r="H3996" s="75">
        <f>IF($A3996="",0,COUNTIFS('Rate Log'!$J$7:$J$197,'Rate Log'!$J$197,$B$3806:$B3996,$B3996,$A$3806:$A3996,$A3996))</f>
        <v>0</v>
      </c>
      <c r="I3996" s="75">
        <f t="shared" si="1480"/>
        <v>0</v>
      </c>
      <c r="K3996" s="74" t="str">
        <f>IF('Rate Log'!$C$197="","",IF('Rate Log'!$E$197="planned",EDATE('Rate Log'!$C$197,N(INDEX(sc_shift,2))),'Rate Log'!$C$197))</f>
        <v/>
      </c>
      <c r="L3996" s="74" t="str">
        <f t="shared" si="1481"/>
        <v/>
      </c>
      <c r="M3996" s="72">
        <f>IF(N(INDEX(sc_ach,2))=0,IF('Rate Log'!$G$197="",1,'Rate Log'!$G$197),INDEX(sc_ach,2))</f>
        <v>1</v>
      </c>
      <c r="N3996" s="72">
        <f>IF('Rate Log'!$C$197="",0,IF('Rate Log'!$E$197="planned",('Rate Log'!$D$197+N(INDEX(sc_dpts,2)))*$M3996,'Rate Log'!$D$197))</f>
        <v>0</v>
      </c>
      <c r="O3996" s="73">
        <f>IF('Rate Log'!$C$197="",0,IF(1+$N3996&gt;0,LN(1+$N3996),0))</f>
        <v>0</v>
      </c>
      <c r="P3996" s="75">
        <f t="shared" si="1482"/>
        <v>0</v>
      </c>
      <c r="Q3996" s="75">
        <f>IF($K3996="",0,COUNTIFS(rl_key,'Rate Log'!$J$197,$L$3806:$L$4045,$L3996,$K$3806:$K$4045,"&lt;"&amp;$K3996))</f>
        <v>0</v>
      </c>
      <c r="R3996" s="75">
        <f>IF($K3996="",0,COUNTIFS('Rate Log'!$J$7:$J$197,'Rate Log'!$J$197,$L$3806:$L3996,$L3996,$K$3806:$K3996,$K3996))</f>
        <v>0</v>
      </c>
      <c r="S3996" s="75">
        <f t="shared" si="1483"/>
        <v>0</v>
      </c>
      <c r="U3996" s="74" t="str">
        <f>IF('Rate Log'!$C$197="","",IF('Rate Log'!$E$197="planned",EDATE('Rate Log'!$C$197,N(INDEX(sc_shift,3))),'Rate Log'!$C$197))</f>
        <v/>
      </c>
      <c r="V3996" s="74" t="str">
        <f t="shared" si="1484"/>
        <v/>
      </c>
      <c r="W3996" s="72">
        <f>IF(N(INDEX(sc_ach,3))=0,IF('Rate Log'!$G$197="",1,'Rate Log'!$G$197),INDEX(sc_ach,3))</f>
        <v>1</v>
      </c>
      <c r="X3996" s="72">
        <f>IF('Rate Log'!$C$197="",0,IF('Rate Log'!$E$197="planned",('Rate Log'!$D$197+N(INDEX(sc_dpts,3)))*$W3996,'Rate Log'!$D$197))</f>
        <v>0</v>
      </c>
      <c r="Y3996" s="73">
        <f>IF('Rate Log'!$C$197="",0,IF(1+$X3996&gt;0,LN(1+$X3996),0))</f>
        <v>0</v>
      </c>
      <c r="Z3996" s="75">
        <f t="shared" si="1485"/>
        <v>0</v>
      </c>
      <c r="AA3996" s="75">
        <f>IF($U3996="",0,COUNTIFS(rl_key,'Rate Log'!$J$197,$V$3806:$V$4045,$V3996,$U$3806:$U$4045,"&lt;"&amp;$U3996))</f>
        <v>0</v>
      </c>
      <c r="AB3996" s="75">
        <f>IF($U3996="",0,COUNTIFS('Rate Log'!$J$7:$J$197,'Rate Log'!$J$197,$V$3806:$V3996,$V3996,$U$3806:$U3996,$U3996))</f>
        <v>0</v>
      </c>
      <c r="AC3996" s="75">
        <f t="shared" si="1486"/>
        <v>0</v>
      </c>
      <c r="AE3996" s="74" t="str">
        <f>IF('Rate Log'!$C$197="","",IF('Rate Log'!$E$197="planned",EDATE('Rate Log'!$C$197,N(INDEX(sc_shift,4))),'Rate Log'!$C$197))</f>
        <v/>
      </c>
      <c r="AF3996" s="74" t="str">
        <f t="shared" si="1487"/>
        <v/>
      </c>
      <c r="AG3996" s="72">
        <f>IF(N(INDEX(sc_ach,4))=0,IF('Rate Log'!$G$197="",1,'Rate Log'!$G$197),INDEX(sc_ach,4))</f>
        <v>1</v>
      </c>
      <c r="AH3996" s="72">
        <f>IF('Rate Log'!$C$197="",0,IF('Rate Log'!$E$197="planned",('Rate Log'!$D$197+N(INDEX(sc_dpts,4)))*$AG3996,'Rate Log'!$D$197))</f>
        <v>0</v>
      </c>
      <c r="AI3996" s="73">
        <f>IF('Rate Log'!$C$197="",0,IF(1+$AH3996&gt;0,LN(1+$AH3996),0))</f>
        <v>0</v>
      </c>
      <c r="AJ3996" s="75">
        <f t="shared" si="1488"/>
        <v>0</v>
      </c>
      <c r="AK3996" s="75">
        <f>IF($AE3996="",0,COUNTIFS(rl_key,'Rate Log'!$J$197,$AF$3806:$AF$4045,$AF3996,$AE$3806:$AE$4045,"&lt;"&amp;$AE3996))</f>
        <v>0</v>
      </c>
      <c r="AL3996" s="75">
        <f>IF($AE3996="",0,COUNTIFS('Rate Log'!$J$7:$J$197,'Rate Log'!$J$197,$AF$3806:$AF3996,$AF3996,$AE$3806:$AE3996,$AE3996))</f>
        <v>0</v>
      </c>
      <c r="AM3996" s="75">
        <f t="shared" si="1489"/>
        <v>0</v>
      </c>
    </row>
    <row r="3997" spans="1:39" x14ac:dyDescent="0.3">
      <c r="A3997" s="74" t="str">
        <f>IF('Rate Log'!$C$198="","",IF('Rate Log'!$E$198="planned",EDATE('Rate Log'!$C$198,N(INDEX(sc_shift,1))),'Rate Log'!$C$198))</f>
        <v/>
      </c>
      <c r="B3997" s="74" t="str">
        <f t="shared" si="1478"/>
        <v/>
      </c>
      <c r="C3997" s="72">
        <f>IF(N(INDEX(sc_ach,1))=0,IF('Rate Log'!$G$198="",1,'Rate Log'!$G$198),INDEX(sc_ach,1))</f>
        <v>1</v>
      </c>
      <c r="D3997" s="72">
        <f>IF('Rate Log'!$C$198="",0,IF('Rate Log'!$E$198="planned",('Rate Log'!$D$198+N(INDEX(sc_dpts,1)))*$C3997,'Rate Log'!$D$198))</f>
        <v>0</v>
      </c>
      <c r="E3997" s="73">
        <f>IF('Rate Log'!$C$198="",0,IF(1+$D3997&gt;0,LN(1+$D3997),0))</f>
        <v>0</v>
      </c>
      <c r="F3997" s="75">
        <f t="shared" si="1479"/>
        <v>0</v>
      </c>
      <c r="G3997" s="75">
        <f>IF($A3997="",0,COUNTIFS(rl_key,'Rate Log'!$J$198,$B$3806:$B$4045,$B3997,$A$3806:$A$4045,"&lt;"&amp;$A3997))</f>
        <v>0</v>
      </c>
      <c r="H3997" s="75">
        <f>IF($A3997="",0,COUNTIFS('Rate Log'!$J$7:$J$198,'Rate Log'!$J$198,$B$3806:$B3997,$B3997,$A$3806:$A3997,$A3997))</f>
        <v>0</v>
      </c>
      <c r="I3997" s="75">
        <f t="shared" si="1480"/>
        <v>0</v>
      </c>
      <c r="K3997" s="74" t="str">
        <f>IF('Rate Log'!$C$198="","",IF('Rate Log'!$E$198="planned",EDATE('Rate Log'!$C$198,N(INDEX(sc_shift,2))),'Rate Log'!$C$198))</f>
        <v/>
      </c>
      <c r="L3997" s="74" t="str">
        <f t="shared" si="1481"/>
        <v/>
      </c>
      <c r="M3997" s="72">
        <f>IF(N(INDEX(sc_ach,2))=0,IF('Rate Log'!$G$198="",1,'Rate Log'!$G$198),INDEX(sc_ach,2))</f>
        <v>1</v>
      </c>
      <c r="N3997" s="72">
        <f>IF('Rate Log'!$C$198="",0,IF('Rate Log'!$E$198="planned",('Rate Log'!$D$198+N(INDEX(sc_dpts,2)))*$M3997,'Rate Log'!$D$198))</f>
        <v>0</v>
      </c>
      <c r="O3997" s="73">
        <f>IF('Rate Log'!$C$198="",0,IF(1+$N3997&gt;0,LN(1+$N3997),0))</f>
        <v>0</v>
      </c>
      <c r="P3997" s="75">
        <f t="shared" si="1482"/>
        <v>0</v>
      </c>
      <c r="Q3997" s="75">
        <f>IF($K3997="",0,COUNTIFS(rl_key,'Rate Log'!$J$198,$L$3806:$L$4045,$L3997,$K$3806:$K$4045,"&lt;"&amp;$K3997))</f>
        <v>0</v>
      </c>
      <c r="R3997" s="75">
        <f>IF($K3997="",0,COUNTIFS('Rate Log'!$J$7:$J$198,'Rate Log'!$J$198,$L$3806:$L3997,$L3997,$K$3806:$K3997,$K3997))</f>
        <v>0</v>
      </c>
      <c r="S3997" s="75">
        <f t="shared" si="1483"/>
        <v>0</v>
      </c>
      <c r="U3997" s="74" t="str">
        <f>IF('Rate Log'!$C$198="","",IF('Rate Log'!$E$198="planned",EDATE('Rate Log'!$C$198,N(INDEX(sc_shift,3))),'Rate Log'!$C$198))</f>
        <v/>
      </c>
      <c r="V3997" s="74" t="str">
        <f t="shared" si="1484"/>
        <v/>
      </c>
      <c r="W3997" s="72">
        <f>IF(N(INDEX(sc_ach,3))=0,IF('Rate Log'!$G$198="",1,'Rate Log'!$G$198),INDEX(sc_ach,3))</f>
        <v>1</v>
      </c>
      <c r="X3997" s="72">
        <f>IF('Rate Log'!$C$198="",0,IF('Rate Log'!$E$198="planned",('Rate Log'!$D$198+N(INDEX(sc_dpts,3)))*$W3997,'Rate Log'!$D$198))</f>
        <v>0</v>
      </c>
      <c r="Y3997" s="73">
        <f>IF('Rate Log'!$C$198="",0,IF(1+$X3997&gt;0,LN(1+$X3997),0))</f>
        <v>0</v>
      </c>
      <c r="Z3997" s="75">
        <f t="shared" si="1485"/>
        <v>0</v>
      </c>
      <c r="AA3997" s="75">
        <f>IF($U3997="",0,COUNTIFS(rl_key,'Rate Log'!$J$198,$V$3806:$V$4045,$V3997,$U$3806:$U$4045,"&lt;"&amp;$U3997))</f>
        <v>0</v>
      </c>
      <c r="AB3997" s="75">
        <f>IF($U3997="",0,COUNTIFS('Rate Log'!$J$7:$J$198,'Rate Log'!$J$198,$V$3806:$V3997,$V3997,$U$3806:$U3997,$U3997))</f>
        <v>0</v>
      </c>
      <c r="AC3997" s="75">
        <f t="shared" si="1486"/>
        <v>0</v>
      </c>
      <c r="AE3997" s="74" t="str">
        <f>IF('Rate Log'!$C$198="","",IF('Rate Log'!$E$198="planned",EDATE('Rate Log'!$C$198,N(INDEX(sc_shift,4))),'Rate Log'!$C$198))</f>
        <v/>
      </c>
      <c r="AF3997" s="74" t="str">
        <f t="shared" si="1487"/>
        <v/>
      </c>
      <c r="AG3997" s="72">
        <f>IF(N(INDEX(sc_ach,4))=0,IF('Rate Log'!$G$198="",1,'Rate Log'!$G$198),INDEX(sc_ach,4))</f>
        <v>1</v>
      </c>
      <c r="AH3997" s="72">
        <f>IF('Rate Log'!$C$198="",0,IF('Rate Log'!$E$198="planned",('Rate Log'!$D$198+N(INDEX(sc_dpts,4)))*$AG3997,'Rate Log'!$D$198))</f>
        <v>0</v>
      </c>
      <c r="AI3997" s="73">
        <f>IF('Rate Log'!$C$198="",0,IF(1+$AH3997&gt;0,LN(1+$AH3997),0))</f>
        <v>0</v>
      </c>
      <c r="AJ3997" s="75">
        <f t="shared" si="1488"/>
        <v>0</v>
      </c>
      <c r="AK3997" s="75">
        <f>IF($AE3997="",0,COUNTIFS(rl_key,'Rate Log'!$J$198,$AF$3806:$AF$4045,$AF3997,$AE$3806:$AE$4045,"&lt;"&amp;$AE3997))</f>
        <v>0</v>
      </c>
      <c r="AL3997" s="75">
        <f>IF($AE3997="",0,COUNTIFS('Rate Log'!$J$7:$J$198,'Rate Log'!$J$198,$AF$3806:$AF3997,$AF3997,$AE$3806:$AE3997,$AE3997))</f>
        <v>0</v>
      </c>
      <c r="AM3997" s="75">
        <f t="shared" si="1489"/>
        <v>0</v>
      </c>
    </row>
    <row r="3998" spans="1:39" x14ac:dyDescent="0.3">
      <c r="A3998" s="74" t="str">
        <f>IF('Rate Log'!$C$199="","",IF('Rate Log'!$E$199="planned",EDATE('Rate Log'!$C$199,N(INDEX(sc_shift,1))),'Rate Log'!$C$199))</f>
        <v/>
      </c>
      <c r="B3998" s="74" t="str">
        <f t="shared" ref="B3998:B4045" si="1490">IF($A3998="","",DATE(YEAR($A3998),MONTH($A3998),1))</f>
        <v/>
      </c>
      <c r="C3998" s="72">
        <f>IF(N(INDEX(sc_ach,1))=0,IF('Rate Log'!$G$199="",1,'Rate Log'!$G$199),INDEX(sc_ach,1))</f>
        <v>1</v>
      </c>
      <c r="D3998" s="72">
        <f>IF('Rate Log'!$C$199="",0,IF('Rate Log'!$E$199="planned",('Rate Log'!$D$199+N(INDEX(sc_dpts,1)))*$C3998,'Rate Log'!$D$199))</f>
        <v>0</v>
      </c>
      <c r="E3998" s="73">
        <f>IF('Rate Log'!$C$199="",0,IF(1+$D3998&gt;0,LN(1+$D3998),0))</f>
        <v>0</v>
      </c>
      <c r="F3998" s="75">
        <f t="shared" ref="F3998:F4045" si="1491">IF($A3998="",0,EOMONTH($A3998,0)-$A3998+1)</f>
        <v>0</v>
      </c>
      <c r="G3998" s="75">
        <f>IF($A3998="",0,COUNTIFS(rl_key,'Rate Log'!$J$199,$B$3806:$B$4045,$B3998,$A$3806:$A$4045,"&lt;"&amp;$A3998))</f>
        <v>0</v>
      </c>
      <c r="H3998" s="75">
        <f>IF($A3998="",0,COUNTIFS('Rate Log'!$J$7:$J$199,'Rate Log'!$J$199,$B$3806:$B3998,$B3998,$A$3806:$A3998,$A3998))</f>
        <v>0</v>
      </c>
      <c r="I3998" s="75">
        <f t="shared" ref="I3998:I4045" si="1492">IF($A3998="",0,IF(AND($G3998=0,$H3998=1),1,0))</f>
        <v>0</v>
      </c>
      <c r="K3998" s="74" t="str">
        <f>IF('Rate Log'!$C$199="","",IF('Rate Log'!$E$199="planned",EDATE('Rate Log'!$C$199,N(INDEX(sc_shift,2))),'Rate Log'!$C$199))</f>
        <v/>
      </c>
      <c r="L3998" s="74" t="str">
        <f t="shared" ref="L3998:L4045" si="1493">IF($K3998="","",DATE(YEAR($K3998),MONTH($K3998),1))</f>
        <v/>
      </c>
      <c r="M3998" s="72">
        <f>IF(N(INDEX(sc_ach,2))=0,IF('Rate Log'!$G$199="",1,'Rate Log'!$G$199),INDEX(sc_ach,2))</f>
        <v>1</v>
      </c>
      <c r="N3998" s="72">
        <f>IF('Rate Log'!$C$199="",0,IF('Rate Log'!$E$199="planned",('Rate Log'!$D$199+N(INDEX(sc_dpts,2)))*$M3998,'Rate Log'!$D$199))</f>
        <v>0</v>
      </c>
      <c r="O3998" s="73">
        <f>IF('Rate Log'!$C$199="",0,IF(1+$N3998&gt;0,LN(1+$N3998),0))</f>
        <v>0</v>
      </c>
      <c r="P3998" s="75">
        <f t="shared" ref="P3998:P4045" si="1494">IF($K3998="",0,EOMONTH($K3998,0)-$K3998+1)</f>
        <v>0</v>
      </c>
      <c r="Q3998" s="75">
        <f>IF($K3998="",0,COUNTIFS(rl_key,'Rate Log'!$J$199,$L$3806:$L$4045,$L3998,$K$3806:$K$4045,"&lt;"&amp;$K3998))</f>
        <v>0</v>
      </c>
      <c r="R3998" s="75">
        <f>IF($K3998="",0,COUNTIFS('Rate Log'!$J$7:$J$199,'Rate Log'!$J$199,$L$3806:$L3998,$L3998,$K$3806:$K3998,$K3998))</f>
        <v>0</v>
      </c>
      <c r="S3998" s="75">
        <f t="shared" ref="S3998:S4045" si="1495">IF($K3998="",0,IF(AND($Q3998=0,$R3998=1),1,0))</f>
        <v>0</v>
      </c>
      <c r="U3998" s="74" t="str">
        <f>IF('Rate Log'!$C$199="","",IF('Rate Log'!$E$199="planned",EDATE('Rate Log'!$C$199,N(INDEX(sc_shift,3))),'Rate Log'!$C$199))</f>
        <v/>
      </c>
      <c r="V3998" s="74" t="str">
        <f t="shared" ref="V3998:V4045" si="1496">IF($U3998="","",DATE(YEAR($U3998),MONTH($U3998),1))</f>
        <v/>
      </c>
      <c r="W3998" s="72">
        <f>IF(N(INDEX(sc_ach,3))=0,IF('Rate Log'!$G$199="",1,'Rate Log'!$G$199),INDEX(sc_ach,3))</f>
        <v>1</v>
      </c>
      <c r="X3998" s="72">
        <f>IF('Rate Log'!$C$199="",0,IF('Rate Log'!$E$199="planned",('Rate Log'!$D$199+N(INDEX(sc_dpts,3)))*$W3998,'Rate Log'!$D$199))</f>
        <v>0</v>
      </c>
      <c r="Y3998" s="73">
        <f>IF('Rate Log'!$C$199="",0,IF(1+$X3998&gt;0,LN(1+$X3998),0))</f>
        <v>0</v>
      </c>
      <c r="Z3998" s="75">
        <f t="shared" ref="Z3998:Z4045" si="1497">IF($U3998="",0,EOMONTH($U3998,0)-$U3998+1)</f>
        <v>0</v>
      </c>
      <c r="AA3998" s="75">
        <f>IF($U3998="",0,COUNTIFS(rl_key,'Rate Log'!$J$199,$V$3806:$V$4045,$V3998,$U$3806:$U$4045,"&lt;"&amp;$U3998))</f>
        <v>0</v>
      </c>
      <c r="AB3998" s="75">
        <f>IF($U3998="",0,COUNTIFS('Rate Log'!$J$7:$J$199,'Rate Log'!$J$199,$V$3806:$V3998,$V3998,$U$3806:$U3998,$U3998))</f>
        <v>0</v>
      </c>
      <c r="AC3998" s="75">
        <f t="shared" ref="AC3998:AC4045" si="1498">IF($U3998="",0,IF(AND($AA3998=0,$AB3998=1),1,0))</f>
        <v>0</v>
      </c>
      <c r="AE3998" s="74" t="str">
        <f>IF('Rate Log'!$C$199="","",IF('Rate Log'!$E$199="planned",EDATE('Rate Log'!$C$199,N(INDEX(sc_shift,4))),'Rate Log'!$C$199))</f>
        <v/>
      </c>
      <c r="AF3998" s="74" t="str">
        <f t="shared" ref="AF3998:AF4045" si="1499">IF($AE3998="","",DATE(YEAR($AE3998),MONTH($AE3998),1))</f>
        <v/>
      </c>
      <c r="AG3998" s="72">
        <f>IF(N(INDEX(sc_ach,4))=0,IF('Rate Log'!$G$199="",1,'Rate Log'!$G$199),INDEX(sc_ach,4))</f>
        <v>1</v>
      </c>
      <c r="AH3998" s="72">
        <f>IF('Rate Log'!$C$199="",0,IF('Rate Log'!$E$199="planned",('Rate Log'!$D$199+N(INDEX(sc_dpts,4)))*$AG3998,'Rate Log'!$D$199))</f>
        <v>0</v>
      </c>
      <c r="AI3998" s="73">
        <f>IF('Rate Log'!$C$199="",0,IF(1+$AH3998&gt;0,LN(1+$AH3998),0))</f>
        <v>0</v>
      </c>
      <c r="AJ3998" s="75">
        <f t="shared" ref="AJ3998:AJ4045" si="1500">IF($AE3998="",0,EOMONTH($AE3998,0)-$AE3998+1)</f>
        <v>0</v>
      </c>
      <c r="AK3998" s="75">
        <f>IF($AE3998="",0,COUNTIFS(rl_key,'Rate Log'!$J$199,$AF$3806:$AF$4045,$AF3998,$AE$3806:$AE$4045,"&lt;"&amp;$AE3998))</f>
        <v>0</v>
      </c>
      <c r="AL3998" s="75">
        <f>IF($AE3998="",0,COUNTIFS('Rate Log'!$J$7:$J$199,'Rate Log'!$J$199,$AF$3806:$AF3998,$AF3998,$AE$3806:$AE3998,$AE3998))</f>
        <v>0</v>
      </c>
      <c r="AM3998" s="75">
        <f t="shared" ref="AM3998:AM4045" si="1501">IF($AE3998="",0,IF(AND($AK3998=0,$AL3998=1),1,0))</f>
        <v>0</v>
      </c>
    </row>
    <row r="3999" spans="1:39" x14ac:dyDescent="0.3">
      <c r="A3999" s="74" t="str">
        <f>IF('Rate Log'!$C$200="","",IF('Rate Log'!$E$200="planned",EDATE('Rate Log'!$C$200,N(INDEX(sc_shift,1))),'Rate Log'!$C$200))</f>
        <v/>
      </c>
      <c r="B3999" s="74" t="str">
        <f t="shared" si="1490"/>
        <v/>
      </c>
      <c r="C3999" s="72">
        <f>IF(N(INDEX(sc_ach,1))=0,IF('Rate Log'!$G$200="",1,'Rate Log'!$G$200),INDEX(sc_ach,1))</f>
        <v>1</v>
      </c>
      <c r="D3999" s="72">
        <f>IF('Rate Log'!$C$200="",0,IF('Rate Log'!$E$200="planned",('Rate Log'!$D$200+N(INDEX(sc_dpts,1)))*$C3999,'Rate Log'!$D$200))</f>
        <v>0</v>
      </c>
      <c r="E3999" s="73">
        <f>IF('Rate Log'!$C$200="",0,IF(1+$D3999&gt;0,LN(1+$D3999),0))</f>
        <v>0</v>
      </c>
      <c r="F3999" s="75">
        <f t="shared" si="1491"/>
        <v>0</v>
      </c>
      <c r="G3999" s="75">
        <f>IF($A3999="",0,COUNTIFS(rl_key,'Rate Log'!$J$200,$B$3806:$B$4045,$B3999,$A$3806:$A$4045,"&lt;"&amp;$A3999))</f>
        <v>0</v>
      </c>
      <c r="H3999" s="75">
        <f>IF($A3999="",0,COUNTIFS('Rate Log'!$J$7:$J$200,'Rate Log'!$J$200,$B$3806:$B3999,$B3999,$A$3806:$A3999,$A3999))</f>
        <v>0</v>
      </c>
      <c r="I3999" s="75">
        <f t="shared" si="1492"/>
        <v>0</v>
      </c>
      <c r="K3999" s="74" t="str">
        <f>IF('Rate Log'!$C$200="","",IF('Rate Log'!$E$200="planned",EDATE('Rate Log'!$C$200,N(INDEX(sc_shift,2))),'Rate Log'!$C$200))</f>
        <v/>
      </c>
      <c r="L3999" s="74" t="str">
        <f t="shared" si="1493"/>
        <v/>
      </c>
      <c r="M3999" s="72">
        <f>IF(N(INDEX(sc_ach,2))=0,IF('Rate Log'!$G$200="",1,'Rate Log'!$G$200),INDEX(sc_ach,2))</f>
        <v>1</v>
      </c>
      <c r="N3999" s="72">
        <f>IF('Rate Log'!$C$200="",0,IF('Rate Log'!$E$200="planned",('Rate Log'!$D$200+N(INDEX(sc_dpts,2)))*$M3999,'Rate Log'!$D$200))</f>
        <v>0</v>
      </c>
      <c r="O3999" s="73">
        <f>IF('Rate Log'!$C$200="",0,IF(1+$N3999&gt;0,LN(1+$N3999),0))</f>
        <v>0</v>
      </c>
      <c r="P3999" s="75">
        <f t="shared" si="1494"/>
        <v>0</v>
      </c>
      <c r="Q3999" s="75">
        <f>IF($K3999="",0,COUNTIFS(rl_key,'Rate Log'!$J$200,$L$3806:$L$4045,$L3999,$K$3806:$K$4045,"&lt;"&amp;$K3999))</f>
        <v>0</v>
      </c>
      <c r="R3999" s="75">
        <f>IF($K3999="",0,COUNTIFS('Rate Log'!$J$7:$J$200,'Rate Log'!$J$200,$L$3806:$L3999,$L3999,$K$3806:$K3999,$K3999))</f>
        <v>0</v>
      </c>
      <c r="S3999" s="75">
        <f t="shared" si="1495"/>
        <v>0</v>
      </c>
      <c r="U3999" s="74" t="str">
        <f>IF('Rate Log'!$C$200="","",IF('Rate Log'!$E$200="planned",EDATE('Rate Log'!$C$200,N(INDEX(sc_shift,3))),'Rate Log'!$C$200))</f>
        <v/>
      </c>
      <c r="V3999" s="74" t="str">
        <f t="shared" si="1496"/>
        <v/>
      </c>
      <c r="W3999" s="72">
        <f>IF(N(INDEX(sc_ach,3))=0,IF('Rate Log'!$G$200="",1,'Rate Log'!$G$200),INDEX(sc_ach,3))</f>
        <v>1</v>
      </c>
      <c r="X3999" s="72">
        <f>IF('Rate Log'!$C$200="",0,IF('Rate Log'!$E$200="planned",('Rate Log'!$D$200+N(INDEX(sc_dpts,3)))*$W3999,'Rate Log'!$D$200))</f>
        <v>0</v>
      </c>
      <c r="Y3999" s="73">
        <f>IF('Rate Log'!$C$200="",0,IF(1+$X3999&gt;0,LN(1+$X3999),0))</f>
        <v>0</v>
      </c>
      <c r="Z3999" s="75">
        <f t="shared" si="1497"/>
        <v>0</v>
      </c>
      <c r="AA3999" s="75">
        <f>IF($U3999="",0,COUNTIFS(rl_key,'Rate Log'!$J$200,$V$3806:$V$4045,$V3999,$U$3806:$U$4045,"&lt;"&amp;$U3999))</f>
        <v>0</v>
      </c>
      <c r="AB3999" s="75">
        <f>IF($U3999="",0,COUNTIFS('Rate Log'!$J$7:$J$200,'Rate Log'!$J$200,$V$3806:$V3999,$V3999,$U$3806:$U3999,$U3999))</f>
        <v>0</v>
      </c>
      <c r="AC3999" s="75">
        <f t="shared" si="1498"/>
        <v>0</v>
      </c>
      <c r="AE3999" s="74" t="str">
        <f>IF('Rate Log'!$C$200="","",IF('Rate Log'!$E$200="planned",EDATE('Rate Log'!$C$200,N(INDEX(sc_shift,4))),'Rate Log'!$C$200))</f>
        <v/>
      </c>
      <c r="AF3999" s="74" t="str">
        <f t="shared" si="1499"/>
        <v/>
      </c>
      <c r="AG3999" s="72">
        <f>IF(N(INDEX(sc_ach,4))=0,IF('Rate Log'!$G$200="",1,'Rate Log'!$G$200),INDEX(sc_ach,4))</f>
        <v>1</v>
      </c>
      <c r="AH3999" s="72">
        <f>IF('Rate Log'!$C$200="",0,IF('Rate Log'!$E$200="planned",('Rate Log'!$D$200+N(INDEX(sc_dpts,4)))*$AG3999,'Rate Log'!$D$200))</f>
        <v>0</v>
      </c>
      <c r="AI3999" s="73">
        <f>IF('Rate Log'!$C$200="",0,IF(1+$AH3999&gt;0,LN(1+$AH3999),0))</f>
        <v>0</v>
      </c>
      <c r="AJ3999" s="75">
        <f t="shared" si="1500"/>
        <v>0</v>
      </c>
      <c r="AK3999" s="75">
        <f>IF($AE3999="",0,COUNTIFS(rl_key,'Rate Log'!$J$200,$AF$3806:$AF$4045,$AF3999,$AE$3806:$AE$4045,"&lt;"&amp;$AE3999))</f>
        <v>0</v>
      </c>
      <c r="AL3999" s="75">
        <f>IF($AE3999="",0,COUNTIFS('Rate Log'!$J$7:$J$200,'Rate Log'!$J$200,$AF$3806:$AF3999,$AF3999,$AE$3806:$AE3999,$AE3999))</f>
        <v>0</v>
      </c>
      <c r="AM3999" s="75">
        <f t="shared" si="1501"/>
        <v>0</v>
      </c>
    </row>
    <row r="4000" spans="1:39" x14ac:dyDescent="0.3">
      <c r="A4000" s="74" t="str">
        <f>IF('Rate Log'!$C$201="","",IF('Rate Log'!$E$201="planned",EDATE('Rate Log'!$C$201,N(INDEX(sc_shift,1))),'Rate Log'!$C$201))</f>
        <v/>
      </c>
      <c r="B4000" s="74" t="str">
        <f t="shared" si="1490"/>
        <v/>
      </c>
      <c r="C4000" s="72">
        <f>IF(N(INDEX(sc_ach,1))=0,IF('Rate Log'!$G$201="",1,'Rate Log'!$G$201),INDEX(sc_ach,1))</f>
        <v>1</v>
      </c>
      <c r="D4000" s="72">
        <f>IF('Rate Log'!$C$201="",0,IF('Rate Log'!$E$201="planned",('Rate Log'!$D$201+N(INDEX(sc_dpts,1)))*$C4000,'Rate Log'!$D$201))</f>
        <v>0</v>
      </c>
      <c r="E4000" s="73">
        <f>IF('Rate Log'!$C$201="",0,IF(1+$D4000&gt;0,LN(1+$D4000),0))</f>
        <v>0</v>
      </c>
      <c r="F4000" s="75">
        <f t="shared" si="1491"/>
        <v>0</v>
      </c>
      <c r="G4000" s="75">
        <f>IF($A4000="",0,COUNTIFS(rl_key,'Rate Log'!$J$201,$B$3806:$B$4045,$B4000,$A$3806:$A$4045,"&lt;"&amp;$A4000))</f>
        <v>0</v>
      </c>
      <c r="H4000" s="75">
        <f>IF($A4000="",0,COUNTIFS('Rate Log'!$J$7:$J$201,'Rate Log'!$J$201,$B$3806:$B4000,$B4000,$A$3806:$A4000,$A4000))</f>
        <v>0</v>
      </c>
      <c r="I4000" s="75">
        <f t="shared" si="1492"/>
        <v>0</v>
      </c>
      <c r="K4000" s="74" t="str">
        <f>IF('Rate Log'!$C$201="","",IF('Rate Log'!$E$201="planned",EDATE('Rate Log'!$C$201,N(INDEX(sc_shift,2))),'Rate Log'!$C$201))</f>
        <v/>
      </c>
      <c r="L4000" s="74" t="str">
        <f t="shared" si="1493"/>
        <v/>
      </c>
      <c r="M4000" s="72">
        <f>IF(N(INDEX(sc_ach,2))=0,IF('Rate Log'!$G$201="",1,'Rate Log'!$G$201),INDEX(sc_ach,2))</f>
        <v>1</v>
      </c>
      <c r="N4000" s="72">
        <f>IF('Rate Log'!$C$201="",0,IF('Rate Log'!$E$201="planned",('Rate Log'!$D$201+N(INDEX(sc_dpts,2)))*$M4000,'Rate Log'!$D$201))</f>
        <v>0</v>
      </c>
      <c r="O4000" s="73">
        <f>IF('Rate Log'!$C$201="",0,IF(1+$N4000&gt;0,LN(1+$N4000),0))</f>
        <v>0</v>
      </c>
      <c r="P4000" s="75">
        <f t="shared" si="1494"/>
        <v>0</v>
      </c>
      <c r="Q4000" s="75">
        <f>IF($K4000="",0,COUNTIFS(rl_key,'Rate Log'!$J$201,$L$3806:$L$4045,$L4000,$K$3806:$K$4045,"&lt;"&amp;$K4000))</f>
        <v>0</v>
      </c>
      <c r="R4000" s="75">
        <f>IF($K4000="",0,COUNTIFS('Rate Log'!$J$7:$J$201,'Rate Log'!$J$201,$L$3806:$L4000,$L4000,$K$3806:$K4000,$K4000))</f>
        <v>0</v>
      </c>
      <c r="S4000" s="75">
        <f t="shared" si="1495"/>
        <v>0</v>
      </c>
      <c r="U4000" s="74" t="str">
        <f>IF('Rate Log'!$C$201="","",IF('Rate Log'!$E$201="planned",EDATE('Rate Log'!$C$201,N(INDEX(sc_shift,3))),'Rate Log'!$C$201))</f>
        <v/>
      </c>
      <c r="V4000" s="74" t="str">
        <f t="shared" si="1496"/>
        <v/>
      </c>
      <c r="W4000" s="72">
        <f>IF(N(INDEX(sc_ach,3))=0,IF('Rate Log'!$G$201="",1,'Rate Log'!$G$201),INDEX(sc_ach,3))</f>
        <v>1</v>
      </c>
      <c r="X4000" s="72">
        <f>IF('Rate Log'!$C$201="",0,IF('Rate Log'!$E$201="planned",('Rate Log'!$D$201+N(INDEX(sc_dpts,3)))*$W4000,'Rate Log'!$D$201))</f>
        <v>0</v>
      </c>
      <c r="Y4000" s="73">
        <f>IF('Rate Log'!$C$201="",0,IF(1+$X4000&gt;0,LN(1+$X4000),0))</f>
        <v>0</v>
      </c>
      <c r="Z4000" s="75">
        <f t="shared" si="1497"/>
        <v>0</v>
      </c>
      <c r="AA4000" s="75">
        <f>IF($U4000="",0,COUNTIFS(rl_key,'Rate Log'!$J$201,$V$3806:$V$4045,$V4000,$U$3806:$U$4045,"&lt;"&amp;$U4000))</f>
        <v>0</v>
      </c>
      <c r="AB4000" s="75">
        <f>IF($U4000="",0,COUNTIFS('Rate Log'!$J$7:$J$201,'Rate Log'!$J$201,$V$3806:$V4000,$V4000,$U$3806:$U4000,$U4000))</f>
        <v>0</v>
      </c>
      <c r="AC4000" s="75">
        <f t="shared" si="1498"/>
        <v>0</v>
      </c>
      <c r="AE4000" s="74" t="str">
        <f>IF('Rate Log'!$C$201="","",IF('Rate Log'!$E$201="planned",EDATE('Rate Log'!$C$201,N(INDEX(sc_shift,4))),'Rate Log'!$C$201))</f>
        <v/>
      </c>
      <c r="AF4000" s="74" t="str">
        <f t="shared" si="1499"/>
        <v/>
      </c>
      <c r="AG4000" s="72">
        <f>IF(N(INDEX(sc_ach,4))=0,IF('Rate Log'!$G$201="",1,'Rate Log'!$G$201),INDEX(sc_ach,4))</f>
        <v>1</v>
      </c>
      <c r="AH4000" s="72">
        <f>IF('Rate Log'!$C$201="",0,IF('Rate Log'!$E$201="planned",('Rate Log'!$D$201+N(INDEX(sc_dpts,4)))*$AG4000,'Rate Log'!$D$201))</f>
        <v>0</v>
      </c>
      <c r="AI4000" s="73">
        <f>IF('Rate Log'!$C$201="",0,IF(1+$AH4000&gt;0,LN(1+$AH4000),0))</f>
        <v>0</v>
      </c>
      <c r="AJ4000" s="75">
        <f t="shared" si="1500"/>
        <v>0</v>
      </c>
      <c r="AK4000" s="75">
        <f>IF($AE4000="",0,COUNTIFS(rl_key,'Rate Log'!$J$201,$AF$3806:$AF$4045,$AF4000,$AE$3806:$AE$4045,"&lt;"&amp;$AE4000))</f>
        <v>0</v>
      </c>
      <c r="AL4000" s="75">
        <f>IF($AE4000="",0,COUNTIFS('Rate Log'!$J$7:$J$201,'Rate Log'!$J$201,$AF$3806:$AF4000,$AF4000,$AE$3806:$AE4000,$AE4000))</f>
        <v>0</v>
      </c>
      <c r="AM4000" s="75">
        <f t="shared" si="1501"/>
        <v>0</v>
      </c>
    </row>
    <row r="4001" spans="1:39" x14ac:dyDescent="0.3">
      <c r="A4001" s="74" t="str">
        <f>IF('Rate Log'!$C$202="","",IF('Rate Log'!$E$202="planned",EDATE('Rate Log'!$C$202,N(INDEX(sc_shift,1))),'Rate Log'!$C$202))</f>
        <v/>
      </c>
      <c r="B4001" s="74" t="str">
        <f t="shared" si="1490"/>
        <v/>
      </c>
      <c r="C4001" s="72">
        <f>IF(N(INDEX(sc_ach,1))=0,IF('Rate Log'!$G$202="",1,'Rate Log'!$G$202),INDEX(sc_ach,1))</f>
        <v>1</v>
      </c>
      <c r="D4001" s="72">
        <f>IF('Rate Log'!$C$202="",0,IF('Rate Log'!$E$202="planned",('Rate Log'!$D$202+N(INDEX(sc_dpts,1)))*$C4001,'Rate Log'!$D$202))</f>
        <v>0</v>
      </c>
      <c r="E4001" s="73">
        <f>IF('Rate Log'!$C$202="",0,IF(1+$D4001&gt;0,LN(1+$D4001),0))</f>
        <v>0</v>
      </c>
      <c r="F4001" s="75">
        <f t="shared" si="1491"/>
        <v>0</v>
      </c>
      <c r="G4001" s="75">
        <f>IF($A4001="",0,COUNTIFS(rl_key,'Rate Log'!$J$202,$B$3806:$B$4045,$B4001,$A$3806:$A$4045,"&lt;"&amp;$A4001))</f>
        <v>0</v>
      </c>
      <c r="H4001" s="75">
        <f>IF($A4001="",0,COUNTIFS('Rate Log'!$J$7:$J$202,'Rate Log'!$J$202,$B$3806:$B4001,$B4001,$A$3806:$A4001,$A4001))</f>
        <v>0</v>
      </c>
      <c r="I4001" s="75">
        <f t="shared" si="1492"/>
        <v>0</v>
      </c>
      <c r="K4001" s="74" t="str">
        <f>IF('Rate Log'!$C$202="","",IF('Rate Log'!$E$202="planned",EDATE('Rate Log'!$C$202,N(INDEX(sc_shift,2))),'Rate Log'!$C$202))</f>
        <v/>
      </c>
      <c r="L4001" s="74" t="str">
        <f t="shared" si="1493"/>
        <v/>
      </c>
      <c r="M4001" s="72">
        <f>IF(N(INDEX(sc_ach,2))=0,IF('Rate Log'!$G$202="",1,'Rate Log'!$G$202),INDEX(sc_ach,2))</f>
        <v>1</v>
      </c>
      <c r="N4001" s="72">
        <f>IF('Rate Log'!$C$202="",0,IF('Rate Log'!$E$202="planned",('Rate Log'!$D$202+N(INDEX(sc_dpts,2)))*$M4001,'Rate Log'!$D$202))</f>
        <v>0</v>
      </c>
      <c r="O4001" s="73">
        <f>IF('Rate Log'!$C$202="",0,IF(1+$N4001&gt;0,LN(1+$N4001),0))</f>
        <v>0</v>
      </c>
      <c r="P4001" s="75">
        <f t="shared" si="1494"/>
        <v>0</v>
      </c>
      <c r="Q4001" s="75">
        <f>IF($K4001="",0,COUNTIFS(rl_key,'Rate Log'!$J$202,$L$3806:$L$4045,$L4001,$K$3806:$K$4045,"&lt;"&amp;$K4001))</f>
        <v>0</v>
      </c>
      <c r="R4001" s="75">
        <f>IF($K4001="",0,COUNTIFS('Rate Log'!$J$7:$J$202,'Rate Log'!$J$202,$L$3806:$L4001,$L4001,$K$3806:$K4001,$K4001))</f>
        <v>0</v>
      </c>
      <c r="S4001" s="75">
        <f t="shared" si="1495"/>
        <v>0</v>
      </c>
      <c r="U4001" s="74" t="str">
        <f>IF('Rate Log'!$C$202="","",IF('Rate Log'!$E$202="planned",EDATE('Rate Log'!$C$202,N(INDEX(sc_shift,3))),'Rate Log'!$C$202))</f>
        <v/>
      </c>
      <c r="V4001" s="74" t="str">
        <f t="shared" si="1496"/>
        <v/>
      </c>
      <c r="W4001" s="72">
        <f>IF(N(INDEX(sc_ach,3))=0,IF('Rate Log'!$G$202="",1,'Rate Log'!$G$202),INDEX(sc_ach,3))</f>
        <v>1</v>
      </c>
      <c r="X4001" s="72">
        <f>IF('Rate Log'!$C$202="",0,IF('Rate Log'!$E$202="planned",('Rate Log'!$D$202+N(INDEX(sc_dpts,3)))*$W4001,'Rate Log'!$D$202))</f>
        <v>0</v>
      </c>
      <c r="Y4001" s="73">
        <f>IF('Rate Log'!$C$202="",0,IF(1+$X4001&gt;0,LN(1+$X4001),0))</f>
        <v>0</v>
      </c>
      <c r="Z4001" s="75">
        <f t="shared" si="1497"/>
        <v>0</v>
      </c>
      <c r="AA4001" s="75">
        <f>IF($U4001="",0,COUNTIFS(rl_key,'Rate Log'!$J$202,$V$3806:$V$4045,$V4001,$U$3806:$U$4045,"&lt;"&amp;$U4001))</f>
        <v>0</v>
      </c>
      <c r="AB4001" s="75">
        <f>IF($U4001="",0,COUNTIFS('Rate Log'!$J$7:$J$202,'Rate Log'!$J$202,$V$3806:$V4001,$V4001,$U$3806:$U4001,$U4001))</f>
        <v>0</v>
      </c>
      <c r="AC4001" s="75">
        <f t="shared" si="1498"/>
        <v>0</v>
      </c>
      <c r="AE4001" s="74" t="str">
        <f>IF('Rate Log'!$C$202="","",IF('Rate Log'!$E$202="planned",EDATE('Rate Log'!$C$202,N(INDEX(sc_shift,4))),'Rate Log'!$C$202))</f>
        <v/>
      </c>
      <c r="AF4001" s="74" t="str">
        <f t="shared" si="1499"/>
        <v/>
      </c>
      <c r="AG4001" s="72">
        <f>IF(N(INDEX(sc_ach,4))=0,IF('Rate Log'!$G$202="",1,'Rate Log'!$G$202),INDEX(sc_ach,4))</f>
        <v>1</v>
      </c>
      <c r="AH4001" s="72">
        <f>IF('Rate Log'!$C$202="",0,IF('Rate Log'!$E$202="planned",('Rate Log'!$D$202+N(INDEX(sc_dpts,4)))*$AG4001,'Rate Log'!$D$202))</f>
        <v>0</v>
      </c>
      <c r="AI4001" s="73">
        <f>IF('Rate Log'!$C$202="",0,IF(1+$AH4001&gt;0,LN(1+$AH4001),0))</f>
        <v>0</v>
      </c>
      <c r="AJ4001" s="75">
        <f t="shared" si="1500"/>
        <v>0</v>
      </c>
      <c r="AK4001" s="75">
        <f>IF($AE4001="",0,COUNTIFS(rl_key,'Rate Log'!$J$202,$AF$3806:$AF$4045,$AF4001,$AE$3806:$AE$4045,"&lt;"&amp;$AE4001))</f>
        <v>0</v>
      </c>
      <c r="AL4001" s="75">
        <f>IF($AE4001="",0,COUNTIFS('Rate Log'!$J$7:$J$202,'Rate Log'!$J$202,$AF$3806:$AF4001,$AF4001,$AE$3806:$AE4001,$AE4001))</f>
        <v>0</v>
      </c>
      <c r="AM4001" s="75">
        <f t="shared" si="1501"/>
        <v>0</v>
      </c>
    </row>
    <row r="4002" spans="1:39" x14ac:dyDescent="0.3">
      <c r="A4002" s="74" t="str">
        <f>IF('Rate Log'!$C$203="","",IF('Rate Log'!$E$203="planned",EDATE('Rate Log'!$C$203,N(INDEX(sc_shift,1))),'Rate Log'!$C$203))</f>
        <v/>
      </c>
      <c r="B4002" s="74" t="str">
        <f t="shared" si="1490"/>
        <v/>
      </c>
      <c r="C4002" s="72">
        <f>IF(N(INDEX(sc_ach,1))=0,IF('Rate Log'!$G$203="",1,'Rate Log'!$G$203),INDEX(sc_ach,1))</f>
        <v>1</v>
      </c>
      <c r="D4002" s="72">
        <f>IF('Rate Log'!$C$203="",0,IF('Rate Log'!$E$203="planned",('Rate Log'!$D$203+N(INDEX(sc_dpts,1)))*$C4002,'Rate Log'!$D$203))</f>
        <v>0</v>
      </c>
      <c r="E4002" s="73">
        <f>IF('Rate Log'!$C$203="",0,IF(1+$D4002&gt;0,LN(1+$D4002),0))</f>
        <v>0</v>
      </c>
      <c r="F4002" s="75">
        <f t="shared" si="1491"/>
        <v>0</v>
      </c>
      <c r="G4002" s="75">
        <f>IF($A4002="",0,COUNTIFS(rl_key,'Rate Log'!$J$203,$B$3806:$B$4045,$B4002,$A$3806:$A$4045,"&lt;"&amp;$A4002))</f>
        <v>0</v>
      </c>
      <c r="H4002" s="75">
        <f>IF($A4002="",0,COUNTIFS('Rate Log'!$J$7:$J$203,'Rate Log'!$J$203,$B$3806:$B4002,$B4002,$A$3806:$A4002,$A4002))</f>
        <v>0</v>
      </c>
      <c r="I4002" s="75">
        <f t="shared" si="1492"/>
        <v>0</v>
      </c>
      <c r="K4002" s="74" t="str">
        <f>IF('Rate Log'!$C$203="","",IF('Rate Log'!$E$203="planned",EDATE('Rate Log'!$C$203,N(INDEX(sc_shift,2))),'Rate Log'!$C$203))</f>
        <v/>
      </c>
      <c r="L4002" s="74" t="str">
        <f t="shared" si="1493"/>
        <v/>
      </c>
      <c r="M4002" s="72">
        <f>IF(N(INDEX(sc_ach,2))=0,IF('Rate Log'!$G$203="",1,'Rate Log'!$G$203),INDEX(sc_ach,2))</f>
        <v>1</v>
      </c>
      <c r="N4002" s="72">
        <f>IF('Rate Log'!$C$203="",0,IF('Rate Log'!$E$203="planned",('Rate Log'!$D$203+N(INDEX(sc_dpts,2)))*$M4002,'Rate Log'!$D$203))</f>
        <v>0</v>
      </c>
      <c r="O4002" s="73">
        <f>IF('Rate Log'!$C$203="",0,IF(1+$N4002&gt;0,LN(1+$N4002),0))</f>
        <v>0</v>
      </c>
      <c r="P4002" s="75">
        <f t="shared" si="1494"/>
        <v>0</v>
      </c>
      <c r="Q4002" s="75">
        <f>IF($K4002="",0,COUNTIFS(rl_key,'Rate Log'!$J$203,$L$3806:$L$4045,$L4002,$K$3806:$K$4045,"&lt;"&amp;$K4002))</f>
        <v>0</v>
      </c>
      <c r="R4002" s="75">
        <f>IF($K4002="",0,COUNTIFS('Rate Log'!$J$7:$J$203,'Rate Log'!$J$203,$L$3806:$L4002,$L4002,$K$3806:$K4002,$K4002))</f>
        <v>0</v>
      </c>
      <c r="S4002" s="75">
        <f t="shared" si="1495"/>
        <v>0</v>
      </c>
      <c r="U4002" s="74" t="str">
        <f>IF('Rate Log'!$C$203="","",IF('Rate Log'!$E$203="planned",EDATE('Rate Log'!$C$203,N(INDEX(sc_shift,3))),'Rate Log'!$C$203))</f>
        <v/>
      </c>
      <c r="V4002" s="74" t="str">
        <f t="shared" si="1496"/>
        <v/>
      </c>
      <c r="W4002" s="72">
        <f>IF(N(INDEX(sc_ach,3))=0,IF('Rate Log'!$G$203="",1,'Rate Log'!$G$203),INDEX(sc_ach,3))</f>
        <v>1</v>
      </c>
      <c r="X4002" s="72">
        <f>IF('Rate Log'!$C$203="",0,IF('Rate Log'!$E$203="planned",('Rate Log'!$D$203+N(INDEX(sc_dpts,3)))*$W4002,'Rate Log'!$D$203))</f>
        <v>0</v>
      </c>
      <c r="Y4002" s="73">
        <f>IF('Rate Log'!$C$203="",0,IF(1+$X4002&gt;0,LN(1+$X4002),0))</f>
        <v>0</v>
      </c>
      <c r="Z4002" s="75">
        <f t="shared" si="1497"/>
        <v>0</v>
      </c>
      <c r="AA4002" s="75">
        <f>IF($U4002="",0,COUNTIFS(rl_key,'Rate Log'!$J$203,$V$3806:$V$4045,$V4002,$U$3806:$U$4045,"&lt;"&amp;$U4002))</f>
        <v>0</v>
      </c>
      <c r="AB4002" s="75">
        <f>IF($U4002="",0,COUNTIFS('Rate Log'!$J$7:$J$203,'Rate Log'!$J$203,$V$3806:$V4002,$V4002,$U$3806:$U4002,$U4002))</f>
        <v>0</v>
      </c>
      <c r="AC4002" s="75">
        <f t="shared" si="1498"/>
        <v>0</v>
      </c>
      <c r="AE4002" s="74" t="str">
        <f>IF('Rate Log'!$C$203="","",IF('Rate Log'!$E$203="planned",EDATE('Rate Log'!$C$203,N(INDEX(sc_shift,4))),'Rate Log'!$C$203))</f>
        <v/>
      </c>
      <c r="AF4002" s="74" t="str">
        <f t="shared" si="1499"/>
        <v/>
      </c>
      <c r="AG4002" s="72">
        <f>IF(N(INDEX(sc_ach,4))=0,IF('Rate Log'!$G$203="",1,'Rate Log'!$G$203),INDEX(sc_ach,4))</f>
        <v>1</v>
      </c>
      <c r="AH4002" s="72">
        <f>IF('Rate Log'!$C$203="",0,IF('Rate Log'!$E$203="planned",('Rate Log'!$D$203+N(INDEX(sc_dpts,4)))*$AG4002,'Rate Log'!$D$203))</f>
        <v>0</v>
      </c>
      <c r="AI4002" s="73">
        <f>IF('Rate Log'!$C$203="",0,IF(1+$AH4002&gt;0,LN(1+$AH4002),0))</f>
        <v>0</v>
      </c>
      <c r="AJ4002" s="75">
        <f t="shared" si="1500"/>
        <v>0</v>
      </c>
      <c r="AK4002" s="75">
        <f>IF($AE4002="",0,COUNTIFS(rl_key,'Rate Log'!$J$203,$AF$3806:$AF$4045,$AF4002,$AE$3806:$AE$4045,"&lt;"&amp;$AE4002))</f>
        <v>0</v>
      </c>
      <c r="AL4002" s="75">
        <f>IF($AE4002="",0,COUNTIFS('Rate Log'!$J$7:$J$203,'Rate Log'!$J$203,$AF$3806:$AF4002,$AF4002,$AE$3806:$AE4002,$AE4002))</f>
        <v>0</v>
      </c>
      <c r="AM4002" s="75">
        <f t="shared" si="1501"/>
        <v>0</v>
      </c>
    </row>
    <row r="4003" spans="1:39" x14ac:dyDescent="0.3">
      <c r="A4003" s="74" t="str">
        <f>IF('Rate Log'!$C$204="","",IF('Rate Log'!$E$204="planned",EDATE('Rate Log'!$C$204,N(INDEX(sc_shift,1))),'Rate Log'!$C$204))</f>
        <v/>
      </c>
      <c r="B4003" s="74" t="str">
        <f t="shared" si="1490"/>
        <v/>
      </c>
      <c r="C4003" s="72">
        <f>IF(N(INDEX(sc_ach,1))=0,IF('Rate Log'!$G$204="",1,'Rate Log'!$G$204),INDEX(sc_ach,1))</f>
        <v>1</v>
      </c>
      <c r="D4003" s="72">
        <f>IF('Rate Log'!$C$204="",0,IF('Rate Log'!$E$204="planned",('Rate Log'!$D$204+N(INDEX(sc_dpts,1)))*$C4003,'Rate Log'!$D$204))</f>
        <v>0</v>
      </c>
      <c r="E4003" s="73">
        <f>IF('Rate Log'!$C$204="",0,IF(1+$D4003&gt;0,LN(1+$D4003),0))</f>
        <v>0</v>
      </c>
      <c r="F4003" s="75">
        <f t="shared" si="1491"/>
        <v>0</v>
      </c>
      <c r="G4003" s="75">
        <f>IF($A4003="",0,COUNTIFS(rl_key,'Rate Log'!$J$204,$B$3806:$B$4045,$B4003,$A$3806:$A$4045,"&lt;"&amp;$A4003))</f>
        <v>0</v>
      </c>
      <c r="H4003" s="75">
        <f>IF($A4003="",0,COUNTIFS('Rate Log'!$J$7:$J$204,'Rate Log'!$J$204,$B$3806:$B4003,$B4003,$A$3806:$A4003,$A4003))</f>
        <v>0</v>
      </c>
      <c r="I4003" s="75">
        <f t="shared" si="1492"/>
        <v>0</v>
      </c>
      <c r="K4003" s="74" t="str">
        <f>IF('Rate Log'!$C$204="","",IF('Rate Log'!$E$204="planned",EDATE('Rate Log'!$C$204,N(INDEX(sc_shift,2))),'Rate Log'!$C$204))</f>
        <v/>
      </c>
      <c r="L4003" s="74" t="str">
        <f t="shared" si="1493"/>
        <v/>
      </c>
      <c r="M4003" s="72">
        <f>IF(N(INDEX(sc_ach,2))=0,IF('Rate Log'!$G$204="",1,'Rate Log'!$G$204),INDEX(sc_ach,2))</f>
        <v>1</v>
      </c>
      <c r="N4003" s="72">
        <f>IF('Rate Log'!$C$204="",0,IF('Rate Log'!$E$204="planned",('Rate Log'!$D$204+N(INDEX(sc_dpts,2)))*$M4003,'Rate Log'!$D$204))</f>
        <v>0</v>
      </c>
      <c r="O4003" s="73">
        <f>IF('Rate Log'!$C$204="",0,IF(1+$N4003&gt;0,LN(1+$N4003),0))</f>
        <v>0</v>
      </c>
      <c r="P4003" s="75">
        <f t="shared" si="1494"/>
        <v>0</v>
      </c>
      <c r="Q4003" s="75">
        <f>IF($K4003="",0,COUNTIFS(rl_key,'Rate Log'!$J$204,$L$3806:$L$4045,$L4003,$K$3806:$K$4045,"&lt;"&amp;$K4003))</f>
        <v>0</v>
      </c>
      <c r="R4003" s="75">
        <f>IF($K4003="",0,COUNTIFS('Rate Log'!$J$7:$J$204,'Rate Log'!$J$204,$L$3806:$L4003,$L4003,$K$3806:$K4003,$K4003))</f>
        <v>0</v>
      </c>
      <c r="S4003" s="75">
        <f t="shared" si="1495"/>
        <v>0</v>
      </c>
      <c r="U4003" s="74" t="str">
        <f>IF('Rate Log'!$C$204="","",IF('Rate Log'!$E$204="planned",EDATE('Rate Log'!$C$204,N(INDEX(sc_shift,3))),'Rate Log'!$C$204))</f>
        <v/>
      </c>
      <c r="V4003" s="74" t="str">
        <f t="shared" si="1496"/>
        <v/>
      </c>
      <c r="W4003" s="72">
        <f>IF(N(INDEX(sc_ach,3))=0,IF('Rate Log'!$G$204="",1,'Rate Log'!$G$204),INDEX(sc_ach,3))</f>
        <v>1</v>
      </c>
      <c r="X4003" s="72">
        <f>IF('Rate Log'!$C$204="",0,IF('Rate Log'!$E$204="planned",('Rate Log'!$D$204+N(INDEX(sc_dpts,3)))*$W4003,'Rate Log'!$D$204))</f>
        <v>0</v>
      </c>
      <c r="Y4003" s="73">
        <f>IF('Rate Log'!$C$204="",0,IF(1+$X4003&gt;0,LN(1+$X4003),0))</f>
        <v>0</v>
      </c>
      <c r="Z4003" s="75">
        <f t="shared" si="1497"/>
        <v>0</v>
      </c>
      <c r="AA4003" s="75">
        <f>IF($U4003="",0,COUNTIFS(rl_key,'Rate Log'!$J$204,$V$3806:$V$4045,$V4003,$U$3806:$U$4045,"&lt;"&amp;$U4003))</f>
        <v>0</v>
      </c>
      <c r="AB4003" s="75">
        <f>IF($U4003="",0,COUNTIFS('Rate Log'!$J$7:$J$204,'Rate Log'!$J$204,$V$3806:$V4003,$V4003,$U$3806:$U4003,$U4003))</f>
        <v>0</v>
      </c>
      <c r="AC4003" s="75">
        <f t="shared" si="1498"/>
        <v>0</v>
      </c>
      <c r="AE4003" s="74" t="str">
        <f>IF('Rate Log'!$C$204="","",IF('Rate Log'!$E$204="planned",EDATE('Rate Log'!$C$204,N(INDEX(sc_shift,4))),'Rate Log'!$C$204))</f>
        <v/>
      </c>
      <c r="AF4003" s="74" t="str">
        <f t="shared" si="1499"/>
        <v/>
      </c>
      <c r="AG4003" s="72">
        <f>IF(N(INDEX(sc_ach,4))=0,IF('Rate Log'!$G$204="",1,'Rate Log'!$G$204),INDEX(sc_ach,4))</f>
        <v>1</v>
      </c>
      <c r="AH4003" s="72">
        <f>IF('Rate Log'!$C$204="",0,IF('Rate Log'!$E$204="planned",('Rate Log'!$D$204+N(INDEX(sc_dpts,4)))*$AG4003,'Rate Log'!$D$204))</f>
        <v>0</v>
      </c>
      <c r="AI4003" s="73">
        <f>IF('Rate Log'!$C$204="",0,IF(1+$AH4003&gt;0,LN(1+$AH4003),0))</f>
        <v>0</v>
      </c>
      <c r="AJ4003" s="75">
        <f t="shared" si="1500"/>
        <v>0</v>
      </c>
      <c r="AK4003" s="75">
        <f>IF($AE4003="",0,COUNTIFS(rl_key,'Rate Log'!$J$204,$AF$3806:$AF$4045,$AF4003,$AE$3806:$AE$4045,"&lt;"&amp;$AE4003))</f>
        <v>0</v>
      </c>
      <c r="AL4003" s="75">
        <f>IF($AE4003="",0,COUNTIFS('Rate Log'!$J$7:$J$204,'Rate Log'!$J$204,$AF$3806:$AF4003,$AF4003,$AE$3806:$AE4003,$AE4003))</f>
        <v>0</v>
      </c>
      <c r="AM4003" s="75">
        <f t="shared" si="1501"/>
        <v>0</v>
      </c>
    </row>
    <row r="4004" spans="1:39" x14ac:dyDescent="0.3">
      <c r="A4004" s="74" t="str">
        <f>IF('Rate Log'!$C$205="","",IF('Rate Log'!$E$205="planned",EDATE('Rate Log'!$C$205,N(INDEX(sc_shift,1))),'Rate Log'!$C$205))</f>
        <v/>
      </c>
      <c r="B4004" s="74" t="str">
        <f t="shared" si="1490"/>
        <v/>
      </c>
      <c r="C4004" s="72">
        <f>IF(N(INDEX(sc_ach,1))=0,IF('Rate Log'!$G$205="",1,'Rate Log'!$G$205),INDEX(sc_ach,1))</f>
        <v>1</v>
      </c>
      <c r="D4004" s="72">
        <f>IF('Rate Log'!$C$205="",0,IF('Rate Log'!$E$205="planned",('Rate Log'!$D$205+N(INDEX(sc_dpts,1)))*$C4004,'Rate Log'!$D$205))</f>
        <v>0</v>
      </c>
      <c r="E4004" s="73">
        <f>IF('Rate Log'!$C$205="",0,IF(1+$D4004&gt;0,LN(1+$D4004),0))</f>
        <v>0</v>
      </c>
      <c r="F4004" s="75">
        <f t="shared" si="1491"/>
        <v>0</v>
      </c>
      <c r="G4004" s="75">
        <f>IF($A4004="",0,COUNTIFS(rl_key,'Rate Log'!$J$205,$B$3806:$B$4045,$B4004,$A$3806:$A$4045,"&lt;"&amp;$A4004))</f>
        <v>0</v>
      </c>
      <c r="H4004" s="75">
        <f>IF($A4004="",0,COUNTIFS('Rate Log'!$J$7:$J$205,'Rate Log'!$J$205,$B$3806:$B4004,$B4004,$A$3806:$A4004,$A4004))</f>
        <v>0</v>
      </c>
      <c r="I4004" s="75">
        <f t="shared" si="1492"/>
        <v>0</v>
      </c>
      <c r="K4004" s="74" t="str">
        <f>IF('Rate Log'!$C$205="","",IF('Rate Log'!$E$205="planned",EDATE('Rate Log'!$C$205,N(INDEX(sc_shift,2))),'Rate Log'!$C$205))</f>
        <v/>
      </c>
      <c r="L4004" s="74" t="str">
        <f t="shared" si="1493"/>
        <v/>
      </c>
      <c r="M4004" s="72">
        <f>IF(N(INDEX(sc_ach,2))=0,IF('Rate Log'!$G$205="",1,'Rate Log'!$G$205),INDEX(sc_ach,2))</f>
        <v>1</v>
      </c>
      <c r="N4004" s="72">
        <f>IF('Rate Log'!$C$205="",0,IF('Rate Log'!$E$205="planned",('Rate Log'!$D$205+N(INDEX(sc_dpts,2)))*$M4004,'Rate Log'!$D$205))</f>
        <v>0</v>
      </c>
      <c r="O4004" s="73">
        <f>IF('Rate Log'!$C$205="",0,IF(1+$N4004&gt;0,LN(1+$N4004),0))</f>
        <v>0</v>
      </c>
      <c r="P4004" s="75">
        <f t="shared" si="1494"/>
        <v>0</v>
      </c>
      <c r="Q4004" s="75">
        <f>IF($K4004="",0,COUNTIFS(rl_key,'Rate Log'!$J$205,$L$3806:$L$4045,$L4004,$K$3806:$K$4045,"&lt;"&amp;$K4004))</f>
        <v>0</v>
      </c>
      <c r="R4004" s="75">
        <f>IF($K4004="",0,COUNTIFS('Rate Log'!$J$7:$J$205,'Rate Log'!$J$205,$L$3806:$L4004,$L4004,$K$3806:$K4004,$K4004))</f>
        <v>0</v>
      </c>
      <c r="S4004" s="75">
        <f t="shared" si="1495"/>
        <v>0</v>
      </c>
      <c r="U4004" s="74" t="str">
        <f>IF('Rate Log'!$C$205="","",IF('Rate Log'!$E$205="planned",EDATE('Rate Log'!$C$205,N(INDEX(sc_shift,3))),'Rate Log'!$C$205))</f>
        <v/>
      </c>
      <c r="V4004" s="74" t="str">
        <f t="shared" si="1496"/>
        <v/>
      </c>
      <c r="W4004" s="72">
        <f>IF(N(INDEX(sc_ach,3))=0,IF('Rate Log'!$G$205="",1,'Rate Log'!$G$205),INDEX(sc_ach,3))</f>
        <v>1</v>
      </c>
      <c r="X4004" s="72">
        <f>IF('Rate Log'!$C$205="",0,IF('Rate Log'!$E$205="planned",('Rate Log'!$D$205+N(INDEX(sc_dpts,3)))*$W4004,'Rate Log'!$D$205))</f>
        <v>0</v>
      </c>
      <c r="Y4004" s="73">
        <f>IF('Rate Log'!$C$205="",0,IF(1+$X4004&gt;0,LN(1+$X4004),0))</f>
        <v>0</v>
      </c>
      <c r="Z4004" s="75">
        <f t="shared" si="1497"/>
        <v>0</v>
      </c>
      <c r="AA4004" s="75">
        <f>IF($U4004="",0,COUNTIFS(rl_key,'Rate Log'!$J$205,$V$3806:$V$4045,$V4004,$U$3806:$U$4045,"&lt;"&amp;$U4004))</f>
        <v>0</v>
      </c>
      <c r="AB4004" s="75">
        <f>IF($U4004="",0,COUNTIFS('Rate Log'!$J$7:$J$205,'Rate Log'!$J$205,$V$3806:$V4004,$V4004,$U$3806:$U4004,$U4004))</f>
        <v>0</v>
      </c>
      <c r="AC4004" s="75">
        <f t="shared" si="1498"/>
        <v>0</v>
      </c>
      <c r="AE4004" s="74" t="str">
        <f>IF('Rate Log'!$C$205="","",IF('Rate Log'!$E$205="planned",EDATE('Rate Log'!$C$205,N(INDEX(sc_shift,4))),'Rate Log'!$C$205))</f>
        <v/>
      </c>
      <c r="AF4004" s="74" t="str">
        <f t="shared" si="1499"/>
        <v/>
      </c>
      <c r="AG4004" s="72">
        <f>IF(N(INDEX(sc_ach,4))=0,IF('Rate Log'!$G$205="",1,'Rate Log'!$G$205),INDEX(sc_ach,4))</f>
        <v>1</v>
      </c>
      <c r="AH4004" s="72">
        <f>IF('Rate Log'!$C$205="",0,IF('Rate Log'!$E$205="planned",('Rate Log'!$D$205+N(INDEX(sc_dpts,4)))*$AG4004,'Rate Log'!$D$205))</f>
        <v>0</v>
      </c>
      <c r="AI4004" s="73">
        <f>IF('Rate Log'!$C$205="",0,IF(1+$AH4004&gt;0,LN(1+$AH4004),0))</f>
        <v>0</v>
      </c>
      <c r="AJ4004" s="75">
        <f t="shared" si="1500"/>
        <v>0</v>
      </c>
      <c r="AK4004" s="75">
        <f>IF($AE4004="",0,COUNTIFS(rl_key,'Rate Log'!$J$205,$AF$3806:$AF$4045,$AF4004,$AE$3806:$AE$4045,"&lt;"&amp;$AE4004))</f>
        <v>0</v>
      </c>
      <c r="AL4004" s="75">
        <f>IF($AE4004="",0,COUNTIFS('Rate Log'!$J$7:$J$205,'Rate Log'!$J$205,$AF$3806:$AF4004,$AF4004,$AE$3806:$AE4004,$AE4004))</f>
        <v>0</v>
      </c>
      <c r="AM4004" s="75">
        <f t="shared" si="1501"/>
        <v>0</v>
      </c>
    </row>
    <row r="4005" spans="1:39" x14ac:dyDescent="0.3">
      <c r="A4005" s="74" t="str">
        <f>IF('Rate Log'!$C$206="","",IF('Rate Log'!$E$206="planned",EDATE('Rate Log'!$C$206,N(INDEX(sc_shift,1))),'Rate Log'!$C$206))</f>
        <v/>
      </c>
      <c r="B4005" s="74" t="str">
        <f t="shared" si="1490"/>
        <v/>
      </c>
      <c r="C4005" s="72">
        <f>IF(N(INDEX(sc_ach,1))=0,IF('Rate Log'!$G$206="",1,'Rate Log'!$G$206),INDEX(sc_ach,1))</f>
        <v>1</v>
      </c>
      <c r="D4005" s="72">
        <f>IF('Rate Log'!$C$206="",0,IF('Rate Log'!$E$206="planned",('Rate Log'!$D$206+N(INDEX(sc_dpts,1)))*$C4005,'Rate Log'!$D$206))</f>
        <v>0</v>
      </c>
      <c r="E4005" s="73">
        <f>IF('Rate Log'!$C$206="",0,IF(1+$D4005&gt;0,LN(1+$D4005),0))</f>
        <v>0</v>
      </c>
      <c r="F4005" s="75">
        <f t="shared" si="1491"/>
        <v>0</v>
      </c>
      <c r="G4005" s="75">
        <f>IF($A4005="",0,COUNTIFS(rl_key,'Rate Log'!$J$206,$B$3806:$B$4045,$B4005,$A$3806:$A$4045,"&lt;"&amp;$A4005))</f>
        <v>0</v>
      </c>
      <c r="H4005" s="75">
        <f>IF($A4005="",0,COUNTIFS('Rate Log'!$J$7:$J$206,'Rate Log'!$J$206,$B$3806:$B4005,$B4005,$A$3806:$A4005,$A4005))</f>
        <v>0</v>
      </c>
      <c r="I4005" s="75">
        <f t="shared" si="1492"/>
        <v>0</v>
      </c>
      <c r="K4005" s="74" t="str">
        <f>IF('Rate Log'!$C$206="","",IF('Rate Log'!$E$206="planned",EDATE('Rate Log'!$C$206,N(INDEX(sc_shift,2))),'Rate Log'!$C$206))</f>
        <v/>
      </c>
      <c r="L4005" s="74" t="str">
        <f t="shared" si="1493"/>
        <v/>
      </c>
      <c r="M4005" s="72">
        <f>IF(N(INDEX(sc_ach,2))=0,IF('Rate Log'!$G$206="",1,'Rate Log'!$G$206),INDEX(sc_ach,2))</f>
        <v>1</v>
      </c>
      <c r="N4005" s="72">
        <f>IF('Rate Log'!$C$206="",0,IF('Rate Log'!$E$206="planned",('Rate Log'!$D$206+N(INDEX(sc_dpts,2)))*$M4005,'Rate Log'!$D$206))</f>
        <v>0</v>
      </c>
      <c r="O4005" s="73">
        <f>IF('Rate Log'!$C$206="",0,IF(1+$N4005&gt;0,LN(1+$N4005),0))</f>
        <v>0</v>
      </c>
      <c r="P4005" s="75">
        <f t="shared" si="1494"/>
        <v>0</v>
      </c>
      <c r="Q4005" s="75">
        <f>IF($K4005="",0,COUNTIFS(rl_key,'Rate Log'!$J$206,$L$3806:$L$4045,$L4005,$K$3806:$K$4045,"&lt;"&amp;$K4005))</f>
        <v>0</v>
      </c>
      <c r="R4005" s="75">
        <f>IF($K4005="",0,COUNTIFS('Rate Log'!$J$7:$J$206,'Rate Log'!$J$206,$L$3806:$L4005,$L4005,$K$3806:$K4005,$K4005))</f>
        <v>0</v>
      </c>
      <c r="S4005" s="75">
        <f t="shared" si="1495"/>
        <v>0</v>
      </c>
      <c r="U4005" s="74" t="str">
        <f>IF('Rate Log'!$C$206="","",IF('Rate Log'!$E$206="planned",EDATE('Rate Log'!$C$206,N(INDEX(sc_shift,3))),'Rate Log'!$C$206))</f>
        <v/>
      </c>
      <c r="V4005" s="74" t="str">
        <f t="shared" si="1496"/>
        <v/>
      </c>
      <c r="W4005" s="72">
        <f>IF(N(INDEX(sc_ach,3))=0,IF('Rate Log'!$G$206="",1,'Rate Log'!$G$206),INDEX(sc_ach,3))</f>
        <v>1</v>
      </c>
      <c r="X4005" s="72">
        <f>IF('Rate Log'!$C$206="",0,IF('Rate Log'!$E$206="planned",('Rate Log'!$D$206+N(INDEX(sc_dpts,3)))*$W4005,'Rate Log'!$D$206))</f>
        <v>0</v>
      </c>
      <c r="Y4005" s="73">
        <f>IF('Rate Log'!$C$206="",0,IF(1+$X4005&gt;0,LN(1+$X4005),0))</f>
        <v>0</v>
      </c>
      <c r="Z4005" s="75">
        <f t="shared" si="1497"/>
        <v>0</v>
      </c>
      <c r="AA4005" s="75">
        <f>IF($U4005="",0,COUNTIFS(rl_key,'Rate Log'!$J$206,$V$3806:$V$4045,$V4005,$U$3806:$U$4045,"&lt;"&amp;$U4005))</f>
        <v>0</v>
      </c>
      <c r="AB4005" s="75">
        <f>IF($U4005="",0,COUNTIFS('Rate Log'!$J$7:$J$206,'Rate Log'!$J$206,$V$3806:$V4005,$V4005,$U$3806:$U4005,$U4005))</f>
        <v>0</v>
      </c>
      <c r="AC4005" s="75">
        <f t="shared" si="1498"/>
        <v>0</v>
      </c>
      <c r="AE4005" s="74" t="str">
        <f>IF('Rate Log'!$C$206="","",IF('Rate Log'!$E$206="planned",EDATE('Rate Log'!$C$206,N(INDEX(sc_shift,4))),'Rate Log'!$C$206))</f>
        <v/>
      </c>
      <c r="AF4005" s="74" t="str">
        <f t="shared" si="1499"/>
        <v/>
      </c>
      <c r="AG4005" s="72">
        <f>IF(N(INDEX(sc_ach,4))=0,IF('Rate Log'!$G$206="",1,'Rate Log'!$G$206),INDEX(sc_ach,4))</f>
        <v>1</v>
      </c>
      <c r="AH4005" s="72">
        <f>IF('Rate Log'!$C$206="",0,IF('Rate Log'!$E$206="planned",('Rate Log'!$D$206+N(INDEX(sc_dpts,4)))*$AG4005,'Rate Log'!$D$206))</f>
        <v>0</v>
      </c>
      <c r="AI4005" s="73">
        <f>IF('Rate Log'!$C$206="",0,IF(1+$AH4005&gt;0,LN(1+$AH4005),0))</f>
        <v>0</v>
      </c>
      <c r="AJ4005" s="75">
        <f t="shared" si="1500"/>
        <v>0</v>
      </c>
      <c r="AK4005" s="75">
        <f>IF($AE4005="",0,COUNTIFS(rl_key,'Rate Log'!$J$206,$AF$3806:$AF$4045,$AF4005,$AE$3806:$AE$4045,"&lt;"&amp;$AE4005))</f>
        <v>0</v>
      </c>
      <c r="AL4005" s="75">
        <f>IF($AE4005="",0,COUNTIFS('Rate Log'!$J$7:$J$206,'Rate Log'!$J$206,$AF$3806:$AF4005,$AF4005,$AE$3806:$AE4005,$AE4005))</f>
        <v>0</v>
      </c>
      <c r="AM4005" s="75">
        <f t="shared" si="1501"/>
        <v>0</v>
      </c>
    </row>
    <row r="4006" spans="1:39" x14ac:dyDescent="0.3">
      <c r="A4006" s="74" t="str">
        <f>IF('Rate Log'!$C$207="","",IF('Rate Log'!$E$207="planned",EDATE('Rate Log'!$C$207,N(INDEX(sc_shift,1))),'Rate Log'!$C$207))</f>
        <v/>
      </c>
      <c r="B4006" s="74" t="str">
        <f t="shared" si="1490"/>
        <v/>
      </c>
      <c r="C4006" s="72">
        <f>IF(N(INDEX(sc_ach,1))=0,IF('Rate Log'!$G$207="",1,'Rate Log'!$G$207),INDEX(sc_ach,1))</f>
        <v>1</v>
      </c>
      <c r="D4006" s="72">
        <f>IF('Rate Log'!$C$207="",0,IF('Rate Log'!$E$207="planned",('Rate Log'!$D$207+N(INDEX(sc_dpts,1)))*$C4006,'Rate Log'!$D$207))</f>
        <v>0</v>
      </c>
      <c r="E4006" s="73">
        <f>IF('Rate Log'!$C$207="",0,IF(1+$D4006&gt;0,LN(1+$D4006),0))</f>
        <v>0</v>
      </c>
      <c r="F4006" s="75">
        <f t="shared" si="1491"/>
        <v>0</v>
      </c>
      <c r="G4006" s="75">
        <f>IF($A4006="",0,COUNTIFS(rl_key,'Rate Log'!$J$207,$B$3806:$B$4045,$B4006,$A$3806:$A$4045,"&lt;"&amp;$A4006))</f>
        <v>0</v>
      </c>
      <c r="H4006" s="75">
        <f>IF($A4006="",0,COUNTIFS('Rate Log'!$J$7:$J$207,'Rate Log'!$J$207,$B$3806:$B4006,$B4006,$A$3806:$A4006,$A4006))</f>
        <v>0</v>
      </c>
      <c r="I4006" s="75">
        <f t="shared" si="1492"/>
        <v>0</v>
      </c>
      <c r="K4006" s="74" t="str">
        <f>IF('Rate Log'!$C$207="","",IF('Rate Log'!$E$207="planned",EDATE('Rate Log'!$C$207,N(INDEX(sc_shift,2))),'Rate Log'!$C$207))</f>
        <v/>
      </c>
      <c r="L4006" s="74" t="str">
        <f t="shared" si="1493"/>
        <v/>
      </c>
      <c r="M4006" s="72">
        <f>IF(N(INDEX(sc_ach,2))=0,IF('Rate Log'!$G$207="",1,'Rate Log'!$G$207),INDEX(sc_ach,2))</f>
        <v>1</v>
      </c>
      <c r="N4006" s="72">
        <f>IF('Rate Log'!$C$207="",0,IF('Rate Log'!$E$207="planned",('Rate Log'!$D$207+N(INDEX(sc_dpts,2)))*$M4006,'Rate Log'!$D$207))</f>
        <v>0</v>
      </c>
      <c r="O4006" s="73">
        <f>IF('Rate Log'!$C$207="",0,IF(1+$N4006&gt;0,LN(1+$N4006),0))</f>
        <v>0</v>
      </c>
      <c r="P4006" s="75">
        <f t="shared" si="1494"/>
        <v>0</v>
      </c>
      <c r="Q4006" s="75">
        <f>IF($K4006="",0,COUNTIFS(rl_key,'Rate Log'!$J$207,$L$3806:$L$4045,$L4006,$K$3806:$K$4045,"&lt;"&amp;$K4006))</f>
        <v>0</v>
      </c>
      <c r="R4006" s="75">
        <f>IF($K4006="",0,COUNTIFS('Rate Log'!$J$7:$J$207,'Rate Log'!$J$207,$L$3806:$L4006,$L4006,$K$3806:$K4006,$K4006))</f>
        <v>0</v>
      </c>
      <c r="S4006" s="75">
        <f t="shared" si="1495"/>
        <v>0</v>
      </c>
      <c r="U4006" s="74" t="str">
        <f>IF('Rate Log'!$C$207="","",IF('Rate Log'!$E$207="planned",EDATE('Rate Log'!$C$207,N(INDEX(sc_shift,3))),'Rate Log'!$C$207))</f>
        <v/>
      </c>
      <c r="V4006" s="74" t="str">
        <f t="shared" si="1496"/>
        <v/>
      </c>
      <c r="W4006" s="72">
        <f>IF(N(INDEX(sc_ach,3))=0,IF('Rate Log'!$G$207="",1,'Rate Log'!$G$207),INDEX(sc_ach,3))</f>
        <v>1</v>
      </c>
      <c r="X4006" s="72">
        <f>IF('Rate Log'!$C$207="",0,IF('Rate Log'!$E$207="planned",('Rate Log'!$D$207+N(INDEX(sc_dpts,3)))*$W4006,'Rate Log'!$D$207))</f>
        <v>0</v>
      </c>
      <c r="Y4006" s="73">
        <f>IF('Rate Log'!$C$207="",0,IF(1+$X4006&gt;0,LN(1+$X4006),0))</f>
        <v>0</v>
      </c>
      <c r="Z4006" s="75">
        <f t="shared" si="1497"/>
        <v>0</v>
      </c>
      <c r="AA4006" s="75">
        <f>IF($U4006="",0,COUNTIFS(rl_key,'Rate Log'!$J$207,$V$3806:$V$4045,$V4006,$U$3806:$U$4045,"&lt;"&amp;$U4006))</f>
        <v>0</v>
      </c>
      <c r="AB4006" s="75">
        <f>IF($U4006="",0,COUNTIFS('Rate Log'!$J$7:$J$207,'Rate Log'!$J$207,$V$3806:$V4006,$V4006,$U$3806:$U4006,$U4006))</f>
        <v>0</v>
      </c>
      <c r="AC4006" s="75">
        <f t="shared" si="1498"/>
        <v>0</v>
      </c>
      <c r="AE4006" s="74" t="str">
        <f>IF('Rate Log'!$C$207="","",IF('Rate Log'!$E$207="planned",EDATE('Rate Log'!$C$207,N(INDEX(sc_shift,4))),'Rate Log'!$C$207))</f>
        <v/>
      </c>
      <c r="AF4006" s="74" t="str">
        <f t="shared" si="1499"/>
        <v/>
      </c>
      <c r="AG4006" s="72">
        <f>IF(N(INDEX(sc_ach,4))=0,IF('Rate Log'!$G$207="",1,'Rate Log'!$G$207),INDEX(sc_ach,4))</f>
        <v>1</v>
      </c>
      <c r="AH4006" s="72">
        <f>IF('Rate Log'!$C$207="",0,IF('Rate Log'!$E$207="planned",('Rate Log'!$D$207+N(INDEX(sc_dpts,4)))*$AG4006,'Rate Log'!$D$207))</f>
        <v>0</v>
      </c>
      <c r="AI4006" s="73">
        <f>IF('Rate Log'!$C$207="",0,IF(1+$AH4006&gt;0,LN(1+$AH4006),0))</f>
        <v>0</v>
      </c>
      <c r="AJ4006" s="75">
        <f t="shared" si="1500"/>
        <v>0</v>
      </c>
      <c r="AK4006" s="75">
        <f>IF($AE4006="",0,COUNTIFS(rl_key,'Rate Log'!$J$207,$AF$3806:$AF$4045,$AF4006,$AE$3806:$AE$4045,"&lt;"&amp;$AE4006))</f>
        <v>0</v>
      </c>
      <c r="AL4006" s="75">
        <f>IF($AE4006="",0,COUNTIFS('Rate Log'!$J$7:$J$207,'Rate Log'!$J$207,$AF$3806:$AF4006,$AF4006,$AE$3806:$AE4006,$AE4006))</f>
        <v>0</v>
      </c>
      <c r="AM4006" s="75">
        <f t="shared" si="1501"/>
        <v>0</v>
      </c>
    </row>
    <row r="4007" spans="1:39" x14ac:dyDescent="0.3">
      <c r="A4007" s="74" t="str">
        <f>IF('Rate Log'!$C$208="","",IF('Rate Log'!$E$208="planned",EDATE('Rate Log'!$C$208,N(INDEX(sc_shift,1))),'Rate Log'!$C$208))</f>
        <v/>
      </c>
      <c r="B4007" s="74" t="str">
        <f t="shared" si="1490"/>
        <v/>
      </c>
      <c r="C4007" s="72">
        <f>IF(N(INDEX(sc_ach,1))=0,IF('Rate Log'!$G$208="",1,'Rate Log'!$G$208),INDEX(sc_ach,1))</f>
        <v>1</v>
      </c>
      <c r="D4007" s="72">
        <f>IF('Rate Log'!$C$208="",0,IF('Rate Log'!$E$208="planned",('Rate Log'!$D$208+N(INDEX(sc_dpts,1)))*$C4007,'Rate Log'!$D$208))</f>
        <v>0</v>
      </c>
      <c r="E4007" s="73">
        <f>IF('Rate Log'!$C$208="",0,IF(1+$D4007&gt;0,LN(1+$D4007),0))</f>
        <v>0</v>
      </c>
      <c r="F4007" s="75">
        <f t="shared" si="1491"/>
        <v>0</v>
      </c>
      <c r="G4007" s="75">
        <f>IF($A4007="",0,COUNTIFS(rl_key,'Rate Log'!$J$208,$B$3806:$B$4045,$B4007,$A$3806:$A$4045,"&lt;"&amp;$A4007))</f>
        <v>0</v>
      </c>
      <c r="H4007" s="75">
        <f>IF($A4007="",0,COUNTIFS('Rate Log'!$J$7:$J$208,'Rate Log'!$J$208,$B$3806:$B4007,$B4007,$A$3806:$A4007,$A4007))</f>
        <v>0</v>
      </c>
      <c r="I4007" s="75">
        <f t="shared" si="1492"/>
        <v>0</v>
      </c>
      <c r="K4007" s="74" t="str">
        <f>IF('Rate Log'!$C$208="","",IF('Rate Log'!$E$208="planned",EDATE('Rate Log'!$C$208,N(INDEX(sc_shift,2))),'Rate Log'!$C$208))</f>
        <v/>
      </c>
      <c r="L4007" s="74" t="str">
        <f t="shared" si="1493"/>
        <v/>
      </c>
      <c r="M4007" s="72">
        <f>IF(N(INDEX(sc_ach,2))=0,IF('Rate Log'!$G$208="",1,'Rate Log'!$G$208),INDEX(sc_ach,2))</f>
        <v>1</v>
      </c>
      <c r="N4007" s="72">
        <f>IF('Rate Log'!$C$208="",0,IF('Rate Log'!$E$208="planned",('Rate Log'!$D$208+N(INDEX(sc_dpts,2)))*$M4007,'Rate Log'!$D$208))</f>
        <v>0</v>
      </c>
      <c r="O4007" s="73">
        <f>IF('Rate Log'!$C$208="",0,IF(1+$N4007&gt;0,LN(1+$N4007),0))</f>
        <v>0</v>
      </c>
      <c r="P4007" s="75">
        <f t="shared" si="1494"/>
        <v>0</v>
      </c>
      <c r="Q4007" s="75">
        <f>IF($K4007="",0,COUNTIFS(rl_key,'Rate Log'!$J$208,$L$3806:$L$4045,$L4007,$K$3806:$K$4045,"&lt;"&amp;$K4007))</f>
        <v>0</v>
      </c>
      <c r="R4007" s="75">
        <f>IF($K4007="",0,COUNTIFS('Rate Log'!$J$7:$J$208,'Rate Log'!$J$208,$L$3806:$L4007,$L4007,$K$3806:$K4007,$K4007))</f>
        <v>0</v>
      </c>
      <c r="S4007" s="75">
        <f t="shared" si="1495"/>
        <v>0</v>
      </c>
      <c r="U4007" s="74" t="str">
        <f>IF('Rate Log'!$C$208="","",IF('Rate Log'!$E$208="planned",EDATE('Rate Log'!$C$208,N(INDEX(sc_shift,3))),'Rate Log'!$C$208))</f>
        <v/>
      </c>
      <c r="V4007" s="74" t="str">
        <f t="shared" si="1496"/>
        <v/>
      </c>
      <c r="W4007" s="72">
        <f>IF(N(INDEX(sc_ach,3))=0,IF('Rate Log'!$G$208="",1,'Rate Log'!$G$208),INDEX(sc_ach,3))</f>
        <v>1</v>
      </c>
      <c r="X4007" s="72">
        <f>IF('Rate Log'!$C$208="",0,IF('Rate Log'!$E$208="planned",('Rate Log'!$D$208+N(INDEX(sc_dpts,3)))*$W4007,'Rate Log'!$D$208))</f>
        <v>0</v>
      </c>
      <c r="Y4007" s="73">
        <f>IF('Rate Log'!$C$208="",0,IF(1+$X4007&gt;0,LN(1+$X4007),0))</f>
        <v>0</v>
      </c>
      <c r="Z4007" s="75">
        <f t="shared" si="1497"/>
        <v>0</v>
      </c>
      <c r="AA4007" s="75">
        <f>IF($U4007="",0,COUNTIFS(rl_key,'Rate Log'!$J$208,$V$3806:$V$4045,$V4007,$U$3806:$U$4045,"&lt;"&amp;$U4007))</f>
        <v>0</v>
      </c>
      <c r="AB4007" s="75">
        <f>IF($U4007="",0,COUNTIFS('Rate Log'!$J$7:$J$208,'Rate Log'!$J$208,$V$3806:$V4007,$V4007,$U$3806:$U4007,$U4007))</f>
        <v>0</v>
      </c>
      <c r="AC4007" s="75">
        <f t="shared" si="1498"/>
        <v>0</v>
      </c>
      <c r="AE4007" s="74" t="str">
        <f>IF('Rate Log'!$C$208="","",IF('Rate Log'!$E$208="planned",EDATE('Rate Log'!$C$208,N(INDEX(sc_shift,4))),'Rate Log'!$C$208))</f>
        <v/>
      </c>
      <c r="AF4007" s="74" t="str">
        <f t="shared" si="1499"/>
        <v/>
      </c>
      <c r="AG4007" s="72">
        <f>IF(N(INDEX(sc_ach,4))=0,IF('Rate Log'!$G$208="",1,'Rate Log'!$G$208),INDEX(sc_ach,4))</f>
        <v>1</v>
      </c>
      <c r="AH4007" s="72">
        <f>IF('Rate Log'!$C$208="",0,IF('Rate Log'!$E$208="planned",('Rate Log'!$D$208+N(INDEX(sc_dpts,4)))*$AG4007,'Rate Log'!$D$208))</f>
        <v>0</v>
      </c>
      <c r="AI4007" s="73">
        <f>IF('Rate Log'!$C$208="",0,IF(1+$AH4007&gt;0,LN(1+$AH4007),0))</f>
        <v>0</v>
      </c>
      <c r="AJ4007" s="75">
        <f t="shared" si="1500"/>
        <v>0</v>
      </c>
      <c r="AK4007" s="75">
        <f>IF($AE4007="",0,COUNTIFS(rl_key,'Rate Log'!$J$208,$AF$3806:$AF$4045,$AF4007,$AE$3806:$AE$4045,"&lt;"&amp;$AE4007))</f>
        <v>0</v>
      </c>
      <c r="AL4007" s="75">
        <f>IF($AE4007="",0,COUNTIFS('Rate Log'!$J$7:$J$208,'Rate Log'!$J$208,$AF$3806:$AF4007,$AF4007,$AE$3806:$AE4007,$AE4007))</f>
        <v>0</v>
      </c>
      <c r="AM4007" s="75">
        <f t="shared" si="1501"/>
        <v>0</v>
      </c>
    </row>
    <row r="4008" spans="1:39" x14ac:dyDescent="0.3">
      <c r="A4008" s="74" t="str">
        <f>IF('Rate Log'!$C$209="","",IF('Rate Log'!$E$209="planned",EDATE('Rate Log'!$C$209,N(INDEX(sc_shift,1))),'Rate Log'!$C$209))</f>
        <v/>
      </c>
      <c r="B4008" s="74" t="str">
        <f t="shared" si="1490"/>
        <v/>
      </c>
      <c r="C4008" s="72">
        <f>IF(N(INDEX(sc_ach,1))=0,IF('Rate Log'!$G$209="",1,'Rate Log'!$G$209),INDEX(sc_ach,1))</f>
        <v>1</v>
      </c>
      <c r="D4008" s="72">
        <f>IF('Rate Log'!$C$209="",0,IF('Rate Log'!$E$209="planned",('Rate Log'!$D$209+N(INDEX(sc_dpts,1)))*$C4008,'Rate Log'!$D$209))</f>
        <v>0</v>
      </c>
      <c r="E4008" s="73">
        <f>IF('Rate Log'!$C$209="",0,IF(1+$D4008&gt;0,LN(1+$D4008),0))</f>
        <v>0</v>
      </c>
      <c r="F4008" s="75">
        <f t="shared" si="1491"/>
        <v>0</v>
      </c>
      <c r="G4008" s="75">
        <f>IF($A4008="",0,COUNTIFS(rl_key,'Rate Log'!$J$209,$B$3806:$B$4045,$B4008,$A$3806:$A$4045,"&lt;"&amp;$A4008))</f>
        <v>0</v>
      </c>
      <c r="H4008" s="75">
        <f>IF($A4008="",0,COUNTIFS('Rate Log'!$J$7:$J$209,'Rate Log'!$J$209,$B$3806:$B4008,$B4008,$A$3806:$A4008,$A4008))</f>
        <v>0</v>
      </c>
      <c r="I4008" s="75">
        <f t="shared" si="1492"/>
        <v>0</v>
      </c>
      <c r="K4008" s="74" t="str">
        <f>IF('Rate Log'!$C$209="","",IF('Rate Log'!$E$209="planned",EDATE('Rate Log'!$C$209,N(INDEX(sc_shift,2))),'Rate Log'!$C$209))</f>
        <v/>
      </c>
      <c r="L4008" s="74" t="str">
        <f t="shared" si="1493"/>
        <v/>
      </c>
      <c r="M4008" s="72">
        <f>IF(N(INDEX(sc_ach,2))=0,IF('Rate Log'!$G$209="",1,'Rate Log'!$G$209),INDEX(sc_ach,2))</f>
        <v>1</v>
      </c>
      <c r="N4008" s="72">
        <f>IF('Rate Log'!$C$209="",0,IF('Rate Log'!$E$209="planned",('Rate Log'!$D$209+N(INDEX(sc_dpts,2)))*$M4008,'Rate Log'!$D$209))</f>
        <v>0</v>
      </c>
      <c r="O4008" s="73">
        <f>IF('Rate Log'!$C$209="",0,IF(1+$N4008&gt;0,LN(1+$N4008),0))</f>
        <v>0</v>
      </c>
      <c r="P4008" s="75">
        <f t="shared" si="1494"/>
        <v>0</v>
      </c>
      <c r="Q4008" s="75">
        <f>IF($K4008="",0,COUNTIFS(rl_key,'Rate Log'!$J$209,$L$3806:$L$4045,$L4008,$K$3806:$K$4045,"&lt;"&amp;$K4008))</f>
        <v>0</v>
      </c>
      <c r="R4008" s="75">
        <f>IF($K4008="",0,COUNTIFS('Rate Log'!$J$7:$J$209,'Rate Log'!$J$209,$L$3806:$L4008,$L4008,$K$3806:$K4008,$K4008))</f>
        <v>0</v>
      </c>
      <c r="S4008" s="75">
        <f t="shared" si="1495"/>
        <v>0</v>
      </c>
      <c r="U4008" s="74" t="str">
        <f>IF('Rate Log'!$C$209="","",IF('Rate Log'!$E$209="planned",EDATE('Rate Log'!$C$209,N(INDEX(sc_shift,3))),'Rate Log'!$C$209))</f>
        <v/>
      </c>
      <c r="V4008" s="74" t="str">
        <f t="shared" si="1496"/>
        <v/>
      </c>
      <c r="W4008" s="72">
        <f>IF(N(INDEX(sc_ach,3))=0,IF('Rate Log'!$G$209="",1,'Rate Log'!$G$209),INDEX(sc_ach,3))</f>
        <v>1</v>
      </c>
      <c r="X4008" s="72">
        <f>IF('Rate Log'!$C$209="",0,IF('Rate Log'!$E$209="planned",('Rate Log'!$D$209+N(INDEX(sc_dpts,3)))*$W4008,'Rate Log'!$D$209))</f>
        <v>0</v>
      </c>
      <c r="Y4008" s="73">
        <f>IF('Rate Log'!$C$209="",0,IF(1+$X4008&gt;0,LN(1+$X4008),0))</f>
        <v>0</v>
      </c>
      <c r="Z4008" s="75">
        <f t="shared" si="1497"/>
        <v>0</v>
      </c>
      <c r="AA4008" s="75">
        <f>IF($U4008="",0,COUNTIFS(rl_key,'Rate Log'!$J$209,$V$3806:$V$4045,$V4008,$U$3806:$U$4045,"&lt;"&amp;$U4008))</f>
        <v>0</v>
      </c>
      <c r="AB4008" s="75">
        <f>IF($U4008="",0,COUNTIFS('Rate Log'!$J$7:$J$209,'Rate Log'!$J$209,$V$3806:$V4008,$V4008,$U$3806:$U4008,$U4008))</f>
        <v>0</v>
      </c>
      <c r="AC4008" s="75">
        <f t="shared" si="1498"/>
        <v>0</v>
      </c>
      <c r="AE4008" s="74" t="str">
        <f>IF('Rate Log'!$C$209="","",IF('Rate Log'!$E$209="planned",EDATE('Rate Log'!$C$209,N(INDEX(sc_shift,4))),'Rate Log'!$C$209))</f>
        <v/>
      </c>
      <c r="AF4008" s="74" t="str">
        <f t="shared" si="1499"/>
        <v/>
      </c>
      <c r="AG4008" s="72">
        <f>IF(N(INDEX(sc_ach,4))=0,IF('Rate Log'!$G$209="",1,'Rate Log'!$G$209),INDEX(sc_ach,4))</f>
        <v>1</v>
      </c>
      <c r="AH4008" s="72">
        <f>IF('Rate Log'!$C$209="",0,IF('Rate Log'!$E$209="planned",('Rate Log'!$D$209+N(INDEX(sc_dpts,4)))*$AG4008,'Rate Log'!$D$209))</f>
        <v>0</v>
      </c>
      <c r="AI4008" s="73">
        <f>IF('Rate Log'!$C$209="",0,IF(1+$AH4008&gt;0,LN(1+$AH4008),0))</f>
        <v>0</v>
      </c>
      <c r="AJ4008" s="75">
        <f t="shared" si="1500"/>
        <v>0</v>
      </c>
      <c r="AK4008" s="75">
        <f>IF($AE4008="",0,COUNTIFS(rl_key,'Rate Log'!$J$209,$AF$3806:$AF$4045,$AF4008,$AE$3806:$AE$4045,"&lt;"&amp;$AE4008))</f>
        <v>0</v>
      </c>
      <c r="AL4008" s="75">
        <f>IF($AE4008="",0,COUNTIFS('Rate Log'!$J$7:$J$209,'Rate Log'!$J$209,$AF$3806:$AF4008,$AF4008,$AE$3806:$AE4008,$AE4008))</f>
        <v>0</v>
      </c>
      <c r="AM4008" s="75">
        <f t="shared" si="1501"/>
        <v>0</v>
      </c>
    </row>
    <row r="4009" spans="1:39" x14ac:dyDescent="0.3">
      <c r="A4009" s="74" t="str">
        <f>IF('Rate Log'!$C$210="","",IF('Rate Log'!$E$210="planned",EDATE('Rate Log'!$C$210,N(INDEX(sc_shift,1))),'Rate Log'!$C$210))</f>
        <v/>
      </c>
      <c r="B4009" s="74" t="str">
        <f t="shared" si="1490"/>
        <v/>
      </c>
      <c r="C4009" s="72">
        <f>IF(N(INDEX(sc_ach,1))=0,IF('Rate Log'!$G$210="",1,'Rate Log'!$G$210),INDEX(sc_ach,1))</f>
        <v>1</v>
      </c>
      <c r="D4009" s="72">
        <f>IF('Rate Log'!$C$210="",0,IF('Rate Log'!$E$210="planned",('Rate Log'!$D$210+N(INDEX(sc_dpts,1)))*$C4009,'Rate Log'!$D$210))</f>
        <v>0</v>
      </c>
      <c r="E4009" s="73">
        <f>IF('Rate Log'!$C$210="",0,IF(1+$D4009&gt;0,LN(1+$D4009),0))</f>
        <v>0</v>
      </c>
      <c r="F4009" s="75">
        <f t="shared" si="1491"/>
        <v>0</v>
      </c>
      <c r="G4009" s="75">
        <f>IF($A4009="",0,COUNTIFS(rl_key,'Rate Log'!$J$210,$B$3806:$B$4045,$B4009,$A$3806:$A$4045,"&lt;"&amp;$A4009))</f>
        <v>0</v>
      </c>
      <c r="H4009" s="75">
        <f>IF($A4009="",0,COUNTIFS('Rate Log'!$J$7:$J$210,'Rate Log'!$J$210,$B$3806:$B4009,$B4009,$A$3806:$A4009,$A4009))</f>
        <v>0</v>
      </c>
      <c r="I4009" s="75">
        <f t="shared" si="1492"/>
        <v>0</v>
      </c>
      <c r="K4009" s="74" t="str">
        <f>IF('Rate Log'!$C$210="","",IF('Rate Log'!$E$210="planned",EDATE('Rate Log'!$C$210,N(INDEX(sc_shift,2))),'Rate Log'!$C$210))</f>
        <v/>
      </c>
      <c r="L4009" s="74" t="str">
        <f t="shared" si="1493"/>
        <v/>
      </c>
      <c r="M4009" s="72">
        <f>IF(N(INDEX(sc_ach,2))=0,IF('Rate Log'!$G$210="",1,'Rate Log'!$G$210),INDEX(sc_ach,2))</f>
        <v>1</v>
      </c>
      <c r="N4009" s="72">
        <f>IF('Rate Log'!$C$210="",0,IF('Rate Log'!$E$210="planned",('Rate Log'!$D$210+N(INDEX(sc_dpts,2)))*$M4009,'Rate Log'!$D$210))</f>
        <v>0</v>
      </c>
      <c r="O4009" s="73">
        <f>IF('Rate Log'!$C$210="",0,IF(1+$N4009&gt;0,LN(1+$N4009),0))</f>
        <v>0</v>
      </c>
      <c r="P4009" s="75">
        <f t="shared" si="1494"/>
        <v>0</v>
      </c>
      <c r="Q4009" s="75">
        <f>IF($K4009="",0,COUNTIFS(rl_key,'Rate Log'!$J$210,$L$3806:$L$4045,$L4009,$K$3806:$K$4045,"&lt;"&amp;$K4009))</f>
        <v>0</v>
      </c>
      <c r="R4009" s="75">
        <f>IF($K4009="",0,COUNTIFS('Rate Log'!$J$7:$J$210,'Rate Log'!$J$210,$L$3806:$L4009,$L4009,$K$3806:$K4009,$K4009))</f>
        <v>0</v>
      </c>
      <c r="S4009" s="75">
        <f t="shared" si="1495"/>
        <v>0</v>
      </c>
      <c r="U4009" s="74" t="str">
        <f>IF('Rate Log'!$C$210="","",IF('Rate Log'!$E$210="planned",EDATE('Rate Log'!$C$210,N(INDEX(sc_shift,3))),'Rate Log'!$C$210))</f>
        <v/>
      </c>
      <c r="V4009" s="74" t="str">
        <f t="shared" si="1496"/>
        <v/>
      </c>
      <c r="W4009" s="72">
        <f>IF(N(INDEX(sc_ach,3))=0,IF('Rate Log'!$G$210="",1,'Rate Log'!$G$210),INDEX(sc_ach,3))</f>
        <v>1</v>
      </c>
      <c r="X4009" s="72">
        <f>IF('Rate Log'!$C$210="",0,IF('Rate Log'!$E$210="planned",('Rate Log'!$D$210+N(INDEX(sc_dpts,3)))*$W4009,'Rate Log'!$D$210))</f>
        <v>0</v>
      </c>
      <c r="Y4009" s="73">
        <f>IF('Rate Log'!$C$210="",0,IF(1+$X4009&gt;0,LN(1+$X4009),0))</f>
        <v>0</v>
      </c>
      <c r="Z4009" s="75">
        <f t="shared" si="1497"/>
        <v>0</v>
      </c>
      <c r="AA4009" s="75">
        <f>IF($U4009="",0,COUNTIFS(rl_key,'Rate Log'!$J$210,$V$3806:$V$4045,$V4009,$U$3806:$U$4045,"&lt;"&amp;$U4009))</f>
        <v>0</v>
      </c>
      <c r="AB4009" s="75">
        <f>IF($U4009="",0,COUNTIFS('Rate Log'!$J$7:$J$210,'Rate Log'!$J$210,$V$3806:$V4009,$V4009,$U$3806:$U4009,$U4009))</f>
        <v>0</v>
      </c>
      <c r="AC4009" s="75">
        <f t="shared" si="1498"/>
        <v>0</v>
      </c>
      <c r="AE4009" s="74" t="str">
        <f>IF('Rate Log'!$C$210="","",IF('Rate Log'!$E$210="planned",EDATE('Rate Log'!$C$210,N(INDEX(sc_shift,4))),'Rate Log'!$C$210))</f>
        <v/>
      </c>
      <c r="AF4009" s="74" t="str">
        <f t="shared" si="1499"/>
        <v/>
      </c>
      <c r="AG4009" s="72">
        <f>IF(N(INDEX(sc_ach,4))=0,IF('Rate Log'!$G$210="",1,'Rate Log'!$G$210),INDEX(sc_ach,4))</f>
        <v>1</v>
      </c>
      <c r="AH4009" s="72">
        <f>IF('Rate Log'!$C$210="",0,IF('Rate Log'!$E$210="planned",('Rate Log'!$D$210+N(INDEX(sc_dpts,4)))*$AG4009,'Rate Log'!$D$210))</f>
        <v>0</v>
      </c>
      <c r="AI4009" s="73">
        <f>IF('Rate Log'!$C$210="",0,IF(1+$AH4009&gt;0,LN(1+$AH4009),0))</f>
        <v>0</v>
      </c>
      <c r="AJ4009" s="75">
        <f t="shared" si="1500"/>
        <v>0</v>
      </c>
      <c r="AK4009" s="75">
        <f>IF($AE4009="",0,COUNTIFS(rl_key,'Rate Log'!$J$210,$AF$3806:$AF$4045,$AF4009,$AE$3806:$AE$4045,"&lt;"&amp;$AE4009))</f>
        <v>0</v>
      </c>
      <c r="AL4009" s="75">
        <f>IF($AE4009="",0,COUNTIFS('Rate Log'!$J$7:$J$210,'Rate Log'!$J$210,$AF$3806:$AF4009,$AF4009,$AE$3806:$AE4009,$AE4009))</f>
        <v>0</v>
      </c>
      <c r="AM4009" s="75">
        <f t="shared" si="1501"/>
        <v>0</v>
      </c>
    </row>
    <row r="4010" spans="1:39" x14ac:dyDescent="0.3">
      <c r="A4010" s="74" t="str">
        <f>IF('Rate Log'!$C$211="","",IF('Rate Log'!$E$211="planned",EDATE('Rate Log'!$C$211,N(INDEX(sc_shift,1))),'Rate Log'!$C$211))</f>
        <v/>
      </c>
      <c r="B4010" s="74" t="str">
        <f t="shared" si="1490"/>
        <v/>
      </c>
      <c r="C4010" s="72">
        <f>IF(N(INDEX(sc_ach,1))=0,IF('Rate Log'!$G$211="",1,'Rate Log'!$G$211),INDEX(sc_ach,1))</f>
        <v>1</v>
      </c>
      <c r="D4010" s="72">
        <f>IF('Rate Log'!$C$211="",0,IF('Rate Log'!$E$211="planned",('Rate Log'!$D$211+N(INDEX(sc_dpts,1)))*$C4010,'Rate Log'!$D$211))</f>
        <v>0</v>
      </c>
      <c r="E4010" s="73">
        <f>IF('Rate Log'!$C$211="",0,IF(1+$D4010&gt;0,LN(1+$D4010),0))</f>
        <v>0</v>
      </c>
      <c r="F4010" s="75">
        <f t="shared" si="1491"/>
        <v>0</v>
      </c>
      <c r="G4010" s="75">
        <f>IF($A4010="",0,COUNTIFS(rl_key,'Rate Log'!$J$211,$B$3806:$B$4045,$B4010,$A$3806:$A$4045,"&lt;"&amp;$A4010))</f>
        <v>0</v>
      </c>
      <c r="H4010" s="75">
        <f>IF($A4010="",0,COUNTIFS('Rate Log'!$J$7:$J$211,'Rate Log'!$J$211,$B$3806:$B4010,$B4010,$A$3806:$A4010,$A4010))</f>
        <v>0</v>
      </c>
      <c r="I4010" s="75">
        <f t="shared" si="1492"/>
        <v>0</v>
      </c>
      <c r="K4010" s="74" t="str">
        <f>IF('Rate Log'!$C$211="","",IF('Rate Log'!$E$211="planned",EDATE('Rate Log'!$C$211,N(INDEX(sc_shift,2))),'Rate Log'!$C$211))</f>
        <v/>
      </c>
      <c r="L4010" s="74" t="str">
        <f t="shared" si="1493"/>
        <v/>
      </c>
      <c r="M4010" s="72">
        <f>IF(N(INDEX(sc_ach,2))=0,IF('Rate Log'!$G$211="",1,'Rate Log'!$G$211),INDEX(sc_ach,2))</f>
        <v>1</v>
      </c>
      <c r="N4010" s="72">
        <f>IF('Rate Log'!$C$211="",0,IF('Rate Log'!$E$211="planned",('Rate Log'!$D$211+N(INDEX(sc_dpts,2)))*$M4010,'Rate Log'!$D$211))</f>
        <v>0</v>
      </c>
      <c r="O4010" s="73">
        <f>IF('Rate Log'!$C$211="",0,IF(1+$N4010&gt;0,LN(1+$N4010),0))</f>
        <v>0</v>
      </c>
      <c r="P4010" s="75">
        <f t="shared" si="1494"/>
        <v>0</v>
      </c>
      <c r="Q4010" s="75">
        <f>IF($K4010="",0,COUNTIFS(rl_key,'Rate Log'!$J$211,$L$3806:$L$4045,$L4010,$K$3806:$K$4045,"&lt;"&amp;$K4010))</f>
        <v>0</v>
      </c>
      <c r="R4010" s="75">
        <f>IF($K4010="",0,COUNTIFS('Rate Log'!$J$7:$J$211,'Rate Log'!$J$211,$L$3806:$L4010,$L4010,$K$3806:$K4010,$K4010))</f>
        <v>0</v>
      </c>
      <c r="S4010" s="75">
        <f t="shared" si="1495"/>
        <v>0</v>
      </c>
      <c r="U4010" s="74" t="str">
        <f>IF('Rate Log'!$C$211="","",IF('Rate Log'!$E$211="planned",EDATE('Rate Log'!$C$211,N(INDEX(sc_shift,3))),'Rate Log'!$C$211))</f>
        <v/>
      </c>
      <c r="V4010" s="74" t="str">
        <f t="shared" si="1496"/>
        <v/>
      </c>
      <c r="W4010" s="72">
        <f>IF(N(INDEX(sc_ach,3))=0,IF('Rate Log'!$G$211="",1,'Rate Log'!$G$211),INDEX(sc_ach,3))</f>
        <v>1</v>
      </c>
      <c r="X4010" s="72">
        <f>IF('Rate Log'!$C$211="",0,IF('Rate Log'!$E$211="planned",('Rate Log'!$D$211+N(INDEX(sc_dpts,3)))*$W4010,'Rate Log'!$D$211))</f>
        <v>0</v>
      </c>
      <c r="Y4010" s="73">
        <f>IF('Rate Log'!$C$211="",0,IF(1+$X4010&gt;0,LN(1+$X4010),0))</f>
        <v>0</v>
      </c>
      <c r="Z4010" s="75">
        <f t="shared" si="1497"/>
        <v>0</v>
      </c>
      <c r="AA4010" s="75">
        <f>IF($U4010="",0,COUNTIFS(rl_key,'Rate Log'!$J$211,$V$3806:$V$4045,$V4010,$U$3806:$U$4045,"&lt;"&amp;$U4010))</f>
        <v>0</v>
      </c>
      <c r="AB4010" s="75">
        <f>IF($U4010="",0,COUNTIFS('Rate Log'!$J$7:$J$211,'Rate Log'!$J$211,$V$3806:$V4010,$V4010,$U$3806:$U4010,$U4010))</f>
        <v>0</v>
      </c>
      <c r="AC4010" s="75">
        <f t="shared" si="1498"/>
        <v>0</v>
      </c>
      <c r="AE4010" s="74" t="str">
        <f>IF('Rate Log'!$C$211="","",IF('Rate Log'!$E$211="planned",EDATE('Rate Log'!$C$211,N(INDEX(sc_shift,4))),'Rate Log'!$C$211))</f>
        <v/>
      </c>
      <c r="AF4010" s="74" t="str">
        <f t="shared" si="1499"/>
        <v/>
      </c>
      <c r="AG4010" s="72">
        <f>IF(N(INDEX(sc_ach,4))=0,IF('Rate Log'!$G$211="",1,'Rate Log'!$G$211),INDEX(sc_ach,4))</f>
        <v>1</v>
      </c>
      <c r="AH4010" s="72">
        <f>IF('Rate Log'!$C$211="",0,IF('Rate Log'!$E$211="planned",('Rate Log'!$D$211+N(INDEX(sc_dpts,4)))*$AG4010,'Rate Log'!$D$211))</f>
        <v>0</v>
      </c>
      <c r="AI4010" s="73">
        <f>IF('Rate Log'!$C$211="",0,IF(1+$AH4010&gt;0,LN(1+$AH4010),0))</f>
        <v>0</v>
      </c>
      <c r="AJ4010" s="75">
        <f t="shared" si="1500"/>
        <v>0</v>
      </c>
      <c r="AK4010" s="75">
        <f>IF($AE4010="",0,COUNTIFS(rl_key,'Rate Log'!$J$211,$AF$3806:$AF$4045,$AF4010,$AE$3806:$AE$4045,"&lt;"&amp;$AE4010))</f>
        <v>0</v>
      </c>
      <c r="AL4010" s="75">
        <f>IF($AE4010="",0,COUNTIFS('Rate Log'!$J$7:$J$211,'Rate Log'!$J$211,$AF$3806:$AF4010,$AF4010,$AE$3806:$AE4010,$AE4010))</f>
        <v>0</v>
      </c>
      <c r="AM4010" s="75">
        <f t="shared" si="1501"/>
        <v>0</v>
      </c>
    </row>
    <row r="4011" spans="1:39" x14ac:dyDescent="0.3">
      <c r="A4011" s="74" t="str">
        <f>IF('Rate Log'!$C$212="","",IF('Rate Log'!$E$212="planned",EDATE('Rate Log'!$C$212,N(INDEX(sc_shift,1))),'Rate Log'!$C$212))</f>
        <v/>
      </c>
      <c r="B4011" s="74" t="str">
        <f t="shared" si="1490"/>
        <v/>
      </c>
      <c r="C4011" s="72">
        <f>IF(N(INDEX(sc_ach,1))=0,IF('Rate Log'!$G$212="",1,'Rate Log'!$G$212),INDEX(sc_ach,1))</f>
        <v>1</v>
      </c>
      <c r="D4011" s="72">
        <f>IF('Rate Log'!$C$212="",0,IF('Rate Log'!$E$212="planned",('Rate Log'!$D$212+N(INDEX(sc_dpts,1)))*$C4011,'Rate Log'!$D$212))</f>
        <v>0</v>
      </c>
      <c r="E4011" s="73">
        <f>IF('Rate Log'!$C$212="",0,IF(1+$D4011&gt;0,LN(1+$D4011),0))</f>
        <v>0</v>
      </c>
      <c r="F4011" s="75">
        <f t="shared" si="1491"/>
        <v>0</v>
      </c>
      <c r="G4011" s="75">
        <f>IF($A4011="",0,COUNTIFS(rl_key,'Rate Log'!$J$212,$B$3806:$B$4045,$B4011,$A$3806:$A$4045,"&lt;"&amp;$A4011))</f>
        <v>0</v>
      </c>
      <c r="H4011" s="75">
        <f>IF($A4011="",0,COUNTIFS('Rate Log'!$J$7:$J$212,'Rate Log'!$J$212,$B$3806:$B4011,$B4011,$A$3806:$A4011,$A4011))</f>
        <v>0</v>
      </c>
      <c r="I4011" s="75">
        <f t="shared" si="1492"/>
        <v>0</v>
      </c>
      <c r="K4011" s="74" t="str">
        <f>IF('Rate Log'!$C$212="","",IF('Rate Log'!$E$212="planned",EDATE('Rate Log'!$C$212,N(INDEX(sc_shift,2))),'Rate Log'!$C$212))</f>
        <v/>
      </c>
      <c r="L4011" s="74" t="str">
        <f t="shared" si="1493"/>
        <v/>
      </c>
      <c r="M4011" s="72">
        <f>IF(N(INDEX(sc_ach,2))=0,IF('Rate Log'!$G$212="",1,'Rate Log'!$G$212),INDEX(sc_ach,2))</f>
        <v>1</v>
      </c>
      <c r="N4011" s="72">
        <f>IF('Rate Log'!$C$212="",0,IF('Rate Log'!$E$212="planned",('Rate Log'!$D$212+N(INDEX(sc_dpts,2)))*$M4011,'Rate Log'!$D$212))</f>
        <v>0</v>
      </c>
      <c r="O4011" s="73">
        <f>IF('Rate Log'!$C$212="",0,IF(1+$N4011&gt;0,LN(1+$N4011),0))</f>
        <v>0</v>
      </c>
      <c r="P4011" s="75">
        <f t="shared" si="1494"/>
        <v>0</v>
      </c>
      <c r="Q4011" s="75">
        <f>IF($K4011="",0,COUNTIFS(rl_key,'Rate Log'!$J$212,$L$3806:$L$4045,$L4011,$K$3806:$K$4045,"&lt;"&amp;$K4011))</f>
        <v>0</v>
      </c>
      <c r="R4011" s="75">
        <f>IF($K4011="",0,COUNTIFS('Rate Log'!$J$7:$J$212,'Rate Log'!$J$212,$L$3806:$L4011,$L4011,$K$3806:$K4011,$K4011))</f>
        <v>0</v>
      </c>
      <c r="S4011" s="75">
        <f t="shared" si="1495"/>
        <v>0</v>
      </c>
      <c r="U4011" s="74" t="str">
        <f>IF('Rate Log'!$C$212="","",IF('Rate Log'!$E$212="planned",EDATE('Rate Log'!$C$212,N(INDEX(sc_shift,3))),'Rate Log'!$C$212))</f>
        <v/>
      </c>
      <c r="V4011" s="74" t="str">
        <f t="shared" si="1496"/>
        <v/>
      </c>
      <c r="W4011" s="72">
        <f>IF(N(INDEX(sc_ach,3))=0,IF('Rate Log'!$G$212="",1,'Rate Log'!$G$212),INDEX(sc_ach,3))</f>
        <v>1</v>
      </c>
      <c r="X4011" s="72">
        <f>IF('Rate Log'!$C$212="",0,IF('Rate Log'!$E$212="planned",('Rate Log'!$D$212+N(INDEX(sc_dpts,3)))*$W4011,'Rate Log'!$D$212))</f>
        <v>0</v>
      </c>
      <c r="Y4011" s="73">
        <f>IF('Rate Log'!$C$212="",0,IF(1+$X4011&gt;0,LN(1+$X4011),0))</f>
        <v>0</v>
      </c>
      <c r="Z4011" s="75">
        <f t="shared" si="1497"/>
        <v>0</v>
      </c>
      <c r="AA4011" s="75">
        <f>IF($U4011="",0,COUNTIFS(rl_key,'Rate Log'!$J$212,$V$3806:$V$4045,$V4011,$U$3806:$U$4045,"&lt;"&amp;$U4011))</f>
        <v>0</v>
      </c>
      <c r="AB4011" s="75">
        <f>IF($U4011="",0,COUNTIFS('Rate Log'!$J$7:$J$212,'Rate Log'!$J$212,$V$3806:$V4011,$V4011,$U$3806:$U4011,$U4011))</f>
        <v>0</v>
      </c>
      <c r="AC4011" s="75">
        <f t="shared" si="1498"/>
        <v>0</v>
      </c>
      <c r="AE4011" s="74" t="str">
        <f>IF('Rate Log'!$C$212="","",IF('Rate Log'!$E$212="planned",EDATE('Rate Log'!$C$212,N(INDEX(sc_shift,4))),'Rate Log'!$C$212))</f>
        <v/>
      </c>
      <c r="AF4011" s="74" t="str">
        <f t="shared" si="1499"/>
        <v/>
      </c>
      <c r="AG4011" s="72">
        <f>IF(N(INDEX(sc_ach,4))=0,IF('Rate Log'!$G$212="",1,'Rate Log'!$G$212),INDEX(sc_ach,4))</f>
        <v>1</v>
      </c>
      <c r="AH4011" s="72">
        <f>IF('Rate Log'!$C$212="",0,IF('Rate Log'!$E$212="planned",('Rate Log'!$D$212+N(INDEX(sc_dpts,4)))*$AG4011,'Rate Log'!$D$212))</f>
        <v>0</v>
      </c>
      <c r="AI4011" s="73">
        <f>IF('Rate Log'!$C$212="",0,IF(1+$AH4011&gt;0,LN(1+$AH4011),0))</f>
        <v>0</v>
      </c>
      <c r="AJ4011" s="75">
        <f t="shared" si="1500"/>
        <v>0</v>
      </c>
      <c r="AK4011" s="75">
        <f>IF($AE4011="",0,COUNTIFS(rl_key,'Rate Log'!$J$212,$AF$3806:$AF$4045,$AF4011,$AE$3806:$AE$4045,"&lt;"&amp;$AE4011))</f>
        <v>0</v>
      </c>
      <c r="AL4011" s="75">
        <f>IF($AE4011="",0,COUNTIFS('Rate Log'!$J$7:$J$212,'Rate Log'!$J$212,$AF$3806:$AF4011,$AF4011,$AE$3806:$AE4011,$AE4011))</f>
        <v>0</v>
      </c>
      <c r="AM4011" s="75">
        <f t="shared" si="1501"/>
        <v>0</v>
      </c>
    </row>
    <row r="4012" spans="1:39" x14ac:dyDescent="0.3">
      <c r="A4012" s="74" t="str">
        <f>IF('Rate Log'!$C$213="","",IF('Rate Log'!$E$213="planned",EDATE('Rate Log'!$C$213,N(INDEX(sc_shift,1))),'Rate Log'!$C$213))</f>
        <v/>
      </c>
      <c r="B4012" s="74" t="str">
        <f t="shared" si="1490"/>
        <v/>
      </c>
      <c r="C4012" s="72">
        <f>IF(N(INDEX(sc_ach,1))=0,IF('Rate Log'!$G$213="",1,'Rate Log'!$G$213),INDEX(sc_ach,1))</f>
        <v>1</v>
      </c>
      <c r="D4012" s="72">
        <f>IF('Rate Log'!$C$213="",0,IF('Rate Log'!$E$213="planned",('Rate Log'!$D$213+N(INDEX(sc_dpts,1)))*$C4012,'Rate Log'!$D$213))</f>
        <v>0</v>
      </c>
      <c r="E4012" s="73">
        <f>IF('Rate Log'!$C$213="",0,IF(1+$D4012&gt;0,LN(1+$D4012),0))</f>
        <v>0</v>
      </c>
      <c r="F4012" s="75">
        <f t="shared" si="1491"/>
        <v>0</v>
      </c>
      <c r="G4012" s="75">
        <f>IF($A4012="",0,COUNTIFS(rl_key,'Rate Log'!$J$213,$B$3806:$B$4045,$B4012,$A$3806:$A$4045,"&lt;"&amp;$A4012))</f>
        <v>0</v>
      </c>
      <c r="H4012" s="75">
        <f>IF($A4012="",0,COUNTIFS('Rate Log'!$J$7:$J$213,'Rate Log'!$J$213,$B$3806:$B4012,$B4012,$A$3806:$A4012,$A4012))</f>
        <v>0</v>
      </c>
      <c r="I4012" s="75">
        <f t="shared" si="1492"/>
        <v>0</v>
      </c>
      <c r="K4012" s="74" t="str">
        <f>IF('Rate Log'!$C$213="","",IF('Rate Log'!$E$213="planned",EDATE('Rate Log'!$C$213,N(INDEX(sc_shift,2))),'Rate Log'!$C$213))</f>
        <v/>
      </c>
      <c r="L4012" s="74" t="str">
        <f t="shared" si="1493"/>
        <v/>
      </c>
      <c r="M4012" s="72">
        <f>IF(N(INDEX(sc_ach,2))=0,IF('Rate Log'!$G$213="",1,'Rate Log'!$G$213),INDEX(sc_ach,2))</f>
        <v>1</v>
      </c>
      <c r="N4012" s="72">
        <f>IF('Rate Log'!$C$213="",0,IF('Rate Log'!$E$213="planned",('Rate Log'!$D$213+N(INDEX(sc_dpts,2)))*$M4012,'Rate Log'!$D$213))</f>
        <v>0</v>
      </c>
      <c r="O4012" s="73">
        <f>IF('Rate Log'!$C$213="",0,IF(1+$N4012&gt;0,LN(1+$N4012),0))</f>
        <v>0</v>
      </c>
      <c r="P4012" s="75">
        <f t="shared" si="1494"/>
        <v>0</v>
      </c>
      <c r="Q4012" s="75">
        <f>IF($K4012="",0,COUNTIFS(rl_key,'Rate Log'!$J$213,$L$3806:$L$4045,$L4012,$K$3806:$K$4045,"&lt;"&amp;$K4012))</f>
        <v>0</v>
      </c>
      <c r="R4012" s="75">
        <f>IF($K4012="",0,COUNTIFS('Rate Log'!$J$7:$J$213,'Rate Log'!$J$213,$L$3806:$L4012,$L4012,$K$3806:$K4012,$K4012))</f>
        <v>0</v>
      </c>
      <c r="S4012" s="75">
        <f t="shared" si="1495"/>
        <v>0</v>
      </c>
      <c r="U4012" s="74" t="str">
        <f>IF('Rate Log'!$C$213="","",IF('Rate Log'!$E$213="planned",EDATE('Rate Log'!$C$213,N(INDEX(sc_shift,3))),'Rate Log'!$C$213))</f>
        <v/>
      </c>
      <c r="V4012" s="74" t="str">
        <f t="shared" si="1496"/>
        <v/>
      </c>
      <c r="W4012" s="72">
        <f>IF(N(INDEX(sc_ach,3))=0,IF('Rate Log'!$G$213="",1,'Rate Log'!$G$213),INDEX(sc_ach,3))</f>
        <v>1</v>
      </c>
      <c r="X4012" s="72">
        <f>IF('Rate Log'!$C$213="",0,IF('Rate Log'!$E$213="planned",('Rate Log'!$D$213+N(INDEX(sc_dpts,3)))*$W4012,'Rate Log'!$D$213))</f>
        <v>0</v>
      </c>
      <c r="Y4012" s="73">
        <f>IF('Rate Log'!$C$213="",0,IF(1+$X4012&gt;0,LN(1+$X4012),0))</f>
        <v>0</v>
      </c>
      <c r="Z4012" s="75">
        <f t="shared" si="1497"/>
        <v>0</v>
      </c>
      <c r="AA4012" s="75">
        <f>IF($U4012="",0,COUNTIFS(rl_key,'Rate Log'!$J$213,$V$3806:$V$4045,$V4012,$U$3806:$U$4045,"&lt;"&amp;$U4012))</f>
        <v>0</v>
      </c>
      <c r="AB4012" s="75">
        <f>IF($U4012="",0,COUNTIFS('Rate Log'!$J$7:$J$213,'Rate Log'!$J$213,$V$3806:$V4012,$V4012,$U$3806:$U4012,$U4012))</f>
        <v>0</v>
      </c>
      <c r="AC4012" s="75">
        <f t="shared" si="1498"/>
        <v>0</v>
      </c>
      <c r="AE4012" s="74" t="str">
        <f>IF('Rate Log'!$C$213="","",IF('Rate Log'!$E$213="planned",EDATE('Rate Log'!$C$213,N(INDEX(sc_shift,4))),'Rate Log'!$C$213))</f>
        <v/>
      </c>
      <c r="AF4012" s="74" t="str">
        <f t="shared" si="1499"/>
        <v/>
      </c>
      <c r="AG4012" s="72">
        <f>IF(N(INDEX(sc_ach,4))=0,IF('Rate Log'!$G$213="",1,'Rate Log'!$G$213),INDEX(sc_ach,4))</f>
        <v>1</v>
      </c>
      <c r="AH4012" s="72">
        <f>IF('Rate Log'!$C$213="",0,IF('Rate Log'!$E$213="planned",('Rate Log'!$D$213+N(INDEX(sc_dpts,4)))*$AG4012,'Rate Log'!$D$213))</f>
        <v>0</v>
      </c>
      <c r="AI4012" s="73">
        <f>IF('Rate Log'!$C$213="",0,IF(1+$AH4012&gt;0,LN(1+$AH4012),0))</f>
        <v>0</v>
      </c>
      <c r="AJ4012" s="75">
        <f t="shared" si="1500"/>
        <v>0</v>
      </c>
      <c r="AK4012" s="75">
        <f>IF($AE4012="",0,COUNTIFS(rl_key,'Rate Log'!$J$213,$AF$3806:$AF$4045,$AF4012,$AE$3806:$AE$4045,"&lt;"&amp;$AE4012))</f>
        <v>0</v>
      </c>
      <c r="AL4012" s="75">
        <f>IF($AE4012="",0,COUNTIFS('Rate Log'!$J$7:$J$213,'Rate Log'!$J$213,$AF$3806:$AF4012,$AF4012,$AE$3806:$AE4012,$AE4012))</f>
        <v>0</v>
      </c>
      <c r="AM4012" s="75">
        <f t="shared" si="1501"/>
        <v>0</v>
      </c>
    </row>
    <row r="4013" spans="1:39" x14ac:dyDescent="0.3">
      <c r="A4013" s="74" t="str">
        <f>IF('Rate Log'!$C$214="","",IF('Rate Log'!$E$214="planned",EDATE('Rate Log'!$C$214,N(INDEX(sc_shift,1))),'Rate Log'!$C$214))</f>
        <v/>
      </c>
      <c r="B4013" s="74" t="str">
        <f t="shared" si="1490"/>
        <v/>
      </c>
      <c r="C4013" s="72">
        <f>IF(N(INDEX(sc_ach,1))=0,IF('Rate Log'!$G$214="",1,'Rate Log'!$G$214),INDEX(sc_ach,1))</f>
        <v>1</v>
      </c>
      <c r="D4013" s="72">
        <f>IF('Rate Log'!$C$214="",0,IF('Rate Log'!$E$214="planned",('Rate Log'!$D$214+N(INDEX(sc_dpts,1)))*$C4013,'Rate Log'!$D$214))</f>
        <v>0</v>
      </c>
      <c r="E4013" s="73">
        <f>IF('Rate Log'!$C$214="",0,IF(1+$D4013&gt;0,LN(1+$D4013),0))</f>
        <v>0</v>
      </c>
      <c r="F4013" s="75">
        <f t="shared" si="1491"/>
        <v>0</v>
      </c>
      <c r="G4013" s="75">
        <f>IF($A4013="",0,COUNTIFS(rl_key,'Rate Log'!$J$214,$B$3806:$B$4045,$B4013,$A$3806:$A$4045,"&lt;"&amp;$A4013))</f>
        <v>0</v>
      </c>
      <c r="H4013" s="75">
        <f>IF($A4013="",0,COUNTIFS('Rate Log'!$J$7:$J$214,'Rate Log'!$J$214,$B$3806:$B4013,$B4013,$A$3806:$A4013,$A4013))</f>
        <v>0</v>
      </c>
      <c r="I4013" s="75">
        <f t="shared" si="1492"/>
        <v>0</v>
      </c>
      <c r="K4013" s="74" t="str">
        <f>IF('Rate Log'!$C$214="","",IF('Rate Log'!$E$214="planned",EDATE('Rate Log'!$C$214,N(INDEX(sc_shift,2))),'Rate Log'!$C$214))</f>
        <v/>
      </c>
      <c r="L4013" s="74" t="str">
        <f t="shared" si="1493"/>
        <v/>
      </c>
      <c r="M4013" s="72">
        <f>IF(N(INDEX(sc_ach,2))=0,IF('Rate Log'!$G$214="",1,'Rate Log'!$G$214),INDEX(sc_ach,2))</f>
        <v>1</v>
      </c>
      <c r="N4013" s="72">
        <f>IF('Rate Log'!$C$214="",0,IF('Rate Log'!$E$214="planned",('Rate Log'!$D$214+N(INDEX(sc_dpts,2)))*$M4013,'Rate Log'!$D$214))</f>
        <v>0</v>
      </c>
      <c r="O4013" s="73">
        <f>IF('Rate Log'!$C$214="",0,IF(1+$N4013&gt;0,LN(1+$N4013),0))</f>
        <v>0</v>
      </c>
      <c r="P4013" s="75">
        <f t="shared" si="1494"/>
        <v>0</v>
      </c>
      <c r="Q4013" s="75">
        <f>IF($K4013="",0,COUNTIFS(rl_key,'Rate Log'!$J$214,$L$3806:$L$4045,$L4013,$K$3806:$K$4045,"&lt;"&amp;$K4013))</f>
        <v>0</v>
      </c>
      <c r="R4013" s="75">
        <f>IF($K4013="",0,COUNTIFS('Rate Log'!$J$7:$J$214,'Rate Log'!$J$214,$L$3806:$L4013,$L4013,$K$3806:$K4013,$K4013))</f>
        <v>0</v>
      </c>
      <c r="S4013" s="75">
        <f t="shared" si="1495"/>
        <v>0</v>
      </c>
      <c r="U4013" s="74" t="str">
        <f>IF('Rate Log'!$C$214="","",IF('Rate Log'!$E$214="planned",EDATE('Rate Log'!$C$214,N(INDEX(sc_shift,3))),'Rate Log'!$C$214))</f>
        <v/>
      </c>
      <c r="V4013" s="74" t="str">
        <f t="shared" si="1496"/>
        <v/>
      </c>
      <c r="W4013" s="72">
        <f>IF(N(INDEX(sc_ach,3))=0,IF('Rate Log'!$G$214="",1,'Rate Log'!$G$214),INDEX(sc_ach,3))</f>
        <v>1</v>
      </c>
      <c r="X4013" s="72">
        <f>IF('Rate Log'!$C$214="",0,IF('Rate Log'!$E$214="planned",('Rate Log'!$D$214+N(INDEX(sc_dpts,3)))*$W4013,'Rate Log'!$D$214))</f>
        <v>0</v>
      </c>
      <c r="Y4013" s="73">
        <f>IF('Rate Log'!$C$214="",0,IF(1+$X4013&gt;0,LN(1+$X4013),0))</f>
        <v>0</v>
      </c>
      <c r="Z4013" s="75">
        <f t="shared" si="1497"/>
        <v>0</v>
      </c>
      <c r="AA4013" s="75">
        <f>IF($U4013="",0,COUNTIFS(rl_key,'Rate Log'!$J$214,$V$3806:$V$4045,$V4013,$U$3806:$U$4045,"&lt;"&amp;$U4013))</f>
        <v>0</v>
      </c>
      <c r="AB4013" s="75">
        <f>IF($U4013="",0,COUNTIFS('Rate Log'!$J$7:$J$214,'Rate Log'!$J$214,$V$3806:$V4013,$V4013,$U$3806:$U4013,$U4013))</f>
        <v>0</v>
      </c>
      <c r="AC4013" s="75">
        <f t="shared" si="1498"/>
        <v>0</v>
      </c>
      <c r="AE4013" s="74" t="str">
        <f>IF('Rate Log'!$C$214="","",IF('Rate Log'!$E$214="planned",EDATE('Rate Log'!$C$214,N(INDEX(sc_shift,4))),'Rate Log'!$C$214))</f>
        <v/>
      </c>
      <c r="AF4013" s="74" t="str">
        <f t="shared" si="1499"/>
        <v/>
      </c>
      <c r="AG4013" s="72">
        <f>IF(N(INDEX(sc_ach,4))=0,IF('Rate Log'!$G$214="",1,'Rate Log'!$G$214),INDEX(sc_ach,4))</f>
        <v>1</v>
      </c>
      <c r="AH4013" s="72">
        <f>IF('Rate Log'!$C$214="",0,IF('Rate Log'!$E$214="planned",('Rate Log'!$D$214+N(INDEX(sc_dpts,4)))*$AG4013,'Rate Log'!$D$214))</f>
        <v>0</v>
      </c>
      <c r="AI4013" s="73">
        <f>IF('Rate Log'!$C$214="",0,IF(1+$AH4013&gt;0,LN(1+$AH4013),0))</f>
        <v>0</v>
      </c>
      <c r="AJ4013" s="75">
        <f t="shared" si="1500"/>
        <v>0</v>
      </c>
      <c r="AK4013" s="75">
        <f>IF($AE4013="",0,COUNTIFS(rl_key,'Rate Log'!$J$214,$AF$3806:$AF$4045,$AF4013,$AE$3806:$AE$4045,"&lt;"&amp;$AE4013))</f>
        <v>0</v>
      </c>
      <c r="AL4013" s="75">
        <f>IF($AE4013="",0,COUNTIFS('Rate Log'!$J$7:$J$214,'Rate Log'!$J$214,$AF$3806:$AF4013,$AF4013,$AE$3806:$AE4013,$AE4013))</f>
        <v>0</v>
      </c>
      <c r="AM4013" s="75">
        <f t="shared" si="1501"/>
        <v>0</v>
      </c>
    </row>
    <row r="4014" spans="1:39" x14ac:dyDescent="0.3">
      <c r="A4014" s="74" t="str">
        <f>IF('Rate Log'!$C$215="","",IF('Rate Log'!$E$215="planned",EDATE('Rate Log'!$C$215,N(INDEX(sc_shift,1))),'Rate Log'!$C$215))</f>
        <v/>
      </c>
      <c r="B4014" s="74" t="str">
        <f t="shared" si="1490"/>
        <v/>
      </c>
      <c r="C4014" s="72">
        <f>IF(N(INDEX(sc_ach,1))=0,IF('Rate Log'!$G$215="",1,'Rate Log'!$G$215),INDEX(sc_ach,1))</f>
        <v>1</v>
      </c>
      <c r="D4014" s="72">
        <f>IF('Rate Log'!$C$215="",0,IF('Rate Log'!$E$215="planned",('Rate Log'!$D$215+N(INDEX(sc_dpts,1)))*$C4014,'Rate Log'!$D$215))</f>
        <v>0</v>
      </c>
      <c r="E4014" s="73">
        <f>IF('Rate Log'!$C$215="",0,IF(1+$D4014&gt;0,LN(1+$D4014),0))</f>
        <v>0</v>
      </c>
      <c r="F4014" s="75">
        <f t="shared" si="1491"/>
        <v>0</v>
      </c>
      <c r="G4014" s="75">
        <f>IF($A4014="",0,COUNTIFS(rl_key,'Rate Log'!$J$215,$B$3806:$B$4045,$B4014,$A$3806:$A$4045,"&lt;"&amp;$A4014))</f>
        <v>0</v>
      </c>
      <c r="H4014" s="75">
        <f>IF($A4014="",0,COUNTIFS('Rate Log'!$J$7:$J$215,'Rate Log'!$J$215,$B$3806:$B4014,$B4014,$A$3806:$A4014,$A4014))</f>
        <v>0</v>
      </c>
      <c r="I4014" s="75">
        <f t="shared" si="1492"/>
        <v>0</v>
      </c>
      <c r="K4014" s="74" t="str">
        <f>IF('Rate Log'!$C$215="","",IF('Rate Log'!$E$215="planned",EDATE('Rate Log'!$C$215,N(INDEX(sc_shift,2))),'Rate Log'!$C$215))</f>
        <v/>
      </c>
      <c r="L4014" s="74" t="str">
        <f t="shared" si="1493"/>
        <v/>
      </c>
      <c r="M4014" s="72">
        <f>IF(N(INDEX(sc_ach,2))=0,IF('Rate Log'!$G$215="",1,'Rate Log'!$G$215),INDEX(sc_ach,2))</f>
        <v>1</v>
      </c>
      <c r="N4014" s="72">
        <f>IF('Rate Log'!$C$215="",0,IF('Rate Log'!$E$215="planned",('Rate Log'!$D$215+N(INDEX(sc_dpts,2)))*$M4014,'Rate Log'!$D$215))</f>
        <v>0</v>
      </c>
      <c r="O4014" s="73">
        <f>IF('Rate Log'!$C$215="",0,IF(1+$N4014&gt;0,LN(1+$N4014),0))</f>
        <v>0</v>
      </c>
      <c r="P4014" s="75">
        <f t="shared" si="1494"/>
        <v>0</v>
      </c>
      <c r="Q4014" s="75">
        <f>IF($K4014="",0,COUNTIFS(rl_key,'Rate Log'!$J$215,$L$3806:$L$4045,$L4014,$K$3806:$K$4045,"&lt;"&amp;$K4014))</f>
        <v>0</v>
      </c>
      <c r="R4014" s="75">
        <f>IF($K4014="",0,COUNTIFS('Rate Log'!$J$7:$J$215,'Rate Log'!$J$215,$L$3806:$L4014,$L4014,$K$3806:$K4014,$K4014))</f>
        <v>0</v>
      </c>
      <c r="S4014" s="75">
        <f t="shared" si="1495"/>
        <v>0</v>
      </c>
      <c r="U4014" s="74" t="str">
        <f>IF('Rate Log'!$C$215="","",IF('Rate Log'!$E$215="planned",EDATE('Rate Log'!$C$215,N(INDEX(sc_shift,3))),'Rate Log'!$C$215))</f>
        <v/>
      </c>
      <c r="V4014" s="74" t="str">
        <f t="shared" si="1496"/>
        <v/>
      </c>
      <c r="W4014" s="72">
        <f>IF(N(INDEX(sc_ach,3))=0,IF('Rate Log'!$G$215="",1,'Rate Log'!$G$215),INDEX(sc_ach,3))</f>
        <v>1</v>
      </c>
      <c r="X4014" s="72">
        <f>IF('Rate Log'!$C$215="",0,IF('Rate Log'!$E$215="planned",('Rate Log'!$D$215+N(INDEX(sc_dpts,3)))*$W4014,'Rate Log'!$D$215))</f>
        <v>0</v>
      </c>
      <c r="Y4014" s="73">
        <f>IF('Rate Log'!$C$215="",0,IF(1+$X4014&gt;0,LN(1+$X4014),0))</f>
        <v>0</v>
      </c>
      <c r="Z4014" s="75">
        <f t="shared" si="1497"/>
        <v>0</v>
      </c>
      <c r="AA4014" s="75">
        <f>IF($U4014="",0,COUNTIFS(rl_key,'Rate Log'!$J$215,$V$3806:$V$4045,$V4014,$U$3806:$U$4045,"&lt;"&amp;$U4014))</f>
        <v>0</v>
      </c>
      <c r="AB4014" s="75">
        <f>IF($U4014="",0,COUNTIFS('Rate Log'!$J$7:$J$215,'Rate Log'!$J$215,$V$3806:$V4014,$V4014,$U$3806:$U4014,$U4014))</f>
        <v>0</v>
      </c>
      <c r="AC4014" s="75">
        <f t="shared" si="1498"/>
        <v>0</v>
      </c>
      <c r="AE4014" s="74" t="str">
        <f>IF('Rate Log'!$C$215="","",IF('Rate Log'!$E$215="planned",EDATE('Rate Log'!$C$215,N(INDEX(sc_shift,4))),'Rate Log'!$C$215))</f>
        <v/>
      </c>
      <c r="AF4014" s="74" t="str">
        <f t="shared" si="1499"/>
        <v/>
      </c>
      <c r="AG4014" s="72">
        <f>IF(N(INDEX(sc_ach,4))=0,IF('Rate Log'!$G$215="",1,'Rate Log'!$G$215),INDEX(sc_ach,4))</f>
        <v>1</v>
      </c>
      <c r="AH4014" s="72">
        <f>IF('Rate Log'!$C$215="",0,IF('Rate Log'!$E$215="planned",('Rate Log'!$D$215+N(INDEX(sc_dpts,4)))*$AG4014,'Rate Log'!$D$215))</f>
        <v>0</v>
      </c>
      <c r="AI4014" s="73">
        <f>IF('Rate Log'!$C$215="",0,IF(1+$AH4014&gt;0,LN(1+$AH4014),0))</f>
        <v>0</v>
      </c>
      <c r="AJ4014" s="75">
        <f t="shared" si="1500"/>
        <v>0</v>
      </c>
      <c r="AK4014" s="75">
        <f>IF($AE4014="",0,COUNTIFS(rl_key,'Rate Log'!$J$215,$AF$3806:$AF$4045,$AF4014,$AE$3806:$AE$4045,"&lt;"&amp;$AE4014))</f>
        <v>0</v>
      </c>
      <c r="AL4014" s="75">
        <f>IF($AE4014="",0,COUNTIFS('Rate Log'!$J$7:$J$215,'Rate Log'!$J$215,$AF$3806:$AF4014,$AF4014,$AE$3806:$AE4014,$AE4014))</f>
        <v>0</v>
      </c>
      <c r="AM4014" s="75">
        <f t="shared" si="1501"/>
        <v>0</v>
      </c>
    </row>
    <row r="4015" spans="1:39" x14ac:dyDescent="0.3">
      <c r="A4015" s="74" t="str">
        <f>IF('Rate Log'!$C$216="","",IF('Rate Log'!$E$216="planned",EDATE('Rate Log'!$C$216,N(INDEX(sc_shift,1))),'Rate Log'!$C$216))</f>
        <v/>
      </c>
      <c r="B4015" s="74" t="str">
        <f t="shared" si="1490"/>
        <v/>
      </c>
      <c r="C4015" s="72">
        <f>IF(N(INDEX(sc_ach,1))=0,IF('Rate Log'!$G$216="",1,'Rate Log'!$G$216),INDEX(sc_ach,1))</f>
        <v>1</v>
      </c>
      <c r="D4015" s="72">
        <f>IF('Rate Log'!$C$216="",0,IF('Rate Log'!$E$216="planned",('Rate Log'!$D$216+N(INDEX(sc_dpts,1)))*$C4015,'Rate Log'!$D$216))</f>
        <v>0</v>
      </c>
      <c r="E4015" s="73">
        <f>IF('Rate Log'!$C$216="",0,IF(1+$D4015&gt;0,LN(1+$D4015),0))</f>
        <v>0</v>
      </c>
      <c r="F4015" s="75">
        <f t="shared" si="1491"/>
        <v>0</v>
      </c>
      <c r="G4015" s="75">
        <f>IF($A4015="",0,COUNTIFS(rl_key,'Rate Log'!$J$216,$B$3806:$B$4045,$B4015,$A$3806:$A$4045,"&lt;"&amp;$A4015))</f>
        <v>0</v>
      </c>
      <c r="H4015" s="75">
        <f>IF($A4015="",0,COUNTIFS('Rate Log'!$J$7:$J$216,'Rate Log'!$J$216,$B$3806:$B4015,$B4015,$A$3806:$A4015,$A4015))</f>
        <v>0</v>
      </c>
      <c r="I4015" s="75">
        <f t="shared" si="1492"/>
        <v>0</v>
      </c>
      <c r="K4015" s="74" t="str">
        <f>IF('Rate Log'!$C$216="","",IF('Rate Log'!$E$216="planned",EDATE('Rate Log'!$C$216,N(INDEX(sc_shift,2))),'Rate Log'!$C$216))</f>
        <v/>
      </c>
      <c r="L4015" s="74" t="str">
        <f t="shared" si="1493"/>
        <v/>
      </c>
      <c r="M4015" s="72">
        <f>IF(N(INDEX(sc_ach,2))=0,IF('Rate Log'!$G$216="",1,'Rate Log'!$G$216),INDEX(sc_ach,2))</f>
        <v>1</v>
      </c>
      <c r="N4015" s="72">
        <f>IF('Rate Log'!$C$216="",0,IF('Rate Log'!$E$216="planned",('Rate Log'!$D$216+N(INDEX(sc_dpts,2)))*$M4015,'Rate Log'!$D$216))</f>
        <v>0</v>
      </c>
      <c r="O4015" s="73">
        <f>IF('Rate Log'!$C$216="",0,IF(1+$N4015&gt;0,LN(1+$N4015),0))</f>
        <v>0</v>
      </c>
      <c r="P4015" s="75">
        <f t="shared" si="1494"/>
        <v>0</v>
      </c>
      <c r="Q4015" s="75">
        <f>IF($K4015="",0,COUNTIFS(rl_key,'Rate Log'!$J$216,$L$3806:$L$4045,$L4015,$K$3806:$K$4045,"&lt;"&amp;$K4015))</f>
        <v>0</v>
      </c>
      <c r="R4015" s="75">
        <f>IF($K4015="",0,COUNTIFS('Rate Log'!$J$7:$J$216,'Rate Log'!$J$216,$L$3806:$L4015,$L4015,$K$3806:$K4015,$K4015))</f>
        <v>0</v>
      </c>
      <c r="S4015" s="75">
        <f t="shared" si="1495"/>
        <v>0</v>
      </c>
      <c r="U4015" s="74" t="str">
        <f>IF('Rate Log'!$C$216="","",IF('Rate Log'!$E$216="planned",EDATE('Rate Log'!$C$216,N(INDEX(sc_shift,3))),'Rate Log'!$C$216))</f>
        <v/>
      </c>
      <c r="V4015" s="74" t="str">
        <f t="shared" si="1496"/>
        <v/>
      </c>
      <c r="W4015" s="72">
        <f>IF(N(INDEX(sc_ach,3))=0,IF('Rate Log'!$G$216="",1,'Rate Log'!$G$216),INDEX(sc_ach,3))</f>
        <v>1</v>
      </c>
      <c r="X4015" s="72">
        <f>IF('Rate Log'!$C$216="",0,IF('Rate Log'!$E$216="planned",('Rate Log'!$D$216+N(INDEX(sc_dpts,3)))*$W4015,'Rate Log'!$D$216))</f>
        <v>0</v>
      </c>
      <c r="Y4015" s="73">
        <f>IF('Rate Log'!$C$216="",0,IF(1+$X4015&gt;0,LN(1+$X4015),0))</f>
        <v>0</v>
      </c>
      <c r="Z4015" s="75">
        <f t="shared" si="1497"/>
        <v>0</v>
      </c>
      <c r="AA4015" s="75">
        <f>IF($U4015="",0,COUNTIFS(rl_key,'Rate Log'!$J$216,$V$3806:$V$4045,$V4015,$U$3806:$U$4045,"&lt;"&amp;$U4015))</f>
        <v>0</v>
      </c>
      <c r="AB4015" s="75">
        <f>IF($U4015="",0,COUNTIFS('Rate Log'!$J$7:$J$216,'Rate Log'!$J$216,$V$3806:$V4015,$V4015,$U$3806:$U4015,$U4015))</f>
        <v>0</v>
      </c>
      <c r="AC4015" s="75">
        <f t="shared" si="1498"/>
        <v>0</v>
      </c>
      <c r="AE4015" s="74" t="str">
        <f>IF('Rate Log'!$C$216="","",IF('Rate Log'!$E$216="planned",EDATE('Rate Log'!$C$216,N(INDEX(sc_shift,4))),'Rate Log'!$C$216))</f>
        <v/>
      </c>
      <c r="AF4015" s="74" t="str">
        <f t="shared" si="1499"/>
        <v/>
      </c>
      <c r="AG4015" s="72">
        <f>IF(N(INDEX(sc_ach,4))=0,IF('Rate Log'!$G$216="",1,'Rate Log'!$G$216),INDEX(sc_ach,4))</f>
        <v>1</v>
      </c>
      <c r="AH4015" s="72">
        <f>IF('Rate Log'!$C$216="",0,IF('Rate Log'!$E$216="planned",('Rate Log'!$D$216+N(INDEX(sc_dpts,4)))*$AG4015,'Rate Log'!$D$216))</f>
        <v>0</v>
      </c>
      <c r="AI4015" s="73">
        <f>IF('Rate Log'!$C$216="",0,IF(1+$AH4015&gt;0,LN(1+$AH4015),0))</f>
        <v>0</v>
      </c>
      <c r="AJ4015" s="75">
        <f t="shared" si="1500"/>
        <v>0</v>
      </c>
      <c r="AK4015" s="75">
        <f>IF($AE4015="",0,COUNTIFS(rl_key,'Rate Log'!$J$216,$AF$3806:$AF$4045,$AF4015,$AE$3806:$AE$4045,"&lt;"&amp;$AE4015))</f>
        <v>0</v>
      </c>
      <c r="AL4015" s="75">
        <f>IF($AE4015="",0,COUNTIFS('Rate Log'!$J$7:$J$216,'Rate Log'!$J$216,$AF$3806:$AF4015,$AF4015,$AE$3806:$AE4015,$AE4015))</f>
        <v>0</v>
      </c>
      <c r="AM4015" s="75">
        <f t="shared" si="1501"/>
        <v>0</v>
      </c>
    </row>
    <row r="4016" spans="1:39" x14ac:dyDescent="0.3">
      <c r="A4016" s="74" t="str">
        <f>IF('Rate Log'!$C$217="","",IF('Rate Log'!$E$217="planned",EDATE('Rate Log'!$C$217,N(INDEX(sc_shift,1))),'Rate Log'!$C$217))</f>
        <v/>
      </c>
      <c r="B4016" s="74" t="str">
        <f t="shared" si="1490"/>
        <v/>
      </c>
      <c r="C4016" s="72">
        <f>IF(N(INDEX(sc_ach,1))=0,IF('Rate Log'!$G$217="",1,'Rate Log'!$G$217),INDEX(sc_ach,1))</f>
        <v>1</v>
      </c>
      <c r="D4016" s="72">
        <f>IF('Rate Log'!$C$217="",0,IF('Rate Log'!$E$217="planned",('Rate Log'!$D$217+N(INDEX(sc_dpts,1)))*$C4016,'Rate Log'!$D$217))</f>
        <v>0</v>
      </c>
      <c r="E4016" s="73">
        <f>IF('Rate Log'!$C$217="",0,IF(1+$D4016&gt;0,LN(1+$D4016),0))</f>
        <v>0</v>
      </c>
      <c r="F4016" s="75">
        <f t="shared" si="1491"/>
        <v>0</v>
      </c>
      <c r="G4016" s="75">
        <f>IF($A4016="",0,COUNTIFS(rl_key,'Rate Log'!$J$217,$B$3806:$B$4045,$B4016,$A$3806:$A$4045,"&lt;"&amp;$A4016))</f>
        <v>0</v>
      </c>
      <c r="H4016" s="75">
        <f>IF($A4016="",0,COUNTIFS('Rate Log'!$J$7:$J$217,'Rate Log'!$J$217,$B$3806:$B4016,$B4016,$A$3806:$A4016,$A4016))</f>
        <v>0</v>
      </c>
      <c r="I4016" s="75">
        <f t="shared" si="1492"/>
        <v>0</v>
      </c>
      <c r="K4016" s="74" t="str">
        <f>IF('Rate Log'!$C$217="","",IF('Rate Log'!$E$217="planned",EDATE('Rate Log'!$C$217,N(INDEX(sc_shift,2))),'Rate Log'!$C$217))</f>
        <v/>
      </c>
      <c r="L4016" s="74" t="str">
        <f t="shared" si="1493"/>
        <v/>
      </c>
      <c r="M4016" s="72">
        <f>IF(N(INDEX(sc_ach,2))=0,IF('Rate Log'!$G$217="",1,'Rate Log'!$G$217),INDEX(sc_ach,2))</f>
        <v>1</v>
      </c>
      <c r="N4016" s="72">
        <f>IF('Rate Log'!$C$217="",0,IF('Rate Log'!$E$217="planned",('Rate Log'!$D$217+N(INDEX(sc_dpts,2)))*$M4016,'Rate Log'!$D$217))</f>
        <v>0</v>
      </c>
      <c r="O4016" s="73">
        <f>IF('Rate Log'!$C$217="",0,IF(1+$N4016&gt;0,LN(1+$N4016),0))</f>
        <v>0</v>
      </c>
      <c r="P4016" s="75">
        <f t="shared" si="1494"/>
        <v>0</v>
      </c>
      <c r="Q4016" s="75">
        <f>IF($K4016="",0,COUNTIFS(rl_key,'Rate Log'!$J$217,$L$3806:$L$4045,$L4016,$K$3806:$K$4045,"&lt;"&amp;$K4016))</f>
        <v>0</v>
      </c>
      <c r="R4016" s="75">
        <f>IF($K4016="",0,COUNTIFS('Rate Log'!$J$7:$J$217,'Rate Log'!$J$217,$L$3806:$L4016,$L4016,$K$3806:$K4016,$K4016))</f>
        <v>0</v>
      </c>
      <c r="S4016" s="75">
        <f t="shared" si="1495"/>
        <v>0</v>
      </c>
      <c r="U4016" s="74" t="str">
        <f>IF('Rate Log'!$C$217="","",IF('Rate Log'!$E$217="planned",EDATE('Rate Log'!$C$217,N(INDEX(sc_shift,3))),'Rate Log'!$C$217))</f>
        <v/>
      </c>
      <c r="V4016" s="74" t="str">
        <f t="shared" si="1496"/>
        <v/>
      </c>
      <c r="W4016" s="72">
        <f>IF(N(INDEX(sc_ach,3))=0,IF('Rate Log'!$G$217="",1,'Rate Log'!$G$217),INDEX(sc_ach,3))</f>
        <v>1</v>
      </c>
      <c r="X4016" s="72">
        <f>IF('Rate Log'!$C$217="",0,IF('Rate Log'!$E$217="planned",('Rate Log'!$D$217+N(INDEX(sc_dpts,3)))*$W4016,'Rate Log'!$D$217))</f>
        <v>0</v>
      </c>
      <c r="Y4016" s="73">
        <f>IF('Rate Log'!$C$217="",0,IF(1+$X4016&gt;0,LN(1+$X4016),0))</f>
        <v>0</v>
      </c>
      <c r="Z4016" s="75">
        <f t="shared" si="1497"/>
        <v>0</v>
      </c>
      <c r="AA4016" s="75">
        <f>IF($U4016="",0,COUNTIFS(rl_key,'Rate Log'!$J$217,$V$3806:$V$4045,$V4016,$U$3806:$U$4045,"&lt;"&amp;$U4016))</f>
        <v>0</v>
      </c>
      <c r="AB4016" s="75">
        <f>IF($U4016="",0,COUNTIFS('Rate Log'!$J$7:$J$217,'Rate Log'!$J$217,$V$3806:$V4016,$V4016,$U$3806:$U4016,$U4016))</f>
        <v>0</v>
      </c>
      <c r="AC4016" s="75">
        <f t="shared" si="1498"/>
        <v>0</v>
      </c>
      <c r="AE4016" s="74" t="str">
        <f>IF('Rate Log'!$C$217="","",IF('Rate Log'!$E$217="planned",EDATE('Rate Log'!$C$217,N(INDEX(sc_shift,4))),'Rate Log'!$C$217))</f>
        <v/>
      </c>
      <c r="AF4016" s="74" t="str">
        <f t="shared" si="1499"/>
        <v/>
      </c>
      <c r="AG4016" s="72">
        <f>IF(N(INDEX(sc_ach,4))=0,IF('Rate Log'!$G$217="",1,'Rate Log'!$G$217),INDEX(sc_ach,4))</f>
        <v>1</v>
      </c>
      <c r="AH4016" s="72">
        <f>IF('Rate Log'!$C$217="",0,IF('Rate Log'!$E$217="planned",('Rate Log'!$D$217+N(INDEX(sc_dpts,4)))*$AG4016,'Rate Log'!$D$217))</f>
        <v>0</v>
      </c>
      <c r="AI4016" s="73">
        <f>IF('Rate Log'!$C$217="",0,IF(1+$AH4016&gt;0,LN(1+$AH4016),0))</f>
        <v>0</v>
      </c>
      <c r="AJ4016" s="75">
        <f t="shared" si="1500"/>
        <v>0</v>
      </c>
      <c r="AK4016" s="75">
        <f>IF($AE4016="",0,COUNTIFS(rl_key,'Rate Log'!$J$217,$AF$3806:$AF$4045,$AF4016,$AE$3806:$AE$4045,"&lt;"&amp;$AE4016))</f>
        <v>0</v>
      </c>
      <c r="AL4016" s="75">
        <f>IF($AE4016="",0,COUNTIFS('Rate Log'!$J$7:$J$217,'Rate Log'!$J$217,$AF$3806:$AF4016,$AF4016,$AE$3806:$AE4016,$AE4016))</f>
        <v>0</v>
      </c>
      <c r="AM4016" s="75">
        <f t="shared" si="1501"/>
        <v>0</v>
      </c>
    </row>
    <row r="4017" spans="1:39" x14ac:dyDescent="0.3">
      <c r="A4017" s="74" t="str">
        <f>IF('Rate Log'!$C$218="","",IF('Rate Log'!$E$218="planned",EDATE('Rate Log'!$C$218,N(INDEX(sc_shift,1))),'Rate Log'!$C$218))</f>
        <v/>
      </c>
      <c r="B4017" s="74" t="str">
        <f t="shared" si="1490"/>
        <v/>
      </c>
      <c r="C4017" s="72">
        <f>IF(N(INDEX(sc_ach,1))=0,IF('Rate Log'!$G$218="",1,'Rate Log'!$G$218),INDEX(sc_ach,1))</f>
        <v>1</v>
      </c>
      <c r="D4017" s="72">
        <f>IF('Rate Log'!$C$218="",0,IF('Rate Log'!$E$218="planned",('Rate Log'!$D$218+N(INDEX(sc_dpts,1)))*$C4017,'Rate Log'!$D$218))</f>
        <v>0</v>
      </c>
      <c r="E4017" s="73">
        <f>IF('Rate Log'!$C$218="",0,IF(1+$D4017&gt;0,LN(1+$D4017),0))</f>
        <v>0</v>
      </c>
      <c r="F4017" s="75">
        <f t="shared" si="1491"/>
        <v>0</v>
      </c>
      <c r="G4017" s="75">
        <f>IF($A4017="",0,COUNTIFS(rl_key,'Rate Log'!$J$218,$B$3806:$B$4045,$B4017,$A$3806:$A$4045,"&lt;"&amp;$A4017))</f>
        <v>0</v>
      </c>
      <c r="H4017" s="75">
        <f>IF($A4017="",0,COUNTIFS('Rate Log'!$J$7:$J$218,'Rate Log'!$J$218,$B$3806:$B4017,$B4017,$A$3806:$A4017,$A4017))</f>
        <v>0</v>
      </c>
      <c r="I4017" s="75">
        <f t="shared" si="1492"/>
        <v>0</v>
      </c>
      <c r="K4017" s="74" t="str">
        <f>IF('Rate Log'!$C$218="","",IF('Rate Log'!$E$218="planned",EDATE('Rate Log'!$C$218,N(INDEX(sc_shift,2))),'Rate Log'!$C$218))</f>
        <v/>
      </c>
      <c r="L4017" s="74" t="str">
        <f t="shared" si="1493"/>
        <v/>
      </c>
      <c r="M4017" s="72">
        <f>IF(N(INDEX(sc_ach,2))=0,IF('Rate Log'!$G$218="",1,'Rate Log'!$G$218),INDEX(sc_ach,2))</f>
        <v>1</v>
      </c>
      <c r="N4017" s="72">
        <f>IF('Rate Log'!$C$218="",0,IF('Rate Log'!$E$218="planned",('Rate Log'!$D$218+N(INDEX(sc_dpts,2)))*$M4017,'Rate Log'!$D$218))</f>
        <v>0</v>
      </c>
      <c r="O4017" s="73">
        <f>IF('Rate Log'!$C$218="",0,IF(1+$N4017&gt;0,LN(1+$N4017),0))</f>
        <v>0</v>
      </c>
      <c r="P4017" s="75">
        <f t="shared" si="1494"/>
        <v>0</v>
      </c>
      <c r="Q4017" s="75">
        <f>IF($K4017="",0,COUNTIFS(rl_key,'Rate Log'!$J$218,$L$3806:$L$4045,$L4017,$K$3806:$K$4045,"&lt;"&amp;$K4017))</f>
        <v>0</v>
      </c>
      <c r="R4017" s="75">
        <f>IF($K4017="",0,COUNTIFS('Rate Log'!$J$7:$J$218,'Rate Log'!$J$218,$L$3806:$L4017,$L4017,$K$3806:$K4017,$K4017))</f>
        <v>0</v>
      </c>
      <c r="S4017" s="75">
        <f t="shared" si="1495"/>
        <v>0</v>
      </c>
      <c r="U4017" s="74" t="str">
        <f>IF('Rate Log'!$C$218="","",IF('Rate Log'!$E$218="planned",EDATE('Rate Log'!$C$218,N(INDEX(sc_shift,3))),'Rate Log'!$C$218))</f>
        <v/>
      </c>
      <c r="V4017" s="74" t="str">
        <f t="shared" si="1496"/>
        <v/>
      </c>
      <c r="W4017" s="72">
        <f>IF(N(INDEX(sc_ach,3))=0,IF('Rate Log'!$G$218="",1,'Rate Log'!$G$218),INDEX(sc_ach,3))</f>
        <v>1</v>
      </c>
      <c r="X4017" s="72">
        <f>IF('Rate Log'!$C$218="",0,IF('Rate Log'!$E$218="planned",('Rate Log'!$D$218+N(INDEX(sc_dpts,3)))*$W4017,'Rate Log'!$D$218))</f>
        <v>0</v>
      </c>
      <c r="Y4017" s="73">
        <f>IF('Rate Log'!$C$218="",0,IF(1+$X4017&gt;0,LN(1+$X4017),0))</f>
        <v>0</v>
      </c>
      <c r="Z4017" s="75">
        <f t="shared" si="1497"/>
        <v>0</v>
      </c>
      <c r="AA4017" s="75">
        <f>IF($U4017="",0,COUNTIFS(rl_key,'Rate Log'!$J$218,$V$3806:$V$4045,$V4017,$U$3806:$U$4045,"&lt;"&amp;$U4017))</f>
        <v>0</v>
      </c>
      <c r="AB4017" s="75">
        <f>IF($U4017="",0,COUNTIFS('Rate Log'!$J$7:$J$218,'Rate Log'!$J$218,$V$3806:$V4017,$V4017,$U$3806:$U4017,$U4017))</f>
        <v>0</v>
      </c>
      <c r="AC4017" s="75">
        <f t="shared" si="1498"/>
        <v>0</v>
      </c>
      <c r="AE4017" s="74" t="str">
        <f>IF('Rate Log'!$C$218="","",IF('Rate Log'!$E$218="planned",EDATE('Rate Log'!$C$218,N(INDEX(sc_shift,4))),'Rate Log'!$C$218))</f>
        <v/>
      </c>
      <c r="AF4017" s="74" t="str">
        <f t="shared" si="1499"/>
        <v/>
      </c>
      <c r="AG4017" s="72">
        <f>IF(N(INDEX(sc_ach,4))=0,IF('Rate Log'!$G$218="",1,'Rate Log'!$G$218),INDEX(sc_ach,4))</f>
        <v>1</v>
      </c>
      <c r="AH4017" s="72">
        <f>IF('Rate Log'!$C$218="",0,IF('Rate Log'!$E$218="planned",('Rate Log'!$D$218+N(INDEX(sc_dpts,4)))*$AG4017,'Rate Log'!$D$218))</f>
        <v>0</v>
      </c>
      <c r="AI4017" s="73">
        <f>IF('Rate Log'!$C$218="",0,IF(1+$AH4017&gt;0,LN(1+$AH4017),0))</f>
        <v>0</v>
      </c>
      <c r="AJ4017" s="75">
        <f t="shared" si="1500"/>
        <v>0</v>
      </c>
      <c r="AK4017" s="75">
        <f>IF($AE4017="",0,COUNTIFS(rl_key,'Rate Log'!$J$218,$AF$3806:$AF$4045,$AF4017,$AE$3806:$AE$4045,"&lt;"&amp;$AE4017))</f>
        <v>0</v>
      </c>
      <c r="AL4017" s="75">
        <f>IF($AE4017="",0,COUNTIFS('Rate Log'!$J$7:$J$218,'Rate Log'!$J$218,$AF$3806:$AF4017,$AF4017,$AE$3806:$AE4017,$AE4017))</f>
        <v>0</v>
      </c>
      <c r="AM4017" s="75">
        <f t="shared" si="1501"/>
        <v>0</v>
      </c>
    </row>
    <row r="4018" spans="1:39" x14ac:dyDescent="0.3">
      <c r="A4018" s="74" t="str">
        <f>IF('Rate Log'!$C$219="","",IF('Rate Log'!$E$219="planned",EDATE('Rate Log'!$C$219,N(INDEX(sc_shift,1))),'Rate Log'!$C$219))</f>
        <v/>
      </c>
      <c r="B4018" s="74" t="str">
        <f t="shared" si="1490"/>
        <v/>
      </c>
      <c r="C4018" s="72">
        <f>IF(N(INDEX(sc_ach,1))=0,IF('Rate Log'!$G$219="",1,'Rate Log'!$G$219),INDEX(sc_ach,1))</f>
        <v>1</v>
      </c>
      <c r="D4018" s="72">
        <f>IF('Rate Log'!$C$219="",0,IF('Rate Log'!$E$219="planned",('Rate Log'!$D$219+N(INDEX(sc_dpts,1)))*$C4018,'Rate Log'!$D$219))</f>
        <v>0</v>
      </c>
      <c r="E4018" s="73">
        <f>IF('Rate Log'!$C$219="",0,IF(1+$D4018&gt;0,LN(1+$D4018),0))</f>
        <v>0</v>
      </c>
      <c r="F4018" s="75">
        <f t="shared" si="1491"/>
        <v>0</v>
      </c>
      <c r="G4018" s="75">
        <f>IF($A4018="",0,COUNTIFS(rl_key,'Rate Log'!$J$219,$B$3806:$B$4045,$B4018,$A$3806:$A$4045,"&lt;"&amp;$A4018))</f>
        <v>0</v>
      </c>
      <c r="H4018" s="75">
        <f>IF($A4018="",0,COUNTIFS('Rate Log'!$J$7:$J$219,'Rate Log'!$J$219,$B$3806:$B4018,$B4018,$A$3806:$A4018,$A4018))</f>
        <v>0</v>
      </c>
      <c r="I4018" s="75">
        <f t="shared" si="1492"/>
        <v>0</v>
      </c>
      <c r="K4018" s="74" t="str">
        <f>IF('Rate Log'!$C$219="","",IF('Rate Log'!$E$219="planned",EDATE('Rate Log'!$C$219,N(INDEX(sc_shift,2))),'Rate Log'!$C$219))</f>
        <v/>
      </c>
      <c r="L4018" s="74" t="str">
        <f t="shared" si="1493"/>
        <v/>
      </c>
      <c r="M4018" s="72">
        <f>IF(N(INDEX(sc_ach,2))=0,IF('Rate Log'!$G$219="",1,'Rate Log'!$G$219),INDEX(sc_ach,2))</f>
        <v>1</v>
      </c>
      <c r="N4018" s="72">
        <f>IF('Rate Log'!$C$219="",0,IF('Rate Log'!$E$219="planned",('Rate Log'!$D$219+N(INDEX(sc_dpts,2)))*$M4018,'Rate Log'!$D$219))</f>
        <v>0</v>
      </c>
      <c r="O4018" s="73">
        <f>IF('Rate Log'!$C$219="",0,IF(1+$N4018&gt;0,LN(1+$N4018),0))</f>
        <v>0</v>
      </c>
      <c r="P4018" s="75">
        <f t="shared" si="1494"/>
        <v>0</v>
      </c>
      <c r="Q4018" s="75">
        <f>IF($K4018="",0,COUNTIFS(rl_key,'Rate Log'!$J$219,$L$3806:$L$4045,$L4018,$K$3806:$K$4045,"&lt;"&amp;$K4018))</f>
        <v>0</v>
      </c>
      <c r="R4018" s="75">
        <f>IF($K4018="",0,COUNTIFS('Rate Log'!$J$7:$J$219,'Rate Log'!$J$219,$L$3806:$L4018,$L4018,$K$3806:$K4018,$K4018))</f>
        <v>0</v>
      </c>
      <c r="S4018" s="75">
        <f t="shared" si="1495"/>
        <v>0</v>
      </c>
      <c r="U4018" s="74" t="str">
        <f>IF('Rate Log'!$C$219="","",IF('Rate Log'!$E$219="planned",EDATE('Rate Log'!$C$219,N(INDEX(sc_shift,3))),'Rate Log'!$C$219))</f>
        <v/>
      </c>
      <c r="V4018" s="74" t="str">
        <f t="shared" si="1496"/>
        <v/>
      </c>
      <c r="W4018" s="72">
        <f>IF(N(INDEX(sc_ach,3))=0,IF('Rate Log'!$G$219="",1,'Rate Log'!$G$219),INDEX(sc_ach,3))</f>
        <v>1</v>
      </c>
      <c r="X4018" s="72">
        <f>IF('Rate Log'!$C$219="",0,IF('Rate Log'!$E$219="planned",('Rate Log'!$D$219+N(INDEX(sc_dpts,3)))*$W4018,'Rate Log'!$D$219))</f>
        <v>0</v>
      </c>
      <c r="Y4018" s="73">
        <f>IF('Rate Log'!$C$219="",0,IF(1+$X4018&gt;0,LN(1+$X4018),0))</f>
        <v>0</v>
      </c>
      <c r="Z4018" s="75">
        <f t="shared" si="1497"/>
        <v>0</v>
      </c>
      <c r="AA4018" s="75">
        <f>IF($U4018="",0,COUNTIFS(rl_key,'Rate Log'!$J$219,$V$3806:$V$4045,$V4018,$U$3806:$U$4045,"&lt;"&amp;$U4018))</f>
        <v>0</v>
      </c>
      <c r="AB4018" s="75">
        <f>IF($U4018="",0,COUNTIFS('Rate Log'!$J$7:$J$219,'Rate Log'!$J$219,$V$3806:$V4018,$V4018,$U$3806:$U4018,$U4018))</f>
        <v>0</v>
      </c>
      <c r="AC4018" s="75">
        <f t="shared" si="1498"/>
        <v>0</v>
      </c>
      <c r="AE4018" s="74" t="str">
        <f>IF('Rate Log'!$C$219="","",IF('Rate Log'!$E$219="planned",EDATE('Rate Log'!$C$219,N(INDEX(sc_shift,4))),'Rate Log'!$C$219))</f>
        <v/>
      </c>
      <c r="AF4018" s="74" t="str">
        <f t="shared" si="1499"/>
        <v/>
      </c>
      <c r="AG4018" s="72">
        <f>IF(N(INDEX(sc_ach,4))=0,IF('Rate Log'!$G$219="",1,'Rate Log'!$G$219),INDEX(sc_ach,4))</f>
        <v>1</v>
      </c>
      <c r="AH4018" s="72">
        <f>IF('Rate Log'!$C$219="",0,IF('Rate Log'!$E$219="planned",('Rate Log'!$D$219+N(INDEX(sc_dpts,4)))*$AG4018,'Rate Log'!$D$219))</f>
        <v>0</v>
      </c>
      <c r="AI4018" s="73">
        <f>IF('Rate Log'!$C$219="",0,IF(1+$AH4018&gt;0,LN(1+$AH4018),0))</f>
        <v>0</v>
      </c>
      <c r="AJ4018" s="75">
        <f t="shared" si="1500"/>
        <v>0</v>
      </c>
      <c r="AK4018" s="75">
        <f>IF($AE4018="",0,COUNTIFS(rl_key,'Rate Log'!$J$219,$AF$3806:$AF$4045,$AF4018,$AE$3806:$AE$4045,"&lt;"&amp;$AE4018))</f>
        <v>0</v>
      </c>
      <c r="AL4018" s="75">
        <f>IF($AE4018="",0,COUNTIFS('Rate Log'!$J$7:$J$219,'Rate Log'!$J$219,$AF$3806:$AF4018,$AF4018,$AE$3806:$AE4018,$AE4018))</f>
        <v>0</v>
      </c>
      <c r="AM4018" s="75">
        <f t="shared" si="1501"/>
        <v>0</v>
      </c>
    </row>
    <row r="4019" spans="1:39" x14ac:dyDescent="0.3">
      <c r="A4019" s="74" t="str">
        <f>IF('Rate Log'!$C$220="","",IF('Rate Log'!$E$220="planned",EDATE('Rate Log'!$C$220,N(INDEX(sc_shift,1))),'Rate Log'!$C$220))</f>
        <v/>
      </c>
      <c r="B4019" s="74" t="str">
        <f t="shared" si="1490"/>
        <v/>
      </c>
      <c r="C4019" s="72">
        <f>IF(N(INDEX(sc_ach,1))=0,IF('Rate Log'!$G$220="",1,'Rate Log'!$G$220),INDEX(sc_ach,1))</f>
        <v>1</v>
      </c>
      <c r="D4019" s="72">
        <f>IF('Rate Log'!$C$220="",0,IF('Rate Log'!$E$220="planned",('Rate Log'!$D$220+N(INDEX(sc_dpts,1)))*$C4019,'Rate Log'!$D$220))</f>
        <v>0</v>
      </c>
      <c r="E4019" s="73">
        <f>IF('Rate Log'!$C$220="",0,IF(1+$D4019&gt;0,LN(1+$D4019),0))</f>
        <v>0</v>
      </c>
      <c r="F4019" s="75">
        <f t="shared" si="1491"/>
        <v>0</v>
      </c>
      <c r="G4019" s="75">
        <f>IF($A4019="",0,COUNTIFS(rl_key,'Rate Log'!$J$220,$B$3806:$B$4045,$B4019,$A$3806:$A$4045,"&lt;"&amp;$A4019))</f>
        <v>0</v>
      </c>
      <c r="H4019" s="75">
        <f>IF($A4019="",0,COUNTIFS('Rate Log'!$J$7:$J$220,'Rate Log'!$J$220,$B$3806:$B4019,$B4019,$A$3806:$A4019,$A4019))</f>
        <v>0</v>
      </c>
      <c r="I4019" s="75">
        <f t="shared" si="1492"/>
        <v>0</v>
      </c>
      <c r="K4019" s="74" t="str">
        <f>IF('Rate Log'!$C$220="","",IF('Rate Log'!$E$220="planned",EDATE('Rate Log'!$C$220,N(INDEX(sc_shift,2))),'Rate Log'!$C$220))</f>
        <v/>
      </c>
      <c r="L4019" s="74" t="str">
        <f t="shared" si="1493"/>
        <v/>
      </c>
      <c r="M4019" s="72">
        <f>IF(N(INDEX(sc_ach,2))=0,IF('Rate Log'!$G$220="",1,'Rate Log'!$G$220),INDEX(sc_ach,2))</f>
        <v>1</v>
      </c>
      <c r="N4019" s="72">
        <f>IF('Rate Log'!$C$220="",0,IF('Rate Log'!$E$220="planned",('Rate Log'!$D$220+N(INDEX(sc_dpts,2)))*$M4019,'Rate Log'!$D$220))</f>
        <v>0</v>
      </c>
      <c r="O4019" s="73">
        <f>IF('Rate Log'!$C$220="",0,IF(1+$N4019&gt;0,LN(1+$N4019),0))</f>
        <v>0</v>
      </c>
      <c r="P4019" s="75">
        <f t="shared" si="1494"/>
        <v>0</v>
      </c>
      <c r="Q4019" s="75">
        <f>IF($K4019="",0,COUNTIFS(rl_key,'Rate Log'!$J$220,$L$3806:$L$4045,$L4019,$K$3806:$K$4045,"&lt;"&amp;$K4019))</f>
        <v>0</v>
      </c>
      <c r="R4019" s="75">
        <f>IF($K4019="",0,COUNTIFS('Rate Log'!$J$7:$J$220,'Rate Log'!$J$220,$L$3806:$L4019,$L4019,$K$3806:$K4019,$K4019))</f>
        <v>0</v>
      </c>
      <c r="S4019" s="75">
        <f t="shared" si="1495"/>
        <v>0</v>
      </c>
      <c r="U4019" s="74" t="str">
        <f>IF('Rate Log'!$C$220="","",IF('Rate Log'!$E$220="planned",EDATE('Rate Log'!$C$220,N(INDEX(sc_shift,3))),'Rate Log'!$C$220))</f>
        <v/>
      </c>
      <c r="V4019" s="74" t="str">
        <f t="shared" si="1496"/>
        <v/>
      </c>
      <c r="W4019" s="72">
        <f>IF(N(INDEX(sc_ach,3))=0,IF('Rate Log'!$G$220="",1,'Rate Log'!$G$220),INDEX(sc_ach,3))</f>
        <v>1</v>
      </c>
      <c r="X4019" s="72">
        <f>IF('Rate Log'!$C$220="",0,IF('Rate Log'!$E$220="planned",('Rate Log'!$D$220+N(INDEX(sc_dpts,3)))*$W4019,'Rate Log'!$D$220))</f>
        <v>0</v>
      </c>
      <c r="Y4019" s="73">
        <f>IF('Rate Log'!$C$220="",0,IF(1+$X4019&gt;0,LN(1+$X4019),0))</f>
        <v>0</v>
      </c>
      <c r="Z4019" s="75">
        <f t="shared" si="1497"/>
        <v>0</v>
      </c>
      <c r="AA4019" s="75">
        <f>IF($U4019="",0,COUNTIFS(rl_key,'Rate Log'!$J$220,$V$3806:$V$4045,$V4019,$U$3806:$U$4045,"&lt;"&amp;$U4019))</f>
        <v>0</v>
      </c>
      <c r="AB4019" s="75">
        <f>IF($U4019="",0,COUNTIFS('Rate Log'!$J$7:$J$220,'Rate Log'!$J$220,$V$3806:$V4019,$V4019,$U$3806:$U4019,$U4019))</f>
        <v>0</v>
      </c>
      <c r="AC4019" s="75">
        <f t="shared" si="1498"/>
        <v>0</v>
      </c>
      <c r="AE4019" s="74" t="str">
        <f>IF('Rate Log'!$C$220="","",IF('Rate Log'!$E$220="planned",EDATE('Rate Log'!$C$220,N(INDEX(sc_shift,4))),'Rate Log'!$C$220))</f>
        <v/>
      </c>
      <c r="AF4019" s="74" t="str">
        <f t="shared" si="1499"/>
        <v/>
      </c>
      <c r="AG4019" s="72">
        <f>IF(N(INDEX(sc_ach,4))=0,IF('Rate Log'!$G$220="",1,'Rate Log'!$G$220),INDEX(sc_ach,4))</f>
        <v>1</v>
      </c>
      <c r="AH4019" s="72">
        <f>IF('Rate Log'!$C$220="",0,IF('Rate Log'!$E$220="planned",('Rate Log'!$D$220+N(INDEX(sc_dpts,4)))*$AG4019,'Rate Log'!$D$220))</f>
        <v>0</v>
      </c>
      <c r="AI4019" s="73">
        <f>IF('Rate Log'!$C$220="",0,IF(1+$AH4019&gt;0,LN(1+$AH4019),0))</f>
        <v>0</v>
      </c>
      <c r="AJ4019" s="75">
        <f t="shared" si="1500"/>
        <v>0</v>
      </c>
      <c r="AK4019" s="75">
        <f>IF($AE4019="",0,COUNTIFS(rl_key,'Rate Log'!$J$220,$AF$3806:$AF$4045,$AF4019,$AE$3806:$AE$4045,"&lt;"&amp;$AE4019))</f>
        <v>0</v>
      </c>
      <c r="AL4019" s="75">
        <f>IF($AE4019="",0,COUNTIFS('Rate Log'!$J$7:$J$220,'Rate Log'!$J$220,$AF$3806:$AF4019,$AF4019,$AE$3806:$AE4019,$AE4019))</f>
        <v>0</v>
      </c>
      <c r="AM4019" s="75">
        <f t="shared" si="1501"/>
        <v>0</v>
      </c>
    </row>
    <row r="4020" spans="1:39" x14ac:dyDescent="0.3">
      <c r="A4020" s="74" t="str">
        <f>IF('Rate Log'!$C$221="","",IF('Rate Log'!$E$221="planned",EDATE('Rate Log'!$C$221,N(INDEX(sc_shift,1))),'Rate Log'!$C$221))</f>
        <v/>
      </c>
      <c r="B4020" s="74" t="str">
        <f t="shared" si="1490"/>
        <v/>
      </c>
      <c r="C4020" s="72">
        <f>IF(N(INDEX(sc_ach,1))=0,IF('Rate Log'!$G$221="",1,'Rate Log'!$G$221),INDEX(sc_ach,1))</f>
        <v>1</v>
      </c>
      <c r="D4020" s="72">
        <f>IF('Rate Log'!$C$221="",0,IF('Rate Log'!$E$221="planned",('Rate Log'!$D$221+N(INDEX(sc_dpts,1)))*$C4020,'Rate Log'!$D$221))</f>
        <v>0</v>
      </c>
      <c r="E4020" s="73">
        <f>IF('Rate Log'!$C$221="",0,IF(1+$D4020&gt;0,LN(1+$D4020),0))</f>
        <v>0</v>
      </c>
      <c r="F4020" s="75">
        <f t="shared" si="1491"/>
        <v>0</v>
      </c>
      <c r="G4020" s="75">
        <f>IF($A4020="",0,COUNTIFS(rl_key,'Rate Log'!$J$221,$B$3806:$B$4045,$B4020,$A$3806:$A$4045,"&lt;"&amp;$A4020))</f>
        <v>0</v>
      </c>
      <c r="H4020" s="75">
        <f>IF($A4020="",0,COUNTIFS('Rate Log'!$J$7:$J$221,'Rate Log'!$J$221,$B$3806:$B4020,$B4020,$A$3806:$A4020,$A4020))</f>
        <v>0</v>
      </c>
      <c r="I4020" s="75">
        <f t="shared" si="1492"/>
        <v>0</v>
      </c>
      <c r="K4020" s="74" t="str">
        <f>IF('Rate Log'!$C$221="","",IF('Rate Log'!$E$221="planned",EDATE('Rate Log'!$C$221,N(INDEX(sc_shift,2))),'Rate Log'!$C$221))</f>
        <v/>
      </c>
      <c r="L4020" s="74" t="str">
        <f t="shared" si="1493"/>
        <v/>
      </c>
      <c r="M4020" s="72">
        <f>IF(N(INDEX(sc_ach,2))=0,IF('Rate Log'!$G$221="",1,'Rate Log'!$G$221),INDEX(sc_ach,2))</f>
        <v>1</v>
      </c>
      <c r="N4020" s="72">
        <f>IF('Rate Log'!$C$221="",0,IF('Rate Log'!$E$221="planned",('Rate Log'!$D$221+N(INDEX(sc_dpts,2)))*$M4020,'Rate Log'!$D$221))</f>
        <v>0</v>
      </c>
      <c r="O4020" s="73">
        <f>IF('Rate Log'!$C$221="",0,IF(1+$N4020&gt;0,LN(1+$N4020),0))</f>
        <v>0</v>
      </c>
      <c r="P4020" s="75">
        <f t="shared" si="1494"/>
        <v>0</v>
      </c>
      <c r="Q4020" s="75">
        <f>IF($K4020="",0,COUNTIFS(rl_key,'Rate Log'!$J$221,$L$3806:$L$4045,$L4020,$K$3806:$K$4045,"&lt;"&amp;$K4020))</f>
        <v>0</v>
      </c>
      <c r="R4020" s="75">
        <f>IF($K4020="",0,COUNTIFS('Rate Log'!$J$7:$J$221,'Rate Log'!$J$221,$L$3806:$L4020,$L4020,$K$3806:$K4020,$K4020))</f>
        <v>0</v>
      </c>
      <c r="S4020" s="75">
        <f t="shared" si="1495"/>
        <v>0</v>
      </c>
      <c r="U4020" s="74" t="str">
        <f>IF('Rate Log'!$C$221="","",IF('Rate Log'!$E$221="planned",EDATE('Rate Log'!$C$221,N(INDEX(sc_shift,3))),'Rate Log'!$C$221))</f>
        <v/>
      </c>
      <c r="V4020" s="74" t="str">
        <f t="shared" si="1496"/>
        <v/>
      </c>
      <c r="W4020" s="72">
        <f>IF(N(INDEX(sc_ach,3))=0,IF('Rate Log'!$G$221="",1,'Rate Log'!$G$221),INDEX(sc_ach,3))</f>
        <v>1</v>
      </c>
      <c r="X4020" s="72">
        <f>IF('Rate Log'!$C$221="",0,IF('Rate Log'!$E$221="planned",('Rate Log'!$D$221+N(INDEX(sc_dpts,3)))*$W4020,'Rate Log'!$D$221))</f>
        <v>0</v>
      </c>
      <c r="Y4020" s="73">
        <f>IF('Rate Log'!$C$221="",0,IF(1+$X4020&gt;0,LN(1+$X4020),0))</f>
        <v>0</v>
      </c>
      <c r="Z4020" s="75">
        <f t="shared" si="1497"/>
        <v>0</v>
      </c>
      <c r="AA4020" s="75">
        <f>IF($U4020="",0,COUNTIFS(rl_key,'Rate Log'!$J$221,$V$3806:$V$4045,$V4020,$U$3806:$U$4045,"&lt;"&amp;$U4020))</f>
        <v>0</v>
      </c>
      <c r="AB4020" s="75">
        <f>IF($U4020="",0,COUNTIFS('Rate Log'!$J$7:$J$221,'Rate Log'!$J$221,$V$3806:$V4020,$V4020,$U$3806:$U4020,$U4020))</f>
        <v>0</v>
      </c>
      <c r="AC4020" s="75">
        <f t="shared" si="1498"/>
        <v>0</v>
      </c>
      <c r="AE4020" s="74" t="str">
        <f>IF('Rate Log'!$C$221="","",IF('Rate Log'!$E$221="planned",EDATE('Rate Log'!$C$221,N(INDEX(sc_shift,4))),'Rate Log'!$C$221))</f>
        <v/>
      </c>
      <c r="AF4020" s="74" t="str">
        <f t="shared" si="1499"/>
        <v/>
      </c>
      <c r="AG4020" s="72">
        <f>IF(N(INDEX(sc_ach,4))=0,IF('Rate Log'!$G$221="",1,'Rate Log'!$G$221),INDEX(sc_ach,4))</f>
        <v>1</v>
      </c>
      <c r="AH4020" s="72">
        <f>IF('Rate Log'!$C$221="",0,IF('Rate Log'!$E$221="planned",('Rate Log'!$D$221+N(INDEX(sc_dpts,4)))*$AG4020,'Rate Log'!$D$221))</f>
        <v>0</v>
      </c>
      <c r="AI4020" s="73">
        <f>IF('Rate Log'!$C$221="",0,IF(1+$AH4020&gt;0,LN(1+$AH4020),0))</f>
        <v>0</v>
      </c>
      <c r="AJ4020" s="75">
        <f t="shared" si="1500"/>
        <v>0</v>
      </c>
      <c r="AK4020" s="75">
        <f>IF($AE4020="",0,COUNTIFS(rl_key,'Rate Log'!$J$221,$AF$3806:$AF$4045,$AF4020,$AE$3806:$AE$4045,"&lt;"&amp;$AE4020))</f>
        <v>0</v>
      </c>
      <c r="AL4020" s="75">
        <f>IF($AE4020="",0,COUNTIFS('Rate Log'!$J$7:$J$221,'Rate Log'!$J$221,$AF$3806:$AF4020,$AF4020,$AE$3806:$AE4020,$AE4020))</f>
        <v>0</v>
      </c>
      <c r="AM4020" s="75">
        <f t="shared" si="1501"/>
        <v>0</v>
      </c>
    </row>
    <row r="4021" spans="1:39" x14ac:dyDescent="0.3">
      <c r="A4021" s="74" t="str">
        <f>IF('Rate Log'!$C$222="","",IF('Rate Log'!$E$222="planned",EDATE('Rate Log'!$C$222,N(INDEX(sc_shift,1))),'Rate Log'!$C$222))</f>
        <v/>
      </c>
      <c r="B4021" s="74" t="str">
        <f t="shared" si="1490"/>
        <v/>
      </c>
      <c r="C4021" s="72">
        <f>IF(N(INDEX(sc_ach,1))=0,IF('Rate Log'!$G$222="",1,'Rate Log'!$G$222),INDEX(sc_ach,1))</f>
        <v>1</v>
      </c>
      <c r="D4021" s="72">
        <f>IF('Rate Log'!$C$222="",0,IF('Rate Log'!$E$222="planned",('Rate Log'!$D$222+N(INDEX(sc_dpts,1)))*$C4021,'Rate Log'!$D$222))</f>
        <v>0</v>
      </c>
      <c r="E4021" s="73">
        <f>IF('Rate Log'!$C$222="",0,IF(1+$D4021&gt;0,LN(1+$D4021),0))</f>
        <v>0</v>
      </c>
      <c r="F4021" s="75">
        <f t="shared" si="1491"/>
        <v>0</v>
      </c>
      <c r="G4021" s="75">
        <f>IF($A4021="",0,COUNTIFS(rl_key,'Rate Log'!$J$222,$B$3806:$B$4045,$B4021,$A$3806:$A$4045,"&lt;"&amp;$A4021))</f>
        <v>0</v>
      </c>
      <c r="H4021" s="75">
        <f>IF($A4021="",0,COUNTIFS('Rate Log'!$J$7:$J$222,'Rate Log'!$J$222,$B$3806:$B4021,$B4021,$A$3806:$A4021,$A4021))</f>
        <v>0</v>
      </c>
      <c r="I4021" s="75">
        <f t="shared" si="1492"/>
        <v>0</v>
      </c>
      <c r="K4021" s="74" t="str">
        <f>IF('Rate Log'!$C$222="","",IF('Rate Log'!$E$222="planned",EDATE('Rate Log'!$C$222,N(INDEX(sc_shift,2))),'Rate Log'!$C$222))</f>
        <v/>
      </c>
      <c r="L4021" s="74" t="str">
        <f t="shared" si="1493"/>
        <v/>
      </c>
      <c r="M4021" s="72">
        <f>IF(N(INDEX(sc_ach,2))=0,IF('Rate Log'!$G$222="",1,'Rate Log'!$G$222),INDEX(sc_ach,2))</f>
        <v>1</v>
      </c>
      <c r="N4021" s="72">
        <f>IF('Rate Log'!$C$222="",0,IF('Rate Log'!$E$222="planned",('Rate Log'!$D$222+N(INDEX(sc_dpts,2)))*$M4021,'Rate Log'!$D$222))</f>
        <v>0</v>
      </c>
      <c r="O4021" s="73">
        <f>IF('Rate Log'!$C$222="",0,IF(1+$N4021&gt;0,LN(1+$N4021),0))</f>
        <v>0</v>
      </c>
      <c r="P4021" s="75">
        <f t="shared" si="1494"/>
        <v>0</v>
      </c>
      <c r="Q4021" s="75">
        <f>IF($K4021="",0,COUNTIFS(rl_key,'Rate Log'!$J$222,$L$3806:$L$4045,$L4021,$K$3806:$K$4045,"&lt;"&amp;$K4021))</f>
        <v>0</v>
      </c>
      <c r="R4021" s="75">
        <f>IF($K4021="",0,COUNTIFS('Rate Log'!$J$7:$J$222,'Rate Log'!$J$222,$L$3806:$L4021,$L4021,$K$3806:$K4021,$K4021))</f>
        <v>0</v>
      </c>
      <c r="S4021" s="75">
        <f t="shared" si="1495"/>
        <v>0</v>
      </c>
      <c r="U4021" s="74" t="str">
        <f>IF('Rate Log'!$C$222="","",IF('Rate Log'!$E$222="planned",EDATE('Rate Log'!$C$222,N(INDEX(sc_shift,3))),'Rate Log'!$C$222))</f>
        <v/>
      </c>
      <c r="V4021" s="74" t="str">
        <f t="shared" si="1496"/>
        <v/>
      </c>
      <c r="W4021" s="72">
        <f>IF(N(INDEX(sc_ach,3))=0,IF('Rate Log'!$G$222="",1,'Rate Log'!$G$222),INDEX(sc_ach,3))</f>
        <v>1</v>
      </c>
      <c r="X4021" s="72">
        <f>IF('Rate Log'!$C$222="",0,IF('Rate Log'!$E$222="planned",('Rate Log'!$D$222+N(INDEX(sc_dpts,3)))*$W4021,'Rate Log'!$D$222))</f>
        <v>0</v>
      </c>
      <c r="Y4021" s="73">
        <f>IF('Rate Log'!$C$222="",0,IF(1+$X4021&gt;0,LN(1+$X4021),0))</f>
        <v>0</v>
      </c>
      <c r="Z4021" s="75">
        <f t="shared" si="1497"/>
        <v>0</v>
      </c>
      <c r="AA4021" s="75">
        <f>IF($U4021="",0,COUNTIFS(rl_key,'Rate Log'!$J$222,$V$3806:$V$4045,$V4021,$U$3806:$U$4045,"&lt;"&amp;$U4021))</f>
        <v>0</v>
      </c>
      <c r="AB4021" s="75">
        <f>IF($U4021="",0,COUNTIFS('Rate Log'!$J$7:$J$222,'Rate Log'!$J$222,$V$3806:$V4021,$V4021,$U$3806:$U4021,$U4021))</f>
        <v>0</v>
      </c>
      <c r="AC4021" s="75">
        <f t="shared" si="1498"/>
        <v>0</v>
      </c>
      <c r="AE4021" s="74" t="str">
        <f>IF('Rate Log'!$C$222="","",IF('Rate Log'!$E$222="planned",EDATE('Rate Log'!$C$222,N(INDEX(sc_shift,4))),'Rate Log'!$C$222))</f>
        <v/>
      </c>
      <c r="AF4021" s="74" t="str">
        <f t="shared" si="1499"/>
        <v/>
      </c>
      <c r="AG4021" s="72">
        <f>IF(N(INDEX(sc_ach,4))=0,IF('Rate Log'!$G$222="",1,'Rate Log'!$G$222),INDEX(sc_ach,4))</f>
        <v>1</v>
      </c>
      <c r="AH4021" s="72">
        <f>IF('Rate Log'!$C$222="",0,IF('Rate Log'!$E$222="planned",('Rate Log'!$D$222+N(INDEX(sc_dpts,4)))*$AG4021,'Rate Log'!$D$222))</f>
        <v>0</v>
      </c>
      <c r="AI4021" s="73">
        <f>IF('Rate Log'!$C$222="",0,IF(1+$AH4021&gt;0,LN(1+$AH4021),0))</f>
        <v>0</v>
      </c>
      <c r="AJ4021" s="75">
        <f t="shared" si="1500"/>
        <v>0</v>
      </c>
      <c r="AK4021" s="75">
        <f>IF($AE4021="",0,COUNTIFS(rl_key,'Rate Log'!$J$222,$AF$3806:$AF$4045,$AF4021,$AE$3806:$AE$4045,"&lt;"&amp;$AE4021))</f>
        <v>0</v>
      </c>
      <c r="AL4021" s="75">
        <f>IF($AE4021="",0,COUNTIFS('Rate Log'!$J$7:$J$222,'Rate Log'!$J$222,$AF$3806:$AF4021,$AF4021,$AE$3806:$AE4021,$AE4021))</f>
        <v>0</v>
      </c>
      <c r="AM4021" s="75">
        <f t="shared" si="1501"/>
        <v>0</v>
      </c>
    </row>
    <row r="4022" spans="1:39" x14ac:dyDescent="0.3">
      <c r="A4022" s="74" t="str">
        <f>IF('Rate Log'!$C$223="","",IF('Rate Log'!$E$223="planned",EDATE('Rate Log'!$C$223,N(INDEX(sc_shift,1))),'Rate Log'!$C$223))</f>
        <v/>
      </c>
      <c r="B4022" s="74" t="str">
        <f t="shared" si="1490"/>
        <v/>
      </c>
      <c r="C4022" s="72">
        <f>IF(N(INDEX(sc_ach,1))=0,IF('Rate Log'!$G$223="",1,'Rate Log'!$G$223),INDEX(sc_ach,1))</f>
        <v>1</v>
      </c>
      <c r="D4022" s="72">
        <f>IF('Rate Log'!$C$223="",0,IF('Rate Log'!$E$223="planned",('Rate Log'!$D$223+N(INDEX(sc_dpts,1)))*$C4022,'Rate Log'!$D$223))</f>
        <v>0</v>
      </c>
      <c r="E4022" s="73">
        <f>IF('Rate Log'!$C$223="",0,IF(1+$D4022&gt;0,LN(1+$D4022),0))</f>
        <v>0</v>
      </c>
      <c r="F4022" s="75">
        <f t="shared" si="1491"/>
        <v>0</v>
      </c>
      <c r="G4022" s="75">
        <f>IF($A4022="",0,COUNTIFS(rl_key,'Rate Log'!$J$223,$B$3806:$B$4045,$B4022,$A$3806:$A$4045,"&lt;"&amp;$A4022))</f>
        <v>0</v>
      </c>
      <c r="H4022" s="75">
        <f>IF($A4022="",0,COUNTIFS('Rate Log'!$J$7:$J$223,'Rate Log'!$J$223,$B$3806:$B4022,$B4022,$A$3806:$A4022,$A4022))</f>
        <v>0</v>
      </c>
      <c r="I4022" s="75">
        <f t="shared" si="1492"/>
        <v>0</v>
      </c>
      <c r="K4022" s="74" t="str">
        <f>IF('Rate Log'!$C$223="","",IF('Rate Log'!$E$223="planned",EDATE('Rate Log'!$C$223,N(INDEX(sc_shift,2))),'Rate Log'!$C$223))</f>
        <v/>
      </c>
      <c r="L4022" s="74" t="str">
        <f t="shared" si="1493"/>
        <v/>
      </c>
      <c r="M4022" s="72">
        <f>IF(N(INDEX(sc_ach,2))=0,IF('Rate Log'!$G$223="",1,'Rate Log'!$G$223),INDEX(sc_ach,2))</f>
        <v>1</v>
      </c>
      <c r="N4022" s="72">
        <f>IF('Rate Log'!$C$223="",0,IF('Rate Log'!$E$223="planned",('Rate Log'!$D$223+N(INDEX(sc_dpts,2)))*$M4022,'Rate Log'!$D$223))</f>
        <v>0</v>
      </c>
      <c r="O4022" s="73">
        <f>IF('Rate Log'!$C$223="",0,IF(1+$N4022&gt;0,LN(1+$N4022),0))</f>
        <v>0</v>
      </c>
      <c r="P4022" s="75">
        <f t="shared" si="1494"/>
        <v>0</v>
      </c>
      <c r="Q4022" s="75">
        <f>IF($K4022="",0,COUNTIFS(rl_key,'Rate Log'!$J$223,$L$3806:$L$4045,$L4022,$K$3806:$K$4045,"&lt;"&amp;$K4022))</f>
        <v>0</v>
      </c>
      <c r="R4022" s="75">
        <f>IF($K4022="",0,COUNTIFS('Rate Log'!$J$7:$J$223,'Rate Log'!$J$223,$L$3806:$L4022,$L4022,$K$3806:$K4022,$K4022))</f>
        <v>0</v>
      </c>
      <c r="S4022" s="75">
        <f t="shared" si="1495"/>
        <v>0</v>
      </c>
      <c r="U4022" s="74" t="str">
        <f>IF('Rate Log'!$C$223="","",IF('Rate Log'!$E$223="planned",EDATE('Rate Log'!$C$223,N(INDEX(sc_shift,3))),'Rate Log'!$C$223))</f>
        <v/>
      </c>
      <c r="V4022" s="74" t="str">
        <f t="shared" si="1496"/>
        <v/>
      </c>
      <c r="W4022" s="72">
        <f>IF(N(INDEX(sc_ach,3))=0,IF('Rate Log'!$G$223="",1,'Rate Log'!$G$223),INDEX(sc_ach,3))</f>
        <v>1</v>
      </c>
      <c r="X4022" s="72">
        <f>IF('Rate Log'!$C$223="",0,IF('Rate Log'!$E$223="planned",('Rate Log'!$D$223+N(INDEX(sc_dpts,3)))*$W4022,'Rate Log'!$D$223))</f>
        <v>0</v>
      </c>
      <c r="Y4022" s="73">
        <f>IF('Rate Log'!$C$223="",0,IF(1+$X4022&gt;0,LN(1+$X4022),0))</f>
        <v>0</v>
      </c>
      <c r="Z4022" s="75">
        <f t="shared" si="1497"/>
        <v>0</v>
      </c>
      <c r="AA4022" s="75">
        <f>IF($U4022="",0,COUNTIFS(rl_key,'Rate Log'!$J$223,$V$3806:$V$4045,$V4022,$U$3806:$U$4045,"&lt;"&amp;$U4022))</f>
        <v>0</v>
      </c>
      <c r="AB4022" s="75">
        <f>IF($U4022="",0,COUNTIFS('Rate Log'!$J$7:$J$223,'Rate Log'!$J$223,$V$3806:$V4022,$V4022,$U$3806:$U4022,$U4022))</f>
        <v>0</v>
      </c>
      <c r="AC4022" s="75">
        <f t="shared" si="1498"/>
        <v>0</v>
      </c>
      <c r="AE4022" s="74" t="str">
        <f>IF('Rate Log'!$C$223="","",IF('Rate Log'!$E$223="planned",EDATE('Rate Log'!$C$223,N(INDEX(sc_shift,4))),'Rate Log'!$C$223))</f>
        <v/>
      </c>
      <c r="AF4022" s="74" t="str">
        <f t="shared" si="1499"/>
        <v/>
      </c>
      <c r="AG4022" s="72">
        <f>IF(N(INDEX(sc_ach,4))=0,IF('Rate Log'!$G$223="",1,'Rate Log'!$G$223),INDEX(sc_ach,4))</f>
        <v>1</v>
      </c>
      <c r="AH4022" s="72">
        <f>IF('Rate Log'!$C$223="",0,IF('Rate Log'!$E$223="planned",('Rate Log'!$D$223+N(INDEX(sc_dpts,4)))*$AG4022,'Rate Log'!$D$223))</f>
        <v>0</v>
      </c>
      <c r="AI4022" s="73">
        <f>IF('Rate Log'!$C$223="",0,IF(1+$AH4022&gt;0,LN(1+$AH4022),0))</f>
        <v>0</v>
      </c>
      <c r="AJ4022" s="75">
        <f t="shared" si="1500"/>
        <v>0</v>
      </c>
      <c r="AK4022" s="75">
        <f>IF($AE4022="",0,COUNTIFS(rl_key,'Rate Log'!$J$223,$AF$3806:$AF$4045,$AF4022,$AE$3806:$AE$4045,"&lt;"&amp;$AE4022))</f>
        <v>0</v>
      </c>
      <c r="AL4022" s="75">
        <f>IF($AE4022="",0,COUNTIFS('Rate Log'!$J$7:$J$223,'Rate Log'!$J$223,$AF$3806:$AF4022,$AF4022,$AE$3806:$AE4022,$AE4022))</f>
        <v>0</v>
      </c>
      <c r="AM4022" s="75">
        <f t="shared" si="1501"/>
        <v>0</v>
      </c>
    </row>
    <row r="4023" spans="1:39" x14ac:dyDescent="0.3">
      <c r="A4023" s="74" t="str">
        <f>IF('Rate Log'!$C$224="","",IF('Rate Log'!$E$224="planned",EDATE('Rate Log'!$C$224,N(INDEX(sc_shift,1))),'Rate Log'!$C$224))</f>
        <v/>
      </c>
      <c r="B4023" s="74" t="str">
        <f t="shared" si="1490"/>
        <v/>
      </c>
      <c r="C4023" s="72">
        <f>IF(N(INDEX(sc_ach,1))=0,IF('Rate Log'!$G$224="",1,'Rate Log'!$G$224),INDEX(sc_ach,1))</f>
        <v>1</v>
      </c>
      <c r="D4023" s="72">
        <f>IF('Rate Log'!$C$224="",0,IF('Rate Log'!$E$224="planned",('Rate Log'!$D$224+N(INDEX(sc_dpts,1)))*$C4023,'Rate Log'!$D$224))</f>
        <v>0</v>
      </c>
      <c r="E4023" s="73">
        <f>IF('Rate Log'!$C$224="",0,IF(1+$D4023&gt;0,LN(1+$D4023),0))</f>
        <v>0</v>
      </c>
      <c r="F4023" s="75">
        <f t="shared" si="1491"/>
        <v>0</v>
      </c>
      <c r="G4023" s="75">
        <f>IF($A4023="",0,COUNTIFS(rl_key,'Rate Log'!$J$224,$B$3806:$B$4045,$B4023,$A$3806:$A$4045,"&lt;"&amp;$A4023))</f>
        <v>0</v>
      </c>
      <c r="H4023" s="75">
        <f>IF($A4023="",0,COUNTIFS('Rate Log'!$J$7:$J$224,'Rate Log'!$J$224,$B$3806:$B4023,$B4023,$A$3806:$A4023,$A4023))</f>
        <v>0</v>
      </c>
      <c r="I4023" s="75">
        <f t="shared" si="1492"/>
        <v>0</v>
      </c>
      <c r="K4023" s="74" t="str">
        <f>IF('Rate Log'!$C$224="","",IF('Rate Log'!$E$224="planned",EDATE('Rate Log'!$C$224,N(INDEX(sc_shift,2))),'Rate Log'!$C$224))</f>
        <v/>
      </c>
      <c r="L4023" s="74" t="str">
        <f t="shared" si="1493"/>
        <v/>
      </c>
      <c r="M4023" s="72">
        <f>IF(N(INDEX(sc_ach,2))=0,IF('Rate Log'!$G$224="",1,'Rate Log'!$G$224),INDEX(sc_ach,2))</f>
        <v>1</v>
      </c>
      <c r="N4023" s="72">
        <f>IF('Rate Log'!$C$224="",0,IF('Rate Log'!$E$224="planned",('Rate Log'!$D$224+N(INDEX(sc_dpts,2)))*$M4023,'Rate Log'!$D$224))</f>
        <v>0</v>
      </c>
      <c r="O4023" s="73">
        <f>IF('Rate Log'!$C$224="",0,IF(1+$N4023&gt;0,LN(1+$N4023),0))</f>
        <v>0</v>
      </c>
      <c r="P4023" s="75">
        <f t="shared" si="1494"/>
        <v>0</v>
      </c>
      <c r="Q4023" s="75">
        <f>IF($K4023="",0,COUNTIFS(rl_key,'Rate Log'!$J$224,$L$3806:$L$4045,$L4023,$K$3806:$K$4045,"&lt;"&amp;$K4023))</f>
        <v>0</v>
      </c>
      <c r="R4023" s="75">
        <f>IF($K4023="",0,COUNTIFS('Rate Log'!$J$7:$J$224,'Rate Log'!$J$224,$L$3806:$L4023,$L4023,$K$3806:$K4023,$K4023))</f>
        <v>0</v>
      </c>
      <c r="S4023" s="75">
        <f t="shared" si="1495"/>
        <v>0</v>
      </c>
      <c r="U4023" s="74" t="str">
        <f>IF('Rate Log'!$C$224="","",IF('Rate Log'!$E$224="planned",EDATE('Rate Log'!$C$224,N(INDEX(sc_shift,3))),'Rate Log'!$C$224))</f>
        <v/>
      </c>
      <c r="V4023" s="74" t="str">
        <f t="shared" si="1496"/>
        <v/>
      </c>
      <c r="W4023" s="72">
        <f>IF(N(INDEX(sc_ach,3))=0,IF('Rate Log'!$G$224="",1,'Rate Log'!$G$224),INDEX(sc_ach,3))</f>
        <v>1</v>
      </c>
      <c r="X4023" s="72">
        <f>IF('Rate Log'!$C$224="",0,IF('Rate Log'!$E$224="planned",('Rate Log'!$D$224+N(INDEX(sc_dpts,3)))*$W4023,'Rate Log'!$D$224))</f>
        <v>0</v>
      </c>
      <c r="Y4023" s="73">
        <f>IF('Rate Log'!$C$224="",0,IF(1+$X4023&gt;0,LN(1+$X4023),0))</f>
        <v>0</v>
      </c>
      <c r="Z4023" s="75">
        <f t="shared" si="1497"/>
        <v>0</v>
      </c>
      <c r="AA4023" s="75">
        <f>IF($U4023="",0,COUNTIFS(rl_key,'Rate Log'!$J$224,$V$3806:$V$4045,$V4023,$U$3806:$U$4045,"&lt;"&amp;$U4023))</f>
        <v>0</v>
      </c>
      <c r="AB4023" s="75">
        <f>IF($U4023="",0,COUNTIFS('Rate Log'!$J$7:$J$224,'Rate Log'!$J$224,$V$3806:$V4023,$V4023,$U$3806:$U4023,$U4023))</f>
        <v>0</v>
      </c>
      <c r="AC4023" s="75">
        <f t="shared" si="1498"/>
        <v>0</v>
      </c>
      <c r="AE4023" s="74" t="str">
        <f>IF('Rate Log'!$C$224="","",IF('Rate Log'!$E$224="planned",EDATE('Rate Log'!$C$224,N(INDEX(sc_shift,4))),'Rate Log'!$C$224))</f>
        <v/>
      </c>
      <c r="AF4023" s="74" t="str">
        <f t="shared" si="1499"/>
        <v/>
      </c>
      <c r="AG4023" s="72">
        <f>IF(N(INDEX(sc_ach,4))=0,IF('Rate Log'!$G$224="",1,'Rate Log'!$G$224),INDEX(sc_ach,4))</f>
        <v>1</v>
      </c>
      <c r="AH4023" s="72">
        <f>IF('Rate Log'!$C$224="",0,IF('Rate Log'!$E$224="planned",('Rate Log'!$D$224+N(INDEX(sc_dpts,4)))*$AG4023,'Rate Log'!$D$224))</f>
        <v>0</v>
      </c>
      <c r="AI4023" s="73">
        <f>IF('Rate Log'!$C$224="",0,IF(1+$AH4023&gt;0,LN(1+$AH4023),0))</f>
        <v>0</v>
      </c>
      <c r="AJ4023" s="75">
        <f t="shared" si="1500"/>
        <v>0</v>
      </c>
      <c r="AK4023" s="75">
        <f>IF($AE4023="",0,COUNTIFS(rl_key,'Rate Log'!$J$224,$AF$3806:$AF$4045,$AF4023,$AE$3806:$AE$4045,"&lt;"&amp;$AE4023))</f>
        <v>0</v>
      </c>
      <c r="AL4023" s="75">
        <f>IF($AE4023="",0,COUNTIFS('Rate Log'!$J$7:$J$224,'Rate Log'!$J$224,$AF$3806:$AF4023,$AF4023,$AE$3806:$AE4023,$AE4023))</f>
        <v>0</v>
      </c>
      <c r="AM4023" s="75">
        <f t="shared" si="1501"/>
        <v>0</v>
      </c>
    </row>
    <row r="4024" spans="1:39" x14ac:dyDescent="0.3">
      <c r="A4024" s="74" t="str">
        <f>IF('Rate Log'!$C$225="","",IF('Rate Log'!$E$225="planned",EDATE('Rate Log'!$C$225,N(INDEX(sc_shift,1))),'Rate Log'!$C$225))</f>
        <v/>
      </c>
      <c r="B4024" s="74" t="str">
        <f t="shared" si="1490"/>
        <v/>
      </c>
      <c r="C4024" s="72">
        <f>IF(N(INDEX(sc_ach,1))=0,IF('Rate Log'!$G$225="",1,'Rate Log'!$G$225),INDEX(sc_ach,1))</f>
        <v>1</v>
      </c>
      <c r="D4024" s="72">
        <f>IF('Rate Log'!$C$225="",0,IF('Rate Log'!$E$225="planned",('Rate Log'!$D$225+N(INDEX(sc_dpts,1)))*$C4024,'Rate Log'!$D$225))</f>
        <v>0</v>
      </c>
      <c r="E4024" s="73">
        <f>IF('Rate Log'!$C$225="",0,IF(1+$D4024&gt;0,LN(1+$D4024),0))</f>
        <v>0</v>
      </c>
      <c r="F4024" s="75">
        <f t="shared" si="1491"/>
        <v>0</v>
      </c>
      <c r="G4024" s="75">
        <f>IF($A4024="",0,COUNTIFS(rl_key,'Rate Log'!$J$225,$B$3806:$B$4045,$B4024,$A$3806:$A$4045,"&lt;"&amp;$A4024))</f>
        <v>0</v>
      </c>
      <c r="H4024" s="75">
        <f>IF($A4024="",0,COUNTIFS('Rate Log'!$J$7:$J$225,'Rate Log'!$J$225,$B$3806:$B4024,$B4024,$A$3806:$A4024,$A4024))</f>
        <v>0</v>
      </c>
      <c r="I4024" s="75">
        <f t="shared" si="1492"/>
        <v>0</v>
      </c>
      <c r="K4024" s="74" t="str">
        <f>IF('Rate Log'!$C$225="","",IF('Rate Log'!$E$225="planned",EDATE('Rate Log'!$C$225,N(INDEX(sc_shift,2))),'Rate Log'!$C$225))</f>
        <v/>
      </c>
      <c r="L4024" s="74" t="str">
        <f t="shared" si="1493"/>
        <v/>
      </c>
      <c r="M4024" s="72">
        <f>IF(N(INDEX(sc_ach,2))=0,IF('Rate Log'!$G$225="",1,'Rate Log'!$G$225),INDEX(sc_ach,2))</f>
        <v>1</v>
      </c>
      <c r="N4024" s="72">
        <f>IF('Rate Log'!$C$225="",0,IF('Rate Log'!$E$225="planned",('Rate Log'!$D$225+N(INDEX(sc_dpts,2)))*$M4024,'Rate Log'!$D$225))</f>
        <v>0</v>
      </c>
      <c r="O4024" s="73">
        <f>IF('Rate Log'!$C$225="",0,IF(1+$N4024&gt;0,LN(1+$N4024),0))</f>
        <v>0</v>
      </c>
      <c r="P4024" s="75">
        <f t="shared" si="1494"/>
        <v>0</v>
      </c>
      <c r="Q4024" s="75">
        <f>IF($K4024="",0,COUNTIFS(rl_key,'Rate Log'!$J$225,$L$3806:$L$4045,$L4024,$K$3806:$K$4045,"&lt;"&amp;$K4024))</f>
        <v>0</v>
      </c>
      <c r="R4024" s="75">
        <f>IF($K4024="",0,COUNTIFS('Rate Log'!$J$7:$J$225,'Rate Log'!$J$225,$L$3806:$L4024,$L4024,$K$3806:$K4024,$K4024))</f>
        <v>0</v>
      </c>
      <c r="S4024" s="75">
        <f t="shared" si="1495"/>
        <v>0</v>
      </c>
      <c r="U4024" s="74" t="str">
        <f>IF('Rate Log'!$C$225="","",IF('Rate Log'!$E$225="planned",EDATE('Rate Log'!$C$225,N(INDEX(sc_shift,3))),'Rate Log'!$C$225))</f>
        <v/>
      </c>
      <c r="V4024" s="74" t="str">
        <f t="shared" si="1496"/>
        <v/>
      </c>
      <c r="W4024" s="72">
        <f>IF(N(INDEX(sc_ach,3))=0,IF('Rate Log'!$G$225="",1,'Rate Log'!$G$225),INDEX(sc_ach,3))</f>
        <v>1</v>
      </c>
      <c r="X4024" s="72">
        <f>IF('Rate Log'!$C$225="",0,IF('Rate Log'!$E$225="planned",('Rate Log'!$D$225+N(INDEX(sc_dpts,3)))*$W4024,'Rate Log'!$D$225))</f>
        <v>0</v>
      </c>
      <c r="Y4024" s="73">
        <f>IF('Rate Log'!$C$225="",0,IF(1+$X4024&gt;0,LN(1+$X4024),0))</f>
        <v>0</v>
      </c>
      <c r="Z4024" s="75">
        <f t="shared" si="1497"/>
        <v>0</v>
      </c>
      <c r="AA4024" s="75">
        <f>IF($U4024="",0,COUNTIFS(rl_key,'Rate Log'!$J$225,$V$3806:$V$4045,$V4024,$U$3806:$U$4045,"&lt;"&amp;$U4024))</f>
        <v>0</v>
      </c>
      <c r="AB4024" s="75">
        <f>IF($U4024="",0,COUNTIFS('Rate Log'!$J$7:$J$225,'Rate Log'!$J$225,$V$3806:$V4024,$V4024,$U$3806:$U4024,$U4024))</f>
        <v>0</v>
      </c>
      <c r="AC4024" s="75">
        <f t="shared" si="1498"/>
        <v>0</v>
      </c>
      <c r="AE4024" s="74" t="str">
        <f>IF('Rate Log'!$C$225="","",IF('Rate Log'!$E$225="planned",EDATE('Rate Log'!$C$225,N(INDEX(sc_shift,4))),'Rate Log'!$C$225))</f>
        <v/>
      </c>
      <c r="AF4024" s="74" t="str">
        <f t="shared" si="1499"/>
        <v/>
      </c>
      <c r="AG4024" s="72">
        <f>IF(N(INDEX(sc_ach,4))=0,IF('Rate Log'!$G$225="",1,'Rate Log'!$G$225),INDEX(sc_ach,4))</f>
        <v>1</v>
      </c>
      <c r="AH4024" s="72">
        <f>IF('Rate Log'!$C$225="",0,IF('Rate Log'!$E$225="planned",('Rate Log'!$D$225+N(INDEX(sc_dpts,4)))*$AG4024,'Rate Log'!$D$225))</f>
        <v>0</v>
      </c>
      <c r="AI4024" s="73">
        <f>IF('Rate Log'!$C$225="",0,IF(1+$AH4024&gt;0,LN(1+$AH4024),0))</f>
        <v>0</v>
      </c>
      <c r="AJ4024" s="75">
        <f t="shared" si="1500"/>
        <v>0</v>
      </c>
      <c r="AK4024" s="75">
        <f>IF($AE4024="",0,COUNTIFS(rl_key,'Rate Log'!$J$225,$AF$3806:$AF$4045,$AF4024,$AE$3806:$AE$4045,"&lt;"&amp;$AE4024))</f>
        <v>0</v>
      </c>
      <c r="AL4024" s="75">
        <f>IF($AE4024="",0,COUNTIFS('Rate Log'!$J$7:$J$225,'Rate Log'!$J$225,$AF$3806:$AF4024,$AF4024,$AE$3806:$AE4024,$AE4024))</f>
        <v>0</v>
      </c>
      <c r="AM4024" s="75">
        <f t="shared" si="1501"/>
        <v>0</v>
      </c>
    </row>
    <row r="4025" spans="1:39" x14ac:dyDescent="0.3">
      <c r="A4025" s="74" t="str">
        <f>IF('Rate Log'!$C$226="","",IF('Rate Log'!$E$226="planned",EDATE('Rate Log'!$C$226,N(INDEX(sc_shift,1))),'Rate Log'!$C$226))</f>
        <v/>
      </c>
      <c r="B4025" s="74" t="str">
        <f t="shared" si="1490"/>
        <v/>
      </c>
      <c r="C4025" s="72">
        <f>IF(N(INDEX(sc_ach,1))=0,IF('Rate Log'!$G$226="",1,'Rate Log'!$G$226),INDEX(sc_ach,1))</f>
        <v>1</v>
      </c>
      <c r="D4025" s="72">
        <f>IF('Rate Log'!$C$226="",0,IF('Rate Log'!$E$226="planned",('Rate Log'!$D$226+N(INDEX(sc_dpts,1)))*$C4025,'Rate Log'!$D$226))</f>
        <v>0</v>
      </c>
      <c r="E4025" s="73">
        <f>IF('Rate Log'!$C$226="",0,IF(1+$D4025&gt;0,LN(1+$D4025),0))</f>
        <v>0</v>
      </c>
      <c r="F4025" s="75">
        <f t="shared" si="1491"/>
        <v>0</v>
      </c>
      <c r="G4025" s="75">
        <f>IF($A4025="",0,COUNTIFS(rl_key,'Rate Log'!$J$226,$B$3806:$B$4045,$B4025,$A$3806:$A$4045,"&lt;"&amp;$A4025))</f>
        <v>0</v>
      </c>
      <c r="H4025" s="75">
        <f>IF($A4025="",0,COUNTIFS('Rate Log'!$J$7:$J$226,'Rate Log'!$J$226,$B$3806:$B4025,$B4025,$A$3806:$A4025,$A4025))</f>
        <v>0</v>
      </c>
      <c r="I4025" s="75">
        <f t="shared" si="1492"/>
        <v>0</v>
      </c>
      <c r="K4025" s="74" t="str">
        <f>IF('Rate Log'!$C$226="","",IF('Rate Log'!$E$226="planned",EDATE('Rate Log'!$C$226,N(INDEX(sc_shift,2))),'Rate Log'!$C$226))</f>
        <v/>
      </c>
      <c r="L4025" s="74" t="str">
        <f t="shared" si="1493"/>
        <v/>
      </c>
      <c r="M4025" s="72">
        <f>IF(N(INDEX(sc_ach,2))=0,IF('Rate Log'!$G$226="",1,'Rate Log'!$G$226),INDEX(sc_ach,2))</f>
        <v>1</v>
      </c>
      <c r="N4025" s="72">
        <f>IF('Rate Log'!$C$226="",0,IF('Rate Log'!$E$226="planned",('Rate Log'!$D$226+N(INDEX(sc_dpts,2)))*$M4025,'Rate Log'!$D$226))</f>
        <v>0</v>
      </c>
      <c r="O4025" s="73">
        <f>IF('Rate Log'!$C$226="",0,IF(1+$N4025&gt;0,LN(1+$N4025),0))</f>
        <v>0</v>
      </c>
      <c r="P4025" s="75">
        <f t="shared" si="1494"/>
        <v>0</v>
      </c>
      <c r="Q4025" s="75">
        <f>IF($K4025="",0,COUNTIFS(rl_key,'Rate Log'!$J$226,$L$3806:$L$4045,$L4025,$K$3806:$K$4045,"&lt;"&amp;$K4025))</f>
        <v>0</v>
      </c>
      <c r="R4025" s="75">
        <f>IF($K4025="",0,COUNTIFS('Rate Log'!$J$7:$J$226,'Rate Log'!$J$226,$L$3806:$L4025,$L4025,$K$3806:$K4025,$K4025))</f>
        <v>0</v>
      </c>
      <c r="S4025" s="75">
        <f t="shared" si="1495"/>
        <v>0</v>
      </c>
      <c r="U4025" s="74" t="str">
        <f>IF('Rate Log'!$C$226="","",IF('Rate Log'!$E$226="planned",EDATE('Rate Log'!$C$226,N(INDEX(sc_shift,3))),'Rate Log'!$C$226))</f>
        <v/>
      </c>
      <c r="V4025" s="74" t="str">
        <f t="shared" si="1496"/>
        <v/>
      </c>
      <c r="W4025" s="72">
        <f>IF(N(INDEX(sc_ach,3))=0,IF('Rate Log'!$G$226="",1,'Rate Log'!$G$226),INDEX(sc_ach,3))</f>
        <v>1</v>
      </c>
      <c r="X4025" s="72">
        <f>IF('Rate Log'!$C$226="",0,IF('Rate Log'!$E$226="planned",('Rate Log'!$D$226+N(INDEX(sc_dpts,3)))*$W4025,'Rate Log'!$D$226))</f>
        <v>0</v>
      </c>
      <c r="Y4025" s="73">
        <f>IF('Rate Log'!$C$226="",0,IF(1+$X4025&gt;0,LN(1+$X4025),0))</f>
        <v>0</v>
      </c>
      <c r="Z4025" s="75">
        <f t="shared" si="1497"/>
        <v>0</v>
      </c>
      <c r="AA4025" s="75">
        <f>IF($U4025="",0,COUNTIFS(rl_key,'Rate Log'!$J$226,$V$3806:$V$4045,$V4025,$U$3806:$U$4045,"&lt;"&amp;$U4025))</f>
        <v>0</v>
      </c>
      <c r="AB4025" s="75">
        <f>IF($U4025="",0,COUNTIFS('Rate Log'!$J$7:$J$226,'Rate Log'!$J$226,$V$3806:$V4025,$V4025,$U$3806:$U4025,$U4025))</f>
        <v>0</v>
      </c>
      <c r="AC4025" s="75">
        <f t="shared" si="1498"/>
        <v>0</v>
      </c>
      <c r="AE4025" s="74" t="str">
        <f>IF('Rate Log'!$C$226="","",IF('Rate Log'!$E$226="planned",EDATE('Rate Log'!$C$226,N(INDEX(sc_shift,4))),'Rate Log'!$C$226))</f>
        <v/>
      </c>
      <c r="AF4025" s="74" t="str">
        <f t="shared" si="1499"/>
        <v/>
      </c>
      <c r="AG4025" s="72">
        <f>IF(N(INDEX(sc_ach,4))=0,IF('Rate Log'!$G$226="",1,'Rate Log'!$G$226),INDEX(sc_ach,4))</f>
        <v>1</v>
      </c>
      <c r="AH4025" s="72">
        <f>IF('Rate Log'!$C$226="",0,IF('Rate Log'!$E$226="planned",('Rate Log'!$D$226+N(INDEX(sc_dpts,4)))*$AG4025,'Rate Log'!$D$226))</f>
        <v>0</v>
      </c>
      <c r="AI4025" s="73">
        <f>IF('Rate Log'!$C$226="",0,IF(1+$AH4025&gt;0,LN(1+$AH4025),0))</f>
        <v>0</v>
      </c>
      <c r="AJ4025" s="75">
        <f t="shared" si="1500"/>
        <v>0</v>
      </c>
      <c r="AK4025" s="75">
        <f>IF($AE4025="",0,COUNTIFS(rl_key,'Rate Log'!$J$226,$AF$3806:$AF$4045,$AF4025,$AE$3806:$AE$4045,"&lt;"&amp;$AE4025))</f>
        <v>0</v>
      </c>
      <c r="AL4025" s="75">
        <f>IF($AE4025="",0,COUNTIFS('Rate Log'!$J$7:$J$226,'Rate Log'!$J$226,$AF$3806:$AF4025,$AF4025,$AE$3806:$AE4025,$AE4025))</f>
        <v>0</v>
      </c>
      <c r="AM4025" s="75">
        <f t="shared" si="1501"/>
        <v>0</v>
      </c>
    </row>
    <row r="4026" spans="1:39" x14ac:dyDescent="0.3">
      <c r="A4026" s="74" t="str">
        <f>IF('Rate Log'!$C$227="","",IF('Rate Log'!$E$227="planned",EDATE('Rate Log'!$C$227,N(INDEX(sc_shift,1))),'Rate Log'!$C$227))</f>
        <v/>
      </c>
      <c r="B4026" s="74" t="str">
        <f t="shared" si="1490"/>
        <v/>
      </c>
      <c r="C4026" s="72">
        <f>IF(N(INDEX(sc_ach,1))=0,IF('Rate Log'!$G$227="",1,'Rate Log'!$G$227),INDEX(sc_ach,1))</f>
        <v>1</v>
      </c>
      <c r="D4026" s="72">
        <f>IF('Rate Log'!$C$227="",0,IF('Rate Log'!$E$227="planned",('Rate Log'!$D$227+N(INDEX(sc_dpts,1)))*$C4026,'Rate Log'!$D$227))</f>
        <v>0</v>
      </c>
      <c r="E4026" s="73">
        <f>IF('Rate Log'!$C$227="",0,IF(1+$D4026&gt;0,LN(1+$D4026),0))</f>
        <v>0</v>
      </c>
      <c r="F4026" s="75">
        <f t="shared" si="1491"/>
        <v>0</v>
      </c>
      <c r="G4026" s="75">
        <f>IF($A4026="",0,COUNTIFS(rl_key,'Rate Log'!$J$227,$B$3806:$B$4045,$B4026,$A$3806:$A$4045,"&lt;"&amp;$A4026))</f>
        <v>0</v>
      </c>
      <c r="H4026" s="75">
        <f>IF($A4026="",0,COUNTIFS('Rate Log'!$J$7:$J$227,'Rate Log'!$J$227,$B$3806:$B4026,$B4026,$A$3806:$A4026,$A4026))</f>
        <v>0</v>
      </c>
      <c r="I4026" s="75">
        <f t="shared" si="1492"/>
        <v>0</v>
      </c>
      <c r="K4026" s="74" t="str">
        <f>IF('Rate Log'!$C$227="","",IF('Rate Log'!$E$227="planned",EDATE('Rate Log'!$C$227,N(INDEX(sc_shift,2))),'Rate Log'!$C$227))</f>
        <v/>
      </c>
      <c r="L4026" s="74" t="str">
        <f t="shared" si="1493"/>
        <v/>
      </c>
      <c r="M4026" s="72">
        <f>IF(N(INDEX(sc_ach,2))=0,IF('Rate Log'!$G$227="",1,'Rate Log'!$G$227),INDEX(sc_ach,2))</f>
        <v>1</v>
      </c>
      <c r="N4026" s="72">
        <f>IF('Rate Log'!$C$227="",0,IF('Rate Log'!$E$227="planned",('Rate Log'!$D$227+N(INDEX(sc_dpts,2)))*$M4026,'Rate Log'!$D$227))</f>
        <v>0</v>
      </c>
      <c r="O4026" s="73">
        <f>IF('Rate Log'!$C$227="",0,IF(1+$N4026&gt;0,LN(1+$N4026),0))</f>
        <v>0</v>
      </c>
      <c r="P4026" s="75">
        <f t="shared" si="1494"/>
        <v>0</v>
      </c>
      <c r="Q4026" s="75">
        <f>IF($K4026="",0,COUNTIFS(rl_key,'Rate Log'!$J$227,$L$3806:$L$4045,$L4026,$K$3806:$K$4045,"&lt;"&amp;$K4026))</f>
        <v>0</v>
      </c>
      <c r="R4026" s="75">
        <f>IF($K4026="",0,COUNTIFS('Rate Log'!$J$7:$J$227,'Rate Log'!$J$227,$L$3806:$L4026,$L4026,$K$3806:$K4026,$K4026))</f>
        <v>0</v>
      </c>
      <c r="S4026" s="75">
        <f t="shared" si="1495"/>
        <v>0</v>
      </c>
      <c r="U4026" s="74" t="str">
        <f>IF('Rate Log'!$C$227="","",IF('Rate Log'!$E$227="planned",EDATE('Rate Log'!$C$227,N(INDEX(sc_shift,3))),'Rate Log'!$C$227))</f>
        <v/>
      </c>
      <c r="V4026" s="74" t="str">
        <f t="shared" si="1496"/>
        <v/>
      </c>
      <c r="W4026" s="72">
        <f>IF(N(INDEX(sc_ach,3))=0,IF('Rate Log'!$G$227="",1,'Rate Log'!$G$227),INDEX(sc_ach,3))</f>
        <v>1</v>
      </c>
      <c r="X4026" s="72">
        <f>IF('Rate Log'!$C$227="",0,IF('Rate Log'!$E$227="planned",('Rate Log'!$D$227+N(INDEX(sc_dpts,3)))*$W4026,'Rate Log'!$D$227))</f>
        <v>0</v>
      </c>
      <c r="Y4026" s="73">
        <f>IF('Rate Log'!$C$227="",0,IF(1+$X4026&gt;0,LN(1+$X4026),0))</f>
        <v>0</v>
      </c>
      <c r="Z4026" s="75">
        <f t="shared" si="1497"/>
        <v>0</v>
      </c>
      <c r="AA4026" s="75">
        <f>IF($U4026="",0,COUNTIFS(rl_key,'Rate Log'!$J$227,$V$3806:$V$4045,$V4026,$U$3806:$U$4045,"&lt;"&amp;$U4026))</f>
        <v>0</v>
      </c>
      <c r="AB4026" s="75">
        <f>IF($U4026="",0,COUNTIFS('Rate Log'!$J$7:$J$227,'Rate Log'!$J$227,$V$3806:$V4026,$V4026,$U$3806:$U4026,$U4026))</f>
        <v>0</v>
      </c>
      <c r="AC4026" s="75">
        <f t="shared" si="1498"/>
        <v>0</v>
      </c>
      <c r="AE4026" s="74" t="str">
        <f>IF('Rate Log'!$C$227="","",IF('Rate Log'!$E$227="planned",EDATE('Rate Log'!$C$227,N(INDEX(sc_shift,4))),'Rate Log'!$C$227))</f>
        <v/>
      </c>
      <c r="AF4026" s="74" t="str">
        <f t="shared" si="1499"/>
        <v/>
      </c>
      <c r="AG4026" s="72">
        <f>IF(N(INDEX(sc_ach,4))=0,IF('Rate Log'!$G$227="",1,'Rate Log'!$G$227),INDEX(sc_ach,4))</f>
        <v>1</v>
      </c>
      <c r="AH4026" s="72">
        <f>IF('Rate Log'!$C$227="",0,IF('Rate Log'!$E$227="planned",('Rate Log'!$D$227+N(INDEX(sc_dpts,4)))*$AG4026,'Rate Log'!$D$227))</f>
        <v>0</v>
      </c>
      <c r="AI4026" s="73">
        <f>IF('Rate Log'!$C$227="",0,IF(1+$AH4026&gt;0,LN(1+$AH4026),0))</f>
        <v>0</v>
      </c>
      <c r="AJ4026" s="75">
        <f t="shared" si="1500"/>
        <v>0</v>
      </c>
      <c r="AK4026" s="75">
        <f>IF($AE4026="",0,COUNTIFS(rl_key,'Rate Log'!$J$227,$AF$3806:$AF$4045,$AF4026,$AE$3806:$AE$4045,"&lt;"&amp;$AE4026))</f>
        <v>0</v>
      </c>
      <c r="AL4026" s="75">
        <f>IF($AE4026="",0,COUNTIFS('Rate Log'!$J$7:$J$227,'Rate Log'!$J$227,$AF$3806:$AF4026,$AF4026,$AE$3806:$AE4026,$AE4026))</f>
        <v>0</v>
      </c>
      <c r="AM4026" s="75">
        <f t="shared" si="1501"/>
        <v>0</v>
      </c>
    </row>
    <row r="4027" spans="1:39" x14ac:dyDescent="0.3">
      <c r="A4027" s="74" t="str">
        <f>IF('Rate Log'!$C$228="","",IF('Rate Log'!$E$228="planned",EDATE('Rate Log'!$C$228,N(INDEX(sc_shift,1))),'Rate Log'!$C$228))</f>
        <v/>
      </c>
      <c r="B4027" s="74" t="str">
        <f t="shared" si="1490"/>
        <v/>
      </c>
      <c r="C4027" s="72">
        <f>IF(N(INDEX(sc_ach,1))=0,IF('Rate Log'!$G$228="",1,'Rate Log'!$G$228),INDEX(sc_ach,1))</f>
        <v>1</v>
      </c>
      <c r="D4027" s="72">
        <f>IF('Rate Log'!$C$228="",0,IF('Rate Log'!$E$228="planned",('Rate Log'!$D$228+N(INDEX(sc_dpts,1)))*$C4027,'Rate Log'!$D$228))</f>
        <v>0</v>
      </c>
      <c r="E4027" s="73">
        <f>IF('Rate Log'!$C$228="",0,IF(1+$D4027&gt;0,LN(1+$D4027),0))</f>
        <v>0</v>
      </c>
      <c r="F4027" s="75">
        <f t="shared" si="1491"/>
        <v>0</v>
      </c>
      <c r="G4027" s="75">
        <f>IF($A4027="",0,COUNTIFS(rl_key,'Rate Log'!$J$228,$B$3806:$B$4045,$B4027,$A$3806:$A$4045,"&lt;"&amp;$A4027))</f>
        <v>0</v>
      </c>
      <c r="H4027" s="75">
        <f>IF($A4027="",0,COUNTIFS('Rate Log'!$J$7:$J$228,'Rate Log'!$J$228,$B$3806:$B4027,$B4027,$A$3806:$A4027,$A4027))</f>
        <v>0</v>
      </c>
      <c r="I4027" s="75">
        <f t="shared" si="1492"/>
        <v>0</v>
      </c>
      <c r="K4027" s="74" t="str">
        <f>IF('Rate Log'!$C$228="","",IF('Rate Log'!$E$228="planned",EDATE('Rate Log'!$C$228,N(INDEX(sc_shift,2))),'Rate Log'!$C$228))</f>
        <v/>
      </c>
      <c r="L4027" s="74" t="str">
        <f t="shared" si="1493"/>
        <v/>
      </c>
      <c r="M4027" s="72">
        <f>IF(N(INDEX(sc_ach,2))=0,IF('Rate Log'!$G$228="",1,'Rate Log'!$G$228),INDEX(sc_ach,2))</f>
        <v>1</v>
      </c>
      <c r="N4027" s="72">
        <f>IF('Rate Log'!$C$228="",0,IF('Rate Log'!$E$228="planned",('Rate Log'!$D$228+N(INDEX(sc_dpts,2)))*$M4027,'Rate Log'!$D$228))</f>
        <v>0</v>
      </c>
      <c r="O4027" s="73">
        <f>IF('Rate Log'!$C$228="",0,IF(1+$N4027&gt;0,LN(1+$N4027),0))</f>
        <v>0</v>
      </c>
      <c r="P4027" s="75">
        <f t="shared" si="1494"/>
        <v>0</v>
      </c>
      <c r="Q4027" s="75">
        <f>IF($K4027="",0,COUNTIFS(rl_key,'Rate Log'!$J$228,$L$3806:$L$4045,$L4027,$K$3806:$K$4045,"&lt;"&amp;$K4027))</f>
        <v>0</v>
      </c>
      <c r="R4027" s="75">
        <f>IF($K4027="",0,COUNTIFS('Rate Log'!$J$7:$J$228,'Rate Log'!$J$228,$L$3806:$L4027,$L4027,$K$3806:$K4027,$K4027))</f>
        <v>0</v>
      </c>
      <c r="S4027" s="75">
        <f t="shared" si="1495"/>
        <v>0</v>
      </c>
      <c r="U4027" s="74" t="str">
        <f>IF('Rate Log'!$C$228="","",IF('Rate Log'!$E$228="planned",EDATE('Rate Log'!$C$228,N(INDEX(sc_shift,3))),'Rate Log'!$C$228))</f>
        <v/>
      </c>
      <c r="V4027" s="74" t="str">
        <f t="shared" si="1496"/>
        <v/>
      </c>
      <c r="W4027" s="72">
        <f>IF(N(INDEX(sc_ach,3))=0,IF('Rate Log'!$G$228="",1,'Rate Log'!$G$228),INDEX(sc_ach,3))</f>
        <v>1</v>
      </c>
      <c r="X4027" s="72">
        <f>IF('Rate Log'!$C$228="",0,IF('Rate Log'!$E$228="planned",('Rate Log'!$D$228+N(INDEX(sc_dpts,3)))*$W4027,'Rate Log'!$D$228))</f>
        <v>0</v>
      </c>
      <c r="Y4027" s="73">
        <f>IF('Rate Log'!$C$228="",0,IF(1+$X4027&gt;0,LN(1+$X4027),0))</f>
        <v>0</v>
      </c>
      <c r="Z4027" s="75">
        <f t="shared" si="1497"/>
        <v>0</v>
      </c>
      <c r="AA4027" s="75">
        <f>IF($U4027="",0,COUNTIFS(rl_key,'Rate Log'!$J$228,$V$3806:$V$4045,$V4027,$U$3806:$U$4045,"&lt;"&amp;$U4027))</f>
        <v>0</v>
      </c>
      <c r="AB4027" s="75">
        <f>IF($U4027="",0,COUNTIFS('Rate Log'!$J$7:$J$228,'Rate Log'!$J$228,$V$3806:$V4027,$V4027,$U$3806:$U4027,$U4027))</f>
        <v>0</v>
      </c>
      <c r="AC4027" s="75">
        <f t="shared" si="1498"/>
        <v>0</v>
      </c>
      <c r="AE4027" s="74" t="str">
        <f>IF('Rate Log'!$C$228="","",IF('Rate Log'!$E$228="planned",EDATE('Rate Log'!$C$228,N(INDEX(sc_shift,4))),'Rate Log'!$C$228))</f>
        <v/>
      </c>
      <c r="AF4027" s="74" t="str">
        <f t="shared" si="1499"/>
        <v/>
      </c>
      <c r="AG4027" s="72">
        <f>IF(N(INDEX(sc_ach,4))=0,IF('Rate Log'!$G$228="",1,'Rate Log'!$G$228),INDEX(sc_ach,4))</f>
        <v>1</v>
      </c>
      <c r="AH4027" s="72">
        <f>IF('Rate Log'!$C$228="",0,IF('Rate Log'!$E$228="planned",('Rate Log'!$D$228+N(INDEX(sc_dpts,4)))*$AG4027,'Rate Log'!$D$228))</f>
        <v>0</v>
      </c>
      <c r="AI4027" s="73">
        <f>IF('Rate Log'!$C$228="",0,IF(1+$AH4027&gt;0,LN(1+$AH4027),0))</f>
        <v>0</v>
      </c>
      <c r="AJ4027" s="75">
        <f t="shared" si="1500"/>
        <v>0</v>
      </c>
      <c r="AK4027" s="75">
        <f>IF($AE4027="",0,COUNTIFS(rl_key,'Rate Log'!$J$228,$AF$3806:$AF$4045,$AF4027,$AE$3806:$AE$4045,"&lt;"&amp;$AE4027))</f>
        <v>0</v>
      </c>
      <c r="AL4027" s="75">
        <f>IF($AE4027="",0,COUNTIFS('Rate Log'!$J$7:$J$228,'Rate Log'!$J$228,$AF$3806:$AF4027,$AF4027,$AE$3806:$AE4027,$AE4027))</f>
        <v>0</v>
      </c>
      <c r="AM4027" s="75">
        <f t="shared" si="1501"/>
        <v>0</v>
      </c>
    </row>
    <row r="4028" spans="1:39" x14ac:dyDescent="0.3">
      <c r="A4028" s="74" t="str">
        <f>IF('Rate Log'!$C$229="","",IF('Rate Log'!$E$229="planned",EDATE('Rate Log'!$C$229,N(INDEX(sc_shift,1))),'Rate Log'!$C$229))</f>
        <v/>
      </c>
      <c r="B4028" s="74" t="str">
        <f t="shared" si="1490"/>
        <v/>
      </c>
      <c r="C4028" s="72">
        <f>IF(N(INDEX(sc_ach,1))=0,IF('Rate Log'!$G$229="",1,'Rate Log'!$G$229),INDEX(sc_ach,1))</f>
        <v>1</v>
      </c>
      <c r="D4028" s="72">
        <f>IF('Rate Log'!$C$229="",0,IF('Rate Log'!$E$229="planned",('Rate Log'!$D$229+N(INDEX(sc_dpts,1)))*$C4028,'Rate Log'!$D$229))</f>
        <v>0</v>
      </c>
      <c r="E4028" s="73">
        <f>IF('Rate Log'!$C$229="",0,IF(1+$D4028&gt;0,LN(1+$D4028),0))</f>
        <v>0</v>
      </c>
      <c r="F4028" s="75">
        <f t="shared" si="1491"/>
        <v>0</v>
      </c>
      <c r="G4028" s="75">
        <f>IF($A4028="",0,COUNTIFS(rl_key,'Rate Log'!$J$229,$B$3806:$B$4045,$B4028,$A$3806:$A$4045,"&lt;"&amp;$A4028))</f>
        <v>0</v>
      </c>
      <c r="H4028" s="75">
        <f>IF($A4028="",0,COUNTIFS('Rate Log'!$J$7:$J$229,'Rate Log'!$J$229,$B$3806:$B4028,$B4028,$A$3806:$A4028,$A4028))</f>
        <v>0</v>
      </c>
      <c r="I4028" s="75">
        <f t="shared" si="1492"/>
        <v>0</v>
      </c>
      <c r="K4028" s="74" t="str">
        <f>IF('Rate Log'!$C$229="","",IF('Rate Log'!$E$229="planned",EDATE('Rate Log'!$C$229,N(INDEX(sc_shift,2))),'Rate Log'!$C$229))</f>
        <v/>
      </c>
      <c r="L4028" s="74" t="str">
        <f t="shared" si="1493"/>
        <v/>
      </c>
      <c r="M4028" s="72">
        <f>IF(N(INDEX(sc_ach,2))=0,IF('Rate Log'!$G$229="",1,'Rate Log'!$G$229),INDEX(sc_ach,2))</f>
        <v>1</v>
      </c>
      <c r="N4028" s="72">
        <f>IF('Rate Log'!$C$229="",0,IF('Rate Log'!$E$229="planned",('Rate Log'!$D$229+N(INDEX(sc_dpts,2)))*$M4028,'Rate Log'!$D$229))</f>
        <v>0</v>
      </c>
      <c r="O4028" s="73">
        <f>IF('Rate Log'!$C$229="",0,IF(1+$N4028&gt;0,LN(1+$N4028),0))</f>
        <v>0</v>
      </c>
      <c r="P4028" s="75">
        <f t="shared" si="1494"/>
        <v>0</v>
      </c>
      <c r="Q4028" s="75">
        <f>IF($K4028="",0,COUNTIFS(rl_key,'Rate Log'!$J$229,$L$3806:$L$4045,$L4028,$K$3806:$K$4045,"&lt;"&amp;$K4028))</f>
        <v>0</v>
      </c>
      <c r="R4028" s="75">
        <f>IF($K4028="",0,COUNTIFS('Rate Log'!$J$7:$J$229,'Rate Log'!$J$229,$L$3806:$L4028,$L4028,$K$3806:$K4028,$K4028))</f>
        <v>0</v>
      </c>
      <c r="S4028" s="75">
        <f t="shared" si="1495"/>
        <v>0</v>
      </c>
      <c r="U4028" s="74" t="str">
        <f>IF('Rate Log'!$C$229="","",IF('Rate Log'!$E$229="planned",EDATE('Rate Log'!$C$229,N(INDEX(sc_shift,3))),'Rate Log'!$C$229))</f>
        <v/>
      </c>
      <c r="V4028" s="74" t="str">
        <f t="shared" si="1496"/>
        <v/>
      </c>
      <c r="W4028" s="72">
        <f>IF(N(INDEX(sc_ach,3))=0,IF('Rate Log'!$G$229="",1,'Rate Log'!$G$229),INDEX(sc_ach,3))</f>
        <v>1</v>
      </c>
      <c r="X4028" s="72">
        <f>IF('Rate Log'!$C$229="",0,IF('Rate Log'!$E$229="planned",('Rate Log'!$D$229+N(INDEX(sc_dpts,3)))*$W4028,'Rate Log'!$D$229))</f>
        <v>0</v>
      </c>
      <c r="Y4028" s="73">
        <f>IF('Rate Log'!$C$229="",0,IF(1+$X4028&gt;0,LN(1+$X4028),0))</f>
        <v>0</v>
      </c>
      <c r="Z4028" s="75">
        <f t="shared" si="1497"/>
        <v>0</v>
      </c>
      <c r="AA4028" s="75">
        <f>IF($U4028="",0,COUNTIFS(rl_key,'Rate Log'!$J$229,$V$3806:$V$4045,$V4028,$U$3806:$U$4045,"&lt;"&amp;$U4028))</f>
        <v>0</v>
      </c>
      <c r="AB4028" s="75">
        <f>IF($U4028="",0,COUNTIFS('Rate Log'!$J$7:$J$229,'Rate Log'!$J$229,$V$3806:$V4028,$V4028,$U$3806:$U4028,$U4028))</f>
        <v>0</v>
      </c>
      <c r="AC4028" s="75">
        <f t="shared" si="1498"/>
        <v>0</v>
      </c>
      <c r="AE4028" s="74" t="str">
        <f>IF('Rate Log'!$C$229="","",IF('Rate Log'!$E$229="planned",EDATE('Rate Log'!$C$229,N(INDEX(sc_shift,4))),'Rate Log'!$C$229))</f>
        <v/>
      </c>
      <c r="AF4028" s="74" t="str">
        <f t="shared" si="1499"/>
        <v/>
      </c>
      <c r="AG4028" s="72">
        <f>IF(N(INDEX(sc_ach,4))=0,IF('Rate Log'!$G$229="",1,'Rate Log'!$G$229),INDEX(sc_ach,4))</f>
        <v>1</v>
      </c>
      <c r="AH4028" s="72">
        <f>IF('Rate Log'!$C$229="",0,IF('Rate Log'!$E$229="planned",('Rate Log'!$D$229+N(INDEX(sc_dpts,4)))*$AG4028,'Rate Log'!$D$229))</f>
        <v>0</v>
      </c>
      <c r="AI4028" s="73">
        <f>IF('Rate Log'!$C$229="",0,IF(1+$AH4028&gt;0,LN(1+$AH4028),0))</f>
        <v>0</v>
      </c>
      <c r="AJ4028" s="75">
        <f t="shared" si="1500"/>
        <v>0</v>
      </c>
      <c r="AK4028" s="75">
        <f>IF($AE4028="",0,COUNTIFS(rl_key,'Rate Log'!$J$229,$AF$3806:$AF$4045,$AF4028,$AE$3806:$AE$4045,"&lt;"&amp;$AE4028))</f>
        <v>0</v>
      </c>
      <c r="AL4028" s="75">
        <f>IF($AE4028="",0,COUNTIFS('Rate Log'!$J$7:$J$229,'Rate Log'!$J$229,$AF$3806:$AF4028,$AF4028,$AE$3806:$AE4028,$AE4028))</f>
        <v>0</v>
      </c>
      <c r="AM4028" s="75">
        <f t="shared" si="1501"/>
        <v>0</v>
      </c>
    </row>
    <row r="4029" spans="1:39" x14ac:dyDescent="0.3">
      <c r="A4029" s="74" t="str">
        <f>IF('Rate Log'!$C$230="","",IF('Rate Log'!$E$230="planned",EDATE('Rate Log'!$C$230,N(INDEX(sc_shift,1))),'Rate Log'!$C$230))</f>
        <v/>
      </c>
      <c r="B4029" s="74" t="str">
        <f t="shared" si="1490"/>
        <v/>
      </c>
      <c r="C4029" s="72">
        <f>IF(N(INDEX(sc_ach,1))=0,IF('Rate Log'!$G$230="",1,'Rate Log'!$G$230),INDEX(sc_ach,1))</f>
        <v>1</v>
      </c>
      <c r="D4029" s="72">
        <f>IF('Rate Log'!$C$230="",0,IF('Rate Log'!$E$230="planned",('Rate Log'!$D$230+N(INDEX(sc_dpts,1)))*$C4029,'Rate Log'!$D$230))</f>
        <v>0</v>
      </c>
      <c r="E4029" s="73">
        <f>IF('Rate Log'!$C$230="",0,IF(1+$D4029&gt;0,LN(1+$D4029),0))</f>
        <v>0</v>
      </c>
      <c r="F4029" s="75">
        <f t="shared" si="1491"/>
        <v>0</v>
      </c>
      <c r="G4029" s="75">
        <f>IF($A4029="",0,COUNTIFS(rl_key,'Rate Log'!$J$230,$B$3806:$B$4045,$B4029,$A$3806:$A$4045,"&lt;"&amp;$A4029))</f>
        <v>0</v>
      </c>
      <c r="H4029" s="75">
        <f>IF($A4029="",0,COUNTIFS('Rate Log'!$J$7:$J$230,'Rate Log'!$J$230,$B$3806:$B4029,$B4029,$A$3806:$A4029,$A4029))</f>
        <v>0</v>
      </c>
      <c r="I4029" s="75">
        <f t="shared" si="1492"/>
        <v>0</v>
      </c>
      <c r="K4029" s="74" t="str">
        <f>IF('Rate Log'!$C$230="","",IF('Rate Log'!$E$230="planned",EDATE('Rate Log'!$C$230,N(INDEX(sc_shift,2))),'Rate Log'!$C$230))</f>
        <v/>
      </c>
      <c r="L4029" s="74" t="str">
        <f t="shared" si="1493"/>
        <v/>
      </c>
      <c r="M4029" s="72">
        <f>IF(N(INDEX(sc_ach,2))=0,IF('Rate Log'!$G$230="",1,'Rate Log'!$G$230),INDEX(sc_ach,2))</f>
        <v>1</v>
      </c>
      <c r="N4029" s="72">
        <f>IF('Rate Log'!$C$230="",0,IF('Rate Log'!$E$230="planned",('Rate Log'!$D$230+N(INDEX(sc_dpts,2)))*$M4029,'Rate Log'!$D$230))</f>
        <v>0</v>
      </c>
      <c r="O4029" s="73">
        <f>IF('Rate Log'!$C$230="",0,IF(1+$N4029&gt;0,LN(1+$N4029),0))</f>
        <v>0</v>
      </c>
      <c r="P4029" s="75">
        <f t="shared" si="1494"/>
        <v>0</v>
      </c>
      <c r="Q4029" s="75">
        <f>IF($K4029="",0,COUNTIFS(rl_key,'Rate Log'!$J$230,$L$3806:$L$4045,$L4029,$K$3806:$K$4045,"&lt;"&amp;$K4029))</f>
        <v>0</v>
      </c>
      <c r="R4029" s="75">
        <f>IF($K4029="",0,COUNTIFS('Rate Log'!$J$7:$J$230,'Rate Log'!$J$230,$L$3806:$L4029,$L4029,$K$3806:$K4029,$K4029))</f>
        <v>0</v>
      </c>
      <c r="S4029" s="75">
        <f t="shared" si="1495"/>
        <v>0</v>
      </c>
      <c r="U4029" s="74" t="str">
        <f>IF('Rate Log'!$C$230="","",IF('Rate Log'!$E$230="planned",EDATE('Rate Log'!$C$230,N(INDEX(sc_shift,3))),'Rate Log'!$C$230))</f>
        <v/>
      </c>
      <c r="V4029" s="74" t="str">
        <f t="shared" si="1496"/>
        <v/>
      </c>
      <c r="W4029" s="72">
        <f>IF(N(INDEX(sc_ach,3))=0,IF('Rate Log'!$G$230="",1,'Rate Log'!$G$230),INDEX(sc_ach,3))</f>
        <v>1</v>
      </c>
      <c r="X4029" s="72">
        <f>IF('Rate Log'!$C$230="",0,IF('Rate Log'!$E$230="planned",('Rate Log'!$D$230+N(INDEX(sc_dpts,3)))*$W4029,'Rate Log'!$D$230))</f>
        <v>0</v>
      </c>
      <c r="Y4029" s="73">
        <f>IF('Rate Log'!$C$230="",0,IF(1+$X4029&gt;0,LN(1+$X4029),0))</f>
        <v>0</v>
      </c>
      <c r="Z4029" s="75">
        <f t="shared" si="1497"/>
        <v>0</v>
      </c>
      <c r="AA4029" s="75">
        <f>IF($U4029="",0,COUNTIFS(rl_key,'Rate Log'!$J$230,$V$3806:$V$4045,$V4029,$U$3806:$U$4045,"&lt;"&amp;$U4029))</f>
        <v>0</v>
      </c>
      <c r="AB4029" s="75">
        <f>IF($U4029="",0,COUNTIFS('Rate Log'!$J$7:$J$230,'Rate Log'!$J$230,$V$3806:$V4029,$V4029,$U$3806:$U4029,$U4029))</f>
        <v>0</v>
      </c>
      <c r="AC4029" s="75">
        <f t="shared" si="1498"/>
        <v>0</v>
      </c>
      <c r="AE4029" s="74" t="str">
        <f>IF('Rate Log'!$C$230="","",IF('Rate Log'!$E$230="planned",EDATE('Rate Log'!$C$230,N(INDEX(sc_shift,4))),'Rate Log'!$C$230))</f>
        <v/>
      </c>
      <c r="AF4029" s="74" t="str">
        <f t="shared" si="1499"/>
        <v/>
      </c>
      <c r="AG4029" s="72">
        <f>IF(N(INDEX(sc_ach,4))=0,IF('Rate Log'!$G$230="",1,'Rate Log'!$G$230),INDEX(sc_ach,4))</f>
        <v>1</v>
      </c>
      <c r="AH4029" s="72">
        <f>IF('Rate Log'!$C$230="",0,IF('Rate Log'!$E$230="planned",('Rate Log'!$D$230+N(INDEX(sc_dpts,4)))*$AG4029,'Rate Log'!$D$230))</f>
        <v>0</v>
      </c>
      <c r="AI4029" s="73">
        <f>IF('Rate Log'!$C$230="",0,IF(1+$AH4029&gt;0,LN(1+$AH4029),0))</f>
        <v>0</v>
      </c>
      <c r="AJ4029" s="75">
        <f t="shared" si="1500"/>
        <v>0</v>
      </c>
      <c r="AK4029" s="75">
        <f>IF($AE4029="",0,COUNTIFS(rl_key,'Rate Log'!$J$230,$AF$3806:$AF$4045,$AF4029,$AE$3806:$AE$4045,"&lt;"&amp;$AE4029))</f>
        <v>0</v>
      </c>
      <c r="AL4029" s="75">
        <f>IF($AE4029="",0,COUNTIFS('Rate Log'!$J$7:$J$230,'Rate Log'!$J$230,$AF$3806:$AF4029,$AF4029,$AE$3806:$AE4029,$AE4029))</f>
        <v>0</v>
      </c>
      <c r="AM4029" s="75">
        <f t="shared" si="1501"/>
        <v>0</v>
      </c>
    </row>
    <row r="4030" spans="1:39" x14ac:dyDescent="0.3">
      <c r="A4030" s="74" t="str">
        <f>IF('Rate Log'!$C$231="","",IF('Rate Log'!$E$231="planned",EDATE('Rate Log'!$C$231,N(INDEX(sc_shift,1))),'Rate Log'!$C$231))</f>
        <v/>
      </c>
      <c r="B4030" s="74" t="str">
        <f t="shared" si="1490"/>
        <v/>
      </c>
      <c r="C4030" s="72">
        <f>IF(N(INDEX(sc_ach,1))=0,IF('Rate Log'!$G$231="",1,'Rate Log'!$G$231),INDEX(sc_ach,1))</f>
        <v>1</v>
      </c>
      <c r="D4030" s="72">
        <f>IF('Rate Log'!$C$231="",0,IF('Rate Log'!$E$231="planned",('Rate Log'!$D$231+N(INDEX(sc_dpts,1)))*$C4030,'Rate Log'!$D$231))</f>
        <v>0</v>
      </c>
      <c r="E4030" s="73">
        <f>IF('Rate Log'!$C$231="",0,IF(1+$D4030&gt;0,LN(1+$D4030),0))</f>
        <v>0</v>
      </c>
      <c r="F4030" s="75">
        <f t="shared" si="1491"/>
        <v>0</v>
      </c>
      <c r="G4030" s="75">
        <f>IF($A4030="",0,COUNTIFS(rl_key,'Rate Log'!$J$231,$B$3806:$B$4045,$B4030,$A$3806:$A$4045,"&lt;"&amp;$A4030))</f>
        <v>0</v>
      </c>
      <c r="H4030" s="75">
        <f>IF($A4030="",0,COUNTIFS('Rate Log'!$J$7:$J$231,'Rate Log'!$J$231,$B$3806:$B4030,$B4030,$A$3806:$A4030,$A4030))</f>
        <v>0</v>
      </c>
      <c r="I4030" s="75">
        <f t="shared" si="1492"/>
        <v>0</v>
      </c>
      <c r="K4030" s="74" t="str">
        <f>IF('Rate Log'!$C$231="","",IF('Rate Log'!$E$231="planned",EDATE('Rate Log'!$C$231,N(INDEX(sc_shift,2))),'Rate Log'!$C$231))</f>
        <v/>
      </c>
      <c r="L4030" s="74" t="str">
        <f t="shared" si="1493"/>
        <v/>
      </c>
      <c r="M4030" s="72">
        <f>IF(N(INDEX(sc_ach,2))=0,IF('Rate Log'!$G$231="",1,'Rate Log'!$G$231),INDEX(sc_ach,2))</f>
        <v>1</v>
      </c>
      <c r="N4030" s="72">
        <f>IF('Rate Log'!$C$231="",0,IF('Rate Log'!$E$231="planned",('Rate Log'!$D$231+N(INDEX(sc_dpts,2)))*$M4030,'Rate Log'!$D$231))</f>
        <v>0</v>
      </c>
      <c r="O4030" s="73">
        <f>IF('Rate Log'!$C$231="",0,IF(1+$N4030&gt;0,LN(1+$N4030),0))</f>
        <v>0</v>
      </c>
      <c r="P4030" s="75">
        <f t="shared" si="1494"/>
        <v>0</v>
      </c>
      <c r="Q4030" s="75">
        <f>IF($K4030="",0,COUNTIFS(rl_key,'Rate Log'!$J$231,$L$3806:$L$4045,$L4030,$K$3806:$K$4045,"&lt;"&amp;$K4030))</f>
        <v>0</v>
      </c>
      <c r="R4030" s="75">
        <f>IF($K4030="",0,COUNTIFS('Rate Log'!$J$7:$J$231,'Rate Log'!$J$231,$L$3806:$L4030,$L4030,$K$3806:$K4030,$K4030))</f>
        <v>0</v>
      </c>
      <c r="S4030" s="75">
        <f t="shared" si="1495"/>
        <v>0</v>
      </c>
      <c r="U4030" s="74" t="str">
        <f>IF('Rate Log'!$C$231="","",IF('Rate Log'!$E$231="planned",EDATE('Rate Log'!$C$231,N(INDEX(sc_shift,3))),'Rate Log'!$C$231))</f>
        <v/>
      </c>
      <c r="V4030" s="74" t="str">
        <f t="shared" si="1496"/>
        <v/>
      </c>
      <c r="W4030" s="72">
        <f>IF(N(INDEX(sc_ach,3))=0,IF('Rate Log'!$G$231="",1,'Rate Log'!$G$231),INDEX(sc_ach,3))</f>
        <v>1</v>
      </c>
      <c r="X4030" s="72">
        <f>IF('Rate Log'!$C$231="",0,IF('Rate Log'!$E$231="planned",('Rate Log'!$D$231+N(INDEX(sc_dpts,3)))*$W4030,'Rate Log'!$D$231))</f>
        <v>0</v>
      </c>
      <c r="Y4030" s="73">
        <f>IF('Rate Log'!$C$231="",0,IF(1+$X4030&gt;0,LN(1+$X4030),0))</f>
        <v>0</v>
      </c>
      <c r="Z4030" s="75">
        <f t="shared" si="1497"/>
        <v>0</v>
      </c>
      <c r="AA4030" s="75">
        <f>IF($U4030="",0,COUNTIFS(rl_key,'Rate Log'!$J$231,$V$3806:$V$4045,$V4030,$U$3806:$U$4045,"&lt;"&amp;$U4030))</f>
        <v>0</v>
      </c>
      <c r="AB4030" s="75">
        <f>IF($U4030="",0,COUNTIFS('Rate Log'!$J$7:$J$231,'Rate Log'!$J$231,$V$3806:$V4030,$V4030,$U$3806:$U4030,$U4030))</f>
        <v>0</v>
      </c>
      <c r="AC4030" s="75">
        <f t="shared" si="1498"/>
        <v>0</v>
      </c>
      <c r="AE4030" s="74" t="str">
        <f>IF('Rate Log'!$C$231="","",IF('Rate Log'!$E$231="planned",EDATE('Rate Log'!$C$231,N(INDEX(sc_shift,4))),'Rate Log'!$C$231))</f>
        <v/>
      </c>
      <c r="AF4030" s="74" t="str">
        <f t="shared" si="1499"/>
        <v/>
      </c>
      <c r="AG4030" s="72">
        <f>IF(N(INDEX(sc_ach,4))=0,IF('Rate Log'!$G$231="",1,'Rate Log'!$G$231),INDEX(sc_ach,4))</f>
        <v>1</v>
      </c>
      <c r="AH4030" s="72">
        <f>IF('Rate Log'!$C$231="",0,IF('Rate Log'!$E$231="planned",('Rate Log'!$D$231+N(INDEX(sc_dpts,4)))*$AG4030,'Rate Log'!$D$231))</f>
        <v>0</v>
      </c>
      <c r="AI4030" s="73">
        <f>IF('Rate Log'!$C$231="",0,IF(1+$AH4030&gt;0,LN(1+$AH4030),0))</f>
        <v>0</v>
      </c>
      <c r="AJ4030" s="75">
        <f t="shared" si="1500"/>
        <v>0</v>
      </c>
      <c r="AK4030" s="75">
        <f>IF($AE4030="",0,COUNTIFS(rl_key,'Rate Log'!$J$231,$AF$3806:$AF$4045,$AF4030,$AE$3806:$AE$4045,"&lt;"&amp;$AE4030))</f>
        <v>0</v>
      </c>
      <c r="AL4030" s="75">
        <f>IF($AE4030="",0,COUNTIFS('Rate Log'!$J$7:$J$231,'Rate Log'!$J$231,$AF$3806:$AF4030,$AF4030,$AE$3806:$AE4030,$AE4030))</f>
        <v>0</v>
      </c>
      <c r="AM4030" s="75">
        <f t="shared" si="1501"/>
        <v>0</v>
      </c>
    </row>
    <row r="4031" spans="1:39" x14ac:dyDescent="0.3">
      <c r="A4031" s="74" t="str">
        <f>IF('Rate Log'!$C$232="","",IF('Rate Log'!$E$232="planned",EDATE('Rate Log'!$C$232,N(INDEX(sc_shift,1))),'Rate Log'!$C$232))</f>
        <v/>
      </c>
      <c r="B4031" s="74" t="str">
        <f t="shared" si="1490"/>
        <v/>
      </c>
      <c r="C4031" s="72">
        <f>IF(N(INDEX(sc_ach,1))=0,IF('Rate Log'!$G$232="",1,'Rate Log'!$G$232),INDEX(sc_ach,1))</f>
        <v>1</v>
      </c>
      <c r="D4031" s="72">
        <f>IF('Rate Log'!$C$232="",0,IF('Rate Log'!$E$232="planned",('Rate Log'!$D$232+N(INDEX(sc_dpts,1)))*$C4031,'Rate Log'!$D$232))</f>
        <v>0</v>
      </c>
      <c r="E4031" s="73">
        <f>IF('Rate Log'!$C$232="",0,IF(1+$D4031&gt;0,LN(1+$D4031),0))</f>
        <v>0</v>
      </c>
      <c r="F4031" s="75">
        <f t="shared" si="1491"/>
        <v>0</v>
      </c>
      <c r="G4031" s="75">
        <f>IF($A4031="",0,COUNTIFS(rl_key,'Rate Log'!$J$232,$B$3806:$B$4045,$B4031,$A$3806:$A$4045,"&lt;"&amp;$A4031))</f>
        <v>0</v>
      </c>
      <c r="H4031" s="75">
        <f>IF($A4031="",0,COUNTIFS('Rate Log'!$J$7:$J$232,'Rate Log'!$J$232,$B$3806:$B4031,$B4031,$A$3806:$A4031,$A4031))</f>
        <v>0</v>
      </c>
      <c r="I4031" s="75">
        <f t="shared" si="1492"/>
        <v>0</v>
      </c>
      <c r="K4031" s="74" t="str">
        <f>IF('Rate Log'!$C$232="","",IF('Rate Log'!$E$232="planned",EDATE('Rate Log'!$C$232,N(INDEX(sc_shift,2))),'Rate Log'!$C$232))</f>
        <v/>
      </c>
      <c r="L4031" s="74" t="str">
        <f t="shared" si="1493"/>
        <v/>
      </c>
      <c r="M4031" s="72">
        <f>IF(N(INDEX(sc_ach,2))=0,IF('Rate Log'!$G$232="",1,'Rate Log'!$G$232),INDEX(sc_ach,2))</f>
        <v>1</v>
      </c>
      <c r="N4031" s="72">
        <f>IF('Rate Log'!$C$232="",0,IF('Rate Log'!$E$232="planned",('Rate Log'!$D$232+N(INDEX(sc_dpts,2)))*$M4031,'Rate Log'!$D$232))</f>
        <v>0</v>
      </c>
      <c r="O4031" s="73">
        <f>IF('Rate Log'!$C$232="",0,IF(1+$N4031&gt;0,LN(1+$N4031),0))</f>
        <v>0</v>
      </c>
      <c r="P4031" s="75">
        <f t="shared" si="1494"/>
        <v>0</v>
      </c>
      <c r="Q4031" s="75">
        <f>IF($K4031="",0,COUNTIFS(rl_key,'Rate Log'!$J$232,$L$3806:$L$4045,$L4031,$K$3806:$K$4045,"&lt;"&amp;$K4031))</f>
        <v>0</v>
      </c>
      <c r="R4031" s="75">
        <f>IF($K4031="",0,COUNTIFS('Rate Log'!$J$7:$J$232,'Rate Log'!$J$232,$L$3806:$L4031,$L4031,$K$3806:$K4031,$K4031))</f>
        <v>0</v>
      </c>
      <c r="S4031" s="75">
        <f t="shared" si="1495"/>
        <v>0</v>
      </c>
      <c r="U4031" s="74" t="str">
        <f>IF('Rate Log'!$C$232="","",IF('Rate Log'!$E$232="planned",EDATE('Rate Log'!$C$232,N(INDEX(sc_shift,3))),'Rate Log'!$C$232))</f>
        <v/>
      </c>
      <c r="V4031" s="74" t="str">
        <f t="shared" si="1496"/>
        <v/>
      </c>
      <c r="W4031" s="72">
        <f>IF(N(INDEX(sc_ach,3))=0,IF('Rate Log'!$G$232="",1,'Rate Log'!$G$232),INDEX(sc_ach,3))</f>
        <v>1</v>
      </c>
      <c r="X4031" s="72">
        <f>IF('Rate Log'!$C$232="",0,IF('Rate Log'!$E$232="planned",('Rate Log'!$D$232+N(INDEX(sc_dpts,3)))*$W4031,'Rate Log'!$D$232))</f>
        <v>0</v>
      </c>
      <c r="Y4031" s="73">
        <f>IF('Rate Log'!$C$232="",0,IF(1+$X4031&gt;0,LN(1+$X4031),0))</f>
        <v>0</v>
      </c>
      <c r="Z4031" s="75">
        <f t="shared" si="1497"/>
        <v>0</v>
      </c>
      <c r="AA4031" s="75">
        <f>IF($U4031="",0,COUNTIFS(rl_key,'Rate Log'!$J$232,$V$3806:$V$4045,$V4031,$U$3806:$U$4045,"&lt;"&amp;$U4031))</f>
        <v>0</v>
      </c>
      <c r="AB4031" s="75">
        <f>IF($U4031="",0,COUNTIFS('Rate Log'!$J$7:$J$232,'Rate Log'!$J$232,$V$3806:$V4031,$V4031,$U$3806:$U4031,$U4031))</f>
        <v>0</v>
      </c>
      <c r="AC4031" s="75">
        <f t="shared" si="1498"/>
        <v>0</v>
      </c>
      <c r="AE4031" s="74" t="str">
        <f>IF('Rate Log'!$C$232="","",IF('Rate Log'!$E$232="planned",EDATE('Rate Log'!$C$232,N(INDEX(sc_shift,4))),'Rate Log'!$C$232))</f>
        <v/>
      </c>
      <c r="AF4031" s="74" t="str">
        <f t="shared" si="1499"/>
        <v/>
      </c>
      <c r="AG4031" s="72">
        <f>IF(N(INDEX(sc_ach,4))=0,IF('Rate Log'!$G$232="",1,'Rate Log'!$G$232),INDEX(sc_ach,4))</f>
        <v>1</v>
      </c>
      <c r="AH4031" s="72">
        <f>IF('Rate Log'!$C$232="",0,IF('Rate Log'!$E$232="planned",('Rate Log'!$D$232+N(INDEX(sc_dpts,4)))*$AG4031,'Rate Log'!$D$232))</f>
        <v>0</v>
      </c>
      <c r="AI4031" s="73">
        <f>IF('Rate Log'!$C$232="",0,IF(1+$AH4031&gt;0,LN(1+$AH4031),0))</f>
        <v>0</v>
      </c>
      <c r="AJ4031" s="75">
        <f t="shared" si="1500"/>
        <v>0</v>
      </c>
      <c r="AK4031" s="75">
        <f>IF($AE4031="",0,COUNTIFS(rl_key,'Rate Log'!$J$232,$AF$3806:$AF$4045,$AF4031,$AE$3806:$AE$4045,"&lt;"&amp;$AE4031))</f>
        <v>0</v>
      </c>
      <c r="AL4031" s="75">
        <f>IF($AE4031="",0,COUNTIFS('Rate Log'!$J$7:$J$232,'Rate Log'!$J$232,$AF$3806:$AF4031,$AF4031,$AE$3806:$AE4031,$AE4031))</f>
        <v>0</v>
      </c>
      <c r="AM4031" s="75">
        <f t="shared" si="1501"/>
        <v>0</v>
      </c>
    </row>
    <row r="4032" spans="1:39" x14ac:dyDescent="0.3">
      <c r="A4032" s="74" t="str">
        <f>IF('Rate Log'!$C$233="","",IF('Rate Log'!$E$233="planned",EDATE('Rate Log'!$C$233,N(INDEX(sc_shift,1))),'Rate Log'!$C$233))</f>
        <v/>
      </c>
      <c r="B4032" s="74" t="str">
        <f t="shared" si="1490"/>
        <v/>
      </c>
      <c r="C4032" s="72">
        <f>IF(N(INDEX(sc_ach,1))=0,IF('Rate Log'!$G$233="",1,'Rate Log'!$G$233),INDEX(sc_ach,1))</f>
        <v>1</v>
      </c>
      <c r="D4032" s="72">
        <f>IF('Rate Log'!$C$233="",0,IF('Rate Log'!$E$233="planned",('Rate Log'!$D$233+N(INDEX(sc_dpts,1)))*$C4032,'Rate Log'!$D$233))</f>
        <v>0</v>
      </c>
      <c r="E4032" s="73">
        <f>IF('Rate Log'!$C$233="",0,IF(1+$D4032&gt;0,LN(1+$D4032),0))</f>
        <v>0</v>
      </c>
      <c r="F4032" s="75">
        <f t="shared" si="1491"/>
        <v>0</v>
      </c>
      <c r="G4032" s="75">
        <f>IF($A4032="",0,COUNTIFS(rl_key,'Rate Log'!$J$233,$B$3806:$B$4045,$B4032,$A$3806:$A$4045,"&lt;"&amp;$A4032))</f>
        <v>0</v>
      </c>
      <c r="H4032" s="75">
        <f>IF($A4032="",0,COUNTIFS('Rate Log'!$J$7:$J$233,'Rate Log'!$J$233,$B$3806:$B4032,$B4032,$A$3806:$A4032,$A4032))</f>
        <v>0</v>
      </c>
      <c r="I4032" s="75">
        <f t="shared" si="1492"/>
        <v>0</v>
      </c>
      <c r="K4032" s="74" t="str">
        <f>IF('Rate Log'!$C$233="","",IF('Rate Log'!$E$233="planned",EDATE('Rate Log'!$C$233,N(INDEX(sc_shift,2))),'Rate Log'!$C$233))</f>
        <v/>
      </c>
      <c r="L4032" s="74" t="str">
        <f t="shared" si="1493"/>
        <v/>
      </c>
      <c r="M4032" s="72">
        <f>IF(N(INDEX(sc_ach,2))=0,IF('Rate Log'!$G$233="",1,'Rate Log'!$G$233),INDEX(sc_ach,2))</f>
        <v>1</v>
      </c>
      <c r="N4032" s="72">
        <f>IF('Rate Log'!$C$233="",0,IF('Rate Log'!$E$233="planned",('Rate Log'!$D$233+N(INDEX(sc_dpts,2)))*$M4032,'Rate Log'!$D$233))</f>
        <v>0</v>
      </c>
      <c r="O4032" s="73">
        <f>IF('Rate Log'!$C$233="",0,IF(1+$N4032&gt;0,LN(1+$N4032),0))</f>
        <v>0</v>
      </c>
      <c r="P4032" s="75">
        <f t="shared" si="1494"/>
        <v>0</v>
      </c>
      <c r="Q4032" s="75">
        <f>IF($K4032="",0,COUNTIFS(rl_key,'Rate Log'!$J$233,$L$3806:$L$4045,$L4032,$K$3806:$K$4045,"&lt;"&amp;$K4032))</f>
        <v>0</v>
      </c>
      <c r="R4032" s="75">
        <f>IF($K4032="",0,COUNTIFS('Rate Log'!$J$7:$J$233,'Rate Log'!$J$233,$L$3806:$L4032,$L4032,$K$3806:$K4032,$K4032))</f>
        <v>0</v>
      </c>
      <c r="S4032" s="75">
        <f t="shared" si="1495"/>
        <v>0</v>
      </c>
      <c r="U4032" s="74" t="str">
        <f>IF('Rate Log'!$C$233="","",IF('Rate Log'!$E$233="planned",EDATE('Rate Log'!$C$233,N(INDEX(sc_shift,3))),'Rate Log'!$C$233))</f>
        <v/>
      </c>
      <c r="V4032" s="74" t="str">
        <f t="shared" si="1496"/>
        <v/>
      </c>
      <c r="W4032" s="72">
        <f>IF(N(INDEX(sc_ach,3))=0,IF('Rate Log'!$G$233="",1,'Rate Log'!$G$233),INDEX(sc_ach,3))</f>
        <v>1</v>
      </c>
      <c r="X4032" s="72">
        <f>IF('Rate Log'!$C$233="",0,IF('Rate Log'!$E$233="planned",('Rate Log'!$D$233+N(INDEX(sc_dpts,3)))*$W4032,'Rate Log'!$D$233))</f>
        <v>0</v>
      </c>
      <c r="Y4032" s="73">
        <f>IF('Rate Log'!$C$233="",0,IF(1+$X4032&gt;0,LN(1+$X4032),0))</f>
        <v>0</v>
      </c>
      <c r="Z4032" s="75">
        <f t="shared" si="1497"/>
        <v>0</v>
      </c>
      <c r="AA4032" s="75">
        <f>IF($U4032="",0,COUNTIFS(rl_key,'Rate Log'!$J$233,$V$3806:$V$4045,$V4032,$U$3806:$U$4045,"&lt;"&amp;$U4032))</f>
        <v>0</v>
      </c>
      <c r="AB4032" s="75">
        <f>IF($U4032="",0,COUNTIFS('Rate Log'!$J$7:$J$233,'Rate Log'!$J$233,$V$3806:$V4032,$V4032,$U$3806:$U4032,$U4032))</f>
        <v>0</v>
      </c>
      <c r="AC4032" s="75">
        <f t="shared" si="1498"/>
        <v>0</v>
      </c>
      <c r="AE4032" s="74" t="str">
        <f>IF('Rate Log'!$C$233="","",IF('Rate Log'!$E$233="planned",EDATE('Rate Log'!$C$233,N(INDEX(sc_shift,4))),'Rate Log'!$C$233))</f>
        <v/>
      </c>
      <c r="AF4032" s="74" t="str">
        <f t="shared" si="1499"/>
        <v/>
      </c>
      <c r="AG4032" s="72">
        <f>IF(N(INDEX(sc_ach,4))=0,IF('Rate Log'!$G$233="",1,'Rate Log'!$G$233),INDEX(sc_ach,4))</f>
        <v>1</v>
      </c>
      <c r="AH4032" s="72">
        <f>IF('Rate Log'!$C$233="",0,IF('Rate Log'!$E$233="planned",('Rate Log'!$D$233+N(INDEX(sc_dpts,4)))*$AG4032,'Rate Log'!$D$233))</f>
        <v>0</v>
      </c>
      <c r="AI4032" s="73">
        <f>IF('Rate Log'!$C$233="",0,IF(1+$AH4032&gt;0,LN(1+$AH4032),0))</f>
        <v>0</v>
      </c>
      <c r="AJ4032" s="75">
        <f t="shared" si="1500"/>
        <v>0</v>
      </c>
      <c r="AK4032" s="75">
        <f>IF($AE4032="",0,COUNTIFS(rl_key,'Rate Log'!$J$233,$AF$3806:$AF$4045,$AF4032,$AE$3806:$AE$4045,"&lt;"&amp;$AE4032))</f>
        <v>0</v>
      </c>
      <c r="AL4032" s="75">
        <f>IF($AE4032="",0,COUNTIFS('Rate Log'!$J$7:$J$233,'Rate Log'!$J$233,$AF$3806:$AF4032,$AF4032,$AE$3806:$AE4032,$AE4032))</f>
        <v>0</v>
      </c>
      <c r="AM4032" s="75">
        <f t="shared" si="1501"/>
        <v>0</v>
      </c>
    </row>
    <row r="4033" spans="1:39" x14ac:dyDescent="0.3">
      <c r="A4033" s="74" t="str">
        <f>IF('Rate Log'!$C$234="","",IF('Rate Log'!$E$234="planned",EDATE('Rate Log'!$C$234,N(INDEX(sc_shift,1))),'Rate Log'!$C$234))</f>
        <v/>
      </c>
      <c r="B4033" s="74" t="str">
        <f t="shared" si="1490"/>
        <v/>
      </c>
      <c r="C4033" s="72">
        <f>IF(N(INDEX(sc_ach,1))=0,IF('Rate Log'!$G$234="",1,'Rate Log'!$G$234),INDEX(sc_ach,1))</f>
        <v>1</v>
      </c>
      <c r="D4033" s="72">
        <f>IF('Rate Log'!$C$234="",0,IF('Rate Log'!$E$234="planned",('Rate Log'!$D$234+N(INDEX(sc_dpts,1)))*$C4033,'Rate Log'!$D$234))</f>
        <v>0</v>
      </c>
      <c r="E4033" s="73">
        <f>IF('Rate Log'!$C$234="",0,IF(1+$D4033&gt;0,LN(1+$D4033),0))</f>
        <v>0</v>
      </c>
      <c r="F4033" s="75">
        <f t="shared" si="1491"/>
        <v>0</v>
      </c>
      <c r="G4033" s="75">
        <f>IF($A4033="",0,COUNTIFS(rl_key,'Rate Log'!$J$234,$B$3806:$B$4045,$B4033,$A$3806:$A$4045,"&lt;"&amp;$A4033))</f>
        <v>0</v>
      </c>
      <c r="H4033" s="75">
        <f>IF($A4033="",0,COUNTIFS('Rate Log'!$J$7:$J$234,'Rate Log'!$J$234,$B$3806:$B4033,$B4033,$A$3806:$A4033,$A4033))</f>
        <v>0</v>
      </c>
      <c r="I4033" s="75">
        <f t="shared" si="1492"/>
        <v>0</v>
      </c>
      <c r="K4033" s="74" t="str">
        <f>IF('Rate Log'!$C$234="","",IF('Rate Log'!$E$234="planned",EDATE('Rate Log'!$C$234,N(INDEX(sc_shift,2))),'Rate Log'!$C$234))</f>
        <v/>
      </c>
      <c r="L4033" s="74" t="str">
        <f t="shared" si="1493"/>
        <v/>
      </c>
      <c r="M4033" s="72">
        <f>IF(N(INDEX(sc_ach,2))=0,IF('Rate Log'!$G$234="",1,'Rate Log'!$G$234),INDEX(sc_ach,2))</f>
        <v>1</v>
      </c>
      <c r="N4033" s="72">
        <f>IF('Rate Log'!$C$234="",0,IF('Rate Log'!$E$234="planned",('Rate Log'!$D$234+N(INDEX(sc_dpts,2)))*$M4033,'Rate Log'!$D$234))</f>
        <v>0</v>
      </c>
      <c r="O4033" s="73">
        <f>IF('Rate Log'!$C$234="",0,IF(1+$N4033&gt;0,LN(1+$N4033),0))</f>
        <v>0</v>
      </c>
      <c r="P4033" s="75">
        <f t="shared" si="1494"/>
        <v>0</v>
      </c>
      <c r="Q4033" s="75">
        <f>IF($K4033="",0,COUNTIFS(rl_key,'Rate Log'!$J$234,$L$3806:$L$4045,$L4033,$K$3806:$K$4045,"&lt;"&amp;$K4033))</f>
        <v>0</v>
      </c>
      <c r="R4033" s="75">
        <f>IF($K4033="",0,COUNTIFS('Rate Log'!$J$7:$J$234,'Rate Log'!$J$234,$L$3806:$L4033,$L4033,$K$3806:$K4033,$K4033))</f>
        <v>0</v>
      </c>
      <c r="S4033" s="75">
        <f t="shared" si="1495"/>
        <v>0</v>
      </c>
      <c r="U4033" s="74" t="str">
        <f>IF('Rate Log'!$C$234="","",IF('Rate Log'!$E$234="planned",EDATE('Rate Log'!$C$234,N(INDEX(sc_shift,3))),'Rate Log'!$C$234))</f>
        <v/>
      </c>
      <c r="V4033" s="74" t="str">
        <f t="shared" si="1496"/>
        <v/>
      </c>
      <c r="W4033" s="72">
        <f>IF(N(INDEX(sc_ach,3))=0,IF('Rate Log'!$G$234="",1,'Rate Log'!$G$234),INDEX(sc_ach,3))</f>
        <v>1</v>
      </c>
      <c r="X4033" s="72">
        <f>IF('Rate Log'!$C$234="",0,IF('Rate Log'!$E$234="planned",('Rate Log'!$D$234+N(INDEX(sc_dpts,3)))*$W4033,'Rate Log'!$D$234))</f>
        <v>0</v>
      </c>
      <c r="Y4033" s="73">
        <f>IF('Rate Log'!$C$234="",0,IF(1+$X4033&gt;0,LN(1+$X4033),0))</f>
        <v>0</v>
      </c>
      <c r="Z4033" s="75">
        <f t="shared" si="1497"/>
        <v>0</v>
      </c>
      <c r="AA4033" s="75">
        <f>IF($U4033="",0,COUNTIFS(rl_key,'Rate Log'!$J$234,$V$3806:$V$4045,$V4033,$U$3806:$U$4045,"&lt;"&amp;$U4033))</f>
        <v>0</v>
      </c>
      <c r="AB4033" s="75">
        <f>IF($U4033="",0,COUNTIFS('Rate Log'!$J$7:$J$234,'Rate Log'!$J$234,$V$3806:$V4033,$V4033,$U$3806:$U4033,$U4033))</f>
        <v>0</v>
      </c>
      <c r="AC4033" s="75">
        <f t="shared" si="1498"/>
        <v>0</v>
      </c>
      <c r="AE4033" s="74" t="str">
        <f>IF('Rate Log'!$C$234="","",IF('Rate Log'!$E$234="planned",EDATE('Rate Log'!$C$234,N(INDEX(sc_shift,4))),'Rate Log'!$C$234))</f>
        <v/>
      </c>
      <c r="AF4033" s="74" t="str">
        <f t="shared" si="1499"/>
        <v/>
      </c>
      <c r="AG4033" s="72">
        <f>IF(N(INDEX(sc_ach,4))=0,IF('Rate Log'!$G$234="",1,'Rate Log'!$G$234),INDEX(sc_ach,4))</f>
        <v>1</v>
      </c>
      <c r="AH4033" s="72">
        <f>IF('Rate Log'!$C$234="",0,IF('Rate Log'!$E$234="planned",('Rate Log'!$D$234+N(INDEX(sc_dpts,4)))*$AG4033,'Rate Log'!$D$234))</f>
        <v>0</v>
      </c>
      <c r="AI4033" s="73">
        <f>IF('Rate Log'!$C$234="",0,IF(1+$AH4033&gt;0,LN(1+$AH4033),0))</f>
        <v>0</v>
      </c>
      <c r="AJ4033" s="75">
        <f t="shared" si="1500"/>
        <v>0</v>
      </c>
      <c r="AK4033" s="75">
        <f>IF($AE4033="",0,COUNTIFS(rl_key,'Rate Log'!$J$234,$AF$3806:$AF$4045,$AF4033,$AE$3806:$AE$4045,"&lt;"&amp;$AE4033))</f>
        <v>0</v>
      </c>
      <c r="AL4033" s="75">
        <f>IF($AE4033="",0,COUNTIFS('Rate Log'!$J$7:$J$234,'Rate Log'!$J$234,$AF$3806:$AF4033,$AF4033,$AE$3806:$AE4033,$AE4033))</f>
        <v>0</v>
      </c>
      <c r="AM4033" s="75">
        <f t="shared" si="1501"/>
        <v>0</v>
      </c>
    </row>
    <row r="4034" spans="1:39" x14ac:dyDescent="0.3">
      <c r="A4034" s="74" t="str">
        <f>IF('Rate Log'!$C$235="","",IF('Rate Log'!$E$235="planned",EDATE('Rate Log'!$C$235,N(INDEX(sc_shift,1))),'Rate Log'!$C$235))</f>
        <v/>
      </c>
      <c r="B4034" s="74" t="str">
        <f t="shared" si="1490"/>
        <v/>
      </c>
      <c r="C4034" s="72">
        <f>IF(N(INDEX(sc_ach,1))=0,IF('Rate Log'!$G$235="",1,'Rate Log'!$G$235),INDEX(sc_ach,1))</f>
        <v>1</v>
      </c>
      <c r="D4034" s="72">
        <f>IF('Rate Log'!$C$235="",0,IF('Rate Log'!$E$235="planned",('Rate Log'!$D$235+N(INDEX(sc_dpts,1)))*$C4034,'Rate Log'!$D$235))</f>
        <v>0</v>
      </c>
      <c r="E4034" s="73">
        <f>IF('Rate Log'!$C$235="",0,IF(1+$D4034&gt;0,LN(1+$D4034),0))</f>
        <v>0</v>
      </c>
      <c r="F4034" s="75">
        <f t="shared" si="1491"/>
        <v>0</v>
      </c>
      <c r="G4034" s="75">
        <f>IF($A4034="",0,COUNTIFS(rl_key,'Rate Log'!$J$235,$B$3806:$B$4045,$B4034,$A$3806:$A$4045,"&lt;"&amp;$A4034))</f>
        <v>0</v>
      </c>
      <c r="H4034" s="75">
        <f>IF($A4034="",0,COUNTIFS('Rate Log'!$J$7:$J$235,'Rate Log'!$J$235,$B$3806:$B4034,$B4034,$A$3806:$A4034,$A4034))</f>
        <v>0</v>
      </c>
      <c r="I4034" s="75">
        <f t="shared" si="1492"/>
        <v>0</v>
      </c>
      <c r="K4034" s="74" t="str">
        <f>IF('Rate Log'!$C$235="","",IF('Rate Log'!$E$235="planned",EDATE('Rate Log'!$C$235,N(INDEX(sc_shift,2))),'Rate Log'!$C$235))</f>
        <v/>
      </c>
      <c r="L4034" s="74" t="str">
        <f t="shared" si="1493"/>
        <v/>
      </c>
      <c r="M4034" s="72">
        <f>IF(N(INDEX(sc_ach,2))=0,IF('Rate Log'!$G$235="",1,'Rate Log'!$G$235),INDEX(sc_ach,2))</f>
        <v>1</v>
      </c>
      <c r="N4034" s="72">
        <f>IF('Rate Log'!$C$235="",0,IF('Rate Log'!$E$235="planned",('Rate Log'!$D$235+N(INDEX(sc_dpts,2)))*$M4034,'Rate Log'!$D$235))</f>
        <v>0</v>
      </c>
      <c r="O4034" s="73">
        <f>IF('Rate Log'!$C$235="",0,IF(1+$N4034&gt;0,LN(1+$N4034),0))</f>
        <v>0</v>
      </c>
      <c r="P4034" s="75">
        <f t="shared" si="1494"/>
        <v>0</v>
      </c>
      <c r="Q4034" s="75">
        <f>IF($K4034="",0,COUNTIFS(rl_key,'Rate Log'!$J$235,$L$3806:$L$4045,$L4034,$K$3806:$K$4045,"&lt;"&amp;$K4034))</f>
        <v>0</v>
      </c>
      <c r="R4034" s="75">
        <f>IF($K4034="",0,COUNTIFS('Rate Log'!$J$7:$J$235,'Rate Log'!$J$235,$L$3806:$L4034,$L4034,$K$3806:$K4034,$K4034))</f>
        <v>0</v>
      </c>
      <c r="S4034" s="75">
        <f t="shared" si="1495"/>
        <v>0</v>
      </c>
      <c r="U4034" s="74" t="str">
        <f>IF('Rate Log'!$C$235="","",IF('Rate Log'!$E$235="planned",EDATE('Rate Log'!$C$235,N(INDEX(sc_shift,3))),'Rate Log'!$C$235))</f>
        <v/>
      </c>
      <c r="V4034" s="74" t="str">
        <f t="shared" si="1496"/>
        <v/>
      </c>
      <c r="W4034" s="72">
        <f>IF(N(INDEX(sc_ach,3))=0,IF('Rate Log'!$G$235="",1,'Rate Log'!$G$235),INDEX(sc_ach,3))</f>
        <v>1</v>
      </c>
      <c r="X4034" s="72">
        <f>IF('Rate Log'!$C$235="",0,IF('Rate Log'!$E$235="planned",('Rate Log'!$D$235+N(INDEX(sc_dpts,3)))*$W4034,'Rate Log'!$D$235))</f>
        <v>0</v>
      </c>
      <c r="Y4034" s="73">
        <f>IF('Rate Log'!$C$235="",0,IF(1+$X4034&gt;0,LN(1+$X4034),0))</f>
        <v>0</v>
      </c>
      <c r="Z4034" s="75">
        <f t="shared" si="1497"/>
        <v>0</v>
      </c>
      <c r="AA4034" s="75">
        <f>IF($U4034="",0,COUNTIFS(rl_key,'Rate Log'!$J$235,$V$3806:$V$4045,$V4034,$U$3806:$U$4045,"&lt;"&amp;$U4034))</f>
        <v>0</v>
      </c>
      <c r="AB4034" s="75">
        <f>IF($U4034="",0,COUNTIFS('Rate Log'!$J$7:$J$235,'Rate Log'!$J$235,$V$3806:$V4034,$V4034,$U$3806:$U4034,$U4034))</f>
        <v>0</v>
      </c>
      <c r="AC4034" s="75">
        <f t="shared" si="1498"/>
        <v>0</v>
      </c>
      <c r="AE4034" s="74" t="str">
        <f>IF('Rate Log'!$C$235="","",IF('Rate Log'!$E$235="planned",EDATE('Rate Log'!$C$235,N(INDEX(sc_shift,4))),'Rate Log'!$C$235))</f>
        <v/>
      </c>
      <c r="AF4034" s="74" t="str">
        <f t="shared" si="1499"/>
        <v/>
      </c>
      <c r="AG4034" s="72">
        <f>IF(N(INDEX(sc_ach,4))=0,IF('Rate Log'!$G$235="",1,'Rate Log'!$G$235),INDEX(sc_ach,4))</f>
        <v>1</v>
      </c>
      <c r="AH4034" s="72">
        <f>IF('Rate Log'!$C$235="",0,IF('Rate Log'!$E$235="planned",('Rate Log'!$D$235+N(INDEX(sc_dpts,4)))*$AG4034,'Rate Log'!$D$235))</f>
        <v>0</v>
      </c>
      <c r="AI4034" s="73">
        <f>IF('Rate Log'!$C$235="",0,IF(1+$AH4034&gt;0,LN(1+$AH4034),0))</f>
        <v>0</v>
      </c>
      <c r="AJ4034" s="75">
        <f t="shared" si="1500"/>
        <v>0</v>
      </c>
      <c r="AK4034" s="75">
        <f>IF($AE4034="",0,COUNTIFS(rl_key,'Rate Log'!$J$235,$AF$3806:$AF$4045,$AF4034,$AE$3806:$AE$4045,"&lt;"&amp;$AE4034))</f>
        <v>0</v>
      </c>
      <c r="AL4034" s="75">
        <f>IF($AE4034="",0,COUNTIFS('Rate Log'!$J$7:$J$235,'Rate Log'!$J$235,$AF$3806:$AF4034,$AF4034,$AE$3806:$AE4034,$AE4034))</f>
        <v>0</v>
      </c>
      <c r="AM4034" s="75">
        <f t="shared" si="1501"/>
        <v>0</v>
      </c>
    </row>
    <row r="4035" spans="1:39" x14ac:dyDescent="0.3">
      <c r="A4035" s="74" t="str">
        <f>IF('Rate Log'!$C$236="","",IF('Rate Log'!$E$236="planned",EDATE('Rate Log'!$C$236,N(INDEX(sc_shift,1))),'Rate Log'!$C$236))</f>
        <v/>
      </c>
      <c r="B4035" s="74" t="str">
        <f t="shared" si="1490"/>
        <v/>
      </c>
      <c r="C4035" s="72">
        <f>IF(N(INDEX(sc_ach,1))=0,IF('Rate Log'!$G$236="",1,'Rate Log'!$G$236),INDEX(sc_ach,1))</f>
        <v>1</v>
      </c>
      <c r="D4035" s="72">
        <f>IF('Rate Log'!$C$236="",0,IF('Rate Log'!$E$236="planned",('Rate Log'!$D$236+N(INDEX(sc_dpts,1)))*$C4035,'Rate Log'!$D$236))</f>
        <v>0</v>
      </c>
      <c r="E4035" s="73">
        <f>IF('Rate Log'!$C$236="",0,IF(1+$D4035&gt;0,LN(1+$D4035),0))</f>
        <v>0</v>
      </c>
      <c r="F4035" s="75">
        <f t="shared" si="1491"/>
        <v>0</v>
      </c>
      <c r="G4035" s="75">
        <f>IF($A4035="",0,COUNTIFS(rl_key,'Rate Log'!$J$236,$B$3806:$B$4045,$B4035,$A$3806:$A$4045,"&lt;"&amp;$A4035))</f>
        <v>0</v>
      </c>
      <c r="H4035" s="75">
        <f>IF($A4035="",0,COUNTIFS('Rate Log'!$J$7:$J$236,'Rate Log'!$J$236,$B$3806:$B4035,$B4035,$A$3806:$A4035,$A4035))</f>
        <v>0</v>
      </c>
      <c r="I4035" s="75">
        <f t="shared" si="1492"/>
        <v>0</v>
      </c>
      <c r="K4035" s="74" t="str">
        <f>IF('Rate Log'!$C$236="","",IF('Rate Log'!$E$236="planned",EDATE('Rate Log'!$C$236,N(INDEX(sc_shift,2))),'Rate Log'!$C$236))</f>
        <v/>
      </c>
      <c r="L4035" s="74" t="str">
        <f t="shared" si="1493"/>
        <v/>
      </c>
      <c r="M4035" s="72">
        <f>IF(N(INDEX(sc_ach,2))=0,IF('Rate Log'!$G$236="",1,'Rate Log'!$G$236),INDEX(sc_ach,2))</f>
        <v>1</v>
      </c>
      <c r="N4035" s="72">
        <f>IF('Rate Log'!$C$236="",0,IF('Rate Log'!$E$236="planned",('Rate Log'!$D$236+N(INDEX(sc_dpts,2)))*$M4035,'Rate Log'!$D$236))</f>
        <v>0</v>
      </c>
      <c r="O4035" s="73">
        <f>IF('Rate Log'!$C$236="",0,IF(1+$N4035&gt;0,LN(1+$N4035),0))</f>
        <v>0</v>
      </c>
      <c r="P4035" s="75">
        <f t="shared" si="1494"/>
        <v>0</v>
      </c>
      <c r="Q4035" s="75">
        <f>IF($K4035="",0,COUNTIFS(rl_key,'Rate Log'!$J$236,$L$3806:$L$4045,$L4035,$K$3806:$K$4045,"&lt;"&amp;$K4035))</f>
        <v>0</v>
      </c>
      <c r="R4035" s="75">
        <f>IF($K4035="",0,COUNTIFS('Rate Log'!$J$7:$J$236,'Rate Log'!$J$236,$L$3806:$L4035,$L4035,$K$3806:$K4035,$K4035))</f>
        <v>0</v>
      </c>
      <c r="S4035" s="75">
        <f t="shared" si="1495"/>
        <v>0</v>
      </c>
      <c r="U4035" s="74" t="str">
        <f>IF('Rate Log'!$C$236="","",IF('Rate Log'!$E$236="planned",EDATE('Rate Log'!$C$236,N(INDEX(sc_shift,3))),'Rate Log'!$C$236))</f>
        <v/>
      </c>
      <c r="V4035" s="74" t="str">
        <f t="shared" si="1496"/>
        <v/>
      </c>
      <c r="W4035" s="72">
        <f>IF(N(INDEX(sc_ach,3))=0,IF('Rate Log'!$G$236="",1,'Rate Log'!$G$236),INDEX(sc_ach,3))</f>
        <v>1</v>
      </c>
      <c r="X4035" s="72">
        <f>IF('Rate Log'!$C$236="",0,IF('Rate Log'!$E$236="planned",('Rate Log'!$D$236+N(INDEX(sc_dpts,3)))*$W4035,'Rate Log'!$D$236))</f>
        <v>0</v>
      </c>
      <c r="Y4035" s="73">
        <f>IF('Rate Log'!$C$236="",0,IF(1+$X4035&gt;0,LN(1+$X4035),0))</f>
        <v>0</v>
      </c>
      <c r="Z4035" s="75">
        <f t="shared" si="1497"/>
        <v>0</v>
      </c>
      <c r="AA4035" s="75">
        <f>IF($U4035="",0,COUNTIFS(rl_key,'Rate Log'!$J$236,$V$3806:$V$4045,$V4035,$U$3806:$U$4045,"&lt;"&amp;$U4035))</f>
        <v>0</v>
      </c>
      <c r="AB4035" s="75">
        <f>IF($U4035="",0,COUNTIFS('Rate Log'!$J$7:$J$236,'Rate Log'!$J$236,$V$3806:$V4035,$V4035,$U$3806:$U4035,$U4035))</f>
        <v>0</v>
      </c>
      <c r="AC4035" s="75">
        <f t="shared" si="1498"/>
        <v>0</v>
      </c>
      <c r="AE4035" s="74" t="str">
        <f>IF('Rate Log'!$C$236="","",IF('Rate Log'!$E$236="planned",EDATE('Rate Log'!$C$236,N(INDEX(sc_shift,4))),'Rate Log'!$C$236))</f>
        <v/>
      </c>
      <c r="AF4035" s="74" t="str">
        <f t="shared" si="1499"/>
        <v/>
      </c>
      <c r="AG4035" s="72">
        <f>IF(N(INDEX(sc_ach,4))=0,IF('Rate Log'!$G$236="",1,'Rate Log'!$G$236),INDEX(sc_ach,4))</f>
        <v>1</v>
      </c>
      <c r="AH4035" s="72">
        <f>IF('Rate Log'!$C$236="",0,IF('Rate Log'!$E$236="planned",('Rate Log'!$D$236+N(INDEX(sc_dpts,4)))*$AG4035,'Rate Log'!$D$236))</f>
        <v>0</v>
      </c>
      <c r="AI4035" s="73">
        <f>IF('Rate Log'!$C$236="",0,IF(1+$AH4035&gt;0,LN(1+$AH4035),0))</f>
        <v>0</v>
      </c>
      <c r="AJ4035" s="75">
        <f t="shared" si="1500"/>
        <v>0</v>
      </c>
      <c r="AK4035" s="75">
        <f>IF($AE4035="",0,COUNTIFS(rl_key,'Rate Log'!$J$236,$AF$3806:$AF$4045,$AF4035,$AE$3806:$AE$4045,"&lt;"&amp;$AE4035))</f>
        <v>0</v>
      </c>
      <c r="AL4035" s="75">
        <f>IF($AE4035="",0,COUNTIFS('Rate Log'!$J$7:$J$236,'Rate Log'!$J$236,$AF$3806:$AF4035,$AF4035,$AE$3806:$AE4035,$AE4035))</f>
        <v>0</v>
      </c>
      <c r="AM4035" s="75">
        <f t="shared" si="1501"/>
        <v>0</v>
      </c>
    </row>
    <row r="4036" spans="1:39" x14ac:dyDescent="0.3">
      <c r="A4036" s="74" t="str">
        <f>IF('Rate Log'!$C$237="","",IF('Rate Log'!$E$237="planned",EDATE('Rate Log'!$C$237,N(INDEX(sc_shift,1))),'Rate Log'!$C$237))</f>
        <v/>
      </c>
      <c r="B4036" s="74" t="str">
        <f t="shared" si="1490"/>
        <v/>
      </c>
      <c r="C4036" s="72">
        <f>IF(N(INDEX(sc_ach,1))=0,IF('Rate Log'!$G$237="",1,'Rate Log'!$G$237),INDEX(sc_ach,1))</f>
        <v>1</v>
      </c>
      <c r="D4036" s="72">
        <f>IF('Rate Log'!$C$237="",0,IF('Rate Log'!$E$237="planned",('Rate Log'!$D$237+N(INDEX(sc_dpts,1)))*$C4036,'Rate Log'!$D$237))</f>
        <v>0</v>
      </c>
      <c r="E4036" s="73">
        <f>IF('Rate Log'!$C$237="",0,IF(1+$D4036&gt;0,LN(1+$D4036),0))</f>
        <v>0</v>
      </c>
      <c r="F4036" s="75">
        <f t="shared" si="1491"/>
        <v>0</v>
      </c>
      <c r="G4036" s="75">
        <f>IF($A4036="",0,COUNTIFS(rl_key,'Rate Log'!$J$237,$B$3806:$B$4045,$B4036,$A$3806:$A$4045,"&lt;"&amp;$A4036))</f>
        <v>0</v>
      </c>
      <c r="H4036" s="75">
        <f>IF($A4036="",0,COUNTIFS('Rate Log'!$J$7:$J$237,'Rate Log'!$J$237,$B$3806:$B4036,$B4036,$A$3806:$A4036,$A4036))</f>
        <v>0</v>
      </c>
      <c r="I4036" s="75">
        <f t="shared" si="1492"/>
        <v>0</v>
      </c>
      <c r="K4036" s="74" t="str">
        <f>IF('Rate Log'!$C$237="","",IF('Rate Log'!$E$237="planned",EDATE('Rate Log'!$C$237,N(INDEX(sc_shift,2))),'Rate Log'!$C$237))</f>
        <v/>
      </c>
      <c r="L4036" s="74" t="str">
        <f t="shared" si="1493"/>
        <v/>
      </c>
      <c r="M4036" s="72">
        <f>IF(N(INDEX(sc_ach,2))=0,IF('Rate Log'!$G$237="",1,'Rate Log'!$G$237),INDEX(sc_ach,2))</f>
        <v>1</v>
      </c>
      <c r="N4036" s="72">
        <f>IF('Rate Log'!$C$237="",0,IF('Rate Log'!$E$237="planned",('Rate Log'!$D$237+N(INDEX(sc_dpts,2)))*$M4036,'Rate Log'!$D$237))</f>
        <v>0</v>
      </c>
      <c r="O4036" s="73">
        <f>IF('Rate Log'!$C$237="",0,IF(1+$N4036&gt;0,LN(1+$N4036),0))</f>
        <v>0</v>
      </c>
      <c r="P4036" s="75">
        <f t="shared" si="1494"/>
        <v>0</v>
      </c>
      <c r="Q4036" s="75">
        <f>IF($K4036="",0,COUNTIFS(rl_key,'Rate Log'!$J$237,$L$3806:$L$4045,$L4036,$K$3806:$K$4045,"&lt;"&amp;$K4036))</f>
        <v>0</v>
      </c>
      <c r="R4036" s="75">
        <f>IF($K4036="",0,COUNTIFS('Rate Log'!$J$7:$J$237,'Rate Log'!$J$237,$L$3806:$L4036,$L4036,$K$3806:$K4036,$K4036))</f>
        <v>0</v>
      </c>
      <c r="S4036" s="75">
        <f t="shared" si="1495"/>
        <v>0</v>
      </c>
      <c r="U4036" s="74" t="str">
        <f>IF('Rate Log'!$C$237="","",IF('Rate Log'!$E$237="planned",EDATE('Rate Log'!$C$237,N(INDEX(sc_shift,3))),'Rate Log'!$C$237))</f>
        <v/>
      </c>
      <c r="V4036" s="74" t="str">
        <f t="shared" si="1496"/>
        <v/>
      </c>
      <c r="W4036" s="72">
        <f>IF(N(INDEX(sc_ach,3))=0,IF('Rate Log'!$G$237="",1,'Rate Log'!$G$237),INDEX(sc_ach,3))</f>
        <v>1</v>
      </c>
      <c r="X4036" s="72">
        <f>IF('Rate Log'!$C$237="",0,IF('Rate Log'!$E$237="planned",('Rate Log'!$D$237+N(INDEX(sc_dpts,3)))*$W4036,'Rate Log'!$D$237))</f>
        <v>0</v>
      </c>
      <c r="Y4036" s="73">
        <f>IF('Rate Log'!$C$237="",0,IF(1+$X4036&gt;0,LN(1+$X4036),0))</f>
        <v>0</v>
      </c>
      <c r="Z4036" s="75">
        <f t="shared" si="1497"/>
        <v>0</v>
      </c>
      <c r="AA4036" s="75">
        <f>IF($U4036="",0,COUNTIFS(rl_key,'Rate Log'!$J$237,$V$3806:$V$4045,$V4036,$U$3806:$U$4045,"&lt;"&amp;$U4036))</f>
        <v>0</v>
      </c>
      <c r="AB4036" s="75">
        <f>IF($U4036="",0,COUNTIFS('Rate Log'!$J$7:$J$237,'Rate Log'!$J$237,$V$3806:$V4036,$V4036,$U$3806:$U4036,$U4036))</f>
        <v>0</v>
      </c>
      <c r="AC4036" s="75">
        <f t="shared" si="1498"/>
        <v>0</v>
      </c>
      <c r="AE4036" s="74" t="str">
        <f>IF('Rate Log'!$C$237="","",IF('Rate Log'!$E$237="planned",EDATE('Rate Log'!$C$237,N(INDEX(sc_shift,4))),'Rate Log'!$C$237))</f>
        <v/>
      </c>
      <c r="AF4036" s="74" t="str">
        <f t="shared" si="1499"/>
        <v/>
      </c>
      <c r="AG4036" s="72">
        <f>IF(N(INDEX(sc_ach,4))=0,IF('Rate Log'!$G$237="",1,'Rate Log'!$G$237),INDEX(sc_ach,4))</f>
        <v>1</v>
      </c>
      <c r="AH4036" s="72">
        <f>IF('Rate Log'!$C$237="",0,IF('Rate Log'!$E$237="planned",('Rate Log'!$D$237+N(INDEX(sc_dpts,4)))*$AG4036,'Rate Log'!$D$237))</f>
        <v>0</v>
      </c>
      <c r="AI4036" s="73">
        <f>IF('Rate Log'!$C$237="",0,IF(1+$AH4036&gt;0,LN(1+$AH4036),0))</f>
        <v>0</v>
      </c>
      <c r="AJ4036" s="75">
        <f t="shared" si="1500"/>
        <v>0</v>
      </c>
      <c r="AK4036" s="75">
        <f>IF($AE4036="",0,COUNTIFS(rl_key,'Rate Log'!$J$237,$AF$3806:$AF$4045,$AF4036,$AE$3806:$AE$4045,"&lt;"&amp;$AE4036))</f>
        <v>0</v>
      </c>
      <c r="AL4036" s="75">
        <f>IF($AE4036="",0,COUNTIFS('Rate Log'!$J$7:$J$237,'Rate Log'!$J$237,$AF$3806:$AF4036,$AF4036,$AE$3806:$AE4036,$AE4036))</f>
        <v>0</v>
      </c>
      <c r="AM4036" s="75">
        <f t="shared" si="1501"/>
        <v>0</v>
      </c>
    </row>
    <row r="4037" spans="1:39" x14ac:dyDescent="0.3">
      <c r="A4037" s="74" t="str">
        <f>IF('Rate Log'!$C$238="","",IF('Rate Log'!$E$238="planned",EDATE('Rate Log'!$C$238,N(INDEX(sc_shift,1))),'Rate Log'!$C$238))</f>
        <v/>
      </c>
      <c r="B4037" s="74" t="str">
        <f t="shared" si="1490"/>
        <v/>
      </c>
      <c r="C4037" s="72">
        <f>IF(N(INDEX(sc_ach,1))=0,IF('Rate Log'!$G$238="",1,'Rate Log'!$G$238),INDEX(sc_ach,1))</f>
        <v>1</v>
      </c>
      <c r="D4037" s="72">
        <f>IF('Rate Log'!$C$238="",0,IF('Rate Log'!$E$238="planned",('Rate Log'!$D$238+N(INDEX(sc_dpts,1)))*$C4037,'Rate Log'!$D$238))</f>
        <v>0</v>
      </c>
      <c r="E4037" s="73">
        <f>IF('Rate Log'!$C$238="",0,IF(1+$D4037&gt;0,LN(1+$D4037),0))</f>
        <v>0</v>
      </c>
      <c r="F4037" s="75">
        <f t="shared" si="1491"/>
        <v>0</v>
      </c>
      <c r="G4037" s="75">
        <f>IF($A4037="",0,COUNTIFS(rl_key,'Rate Log'!$J$238,$B$3806:$B$4045,$B4037,$A$3806:$A$4045,"&lt;"&amp;$A4037))</f>
        <v>0</v>
      </c>
      <c r="H4037" s="75">
        <f>IF($A4037="",0,COUNTIFS('Rate Log'!$J$7:$J$238,'Rate Log'!$J$238,$B$3806:$B4037,$B4037,$A$3806:$A4037,$A4037))</f>
        <v>0</v>
      </c>
      <c r="I4037" s="75">
        <f t="shared" si="1492"/>
        <v>0</v>
      </c>
      <c r="K4037" s="74" t="str">
        <f>IF('Rate Log'!$C$238="","",IF('Rate Log'!$E$238="planned",EDATE('Rate Log'!$C$238,N(INDEX(sc_shift,2))),'Rate Log'!$C$238))</f>
        <v/>
      </c>
      <c r="L4037" s="74" t="str">
        <f t="shared" si="1493"/>
        <v/>
      </c>
      <c r="M4037" s="72">
        <f>IF(N(INDEX(sc_ach,2))=0,IF('Rate Log'!$G$238="",1,'Rate Log'!$G$238),INDEX(sc_ach,2))</f>
        <v>1</v>
      </c>
      <c r="N4037" s="72">
        <f>IF('Rate Log'!$C$238="",0,IF('Rate Log'!$E$238="planned",('Rate Log'!$D$238+N(INDEX(sc_dpts,2)))*$M4037,'Rate Log'!$D$238))</f>
        <v>0</v>
      </c>
      <c r="O4037" s="73">
        <f>IF('Rate Log'!$C$238="",0,IF(1+$N4037&gt;0,LN(1+$N4037),0))</f>
        <v>0</v>
      </c>
      <c r="P4037" s="75">
        <f t="shared" si="1494"/>
        <v>0</v>
      </c>
      <c r="Q4037" s="75">
        <f>IF($K4037="",0,COUNTIFS(rl_key,'Rate Log'!$J$238,$L$3806:$L$4045,$L4037,$K$3806:$K$4045,"&lt;"&amp;$K4037))</f>
        <v>0</v>
      </c>
      <c r="R4037" s="75">
        <f>IF($K4037="",0,COUNTIFS('Rate Log'!$J$7:$J$238,'Rate Log'!$J$238,$L$3806:$L4037,$L4037,$K$3806:$K4037,$K4037))</f>
        <v>0</v>
      </c>
      <c r="S4037" s="75">
        <f t="shared" si="1495"/>
        <v>0</v>
      </c>
      <c r="U4037" s="74" t="str">
        <f>IF('Rate Log'!$C$238="","",IF('Rate Log'!$E$238="planned",EDATE('Rate Log'!$C$238,N(INDEX(sc_shift,3))),'Rate Log'!$C$238))</f>
        <v/>
      </c>
      <c r="V4037" s="74" t="str">
        <f t="shared" si="1496"/>
        <v/>
      </c>
      <c r="W4037" s="72">
        <f>IF(N(INDEX(sc_ach,3))=0,IF('Rate Log'!$G$238="",1,'Rate Log'!$G$238),INDEX(sc_ach,3))</f>
        <v>1</v>
      </c>
      <c r="X4037" s="72">
        <f>IF('Rate Log'!$C$238="",0,IF('Rate Log'!$E$238="planned",('Rate Log'!$D$238+N(INDEX(sc_dpts,3)))*$W4037,'Rate Log'!$D$238))</f>
        <v>0</v>
      </c>
      <c r="Y4037" s="73">
        <f>IF('Rate Log'!$C$238="",0,IF(1+$X4037&gt;0,LN(1+$X4037),0))</f>
        <v>0</v>
      </c>
      <c r="Z4037" s="75">
        <f t="shared" si="1497"/>
        <v>0</v>
      </c>
      <c r="AA4037" s="75">
        <f>IF($U4037="",0,COUNTIFS(rl_key,'Rate Log'!$J$238,$V$3806:$V$4045,$V4037,$U$3806:$U$4045,"&lt;"&amp;$U4037))</f>
        <v>0</v>
      </c>
      <c r="AB4037" s="75">
        <f>IF($U4037="",0,COUNTIFS('Rate Log'!$J$7:$J$238,'Rate Log'!$J$238,$V$3806:$V4037,$V4037,$U$3806:$U4037,$U4037))</f>
        <v>0</v>
      </c>
      <c r="AC4037" s="75">
        <f t="shared" si="1498"/>
        <v>0</v>
      </c>
      <c r="AE4037" s="74" t="str">
        <f>IF('Rate Log'!$C$238="","",IF('Rate Log'!$E$238="planned",EDATE('Rate Log'!$C$238,N(INDEX(sc_shift,4))),'Rate Log'!$C$238))</f>
        <v/>
      </c>
      <c r="AF4037" s="74" t="str">
        <f t="shared" si="1499"/>
        <v/>
      </c>
      <c r="AG4037" s="72">
        <f>IF(N(INDEX(sc_ach,4))=0,IF('Rate Log'!$G$238="",1,'Rate Log'!$G$238),INDEX(sc_ach,4))</f>
        <v>1</v>
      </c>
      <c r="AH4037" s="72">
        <f>IF('Rate Log'!$C$238="",0,IF('Rate Log'!$E$238="planned",('Rate Log'!$D$238+N(INDEX(sc_dpts,4)))*$AG4037,'Rate Log'!$D$238))</f>
        <v>0</v>
      </c>
      <c r="AI4037" s="73">
        <f>IF('Rate Log'!$C$238="",0,IF(1+$AH4037&gt;0,LN(1+$AH4037),0))</f>
        <v>0</v>
      </c>
      <c r="AJ4037" s="75">
        <f t="shared" si="1500"/>
        <v>0</v>
      </c>
      <c r="AK4037" s="75">
        <f>IF($AE4037="",0,COUNTIFS(rl_key,'Rate Log'!$J$238,$AF$3806:$AF$4045,$AF4037,$AE$3806:$AE$4045,"&lt;"&amp;$AE4037))</f>
        <v>0</v>
      </c>
      <c r="AL4037" s="75">
        <f>IF($AE4037="",0,COUNTIFS('Rate Log'!$J$7:$J$238,'Rate Log'!$J$238,$AF$3806:$AF4037,$AF4037,$AE$3806:$AE4037,$AE4037))</f>
        <v>0</v>
      </c>
      <c r="AM4037" s="75">
        <f t="shared" si="1501"/>
        <v>0</v>
      </c>
    </row>
    <row r="4038" spans="1:39" x14ac:dyDescent="0.3">
      <c r="A4038" s="74" t="str">
        <f>IF('Rate Log'!$C$239="","",IF('Rate Log'!$E$239="planned",EDATE('Rate Log'!$C$239,N(INDEX(sc_shift,1))),'Rate Log'!$C$239))</f>
        <v/>
      </c>
      <c r="B4038" s="74" t="str">
        <f t="shared" si="1490"/>
        <v/>
      </c>
      <c r="C4038" s="72">
        <f>IF(N(INDEX(sc_ach,1))=0,IF('Rate Log'!$G$239="",1,'Rate Log'!$G$239),INDEX(sc_ach,1))</f>
        <v>1</v>
      </c>
      <c r="D4038" s="72">
        <f>IF('Rate Log'!$C$239="",0,IF('Rate Log'!$E$239="planned",('Rate Log'!$D$239+N(INDEX(sc_dpts,1)))*$C4038,'Rate Log'!$D$239))</f>
        <v>0</v>
      </c>
      <c r="E4038" s="73">
        <f>IF('Rate Log'!$C$239="",0,IF(1+$D4038&gt;0,LN(1+$D4038),0))</f>
        <v>0</v>
      </c>
      <c r="F4038" s="75">
        <f t="shared" si="1491"/>
        <v>0</v>
      </c>
      <c r="G4038" s="75">
        <f>IF($A4038="",0,COUNTIFS(rl_key,'Rate Log'!$J$239,$B$3806:$B$4045,$B4038,$A$3806:$A$4045,"&lt;"&amp;$A4038))</f>
        <v>0</v>
      </c>
      <c r="H4038" s="75">
        <f>IF($A4038="",0,COUNTIFS('Rate Log'!$J$7:$J$239,'Rate Log'!$J$239,$B$3806:$B4038,$B4038,$A$3806:$A4038,$A4038))</f>
        <v>0</v>
      </c>
      <c r="I4038" s="75">
        <f t="shared" si="1492"/>
        <v>0</v>
      </c>
      <c r="K4038" s="74" t="str">
        <f>IF('Rate Log'!$C$239="","",IF('Rate Log'!$E$239="planned",EDATE('Rate Log'!$C$239,N(INDEX(sc_shift,2))),'Rate Log'!$C$239))</f>
        <v/>
      </c>
      <c r="L4038" s="74" t="str">
        <f t="shared" si="1493"/>
        <v/>
      </c>
      <c r="M4038" s="72">
        <f>IF(N(INDEX(sc_ach,2))=0,IF('Rate Log'!$G$239="",1,'Rate Log'!$G$239),INDEX(sc_ach,2))</f>
        <v>1</v>
      </c>
      <c r="N4038" s="72">
        <f>IF('Rate Log'!$C$239="",0,IF('Rate Log'!$E$239="planned",('Rate Log'!$D$239+N(INDEX(sc_dpts,2)))*$M4038,'Rate Log'!$D$239))</f>
        <v>0</v>
      </c>
      <c r="O4038" s="73">
        <f>IF('Rate Log'!$C$239="",0,IF(1+$N4038&gt;0,LN(1+$N4038),0))</f>
        <v>0</v>
      </c>
      <c r="P4038" s="75">
        <f t="shared" si="1494"/>
        <v>0</v>
      </c>
      <c r="Q4038" s="75">
        <f>IF($K4038="",0,COUNTIFS(rl_key,'Rate Log'!$J$239,$L$3806:$L$4045,$L4038,$K$3806:$K$4045,"&lt;"&amp;$K4038))</f>
        <v>0</v>
      </c>
      <c r="R4038" s="75">
        <f>IF($K4038="",0,COUNTIFS('Rate Log'!$J$7:$J$239,'Rate Log'!$J$239,$L$3806:$L4038,$L4038,$K$3806:$K4038,$K4038))</f>
        <v>0</v>
      </c>
      <c r="S4038" s="75">
        <f t="shared" si="1495"/>
        <v>0</v>
      </c>
      <c r="U4038" s="74" t="str">
        <f>IF('Rate Log'!$C$239="","",IF('Rate Log'!$E$239="planned",EDATE('Rate Log'!$C$239,N(INDEX(sc_shift,3))),'Rate Log'!$C$239))</f>
        <v/>
      </c>
      <c r="V4038" s="74" t="str">
        <f t="shared" si="1496"/>
        <v/>
      </c>
      <c r="W4038" s="72">
        <f>IF(N(INDEX(sc_ach,3))=0,IF('Rate Log'!$G$239="",1,'Rate Log'!$G$239),INDEX(sc_ach,3))</f>
        <v>1</v>
      </c>
      <c r="X4038" s="72">
        <f>IF('Rate Log'!$C$239="",0,IF('Rate Log'!$E$239="planned",('Rate Log'!$D$239+N(INDEX(sc_dpts,3)))*$W4038,'Rate Log'!$D$239))</f>
        <v>0</v>
      </c>
      <c r="Y4038" s="73">
        <f>IF('Rate Log'!$C$239="",0,IF(1+$X4038&gt;0,LN(1+$X4038),0))</f>
        <v>0</v>
      </c>
      <c r="Z4038" s="75">
        <f t="shared" si="1497"/>
        <v>0</v>
      </c>
      <c r="AA4038" s="75">
        <f>IF($U4038="",0,COUNTIFS(rl_key,'Rate Log'!$J$239,$V$3806:$V$4045,$V4038,$U$3806:$U$4045,"&lt;"&amp;$U4038))</f>
        <v>0</v>
      </c>
      <c r="AB4038" s="75">
        <f>IF($U4038="",0,COUNTIFS('Rate Log'!$J$7:$J$239,'Rate Log'!$J$239,$V$3806:$V4038,$V4038,$U$3806:$U4038,$U4038))</f>
        <v>0</v>
      </c>
      <c r="AC4038" s="75">
        <f t="shared" si="1498"/>
        <v>0</v>
      </c>
      <c r="AE4038" s="74" t="str">
        <f>IF('Rate Log'!$C$239="","",IF('Rate Log'!$E$239="planned",EDATE('Rate Log'!$C$239,N(INDEX(sc_shift,4))),'Rate Log'!$C$239))</f>
        <v/>
      </c>
      <c r="AF4038" s="74" t="str">
        <f t="shared" si="1499"/>
        <v/>
      </c>
      <c r="AG4038" s="72">
        <f>IF(N(INDEX(sc_ach,4))=0,IF('Rate Log'!$G$239="",1,'Rate Log'!$G$239),INDEX(sc_ach,4))</f>
        <v>1</v>
      </c>
      <c r="AH4038" s="72">
        <f>IF('Rate Log'!$C$239="",0,IF('Rate Log'!$E$239="planned",('Rate Log'!$D$239+N(INDEX(sc_dpts,4)))*$AG4038,'Rate Log'!$D$239))</f>
        <v>0</v>
      </c>
      <c r="AI4038" s="73">
        <f>IF('Rate Log'!$C$239="",0,IF(1+$AH4038&gt;0,LN(1+$AH4038),0))</f>
        <v>0</v>
      </c>
      <c r="AJ4038" s="75">
        <f t="shared" si="1500"/>
        <v>0</v>
      </c>
      <c r="AK4038" s="75">
        <f>IF($AE4038="",0,COUNTIFS(rl_key,'Rate Log'!$J$239,$AF$3806:$AF$4045,$AF4038,$AE$3806:$AE$4045,"&lt;"&amp;$AE4038))</f>
        <v>0</v>
      </c>
      <c r="AL4038" s="75">
        <f>IF($AE4038="",0,COUNTIFS('Rate Log'!$J$7:$J$239,'Rate Log'!$J$239,$AF$3806:$AF4038,$AF4038,$AE$3806:$AE4038,$AE4038))</f>
        <v>0</v>
      </c>
      <c r="AM4038" s="75">
        <f t="shared" si="1501"/>
        <v>0</v>
      </c>
    </row>
    <row r="4039" spans="1:39" x14ac:dyDescent="0.3">
      <c r="A4039" s="74" t="str">
        <f>IF('Rate Log'!$C$240="","",IF('Rate Log'!$E$240="planned",EDATE('Rate Log'!$C$240,N(INDEX(sc_shift,1))),'Rate Log'!$C$240))</f>
        <v/>
      </c>
      <c r="B4039" s="74" t="str">
        <f t="shared" si="1490"/>
        <v/>
      </c>
      <c r="C4039" s="72">
        <f>IF(N(INDEX(sc_ach,1))=0,IF('Rate Log'!$G$240="",1,'Rate Log'!$G$240),INDEX(sc_ach,1))</f>
        <v>1</v>
      </c>
      <c r="D4039" s="72">
        <f>IF('Rate Log'!$C$240="",0,IF('Rate Log'!$E$240="planned",('Rate Log'!$D$240+N(INDEX(sc_dpts,1)))*$C4039,'Rate Log'!$D$240))</f>
        <v>0</v>
      </c>
      <c r="E4039" s="73">
        <f>IF('Rate Log'!$C$240="",0,IF(1+$D4039&gt;0,LN(1+$D4039),0))</f>
        <v>0</v>
      </c>
      <c r="F4039" s="75">
        <f t="shared" si="1491"/>
        <v>0</v>
      </c>
      <c r="G4039" s="75">
        <f>IF($A4039="",0,COUNTIFS(rl_key,'Rate Log'!$J$240,$B$3806:$B$4045,$B4039,$A$3806:$A$4045,"&lt;"&amp;$A4039))</f>
        <v>0</v>
      </c>
      <c r="H4039" s="75">
        <f>IF($A4039="",0,COUNTIFS('Rate Log'!$J$7:$J$240,'Rate Log'!$J$240,$B$3806:$B4039,$B4039,$A$3806:$A4039,$A4039))</f>
        <v>0</v>
      </c>
      <c r="I4039" s="75">
        <f t="shared" si="1492"/>
        <v>0</v>
      </c>
      <c r="K4039" s="74" t="str">
        <f>IF('Rate Log'!$C$240="","",IF('Rate Log'!$E$240="planned",EDATE('Rate Log'!$C$240,N(INDEX(sc_shift,2))),'Rate Log'!$C$240))</f>
        <v/>
      </c>
      <c r="L4039" s="74" t="str">
        <f t="shared" si="1493"/>
        <v/>
      </c>
      <c r="M4039" s="72">
        <f>IF(N(INDEX(sc_ach,2))=0,IF('Rate Log'!$G$240="",1,'Rate Log'!$G$240),INDEX(sc_ach,2))</f>
        <v>1</v>
      </c>
      <c r="N4039" s="72">
        <f>IF('Rate Log'!$C$240="",0,IF('Rate Log'!$E$240="planned",('Rate Log'!$D$240+N(INDEX(sc_dpts,2)))*$M4039,'Rate Log'!$D$240))</f>
        <v>0</v>
      </c>
      <c r="O4039" s="73">
        <f>IF('Rate Log'!$C$240="",0,IF(1+$N4039&gt;0,LN(1+$N4039),0))</f>
        <v>0</v>
      </c>
      <c r="P4039" s="75">
        <f t="shared" si="1494"/>
        <v>0</v>
      </c>
      <c r="Q4039" s="75">
        <f>IF($K4039="",0,COUNTIFS(rl_key,'Rate Log'!$J$240,$L$3806:$L$4045,$L4039,$K$3806:$K$4045,"&lt;"&amp;$K4039))</f>
        <v>0</v>
      </c>
      <c r="R4039" s="75">
        <f>IF($K4039="",0,COUNTIFS('Rate Log'!$J$7:$J$240,'Rate Log'!$J$240,$L$3806:$L4039,$L4039,$K$3806:$K4039,$K4039))</f>
        <v>0</v>
      </c>
      <c r="S4039" s="75">
        <f t="shared" si="1495"/>
        <v>0</v>
      </c>
      <c r="U4039" s="74" t="str">
        <f>IF('Rate Log'!$C$240="","",IF('Rate Log'!$E$240="planned",EDATE('Rate Log'!$C$240,N(INDEX(sc_shift,3))),'Rate Log'!$C$240))</f>
        <v/>
      </c>
      <c r="V4039" s="74" t="str">
        <f t="shared" si="1496"/>
        <v/>
      </c>
      <c r="W4039" s="72">
        <f>IF(N(INDEX(sc_ach,3))=0,IF('Rate Log'!$G$240="",1,'Rate Log'!$G$240),INDEX(sc_ach,3))</f>
        <v>1</v>
      </c>
      <c r="X4039" s="72">
        <f>IF('Rate Log'!$C$240="",0,IF('Rate Log'!$E$240="planned",('Rate Log'!$D$240+N(INDEX(sc_dpts,3)))*$W4039,'Rate Log'!$D$240))</f>
        <v>0</v>
      </c>
      <c r="Y4039" s="73">
        <f>IF('Rate Log'!$C$240="",0,IF(1+$X4039&gt;0,LN(1+$X4039),0))</f>
        <v>0</v>
      </c>
      <c r="Z4039" s="75">
        <f t="shared" si="1497"/>
        <v>0</v>
      </c>
      <c r="AA4039" s="75">
        <f>IF($U4039="",0,COUNTIFS(rl_key,'Rate Log'!$J$240,$V$3806:$V$4045,$V4039,$U$3806:$U$4045,"&lt;"&amp;$U4039))</f>
        <v>0</v>
      </c>
      <c r="AB4039" s="75">
        <f>IF($U4039="",0,COUNTIFS('Rate Log'!$J$7:$J$240,'Rate Log'!$J$240,$V$3806:$V4039,$V4039,$U$3806:$U4039,$U4039))</f>
        <v>0</v>
      </c>
      <c r="AC4039" s="75">
        <f t="shared" si="1498"/>
        <v>0</v>
      </c>
      <c r="AE4039" s="74" t="str">
        <f>IF('Rate Log'!$C$240="","",IF('Rate Log'!$E$240="planned",EDATE('Rate Log'!$C$240,N(INDEX(sc_shift,4))),'Rate Log'!$C$240))</f>
        <v/>
      </c>
      <c r="AF4039" s="74" t="str">
        <f t="shared" si="1499"/>
        <v/>
      </c>
      <c r="AG4039" s="72">
        <f>IF(N(INDEX(sc_ach,4))=0,IF('Rate Log'!$G$240="",1,'Rate Log'!$G$240),INDEX(sc_ach,4))</f>
        <v>1</v>
      </c>
      <c r="AH4039" s="72">
        <f>IF('Rate Log'!$C$240="",0,IF('Rate Log'!$E$240="planned",('Rate Log'!$D$240+N(INDEX(sc_dpts,4)))*$AG4039,'Rate Log'!$D$240))</f>
        <v>0</v>
      </c>
      <c r="AI4039" s="73">
        <f>IF('Rate Log'!$C$240="",0,IF(1+$AH4039&gt;0,LN(1+$AH4039),0))</f>
        <v>0</v>
      </c>
      <c r="AJ4039" s="75">
        <f t="shared" si="1500"/>
        <v>0</v>
      </c>
      <c r="AK4039" s="75">
        <f>IF($AE4039="",0,COUNTIFS(rl_key,'Rate Log'!$J$240,$AF$3806:$AF$4045,$AF4039,$AE$3806:$AE$4045,"&lt;"&amp;$AE4039))</f>
        <v>0</v>
      </c>
      <c r="AL4039" s="75">
        <f>IF($AE4039="",0,COUNTIFS('Rate Log'!$J$7:$J$240,'Rate Log'!$J$240,$AF$3806:$AF4039,$AF4039,$AE$3806:$AE4039,$AE4039))</f>
        <v>0</v>
      </c>
      <c r="AM4039" s="75">
        <f t="shared" si="1501"/>
        <v>0</v>
      </c>
    </row>
    <row r="4040" spans="1:39" x14ac:dyDescent="0.3">
      <c r="A4040" s="74" t="str">
        <f>IF('Rate Log'!$C$241="","",IF('Rate Log'!$E$241="planned",EDATE('Rate Log'!$C$241,N(INDEX(sc_shift,1))),'Rate Log'!$C$241))</f>
        <v/>
      </c>
      <c r="B4040" s="74" t="str">
        <f t="shared" si="1490"/>
        <v/>
      </c>
      <c r="C4040" s="72">
        <f>IF(N(INDEX(sc_ach,1))=0,IF('Rate Log'!$G$241="",1,'Rate Log'!$G$241),INDEX(sc_ach,1))</f>
        <v>1</v>
      </c>
      <c r="D4040" s="72">
        <f>IF('Rate Log'!$C$241="",0,IF('Rate Log'!$E$241="planned",('Rate Log'!$D$241+N(INDEX(sc_dpts,1)))*$C4040,'Rate Log'!$D$241))</f>
        <v>0</v>
      </c>
      <c r="E4040" s="73">
        <f>IF('Rate Log'!$C$241="",0,IF(1+$D4040&gt;0,LN(1+$D4040),0))</f>
        <v>0</v>
      </c>
      <c r="F4040" s="75">
        <f t="shared" si="1491"/>
        <v>0</v>
      </c>
      <c r="G4040" s="75">
        <f>IF($A4040="",0,COUNTIFS(rl_key,'Rate Log'!$J$241,$B$3806:$B$4045,$B4040,$A$3806:$A$4045,"&lt;"&amp;$A4040))</f>
        <v>0</v>
      </c>
      <c r="H4040" s="75">
        <f>IF($A4040="",0,COUNTIFS('Rate Log'!$J$7:$J$241,'Rate Log'!$J$241,$B$3806:$B4040,$B4040,$A$3806:$A4040,$A4040))</f>
        <v>0</v>
      </c>
      <c r="I4040" s="75">
        <f t="shared" si="1492"/>
        <v>0</v>
      </c>
      <c r="K4040" s="74" t="str">
        <f>IF('Rate Log'!$C$241="","",IF('Rate Log'!$E$241="planned",EDATE('Rate Log'!$C$241,N(INDEX(sc_shift,2))),'Rate Log'!$C$241))</f>
        <v/>
      </c>
      <c r="L4040" s="74" t="str">
        <f t="shared" si="1493"/>
        <v/>
      </c>
      <c r="M4040" s="72">
        <f>IF(N(INDEX(sc_ach,2))=0,IF('Rate Log'!$G$241="",1,'Rate Log'!$G$241),INDEX(sc_ach,2))</f>
        <v>1</v>
      </c>
      <c r="N4040" s="72">
        <f>IF('Rate Log'!$C$241="",0,IF('Rate Log'!$E$241="planned",('Rate Log'!$D$241+N(INDEX(sc_dpts,2)))*$M4040,'Rate Log'!$D$241))</f>
        <v>0</v>
      </c>
      <c r="O4040" s="73">
        <f>IF('Rate Log'!$C$241="",0,IF(1+$N4040&gt;0,LN(1+$N4040),0))</f>
        <v>0</v>
      </c>
      <c r="P4040" s="75">
        <f t="shared" si="1494"/>
        <v>0</v>
      </c>
      <c r="Q4040" s="75">
        <f>IF($K4040="",0,COUNTIFS(rl_key,'Rate Log'!$J$241,$L$3806:$L$4045,$L4040,$K$3806:$K$4045,"&lt;"&amp;$K4040))</f>
        <v>0</v>
      </c>
      <c r="R4040" s="75">
        <f>IF($K4040="",0,COUNTIFS('Rate Log'!$J$7:$J$241,'Rate Log'!$J$241,$L$3806:$L4040,$L4040,$K$3806:$K4040,$K4040))</f>
        <v>0</v>
      </c>
      <c r="S4040" s="75">
        <f t="shared" si="1495"/>
        <v>0</v>
      </c>
      <c r="U4040" s="74" t="str">
        <f>IF('Rate Log'!$C$241="","",IF('Rate Log'!$E$241="planned",EDATE('Rate Log'!$C$241,N(INDEX(sc_shift,3))),'Rate Log'!$C$241))</f>
        <v/>
      </c>
      <c r="V4040" s="74" t="str">
        <f t="shared" si="1496"/>
        <v/>
      </c>
      <c r="W4040" s="72">
        <f>IF(N(INDEX(sc_ach,3))=0,IF('Rate Log'!$G$241="",1,'Rate Log'!$G$241),INDEX(sc_ach,3))</f>
        <v>1</v>
      </c>
      <c r="X4040" s="72">
        <f>IF('Rate Log'!$C$241="",0,IF('Rate Log'!$E$241="planned",('Rate Log'!$D$241+N(INDEX(sc_dpts,3)))*$W4040,'Rate Log'!$D$241))</f>
        <v>0</v>
      </c>
      <c r="Y4040" s="73">
        <f>IF('Rate Log'!$C$241="",0,IF(1+$X4040&gt;0,LN(1+$X4040),0))</f>
        <v>0</v>
      </c>
      <c r="Z4040" s="75">
        <f t="shared" si="1497"/>
        <v>0</v>
      </c>
      <c r="AA4040" s="75">
        <f>IF($U4040="",0,COUNTIFS(rl_key,'Rate Log'!$J$241,$V$3806:$V$4045,$V4040,$U$3806:$U$4045,"&lt;"&amp;$U4040))</f>
        <v>0</v>
      </c>
      <c r="AB4040" s="75">
        <f>IF($U4040="",0,COUNTIFS('Rate Log'!$J$7:$J$241,'Rate Log'!$J$241,$V$3806:$V4040,$V4040,$U$3806:$U4040,$U4040))</f>
        <v>0</v>
      </c>
      <c r="AC4040" s="75">
        <f t="shared" si="1498"/>
        <v>0</v>
      </c>
      <c r="AE4040" s="74" t="str">
        <f>IF('Rate Log'!$C$241="","",IF('Rate Log'!$E$241="planned",EDATE('Rate Log'!$C$241,N(INDEX(sc_shift,4))),'Rate Log'!$C$241))</f>
        <v/>
      </c>
      <c r="AF4040" s="74" t="str">
        <f t="shared" si="1499"/>
        <v/>
      </c>
      <c r="AG4040" s="72">
        <f>IF(N(INDEX(sc_ach,4))=0,IF('Rate Log'!$G$241="",1,'Rate Log'!$G$241),INDEX(sc_ach,4))</f>
        <v>1</v>
      </c>
      <c r="AH4040" s="72">
        <f>IF('Rate Log'!$C$241="",0,IF('Rate Log'!$E$241="planned",('Rate Log'!$D$241+N(INDEX(sc_dpts,4)))*$AG4040,'Rate Log'!$D$241))</f>
        <v>0</v>
      </c>
      <c r="AI4040" s="73">
        <f>IF('Rate Log'!$C$241="",0,IF(1+$AH4040&gt;0,LN(1+$AH4040),0))</f>
        <v>0</v>
      </c>
      <c r="AJ4040" s="75">
        <f t="shared" si="1500"/>
        <v>0</v>
      </c>
      <c r="AK4040" s="75">
        <f>IF($AE4040="",0,COUNTIFS(rl_key,'Rate Log'!$J$241,$AF$3806:$AF$4045,$AF4040,$AE$3806:$AE$4045,"&lt;"&amp;$AE4040))</f>
        <v>0</v>
      </c>
      <c r="AL4040" s="75">
        <f>IF($AE4040="",0,COUNTIFS('Rate Log'!$J$7:$J$241,'Rate Log'!$J$241,$AF$3806:$AF4040,$AF4040,$AE$3806:$AE4040,$AE4040))</f>
        <v>0</v>
      </c>
      <c r="AM4040" s="75">
        <f t="shared" si="1501"/>
        <v>0</v>
      </c>
    </row>
    <row r="4041" spans="1:39" x14ac:dyDescent="0.3">
      <c r="A4041" s="74" t="str">
        <f>IF('Rate Log'!$C$242="","",IF('Rate Log'!$E$242="planned",EDATE('Rate Log'!$C$242,N(INDEX(sc_shift,1))),'Rate Log'!$C$242))</f>
        <v/>
      </c>
      <c r="B4041" s="74" t="str">
        <f t="shared" si="1490"/>
        <v/>
      </c>
      <c r="C4041" s="72">
        <f>IF(N(INDEX(sc_ach,1))=0,IF('Rate Log'!$G$242="",1,'Rate Log'!$G$242),INDEX(sc_ach,1))</f>
        <v>1</v>
      </c>
      <c r="D4041" s="72">
        <f>IF('Rate Log'!$C$242="",0,IF('Rate Log'!$E$242="planned",('Rate Log'!$D$242+N(INDEX(sc_dpts,1)))*$C4041,'Rate Log'!$D$242))</f>
        <v>0</v>
      </c>
      <c r="E4041" s="73">
        <f>IF('Rate Log'!$C$242="",0,IF(1+$D4041&gt;0,LN(1+$D4041),0))</f>
        <v>0</v>
      </c>
      <c r="F4041" s="75">
        <f t="shared" si="1491"/>
        <v>0</v>
      </c>
      <c r="G4041" s="75">
        <f>IF($A4041="",0,COUNTIFS(rl_key,'Rate Log'!$J$242,$B$3806:$B$4045,$B4041,$A$3806:$A$4045,"&lt;"&amp;$A4041))</f>
        <v>0</v>
      </c>
      <c r="H4041" s="75">
        <f>IF($A4041="",0,COUNTIFS('Rate Log'!$J$7:$J$242,'Rate Log'!$J$242,$B$3806:$B4041,$B4041,$A$3806:$A4041,$A4041))</f>
        <v>0</v>
      </c>
      <c r="I4041" s="75">
        <f t="shared" si="1492"/>
        <v>0</v>
      </c>
      <c r="K4041" s="74" t="str">
        <f>IF('Rate Log'!$C$242="","",IF('Rate Log'!$E$242="planned",EDATE('Rate Log'!$C$242,N(INDEX(sc_shift,2))),'Rate Log'!$C$242))</f>
        <v/>
      </c>
      <c r="L4041" s="74" t="str">
        <f t="shared" si="1493"/>
        <v/>
      </c>
      <c r="M4041" s="72">
        <f>IF(N(INDEX(sc_ach,2))=0,IF('Rate Log'!$G$242="",1,'Rate Log'!$G$242),INDEX(sc_ach,2))</f>
        <v>1</v>
      </c>
      <c r="N4041" s="72">
        <f>IF('Rate Log'!$C$242="",0,IF('Rate Log'!$E$242="planned",('Rate Log'!$D$242+N(INDEX(sc_dpts,2)))*$M4041,'Rate Log'!$D$242))</f>
        <v>0</v>
      </c>
      <c r="O4041" s="73">
        <f>IF('Rate Log'!$C$242="",0,IF(1+$N4041&gt;0,LN(1+$N4041),0))</f>
        <v>0</v>
      </c>
      <c r="P4041" s="75">
        <f t="shared" si="1494"/>
        <v>0</v>
      </c>
      <c r="Q4041" s="75">
        <f>IF($K4041="",0,COUNTIFS(rl_key,'Rate Log'!$J$242,$L$3806:$L$4045,$L4041,$K$3806:$K$4045,"&lt;"&amp;$K4041))</f>
        <v>0</v>
      </c>
      <c r="R4041" s="75">
        <f>IF($K4041="",0,COUNTIFS('Rate Log'!$J$7:$J$242,'Rate Log'!$J$242,$L$3806:$L4041,$L4041,$K$3806:$K4041,$K4041))</f>
        <v>0</v>
      </c>
      <c r="S4041" s="75">
        <f t="shared" si="1495"/>
        <v>0</v>
      </c>
      <c r="U4041" s="74" t="str">
        <f>IF('Rate Log'!$C$242="","",IF('Rate Log'!$E$242="planned",EDATE('Rate Log'!$C$242,N(INDEX(sc_shift,3))),'Rate Log'!$C$242))</f>
        <v/>
      </c>
      <c r="V4041" s="74" t="str">
        <f t="shared" si="1496"/>
        <v/>
      </c>
      <c r="W4041" s="72">
        <f>IF(N(INDEX(sc_ach,3))=0,IF('Rate Log'!$G$242="",1,'Rate Log'!$G$242),INDEX(sc_ach,3))</f>
        <v>1</v>
      </c>
      <c r="X4041" s="72">
        <f>IF('Rate Log'!$C$242="",0,IF('Rate Log'!$E$242="planned",('Rate Log'!$D$242+N(INDEX(sc_dpts,3)))*$W4041,'Rate Log'!$D$242))</f>
        <v>0</v>
      </c>
      <c r="Y4041" s="73">
        <f>IF('Rate Log'!$C$242="",0,IF(1+$X4041&gt;0,LN(1+$X4041),0))</f>
        <v>0</v>
      </c>
      <c r="Z4041" s="75">
        <f t="shared" si="1497"/>
        <v>0</v>
      </c>
      <c r="AA4041" s="75">
        <f>IF($U4041="",0,COUNTIFS(rl_key,'Rate Log'!$J$242,$V$3806:$V$4045,$V4041,$U$3806:$U$4045,"&lt;"&amp;$U4041))</f>
        <v>0</v>
      </c>
      <c r="AB4041" s="75">
        <f>IF($U4041="",0,COUNTIFS('Rate Log'!$J$7:$J$242,'Rate Log'!$J$242,$V$3806:$V4041,$V4041,$U$3806:$U4041,$U4041))</f>
        <v>0</v>
      </c>
      <c r="AC4041" s="75">
        <f t="shared" si="1498"/>
        <v>0</v>
      </c>
      <c r="AE4041" s="74" t="str">
        <f>IF('Rate Log'!$C$242="","",IF('Rate Log'!$E$242="planned",EDATE('Rate Log'!$C$242,N(INDEX(sc_shift,4))),'Rate Log'!$C$242))</f>
        <v/>
      </c>
      <c r="AF4041" s="74" t="str">
        <f t="shared" si="1499"/>
        <v/>
      </c>
      <c r="AG4041" s="72">
        <f>IF(N(INDEX(sc_ach,4))=0,IF('Rate Log'!$G$242="",1,'Rate Log'!$G$242),INDEX(sc_ach,4))</f>
        <v>1</v>
      </c>
      <c r="AH4041" s="72">
        <f>IF('Rate Log'!$C$242="",0,IF('Rate Log'!$E$242="planned",('Rate Log'!$D$242+N(INDEX(sc_dpts,4)))*$AG4041,'Rate Log'!$D$242))</f>
        <v>0</v>
      </c>
      <c r="AI4041" s="73">
        <f>IF('Rate Log'!$C$242="",0,IF(1+$AH4041&gt;0,LN(1+$AH4041),0))</f>
        <v>0</v>
      </c>
      <c r="AJ4041" s="75">
        <f t="shared" si="1500"/>
        <v>0</v>
      </c>
      <c r="AK4041" s="75">
        <f>IF($AE4041="",0,COUNTIFS(rl_key,'Rate Log'!$J$242,$AF$3806:$AF$4045,$AF4041,$AE$3806:$AE$4045,"&lt;"&amp;$AE4041))</f>
        <v>0</v>
      </c>
      <c r="AL4041" s="75">
        <f>IF($AE4041="",0,COUNTIFS('Rate Log'!$J$7:$J$242,'Rate Log'!$J$242,$AF$3806:$AF4041,$AF4041,$AE$3806:$AE4041,$AE4041))</f>
        <v>0</v>
      </c>
      <c r="AM4041" s="75">
        <f t="shared" si="1501"/>
        <v>0</v>
      </c>
    </row>
    <row r="4042" spans="1:39" x14ac:dyDescent="0.3">
      <c r="A4042" s="74" t="str">
        <f>IF('Rate Log'!$C$243="","",IF('Rate Log'!$E$243="planned",EDATE('Rate Log'!$C$243,N(INDEX(sc_shift,1))),'Rate Log'!$C$243))</f>
        <v/>
      </c>
      <c r="B4042" s="74" t="str">
        <f t="shared" si="1490"/>
        <v/>
      </c>
      <c r="C4042" s="72">
        <f>IF(N(INDEX(sc_ach,1))=0,IF('Rate Log'!$G$243="",1,'Rate Log'!$G$243),INDEX(sc_ach,1))</f>
        <v>1</v>
      </c>
      <c r="D4042" s="72">
        <f>IF('Rate Log'!$C$243="",0,IF('Rate Log'!$E$243="planned",('Rate Log'!$D$243+N(INDEX(sc_dpts,1)))*$C4042,'Rate Log'!$D$243))</f>
        <v>0</v>
      </c>
      <c r="E4042" s="73">
        <f>IF('Rate Log'!$C$243="",0,IF(1+$D4042&gt;0,LN(1+$D4042),0))</f>
        <v>0</v>
      </c>
      <c r="F4042" s="75">
        <f t="shared" si="1491"/>
        <v>0</v>
      </c>
      <c r="G4042" s="75">
        <f>IF($A4042="",0,COUNTIFS(rl_key,'Rate Log'!$J$243,$B$3806:$B$4045,$B4042,$A$3806:$A$4045,"&lt;"&amp;$A4042))</f>
        <v>0</v>
      </c>
      <c r="H4042" s="75">
        <f>IF($A4042="",0,COUNTIFS('Rate Log'!$J$7:$J$243,'Rate Log'!$J$243,$B$3806:$B4042,$B4042,$A$3806:$A4042,$A4042))</f>
        <v>0</v>
      </c>
      <c r="I4042" s="75">
        <f t="shared" si="1492"/>
        <v>0</v>
      </c>
      <c r="K4042" s="74" t="str">
        <f>IF('Rate Log'!$C$243="","",IF('Rate Log'!$E$243="planned",EDATE('Rate Log'!$C$243,N(INDEX(sc_shift,2))),'Rate Log'!$C$243))</f>
        <v/>
      </c>
      <c r="L4042" s="74" t="str">
        <f t="shared" si="1493"/>
        <v/>
      </c>
      <c r="M4042" s="72">
        <f>IF(N(INDEX(sc_ach,2))=0,IF('Rate Log'!$G$243="",1,'Rate Log'!$G$243),INDEX(sc_ach,2))</f>
        <v>1</v>
      </c>
      <c r="N4042" s="72">
        <f>IF('Rate Log'!$C$243="",0,IF('Rate Log'!$E$243="planned",('Rate Log'!$D$243+N(INDEX(sc_dpts,2)))*$M4042,'Rate Log'!$D$243))</f>
        <v>0</v>
      </c>
      <c r="O4042" s="73">
        <f>IF('Rate Log'!$C$243="",0,IF(1+$N4042&gt;0,LN(1+$N4042),0))</f>
        <v>0</v>
      </c>
      <c r="P4042" s="75">
        <f t="shared" si="1494"/>
        <v>0</v>
      </c>
      <c r="Q4042" s="75">
        <f>IF($K4042="",0,COUNTIFS(rl_key,'Rate Log'!$J$243,$L$3806:$L$4045,$L4042,$K$3806:$K$4045,"&lt;"&amp;$K4042))</f>
        <v>0</v>
      </c>
      <c r="R4042" s="75">
        <f>IF($K4042="",0,COUNTIFS('Rate Log'!$J$7:$J$243,'Rate Log'!$J$243,$L$3806:$L4042,$L4042,$K$3806:$K4042,$K4042))</f>
        <v>0</v>
      </c>
      <c r="S4042" s="75">
        <f t="shared" si="1495"/>
        <v>0</v>
      </c>
      <c r="U4042" s="74" t="str">
        <f>IF('Rate Log'!$C$243="","",IF('Rate Log'!$E$243="planned",EDATE('Rate Log'!$C$243,N(INDEX(sc_shift,3))),'Rate Log'!$C$243))</f>
        <v/>
      </c>
      <c r="V4042" s="74" t="str">
        <f t="shared" si="1496"/>
        <v/>
      </c>
      <c r="W4042" s="72">
        <f>IF(N(INDEX(sc_ach,3))=0,IF('Rate Log'!$G$243="",1,'Rate Log'!$G$243),INDEX(sc_ach,3))</f>
        <v>1</v>
      </c>
      <c r="X4042" s="72">
        <f>IF('Rate Log'!$C$243="",0,IF('Rate Log'!$E$243="planned",('Rate Log'!$D$243+N(INDEX(sc_dpts,3)))*$W4042,'Rate Log'!$D$243))</f>
        <v>0</v>
      </c>
      <c r="Y4042" s="73">
        <f>IF('Rate Log'!$C$243="",0,IF(1+$X4042&gt;0,LN(1+$X4042),0))</f>
        <v>0</v>
      </c>
      <c r="Z4042" s="75">
        <f t="shared" si="1497"/>
        <v>0</v>
      </c>
      <c r="AA4042" s="75">
        <f>IF($U4042="",0,COUNTIFS(rl_key,'Rate Log'!$J$243,$V$3806:$V$4045,$V4042,$U$3806:$U$4045,"&lt;"&amp;$U4042))</f>
        <v>0</v>
      </c>
      <c r="AB4042" s="75">
        <f>IF($U4042="",0,COUNTIFS('Rate Log'!$J$7:$J$243,'Rate Log'!$J$243,$V$3806:$V4042,$V4042,$U$3806:$U4042,$U4042))</f>
        <v>0</v>
      </c>
      <c r="AC4042" s="75">
        <f t="shared" si="1498"/>
        <v>0</v>
      </c>
      <c r="AE4042" s="74" t="str">
        <f>IF('Rate Log'!$C$243="","",IF('Rate Log'!$E$243="planned",EDATE('Rate Log'!$C$243,N(INDEX(sc_shift,4))),'Rate Log'!$C$243))</f>
        <v/>
      </c>
      <c r="AF4042" s="74" t="str">
        <f t="shared" si="1499"/>
        <v/>
      </c>
      <c r="AG4042" s="72">
        <f>IF(N(INDEX(sc_ach,4))=0,IF('Rate Log'!$G$243="",1,'Rate Log'!$G$243),INDEX(sc_ach,4))</f>
        <v>1</v>
      </c>
      <c r="AH4042" s="72">
        <f>IF('Rate Log'!$C$243="",0,IF('Rate Log'!$E$243="planned",('Rate Log'!$D$243+N(INDEX(sc_dpts,4)))*$AG4042,'Rate Log'!$D$243))</f>
        <v>0</v>
      </c>
      <c r="AI4042" s="73">
        <f>IF('Rate Log'!$C$243="",0,IF(1+$AH4042&gt;0,LN(1+$AH4042),0))</f>
        <v>0</v>
      </c>
      <c r="AJ4042" s="75">
        <f t="shared" si="1500"/>
        <v>0</v>
      </c>
      <c r="AK4042" s="75">
        <f>IF($AE4042="",0,COUNTIFS(rl_key,'Rate Log'!$J$243,$AF$3806:$AF$4045,$AF4042,$AE$3806:$AE$4045,"&lt;"&amp;$AE4042))</f>
        <v>0</v>
      </c>
      <c r="AL4042" s="75">
        <f>IF($AE4042="",0,COUNTIFS('Rate Log'!$J$7:$J$243,'Rate Log'!$J$243,$AF$3806:$AF4042,$AF4042,$AE$3806:$AE4042,$AE4042))</f>
        <v>0</v>
      </c>
      <c r="AM4042" s="75">
        <f t="shared" si="1501"/>
        <v>0</v>
      </c>
    </row>
    <row r="4043" spans="1:39" x14ac:dyDescent="0.3">
      <c r="A4043" s="74" t="str">
        <f>IF('Rate Log'!$C$244="","",IF('Rate Log'!$E$244="planned",EDATE('Rate Log'!$C$244,N(INDEX(sc_shift,1))),'Rate Log'!$C$244))</f>
        <v/>
      </c>
      <c r="B4043" s="74" t="str">
        <f t="shared" si="1490"/>
        <v/>
      </c>
      <c r="C4043" s="72">
        <f>IF(N(INDEX(sc_ach,1))=0,IF('Rate Log'!$G$244="",1,'Rate Log'!$G$244),INDEX(sc_ach,1))</f>
        <v>1</v>
      </c>
      <c r="D4043" s="72">
        <f>IF('Rate Log'!$C$244="",0,IF('Rate Log'!$E$244="planned",('Rate Log'!$D$244+N(INDEX(sc_dpts,1)))*$C4043,'Rate Log'!$D$244))</f>
        <v>0</v>
      </c>
      <c r="E4043" s="73">
        <f>IF('Rate Log'!$C$244="",0,IF(1+$D4043&gt;0,LN(1+$D4043),0))</f>
        <v>0</v>
      </c>
      <c r="F4043" s="75">
        <f t="shared" si="1491"/>
        <v>0</v>
      </c>
      <c r="G4043" s="75">
        <f>IF($A4043="",0,COUNTIFS(rl_key,'Rate Log'!$J$244,$B$3806:$B$4045,$B4043,$A$3806:$A$4045,"&lt;"&amp;$A4043))</f>
        <v>0</v>
      </c>
      <c r="H4043" s="75">
        <f>IF($A4043="",0,COUNTIFS('Rate Log'!$J$7:$J$244,'Rate Log'!$J$244,$B$3806:$B4043,$B4043,$A$3806:$A4043,$A4043))</f>
        <v>0</v>
      </c>
      <c r="I4043" s="75">
        <f t="shared" si="1492"/>
        <v>0</v>
      </c>
      <c r="K4043" s="74" t="str">
        <f>IF('Rate Log'!$C$244="","",IF('Rate Log'!$E$244="planned",EDATE('Rate Log'!$C$244,N(INDEX(sc_shift,2))),'Rate Log'!$C$244))</f>
        <v/>
      </c>
      <c r="L4043" s="74" t="str">
        <f t="shared" si="1493"/>
        <v/>
      </c>
      <c r="M4043" s="72">
        <f>IF(N(INDEX(sc_ach,2))=0,IF('Rate Log'!$G$244="",1,'Rate Log'!$G$244),INDEX(sc_ach,2))</f>
        <v>1</v>
      </c>
      <c r="N4043" s="72">
        <f>IF('Rate Log'!$C$244="",0,IF('Rate Log'!$E$244="planned",('Rate Log'!$D$244+N(INDEX(sc_dpts,2)))*$M4043,'Rate Log'!$D$244))</f>
        <v>0</v>
      </c>
      <c r="O4043" s="73">
        <f>IF('Rate Log'!$C$244="",0,IF(1+$N4043&gt;0,LN(1+$N4043),0))</f>
        <v>0</v>
      </c>
      <c r="P4043" s="75">
        <f t="shared" si="1494"/>
        <v>0</v>
      </c>
      <c r="Q4043" s="75">
        <f>IF($K4043="",0,COUNTIFS(rl_key,'Rate Log'!$J$244,$L$3806:$L$4045,$L4043,$K$3806:$K$4045,"&lt;"&amp;$K4043))</f>
        <v>0</v>
      </c>
      <c r="R4043" s="75">
        <f>IF($K4043="",0,COUNTIFS('Rate Log'!$J$7:$J$244,'Rate Log'!$J$244,$L$3806:$L4043,$L4043,$K$3806:$K4043,$K4043))</f>
        <v>0</v>
      </c>
      <c r="S4043" s="75">
        <f t="shared" si="1495"/>
        <v>0</v>
      </c>
      <c r="U4043" s="74" t="str">
        <f>IF('Rate Log'!$C$244="","",IF('Rate Log'!$E$244="planned",EDATE('Rate Log'!$C$244,N(INDEX(sc_shift,3))),'Rate Log'!$C$244))</f>
        <v/>
      </c>
      <c r="V4043" s="74" t="str">
        <f t="shared" si="1496"/>
        <v/>
      </c>
      <c r="W4043" s="72">
        <f>IF(N(INDEX(sc_ach,3))=0,IF('Rate Log'!$G$244="",1,'Rate Log'!$G$244),INDEX(sc_ach,3))</f>
        <v>1</v>
      </c>
      <c r="X4043" s="72">
        <f>IF('Rate Log'!$C$244="",0,IF('Rate Log'!$E$244="planned",('Rate Log'!$D$244+N(INDEX(sc_dpts,3)))*$W4043,'Rate Log'!$D$244))</f>
        <v>0</v>
      </c>
      <c r="Y4043" s="73">
        <f>IF('Rate Log'!$C$244="",0,IF(1+$X4043&gt;0,LN(1+$X4043),0))</f>
        <v>0</v>
      </c>
      <c r="Z4043" s="75">
        <f t="shared" si="1497"/>
        <v>0</v>
      </c>
      <c r="AA4043" s="75">
        <f>IF($U4043="",0,COUNTIFS(rl_key,'Rate Log'!$J$244,$V$3806:$V$4045,$V4043,$U$3806:$U$4045,"&lt;"&amp;$U4043))</f>
        <v>0</v>
      </c>
      <c r="AB4043" s="75">
        <f>IF($U4043="",0,COUNTIFS('Rate Log'!$J$7:$J$244,'Rate Log'!$J$244,$V$3806:$V4043,$V4043,$U$3806:$U4043,$U4043))</f>
        <v>0</v>
      </c>
      <c r="AC4043" s="75">
        <f t="shared" si="1498"/>
        <v>0</v>
      </c>
      <c r="AE4043" s="74" t="str">
        <f>IF('Rate Log'!$C$244="","",IF('Rate Log'!$E$244="planned",EDATE('Rate Log'!$C$244,N(INDEX(sc_shift,4))),'Rate Log'!$C$244))</f>
        <v/>
      </c>
      <c r="AF4043" s="74" t="str">
        <f t="shared" si="1499"/>
        <v/>
      </c>
      <c r="AG4043" s="72">
        <f>IF(N(INDEX(sc_ach,4))=0,IF('Rate Log'!$G$244="",1,'Rate Log'!$G$244),INDEX(sc_ach,4))</f>
        <v>1</v>
      </c>
      <c r="AH4043" s="72">
        <f>IF('Rate Log'!$C$244="",0,IF('Rate Log'!$E$244="planned",('Rate Log'!$D$244+N(INDEX(sc_dpts,4)))*$AG4043,'Rate Log'!$D$244))</f>
        <v>0</v>
      </c>
      <c r="AI4043" s="73">
        <f>IF('Rate Log'!$C$244="",0,IF(1+$AH4043&gt;0,LN(1+$AH4043),0))</f>
        <v>0</v>
      </c>
      <c r="AJ4043" s="75">
        <f t="shared" si="1500"/>
        <v>0</v>
      </c>
      <c r="AK4043" s="75">
        <f>IF($AE4043="",0,COUNTIFS(rl_key,'Rate Log'!$J$244,$AF$3806:$AF$4045,$AF4043,$AE$3806:$AE$4045,"&lt;"&amp;$AE4043))</f>
        <v>0</v>
      </c>
      <c r="AL4043" s="75">
        <f>IF($AE4043="",0,COUNTIFS('Rate Log'!$J$7:$J$244,'Rate Log'!$J$244,$AF$3806:$AF4043,$AF4043,$AE$3806:$AE4043,$AE4043))</f>
        <v>0</v>
      </c>
      <c r="AM4043" s="75">
        <f t="shared" si="1501"/>
        <v>0</v>
      </c>
    </row>
    <row r="4044" spans="1:39" x14ac:dyDescent="0.3">
      <c r="A4044" s="74" t="str">
        <f>IF('Rate Log'!$C$245="","",IF('Rate Log'!$E$245="planned",EDATE('Rate Log'!$C$245,N(INDEX(sc_shift,1))),'Rate Log'!$C$245))</f>
        <v/>
      </c>
      <c r="B4044" s="74" t="str">
        <f t="shared" si="1490"/>
        <v/>
      </c>
      <c r="C4044" s="72">
        <f>IF(N(INDEX(sc_ach,1))=0,IF('Rate Log'!$G$245="",1,'Rate Log'!$G$245),INDEX(sc_ach,1))</f>
        <v>1</v>
      </c>
      <c r="D4044" s="72">
        <f>IF('Rate Log'!$C$245="",0,IF('Rate Log'!$E$245="planned",('Rate Log'!$D$245+N(INDEX(sc_dpts,1)))*$C4044,'Rate Log'!$D$245))</f>
        <v>0</v>
      </c>
      <c r="E4044" s="73">
        <f>IF('Rate Log'!$C$245="",0,IF(1+$D4044&gt;0,LN(1+$D4044),0))</f>
        <v>0</v>
      </c>
      <c r="F4044" s="75">
        <f t="shared" si="1491"/>
        <v>0</v>
      </c>
      <c r="G4044" s="75">
        <f>IF($A4044="",0,COUNTIFS(rl_key,'Rate Log'!$J$245,$B$3806:$B$4045,$B4044,$A$3806:$A$4045,"&lt;"&amp;$A4044))</f>
        <v>0</v>
      </c>
      <c r="H4044" s="75">
        <f>IF($A4044="",0,COUNTIFS('Rate Log'!$J$7:$J$245,'Rate Log'!$J$245,$B$3806:$B4044,$B4044,$A$3806:$A4044,$A4044))</f>
        <v>0</v>
      </c>
      <c r="I4044" s="75">
        <f t="shared" si="1492"/>
        <v>0</v>
      </c>
      <c r="K4044" s="74" t="str">
        <f>IF('Rate Log'!$C$245="","",IF('Rate Log'!$E$245="planned",EDATE('Rate Log'!$C$245,N(INDEX(sc_shift,2))),'Rate Log'!$C$245))</f>
        <v/>
      </c>
      <c r="L4044" s="74" t="str">
        <f t="shared" si="1493"/>
        <v/>
      </c>
      <c r="M4044" s="72">
        <f>IF(N(INDEX(sc_ach,2))=0,IF('Rate Log'!$G$245="",1,'Rate Log'!$G$245),INDEX(sc_ach,2))</f>
        <v>1</v>
      </c>
      <c r="N4044" s="72">
        <f>IF('Rate Log'!$C$245="",0,IF('Rate Log'!$E$245="planned",('Rate Log'!$D$245+N(INDEX(sc_dpts,2)))*$M4044,'Rate Log'!$D$245))</f>
        <v>0</v>
      </c>
      <c r="O4044" s="73">
        <f>IF('Rate Log'!$C$245="",0,IF(1+$N4044&gt;0,LN(1+$N4044),0))</f>
        <v>0</v>
      </c>
      <c r="P4044" s="75">
        <f t="shared" si="1494"/>
        <v>0</v>
      </c>
      <c r="Q4044" s="75">
        <f>IF($K4044="",0,COUNTIFS(rl_key,'Rate Log'!$J$245,$L$3806:$L$4045,$L4044,$K$3806:$K$4045,"&lt;"&amp;$K4044))</f>
        <v>0</v>
      </c>
      <c r="R4044" s="75">
        <f>IF($K4044="",0,COUNTIFS('Rate Log'!$J$7:$J$245,'Rate Log'!$J$245,$L$3806:$L4044,$L4044,$K$3806:$K4044,$K4044))</f>
        <v>0</v>
      </c>
      <c r="S4044" s="75">
        <f t="shared" si="1495"/>
        <v>0</v>
      </c>
      <c r="U4044" s="74" t="str">
        <f>IF('Rate Log'!$C$245="","",IF('Rate Log'!$E$245="planned",EDATE('Rate Log'!$C$245,N(INDEX(sc_shift,3))),'Rate Log'!$C$245))</f>
        <v/>
      </c>
      <c r="V4044" s="74" t="str">
        <f t="shared" si="1496"/>
        <v/>
      </c>
      <c r="W4044" s="72">
        <f>IF(N(INDEX(sc_ach,3))=0,IF('Rate Log'!$G$245="",1,'Rate Log'!$G$245),INDEX(sc_ach,3))</f>
        <v>1</v>
      </c>
      <c r="X4044" s="72">
        <f>IF('Rate Log'!$C$245="",0,IF('Rate Log'!$E$245="planned",('Rate Log'!$D$245+N(INDEX(sc_dpts,3)))*$W4044,'Rate Log'!$D$245))</f>
        <v>0</v>
      </c>
      <c r="Y4044" s="73">
        <f>IF('Rate Log'!$C$245="",0,IF(1+$X4044&gt;0,LN(1+$X4044),0))</f>
        <v>0</v>
      </c>
      <c r="Z4044" s="75">
        <f t="shared" si="1497"/>
        <v>0</v>
      </c>
      <c r="AA4044" s="75">
        <f>IF($U4044="",0,COUNTIFS(rl_key,'Rate Log'!$J$245,$V$3806:$V$4045,$V4044,$U$3806:$U$4045,"&lt;"&amp;$U4044))</f>
        <v>0</v>
      </c>
      <c r="AB4044" s="75">
        <f>IF($U4044="",0,COUNTIFS('Rate Log'!$J$7:$J$245,'Rate Log'!$J$245,$V$3806:$V4044,$V4044,$U$3806:$U4044,$U4044))</f>
        <v>0</v>
      </c>
      <c r="AC4044" s="75">
        <f t="shared" si="1498"/>
        <v>0</v>
      </c>
      <c r="AE4044" s="74" t="str">
        <f>IF('Rate Log'!$C$245="","",IF('Rate Log'!$E$245="planned",EDATE('Rate Log'!$C$245,N(INDEX(sc_shift,4))),'Rate Log'!$C$245))</f>
        <v/>
      </c>
      <c r="AF4044" s="74" t="str">
        <f t="shared" si="1499"/>
        <v/>
      </c>
      <c r="AG4044" s="72">
        <f>IF(N(INDEX(sc_ach,4))=0,IF('Rate Log'!$G$245="",1,'Rate Log'!$G$245),INDEX(sc_ach,4))</f>
        <v>1</v>
      </c>
      <c r="AH4044" s="72">
        <f>IF('Rate Log'!$C$245="",0,IF('Rate Log'!$E$245="planned",('Rate Log'!$D$245+N(INDEX(sc_dpts,4)))*$AG4044,'Rate Log'!$D$245))</f>
        <v>0</v>
      </c>
      <c r="AI4044" s="73">
        <f>IF('Rate Log'!$C$245="",0,IF(1+$AH4044&gt;0,LN(1+$AH4044),0))</f>
        <v>0</v>
      </c>
      <c r="AJ4044" s="75">
        <f t="shared" si="1500"/>
        <v>0</v>
      </c>
      <c r="AK4044" s="75">
        <f>IF($AE4044="",0,COUNTIFS(rl_key,'Rate Log'!$J$245,$AF$3806:$AF$4045,$AF4044,$AE$3806:$AE$4045,"&lt;"&amp;$AE4044))</f>
        <v>0</v>
      </c>
      <c r="AL4044" s="75">
        <f>IF($AE4044="",0,COUNTIFS('Rate Log'!$J$7:$J$245,'Rate Log'!$J$245,$AF$3806:$AF4044,$AF4044,$AE$3806:$AE4044,$AE4044))</f>
        <v>0</v>
      </c>
      <c r="AM4044" s="75">
        <f t="shared" si="1501"/>
        <v>0</v>
      </c>
    </row>
    <row r="4045" spans="1:39" x14ac:dyDescent="0.3">
      <c r="A4045" s="74" t="str">
        <f>IF('Rate Log'!$C$246="","",IF('Rate Log'!$E$246="planned",EDATE('Rate Log'!$C$246,N(INDEX(sc_shift,1))),'Rate Log'!$C$246))</f>
        <v/>
      </c>
      <c r="B4045" s="74" t="str">
        <f t="shared" si="1490"/>
        <v/>
      </c>
      <c r="C4045" s="72">
        <f>IF(N(INDEX(sc_ach,1))=0,IF('Rate Log'!$G$246="",1,'Rate Log'!$G$246),INDEX(sc_ach,1))</f>
        <v>1</v>
      </c>
      <c r="D4045" s="72">
        <f>IF('Rate Log'!$C$246="",0,IF('Rate Log'!$E$246="planned",('Rate Log'!$D$246+N(INDEX(sc_dpts,1)))*$C4045,'Rate Log'!$D$246))</f>
        <v>0</v>
      </c>
      <c r="E4045" s="73">
        <f>IF('Rate Log'!$C$246="",0,IF(1+$D4045&gt;0,LN(1+$D4045),0))</f>
        <v>0</v>
      </c>
      <c r="F4045" s="75">
        <f t="shared" si="1491"/>
        <v>0</v>
      </c>
      <c r="G4045" s="75">
        <f>IF($A4045="",0,COUNTIFS(rl_key,'Rate Log'!$J$246,$B$3806:$B$4045,$B4045,$A$3806:$A$4045,"&lt;"&amp;$A4045))</f>
        <v>0</v>
      </c>
      <c r="H4045" s="75">
        <f>IF($A4045="",0,COUNTIFS('Rate Log'!$J$7:$J$246,'Rate Log'!$J$246,$B$3806:$B4045,$B4045,$A$3806:$A4045,$A4045))</f>
        <v>0</v>
      </c>
      <c r="I4045" s="75">
        <f t="shared" si="1492"/>
        <v>0</v>
      </c>
      <c r="K4045" s="74" t="str">
        <f>IF('Rate Log'!$C$246="","",IF('Rate Log'!$E$246="planned",EDATE('Rate Log'!$C$246,N(INDEX(sc_shift,2))),'Rate Log'!$C$246))</f>
        <v/>
      </c>
      <c r="L4045" s="74" t="str">
        <f t="shared" si="1493"/>
        <v/>
      </c>
      <c r="M4045" s="72">
        <f>IF(N(INDEX(sc_ach,2))=0,IF('Rate Log'!$G$246="",1,'Rate Log'!$G$246),INDEX(sc_ach,2))</f>
        <v>1</v>
      </c>
      <c r="N4045" s="72">
        <f>IF('Rate Log'!$C$246="",0,IF('Rate Log'!$E$246="planned",('Rate Log'!$D$246+N(INDEX(sc_dpts,2)))*$M4045,'Rate Log'!$D$246))</f>
        <v>0</v>
      </c>
      <c r="O4045" s="73">
        <f>IF('Rate Log'!$C$246="",0,IF(1+$N4045&gt;0,LN(1+$N4045),0))</f>
        <v>0</v>
      </c>
      <c r="P4045" s="75">
        <f t="shared" si="1494"/>
        <v>0</v>
      </c>
      <c r="Q4045" s="75">
        <f>IF($K4045="",0,COUNTIFS(rl_key,'Rate Log'!$J$246,$L$3806:$L$4045,$L4045,$K$3806:$K$4045,"&lt;"&amp;$K4045))</f>
        <v>0</v>
      </c>
      <c r="R4045" s="75">
        <f>IF($K4045="",0,COUNTIFS('Rate Log'!$J$7:$J$246,'Rate Log'!$J$246,$L$3806:$L4045,$L4045,$K$3806:$K4045,$K4045))</f>
        <v>0</v>
      </c>
      <c r="S4045" s="75">
        <f t="shared" si="1495"/>
        <v>0</v>
      </c>
      <c r="U4045" s="74" t="str">
        <f>IF('Rate Log'!$C$246="","",IF('Rate Log'!$E$246="planned",EDATE('Rate Log'!$C$246,N(INDEX(sc_shift,3))),'Rate Log'!$C$246))</f>
        <v/>
      </c>
      <c r="V4045" s="74" t="str">
        <f t="shared" si="1496"/>
        <v/>
      </c>
      <c r="W4045" s="72">
        <f>IF(N(INDEX(sc_ach,3))=0,IF('Rate Log'!$G$246="",1,'Rate Log'!$G$246),INDEX(sc_ach,3))</f>
        <v>1</v>
      </c>
      <c r="X4045" s="72">
        <f>IF('Rate Log'!$C$246="",0,IF('Rate Log'!$E$246="planned",('Rate Log'!$D$246+N(INDEX(sc_dpts,3)))*$W4045,'Rate Log'!$D$246))</f>
        <v>0</v>
      </c>
      <c r="Y4045" s="73">
        <f>IF('Rate Log'!$C$246="",0,IF(1+$X4045&gt;0,LN(1+$X4045),0))</f>
        <v>0</v>
      </c>
      <c r="Z4045" s="75">
        <f t="shared" si="1497"/>
        <v>0</v>
      </c>
      <c r="AA4045" s="75">
        <f>IF($U4045="",0,COUNTIFS(rl_key,'Rate Log'!$J$246,$V$3806:$V$4045,$V4045,$U$3806:$U$4045,"&lt;"&amp;$U4045))</f>
        <v>0</v>
      </c>
      <c r="AB4045" s="75">
        <f>IF($U4045="",0,COUNTIFS('Rate Log'!$J$7:$J$246,'Rate Log'!$J$246,$V$3806:$V4045,$V4045,$U$3806:$U4045,$U4045))</f>
        <v>0</v>
      </c>
      <c r="AC4045" s="75">
        <f t="shared" si="1498"/>
        <v>0</v>
      </c>
      <c r="AE4045" s="74" t="str">
        <f>IF('Rate Log'!$C$246="","",IF('Rate Log'!$E$246="planned",EDATE('Rate Log'!$C$246,N(INDEX(sc_shift,4))),'Rate Log'!$C$246))</f>
        <v/>
      </c>
      <c r="AF4045" s="74" t="str">
        <f t="shared" si="1499"/>
        <v/>
      </c>
      <c r="AG4045" s="72">
        <f>IF(N(INDEX(sc_ach,4))=0,IF('Rate Log'!$G$246="",1,'Rate Log'!$G$246),INDEX(sc_ach,4))</f>
        <v>1</v>
      </c>
      <c r="AH4045" s="72">
        <f>IF('Rate Log'!$C$246="",0,IF('Rate Log'!$E$246="planned",('Rate Log'!$D$246+N(INDEX(sc_dpts,4)))*$AG4045,'Rate Log'!$D$246))</f>
        <v>0</v>
      </c>
      <c r="AI4045" s="73">
        <f>IF('Rate Log'!$C$246="",0,IF(1+$AH4045&gt;0,LN(1+$AH4045),0))</f>
        <v>0</v>
      </c>
      <c r="AJ4045" s="75">
        <f t="shared" si="1500"/>
        <v>0</v>
      </c>
      <c r="AK4045" s="75">
        <f>IF($AE4045="",0,COUNTIFS(rl_key,'Rate Log'!$J$246,$AF$3806:$AF$4045,$AF4045,$AE$3806:$AE$4045,"&lt;"&amp;$AE4045))</f>
        <v>0</v>
      </c>
      <c r="AL4045" s="75">
        <f>IF($AE4045="",0,COUNTIFS('Rate Log'!$J$7:$J$246,'Rate Log'!$J$246,$AF$3806:$AF4045,$AF4045,$AE$3806:$AE4045,$AE4045))</f>
        <v>0</v>
      </c>
      <c r="AM4045" s="75">
        <f t="shared" si="1501"/>
        <v>0</v>
      </c>
    </row>
    <row r="4048" spans="1:39" x14ac:dyDescent="0.3">
      <c r="A4048" s="270" t="s">
        <v>1689</v>
      </c>
    </row>
    <row r="4049" spans="1:21" x14ac:dyDescent="0.3">
      <c r="A4049" s="6">
        <f>EDATE(nr_M0Asof,-12)+1</f>
        <v>45931</v>
      </c>
      <c r="B4049" s="6">
        <f>nr_M0Asof+1</f>
        <v>46296</v>
      </c>
      <c r="C4049" s="6">
        <f>DATE(nr_PlanYear,12,31)+1</f>
        <v>46753</v>
      </c>
      <c r="D4049" s="6">
        <f>DATE(nr_PlanYear+1,12,31)+1</f>
        <v>47119</v>
      </c>
      <c r="E4049" s="6">
        <f>IF(N(nr_MPrior)=0,$F$4049-($G$4049-$F$4049)/($C$4049-$B$4049)*($B$4049-$A$4049),nr_MPrior)</f>
        <v>0.83603938730853389</v>
      </c>
      <c r="F4049" s="6">
        <f>nr_M0</f>
        <v>0.86</v>
      </c>
      <c r="G4049" s="6">
        <f>nr_M1+N(INDEX(sc_dm1,1))</f>
        <v>0.89</v>
      </c>
      <c r="H4049" s="6">
        <f>IF(N(nr_M2)=0,nr_M1,nr_M2)+N(INDEX(sc_dm1,1))</f>
        <v>0.89</v>
      </c>
      <c r="I4049" s="6">
        <f>($F$4049-$E$4049)/($B$4049-$A$4049)</f>
        <v>6.5645514223194786E-5</v>
      </c>
      <c r="J4049" s="6">
        <f>($G$4049-$F$4049)/($C$4049-$B$4049)</f>
        <v>6.5645514223194813E-5</v>
      </c>
      <c r="K4049" s="6">
        <f>($H$4049-$G$4049)/($D$4049-$C$4049)</f>
        <v>0</v>
      </c>
    </row>
    <row r="4050" spans="1:21" ht="36" x14ac:dyDescent="0.3">
      <c r="A4050" s="58" t="s">
        <v>390</v>
      </c>
      <c r="B4050" s="58" t="s">
        <v>449</v>
      </c>
      <c r="C4050" s="58" t="s">
        <v>685</v>
      </c>
      <c r="D4050" s="58" t="s">
        <v>686</v>
      </c>
      <c r="E4050" s="58" t="s">
        <v>687</v>
      </c>
      <c r="F4050" s="58" t="s">
        <v>688</v>
      </c>
      <c r="G4050" s="58" t="s">
        <v>689</v>
      </c>
      <c r="H4050" s="58" t="s">
        <v>452</v>
      </c>
      <c r="I4050" s="58" t="s">
        <v>690</v>
      </c>
      <c r="J4050" s="58" t="s">
        <v>691</v>
      </c>
      <c r="K4050" s="58" t="s">
        <v>692</v>
      </c>
      <c r="L4050" s="58" t="s">
        <v>693</v>
      </c>
      <c r="M4050" s="58" t="s">
        <v>694</v>
      </c>
      <c r="N4050" s="58" t="s">
        <v>695</v>
      </c>
      <c r="O4050" s="58" t="s">
        <v>696</v>
      </c>
      <c r="P4050" s="58" t="s">
        <v>697</v>
      </c>
      <c r="Q4050" s="58" t="s">
        <v>698</v>
      </c>
      <c r="R4050" s="58" t="s">
        <v>699</v>
      </c>
      <c r="S4050" s="58" t="s">
        <v>700</v>
      </c>
      <c r="T4050" s="58" t="s">
        <v>701</v>
      </c>
      <c r="U4050" s="58" t="s">
        <v>702</v>
      </c>
    </row>
    <row r="4051" spans="1:21" x14ac:dyDescent="0.3">
      <c r="A4051" s="187">
        <v>1</v>
      </c>
      <c r="B4051" s="242">
        <f>DATE(nr_PlanYear-2,1,1)</f>
        <v>45658</v>
      </c>
      <c r="C4051" s="243">
        <f t="shared" ref="C4051:C4098" si="1502">EOMONTH($B4051,0)</f>
        <v>45688</v>
      </c>
      <c r="D4051" s="120">
        <f t="shared" ref="D4051:D4098" si="1503">$C4051-$B4051+1</f>
        <v>31</v>
      </c>
      <c r="E4051" s="120">
        <f t="shared" ref="E4051:E4098" si="1504">MONTH($B4051)</f>
        <v>1</v>
      </c>
      <c r="F4051" s="275">
        <f t="shared" ref="F4051:F4098" si="1505">($B4051+$C4051+1)/2</f>
        <v>45673.5</v>
      </c>
      <c r="G4051" s="120">
        <f t="shared" ref="G4051:G4098" si="1506">YEAR($B4051)*12+MONTH($B4051)-1</f>
        <v>24300</v>
      </c>
      <c r="H4051" s="245">
        <f t="shared" ref="H4051:H4098" si="1507">IF(OR(nr_SeasonOn="OFF",re_srow=0,re_ssum=0),1,12*INDEX(se_block,re_srow,$E4051)/re_ssum)</f>
        <v>1</v>
      </c>
      <c r="I4051" s="121">
        <f t="shared" ref="I4051:I4098" si="1508">EXP(SUMPRODUCT(($A$3806:$A$4045&lt;$B4051)*(rl_key=nr_SelKey)*$E$3806:$E$4045))</f>
        <v>1</v>
      </c>
      <c r="J4051" s="121">
        <f t="shared" ref="J4051:J4098" si="1509">EXP(SUMPRODUCT(($A$3806:$A$4045&lt;=$C4051)*(rl_key=nr_SelKey)*$E$3806:$E$4045))</f>
        <v>1</v>
      </c>
      <c r="K4051" s="120">
        <f t="shared" ref="K4051:K4098" si="1510">COUNTIFS(rl_key,nr_SelKey,$A$3806:$A$4045,"&gt;="&amp;$B4051,$A$3806:$A$4045,"&lt;="&amp;$C4051)</f>
        <v>0</v>
      </c>
      <c r="L4051" s="120">
        <f t="shared" ref="L4051:L4098" si="1511">SUMIFS($F$3806:$F$4045,rl_key,nr_SelKey,$B$3806:$B$4045,$B4051,$I$3806:$I$4045,1)</f>
        <v>0</v>
      </c>
      <c r="M4051" s="246">
        <f t="shared" ref="M4051:M4098" si="1512">IF($K4051=0,0,MIN(1,$L4051/$D4051))</f>
        <v>0</v>
      </c>
      <c r="N4051" s="121">
        <f t="shared" ref="N4051:N4098" si="1513">IF($K4051=0,$J4051,(1-$M4051)*$I4051+$M4051*$J4051)</f>
        <v>1</v>
      </c>
      <c r="O4051" s="246">
        <f t="shared" ref="O4051:O4098" si="1514">IF($F4051&lt;$B$4049,$E$4049+$I$4049*($F4051-$A$4049),IF($F4051&lt;$C$4049,$F$4049+$J$4049*($F4051-$B$4049),$G$4049+$K$4049*($F4051-$C$4049)))</f>
        <v>0.81913566739606125</v>
      </c>
      <c r="P4051" s="121">
        <f t="shared" ref="P4051:P4098" si="1515">MIN(1,MAX(0,(nr_MEndPm1-$G4051+0.5)/nr_TermMonths))-MIN(1,MAX(0,(nr_MStartPm1-1-$G4051+0.5)/nr_TermMonths))</f>
        <v>0</v>
      </c>
      <c r="Q4051" s="121">
        <f t="shared" ref="Q4051:Q4098" si="1516">MIN(1,MAX(0,(nr_MEndP-$G4051+0.5)/nr_TermMonths))-MIN(1,MAX(0,(nr_MStartP-1-$G4051+0.5)/nr_TermMonths))</f>
        <v>0</v>
      </c>
      <c r="R4051" s="121">
        <f t="shared" ref="R4051:R4098" si="1517">MIN(1,MAX(0,(nr_MEndP1-$G4051+0.5)/nr_TermMonths))-MIN(1,MAX(0,(nr_MStartP1-1-$G4051+0.5)/nr_TermMonths))</f>
        <v>0</v>
      </c>
      <c r="S4051" s="121" t="str">
        <f t="shared" ref="S4051:S4098" si="1518">IF(nr_NetMode,$N4051*IF(nr_ModAdjEff="ON",$O4051/nr_MInd,1),"")</f>
        <v/>
      </c>
      <c r="T4051" s="121" t="str">
        <f t="shared" ref="T4051:T4098" si="1519">IF(NOT(nr_NetMode),"",IF($G4051&lt;nr_MStartP,$S4051,$T4039*(1+IF($G4051&lt;nr_MStartP1,(nr_NetSelP+N(INDEX(sc_dnet,1))),(nr_NetSelP1+N(INDEX(sc_dnet,1)))))))</f>
        <v/>
      </c>
      <c r="U4051" s="121">
        <f t="shared" ref="U4051:U4098" si="1520">IF(nr_NetMode,$T4051,$N4051)</f>
        <v>1</v>
      </c>
    </row>
    <row r="4052" spans="1:21" x14ac:dyDescent="0.3">
      <c r="A4052" s="187">
        <v>2</v>
      </c>
      <c r="B4052" s="242">
        <f t="shared" ref="B4052:B4098" si="1521">EDATE($B4051,1)</f>
        <v>45689</v>
      </c>
      <c r="C4052" s="243">
        <f t="shared" si="1502"/>
        <v>45716</v>
      </c>
      <c r="D4052" s="120">
        <f t="shared" si="1503"/>
        <v>28</v>
      </c>
      <c r="E4052" s="120">
        <f t="shared" si="1504"/>
        <v>2</v>
      </c>
      <c r="F4052" s="275">
        <f t="shared" si="1505"/>
        <v>45703</v>
      </c>
      <c r="G4052" s="120">
        <f t="shared" si="1506"/>
        <v>24301</v>
      </c>
      <c r="H4052" s="245">
        <f t="shared" si="1507"/>
        <v>1</v>
      </c>
      <c r="I4052" s="121">
        <f t="shared" si="1508"/>
        <v>1</v>
      </c>
      <c r="J4052" s="121">
        <f t="shared" si="1509"/>
        <v>1</v>
      </c>
      <c r="K4052" s="120">
        <f t="shared" si="1510"/>
        <v>0</v>
      </c>
      <c r="L4052" s="120">
        <f t="shared" si="1511"/>
        <v>0</v>
      </c>
      <c r="M4052" s="246">
        <f t="shared" si="1512"/>
        <v>0</v>
      </c>
      <c r="N4052" s="121">
        <f t="shared" si="1513"/>
        <v>1</v>
      </c>
      <c r="O4052" s="246">
        <f t="shared" si="1514"/>
        <v>0.82107221006564546</v>
      </c>
      <c r="P4052" s="121">
        <f t="shared" si="1515"/>
        <v>0</v>
      </c>
      <c r="Q4052" s="121">
        <f t="shared" si="1516"/>
        <v>0</v>
      </c>
      <c r="R4052" s="121">
        <f t="shared" si="1517"/>
        <v>0</v>
      </c>
      <c r="S4052" s="121" t="str">
        <f t="shared" si="1518"/>
        <v/>
      </c>
      <c r="T4052" s="121" t="str">
        <f t="shared" si="1519"/>
        <v/>
      </c>
      <c r="U4052" s="121">
        <f t="shared" si="1520"/>
        <v>1</v>
      </c>
    </row>
    <row r="4053" spans="1:21" x14ac:dyDescent="0.3">
      <c r="A4053" s="187">
        <v>3</v>
      </c>
      <c r="B4053" s="242">
        <f t="shared" si="1521"/>
        <v>45717</v>
      </c>
      <c r="C4053" s="243">
        <f t="shared" si="1502"/>
        <v>45747</v>
      </c>
      <c r="D4053" s="120">
        <f t="shared" si="1503"/>
        <v>31</v>
      </c>
      <c r="E4053" s="120">
        <f t="shared" si="1504"/>
        <v>3</v>
      </c>
      <c r="F4053" s="275">
        <f t="shared" si="1505"/>
        <v>45732.5</v>
      </c>
      <c r="G4053" s="120">
        <f t="shared" si="1506"/>
        <v>24302</v>
      </c>
      <c r="H4053" s="245">
        <f t="shared" si="1507"/>
        <v>1</v>
      </c>
      <c r="I4053" s="121">
        <f t="shared" si="1508"/>
        <v>1</v>
      </c>
      <c r="J4053" s="121">
        <f t="shared" si="1509"/>
        <v>1</v>
      </c>
      <c r="K4053" s="120">
        <f t="shared" si="1510"/>
        <v>0</v>
      </c>
      <c r="L4053" s="120">
        <f t="shared" si="1511"/>
        <v>0</v>
      </c>
      <c r="M4053" s="246">
        <f t="shared" si="1512"/>
        <v>0</v>
      </c>
      <c r="N4053" s="121">
        <f t="shared" si="1513"/>
        <v>1</v>
      </c>
      <c r="O4053" s="246">
        <f t="shared" si="1514"/>
        <v>0.82300875273522978</v>
      </c>
      <c r="P4053" s="121">
        <f t="shared" si="1515"/>
        <v>0</v>
      </c>
      <c r="Q4053" s="121">
        <f t="shared" si="1516"/>
        <v>0</v>
      </c>
      <c r="R4053" s="121">
        <f t="shared" si="1517"/>
        <v>0</v>
      </c>
      <c r="S4053" s="121" t="str">
        <f t="shared" si="1518"/>
        <v/>
      </c>
      <c r="T4053" s="121" t="str">
        <f t="shared" si="1519"/>
        <v/>
      </c>
      <c r="U4053" s="121">
        <f t="shared" si="1520"/>
        <v>1</v>
      </c>
    </row>
    <row r="4054" spans="1:21" x14ac:dyDescent="0.3">
      <c r="A4054" s="187">
        <v>4</v>
      </c>
      <c r="B4054" s="242">
        <f t="shared" si="1521"/>
        <v>45748</v>
      </c>
      <c r="C4054" s="243">
        <f t="shared" si="1502"/>
        <v>45777</v>
      </c>
      <c r="D4054" s="120">
        <f t="shared" si="1503"/>
        <v>30</v>
      </c>
      <c r="E4054" s="120">
        <f t="shared" si="1504"/>
        <v>4</v>
      </c>
      <c r="F4054" s="275">
        <f t="shared" si="1505"/>
        <v>45763</v>
      </c>
      <c r="G4054" s="120">
        <f t="shared" si="1506"/>
        <v>24303</v>
      </c>
      <c r="H4054" s="245">
        <f t="shared" si="1507"/>
        <v>1</v>
      </c>
      <c r="I4054" s="121">
        <f t="shared" si="1508"/>
        <v>1</v>
      </c>
      <c r="J4054" s="121">
        <f t="shared" si="1509"/>
        <v>1</v>
      </c>
      <c r="K4054" s="120">
        <f t="shared" si="1510"/>
        <v>0</v>
      </c>
      <c r="L4054" s="120">
        <f t="shared" si="1511"/>
        <v>0</v>
      </c>
      <c r="M4054" s="246">
        <f t="shared" si="1512"/>
        <v>0</v>
      </c>
      <c r="N4054" s="121">
        <f t="shared" si="1513"/>
        <v>1</v>
      </c>
      <c r="O4054" s="246">
        <f t="shared" si="1514"/>
        <v>0.82501094091903715</v>
      </c>
      <c r="P4054" s="121">
        <f t="shared" si="1515"/>
        <v>0</v>
      </c>
      <c r="Q4054" s="121">
        <f t="shared" si="1516"/>
        <v>0</v>
      </c>
      <c r="R4054" s="121">
        <f t="shared" si="1517"/>
        <v>0</v>
      </c>
      <c r="S4054" s="121" t="str">
        <f t="shared" si="1518"/>
        <v/>
      </c>
      <c r="T4054" s="121" t="str">
        <f t="shared" si="1519"/>
        <v/>
      </c>
      <c r="U4054" s="121">
        <f t="shared" si="1520"/>
        <v>1</v>
      </c>
    </row>
    <row r="4055" spans="1:21" x14ac:dyDescent="0.3">
      <c r="A4055" s="187">
        <v>5</v>
      </c>
      <c r="B4055" s="242">
        <f t="shared" si="1521"/>
        <v>45778</v>
      </c>
      <c r="C4055" s="243">
        <f t="shared" si="1502"/>
        <v>45808</v>
      </c>
      <c r="D4055" s="120">
        <f t="shared" si="1503"/>
        <v>31</v>
      </c>
      <c r="E4055" s="120">
        <f t="shared" si="1504"/>
        <v>5</v>
      </c>
      <c r="F4055" s="275">
        <f t="shared" si="1505"/>
        <v>45793.5</v>
      </c>
      <c r="G4055" s="120">
        <f t="shared" si="1506"/>
        <v>24304</v>
      </c>
      <c r="H4055" s="245">
        <f t="shared" si="1507"/>
        <v>1</v>
      </c>
      <c r="I4055" s="121">
        <f t="shared" si="1508"/>
        <v>1</v>
      </c>
      <c r="J4055" s="121">
        <f t="shared" si="1509"/>
        <v>1</v>
      </c>
      <c r="K4055" s="120">
        <f t="shared" si="1510"/>
        <v>0</v>
      </c>
      <c r="L4055" s="120">
        <f t="shared" si="1511"/>
        <v>0</v>
      </c>
      <c r="M4055" s="246">
        <f t="shared" si="1512"/>
        <v>0</v>
      </c>
      <c r="N4055" s="121">
        <f t="shared" si="1513"/>
        <v>1</v>
      </c>
      <c r="O4055" s="246">
        <f t="shared" si="1514"/>
        <v>0.82701312910284464</v>
      </c>
      <c r="P4055" s="121">
        <f t="shared" si="1515"/>
        <v>0</v>
      </c>
      <c r="Q4055" s="121">
        <f t="shared" si="1516"/>
        <v>0</v>
      </c>
      <c r="R4055" s="121">
        <f t="shared" si="1517"/>
        <v>0</v>
      </c>
      <c r="S4055" s="121" t="str">
        <f t="shared" si="1518"/>
        <v/>
      </c>
      <c r="T4055" s="121" t="str">
        <f t="shared" si="1519"/>
        <v/>
      </c>
      <c r="U4055" s="121">
        <f t="shared" si="1520"/>
        <v>1</v>
      </c>
    </row>
    <row r="4056" spans="1:21" x14ac:dyDescent="0.3">
      <c r="A4056" s="187">
        <v>6</v>
      </c>
      <c r="B4056" s="242">
        <f t="shared" si="1521"/>
        <v>45809</v>
      </c>
      <c r="C4056" s="243">
        <f t="shared" si="1502"/>
        <v>45838</v>
      </c>
      <c r="D4056" s="120">
        <f t="shared" si="1503"/>
        <v>30</v>
      </c>
      <c r="E4056" s="120">
        <f t="shared" si="1504"/>
        <v>6</v>
      </c>
      <c r="F4056" s="275">
        <f t="shared" si="1505"/>
        <v>45824</v>
      </c>
      <c r="G4056" s="120">
        <f t="shared" si="1506"/>
        <v>24305</v>
      </c>
      <c r="H4056" s="245">
        <f t="shared" si="1507"/>
        <v>1</v>
      </c>
      <c r="I4056" s="121">
        <f t="shared" si="1508"/>
        <v>1</v>
      </c>
      <c r="J4056" s="121">
        <f t="shared" si="1509"/>
        <v>1</v>
      </c>
      <c r="K4056" s="120">
        <f t="shared" si="1510"/>
        <v>0</v>
      </c>
      <c r="L4056" s="120">
        <f t="shared" si="1511"/>
        <v>0</v>
      </c>
      <c r="M4056" s="246">
        <f t="shared" si="1512"/>
        <v>0</v>
      </c>
      <c r="N4056" s="121">
        <f t="shared" si="1513"/>
        <v>1</v>
      </c>
      <c r="O4056" s="246">
        <f t="shared" si="1514"/>
        <v>0.82901531728665201</v>
      </c>
      <c r="P4056" s="121">
        <f t="shared" si="1515"/>
        <v>0</v>
      </c>
      <c r="Q4056" s="121">
        <f t="shared" si="1516"/>
        <v>0</v>
      </c>
      <c r="R4056" s="121">
        <f t="shared" si="1517"/>
        <v>0</v>
      </c>
      <c r="S4056" s="121" t="str">
        <f t="shared" si="1518"/>
        <v/>
      </c>
      <c r="T4056" s="121" t="str">
        <f t="shared" si="1519"/>
        <v/>
      </c>
      <c r="U4056" s="121">
        <f t="shared" si="1520"/>
        <v>1</v>
      </c>
    </row>
    <row r="4057" spans="1:21" x14ac:dyDescent="0.3">
      <c r="A4057" s="187">
        <v>7</v>
      </c>
      <c r="B4057" s="242">
        <f t="shared" si="1521"/>
        <v>45839</v>
      </c>
      <c r="C4057" s="243">
        <f t="shared" si="1502"/>
        <v>45869</v>
      </c>
      <c r="D4057" s="120">
        <f t="shared" si="1503"/>
        <v>31</v>
      </c>
      <c r="E4057" s="120">
        <f t="shared" si="1504"/>
        <v>7</v>
      </c>
      <c r="F4057" s="275">
        <f t="shared" si="1505"/>
        <v>45854.5</v>
      </c>
      <c r="G4057" s="120">
        <f t="shared" si="1506"/>
        <v>24306</v>
      </c>
      <c r="H4057" s="245">
        <f t="shared" si="1507"/>
        <v>1</v>
      </c>
      <c r="I4057" s="121">
        <f t="shared" si="1508"/>
        <v>1</v>
      </c>
      <c r="J4057" s="121">
        <f t="shared" si="1509"/>
        <v>1.04</v>
      </c>
      <c r="K4057" s="120">
        <f t="shared" si="1510"/>
        <v>1</v>
      </c>
      <c r="L4057" s="120">
        <f t="shared" si="1511"/>
        <v>31</v>
      </c>
      <c r="M4057" s="246">
        <f t="shared" si="1512"/>
        <v>1</v>
      </c>
      <c r="N4057" s="121">
        <f t="shared" si="1513"/>
        <v>1.04</v>
      </c>
      <c r="O4057" s="246">
        <f t="shared" si="1514"/>
        <v>0.83101750547045949</v>
      </c>
      <c r="P4057" s="121">
        <f t="shared" si="1515"/>
        <v>8.333333333333337E-2</v>
      </c>
      <c r="Q4057" s="121">
        <f t="shared" si="1516"/>
        <v>0</v>
      </c>
      <c r="R4057" s="121">
        <f t="shared" si="1517"/>
        <v>0</v>
      </c>
      <c r="S4057" s="121" t="str">
        <f t="shared" si="1518"/>
        <v/>
      </c>
      <c r="T4057" s="121" t="str">
        <f t="shared" si="1519"/>
        <v/>
      </c>
      <c r="U4057" s="121">
        <f t="shared" si="1520"/>
        <v>1.04</v>
      </c>
    </row>
    <row r="4058" spans="1:21" x14ac:dyDescent="0.3">
      <c r="A4058" s="187">
        <v>8</v>
      </c>
      <c r="B4058" s="242">
        <f t="shared" si="1521"/>
        <v>45870</v>
      </c>
      <c r="C4058" s="243">
        <f t="shared" si="1502"/>
        <v>45900</v>
      </c>
      <c r="D4058" s="120">
        <f t="shared" si="1503"/>
        <v>31</v>
      </c>
      <c r="E4058" s="120">
        <f t="shared" si="1504"/>
        <v>8</v>
      </c>
      <c r="F4058" s="275">
        <f t="shared" si="1505"/>
        <v>45885.5</v>
      </c>
      <c r="G4058" s="120">
        <f t="shared" si="1506"/>
        <v>24307</v>
      </c>
      <c r="H4058" s="245">
        <f t="shared" si="1507"/>
        <v>1</v>
      </c>
      <c r="I4058" s="121">
        <f t="shared" si="1508"/>
        <v>1.04</v>
      </c>
      <c r="J4058" s="121">
        <f t="shared" si="1509"/>
        <v>1.04</v>
      </c>
      <c r="K4058" s="120">
        <f t="shared" si="1510"/>
        <v>0</v>
      </c>
      <c r="L4058" s="120">
        <f t="shared" si="1511"/>
        <v>0</v>
      </c>
      <c r="M4058" s="246">
        <f t="shared" si="1512"/>
        <v>0</v>
      </c>
      <c r="N4058" s="121">
        <f t="shared" si="1513"/>
        <v>1.04</v>
      </c>
      <c r="O4058" s="246">
        <f t="shared" si="1514"/>
        <v>0.83305251641137856</v>
      </c>
      <c r="P4058" s="121">
        <f t="shared" si="1515"/>
        <v>0.25</v>
      </c>
      <c r="Q4058" s="121">
        <f t="shared" si="1516"/>
        <v>0</v>
      </c>
      <c r="R4058" s="121">
        <f t="shared" si="1517"/>
        <v>0</v>
      </c>
      <c r="S4058" s="121" t="str">
        <f t="shared" si="1518"/>
        <v/>
      </c>
      <c r="T4058" s="121" t="str">
        <f t="shared" si="1519"/>
        <v/>
      </c>
      <c r="U4058" s="121">
        <f t="shared" si="1520"/>
        <v>1.04</v>
      </c>
    </row>
    <row r="4059" spans="1:21" x14ac:dyDescent="0.3">
      <c r="A4059" s="187">
        <v>9</v>
      </c>
      <c r="B4059" s="242">
        <f t="shared" si="1521"/>
        <v>45901</v>
      </c>
      <c r="C4059" s="243">
        <f t="shared" si="1502"/>
        <v>45930</v>
      </c>
      <c r="D4059" s="120">
        <f t="shared" si="1503"/>
        <v>30</v>
      </c>
      <c r="E4059" s="120">
        <f t="shared" si="1504"/>
        <v>9</v>
      </c>
      <c r="F4059" s="275">
        <f t="shared" si="1505"/>
        <v>45916</v>
      </c>
      <c r="G4059" s="120">
        <f t="shared" si="1506"/>
        <v>24308</v>
      </c>
      <c r="H4059" s="245">
        <f t="shared" si="1507"/>
        <v>1</v>
      </c>
      <c r="I4059" s="121">
        <f t="shared" si="1508"/>
        <v>1.04</v>
      </c>
      <c r="J4059" s="121">
        <f t="shared" si="1509"/>
        <v>1.04</v>
      </c>
      <c r="K4059" s="120">
        <f t="shared" si="1510"/>
        <v>0</v>
      </c>
      <c r="L4059" s="120">
        <f t="shared" si="1511"/>
        <v>0</v>
      </c>
      <c r="M4059" s="246">
        <f t="shared" si="1512"/>
        <v>0</v>
      </c>
      <c r="N4059" s="121">
        <f t="shared" si="1513"/>
        <v>1.04</v>
      </c>
      <c r="O4059" s="246">
        <f t="shared" si="1514"/>
        <v>0.83505470459518594</v>
      </c>
      <c r="P4059" s="121">
        <f t="shared" si="1515"/>
        <v>0.41666666666666663</v>
      </c>
      <c r="Q4059" s="121">
        <f t="shared" si="1516"/>
        <v>0</v>
      </c>
      <c r="R4059" s="121">
        <f t="shared" si="1517"/>
        <v>0</v>
      </c>
      <c r="S4059" s="121" t="str">
        <f t="shared" si="1518"/>
        <v/>
      </c>
      <c r="T4059" s="121" t="str">
        <f t="shared" si="1519"/>
        <v/>
      </c>
      <c r="U4059" s="121">
        <f t="shared" si="1520"/>
        <v>1.04</v>
      </c>
    </row>
    <row r="4060" spans="1:21" x14ac:dyDescent="0.3">
      <c r="A4060" s="187">
        <v>10</v>
      </c>
      <c r="B4060" s="242">
        <f t="shared" si="1521"/>
        <v>45931</v>
      </c>
      <c r="C4060" s="243">
        <f t="shared" si="1502"/>
        <v>45961</v>
      </c>
      <c r="D4060" s="120">
        <f t="shared" si="1503"/>
        <v>31</v>
      </c>
      <c r="E4060" s="120">
        <f t="shared" si="1504"/>
        <v>10</v>
      </c>
      <c r="F4060" s="275">
        <f t="shared" si="1505"/>
        <v>45946.5</v>
      </c>
      <c r="G4060" s="120">
        <f t="shared" si="1506"/>
        <v>24309</v>
      </c>
      <c r="H4060" s="245">
        <f t="shared" si="1507"/>
        <v>1</v>
      </c>
      <c r="I4060" s="121">
        <f t="shared" si="1508"/>
        <v>1.04</v>
      </c>
      <c r="J4060" s="121">
        <f t="shared" si="1509"/>
        <v>1.04</v>
      </c>
      <c r="K4060" s="120">
        <f t="shared" si="1510"/>
        <v>0</v>
      </c>
      <c r="L4060" s="120">
        <f t="shared" si="1511"/>
        <v>0</v>
      </c>
      <c r="M4060" s="246">
        <f t="shared" si="1512"/>
        <v>0</v>
      </c>
      <c r="N4060" s="121">
        <f t="shared" si="1513"/>
        <v>1.04</v>
      </c>
      <c r="O4060" s="246">
        <f t="shared" si="1514"/>
        <v>0.83705689277899342</v>
      </c>
      <c r="P4060" s="121">
        <f t="shared" si="1515"/>
        <v>0.58333333333333326</v>
      </c>
      <c r="Q4060" s="121">
        <f t="shared" si="1516"/>
        <v>0</v>
      </c>
      <c r="R4060" s="121">
        <f t="shared" si="1517"/>
        <v>0</v>
      </c>
      <c r="S4060" s="121" t="str">
        <f t="shared" si="1518"/>
        <v/>
      </c>
      <c r="T4060" s="121" t="str">
        <f t="shared" si="1519"/>
        <v/>
      </c>
      <c r="U4060" s="121">
        <f t="shared" si="1520"/>
        <v>1.04</v>
      </c>
    </row>
    <row r="4061" spans="1:21" x14ac:dyDescent="0.3">
      <c r="A4061" s="187">
        <v>11</v>
      </c>
      <c r="B4061" s="242">
        <f t="shared" si="1521"/>
        <v>45962</v>
      </c>
      <c r="C4061" s="243">
        <f t="shared" si="1502"/>
        <v>45991</v>
      </c>
      <c r="D4061" s="120">
        <f t="shared" si="1503"/>
        <v>30</v>
      </c>
      <c r="E4061" s="120">
        <f t="shared" si="1504"/>
        <v>11</v>
      </c>
      <c r="F4061" s="275">
        <f t="shared" si="1505"/>
        <v>45977</v>
      </c>
      <c r="G4061" s="120">
        <f t="shared" si="1506"/>
        <v>24310</v>
      </c>
      <c r="H4061" s="245">
        <f t="shared" si="1507"/>
        <v>1</v>
      </c>
      <c r="I4061" s="121">
        <f t="shared" si="1508"/>
        <v>1.04</v>
      </c>
      <c r="J4061" s="121">
        <f t="shared" si="1509"/>
        <v>1.04</v>
      </c>
      <c r="K4061" s="120">
        <f t="shared" si="1510"/>
        <v>0</v>
      </c>
      <c r="L4061" s="120">
        <f t="shared" si="1511"/>
        <v>0</v>
      </c>
      <c r="M4061" s="246">
        <f t="shared" si="1512"/>
        <v>0</v>
      </c>
      <c r="N4061" s="121">
        <f t="shared" si="1513"/>
        <v>1.04</v>
      </c>
      <c r="O4061" s="246">
        <f t="shared" si="1514"/>
        <v>0.8390590809628008</v>
      </c>
      <c r="P4061" s="121">
        <f t="shared" si="1515"/>
        <v>0.75</v>
      </c>
      <c r="Q4061" s="121">
        <f t="shared" si="1516"/>
        <v>0</v>
      </c>
      <c r="R4061" s="121">
        <f t="shared" si="1517"/>
        <v>0</v>
      </c>
      <c r="S4061" s="121" t="str">
        <f t="shared" si="1518"/>
        <v/>
      </c>
      <c r="T4061" s="121" t="str">
        <f t="shared" si="1519"/>
        <v/>
      </c>
      <c r="U4061" s="121">
        <f t="shared" si="1520"/>
        <v>1.04</v>
      </c>
    </row>
    <row r="4062" spans="1:21" x14ac:dyDescent="0.3">
      <c r="A4062" s="187">
        <v>12</v>
      </c>
      <c r="B4062" s="242">
        <f t="shared" si="1521"/>
        <v>45992</v>
      </c>
      <c r="C4062" s="243">
        <f t="shared" si="1502"/>
        <v>46022</v>
      </c>
      <c r="D4062" s="120">
        <f t="shared" si="1503"/>
        <v>31</v>
      </c>
      <c r="E4062" s="120">
        <f t="shared" si="1504"/>
        <v>12</v>
      </c>
      <c r="F4062" s="275">
        <f t="shared" si="1505"/>
        <v>46007.5</v>
      </c>
      <c r="G4062" s="120">
        <f t="shared" si="1506"/>
        <v>24311</v>
      </c>
      <c r="H4062" s="245">
        <f t="shared" si="1507"/>
        <v>1</v>
      </c>
      <c r="I4062" s="121">
        <f t="shared" si="1508"/>
        <v>1.04</v>
      </c>
      <c r="J4062" s="121">
        <f t="shared" si="1509"/>
        <v>1.04</v>
      </c>
      <c r="K4062" s="120">
        <f t="shared" si="1510"/>
        <v>0</v>
      </c>
      <c r="L4062" s="120">
        <f t="shared" si="1511"/>
        <v>0</v>
      </c>
      <c r="M4062" s="246">
        <f t="shared" si="1512"/>
        <v>0</v>
      </c>
      <c r="N4062" s="121">
        <f t="shared" si="1513"/>
        <v>1.04</v>
      </c>
      <c r="O4062" s="246">
        <f t="shared" si="1514"/>
        <v>0.84106126914660828</v>
      </c>
      <c r="P4062" s="121">
        <f t="shared" si="1515"/>
        <v>0.91666666666666663</v>
      </c>
      <c r="Q4062" s="121">
        <f t="shared" si="1516"/>
        <v>0</v>
      </c>
      <c r="R4062" s="121">
        <f t="shared" si="1517"/>
        <v>0</v>
      </c>
      <c r="S4062" s="121" t="str">
        <f t="shared" si="1518"/>
        <v/>
      </c>
      <c r="T4062" s="121" t="str">
        <f t="shared" si="1519"/>
        <v/>
      </c>
      <c r="U4062" s="121">
        <f t="shared" si="1520"/>
        <v>1.04</v>
      </c>
    </row>
    <row r="4063" spans="1:21" x14ac:dyDescent="0.3">
      <c r="A4063" s="187">
        <v>13</v>
      </c>
      <c r="B4063" s="242">
        <f t="shared" si="1521"/>
        <v>46023</v>
      </c>
      <c r="C4063" s="243">
        <f t="shared" si="1502"/>
        <v>46053</v>
      </c>
      <c r="D4063" s="120">
        <f t="shared" si="1503"/>
        <v>31</v>
      </c>
      <c r="E4063" s="120">
        <f t="shared" si="1504"/>
        <v>1</v>
      </c>
      <c r="F4063" s="275">
        <f t="shared" si="1505"/>
        <v>46038.5</v>
      </c>
      <c r="G4063" s="120">
        <f t="shared" si="1506"/>
        <v>24312</v>
      </c>
      <c r="H4063" s="245">
        <f t="shared" si="1507"/>
        <v>1</v>
      </c>
      <c r="I4063" s="121">
        <f t="shared" si="1508"/>
        <v>1.04</v>
      </c>
      <c r="J4063" s="121">
        <f t="shared" si="1509"/>
        <v>1.04</v>
      </c>
      <c r="K4063" s="120">
        <f t="shared" si="1510"/>
        <v>0</v>
      </c>
      <c r="L4063" s="120">
        <f t="shared" si="1511"/>
        <v>0</v>
      </c>
      <c r="M4063" s="246">
        <f t="shared" si="1512"/>
        <v>0</v>
      </c>
      <c r="N4063" s="121">
        <f t="shared" si="1513"/>
        <v>1.04</v>
      </c>
      <c r="O4063" s="246">
        <f t="shared" si="1514"/>
        <v>0.84309628008752735</v>
      </c>
      <c r="P4063" s="121">
        <f t="shared" si="1515"/>
        <v>1</v>
      </c>
      <c r="Q4063" s="121">
        <f t="shared" si="1516"/>
        <v>0</v>
      </c>
      <c r="R4063" s="121">
        <f t="shared" si="1517"/>
        <v>0</v>
      </c>
      <c r="S4063" s="121" t="str">
        <f t="shared" si="1518"/>
        <v/>
      </c>
      <c r="T4063" s="121" t="str">
        <f t="shared" si="1519"/>
        <v/>
      </c>
      <c r="U4063" s="121">
        <f t="shared" si="1520"/>
        <v>1.04</v>
      </c>
    </row>
    <row r="4064" spans="1:21" x14ac:dyDescent="0.3">
      <c r="A4064" s="187">
        <v>14</v>
      </c>
      <c r="B4064" s="242">
        <f t="shared" si="1521"/>
        <v>46054</v>
      </c>
      <c r="C4064" s="243">
        <f t="shared" si="1502"/>
        <v>46081</v>
      </c>
      <c r="D4064" s="120">
        <f t="shared" si="1503"/>
        <v>28</v>
      </c>
      <c r="E4064" s="120">
        <f t="shared" si="1504"/>
        <v>2</v>
      </c>
      <c r="F4064" s="275">
        <f t="shared" si="1505"/>
        <v>46068</v>
      </c>
      <c r="G4064" s="120">
        <f t="shared" si="1506"/>
        <v>24313</v>
      </c>
      <c r="H4064" s="245">
        <f t="shared" si="1507"/>
        <v>1</v>
      </c>
      <c r="I4064" s="121">
        <f t="shared" si="1508"/>
        <v>1.04</v>
      </c>
      <c r="J4064" s="121">
        <f t="shared" si="1509"/>
        <v>1.04</v>
      </c>
      <c r="K4064" s="120">
        <f t="shared" si="1510"/>
        <v>0</v>
      </c>
      <c r="L4064" s="120">
        <f t="shared" si="1511"/>
        <v>0</v>
      </c>
      <c r="M4064" s="246">
        <f t="shared" si="1512"/>
        <v>0</v>
      </c>
      <c r="N4064" s="121">
        <f t="shared" si="1513"/>
        <v>1.04</v>
      </c>
      <c r="O4064" s="246">
        <f t="shared" si="1514"/>
        <v>0.84503282275711156</v>
      </c>
      <c r="P4064" s="121">
        <f t="shared" si="1515"/>
        <v>1</v>
      </c>
      <c r="Q4064" s="121">
        <f t="shared" si="1516"/>
        <v>0</v>
      </c>
      <c r="R4064" s="121">
        <f t="shared" si="1517"/>
        <v>0</v>
      </c>
      <c r="S4064" s="121" t="str">
        <f t="shared" si="1518"/>
        <v/>
      </c>
      <c r="T4064" s="121" t="str">
        <f t="shared" si="1519"/>
        <v/>
      </c>
      <c r="U4064" s="121">
        <f t="shared" si="1520"/>
        <v>1.04</v>
      </c>
    </row>
    <row r="4065" spans="1:21" x14ac:dyDescent="0.3">
      <c r="A4065" s="187">
        <v>15</v>
      </c>
      <c r="B4065" s="242">
        <f t="shared" si="1521"/>
        <v>46082</v>
      </c>
      <c r="C4065" s="243">
        <f t="shared" si="1502"/>
        <v>46112</v>
      </c>
      <c r="D4065" s="120">
        <f t="shared" si="1503"/>
        <v>31</v>
      </c>
      <c r="E4065" s="120">
        <f t="shared" si="1504"/>
        <v>3</v>
      </c>
      <c r="F4065" s="275">
        <f t="shared" si="1505"/>
        <v>46097.5</v>
      </c>
      <c r="G4065" s="120">
        <f t="shared" si="1506"/>
        <v>24314</v>
      </c>
      <c r="H4065" s="245">
        <f t="shared" si="1507"/>
        <v>1</v>
      </c>
      <c r="I4065" s="121">
        <f t="shared" si="1508"/>
        <v>1.04</v>
      </c>
      <c r="J4065" s="121">
        <f t="shared" si="1509"/>
        <v>1.04</v>
      </c>
      <c r="K4065" s="120">
        <f t="shared" si="1510"/>
        <v>0</v>
      </c>
      <c r="L4065" s="120">
        <f t="shared" si="1511"/>
        <v>0</v>
      </c>
      <c r="M4065" s="246">
        <f t="shared" si="1512"/>
        <v>0</v>
      </c>
      <c r="N4065" s="121">
        <f t="shared" si="1513"/>
        <v>1.04</v>
      </c>
      <c r="O4065" s="246">
        <f t="shared" si="1514"/>
        <v>0.84696936542669587</v>
      </c>
      <c r="P4065" s="121">
        <f t="shared" si="1515"/>
        <v>1</v>
      </c>
      <c r="Q4065" s="121">
        <f t="shared" si="1516"/>
        <v>0</v>
      </c>
      <c r="R4065" s="121">
        <f t="shared" si="1517"/>
        <v>0</v>
      </c>
      <c r="S4065" s="121" t="str">
        <f t="shared" si="1518"/>
        <v/>
      </c>
      <c r="T4065" s="121" t="str">
        <f t="shared" si="1519"/>
        <v/>
      </c>
      <c r="U4065" s="121">
        <f t="shared" si="1520"/>
        <v>1.04</v>
      </c>
    </row>
    <row r="4066" spans="1:21" x14ac:dyDescent="0.3">
      <c r="A4066" s="187">
        <v>16</v>
      </c>
      <c r="B4066" s="242">
        <f t="shared" si="1521"/>
        <v>46113</v>
      </c>
      <c r="C4066" s="243">
        <f t="shared" si="1502"/>
        <v>46142</v>
      </c>
      <c r="D4066" s="120">
        <f t="shared" si="1503"/>
        <v>30</v>
      </c>
      <c r="E4066" s="120">
        <f t="shared" si="1504"/>
        <v>4</v>
      </c>
      <c r="F4066" s="275">
        <f t="shared" si="1505"/>
        <v>46128</v>
      </c>
      <c r="G4066" s="120">
        <f t="shared" si="1506"/>
        <v>24315</v>
      </c>
      <c r="H4066" s="245">
        <f t="shared" si="1507"/>
        <v>1</v>
      </c>
      <c r="I4066" s="121">
        <f t="shared" si="1508"/>
        <v>1.04</v>
      </c>
      <c r="J4066" s="121">
        <f t="shared" si="1509"/>
        <v>1.04</v>
      </c>
      <c r="K4066" s="120">
        <f t="shared" si="1510"/>
        <v>0</v>
      </c>
      <c r="L4066" s="120">
        <f t="shared" si="1511"/>
        <v>0</v>
      </c>
      <c r="M4066" s="246">
        <f t="shared" si="1512"/>
        <v>0</v>
      </c>
      <c r="N4066" s="121">
        <f t="shared" si="1513"/>
        <v>1.04</v>
      </c>
      <c r="O4066" s="246">
        <f t="shared" si="1514"/>
        <v>0.84897155361050325</v>
      </c>
      <c r="P4066" s="121">
        <f t="shared" si="1515"/>
        <v>1</v>
      </c>
      <c r="Q4066" s="121">
        <f t="shared" si="1516"/>
        <v>0</v>
      </c>
      <c r="R4066" s="121">
        <f t="shared" si="1517"/>
        <v>0</v>
      </c>
      <c r="S4066" s="121" t="str">
        <f t="shared" si="1518"/>
        <v/>
      </c>
      <c r="T4066" s="121" t="str">
        <f t="shared" si="1519"/>
        <v/>
      </c>
      <c r="U4066" s="121">
        <f t="shared" si="1520"/>
        <v>1.04</v>
      </c>
    </row>
    <row r="4067" spans="1:21" x14ac:dyDescent="0.3">
      <c r="A4067" s="187">
        <v>17</v>
      </c>
      <c r="B4067" s="242">
        <f t="shared" si="1521"/>
        <v>46143</v>
      </c>
      <c r="C4067" s="243">
        <f t="shared" si="1502"/>
        <v>46173</v>
      </c>
      <c r="D4067" s="120">
        <f t="shared" si="1503"/>
        <v>31</v>
      </c>
      <c r="E4067" s="120">
        <f t="shared" si="1504"/>
        <v>5</v>
      </c>
      <c r="F4067" s="275">
        <f t="shared" si="1505"/>
        <v>46158.5</v>
      </c>
      <c r="G4067" s="120">
        <f t="shared" si="1506"/>
        <v>24316</v>
      </c>
      <c r="H4067" s="245">
        <f t="shared" si="1507"/>
        <v>1</v>
      </c>
      <c r="I4067" s="121">
        <f t="shared" si="1508"/>
        <v>1.04</v>
      </c>
      <c r="J4067" s="121">
        <f t="shared" si="1509"/>
        <v>1.04</v>
      </c>
      <c r="K4067" s="120">
        <f t="shared" si="1510"/>
        <v>0</v>
      </c>
      <c r="L4067" s="120">
        <f t="shared" si="1511"/>
        <v>0</v>
      </c>
      <c r="M4067" s="246">
        <f t="shared" si="1512"/>
        <v>0</v>
      </c>
      <c r="N4067" s="121">
        <f t="shared" si="1513"/>
        <v>1.04</v>
      </c>
      <c r="O4067" s="246">
        <f t="shared" si="1514"/>
        <v>0.85097374179431073</v>
      </c>
      <c r="P4067" s="121">
        <f t="shared" si="1515"/>
        <v>1</v>
      </c>
      <c r="Q4067" s="121">
        <f t="shared" si="1516"/>
        <v>0</v>
      </c>
      <c r="R4067" s="121">
        <f t="shared" si="1517"/>
        <v>0</v>
      </c>
      <c r="S4067" s="121" t="str">
        <f t="shared" si="1518"/>
        <v/>
      </c>
      <c r="T4067" s="121" t="str">
        <f t="shared" si="1519"/>
        <v/>
      </c>
      <c r="U4067" s="121">
        <f t="shared" si="1520"/>
        <v>1.04</v>
      </c>
    </row>
    <row r="4068" spans="1:21" x14ac:dyDescent="0.3">
      <c r="A4068" s="187">
        <v>18</v>
      </c>
      <c r="B4068" s="242">
        <f t="shared" si="1521"/>
        <v>46174</v>
      </c>
      <c r="C4068" s="243">
        <f t="shared" si="1502"/>
        <v>46203</v>
      </c>
      <c r="D4068" s="120">
        <f t="shared" si="1503"/>
        <v>30</v>
      </c>
      <c r="E4068" s="120">
        <f t="shared" si="1504"/>
        <v>6</v>
      </c>
      <c r="F4068" s="275">
        <f t="shared" si="1505"/>
        <v>46189</v>
      </c>
      <c r="G4068" s="120">
        <f t="shared" si="1506"/>
        <v>24317</v>
      </c>
      <c r="H4068" s="245">
        <f t="shared" si="1507"/>
        <v>1</v>
      </c>
      <c r="I4068" s="121">
        <f t="shared" si="1508"/>
        <v>1.04</v>
      </c>
      <c r="J4068" s="121">
        <f t="shared" si="1509"/>
        <v>1.04</v>
      </c>
      <c r="K4068" s="120">
        <f t="shared" si="1510"/>
        <v>0</v>
      </c>
      <c r="L4068" s="120">
        <f t="shared" si="1511"/>
        <v>0</v>
      </c>
      <c r="M4068" s="246">
        <f t="shared" si="1512"/>
        <v>0</v>
      </c>
      <c r="N4068" s="121">
        <f t="shared" si="1513"/>
        <v>1.04</v>
      </c>
      <c r="O4068" s="246">
        <f t="shared" si="1514"/>
        <v>0.85297592997811811</v>
      </c>
      <c r="P4068" s="121">
        <f t="shared" si="1515"/>
        <v>1</v>
      </c>
      <c r="Q4068" s="121">
        <f t="shared" si="1516"/>
        <v>0</v>
      </c>
      <c r="R4068" s="121">
        <f t="shared" si="1517"/>
        <v>0</v>
      </c>
      <c r="S4068" s="121" t="str">
        <f t="shared" si="1518"/>
        <v/>
      </c>
      <c r="T4068" s="121" t="str">
        <f t="shared" si="1519"/>
        <v/>
      </c>
      <c r="U4068" s="121">
        <f t="shared" si="1520"/>
        <v>1.04</v>
      </c>
    </row>
    <row r="4069" spans="1:21" x14ac:dyDescent="0.3">
      <c r="A4069" s="187">
        <v>19</v>
      </c>
      <c r="B4069" s="242">
        <f t="shared" si="1521"/>
        <v>46204</v>
      </c>
      <c r="C4069" s="243">
        <f t="shared" si="1502"/>
        <v>46234</v>
      </c>
      <c r="D4069" s="120">
        <f t="shared" si="1503"/>
        <v>31</v>
      </c>
      <c r="E4069" s="120">
        <f t="shared" si="1504"/>
        <v>7</v>
      </c>
      <c r="F4069" s="275">
        <f t="shared" si="1505"/>
        <v>46219.5</v>
      </c>
      <c r="G4069" s="120">
        <f t="shared" si="1506"/>
        <v>24318</v>
      </c>
      <c r="H4069" s="245">
        <f t="shared" si="1507"/>
        <v>1</v>
      </c>
      <c r="I4069" s="121">
        <f t="shared" si="1508"/>
        <v>1.04</v>
      </c>
      <c r="J4069" s="121">
        <f t="shared" si="1509"/>
        <v>1.1024</v>
      </c>
      <c r="K4069" s="120">
        <f t="shared" si="1510"/>
        <v>1</v>
      </c>
      <c r="L4069" s="120">
        <f t="shared" si="1511"/>
        <v>31</v>
      </c>
      <c r="M4069" s="246">
        <f t="shared" si="1512"/>
        <v>1</v>
      </c>
      <c r="N4069" s="121">
        <f t="shared" si="1513"/>
        <v>1.1024</v>
      </c>
      <c r="O4069" s="246">
        <f t="shared" si="1514"/>
        <v>0.85497811816192559</v>
      </c>
      <c r="P4069" s="121">
        <f t="shared" si="1515"/>
        <v>0.91666666666666663</v>
      </c>
      <c r="Q4069" s="121">
        <f t="shared" si="1516"/>
        <v>8.333333333333337E-2</v>
      </c>
      <c r="R4069" s="121">
        <f t="shared" si="1517"/>
        <v>0</v>
      </c>
      <c r="S4069" s="121" t="str">
        <f t="shared" si="1518"/>
        <v/>
      </c>
      <c r="T4069" s="121" t="str">
        <f t="shared" si="1519"/>
        <v/>
      </c>
      <c r="U4069" s="121">
        <f t="shared" si="1520"/>
        <v>1.1024</v>
      </c>
    </row>
    <row r="4070" spans="1:21" x14ac:dyDescent="0.3">
      <c r="A4070" s="187">
        <v>20</v>
      </c>
      <c r="B4070" s="242">
        <f t="shared" si="1521"/>
        <v>46235</v>
      </c>
      <c r="C4070" s="243">
        <f t="shared" si="1502"/>
        <v>46265</v>
      </c>
      <c r="D4070" s="120">
        <f t="shared" si="1503"/>
        <v>31</v>
      </c>
      <c r="E4070" s="120">
        <f t="shared" si="1504"/>
        <v>8</v>
      </c>
      <c r="F4070" s="275">
        <f t="shared" si="1505"/>
        <v>46250.5</v>
      </c>
      <c r="G4070" s="120">
        <f t="shared" si="1506"/>
        <v>24319</v>
      </c>
      <c r="H4070" s="245">
        <f t="shared" si="1507"/>
        <v>1</v>
      </c>
      <c r="I4070" s="121">
        <f t="shared" si="1508"/>
        <v>1.1024</v>
      </c>
      <c r="J4070" s="121">
        <f t="shared" si="1509"/>
        <v>1.1024</v>
      </c>
      <c r="K4070" s="120">
        <f t="shared" si="1510"/>
        <v>0</v>
      </c>
      <c r="L4070" s="120">
        <f t="shared" si="1511"/>
        <v>0</v>
      </c>
      <c r="M4070" s="246">
        <f t="shared" si="1512"/>
        <v>0</v>
      </c>
      <c r="N4070" s="121">
        <f t="shared" si="1513"/>
        <v>1.1024</v>
      </c>
      <c r="O4070" s="246">
        <f t="shared" si="1514"/>
        <v>0.85701312910284466</v>
      </c>
      <c r="P4070" s="121">
        <f t="shared" si="1515"/>
        <v>0.75</v>
      </c>
      <c r="Q4070" s="121">
        <f t="shared" si="1516"/>
        <v>0.25</v>
      </c>
      <c r="R4070" s="121">
        <f t="shared" si="1517"/>
        <v>0</v>
      </c>
      <c r="S4070" s="121" t="str">
        <f t="shared" si="1518"/>
        <v/>
      </c>
      <c r="T4070" s="121" t="str">
        <f t="shared" si="1519"/>
        <v/>
      </c>
      <c r="U4070" s="121">
        <f t="shared" si="1520"/>
        <v>1.1024</v>
      </c>
    </row>
    <row r="4071" spans="1:21" x14ac:dyDescent="0.3">
      <c r="A4071" s="187">
        <v>21</v>
      </c>
      <c r="B4071" s="242">
        <f t="shared" si="1521"/>
        <v>46266</v>
      </c>
      <c r="C4071" s="243">
        <f t="shared" si="1502"/>
        <v>46295</v>
      </c>
      <c r="D4071" s="120">
        <f t="shared" si="1503"/>
        <v>30</v>
      </c>
      <c r="E4071" s="120">
        <f t="shared" si="1504"/>
        <v>9</v>
      </c>
      <c r="F4071" s="275">
        <f t="shared" si="1505"/>
        <v>46281</v>
      </c>
      <c r="G4071" s="120">
        <f t="shared" si="1506"/>
        <v>24320</v>
      </c>
      <c r="H4071" s="245">
        <f t="shared" si="1507"/>
        <v>1</v>
      </c>
      <c r="I4071" s="121">
        <f t="shared" si="1508"/>
        <v>1.1024</v>
      </c>
      <c r="J4071" s="121">
        <f t="shared" si="1509"/>
        <v>1.1024</v>
      </c>
      <c r="K4071" s="120">
        <f t="shared" si="1510"/>
        <v>0</v>
      </c>
      <c r="L4071" s="120">
        <f t="shared" si="1511"/>
        <v>0</v>
      </c>
      <c r="M4071" s="246">
        <f t="shared" si="1512"/>
        <v>0</v>
      </c>
      <c r="N4071" s="121">
        <f t="shared" si="1513"/>
        <v>1.1024</v>
      </c>
      <c r="O4071" s="246">
        <f t="shared" si="1514"/>
        <v>0.85901531728665204</v>
      </c>
      <c r="P4071" s="121">
        <f t="shared" si="1515"/>
        <v>0.58333333333333337</v>
      </c>
      <c r="Q4071" s="121">
        <f t="shared" si="1516"/>
        <v>0.41666666666666663</v>
      </c>
      <c r="R4071" s="121">
        <f t="shared" si="1517"/>
        <v>0</v>
      </c>
      <c r="S4071" s="121" t="str">
        <f t="shared" si="1518"/>
        <v/>
      </c>
      <c r="T4071" s="121" t="str">
        <f t="shared" si="1519"/>
        <v/>
      </c>
      <c r="U4071" s="121">
        <f t="shared" si="1520"/>
        <v>1.1024</v>
      </c>
    </row>
    <row r="4072" spans="1:21" x14ac:dyDescent="0.3">
      <c r="A4072" s="187">
        <v>22</v>
      </c>
      <c r="B4072" s="242">
        <f t="shared" si="1521"/>
        <v>46296</v>
      </c>
      <c r="C4072" s="243">
        <f t="shared" si="1502"/>
        <v>46326</v>
      </c>
      <c r="D4072" s="120">
        <f t="shared" si="1503"/>
        <v>31</v>
      </c>
      <c r="E4072" s="120">
        <f t="shared" si="1504"/>
        <v>10</v>
      </c>
      <c r="F4072" s="275">
        <f t="shared" si="1505"/>
        <v>46311.5</v>
      </c>
      <c r="G4072" s="120">
        <f t="shared" si="1506"/>
        <v>24321</v>
      </c>
      <c r="H4072" s="245">
        <f t="shared" si="1507"/>
        <v>1</v>
      </c>
      <c r="I4072" s="121">
        <f t="shared" si="1508"/>
        <v>1.1024</v>
      </c>
      <c r="J4072" s="121">
        <f t="shared" si="1509"/>
        <v>1.1024</v>
      </c>
      <c r="K4072" s="120">
        <f t="shared" si="1510"/>
        <v>0</v>
      </c>
      <c r="L4072" s="120">
        <f t="shared" si="1511"/>
        <v>0</v>
      </c>
      <c r="M4072" s="246">
        <f t="shared" si="1512"/>
        <v>0</v>
      </c>
      <c r="N4072" s="121">
        <f t="shared" si="1513"/>
        <v>1.1024</v>
      </c>
      <c r="O4072" s="246">
        <f t="shared" si="1514"/>
        <v>0.86101750547045952</v>
      </c>
      <c r="P4072" s="121">
        <f t="shared" si="1515"/>
        <v>0.41666666666666669</v>
      </c>
      <c r="Q4072" s="121">
        <f t="shared" si="1516"/>
        <v>0.58333333333333326</v>
      </c>
      <c r="R4072" s="121">
        <f t="shared" si="1517"/>
        <v>0</v>
      </c>
      <c r="S4072" s="121" t="str">
        <f t="shared" si="1518"/>
        <v/>
      </c>
      <c r="T4072" s="121" t="str">
        <f t="shared" si="1519"/>
        <v/>
      </c>
      <c r="U4072" s="121">
        <f t="shared" si="1520"/>
        <v>1.1024</v>
      </c>
    </row>
    <row r="4073" spans="1:21" x14ac:dyDescent="0.3">
      <c r="A4073" s="187">
        <v>23</v>
      </c>
      <c r="B4073" s="242">
        <f t="shared" si="1521"/>
        <v>46327</v>
      </c>
      <c r="C4073" s="243">
        <f t="shared" si="1502"/>
        <v>46356</v>
      </c>
      <c r="D4073" s="120">
        <f t="shared" si="1503"/>
        <v>30</v>
      </c>
      <c r="E4073" s="120">
        <f t="shared" si="1504"/>
        <v>11</v>
      </c>
      <c r="F4073" s="275">
        <f t="shared" si="1505"/>
        <v>46342</v>
      </c>
      <c r="G4073" s="120">
        <f t="shared" si="1506"/>
        <v>24322</v>
      </c>
      <c r="H4073" s="245">
        <f t="shared" si="1507"/>
        <v>1</v>
      </c>
      <c r="I4073" s="121">
        <f t="shared" si="1508"/>
        <v>1.1024</v>
      </c>
      <c r="J4073" s="121">
        <f t="shared" si="1509"/>
        <v>1.1024</v>
      </c>
      <c r="K4073" s="120">
        <f t="shared" si="1510"/>
        <v>0</v>
      </c>
      <c r="L4073" s="120">
        <f t="shared" si="1511"/>
        <v>0</v>
      </c>
      <c r="M4073" s="246">
        <f t="shared" si="1512"/>
        <v>0</v>
      </c>
      <c r="N4073" s="121">
        <f t="shared" si="1513"/>
        <v>1.1024</v>
      </c>
      <c r="O4073" s="246">
        <f t="shared" si="1514"/>
        <v>0.8630196936542669</v>
      </c>
      <c r="P4073" s="121">
        <f t="shared" si="1515"/>
        <v>0.25</v>
      </c>
      <c r="Q4073" s="121">
        <f t="shared" si="1516"/>
        <v>0.75</v>
      </c>
      <c r="R4073" s="121">
        <f t="shared" si="1517"/>
        <v>0</v>
      </c>
      <c r="S4073" s="121" t="str">
        <f t="shared" si="1518"/>
        <v/>
      </c>
      <c r="T4073" s="121" t="str">
        <f t="shared" si="1519"/>
        <v/>
      </c>
      <c r="U4073" s="121">
        <f t="shared" si="1520"/>
        <v>1.1024</v>
      </c>
    </row>
    <row r="4074" spans="1:21" x14ac:dyDescent="0.3">
      <c r="A4074" s="187">
        <v>24</v>
      </c>
      <c r="B4074" s="242">
        <f t="shared" si="1521"/>
        <v>46357</v>
      </c>
      <c r="C4074" s="243">
        <f t="shared" si="1502"/>
        <v>46387</v>
      </c>
      <c r="D4074" s="120">
        <f t="shared" si="1503"/>
        <v>31</v>
      </c>
      <c r="E4074" s="120">
        <f t="shared" si="1504"/>
        <v>12</v>
      </c>
      <c r="F4074" s="275">
        <f t="shared" si="1505"/>
        <v>46372.5</v>
      </c>
      <c r="G4074" s="120">
        <f t="shared" si="1506"/>
        <v>24323</v>
      </c>
      <c r="H4074" s="245">
        <f t="shared" si="1507"/>
        <v>1</v>
      </c>
      <c r="I4074" s="121">
        <f t="shared" si="1508"/>
        <v>1.1024</v>
      </c>
      <c r="J4074" s="121">
        <f t="shared" si="1509"/>
        <v>1.1024</v>
      </c>
      <c r="K4074" s="120">
        <f t="shared" si="1510"/>
        <v>0</v>
      </c>
      <c r="L4074" s="120">
        <f t="shared" si="1511"/>
        <v>0</v>
      </c>
      <c r="M4074" s="246">
        <f t="shared" si="1512"/>
        <v>0</v>
      </c>
      <c r="N4074" s="121">
        <f t="shared" si="1513"/>
        <v>1.1024</v>
      </c>
      <c r="O4074" s="246">
        <f t="shared" si="1514"/>
        <v>0.86502188183807438</v>
      </c>
      <c r="P4074" s="121">
        <f t="shared" si="1515"/>
        <v>8.3333333333333329E-2</v>
      </c>
      <c r="Q4074" s="121">
        <f t="shared" si="1516"/>
        <v>0.91666666666666663</v>
      </c>
      <c r="R4074" s="121">
        <f t="shared" si="1517"/>
        <v>0</v>
      </c>
      <c r="S4074" s="121" t="str">
        <f t="shared" si="1518"/>
        <v/>
      </c>
      <c r="T4074" s="121" t="str">
        <f t="shared" si="1519"/>
        <v/>
      </c>
      <c r="U4074" s="121">
        <f t="shared" si="1520"/>
        <v>1.1024</v>
      </c>
    </row>
    <row r="4075" spans="1:21" x14ac:dyDescent="0.3">
      <c r="A4075" s="187">
        <v>25</v>
      </c>
      <c r="B4075" s="242">
        <f t="shared" si="1521"/>
        <v>46388</v>
      </c>
      <c r="C4075" s="243">
        <f t="shared" si="1502"/>
        <v>46418</v>
      </c>
      <c r="D4075" s="120">
        <f t="shared" si="1503"/>
        <v>31</v>
      </c>
      <c r="E4075" s="120">
        <f t="shared" si="1504"/>
        <v>1</v>
      </c>
      <c r="F4075" s="275">
        <f t="shared" si="1505"/>
        <v>46403.5</v>
      </c>
      <c r="G4075" s="120">
        <f t="shared" si="1506"/>
        <v>24324</v>
      </c>
      <c r="H4075" s="245">
        <f t="shared" si="1507"/>
        <v>1</v>
      </c>
      <c r="I4075" s="121">
        <f t="shared" si="1508"/>
        <v>1.1024</v>
      </c>
      <c r="J4075" s="121">
        <f t="shared" si="1509"/>
        <v>1.1024</v>
      </c>
      <c r="K4075" s="120">
        <f t="shared" si="1510"/>
        <v>0</v>
      </c>
      <c r="L4075" s="120">
        <f t="shared" si="1511"/>
        <v>0</v>
      </c>
      <c r="M4075" s="246">
        <f t="shared" si="1512"/>
        <v>0</v>
      </c>
      <c r="N4075" s="121">
        <f t="shared" si="1513"/>
        <v>1.1024</v>
      </c>
      <c r="O4075" s="246">
        <f t="shared" si="1514"/>
        <v>0.86705689277899345</v>
      </c>
      <c r="P4075" s="121">
        <f t="shared" si="1515"/>
        <v>0</v>
      </c>
      <c r="Q4075" s="121">
        <f t="shared" si="1516"/>
        <v>1</v>
      </c>
      <c r="R4075" s="121">
        <f t="shared" si="1517"/>
        <v>0</v>
      </c>
      <c r="S4075" s="121" t="str">
        <f t="shared" si="1518"/>
        <v/>
      </c>
      <c r="T4075" s="121" t="str">
        <f t="shared" si="1519"/>
        <v/>
      </c>
      <c r="U4075" s="121">
        <f t="shared" si="1520"/>
        <v>1.1024</v>
      </c>
    </row>
    <row r="4076" spans="1:21" x14ac:dyDescent="0.3">
      <c r="A4076" s="187">
        <v>26</v>
      </c>
      <c r="B4076" s="242">
        <f t="shared" si="1521"/>
        <v>46419</v>
      </c>
      <c r="C4076" s="243">
        <f t="shared" si="1502"/>
        <v>46446</v>
      </c>
      <c r="D4076" s="120">
        <f t="shared" si="1503"/>
        <v>28</v>
      </c>
      <c r="E4076" s="120">
        <f t="shared" si="1504"/>
        <v>2</v>
      </c>
      <c r="F4076" s="275">
        <f t="shared" si="1505"/>
        <v>46433</v>
      </c>
      <c r="G4076" s="120">
        <f t="shared" si="1506"/>
        <v>24325</v>
      </c>
      <c r="H4076" s="245">
        <f t="shared" si="1507"/>
        <v>1</v>
      </c>
      <c r="I4076" s="121">
        <f t="shared" si="1508"/>
        <v>1.1024</v>
      </c>
      <c r="J4076" s="121">
        <f t="shared" si="1509"/>
        <v>1.1024</v>
      </c>
      <c r="K4076" s="120">
        <f t="shared" si="1510"/>
        <v>0</v>
      </c>
      <c r="L4076" s="120">
        <f t="shared" si="1511"/>
        <v>0</v>
      </c>
      <c r="M4076" s="246">
        <f t="shared" si="1512"/>
        <v>0</v>
      </c>
      <c r="N4076" s="121">
        <f t="shared" si="1513"/>
        <v>1.1024</v>
      </c>
      <c r="O4076" s="246">
        <f t="shared" si="1514"/>
        <v>0.86899343544857766</v>
      </c>
      <c r="P4076" s="121">
        <f t="shared" si="1515"/>
        <v>0</v>
      </c>
      <c r="Q4076" s="121">
        <f t="shared" si="1516"/>
        <v>1</v>
      </c>
      <c r="R4076" s="121">
        <f t="shared" si="1517"/>
        <v>0</v>
      </c>
      <c r="S4076" s="121" t="str">
        <f t="shared" si="1518"/>
        <v/>
      </c>
      <c r="T4076" s="121" t="str">
        <f t="shared" si="1519"/>
        <v/>
      </c>
      <c r="U4076" s="121">
        <f t="shared" si="1520"/>
        <v>1.1024</v>
      </c>
    </row>
    <row r="4077" spans="1:21" x14ac:dyDescent="0.3">
      <c r="A4077" s="187">
        <v>27</v>
      </c>
      <c r="B4077" s="242">
        <f t="shared" si="1521"/>
        <v>46447</v>
      </c>
      <c r="C4077" s="243">
        <f t="shared" si="1502"/>
        <v>46477</v>
      </c>
      <c r="D4077" s="120">
        <f t="shared" si="1503"/>
        <v>31</v>
      </c>
      <c r="E4077" s="120">
        <f t="shared" si="1504"/>
        <v>3</v>
      </c>
      <c r="F4077" s="275">
        <f t="shared" si="1505"/>
        <v>46462.5</v>
      </c>
      <c r="G4077" s="120">
        <f t="shared" si="1506"/>
        <v>24326</v>
      </c>
      <c r="H4077" s="245">
        <f t="shared" si="1507"/>
        <v>1</v>
      </c>
      <c r="I4077" s="121">
        <f t="shared" si="1508"/>
        <v>1.1024</v>
      </c>
      <c r="J4077" s="121">
        <f t="shared" si="1509"/>
        <v>1.1024</v>
      </c>
      <c r="K4077" s="120">
        <f t="shared" si="1510"/>
        <v>0</v>
      </c>
      <c r="L4077" s="120">
        <f t="shared" si="1511"/>
        <v>0</v>
      </c>
      <c r="M4077" s="246">
        <f t="shared" si="1512"/>
        <v>0</v>
      </c>
      <c r="N4077" s="121">
        <f t="shared" si="1513"/>
        <v>1.1024</v>
      </c>
      <c r="O4077" s="246">
        <f t="shared" si="1514"/>
        <v>0.87092997811816197</v>
      </c>
      <c r="P4077" s="121">
        <f t="shared" si="1515"/>
        <v>0</v>
      </c>
      <c r="Q4077" s="121">
        <f t="shared" si="1516"/>
        <v>1</v>
      </c>
      <c r="R4077" s="121">
        <f t="shared" si="1517"/>
        <v>0</v>
      </c>
      <c r="S4077" s="121" t="str">
        <f t="shared" si="1518"/>
        <v/>
      </c>
      <c r="T4077" s="121" t="str">
        <f t="shared" si="1519"/>
        <v/>
      </c>
      <c r="U4077" s="121">
        <f t="shared" si="1520"/>
        <v>1.1024</v>
      </c>
    </row>
    <row r="4078" spans="1:21" x14ac:dyDescent="0.3">
      <c r="A4078" s="187">
        <v>28</v>
      </c>
      <c r="B4078" s="242">
        <f t="shared" si="1521"/>
        <v>46478</v>
      </c>
      <c r="C4078" s="243">
        <f t="shared" si="1502"/>
        <v>46507</v>
      </c>
      <c r="D4078" s="120">
        <f t="shared" si="1503"/>
        <v>30</v>
      </c>
      <c r="E4078" s="120">
        <f t="shared" si="1504"/>
        <v>4</v>
      </c>
      <c r="F4078" s="275">
        <f t="shared" si="1505"/>
        <v>46493</v>
      </c>
      <c r="G4078" s="120">
        <f t="shared" si="1506"/>
        <v>24327</v>
      </c>
      <c r="H4078" s="245">
        <f t="shared" si="1507"/>
        <v>1</v>
      </c>
      <c r="I4078" s="121">
        <f t="shared" si="1508"/>
        <v>1.1024</v>
      </c>
      <c r="J4078" s="121">
        <f t="shared" si="1509"/>
        <v>1.1795680000000002</v>
      </c>
      <c r="K4078" s="120">
        <f t="shared" si="1510"/>
        <v>1</v>
      </c>
      <c r="L4078" s="120">
        <f t="shared" si="1511"/>
        <v>30</v>
      </c>
      <c r="M4078" s="246">
        <f t="shared" si="1512"/>
        <v>1</v>
      </c>
      <c r="N4078" s="121">
        <f t="shared" si="1513"/>
        <v>1.1795680000000002</v>
      </c>
      <c r="O4078" s="246">
        <f t="shared" si="1514"/>
        <v>0.87293216630196935</v>
      </c>
      <c r="P4078" s="121">
        <f t="shared" si="1515"/>
        <v>0</v>
      </c>
      <c r="Q4078" s="121">
        <f t="shared" si="1516"/>
        <v>1</v>
      </c>
      <c r="R4078" s="121">
        <f t="shared" si="1517"/>
        <v>0</v>
      </c>
      <c r="S4078" s="121" t="str">
        <f t="shared" si="1518"/>
        <v/>
      </c>
      <c r="T4078" s="121" t="str">
        <f t="shared" si="1519"/>
        <v/>
      </c>
      <c r="U4078" s="121">
        <f t="shared" si="1520"/>
        <v>1.1795680000000002</v>
      </c>
    </row>
    <row r="4079" spans="1:21" x14ac:dyDescent="0.3">
      <c r="A4079" s="187">
        <v>29</v>
      </c>
      <c r="B4079" s="242">
        <f t="shared" si="1521"/>
        <v>46508</v>
      </c>
      <c r="C4079" s="243">
        <f t="shared" si="1502"/>
        <v>46538</v>
      </c>
      <c r="D4079" s="120">
        <f t="shared" si="1503"/>
        <v>31</v>
      </c>
      <c r="E4079" s="120">
        <f t="shared" si="1504"/>
        <v>5</v>
      </c>
      <c r="F4079" s="275">
        <f t="shared" si="1505"/>
        <v>46523.5</v>
      </c>
      <c r="G4079" s="120">
        <f t="shared" si="1506"/>
        <v>24328</v>
      </c>
      <c r="H4079" s="245">
        <f t="shared" si="1507"/>
        <v>1</v>
      </c>
      <c r="I4079" s="121">
        <f t="shared" si="1508"/>
        <v>1.1795680000000002</v>
      </c>
      <c r="J4079" s="121">
        <f t="shared" si="1509"/>
        <v>1.1795680000000002</v>
      </c>
      <c r="K4079" s="120">
        <f t="shared" si="1510"/>
        <v>0</v>
      </c>
      <c r="L4079" s="120">
        <f t="shared" si="1511"/>
        <v>0</v>
      </c>
      <c r="M4079" s="246">
        <f t="shared" si="1512"/>
        <v>0</v>
      </c>
      <c r="N4079" s="121">
        <f t="shared" si="1513"/>
        <v>1.1795680000000002</v>
      </c>
      <c r="O4079" s="246">
        <f t="shared" si="1514"/>
        <v>0.87493435448577683</v>
      </c>
      <c r="P4079" s="121">
        <f t="shared" si="1515"/>
        <v>0</v>
      </c>
      <c r="Q4079" s="121">
        <f t="shared" si="1516"/>
        <v>1</v>
      </c>
      <c r="R4079" s="121">
        <f t="shared" si="1517"/>
        <v>0</v>
      </c>
      <c r="S4079" s="121" t="str">
        <f t="shared" si="1518"/>
        <v/>
      </c>
      <c r="T4079" s="121" t="str">
        <f t="shared" si="1519"/>
        <v/>
      </c>
      <c r="U4079" s="121">
        <f t="shared" si="1520"/>
        <v>1.1795680000000002</v>
      </c>
    </row>
    <row r="4080" spans="1:21" x14ac:dyDescent="0.3">
      <c r="A4080" s="187">
        <v>30</v>
      </c>
      <c r="B4080" s="242">
        <f t="shared" si="1521"/>
        <v>46539</v>
      </c>
      <c r="C4080" s="243">
        <f t="shared" si="1502"/>
        <v>46568</v>
      </c>
      <c r="D4080" s="120">
        <f t="shared" si="1503"/>
        <v>30</v>
      </c>
      <c r="E4080" s="120">
        <f t="shared" si="1504"/>
        <v>6</v>
      </c>
      <c r="F4080" s="275">
        <f t="shared" si="1505"/>
        <v>46554</v>
      </c>
      <c r="G4080" s="120">
        <f t="shared" si="1506"/>
        <v>24329</v>
      </c>
      <c r="H4080" s="245">
        <f t="shared" si="1507"/>
        <v>1</v>
      </c>
      <c r="I4080" s="121">
        <f t="shared" si="1508"/>
        <v>1.1795680000000002</v>
      </c>
      <c r="J4080" s="121">
        <f t="shared" si="1509"/>
        <v>1.1795680000000002</v>
      </c>
      <c r="K4080" s="120">
        <f t="shared" si="1510"/>
        <v>0</v>
      </c>
      <c r="L4080" s="120">
        <f t="shared" si="1511"/>
        <v>0</v>
      </c>
      <c r="M4080" s="246">
        <f t="shared" si="1512"/>
        <v>0</v>
      </c>
      <c r="N4080" s="121">
        <f t="shared" si="1513"/>
        <v>1.1795680000000002</v>
      </c>
      <c r="O4080" s="246">
        <f t="shared" si="1514"/>
        <v>0.87693654266958421</v>
      </c>
      <c r="P4080" s="121">
        <f t="shared" si="1515"/>
        <v>0</v>
      </c>
      <c r="Q4080" s="121">
        <f t="shared" si="1516"/>
        <v>1</v>
      </c>
      <c r="R4080" s="121">
        <f t="shared" si="1517"/>
        <v>0</v>
      </c>
      <c r="S4080" s="121" t="str">
        <f t="shared" si="1518"/>
        <v/>
      </c>
      <c r="T4080" s="121" t="str">
        <f t="shared" si="1519"/>
        <v/>
      </c>
      <c r="U4080" s="121">
        <f t="shared" si="1520"/>
        <v>1.1795680000000002</v>
      </c>
    </row>
    <row r="4081" spans="1:21" x14ac:dyDescent="0.3">
      <c r="A4081" s="187">
        <v>31</v>
      </c>
      <c r="B4081" s="242">
        <f t="shared" si="1521"/>
        <v>46569</v>
      </c>
      <c r="C4081" s="243">
        <f t="shared" si="1502"/>
        <v>46599</v>
      </c>
      <c r="D4081" s="120">
        <f t="shared" si="1503"/>
        <v>31</v>
      </c>
      <c r="E4081" s="120">
        <f t="shared" si="1504"/>
        <v>7</v>
      </c>
      <c r="F4081" s="275">
        <f t="shared" si="1505"/>
        <v>46584.5</v>
      </c>
      <c r="G4081" s="120">
        <f t="shared" si="1506"/>
        <v>24330</v>
      </c>
      <c r="H4081" s="245">
        <f t="shared" si="1507"/>
        <v>1</v>
      </c>
      <c r="I4081" s="121">
        <f t="shared" si="1508"/>
        <v>1.1795680000000002</v>
      </c>
      <c r="J4081" s="121">
        <f t="shared" si="1509"/>
        <v>1.1795680000000002</v>
      </c>
      <c r="K4081" s="120">
        <f t="shared" si="1510"/>
        <v>0</v>
      </c>
      <c r="L4081" s="120">
        <f t="shared" si="1511"/>
        <v>0</v>
      </c>
      <c r="M4081" s="246">
        <f t="shared" si="1512"/>
        <v>0</v>
      </c>
      <c r="N4081" s="121">
        <f t="shared" si="1513"/>
        <v>1.1795680000000002</v>
      </c>
      <c r="O4081" s="246">
        <f t="shared" si="1514"/>
        <v>0.87893873085339169</v>
      </c>
      <c r="P4081" s="121">
        <f t="shared" si="1515"/>
        <v>0</v>
      </c>
      <c r="Q4081" s="121">
        <f t="shared" si="1516"/>
        <v>0.91666666666666663</v>
      </c>
      <c r="R4081" s="121">
        <f t="shared" si="1517"/>
        <v>8.333333333333337E-2</v>
      </c>
      <c r="S4081" s="121" t="str">
        <f t="shared" si="1518"/>
        <v/>
      </c>
      <c r="T4081" s="121" t="str">
        <f t="shared" si="1519"/>
        <v/>
      </c>
      <c r="U4081" s="121">
        <f t="shared" si="1520"/>
        <v>1.1795680000000002</v>
      </c>
    </row>
    <row r="4082" spans="1:21" x14ac:dyDescent="0.3">
      <c r="A4082" s="187">
        <v>32</v>
      </c>
      <c r="B4082" s="242">
        <f t="shared" si="1521"/>
        <v>46600</v>
      </c>
      <c r="C4082" s="243">
        <f t="shared" si="1502"/>
        <v>46630</v>
      </c>
      <c r="D4082" s="120">
        <f t="shared" si="1503"/>
        <v>31</v>
      </c>
      <c r="E4082" s="120">
        <f t="shared" si="1504"/>
        <v>8</v>
      </c>
      <c r="F4082" s="275">
        <f t="shared" si="1505"/>
        <v>46615.5</v>
      </c>
      <c r="G4082" s="120">
        <f t="shared" si="1506"/>
        <v>24331</v>
      </c>
      <c r="H4082" s="245">
        <f t="shared" si="1507"/>
        <v>1</v>
      </c>
      <c r="I4082" s="121">
        <f t="shared" si="1508"/>
        <v>1.1795680000000002</v>
      </c>
      <c r="J4082" s="121">
        <f t="shared" si="1509"/>
        <v>1.1795680000000002</v>
      </c>
      <c r="K4082" s="120">
        <f t="shared" si="1510"/>
        <v>0</v>
      </c>
      <c r="L4082" s="120">
        <f t="shared" si="1511"/>
        <v>0</v>
      </c>
      <c r="M4082" s="246">
        <f t="shared" si="1512"/>
        <v>0</v>
      </c>
      <c r="N4082" s="121">
        <f t="shared" si="1513"/>
        <v>1.1795680000000002</v>
      </c>
      <c r="O4082" s="246">
        <f t="shared" si="1514"/>
        <v>0.88097374179431076</v>
      </c>
      <c r="P4082" s="121">
        <f t="shared" si="1515"/>
        <v>0</v>
      </c>
      <c r="Q4082" s="121">
        <f t="shared" si="1516"/>
        <v>0.75</v>
      </c>
      <c r="R4082" s="121">
        <f t="shared" si="1517"/>
        <v>0.25</v>
      </c>
      <c r="S4082" s="121" t="str">
        <f t="shared" si="1518"/>
        <v/>
      </c>
      <c r="T4082" s="121" t="str">
        <f t="shared" si="1519"/>
        <v/>
      </c>
      <c r="U4082" s="121">
        <f t="shared" si="1520"/>
        <v>1.1795680000000002</v>
      </c>
    </row>
    <row r="4083" spans="1:21" x14ac:dyDescent="0.3">
      <c r="A4083" s="187">
        <v>33</v>
      </c>
      <c r="B4083" s="242">
        <f t="shared" si="1521"/>
        <v>46631</v>
      </c>
      <c r="C4083" s="243">
        <f t="shared" si="1502"/>
        <v>46660</v>
      </c>
      <c r="D4083" s="120">
        <f t="shared" si="1503"/>
        <v>30</v>
      </c>
      <c r="E4083" s="120">
        <f t="shared" si="1504"/>
        <v>9</v>
      </c>
      <c r="F4083" s="275">
        <f t="shared" si="1505"/>
        <v>46646</v>
      </c>
      <c r="G4083" s="120">
        <f t="shared" si="1506"/>
        <v>24332</v>
      </c>
      <c r="H4083" s="245">
        <f t="shared" si="1507"/>
        <v>1</v>
      </c>
      <c r="I4083" s="121">
        <f t="shared" si="1508"/>
        <v>1.1795680000000002</v>
      </c>
      <c r="J4083" s="121">
        <f t="shared" si="1509"/>
        <v>1.1795680000000002</v>
      </c>
      <c r="K4083" s="120">
        <f t="shared" si="1510"/>
        <v>0</v>
      </c>
      <c r="L4083" s="120">
        <f t="shared" si="1511"/>
        <v>0</v>
      </c>
      <c r="M4083" s="246">
        <f t="shared" si="1512"/>
        <v>0</v>
      </c>
      <c r="N4083" s="121">
        <f t="shared" si="1513"/>
        <v>1.1795680000000002</v>
      </c>
      <c r="O4083" s="246">
        <f t="shared" si="1514"/>
        <v>0.88297592997811813</v>
      </c>
      <c r="P4083" s="121">
        <f t="shared" si="1515"/>
        <v>0</v>
      </c>
      <c r="Q4083" s="121">
        <f t="shared" si="1516"/>
        <v>0.58333333333333337</v>
      </c>
      <c r="R4083" s="121">
        <f t="shared" si="1517"/>
        <v>0.41666666666666663</v>
      </c>
      <c r="S4083" s="121" t="str">
        <f t="shared" si="1518"/>
        <v/>
      </c>
      <c r="T4083" s="121" t="str">
        <f t="shared" si="1519"/>
        <v/>
      </c>
      <c r="U4083" s="121">
        <f t="shared" si="1520"/>
        <v>1.1795680000000002</v>
      </c>
    </row>
    <row r="4084" spans="1:21" x14ac:dyDescent="0.3">
      <c r="A4084" s="187">
        <v>34</v>
      </c>
      <c r="B4084" s="242">
        <f t="shared" si="1521"/>
        <v>46661</v>
      </c>
      <c r="C4084" s="243">
        <f t="shared" si="1502"/>
        <v>46691</v>
      </c>
      <c r="D4084" s="120">
        <f t="shared" si="1503"/>
        <v>31</v>
      </c>
      <c r="E4084" s="120">
        <f t="shared" si="1504"/>
        <v>10</v>
      </c>
      <c r="F4084" s="275">
        <f t="shared" si="1505"/>
        <v>46676.5</v>
      </c>
      <c r="G4084" s="120">
        <f t="shared" si="1506"/>
        <v>24333</v>
      </c>
      <c r="H4084" s="245">
        <f t="shared" si="1507"/>
        <v>1</v>
      </c>
      <c r="I4084" s="121">
        <f t="shared" si="1508"/>
        <v>1.1795680000000002</v>
      </c>
      <c r="J4084" s="121">
        <f t="shared" si="1509"/>
        <v>1.1795680000000002</v>
      </c>
      <c r="K4084" s="120">
        <f t="shared" si="1510"/>
        <v>0</v>
      </c>
      <c r="L4084" s="120">
        <f t="shared" si="1511"/>
        <v>0</v>
      </c>
      <c r="M4084" s="246">
        <f t="shared" si="1512"/>
        <v>0</v>
      </c>
      <c r="N4084" s="121">
        <f t="shared" si="1513"/>
        <v>1.1795680000000002</v>
      </c>
      <c r="O4084" s="246">
        <f t="shared" si="1514"/>
        <v>0.88497811816192562</v>
      </c>
      <c r="P4084" s="121">
        <f t="shared" si="1515"/>
        <v>0</v>
      </c>
      <c r="Q4084" s="121">
        <f t="shared" si="1516"/>
        <v>0.41666666666666669</v>
      </c>
      <c r="R4084" s="121">
        <f t="shared" si="1517"/>
        <v>0.58333333333333326</v>
      </c>
      <c r="S4084" s="121" t="str">
        <f t="shared" si="1518"/>
        <v/>
      </c>
      <c r="T4084" s="121" t="str">
        <f t="shared" si="1519"/>
        <v/>
      </c>
      <c r="U4084" s="121">
        <f t="shared" si="1520"/>
        <v>1.1795680000000002</v>
      </c>
    </row>
    <row r="4085" spans="1:21" x14ac:dyDescent="0.3">
      <c r="A4085" s="187">
        <v>35</v>
      </c>
      <c r="B4085" s="242">
        <f t="shared" si="1521"/>
        <v>46692</v>
      </c>
      <c r="C4085" s="243">
        <f t="shared" si="1502"/>
        <v>46721</v>
      </c>
      <c r="D4085" s="120">
        <f t="shared" si="1503"/>
        <v>30</v>
      </c>
      <c r="E4085" s="120">
        <f t="shared" si="1504"/>
        <v>11</v>
      </c>
      <c r="F4085" s="275">
        <f t="shared" si="1505"/>
        <v>46707</v>
      </c>
      <c r="G4085" s="120">
        <f t="shared" si="1506"/>
        <v>24334</v>
      </c>
      <c r="H4085" s="245">
        <f t="shared" si="1507"/>
        <v>1</v>
      </c>
      <c r="I4085" s="121">
        <f t="shared" si="1508"/>
        <v>1.1795680000000002</v>
      </c>
      <c r="J4085" s="121">
        <f t="shared" si="1509"/>
        <v>1.1795680000000002</v>
      </c>
      <c r="K4085" s="120">
        <f t="shared" si="1510"/>
        <v>0</v>
      </c>
      <c r="L4085" s="120">
        <f t="shared" si="1511"/>
        <v>0</v>
      </c>
      <c r="M4085" s="246">
        <f t="shared" si="1512"/>
        <v>0</v>
      </c>
      <c r="N4085" s="121">
        <f t="shared" si="1513"/>
        <v>1.1795680000000002</v>
      </c>
      <c r="O4085" s="246">
        <f t="shared" si="1514"/>
        <v>0.8869803063457331</v>
      </c>
      <c r="P4085" s="121">
        <f t="shared" si="1515"/>
        <v>0</v>
      </c>
      <c r="Q4085" s="121">
        <f t="shared" si="1516"/>
        <v>0.25</v>
      </c>
      <c r="R4085" s="121">
        <f t="shared" si="1517"/>
        <v>0.75</v>
      </c>
      <c r="S4085" s="121" t="str">
        <f t="shared" si="1518"/>
        <v/>
      </c>
      <c r="T4085" s="121" t="str">
        <f t="shared" si="1519"/>
        <v/>
      </c>
      <c r="U4085" s="121">
        <f t="shared" si="1520"/>
        <v>1.1795680000000002</v>
      </c>
    </row>
    <row r="4086" spans="1:21" x14ac:dyDescent="0.3">
      <c r="A4086" s="187">
        <v>36</v>
      </c>
      <c r="B4086" s="242">
        <f t="shared" si="1521"/>
        <v>46722</v>
      </c>
      <c r="C4086" s="243">
        <f t="shared" si="1502"/>
        <v>46752</v>
      </c>
      <c r="D4086" s="120">
        <f t="shared" si="1503"/>
        <v>31</v>
      </c>
      <c r="E4086" s="120">
        <f t="shared" si="1504"/>
        <v>12</v>
      </c>
      <c r="F4086" s="275">
        <f t="shared" si="1505"/>
        <v>46737.5</v>
      </c>
      <c r="G4086" s="120">
        <f t="shared" si="1506"/>
        <v>24335</v>
      </c>
      <c r="H4086" s="245">
        <f t="shared" si="1507"/>
        <v>1</v>
      </c>
      <c r="I4086" s="121">
        <f t="shared" si="1508"/>
        <v>1.1795680000000002</v>
      </c>
      <c r="J4086" s="121">
        <f t="shared" si="1509"/>
        <v>1.1795680000000002</v>
      </c>
      <c r="K4086" s="120">
        <f t="shared" si="1510"/>
        <v>0</v>
      </c>
      <c r="L4086" s="120">
        <f t="shared" si="1511"/>
        <v>0</v>
      </c>
      <c r="M4086" s="246">
        <f t="shared" si="1512"/>
        <v>0</v>
      </c>
      <c r="N4086" s="121">
        <f t="shared" si="1513"/>
        <v>1.1795680000000002</v>
      </c>
      <c r="O4086" s="246">
        <f t="shared" si="1514"/>
        <v>0.88898249452954048</v>
      </c>
      <c r="P4086" s="121">
        <f t="shared" si="1515"/>
        <v>0</v>
      </c>
      <c r="Q4086" s="121">
        <f t="shared" si="1516"/>
        <v>8.3333333333333329E-2</v>
      </c>
      <c r="R4086" s="121">
        <f t="shared" si="1517"/>
        <v>0.91666666666666663</v>
      </c>
      <c r="S4086" s="121" t="str">
        <f t="shared" si="1518"/>
        <v/>
      </c>
      <c r="T4086" s="121" t="str">
        <f t="shared" si="1519"/>
        <v/>
      </c>
      <c r="U4086" s="121">
        <f t="shared" si="1520"/>
        <v>1.1795680000000002</v>
      </c>
    </row>
    <row r="4087" spans="1:21" x14ac:dyDescent="0.3">
      <c r="A4087" s="187">
        <v>37</v>
      </c>
      <c r="B4087" s="242">
        <f t="shared" si="1521"/>
        <v>46753</v>
      </c>
      <c r="C4087" s="243">
        <f t="shared" si="1502"/>
        <v>46783</v>
      </c>
      <c r="D4087" s="120">
        <f t="shared" si="1503"/>
        <v>31</v>
      </c>
      <c r="E4087" s="120">
        <f t="shared" si="1504"/>
        <v>1</v>
      </c>
      <c r="F4087" s="275">
        <f t="shared" si="1505"/>
        <v>46768.5</v>
      </c>
      <c r="G4087" s="120">
        <f t="shared" si="1506"/>
        <v>24336</v>
      </c>
      <c r="H4087" s="245">
        <f t="shared" si="1507"/>
        <v>1</v>
      </c>
      <c r="I4087" s="121">
        <f t="shared" si="1508"/>
        <v>1.1795680000000002</v>
      </c>
      <c r="J4087" s="121">
        <f t="shared" si="1509"/>
        <v>1.1795680000000002</v>
      </c>
      <c r="K4087" s="120">
        <f t="shared" si="1510"/>
        <v>0</v>
      </c>
      <c r="L4087" s="120">
        <f t="shared" si="1511"/>
        <v>0</v>
      </c>
      <c r="M4087" s="246">
        <f t="shared" si="1512"/>
        <v>0</v>
      </c>
      <c r="N4087" s="121">
        <f t="shared" si="1513"/>
        <v>1.1795680000000002</v>
      </c>
      <c r="O4087" s="246">
        <f t="shared" si="1514"/>
        <v>0.89</v>
      </c>
      <c r="P4087" s="121">
        <f t="shared" si="1515"/>
        <v>0</v>
      </c>
      <c r="Q4087" s="121">
        <f t="shared" si="1516"/>
        <v>0</v>
      </c>
      <c r="R4087" s="121">
        <f t="shared" si="1517"/>
        <v>1</v>
      </c>
      <c r="S4087" s="121" t="str">
        <f t="shared" si="1518"/>
        <v/>
      </c>
      <c r="T4087" s="121" t="str">
        <f t="shared" si="1519"/>
        <v/>
      </c>
      <c r="U4087" s="121">
        <f t="shared" si="1520"/>
        <v>1.1795680000000002</v>
      </c>
    </row>
    <row r="4088" spans="1:21" x14ac:dyDescent="0.3">
      <c r="A4088" s="187">
        <v>38</v>
      </c>
      <c r="B4088" s="242">
        <f t="shared" si="1521"/>
        <v>46784</v>
      </c>
      <c r="C4088" s="243">
        <f t="shared" si="1502"/>
        <v>46812</v>
      </c>
      <c r="D4088" s="120">
        <f t="shared" si="1503"/>
        <v>29</v>
      </c>
      <c r="E4088" s="120">
        <f t="shared" si="1504"/>
        <v>2</v>
      </c>
      <c r="F4088" s="275">
        <f t="shared" si="1505"/>
        <v>46798.5</v>
      </c>
      <c r="G4088" s="120">
        <f t="shared" si="1506"/>
        <v>24337</v>
      </c>
      <c r="H4088" s="245">
        <f t="shared" si="1507"/>
        <v>1</v>
      </c>
      <c r="I4088" s="121">
        <f t="shared" si="1508"/>
        <v>1.1795680000000002</v>
      </c>
      <c r="J4088" s="121">
        <f t="shared" si="1509"/>
        <v>1.1795680000000002</v>
      </c>
      <c r="K4088" s="120">
        <f t="shared" si="1510"/>
        <v>0</v>
      </c>
      <c r="L4088" s="120">
        <f t="shared" si="1511"/>
        <v>0</v>
      </c>
      <c r="M4088" s="246">
        <f t="shared" si="1512"/>
        <v>0</v>
      </c>
      <c r="N4088" s="121">
        <f t="shared" si="1513"/>
        <v>1.1795680000000002</v>
      </c>
      <c r="O4088" s="246">
        <f t="shared" si="1514"/>
        <v>0.89</v>
      </c>
      <c r="P4088" s="121">
        <f t="shared" si="1515"/>
        <v>0</v>
      </c>
      <c r="Q4088" s="121">
        <f t="shared" si="1516"/>
        <v>0</v>
      </c>
      <c r="R4088" s="121">
        <f t="shared" si="1517"/>
        <v>1</v>
      </c>
      <c r="S4088" s="121" t="str">
        <f t="shared" si="1518"/>
        <v/>
      </c>
      <c r="T4088" s="121" t="str">
        <f t="shared" si="1519"/>
        <v/>
      </c>
      <c r="U4088" s="121">
        <f t="shared" si="1520"/>
        <v>1.1795680000000002</v>
      </c>
    </row>
    <row r="4089" spans="1:21" x14ac:dyDescent="0.3">
      <c r="A4089" s="187">
        <v>39</v>
      </c>
      <c r="B4089" s="242">
        <f t="shared" si="1521"/>
        <v>46813</v>
      </c>
      <c r="C4089" s="243">
        <f t="shared" si="1502"/>
        <v>46843</v>
      </c>
      <c r="D4089" s="120">
        <f t="shared" si="1503"/>
        <v>31</v>
      </c>
      <c r="E4089" s="120">
        <f t="shared" si="1504"/>
        <v>3</v>
      </c>
      <c r="F4089" s="275">
        <f t="shared" si="1505"/>
        <v>46828.5</v>
      </c>
      <c r="G4089" s="120">
        <f t="shared" si="1506"/>
        <v>24338</v>
      </c>
      <c r="H4089" s="245">
        <f t="shared" si="1507"/>
        <v>1</v>
      </c>
      <c r="I4089" s="121">
        <f t="shared" si="1508"/>
        <v>1.1795680000000002</v>
      </c>
      <c r="J4089" s="121">
        <f t="shared" si="1509"/>
        <v>1.1795680000000002</v>
      </c>
      <c r="K4089" s="120">
        <f t="shared" si="1510"/>
        <v>0</v>
      </c>
      <c r="L4089" s="120">
        <f t="shared" si="1511"/>
        <v>0</v>
      </c>
      <c r="M4089" s="246">
        <f t="shared" si="1512"/>
        <v>0</v>
      </c>
      <c r="N4089" s="121">
        <f t="shared" si="1513"/>
        <v>1.1795680000000002</v>
      </c>
      <c r="O4089" s="246">
        <f t="shared" si="1514"/>
        <v>0.89</v>
      </c>
      <c r="P4089" s="121">
        <f t="shared" si="1515"/>
        <v>0</v>
      </c>
      <c r="Q4089" s="121">
        <f t="shared" si="1516"/>
        <v>0</v>
      </c>
      <c r="R4089" s="121">
        <f t="shared" si="1517"/>
        <v>1</v>
      </c>
      <c r="S4089" s="121" t="str">
        <f t="shared" si="1518"/>
        <v/>
      </c>
      <c r="T4089" s="121" t="str">
        <f t="shared" si="1519"/>
        <v/>
      </c>
      <c r="U4089" s="121">
        <f t="shared" si="1520"/>
        <v>1.1795680000000002</v>
      </c>
    </row>
    <row r="4090" spans="1:21" x14ac:dyDescent="0.3">
      <c r="A4090" s="187">
        <v>40</v>
      </c>
      <c r="B4090" s="242">
        <f t="shared" si="1521"/>
        <v>46844</v>
      </c>
      <c r="C4090" s="243">
        <f t="shared" si="1502"/>
        <v>46873</v>
      </c>
      <c r="D4090" s="120">
        <f t="shared" si="1503"/>
        <v>30</v>
      </c>
      <c r="E4090" s="120">
        <f t="shared" si="1504"/>
        <v>4</v>
      </c>
      <c r="F4090" s="275">
        <f t="shared" si="1505"/>
        <v>46859</v>
      </c>
      <c r="G4090" s="120">
        <f t="shared" si="1506"/>
        <v>24339</v>
      </c>
      <c r="H4090" s="245">
        <f t="shared" si="1507"/>
        <v>1</v>
      </c>
      <c r="I4090" s="121">
        <f t="shared" si="1508"/>
        <v>1.1795680000000002</v>
      </c>
      <c r="J4090" s="121">
        <f t="shared" si="1509"/>
        <v>1.1795680000000002</v>
      </c>
      <c r="K4090" s="120">
        <f t="shared" si="1510"/>
        <v>0</v>
      </c>
      <c r="L4090" s="120">
        <f t="shared" si="1511"/>
        <v>0</v>
      </c>
      <c r="M4090" s="246">
        <f t="shared" si="1512"/>
        <v>0</v>
      </c>
      <c r="N4090" s="121">
        <f t="shared" si="1513"/>
        <v>1.1795680000000002</v>
      </c>
      <c r="O4090" s="246">
        <f t="shared" si="1514"/>
        <v>0.89</v>
      </c>
      <c r="P4090" s="121">
        <f t="shared" si="1515"/>
        <v>0</v>
      </c>
      <c r="Q4090" s="121">
        <f t="shared" si="1516"/>
        <v>0</v>
      </c>
      <c r="R4090" s="121">
        <f t="shared" si="1517"/>
        <v>1</v>
      </c>
      <c r="S4090" s="121" t="str">
        <f t="shared" si="1518"/>
        <v/>
      </c>
      <c r="T4090" s="121" t="str">
        <f t="shared" si="1519"/>
        <v/>
      </c>
      <c r="U4090" s="121">
        <f t="shared" si="1520"/>
        <v>1.1795680000000002</v>
      </c>
    </row>
    <row r="4091" spans="1:21" x14ac:dyDescent="0.3">
      <c r="A4091" s="187">
        <v>41</v>
      </c>
      <c r="B4091" s="242">
        <f t="shared" si="1521"/>
        <v>46874</v>
      </c>
      <c r="C4091" s="243">
        <f t="shared" si="1502"/>
        <v>46904</v>
      </c>
      <c r="D4091" s="120">
        <f t="shared" si="1503"/>
        <v>31</v>
      </c>
      <c r="E4091" s="120">
        <f t="shared" si="1504"/>
        <v>5</v>
      </c>
      <c r="F4091" s="275">
        <f t="shared" si="1505"/>
        <v>46889.5</v>
      </c>
      <c r="G4091" s="120">
        <f t="shared" si="1506"/>
        <v>24340</v>
      </c>
      <c r="H4091" s="245">
        <f t="shared" si="1507"/>
        <v>1</v>
      </c>
      <c r="I4091" s="121">
        <f t="shared" si="1508"/>
        <v>1.1795680000000002</v>
      </c>
      <c r="J4091" s="121">
        <f t="shared" si="1509"/>
        <v>1.1795680000000002</v>
      </c>
      <c r="K4091" s="120">
        <f t="shared" si="1510"/>
        <v>0</v>
      </c>
      <c r="L4091" s="120">
        <f t="shared" si="1511"/>
        <v>0</v>
      </c>
      <c r="M4091" s="246">
        <f t="shared" si="1512"/>
        <v>0</v>
      </c>
      <c r="N4091" s="121">
        <f t="shared" si="1513"/>
        <v>1.1795680000000002</v>
      </c>
      <c r="O4091" s="246">
        <f t="shared" si="1514"/>
        <v>0.89</v>
      </c>
      <c r="P4091" s="121">
        <f t="shared" si="1515"/>
        <v>0</v>
      </c>
      <c r="Q4091" s="121">
        <f t="shared" si="1516"/>
        <v>0</v>
      </c>
      <c r="R4091" s="121">
        <f t="shared" si="1517"/>
        <v>1</v>
      </c>
      <c r="S4091" s="121" t="str">
        <f t="shared" si="1518"/>
        <v/>
      </c>
      <c r="T4091" s="121" t="str">
        <f t="shared" si="1519"/>
        <v/>
      </c>
      <c r="U4091" s="121">
        <f t="shared" si="1520"/>
        <v>1.1795680000000002</v>
      </c>
    </row>
    <row r="4092" spans="1:21" x14ac:dyDescent="0.3">
      <c r="A4092" s="187">
        <v>42</v>
      </c>
      <c r="B4092" s="242">
        <f t="shared" si="1521"/>
        <v>46905</v>
      </c>
      <c r="C4092" s="243">
        <f t="shared" si="1502"/>
        <v>46934</v>
      </c>
      <c r="D4092" s="120">
        <f t="shared" si="1503"/>
        <v>30</v>
      </c>
      <c r="E4092" s="120">
        <f t="shared" si="1504"/>
        <v>6</v>
      </c>
      <c r="F4092" s="275">
        <f t="shared" si="1505"/>
        <v>46920</v>
      </c>
      <c r="G4092" s="120">
        <f t="shared" si="1506"/>
        <v>24341</v>
      </c>
      <c r="H4092" s="245">
        <f t="shared" si="1507"/>
        <v>1</v>
      </c>
      <c r="I4092" s="121">
        <f t="shared" si="1508"/>
        <v>1.1795680000000002</v>
      </c>
      <c r="J4092" s="121">
        <f t="shared" si="1509"/>
        <v>1.1795680000000002</v>
      </c>
      <c r="K4092" s="120">
        <f t="shared" si="1510"/>
        <v>0</v>
      </c>
      <c r="L4092" s="120">
        <f t="shared" si="1511"/>
        <v>0</v>
      </c>
      <c r="M4092" s="246">
        <f t="shared" si="1512"/>
        <v>0</v>
      </c>
      <c r="N4092" s="121">
        <f t="shared" si="1513"/>
        <v>1.1795680000000002</v>
      </c>
      <c r="O4092" s="246">
        <f t="shared" si="1514"/>
        <v>0.89</v>
      </c>
      <c r="P4092" s="121">
        <f t="shared" si="1515"/>
        <v>0</v>
      </c>
      <c r="Q4092" s="121">
        <f t="shared" si="1516"/>
        <v>0</v>
      </c>
      <c r="R4092" s="121">
        <f t="shared" si="1517"/>
        <v>1</v>
      </c>
      <c r="S4092" s="121" t="str">
        <f t="shared" si="1518"/>
        <v/>
      </c>
      <c r="T4092" s="121" t="str">
        <f t="shared" si="1519"/>
        <v/>
      </c>
      <c r="U4092" s="121">
        <f t="shared" si="1520"/>
        <v>1.1795680000000002</v>
      </c>
    </row>
    <row r="4093" spans="1:21" x14ac:dyDescent="0.3">
      <c r="A4093" s="187">
        <v>43</v>
      </c>
      <c r="B4093" s="242">
        <f t="shared" si="1521"/>
        <v>46935</v>
      </c>
      <c r="C4093" s="243">
        <f t="shared" si="1502"/>
        <v>46965</v>
      </c>
      <c r="D4093" s="120">
        <f t="shared" si="1503"/>
        <v>31</v>
      </c>
      <c r="E4093" s="120">
        <f t="shared" si="1504"/>
        <v>7</v>
      </c>
      <c r="F4093" s="275">
        <f t="shared" si="1505"/>
        <v>46950.5</v>
      </c>
      <c r="G4093" s="120">
        <f t="shared" si="1506"/>
        <v>24342</v>
      </c>
      <c r="H4093" s="245">
        <f t="shared" si="1507"/>
        <v>1</v>
      </c>
      <c r="I4093" s="121">
        <f t="shared" si="1508"/>
        <v>1.1795680000000002</v>
      </c>
      <c r="J4093" s="121">
        <f t="shared" si="1509"/>
        <v>1.1795680000000002</v>
      </c>
      <c r="K4093" s="120">
        <f t="shared" si="1510"/>
        <v>0</v>
      </c>
      <c r="L4093" s="120">
        <f t="shared" si="1511"/>
        <v>0</v>
      </c>
      <c r="M4093" s="246">
        <f t="shared" si="1512"/>
        <v>0</v>
      </c>
      <c r="N4093" s="121">
        <f t="shared" si="1513"/>
        <v>1.1795680000000002</v>
      </c>
      <c r="O4093" s="246">
        <f t="shared" si="1514"/>
        <v>0.89</v>
      </c>
      <c r="P4093" s="121">
        <f t="shared" si="1515"/>
        <v>0</v>
      </c>
      <c r="Q4093" s="121">
        <f t="shared" si="1516"/>
        <v>0</v>
      </c>
      <c r="R4093" s="121">
        <f t="shared" si="1517"/>
        <v>0.91666666666666663</v>
      </c>
      <c r="S4093" s="121" t="str">
        <f t="shared" si="1518"/>
        <v/>
      </c>
      <c r="T4093" s="121" t="str">
        <f t="shared" si="1519"/>
        <v/>
      </c>
      <c r="U4093" s="121">
        <f t="shared" si="1520"/>
        <v>1.1795680000000002</v>
      </c>
    </row>
    <row r="4094" spans="1:21" x14ac:dyDescent="0.3">
      <c r="A4094" s="187">
        <v>44</v>
      </c>
      <c r="B4094" s="242">
        <f t="shared" si="1521"/>
        <v>46966</v>
      </c>
      <c r="C4094" s="243">
        <f t="shared" si="1502"/>
        <v>46996</v>
      </c>
      <c r="D4094" s="120">
        <f t="shared" si="1503"/>
        <v>31</v>
      </c>
      <c r="E4094" s="120">
        <f t="shared" si="1504"/>
        <v>8</v>
      </c>
      <c r="F4094" s="275">
        <f t="shared" si="1505"/>
        <v>46981.5</v>
      </c>
      <c r="G4094" s="120">
        <f t="shared" si="1506"/>
        <v>24343</v>
      </c>
      <c r="H4094" s="245">
        <f t="shared" si="1507"/>
        <v>1</v>
      </c>
      <c r="I4094" s="121">
        <f t="shared" si="1508"/>
        <v>1.1795680000000002</v>
      </c>
      <c r="J4094" s="121">
        <f t="shared" si="1509"/>
        <v>1.1795680000000002</v>
      </c>
      <c r="K4094" s="120">
        <f t="shared" si="1510"/>
        <v>0</v>
      </c>
      <c r="L4094" s="120">
        <f t="shared" si="1511"/>
        <v>0</v>
      </c>
      <c r="M4094" s="246">
        <f t="shared" si="1512"/>
        <v>0</v>
      </c>
      <c r="N4094" s="121">
        <f t="shared" si="1513"/>
        <v>1.1795680000000002</v>
      </c>
      <c r="O4094" s="246">
        <f t="shared" si="1514"/>
        <v>0.89</v>
      </c>
      <c r="P4094" s="121">
        <f t="shared" si="1515"/>
        <v>0</v>
      </c>
      <c r="Q4094" s="121">
        <f t="shared" si="1516"/>
        <v>0</v>
      </c>
      <c r="R4094" s="121">
        <f t="shared" si="1517"/>
        <v>0.75</v>
      </c>
      <c r="S4094" s="121" t="str">
        <f t="shared" si="1518"/>
        <v/>
      </c>
      <c r="T4094" s="121" t="str">
        <f t="shared" si="1519"/>
        <v/>
      </c>
      <c r="U4094" s="121">
        <f t="shared" si="1520"/>
        <v>1.1795680000000002</v>
      </c>
    </row>
    <row r="4095" spans="1:21" x14ac:dyDescent="0.3">
      <c r="A4095" s="187">
        <v>45</v>
      </c>
      <c r="B4095" s="242">
        <f t="shared" si="1521"/>
        <v>46997</v>
      </c>
      <c r="C4095" s="243">
        <f t="shared" si="1502"/>
        <v>47026</v>
      </c>
      <c r="D4095" s="120">
        <f t="shared" si="1503"/>
        <v>30</v>
      </c>
      <c r="E4095" s="120">
        <f t="shared" si="1504"/>
        <v>9</v>
      </c>
      <c r="F4095" s="275">
        <f t="shared" si="1505"/>
        <v>47012</v>
      </c>
      <c r="G4095" s="120">
        <f t="shared" si="1506"/>
        <v>24344</v>
      </c>
      <c r="H4095" s="245">
        <f t="shared" si="1507"/>
        <v>1</v>
      </c>
      <c r="I4095" s="121">
        <f t="shared" si="1508"/>
        <v>1.1795680000000002</v>
      </c>
      <c r="J4095" s="121">
        <f t="shared" si="1509"/>
        <v>1.1795680000000002</v>
      </c>
      <c r="K4095" s="120">
        <f t="shared" si="1510"/>
        <v>0</v>
      </c>
      <c r="L4095" s="120">
        <f t="shared" si="1511"/>
        <v>0</v>
      </c>
      <c r="M4095" s="246">
        <f t="shared" si="1512"/>
        <v>0</v>
      </c>
      <c r="N4095" s="121">
        <f t="shared" si="1513"/>
        <v>1.1795680000000002</v>
      </c>
      <c r="O4095" s="246">
        <f t="shared" si="1514"/>
        <v>0.89</v>
      </c>
      <c r="P4095" s="121">
        <f t="shared" si="1515"/>
        <v>0</v>
      </c>
      <c r="Q4095" s="121">
        <f t="shared" si="1516"/>
        <v>0</v>
      </c>
      <c r="R4095" s="121">
        <f t="shared" si="1517"/>
        <v>0.58333333333333337</v>
      </c>
      <c r="S4095" s="121" t="str">
        <f t="shared" si="1518"/>
        <v/>
      </c>
      <c r="T4095" s="121" t="str">
        <f t="shared" si="1519"/>
        <v/>
      </c>
      <c r="U4095" s="121">
        <f t="shared" si="1520"/>
        <v>1.1795680000000002</v>
      </c>
    </row>
    <row r="4096" spans="1:21" x14ac:dyDescent="0.3">
      <c r="A4096" s="187">
        <v>46</v>
      </c>
      <c r="B4096" s="242">
        <f t="shared" si="1521"/>
        <v>47027</v>
      </c>
      <c r="C4096" s="243">
        <f t="shared" si="1502"/>
        <v>47057</v>
      </c>
      <c r="D4096" s="120">
        <f t="shared" si="1503"/>
        <v>31</v>
      </c>
      <c r="E4096" s="120">
        <f t="shared" si="1504"/>
        <v>10</v>
      </c>
      <c r="F4096" s="275">
        <f t="shared" si="1505"/>
        <v>47042.5</v>
      </c>
      <c r="G4096" s="120">
        <f t="shared" si="1506"/>
        <v>24345</v>
      </c>
      <c r="H4096" s="245">
        <f t="shared" si="1507"/>
        <v>1</v>
      </c>
      <c r="I4096" s="121">
        <f t="shared" si="1508"/>
        <v>1.1795680000000002</v>
      </c>
      <c r="J4096" s="121">
        <f t="shared" si="1509"/>
        <v>1.1795680000000002</v>
      </c>
      <c r="K4096" s="120">
        <f t="shared" si="1510"/>
        <v>0</v>
      </c>
      <c r="L4096" s="120">
        <f t="shared" si="1511"/>
        <v>0</v>
      </c>
      <c r="M4096" s="246">
        <f t="shared" si="1512"/>
        <v>0</v>
      </c>
      <c r="N4096" s="121">
        <f t="shared" si="1513"/>
        <v>1.1795680000000002</v>
      </c>
      <c r="O4096" s="246">
        <f t="shared" si="1514"/>
        <v>0.89</v>
      </c>
      <c r="P4096" s="121">
        <f t="shared" si="1515"/>
        <v>0</v>
      </c>
      <c r="Q4096" s="121">
        <f t="shared" si="1516"/>
        <v>0</v>
      </c>
      <c r="R4096" s="121">
        <f t="shared" si="1517"/>
        <v>0.41666666666666669</v>
      </c>
      <c r="S4096" s="121" t="str">
        <f t="shared" si="1518"/>
        <v/>
      </c>
      <c r="T4096" s="121" t="str">
        <f t="shared" si="1519"/>
        <v/>
      </c>
      <c r="U4096" s="121">
        <f t="shared" si="1520"/>
        <v>1.1795680000000002</v>
      </c>
    </row>
    <row r="4097" spans="1:21" x14ac:dyDescent="0.3">
      <c r="A4097" s="187">
        <v>47</v>
      </c>
      <c r="B4097" s="242">
        <f t="shared" si="1521"/>
        <v>47058</v>
      </c>
      <c r="C4097" s="243">
        <f t="shared" si="1502"/>
        <v>47087</v>
      </c>
      <c r="D4097" s="120">
        <f t="shared" si="1503"/>
        <v>30</v>
      </c>
      <c r="E4097" s="120">
        <f t="shared" si="1504"/>
        <v>11</v>
      </c>
      <c r="F4097" s="275">
        <f t="shared" si="1505"/>
        <v>47073</v>
      </c>
      <c r="G4097" s="120">
        <f t="shared" si="1506"/>
        <v>24346</v>
      </c>
      <c r="H4097" s="245">
        <f t="shared" si="1507"/>
        <v>1</v>
      </c>
      <c r="I4097" s="121">
        <f t="shared" si="1508"/>
        <v>1.1795680000000002</v>
      </c>
      <c r="J4097" s="121">
        <f t="shared" si="1509"/>
        <v>1.1795680000000002</v>
      </c>
      <c r="K4097" s="120">
        <f t="shared" si="1510"/>
        <v>0</v>
      </c>
      <c r="L4097" s="120">
        <f t="shared" si="1511"/>
        <v>0</v>
      </c>
      <c r="M4097" s="246">
        <f t="shared" si="1512"/>
        <v>0</v>
      </c>
      <c r="N4097" s="121">
        <f t="shared" si="1513"/>
        <v>1.1795680000000002</v>
      </c>
      <c r="O4097" s="246">
        <f t="shared" si="1514"/>
        <v>0.89</v>
      </c>
      <c r="P4097" s="121">
        <f t="shared" si="1515"/>
        <v>0</v>
      </c>
      <c r="Q4097" s="121">
        <f t="shared" si="1516"/>
        <v>0</v>
      </c>
      <c r="R4097" s="121">
        <f t="shared" si="1517"/>
        <v>0.25</v>
      </c>
      <c r="S4097" s="121" t="str">
        <f t="shared" si="1518"/>
        <v/>
      </c>
      <c r="T4097" s="121" t="str">
        <f t="shared" si="1519"/>
        <v/>
      </c>
      <c r="U4097" s="121">
        <f t="shared" si="1520"/>
        <v>1.1795680000000002</v>
      </c>
    </row>
    <row r="4098" spans="1:21" x14ac:dyDescent="0.3">
      <c r="A4098" s="187">
        <v>48</v>
      </c>
      <c r="B4098" s="242">
        <f t="shared" si="1521"/>
        <v>47088</v>
      </c>
      <c r="C4098" s="243">
        <f t="shared" si="1502"/>
        <v>47118</v>
      </c>
      <c r="D4098" s="120">
        <f t="shared" si="1503"/>
        <v>31</v>
      </c>
      <c r="E4098" s="120">
        <f t="shared" si="1504"/>
        <v>12</v>
      </c>
      <c r="F4098" s="275">
        <f t="shared" si="1505"/>
        <v>47103.5</v>
      </c>
      <c r="G4098" s="120">
        <f t="shared" si="1506"/>
        <v>24347</v>
      </c>
      <c r="H4098" s="245">
        <f t="shared" si="1507"/>
        <v>1</v>
      </c>
      <c r="I4098" s="121">
        <f t="shared" si="1508"/>
        <v>1.1795680000000002</v>
      </c>
      <c r="J4098" s="121">
        <f t="shared" si="1509"/>
        <v>1.1795680000000002</v>
      </c>
      <c r="K4098" s="120">
        <f t="shared" si="1510"/>
        <v>0</v>
      </c>
      <c r="L4098" s="120">
        <f t="shared" si="1511"/>
        <v>0</v>
      </c>
      <c r="M4098" s="246">
        <f t="shared" si="1512"/>
        <v>0</v>
      </c>
      <c r="N4098" s="121">
        <f t="shared" si="1513"/>
        <v>1.1795680000000002</v>
      </c>
      <c r="O4098" s="246">
        <f t="shared" si="1514"/>
        <v>0.89</v>
      </c>
      <c r="P4098" s="121">
        <f t="shared" si="1515"/>
        <v>0</v>
      </c>
      <c r="Q4098" s="121">
        <f t="shared" si="1516"/>
        <v>0</v>
      </c>
      <c r="R4098" s="121">
        <f t="shared" si="1517"/>
        <v>8.3333333333333329E-2</v>
      </c>
      <c r="S4098" s="121" t="str">
        <f t="shared" si="1518"/>
        <v/>
      </c>
      <c r="T4098" s="121" t="str">
        <f t="shared" si="1519"/>
        <v/>
      </c>
      <c r="U4098" s="121">
        <f t="shared" si="1520"/>
        <v>1.1795680000000002</v>
      </c>
    </row>
    <row r="4099" spans="1:21" x14ac:dyDescent="0.3">
      <c r="A4099" s="6" t="s">
        <v>1690</v>
      </c>
      <c r="B4099" s="73">
        <f>SUMPRODUCT($H$4051:$H$4098,$Q$4051:$Q$4098,$U$4051:$U$4098)/SUMPRODUCT($H$4051:$H$4098,$Q$4051:$Q$4098)</f>
        <v>1.1409840000000002</v>
      </c>
      <c r="C4099" s="73">
        <f>SUMPRODUCT($H$4051:$H$4098,$R$4051:$R$4098,$U$4051:$U$4098)/SUMPRODUCT($H$4051:$H$4098,$R$4051:$R$4098)</f>
        <v>1.1795679999999999</v>
      </c>
      <c r="D4099" s="224">
        <f>SUMPRODUCT($H$4051:$H$4098,$Q$4051:$Q$4098,$O$4051:$O$4098)/SUMPRODUCT($H$4051:$H$4098,$Q$4051:$Q$4098)</f>
        <v>0.87197757111597374</v>
      </c>
    </row>
    <row r="4102" spans="1:21" x14ac:dyDescent="0.3">
      <c r="A4102" s="270" t="s">
        <v>1691</v>
      </c>
    </row>
    <row r="4103" spans="1:21" x14ac:dyDescent="0.3">
      <c r="A4103" s="6">
        <f>EDATE(nr_M0Asof,-12)+1</f>
        <v>45931</v>
      </c>
      <c r="B4103" s="6">
        <f>nr_M0Asof+1</f>
        <v>46296</v>
      </c>
      <c r="C4103" s="6">
        <f>DATE(nr_PlanYear,12,31)+1</f>
        <v>46753</v>
      </c>
      <c r="D4103" s="6">
        <f>DATE(nr_PlanYear+1,12,31)+1</f>
        <v>47119</v>
      </c>
      <c r="E4103" s="6">
        <f>IF(N(nr_MPrior)=0,$F$4103-($G$4103-$F$4103)/($C$4103-$B$4103)*($B$4103-$A$4103),nr_MPrior)</f>
        <v>0.83603938730853389</v>
      </c>
      <c r="F4103" s="6">
        <f>nr_M0</f>
        <v>0.86</v>
      </c>
      <c r="G4103" s="6">
        <f>nr_M1+N(INDEX(sc_dm1,2))</f>
        <v>0.89</v>
      </c>
      <c r="H4103" s="6">
        <f>IF(N(nr_M2)=0,nr_M1,nr_M2)+N(INDEX(sc_dm1,2))</f>
        <v>0.89</v>
      </c>
      <c r="I4103" s="6">
        <f>($F$4103-$E$4103)/($B$4103-$A$4103)</f>
        <v>6.5645514223194786E-5</v>
      </c>
      <c r="J4103" s="6">
        <f>($G$4103-$F$4103)/($C$4103-$B$4103)</f>
        <v>6.5645514223194813E-5</v>
      </c>
      <c r="K4103" s="6">
        <f>($H$4103-$G$4103)/($D$4103-$C$4103)</f>
        <v>0</v>
      </c>
    </row>
    <row r="4104" spans="1:21" ht="36" x14ac:dyDescent="0.3">
      <c r="A4104" s="58" t="s">
        <v>390</v>
      </c>
      <c r="B4104" s="58" t="s">
        <v>449</v>
      </c>
      <c r="C4104" s="58" t="s">
        <v>685</v>
      </c>
      <c r="D4104" s="58" t="s">
        <v>686</v>
      </c>
      <c r="E4104" s="58" t="s">
        <v>687</v>
      </c>
      <c r="F4104" s="58" t="s">
        <v>688</v>
      </c>
      <c r="G4104" s="58" t="s">
        <v>689</v>
      </c>
      <c r="H4104" s="58" t="s">
        <v>452</v>
      </c>
      <c r="I4104" s="58" t="s">
        <v>690</v>
      </c>
      <c r="J4104" s="58" t="s">
        <v>691</v>
      </c>
      <c r="K4104" s="58" t="s">
        <v>692</v>
      </c>
      <c r="L4104" s="58" t="s">
        <v>693</v>
      </c>
      <c r="M4104" s="58" t="s">
        <v>694</v>
      </c>
      <c r="N4104" s="58" t="s">
        <v>695</v>
      </c>
      <c r="O4104" s="58" t="s">
        <v>696</v>
      </c>
      <c r="P4104" s="58" t="s">
        <v>697</v>
      </c>
      <c r="Q4104" s="58" t="s">
        <v>698</v>
      </c>
      <c r="R4104" s="58" t="s">
        <v>699</v>
      </c>
      <c r="S4104" s="58" t="s">
        <v>700</v>
      </c>
      <c r="T4104" s="58" t="s">
        <v>701</v>
      </c>
      <c r="U4104" s="58" t="s">
        <v>702</v>
      </c>
    </row>
    <row r="4105" spans="1:21" x14ac:dyDescent="0.3">
      <c r="A4105" s="187">
        <v>1</v>
      </c>
      <c r="B4105" s="242">
        <f>DATE(nr_PlanYear-2,1,1)</f>
        <v>45658</v>
      </c>
      <c r="C4105" s="243">
        <f t="shared" ref="C4105:C4152" si="1522">EOMONTH($B4105,0)</f>
        <v>45688</v>
      </c>
      <c r="D4105" s="120">
        <f t="shared" ref="D4105:D4152" si="1523">$C4105-$B4105+1</f>
        <v>31</v>
      </c>
      <c r="E4105" s="120">
        <f t="shared" ref="E4105:E4152" si="1524">MONTH($B4105)</f>
        <v>1</v>
      </c>
      <c r="F4105" s="275">
        <f t="shared" ref="F4105:F4152" si="1525">($B4105+$C4105+1)/2</f>
        <v>45673.5</v>
      </c>
      <c r="G4105" s="120">
        <f t="shared" ref="G4105:G4152" si="1526">YEAR($B4105)*12+MONTH($B4105)-1</f>
        <v>24300</v>
      </c>
      <c r="H4105" s="245">
        <f t="shared" ref="H4105:H4152" si="1527">IF(OR(nr_SeasonOn="OFF",re_srow=0,re_ssum=0),1,12*INDEX(se_block,re_srow,$E4105)/re_ssum)</f>
        <v>1</v>
      </c>
      <c r="I4105" s="121">
        <f t="shared" ref="I4105:I4152" si="1528">EXP(SUMPRODUCT(($K$3806:$K$4045&lt;$B4105)*(rl_key=nr_SelKey)*$O$3806:$O$4045))</f>
        <v>1</v>
      </c>
      <c r="J4105" s="121">
        <f t="shared" ref="J4105:J4152" si="1529">EXP(SUMPRODUCT(($K$3806:$K$4045&lt;=$C4105)*(rl_key=nr_SelKey)*$O$3806:$O$4045))</f>
        <v>1</v>
      </c>
      <c r="K4105" s="120">
        <f t="shared" ref="K4105:K4152" si="1530">COUNTIFS(rl_key,nr_SelKey,$K$3806:$K$4045,"&gt;="&amp;$B4105,$K$3806:$K$4045,"&lt;="&amp;$C4105)</f>
        <v>0</v>
      </c>
      <c r="L4105" s="120">
        <f t="shared" ref="L4105:L4152" si="1531">SUMIFS($P$3806:$P$4045,rl_key,nr_SelKey,$L$3806:$L$4045,$B4105,$S$3806:$S$4045,1)</f>
        <v>0</v>
      </c>
      <c r="M4105" s="246">
        <f t="shared" ref="M4105:M4152" si="1532">IF($K4105=0,0,MIN(1,$L4105/$D4105))</f>
        <v>0</v>
      </c>
      <c r="N4105" s="121">
        <f t="shared" ref="N4105:N4152" si="1533">IF($K4105=0,$J4105,(1-$M4105)*$I4105+$M4105*$J4105)</f>
        <v>1</v>
      </c>
      <c r="O4105" s="246">
        <f t="shared" ref="O4105:O4152" si="1534">IF($F4105&lt;$B$4103,$E$4103+$I$4103*($F4105-$A$4103),IF($F4105&lt;$C$4103,$F$4103+$J$4103*($F4105-$B$4103),$G$4103+$K$4103*($F4105-$C$4103)))</f>
        <v>0.81913566739606125</v>
      </c>
      <c r="P4105" s="121">
        <f t="shared" ref="P4105:P4152" si="1535">MIN(1,MAX(0,(nr_MEndPm1-$G4105+0.5)/nr_TermMonths))-MIN(1,MAX(0,(nr_MStartPm1-1-$G4105+0.5)/nr_TermMonths))</f>
        <v>0</v>
      </c>
      <c r="Q4105" s="121">
        <f t="shared" ref="Q4105:Q4152" si="1536">MIN(1,MAX(0,(nr_MEndP-$G4105+0.5)/nr_TermMonths))-MIN(1,MAX(0,(nr_MStartP-1-$G4105+0.5)/nr_TermMonths))</f>
        <v>0</v>
      </c>
      <c r="R4105" s="121">
        <f t="shared" ref="R4105:R4152" si="1537">MIN(1,MAX(0,(nr_MEndP1-$G4105+0.5)/nr_TermMonths))-MIN(1,MAX(0,(nr_MStartP1-1-$G4105+0.5)/nr_TermMonths))</f>
        <v>0</v>
      </c>
      <c r="S4105" s="121" t="str">
        <f t="shared" ref="S4105:S4152" si="1538">IF(nr_NetMode,$N4105*IF(nr_ModAdjEff="ON",$O4105/nr_MInd,1),"")</f>
        <v/>
      </c>
      <c r="T4105" s="121" t="str">
        <f t="shared" ref="T4105:T4152" si="1539">IF(NOT(nr_NetMode),"",IF($G4105&lt;nr_MStartP,$S4105,$T4093*(1+IF($G4105&lt;nr_MStartP1,(nr_NetSelP+N(INDEX(sc_dnet,2))),(nr_NetSelP1+N(INDEX(sc_dnet,2)))))))</f>
        <v/>
      </c>
      <c r="U4105" s="121">
        <f t="shared" ref="U4105:U4152" si="1540">IF(nr_NetMode,$T4105,$N4105)</f>
        <v>1</v>
      </c>
    </row>
    <row r="4106" spans="1:21" x14ac:dyDescent="0.3">
      <c r="A4106" s="187">
        <v>2</v>
      </c>
      <c r="B4106" s="242">
        <f t="shared" ref="B4106:B4152" si="1541">EDATE($B4105,1)</f>
        <v>45689</v>
      </c>
      <c r="C4106" s="243">
        <f t="shared" si="1522"/>
        <v>45716</v>
      </c>
      <c r="D4106" s="120">
        <f t="shared" si="1523"/>
        <v>28</v>
      </c>
      <c r="E4106" s="120">
        <f t="shared" si="1524"/>
        <v>2</v>
      </c>
      <c r="F4106" s="275">
        <f t="shared" si="1525"/>
        <v>45703</v>
      </c>
      <c r="G4106" s="120">
        <f t="shared" si="1526"/>
        <v>24301</v>
      </c>
      <c r="H4106" s="245">
        <f t="shared" si="1527"/>
        <v>1</v>
      </c>
      <c r="I4106" s="121">
        <f t="shared" si="1528"/>
        <v>1</v>
      </c>
      <c r="J4106" s="121">
        <f t="shared" si="1529"/>
        <v>1</v>
      </c>
      <c r="K4106" s="120">
        <f t="shared" si="1530"/>
        <v>0</v>
      </c>
      <c r="L4106" s="120">
        <f t="shared" si="1531"/>
        <v>0</v>
      </c>
      <c r="M4106" s="246">
        <f t="shared" si="1532"/>
        <v>0</v>
      </c>
      <c r="N4106" s="121">
        <f t="shared" si="1533"/>
        <v>1</v>
      </c>
      <c r="O4106" s="246">
        <f t="shared" si="1534"/>
        <v>0.82107221006564546</v>
      </c>
      <c r="P4106" s="121">
        <f t="shared" si="1535"/>
        <v>0</v>
      </c>
      <c r="Q4106" s="121">
        <f t="shared" si="1536"/>
        <v>0</v>
      </c>
      <c r="R4106" s="121">
        <f t="shared" si="1537"/>
        <v>0</v>
      </c>
      <c r="S4106" s="121" t="str">
        <f t="shared" si="1538"/>
        <v/>
      </c>
      <c r="T4106" s="121" t="str">
        <f t="shared" si="1539"/>
        <v/>
      </c>
      <c r="U4106" s="121">
        <f t="shared" si="1540"/>
        <v>1</v>
      </c>
    </row>
    <row r="4107" spans="1:21" x14ac:dyDescent="0.3">
      <c r="A4107" s="187">
        <v>3</v>
      </c>
      <c r="B4107" s="242">
        <f t="shared" si="1541"/>
        <v>45717</v>
      </c>
      <c r="C4107" s="243">
        <f t="shared" si="1522"/>
        <v>45747</v>
      </c>
      <c r="D4107" s="120">
        <f t="shared" si="1523"/>
        <v>31</v>
      </c>
      <c r="E4107" s="120">
        <f t="shared" si="1524"/>
        <v>3</v>
      </c>
      <c r="F4107" s="275">
        <f t="shared" si="1525"/>
        <v>45732.5</v>
      </c>
      <c r="G4107" s="120">
        <f t="shared" si="1526"/>
        <v>24302</v>
      </c>
      <c r="H4107" s="245">
        <f t="shared" si="1527"/>
        <v>1</v>
      </c>
      <c r="I4107" s="121">
        <f t="shared" si="1528"/>
        <v>1</v>
      </c>
      <c r="J4107" s="121">
        <f t="shared" si="1529"/>
        <v>1</v>
      </c>
      <c r="K4107" s="120">
        <f t="shared" si="1530"/>
        <v>0</v>
      </c>
      <c r="L4107" s="120">
        <f t="shared" si="1531"/>
        <v>0</v>
      </c>
      <c r="M4107" s="246">
        <f t="shared" si="1532"/>
        <v>0</v>
      </c>
      <c r="N4107" s="121">
        <f t="shared" si="1533"/>
        <v>1</v>
      </c>
      <c r="O4107" s="246">
        <f t="shared" si="1534"/>
        <v>0.82300875273522978</v>
      </c>
      <c r="P4107" s="121">
        <f t="shared" si="1535"/>
        <v>0</v>
      </c>
      <c r="Q4107" s="121">
        <f t="shared" si="1536"/>
        <v>0</v>
      </c>
      <c r="R4107" s="121">
        <f t="shared" si="1537"/>
        <v>0</v>
      </c>
      <c r="S4107" s="121" t="str">
        <f t="shared" si="1538"/>
        <v/>
      </c>
      <c r="T4107" s="121" t="str">
        <f t="shared" si="1539"/>
        <v/>
      </c>
      <c r="U4107" s="121">
        <f t="shared" si="1540"/>
        <v>1</v>
      </c>
    </row>
    <row r="4108" spans="1:21" x14ac:dyDescent="0.3">
      <c r="A4108" s="187">
        <v>4</v>
      </c>
      <c r="B4108" s="242">
        <f t="shared" si="1541"/>
        <v>45748</v>
      </c>
      <c r="C4108" s="243">
        <f t="shared" si="1522"/>
        <v>45777</v>
      </c>
      <c r="D4108" s="120">
        <f t="shared" si="1523"/>
        <v>30</v>
      </c>
      <c r="E4108" s="120">
        <f t="shared" si="1524"/>
        <v>4</v>
      </c>
      <c r="F4108" s="275">
        <f t="shared" si="1525"/>
        <v>45763</v>
      </c>
      <c r="G4108" s="120">
        <f t="shared" si="1526"/>
        <v>24303</v>
      </c>
      <c r="H4108" s="245">
        <f t="shared" si="1527"/>
        <v>1</v>
      </c>
      <c r="I4108" s="121">
        <f t="shared" si="1528"/>
        <v>1</v>
      </c>
      <c r="J4108" s="121">
        <f t="shared" si="1529"/>
        <v>1</v>
      </c>
      <c r="K4108" s="120">
        <f t="shared" si="1530"/>
        <v>0</v>
      </c>
      <c r="L4108" s="120">
        <f t="shared" si="1531"/>
        <v>0</v>
      </c>
      <c r="M4108" s="246">
        <f t="shared" si="1532"/>
        <v>0</v>
      </c>
      <c r="N4108" s="121">
        <f t="shared" si="1533"/>
        <v>1</v>
      </c>
      <c r="O4108" s="246">
        <f t="shared" si="1534"/>
        <v>0.82501094091903715</v>
      </c>
      <c r="P4108" s="121">
        <f t="shared" si="1535"/>
        <v>0</v>
      </c>
      <c r="Q4108" s="121">
        <f t="shared" si="1536"/>
        <v>0</v>
      </c>
      <c r="R4108" s="121">
        <f t="shared" si="1537"/>
        <v>0</v>
      </c>
      <c r="S4108" s="121" t="str">
        <f t="shared" si="1538"/>
        <v/>
      </c>
      <c r="T4108" s="121" t="str">
        <f t="shared" si="1539"/>
        <v/>
      </c>
      <c r="U4108" s="121">
        <f t="shared" si="1540"/>
        <v>1</v>
      </c>
    </row>
    <row r="4109" spans="1:21" x14ac:dyDescent="0.3">
      <c r="A4109" s="187">
        <v>5</v>
      </c>
      <c r="B4109" s="242">
        <f t="shared" si="1541"/>
        <v>45778</v>
      </c>
      <c r="C4109" s="243">
        <f t="shared" si="1522"/>
        <v>45808</v>
      </c>
      <c r="D4109" s="120">
        <f t="shared" si="1523"/>
        <v>31</v>
      </c>
      <c r="E4109" s="120">
        <f t="shared" si="1524"/>
        <v>5</v>
      </c>
      <c r="F4109" s="275">
        <f t="shared" si="1525"/>
        <v>45793.5</v>
      </c>
      <c r="G4109" s="120">
        <f t="shared" si="1526"/>
        <v>24304</v>
      </c>
      <c r="H4109" s="245">
        <f t="shared" si="1527"/>
        <v>1</v>
      </c>
      <c r="I4109" s="121">
        <f t="shared" si="1528"/>
        <v>1</v>
      </c>
      <c r="J4109" s="121">
        <f t="shared" si="1529"/>
        <v>1</v>
      </c>
      <c r="K4109" s="120">
        <f t="shared" si="1530"/>
        <v>0</v>
      </c>
      <c r="L4109" s="120">
        <f t="shared" si="1531"/>
        <v>0</v>
      </c>
      <c r="M4109" s="246">
        <f t="shared" si="1532"/>
        <v>0</v>
      </c>
      <c r="N4109" s="121">
        <f t="shared" si="1533"/>
        <v>1</v>
      </c>
      <c r="O4109" s="246">
        <f t="shared" si="1534"/>
        <v>0.82701312910284464</v>
      </c>
      <c r="P4109" s="121">
        <f t="shared" si="1535"/>
        <v>0</v>
      </c>
      <c r="Q4109" s="121">
        <f t="shared" si="1536"/>
        <v>0</v>
      </c>
      <c r="R4109" s="121">
        <f t="shared" si="1537"/>
        <v>0</v>
      </c>
      <c r="S4109" s="121" t="str">
        <f t="shared" si="1538"/>
        <v/>
      </c>
      <c r="T4109" s="121" t="str">
        <f t="shared" si="1539"/>
        <v/>
      </c>
      <c r="U4109" s="121">
        <f t="shared" si="1540"/>
        <v>1</v>
      </c>
    </row>
    <row r="4110" spans="1:21" x14ac:dyDescent="0.3">
      <c r="A4110" s="187">
        <v>6</v>
      </c>
      <c r="B4110" s="242">
        <f t="shared" si="1541"/>
        <v>45809</v>
      </c>
      <c r="C4110" s="243">
        <f t="shared" si="1522"/>
        <v>45838</v>
      </c>
      <c r="D4110" s="120">
        <f t="shared" si="1523"/>
        <v>30</v>
      </c>
      <c r="E4110" s="120">
        <f t="shared" si="1524"/>
        <v>6</v>
      </c>
      <c r="F4110" s="275">
        <f t="shared" si="1525"/>
        <v>45824</v>
      </c>
      <c r="G4110" s="120">
        <f t="shared" si="1526"/>
        <v>24305</v>
      </c>
      <c r="H4110" s="245">
        <f t="shared" si="1527"/>
        <v>1</v>
      </c>
      <c r="I4110" s="121">
        <f t="shared" si="1528"/>
        <v>1</v>
      </c>
      <c r="J4110" s="121">
        <f t="shared" si="1529"/>
        <v>1</v>
      </c>
      <c r="K4110" s="120">
        <f t="shared" si="1530"/>
        <v>0</v>
      </c>
      <c r="L4110" s="120">
        <f t="shared" si="1531"/>
        <v>0</v>
      </c>
      <c r="M4110" s="246">
        <f t="shared" si="1532"/>
        <v>0</v>
      </c>
      <c r="N4110" s="121">
        <f t="shared" si="1533"/>
        <v>1</v>
      </c>
      <c r="O4110" s="246">
        <f t="shared" si="1534"/>
        <v>0.82901531728665201</v>
      </c>
      <c r="P4110" s="121">
        <f t="shared" si="1535"/>
        <v>0</v>
      </c>
      <c r="Q4110" s="121">
        <f t="shared" si="1536"/>
        <v>0</v>
      </c>
      <c r="R4110" s="121">
        <f t="shared" si="1537"/>
        <v>0</v>
      </c>
      <c r="S4110" s="121" t="str">
        <f t="shared" si="1538"/>
        <v/>
      </c>
      <c r="T4110" s="121" t="str">
        <f t="shared" si="1539"/>
        <v/>
      </c>
      <c r="U4110" s="121">
        <f t="shared" si="1540"/>
        <v>1</v>
      </c>
    </row>
    <row r="4111" spans="1:21" x14ac:dyDescent="0.3">
      <c r="A4111" s="187">
        <v>7</v>
      </c>
      <c r="B4111" s="242">
        <f t="shared" si="1541"/>
        <v>45839</v>
      </c>
      <c r="C4111" s="243">
        <f t="shared" si="1522"/>
        <v>45869</v>
      </c>
      <c r="D4111" s="120">
        <f t="shared" si="1523"/>
        <v>31</v>
      </c>
      <c r="E4111" s="120">
        <f t="shared" si="1524"/>
        <v>7</v>
      </c>
      <c r="F4111" s="275">
        <f t="shared" si="1525"/>
        <v>45854.5</v>
      </c>
      <c r="G4111" s="120">
        <f t="shared" si="1526"/>
        <v>24306</v>
      </c>
      <c r="H4111" s="245">
        <f t="shared" si="1527"/>
        <v>1</v>
      </c>
      <c r="I4111" s="121">
        <f t="shared" si="1528"/>
        <v>1</v>
      </c>
      <c r="J4111" s="121">
        <f t="shared" si="1529"/>
        <v>1.04</v>
      </c>
      <c r="K4111" s="120">
        <f t="shared" si="1530"/>
        <v>1</v>
      </c>
      <c r="L4111" s="120">
        <f t="shared" si="1531"/>
        <v>31</v>
      </c>
      <c r="M4111" s="246">
        <f t="shared" si="1532"/>
        <v>1</v>
      </c>
      <c r="N4111" s="121">
        <f t="shared" si="1533"/>
        <v>1.04</v>
      </c>
      <c r="O4111" s="246">
        <f t="shared" si="1534"/>
        <v>0.83101750547045949</v>
      </c>
      <c r="P4111" s="121">
        <f t="shared" si="1535"/>
        <v>8.333333333333337E-2</v>
      </c>
      <c r="Q4111" s="121">
        <f t="shared" si="1536"/>
        <v>0</v>
      </c>
      <c r="R4111" s="121">
        <f t="shared" si="1537"/>
        <v>0</v>
      </c>
      <c r="S4111" s="121" t="str">
        <f t="shared" si="1538"/>
        <v/>
      </c>
      <c r="T4111" s="121" t="str">
        <f t="shared" si="1539"/>
        <v/>
      </c>
      <c r="U4111" s="121">
        <f t="shared" si="1540"/>
        <v>1.04</v>
      </c>
    </row>
    <row r="4112" spans="1:21" x14ac:dyDescent="0.3">
      <c r="A4112" s="187">
        <v>8</v>
      </c>
      <c r="B4112" s="242">
        <f t="shared" si="1541"/>
        <v>45870</v>
      </c>
      <c r="C4112" s="243">
        <f t="shared" si="1522"/>
        <v>45900</v>
      </c>
      <c r="D4112" s="120">
        <f t="shared" si="1523"/>
        <v>31</v>
      </c>
      <c r="E4112" s="120">
        <f t="shared" si="1524"/>
        <v>8</v>
      </c>
      <c r="F4112" s="275">
        <f t="shared" si="1525"/>
        <v>45885.5</v>
      </c>
      <c r="G4112" s="120">
        <f t="shared" si="1526"/>
        <v>24307</v>
      </c>
      <c r="H4112" s="245">
        <f t="shared" si="1527"/>
        <v>1</v>
      </c>
      <c r="I4112" s="121">
        <f t="shared" si="1528"/>
        <v>1.04</v>
      </c>
      <c r="J4112" s="121">
        <f t="shared" si="1529"/>
        <v>1.04</v>
      </c>
      <c r="K4112" s="120">
        <f t="shared" si="1530"/>
        <v>0</v>
      </c>
      <c r="L4112" s="120">
        <f t="shared" si="1531"/>
        <v>0</v>
      </c>
      <c r="M4112" s="246">
        <f t="shared" si="1532"/>
        <v>0</v>
      </c>
      <c r="N4112" s="121">
        <f t="shared" si="1533"/>
        <v>1.04</v>
      </c>
      <c r="O4112" s="246">
        <f t="shared" si="1534"/>
        <v>0.83305251641137856</v>
      </c>
      <c r="P4112" s="121">
        <f t="shared" si="1535"/>
        <v>0.25</v>
      </c>
      <c r="Q4112" s="121">
        <f t="shared" si="1536"/>
        <v>0</v>
      </c>
      <c r="R4112" s="121">
        <f t="shared" si="1537"/>
        <v>0</v>
      </c>
      <c r="S4112" s="121" t="str">
        <f t="shared" si="1538"/>
        <v/>
      </c>
      <c r="T4112" s="121" t="str">
        <f t="shared" si="1539"/>
        <v/>
      </c>
      <c r="U4112" s="121">
        <f t="shared" si="1540"/>
        <v>1.04</v>
      </c>
    </row>
    <row r="4113" spans="1:21" x14ac:dyDescent="0.3">
      <c r="A4113" s="187">
        <v>9</v>
      </c>
      <c r="B4113" s="242">
        <f t="shared" si="1541"/>
        <v>45901</v>
      </c>
      <c r="C4113" s="243">
        <f t="shared" si="1522"/>
        <v>45930</v>
      </c>
      <c r="D4113" s="120">
        <f t="shared" si="1523"/>
        <v>30</v>
      </c>
      <c r="E4113" s="120">
        <f t="shared" si="1524"/>
        <v>9</v>
      </c>
      <c r="F4113" s="275">
        <f t="shared" si="1525"/>
        <v>45916</v>
      </c>
      <c r="G4113" s="120">
        <f t="shared" si="1526"/>
        <v>24308</v>
      </c>
      <c r="H4113" s="245">
        <f t="shared" si="1527"/>
        <v>1</v>
      </c>
      <c r="I4113" s="121">
        <f t="shared" si="1528"/>
        <v>1.04</v>
      </c>
      <c r="J4113" s="121">
        <f t="shared" si="1529"/>
        <v>1.04</v>
      </c>
      <c r="K4113" s="120">
        <f t="shared" si="1530"/>
        <v>0</v>
      </c>
      <c r="L4113" s="120">
        <f t="shared" si="1531"/>
        <v>0</v>
      </c>
      <c r="M4113" s="246">
        <f t="shared" si="1532"/>
        <v>0</v>
      </c>
      <c r="N4113" s="121">
        <f t="shared" si="1533"/>
        <v>1.04</v>
      </c>
      <c r="O4113" s="246">
        <f t="shared" si="1534"/>
        <v>0.83505470459518594</v>
      </c>
      <c r="P4113" s="121">
        <f t="shared" si="1535"/>
        <v>0.41666666666666663</v>
      </c>
      <c r="Q4113" s="121">
        <f t="shared" si="1536"/>
        <v>0</v>
      </c>
      <c r="R4113" s="121">
        <f t="shared" si="1537"/>
        <v>0</v>
      </c>
      <c r="S4113" s="121" t="str">
        <f t="shared" si="1538"/>
        <v/>
      </c>
      <c r="T4113" s="121" t="str">
        <f t="shared" si="1539"/>
        <v/>
      </c>
      <c r="U4113" s="121">
        <f t="shared" si="1540"/>
        <v>1.04</v>
      </c>
    </row>
    <row r="4114" spans="1:21" x14ac:dyDescent="0.3">
      <c r="A4114" s="187">
        <v>10</v>
      </c>
      <c r="B4114" s="242">
        <f t="shared" si="1541"/>
        <v>45931</v>
      </c>
      <c r="C4114" s="243">
        <f t="shared" si="1522"/>
        <v>45961</v>
      </c>
      <c r="D4114" s="120">
        <f t="shared" si="1523"/>
        <v>31</v>
      </c>
      <c r="E4114" s="120">
        <f t="shared" si="1524"/>
        <v>10</v>
      </c>
      <c r="F4114" s="275">
        <f t="shared" si="1525"/>
        <v>45946.5</v>
      </c>
      <c r="G4114" s="120">
        <f t="shared" si="1526"/>
        <v>24309</v>
      </c>
      <c r="H4114" s="245">
        <f t="shared" si="1527"/>
        <v>1</v>
      </c>
      <c r="I4114" s="121">
        <f t="shared" si="1528"/>
        <v>1.04</v>
      </c>
      <c r="J4114" s="121">
        <f t="shared" si="1529"/>
        <v>1.04</v>
      </c>
      <c r="K4114" s="120">
        <f t="shared" si="1530"/>
        <v>0</v>
      </c>
      <c r="L4114" s="120">
        <f t="shared" si="1531"/>
        <v>0</v>
      </c>
      <c r="M4114" s="246">
        <f t="shared" si="1532"/>
        <v>0</v>
      </c>
      <c r="N4114" s="121">
        <f t="shared" si="1533"/>
        <v>1.04</v>
      </c>
      <c r="O4114" s="246">
        <f t="shared" si="1534"/>
        <v>0.83705689277899342</v>
      </c>
      <c r="P4114" s="121">
        <f t="shared" si="1535"/>
        <v>0.58333333333333326</v>
      </c>
      <c r="Q4114" s="121">
        <f t="shared" si="1536"/>
        <v>0</v>
      </c>
      <c r="R4114" s="121">
        <f t="shared" si="1537"/>
        <v>0</v>
      </c>
      <c r="S4114" s="121" t="str">
        <f t="shared" si="1538"/>
        <v/>
      </c>
      <c r="T4114" s="121" t="str">
        <f t="shared" si="1539"/>
        <v/>
      </c>
      <c r="U4114" s="121">
        <f t="shared" si="1540"/>
        <v>1.04</v>
      </c>
    </row>
    <row r="4115" spans="1:21" x14ac:dyDescent="0.3">
      <c r="A4115" s="187">
        <v>11</v>
      </c>
      <c r="B4115" s="242">
        <f t="shared" si="1541"/>
        <v>45962</v>
      </c>
      <c r="C4115" s="243">
        <f t="shared" si="1522"/>
        <v>45991</v>
      </c>
      <c r="D4115" s="120">
        <f t="shared" si="1523"/>
        <v>30</v>
      </c>
      <c r="E4115" s="120">
        <f t="shared" si="1524"/>
        <v>11</v>
      </c>
      <c r="F4115" s="275">
        <f t="shared" si="1525"/>
        <v>45977</v>
      </c>
      <c r="G4115" s="120">
        <f t="shared" si="1526"/>
        <v>24310</v>
      </c>
      <c r="H4115" s="245">
        <f t="shared" si="1527"/>
        <v>1</v>
      </c>
      <c r="I4115" s="121">
        <f t="shared" si="1528"/>
        <v>1.04</v>
      </c>
      <c r="J4115" s="121">
        <f t="shared" si="1529"/>
        <v>1.04</v>
      </c>
      <c r="K4115" s="120">
        <f t="shared" si="1530"/>
        <v>0</v>
      </c>
      <c r="L4115" s="120">
        <f t="shared" si="1531"/>
        <v>0</v>
      </c>
      <c r="M4115" s="246">
        <f t="shared" si="1532"/>
        <v>0</v>
      </c>
      <c r="N4115" s="121">
        <f t="shared" si="1533"/>
        <v>1.04</v>
      </c>
      <c r="O4115" s="246">
        <f t="shared" si="1534"/>
        <v>0.8390590809628008</v>
      </c>
      <c r="P4115" s="121">
        <f t="shared" si="1535"/>
        <v>0.75</v>
      </c>
      <c r="Q4115" s="121">
        <f t="shared" si="1536"/>
        <v>0</v>
      </c>
      <c r="R4115" s="121">
        <f t="shared" si="1537"/>
        <v>0</v>
      </c>
      <c r="S4115" s="121" t="str">
        <f t="shared" si="1538"/>
        <v/>
      </c>
      <c r="T4115" s="121" t="str">
        <f t="shared" si="1539"/>
        <v/>
      </c>
      <c r="U4115" s="121">
        <f t="shared" si="1540"/>
        <v>1.04</v>
      </c>
    </row>
    <row r="4116" spans="1:21" x14ac:dyDescent="0.3">
      <c r="A4116" s="187">
        <v>12</v>
      </c>
      <c r="B4116" s="242">
        <f t="shared" si="1541"/>
        <v>45992</v>
      </c>
      <c r="C4116" s="243">
        <f t="shared" si="1522"/>
        <v>46022</v>
      </c>
      <c r="D4116" s="120">
        <f t="shared" si="1523"/>
        <v>31</v>
      </c>
      <c r="E4116" s="120">
        <f t="shared" si="1524"/>
        <v>12</v>
      </c>
      <c r="F4116" s="275">
        <f t="shared" si="1525"/>
        <v>46007.5</v>
      </c>
      <c r="G4116" s="120">
        <f t="shared" si="1526"/>
        <v>24311</v>
      </c>
      <c r="H4116" s="245">
        <f t="shared" si="1527"/>
        <v>1</v>
      </c>
      <c r="I4116" s="121">
        <f t="shared" si="1528"/>
        <v>1.04</v>
      </c>
      <c r="J4116" s="121">
        <f t="shared" si="1529"/>
        <v>1.04</v>
      </c>
      <c r="K4116" s="120">
        <f t="shared" si="1530"/>
        <v>0</v>
      </c>
      <c r="L4116" s="120">
        <f t="shared" si="1531"/>
        <v>0</v>
      </c>
      <c r="M4116" s="246">
        <f t="shared" si="1532"/>
        <v>0</v>
      </c>
      <c r="N4116" s="121">
        <f t="shared" si="1533"/>
        <v>1.04</v>
      </c>
      <c r="O4116" s="246">
        <f t="shared" si="1534"/>
        <v>0.84106126914660828</v>
      </c>
      <c r="P4116" s="121">
        <f t="shared" si="1535"/>
        <v>0.91666666666666663</v>
      </c>
      <c r="Q4116" s="121">
        <f t="shared" si="1536"/>
        <v>0</v>
      </c>
      <c r="R4116" s="121">
        <f t="shared" si="1537"/>
        <v>0</v>
      </c>
      <c r="S4116" s="121" t="str">
        <f t="shared" si="1538"/>
        <v/>
      </c>
      <c r="T4116" s="121" t="str">
        <f t="shared" si="1539"/>
        <v/>
      </c>
      <c r="U4116" s="121">
        <f t="shared" si="1540"/>
        <v>1.04</v>
      </c>
    </row>
    <row r="4117" spans="1:21" x14ac:dyDescent="0.3">
      <c r="A4117" s="187">
        <v>13</v>
      </c>
      <c r="B4117" s="242">
        <f t="shared" si="1541"/>
        <v>46023</v>
      </c>
      <c r="C4117" s="243">
        <f t="shared" si="1522"/>
        <v>46053</v>
      </c>
      <c r="D4117" s="120">
        <f t="shared" si="1523"/>
        <v>31</v>
      </c>
      <c r="E4117" s="120">
        <f t="shared" si="1524"/>
        <v>1</v>
      </c>
      <c r="F4117" s="275">
        <f t="shared" si="1525"/>
        <v>46038.5</v>
      </c>
      <c r="G4117" s="120">
        <f t="shared" si="1526"/>
        <v>24312</v>
      </c>
      <c r="H4117" s="245">
        <f t="shared" si="1527"/>
        <v>1</v>
      </c>
      <c r="I4117" s="121">
        <f t="shared" si="1528"/>
        <v>1.04</v>
      </c>
      <c r="J4117" s="121">
        <f t="shared" si="1529"/>
        <v>1.04</v>
      </c>
      <c r="K4117" s="120">
        <f t="shared" si="1530"/>
        <v>0</v>
      </c>
      <c r="L4117" s="120">
        <f t="shared" si="1531"/>
        <v>0</v>
      </c>
      <c r="M4117" s="246">
        <f t="shared" si="1532"/>
        <v>0</v>
      </c>
      <c r="N4117" s="121">
        <f t="shared" si="1533"/>
        <v>1.04</v>
      </c>
      <c r="O4117" s="246">
        <f t="shared" si="1534"/>
        <v>0.84309628008752735</v>
      </c>
      <c r="P4117" s="121">
        <f t="shared" si="1535"/>
        <v>1</v>
      </c>
      <c r="Q4117" s="121">
        <f t="shared" si="1536"/>
        <v>0</v>
      </c>
      <c r="R4117" s="121">
        <f t="shared" si="1537"/>
        <v>0</v>
      </c>
      <c r="S4117" s="121" t="str">
        <f t="shared" si="1538"/>
        <v/>
      </c>
      <c r="T4117" s="121" t="str">
        <f t="shared" si="1539"/>
        <v/>
      </c>
      <c r="U4117" s="121">
        <f t="shared" si="1540"/>
        <v>1.04</v>
      </c>
    </row>
    <row r="4118" spans="1:21" x14ac:dyDescent="0.3">
      <c r="A4118" s="187">
        <v>14</v>
      </c>
      <c r="B4118" s="242">
        <f t="shared" si="1541"/>
        <v>46054</v>
      </c>
      <c r="C4118" s="243">
        <f t="shared" si="1522"/>
        <v>46081</v>
      </c>
      <c r="D4118" s="120">
        <f t="shared" si="1523"/>
        <v>28</v>
      </c>
      <c r="E4118" s="120">
        <f t="shared" si="1524"/>
        <v>2</v>
      </c>
      <c r="F4118" s="275">
        <f t="shared" si="1525"/>
        <v>46068</v>
      </c>
      <c r="G4118" s="120">
        <f t="shared" si="1526"/>
        <v>24313</v>
      </c>
      <c r="H4118" s="245">
        <f t="shared" si="1527"/>
        <v>1</v>
      </c>
      <c r="I4118" s="121">
        <f t="shared" si="1528"/>
        <v>1.04</v>
      </c>
      <c r="J4118" s="121">
        <f t="shared" si="1529"/>
        <v>1.04</v>
      </c>
      <c r="K4118" s="120">
        <f t="shared" si="1530"/>
        <v>0</v>
      </c>
      <c r="L4118" s="120">
        <f t="shared" si="1531"/>
        <v>0</v>
      </c>
      <c r="M4118" s="246">
        <f t="shared" si="1532"/>
        <v>0</v>
      </c>
      <c r="N4118" s="121">
        <f t="shared" si="1533"/>
        <v>1.04</v>
      </c>
      <c r="O4118" s="246">
        <f t="shared" si="1534"/>
        <v>0.84503282275711156</v>
      </c>
      <c r="P4118" s="121">
        <f t="shared" si="1535"/>
        <v>1</v>
      </c>
      <c r="Q4118" s="121">
        <f t="shared" si="1536"/>
        <v>0</v>
      </c>
      <c r="R4118" s="121">
        <f t="shared" si="1537"/>
        <v>0</v>
      </c>
      <c r="S4118" s="121" t="str">
        <f t="shared" si="1538"/>
        <v/>
      </c>
      <c r="T4118" s="121" t="str">
        <f t="shared" si="1539"/>
        <v/>
      </c>
      <c r="U4118" s="121">
        <f t="shared" si="1540"/>
        <v>1.04</v>
      </c>
    </row>
    <row r="4119" spans="1:21" x14ac:dyDescent="0.3">
      <c r="A4119" s="187">
        <v>15</v>
      </c>
      <c r="B4119" s="242">
        <f t="shared" si="1541"/>
        <v>46082</v>
      </c>
      <c r="C4119" s="243">
        <f t="shared" si="1522"/>
        <v>46112</v>
      </c>
      <c r="D4119" s="120">
        <f t="shared" si="1523"/>
        <v>31</v>
      </c>
      <c r="E4119" s="120">
        <f t="shared" si="1524"/>
        <v>3</v>
      </c>
      <c r="F4119" s="275">
        <f t="shared" si="1525"/>
        <v>46097.5</v>
      </c>
      <c r="G4119" s="120">
        <f t="shared" si="1526"/>
        <v>24314</v>
      </c>
      <c r="H4119" s="245">
        <f t="shared" si="1527"/>
        <v>1</v>
      </c>
      <c r="I4119" s="121">
        <f t="shared" si="1528"/>
        <v>1.04</v>
      </c>
      <c r="J4119" s="121">
        <f t="shared" si="1529"/>
        <v>1.04</v>
      </c>
      <c r="K4119" s="120">
        <f t="shared" si="1530"/>
        <v>0</v>
      </c>
      <c r="L4119" s="120">
        <f t="shared" si="1531"/>
        <v>0</v>
      </c>
      <c r="M4119" s="246">
        <f t="shared" si="1532"/>
        <v>0</v>
      </c>
      <c r="N4119" s="121">
        <f t="shared" si="1533"/>
        <v>1.04</v>
      </c>
      <c r="O4119" s="246">
        <f t="shared" si="1534"/>
        <v>0.84696936542669587</v>
      </c>
      <c r="P4119" s="121">
        <f t="shared" si="1535"/>
        <v>1</v>
      </c>
      <c r="Q4119" s="121">
        <f t="shared" si="1536"/>
        <v>0</v>
      </c>
      <c r="R4119" s="121">
        <f t="shared" si="1537"/>
        <v>0</v>
      </c>
      <c r="S4119" s="121" t="str">
        <f t="shared" si="1538"/>
        <v/>
      </c>
      <c r="T4119" s="121" t="str">
        <f t="shared" si="1539"/>
        <v/>
      </c>
      <c r="U4119" s="121">
        <f t="shared" si="1540"/>
        <v>1.04</v>
      </c>
    </row>
    <row r="4120" spans="1:21" x14ac:dyDescent="0.3">
      <c r="A4120" s="187">
        <v>16</v>
      </c>
      <c r="B4120" s="242">
        <f t="shared" si="1541"/>
        <v>46113</v>
      </c>
      <c r="C4120" s="243">
        <f t="shared" si="1522"/>
        <v>46142</v>
      </c>
      <c r="D4120" s="120">
        <f t="shared" si="1523"/>
        <v>30</v>
      </c>
      <c r="E4120" s="120">
        <f t="shared" si="1524"/>
        <v>4</v>
      </c>
      <c r="F4120" s="275">
        <f t="shared" si="1525"/>
        <v>46128</v>
      </c>
      <c r="G4120" s="120">
        <f t="shared" si="1526"/>
        <v>24315</v>
      </c>
      <c r="H4120" s="245">
        <f t="shared" si="1527"/>
        <v>1</v>
      </c>
      <c r="I4120" s="121">
        <f t="shared" si="1528"/>
        <v>1.04</v>
      </c>
      <c r="J4120" s="121">
        <f t="shared" si="1529"/>
        <v>1.04</v>
      </c>
      <c r="K4120" s="120">
        <f t="shared" si="1530"/>
        <v>0</v>
      </c>
      <c r="L4120" s="120">
        <f t="shared" si="1531"/>
        <v>0</v>
      </c>
      <c r="M4120" s="246">
        <f t="shared" si="1532"/>
        <v>0</v>
      </c>
      <c r="N4120" s="121">
        <f t="shared" si="1533"/>
        <v>1.04</v>
      </c>
      <c r="O4120" s="246">
        <f t="shared" si="1534"/>
        <v>0.84897155361050325</v>
      </c>
      <c r="P4120" s="121">
        <f t="shared" si="1535"/>
        <v>1</v>
      </c>
      <c r="Q4120" s="121">
        <f t="shared" si="1536"/>
        <v>0</v>
      </c>
      <c r="R4120" s="121">
        <f t="shared" si="1537"/>
        <v>0</v>
      </c>
      <c r="S4120" s="121" t="str">
        <f t="shared" si="1538"/>
        <v/>
      </c>
      <c r="T4120" s="121" t="str">
        <f t="shared" si="1539"/>
        <v/>
      </c>
      <c r="U4120" s="121">
        <f t="shared" si="1540"/>
        <v>1.04</v>
      </c>
    </row>
    <row r="4121" spans="1:21" x14ac:dyDescent="0.3">
      <c r="A4121" s="187">
        <v>17</v>
      </c>
      <c r="B4121" s="242">
        <f t="shared" si="1541"/>
        <v>46143</v>
      </c>
      <c r="C4121" s="243">
        <f t="shared" si="1522"/>
        <v>46173</v>
      </c>
      <c r="D4121" s="120">
        <f t="shared" si="1523"/>
        <v>31</v>
      </c>
      <c r="E4121" s="120">
        <f t="shared" si="1524"/>
        <v>5</v>
      </c>
      <c r="F4121" s="275">
        <f t="shared" si="1525"/>
        <v>46158.5</v>
      </c>
      <c r="G4121" s="120">
        <f t="shared" si="1526"/>
        <v>24316</v>
      </c>
      <c r="H4121" s="245">
        <f t="shared" si="1527"/>
        <v>1</v>
      </c>
      <c r="I4121" s="121">
        <f t="shared" si="1528"/>
        <v>1.04</v>
      </c>
      <c r="J4121" s="121">
        <f t="shared" si="1529"/>
        <v>1.04</v>
      </c>
      <c r="K4121" s="120">
        <f t="shared" si="1530"/>
        <v>0</v>
      </c>
      <c r="L4121" s="120">
        <f t="shared" si="1531"/>
        <v>0</v>
      </c>
      <c r="M4121" s="246">
        <f t="shared" si="1532"/>
        <v>0</v>
      </c>
      <c r="N4121" s="121">
        <f t="shared" si="1533"/>
        <v>1.04</v>
      </c>
      <c r="O4121" s="246">
        <f t="shared" si="1534"/>
        <v>0.85097374179431073</v>
      </c>
      <c r="P4121" s="121">
        <f t="shared" si="1535"/>
        <v>1</v>
      </c>
      <c r="Q4121" s="121">
        <f t="shared" si="1536"/>
        <v>0</v>
      </c>
      <c r="R4121" s="121">
        <f t="shared" si="1537"/>
        <v>0</v>
      </c>
      <c r="S4121" s="121" t="str">
        <f t="shared" si="1538"/>
        <v/>
      </c>
      <c r="T4121" s="121" t="str">
        <f t="shared" si="1539"/>
        <v/>
      </c>
      <c r="U4121" s="121">
        <f t="shared" si="1540"/>
        <v>1.04</v>
      </c>
    </row>
    <row r="4122" spans="1:21" x14ac:dyDescent="0.3">
      <c r="A4122" s="187">
        <v>18</v>
      </c>
      <c r="B4122" s="242">
        <f t="shared" si="1541"/>
        <v>46174</v>
      </c>
      <c r="C4122" s="243">
        <f t="shared" si="1522"/>
        <v>46203</v>
      </c>
      <c r="D4122" s="120">
        <f t="shared" si="1523"/>
        <v>30</v>
      </c>
      <c r="E4122" s="120">
        <f t="shared" si="1524"/>
        <v>6</v>
      </c>
      <c r="F4122" s="275">
        <f t="shared" si="1525"/>
        <v>46189</v>
      </c>
      <c r="G4122" s="120">
        <f t="shared" si="1526"/>
        <v>24317</v>
      </c>
      <c r="H4122" s="245">
        <f t="shared" si="1527"/>
        <v>1</v>
      </c>
      <c r="I4122" s="121">
        <f t="shared" si="1528"/>
        <v>1.04</v>
      </c>
      <c r="J4122" s="121">
        <f t="shared" si="1529"/>
        <v>1.04</v>
      </c>
      <c r="K4122" s="120">
        <f t="shared" si="1530"/>
        <v>0</v>
      </c>
      <c r="L4122" s="120">
        <f t="shared" si="1531"/>
        <v>0</v>
      </c>
      <c r="M4122" s="246">
        <f t="shared" si="1532"/>
        <v>0</v>
      </c>
      <c r="N4122" s="121">
        <f t="shared" si="1533"/>
        <v>1.04</v>
      </c>
      <c r="O4122" s="246">
        <f t="shared" si="1534"/>
        <v>0.85297592997811811</v>
      </c>
      <c r="P4122" s="121">
        <f t="shared" si="1535"/>
        <v>1</v>
      </c>
      <c r="Q4122" s="121">
        <f t="shared" si="1536"/>
        <v>0</v>
      </c>
      <c r="R4122" s="121">
        <f t="shared" si="1537"/>
        <v>0</v>
      </c>
      <c r="S4122" s="121" t="str">
        <f t="shared" si="1538"/>
        <v/>
      </c>
      <c r="T4122" s="121" t="str">
        <f t="shared" si="1539"/>
        <v/>
      </c>
      <c r="U4122" s="121">
        <f t="shared" si="1540"/>
        <v>1.04</v>
      </c>
    </row>
    <row r="4123" spans="1:21" x14ac:dyDescent="0.3">
      <c r="A4123" s="187">
        <v>19</v>
      </c>
      <c r="B4123" s="242">
        <f t="shared" si="1541"/>
        <v>46204</v>
      </c>
      <c r="C4123" s="243">
        <f t="shared" si="1522"/>
        <v>46234</v>
      </c>
      <c r="D4123" s="120">
        <f t="shared" si="1523"/>
        <v>31</v>
      </c>
      <c r="E4123" s="120">
        <f t="shared" si="1524"/>
        <v>7</v>
      </c>
      <c r="F4123" s="275">
        <f t="shared" si="1525"/>
        <v>46219.5</v>
      </c>
      <c r="G4123" s="120">
        <f t="shared" si="1526"/>
        <v>24318</v>
      </c>
      <c r="H4123" s="245">
        <f t="shared" si="1527"/>
        <v>1</v>
      </c>
      <c r="I4123" s="121">
        <f t="shared" si="1528"/>
        <v>1.04</v>
      </c>
      <c r="J4123" s="121">
        <f t="shared" si="1529"/>
        <v>1.1024</v>
      </c>
      <c r="K4123" s="120">
        <f t="shared" si="1530"/>
        <v>1</v>
      </c>
      <c r="L4123" s="120">
        <f t="shared" si="1531"/>
        <v>31</v>
      </c>
      <c r="M4123" s="246">
        <f t="shared" si="1532"/>
        <v>1</v>
      </c>
      <c r="N4123" s="121">
        <f t="shared" si="1533"/>
        <v>1.1024</v>
      </c>
      <c r="O4123" s="246">
        <f t="shared" si="1534"/>
        <v>0.85497811816192559</v>
      </c>
      <c r="P4123" s="121">
        <f t="shared" si="1535"/>
        <v>0.91666666666666663</v>
      </c>
      <c r="Q4123" s="121">
        <f t="shared" si="1536"/>
        <v>8.333333333333337E-2</v>
      </c>
      <c r="R4123" s="121">
        <f t="shared" si="1537"/>
        <v>0</v>
      </c>
      <c r="S4123" s="121" t="str">
        <f t="shared" si="1538"/>
        <v/>
      </c>
      <c r="T4123" s="121" t="str">
        <f t="shared" si="1539"/>
        <v/>
      </c>
      <c r="U4123" s="121">
        <f t="shared" si="1540"/>
        <v>1.1024</v>
      </c>
    </row>
    <row r="4124" spans="1:21" x14ac:dyDescent="0.3">
      <c r="A4124" s="187">
        <v>20</v>
      </c>
      <c r="B4124" s="242">
        <f t="shared" si="1541"/>
        <v>46235</v>
      </c>
      <c r="C4124" s="243">
        <f t="shared" si="1522"/>
        <v>46265</v>
      </c>
      <c r="D4124" s="120">
        <f t="shared" si="1523"/>
        <v>31</v>
      </c>
      <c r="E4124" s="120">
        <f t="shared" si="1524"/>
        <v>8</v>
      </c>
      <c r="F4124" s="275">
        <f t="shared" si="1525"/>
        <v>46250.5</v>
      </c>
      <c r="G4124" s="120">
        <f t="shared" si="1526"/>
        <v>24319</v>
      </c>
      <c r="H4124" s="245">
        <f t="shared" si="1527"/>
        <v>1</v>
      </c>
      <c r="I4124" s="121">
        <f t="shared" si="1528"/>
        <v>1.1024</v>
      </c>
      <c r="J4124" s="121">
        <f t="shared" si="1529"/>
        <v>1.1024</v>
      </c>
      <c r="K4124" s="120">
        <f t="shared" si="1530"/>
        <v>0</v>
      </c>
      <c r="L4124" s="120">
        <f t="shared" si="1531"/>
        <v>0</v>
      </c>
      <c r="M4124" s="246">
        <f t="shared" si="1532"/>
        <v>0</v>
      </c>
      <c r="N4124" s="121">
        <f t="shared" si="1533"/>
        <v>1.1024</v>
      </c>
      <c r="O4124" s="246">
        <f t="shared" si="1534"/>
        <v>0.85701312910284466</v>
      </c>
      <c r="P4124" s="121">
        <f t="shared" si="1535"/>
        <v>0.75</v>
      </c>
      <c r="Q4124" s="121">
        <f t="shared" si="1536"/>
        <v>0.25</v>
      </c>
      <c r="R4124" s="121">
        <f t="shared" si="1537"/>
        <v>0</v>
      </c>
      <c r="S4124" s="121" t="str">
        <f t="shared" si="1538"/>
        <v/>
      </c>
      <c r="T4124" s="121" t="str">
        <f t="shared" si="1539"/>
        <v/>
      </c>
      <c r="U4124" s="121">
        <f t="shared" si="1540"/>
        <v>1.1024</v>
      </c>
    </row>
    <row r="4125" spans="1:21" x14ac:dyDescent="0.3">
      <c r="A4125" s="187">
        <v>21</v>
      </c>
      <c r="B4125" s="242">
        <f t="shared" si="1541"/>
        <v>46266</v>
      </c>
      <c r="C4125" s="243">
        <f t="shared" si="1522"/>
        <v>46295</v>
      </c>
      <c r="D4125" s="120">
        <f t="shared" si="1523"/>
        <v>30</v>
      </c>
      <c r="E4125" s="120">
        <f t="shared" si="1524"/>
        <v>9</v>
      </c>
      <c r="F4125" s="275">
        <f t="shared" si="1525"/>
        <v>46281</v>
      </c>
      <c r="G4125" s="120">
        <f t="shared" si="1526"/>
        <v>24320</v>
      </c>
      <c r="H4125" s="245">
        <f t="shared" si="1527"/>
        <v>1</v>
      </c>
      <c r="I4125" s="121">
        <f t="shared" si="1528"/>
        <v>1.1024</v>
      </c>
      <c r="J4125" s="121">
        <f t="shared" si="1529"/>
        <v>1.1024</v>
      </c>
      <c r="K4125" s="120">
        <f t="shared" si="1530"/>
        <v>0</v>
      </c>
      <c r="L4125" s="120">
        <f t="shared" si="1531"/>
        <v>0</v>
      </c>
      <c r="M4125" s="246">
        <f t="shared" si="1532"/>
        <v>0</v>
      </c>
      <c r="N4125" s="121">
        <f t="shared" si="1533"/>
        <v>1.1024</v>
      </c>
      <c r="O4125" s="246">
        <f t="shared" si="1534"/>
        <v>0.85901531728665204</v>
      </c>
      <c r="P4125" s="121">
        <f t="shared" si="1535"/>
        <v>0.58333333333333337</v>
      </c>
      <c r="Q4125" s="121">
        <f t="shared" si="1536"/>
        <v>0.41666666666666663</v>
      </c>
      <c r="R4125" s="121">
        <f t="shared" si="1537"/>
        <v>0</v>
      </c>
      <c r="S4125" s="121" t="str">
        <f t="shared" si="1538"/>
        <v/>
      </c>
      <c r="T4125" s="121" t="str">
        <f t="shared" si="1539"/>
        <v/>
      </c>
      <c r="U4125" s="121">
        <f t="shared" si="1540"/>
        <v>1.1024</v>
      </c>
    </row>
    <row r="4126" spans="1:21" x14ac:dyDescent="0.3">
      <c r="A4126" s="187">
        <v>22</v>
      </c>
      <c r="B4126" s="242">
        <f t="shared" si="1541"/>
        <v>46296</v>
      </c>
      <c r="C4126" s="243">
        <f t="shared" si="1522"/>
        <v>46326</v>
      </c>
      <c r="D4126" s="120">
        <f t="shared" si="1523"/>
        <v>31</v>
      </c>
      <c r="E4126" s="120">
        <f t="shared" si="1524"/>
        <v>10</v>
      </c>
      <c r="F4126" s="275">
        <f t="shared" si="1525"/>
        <v>46311.5</v>
      </c>
      <c r="G4126" s="120">
        <f t="shared" si="1526"/>
        <v>24321</v>
      </c>
      <c r="H4126" s="245">
        <f t="shared" si="1527"/>
        <v>1</v>
      </c>
      <c r="I4126" s="121">
        <f t="shared" si="1528"/>
        <v>1.1024</v>
      </c>
      <c r="J4126" s="121">
        <f t="shared" si="1529"/>
        <v>1.1024</v>
      </c>
      <c r="K4126" s="120">
        <f t="shared" si="1530"/>
        <v>0</v>
      </c>
      <c r="L4126" s="120">
        <f t="shared" si="1531"/>
        <v>0</v>
      </c>
      <c r="M4126" s="246">
        <f t="shared" si="1532"/>
        <v>0</v>
      </c>
      <c r="N4126" s="121">
        <f t="shared" si="1533"/>
        <v>1.1024</v>
      </c>
      <c r="O4126" s="246">
        <f t="shared" si="1534"/>
        <v>0.86101750547045952</v>
      </c>
      <c r="P4126" s="121">
        <f t="shared" si="1535"/>
        <v>0.41666666666666669</v>
      </c>
      <c r="Q4126" s="121">
        <f t="shared" si="1536"/>
        <v>0.58333333333333326</v>
      </c>
      <c r="R4126" s="121">
        <f t="shared" si="1537"/>
        <v>0</v>
      </c>
      <c r="S4126" s="121" t="str">
        <f t="shared" si="1538"/>
        <v/>
      </c>
      <c r="T4126" s="121" t="str">
        <f t="shared" si="1539"/>
        <v/>
      </c>
      <c r="U4126" s="121">
        <f t="shared" si="1540"/>
        <v>1.1024</v>
      </c>
    </row>
    <row r="4127" spans="1:21" x14ac:dyDescent="0.3">
      <c r="A4127" s="187">
        <v>23</v>
      </c>
      <c r="B4127" s="242">
        <f t="shared" si="1541"/>
        <v>46327</v>
      </c>
      <c r="C4127" s="243">
        <f t="shared" si="1522"/>
        <v>46356</v>
      </c>
      <c r="D4127" s="120">
        <f t="shared" si="1523"/>
        <v>30</v>
      </c>
      <c r="E4127" s="120">
        <f t="shared" si="1524"/>
        <v>11</v>
      </c>
      <c r="F4127" s="275">
        <f t="shared" si="1525"/>
        <v>46342</v>
      </c>
      <c r="G4127" s="120">
        <f t="shared" si="1526"/>
        <v>24322</v>
      </c>
      <c r="H4127" s="245">
        <f t="shared" si="1527"/>
        <v>1</v>
      </c>
      <c r="I4127" s="121">
        <f t="shared" si="1528"/>
        <v>1.1024</v>
      </c>
      <c r="J4127" s="121">
        <f t="shared" si="1529"/>
        <v>1.1024</v>
      </c>
      <c r="K4127" s="120">
        <f t="shared" si="1530"/>
        <v>0</v>
      </c>
      <c r="L4127" s="120">
        <f t="shared" si="1531"/>
        <v>0</v>
      </c>
      <c r="M4127" s="246">
        <f t="shared" si="1532"/>
        <v>0</v>
      </c>
      <c r="N4127" s="121">
        <f t="shared" si="1533"/>
        <v>1.1024</v>
      </c>
      <c r="O4127" s="246">
        <f t="shared" si="1534"/>
        <v>0.8630196936542669</v>
      </c>
      <c r="P4127" s="121">
        <f t="shared" si="1535"/>
        <v>0.25</v>
      </c>
      <c r="Q4127" s="121">
        <f t="shared" si="1536"/>
        <v>0.75</v>
      </c>
      <c r="R4127" s="121">
        <f t="shared" si="1537"/>
        <v>0</v>
      </c>
      <c r="S4127" s="121" t="str">
        <f t="shared" si="1538"/>
        <v/>
      </c>
      <c r="T4127" s="121" t="str">
        <f t="shared" si="1539"/>
        <v/>
      </c>
      <c r="U4127" s="121">
        <f t="shared" si="1540"/>
        <v>1.1024</v>
      </c>
    </row>
    <row r="4128" spans="1:21" x14ac:dyDescent="0.3">
      <c r="A4128" s="187">
        <v>24</v>
      </c>
      <c r="B4128" s="242">
        <f t="shared" si="1541"/>
        <v>46357</v>
      </c>
      <c r="C4128" s="243">
        <f t="shared" si="1522"/>
        <v>46387</v>
      </c>
      <c r="D4128" s="120">
        <f t="shared" si="1523"/>
        <v>31</v>
      </c>
      <c r="E4128" s="120">
        <f t="shared" si="1524"/>
        <v>12</v>
      </c>
      <c r="F4128" s="275">
        <f t="shared" si="1525"/>
        <v>46372.5</v>
      </c>
      <c r="G4128" s="120">
        <f t="shared" si="1526"/>
        <v>24323</v>
      </c>
      <c r="H4128" s="245">
        <f t="shared" si="1527"/>
        <v>1</v>
      </c>
      <c r="I4128" s="121">
        <f t="shared" si="1528"/>
        <v>1.1024</v>
      </c>
      <c r="J4128" s="121">
        <f t="shared" si="1529"/>
        <v>1.1024</v>
      </c>
      <c r="K4128" s="120">
        <f t="shared" si="1530"/>
        <v>0</v>
      </c>
      <c r="L4128" s="120">
        <f t="shared" si="1531"/>
        <v>0</v>
      </c>
      <c r="M4128" s="246">
        <f t="shared" si="1532"/>
        <v>0</v>
      </c>
      <c r="N4128" s="121">
        <f t="shared" si="1533"/>
        <v>1.1024</v>
      </c>
      <c r="O4128" s="246">
        <f t="shared" si="1534"/>
        <v>0.86502188183807438</v>
      </c>
      <c r="P4128" s="121">
        <f t="shared" si="1535"/>
        <v>8.3333333333333329E-2</v>
      </c>
      <c r="Q4128" s="121">
        <f t="shared" si="1536"/>
        <v>0.91666666666666663</v>
      </c>
      <c r="R4128" s="121">
        <f t="shared" si="1537"/>
        <v>0</v>
      </c>
      <c r="S4128" s="121" t="str">
        <f t="shared" si="1538"/>
        <v/>
      </c>
      <c r="T4128" s="121" t="str">
        <f t="shared" si="1539"/>
        <v/>
      </c>
      <c r="U4128" s="121">
        <f t="shared" si="1540"/>
        <v>1.1024</v>
      </c>
    </row>
    <row r="4129" spans="1:21" x14ac:dyDescent="0.3">
      <c r="A4129" s="187">
        <v>25</v>
      </c>
      <c r="B4129" s="242">
        <f t="shared" si="1541"/>
        <v>46388</v>
      </c>
      <c r="C4129" s="243">
        <f t="shared" si="1522"/>
        <v>46418</v>
      </c>
      <c r="D4129" s="120">
        <f t="shared" si="1523"/>
        <v>31</v>
      </c>
      <c r="E4129" s="120">
        <f t="shared" si="1524"/>
        <v>1</v>
      </c>
      <c r="F4129" s="275">
        <f t="shared" si="1525"/>
        <v>46403.5</v>
      </c>
      <c r="G4129" s="120">
        <f t="shared" si="1526"/>
        <v>24324</v>
      </c>
      <c r="H4129" s="245">
        <f t="shared" si="1527"/>
        <v>1</v>
      </c>
      <c r="I4129" s="121">
        <f t="shared" si="1528"/>
        <v>1.1024</v>
      </c>
      <c r="J4129" s="121">
        <f t="shared" si="1529"/>
        <v>1.1024</v>
      </c>
      <c r="K4129" s="120">
        <f t="shared" si="1530"/>
        <v>0</v>
      </c>
      <c r="L4129" s="120">
        <f t="shared" si="1531"/>
        <v>0</v>
      </c>
      <c r="M4129" s="246">
        <f t="shared" si="1532"/>
        <v>0</v>
      </c>
      <c r="N4129" s="121">
        <f t="shared" si="1533"/>
        <v>1.1024</v>
      </c>
      <c r="O4129" s="246">
        <f t="shared" si="1534"/>
        <v>0.86705689277899345</v>
      </c>
      <c r="P4129" s="121">
        <f t="shared" si="1535"/>
        <v>0</v>
      </c>
      <c r="Q4129" s="121">
        <f t="shared" si="1536"/>
        <v>1</v>
      </c>
      <c r="R4129" s="121">
        <f t="shared" si="1537"/>
        <v>0</v>
      </c>
      <c r="S4129" s="121" t="str">
        <f t="shared" si="1538"/>
        <v/>
      </c>
      <c r="T4129" s="121" t="str">
        <f t="shared" si="1539"/>
        <v/>
      </c>
      <c r="U4129" s="121">
        <f t="shared" si="1540"/>
        <v>1.1024</v>
      </c>
    </row>
    <row r="4130" spans="1:21" x14ac:dyDescent="0.3">
      <c r="A4130" s="187">
        <v>26</v>
      </c>
      <c r="B4130" s="242">
        <f t="shared" si="1541"/>
        <v>46419</v>
      </c>
      <c r="C4130" s="243">
        <f t="shared" si="1522"/>
        <v>46446</v>
      </c>
      <c r="D4130" s="120">
        <f t="shared" si="1523"/>
        <v>28</v>
      </c>
      <c r="E4130" s="120">
        <f t="shared" si="1524"/>
        <v>2</v>
      </c>
      <c r="F4130" s="275">
        <f t="shared" si="1525"/>
        <v>46433</v>
      </c>
      <c r="G4130" s="120">
        <f t="shared" si="1526"/>
        <v>24325</v>
      </c>
      <c r="H4130" s="245">
        <f t="shared" si="1527"/>
        <v>1</v>
      </c>
      <c r="I4130" s="121">
        <f t="shared" si="1528"/>
        <v>1.1024</v>
      </c>
      <c r="J4130" s="121">
        <f t="shared" si="1529"/>
        <v>1.1024</v>
      </c>
      <c r="K4130" s="120">
        <f t="shared" si="1530"/>
        <v>0</v>
      </c>
      <c r="L4130" s="120">
        <f t="shared" si="1531"/>
        <v>0</v>
      </c>
      <c r="M4130" s="246">
        <f t="shared" si="1532"/>
        <v>0</v>
      </c>
      <c r="N4130" s="121">
        <f t="shared" si="1533"/>
        <v>1.1024</v>
      </c>
      <c r="O4130" s="246">
        <f t="shared" si="1534"/>
        <v>0.86899343544857766</v>
      </c>
      <c r="P4130" s="121">
        <f t="shared" si="1535"/>
        <v>0</v>
      </c>
      <c r="Q4130" s="121">
        <f t="shared" si="1536"/>
        <v>1</v>
      </c>
      <c r="R4130" s="121">
        <f t="shared" si="1537"/>
        <v>0</v>
      </c>
      <c r="S4130" s="121" t="str">
        <f t="shared" si="1538"/>
        <v/>
      </c>
      <c r="T4130" s="121" t="str">
        <f t="shared" si="1539"/>
        <v/>
      </c>
      <c r="U4130" s="121">
        <f t="shared" si="1540"/>
        <v>1.1024</v>
      </c>
    </row>
    <row r="4131" spans="1:21" x14ac:dyDescent="0.3">
      <c r="A4131" s="187">
        <v>27</v>
      </c>
      <c r="B4131" s="242">
        <f t="shared" si="1541"/>
        <v>46447</v>
      </c>
      <c r="C4131" s="243">
        <f t="shared" si="1522"/>
        <v>46477</v>
      </c>
      <c r="D4131" s="120">
        <f t="shared" si="1523"/>
        <v>31</v>
      </c>
      <c r="E4131" s="120">
        <f t="shared" si="1524"/>
        <v>3</v>
      </c>
      <c r="F4131" s="275">
        <f t="shared" si="1525"/>
        <v>46462.5</v>
      </c>
      <c r="G4131" s="120">
        <f t="shared" si="1526"/>
        <v>24326</v>
      </c>
      <c r="H4131" s="245">
        <f t="shared" si="1527"/>
        <v>1</v>
      </c>
      <c r="I4131" s="121">
        <f t="shared" si="1528"/>
        <v>1.1024</v>
      </c>
      <c r="J4131" s="121">
        <f t="shared" si="1529"/>
        <v>1.1024</v>
      </c>
      <c r="K4131" s="120">
        <f t="shared" si="1530"/>
        <v>0</v>
      </c>
      <c r="L4131" s="120">
        <f t="shared" si="1531"/>
        <v>0</v>
      </c>
      <c r="M4131" s="246">
        <f t="shared" si="1532"/>
        <v>0</v>
      </c>
      <c r="N4131" s="121">
        <f t="shared" si="1533"/>
        <v>1.1024</v>
      </c>
      <c r="O4131" s="246">
        <f t="shared" si="1534"/>
        <v>0.87092997811816197</v>
      </c>
      <c r="P4131" s="121">
        <f t="shared" si="1535"/>
        <v>0</v>
      </c>
      <c r="Q4131" s="121">
        <f t="shared" si="1536"/>
        <v>1</v>
      </c>
      <c r="R4131" s="121">
        <f t="shared" si="1537"/>
        <v>0</v>
      </c>
      <c r="S4131" s="121" t="str">
        <f t="shared" si="1538"/>
        <v/>
      </c>
      <c r="T4131" s="121" t="str">
        <f t="shared" si="1539"/>
        <v/>
      </c>
      <c r="U4131" s="121">
        <f t="shared" si="1540"/>
        <v>1.1024</v>
      </c>
    </row>
    <row r="4132" spans="1:21" x14ac:dyDescent="0.3">
      <c r="A4132" s="187">
        <v>28</v>
      </c>
      <c r="B4132" s="242">
        <f t="shared" si="1541"/>
        <v>46478</v>
      </c>
      <c r="C4132" s="243">
        <f t="shared" si="1522"/>
        <v>46507</v>
      </c>
      <c r="D4132" s="120">
        <f t="shared" si="1523"/>
        <v>30</v>
      </c>
      <c r="E4132" s="120">
        <f t="shared" si="1524"/>
        <v>4</v>
      </c>
      <c r="F4132" s="275">
        <f t="shared" si="1525"/>
        <v>46493</v>
      </c>
      <c r="G4132" s="120">
        <f t="shared" si="1526"/>
        <v>24327</v>
      </c>
      <c r="H4132" s="245">
        <f t="shared" si="1527"/>
        <v>1</v>
      </c>
      <c r="I4132" s="121">
        <f t="shared" si="1528"/>
        <v>1.1024</v>
      </c>
      <c r="J4132" s="121">
        <f t="shared" si="1529"/>
        <v>1.1575200000000001</v>
      </c>
      <c r="K4132" s="120">
        <f t="shared" si="1530"/>
        <v>1</v>
      </c>
      <c r="L4132" s="120">
        <f t="shared" si="1531"/>
        <v>30</v>
      </c>
      <c r="M4132" s="246">
        <f t="shared" si="1532"/>
        <v>1</v>
      </c>
      <c r="N4132" s="121">
        <f t="shared" si="1533"/>
        <v>1.1575200000000001</v>
      </c>
      <c r="O4132" s="246">
        <f t="shared" si="1534"/>
        <v>0.87293216630196935</v>
      </c>
      <c r="P4132" s="121">
        <f t="shared" si="1535"/>
        <v>0</v>
      </c>
      <c r="Q4132" s="121">
        <f t="shared" si="1536"/>
        <v>1</v>
      </c>
      <c r="R4132" s="121">
        <f t="shared" si="1537"/>
        <v>0</v>
      </c>
      <c r="S4132" s="121" t="str">
        <f t="shared" si="1538"/>
        <v/>
      </c>
      <c r="T4132" s="121" t="str">
        <f t="shared" si="1539"/>
        <v/>
      </c>
      <c r="U4132" s="121">
        <f t="shared" si="1540"/>
        <v>1.1575200000000001</v>
      </c>
    </row>
    <row r="4133" spans="1:21" x14ac:dyDescent="0.3">
      <c r="A4133" s="187">
        <v>29</v>
      </c>
      <c r="B4133" s="242">
        <f t="shared" si="1541"/>
        <v>46508</v>
      </c>
      <c r="C4133" s="243">
        <f t="shared" si="1522"/>
        <v>46538</v>
      </c>
      <c r="D4133" s="120">
        <f t="shared" si="1523"/>
        <v>31</v>
      </c>
      <c r="E4133" s="120">
        <f t="shared" si="1524"/>
        <v>5</v>
      </c>
      <c r="F4133" s="275">
        <f t="shared" si="1525"/>
        <v>46523.5</v>
      </c>
      <c r="G4133" s="120">
        <f t="shared" si="1526"/>
        <v>24328</v>
      </c>
      <c r="H4133" s="245">
        <f t="shared" si="1527"/>
        <v>1</v>
      </c>
      <c r="I4133" s="121">
        <f t="shared" si="1528"/>
        <v>1.1575200000000001</v>
      </c>
      <c r="J4133" s="121">
        <f t="shared" si="1529"/>
        <v>1.1575200000000001</v>
      </c>
      <c r="K4133" s="120">
        <f t="shared" si="1530"/>
        <v>0</v>
      </c>
      <c r="L4133" s="120">
        <f t="shared" si="1531"/>
        <v>0</v>
      </c>
      <c r="M4133" s="246">
        <f t="shared" si="1532"/>
        <v>0</v>
      </c>
      <c r="N4133" s="121">
        <f t="shared" si="1533"/>
        <v>1.1575200000000001</v>
      </c>
      <c r="O4133" s="246">
        <f t="shared" si="1534"/>
        <v>0.87493435448577683</v>
      </c>
      <c r="P4133" s="121">
        <f t="shared" si="1535"/>
        <v>0</v>
      </c>
      <c r="Q4133" s="121">
        <f t="shared" si="1536"/>
        <v>1</v>
      </c>
      <c r="R4133" s="121">
        <f t="shared" si="1537"/>
        <v>0</v>
      </c>
      <c r="S4133" s="121" t="str">
        <f t="shared" si="1538"/>
        <v/>
      </c>
      <c r="T4133" s="121" t="str">
        <f t="shared" si="1539"/>
        <v/>
      </c>
      <c r="U4133" s="121">
        <f t="shared" si="1540"/>
        <v>1.1575200000000001</v>
      </c>
    </row>
    <row r="4134" spans="1:21" x14ac:dyDescent="0.3">
      <c r="A4134" s="187">
        <v>30</v>
      </c>
      <c r="B4134" s="242">
        <f t="shared" si="1541"/>
        <v>46539</v>
      </c>
      <c r="C4134" s="243">
        <f t="shared" si="1522"/>
        <v>46568</v>
      </c>
      <c r="D4134" s="120">
        <f t="shared" si="1523"/>
        <v>30</v>
      </c>
      <c r="E4134" s="120">
        <f t="shared" si="1524"/>
        <v>6</v>
      </c>
      <c r="F4134" s="275">
        <f t="shared" si="1525"/>
        <v>46554</v>
      </c>
      <c r="G4134" s="120">
        <f t="shared" si="1526"/>
        <v>24329</v>
      </c>
      <c r="H4134" s="245">
        <f t="shared" si="1527"/>
        <v>1</v>
      </c>
      <c r="I4134" s="121">
        <f t="shared" si="1528"/>
        <v>1.1575200000000001</v>
      </c>
      <c r="J4134" s="121">
        <f t="shared" si="1529"/>
        <v>1.1575200000000001</v>
      </c>
      <c r="K4134" s="120">
        <f t="shared" si="1530"/>
        <v>0</v>
      </c>
      <c r="L4134" s="120">
        <f t="shared" si="1531"/>
        <v>0</v>
      </c>
      <c r="M4134" s="246">
        <f t="shared" si="1532"/>
        <v>0</v>
      </c>
      <c r="N4134" s="121">
        <f t="shared" si="1533"/>
        <v>1.1575200000000001</v>
      </c>
      <c r="O4134" s="246">
        <f t="shared" si="1534"/>
        <v>0.87693654266958421</v>
      </c>
      <c r="P4134" s="121">
        <f t="shared" si="1535"/>
        <v>0</v>
      </c>
      <c r="Q4134" s="121">
        <f t="shared" si="1536"/>
        <v>1</v>
      </c>
      <c r="R4134" s="121">
        <f t="shared" si="1537"/>
        <v>0</v>
      </c>
      <c r="S4134" s="121" t="str">
        <f t="shared" si="1538"/>
        <v/>
      </c>
      <c r="T4134" s="121" t="str">
        <f t="shared" si="1539"/>
        <v/>
      </c>
      <c r="U4134" s="121">
        <f t="shared" si="1540"/>
        <v>1.1575200000000001</v>
      </c>
    </row>
    <row r="4135" spans="1:21" x14ac:dyDescent="0.3">
      <c r="A4135" s="187">
        <v>31</v>
      </c>
      <c r="B4135" s="242">
        <f t="shared" si="1541"/>
        <v>46569</v>
      </c>
      <c r="C4135" s="243">
        <f t="shared" si="1522"/>
        <v>46599</v>
      </c>
      <c r="D4135" s="120">
        <f t="shared" si="1523"/>
        <v>31</v>
      </c>
      <c r="E4135" s="120">
        <f t="shared" si="1524"/>
        <v>7</v>
      </c>
      <c r="F4135" s="275">
        <f t="shared" si="1525"/>
        <v>46584.5</v>
      </c>
      <c r="G4135" s="120">
        <f t="shared" si="1526"/>
        <v>24330</v>
      </c>
      <c r="H4135" s="245">
        <f t="shared" si="1527"/>
        <v>1</v>
      </c>
      <c r="I4135" s="121">
        <f t="shared" si="1528"/>
        <v>1.1575200000000001</v>
      </c>
      <c r="J4135" s="121">
        <f t="shared" si="1529"/>
        <v>1.1575200000000001</v>
      </c>
      <c r="K4135" s="120">
        <f t="shared" si="1530"/>
        <v>0</v>
      </c>
      <c r="L4135" s="120">
        <f t="shared" si="1531"/>
        <v>0</v>
      </c>
      <c r="M4135" s="246">
        <f t="shared" si="1532"/>
        <v>0</v>
      </c>
      <c r="N4135" s="121">
        <f t="shared" si="1533"/>
        <v>1.1575200000000001</v>
      </c>
      <c r="O4135" s="246">
        <f t="shared" si="1534"/>
        <v>0.87893873085339169</v>
      </c>
      <c r="P4135" s="121">
        <f t="shared" si="1535"/>
        <v>0</v>
      </c>
      <c r="Q4135" s="121">
        <f t="shared" si="1536"/>
        <v>0.91666666666666663</v>
      </c>
      <c r="R4135" s="121">
        <f t="shared" si="1537"/>
        <v>8.333333333333337E-2</v>
      </c>
      <c r="S4135" s="121" t="str">
        <f t="shared" si="1538"/>
        <v/>
      </c>
      <c r="T4135" s="121" t="str">
        <f t="shared" si="1539"/>
        <v/>
      </c>
      <c r="U4135" s="121">
        <f t="shared" si="1540"/>
        <v>1.1575200000000001</v>
      </c>
    </row>
    <row r="4136" spans="1:21" x14ac:dyDescent="0.3">
      <c r="A4136" s="187">
        <v>32</v>
      </c>
      <c r="B4136" s="242">
        <f t="shared" si="1541"/>
        <v>46600</v>
      </c>
      <c r="C4136" s="243">
        <f t="shared" si="1522"/>
        <v>46630</v>
      </c>
      <c r="D4136" s="120">
        <f t="shared" si="1523"/>
        <v>31</v>
      </c>
      <c r="E4136" s="120">
        <f t="shared" si="1524"/>
        <v>8</v>
      </c>
      <c r="F4136" s="275">
        <f t="shared" si="1525"/>
        <v>46615.5</v>
      </c>
      <c r="G4136" s="120">
        <f t="shared" si="1526"/>
        <v>24331</v>
      </c>
      <c r="H4136" s="245">
        <f t="shared" si="1527"/>
        <v>1</v>
      </c>
      <c r="I4136" s="121">
        <f t="shared" si="1528"/>
        <v>1.1575200000000001</v>
      </c>
      <c r="J4136" s="121">
        <f t="shared" si="1529"/>
        <v>1.1575200000000001</v>
      </c>
      <c r="K4136" s="120">
        <f t="shared" si="1530"/>
        <v>0</v>
      </c>
      <c r="L4136" s="120">
        <f t="shared" si="1531"/>
        <v>0</v>
      </c>
      <c r="M4136" s="246">
        <f t="shared" si="1532"/>
        <v>0</v>
      </c>
      <c r="N4136" s="121">
        <f t="shared" si="1533"/>
        <v>1.1575200000000001</v>
      </c>
      <c r="O4136" s="246">
        <f t="shared" si="1534"/>
        <v>0.88097374179431076</v>
      </c>
      <c r="P4136" s="121">
        <f t="shared" si="1535"/>
        <v>0</v>
      </c>
      <c r="Q4136" s="121">
        <f t="shared" si="1536"/>
        <v>0.75</v>
      </c>
      <c r="R4136" s="121">
        <f t="shared" si="1537"/>
        <v>0.25</v>
      </c>
      <c r="S4136" s="121" t="str">
        <f t="shared" si="1538"/>
        <v/>
      </c>
      <c r="T4136" s="121" t="str">
        <f t="shared" si="1539"/>
        <v/>
      </c>
      <c r="U4136" s="121">
        <f t="shared" si="1540"/>
        <v>1.1575200000000001</v>
      </c>
    </row>
    <row r="4137" spans="1:21" x14ac:dyDescent="0.3">
      <c r="A4137" s="187">
        <v>33</v>
      </c>
      <c r="B4137" s="242">
        <f t="shared" si="1541"/>
        <v>46631</v>
      </c>
      <c r="C4137" s="243">
        <f t="shared" si="1522"/>
        <v>46660</v>
      </c>
      <c r="D4137" s="120">
        <f t="shared" si="1523"/>
        <v>30</v>
      </c>
      <c r="E4137" s="120">
        <f t="shared" si="1524"/>
        <v>9</v>
      </c>
      <c r="F4137" s="275">
        <f t="shared" si="1525"/>
        <v>46646</v>
      </c>
      <c r="G4137" s="120">
        <f t="shared" si="1526"/>
        <v>24332</v>
      </c>
      <c r="H4137" s="245">
        <f t="shared" si="1527"/>
        <v>1</v>
      </c>
      <c r="I4137" s="121">
        <f t="shared" si="1528"/>
        <v>1.1575200000000001</v>
      </c>
      <c r="J4137" s="121">
        <f t="shared" si="1529"/>
        <v>1.1575200000000001</v>
      </c>
      <c r="K4137" s="120">
        <f t="shared" si="1530"/>
        <v>0</v>
      </c>
      <c r="L4137" s="120">
        <f t="shared" si="1531"/>
        <v>0</v>
      </c>
      <c r="M4137" s="246">
        <f t="shared" si="1532"/>
        <v>0</v>
      </c>
      <c r="N4137" s="121">
        <f t="shared" si="1533"/>
        <v>1.1575200000000001</v>
      </c>
      <c r="O4137" s="246">
        <f t="shared" si="1534"/>
        <v>0.88297592997811813</v>
      </c>
      <c r="P4137" s="121">
        <f t="shared" si="1535"/>
        <v>0</v>
      </c>
      <c r="Q4137" s="121">
        <f t="shared" si="1536"/>
        <v>0.58333333333333337</v>
      </c>
      <c r="R4137" s="121">
        <f t="shared" si="1537"/>
        <v>0.41666666666666663</v>
      </c>
      <c r="S4137" s="121" t="str">
        <f t="shared" si="1538"/>
        <v/>
      </c>
      <c r="T4137" s="121" t="str">
        <f t="shared" si="1539"/>
        <v/>
      </c>
      <c r="U4137" s="121">
        <f t="shared" si="1540"/>
        <v>1.1575200000000001</v>
      </c>
    </row>
    <row r="4138" spans="1:21" x14ac:dyDescent="0.3">
      <c r="A4138" s="187">
        <v>34</v>
      </c>
      <c r="B4138" s="242">
        <f t="shared" si="1541"/>
        <v>46661</v>
      </c>
      <c r="C4138" s="243">
        <f t="shared" si="1522"/>
        <v>46691</v>
      </c>
      <c r="D4138" s="120">
        <f t="shared" si="1523"/>
        <v>31</v>
      </c>
      <c r="E4138" s="120">
        <f t="shared" si="1524"/>
        <v>10</v>
      </c>
      <c r="F4138" s="275">
        <f t="shared" si="1525"/>
        <v>46676.5</v>
      </c>
      <c r="G4138" s="120">
        <f t="shared" si="1526"/>
        <v>24333</v>
      </c>
      <c r="H4138" s="245">
        <f t="shared" si="1527"/>
        <v>1</v>
      </c>
      <c r="I4138" s="121">
        <f t="shared" si="1528"/>
        <v>1.1575200000000001</v>
      </c>
      <c r="J4138" s="121">
        <f t="shared" si="1529"/>
        <v>1.1575200000000001</v>
      </c>
      <c r="K4138" s="120">
        <f t="shared" si="1530"/>
        <v>0</v>
      </c>
      <c r="L4138" s="120">
        <f t="shared" si="1531"/>
        <v>0</v>
      </c>
      <c r="M4138" s="246">
        <f t="shared" si="1532"/>
        <v>0</v>
      </c>
      <c r="N4138" s="121">
        <f t="shared" si="1533"/>
        <v>1.1575200000000001</v>
      </c>
      <c r="O4138" s="246">
        <f t="shared" si="1534"/>
        <v>0.88497811816192562</v>
      </c>
      <c r="P4138" s="121">
        <f t="shared" si="1535"/>
        <v>0</v>
      </c>
      <c r="Q4138" s="121">
        <f t="shared" si="1536"/>
        <v>0.41666666666666669</v>
      </c>
      <c r="R4138" s="121">
        <f t="shared" si="1537"/>
        <v>0.58333333333333326</v>
      </c>
      <c r="S4138" s="121" t="str">
        <f t="shared" si="1538"/>
        <v/>
      </c>
      <c r="T4138" s="121" t="str">
        <f t="shared" si="1539"/>
        <v/>
      </c>
      <c r="U4138" s="121">
        <f t="shared" si="1540"/>
        <v>1.1575200000000001</v>
      </c>
    </row>
    <row r="4139" spans="1:21" x14ac:dyDescent="0.3">
      <c r="A4139" s="187">
        <v>35</v>
      </c>
      <c r="B4139" s="242">
        <f t="shared" si="1541"/>
        <v>46692</v>
      </c>
      <c r="C4139" s="243">
        <f t="shared" si="1522"/>
        <v>46721</v>
      </c>
      <c r="D4139" s="120">
        <f t="shared" si="1523"/>
        <v>30</v>
      </c>
      <c r="E4139" s="120">
        <f t="shared" si="1524"/>
        <v>11</v>
      </c>
      <c r="F4139" s="275">
        <f t="shared" si="1525"/>
        <v>46707</v>
      </c>
      <c r="G4139" s="120">
        <f t="shared" si="1526"/>
        <v>24334</v>
      </c>
      <c r="H4139" s="245">
        <f t="shared" si="1527"/>
        <v>1</v>
      </c>
      <c r="I4139" s="121">
        <f t="shared" si="1528"/>
        <v>1.1575200000000001</v>
      </c>
      <c r="J4139" s="121">
        <f t="shared" si="1529"/>
        <v>1.1575200000000001</v>
      </c>
      <c r="K4139" s="120">
        <f t="shared" si="1530"/>
        <v>0</v>
      </c>
      <c r="L4139" s="120">
        <f t="shared" si="1531"/>
        <v>0</v>
      </c>
      <c r="M4139" s="246">
        <f t="shared" si="1532"/>
        <v>0</v>
      </c>
      <c r="N4139" s="121">
        <f t="shared" si="1533"/>
        <v>1.1575200000000001</v>
      </c>
      <c r="O4139" s="246">
        <f t="shared" si="1534"/>
        <v>0.8869803063457331</v>
      </c>
      <c r="P4139" s="121">
        <f t="shared" si="1535"/>
        <v>0</v>
      </c>
      <c r="Q4139" s="121">
        <f t="shared" si="1536"/>
        <v>0.25</v>
      </c>
      <c r="R4139" s="121">
        <f t="shared" si="1537"/>
        <v>0.75</v>
      </c>
      <c r="S4139" s="121" t="str">
        <f t="shared" si="1538"/>
        <v/>
      </c>
      <c r="T4139" s="121" t="str">
        <f t="shared" si="1539"/>
        <v/>
      </c>
      <c r="U4139" s="121">
        <f t="shared" si="1540"/>
        <v>1.1575200000000001</v>
      </c>
    </row>
    <row r="4140" spans="1:21" x14ac:dyDescent="0.3">
      <c r="A4140" s="187">
        <v>36</v>
      </c>
      <c r="B4140" s="242">
        <f t="shared" si="1541"/>
        <v>46722</v>
      </c>
      <c r="C4140" s="243">
        <f t="shared" si="1522"/>
        <v>46752</v>
      </c>
      <c r="D4140" s="120">
        <f t="shared" si="1523"/>
        <v>31</v>
      </c>
      <c r="E4140" s="120">
        <f t="shared" si="1524"/>
        <v>12</v>
      </c>
      <c r="F4140" s="275">
        <f t="shared" si="1525"/>
        <v>46737.5</v>
      </c>
      <c r="G4140" s="120">
        <f t="shared" si="1526"/>
        <v>24335</v>
      </c>
      <c r="H4140" s="245">
        <f t="shared" si="1527"/>
        <v>1</v>
      </c>
      <c r="I4140" s="121">
        <f t="shared" si="1528"/>
        <v>1.1575200000000001</v>
      </c>
      <c r="J4140" s="121">
        <f t="shared" si="1529"/>
        <v>1.1575200000000001</v>
      </c>
      <c r="K4140" s="120">
        <f t="shared" si="1530"/>
        <v>0</v>
      </c>
      <c r="L4140" s="120">
        <f t="shared" si="1531"/>
        <v>0</v>
      </c>
      <c r="M4140" s="246">
        <f t="shared" si="1532"/>
        <v>0</v>
      </c>
      <c r="N4140" s="121">
        <f t="shared" si="1533"/>
        <v>1.1575200000000001</v>
      </c>
      <c r="O4140" s="246">
        <f t="shared" si="1534"/>
        <v>0.88898249452954048</v>
      </c>
      <c r="P4140" s="121">
        <f t="shared" si="1535"/>
        <v>0</v>
      </c>
      <c r="Q4140" s="121">
        <f t="shared" si="1536"/>
        <v>8.3333333333333329E-2</v>
      </c>
      <c r="R4140" s="121">
        <f t="shared" si="1537"/>
        <v>0.91666666666666663</v>
      </c>
      <c r="S4140" s="121" t="str">
        <f t="shared" si="1538"/>
        <v/>
      </c>
      <c r="T4140" s="121" t="str">
        <f t="shared" si="1539"/>
        <v/>
      </c>
      <c r="U4140" s="121">
        <f t="shared" si="1540"/>
        <v>1.1575200000000001</v>
      </c>
    </row>
    <row r="4141" spans="1:21" x14ac:dyDescent="0.3">
      <c r="A4141" s="187">
        <v>37</v>
      </c>
      <c r="B4141" s="242">
        <f t="shared" si="1541"/>
        <v>46753</v>
      </c>
      <c r="C4141" s="243">
        <f t="shared" si="1522"/>
        <v>46783</v>
      </c>
      <c r="D4141" s="120">
        <f t="shared" si="1523"/>
        <v>31</v>
      </c>
      <c r="E4141" s="120">
        <f t="shared" si="1524"/>
        <v>1</v>
      </c>
      <c r="F4141" s="275">
        <f t="shared" si="1525"/>
        <v>46768.5</v>
      </c>
      <c r="G4141" s="120">
        <f t="shared" si="1526"/>
        <v>24336</v>
      </c>
      <c r="H4141" s="245">
        <f t="shared" si="1527"/>
        <v>1</v>
      </c>
      <c r="I4141" s="121">
        <f t="shared" si="1528"/>
        <v>1.1575200000000001</v>
      </c>
      <c r="J4141" s="121">
        <f t="shared" si="1529"/>
        <v>1.1575200000000001</v>
      </c>
      <c r="K4141" s="120">
        <f t="shared" si="1530"/>
        <v>0</v>
      </c>
      <c r="L4141" s="120">
        <f t="shared" si="1531"/>
        <v>0</v>
      </c>
      <c r="M4141" s="246">
        <f t="shared" si="1532"/>
        <v>0</v>
      </c>
      <c r="N4141" s="121">
        <f t="shared" si="1533"/>
        <v>1.1575200000000001</v>
      </c>
      <c r="O4141" s="246">
        <f t="shared" si="1534"/>
        <v>0.89</v>
      </c>
      <c r="P4141" s="121">
        <f t="shared" si="1535"/>
        <v>0</v>
      </c>
      <c r="Q4141" s="121">
        <f t="shared" si="1536"/>
        <v>0</v>
      </c>
      <c r="R4141" s="121">
        <f t="shared" si="1537"/>
        <v>1</v>
      </c>
      <c r="S4141" s="121" t="str">
        <f t="shared" si="1538"/>
        <v/>
      </c>
      <c r="T4141" s="121" t="str">
        <f t="shared" si="1539"/>
        <v/>
      </c>
      <c r="U4141" s="121">
        <f t="shared" si="1540"/>
        <v>1.1575200000000001</v>
      </c>
    </row>
    <row r="4142" spans="1:21" x14ac:dyDescent="0.3">
      <c r="A4142" s="187">
        <v>38</v>
      </c>
      <c r="B4142" s="242">
        <f t="shared" si="1541"/>
        <v>46784</v>
      </c>
      <c r="C4142" s="243">
        <f t="shared" si="1522"/>
        <v>46812</v>
      </c>
      <c r="D4142" s="120">
        <f t="shared" si="1523"/>
        <v>29</v>
      </c>
      <c r="E4142" s="120">
        <f t="shared" si="1524"/>
        <v>2</v>
      </c>
      <c r="F4142" s="275">
        <f t="shared" si="1525"/>
        <v>46798.5</v>
      </c>
      <c r="G4142" s="120">
        <f t="shared" si="1526"/>
        <v>24337</v>
      </c>
      <c r="H4142" s="245">
        <f t="shared" si="1527"/>
        <v>1</v>
      </c>
      <c r="I4142" s="121">
        <f t="shared" si="1528"/>
        <v>1.1575200000000001</v>
      </c>
      <c r="J4142" s="121">
        <f t="shared" si="1529"/>
        <v>1.1575200000000001</v>
      </c>
      <c r="K4142" s="120">
        <f t="shared" si="1530"/>
        <v>0</v>
      </c>
      <c r="L4142" s="120">
        <f t="shared" si="1531"/>
        <v>0</v>
      </c>
      <c r="M4142" s="246">
        <f t="shared" si="1532"/>
        <v>0</v>
      </c>
      <c r="N4142" s="121">
        <f t="shared" si="1533"/>
        <v>1.1575200000000001</v>
      </c>
      <c r="O4142" s="246">
        <f t="shared" si="1534"/>
        <v>0.89</v>
      </c>
      <c r="P4142" s="121">
        <f t="shared" si="1535"/>
        <v>0</v>
      </c>
      <c r="Q4142" s="121">
        <f t="shared" si="1536"/>
        <v>0</v>
      </c>
      <c r="R4142" s="121">
        <f t="shared" si="1537"/>
        <v>1</v>
      </c>
      <c r="S4142" s="121" t="str">
        <f t="shared" si="1538"/>
        <v/>
      </c>
      <c r="T4142" s="121" t="str">
        <f t="shared" si="1539"/>
        <v/>
      </c>
      <c r="U4142" s="121">
        <f t="shared" si="1540"/>
        <v>1.1575200000000001</v>
      </c>
    </row>
    <row r="4143" spans="1:21" x14ac:dyDescent="0.3">
      <c r="A4143" s="187">
        <v>39</v>
      </c>
      <c r="B4143" s="242">
        <f t="shared" si="1541"/>
        <v>46813</v>
      </c>
      <c r="C4143" s="243">
        <f t="shared" si="1522"/>
        <v>46843</v>
      </c>
      <c r="D4143" s="120">
        <f t="shared" si="1523"/>
        <v>31</v>
      </c>
      <c r="E4143" s="120">
        <f t="shared" si="1524"/>
        <v>3</v>
      </c>
      <c r="F4143" s="275">
        <f t="shared" si="1525"/>
        <v>46828.5</v>
      </c>
      <c r="G4143" s="120">
        <f t="shared" si="1526"/>
        <v>24338</v>
      </c>
      <c r="H4143" s="245">
        <f t="shared" si="1527"/>
        <v>1</v>
      </c>
      <c r="I4143" s="121">
        <f t="shared" si="1528"/>
        <v>1.1575200000000001</v>
      </c>
      <c r="J4143" s="121">
        <f t="shared" si="1529"/>
        <v>1.1575200000000001</v>
      </c>
      <c r="K4143" s="120">
        <f t="shared" si="1530"/>
        <v>0</v>
      </c>
      <c r="L4143" s="120">
        <f t="shared" si="1531"/>
        <v>0</v>
      </c>
      <c r="M4143" s="246">
        <f t="shared" si="1532"/>
        <v>0</v>
      </c>
      <c r="N4143" s="121">
        <f t="shared" si="1533"/>
        <v>1.1575200000000001</v>
      </c>
      <c r="O4143" s="246">
        <f t="shared" si="1534"/>
        <v>0.89</v>
      </c>
      <c r="P4143" s="121">
        <f t="shared" si="1535"/>
        <v>0</v>
      </c>
      <c r="Q4143" s="121">
        <f t="shared" si="1536"/>
        <v>0</v>
      </c>
      <c r="R4143" s="121">
        <f t="shared" si="1537"/>
        <v>1</v>
      </c>
      <c r="S4143" s="121" t="str">
        <f t="shared" si="1538"/>
        <v/>
      </c>
      <c r="T4143" s="121" t="str">
        <f t="shared" si="1539"/>
        <v/>
      </c>
      <c r="U4143" s="121">
        <f t="shared" si="1540"/>
        <v>1.1575200000000001</v>
      </c>
    </row>
    <row r="4144" spans="1:21" x14ac:dyDescent="0.3">
      <c r="A4144" s="187">
        <v>40</v>
      </c>
      <c r="B4144" s="242">
        <f t="shared" si="1541"/>
        <v>46844</v>
      </c>
      <c r="C4144" s="243">
        <f t="shared" si="1522"/>
        <v>46873</v>
      </c>
      <c r="D4144" s="120">
        <f t="shared" si="1523"/>
        <v>30</v>
      </c>
      <c r="E4144" s="120">
        <f t="shared" si="1524"/>
        <v>4</v>
      </c>
      <c r="F4144" s="275">
        <f t="shared" si="1525"/>
        <v>46859</v>
      </c>
      <c r="G4144" s="120">
        <f t="shared" si="1526"/>
        <v>24339</v>
      </c>
      <c r="H4144" s="245">
        <f t="shared" si="1527"/>
        <v>1</v>
      </c>
      <c r="I4144" s="121">
        <f t="shared" si="1528"/>
        <v>1.1575200000000001</v>
      </c>
      <c r="J4144" s="121">
        <f t="shared" si="1529"/>
        <v>1.1575200000000001</v>
      </c>
      <c r="K4144" s="120">
        <f t="shared" si="1530"/>
        <v>0</v>
      </c>
      <c r="L4144" s="120">
        <f t="shared" si="1531"/>
        <v>0</v>
      </c>
      <c r="M4144" s="246">
        <f t="shared" si="1532"/>
        <v>0</v>
      </c>
      <c r="N4144" s="121">
        <f t="shared" si="1533"/>
        <v>1.1575200000000001</v>
      </c>
      <c r="O4144" s="246">
        <f t="shared" si="1534"/>
        <v>0.89</v>
      </c>
      <c r="P4144" s="121">
        <f t="shared" si="1535"/>
        <v>0</v>
      </c>
      <c r="Q4144" s="121">
        <f t="shared" si="1536"/>
        <v>0</v>
      </c>
      <c r="R4144" s="121">
        <f t="shared" si="1537"/>
        <v>1</v>
      </c>
      <c r="S4144" s="121" t="str">
        <f t="shared" si="1538"/>
        <v/>
      </c>
      <c r="T4144" s="121" t="str">
        <f t="shared" si="1539"/>
        <v/>
      </c>
      <c r="U4144" s="121">
        <f t="shared" si="1540"/>
        <v>1.1575200000000001</v>
      </c>
    </row>
    <row r="4145" spans="1:21" x14ac:dyDescent="0.3">
      <c r="A4145" s="187">
        <v>41</v>
      </c>
      <c r="B4145" s="242">
        <f t="shared" si="1541"/>
        <v>46874</v>
      </c>
      <c r="C4145" s="243">
        <f t="shared" si="1522"/>
        <v>46904</v>
      </c>
      <c r="D4145" s="120">
        <f t="shared" si="1523"/>
        <v>31</v>
      </c>
      <c r="E4145" s="120">
        <f t="shared" si="1524"/>
        <v>5</v>
      </c>
      <c r="F4145" s="275">
        <f t="shared" si="1525"/>
        <v>46889.5</v>
      </c>
      <c r="G4145" s="120">
        <f t="shared" si="1526"/>
        <v>24340</v>
      </c>
      <c r="H4145" s="245">
        <f t="shared" si="1527"/>
        <v>1</v>
      </c>
      <c r="I4145" s="121">
        <f t="shared" si="1528"/>
        <v>1.1575200000000001</v>
      </c>
      <c r="J4145" s="121">
        <f t="shared" si="1529"/>
        <v>1.1575200000000001</v>
      </c>
      <c r="K4145" s="120">
        <f t="shared" si="1530"/>
        <v>0</v>
      </c>
      <c r="L4145" s="120">
        <f t="shared" si="1531"/>
        <v>0</v>
      </c>
      <c r="M4145" s="246">
        <f t="shared" si="1532"/>
        <v>0</v>
      </c>
      <c r="N4145" s="121">
        <f t="shared" si="1533"/>
        <v>1.1575200000000001</v>
      </c>
      <c r="O4145" s="246">
        <f t="shared" si="1534"/>
        <v>0.89</v>
      </c>
      <c r="P4145" s="121">
        <f t="shared" si="1535"/>
        <v>0</v>
      </c>
      <c r="Q4145" s="121">
        <f t="shared" si="1536"/>
        <v>0</v>
      </c>
      <c r="R4145" s="121">
        <f t="shared" si="1537"/>
        <v>1</v>
      </c>
      <c r="S4145" s="121" t="str">
        <f t="shared" si="1538"/>
        <v/>
      </c>
      <c r="T4145" s="121" t="str">
        <f t="shared" si="1539"/>
        <v/>
      </c>
      <c r="U4145" s="121">
        <f t="shared" si="1540"/>
        <v>1.1575200000000001</v>
      </c>
    </row>
    <row r="4146" spans="1:21" x14ac:dyDescent="0.3">
      <c r="A4146" s="187">
        <v>42</v>
      </c>
      <c r="B4146" s="242">
        <f t="shared" si="1541"/>
        <v>46905</v>
      </c>
      <c r="C4146" s="243">
        <f t="shared" si="1522"/>
        <v>46934</v>
      </c>
      <c r="D4146" s="120">
        <f t="shared" si="1523"/>
        <v>30</v>
      </c>
      <c r="E4146" s="120">
        <f t="shared" si="1524"/>
        <v>6</v>
      </c>
      <c r="F4146" s="275">
        <f t="shared" si="1525"/>
        <v>46920</v>
      </c>
      <c r="G4146" s="120">
        <f t="shared" si="1526"/>
        <v>24341</v>
      </c>
      <c r="H4146" s="245">
        <f t="shared" si="1527"/>
        <v>1</v>
      </c>
      <c r="I4146" s="121">
        <f t="shared" si="1528"/>
        <v>1.1575200000000001</v>
      </c>
      <c r="J4146" s="121">
        <f t="shared" si="1529"/>
        <v>1.1575200000000001</v>
      </c>
      <c r="K4146" s="120">
        <f t="shared" si="1530"/>
        <v>0</v>
      </c>
      <c r="L4146" s="120">
        <f t="shared" si="1531"/>
        <v>0</v>
      </c>
      <c r="M4146" s="246">
        <f t="shared" si="1532"/>
        <v>0</v>
      </c>
      <c r="N4146" s="121">
        <f t="shared" si="1533"/>
        <v>1.1575200000000001</v>
      </c>
      <c r="O4146" s="246">
        <f t="shared" si="1534"/>
        <v>0.89</v>
      </c>
      <c r="P4146" s="121">
        <f t="shared" si="1535"/>
        <v>0</v>
      </c>
      <c r="Q4146" s="121">
        <f t="shared" si="1536"/>
        <v>0</v>
      </c>
      <c r="R4146" s="121">
        <f t="shared" si="1537"/>
        <v>1</v>
      </c>
      <c r="S4146" s="121" t="str">
        <f t="shared" si="1538"/>
        <v/>
      </c>
      <c r="T4146" s="121" t="str">
        <f t="shared" si="1539"/>
        <v/>
      </c>
      <c r="U4146" s="121">
        <f t="shared" si="1540"/>
        <v>1.1575200000000001</v>
      </c>
    </row>
    <row r="4147" spans="1:21" x14ac:dyDescent="0.3">
      <c r="A4147" s="187">
        <v>43</v>
      </c>
      <c r="B4147" s="242">
        <f t="shared" si="1541"/>
        <v>46935</v>
      </c>
      <c r="C4147" s="243">
        <f t="shared" si="1522"/>
        <v>46965</v>
      </c>
      <c r="D4147" s="120">
        <f t="shared" si="1523"/>
        <v>31</v>
      </c>
      <c r="E4147" s="120">
        <f t="shared" si="1524"/>
        <v>7</v>
      </c>
      <c r="F4147" s="275">
        <f t="shared" si="1525"/>
        <v>46950.5</v>
      </c>
      <c r="G4147" s="120">
        <f t="shared" si="1526"/>
        <v>24342</v>
      </c>
      <c r="H4147" s="245">
        <f t="shared" si="1527"/>
        <v>1</v>
      </c>
      <c r="I4147" s="121">
        <f t="shared" si="1528"/>
        <v>1.1575200000000001</v>
      </c>
      <c r="J4147" s="121">
        <f t="shared" si="1529"/>
        <v>1.1575200000000001</v>
      </c>
      <c r="K4147" s="120">
        <f t="shared" si="1530"/>
        <v>0</v>
      </c>
      <c r="L4147" s="120">
        <f t="shared" si="1531"/>
        <v>0</v>
      </c>
      <c r="M4147" s="246">
        <f t="shared" si="1532"/>
        <v>0</v>
      </c>
      <c r="N4147" s="121">
        <f t="shared" si="1533"/>
        <v>1.1575200000000001</v>
      </c>
      <c r="O4147" s="246">
        <f t="shared" si="1534"/>
        <v>0.89</v>
      </c>
      <c r="P4147" s="121">
        <f t="shared" si="1535"/>
        <v>0</v>
      </c>
      <c r="Q4147" s="121">
        <f t="shared" si="1536"/>
        <v>0</v>
      </c>
      <c r="R4147" s="121">
        <f t="shared" si="1537"/>
        <v>0.91666666666666663</v>
      </c>
      <c r="S4147" s="121" t="str">
        <f t="shared" si="1538"/>
        <v/>
      </c>
      <c r="T4147" s="121" t="str">
        <f t="shared" si="1539"/>
        <v/>
      </c>
      <c r="U4147" s="121">
        <f t="shared" si="1540"/>
        <v>1.1575200000000001</v>
      </c>
    </row>
    <row r="4148" spans="1:21" x14ac:dyDescent="0.3">
      <c r="A4148" s="187">
        <v>44</v>
      </c>
      <c r="B4148" s="242">
        <f t="shared" si="1541"/>
        <v>46966</v>
      </c>
      <c r="C4148" s="243">
        <f t="shared" si="1522"/>
        <v>46996</v>
      </c>
      <c r="D4148" s="120">
        <f t="shared" si="1523"/>
        <v>31</v>
      </c>
      <c r="E4148" s="120">
        <f t="shared" si="1524"/>
        <v>8</v>
      </c>
      <c r="F4148" s="275">
        <f t="shared" si="1525"/>
        <v>46981.5</v>
      </c>
      <c r="G4148" s="120">
        <f t="shared" si="1526"/>
        <v>24343</v>
      </c>
      <c r="H4148" s="245">
        <f t="shared" si="1527"/>
        <v>1</v>
      </c>
      <c r="I4148" s="121">
        <f t="shared" si="1528"/>
        <v>1.1575200000000001</v>
      </c>
      <c r="J4148" s="121">
        <f t="shared" si="1529"/>
        <v>1.1575200000000001</v>
      </c>
      <c r="K4148" s="120">
        <f t="shared" si="1530"/>
        <v>0</v>
      </c>
      <c r="L4148" s="120">
        <f t="shared" si="1531"/>
        <v>0</v>
      </c>
      <c r="M4148" s="246">
        <f t="shared" si="1532"/>
        <v>0</v>
      </c>
      <c r="N4148" s="121">
        <f t="shared" si="1533"/>
        <v>1.1575200000000001</v>
      </c>
      <c r="O4148" s="246">
        <f t="shared" si="1534"/>
        <v>0.89</v>
      </c>
      <c r="P4148" s="121">
        <f t="shared" si="1535"/>
        <v>0</v>
      </c>
      <c r="Q4148" s="121">
        <f t="shared" si="1536"/>
        <v>0</v>
      </c>
      <c r="R4148" s="121">
        <f t="shared" si="1537"/>
        <v>0.75</v>
      </c>
      <c r="S4148" s="121" t="str">
        <f t="shared" si="1538"/>
        <v/>
      </c>
      <c r="T4148" s="121" t="str">
        <f t="shared" si="1539"/>
        <v/>
      </c>
      <c r="U4148" s="121">
        <f t="shared" si="1540"/>
        <v>1.1575200000000001</v>
      </c>
    </row>
    <row r="4149" spans="1:21" x14ac:dyDescent="0.3">
      <c r="A4149" s="187">
        <v>45</v>
      </c>
      <c r="B4149" s="242">
        <f t="shared" si="1541"/>
        <v>46997</v>
      </c>
      <c r="C4149" s="243">
        <f t="shared" si="1522"/>
        <v>47026</v>
      </c>
      <c r="D4149" s="120">
        <f t="shared" si="1523"/>
        <v>30</v>
      </c>
      <c r="E4149" s="120">
        <f t="shared" si="1524"/>
        <v>9</v>
      </c>
      <c r="F4149" s="275">
        <f t="shared" si="1525"/>
        <v>47012</v>
      </c>
      <c r="G4149" s="120">
        <f t="shared" si="1526"/>
        <v>24344</v>
      </c>
      <c r="H4149" s="245">
        <f t="shared" si="1527"/>
        <v>1</v>
      </c>
      <c r="I4149" s="121">
        <f t="shared" si="1528"/>
        <v>1.1575200000000001</v>
      </c>
      <c r="J4149" s="121">
        <f t="shared" si="1529"/>
        <v>1.1575200000000001</v>
      </c>
      <c r="K4149" s="120">
        <f t="shared" si="1530"/>
        <v>0</v>
      </c>
      <c r="L4149" s="120">
        <f t="shared" si="1531"/>
        <v>0</v>
      </c>
      <c r="M4149" s="246">
        <f t="shared" si="1532"/>
        <v>0</v>
      </c>
      <c r="N4149" s="121">
        <f t="shared" si="1533"/>
        <v>1.1575200000000001</v>
      </c>
      <c r="O4149" s="246">
        <f t="shared" si="1534"/>
        <v>0.89</v>
      </c>
      <c r="P4149" s="121">
        <f t="shared" si="1535"/>
        <v>0</v>
      </c>
      <c r="Q4149" s="121">
        <f t="shared" si="1536"/>
        <v>0</v>
      </c>
      <c r="R4149" s="121">
        <f t="shared" si="1537"/>
        <v>0.58333333333333337</v>
      </c>
      <c r="S4149" s="121" t="str">
        <f t="shared" si="1538"/>
        <v/>
      </c>
      <c r="T4149" s="121" t="str">
        <f t="shared" si="1539"/>
        <v/>
      </c>
      <c r="U4149" s="121">
        <f t="shared" si="1540"/>
        <v>1.1575200000000001</v>
      </c>
    </row>
    <row r="4150" spans="1:21" x14ac:dyDescent="0.3">
      <c r="A4150" s="187">
        <v>46</v>
      </c>
      <c r="B4150" s="242">
        <f t="shared" si="1541"/>
        <v>47027</v>
      </c>
      <c r="C4150" s="243">
        <f t="shared" si="1522"/>
        <v>47057</v>
      </c>
      <c r="D4150" s="120">
        <f t="shared" si="1523"/>
        <v>31</v>
      </c>
      <c r="E4150" s="120">
        <f t="shared" si="1524"/>
        <v>10</v>
      </c>
      <c r="F4150" s="275">
        <f t="shared" si="1525"/>
        <v>47042.5</v>
      </c>
      <c r="G4150" s="120">
        <f t="shared" si="1526"/>
        <v>24345</v>
      </c>
      <c r="H4150" s="245">
        <f t="shared" si="1527"/>
        <v>1</v>
      </c>
      <c r="I4150" s="121">
        <f t="shared" si="1528"/>
        <v>1.1575200000000001</v>
      </c>
      <c r="J4150" s="121">
        <f t="shared" si="1529"/>
        <v>1.1575200000000001</v>
      </c>
      <c r="K4150" s="120">
        <f t="shared" si="1530"/>
        <v>0</v>
      </c>
      <c r="L4150" s="120">
        <f t="shared" si="1531"/>
        <v>0</v>
      </c>
      <c r="M4150" s="246">
        <f t="shared" si="1532"/>
        <v>0</v>
      </c>
      <c r="N4150" s="121">
        <f t="shared" si="1533"/>
        <v>1.1575200000000001</v>
      </c>
      <c r="O4150" s="246">
        <f t="shared" si="1534"/>
        <v>0.89</v>
      </c>
      <c r="P4150" s="121">
        <f t="shared" si="1535"/>
        <v>0</v>
      </c>
      <c r="Q4150" s="121">
        <f t="shared" si="1536"/>
        <v>0</v>
      </c>
      <c r="R4150" s="121">
        <f t="shared" si="1537"/>
        <v>0.41666666666666669</v>
      </c>
      <c r="S4150" s="121" t="str">
        <f t="shared" si="1538"/>
        <v/>
      </c>
      <c r="T4150" s="121" t="str">
        <f t="shared" si="1539"/>
        <v/>
      </c>
      <c r="U4150" s="121">
        <f t="shared" si="1540"/>
        <v>1.1575200000000001</v>
      </c>
    </row>
    <row r="4151" spans="1:21" x14ac:dyDescent="0.3">
      <c r="A4151" s="187">
        <v>47</v>
      </c>
      <c r="B4151" s="242">
        <f t="shared" si="1541"/>
        <v>47058</v>
      </c>
      <c r="C4151" s="243">
        <f t="shared" si="1522"/>
        <v>47087</v>
      </c>
      <c r="D4151" s="120">
        <f t="shared" si="1523"/>
        <v>30</v>
      </c>
      <c r="E4151" s="120">
        <f t="shared" si="1524"/>
        <v>11</v>
      </c>
      <c r="F4151" s="275">
        <f t="shared" si="1525"/>
        <v>47073</v>
      </c>
      <c r="G4151" s="120">
        <f t="shared" si="1526"/>
        <v>24346</v>
      </c>
      <c r="H4151" s="245">
        <f t="shared" si="1527"/>
        <v>1</v>
      </c>
      <c r="I4151" s="121">
        <f t="shared" si="1528"/>
        <v>1.1575200000000001</v>
      </c>
      <c r="J4151" s="121">
        <f t="shared" si="1529"/>
        <v>1.1575200000000001</v>
      </c>
      <c r="K4151" s="120">
        <f t="shared" si="1530"/>
        <v>0</v>
      </c>
      <c r="L4151" s="120">
        <f t="shared" si="1531"/>
        <v>0</v>
      </c>
      <c r="M4151" s="246">
        <f t="shared" si="1532"/>
        <v>0</v>
      </c>
      <c r="N4151" s="121">
        <f t="shared" si="1533"/>
        <v>1.1575200000000001</v>
      </c>
      <c r="O4151" s="246">
        <f t="shared" si="1534"/>
        <v>0.89</v>
      </c>
      <c r="P4151" s="121">
        <f t="shared" si="1535"/>
        <v>0</v>
      </c>
      <c r="Q4151" s="121">
        <f t="shared" si="1536"/>
        <v>0</v>
      </c>
      <c r="R4151" s="121">
        <f t="shared" si="1537"/>
        <v>0.25</v>
      </c>
      <c r="S4151" s="121" t="str">
        <f t="shared" si="1538"/>
        <v/>
      </c>
      <c r="T4151" s="121" t="str">
        <f t="shared" si="1539"/>
        <v/>
      </c>
      <c r="U4151" s="121">
        <f t="shared" si="1540"/>
        <v>1.1575200000000001</v>
      </c>
    </row>
    <row r="4152" spans="1:21" x14ac:dyDescent="0.3">
      <c r="A4152" s="187">
        <v>48</v>
      </c>
      <c r="B4152" s="242">
        <f t="shared" si="1541"/>
        <v>47088</v>
      </c>
      <c r="C4152" s="243">
        <f t="shared" si="1522"/>
        <v>47118</v>
      </c>
      <c r="D4152" s="120">
        <f t="shared" si="1523"/>
        <v>31</v>
      </c>
      <c r="E4152" s="120">
        <f t="shared" si="1524"/>
        <v>12</v>
      </c>
      <c r="F4152" s="275">
        <f t="shared" si="1525"/>
        <v>47103.5</v>
      </c>
      <c r="G4152" s="120">
        <f t="shared" si="1526"/>
        <v>24347</v>
      </c>
      <c r="H4152" s="245">
        <f t="shared" si="1527"/>
        <v>1</v>
      </c>
      <c r="I4152" s="121">
        <f t="shared" si="1528"/>
        <v>1.1575200000000001</v>
      </c>
      <c r="J4152" s="121">
        <f t="shared" si="1529"/>
        <v>1.1575200000000001</v>
      </c>
      <c r="K4152" s="120">
        <f t="shared" si="1530"/>
        <v>0</v>
      </c>
      <c r="L4152" s="120">
        <f t="shared" si="1531"/>
        <v>0</v>
      </c>
      <c r="M4152" s="246">
        <f t="shared" si="1532"/>
        <v>0</v>
      </c>
      <c r="N4152" s="121">
        <f t="shared" si="1533"/>
        <v>1.1575200000000001</v>
      </c>
      <c r="O4152" s="246">
        <f t="shared" si="1534"/>
        <v>0.89</v>
      </c>
      <c r="P4152" s="121">
        <f t="shared" si="1535"/>
        <v>0</v>
      </c>
      <c r="Q4152" s="121">
        <f t="shared" si="1536"/>
        <v>0</v>
      </c>
      <c r="R4152" s="121">
        <f t="shared" si="1537"/>
        <v>8.3333333333333329E-2</v>
      </c>
      <c r="S4152" s="121" t="str">
        <f t="shared" si="1538"/>
        <v/>
      </c>
      <c r="T4152" s="121" t="str">
        <f t="shared" si="1539"/>
        <v/>
      </c>
      <c r="U4152" s="121">
        <f t="shared" si="1540"/>
        <v>1.1575200000000001</v>
      </c>
    </row>
    <row r="4153" spans="1:21" x14ac:dyDescent="0.3">
      <c r="A4153" s="6" t="s">
        <v>1692</v>
      </c>
      <c r="B4153" s="73">
        <f>SUMPRODUCT($H$4105:$H$4152,$Q$4105:$Q$4152,$U$4105:$U$4152)/SUMPRODUCT($H$4105:$H$4152,$Q$4105:$Q$4152)</f>
        <v>1.1299600000000001</v>
      </c>
      <c r="C4153" s="73">
        <f>SUMPRODUCT($H$4105:$H$4152,$R$4105:$R$4152,$U$4105:$U$4152)/SUMPRODUCT($H$4105:$H$4152,$R$4105:$R$4152)</f>
        <v>1.1575200000000001</v>
      </c>
      <c r="D4153" s="224">
        <f>SUMPRODUCT($H$4105:$H$4152,$Q$4105:$Q$4152,$O$4105:$O$4152)/SUMPRODUCT($H$4105:$H$4152,$Q$4105:$Q$4152)</f>
        <v>0.87197757111597374</v>
      </c>
    </row>
    <row r="4156" spans="1:21" x14ac:dyDescent="0.3">
      <c r="A4156" s="270" t="s">
        <v>1693</v>
      </c>
    </row>
    <row r="4157" spans="1:21" x14ac:dyDescent="0.3">
      <c r="A4157" s="6">
        <f>EDATE(nr_M0Asof,-12)+1</f>
        <v>45931</v>
      </c>
      <c r="B4157" s="6">
        <f>nr_M0Asof+1</f>
        <v>46296</v>
      </c>
      <c r="C4157" s="6">
        <f>DATE(nr_PlanYear,12,31)+1</f>
        <v>46753</v>
      </c>
      <c r="D4157" s="6">
        <f>DATE(nr_PlanYear+1,12,31)+1</f>
        <v>47119</v>
      </c>
      <c r="E4157" s="6">
        <f>IF(N(nr_MPrior)=0,$F$4157-($G$4157-$F$4157)/($C$4157-$B$4157)*($B$4157-$A$4157),nr_MPrior)</f>
        <v>0.83603938730853389</v>
      </c>
      <c r="F4157" s="6">
        <f>nr_M0</f>
        <v>0.86</v>
      </c>
      <c r="G4157" s="6">
        <f>nr_M1+N(INDEX(sc_dm1,3))</f>
        <v>0.89</v>
      </c>
      <c r="H4157" s="6">
        <f>IF(N(nr_M2)=0,nr_M1,nr_M2)+N(INDEX(sc_dm1,3))</f>
        <v>0.89</v>
      </c>
      <c r="I4157" s="6">
        <f>($F$4157-$E$4157)/($B$4157-$A$4157)</f>
        <v>6.5645514223194786E-5</v>
      </c>
      <c r="J4157" s="6">
        <f>($G$4157-$F$4157)/($C$4157-$B$4157)</f>
        <v>6.5645514223194813E-5</v>
      </c>
      <c r="K4157" s="6">
        <f>($H$4157-$G$4157)/($D$4157-$C$4157)</f>
        <v>0</v>
      </c>
    </row>
    <row r="4158" spans="1:21" ht="36" x14ac:dyDescent="0.3">
      <c r="A4158" s="58" t="s">
        <v>390</v>
      </c>
      <c r="B4158" s="58" t="s">
        <v>449</v>
      </c>
      <c r="C4158" s="58" t="s">
        <v>685</v>
      </c>
      <c r="D4158" s="58" t="s">
        <v>686</v>
      </c>
      <c r="E4158" s="58" t="s">
        <v>687</v>
      </c>
      <c r="F4158" s="58" t="s">
        <v>688</v>
      </c>
      <c r="G4158" s="58" t="s">
        <v>689</v>
      </c>
      <c r="H4158" s="58" t="s">
        <v>452</v>
      </c>
      <c r="I4158" s="58" t="s">
        <v>690</v>
      </c>
      <c r="J4158" s="58" t="s">
        <v>691</v>
      </c>
      <c r="K4158" s="58" t="s">
        <v>692</v>
      </c>
      <c r="L4158" s="58" t="s">
        <v>693</v>
      </c>
      <c r="M4158" s="58" t="s">
        <v>694</v>
      </c>
      <c r="N4158" s="58" t="s">
        <v>695</v>
      </c>
      <c r="O4158" s="58" t="s">
        <v>696</v>
      </c>
      <c r="P4158" s="58" t="s">
        <v>697</v>
      </c>
      <c r="Q4158" s="58" t="s">
        <v>698</v>
      </c>
      <c r="R4158" s="58" t="s">
        <v>699</v>
      </c>
      <c r="S4158" s="58" t="s">
        <v>700</v>
      </c>
      <c r="T4158" s="58" t="s">
        <v>701</v>
      </c>
      <c r="U4158" s="58" t="s">
        <v>702</v>
      </c>
    </row>
    <row r="4159" spans="1:21" x14ac:dyDescent="0.3">
      <c r="A4159" s="187">
        <v>1</v>
      </c>
      <c r="B4159" s="242">
        <f>DATE(nr_PlanYear-2,1,1)</f>
        <v>45658</v>
      </c>
      <c r="C4159" s="243">
        <f t="shared" ref="C4159:C4206" si="1542">EOMONTH($B4159,0)</f>
        <v>45688</v>
      </c>
      <c r="D4159" s="120">
        <f t="shared" ref="D4159:D4206" si="1543">$C4159-$B4159+1</f>
        <v>31</v>
      </c>
      <c r="E4159" s="120">
        <f t="shared" ref="E4159:E4206" si="1544">MONTH($B4159)</f>
        <v>1</v>
      </c>
      <c r="F4159" s="275">
        <f t="shared" ref="F4159:F4206" si="1545">($B4159+$C4159+1)/2</f>
        <v>45673.5</v>
      </c>
      <c r="G4159" s="120">
        <f t="shared" ref="G4159:G4206" si="1546">YEAR($B4159)*12+MONTH($B4159)-1</f>
        <v>24300</v>
      </c>
      <c r="H4159" s="245">
        <f t="shared" ref="H4159:H4206" si="1547">IF(OR(nr_SeasonOn="OFF",re_srow=0,re_ssum=0),1,12*INDEX(se_block,re_srow,$E4159)/re_ssum)</f>
        <v>1</v>
      </c>
      <c r="I4159" s="121">
        <f t="shared" ref="I4159:I4206" si="1548">EXP(SUMPRODUCT(($U$3806:$U$4045&lt;$B4159)*(rl_key=nr_SelKey)*$Y$3806:$Y$4045))</f>
        <v>1</v>
      </c>
      <c r="J4159" s="121">
        <f t="shared" ref="J4159:J4206" si="1549">EXP(SUMPRODUCT(($U$3806:$U$4045&lt;=$C4159)*(rl_key=nr_SelKey)*$Y$3806:$Y$4045))</f>
        <v>1</v>
      </c>
      <c r="K4159" s="120">
        <f t="shared" ref="K4159:K4206" si="1550">COUNTIFS(rl_key,nr_SelKey,$U$3806:$U$4045,"&gt;="&amp;$B4159,$U$3806:$U$4045,"&lt;="&amp;$C4159)</f>
        <v>0</v>
      </c>
      <c r="L4159" s="120">
        <f t="shared" ref="L4159:L4206" si="1551">SUMIFS($Z$3806:$Z$4045,rl_key,nr_SelKey,$V$3806:$V$4045,$B4159,$AC$3806:$AC$4045,1)</f>
        <v>0</v>
      </c>
      <c r="M4159" s="246">
        <f t="shared" ref="M4159:M4206" si="1552">IF($K4159=0,0,MIN(1,$L4159/$D4159))</f>
        <v>0</v>
      </c>
      <c r="N4159" s="121">
        <f t="shared" ref="N4159:N4206" si="1553">IF($K4159=0,$J4159,(1-$M4159)*$I4159+$M4159*$J4159)</f>
        <v>1</v>
      </c>
      <c r="O4159" s="246">
        <f t="shared" ref="O4159:O4206" si="1554">IF($F4159&lt;$B$4157,$E$4157+$I$4157*($F4159-$A$4157),IF($F4159&lt;$C$4157,$F$4157+$J$4157*($F4159-$B$4157),$G$4157+$K$4157*($F4159-$C$4157)))</f>
        <v>0.81913566739606125</v>
      </c>
      <c r="P4159" s="121">
        <f t="shared" ref="P4159:P4206" si="1555">MIN(1,MAX(0,(nr_MEndPm1-$G4159+0.5)/nr_TermMonths))-MIN(1,MAX(0,(nr_MStartPm1-1-$G4159+0.5)/nr_TermMonths))</f>
        <v>0</v>
      </c>
      <c r="Q4159" s="121">
        <f t="shared" ref="Q4159:Q4206" si="1556">MIN(1,MAX(0,(nr_MEndP-$G4159+0.5)/nr_TermMonths))-MIN(1,MAX(0,(nr_MStartP-1-$G4159+0.5)/nr_TermMonths))</f>
        <v>0</v>
      </c>
      <c r="R4159" s="121">
        <f t="shared" ref="R4159:R4206" si="1557">MIN(1,MAX(0,(nr_MEndP1-$G4159+0.5)/nr_TermMonths))-MIN(1,MAX(0,(nr_MStartP1-1-$G4159+0.5)/nr_TermMonths))</f>
        <v>0</v>
      </c>
      <c r="S4159" s="121" t="str">
        <f t="shared" ref="S4159:S4206" si="1558">IF(nr_NetMode,$N4159*IF(nr_ModAdjEff="ON",$O4159/nr_MInd,1),"")</f>
        <v/>
      </c>
      <c r="T4159" s="121" t="str">
        <f t="shared" ref="T4159:T4206" si="1559">IF(NOT(nr_NetMode),"",IF($G4159&lt;nr_MStartP,$S4159,$T4147*(1+IF($G4159&lt;nr_MStartP1,(nr_NetSelP+N(INDEX(sc_dnet,3))),(nr_NetSelP1+N(INDEX(sc_dnet,3)))))))</f>
        <v/>
      </c>
      <c r="U4159" s="121">
        <f t="shared" ref="U4159:U4206" si="1560">IF(nr_NetMode,$T4159,$N4159)</f>
        <v>1</v>
      </c>
    </row>
    <row r="4160" spans="1:21" x14ac:dyDescent="0.3">
      <c r="A4160" s="187">
        <v>2</v>
      </c>
      <c r="B4160" s="242">
        <f t="shared" ref="B4160:B4206" si="1561">EDATE($B4159,1)</f>
        <v>45689</v>
      </c>
      <c r="C4160" s="243">
        <f t="shared" si="1542"/>
        <v>45716</v>
      </c>
      <c r="D4160" s="120">
        <f t="shared" si="1543"/>
        <v>28</v>
      </c>
      <c r="E4160" s="120">
        <f t="shared" si="1544"/>
        <v>2</v>
      </c>
      <c r="F4160" s="275">
        <f t="shared" si="1545"/>
        <v>45703</v>
      </c>
      <c r="G4160" s="120">
        <f t="shared" si="1546"/>
        <v>24301</v>
      </c>
      <c r="H4160" s="245">
        <f t="shared" si="1547"/>
        <v>1</v>
      </c>
      <c r="I4160" s="121">
        <f t="shared" si="1548"/>
        <v>1</v>
      </c>
      <c r="J4160" s="121">
        <f t="shared" si="1549"/>
        <v>1</v>
      </c>
      <c r="K4160" s="120">
        <f t="shared" si="1550"/>
        <v>0</v>
      </c>
      <c r="L4160" s="120">
        <f t="shared" si="1551"/>
        <v>0</v>
      </c>
      <c r="M4160" s="246">
        <f t="shared" si="1552"/>
        <v>0</v>
      </c>
      <c r="N4160" s="121">
        <f t="shared" si="1553"/>
        <v>1</v>
      </c>
      <c r="O4160" s="246">
        <f t="shared" si="1554"/>
        <v>0.82107221006564546</v>
      </c>
      <c r="P4160" s="121">
        <f t="shared" si="1555"/>
        <v>0</v>
      </c>
      <c r="Q4160" s="121">
        <f t="shared" si="1556"/>
        <v>0</v>
      </c>
      <c r="R4160" s="121">
        <f t="shared" si="1557"/>
        <v>0</v>
      </c>
      <c r="S4160" s="121" t="str">
        <f t="shared" si="1558"/>
        <v/>
      </c>
      <c r="T4160" s="121" t="str">
        <f t="shared" si="1559"/>
        <v/>
      </c>
      <c r="U4160" s="121">
        <f t="shared" si="1560"/>
        <v>1</v>
      </c>
    </row>
    <row r="4161" spans="1:21" x14ac:dyDescent="0.3">
      <c r="A4161" s="187">
        <v>3</v>
      </c>
      <c r="B4161" s="242">
        <f t="shared" si="1561"/>
        <v>45717</v>
      </c>
      <c r="C4161" s="243">
        <f t="shared" si="1542"/>
        <v>45747</v>
      </c>
      <c r="D4161" s="120">
        <f t="shared" si="1543"/>
        <v>31</v>
      </c>
      <c r="E4161" s="120">
        <f t="shared" si="1544"/>
        <v>3</v>
      </c>
      <c r="F4161" s="275">
        <f t="shared" si="1545"/>
        <v>45732.5</v>
      </c>
      <c r="G4161" s="120">
        <f t="shared" si="1546"/>
        <v>24302</v>
      </c>
      <c r="H4161" s="245">
        <f t="shared" si="1547"/>
        <v>1</v>
      </c>
      <c r="I4161" s="121">
        <f t="shared" si="1548"/>
        <v>1</v>
      </c>
      <c r="J4161" s="121">
        <f t="shared" si="1549"/>
        <v>1</v>
      </c>
      <c r="K4161" s="120">
        <f t="shared" si="1550"/>
        <v>0</v>
      </c>
      <c r="L4161" s="120">
        <f t="shared" si="1551"/>
        <v>0</v>
      </c>
      <c r="M4161" s="246">
        <f t="shared" si="1552"/>
        <v>0</v>
      </c>
      <c r="N4161" s="121">
        <f t="shared" si="1553"/>
        <v>1</v>
      </c>
      <c r="O4161" s="246">
        <f t="shared" si="1554"/>
        <v>0.82300875273522978</v>
      </c>
      <c r="P4161" s="121">
        <f t="shared" si="1555"/>
        <v>0</v>
      </c>
      <c r="Q4161" s="121">
        <f t="shared" si="1556"/>
        <v>0</v>
      </c>
      <c r="R4161" s="121">
        <f t="shared" si="1557"/>
        <v>0</v>
      </c>
      <c r="S4161" s="121" t="str">
        <f t="shared" si="1558"/>
        <v/>
      </c>
      <c r="T4161" s="121" t="str">
        <f t="shared" si="1559"/>
        <v/>
      </c>
      <c r="U4161" s="121">
        <f t="shared" si="1560"/>
        <v>1</v>
      </c>
    </row>
    <row r="4162" spans="1:21" x14ac:dyDescent="0.3">
      <c r="A4162" s="187">
        <v>4</v>
      </c>
      <c r="B4162" s="242">
        <f t="shared" si="1561"/>
        <v>45748</v>
      </c>
      <c r="C4162" s="243">
        <f t="shared" si="1542"/>
        <v>45777</v>
      </c>
      <c r="D4162" s="120">
        <f t="shared" si="1543"/>
        <v>30</v>
      </c>
      <c r="E4162" s="120">
        <f t="shared" si="1544"/>
        <v>4</v>
      </c>
      <c r="F4162" s="275">
        <f t="shared" si="1545"/>
        <v>45763</v>
      </c>
      <c r="G4162" s="120">
        <f t="shared" si="1546"/>
        <v>24303</v>
      </c>
      <c r="H4162" s="245">
        <f t="shared" si="1547"/>
        <v>1</v>
      </c>
      <c r="I4162" s="121">
        <f t="shared" si="1548"/>
        <v>1</v>
      </c>
      <c r="J4162" s="121">
        <f t="shared" si="1549"/>
        <v>1</v>
      </c>
      <c r="K4162" s="120">
        <f t="shared" si="1550"/>
        <v>0</v>
      </c>
      <c r="L4162" s="120">
        <f t="shared" si="1551"/>
        <v>0</v>
      </c>
      <c r="M4162" s="246">
        <f t="shared" si="1552"/>
        <v>0</v>
      </c>
      <c r="N4162" s="121">
        <f t="shared" si="1553"/>
        <v>1</v>
      </c>
      <c r="O4162" s="246">
        <f t="shared" si="1554"/>
        <v>0.82501094091903715</v>
      </c>
      <c r="P4162" s="121">
        <f t="shared" si="1555"/>
        <v>0</v>
      </c>
      <c r="Q4162" s="121">
        <f t="shared" si="1556"/>
        <v>0</v>
      </c>
      <c r="R4162" s="121">
        <f t="shared" si="1557"/>
        <v>0</v>
      </c>
      <c r="S4162" s="121" t="str">
        <f t="shared" si="1558"/>
        <v/>
      </c>
      <c r="T4162" s="121" t="str">
        <f t="shared" si="1559"/>
        <v/>
      </c>
      <c r="U4162" s="121">
        <f t="shared" si="1560"/>
        <v>1</v>
      </c>
    </row>
    <row r="4163" spans="1:21" x14ac:dyDescent="0.3">
      <c r="A4163" s="187">
        <v>5</v>
      </c>
      <c r="B4163" s="242">
        <f t="shared" si="1561"/>
        <v>45778</v>
      </c>
      <c r="C4163" s="243">
        <f t="shared" si="1542"/>
        <v>45808</v>
      </c>
      <c r="D4163" s="120">
        <f t="shared" si="1543"/>
        <v>31</v>
      </c>
      <c r="E4163" s="120">
        <f t="shared" si="1544"/>
        <v>5</v>
      </c>
      <c r="F4163" s="275">
        <f t="shared" si="1545"/>
        <v>45793.5</v>
      </c>
      <c r="G4163" s="120">
        <f t="shared" si="1546"/>
        <v>24304</v>
      </c>
      <c r="H4163" s="245">
        <f t="shared" si="1547"/>
        <v>1</v>
      </c>
      <c r="I4163" s="121">
        <f t="shared" si="1548"/>
        <v>1</v>
      </c>
      <c r="J4163" s="121">
        <f t="shared" si="1549"/>
        <v>1</v>
      </c>
      <c r="K4163" s="120">
        <f t="shared" si="1550"/>
        <v>0</v>
      </c>
      <c r="L4163" s="120">
        <f t="shared" si="1551"/>
        <v>0</v>
      </c>
      <c r="M4163" s="246">
        <f t="shared" si="1552"/>
        <v>0</v>
      </c>
      <c r="N4163" s="121">
        <f t="shared" si="1553"/>
        <v>1</v>
      </c>
      <c r="O4163" s="246">
        <f t="shared" si="1554"/>
        <v>0.82701312910284464</v>
      </c>
      <c r="P4163" s="121">
        <f t="shared" si="1555"/>
        <v>0</v>
      </c>
      <c r="Q4163" s="121">
        <f t="shared" si="1556"/>
        <v>0</v>
      </c>
      <c r="R4163" s="121">
        <f t="shared" si="1557"/>
        <v>0</v>
      </c>
      <c r="S4163" s="121" t="str">
        <f t="shared" si="1558"/>
        <v/>
      </c>
      <c r="T4163" s="121" t="str">
        <f t="shared" si="1559"/>
        <v/>
      </c>
      <c r="U4163" s="121">
        <f t="shared" si="1560"/>
        <v>1</v>
      </c>
    </row>
    <row r="4164" spans="1:21" x14ac:dyDescent="0.3">
      <c r="A4164" s="187">
        <v>6</v>
      </c>
      <c r="B4164" s="242">
        <f t="shared" si="1561"/>
        <v>45809</v>
      </c>
      <c r="C4164" s="243">
        <f t="shared" si="1542"/>
        <v>45838</v>
      </c>
      <c r="D4164" s="120">
        <f t="shared" si="1543"/>
        <v>30</v>
      </c>
      <c r="E4164" s="120">
        <f t="shared" si="1544"/>
        <v>6</v>
      </c>
      <c r="F4164" s="275">
        <f t="shared" si="1545"/>
        <v>45824</v>
      </c>
      <c r="G4164" s="120">
        <f t="shared" si="1546"/>
        <v>24305</v>
      </c>
      <c r="H4164" s="245">
        <f t="shared" si="1547"/>
        <v>1</v>
      </c>
      <c r="I4164" s="121">
        <f t="shared" si="1548"/>
        <v>1</v>
      </c>
      <c r="J4164" s="121">
        <f t="shared" si="1549"/>
        <v>1</v>
      </c>
      <c r="K4164" s="120">
        <f t="shared" si="1550"/>
        <v>0</v>
      </c>
      <c r="L4164" s="120">
        <f t="shared" si="1551"/>
        <v>0</v>
      </c>
      <c r="M4164" s="246">
        <f t="shared" si="1552"/>
        <v>0</v>
      </c>
      <c r="N4164" s="121">
        <f t="shared" si="1553"/>
        <v>1</v>
      </c>
      <c r="O4164" s="246">
        <f t="shared" si="1554"/>
        <v>0.82901531728665201</v>
      </c>
      <c r="P4164" s="121">
        <f t="shared" si="1555"/>
        <v>0</v>
      </c>
      <c r="Q4164" s="121">
        <f t="shared" si="1556"/>
        <v>0</v>
      </c>
      <c r="R4164" s="121">
        <f t="shared" si="1557"/>
        <v>0</v>
      </c>
      <c r="S4164" s="121" t="str">
        <f t="shared" si="1558"/>
        <v/>
      </c>
      <c r="T4164" s="121" t="str">
        <f t="shared" si="1559"/>
        <v/>
      </c>
      <c r="U4164" s="121">
        <f t="shared" si="1560"/>
        <v>1</v>
      </c>
    </row>
    <row r="4165" spans="1:21" x14ac:dyDescent="0.3">
      <c r="A4165" s="187">
        <v>7</v>
      </c>
      <c r="B4165" s="242">
        <f t="shared" si="1561"/>
        <v>45839</v>
      </c>
      <c r="C4165" s="243">
        <f t="shared" si="1542"/>
        <v>45869</v>
      </c>
      <c r="D4165" s="120">
        <f t="shared" si="1543"/>
        <v>31</v>
      </c>
      <c r="E4165" s="120">
        <f t="shared" si="1544"/>
        <v>7</v>
      </c>
      <c r="F4165" s="275">
        <f t="shared" si="1545"/>
        <v>45854.5</v>
      </c>
      <c r="G4165" s="120">
        <f t="shared" si="1546"/>
        <v>24306</v>
      </c>
      <c r="H4165" s="245">
        <f t="shared" si="1547"/>
        <v>1</v>
      </c>
      <c r="I4165" s="121">
        <f t="shared" si="1548"/>
        <v>1</v>
      </c>
      <c r="J4165" s="121">
        <f t="shared" si="1549"/>
        <v>1.04</v>
      </c>
      <c r="K4165" s="120">
        <f t="shared" si="1550"/>
        <v>1</v>
      </c>
      <c r="L4165" s="120">
        <f t="shared" si="1551"/>
        <v>31</v>
      </c>
      <c r="M4165" s="246">
        <f t="shared" si="1552"/>
        <v>1</v>
      </c>
      <c r="N4165" s="121">
        <f t="shared" si="1553"/>
        <v>1.04</v>
      </c>
      <c r="O4165" s="246">
        <f t="shared" si="1554"/>
        <v>0.83101750547045949</v>
      </c>
      <c r="P4165" s="121">
        <f t="shared" si="1555"/>
        <v>8.333333333333337E-2</v>
      </c>
      <c r="Q4165" s="121">
        <f t="shared" si="1556"/>
        <v>0</v>
      </c>
      <c r="R4165" s="121">
        <f t="shared" si="1557"/>
        <v>0</v>
      </c>
      <c r="S4165" s="121" t="str">
        <f t="shared" si="1558"/>
        <v/>
      </c>
      <c r="T4165" s="121" t="str">
        <f t="shared" si="1559"/>
        <v/>
      </c>
      <c r="U4165" s="121">
        <f t="shared" si="1560"/>
        <v>1.04</v>
      </c>
    </row>
    <row r="4166" spans="1:21" x14ac:dyDescent="0.3">
      <c r="A4166" s="187">
        <v>8</v>
      </c>
      <c r="B4166" s="242">
        <f t="shared" si="1561"/>
        <v>45870</v>
      </c>
      <c r="C4166" s="243">
        <f t="shared" si="1542"/>
        <v>45900</v>
      </c>
      <c r="D4166" s="120">
        <f t="shared" si="1543"/>
        <v>31</v>
      </c>
      <c r="E4166" s="120">
        <f t="shared" si="1544"/>
        <v>8</v>
      </c>
      <c r="F4166" s="275">
        <f t="shared" si="1545"/>
        <v>45885.5</v>
      </c>
      <c r="G4166" s="120">
        <f t="shared" si="1546"/>
        <v>24307</v>
      </c>
      <c r="H4166" s="245">
        <f t="shared" si="1547"/>
        <v>1</v>
      </c>
      <c r="I4166" s="121">
        <f t="shared" si="1548"/>
        <v>1.04</v>
      </c>
      <c r="J4166" s="121">
        <f t="shared" si="1549"/>
        <v>1.04</v>
      </c>
      <c r="K4166" s="120">
        <f t="shared" si="1550"/>
        <v>0</v>
      </c>
      <c r="L4166" s="120">
        <f t="shared" si="1551"/>
        <v>0</v>
      </c>
      <c r="M4166" s="246">
        <f t="shared" si="1552"/>
        <v>0</v>
      </c>
      <c r="N4166" s="121">
        <f t="shared" si="1553"/>
        <v>1.04</v>
      </c>
      <c r="O4166" s="246">
        <f t="shared" si="1554"/>
        <v>0.83305251641137856</v>
      </c>
      <c r="P4166" s="121">
        <f t="shared" si="1555"/>
        <v>0.25</v>
      </c>
      <c r="Q4166" s="121">
        <f t="shared" si="1556"/>
        <v>0</v>
      </c>
      <c r="R4166" s="121">
        <f t="shared" si="1557"/>
        <v>0</v>
      </c>
      <c r="S4166" s="121" t="str">
        <f t="shared" si="1558"/>
        <v/>
      </c>
      <c r="T4166" s="121" t="str">
        <f t="shared" si="1559"/>
        <v/>
      </c>
      <c r="U4166" s="121">
        <f t="shared" si="1560"/>
        <v>1.04</v>
      </c>
    </row>
    <row r="4167" spans="1:21" x14ac:dyDescent="0.3">
      <c r="A4167" s="187">
        <v>9</v>
      </c>
      <c r="B4167" s="242">
        <f t="shared" si="1561"/>
        <v>45901</v>
      </c>
      <c r="C4167" s="243">
        <f t="shared" si="1542"/>
        <v>45930</v>
      </c>
      <c r="D4167" s="120">
        <f t="shared" si="1543"/>
        <v>30</v>
      </c>
      <c r="E4167" s="120">
        <f t="shared" si="1544"/>
        <v>9</v>
      </c>
      <c r="F4167" s="275">
        <f t="shared" si="1545"/>
        <v>45916</v>
      </c>
      <c r="G4167" s="120">
        <f t="shared" si="1546"/>
        <v>24308</v>
      </c>
      <c r="H4167" s="245">
        <f t="shared" si="1547"/>
        <v>1</v>
      </c>
      <c r="I4167" s="121">
        <f t="shared" si="1548"/>
        <v>1.04</v>
      </c>
      <c r="J4167" s="121">
        <f t="shared" si="1549"/>
        <v>1.04</v>
      </c>
      <c r="K4167" s="120">
        <f t="shared" si="1550"/>
        <v>0</v>
      </c>
      <c r="L4167" s="120">
        <f t="shared" si="1551"/>
        <v>0</v>
      </c>
      <c r="M4167" s="246">
        <f t="shared" si="1552"/>
        <v>0</v>
      </c>
      <c r="N4167" s="121">
        <f t="shared" si="1553"/>
        <v>1.04</v>
      </c>
      <c r="O4167" s="246">
        <f t="shared" si="1554"/>
        <v>0.83505470459518594</v>
      </c>
      <c r="P4167" s="121">
        <f t="shared" si="1555"/>
        <v>0.41666666666666663</v>
      </c>
      <c r="Q4167" s="121">
        <f t="shared" si="1556"/>
        <v>0</v>
      </c>
      <c r="R4167" s="121">
        <f t="shared" si="1557"/>
        <v>0</v>
      </c>
      <c r="S4167" s="121" t="str">
        <f t="shared" si="1558"/>
        <v/>
      </c>
      <c r="T4167" s="121" t="str">
        <f t="shared" si="1559"/>
        <v/>
      </c>
      <c r="U4167" s="121">
        <f t="shared" si="1560"/>
        <v>1.04</v>
      </c>
    </row>
    <row r="4168" spans="1:21" x14ac:dyDescent="0.3">
      <c r="A4168" s="187">
        <v>10</v>
      </c>
      <c r="B4168" s="242">
        <f t="shared" si="1561"/>
        <v>45931</v>
      </c>
      <c r="C4168" s="243">
        <f t="shared" si="1542"/>
        <v>45961</v>
      </c>
      <c r="D4168" s="120">
        <f t="shared" si="1543"/>
        <v>31</v>
      </c>
      <c r="E4168" s="120">
        <f t="shared" si="1544"/>
        <v>10</v>
      </c>
      <c r="F4168" s="275">
        <f t="shared" si="1545"/>
        <v>45946.5</v>
      </c>
      <c r="G4168" s="120">
        <f t="shared" si="1546"/>
        <v>24309</v>
      </c>
      <c r="H4168" s="245">
        <f t="shared" si="1547"/>
        <v>1</v>
      </c>
      <c r="I4168" s="121">
        <f t="shared" si="1548"/>
        <v>1.04</v>
      </c>
      <c r="J4168" s="121">
        <f t="shared" si="1549"/>
        <v>1.04</v>
      </c>
      <c r="K4168" s="120">
        <f t="shared" si="1550"/>
        <v>0</v>
      </c>
      <c r="L4168" s="120">
        <f t="shared" si="1551"/>
        <v>0</v>
      </c>
      <c r="M4168" s="246">
        <f t="shared" si="1552"/>
        <v>0</v>
      </c>
      <c r="N4168" s="121">
        <f t="shared" si="1553"/>
        <v>1.04</v>
      </c>
      <c r="O4168" s="246">
        <f t="shared" si="1554"/>
        <v>0.83705689277899342</v>
      </c>
      <c r="P4168" s="121">
        <f t="shared" si="1555"/>
        <v>0.58333333333333326</v>
      </c>
      <c r="Q4168" s="121">
        <f t="shared" si="1556"/>
        <v>0</v>
      </c>
      <c r="R4168" s="121">
        <f t="shared" si="1557"/>
        <v>0</v>
      </c>
      <c r="S4168" s="121" t="str">
        <f t="shared" si="1558"/>
        <v/>
      </c>
      <c r="T4168" s="121" t="str">
        <f t="shared" si="1559"/>
        <v/>
      </c>
      <c r="U4168" s="121">
        <f t="shared" si="1560"/>
        <v>1.04</v>
      </c>
    </row>
    <row r="4169" spans="1:21" x14ac:dyDescent="0.3">
      <c r="A4169" s="187">
        <v>11</v>
      </c>
      <c r="B4169" s="242">
        <f t="shared" si="1561"/>
        <v>45962</v>
      </c>
      <c r="C4169" s="243">
        <f t="shared" si="1542"/>
        <v>45991</v>
      </c>
      <c r="D4169" s="120">
        <f t="shared" si="1543"/>
        <v>30</v>
      </c>
      <c r="E4169" s="120">
        <f t="shared" si="1544"/>
        <v>11</v>
      </c>
      <c r="F4169" s="275">
        <f t="shared" si="1545"/>
        <v>45977</v>
      </c>
      <c r="G4169" s="120">
        <f t="shared" si="1546"/>
        <v>24310</v>
      </c>
      <c r="H4169" s="245">
        <f t="shared" si="1547"/>
        <v>1</v>
      </c>
      <c r="I4169" s="121">
        <f t="shared" si="1548"/>
        <v>1.04</v>
      </c>
      <c r="J4169" s="121">
        <f t="shared" si="1549"/>
        <v>1.04</v>
      </c>
      <c r="K4169" s="120">
        <f t="shared" si="1550"/>
        <v>0</v>
      </c>
      <c r="L4169" s="120">
        <f t="shared" si="1551"/>
        <v>0</v>
      </c>
      <c r="M4169" s="246">
        <f t="shared" si="1552"/>
        <v>0</v>
      </c>
      <c r="N4169" s="121">
        <f t="shared" si="1553"/>
        <v>1.04</v>
      </c>
      <c r="O4169" s="246">
        <f t="shared" si="1554"/>
        <v>0.8390590809628008</v>
      </c>
      <c r="P4169" s="121">
        <f t="shared" si="1555"/>
        <v>0.75</v>
      </c>
      <c r="Q4169" s="121">
        <f t="shared" si="1556"/>
        <v>0</v>
      </c>
      <c r="R4169" s="121">
        <f t="shared" si="1557"/>
        <v>0</v>
      </c>
      <c r="S4169" s="121" t="str">
        <f t="shared" si="1558"/>
        <v/>
      </c>
      <c r="T4169" s="121" t="str">
        <f t="shared" si="1559"/>
        <v/>
      </c>
      <c r="U4169" s="121">
        <f t="shared" si="1560"/>
        <v>1.04</v>
      </c>
    </row>
    <row r="4170" spans="1:21" x14ac:dyDescent="0.3">
      <c r="A4170" s="187">
        <v>12</v>
      </c>
      <c r="B4170" s="242">
        <f t="shared" si="1561"/>
        <v>45992</v>
      </c>
      <c r="C4170" s="243">
        <f t="shared" si="1542"/>
        <v>46022</v>
      </c>
      <c r="D4170" s="120">
        <f t="shared" si="1543"/>
        <v>31</v>
      </c>
      <c r="E4170" s="120">
        <f t="shared" si="1544"/>
        <v>12</v>
      </c>
      <c r="F4170" s="275">
        <f t="shared" si="1545"/>
        <v>46007.5</v>
      </c>
      <c r="G4170" s="120">
        <f t="shared" si="1546"/>
        <v>24311</v>
      </c>
      <c r="H4170" s="245">
        <f t="shared" si="1547"/>
        <v>1</v>
      </c>
      <c r="I4170" s="121">
        <f t="shared" si="1548"/>
        <v>1.04</v>
      </c>
      <c r="J4170" s="121">
        <f t="shared" si="1549"/>
        <v>1.04</v>
      </c>
      <c r="K4170" s="120">
        <f t="shared" si="1550"/>
        <v>0</v>
      </c>
      <c r="L4170" s="120">
        <f t="shared" si="1551"/>
        <v>0</v>
      </c>
      <c r="M4170" s="246">
        <f t="shared" si="1552"/>
        <v>0</v>
      </c>
      <c r="N4170" s="121">
        <f t="shared" si="1553"/>
        <v>1.04</v>
      </c>
      <c r="O4170" s="246">
        <f t="shared" si="1554"/>
        <v>0.84106126914660828</v>
      </c>
      <c r="P4170" s="121">
        <f t="shared" si="1555"/>
        <v>0.91666666666666663</v>
      </c>
      <c r="Q4170" s="121">
        <f t="shared" si="1556"/>
        <v>0</v>
      </c>
      <c r="R4170" s="121">
        <f t="shared" si="1557"/>
        <v>0</v>
      </c>
      <c r="S4170" s="121" t="str">
        <f t="shared" si="1558"/>
        <v/>
      </c>
      <c r="T4170" s="121" t="str">
        <f t="shared" si="1559"/>
        <v/>
      </c>
      <c r="U4170" s="121">
        <f t="shared" si="1560"/>
        <v>1.04</v>
      </c>
    </row>
    <row r="4171" spans="1:21" x14ac:dyDescent="0.3">
      <c r="A4171" s="187">
        <v>13</v>
      </c>
      <c r="B4171" s="242">
        <f t="shared" si="1561"/>
        <v>46023</v>
      </c>
      <c r="C4171" s="243">
        <f t="shared" si="1542"/>
        <v>46053</v>
      </c>
      <c r="D4171" s="120">
        <f t="shared" si="1543"/>
        <v>31</v>
      </c>
      <c r="E4171" s="120">
        <f t="shared" si="1544"/>
        <v>1</v>
      </c>
      <c r="F4171" s="275">
        <f t="shared" si="1545"/>
        <v>46038.5</v>
      </c>
      <c r="G4171" s="120">
        <f t="shared" si="1546"/>
        <v>24312</v>
      </c>
      <c r="H4171" s="245">
        <f t="shared" si="1547"/>
        <v>1</v>
      </c>
      <c r="I4171" s="121">
        <f t="shared" si="1548"/>
        <v>1.04</v>
      </c>
      <c r="J4171" s="121">
        <f t="shared" si="1549"/>
        <v>1.04</v>
      </c>
      <c r="K4171" s="120">
        <f t="shared" si="1550"/>
        <v>0</v>
      </c>
      <c r="L4171" s="120">
        <f t="shared" si="1551"/>
        <v>0</v>
      </c>
      <c r="M4171" s="246">
        <f t="shared" si="1552"/>
        <v>0</v>
      </c>
      <c r="N4171" s="121">
        <f t="shared" si="1553"/>
        <v>1.04</v>
      </c>
      <c r="O4171" s="246">
        <f t="shared" si="1554"/>
        <v>0.84309628008752735</v>
      </c>
      <c r="P4171" s="121">
        <f t="shared" si="1555"/>
        <v>1</v>
      </c>
      <c r="Q4171" s="121">
        <f t="shared" si="1556"/>
        <v>0</v>
      </c>
      <c r="R4171" s="121">
        <f t="shared" si="1557"/>
        <v>0</v>
      </c>
      <c r="S4171" s="121" t="str">
        <f t="shared" si="1558"/>
        <v/>
      </c>
      <c r="T4171" s="121" t="str">
        <f t="shared" si="1559"/>
        <v/>
      </c>
      <c r="U4171" s="121">
        <f t="shared" si="1560"/>
        <v>1.04</v>
      </c>
    </row>
    <row r="4172" spans="1:21" x14ac:dyDescent="0.3">
      <c r="A4172" s="187">
        <v>14</v>
      </c>
      <c r="B4172" s="242">
        <f t="shared" si="1561"/>
        <v>46054</v>
      </c>
      <c r="C4172" s="243">
        <f t="shared" si="1542"/>
        <v>46081</v>
      </c>
      <c r="D4172" s="120">
        <f t="shared" si="1543"/>
        <v>28</v>
      </c>
      <c r="E4172" s="120">
        <f t="shared" si="1544"/>
        <v>2</v>
      </c>
      <c r="F4172" s="275">
        <f t="shared" si="1545"/>
        <v>46068</v>
      </c>
      <c r="G4172" s="120">
        <f t="shared" si="1546"/>
        <v>24313</v>
      </c>
      <c r="H4172" s="245">
        <f t="shared" si="1547"/>
        <v>1</v>
      </c>
      <c r="I4172" s="121">
        <f t="shared" si="1548"/>
        <v>1.04</v>
      </c>
      <c r="J4172" s="121">
        <f t="shared" si="1549"/>
        <v>1.04</v>
      </c>
      <c r="K4172" s="120">
        <f t="shared" si="1550"/>
        <v>0</v>
      </c>
      <c r="L4172" s="120">
        <f t="shared" si="1551"/>
        <v>0</v>
      </c>
      <c r="M4172" s="246">
        <f t="shared" si="1552"/>
        <v>0</v>
      </c>
      <c r="N4172" s="121">
        <f t="shared" si="1553"/>
        <v>1.04</v>
      </c>
      <c r="O4172" s="246">
        <f t="shared" si="1554"/>
        <v>0.84503282275711156</v>
      </c>
      <c r="P4172" s="121">
        <f t="shared" si="1555"/>
        <v>1</v>
      </c>
      <c r="Q4172" s="121">
        <f t="shared" si="1556"/>
        <v>0</v>
      </c>
      <c r="R4172" s="121">
        <f t="shared" si="1557"/>
        <v>0</v>
      </c>
      <c r="S4172" s="121" t="str">
        <f t="shared" si="1558"/>
        <v/>
      </c>
      <c r="T4172" s="121" t="str">
        <f t="shared" si="1559"/>
        <v/>
      </c>
      <c r="U4172" s="121">
        <f t="shared" si="1560"/>
        <v>1.04</v>
      </c>
    </row>
    <row r="4173" spans="1:21" x14ac:dyDescent="0.3">
      <c r="A4173" s="187">
        <v>15</v>
      </c>
      <c r="B4173" s="242">
        <f t="shared" si="1561"/>
        <v>46082</v>
      </c>
      <c r="C4173" s="243">
        <f t="shared" si="1542"/>
        <v>46112</v>
      </c>
      <c r="D4173" s="120">
        <f t="shared" si="1543"/>
        <v>31</v>
      </c>
      <c r="E4173" s="120">
        <f t="shared" si="1544"/>
        <v>3</v>
      </c>
      <c r="F4173" s="275">
        <f t="shared" si="1545"/>
        <v>46097.5</v>
      </c>
      <c r="G4173" s="120">
        <f t="shared" si="1546"/>
        <v>24314</v>
      </c>
      <c r="H4173" s="245">
        <f t="shared" si="1547"/>
        <v>1</v>
      </c>
      <c r="I4173" s="121">
        <f t="shared" si="1548"/>
        <v>1.04</v>
      </c>
      <c r="J4173" s="121">
        <f t="shared" si="1549"/>
        <v>1.04</v>
      </c>
      <c r="K4173" s="120">
        <f t="shared" si="1550"/>
        <v>0</v>
      </c>
      <c r="L4173" s="120">
        <f t="shared" si="1551"/>
        <v>0</v>
      </c>
      <c r="M4173" s="246">
        <f t="shared" si="1552"/>
        <v>0</v>
      </c>
      <c r="N4173" s="121">
        <f t="shared" si="1553"/>
        <v>1.04</v>
      </c>
      <c r="O4173" s="246">
        <f t="shared" si="1554"/>
        <v>0.84696936542669587</v>
      </c>
      <c r="P4173" s="121">
        <f t="shared" si="1555"/>
        <v>1</v>
      </c>
      <c r="Q4173" s="121">
        <f t="shared" si="1556"/>
        <v>0</v>
      </c>
      <c r="R4173" s="121">
        <f t="shared" si="1557"/>
        <v>0</v>
      </c>
      <c r="S4173" s="121" t="str">
        <f t="shared" si="1558"/>
        <v/>
      </c>
      <c r="T4173" s="121" t="str">
        <f t="shared" si="1559"/>
        <v/>
      </c>
      <c r="U4173" s="121">
        <f t="shared" si="1560"/>
        <v>1.04</v>
      </c>
    </row>
    <row r="4174" spans="1:21" x14ac:dyDescent="0.3">
      <c r="A4174" s="187">
        <v>16</v>
      </c>
      <c r="B4174" s="242">
        <f t="shared" si="1561"/>
        <v>46113</v>
      </c>
      <c r="C4174" s="243">
        <f t="shared" si="1542"/>
        <v>46142</v>
      </c>
      <c r="D4174" s="120">
        <f t="shared" si="1543"/>
        <v>30</v>
      </c>
      <c r="E4174" s="120">
        <f t="shared" si="1544"/>
        <v>4</v>
      </c>
      <c r="F4174" s="275">
        <f t="shared" si="1545"/>
        <v>46128</v>
      </c>
      <c r="G4174" s="120">
        <f t="shared" si="1546"/>
        <v>24315</v>
      </c>
      <c r="H4174" s="245">
        <f t="shared" si="1547"/>
        <v>1</v>
      </c>
      <c r="I4174" s="121">
        <f t="shared" si="1548"/>
        <v>1.04</v>
      </c>
      <c r="J4174" s="121">
        <f t="shared" si="1549"/>
        <v>1.04</v>
      </c>
      <c r="K4174" s="120">
        <f t="shared" si="1550"/>
        <v>0</v>
      </c>
      <c r="L4174" s="120">
        <f t="shared" si="1551"/>
        <v>0</v>
      </c>
      <c r="M4174" s="246">
        <f t="shared" si="1552"/>
        <v>0</v>
      </c>
      <c r="N4174" s="121">
        <f t="shared" si="1553"/>
        <v>1.04</v>
      </c>
      <c r="O4174" s="246">
        <f t="shared" si="1554"/>
        <v>0.84897155361050325</v>
      </c>
      <c r="P4174" s="121">
        <f t="shared" si="1555"/>
        <v>1</v>
      </c>
      <c r="Q4174" s="121">
        <f t="shared" si="1556"/>
        <v>0</v>
      </c>
      <c r="R4174" s="121">
        <f t="shared" si="1557"/>
        <v>0</v>
      </c>
      <c r="S4174" s="121" t="str">
        <f t="shared" si="1558"/>
        <v/>
      </c>
      <c r="T4174" s="121" t="str">
        <f t="shared" si="1559"/>
        <v/>
      </c>
      <c r="U4174" s="121">
        <f t="shared" si="1560"/>
        <v>1.04</v>
      </c>
    </row>
    <row r="4175" spans="1:21" x14ac:dyDescent="0.3">
      <c r="A4175" s="187">
        <v>17</v>
      </c>
      <c r="B4175" s="242">
        <f t="shared" si="1561"/>
        <v>46143</v>
      </c>
      <c r="C4175" s="243">
        <f t="shared" si="1542"/>
        <v>46173</v>
      </c>
      <c r="D4175" s="120">
        <f t="shared" si="1543"/>
        <v>31</v>
      </c>
      <c r="E4175" s="120">
        <f t="shared" si="1544"/>
        <v>5</v>
      </c>
      <c r="F4175" s="275">
        <f t="shared" si="1545"/>
        <v>46158.5</v>
      </c>
      <c r="G4175" s="120">
        <f t="shared" si="1546"/>
        <v>24316</v>
      </c>
      <c r="H4175" s="245">
        <f t="shared" si="1547"/>
        <v>1</v>
      </c>
      <c r="I4175" s="121">
        <f t="shared" si="1548"/>
        <v>1.04</v>
      </c>
      <c r="J4175" s="121">
        <f t="shared" si="1549"/>
        <v>1.04</v>
      </c>
      <c r="K4175" s="120">
        <f t="shared" si="1550"/>
        <v>0</v>
      </c>
      <c r="L4175" s="120">
        <f t="shared" si="1551"/>
        <v>0</v>
      </c>
      <c r="M4175" s="246">
        <f t="shared" si="1552"/>
        <v>0</v>
      </c>
      <c r="N4175" s="121">
        <f t="shared" si="1553"/>
        <v>1.04</v>
      </c>
      <c r="O4175" s="246">
        <f t="shared" si="1554"/>
        <v>0.85097374179431073</v>
      </c>
      <c r="P4175" s="121">
        <f t="shared" si="1555"/>
        <v>1</v>
      </c>
      <c r="Q4175" s="121">
        <f t="shared" si="1556"/>
        <v>0</v>
      </c>
      <c r="R4175" s="121">
        <f t="shared" si="1557"/>
        <v>0</v>
      </c>
      <c r="S4175" s="121" t="str">
        <f t="shared" si="1558"/>
        <v/>
      </c>
      <c r="T4175" s="121" t="str">
        <f t="shared" si="1559"/>
        <v/>
      </c>
      <c r="U4175" s="121">
        <f t="shared" si="1560"/>
        <v>1.04</v>
      </c>
    </row>
    <row r="4176" spans="1:21" x14ac:dyDescent="0.3">
      <c r="A4176" s="187">
        <v>18</v>
      </c>
      <c r="B4176" s="242">
        <f t="shared" si="1561"/>
        <v>46174</v>
      </c>
      <c r="C4176" s="243">
        <f t="shared" si="1542"/>
        <v>46203</v>
      </c>
      <c r="D4176" s="120">
        <f t="shared" si="1543"/>
        <v>30</v>
      </c>
      <c r="E4176" s="120">
        <f t="shared" si="1544"/>
        <v>6</v>
      </c>
      <c r="F4176" s="275">
        <f t="shared" si="1545"/>
        <v>46189</v>
      </c>
      <c r="G4176" s="120">
        <f t="shared" si="1546"/>
        <v>24317</v>
      </c>
      <c r="H4176" s="245">
        <f t="shared" si="1547"/>
        <v>1</v>
      </c>
      <c r="I4176" s="121">
        <f t="shared" si="1548"/>
        <v>1.04</v>
      </c>
      <c r="J4176" s="121">
        <f t="shared" si="1549"/>
        <v>1.04</v>
      </c>
      <c r="K4176" s="120">
        <f t="shared" si="1550"/>
        <v>0</v>
      </c>
      <c r="L4176" s="120">
        <f t="shared" si="1551"/>
        <v>0</v>
      </c>
      <c r="M4176" s="246">
        <f t="shared" si="1552"/>
        <v>0</v>
      </c>
      <c r="N4176" s="121">
        <f t="shared" si="1553"/>
        <v>1.04</v>
      </c>
      <c r="O4176" s="246">
        <f t="shared" si="1554"/>
        <v>0.85297592997811811</v>
      </c>
      <c r="P4176" s="121">
        <f t="shared" si="1555"/>
        <v>1</v>
      </c>
      <c r="Q4176" s="121">
        <f t="shared" si="1556"/>
        <v>0</v>
      </c>
      <c r="R4176" s="121">
        <f t="shared" si="1557"/>
        <v>0</v>
      </c>
      <c r="S4176" s="121" t="str">
        <f t="shared" si="1558"/>
        <v/>
      </c>
      <c r="T4176" s="121" t="str">
        <f t="shared" si="1559"/>
        <v/>
      </c>
      <c r="U4176" s="121">
        <f t="shared" si="1560"/>
        <v>1.04</v>
      </c>
    </row>
    <row r="4177" spans="1:21" x14ac:dyDescent="0.3">
      <c r="A4177" s="187">
        <v>19</v>
      </c>
      <c r="B4177" s="242">
        <f t="shared" si="1561"/>
        <v>46204</v>
      </c>
      <c r="C4177" s="243">
        <f t="shared" si="1542"/>
        <v>46234</v>
      </c>
      <c r="D4177" s="120">
        <f t="shared" si="1543"/>
        <v>31</v>
      </c>
      <c r="E4177" s="120">
        <f t="shared" si="1544"/>
        <v>7</v>
      </c>
      <c r="F4177" s="275">
        <f t="shared" si="1545"/>
        <v>46219.5</v>
      </c>
      <c r="G4177" s="120">
        <f t="shared" si="1546"/>
        <v>24318</v>
      </c>
      <c r="H4177" s="245">
        <f t="shared" si="1547"/>
        <v>1</v>
      </c>
      <c r="I4177" s="121">
        <f t="shared" si="1548"/>
        <v>1.04</v>
      </c>
      <c r="J4177" s="121">
        <f t="shared" si="1549"/>
        <v>1.1024</v>
      </c>
      <c r="K4177" s="120">
        <f t="shared" si="1550"/>
        <v>1</v>
      </c>
      <c r="L4177" s="120">
        <f t="shared" si="1551"/>
        <v>31</v>
      </c>
      <c r="M4177" s="246">
        <f t="shared" si="1552"/>
        <v>1</v>
      </c>
      <c r="N4177" s="121">
        <f t="shared" si="1553"/>
        <v>1.1024</v>
      </c>
      <c r="O4177" s="246">
        <f t="shared" si="1554"/>
        <v>0.85497811816192559</v>
      </c>
      <c r="P4177" s="121">
        <f t="shared" si="1555"/>
        <v>0.91666666666666663</v>
      </c>
      <c r="Q4177" s="121">
        <f t="shared" si="1556"/>
        <v>8.333333333333337E-2</v>
      </c>
      <c r="R4177" s="121">
        <f t="shared" si="1557"/>
        <v>0</v>
      </c>
      <c r="S4177" s="121" t="str">
        <f t="shared" si="1558"/>
        <v/>
      </c>
      <c r="T4177" s="121" t="str">
        <f t="shared" si="1559"/>
        <v/>
      </c>
      <c r="U4177" s="121">
        <f t="shared" si="1560"/>
        <v>1.1024</v>
      </c>
    </row>
    <row r="4178" spans="1:21" x14ac:dyDescent="0.3">
      <c r="A4178" s="187">
        <v>20</v>
      </c>
      <c r="B4178" s="242">
        <f t="shared" si="1561"/>
        <v>46235</v>
      </c>
      <c r="C4178" s="243">
        <f t="shared" si="1542"/>
        <v>46265</v>
      </c>
      <c r="D4178" s="120">
        <f t="shared" si="1543"/>
        <v>31</v>
      </c>
      <c r="E4178" s="120">
        <f t="shared" si="1544"/>
        <v>8</v>
      </c>
      <c r="F4178" s="275">
        <f t="shared" si="1545"/>
        <v>46250.5</v>
      </c>
      <c r="G4178" s="120">
        <f t="shared" si="1546"/>
        <v>24319</v>
      </c>
      <c r="H4178" s="245">
        <f t="shared" si="1547"/>
        <v>1</v>
      </c>
      <c r="I4178" s="121">
        <f t="shared" si="1548"/>
        <v>1.1024</v>
      </c>
      <c r="J4178" s="121">
        <f t="shared" si="1549"/>
        <v>1.1024</v>
      </c>
      <c r="K4178" s="120">
        <f t="shared" si="1550"/>
        <v>0</v>
      </c>
      <c r="L4178" s="120">
        <f t="shared" si="1551"/>
        <v>0</v>
      </c>
      <c r="M4178" s="246">
        <f t="shared" si="1552"/>
        <v>0</v>
      </c>
      <c r="N4178" s="121">
        <f t="shared" si="1553"/>
        <v>1.1024</v>
      </c>
      <c r="O4178" s="246">
        <f t="shared" si="1554"/>
        <v>0.85701312910284466</v>
      </c>
      <c r="P4178" s="121">
        <f t="shared" si="1555"/>
        <v>0.75</v>
      </c>
      <c r="Q4178" s="121">
        <f t="shared" si="1556"/>
        <v>0.25</v>
      </c>
      <c r="R4178" s="121">
        <f t="shared" si="1557"/>
        <v>0</v>
      </c>
      <c r="S4178" s="121" t="str">
        <f t="shared" si="1558"/>
        <v/>
      </c>
      <c r="T4178" s="121" t="str">
        <f t="shared" si="1559"/>
        <v/>
      </c>
      <c r="U4178" s="121">
        <f t="shared" si="1560"/>
        <v>1.1024</v>
      </c>
    </row>
    <row r="4179" spans="1:21" x14ac:dyDescent="0.3">
      <c r="A4179" s="187">
        <v>21</v>
      </c>
      <c r="B4179" s="242">
        <f t="shared" si="1561"/>
        <v>46266</v>
      </c>
      <c r="C4179" s="243">
        <f t="shared" si="1542"/>
        <v>46295</v>
      </c>
      <c r="D4179" s="120">
        <f t="shared" si="1543"/>
        <v>30</v>
      </c>
      <c r="E4179" s="120">
        <f t="shared" si="1544"/>
        <v>9</v>
      </c>
      <c r="F4179" s="275">
        <f t="shared" si="1545"/>
        <v>46281</v>
      </c>
      <c r="G4179" s="120">
        <f t="shared" si="1546"/>
        <v>24320</v>
      </c>
      <c r="H4179" s="245">
        <f t="shared" si="1547"/>
        <v>1</v>
      </c>
      <c r="I4179" s="121">
        <f t="shared" si="1548"/>
        <v>1.1024</v>
      </c>
      <c r="J4179" s="121">
        <f t="shared" si="1549"/>
        <v>1.1024</v>
      </c>
      <c r="K4179" s="120">
        <f t="shared" si="1550"/>
        <v>0</v>
      </c>
      <c r="L4179" s="120">
        <f t="shared" si="1551"/>
        <v>0</v>
      </c>
      <c r="M4179" s="246">
        <f t="shared" si="1552"/>
        <v>0</v>
      </c>
      <c r="N4179" s="121">
        <f t="shared" si="1553"/>
        <v>1.1024</v>
      </c>
      <c r="O4179" s="246">
        <f t="shared" si="1554"/>
        <v>0.85901531728665204</v>
      </c>
      <c r="P4179" s="121">
        <f t="shared" si="1555"/>
        <v>0.58333333333333337</v>
      </c>
      <c r="Q4179" s="121">
        <f t="shared" si="1556"/>
        <v>0.41666666666666663</v>
      </c>
      <c r="R4179" s="121">
        <f t="shared" si="1557"/>
        <v>0</v>
      </c>
      <c r="S4179" s="121" t="str">
        <f t="shared" si="1558"/>
        <v/>
      </c>
      <c r="T4179" s="121" t="str">
        <f t="shared" si="1559"/>
        <v/>
      </c>
      <c r="U4179" s="121">
        <f t="shared" si="1560"/>
        <v>1.1024</v>
      </c>
    </row>
    <row r="4180" spans="1:21" x14ac:dyDescent="0.3">
      <c r="A4180" s="187">
        <v>22</v>
      </c>
      <c r="B4180" s="242">
        <f t="shared" si="1561"/>
        <v>46296</v>
      </c>
      <c r="C4180" s="243">
        <f t="shared" si="1542"/>
        <v>46326</v>
      </c>
      <c r="D4180" s="120">
        <f t="shared" si="1543"/>
        <v>31</v>
      </c>
      <c r="E4180" s="120">
        <f t="shared" si="1544"/>
        <v>10</v>
      </c>
      <c r="F4180" s="275">
        <f t="shared" si="1545"/>
        <v>46311.5</v>
      </c>
      <c r="G4180" s="120">
        <f t="shared" si="1546"/>
        <v>24321</v>
      </c>
      <c r="H4180" s="245">
        <f t="shared" si="1547"/>
        <v>1</v>
      </c>
      <c r="I4180" s="121">
        <f t="shared" si="1548"/>
        <v>1.1024</v>
      </c>
      <c r="J4180" s="121">
        <f t="shared" si="1549"/>
        <v>1.1024</v>
      </c>
      <c r="K4180" s="120">
        <f t="shared" si="1550"/>
        <v>0</v>
      </c>
      <c r="L4180" s="120">
        <f t="shared" si="1551"/>
        <v>0</v>
      </c>
      <c r="M4180" s="246">
        <f t="shared" si="1552"/>
        <v>0</v>
      </c>
      <c r="N4180" s="121">
        <f t="shared" si="1553"/>
        <v>1.1024</v>
      </c>
      <c r="O4180" s="246">
        <f t="shared" si="1554"/>
        <v>0.86101750547045952</v>
      </c>
      <c r="P4180" s="121">
        <f t="shared" si="1555"/>
        <v>0.41666666666666669</v>
      </c>
      <c r="Q4180" s="121">
        <f t="shared" si="1556"/>
        <v>0.58333333333333326</v>
      </c>
      <c r="R4180" s="121">
        <f t="shared" si="1557"/>
        <v>0</v>
      </c>
      <c r="S4180" s="121" t="str">
        <f t="shared" si="1558"/>
        <v/>
      </c>
      <c r="T4180" s="121" t="str">
        <f t="shared" si="1559"/>
        <v/>
      </c>
      <c r="U4180" s="121">
        <f t="shared" si="1560"/>
        <v>1.1024</v>
      </c>
    </row>
    <row r="4181" spans="1:21" x14ac:dyDescent="0.3">
      <c r="A4181" s="187">
        <v>23</v>
      </c>
      <c r="B4181" s="242">
        <f t="shared" si="1561"/>
        <v>46327</v>
      </c>
      <c r="C4181" s="243">
        <f t="shared" si="1542"/>
        <v>46356</v>
      </c>
      <c r="D4181" s="120">
        <f t="shared" si="1543"/>
        <v>30</v>
      </c>
      <c r="E4181" s="120">
        <f t="shared" si="1544"/>
        <v>11</v>
      </c>
      <c r="F4181" s="275">
        <f t="shared" si="1545"/>
        <v>46342</v>
      </c>
      <c r="G4181" s="120">
        <f t="shared" si="1546"/>
        <v>24322</v>
      </c>
      <c r="H4181" s="245">
        <f t="shared" si="1547"/>
        <v>1</v>
      </c>
      <c r="I4181" s="121">
        <f t="shared" si="1548"/>
        <v>1.1024</v>
      </c>
      <c r="J4181" s="121">
        <f t="shared" si="1549"/>
        <v>1.1024</v>
      </c>
      <c r="K4181" s="120">
        <f t="shared" si="1550"/>
        <v>0</v>
      </c>
      <c r="L4181" s="120">
        <f t="shared" si="1551"/>
        <v>0</v>
      </c>
      <c r="M4181" s="246">
        <f t="shared" si="1552"/>
        <v>0</v>
      </c>
      <c r="N4181" s="121">
        <f t="shared" si="1553"/>
        <v>1.1024</v>
      </c>
      <c r="O4181" s="246">
        <f t="shared" si="1554"/>
        <v>0.8630196936542669</v>
      </c>
      <c r="P4181" s="121">
        <f t="shared" si="1555"/>
        <v>0.25</v>
      </c>
      <c r="Q4181" s="121">
        <f t="shared" si="1556"/>
        <v>0.75</v>
      </c>
      <c r="R4181" s="121">
        <f t="shared" si="1557"/>
        <v>0</v>
      </c>
      <c r="S4181" s="121" t="str">
        <f t="shared" si="1558"/>
        <v/>
      </c>
      <c r="T4181" s="121" t="str">
        <f t="shared" si="1559"/>
        <v/>
      </c>
      <c r="U4181" s="121">
        <f t="shared" si="1560"/>
        <v>1.1024</v>
      </c>
    </row>
    <row r="4182" spans="1:21" x14ac:dyDescent="0.3">
      <c r="A4182" s="187">
        <v>24</v>
      </c>
      <c r="B4182" s="242">
        <f t="shared" si="1561"/>
        <v>46357</v>
      </c>
      <c r="C4182" s="243">
        <f t="shared" si="1542"/>
        <v>46387</v>
      </c>
      <c r="D4182" s="120">
        <f t="shared" si="1543"/>
        <v>31</v>
      </c>
      <c r="E4182" s="120">
        <f t="shared" si="1544"/>
        <v>12</v>
      </c>
      <c r="F4182" s="275">
        <f t="shared" si="1545"/>
        <v>46372.5</v>
      </c>
      <c r="G4182" s="120">
        <f t="shared" si="1546"/>
        <v>24323</v>
      </c>
      <c r="H4182" s="245">
        <f t="shared" si="1547"/>
        <v>1</v>
      </c>
      <c r="I4182" s="121">
        <f t="shared" si="1548"/>
        <v>1.1024</v>
      </c>
      <c r="J4182" s="121">
        <f t="shared" si="1549"/>
        <v>1.1024</v>
      </c>
      <c r="K4182" s="120">
        <f t="shared" si="1550"/>
        <v>0</v>
      </c>
      <c r="L4182" s="120">
        <f t="shared" si="1551"/>
        <v>0</v>
      </c>
      <c r="M4182" s="246">
        <f t="shared" si="1552"/>
        <v>0</v>
      </c>
      <c r="N4182" s="121">
        <f t="shared" si="1553"/>
        <v>1.1024</v>
      </c>
      <c r="O4182" s="246">
        <f t="shared" si="1554"/>
        <v>0.86502188183807438</v>
      </c>
      <c r="P4182" s="121">
        <f t="shared" si="1555"/>
        <v>8.3333333333333329E-2</v>
      </c>
      <c r="Q4182" s="121">
        <f t="shared" si="1556"/>
        <v>0.91666666666666663</v>
      </c>
      <c r="R4182" s="121">
        <f t="shared" si="1557"/>
        <v>0</v>
      </c>
      <c r="S4182" s="121" t="str">
        <f t="shared" si="1558"/>
        <v/>
      </c>
      <c r="T4182" s="121" t="str">
        <f t="shared" si="1559"/>
        <v/>
      </c>
      <c r="U4182" s="121">
        <f t="shared" si="1560"/>
        <v>1.1024</v>
      </c>
    </row>
    <row r="4183" spans="1:21" x14ac:dyDescent="0.3">
      <c r="A4183" s="187">
        <v>25</v>
      </c>
      <c r="B4183" s="242">
        <f t="shared" si="1561"/>
        <v>46388</v>
      </c>
      <c r="C4183" s="243">
        <f t="shared" si="1542"/>
        <v>46418</v>
      </c>
      <c r="D4183" s="120">
        <f t="shared" si="1543"/>
        <v>31</v>
      </c>
      <c r="E4183" s="120">
        <f t="shared" si="1544"/>
        <v>1</v>
      </c>
      <c r="F4183" s="275">
        <f t="shared" si="1545"/>
        <v>46403.5</v>
      </c>
      <c r="G4183" s="120">
        <f t="shared" si="1546"/>
        <v>24324</v>
      </c>
      <c r="H4183" s="245">
        <f t="shared" si="1547"/>
        <v>1</v>
      </c>
      <c r="I4183" s="121">
        <f t="shared" si="1548"/>
        <v>1.1024</v>
      </c>
      <c r="J4183" s="121">
        <f t="shared" si="1549"/>
        <v>1.1024</v>
      </c>
      <c r="K4183" s="120">
        <f t="shared" si="1550"/>
        <v>0</v>
      </c>
      <c r="L4183" s="120">
        <f t="shared" si="1551"/>
        <v>0</v>
      </c>
      <c r="M4183" s="246">
        <f t="shared" si="1552"/>
        <v>0</v>
      </c>
      <c r="N4183" s="121">
        <f t="shared" si="1553"/>
        <v>1.1024</v>
      </c>
      <c r="O4183" s="246">
        <f t="shared" si="1554"/>
        <v>0.86705689277899345</v>
      </c>
      <c r="P4183" s="121">
        <f t="shared" si="1555"/>
        <v>0</v>
      </c>
      <c r="Q4183" s="121">
        <f t="shared" si="1556"/>
        <v>1</v>
      </c>
      <c r="R4183" s="121">
        <f t="shared" si="1557"/>
        <v>0</v>
      </c>
      <c r="S4183" s="121" t="str">
        <f t="shared" si="1558"/>
        <v/>
      </c>
      <c r="T4183" s="121" t="str">
        <f t="shared" si="1559"/>
        <v/>
      </c>
      <c r="U4183" s="121">
        <f t="shared" si="1560"/>
        <v>1.1024</v>
      </c>
    </row>
    <row r="4184" spans="1:21" x14ac:dyDescent="0.3">
      <c r="A4184" s="187">
        <v>26</v>
      </c>
      <c r="B4184" s="242">
        <f t="shared" si="1561"/>
        <v>46419</v>
      </c>
      <c r="C4184" s="243">
        <f t="shared" si="1542"/>
        <v>46446</v>
      </c>
      <c r="D4184" s="120">
        <f t="shared" si="1543"/>
        <v>28</v>
      </c>
      <c r="E4184" s="120">
        <f t="shared" si="1544"/>
        <v>2</v>
      </c>
      <c r="F4184" s="275">
        <f t="shared" si="1545"/>
        <v>46433</v>
      </c>
      <c r="G4184" s="120">
        <f t="shared" si="1546"/>
        <v>24325</v>
      </c>
      <c r="H4184" s="245">
        <f t="shared" si="1547"/>
        <v>1</v>
      </c>
      <c r="I4184" s="121">
        <f t="shared" si="1548"/>
        <v>1.1024</v>
      </c>
      <c r="J4184" s="121">
        <f t="shared" si="1549"/>
        <v>1.1024</v>
      </c>
      <c r="K4184" s="120">
        <f t="shared" si="1550"/>
        <v>0</v>
      </c>
      <c r="L4184" s="120">
        <f t="shared" si="1551"/>
        <v>0</v>
      </c>
      <c r="M4184" s="246">
        <f t="shared" si="1552"/>
        <v>0</v>
      </c>
      <c r="N4184" s="121">
        <f t="shared" si="1553"/>
        <v>1.1024</v>
      </c>
      <c r="O4184" s="246">
        <f t="shared" si="1554"/>
        <v>0.86899343544857766</v>
      </c>
      <c r="P4184" s="121">
        <f t="shared" si="1555"/>
        <v>0</v>
      </c>
      <c r="Q4184" s="121">
        <f t="shared" si="1556"/>
        <v>1</v>
      </c>
      <c r="R4184" s="121">
        <f t="shared" si="1557"/>
        <v>0</v>
      </c>
      <c r="S4184" s="121" t="str">
        <f t="shared" si="1558"/>
        <v/>
      </c>
      <c r="T4184" s="121" t="str">
        <f t="shared" si="1559"/>
        <v/>
      </c>
      <c r="U4184" s="121">
        <f t="shared" si="1560"/>
        <v>1.1024</v>
      </c>
    </row>
    <row r="4185" spans="1:21" x14ac:dyDescent="0.3">
      <c r="A4185" s="187">
        <v>27</v>
      </c>
      <c r="B4185" s="242">
        <f t="shared" si="1561"/>
        <v>46447</v>
      </c>
      <c r="C4185" s="243">
        <f t="shared" si="1542"/>
        <v>46477</v>
      </c>
      <c r="D4185" s="120">
        <f t="shared" si="1543"/>
        <v>31</v>
      </c>
      <c r="E4185" s="120">
        <f t="shared" si="1544"/>
        <v>3</v>
      </c>
      <c r="F4185" s="275">
        <f t="shared" si="1545"/>
        <v>46462.5</v>
      </c>
      <c r="G4185" s="120">
        <f t="shared" si="1546"/>
        <v>24326</v>
      </c>
      <c r="H4185" s="245">
        <f t="shared" si="1547"/>
        <v>1</v>
      </c>
      <c r="I4185" s="121">
        <f t="shared" si="1548"/>
        <v>1.1024</v>
      </c>
      <c r="J4185" s="121">
        <f t="shared" si="1549"/>
        <v>1.1024</v>
      </c>
      <c r="K4185" s="120">
        <f t="shared" si="1550"/>
        <v>0</v>
      </c>
      <c r="L4185" s="120">
        <f t="shared" si="1551"/>
        <v>0</v>
      </c>
      <c r="M4185" s="246">
        <f t="shared" si="1552"/>
        <v>0</v>
      </c>
      <c r="N4185" s="121">
        <f t="shared" si="1553"/>
        <v>1.1024</v>
      </c>
      <c r="O4185" s="246">
        <f t="shared" si="1554"/>
        <v>0.87092997811816197</v>
      </c>
      <c r="P4185" s="121">
        <f t="shared" si="1555"/>
        <v>0</v>
      </c>
      <c r="Q4185" s="121">
        <f t="shared" si="1556"/>
        <v>1</v>
      </c>
      <c r="R4185" s="121">
        <f t="shared" si="1557"/>
        <v>0</v>
      </c>
      <c r="S4185" s="121" t="str">
        <f t="shared" si="1558"/>
        <v/>
      </c>
      <c r="T4185" s="121" t="str">
        <f t="shared" si="1559"/>
        <v/>
      </c>
      <c r="U4185" s="121">
        <f t="shared" si="1560"/>
        <v>1.1024</v>
      </c>
    </row>
    <row r="4186" spans="1:21" x14ac:dyDescent="0.3">
      <c r="A4186" s="187">
        <v>28</v>
      </c>
      <c r="B4186" s="242">
        <f t="shared" si="1561"/>
        <v>46478</v>
      </c>
      <c r="C4186" s="243">
        <f t="shared" si="1542"/>
        <v>46507</v>
      </c>
      <c r="D4186" s="120">
        <f t="shared" si="1543"/>
        <v>30</v>
      </c>
      <c r="E4186" s="120">
        <f t="shared" si="1544"/>
        <v>4</v>
      </c>
      <c r="F4186" s="275">
        <f t="shared" si="1545"/>
        <v>46493</v>
      </c>
      <c r="G4186" s="120">
        <f t="shared" si="1546"/>
        <v>24327</v>
      </c>
      <c r="H4186" s="245">
        <f t="shared" si="1547"/>
        <v>1</v>
      </c>
      <c r="I4186" s="121">
        <f t="shared" si="1548"/>
        <v>1.1024</v>
      </c>
      <c r="J4186" s="121">
        <f t="shared" si="1549"/>
        <v>1.1575200000000001</v>
      </c>
      <c r="K4186" s="120">
        <f t="shared" si="1550"/>
        <v>1</v>
      </c>
      <c r="L4186" s="120">
        <f t="shared" si="1551"/>
        <v>30</v>
      </c>
      <c r="M4186" s="246">
        <f t="shared" si="1552"/>
        <v>1</v>
      </c>
      <c r="N4186" s="121">
        <f t="shared" si="1553"/>
        <v>1.1575200000000001</v>
      </c>
      <c r="O4186" s="246">
        <f t="shared" si="1554"/>
        <v>0.87293216630196935</v>
      </c>
      <c r="P4186" s="121">
        <f t="shared" si="1555"/>
        <v>0</v>
      </c>
      <c r="Q4186" s="121">
        <f t="shared" si="1556"/>
        <v>1</v>
      </c>
      <c r="R4186" s="121">
        <f t="shared" si="1557"/>
        <v>0</v>
      </c>
      <c r="S4186" s="121" t="str">
        <f t="shared" si="1558"/>
        <v/>
      </c>
      <c r="T4186" s="121" t="str">
        <f t="shared" si="1559"/>
        <v/>
      </c>
      <c r="U4186" s="121">
        <f t="shared" si="1560"/>
        <v>1.1575200000000001</v>
      </c>
    </row>
    <row r="4187" spans="1:21" x14ac:dyDescent="0.3">
      <c r="A4187" s="187">
        <v>29</v>
      </c>
      <c r="B4187" s="242">
        <f t="shared" si="1561"/>
        <v>46508</v>
      </c>
      <c r="C4187" s="243">
        <f t="shared" si="1542"/>
        <v>46538</v>
      </c>
      <c r="D4187" s="120">
        <f t="shared" si="1543"/>
        <v>31</v>
      </c>
      <c r="E4187" s="120">
        <f t="shared" si="1544"/>
        <v>5</v>
      </c>
      <c r="F4187" s="275">
        <f t="shared" si="1545"/>
        <v>46523.5</v>
      </c>
      <c r="G4187" s="120">
        <f t="shared" si="1546"/>
        <v>24328</v>
      </c>
      <c r="H4187" s="245">
        <f t="shared" si="1547"/>
        <v>1</v>
      </c>
      <c r="I4187" s="121">
        <f t="shared" si="1548"/>
        <v>1.1575200000000001</v>
      </c>
      <c r="J4187" s="121">
        <f t="shared" si="1549"/>
        <v>1.1575200000000001</v>
      </c>
      <c r="K4187" s="120">
        <f t="shared" si="1550"/>
        <v>0</v>
      </c>
      <c r="L4187" s="120">
        <f t="shared" si="1551"/>
        <v>0</v>
      </c>
      <c r="M4187" s="246">
        <f t="shared" si="1552"/>
        <v>0</v>
      </c>
      <c r="N4187" s="121">
        <f t="shared" si="1553"/>
        <v>1.1575200000000001</v>
      </c>
      <c r="O4187" s="246">
        <f t="shared" si="1554"/>
        <v>0.87493435448577683</v>
      </c>
      <c r="P4187" s="121">
        <f t="shared" si="1555"/>
        <v>0</v>
      </c>
      <c r="Q4187" s="121">
        <f t="shared" si="1556"/>
        <v>1</v>
      </c>
      <c r="R4187" s="121">
        <f t="shared" si="1557"/>
        <v>0</v>
      </c>
      <c r="S4187" s="121" t="str">
        <f t="shared" si="1558"/>
        <v/>
      </c>
      <c r="T4187" s="121" t="str">
        <f t="shared" si="1559"/>
        <v/>
      </c>
      <c r="U4187" s="121">
        <f t="shared" si="1560"/>
        <v>1.1575200000000001</v>
      </c>
    </row>
    <row r="4188" spans="1:21" x14ac:dyDescent="0.3">
      <c r="A4188" s="187">
        <v>30</v>
      </c>
      <c r="B4188" s="242">
        <f t="shared" si="1561"/>
        <v>46539</v>
      </c>
      <c r="C4188" s="243">
        <f t="shared" si="1542"/>
        <v>46568</v>
      </c>
      <c r="D4188" s="120">
        <f t="shared" si="1543"/>
        <v>30</v>
      </c>
      <c r="E4188" s="120">
        <f t="shared" si="1544"/>
        <v>6</v>
      </c>
      <c r="F4188" s="275">
        <f t="shared" si="1545"/>
        <v>46554</v>
      </c>
      <c r="G4188" s="120">
        <f t="shared" si="1546"/>
        <v>24329</v>
      </c>
      <c r="H4188" s="245">
        <f t="shared" si="1547"/>
        <v>1</v>
      </c>
      <c r="I4188" s="121">
        <f t="shared" si="1548"/>
        <v>1.1575200000000001</v>
      </c>
      <c r="J4188" s="121">
        <f t="shared" si="1549"/>
        <v>1.1575200000000001</v>
      </c>
      <c r="K4188" s="120">
        <f t="shared" si="1550"/>
        <v>0</v>
      </c>
      <c r="L4188" s="120">
        <f t="shared" si="1551"/>
        <v>0</v>
      </c>
      <c r="M4188" s="246">
        <f t="shared" si="1552"/>
        <v>0</v>
      </c>
      <c r="N4188" s="121">
        <f t="shared" si="1553"/>
        <v>1.1575200000000001</v>
      </c>
      <c r="O4188" s="246">
        <f t="shared" si="1554"/>
        <v>0.87693654266958421</v>
      </c>
      <c r="P4188" s="121">
        <f t="shared" si="1555"/>
        <v>0</v>
      </c>
      <c r="Q4188" s="121">
        <f t="shared" si="1556"/>
        <v>1</v>
      </c>
      <c r="R4188" s="121">
        <f t="shared" si="1557"/>
        <v>0</v>
      </c>
      <c r="S4188" s="121" t="str">
        <f t="shared" si="1558"/>
        <v/>
      </c>
      <c r="T4188" s="121" t="str">
        <f t="shared" si="1559"/>
        <v/>
      </c>
      <c r="U4188" s="121">
        <f t="shared" si="1560"/>
        <v>1.1575200000000001</v>
      </c>
    </row>
    <row r="4189" spans="1:21" x14ac:dyDescent="0.3">
      <c r="A4189" s="187">
        <v>31</v>
      </c>
      <c r="B4189" s="242">
        <f t="shared" si="1561"/>
        <v>46569</v>
      </c>
      <c r="C4189" s="243">
        <f t="shared" si="1542"/>
        <v>46599</v>
      </c>
      <c r="D4189" s="120">
        <f t="shared" si="1543"/>
        <v>31</v>
      </c>
      <c r="E4189" s="120">
        <f t="shared" si="1544"/>
        <v>7</v>
      </c>
      <c r="F4189" s="275">
        <f t="shared" si="1545"/>
        <v>46584.5</v>
      </c>
      <c r="G4189" s="120">
        <f t="shared" si="1546"/>
        <v>24330</v>
      </c>
      <c r="H4189" s="245">
        <f t="shared" si="1547"/>
        <v>1</v>
      </c>
      <c r="I4189" s="121">
        <f t="shared" si="1548"/>
        <v>1.1575200000000001</v>
      </c>
      <c r="J4189" s="121">
        <f t="shared" si="1549"/>
        <v>1.1575200000000001</v>
      </c>
      <c r="K4189" s="120">
        <f t="shared" si="1550"/>
        <v>0</v>
      </c>
      <c r="L4189" s="120">
        <f t="shared" si="1551"/>
        <v>0</v>
      </c>
      <c r="M4189" s="246">
        <f t="shared" si="1552"/>
        <v>0</v>
      </c>
      <c r="N4189" s="121">
        <f t="shared" si="1553"/>
        <v>1.1575200000000001</v>
      </c>
      <c r="O4189" s="246">
        <f t="shared" si="1554"/>
        <v>0.87893873085339169</v>
      </c>
      <c r="P4189" s="121">
        <f t="shared" si="1555"/>
        <v>0</v>
      </c>
      <c r="Q4189" s="121">
        <f t="shared" si="1556"/>
        <v>0.91666666666666663</v>
      </c>
      <c r="R4189" s="121">
        <f t="shared" si="1557"/>
        <v>8.333333333333337E-2</v>
      </c>
      <c r="S4189" s="121" t="str">
        <f t="shared" si="1558"/>
        <v/>
      </c>
      <c r="T4189" s="121" t="str">
        <f t="shared" si="1559"/>
        <v/>
      </c>
      <c r="U4189" s="121">
        <f t="shared" si="1560"/>
        <v>1.1575200000000001</v>
      </c>
    </row>
    <row r="4190" spans="1:21" x14ac:dyDescent="0.3">
      <c r="A4190" s="187">
        <v>32</v>
      </c>
      <c r="B4190" s="242">
        <f t="shared" si="1561"/>
        <v>46600</v>
      </c>
      <c r="C4190" s="243">
        <f t="shared" si="1542"/>
        <v>46630</v>
      </c>
      <c r="D4190" s="120">
        <f t="shared" si="1543"/>
        <v>31</v>
      </c>
      <c r="E4190" s="120">
        <f t="shared" si="1544"/>
        <v>8</v>
      </c>
      <c r="F4190" s="275">
        <f t="shared" si="1545"/>
        <v>46615.5</v>
      </c>
      <c r="G4190" s="120">
        <f t="shared" si="1546"/>
        <v>24331</v>
      </c>
      <c r="H4190" s="245">
        <f t="shared" si="1547"/>
        <v>1</v>
      </c>
      <c r="I4190" s="121">
        <f t="shared" si="1548"/>
        <v>1.1575200000000001</v>
      </c>
      <c r="J4190" s="121">
        <f t="shared" si="1549"/>
        <v>1.1575200000000001</v>
      </c>
      <c r="K4190" s="120">
        <f t="shared" si="1550"/>
        <v>0</v>
      </c>
      <c r="L4190" s="120">
        <f t="shared" si="1551"/>
        <v>0</v>
      </c>
      <c r="M4190" s="246">
        <f t="shared" si="1552"/>
        <v>0</v>
      </c>
      <c r="N4190" s="121">
        <f t="shared" si="1553"/>
        <v>1.1575200000000001</v>
      </c>
      <c r="O4190" s="246">
        <f t="shared" si="1554"/>
        <v>0.88097374179431076</v>
      </c>
      <c r="P4190" s="121">
        <f t="shared" si="1555"/>
        <v>0</v>
      </c>
      <c r="Q4190" s="121">
        <f t="shared" si="1556"/>
        <v>0.75</v>
      </c>
      <c r="R4190" s="121">
        <f t="shared" si="1557"/>
        <v>0.25</v>
      </c>
      <c r="S4190" s="121" t="str">
        <f t="shared" si="1558"/>
        <v/>
      </c>
      <c r="T4190" s="121" t="str">
        <f t="shared" si="1559"/>
        <v/>
      </c>
      <c r="U4190" s="121">
        <f t="shared" si="1560"/>
        <v>1.1575200000000001</v>
      </c>
    </row>
    <row r="4191" spans="1:21" x14ac:dyDescent="0.3">
      <c r="A4191" s="187">
        <v>33</v>
      </c>
      <c r="B4191" s="242">
        <f t="shared" si="1561"/>
        <v>46631</v>
      </c>
      <c r="C4191" s="243">
        <f t="shared" si="1542"/>
        <v>46660</v>
      </c>
      <c r="D4191" s="120">
        <f t="shared" si="1543"/>
        <v>30</v>
      </c>
      <c r="E4191" s="120">
        <f t="shared" si="1544"/>
        <v>9</v>
      </c>
      <c r="F4191" s="275">
        <f t="shared" si="1545"/>
        <v>46646</v>
      </c>
      <c r="G4191" s="120">
        <f t="shared" si="1546"/>
        <v>24332</v>
      </c>
      <c r="H4191" s="245">
        <f t="shared" si="1547"/>
        <v>1</v>
      </c>
      <c r="I4191" s="121">
        <f t="shared" si="1548"/>
        <v>1.1575200000000001</v>
      </c>
      <c r="J4191" s="121">
        <f t="shared" si="1549"/>
        <v>1.1575200000000001</v>
      </c>
      <c r="K4191" s="120">
        <f t="shared" si="1550"/>
        <v>0</v>
      </c>
      <c r="L4191" s="120">
        <f t="shared" si="1551"/>
        <v>0</v>
      </c>
      <c r="M4191" s="246">
        <f t="shared" si="1552"/>
        <v>0</v>
      </c>
      <c r="N4191" s="121">
        <f t="shared" si="1553"/>
        <v>1.1575200000000001</v>
      </c>
      <c r="O4191" s="246">
        <f t="shared" si="1554"/>
        <v>0.88297592997811813</v>
      </c>
      <c r="P4191" s="121">
        <f t="shared" si="1555"/>
        <v>0</v>
      </c>
      <c r="Q4191" s="121">
        <f t="shared" si="1556"/>
        <v>0.58333333333333337</v>
      </c>
      <c r="R4191" s="121">
        <f t="shared" si="1557"/>
        <v>0.41666666666666663</v>
      </c>
      <c r="S4191" s="121" t="str">
        <f t="shared" si="1558"/>
        <v/>
      </c>
      <c r="T4191" s="121" t="str">
        <f t="shared" si="1559"/>
        <v/>
      </c>
      <c r="U4191" s="121">
        <f t="shared" si="1560"/>
        <v>1.1575200000000001</v>
      </c>
    </row>
    <row r="4192" spans="1:21" x14ac:dyDescent="0.3">
      <c r="A4192" s="187">
        <v>34</v>
      </c>
      <c r="B4192" s="242">
        <f t="shared" si="1561"/>
        <v>46661</v>
      </c>
      <c r="C4192" s="243">
        <f t="shared" si="1542"/>
        <v>46691</v>
      </c>
      <c r="D4192" s="120">
        <f t="shared" si="1543"/>
        <v>31</v>
      </c>
      <c r="E4192" s="120">
        <f t="shared" si="1544"/>
        <v>10</v>
      </c>
      <c r="F4192" s="275">
        <f t="shared" si="1545"/>
        <v>46676.5</v>
      </c>
      <c r="G4192" s="120">
        <f t="shared" si="1546"/>
        <v>24333</v>
      </c>
      <c r="H4192" s="245">
        <f t="shared" si="1547"/>
        <v>1</v>
      </c>
      <c r="I4192" s="121">
        <f t="shared" si="1548"/>
        <v>1.1575200000000001</v>
      </c>
      <c r="J4192" s="121">
        <f t="shared" si="1549"/>
        <v>1.1575200000000001</v>
      </c>
      <c r="K4192" s="120">
        <f t="shared" si="1550"/>
        <v>0</v>
      </c>
      <c r="L4192" s="120">
        <f t="shared" si="1551"/>
        <v>0</v>
      </c>
      <c r="M4192" s="246">
        <f t="shared" si="1552"/>
        <v>0</v>
      </c>
      <c r="N4192" s="121">
        <f t="shared" si="1553"/>
        <v>1.1575200000000001</v>
      </c>
      <c r="O4192" s="246">
        <f t="shared" si="1554"/>
        <v>0.88497811816192562</v>
      </c>
      <c r="P4192" s="121">
        <f t="shared" si="1555"/>
        <v>0</v>
      </c>
      <c r="Q4192" s="121">
        <f t="shared" si="1556"/>
        <v>0.41666666666666669</v>
      </c>
      <c r="R4192" s="121">
        <f t="shared" si="1557"/>
        <v>0.58333333333333326</v>
      </c>
      <c r="S4192" s="121" t="str">
        <f t="shared" si="1558"/>
        <v/>
      </c>
      <c r="T4192" s="121" t="str">
        <f t="shared" si="1559"/>
        <v/>
      </c>
      <c r="U4192" s="121">
        <f t="shared" si="1560"/>
        <v>1.1575200000000001</v>
      </c>
    </row>
    <row r="4193" spans="1:21" x14ac:dyDescent="0.3">
      <c r="A4193" s="187">
        <v>35</v>
      </c>
      <c r="B4193" s="242">
        <f t="shared" si="1561"/>
        <v>46692</v>
      </c>
      <c r="C4193" s="243">
        <f t="shared" si="1542"/>
        <v>46721</v>
      </c>
      <c r="D4193" s="120">
        <f t="shared" si="1543"/>
        <v>30</v>
      </c>
      <c r="E4193" s="120">
        <f t="shared" si="1544"/>
        <v>11</v>
      </c>
      <c r="F4193" s="275">
        <f t="shared" si="1545"/>
        <v>46707</v>
      </c>
      <c r="G4193" s="120">
        <f t="shared" si="1546"/>
        <v>24334</v>
      </c>
      <c r="H4193" s="245">
        <f t="shared" si="1547"/>
        <v>1</v>
      </c>
      <c r="I4193" s="121">
        <f t="shared" si="1548"/>
        <v>1.1575200000000001</v>
      </c>
      <c r="J4193" s="121">
        <f t="shared" si="1549"/>
        <v>1.1575200000000001</v>
      </c>
      <c r="K4193" s="120">
        <f t="shared" si="1550"/>
        <v>0</v>
      </c>
      <c r="L4193" s="120">
        <f t="shared" si="1551"/>
        <v>0</v>
      </c>
      <c r="M4193" s="246">
        <f t="shared" si="1552"/>
        <v>0</v>
      </c>
      <c r="N4193" s="121">
        <f t="shared" si="1553"/>
        <v>1.1575200000000001</v>
      </c>
      <c r="O4193" s="246">
        <f t="shared" si="1554"/>
        <v>0.8869803063457331</v>
      </c>
      <c r="P4193" s="121">
        <f t="shared" si="1555"/>
        <v>0</v>
      </c>
      <c r="Q4193" s="121">
        <f t="shared" si="1556"/>
        <v>0.25</v>
      </c>
      <c r="R4193" s="121">
        <f t="shared" si="1557"/>
        <v>0.75</v>
      </c>
      <c r="S4193" s="121" t="str">
        <f t="shared" si="1558"/>
        <v/>
      </c>
      <c r="T4193" s="121" t="str">
        <f t="shared" si="1559"/>
        <v/>
      </c>
      <c r="U4193" s="121">
        <f t="shared" si="1560"/>
        <v>1.1575200000000001</v>
      </c>
    </row>
    <row r="4194" spans="1:21" x14ac:dyDescent="0.3">
      <c r="A4194" s="187">
        <v>36</v>
      </c>
      <c r="B4194" s="242">
        <f t="shared" si="1561"/>
        <v>46722</v>
      </c>
      <c r="C4194" s="243">
        <f t="shared" si="1542"/>
        <v>46752</v>
      </c>
      <c r="D4194" s="120">
        <f t="shared" si="1543"/>
        <v>31</v>
      </c>
      <c r="E4194" s="120">
        <f t="shared" si="1544"/>
        <v>12</v>
      </c>
      <c r="F4194" s="275">
        <f t="shared" si="1545"/>
        <v>46737.5</v>
      </c>
      <c r="G4194" s="120">
        <f t="shared" si="1546"/>
        <v>24335</v>
      </c>
      <c r="H4194" s="245">
        <f t="shared" si="1547"/>
        <v>1</v>
      </c>
      <c r="I4194" s="121">
        <f t="shared" si="1548"/>
        <v>1.1575200000000001</v>
      </c>
      <c r="J4194" s="121">
        <f t="shared" si="1549"/>
        <v>1.1575200000000001</v>
      </c>
      <c r="K4194" s="120">
        <f t="shared" si="1550"/>
        <v>0</v>
      </c>
      <c r="L4194" s="120">
        <f t="shared" si="1551"/>
        <v>0</v>
      </c>
      <c r="M4194" s="246">
        <f t="shared" si="1552"/>
        <v>0</v>
      </c>
      <c r="N4194" s="121">
        <f t="shared" si="1553"/>
        <v>1.1575200000000001</v>
      </c>
      <c r="O4194" s="246">
        <f t="shared" si="1554"/>
        <v>0.88898249452954048</v>
      </c>
      <c r="P4194" s="121">
        <f t="shared" si="1555"/>
        <v>0</v>
      </c>
      <c r="Q4194" s="121">
        <f t="shared" si="1556"/>
        <v>8.3333333333333329E-2</v>
      </c>
      <c r="R4194" s="121">
        <f t="shared" si="1557"/>
        <v>0.91666666666666663</v>
      </c>
      <c r="S4194" s="121" t="str">
        <f t="shared" si="1558"/>
        <v/>
      </c>
      <c r="T4194" s="121" t="str">
        <f t="shared" si="1559"/>
        <v/>
      </c>
      <c r="U4194" s="121">
        <f t="shared" si="1560"/>
        <v>1.1575200000000001</v>
      </c>
    </row>
    <row r="4195" spans="1:21" x14ac:dyDescent="0.3">
      <c r="A4195" s="187">
        <v>37</v>
      </c>
      <c r="B4195" s="242">
        <f t="shared" si="1561"/>
        <v>46753</v>
      </c>
      <c r="C4195" s="243">
        <f t="shared" si="1542"/>
        <v>46783</v>
      </c>
      <c r="D4195" s="120">
        <f t="shared" si="1543"/>
        <v>31</v>
      </c>
      <c r="E4195" s="120">
        <f t="shared" si="1544"/>
        <v>1</v>
      </c>
      <c r="F4195" s="275">
        <f t="shared" si="1545"/>
        <v>46768.5</v>
      </c>
      <c r="G4195" s="120">
        <f t="shared" si="1546"/>
        <v>24336</v>
      </c>
      <c r="H4195" s="245">
        <f t="shared" si="1547"/>
        <v>1</v>
      </c>
      <c r="I4195" s="121">
        <f t="shared" si="1548"/>
        <v>1.1575200000000001</v>
      </c>
      <c r="J4195" s="121">
        <f t="shared" si="1549"/>
        <v>1.1575200000000001</v>
      </c>
      <c r="K4195" s="120">
        <f t="shared" si="1550"/>
        <v>0</v>
      </c>
      <c r="L4195" s="120">
        <f t="shared" si="1551"/>
        <v>0</v>
      </c>
      <c r="M4195" s="246">
        <f t="shared" si="1552"/>
        <v>0</v>
      </c>
      <c r="N4195" s="121">
        <f t="shared" si="1553"/>
        <v>1.1575200000000001</v>
      </c>
      <c r="O4195" s="246">
        <f t="shared" si="1554"/>
        <v>0.89</v>
      </c>
      <c r="P4195" s="121">
        <f t="shared" si="1555"/>
        <v>0</v>
      </c>
      <c r="Q4195" s="121">
        <f t="shared" si="1556"/>
        <v>0</v>
      </c>
      <c r="R4195" s="121">
        <f t="shared" si="1557"/>
        <v>1</v>
      </c>
      <c r="S4195" s="121" t="str">
        <f t="shared" si="1558"/>
        <v/>
      </c>
      <c r="T4195" s="121" t="str">
        <f t="shared" si="1559"/>
        <v/>
      </c>
      <c r="U4195" s="121">
        <f t="shared" si="1560"/>
        <v>1.1575200000000001</v>
      </c>
    </row>
    <row r="4196" spans="1:21" x14ac:dyDescent="0.3">
      <c r="A4196" s="187">
        <v>38</v>
      </c>
      <c r="B4196" s="242">
        <f t="shared" si="1561"/>
        <v>46784</v>
      </c>
      <c r="C4196" s="243">
        <f t="shared" si="1542"/>
        <v>46812</v>
      </c>
      <c r="D4196" s="120">
        <f t="shared" si="1543"/>
        <v>29</v>
      </c>
      <c r="E4196" s="120">
        <f t="shared" si="1544"/>
        <v>2</v>
      </c>
      <c r="F4196" s="275">
        <f t="shared" si="1545"/>
        <v>46798.5</v>
      </c>
      <c r="G4196" s="120">
        <f t="shared" si="1546"/>
        <v>24337</v>
      </c>
      <c r="H4196" s="245">
        <f t="shared" si="1547"/>
        <v>1</v>
      </c>
      <c r="I4196" s="121">
        <f t="shared" si="1548"/>
        <v>1.1575200000000001</v>
      </c>
      <c r="J4196" s="121">
        <f t="shared" si="1549"/>
        <v>1.1575200000000001</v>
      </c>
      <c r="K4196" s="120">
        <f t="shared" si="1550"/>
        <v>0</v>
      </c>
      <c r="L4196" s="120">
        <f t="shared" si="1551"/>
        <v>0</v>
      </c>
      <c r="M4196" s="246">
        <f t="shared" si="1552"/>
        <v>0</v>
      </c>
      <c r="N4196" s="121">
        <f t="shared" si="1553"/>
        <v>1.1575200000000001</v>
      </c>
      <c r="O4196" s="246">
        <f t="shared" si="1554"/>
        <v>0.89</v>
      </c>
      <c r="P4196" s="121">
        <f t="shared" si="1555"/>
        <v>0</v>
      </c>
      <c r="Q4196" s="121">
        <f t="shared" si="1556"/>
        <v>0</v>
      </c>
      <c r="R4196" s="121">
        <f t="shared" si="1557"/>
        <v>1</v>
      </c>
      <c r="S4196" s="121" t="str">
        <f t="shared" si="1558"/>
        <v/>
      </c>
      <c r="T4196" s="121" t="str">
        <f t="shared" si="1559"/>
        <v/>
      </c>
      <c r="U4196" s="121">
        <f t="shared" si="1560"/>
        <v>1.1575200000000001</v>
      </c>
    </row>
    <row r="4197" spans="1:21" x14ac:dyDescent="0.3">
      <c r="A4197" s="187">
        <v>39</v>
      </c>
      <c r="B4197" s="242">
        <f t="shared" si="1561"/>
        <v>46813</v>
      </c>
      <c r="C4197" s="243">
        <f t="shared" si="1542"/>
        <v>46843</v>
      </c>
      <c r="D4197" s="120">
        <f t="shared" si="1543"/>
        <v>31</v>
      </c>
      <c r="E4197" s="120">
        <f t="shared" si="1544"/>
        <v>3</v>
      </c>
      <c r="F4197" s="275">
        <f t="shared" si="1545"/>
        <v>46828.5</v>
      </c>
      <c r="G4197" s="120">
        <f t="shared" si="1546"/>
        <v>24338</v>
      </c>
      <c r="H4197" s="245">
        <f t="shared" si="1547"/>
        <v>1</v>
      </c>
      <c r="I4197" s="121">
        <f t="shared" si="1548"/>
        <v>1.1575200000000001</v>
      </c>
      <c r="J4197" s="121">
        <f t="shared" si="1549"/>
        <v>1.1575200000000001</v>
      </c>
      <c r="K4197" s="120">
        <f t="shared" si="1550"/>
        <v>0</v>
      </c>
      <c r="L4197" s="120">
        <f t="shared" si="1551"/>
        <v>0</v>
      </c>
      <c r="M4197" s="246">
        <f t="shared" si="1552"/>
        <v>0</v>
      </c>
      <c r="N4197" s="121">
        <f t="shared" si="1553"/>
        <v>1.1575200000000001</v>
      </c>
      <c r="O4197" s="246">
        <f t="shared" si="1554"/>
        <v>0.89</v>
      </c>
      <c r="P4197" s="121">
        <f t="shared" si="1555"/>
        <v>0</v>
      </c>
      <c r="Q4197" s="121">
        <f t="shared" si="1556"/>
        <v>0</v>
      </c>
      <c r="R4197" s="121">
        <f t="shared" si="1557"/>
        <v>1</v>
      </c>
      <c r="S4197" s="121" t="str">
        <f t="shared" si="1558"/>
        <v/>
      </c>
      <c r="T4197" s="121" t="str">
        <f t="shared" si="1559"/>
        <v/>
      </c>
      <c r="U4197" s="121">
        <f t="shared" si="1560"/>
        <v>1.1575200000000001</v>
      </c>
    </row>
    <row r="4198" spans="1:21" x14ac:dyDescent="0.3">
      <c r="A4198" s="187">
        <v>40</v>
      </c>
      <c r="B4198" s="242">
        <f t="shared" si="1561"/>
        <v>46844</v>
      </c>
      <c r="C4198" s="243">
        <f t="shared" si="1542"/>
        <v>46873</v>
      </c>
      <c r="D4198" s="120">
        <f t="shared" si="1543"/>
        <v>30</v>
      </c>
      <c r="E4198" s="120">
        <f t="shared" si="1544"/>
        <v>4</v>
      </c>
      <c r="F4198" s="275">
        <f t="shared" si="1545"/>
        <v>46859</v>
      </c>
      <c r="G4198" s="120">
        <f t="shared" si="1546"/>
        <v>24339</v>
      </c>
      <c r="H4198" s="245">
        <f t="shared" si="1547"/>
        <v>1</v>
      </c>
      <c r="I4198" s="121">
        <f t="shared" si="1548"/>
        <v>1.1575200000000001</v>
      </c>
      <c r="J4198" s="121">
        <f t="shared" si="1549"/>
        <v>1.1575200000000001</v>
      </c>
      <c r="K4198" s="120">
        <f t="shared" si="1550"/>
        <v>0</v>
      </c>
      <c r="L4198" s="120">
        <f t="shared" si="1551"/>
        <v>0</v>
      </c>
      <c r="M4198" s="246">
        <f t="shared" si="1552"/>
        <v>0</v>
      </c>
      <c r="N4198" s="121">
        <f t="shared" si="1553"/>
        <v>1.1575200000000001</v>
      </c>
      <c r="O4198" s="246">
        <f t="shared" si="1554"/>
        <v>0.89</v>
      </c>
      <c r="P4198" s="121">
        <f t="shared" si="1555"/>
        <v>0</v>
      </c>
      <c r="Q4198" s="121">
        <f t="shared" si="1556"/>
        <v>0</v>
      </c>
      <c r="R4198" s="121">
        <f t="shared" si="1557"/>
        <v>1</v>
      </c>
      <c r="S4198" s="121" t="str">
        <f t="shared" si="1558"/>
        <v/>
      </c>
      <c r="T4198" s="121" t="str">
        <f t="shared" si="1559"/>
        <v/>
      </c>
      <c r="U4198" s="121">
        <f t="shared" si="1560"/>
        <v>1.1575200000000001</v>
      </c>
    </row>
    <row r="4199" spans="1:21" x14ac:dyDescent="0.3">
      <c r="A4199" s="187">
        <v>41</v>
      </c>
      <c r="B4199" s="242">
        <f t="shared" si="1561"/>
        <v>46874</v>
      </c>
      <c r="C4199" s="243">
        <f t="shared" si="1542"/>
        <v>46904</v>
      </c>
      <c r="D4199" s="120">
        <f t="shared" si="1543"/>
        <v>31</v>
      </c>
      <c r="E4199" s="120">
        <f t="shared" si="1544"/>
        <v>5</v>
      </c>
      <c r="F4199" s="275">
        <f t="shared" si="1545"/>
        <v>46889.5</v>
      </c>
      <c r="G4199" s="120">
        <f t="shared" si="1546"/>
        <v>24340</v>
      </c>
      <c r="H4199" s="245">
        <f t="shared" si="1547"/>
        <v>1</v>
      </c>
      <c r="I4199" s="121">
        <f t="shared" si="1548"/>
        <v>1.1575200000000001</v>
      </c>
      <c r="J4199" s="121">
        <f t="shared" si="1549"/>
        <v>1.1575200000000001</v>
      </c>
      <c r="K4199" s="120">
        <f t="shared" si="1550"/>
        <v>0</v>
      </c>
      <c r="L4199" s="120">
        <f t="shared" si="1551"/>
        <v>0</v>
      </c>
      <c r="M4199" s="246">
        <f t="shared" si="1552"/>
        <v>0</v>
      </c>
      <c r="N4199" s="121">
        <f t="shared" si="1553"/>
        <v>1.1575200000000001</v>
      </c>
      <c r="O4199" s="246">
        <f t="shared" si="1554"/>
        <v>0.89</v>
      </c>
      <c r="P4199" s="121">
        <f t="shared" si="1555"/>
        <v>0</v>
      </c>
      <c r="Q4199" s="121">
        <f t="shared" si="1556"/>
        <v>0</v>
      </c>
      <c r="R4199" s="121">
        <f t="shared" si="1557"/>
        <v>1</v>
      </c>
      <c r="S4199" s="121" t="str">
        <f t="shared" si="1558"/>
        <v/>
      </c>
      <c r="T4199" s="121" t="str">
        <f t="shared" si="1559"/>
        <v/>
      </c>
      <c r="U4199" s="121">
        <f t="shared" si="1560"/>
        <v>1.1575200000000001</v>
      </c>
    </row>
    <row r="4200" spans="1:21" x14ac:dyDescent="0.3">
      <c r="A4200" s="187">
        <v>42</v>
      </c>
      <c r="B4200" s="242">
        <f t="shared" si="1561"/>
        <v>46905</v>
      </c>
      <c r="C4200" s="243">
        <f t="shared" si="1542"/>
        <v>46934</v>
      </c>
      <c r="D4200" s="120">
        <f t="shared" si="1543"/>
        <v>30</v>
      </c>
      <c r="E4200" s="120">
        <f t="shared" si="1544"/>
        <v>6</v>
      </c>
      <c r="F4200" s="275">
        <f t="shared" si="1545"/>
        <v>46920</v>
      </c>
      <c r="G4200" s="120">
        <f t="shared" si="1546"/>
        <v>24341</v>
      </c>
      <c r="H4200" s="245">
        <f t="shared" si="1547"/>
        <v>1</v>
      </c>
      <c r="I4200" s="121">
        <f t="shared" si="1548"/>
        <v>1.1575200000000001</v>
      </c>
      <c r="J4200" s="121">
        <f t="shared" si="1549"/>
        <v>1.1575200000000001</v>
      </c>
      <c r="K4200" s="120">
        <f t="shared" si="1550"/>
        <v>0</v>
      </c>
      <c r="L4200" s="120">
        <f t="shared" si="1551"/>
        <v>0</v>
      </c>
      <c r="M4200" s="246">
        <f t="shared" si="1552"/>
        <v>0</v>
      </c>
      <c r="N4200" s="121">
        <f t="shared" si="1553"/>
        <v>1.1575200000000001</v>
      </c>
      <c r="O4200" s="246">
        <f t="shared" si="1554"/>
        <v>0.89</v>
      </c>
      <c r="P4200" s="121">
        <f t="shared" si="1555"/>
        <v>0</v>
      </c>
      <c r="Q4200" s="121">
        <f t="shared" si="1556"/>
        <v>0</v>
      </c>
      <c r="R4200" s="121">
        <f t="shared" si="1557"/>
        <v>1</v>
      </c>
      <c r="S4200" s="121" t="str">
        <f t="shared" si="1558"/>
        <v/>
      </c>
      <c r="T4200" s="121" t="str">
        <f t="shared" si="1559"/>
        <v/>
      </c>
      <c r="U4200" s="121">
        <f t="shared" si="1560"/>
        <v>1.1575200000000001</v>
      </c>
    </row>
    <row r="4201" spans="1:21" x14ac:dyDescent="0.3">
      <c r="A4201" s="187">
        <v>43</v>
      </c>
      <c r="B4201" s="242">
        <f t="shared" si="1561"/>
        <v>46935</v>
      </c>
      <c r="C4201" s="243">
        <f t="shared" si="1542"/>
        <v>46965</v>
      </c>
      <c r="D4201" s="120">
        <f t="shared" si="1543"/>
        <v>31</v>
      </c>
      <c r="E4201" s="120">
        <f t="shared" si="1544"/>
        <v>7</v>
      </c>
      <c r="F4201" s="275">
        <f t="shared" si="1545"/>
        <v>46950.5</v>
      </c>
      <c r="G4201" s="120">
        <f t="shared" si="1546"/>
        <v>24342</v>
      </c>
      <c r="H4201" s="245">
        <f t="shared" si="1547"/>
        <v>1</v>
      </c>
      <c r="I4201" s="121">
        <f t="shared" si="1548"/>
        <v>1.1575200000000001</v>
      </c>
      <c r="J4201" s="121">
        <f t="shared" si="1549"/>
        <v>1.1575200000000001</v>
      </c>
      <c r="K4201" s="120">
        <f t="shared" si="1550"/>
        <v>0</v>
      </c>
      <c r="L4201" s="120">
        <f t="shared" si="1551"/>
        <v>0</v>
      </c>
      <c r="M4201" s="246">
        <f t="shared" si="1552"/>
        <v>0</v>
      </c>
      <c r="N4201" s="121">
        <f t="shared" si="1553"/>
        <v>1.1575200000000001</v>
      </c>
      <c r="O4201" s="246">
        <f t="shared" si="1554"/>
        <v>0.89</v>
      </c>
      <c r="P4201" s="121">
        <f t="shared" si="1555"/>
        <v>0</v>
      </c>
      <c r="Q4201" s="121">
        <f t="shared" si="1556"/>
        <v>0</v>
      </c>
      <c r="R4201" s="121">
        <f t="shared" si="1557"/>
        <v>0.91666666666666663</v>
      </c>
      <c r="S4201" s="121" t="str">
        <f t="shared" si="1558"/>
        <v/>
      </c>
      <c r="T4201" s="121" t="str">
        <f t="shared" si="1559"/>
        <v/>
      </c>
      <c r="U4201" s="121">
        <f t="shared" si="1560"/>
        <v>1.1575200000000001</v>
      </c>
    </row>
    <row r="4202" spans="1:21" x14ac:dyDescent="0.3">
      <c r="A4202" s="187">
        <v>44</v>
      </c>
      <c r="B4202" s="242">
        <f t="shared" si="1561"/>
        <v>46966</v>
      </c>
      <c r="C4202" s="243">
        <f t="shared" si="1542"/>
        <v>46996</v>
      </c>
      <c r="D4202" s="120">
        <f t="shared" si="1543"/>
        <v>31</v>
      </c>
      <c r="E4202" s="120">
        <f t="shared" si="1544"/>
        <v>8</v>
      </c>
      <c r="F4202" s="275">
        <f t="shared" si="1545"/>
        <v>46981.5</v>
      </c>
      <c r="G4202" s="120">
        <f t="shared" si="1546"/>
        <v>24343</v>
      </c>
      <c r="H4202" s="245">
        <f t="shared" si="1547"/>
        <v>1</v>
      </c>
      <c r="I4202" s="121">
        <f t="shared" si="1548"/>
        <v>1.1575200000000001</v>
      </c>
      <c r="J4202" s="121">
        <f t="shared" si="1549"/>
        <v>1.1575200000000001</v>
      </c>
      <c r="K4202" s="120">
        <f t="shared" si="1550"/>
        <v>0</v>
      </c>
      <c r="L4202" s="120">
        <f t="shared" si="1551"/>
        <v>0</v>
      </c>
      <c r="M4202" s="246">
        <f t="shared" si="1552"/>
        <v>0</v>
      </c>
      <c r="N4202" s="121">
        <f t="shared" si="1553"/>
        <v>1.1575200000000001</v>
      </c>
      <c r="O4202" s="246">
        <f t="shared" si="1554"/>
        <v>0.89</v>
      </c>
      <c r="P4202" s="121">
        <f t="shared" si="1555"/>
        <v>0</v>
      </c>
      <c r="Q4202" s="121">
        <f t="shared" si="1556"/>
        <v>0</v>
      </c>
      <c r="R4202" s="121">
        <f t="shared" si="1557"/>
        <v>0.75</v>
      </c>
      <c r="S4202" s="121" t="str">
        <f t="shared" si="1558"/>
        <v/>
      </c>
      <c r="T4202" s="121" t="str">
        <f t="shared" si="1559"/>
        <v/>
      </c>
      <c r="U4202" s="121">
        <f t="shared" si="1560"/>
        <v>1.1575200000000001</v>
      </c>
    </row>
    <row r="4203" spans="1:21" x14ac:dyDescent="0.3">
      <c r="A4203" s="187">
        <v>45</v>
      </c>
      <c r="B4203" s="242">
        <f t="shared" si="1561"/>
        <v>46997</v>
      </c>
      <c r="C4203" s="243">
        <f t="shared" si="1542"/>
        <v>47026</v>
      </c>
      <c r="D4203" s="120">
        <f t="shared" si="1543"/>
        <v>30</v>
      </c>
      <c r="E4203" s="120">
        <f t="shared" si="1544"/>
        <v>9</v>
      </c>
      <c r="F4203" s="275">
        <f t="shared" si="1545"/>
        <v>47012</v>
      </c>
      <c r="G4203" s="120">
        <f t="shared" si="1546"/>
        <v>24344</v>
      </c>
      <c r="H4203" s="245">
        <f t="shared" si="1547"/>
        <v>1</v>
      </c>
      <c r="I4203" s="121">
        <f t="shared" si="1548"/>
        <v>1.1575200000000001</v>
      </c>
      <c r="J4203" s="121">
        <f t="shared" si="1549"/>
        <v>1.1575200000000001</v>
      </c>
      <c r="K4203" s="120">
        <f t="shared" si="1550"/>
        <v>0</v>
      </c>
      <c r="L4203" s="120">
        <f t="shared" si="1551"/>
        <v>0</v>
      </c>
      <c r="M4203" s="246">
        <f t="shared" si="1552"/>
        <v>0</v>
      </c>
      <c r="N4203" s="121">
        <f t="shared" si="1553"/>
        <v>1.1575200000000001</v>
      </c>
      <c r="O4203" s="246">
        <f t="shared" si="1554"/>
        <v>0.89</v>
      </c>
      <c r="P4203" s="121">
        <f t="shared" si="1555"/>
        <v>0</v>
      </c>
      <c r="Q4203" s="121">
        <f t="shared" si="1556"/>
        <v>0</v>
      </c>
      <c r="R4203" s="121">
        <f t="shared" si="1557"/>
        <v>0.58333333333333337</v>
      </c>
      <c r="S4203" s="121" t="str">
        <f t="shared" si="1558"/>
        <v/>
      </c>
      <c r="T4203" s="121" t="str">
        <f t="shared" si="1559"/>
        <v/>
      </c>
      <c r="U4203" s="121">
        <f t="shared" si="1560"/>
        <v>1.1575200000000001</v>
      </c>
    </row>
    <row r="4204" spans="1:21" x14ac:dyDescent="0.3">
      <c r="A4204" s="187">
        <v>46</v>
      </c>
      <c r="B4204" s="242">
        <f t="shared" si="1561"/>
        <v>47027</v>
      </c>
      <c r="C4204" s="243">
        <f t="shared" si="1542"/>
        <v>47057</v>
      </c>
      <c r="D4204" s="120">
        <f t="shared" si="1543"/>
        <v>31</v>
      </c>
      <c r="E4204" s="120">
        <f t="shared" si="1544"/>
        <v>10</v>
      </c>
      <c r="F4204" s="275">
        <f t="shared" si="1545"/>
        <v>47042.5</v>
      </c>
      <c r="G4204" s="120">
        <f t="shared" si="1546"/>
        <v>24345</v>
      </c>
      <c r="H4204" s="245">
        <f t="shared" si="1547"/>
        <v>1</v>
      </c>
      <c r="I4204" s="121">
        <f t="shared" si="1548"/>
        <v>1.1575200000000001</v>
      </c>
      <c r="J4204" s="121">
        <f t="shared" si="1549"/>
        <v>1.1575200000000001</v>
      </c>
      <c r="K4204" s="120">
        <f t="shared" si="1550"/>
        <v>0</v>
      </c>
      <c r="L4204" s="120">
        <f t="shared" si="1551"/>
        <v>0</v>
      </c>
      <c r="M4204" s="246">
        <f t="shared" si="1552"/>
        <v>0</v>
      </c>
      <c r="N4204" s="121">
        <f t="shared" si="1553"/>
        <v>1.1575200000000001</v>
      </c>
      <c r="O4204" s="246">
        <f t="shared" si="1554"/>
        <v>0.89</v>
      </c>
      <c r="P4204" s="121">
        <f t="shared" si="1555"/>
        <v>0</v>
      </c>
      <c r="Q4204" s="121">
        <f t="shared" si="1556"/>
        <v>0</v>
      </c>
      <c r="R4204" s="121">
        <f t="shared" si="1557"/>
        <v>0.41666666666666669</v>
      </c>
      <c r="S4204" s="121" t="str">
        <f t="shared" si="1558"/>
        <v/>
      </c>
      <c r="T4204" s="121" t="str">
        <f t="shared" si="1559"/>
        <v/>
      </c>
      <c r="U4204" s="121">
        <f t="shared" si="1560"/>
        <v>1.1575200000000001</v>
      </c>
    </row>
    <row r="4205" spans="1:21" x14ac:dyDescent="0.3">
      <c r="A4205" s="187">
        <v>47</v>
      </c>
      <c r="B4205" s="242">
        <f t="shared" si="1561"/>
        <v>47058</v>
      </c>
      <c r="C4205" s="243">
        <f t="shared" si="1542"/>
        <v>47087</v>
      </c>
      <c r="D4205" s="120">
        <f t="shared" si="1543"/>
        <v>30</v>
      </c>
      <c r="E4205" s="120">
        <f t="shared" si="1544"/>
        <v>11</v>
      </c>
      <c r="F4205" s="275">
        <f t="shared" si="1545"/>
        <v>47073</v>
      </c>
      <c r="G4205" s="120">
        <f t="shared" si="1546"/>
        <v>24346</v>
      </c>
      <c r="H4205" s="245">
        <f t="shared" si="1547"/>
        <v>1</v>
      </c>
      <c r="I4205" s="121">
        <f t="shared" si="1548"/>
        <v>1.1575200000000001</v>
      </c>
      <c r="J4205" s="121">
        <f t="shared" si="1549"/>
        <v>1.1575200000000001</v>
      </c>
      <c r="K4205" s="120">
        <f t="shared" si="1550"/>
        <v>0</v>
      </c>
      <c r="L4205" s="120">
        <f t="shared" si="1551"/>
        <v>0</v>
      </c>
      <c r="M4205" s="246">
        <f t="shared" si="1552"/>
        <v>0</v>
      </c>
      <c r="N4205" s="121">
        <f t="shared" si="1553"/>
        <v>1.1575200000000001</v>
      </c>
      <c r="O4205" s="246">
        <f t="shared" si="1554"/>
        <v>0.89</v>
      </c>
      <c r="P4205" s="121">
        <f t="shared" si="1555"/>
        <v>0</v>
      </c>
      <c r="Q4205" s="121">
        <f t="shared" si="1556"/>
        <v>0</v>
      </c>
      <c r="R4205" s="121">
        <f t="shared" si="1557"/>
        <v>0.25</v>
      </c>
      <c r="S4205" s="121" t="str">
        <f t="shared" si="1558"/>
        <v/>
      </c>
      <c r="T4205" s="121" t="str">
        <f t="shared" si="1559"/>
        <v/>
      </c>
      <c r="U4205" s="121">
        <f t="shared" si="1560"/>
        <v>1.1575200000000001</v>
      </c>
    </row>
    <row r="4206" spans="1:21" x14ac:dyDescent="0.3">
      <c r="A4206" s="187">
        <v>48</v>
      </c>
      <c r="B4206" s="242">
        <f t="shared" si="1561"/>
        <v>47088</v>
      </c>
      <c r="C4206" s="243">
        <f t="shared" si="1542"/>
        <v>47118</v>
      </c>
      <c r="D4206" s="120">
        <f t="shared" si="1543"/>
        <v>31</v>
      </c>
      <c r="E4206" s="120">
        <f t="shared" si="1544"/>
        <v>12</v>
      </c>
      <c r="F4206" s="275">
        <f t="shared" si="1545"/>
        <v>47103.5</v>
      </c>
      <c r="G4206" s="120">
        <f t="shared" si="1546"/>
        <v>24347</v>
      </c>
      <c r="H4206" s="245">
        <f t="shared" si="1547"/>
        <v>1</v>
      </c>
      <c r="I4206" s="121">
        <f t="shared" si="1548"/>
        <v>1.1575200000000001</v>
      </c>
      <c r="J4206" s="121">
        <f t="shared" si="1549"/>
        <v>1.1575200000000001</v>
      </c>
      <c r="K4206" s="120">
        <f t="shared" si="1550"/>
        <v>0</v>
      </c>
      <c r="L4206" s="120">
        <f t="shared" si="1551"/>
        <v>0</v>
      </c>
      <c r="M4206" s="246">
        <f t="shared" si="1552"/>
        <v>0</v>
      </c>
      <c r="N4206" s="121">
        <f t="shared" si="1553"/>
        <v>1.1575200000000001</v>
      </c>
      <c r="O4206" s="246">
        <f t="shared" si="1554"/>
        <v>0.89</v>
      </c>
      <c r="P4206" s="121">
        <f t="shared" si="1555"/>
        <v>0</v>
      </c>
      <c r="Q4206" s="121">
        <f t="shared" si="1556"/>
        <v>0</v>
      </c>
      <c r="R4206" s="121">
        <f t="shared" si="1557"/>
        <v>8.3333333333333329E-2</v>
      </c>
      <c r="S4206" s="121" t="str">
        <f t="shared" si="1558"/>
        <v/>
      </c>
      <c r="T4206" s="121" t="str">
        <f t="shared" si="1559"/>
        <v/>
      </c>
      <c r="U4206" s="121">
        <f t="shared" si="1560"/>
        <v>1.1575200000000001</v>
      </c>
    </row>
    <row r="4207" spans="1:21" x14ac:dyDescent="0.3">
      <c r="A4207" s="6" t="s">
        <v>1694</v>
      </c>
      <c r="B4207" s="73">
        <f>SUMPRODUCT($H$4159:$H$4206,$Q$4159:$Q$4206,$U$4159:$U$4206)/SUMPRODUCT($H$4159:$H$4206,$Q$4159:$Q$4206)</f>
        <v>1.1299600000000001</v>
      </c>
      <c r="C4207" s="73">
        <f>SUMPRODUCT($H$4159:$H$4206,$R$4159:$R$4206,$U$4159:$U$4206)/SUMPRODUCT($H$4159:$H$4206,$R$4159:$R$4206)</f>
        <v>1.1575200000000001</v>
      </c>
      <c r="D4207" s="224">
        <f>SUMPRODUCT($H$4159:$H$4206,$Q$4159:$Q$4206,$O$4159:$O$4206)/SUMPRODUCT($H$4159:$H$4206,$Q$4159:$Q$4206)</f>
        <v>0.87197757111597374</v>
      </c>
    </row>
    <row r="4210" spans="1:21" x14ac:dyDescent="0.3">
      <c r="A4210" s="270" t="s">
        <v>1695</v>
      </c>
    </row>
    <row r="4211" spans="1:21" x14ac:dyDescent="0.3">
      <c r="A4211" s="6">
        <f>EDATE(nr_M0Asof,-12)+1</f>
        <v>45931</v>
      </c>
      <c r="B4211" s="6">
        <f>nr_M0Asof+1</f>
        <v>46296</v>
      </c>
      <c r="C4211" s="6">
        <f>DATE(nr_PlanYear,12,31)+1</f>
        <v>46753</v>
      </c>
      <c r="D4211" s="6">
        <f>DATE(nr_PlanYear+1,12,31)+1</f>
        <v>47119</v>
      </c>
      <c r="E4211" s="6">
        <f>IF(N(nr_MPrior)=0,$F$4211-($G$4211-$F$4211)/($C$4211-$B$4211)*($B$4211-$A$4211),nr_MPrior)</f>
        <v>0.83603938730853389</v>
      </c>
      <c r="F4211" s="6">
        <f>nr_M0</f>
        <v>0.86</v>
      </c>
      <c r="G4211" s="6">
        <f>nr_M1+N(INDEX(sc_dm1,4))</f>
        <v>0.89</v>
      </c>
      <c r="H4211" s="6">
        <f>IF(N(nr_M2)=0,nr_M1,nr_M2)+N(INDEX(sc_dm1,4))</f>
        <v>0.89</v>
      </c>
      <c r="I4211" s="6">
        <f>($F$4211-$E$4211)/($B$4211-$A$4211)</f>
        <v>6.5645514223194786E-5</v>
      </c>
      <c r="J4211" s="6">
        <f>($G$4211-$F$4211)/($C$4211-$B$4211)</f>
        <v>6.5645514223194813E-5</v>
      </c>
      <c r="K4211" s="6">
        <f>($H$4211-$G$4211)/($D$4211-$C$4211)</f>
        <v>0</v>
      </c>
    </row>
    <row r="4212" spans="1:21" ht="36" x14ac:dyDescent="0.3">
      <c r="A4212" s="58" t="s">
        <v>390</v>
      </c>
      <c r="B4212" s="58" t="s">
        <v>449</v>
      </c>
      <c r="C4212" s="58" t="s">
        <v>685</v>
      </c>
      <c r="D4212" s="58" t="s">
        <v>686</v>
      </c>
      <c r="E4212" s="58" t="s">
        <v>687</v>
      </c>
      <c r="F4212" s="58" t="s">
        <v>688</v>
      </c>
      <c r="G4212" s="58" t="s">
        <v>689</v>
      </c>
      <c r="H4212" s="58" t="s">
        <v>452</v>
      </c>
      <c r="I4212" s="58" t="s">
        <v>690</v>
      </c>
      <c r="J4212" s="58" t="s">
        <v>691</v>
      </c>
      <c r="K4212" s="58" t="s">
        <v>692</v>
      </c>
      <c r="L4212" s="58" t="s">
        <v>693</v>
      </c>
      <c r="M4212" s="58" t="s">
        <v>694</v>
      </c>
      <c r="N4212" s="58" t="s">
        <v>695</v>
      </c>
      <c r="O4212" s="58" t="s">
        <v>696</v>
      </c>
      <c r="P4212" s="58" t="s">
        <v>697</v>
      </c>
      <c r="Q4212" s="58" t="s">
        <v>698</v>
      </c>
      <c r="R4212" s="58" t="s">
        <v>699</v>
      </c>
      <c r="S4212" s="58" t="s">
        <v>700</v>
      </c>
      <c r="T4212" s="58" t="s">
        <v>701</v>
      </c>
      <c r="U4212" s="58" t="s">
        <v>702</v>
      </c>
    </row>
    <row r="4213" spans="1:21" x14ac:dyDescent="0.3">
      <c r="A4213" s="187">
        <v>1</v>
      </c>
      <c r="B4213" s="242">
        <f>DATE(nr_PlanYear-2,1,1)</f>
        <v>45658</v>
      </c>
      <c r="C4213" s="243">
        <f t="shared" ref="C4213:C4260" si="1562">EOMONTH($B4213,0)</f>
        <v>45688</v>
      </c>
      <c r="D4213" s="120">
        <f t="shared" ref="D4213:D4260" si="1563">$C4213-$B4213+1</f>
        <v>31</v>
      </c>
      <c r="E4213" s="120">
        <f t="shared" ref="E4213:E4260" si="1564">MONTH($B4213)</f>
        <v>1</v>
      </c>
      <c r="F4213" s="275">
        <f t="shared" ref="F4213:F4260" si="1565">($B4213+$C4213+1)/2</f>
        <v>45673.5</v>
      </c>
      <c r="G4213" s="120">
        <f t="shared" ref="G4213:G4260" si="1566">YEAR($B4213)*12+MONTH($B4213)-1</f>
        <v>24300</v>
      </c>
      <c r="H4213" s="245">
        <f t="shared" ref="H4213:H4260" si="1567">IF(OR(nr_SeasonOn="OFF",re_srow=0,re_ssum=0),1,12*INDEX(se_block,re_srow,$E4213)/re_ssum)</f>
        <v>1</v>
      </c>
      <c r="I4213" s="121">
        <f t="shared" ref="I4213:I4260" si="1568">EXP(SUMPRODUCT(($AE$3806:$AE$4045&lt;$B4213)*(rl_key=nr_SelKey)*$AI$3806:$AI$4045))</f>
        <v>1</v>
      </c>
      <c r="J4213" s="121">
        <f t="shared" ref="J4213:J4260" si="1569">EXP(SUMPRODUCT(($AE$3806:$AE$4045&lt;=$C4213)*(rl_key=nr_SelKey)*$AI$3806:$AI$4045))</f>
        <v>1</v>
      </c>
      <c r="K4213" s="120">
        <f t="shared" ref="K4213:K4260" si="1570">COUNTIFS(rl_key,nr_SelKey,$AE$3806:$AE$4045,"&gt;="&amp;$B4213,$AE$3806:$AE$4045,"&lt;="&amp;$C4213)</f>
        <v>0</v>
      </c>
      <c r="L4213" s="120">
        <f t="shared" ref="L4213:L4260" si="1571">SUMIFS($AJ$3806:$AJ$4045,rl_key,nr_SelKey,$AF$3806:$AF$4045,$B4213,$AM$3806:$AM$4045,1)</f>
        <v>0</v>
      </c>
      <c r="M4213" s="246">
        <f t="shared" ref="M4213:M4260" si="1572">IF($K4213=0,0,MIN(1,$L4213/$D4213))</f>
        <v>0</v>
      </c>
      <c r="N4213" s="121">
        <f t="shared" ref="N4213:N4260" si="1573">IF($K4213=0,$J4213,(1-$M4213)*$I4213+$M4213*$J4213)</f>
        <v>1</v>
      </c>
      <c r="O4213" s="246">
        <f t="shared" ref="O4213:O4260" si="1574">IF($F4213&lt;$B$4211,$E$4211+$I$4211*($F4213-$A$4211),IF($F4213&lt;$C$4211,$F$4211+$J$4211*($F4213-$B$4211),$G$4211+$K$4211*($F4213-$C$4211)))</f>
        <v>0.81913566739606125</v>
      </c>
      <c r="P4213" s="121">
        <f t="shared" ref="P4213:P4260" si="1575">MIN(1,MAX(0,(nr_MEndPm1-$G4213+0.5)/nr_TermMonths))-MIN(1,MAX(0,(nr_MStartPm1-1-$G4213+0.5)/nr_TermMonths))</f>
        <v>0</v>
      </c>
      <c r="Q4213" s="121">
        <f t="shared" ref="Q4213:Q4260" si="1576">MIN(1,MAX(0,(nr_MEndP-$G4213+0.5)/nr_TermMonths))-MIN(1,MAX(0,(nr_MStartP-1-$G4213+0.5)/nr_TermMonths))</f>
        <v>0</v>
      </c>
      <c r="R4213" s="121">
        <f t="shared" ref="R4213:R4260" si="1577">MIN(1,MAX(0,(nr_MEndP1-$G4213+0.5)/nr_TermMonths))-MIN(1,MAX(0,(nr_MStartP1-1-$G4213+0.5)/nr_TermMonths))</f>
        <v>0</v>
      </c>
      <c r="S4213" s="121" t="str">
        <f t="shared" ref="S4213:S4260" si="1578">IF(nr_NetMode,$N4213*IF(nr_ModAdjEff="ON",$O4213/nr_MInd,1),"")</f>
        <v/>
      </c>
      <c r="T4213" s="121" t="str">
        <f t="shared" ref="T4213:T4260" si="1579">IF(NOT(nr_NetMode),"",IF($G4213&lt;nr_MStartP,$S4213,$T4201*(1+IF($G4213&lt;nr_MStartP1,(nr_NetSelP+N(INDEX(sc_dnet,4))),(nr_NetSelP1+N(INDEX(sc_dnet,4)))))))</f>
        <v/>
      </c>
      <c r="U4213" s="121">
        <f t="shared" ref="U4213:U4260" si="1580">IF(nr_NetMode,$T4213,$N4213)</f>
        <v>1</v>
      </c>
    </row>
    <row r="4214" spans="1:21" x14ac:dyDescent="0.3">
      <c r="A4214" s="187">
        <v>2</v>
      </c>
      <c r="B4214" s="242">
        <f t="shared" ref="B4214:B4260" si="1581">EDATE($B4213,1)</f>
        <v>45689</v>
      </c>
      <c r="C4214" s="243">
        <f t="shared" si="1562"/>
        <v>45716</v>
      </c>
      <c r="D4214" s="120">
        <f t="shared" si="1563"/>
        <v>28</v>
      </c>
      <c r="E4214" s="120">
        <f t="shared" si="1564"/>
        <v>2</v>
      </c>
      <c r="F4214" s="275">
        <f t="shared" si="1565"/>
        <v>45703</v>
      </c>
      <c r="G4214" s="120">
        <f t="shared" si="1566"/>
        <v>24301</v>
      </c>
      <c r="H4214" s="245">
        <f t="shared" si="1567"/>
        <v>1</v>
      </c>
      <c r="I4214" s="121">
        <f t="shared" si="1568"/>
        <v>1</v>
      </c>
      <c r="J4214" s="121">
        <f t="shared" si="1569"/>
        <v>1</v>
      </c>
      <c r="K4214" s="120">
        <f t="shared" si="1570"/>
        <v>0</v>
      </c>
      <c r="L4214" s="120">
        <f t="shared" si="1571"/>
        <v>0</v>
      </c>
      <c r="M4214" s="246">
        <f t="shared" si="1572"/>
        <v>0</v>
      </c>
      <c r="N4214" s="121">
        <f t="shared" si="1573"/>
        <v>1</v>
      </c>
      <c r="O4214" s="246">
        <f t="shared" si="1574"/>
        <v>0.82107221006564546</v>
      </c>
      <c r="P4214" s="121">
        <f t="shared" si="1575"/>
        <v>0</v>
      </c>
      <c r="Q4214" s="121">
        <f t="shared" si="1576"/>
        <v>0</v>
      </c>
      <c r="R4214" s="121">
        <f t="shared" si="1577"/>
        <v>0</v>
      </c>
      <c r="S4214" s="121" t="str">
        <f t="shared" si="1578"/>
        <v/>
      </c>
      <c r="T4214" s="121" t="str">
        <f t="shared" si="1579"/>
        <v/>
      </c>
      <c r="U4214" s="121">
        <f t="shared" si="1580"/>
        <v>1</v>
      </c>
    </row>
    <row r="4215" spans="1:21" x14ac:dyDescent="0.3">
      <c r="A4215" s="187">
        <v>3</v>
      </c>
      <c r="B4215" s="242">
        <f t="shared" si="1581"/>
        <v>45717</v>
      </c>
      <c r="C4215" s="243">
        <f t="shared" si="1562"/>
        <v>45747</v>
      </c>
      <c r="D4215" s="120">
        <f t="shared" si="1563"/>
        <v>31</v>
      </c>
      <c r="E4215" s="120">
        <f t="shared" si="1564"/>
        <v>3</v>
      </c>
      <c r="F4215" s="275">
        <f t="shared" si="1565"/>
        <v>45732.5</v>
      </c>
      <c r="G4215" s="120">
        <f t="shared" si="1566"/>
        <v>24302</v>
      </c>
      <c r="H4215" s="245">
        <f t="shared" si="1567"/>
        <v>1</v>
      </c>
      <c r="I4215" s="121">
        <f t="shared" si="1568"/>
        <v>1</v>
      </c>
      <c r="J4215" s="121">
        <f t="shared" si="1569"/>
        <v>1</v>
      </c>
      <c r="K4215" s="120">
        <f t="shared" si="1570"/>
        <v>0</v>
      </c>
      <c r="L4215" s="120">
        <f t="shared" si="1571"/>
        <v>0</v>
      </c>
      <c r="M4215" s="246">
        <f t="shared" si="1572"/>
        <v>0</v>
      </c>
      <c r="N4215" s="121">
        <f t="shared" si="1573"/>
        <v>1</v>
      </c>
      <c r="O4215" s="246">
        <f t="shared" si="1574"/>
        <v>0.82300875273522978</v>
      </c>
      <c r="P4215" s="121">
        <f t="shared" si="1575"/>
        <v>0</v>
      </c>
      <c r="Q4215" s="121">
        <f t="shared" si="1576"/>
        <v>0</v>
      </c>
      <c r="R4215" s="121">
        <f t="shared" si="1577"/>
        <v>0</v>
      </c>
      <c r="S4215" s="121" t="str">
        <f t="shared" si="1578"/>
        <v/>
      </c>
      <c r="T4215" s="121" t="str">
        <f t="shared" si="1579"/>
        <v/>
      </c>
      <c r="U4215" s="121">
        <f t="shared" si="1580"/>
        <v>1</v>
      </c>
    </row>
    <row r="4216" spans="1:21" x14ac:dyDescent="0.3">
      <c r="A4216" s="187">
        <v>4</v>
      </c>
      <c r="B4216" s="242">
        <f t="shared" si="1581"/>
        <v>45748</v>
      </c>
      <c r="C4216" s="243">
        <f t="shared" si="1562"/>
        <v>45777</v>
      </c>
      <c r="D4216" s="120">
        <f t="shared" si="1563"/>
        <v>30</v>
      </c>
      <c r="E4216" s="120">
        <f t="shared" si="1564"/>
        <v>4</v>
      </c>
      <c r="F4216" s="275">
        <f t="shared" si="1565"/>
        <v>45763</v>
      </c>
      <c r="G4216" s="120">
        <f t="shared" si="1566"/>
        <v>24303</v>
      </c>
      <c r="H4216" s="245">
        <f t="shared" si="1567"/>
        <v>1</v>
      </c>
      <c r="I4216" s="121">
        <f t="shared" si="1568"/>
        <v>1</v>
      </c>
      <c r="J4216" s="121">
        <f t="shared" si="1569"/>
        <v>1</v>
      </c>
      <c r="K4216" s="120">
        <f t="shared" si="1570"/>
        <v>0</v>
      </c>
      <c r="L4216" s="120">
        <f t="shared" si="1571"/>
        <v>0</v>
      </c>
      <c r="M4216" s="246">
        <f t="shared" si="1572"/>
        <v>0</v>
      </c>
      <c r="N4216" s="121">
        <f t="shared" si="1573"/>
        <v>1</v>
      </c>
      <c r="O4216" s="246">
        <f t="shared" si="1574"/>
        <v>0.82501094091903715</v>
      </c>
      <c r="P4216" s="121">
        <f t="shared" si="1575"/>
        <v>0</v>
      </c>
      <c r="Q4216" s="121">
        <f t="shared" si="1576"/>
        <v>0</v>
      </c>
      <c r="R4216" s="121">
        <f t="shared" si="1577"/>
        <v>0</v>
      </c>
      <c r="S4216" s="121" t="str">
        <f t="shared" si="1578"/>
        <v/>
      </c>
      <c r="T4216" s="121" t="str">
        <f t="shared" si="1579"/>
        <v/>
      </c>
      <c r="U4216" s="121">
        <f t="shared" si="1580"/>
        <v>1</v>
      </c>
    </row>
    <row r="4217" spans="1:21" x14ac:dyDescent="0.3">
      <c r="A4217" s="187">
        <v>5</v>
      </c>
      <c r="B4217" s="242">
        <f t="shared" si="1581"/>
        <v>45778</v>
      </c>
      <c r="C4217" s="243">
        <f t="shared" si="1562"/>
        <v>45808</v>
      </c>
      <c r="D4217" s="120">
        <f t="shared" si="1563"/>
        <v>31</v>
      </c>
      <c r="E4217" s="120">
        <f t="shared" si="1564"/>
        <v>5</v>
      </c>
      <c r="F4217" s="275">
        <f t="shared" si="1565"/>
        <v>45793.5</v>
      </c>
      <c r="G4217" s="120">
        <f t="shared" si="1566"/>
        <v>24304</v>
      </c>
      <c r="H4217" s="245">
        <f t="shared" si="1567"/>
        <v>1</v>
      </c>
      <c r="I4217" s="121">
        <f t="shared" si="1568"/>
        <v>1</v>
      </c>
      <c r="J4217" s="121">
        <f t="shared" si="1569"/>
        <v>1</v>
      </c>
      <c r="K4217" s="120">
        <f t="shared" si="1570"/>
        <v>0</v>
      </c>
      <c r="L4217" s="120">
        <f t="shared" si="1571"/>
        <v>0</v>
      </c>
      <c r="M4217" s="246">
        <f t="shared" si="1572"/>
        <v>0</v>
      </c>
      <c r="N4217" s="121">
        <f t="shared" si="1573"/>
        <v>1</v>
      </c>
      <c r="O4217" s="246">
        <f t="shared" si="1574"/>
        <v>0.82701312910284464</v>
      </c>
      <c r="P4217" s="121">
        <f t="shared" si="1575"/>
        <v>0</v>
      </c>
      <c r="Q4217" s="121">
        <f t="shared" si="1576"/>
        <v>0</v>
      </c>
      <c r="R4217" s="121">
        <f t="shared" si="1577"/>
        <v>0</v>
      </c>
      <c r="S4217" s="121" t="str">
        <f t="shared" si="1578"/>
        <v/>
      </c>
      <c r="T4217" s="121" t="str">
        <f t="shared" si="1579"/>
        <v/>
      </c>
      <c r="U4217" s="121">
        <f t="shared" si="1580"/>
        <v>1</v>
      </c>
    </row>
    <row r="4218" spans="1:21" x14ac:dyDescent="0.3">
      <c r="A4218" s="187">
        <v>6</v>
      </c>
      <c r="B4218" s="242">
        <f t="shared" si="1581"/>
        <v>45809</v>
      </c>
      <c r="C4218" s="243">
        <f t="shared" si="1562"/>
        <v>45838</v>
      </c>
      <c r="D4218" s="120">
        <f t="shared" si="1563"/>
        <v>30</v>
      </c>
      <c r="E4218" s="120">
        <f t="shared" si="1564"/>
        <v>6</v>
      </c>
      <c r="F4218" s="275">
        <f t="shared" si="1565"/>
        <v>45824</v>
      </c>
      <c r="G4218" s="120">
        <f t="shared" si="1566"/>
        <v>24305</v>
      </c>
      <c r="H4218" s="245">
        <f t="shared" si="1567"/>
        <v>1</v>
      </c>
      <c r="I4218" s="121">
        <f t="shared" si="1568"/>
        <v>1</v>
      </c>
      <c r="J4218" s="121">
        <f t="shared" si="1569"/>
        <v>1</v>
      </c>
      <c r="K4218" s="120">
        <f t="shared" si="1570"/>
        <v>0</v>
      </c>
      <c r="L4218" s="120">
        <f t="shared" si="1571"/>
        <v>0</v>
      </c>
      <c r="M4218" s="246">
        <f t="shared" si="1572"/>
        <v>0</v>
      </c>
      <c r="N4218" s="121">
        <f t="shared" si="1573"/>
        <v>1</v>
      </c>
      <c r="O4218" s="246">
        <f t="shared" si="1574"/>
        <v>0.82901531728665201</v>
      </c>
      <c r="P4218" s="121">
        <f t="shared" si="1575"/>
        <v>0</v>
      </c>
      <c r="Q4218" s="121">
        <f t="shared" si="1576"/>
        <v>0</v>
      </c>
      <c r="R4218" s="121">
        <f t="shared" si="1577"/>
        <v>0</v>
      </c>
      <c r="S4218" s="121" t="str">
        <f t="shared" si="1578"/>
        <v/>
      </c>
      <c r="T4218" s="121" t="str">
        <f t="shared" si="1579"/>
        <v/>
      </c>
      <c r="U4218" s="121">
        <f t="shared" si="1580"/>
        <v>1</v>
      </c>
    </row>
    <row r="4219" spans="1:21" x14ac:dyDescent="0.3">
      <c r="A4219" s="187">
        <v>7</v>
      </c>
      <c r="B4219" s="242">
        <f t="shared" si="1581"/>
        <v>45839</v>
      </c>
      <c r="C4219" s="243">
        <f t="shared" si="1562"/>
        <v>45869</v>
      </c>
      <c r="D4219" s="120">
        <f t="shared" si="1563"/>
        <v>31</v>
      </c>
      <c r="E4219" s="120">
        <f t="shared" si="1564"/>
        <v>7</v>
      </c>
      <c r="F4219" s="275">
        <f t="shared" si="1565"/>
        <v>45854.5</v>
      </c>
      <c r="G4219" s="120">
        <f t="shared" si="1566"/>
        <v>24306</v>
      </c>
      <c r="H4219" s="245">
        <f t="shared" si="1567"/>
        <v>1</v>
      </c>
      <c r="I4219" s="121">
        <f t="shared" si="1568"/>
        <v>1</v>
      </c>
      <c r="J4219" s="121">
        <f t="shared" si="1569"/>
        <v>1.04</v>
      </c>
      <c r="K4219" s="120">
        <f t="shared" si="1570"/>
        <v>1</v>
      </c>
      <c r="L4219" s="120">
        <f t="shared" si="1571"/>
        <v>31</v>
      </c>
      <c r="M4219" s="246">
        <f t="shared" si="1572"/>
        <v>1</v>
      </c>
      <c r="N4219" s="121">
        <f t="shared" si="1573"/>
        <v>1.04</v>
      </c>
      <c r="O4219" s="246">
        <f t="shared" si="1574"/>
        <v>0.83101750547045949</v>
      </c>
      <c r="P4219" s="121">
        <f t="shared" si="1575"/>
        <v>8.333333333333337E-2</v>
      </c>
      <c r="Q4219" s="121">
        <f t="shared" si="1576"/>
        <v>0</v>
      </c>
      <c r="R4219" s="121">
        <f t="shared" si="1577"/>
        <v>0</v>
      </c>
      <c r="S4219" s="121" t="str">
        <f t="shared" si="1578"/>
        <v/>
      </c>
      <c r="T4219" s="121" t="str">
        <f t="shared" si="1579"/>
        <v/>
      </c>
      <c r="U4219" s="121">
        <f t="shared" si="1580"/>
        <v>1.04</v>
      </c>
    </row>
    <row r="4220" spans="1:21" x14ac:dyDescent="0.3">
      <c r="A4220" s="187">
        <v>8</v>
      </c>
      <c r="B4220" s="242">
        <f t="shared" si="1581"/>
        <v>45870</v>
      </c>
      <c r="C4220" s="243">
        <f t="shared" si="1562"/>
        <v>45900</v>
      </c>
      <c r="D4220" s="120">
        <f t="shared" si="1563"/>
        <v>31</v>
      </c>
      <c r="E4220" s="120">
        <f t="shared" si="1564"/>
        <v>8</v>
      </c>
      <c r="F4220" s="275">
        <f t="shared" si="1565"/>
        <v>45885.5</v>
      </c>
      <c r="G4220" s="120">
        <f t="shared" si="1566"/>
        <v>24307</v>
      </c>
      <c r="H4220" s="245">
        <f t="shared" si="1567"/>
        <v>1</v>
      </c>
      <c r="I4220" s="121">
        <f t="shared" si="1568"/>
        <v>1.04</v>
      </c>
      <c r="J4220" s="121">
        <f t="shared" si="1569"/>
        <v>1.04</v>
      </c>
      <c r="K4220" s="120">
        <f t="shared" si="1570"/>
        <v>0</v>
      </c>
      <c r="L4220" s="120">
        <f t="shared" si="1571"/>
        <v>0</v>
      </c>
      <c r="M4220" s="246">
        <f t="shared" si="1572"/>
        <v>0</v>
      </c>
      <c r="N4220" s="121">
        <f t="shared" si="1573"/>
        <v>1.04</v>
      </c>
      <c r="O4220" s="246">
        <f t="shared" si="1574"/>
        <v>0.83305251641137856</v>
      </c>
      <c r="P4220" s="121">
        <f t="shared" si="1575"/>
        <v>0.25</v>
      </c>
      <c r="Q4220" s="121">
        <f t="shared" si="1576"/>
        <v>0</v>
      </c>
      <c r="R4220" s="121">
        <f t="shared" si="1577"/>
        <v>0</v>
      </c>
      <c r="S4220" s="121" t="str">
        <f t="shared" si="1578"/>
        <v/>
      </c>
      <c r="T4220" s="121" t="str">
        <f t="shared" si="1579"/>
        <v/>
      </c>
      <c r="U4220" s="121">
        <f t="shared" si="1580"/>
        <v>1.04</v>
      </c>
    </row>
    <row r="4221" spans="1:21" x14ac:dyDescent="0.3">
      <c r="A4221" s="187">
        <v>9</v>
      </c>
      <c r="B4221" s="242">
        <f t="shared" si="1581"/>
        <v>45901</v>
      </c>
      <c r="C4221" s="243">
        <f t="shared" si="1562"/>
        <v>45930</v>
      </c>
      <c r="D4221" s="120">
        <f t="shared" si="1563"/>
        <v>30</v>
      </c>
      <c r="E4221" s="120">
        <f t="shared" si="1564"/>
        <v>9</v>
      </c>
      <c r="F4221" s="275">
        <f t="shared" si="1565"/>
        <v>45916</v>
      </c>
      <c r="G4221" s="120">
        <f t="shared" si="1566"/>
        <v>24308</v>
      </c>
      <c r="H4221" s="245">
        <f t="shared" si="1567"/>
        <v>1</v>
      </c>
      <c r="I4221" s="121">
        <f t="shared" si="1568"/>
        <v>1.04</v>
      </c>
      <c r="J4221" s="121">
        <f t="shared" si="1569"/>
        <v>1.04</v>
      </c>
      <c r="K4221" s="120">
        <f t="shared" si="1570"/>
        <v>0</v>
      </c>
      <c r="L4221" s="120">
        <f t="shared" si="1571"/>
        <v>0</v>
      </c>
      <c r="M4221" s="246">
        <f t="shared" si="1572"/>
        <v>0</v>
      </c>
      <c r="N4221" s="121">
        <f t="shared" si="1573"/>
        <v>1.04</v>
      </c>
      <c r="O4221" s="246">
        <f t="shared" si="1574"/>
        <v>0.83505470459518594</v>
      </c>
      <c r="P4221" s="121">
        <f t="shared" si="1575"/>
        <v>0.41666666666666663</v>
      </c>
      <c r="Q4221" s="121">
        <f t="shared" si="1576"/>
        <v>0</v>
      </c>
      <c r="R4221" s="121">
        <f t="shared" si="1577"/>
        <v>0</v>
      </c>
      <c r="S4221" s="121" t="str">
        <f t="shared" si="1578"/>
        <v/>
      </c>
      <c r="T4221" s="121" t="str">
        <f t="shared" si="1579"/>
        <v/>
      </c>
      <c r="U4221" s="121">
        <f t="shared" si="1580"/>
        <v>1.04</v>
      </c>
    </row>
    <row r="4222" spans="1:21" x14ac:dyDescent="0.3">
      <c r="A4222" s="187">
        <v>10</v>
      </c>
      <c r="B4222" s="242">
        <f t="shared" si="1581"/>
        <v>45931</v>
      </c>
      <c r="C4222" s="243">
        <f t="shared" si="1562"/>
        <v>45961</v>
      </c>
      <c r="D4222" s="120">
        <f t="shared" si="1563"/>
        <v>31</v>
      </c>
      <c r="E4222" s="120">
        <f t="shared" si="1564"/>
        <v>10</v>
      </c>
      <c r="F4222" s="275">
        <f t="shared" si="1565"/>
        <v>45946.5</v>
      </c>
      <c r="G4222" s="120">
        <f t="shared" si="1566"/>
        <v>24309</v>
      </c>
      <c r="H4222" s="245">
        <f t="shared" si="1567"/>
        <v>1</v>
      </c>
      <c r="I4222" s="121">
        <f t="shared" si="1568"/>
        <v>1.04</v>
      </c>
      <c r="J4222" s="121">
        <f t="shared" si="1569"/>
        <v>1.04</v>
      </c>
      <c r="K4222" s="120">
        <f t="shared" si="1570"/>
        <v>0</v>
      </c>
      <c r="L4222" s="120">
        <f t="shared" si="1571"/>
        <v>0</v>
      </c>
      <c r="M4222" s="246">
        <f t="shared" si="1572"/>
        <v>0</v>
      </c>
      <c r="N4222" s="121">
        <f t="shared" si="1573"/>
        <v>1.04</v>
      </c>
      <c r="O4222" s="246">
        <f t="shared" si="1574"/>
        <v>0.83705689277899342</v>
      </c>
      <c r="P4222" s="121">
        <f t="shared" si="1575"/>
        <v>0.58333333333333326</v>
      </c>
      <c r="Q4222" s="121">
        <f t="shared" si="1576"/>
        <v>0</v>
      </c>
      <c r="R4222" s="121">
        <f t="shared" si="1577"/>
        <v>0</v>
      </c>
      <c r="S4222" s="121" t="str">
        <f t="shared" si="1578"/>
        <v/>
      </c>
      <c r="T4222" s="121" t="str">
        <f t="shared" si="1579"/>
        <v/>
      </c>
      <c r="U4222" s="121">
        <f t="shared" si="1580"/>
        <v>1.04</v>
      </c>
    </row>
    <row r="4223" spans="1:21" x14ac:dyDescent="0.3">
      <c r="A4223" s="187">
        <v>11</v>
      </c>
      <c r="B4223" s="242">
        <f t="shared" si="1581"/>
        <v>45962</v>
      </c>
      <c r="C4223" s="243">
        <f t="shared" si="1562"/>
        <v>45991</v>
      </c>
      <c r="D4223" s="120">
        <f t="shared" si="1563"/>
        <v>30</v>
      </c>
      <c r="E4223" s="120">
        <f t="shared" si="1564"/>
        <v>11</v>
      </c>
      <c r="F4223" s="275">
        <f t="shared" si="1565"/>
        <v>45977</v>
      </c>
      <c r="G4223" s="120">
        <f t="shared" si="1566"/>
        <v>24310</v>
      </c>
      <c r="H4223" s="245">
        <f t="shared" si="1567"/>
        <v>1</v>
      </c>
      <c r="I4223" s="121">
        <f t="shared" si="1568"/>
        <v>1.04</v>
      </c>
      <c r="J4223" s="121">
        <f t="shared" si="1569"/>
        <v>1.04</v>
      </c>
      <c r="K4223" s="120">
        <f t="shared" si="1570"/>
        <v>0</v>
      </c>
      <c r="L4223" s="120">
        <f t="shared" si="1571"/>
        <v>0</v>
      </c>
      <c r="M4223" s="246">
        <f t="shared" si="1572"/>
        <v>0</v>
      </c>
      <c r="N4223" s="121">
        <f t="shared" si="1573"/>
        <v>1.04</v>
      </c>
      <c r="O4223" s="246">
        <f t="shared" si="1574"/>
        <v>0.8390590809628008</v>
      </c>
      <c r="P4223" s="121">
        <f t="shared" si="1575"/>
        <v>0.75</v>
      </c>
      <c r="Q4223" s="121">
        <f t="shared" si="1576"/>
        <v>0</v>
      </c>
      <c r="R4223" s="121">
        <f t="shared" si="1577"/>
        <v>0</v>
      </c>
      <c r="S4223" s="121" t="str">
        <f t="shared" si="1578"/>
        <v/>
      </c>
      <c r="T4223" s="121" t="str">
        <f t="shared" si="1579"/>
        <v/>
      </c>
      <c r="U4223" s="121">
        <f t="shared" si="1580"/>
        <v>1.04</v>
      </c>
    </row>
    <row r="4224" spans="1:21" x14ac:dyDescent="0.3">
      <c r="A4224" s="187">
        <v>12</v>
      </c>
      <c r="B4224" s="242">
        <f t="shared" si="1581"/>
        <v>45992</v>
      </c>
      <c r="C4224" s="243">
        <f t="shared" si="1562"/>
        <v>46022</v>
      </c>
      <c r="D4224" s="120">
        <f t="shared" si="1563"/>
        <v>31</v>
      </c>
      <c r="E4224" s="120">
        <f t="shared" si="1564"/>
        <v>12</v>
      </c>
      <c r="F4224" s="275">
        <f t="shared" si="1565"/>
        <v>46007.5</v>
      </c>
      <c r="G4224" s="120">
        <f t="shared" si="1566"/>
        <v>24311</v>
      </c>
      <c r="H4224" s="245">
        <f t="shared" si="1567"/>
        <v>1</v>
      </c>
      <c r="I4224" s="121">
        <f t="shared" si="1568"/>
        <v>1.04</v>
      </c>
      <c r="J4224" s="121">
        <f t="shared" si="1569"/>
        <v>1.04</v>
      </c>
      <c r="K4224" s="120">
        <f t="shared" si="1570"/>
        <v>0</v>
      </c>
      <c r="L4224" s="120">
        <f t="shared" si="1571"/>
        <v>0</v>
      </c>
      <c r="M4224" s="246">
        <f t="shared" si="1572"/>
        <v>0</v>
      </c>
      <c r="N4224" s="121">
        <f t="shared" si="1573"/>
        <v>1.04</v>
      </c>
      <c r="O4224" s="246">
        <f t="shared" si="1574"/>
        <v>0.84106126914660828</v>
      </c>
      <c r="P4224" s="121">
        <f t="shared" si="1575"/>
        <v>0.91666666666666663</v>
      </c>
      <c r="Q4224" s="121">
        <f t="shared" si="1576"/>
        <v>0</v>
      </c>
      <c r="R4224" s="121">
        <f t="shared" si="1577"/>
        <v>0</v>
      </c>
      <c r="S4224" s="121" t="str">
        <f t="shared" si="1578"/>
        <v/>
      </c>
      <c r="T4224" s="121" t="str">
        <f t="shared" si="1579"/>
        <v/>
      </c>
      <c r="U4224" s="121">
        <f t="shared" si="1580"/>
        <v>1.04</v>
      </c>
    </row>
    <row r="4225" spans="1:21" x14ac:dyDescent="0.3">
      <c r="A4225" s="187">
        <v>13</v>
      </c>
      <c r="B4225" s="242">
        <f t="shared" si="1581"/>
        <v>46023</v>
      </c>
      <c r="C4225" s="243">
        <f t="shared" si="1562"/>
        <v>46053</v>
      </c>
      <c r="D4225" s="120">
        <f t="shared" si="1563"/>
        <v>31</v>
      </c>
      <c r="E4225" s="120">
        <f t="shared" si="1564"/>
        <v>1</v>
      </c>
      <c r="F4225" s="275">
        <f t="shared" si="1565"/>
        <v>46038.5</v>
      </c>
      <c r="G4225" s="120">
        <f t="shared" si="1566"/>
        <v>24312</v>
      </c>
      <c r="H4225" s="245">
        <f t="shared" si="1567"/>
        <v>1</v>
      </c>
      <c r="I4225" s="121">
        <f t="shared" si="1568"/>
        <v>1.04</v>
      </c>
      <c r="J4225" s="121">
        <f t="shared" si="1569"/>
        <v>1.04</v>
      </c>
      <c r="K4225" s="120">
        <f t="shared" si="1570"/>
        <v>0</v>
      </c>
      <c r="L4225" s="120">
        <f t="shared" si="1571"/>
        <v>0</v>
      </c>
      <c r="M4225" s="246">
        <f t="shared" si="1572"/>
        <v>0</v>
      </c>
      <c r="N4225" s="121">
        <f t="shared" si="1573"/>
        <v>1.04</v>
      </c>
      <c r="O4225" s="246">
        <f t="shared" si="1574"/>
        <v>0.84309628008752735</v>
      </c>
      <c r="P4225" s="121">
        <f t="shared" si="1575"/>
        <v>1</v>
      </c>
      <c r="Q4225" s="121">
        <f t="shared" si="1576"/>
        <v>0</v>
      </c>
      <c r="R4225" s="121">
        <f t="shared" si="1577"/>
        <v>0</v>
      </c>
      <c r="S4225" s="121" t="str">
        <f t="shared" si="1578"/>
        <v/>
      </c>
      <c r="T4225" s="121" t="str">
        <f t="shared" si="1579"/>
        <v/>
      </c>
      <c r="U4225" s="121">
        <f t="shared" si="1580"/>
        <v>1.04</v>
      </c>
    </row>
    <row r="4226" spans="1:21" x14ac:dyDescent="0.3">
      <c r="A4226" s="187">
        <v>14</v>
      </c>
      <c r="B4226" s="242">
        <f t="shared" si="1581"/>
        <v>46054</v>
      </c>
      <c r="C4226" s="243">
        <f t="shared" si="1562"/>
        <v>46081</v>
      </c>
      <c r="D4226" s="120">
        <f t="shared" si="1563"/>
        <v>28</v>
      </c>
      <c r="E4226" s="120">
        <f t="shared" si="1564"/>
        <v>2</v>
      </c>
      <c r="F4226" s="275">
        <f t="shared" si="1565"/>
        <v>46068</v>
      </c>
      <c r="G4226" s="120">
        <f t="shared" si="1566"/>
        <v>24313</v>
      </c>
      <c r="H4226" s="245">
        <f t="shared" si="1567"/>
        <v>1</v>
      </c>
      <c r="I4226" s="121">
        <f t="shared" si="1568"/>
        <v>1.04</v>
      </c>
      <c r="J4226" s="121">
        <f t="shared" si="1569"/>
        <v>1.04</v>
      </c>
      <c r="K4226" s="120">
        <f t="shared" si="1570"/>
        <v>0</v>
      </c>
      <c r="L4226" s="120">
        <f t="shared" si="1571"/>
        <v>0</v>
      </c>
      <c r="M4226" s="246">
        <f t="shared" si="1572"/>
        <v>0</v>
      </c>
      <c r="N4226" s="121">
        <f t="shared" si="1573"/>
        <v>1.04</v>
      </c>
      <c r="O4226" s="246">
        <f t="shared" si="1574"/>
        <v>0.84503282275711156</v>
      </c>
      <c r="P4226" s="121">
        <f t="shared" si="1575"/>
        <v>1</v>
      </c>
      <c r="Q4226" s="121">
        <f t="shared" si="1576"/>
        <v>0</v>
      </c>
      <c r="R4226" s="121">
        <f t="shared" si="1577"/>
        <v>0</v>
      </c>
      <c r="S4226" s="121" t="str">
        <f t="shared" si="1578"/>
        <v/>
      </c>
      <c r="T4226" s="121" t="str">
        <f t="shared" si="1579"/>
        <v/>
      </c>
      <c r="U4226" s="121">
        <f t="shared" si="1580"/>
        <v>1.04</v>
      </c>
    </row>
    <row r="4227" spans="1:21" x14ac:dyDescent="0.3">
      <c r="A4227" s="187">
        <v>15</v>
      </c>
      <c r="B4227" s="242">
        <f t="shared" si="1581"/>
        <v>46082</v>
      </c>
      <c r="C4227" s="243">
        <f t="shared" si="1562"/>
        <v>46112</v>
      </c>
      <c r="D4227" s="120">
        <f t="shared" si="1563"/>
        <v>31</v>
      </c>
      <c r="E4227" s="120">
        <f t="shared" si="1564"/>
        <v>3</v>
      </c>
      <c r="F4227" s="275">
        <f t="shared" si="1565"/>
        <v>46097.5</v>
      </c>
      <c r="G4227" s="120">
        <f t="shared" si="1566"/>
        <v>24314</v>
      </c>
      <c r="H4227" s="245">
        <f t="shared" si="1567"/>
        <v>1</v>
      </c>
      <c r="I4227" s="121">
        <f t="shared" si="1568"/>
        <v>1.04</v>
      </c>
      <c r="J4227" s="121">
        <f t="shared" si="1569"/>
        <v>1.04</v>
      </c>
      <c r="K4227" s="120">
        <f t="shared" si="1570"/>
        <v>0</v>
      </c>
      <c r="L4227" s="120">
        <f t="shared" si="1571"/>
        <v>0</v>
      </c>
      <c r="M4227" s="246">
        <f t="shared" si="1572"/>
        <v>0</v>
      </c>
      <c r="N4227" s="121">
        <f t="shared" si="1573"/>
        <v>1.04</v>
      </c>
      <c r="O4227" s="246">
        <f t="shared" si="1574"/>
        <v>0.84696936542669587</v>
      </c>
      <c r="P4227" s="121">
        <f t="shared" si="1575"/>
        <v>1</v>
      </c>
      <c r="Q4227" s="121">
        <f t="shared" si="1576"/>
        <v>0</v>
      </c>
      <c r="R4227" s="121">
        <f t="shared" si="1577"/>
        <v>0</v>
      </c>
      <c r="S4227" s="121" t="str">
        <f t="shared" si="1578"/>
        <v/>
      </c>
      <c r="T4227" s="121" t="str">
        <f t="shared" si="1579"/>
        <v/>
      </c>
      <c r="U4227" s="121">
        <f t="shared" si="1580"/>
        <v>1.04</v>
      </c>
    </row>
    <row r="4228" spans="1:21" x14ac:dyDescent="0.3">
      <c r="A4228" s="187">
        <v>16</v>
      </c>
      <c r="B4228" s="242">
        <f t="shared" si="1581"/>
        <v>46113</v>
      </c>
      <c r="C4228" s="243">
        <f t="shared" si="1562"/>
        <v>46142</v>
      </c>
      <c r="D4228" s="120">
        <f t="shared" si="1563"/>
        <v>30</v>
      </c>
      <c r="E4228" s="120">
        <f t="shared" si="1564"/>
        <v>4</v>
      </c>
      <c r="F4228" s="275">
        <f t="shared" si="1565"/>
        <v>46128</v>
      </c>
      <c r="G4228" s="120">
        <f t="shared" si="1566"/>
        <v>24315</v>
      </c>
      <c r="H4228" s="245">
        <f t="shared" si="1567"/>
        <v>1</v>
      </c>
      <c r="I4228" s="121">
        <f t="shared" si="1568"/>
        <v>1.04</v>
      </c>
      <c r="J4228" s="121">
        <f t="shared" si="1569"/>
        <v>1.04</v>
      </c>
      <c r="K4228" s="120">
        <f t="shared" si="1570"/>
        <v>0</v>
      </c>
      <c r="L4228" s="120">
        <f t="shared" si="1571"/>
        <v>0</v>
      </c>
      <c r="M4228" s="246">
        <f t="shared" si="1572"/>
        <v>0</v>
      </c>
      <c r="N4228" s="121">
        <f t="shared" si="1573"/>
        <v>1.04</v>
      </c>
      <c r="O4228" s="246">
        <f t="shared" si="1574"/>
        <v>0.84897155361050325</v>
      </c>
      <c r="P4228" s="121">
        <f t="shared" si="1575"/>
        <v>1</v>
      </c>
      <c r="Q4228" s="121">
        <f t="shared" si="1576"/>
        <v>0</v>
      </c>
      <c r="R4228" s="121">
        <f t="shared" si="1577"/>
        <v>0</v>
      </c>
      <c r="S4228" s="121" t="str">
        <f t="shared" si="1578"/>
        <v/>
      </c>
      <c r="T4228" s="121" t="str">
        <f t="shared" si="1579"/>
        <v/>
      </c>
      <c r="U4228" s="121">
        <f t="shared" si="1580"/>
        <v>1.04</v>
      </c>
    </row>
    <row r="4229" spans="1:21" x14ac:dyDescent="0.3">
      <c r="A4229" s="187">
        <v>17</v>
      </c>
      <c r="B4229" s="242">
        <f t="shared" si="1581"/>
        <v>46143</v>
      </c>
      <c r="C4229" s="243">
        <f t="shared" si="1562"/>
        <v>46173</v>
      </c>
      <c r="D4229" s="120">
        <f t="shared" si="1563"/>
        <v>31</v>
      </c>
      <c r="E4229" s="120">
        <f t="shared" si="1564"/>
        <v>5</v>
      </c>
      <c r="F4229" s="275">
        <f t="shared" si="1565"/>
        <v>46158.5</v>
      </c>
      <c r="G4229" s="120">
        <f t="shared" si="1566"/>
        <v>24316</v>
      </c>
      <c r="H4229" s="245">
        <f t="shared" si="1567"/>
        <v>1</v>
      </c>
      <c r="I4229" s="121">
        <f t="shared" si="1568"/>
        <v>1.04</v>
      </c>
      <c r="J4229" s="121">
        <f t="shared" si="1569"/>
        <v>1.04</v>
      </c>
      <c r="K4229" s="120">
        <f t="shared" si="1570"/>
        <v>0</v>
      </c>
      <c r="L4229" s="120">
        <f t="shared" si="1571"/>
        <v>0</v>
      </c>
      <c r="M4229" s="246">
        <f t="shared" si="1572"/>
        <v>0</v>
      </c>
      <c r="N4229" s="121">
        <f t="shared" si="1573"/>
        <v>1.04</v>
      </c>
      <c r="O4229" s="246">
        <f t="shared" si="1574"/>
        <v>0.85097374179431073</v>
      </c>
      <c r="P4229" s="121">
        <f t="shared" si="1575"/>
        <v>1</v>
      </c>
      <c r="Q4229" s="121">
        <f t="shared" si="1576"/>
        <v>0</v>
      </c>
      <c r="R4229" s="121">
        <f t="shared" si="1577"/>
        <v>0</v>
      </c>
      <c r="S4229" s="121" t="str">
        <f t="shared" si="1578"/>
        <v/>
      </c>
      <c r="T4229" s="121" t="str">
        <f t="shared" si="1579"/>
        <v/>
      </c>
      <c r="U4229" s="121">
        <f t="shared" si="1580"/>
        <v>1.04</v>
      </c>
    </row>
    <row r="4230" spans="1:21" x14ac:dyDescent="0.3">
      <c r="A4230" s="187">
        <v>18</v>
      </c>
      <c r="B4230" s="242">
        <f t="shared" si="1581"/>
        <v>46174</v>
      </c>
      <c r="C4230" s="243">
        <f t="shared" si="1562"/>
        <v>46203</v>
      </c>
      <c r="D4230" s="120">
        <f t="shared" si="1563"/>
        <v>30</v>
      </c>
      <c r="E4230" s="120">
        <f t="shared" si="1564"/>
        <v>6</v>
      </c>
      <c r="F4230" s="275">
        <f t="shared" si="1565"/>
        <v>46189</v>
      </c>
      <c r="G4230" s="120">
        <f t="shared" si="1566"/>
        <v>24317</v>
      </c>
      <c r="H4230" s="245">
        <f t="shared" si="1567"/>
        <v>1</v>
      </c>
      <c r="I4230" s="121">
        <f t="shared" si="1568"/>
        <v>1.04</v>
      </c>
      <c r="J4230" s="121">
        <f t="shared" si="1569"/>
        <v>1.04</v>
      </c>
      <c r="K4230" s="120">
        <f t="shared" si="1570"/>
        <v>0</v>
      </c>
      <c r="L4230" s="120">
        <f t="shared" si="1571"/>
        <v>0</v>
      </c>
      <c r="M4230" s="246">
        <f t="shared" si="1572"/>
        <v>0</v>
      </c>
      <c r="N4230" s="121">
        <f t="shared" si="1573"/>
        <v>1.04</v>
      </c>
      <c r="O4230" s="246">
        <f t="shared" si="1574"/>
        <v>0.85297592997811811</v>
      </c>
      <c r="P4230" s="121">
        <f t="shared" si="1575"/>
        <v>1</v>
      </c>
      <c r="Q4230" s="121">
        <f t="shared" si="1576"/>
        <v>0</v>
      </c>
      <c r="R4230" s="121">
        <f t="shared" si="1577"/>
        <v>0</v>
      </c>
      <c r="S4230" s="121" t="str">
        <f t="shared" si="1578"/>
        <v/>
      </c>
      <c r="T4230" s="121" t="str">
        <f t="shared" si="1579"/>
        <v/>
      </c>
      <c r="U4230" s="121">
        <f t="shared" si="1580"/>
        <v>1.04</v>
      </c>
    </row>
    <row r="4231" spans="1:21" x14ac:dyDescent="0.3">
      <c r="A4231" s="187">
        <v>19</v>
      </c>
      <c r="B4231" s="242">
        <f t="shared" si="1581"/>
        <v>46204</v>
      </c>
      <c r="C4231" s="243">
        <f t="shared" si="1562"/>
        <v>46234</v>
      </c>
      <c r="D4231" s="120">
        <f t="shared" si="1563"/>
        <v>31</v>
      </c>
      <c r="E4231" s="120">
        <f t="shared" si="1564"/>
        <v>7</v>
      </c>
      <c r="F4231" s="275">
        <f t="shared" si="1565"/>
        <v>46219.5</v>
      </c>
      <c r="G4231" s="120">
        <f t="shared" si="1566"/>
        <v>24318</v>
      </c>
      <c r="H4231" s="245">
        <f t="shared" si="1567"/>
        <v>1</v>
      </c>
      <c r="I4231" s="121">
        <f t="shared" si="1568"/>
        <v>1.04</v>
      </c>
      <c r="J4231" s="121">
        <f t="shared" si="1569"/>
        <v>1.1024</v>
      </c>
      <c r="K4231" s="120">
        <f t="shared" si="1570"/>
        <v>1</v>
      </c>
      <c r="L4231" s="120">
        <f t="shared" si="1571"/>
        <v>31</v>
      </c>
      <c r="M4231" s="246">
        <f t="shared" si="1572"/>
        <v>1</v>
      </c>
      <c r="N4231" s="121">
        <f t="shared" si="1573"/>
        <v>1.1024</v>
      </c>
      <c r="O4231" s="246">
        <f t="shared" si="1574"/>
        <v>0.85497811816192559</v>
      </c>
      <c r="P4231" s="121">
        <f t="shared" si="1575"/>
        <v>0.91666666666666663</v>
      </c>
      <c r="Q4231" s="121">
        <f t="shared" si="1576"/>
        <v>8.333333333333337E-2</v>
      </c>
      <c r="R4231" s="121">
        <f t="shared" si="1577"/>
        <v>0</v>
      </c>
      <c r="S4231" s="121" t="str">
        <f t="shared" si="1578"/>
        <v/>
      </c>
      <c r="T4231" s="121" t="str">
        <f t="shared" si="1579"/>
        <v/>
      </c>
      <c r="U4231" s="121">
        <f t="shared" si="1580"/>
        <v>1.1024</v>
      </c>
    </row>
    <row r="4232" spans="1:21" x14ac:dyDescent="0.3">
      <c r="A4232" s="187">
        <v>20</v>
      </c>
      <c r="B4232" s="242">
        <f t="shared" si="1581"/>
        <v>46235</v>
      </c>
      <c r="C4232" s="243">
        <f t="shared" si="1562"/>
        <v>46265</v>
      </c>
      <c r="D4232" s="120">
        <f t="shared" si="1563"/>
        <v>31</v>
      </c>
      <c r="E4232" s="120">
        <f t="shared" si="1564"/>
        <v>8</v>
      </c>
      <c r="F4232" s="275">
        <f t="shared" si="1565"/>
        <v>46250.5</v>
      </c>
      <c r="G4232" s="120">
        <f t="shared" si="1566"/>
        <v>24319</v>
      </c>
      <c r="H4232" s="245">
        <f t="shared" si="1567"/>
        <v>1</v>
      </c>
      <c r="I4232" s="121">
        <f t="shared" si="1568"/>
        <v>1.1024</v>
      </c>
      <c r="J4232" s="121">
        <f t="shared" si="1569"/>
        <v>1.1024</v>
      </c>
      <c r="K4232" s="120">
        <f t="shared" si="1570"/>
        <v>0</v>
      </c>
      <c r="L4232" s="120">
        <f t="shared" si="1571"/>
        <v>0</v>
      </c>
      <c r="M4232" s="246">
        <f t="shared" si="1572"/>
        <v>0</v>
      </c>
      <c r="N4232" s="121">
        <f t="shared" si="1573"/>
        <v>1.1024</v>
      </c>
      <c r="O4232" s="246">
        <f t="shared" si="1574"/>
        <v>0.85701312910284466</v>
      </c>
      <c r="P4232" s="121">
        <f t="shared" si="1575"/>
        <v>0.75</v>
      </c>
      <c r="Q4232" s="121">
        <f t="shared" si="1576"/>
        <v>0.25</v>
      </c>
      <c r="R4232" s="121">
        <f t="shared" si="1577"/>
        <v>0</v>
      </c>
      <c r="S4232" s="121" t="str">
        <f t="shared" si="1578"/>
        <v/>
      </c>
      <c r="T4232" s="121" t="str">
        <f t="shared" si="1579"/>
        <v/>
      </c>
      <c r="U4232" s="121">
        <f t="shared" si="1580"/>
        <v>1.1024</v>
      </c>
    </row>
    <row r="4233" spans="1:21" x14ac:dyDescent="0.3">
      <c r="A4233" s="187">
        <v>21</v>
      </c>
      <c r="B4233" s="242">
        <f t="shared" si="1581"/>
        <v>46266</v>
      </c>
      <c r="C4233" s="243">
        <f t="shared" si="1562"/>
        <v>46295</v>
      </c>
      <c r="D4233" s="120">
        <f t="shared" si="1563"/>
        <v>30</v>
      </c>
      <c r="E4233" s="120">
        <f t="shared" si="1564"/>
        <v>9</v>
      </c>
      <c r="F4233" s="275">
        <f t="shared" si="1565"/>
        <v>46281</v>
      </c>
      <c r="G4233" s="120">
        <f t="shared" si="1566"/>
        <v>24320</v>
      </c>
      <c r="H4233" s="245">
        <f t="shared" si="1567"/>
        <v>1</v>
      </c>
      <c r="I4233" s="121">
        <f t="shared" si="1568"/>
        <v>1.1024</v>
      </c>
      <c r="J4233" s="121">
        <f t="shared" si="1569"/>
        <v>1.1024</v>
      </c>
      <c r="K4233" s="120">
        <f t="shared" si="1570"/>
        <v>0</v>
      </c>
      <c r="L4233" s="120">
        <f t="shared" si="1571"/>
        <v>0</v>
      </c>
      <c r="M4233" s="246">
        <f t="shared" si="1572"/>
        <v>0</v>
      </c>
      <c r="N4233" s="121">
        <f t="shared" si="1573"/>
        <v>1.1024</v>
      </c>
      <c r="O4233" s="246">
        <f t="shared" si="1574"/>
        <v>0.85901531728665204</v>
      </c>
      <c r="P4233" s="121">
        <f t="shared" si="1575"/>
        <v>0.58333333333333337</v>
      </c>
      <c r="Q4233" s="121">
        <f t="shared" si="1576"/>
        <v>0.41666666666666663</v>
      </c>
      <c r="R4233" s="121">
        <f t="shared" si="1577"/>
        <v>0</v>
      </c>
      <c r="S4233" s="121" t="str">
        <f t="shared" si="1578"/>
        <v/>
      </c>
      <c r="T4233" s="121" t="str">
        <f t="shared" si="1579"/>
        <v/>
      </c>
      <c r="U4233" s="121">
        <f t="shared" si="1580"/>
        <v>1.1024</v>
      </c>
    </row>
    <row r="4234" spans="1:21" x14ac:dyDescent="0.3">
      <c r="A4234" s="187">
        <v>22</v>
      </c>
      <c r="B4234" s="242">
        <f t="shared" si="1581"/>
        <v>46296</v>
      </c>
      <c r="C4234" s="243">
        <f t="shared" si="1562"/>
        <v>46326</v>
      </c>
      <c r="D4234" s="120">
        <f t="shared" si="1563"/>
        <v>31</v>
      </c>
      <c r="E4234" s="120">
        <f t="shared" si="1564"/>
        <v>10</v>
      </c>
      <c r="F4234" s="275">
        <f t="shared" si="1565"/>
        <v>46311.5</v>
      </c>
      <c r="G4234" s="120">
        <f t="shared" si="1566"/>
        <v>24321</v>
      </c>
      <c r="H4234" s="245">
        <f t="shared" si="1567"/>
        <v>1</v>
      </c>
      <c r="I4234" s="121">
        <f t="shared" si="1568"/>
        <v>1.1024</v>
      </c>
      <c r="J4234" s="121">
        <f t="shared" si="1569"/>
        <v>1.1024</v>
      </c>
      <c r="K4234" s="120">
        <f t="shared" si="1570"/>
        <v>0</v>
      </c>
      <c r="L4234" s="120">
        <f t="shared" si="1571"/>
        <v>0</v>
      </c>
      <c r="M4234" s="246">
        <f t="shared" si="1572"/>
        <v>0</v>
      </c>
      <c r="N4234" s="121">
        <f t="shared" si="1573"/>
        <v>1.1024</v>
      </c>
      <c r="O4234" s="246">
        <f t="shared" si="1574"/>
        <v>0.86101750547045952</v>
      </c>
      <c r="P4234" s="121">
        <f t="shared" si="1575"/>
        <v>0.41666666666666669</v>
      </c>
      <c r="Q4234" s="121">
        <f t="shared" si="1576"/>
        <v>0.58333333333333326</v>
      </c>
      <c r="R4234" s="121">
        <f t="shared" si="1577"/>
        <v>0</v>
      </c>
      <c r="S4234" s="121" t="str">
        <f t="shared" si="1578"/>
        <v/>
      </c>
      <c r="T4234" s="121" t="str">
        <f t="shared" si="1579"/>
        <v/>
      </c>
      <c r="U4234" s="121">
        <f t="shared" si="1580"/>
        <v>1.1024</v>
      </c>
    </row>
    <row r="4235" spans="1:21" x14ac:dyDescent="0.3">
      <c r="A4235" s="187">
        <v>23</v>
      </c>
      <c r="B4235" s="242">
        <f t="shared" si="1581"/>
        <v>46327</v>
      </c>
      <c r="C4235" s="243">
        <f t="shared" si="1562"/>
        <v>46356</v>
      </c>
      <c r="D4235" s="120">
        <f t="shared" si="1563"/>
        <v>30</v>
      </c>
      <c r="E4235" s="120">
        <f t="shared" si="1564"/>
        <v>11</v>
      </c>
      <c r="F4235" s="275">
        <f t="shared" si="1565"/>
        <v>46342</v>
      </c>
      <c r="G4235" s="120">
        <f t="shared" si="1566"/>
        <v>24322</v>
      </c>
      <c r="H4235" s="245">
        <f t="shared" si="1567"/>
        <v>1</v>
      </c>
      <c r="I4235" s="121">
        <f t="shared" si="1568"/>
        <v>1.1024</v>
      </c>
      <c r="J4235" s="121">
        <f t="shared" si="1569"/>
        <v>1.1024</v>
      </c>
      <c r="K4235" s="120">
        <f t="shared" si="1570"/>
        <v>0</v>
      </c>
      <c r="L4235" s="120">
        <f t="shared" si="1571"/>
        <v>0</v>
      </c>
      <c r="M4235" s="246">
        <f t="shared" si="1572"/>
        <v>0</v>
      </c>
      <c r="N4235" s="121">
        <f t="shared" si="1573"/>
        <v>1.1024</v>
      </c>
      <c r="O4235" s="246">
        <f t="shared" si="1574"/>
        <v>0.8630196936542669</v>
      </c>
      <c r="P4235" s="121">
        <f t="shared" si="1575"/>
        <v>0.25</v>
      </c>
      <c r="Q4235" s="121">
        <f t="shared" si="1576"/>
        <v>0.75</v>
      </c>
      <c r="R4235" s="121">
        <f t="shared" si="1577"/>
        <v>0</v>
      </c>
      <c r="S4235" s="121" t="str">
        <f t="shared" si="1578"/>
        <v/>
      </c>
      <c r="T4235" s="121" t="str">
        <f t="shared" si="1579"/>
        <v/>
      </c>
      <c r="U4235" s="121">
        <f t="shared" si="1580"/>
        <v>1.1024</v>
      </c>
    </row>
    <row r="4236" spans="1:21" x14ac:dyDescent="0.3">
      <c r="A4236" s="187">
        <v>24</v>
      </c>
      <c r="B4236" s="242">
        <f t="shared" si="1581"/>
        <v>46357</v>
      </c>
      <c r="C4236" s="243">
        <f t="shared" si="1562"/>
        <v>46387</v>
      </c>
      <c r="D4236" s="120">
        <f t="shared" si="1563"/>
        <v>31</v>
      </c>
      <c r="E4236" s="120">
        <f t="shared" si="1564"/>
        <v>12</v>
      </c>
      <c r="F4236" s="275">
        <f t="shared" si="1565"/>
        <v>46372.5</v>
      </c>
      <c r="G4236" s="120">
        <f t="shared" si="1566"/>
        <v>24323</v>
      </c>
      <c r="H4236" s="245">
        <f t="shared" si="1567"/>
        <v>1</v>
      </c>
      <c r="I4236" s="121">
        <f t="shared" si="1568"/>
        <v>1.1024</v>
      </c>
      <c r="J4236" s="121">
        <f t="shared" si="1569"/>
        <v>1.1024</v>
      </c>
      <c r="K4236" s="120">
        <f t="shared" si="1570"/>
        <v>0</v>
      </c>
      <c r="L4236" s="120">
        <f t="shared" si="1571"/>
        <v>0</v>
      </c>
      <c r="M4236" s="246">
        <f t="shared" si="1572"/>
        <v>0</v>
      </c>
      <c r="N4236" s="121">
        <f t="shared" si="1573"/>
        <v>1.1024</v>
      </c>
      <c r="O4236" s="246">
        <f t="shared" si="1574"/>
        <v>0.86502188183807438</v>
      </c>
      <c r="P4236" s="121">
        <f t="shared" si="1575"/>
        <v>8.3333333333333329E-2</v>
      </c>
      <c r="Q4236" s="121">
        <f t="shared" si="1576"/>
        <v>0.91666666666666663</v>
      </c>
      <c r="R4236" s="121">
        <f t="shared" si="1577"/>
        <v>0</v>
      </c>
      <c r="S4236" s="121" t="str">
        <f t="shared" si="1578"/>
        <v/>
      </c>
      <c r="T4236" s="121" t="str">
        <f t="shared" si="1579"/>
        <v/>
      </c>
      <c r="U4236" s="121">
        <f t="shared" si="1580"/>
        <v>1.1024</v>
      </c>
    </row>
    <row r="4237" spans="1:21" x14ac:dyDescent="0.3">
      <c r="A4237" s="187">
        <v>25</v>
      </c>
      <c r="B4237" s="242">
        <f t="shared" si="1581"/>
        <v>46388</v>
      </c>
      <c r="C4237" s="243">
        <f t="shared" si="1562"/>
        <v>46418</v>
      </c>
      <c r="D4237" s="120">
        <f t="shared" si="1563"/>
        <v>31</v>
      </c>
      <c r="E4237" s="120">
        <f t="shared" si="1564"/>
        <v>1</v>
      </c>
      <c r="F4237" s="275">
        <f t="shared" si="1565"/>
        <v>46403.5</v>
      </c>
      <c r="G4237" s="120">
        <f t="shared" si="1566"/>
        <v>24324</v>
      </c>
      <c r="H4237" s="245">
        <f t="shared" si="1567"/>
        <v>1</v>
      </c>
      <c r="I4237" s="121">
        <f t="shared" si="1568"/>
        <v>1.1024</v>
      </c>
      <c r="J4237" s="121">
        <f t="shared" si="1569"/>
        <v>1.1024</v>
      </c>
      <c r="K4237" s="120">
        <f t="shared" si="1570"/>
        <v>0</v>
      </c>
      <c r="L4237" s="120">
        <f t="shared" si="1571"/>
        <v>0</v>
      </c>
      <c r="M4237" s="246">
        <f t="shared" si="1572"/>
        <v>0</v>
      </c>
      <c r="N4237" s="121">
        <f t="shared" si="1573"/>
        <v>1.1024</v>
      </c>
      <c r="O4237" s="246">
        <f t="shared" si="1574"/>
        <v>0.86705689277899345</v>
      </c>
      <c r="P4237" s="121">
        <f t="shared" si="1575"/>
        <v>0</v>
      </c>
      <c r="Q4237" s="121">
        <f t="shared" si="1576"/>
        <v>1</v>
      </c>
      <c r="R4237" s="121">
        <f t="shared" si="1577"/>
        <v>0</v>
      </c>
      <c r="S4237" s="121" t="str">
        <f t="shared" si="1578"/>
        <v/>
      </c>
      <c r="T4237" s="121" t="str">
        <f t="shared" si="1579"/>
        <v/>
      </c>
      <c r="U4237" s="121">
        <f t="shared" si="1580"/>
        <v>1.1024</v>
      </c>
    </row>
    <row r="4238" spans="1:21" x14ac:dyDescent="0.3">
      <c r="A4238" s="187">
        <v>26</v>
      </c>
      <c r="B4238" s="242">
        <f t="shared" si="1581"/>
        <v>46419</v>
      </c>
      <c r="C4238" s="243">
        <f t="shared" si="1562"/>
        <v>46446</v>
      </c>
      <c r="D4238" s="120">
        <f t="shared" si="1563"/>
        <v>28</v>
      </c>
      <c r="E4238" s="120">
        <f t="shared" si="1564"/>
        <v>2</v>
      </c>
      <c r="F4238" s="275">
        <f t="shared" si="1565"/>
        <v>46433</v>
      </c>
      <c r="G4238" s="120">
        <f t="shared" si="1566"/>
        <v>24325</v>
      </c>
      <c r="H4238" s="245">
        <f t="shared" si="1567"/>
        <v>1</v>
      </c>
      <c r="I4238" s="121">
        <f t="shared" si="1568"/>
        <v>1.1024</v>
      </c>
      <c r="J4238" s="121">
        <f t="shared" si="1569"/>
        <v>1.1024</v>
      </c>
      <c r="K4238" s="120">
        <f t="shared" si="1570"/>
        <v>0</v>
      </c>
      <c r="L4238" s="120">
        <f t="shared" si="1571"/>
        <v>0</v>
      </c>
      <c r="M4238" s="246">
        <f t="shared" si="1572"/>
        <v>0</v>
      </c>
      <c r="N4238" s="121">
        <f t="shared" si="1573"/>
        <v>1.1024</v>
      </c>
      <c r="O4238" s="246">
        <f t="shared" si="1574"/>
        <v>0.86899343544857766</v>
      </c>
      <c r="P4238" s="121">
        <f t="shared" si="1575"/>
        <v>0</v>
      </c>
      <c r="Q4238" s="121">
        <f t="shared" si="1576"/>
        <v>1</v>
      </c>
      <c r="R4238" s="121">
        <f t="shared" si="1577"/>
        <v>0</v>
      </c>
      <c r="S4238" s="121" t="str">
        <f t="shared" si="1578"/>
        <v/>
      </c>
      <c r="T4238" s="121" t="str">
        <f t="shared" si="1579"/>
        <v/>
      </c>
      <c r="U4238" s="121">
        <f t="shared" si="1580"/>
        <v>1.1024</v>
      </c>
    </row>
    <row r="4239" spans="1:21" x14ac:dyDescent="0.3">
      <c r="A4239" s="187">
        <v>27</v>
      </c>
      <c r="B4239" s="242">
        <f t="shared" si="1581"/>
        <v>46447</v>
      </c>
      <c r="C4239" s="243">
        <f t="shared" si="1562"/>
        <v>46477</v>
      </c>
      <c r="D4239" s="120">
        <f t="shared" si="1563"/>
        <v>31</v>
      </c>
      <c r="E4239" s="120">
        <f t="shared" si="1564"/>
        <v>3</v>
      </c>
      <c r="F4239" s="275">
        <f t="shared" si="1565"/>
        <v>46462.5</v>
      </c>
      <c r="G4239" s="120">
        <f t="shared" si="1566"/>
        <v>24326</v>
      </c>
      <c r="H4239" s="245">
        <f t="shared" si="1567"/>
        <v>1</v>
      </c>
      <c r="I4239" s="121">
        <f t="shared" si="1568"/>
        <v>1.1024</v>
      </c>
      <c r="J4239" s="121">
        <f t="shared" si="1569"/>
        <v>1.1024</v>
      </c>
      <c r="K4239" s="120">
        <f t="shared" si="1570"/>
        <v>0</v>
      </c>
      <c r="L4239" s="120">
        <f t="shared" si="1571"/>
        <v>0</v>
      </c>
      <c r="M4239" s="246">
        <f t="shared" si="1572"/>
        <v>0</v>
      </c>
      <c r="N4239" s="121">
        <f t="shared" si="1573"/>
        <v>1.1024</v>
      </c>
      <c r="O4239" s="246">
        <f t="shared" si="1574"/>
        <v>0.87092997811816197</v>
      </c>
      <c r="P4239" s="121">
        <f t="shared" si="1575"/>
        <v>0</v>
      </c>
      <c r="Q4239" s="121">
        <f t="shared" si="1576"/>
        <v>1</v>
      </c>
      <c r="R4239" s="121">
        <f t="shared" si="1577"/>
        <v>0</v>
      </c>
      <c r="S4239" s="121" t="str">
        <f t="shared" si="1578"/>
        <v/>
      </c>
      <c r="T4239" s="121" t="str">
        <f t="shared" si="1579"/>
        <v/>
      </c>
      <c r="U4239" s="121">
        <f t="shared" si="1580"/>
        <v>1.1024</v>
      </c>
    </row>
    <row r="4240" spans="1:21" x14ac:dyDescent="0.3">
      <c r="A4240" s="187">
        <v>28</v>
      </c>
      <c r="B4240" s="242">
        <f t="shared" si="1581"/>
        <v>46478</v>
      </c>
      <c r="C4240" s="243">
        <f t="shared" si="1562"/>
        <v>46507</v>
      </c>
      <c r="D4240" s="120">
        <f t="shared" si="1563"/>
        <v>30</v>
      </c>
      <c r="E4240" s="120">
        <f t="shared" si="1564"/>
        <v>4</v>
      </c>
      <c r="F4240" s="275">
        <f t="shared" si="1565"/>
        <v>46493</v>
      </c>
      <c r="G4240" s="120">
        <f t="shared" si="1566"/>
        <v>24327</v>
      </c>
      <c r="H4240" s="245">
        <f t="shared" si="1567"/>
        <v>1</v>
      </c>
      <c r="I4240" s="121">
        <f t="shared" si="1568"/>
        <v>1.1024</v>
      </c>
      <c r="J4240" s="121">
        <f t="shared" si="1569"/>
        <v>1.1575200000000001</v>
      </c>
      <c r="K4240" s="120">
        <f t="shared" si="1570"/>
        <v>1</v>
      </c>
      <c r="L4240" s="120">
        <f t="shared" si="1571"/>
        <v>30</v>
      </c>
      <c r="M4240" s="246">
        <f t="shared" si="1572"/>
        <v>1</v>
      </c>
      <c r="N4240" s="121">
        <f t="shared" si="1573"/>
        <v>1.1575200000000001</v>
      </c>
      <c r="O4240" s="246">
        <f t="shared" si="1574"/>
        <v>0.87293216630196935</v>
      </c>
      <c r="P4240" s="121">
        <f t="shared" si="1575"/>
        <v>0</v>
      </c>
      <c r="Q4240" s="121">
        <f t="shared" si="1576"/>
        <v>1</v>
      </c>
      <c r="R4240" s="121">
        <f t="shared" si="1577"/>
        <v>0</v>
      </c>
      <c r="S4240" s="121" t="str">
        <f t="shared" si="1578"/>
        <v/>
      </c>
      <c r="T4240" s="121" t="str">
        <f t="shared" si="1579"/>
        <v/>
      </c>
      <c r="U4240" s="121">
        <f t="shared" si="1580"/>
        <v>1.1575200000000001</v>
      </c>
    </row>
    <row r="4241" spans="1:21" x14ac:dyDescent="0.3">
      <c r="A4241" s="187">
        <v>29</v>
      </c>
      <c r="B4241" s="242">
        <f t="shared" si="1581"/>
        <v>46508</v>
      </c>
      <c r="C4241" s="243">
        <f t="shared" si="1562"/>
        <v>46538</v>
      </c>
      <c r="D4241" s="120">
        <f t="shared" si="1563"/>
        <v>31</v>
      </c>
      <c r="E4241" s="120">
        <f t="shared" si="1564"/>
        <v>5</v>
      </c>
      <c r="F4241" s="275">
        <f t="shared" si="1565"/>
        <v>46523.5</v>
      </c>
      <c r="G4241" s="120">
        <f t="shared" si="1566"/>
        <v>24328</v>
      </c>
      <c r="H4241" s="245">
        <f t="shared" si="1567"/>
        <v>1</v>
      </c>
      <c r="I4241" s="121">
        <f t="shared" si="1568"/>
        <v>1.1575200000000001</v>
      </c>
      <c r="J4241" s="121">
        <f t="shared" si="1569"/>
        <v>1.1575200000000001</v>
      </c>
      <c r="K4241" s="120">
        <f t="shared" si="1570"/>
        <v>0</v>
      </c>
      <c r="L4241" s="120">
        <f t="shared" si="1571"/>
        <v>0</v>
      </c>
      <c r="M4241" s="246">
        <f t="shared" si="1572"/>
        <v>0</v>
      </c>
      <c r="N4241" s="121">
        <f t="shared" si="1573"/>
        <v>1.1575200000000001</v>
      </c>
      <c r="O4241" s="246">
        <f t="shared" si="1574"/>
        <v>0.87493435448577683</v>
      </c>
      <c r="P4241" s="121">
        <f t="shared" si="1575"/>
        <v>0</v>
      </c>
      <c r="Q4241" s="121">
        <f t="shared" si="1576"/>
        <v>1</v>
      </c>
      <c r="R4241" s="121">
        <f t="shared" si="1577"/>
        <v>0</v>
      </c>
      <c r="S4241" s="121" t="str">
        <f t="shared" si="1578"/>
        <v/>
      </c>
      <c r="T4241" s="121" t="str">
        <f t="shared" si="1579"/>
        <v/>
      </c>
      <c r="U4241" s="121">
        <f t="shared" si="1580"/>
        <v>1.1575200000000001</v>
      </c>
    </row>
    <row r="4242" spans="1:21" x14ac:dyDescent="0.3">
      <c r="A4242" s="187">
        <v>30</v>
      </c>
      <c r="B4242" s="242">
        <f t="shared" si="1581"/>
        <v>46539</v>
      </c>
      <c r="C4242" s="243">
        <f t="shared" si="1562"/>
        <v>46568</v>
      </c>
      <c r="D4242" s="120">
        <f t="shared" si="1563"/>
        <v>30</v>
      </c>
      <c r="E4242" s="120">
        <f t="shared" si="1564"/>
        <v>6</v>
      </c>
      <c r="F4242" s="275">
        <f t="shared" si="1565"/>
        <v>46554</v>
      </c>
      <c r="G4242" s="120">
        <f t="shared" si="1566"/>
        <v>24329</v>
      </c>
      <c r="H4242" s="245">
        <f t="shared" si="1567"/>
        <v>1</v>
      </c>
      <c r="I4242" s="121">
        <f t="shared" si="1568"/>
        <v>1.1575200000000001</v>
      </c>
      <c r="J4242" s="121">
        <f t="shared" si="1569"/>
        <v>1.1575200000000001</v>
      </c>
      <c r="K4242" s="120">
        <f t="shared" si="1570"/>
        <v>0</v>
      </c>
      <c r="L4242" s="120">
        <f t="shared" si="1571"/>
        <v>0</v>
      </c>
      <c r="M4242" s="246">
        <f t="shared" si="1572"/>
        <v>0</v>
      </c>
      <c r="N4242" s="121">
        <f t="shared" si="1573"/>
        <v>1.1575200000000001</v>
      </c>
      <c r="O4242" s="246">
        <f t="shared" si="1574"/>
        <v>0.87693654266958421</v>
      </c>
      <c r="P4242" s="121">
        <f t="shared" si="1575"/>
        <v>0</v>
      </c>
      <c r="Q4242" s="121">
        <f t="shared" si="1576"/>
        <v>1</v>
      </c>
      <c r="R4242" s="121">
        <f t="shared" si="1577"/>
        <v>0</v>
      </c>
      <c r="S4242" s="121" t="str">
        <f t="shared" si="1578"/>
        <v/>
      </c>
      <c r="T4242" s="121" t="str">
        <f t="shared" si="1579"/>
        <v/>
      </c>
      <c r="U4242" s="121">
        <f t="shared" si="1580"/>
        <v>1.1575200000000001</v>
      </c>
    </row>
    <row r="4243" spans="1:21" x14ac:dyDescent="0.3">
      <c r="A4243" s="187">
        <v>31</v>
      </c>
      <c r="B4243" s="242">
        <f t="shared" si="1581"/>
        <v>46569</v>
      </c>
      <c r="C4243" s="243">
        <f t="shared" si="1562"/>
        <v>46599</v>
      </c>
      <c r="D4243" s="120">
        <f t="shared" si="1563"/>
        <v>31</v>
      </c>
      <c r="E4243" s="120">
        <f t="shared" si="1564"/>
        <v>7</v>
      </c>
      <c r="F4243" s="275">
        <f t="shared" si="1565"/>
        <v>46584.5</v>
      </c>
      <c r="G4243" s="120">
        <f t="shared" si="1566"/>
        <v>24330</v>
      </c>
      <c r="H4243" s="245">
        <f t="shared" si="1567"/>
        <v>1</v>
      </c>
      <c r="I4243" s="121">
        <f t="shared" si="1568"/>
        <v>1.1575200000000001</v>
      </c>
      <c r="J4243" s="121">
        <f t="shared" si="1569"/>
        <v>1.1575200000000001</v>
      </c>
      <c r="K4243" s="120">
        <f t="shared" si="1570"/>
        <v>0</v>
      </c>
      <c r="L4243" s="120">
        <f t="shared" si="1571"/>
        <v>0</v>
      </c>
      <c r="M4243" s="246">
        <f t="shared" si="1572"/>
        <v>0</v>
      </c>
      <c r="N4243" s="121">
        <f t="shared" si="1573"/>
        <v>1.1575200000000001</v>
      </c>
      <c r="O4243" s="246">
        <f t="shared" si="1574"/>
        <v>0.87893873085339169</v>
      </c>
      <c r="P4243" s="121">
        <f t="shared" si="1575"/>
        <v>0</v>
      </c>
      <c r="Q4243" s="121">
        <f t="shared" si="1576"/>
        <v>0.91666666666666663</v>
      </c>
      <c r="R4243" s="121">
        <f t="shared" si="1577"/>
        <v>8.333333333333337E-2</v>
      </c>
      <c r="S4243" s="121" t="str">
        <f t="shared" si="1578"/>
        <v/>
      </c>
      <c r="T4243" s="121" t="str">
        <f t="shared" si="1579"/>
        <v/>
      </c>
      <c r="U4243" s="121">
        <f t="shared" si="1580"/>
        <v>1.1575200000000001</v>
      </c>
    </row>
    <row r="4244" spans="1:21" x14ac:dyDescent="0.3">
      <c r="A4244" s="187">
        <v>32</v>
      </c>
      <c r="B4244" s="242">
        <f t="shared" si="1581"/>
        <v>46600</v>
      </c>
      <c r="C4244" s="243">
        <f t="shared" si="1562"/>
        <v>46630</v>
      </c>
      <c r="D4244" s="120">
        <f t="shared" si="1563"/>
        <v>31</v>
      </c>
      <c r="E4244" s="120">
        <f t="shared" si="1564"/>
        <v>8</v>
      </c>
      <c r="F4244" s="275">
        <f t="shared" si="1565"/>
        <v>46615.5</v>
      </c>
      <c r="G4244" s="120">
        <f t="shared" si="1566"/>
        <v>24331</v>
      </c>
      <c r="H4244" s="245">
        <f t="shared" si="1567"/>
        <v>1</v>
      </c>
      <c r="I4244" s="121">
        <f t="shared" si="1568"/>
        <v>1.1575200000000001</v>
      </c>
      <c r="J4244" s="121">
        <f t="shared" si="1569"/>
        <v>1.1575200000000001</v>
      </c>
      <c r="K4244" s="120">
        <f t="shared" si="1570"/>
        <v>0</v>
      </c>
      <c r="L4244" s="120">
        <f t="shared" si="1571"/>
        <v>0</v>
      </c>
      <c r="M4244" s="246">
        <f t="shared" si="1572"/>
        <v>0</v>
      </c>
      <c r="N4244" s="121">
        <f t="shared" si="1573"/>
        <v>1.1575200000000001</v>
      </c>
      <c r="O4244" s="246">
        <f t="shared" si="1574"/>
        <v>0.88097374179431076</v>
      </c>
      <c r="P4244" s="121">
        <f t="shared" si="1575"/>
        <v>0</v>
      </c>
      <c r="Q4244" s="121">
        <f t="shared" si="1576"/>
        <v>0.75</v>
      </c>
      <c r="R4244" s="121">
        <f t="shared" si="1577"/>
        <v>0.25</v>
      </c>
      <c r="S4244" s="121" t="str">
        <f t="shared" si="1578"/>
        <v/>
      </c>
      <c r="T4244" s="121" t="str">
        <f t="shared" si="1579"/>
        <v/>
      </c>
      <c r="U4244" s="121">
        <f t="shared" si="1580"/>
        <v>1.1575200000000001</v>
      </c>
    </row>
    <row r="4245" spans="1:21" x14ac:dyDescent="0.3">
      <c r="A4245" s="187">
        <v>33</v>
      </c>
      <c r="B4245" s="242">
        <f t="shared" si="1581"/>
        <v>46631</v>
      </c>
      <c r="C4245" s="243">
        <f t="shared" si="1562"/>
        <v>46660</v>
      </c>
      <c r="D4245" s="120">
        <f t="shared" si="1563"/>
        <v>30</v>
      </c>
      <c r="E4245" s="120">
        <f t="shared" si="1564"/>
        <v>9</v>
      </c>
      <c r="F4245" s="275">
        <f t="shared" si="1565"/>
        <v>46646</v>
      </c>
      <c r="G4245" s="120">
        <f t="shared" si="1566"/>
        <v>24332</v>
      </c>
      <c r="H4245" s="245">
        <f t="shared" si="1567"/>
        <v>1</v>
      </c>
      <c r="I4245" s="121">
        <f t="shared" si="1568"/>
        <v>1.1575200000000001</v>
      </c>
      <c r="J4245" s="121">
        <f t="shared" si="1569"/>
        <v>1.1575200000000001</v>
      </c>
      <c r="K4245" s="120">
        <f t="shared" si="1570"/>
        <v>0</v>
      </c>
      <c r="L4245" s="120">
        <f t="shared" si="1571"/>
        <v>0</v>
      </c>
      <c r="M4245" s="246">
        <f t="shared" si="1572"/>
        <v>0</v>
      </c>
      <c r="N4245" s="121">
        <f t="shared" si="1573"/>
        <v>1.1575200000000001</v>
      </c>
      <c r="O4245" s="246">
        <f t="shared" si="1574"/>
        <v>0.88297592997811813</v>
      </c>
      <c r="P4245" s="121">
        <f t="shared" si="1575"/>
        <v>0</v>
      </c>
      <c r="Q4245" s="121">
        <f t="shared" si="1576"/>
        <v>0.58333333333333337</v>
      </c>
      <c r="R4245" s="121">
        <f t="shared" si="1577"/>
        <v>0.41666666666666663</v>
      </c>
      <c r="S4245" s="121" t="str">
        <f t="shared" si="1578"/>
        <v/>
      </c>
      <c r="T4245" s="121" t="str">
        <f t="shared" si="1579"/>
        <v/>
      </c>
      <c r="U4245" s="121">
        <f t="shared" si="1580"/>
        <v>1.1575200000000001</v>
      </c>
    </row>
    <row r="4246" spans="1:21" x14ac:dyDescent="0.3">
      <c r="A4246" s="187">
        <v>34</v>
      </c>
      <c r="B4246" s="242">
        <f t="shared" si="1581"/>
        <v>46661</v>
      </c>
      <c r="C4246" s="243">
        <f t="shared" si="1562"/>
        <v>46691</v>
      </c>
      <c r="D4246" s="120">
        <f t="shared" si="1563"/>
        <v>31</v>
      </c>
      <c r="E4246" s="120">
        <f t="shared" si="1564"/>
        <v>10</v>
      </c>
      <c r="F4246" s="275">
        <f t="shared" si="1565"/>
        <v>46676.5</v>
      </c>
      <c r="G4246" s="120">
        <f t="shared" si="1566"/>
        <v>24333</v>
      </c>
      <c r="H4246" s="245">
        <f t="shared" si="1567"/>
        <v>1</v>
      </c>
      <c r="I4246" s="121">
        <f t="shared" si="1568"/>
        <v>1.1575200000000001</v>
      </c>
      <c r="J4246" s="121">
        <f t="shared" si="1569"/>
        <v>1.1575200000000001</v>
      </c>
      <c r="K4246" s="120">
        <f t="shared" si="1570"/>
        <v>0</v>
      </c>
      <c r="L4246" s="120">
        <f t="shared" si="1571"/>
        <v>0</v>
      </c>
      <c r="M4246" s="246">
        <f t="shared" si="1572"/>
        <v>0</v>
      </c>
      <c r="N4246" s="121">
        <f t="shared" si="1573"/>
        <v>1.1575200000000001</v>
      </c>
      <c r="O4246" s="246">
        <f t="shared" si="1574"/>
        <v>0.88497811816192562</v>
      </c>
      <c r="P4246" s="121">
        <f t="shared" si="1575"/>
        <v>0</v>
      </c>
      <c r="Q4246" s="121">
        <f t="shared" si="1576"/>
        <v>0.41666666666666669</v>
      </c>
      <c r="R4246" s="121">
        <f t="shared" si="1577"/>
        <v>0.58333333333333326</v>
      </c>
      <c r="S4246" s="121" t="str">
        <f t="shared" si="1578"/>
        <v/>
      </c>
      <c r="T4246" s="121" t="str">
        <f t="shared" si="1579"/>
        <v/>
      </c>
      <c r="U4246" s="121">
        <f t="shared" si="1580"/>
        <v>1.1575200000000001</v>
      </c>
    </row>
    <row r="4247" spans="1:21" x14ac:dyDescent="0.3">
      <c r="A4247" s="187">
        <v>35</v>
      </c>
      <c r="B4247" s="242">
        <f t="shared" si="1581"/>
        <v>46692</v>
      </c>
      <c r="C4247" s="243">
        <f t="shared" si="1562"/>
        <v>46721</v>
      </c>
      <c r="D4247" s="120">
        <f t="shared" si="1563"/>
        <v>30</v>
      </c>
      <c r="E4247" s="120">
        <f t="shared" si="1564"/>
        <v>11</v>
      </c>
      <c r="F4247" s="275">
        <f t="shared" si="1565"/>
        <v>46707</v>
      </c>
      <c r="G4247" s="120">
        <f t="shared" si="1566"/>
        <v>24334</v>
      </c>
      <c r="H4247" s="245">
        <f t="shared" si="1567"/>
        <v>1</v>
      </c>
      <c r="I4247" s="121">
        <f t="shared" si="1568"/>
        <v>1.1575200000000001</v>
      </c>
      <c r="J4247" s="121">
        <f t="shared" si="1569"/>
        <v>1.1575200000000001</v>
      </c>
      <c r="K4247" s="120">
        <f t="shared" si="1570"/>
        <v>0</v>
      </c>
      <c r="L4247" s="120">
        <f t="shared" si="1571"/>
        <v>0</v>
      </c>
      <c r="M4247" s="246">
        <f t="shared" si="1572"/>
        <v>0</v>
      </c>
      <c r="N4247" s="121">
        <f t="shared" si="1573"/>
        <v>1.1575200000000001</v>
      </c>
      <c r="O4247" s="246">
        <f t="shared" si="1574"/>
        <v>0.8869803063457331</v>
      </c>
      <c r="P4247" s="121">
        <f t="shared" si="1575"/>
        <v>0</v>
      </c>
      <c r="Q4247" s="121">
        <f t="shared" si="1576"/>
        <v>0.25</v>
      </c>
      <c r="R4247" s="121">
        <f t="shared" si="1577"/>
        <v>0.75</v>
      </c>
      <c r="S4247" s="121" t="str">
        <f t="shared" si="1578"/>
        <v/>
      </c>
      <c r="T4247" s="121" t="str">
        <f t="shared" si="1579"/>
        <v/>
      </c>
      <c r="U4247" s="121">
        <f t="shared" si="1580"/>
        <v>1.1575200000000001</v>
      </c>
    </row>
    <row r="4248" spans="1:21" x14ac:dyDescent="0.3">
      <c r="A4248" s="187">
        <v>36</v>
      </c>
      <c r="B4248" s="242">
        <f t="shared" si="1581"/>
        <v>46722</v>
      </c>
      <c r="C4248" s="243">
        <f t="shared" si="1562"/>
        <v>46752</v>
      </c>
      <c r="D4248" s="120">
        <f t="shared" si="1563"/>
        <v>31</v>
      </c>
      <c r="E4248" s="120">
        <f t="shared" si="1564"/>
        <v>12</v>
      </c>
      <c r="F4248" s="275">
        <f t="shared" si="1565"/>
        <v>46737.5</v>
      </c>
      <c r="G4248" s="120">
        <f t="shared" si="1566"/>
        <v>24335</v>
      </c>
      <c r="H4248" s="245">
        <f t="shared" si="1567"/>
        <v>1</v>
      </c>
      <c r="I4248" s="121">
        <f t="shared" si="1568"/>
        <v>1.1575200000000001</v>
      </c>
      <c r="J4248" s="121">
        <f t="shared" si="1569"/>
        <v>1.1575200000000001</v>
      </c>
      <c r="K4248" s="120">
        <f t="shared" si="1570"/>
        <v>0</v>
      </c>
      <c r="L4248" s="120">
        <f t="shared" si="1571"/>
        <v>0</v>
      </c>
      <c r="M4248" s="246">
        <f t="shared" si="1572"/>
        <v>0</v>
      </c>
      <c r="N4248" s="121">
        <f t="shared" si="1573"/>
        <v>1.1575200000000001</v>
      </c>
      <c r="O4248" s="246">
        <f t="shared" si="1574"/>
        <v>0.88898249452954048</v>
      </c>
      <c r="P4248" s="121">
        <f t="shared" si="1575"/>
        <v>0</v>
      </c>
      <c r="Q4248" s="121">
        <f t="shared" si="1576"/>
        <v>8.3333333333333329E-2</v>
      </c>
      <c r="R4248" s="121">
        <f t="shared" si="1577"/>
        <v>0.91666666666666663</v>
      </c>
      <c r="S4248" s="121" t="str">
        <f t="shared" si="1578"/>
        <v/>
      </c>
      <c r="T4248" s="121" t="str">
        <f t="shared" si="1579"/>
        <v/>
      </c>
      <c r="U4248" s="121">
        <f t="shared" si="1580"/>
        <v>1.1575200000000001</v>
      </c>
    </row>
    <row r="4249" spans="1:21" x14ac:dyDescent="0.3">
      <c r="A4249" s="187">
        <v>37</v>
      </c>
      <c r="B4249" s="242">
        <f t="shared" si="1581"/>
        <v>46753</v>
      </c>
      <c r="C4249" s="243">
        <f t="shared" si="1562"/>
        <v>46783</v>
      </c>
      <c r="D4249" s="120">
        <f t="shared" si="1563"/>
        <v>31</v>
      </c>
      <c r="E4249" s="120">
        <f t="shared" si="1564"/>
        <v>1</v>
      </c>
      <c r="F4249" s="275">
        <f t="shared" si="1565"/>
        <v>46768.5</v>
      </c>
      <c r="G4249" s="120">
        <f t="shared" si="1566"/>
        <v>24336</v>
      </c>
      <c r="H4249" s="245">
        <f t="shared" si="1567"/>
        <v>1</v>
      </c>
      <c r="I4249" s="121">
        <f t="shared" si="1568"/>
        <v>1.1575200000000001</v>
      </c>
      <c r="J4249" s="121">
        <f t="shared" si="1569"/>
        <v>1.1575200000000001</v>
      </c>
      <c r="K4249" s="120">
        <f t="shared" si="1570"/>
        <v>0</v>
      </c>
      <c r="L4249" s="120">
        <f t="shared" si="1571"/>
        <v>0</v>
      </c>
      <c r="M4249" s="246">
        <f t="shared" si="1572"/>
        <v>0</v>
      </c>
      <c r="N4249" s="121">
        <f t="shared" si="1573"/>
        <v>1.1575200000000001</v>
      </c>
      <c r="O4249" s="246">
        <f t="shared" si="1574"/>
        <v>0.89</v>
      </c>
      <c r="P4249" s="121">
        <f t="shared" si="1575"/>
        <v>0</v>
      </c>
      <c r="Q4249" s="121">
        <f t="shared" si="1576"/>
        <v>0</v>
      </c>
      <c r="R4249" s="121">
        <f t="shared" si="1577"/>
        <v>1</v>
      </c>
      <c r="S4249" s="121" t="str">
        <f t="shared" si="1578"/>
        <v/>
      </c>
      <c r="T4249" s="121" t="str">
        <f t="shared" si="1579"/>
        <v/>
      </c>
      <c r="U4249" s="121">
        <f t="shared" si="1580"/>
        <v>1.1575200000000001</v>
      </c>
    </row>
    <row r="4250" spans="1:21" x14ac:dyDescent="0.3">
      <c r="A4250" s="187">
        <v>38</v>
      </c>
      <c r="B4250" s="242">
        <f t="shared" si="1581"/>
        <v>46784</v>
      </c>
      <c r="C4250" s="243">
        <f t="shared" si="1562"/>
        <v>46812</v>
      </c>
      <c r="D4250" s="120">
        <f t="shared" si="1563"/>
        <v>29</v>
      </c>
      <c r="E4250" s="120">
        <f t="shared" si="1564"/>
        <v>2</v>
      </c>
      <c r="F4250" s="275">
        <f t="shared" si="1565"/>
        <v>46798.5</v>
      </c>
      <c r="G4250" s="120">
        <f t="shared" si="1566"/>
        <v>24337</v>
      </c>
      <c r="H4250" s="245">
        <f t="shared" si="1567"/>
        <v>1</v>
      </c>
      <c r="I4250" s="121">
        <f t="shared" si="1568"/>
        <v>1.1575200000000001</v>
      </c>
      <c r="J4250" s="121">
        <f t="shared" si="1569"/>
        <v>1.1575200000000001</v>
      </c>
      <c r="K4250" s="120">
        <f t="shared" si="1570"/>
        <v>0</v>
      </c>
      <c r="L4250" s="120">
        <f t="shared" si="1571"/>
        <v>0</v>
      </c>
      <c r="M4250" s="246">
        <f t="shared" si="1572"/>
        <v>0</v>
      </c>
      <c r="N4250" s="121">
        <f t="shared" si="1573"/>
        <v>1.1575200000000001</v>
      </c>
      <c r="O4250" s="246">
        <f t="shared" si="1574"/>
        <v>0.89</v>
      </c>
      <c r="P4250" s="121">
        <f t="shared" si="1575"/>
        <v>0</v>
      </c>
      <c r="Q4250" s="121">
        <f t="shared" si="1576"/>
        <v>0</v>
      </c>
      <c r="R4250" s="121">
        <f t="shared" si="1577"/>
        <v>1</v>
      </c>
      <c r="S4250" s="121" t="str">
        <f t="shared" si="1578"/>
        <v/>
      </c>
      <c r="T4250" s="121" t="str">
        <f t="shared" si="1579"/>
        <v/>
      </c>
      <c r="U4250" s="121">
        <f t="shared" si="1580"/>
        <v>1.1575200000000001</v>
      </c>
    </row>
    <row r="4251" spans="1:21" x14ac:dyDescent="0.3">
      <c r="A4251" s="187">
        <v>39</v>
      </c>
      <c r="B4251" s="242">
        <f t="shared" si="1581"/>
        <v>46813</v>
      </c>
      <c r="C4251" s="243">
        <f t="shared" si="1562"/>
        <v>46843</v>
      </c>
      <c r="D4251" s="120">
        <f t="shared" si="1563"/>
        <v>31</v>
      </c>
      <c r="E4251" s="120">
        <f t="shared" si="1564"/>
        <v>3</v>
      </c>
      <c r="F4251" s="275">
        <f t="shared" si="1565"/>
        <v>46828.5</v>
      </c>
      <c r="G4251" s="120">
        <f t="shared" si="1566"/>
        <v>24338</v>
      </c>
      <c r="H4251" s="245">
        <f t="shared" si="1567"/>
        <v>1</v>
      </c>
      <c r="I4251" s="121">
        <f t="shared" si="1568"/>
        <v>1.1575200000000001</v>
      </c>
      <c r="J4251" s="121">
        <f t="shared" si="1569"/>
        <v>1.1575200000000001</v>
      </c>
      <c r="K4251" s="120">
        <f t="shared" si="1570"/>
        <v>0</v>
      </c>
      <c r="L4251" s="120">
        <f t="shared" si="1571"/>
        <v>0</v>
      </c>
      <c r="M4251" s="246">
        <f t="shared" si="1572"/>
        <v>0</v>
      </c>
      <c r="N4251" s="121">
        <f t="shared" si="1573"/>
        <v>1.1575200000000001</v>
      </c>
      <c r="O4251" s="246">
        <f t="shared" si="1574"/>
        <v>0.89</v>
      </c>
      <c r="P4251" s="121">
        <f t="shared" si="1575"/>
        <v>0</v>
      </c>
      <c r="Q4251" s="121">
        <f t="shared" si="1576"/>
        <v>0</v>
      </c>
      <c r="R4251" s="121">
        <f t="shared" si="1577"/>
        <v>1</v>
      </c>
      <c r="S4251" s="121" t="str">
        <f t="shared" si="1578"/>
        <v/>
      </c>
      <c r="T4251" s="121" t="str">
        <f t="shared" si="1579"/>
        <v/>
      </c>
      <c r="U4251" s="121">
        <f t="shared" si="1580"/>
        <v>1.1575200000000001</v>
      </c>
    </row>
    <row r="4252" spans="1:21" x14ac:dyDescent="0.3">
      <c r="A4252" s="187">
        <v>40</v>
      </c>
      <c r="B4252" s="242">
        <f t="shared" si="1581"/>
        <v>46844</v>
      </c>
      <c r="C4252" s="243">
        <f t="shared" si="1562"/>
        <v>46873</v>
      </c>
      <c r="D4252" s="120">
        <f t="shared" si="1563"/>
        <v>30</v>
      </c>
      <c r="E4252" s="120">
        <f t="shared" si="1564"/>
        <v>4</v>
      </c>
      <c r="F4252" s="275">
        <f t="shared" si="1565"/>
        <v>46859</v>
      </c>
      <c r="G4252" s="120">
        <f t="shared" si="1566"/>
        <v>24339</v>
      </c>
      <c r="H4252" s="245">
        <f t="shared" si="1567"/>
        <v>1</v>
      </c>
      <c r="I4252" s="121">
        <f t="shared" si="1568"/>
        <v>1.1575200000000001</v>
      </c>
      <c r="J4252" s="121">
        <f t="shared" si="1569"/>
        <v>1.1575200000000001</v>
      </c>
      <c r="K4252" s="120">
        <f t="shared" si="1570"/>
        <v>0</v>
      </c>
      <c r="L4252" s="120">
        <f t="shared" si="1571"/>
        <v>0</v>
      </c>
      <c r="M4252" s="246">
        <f t="shared" si="1572"/>
        <v>0</v>
      </c>
      <c r="N4252" s="121">
        <f t="shared" si="1573"/>
        <v>1.1575200000000001</v>
      </c>
      <c r="O4252" s="246">
        <f t="shared" si="1574"/>
        <v>0.89</v>
      </c>
      <c r="P4252" s="121">
        <f t="shared" si="1575"/>
        <v>0</v>
      </c>
      <c r="Q4252" s="121">
        <f t="shared" si="1576"/>
        <v>0</v>
      </c>
      <c r="R4252" s="121">
        <f t="shared" si="1577"/>
        <v>1</v>
      </c>
      <c r="S4252" s="121" t="str">
        <f t="shared" si="1578"/>
        <v/>
      </c>
      <c r="T4252" s="121" t="str">
        <f t="shared" si="1579"/>
        <v/>
      </c>
      <c r="U4252" s="121">
        <f t="shared" si="1580"/>
        <v>1.1575200000000001</v>
      </c>
    </row>
    <row r="4253" spans="1:21" x14ac:dyDescent="0.3">
      <c r="A4253" s="187">
        <v>41</v>
      </c>
      <c r="B4253" s="242">
        <f t="shared" si="1581"/>
        <v>46874</v>
      </c>
      <c r="C4253" s="243">
        <f t="shared" si="1562"/>
        <v>46904</v>
      </c>
      <c r="D4253" s="120">
        <f t="shared" si="1563"/>
        <v>31</v>
      </c>
      <c r="E4253" s="120">
        <f t="shared" si="1564"/>
        <v>5</v>
      </c>
      <c r="F4253" s="275">
        <f t="shared" si="1565"/>
        <v>46889.5</v>
      </c>
      <c r="G4253" s="120">
        <f t="shared" si="1566"/>
        <v>24340</v>
      </c>
      <c r="H4253" s="245">
        <f t="shared" si="1567"/>
        <v>1</v>
      </c>
      <c r="I4253" s="121">
        <f t="shared" si="1568"/>
        <v>1.1575200000000001</v>
      </c>
      <c r="J4253" s="121">
        <f t="shared" si="1569"/>
        <v>1.1575200000000001</v>
      </c>
      <c r="K4253" s="120">
        <f t="shared" si="1570"/>
        <v>0</v>
      </c>
      <c r="L4253" s="120">
        <f t="shared" si="1571"/>
        <v>0</v>
      </c>
      <c r="M4253" s="246">
        <f t="shared" si="1572"/>
        <v>0</v>
      </c>
      <c r="N4253" s="121">
        <f t="shared" si="1573"/>
        <v>1.1575200000000001</v>
      </c>
      <c r="O4253" s="246">
        <f t="shared" si="1574"/>
        <v>0.89</v>
      </c>
      <c r="P4253" s="121">
        <f t="shared" si="1575"/>
        <v>0</v>
      </c>
      <c r="Q4253" s="121">
        <f t="shared" si="1576"/>
        <v>0</v>
      </c>
      <c r="R4253" s="121">
        <f t="shared" si="1577"/>
        <v>1</v>
      </c>
      <c r="S4253" s="121" t="str">
        <f t="shared" si="1578"/>
        <v/>
      </c>
      <c r="T4253" s="121" t="str">
        <f t="shared" si="1579"/>
        <v/>
      </c>
      <c r="U4253" s="121">
        <f t="shared" si="1580"/>
        <v>1.1575200000000001</v>
      </c>
    </row>
    <row r="4254" spans="1:21" x14ac:dyDescent="0.3">
      <c r="A4254" s="187">
        <v>42</v>
      </c>
      <c r="B4254" s="242">
        <f t="shared" si="1581"/>
        <v>46905</v>
      </c>
      <c r="C4254" s="243">
        <f t="shared" si="1562"/>
        <v>46934</v>
      </c>
      <c r="D4254" s="120">
        <f t="shared" si="1563"/>
        <v>30</v>
      </c>
      <c r="E4254" s="120">
        <f t="shared" si="1564"/>
        <v>6</v>
      </c>
      <c r="F4254" s="275">
        <f t="shared" si="1565"/>
        <v>46920</v>
      </c>
      <c r="G4254" s="120">
        <f t="shared" si="1566"/>
        <v>24341</v>
      </c>
      <c r="H4254" s="245">
        <f t="shared" si="1567"/>
        <v>1</v>
      </c>
      <c r="I4254" s="121">
        <f t="shared" si="1568"/>
        <v>1.1575200000000001</v>
      </c>
      <c r="J4254" s="121">
        <f t="shared" si="1569"/>
        <v>1.1575200000000001</v>
      </c>
      <c r="K4254" s="120">
        <f t="shared" si="1570"/>
        <v>0</v>
      </c>
      <c r="L4254" s="120">
        <f t="shared" si="1571"/>
        <v>0</v>
      </c>
      <c r="M4254" s="246">
        <f t="shared" si="1572"/>
        <v>0</v>
      </c>
      <c r="N4254" s="121">
        <f t="shared" si="1573"/>
        <v>1.1575200000000001</v>
      </c>
      <c r="O4254" s="246">
        <f t="shared" si="1574"/>
        <v>0.89</v>
      </c>
      <c r="P4254" s="121">
        <f t="shared" si="1575"/>
        <v>0</v>
      </c>
      <c r="Q4254" s="121">
        <f t="shared" si="1576"/>
        <v>0</v>
      </c>
      <c r="R4254" s="121">
        <f t="shared" si="1577"/>
        <v>1</v>
      </c>
      <c r="S4254" s="121" t="str">
        <f t="shared" si="1578"/>
        <v/>
      </c>
      <c r="T4254" s="121" t="str">
        <f t="shared" si="1579"/>
        <v/>
      </c>
      <c r="U4254" s="121">
        <f t="shared" si="1580"/>
        <v>1.1575200000000001</v>
      </c>
    </row>
    <row r="4255" spans="1:21" x14ac:dyDescent="0.3">
      <c r="A4255" s="187">
        <v>43</v>
      </c>
      <c r="B4255" s="242">
        <f t="shared" si="1581"/>
        <v>46935</v>
      </c>
      <c r="C4255" s="243">
        <f t="shared" si="1562"/>
        <v>46965</v>
      </c>
      <c r="D4255" s="120">
        <f t="shared" si="1563"/>
        <v>31</v>
      </c>
      <c r="E4255" s="120">
        <f t="shared" si="1564"/>
        <v>7</v>
      </c>
      <c r="F4255" s="275">
        <f t="shared" si="1565"/>
        <v>46950.5</v>
      </c>
      <c r="G4255" s="120">
        <f t="shared" si="1566"/>
        <v>24342</v>
      </c>
      <c r="H4255" s="245">
        <f t="shared" si="1567"/>
        <v>1</v>
      </c>
      <c r="I4255" s="121">
        <f t="shared" si="1568"/>
        <v>1.1575200000000001</v>
      </c>
      <c r="J4255" s="121">
        <f t="shared" si="1569"/>
        <v>1.1575200000000001</v>
      </c>
      <c r="K4255" s="120">
        <f t="shared" si="1570"/>
        <v>0</v>
      </c>
      <c r="L4255" s="120">
        <f t="shared" si="1571"/>
        <v>0</v>
      </c>
      <c r="M4255" s="246">
        <f t="shared" si="1572"/>
        <v>0</v>
      </c>
      <c r="N4255" s="121">
        <f t="shared" si="1573"/>
        <v>1.1575200000000001</v>
      </c>
      <c r="O4255" s="246">
        <f t="shared" si="1574"/>
        <v>0.89</v>
      </c>
      <c r="P4255" s="121">
        <f t="shared" si="1575"/>
        <v>0</v>
      </c>
      <c r="Q4255" s="121">
        <f t="shared" si="1576"/>
        <v>0</v>
      </c>
      <c r="R4255" s="121">
        <f t="shared" si="1577"/>
        <v>0.91666666666666663</v>
      </c>
      <c r="S4255" s="121" t="str">
        <f t="shared" si="1578"/>
        <v/>
      </c>
      <c r="T4255" s="121" t="str">
        <f t="shared" si="1579"/>
        <v/>
      </c>
      <c r="U4255" s="121">
        <f t="shared" si="1580"/>
        <v>1.1575200000000001</v>
      </c>
    </row>
    <row r="4256" spans="1:21" x14ac:dyDescent="0.3">
      <c r="A4256" s="187">
        <v>44</v>
      </c>
      <c r="B4256" s="242">
        <f t="shared" si="1581"/>
        <v>46966</v>
      </c>
      <c r="C4256" s="243">
        <f t="shared" si="1562"/>
        <v>46996</v>
      </c>
      <c r="D4256" s="120">
        <f t="shared" si="1563"/>
        <v>31</v>
      </c>
      <c r="E4256" s="120">
        <f t="shared" si="1564"/>
        <v>8</v>
      </c>
      <c r="F4256" s="275">
        <f t="shared" si="1565"/>
        <v>46981.5</v>
      </c>
      <c r="G4256" s="120">
        <f t="shared" si="1566"/>
        <v>24343</v>
      </c>
      <c r="H4256" s="245">
        <f t="shared" si="1567"/>
        <v>1</v>
      </c>
      <c r="I4256" s="121">
        <f t="shared" si="1568"/>
        <v>1.1575200000000001</v>
      </c>
      <c r="J4256" s="121">
        <f t="shared" si="1569"/>
        <v>1.1575200000000001</v>
      </c>
      <c r="K4256" s="120">
        <f t="shared" si="1570"/>
        <v>0</v>
      </c>
      <c r="L4256" s="120">
        <f t="shared" si="1571"/>
        <v>0</v>
      </c>
      <c r="M4256" s="246">
        <f t="shared" si="1572"/>
        <v>0</v>
      </c>
      <c r="N4256" s="121">
        <f t="shared" si="1573"/>
        <v>1.1575200000000001</v>
      </c>
      <c r="O4256" s="246">
        <f t="shared" si="1574"/>
        <v>0.89</v>
      </c>
      <c r="P4256" s="121">
        <f t="shared" si="1575"/>
        <v>0</v>
      </c>
      <c r="Q4256" s="121">
        <f t="shared" si="1576"/>
        <v>0</v>
      </c>
      <c r="R4256" s="121">
        <f t="shared" si="1577"/>
        <v>0.75</v>
      </c>
      <c r="S4256" s="121" t="str">
        <f t="shared" si="1578"/>
        <v/>
      </c>
      <c r="T4256" s="121" t="str">
        <f t="shared" si="1579"/>
        <v/>
      </c>
      <c r="U4256" s="121">
        <f t="shared" si="1580"/>
        <v>1.1575200000000001</v>
      </c>
    </row>
    <row r="4257" spans="1:21" x14ac:dyDescent="0.3">
      <c r="A4257" s="187">
        <v>45</v>
      </c>
      <c r="B4257" s="242">
        <f t="shared" si="1581"/>
        <v>46997</v>
      </c>
      <c r="C4257" s="243">
        <f t="shared" si="1562"/>
        <v>47026</v>
      </c>
      <c r="D4257" s="120">
        <f t="shared" si="1563"/>
        <v>30</v>
      </c>
      <c r="E4257" s="120">
        <f t="shared" si="1564"/>
        <v>9</v>
      </c>
      <c r="F4257" s="275">
        <f t="shared" si="1565"/>
        <v>47012</v>
      </c>
      <c r="G4257" s="120">
        <f t="shared" si="1566"/>
        <v>24344</v>
      </c>
      <c r="H4257" s="245">
        <f t="shared" si="1567"/>
        <v>1</v>
      </c>
      <c r="I4257" s="121">
        <f t="shared" si="1568"/>
        <v>1.1575200000000001</v>
      </c>
      <c r="J4257" s="121">
        <f t="shared" si="1569"/>
        <v>1.1575200000000001</v>
      </c>
      <c r="K4257" s="120">
        <f t="shared" si="1570"/>
        <v>0</v>
      </c>
      <c r="L4257" s="120">
        <f t="shared" si="1571"/>
        <v>0</v>
      </c>
      <c r="M4257" s="246">
        <f t="shared" si="1572"/>
        <v>0</v>
      </c>
      <c r="N4257" s="121">
        <f t="shared" si="1573"/>
        <v>1.1575200000000001</v>
      </c>
      <c r="O4257" s="246">
        <f t="shared" si="1574"/>
        <v>0.89</v>
      </c>
      <c r="P4257" s="121">
        <f t="shared" si="1575"/>
        <v>0</v>
      </c>
      <c r="Q4257" s="121">
        <f t="shared" si="1576"/>
        <v>0</v>
      </c>
      <c r="R4257" s="121">
        <f t="shared" si="1577"/>
        <v>0.58333333333333337</v>
      </c>
      <c r="S4257" s="121" t="str">
        <f t="shared" si="1578"/>
        <v/>
      </c>
      <c r="T4257" s="121" t="str">
        <f t="shared" si="1579"/>
        <v/>
      </c>
      <c r="U4257" s="121">
        <f t="shared" si="1580"/>
        <v>1.1575200000000001</v>
      </c>
    </row>
    <row r="4258" spans="1:21" x14ac:dyDescent="0.3">
      <c r="A4258" s="187">
        <v>46</v>
      </c>
      <c r="B4258" s="242">
        <f t="shared" si="1581"/>
        <v>47027</v>
      </c>
      <c r="C4258" s="243">
        <f t="shared" si="1562"/>
        <v>47057</v>
      </c>
      <c r="D4258" s="120">
        <f t="shared" si="1563"/>
        <v>31</v>
      </c>
      <c r="E4258" s="120">
        <f t="shared" si="1564"/>
        <v>10</v>
      </c>
      <c r="F4258" s="275">
        <f t="shared" si="1565"/>
        <v>47042.5</v>
      </c>
      <c r="G4258" s="120">
        <f t="shared" si="1566"/>
        <v>24345</v>
      </c>
      <c r="H4258" s="245">
        <f t="shared" si="1567"/>
        <v>1</v>
      </c>
      <c r="I4258" s="121">
        <f t="shared" si="1568"/>
        <v>1.1575200000000001</v>
      </c>
      <c r="J4258" s="121">
        <f t="shared" si="1569"/>
        <v>1.1575200000000001</v>
      </c>
      <c r="K4258" s="120">
        <f t="shared" si="1570"/>
        <v>0</v>
      </c>
      <c r="L4258" s="120">
        <f t="shared" si="1571"/>
        <v>0</v>
      </c>
      <c r="M4258" s="246">
        <f t="shared" si="1572"/>
        <v>0</v>
      </c>
      <c r="N4258" s="121">
        <f t="shared" si="1573"/>
        <v>1.1575200000000001</v>
      </c>
      <c r="O4258" s="246">
        <f t="shared" si="1574"/>
        <v>0.89</v>
      </c>
      <c r="P4258" s="121">
        <f t="shared" si="1575"/>
        <v>0</v>
      </c>
      <c r="Q4258" s="121">
        <f t="shared" si="1576"/>
        <v>0</v>
      </c>
      <c r="R4258" s="121">
        <f t="shared" si="1577"/>
        <v>0.41666666666666669</v>
      </c>
      <c r="S4258" s="121" t="str">
        <f t="shared" si="1578"/>
        <v/>
      </c>
      <c r="T4258" s="121" t="str">
        <f t="shared" si="1579"/>
        <v/>
      </c>
      <c r="U4258" s="121">
        <f t="shared" si="1580"/>
        <v>1.1575200000000001</v>
      </c>
    </row>
    <row r="4259" spans="1:21" x14ac:dyDescent="0.3">
      <c r="A4259" s="187">
        <v>47</v>
      </c>
      <c r="B4259" s="242">
        <f t="shared" si="1581"/>
        <v>47058</v>
      </c>
      <c r="C4259" s="243">
        <f t="shared" si="1562"/>
        <v>47087</v>
      </c>
      <c r="D4259" s="120">
        <f t="shared" si="1563"/>
        <v>30</v>
      </c>
      <c r="E4259" s="120">
        <f t="shared" si="1564"/>
        <v>11</v>
      </c>
      <c r="F4259" s="275">
        <f t="shared" si="1565"/>
        <v>47073</v>
      </c>
      <c r="G4259" s="120">
        <f t="shared" si="1566"/>
        <v>24346</v>
      </c>
      <c r="H4259" s="245">
        <f t="shared" si="1567"/>
        <v>1</v>
      </c>
      <c r="I4259" s="121">
        <f t="shared" si="1568"/>
        <v>1.1575200000000001</v>
      </c>
      <c r="J4259" s="121">
        <f t="shared" si="1569"/>
        <v>1.1575200000000001</v>
      </c>
      <c r="K4259" s="120">
        <f t="shared" si="1570"/>
        <v>0</v>
      </c>
      <c r="L4259" s="120">
        <f t="shared" si="1571"/>
        <v>0</v>
      </c>
      <c r="M4259" s="246">
        <f t="shared" si="1572"/>
        <v>0</v>
      </c>
      <c r="N4259" s="121">
        <f t="shared" si="1573"/>
        <v>1.1575200000000001</v>
      </c>
      <c r="O4259" s="246">
        <f t="shared" si="1574"/>
        <v>0.89</v>
      </c>
      <c r="P4259" s="121">
        <f t="shared" si="1575"/>
        <v>0</v>
      </c>
      <c r="Q4259" s="121">
        <f t="shared" si="1576"/>
        <v>0</v>
      </c>
      <c r="R4259" s="121">
        <f t="shared" si="1577"/>
        <v>0.25</v>
      </c>
      <c r="S4259" s="121" t="str">
        <f t="shared" si="1578"/>
        <v/>
      </c>
      <c r="T4259" s="121" t="str">
        <f t="shared" si="1579"/>
        <v/>
      </c>
      <c r="U4259" s="121">
        <f t="shared" si="1580"/>
        <v>1.1575200000000001</v>
      </c>
    </row>
    <row r="4260" spans="1:21" x14ac:dyDescent="0.3">
      <c r="A4260" s="187">
        <v>48</v>
      </c>
      <c r="B4260" s="242">
        <f t="shared" si="1581"/>
        <v>47088</v>
      </c>
      <c r="C4260" s="243">
        <f t="shared" si="1562"/>
        <v>47118</v>
      </c>
      <c r="D4260" s="120">
        <f t="shared" si="1563"/>
        <v>31</v>
      </c>
      <c r="E4260" s="120">
        <f t="shared" si="1564"/>
        <v>12</v>
      </c>
      <c r="F4260" s="275">
        <f t="shared" si="1565"/>
        <v>47103.5</v>
      </c>
      <c r="G4260" s="120">
        <f t="shared" si="1566"/>
        <v>24347</v>
      </c>
      <c r="H4260" s="245">
        <f t="shared" si="1567"/>
        <v>1</v>
      </c>
      <c r="I4260" s="121">
        <f t="shared" si="1568"/>
        <v>1.1575200000000001</v>
      </c>
      <c r="J4260" s="121">
        <f t="shared" si="1569"/>
        <v>1.1575200000000001</v>
      </c>
      <c r="K4260" s="120">
        <f t="shared" si="1570"/>
        <v>0</v>
      </c>
      <c r="L4260" s="120">
        <f t="shared" si="1571"/>
        <v>0</v>
      </c>
      <c r="M4260" s="246">
        <f t="shared" si="1572"/>
        <v>0</v>
      </c>
      <c r="N4260" s="121">
        <f t="shared" si="1573"/>
        <v>1.1575200000000001</v>
      </c>
      <c r="O4260" s="246">
        <f t="shared" si="1574"/>
        <v>0.89</v>
      </c>
      <c r="P4260" s="121">
        <f t="shared" si="1575"/>
        <v>0</v>
      </c>
      <c r="Q4260" s="121">
        <f t="shared" si="1576"/>
        <v>0</v>
      </c>
      <c r="R4260" s="121">
        <f t="shared" si="1577"/>
        <v>8.3333333333333329E-2</v>
      </c>
      <c r="S4260" s="121" t="str">
        <f t="shared" si="1578"/>
        <v/>
      </c>
      <c r="T4260" s="121" t="str">
        <f t="shared" si="1579"/>
        <v/>
      </c>
      <c r="U4260" s="121">
        <f t="shared" si="1580"/>
        <v>1.1575200000000001</v>
      </c>
    </row>
    <row r="4261" spans="1:21" x14ac:dyDescent="0.3">
      <c r="A4261" s="6" t="s">
        <v>1696</v>
      </c>
      <c r="B4261" s="73">
        <f>SUMPRODUCT($H$4213:$H$4260,$Q$4213:$Q$4260,$U$4213:$U$4260)/SUMPRODUCT($H$4213:$H$4260,$Q$4213:$Q$4260)</f>
        <v>1.1299600000000001</v>
      </c>
      <c r="C4261" s="73">
        <f>SUMPRODUCT($H$4213:$H$4260,$R$4213:$R$4260,$U$4213:$U$4260)/SUMPRODUCT($H$4213:$H$4260,$R$4213:$R$4260)</f>
        <v>1.1575200000000001</v>
      </c>
      <c r="D4261" s="224">
        <f>SUMPRODUCT($H$4213:$H$4260,$Q$4213:$Q$4260,$O$4213:$O$4260)/SUMPRODUCT($H$4213:$H$4260,$Q$4213:$Q$4260)</f>
        <v>0.87197757111597374</v>
      </c>
    </row>
    <row r="4266" spans="1:21" x14ac:dyDescent="0.3">
      <c r="A4266" s="270" t="s">
        <v>1697</v>
      </c>
    </row>
    <row r="4267" spans="1:21" x14ac:dyDescent="0.3">
      <c r="A4267" s="23" t="s">
        <v>1698</v>
      </c>
      <c r="B4267" s="23" t="s">
        <v>1699</v>
      </c>
      <c r="C4267" s="23" t="s">
        <v>1700</v>
      </c>
      <c r="D4267" s="23" t="s">
        <v>1701</v>
      </c>
      <c r="E4267" s="23" t="s">
        <v>1702</v>
      </c>
      <c r="F4267" s="23" t="s">
        <v>1703</v>
      </c>
      <c r="G4267" s="23" t="s">
        <v>1704</v>
      </c>
      <c r="H4267" s="23" t="s">
        <v>1705</v>
      </c>
      <c r="I4267" s="23" t="s">
        <v>1706</v>
      </c>
    </row>
    <row r="4268" spans="1:21" x14ac:dyDescent="0.3">
      <c r="A4268" s="75">
        <f>IF(OR('Rate Log'!$J$7&lt;&gt;nr_SelKey,'Rate Log'!$E$7&lt;&gt;"planned",'Rate Log'!$C$7=""),0,COUNTIFS('Rate Log'!$J$7:$J$7,nr_SelKey,'Rate Log'!$E$7:$E$7,"planned"))</f>
        <v>0</v>
      </c>
      <c r="B4268" s="72">
        <f>IF($A4268=0,N('Rate Log'!$K$7),IF(ISBLANK(INDEX(att_actpct,$A4268)),N('Rate Log'!$K$7),INDEX(att_actpct,$A4268)))</f>
        <v>0.04</v>
      </c>
      <c r="C4268" s="73">
        <f>IF('Rate Log'!$C$7="",0,IF(1+$B4268&gt;0,LN(1+$B4268),0))</f>
        <v>3.9220713153281329E-2</v>
      </c>
      <c r="D4268" s="74">
        <f>IF('Rate Log'!$C$7="","",IF($A4268=0,'Rate Log'!$C$7,IF(ISBLANK(INDEX(att_actdate,$A4268)),'Rate Log'!$C$7,INDEX(att_actdate,$A4268))))</f>
        <v>45839</v>
      </c>
      <c r="E4268" s="74">
        <f t="shared" ref="E4268:E4331" si="1582">IF($D4268="","",DATE(YEAR($D4268),MONTH($D4268),1))</f>
        <v>45839</v>
      </c>
      <c r="F4268" s="75">
        <f t="shared" ref="F4268:F4331" si="1583">IF($D4268="",0,EOMONTH($D4268,0)-$D4268+1)</f>
        <v>31</v>
      </c>
      <c r="G4268" s="75">
        <f>IF($D4268="",0,COUNTIFS(rl_key,'Rate Log'!$J$7,$E$4268:$E$4507,$E4268,$D$4268:$D$4507,"&lt;"&amp;$D4268))</f>
        <v>0</v>
      </c>
      <c r="H4268" s="75">
        <f>IF($D4268="",0,COUNTIFS('Rate Log'!$J$7:$J$7,'Rate Log'!$J$7,$E$4268:$E4268,$E4268,$D$4268:$D4268,$D4268))</f>
        <v>1</v>
      </c>
      <c r="I4268" s="75">
        <f t="shared" ref="I4268:I4331" si="1584">IF($D4268="",0,IF(AND($G4268=0,$H4268=1),1,0))</f>
        <v>1</v>
      </c>
    </row>
    <row r="4269" spans="1:21" x14ac:dyDescent="0.3">
      <c r="A4269" s="75">
        <f>IF(OR('Rate Log'!$J$8&lt;&gt;nr_SelKey,'Rate Log'!$E$8&lt;&gt;"planned",'Rate Log'!$C$8=""),0,COUNTIFS('Rate Log'!$J$7:$J$8,nr_SelKey,'Rate Log'!$E$7:$E$8,"planned"))</f>
        <v>0</v>
      </c>
      <c r="B4269" s="72">
        <f>IF($A4269=0,N('Rate Log'!$K$8),IF(ISBLANK(INDEX(att_actpct,$A4269)),N('Rate Log'!$K$8),INDEX(att_actpct,$A4269)))</f>
        <v>0.06</v>
      </c>
      <c r="C4269" s="73">
        <f>IF('Rate Log'!$C$8="",0,IF(1+$B4269&gt;0,LN(1+$B4269),0))</f>
        <v>5.8268908123975824E-2</v>
      </c>
      <c r="D4269" s="74">
        <f>IF('Rate Log'!$C$8="","",IF($A4269=0,'Rate Log'!$C$8,IF(ISBLANK(INDEX(att_actdate,$A4269)),'Rate Log'!$C$8,INDEX(att_actdate,$A4269))))</f>
        <v>46204</v>
      </c>
      <c r="E4269" s="74">
        <f t="shared" si="1582"/>
        <v>46204</v>
      </c>
      <c r="F4269" s="75">
        <f t="shared" si="1583"/>
        <v>31</v>
      </c>
      <c r="G4269" s="75">
        <f>IF($D4269="",0,COUNTIFS(rl_key,'Rate Log'!$J$8,$E$4268:$E$4507,$E4269,$D$4268:$D$4507,"&lt;"&amp;$D4269))</f>
        <v>0</v>
      </c>
      <c r="H4269" s="75">
        <f>IF($D4269="",0,COUNTIFS('Rate Log'!$J$7:$J$8,'Rate Log'!$J$8,$E$4268:$E4269,$E4269,$D$4268:$D4269,$D4269))</f>
        <v>1</v>
      </c>
      <c r="I4269" s="75">
        <f t="shared" si="1584"/>
        <v>1</v>
      </c>
    </row>
    <row r="4270" spans="1:21" x14ac:dyDescent="0.3">
      <c r="A4270" s="75">
        <f>IF(OR('Rate Log'!$J$9&lt;&gt;nr_SelKey,'Rate Log'!$E$9&lt;&gt;"planned",'Rate Log'!$C$9=""),0,COUNTIFS('Rate Log'!$J$7:$J$9,nr_SelKey,'Rate Log'!$E$7:$E$9,"planned"))</f>
        <v>1</v>
      </c>
      <c r="B4270" s="72">
        <f>IF($A4270=0,N('Rate Log'!$K$9),IF(ISBLANK(INDEX(att_actpct,$A4270)),N('Rate Log'!$K$9),INDEX(att_actpct,$A4270)))</f>
        <v>0.05</v>
      </c>
      <c r="C4270" s="73">
        <f>IF('Rate Log'!$C$9="",0,IF(1+$B4270&gt;0,LN(1+$B4270),0))</f>
        <v>4.8790164169432049E-2</v>
      </c>
      <c r="D4270" s="74">
        <f>IF('Rate Log'!$C$9="","",IF($A4270=0,'Rate Log'!$C$9,IF(ISBLANK(INDEX(att_actdate,$A4270)),'Rate Log'!$C$9,INDEX(att_actdate,$A4270))))</f>
        <v>46478</v>
      </c>
      <c r="E4270" s="74">
        <f t="shared" si="1582"/>
        <v>46478</v>
      </c>
      <c r="F4270" s="75">
        <f t="shared" si="1583"/>
        <v>30</v>
      </c>
      <c r="G4270" s="75">
        <f>IF($D4270="",0,COUNTIFS(rl_key,'Rate Log'!$J$9,$E$4268:$E$4507,$E4270,$D$4268:$D$4507,"&lt;"&amp;$D4270))</f>
        <v>0</v>
      </c>
      <c r="H4270" s="75">
        <f>IF($D4270="",0,COUNTIFS('Rate Log'!$J$7:$J$9,'Rate Log'!$J$9,$E$4268:$E4270,$E4270,$D$4268:$D4270,$D4270))</f>
        <v>1</v>
      </c>
      <c r="I4270" s="75">
        <f t="shared" si="1584"/>
        <v>1</v>
      </c>
    </row>
    <row r="4271" spans="1:21" x14ac:dyDescent="0.3">
      <c r="A4271" s="75">
        <f>IF(OR('Rate Log'!$J$10&lt;&gt;nr_SelKey,'Rate Log'!$E$10&lt;&gt;"planned",'Rate Log'!$C$10=""),0,COUNTIFS('Rate Log'!$J$7:$J$10,nr_SelKey,'Rate Log'!$E$7:$E$10,"planned"))</f>
        <v>0</v>
      </c>
      <c r="B4271" s="72">
        <f>IF($A4271=0,N('Rate Log'!$K$10),IF(ISBLANK(INDEX(att_actpct,$A4271)),N('Rate Log'!$K$10),INDEX(att_actpct,$A4271)))</f>
        <v>6.5000000000000002E-2</v>
      </c>
      <c r="C4271" s="73">
        <f>IF('Rate Log'!$C$10="",0,IF(1+$B4271&gt;0,LN(1+$B4271),0))</f>
        <v>6.2974799161388387E-2</v>
      </c>
      <c r="D4271" s="74">
        <f>IF('Rate Log'!$C$10="","",IF($A4271=0,'Rate Log'!$C$10,IF(ISBLANK(INDEX(att_actdate,$A4271)),'Rate Log'!$C$10,INDEX(att_actdate,$A4271))))</f>
        <v>46204</v>
      </c>
      <c r="E4271" s="74">
        <f t="shared" si="1582"/>
        <v>46204</v>
      </c>
      <c r="F4271" s="75">
        <f t="shared" si="1583"/>
        <v>31</v>
      </c>
      <c r="G4271" s="75">
        <f>IF($D4271="",0,COUNTIFS(rl_key,'Rate Log'!$J$10,$E$4268:$E$4507,$E4271,$D$4268:$D$4507,"&lt;"&amp;$D4271))</f>
        <v>0</v>
      </c>
      <c r="H4271" s="75">
        <f>IF($D4271="",0,COUNTIFS('Rate Log'!$J$7:$J$10,'Rate Log'!$J$10,$E$4268:$E4271,$E4271,$D$4268:$D4271,$D4271))</f>
        <v>1</v>
      </c>
      <c r="I4271" s="75">
        <f t="shared" si="1584"/>
        <v>1</v>
      </c>
    </row>
    <row r="4272" spans="1:21" x14ac:dyDescent="0.3">
      <c r="A4272" s="75">
        <f>IF(OR('Rate Log'!$J$11&lt;&gt;nr_SelKey,'Rate Log'!$E$11&lt;&gt;"planned",'Rate Log'!$C$11=""),0,COUNTIFS('Rate Log'!$J$7:$J$11,nr_SelKey,'Rate Log'!$E$7:$E$11,"planned"))</f>
        <v>0</v>
      </c>
      <c r="B4272" s="72">
        <f>IF($A4272=0,N('Rate Log'!$K$11),IF(ISBLANK(INDEX(att_actpct,$A4272)),N('Rate Log'!$K$11),INDEX(att_actpct,$A4272)))</f>
        <v>0.05</v>
      </c>
      <c r="C4272" s="73">
        <f>IF('Rate Log'!$C$11="",0,IF(1+$B4272&gt;0,LN(1+$B4272),0))</f>
        <v>4.8790164169432049E-2</v>
      </c>
      <c r="D4272" s="74">
        <f>IF('Rate Log'!$C$11="","",IF($A4272=0,'Rate Log'!$C$11,IF(ISBLANK(INDEX(att_actdate,$A4272)),'Rate Log'!$C$11,INDEX(att_actdate,$A4272))))</f>
        <v>46113</v>
      </c>
      <c r="E4272" s="74">
        <f t="shared" si="1582"/>
        <v>46113</v>
      </c>
      <c r="F4272" s="75">
        <f t="shared" si="1583"/>
        <v>30</v>
      </c>
      <c r="G4272" s="75">
        <f>IF($D4272="",0,COUNTIFS(rl_key,'Rate Log'!$J$11,$E$4268:$E$4507,$E4272,$D$4268:$D$4507,"&lt;"&amp;$D4272))</f>
        <v>0</v>
      </c>
      <c r="H4272" s="75">
        <f>IF($D4272="",0,COUNTIFS('Rate Log'!$J$7:$J$11,'Rate Log'!$J$11,$E$4268:$E4272,$E4272,$D$4268:$D4272,$D4272))</f>
        <v>1</v>
      </c>
      <c r="I4272" s="75">
        <f t="shared" si="1584"/>
        <v>1</v>
      </c>
    </row>
    <row r="4273" spans="1:9" x14ac:dyDescent="0.3">
      <c r="A4273" s="75">
        <f>IF(OR('Rate Log'!$J$12&lt;&gt;nr_SelKey,'Rate Log'!$E$12&lt;&gt;"planned",'Rate Log'!$C$12=""),0,COUNTIFS('Rate Log'!$J$7:$J$12,nr_SelKey,'Rate Log'!$E$7:$E$12,"planned"))</f>
        <v>0</v>
      </c>
      <c r="B4273" s="72">
        <f>IF($A4273=0,N('Rate Log'!$K$12),IF(ISBLANK(INDEX(att_actpct,$A4273)),N('Rate Log'!$K$12),INDEX(att_actpct,$A4273)))</f>
        <v>0.03</v>
      </c>
      <c r="C4273" s="73">
        <f>IF('Rate Log'!$C$12="",0,IF(1+$B4273&gt;0,LN(1+$B4273),0))</f>
        <v>2.9558802241544429E-2</v>
      </c>
      <c r="D4273" s="74">
        <f>IF('Rate Log'!$C$12="","",IF($A4273=0,'Rate Log'!$C$12,IF(ISBLANK(INDEX(att_actdate,$A4273)),'Rate Log'!$C$12,INDEX(att_actdate,$A4273))))</f>
        <v>46522</v>
      </c>
      <c r="E4273" s="74">
        <f t="shared" si="1582"/>
        <v>46508</v>
      </c>
      <c r="F4273" s="75">
        <f t="shared" si="1583"/>
        <v>17</v>
      </c>
      <c r="G4273" s="75">
        <f>IF($D4273="",0,COUNTIFS(rl_key,'Rate Log'!$J$12,$E$4268:$E$4507,$E4273,$D$4268:$D$4507,"&lt;"&amp;$D4273))</f>
        <v>0</v>
      </c>
      <c r="H4273" s="75">
        <f>IF($D4273="",0,COUNTIFS('Rate Log'!$J$7:$J$12,'Rate Log'!$J$12,$E$4268:$E4273,$E4273,$D$4268:$D4273,$D4273))</f>
        <v>1</v>
      </c>
      <c r="I4273" s="75">
        <f t="shared" si="1584"/>
        <v>1</v>
      </c>
    </row>
    <row r="4274" spans="1:9" x14ac:dyDescent="0.3">
      <c r="A4274" s="75">
        <f>IF(OR('Rate Log'!$J$13&lt;&gt;nr_SelKey,'Rate Log'!$E$13&lt;&gt;"planned",'Rate Log'!$C$13=""),0,COUNTIFS('Rate Log'!$J$7:$J$13,nr_SelKey,'Rate Log'!$E$7:$E$13,"planned"))</f>
        <v>0</v>
      </c>
      <c r="B4274" s="72">
        <f>IF($A4274=0,N('Rate Log'!$K$13),IF(ISBLANK(INDEX(att_actpct,$A4274)),N('Rate Log'!$K$13),INDEX(att_actpct,$A4274)))</f>
        <v>0.08</v>
      </c>
      <c r="C4274" s="73">
        <f>IF('Rate Log'!$C$13="",0,IF(1+$B4274&gt;0,LN(1+$B4274),0))</f>
        <v>7.6961041136128394E-2</v>
      </c>
      <c r="D4274" s="74">
        <f>IF('Rate Log'!$C$13="","",IF($A4274=0,'Rate Log'!$C$13,IF(ISBLANK(INDEX(att_actdate,$A4274)),'Rate Log'!$C$13,INDEX(att_actdate,$A4274))))</f>
        <v>46296</v>
      </c>
      <c r="E4274" s="74">
        <f t="shared" si="1582"/>
        <v>46296</v>
      </c>
      <c r="F4274" s="75">
        <f t="shared" si="1583"/>
        <v>31</v>
      </c>
      <c r="G4274" s="75">
        <f>IF($D4274="",0,COUNTIFS(rl_key,'Rate Log'!$J$13,$E$4268:$E$4507,$E4274,$D$4268:$D$4507,"&lt;"&amp;$D4274))</f>
        <v>0</v>
      </c>
      <c r="H4274" s="75">
        <f>IF($D4274="",0,COUNTIFS('Rate Log'!$J$7:$J$13,'Rate Log'!$J$13,$E$4268:$E4274,$E4274,$D$4268:$D4274,$D4274))</f>
        <v>1</v>
      </c>
      <c r="I4274" s="75">
        <f t="shared" si="1584"/>
        <v>1</v>
      </c>
    </row>
    <row r="4275" spans="1:9" x14ac:dyDescent="0.3">
      <c r="A4275" s="75">
        <f>IF(OR('Rate Log'!$J$14&lt;&gt;nr_SelKey,'Rate Log'!$E$14&lt;&gt;"planned",'Rate Log'!$C$14=""),0,COUNTIFS('Rate Log'!$J$7:$J$14,nr_SelKey,'Rate Log'!$E$7:$E$14,"planned"))</f>
        <v>0</v>
      </c>
      <c r="B4275" s="72">
        <f>IF($A4275=0,N('Rate Log'!$K$14),IF(ISBLANK(INDEX(att_actpct,$A4275)),N('Rate Log'!$K$14),INDEX(att_actpct,$A4275)))</f>
        <v>4.8000000000000001E-2</v>
      </c>
      <c r="C4275" s="73">
        <f>IF('Rate Log'!$C$14="",0,IF(1+$B4275&gt;0,LN(1+$B4275),0))</f>
        <v>4.6883585898850458E-2</v>
      </c>
      <c r="D4275" s="74">
        <f>IF('Rate Log'!$C$14="","",IF($A4275=0,'Rate Log'!$C$14,IF(ISBLANK(INDEX(att_actdate,$A4275)),'Rate Log'!$C$14,INDEX(att_actdate,$A4275))))</f>
        <v>46447</v>
      </c>
      <c r="E4275" s="74">
        <f t="shared" si="1582"/>
        <v>46447</v>
      </c>
      <c r="F4275" s="75">
        <f t="shared" si="1583"/>
        <v>31</v>
      </c>
      <c r="G4275" s="75">
        <f>IF($D4275="",0,COUNTIFS(rl_key,'Rate Log'!$J$14,$E$4268:$E$4507,$E4275,$D$4268:$D$4507,"&lt;"&amp;$D4275))</f>
        <v>0</v>
      </c>
      <c r="H4275" s="75">
        <f>IF($D4275="",0,COUNTIFS('Rate Log'!$J$7:$J$14,'Rate Log'!$J$14,$E$4268:$E4275,$E4275,$D$4268:$D4275,$D4275))</f>
        <v>1</v>
      </c>
      <c r="I4275" s="75">
        <f t="shared" si="1584"/>
        <v>1</v>
      </c>
    </row>
    <row r="4276" spans="1:9" x14ac:dyDescent="0.3">
      <c r="A4276" s="75">
        <f>IF(OR('Rate Log'!$J$15&lt;&gt;nr_SelKey,'Rate Log'!$E$15&lt;&gt;"planned",'Rate Log'!$C$15=""),0,COUNTIFS('Rate Log'!$J$7:$J$15,nr_SelKey,'Rate Log'!$E$7:$E$15,"planned"))</f>
        <v>0</v>
      </c>
      <c r="B4276" s="72">
        <f>IF($A4276=0,N('Rate Log'!$K$15),IF(ISBLANK(INDEX(att_actpct,$A4276)),N('Rate Log'!$K$15),INDEX(att_actpct,$A4276)))</f>
        <v>4.4999999999999998E-2</v>
      </c>
      <c r="C4276" s="73">
        <f>IF('Rate Log'!$C$15="",0,IF(1+$B4276&gt;0,LN(1+$B4276),0))</f>
        <v>4.401688541677426E-2</v>
      </c>
      <c r="D4276" s="74">
        <f>IF('Rate Log'!$C$15="","",IF($A4276=0,'Rate Log'!$C$15,IF(ISBLANK(INDEX(att_actdate,$A4276)),'Rate Log'!$C$15,INDEX(att_actdate,$A4276))))</f>
        <v>46174</v>
      </c>
      <c r="E4276" s="74">
        <f t="shared" si="1582"/>
        <v>46174</v>
      </c>
      <c r="F4276" s="75">
        <f t="shared" si="1583"/>
        <v>30</v>
      </c>
      <c r="G4276" s="75">
        <f>IF($D4276="",0,COUNTIFS(rl_key,'Rate Log'!$J$15,$E$4268:$E$4507,$E4276,$D$4268:$D$4507,"&lt;"&amp;$D4276))</f>
        <v>0</v>
      </c>
      <c r="H4276" s="75">
        <f>IF($D4276="",0,COUNTIFS('Rate Log'!$J$7:$J$15,'Rate Log'!$J$15,$E$4268:$E4276,$E4276,$D$4268:$D4276,$D4276))</f>
        <v>1</v>
      </c>
      <c r="I4276" s="75">
        <f t="shared" si="1584"/>
        <v>1</v>
      </c>
    </row>
    <row r="4277" spans="1:9" x14ac:dyDescent="0.3">
      <c r="A4277" s="75">
        <f>IF(OR('Rate Log'!$J$16&lt;&gt;nr_SelKey,'Rate Log'!$E$16&lt;&gt;"planned",'Rate Log'!$C$16=""),0,COUNTIFS('Rate Log'!$J$7:$J$16,nr_SelKey,'Rate Log'!$E$7:$E$16,"planned"))</f>
        <v>0</v>
      </c>
      <c r="B4277" s="72">
        <f>IF($A4277=0,N('Rate Log'!$K$16),IF(ISBLANK(INDEX(att_actpct,$A4277)),N('Rate Log'!$K$16),INDEX(att_actpct,$A4277)))</f>
        <v>0.1</v>
      </c>
      <c r="C4277" s="73">
        <f>IF('Rate Log'!$C$16="",0,IF(1+$B4277&gt;0,LN(1+$B4277),0))</f>
        <v>9.5310179804324935E-2</v>
      </c>
      <c r="D4277" s="74">
        <f>IF('Rate Log'!$C$16="","",IF($A4277=0,'Rate Log'!$C$16,IF(ISBLANK(INDEX(att_actdate,$A4277)),'Rate Log'!$C$16,INDEX(att_actdate,$A4277))))</f>
        <v>46296</v>
      </c>
      <c r="E4277" s="74">
        <f t="shared" si="1582"/>
        <v>46296</v>
      </c>
      <c r="F4277" s="75">
        <f t="shared" si="1583"/>
        <v>31</v>
      </c>
      <c r="G4277" s="75">
        <f>IF($D4277="",0,COUNTIFS(rl_key,'Rate Log'!$J$16,$E$4268:$E$4507,$E4277,$D$4268:$D$4507,"&lt;"&amp;$D4277))</f>
        <v>0</v>
      </c>
      <c r="H4277" s="75">
        <f>IF($D4277="",0,COUNTIFS('Rate Log'!$J$7:$J$16,'Rate Log'!$J$16,$E$4268:$E4277,$E4277,$D$4268:$D4277,$D4277))</f>
        <v>1</v>
      </c>
      <c r="I4277" s="75">
        <f t="shared" si="1584"/>
        <v>1</v>
      </c>
    </row>
    <row r="4278" spans="1:9" x14ac:dyDescent="0.3">
      <c r="A4278" s="75">
        <f>IF(OR('Rate Log'!$J$17&lt;&gt;nr_SelKey,'Rate Log'!$E$17&lt;&gt;"planned",'Rate Log'!$C$17=""),0,COUNTIFS('Rate Log'!$J$7:$J$17,nr_SelKey,'Rate Log'!$E$7:$E$17,"planned"))</f>
        <v>0</v>
      </c>
      <c r="B4278" s="72">
        <f>IF($A4278=0,N('Rate Log'!$K$17),IF(ISBLANK(INDEX(att_actpct,$A4278)),N('Rate Log'!$K$17),INDEX(att_actpct,$A4278)))</f>
        <v>0.04</v>
      </c>
      <c r="C4278" s="73">
        <f>IF('Rate Log'!$C$17="",0,IF(1+$B4278&gt;0,LN(1+$B4278),0))</f>
        <v>3.9220713153281329E-2</v>
      </c>
      <c r="D4278" s="74">
        <f>IF('Rate Log'!$C$17="","",IF($A4278=0,'Rate Log'!$C$17,IF(ISBLANK(INDEX(att_actdate,$A4278)),'Rate Log'!$C$17,INDEX(att_actdate,$A4278))))</f>
        <v>46478</v>
      </c>
      <c r="E4278" s="74">
        <f t="shared" si="1582"/>
        <v>46478</v>
      </c>
      <c r="F4278" s="75">
        <f t="shared" si="1583"/>
        <v>30</v>
      </c>
      <c r="G4278" s="75">
        <f>IF($D4278="",0,COUNTIFS(rl_key,'Rate Log'!$J$17,$E$4268:$E$4507,$E4278,$D$4268:$D$4507,"&lt;"&amp;$D4278))</f>
        <v>0</v>
      </c>
      <c r="H4278" s="75">
        <f>IF($D4278="",0,COUNTIFS('Rate Log'!$J$7:$J$17,'Rate Log'!$J$17,$E$4268:$E4278,$E4278,$D$4268:$D4278,$D4278))</f>
        <v>1</v>
      </c>
      <c r="I4278" s="75">
        <f t="shared" si="1584"/>
        <v>1</v>
      </c>
    </row>
    <row r="4279" spans="1:9" x14ac:dyDescent="0.3">
      <c r="A4279" s="75">
        <f>IF(OR('Rate Log'!$J$18&lt;&gt;nr_SelKey,'Rate Log'!$E$18&lt;&gt;"planned",'Rate Log'!$C$18=""),0,COUNTIFS('Rate Log'!$J$7:$J$18,nr_SelKey,'Rate Log'!$E$7:$E$18,"planned"))</f>
        <v>0</v>
      </c>
      <c r="B4279" s="72">
        <f>IF($A4279=0,N('Rate Log'!$K$18),IF(ISBLANK(INDEX(att_actpct,$A4279)),N('Rate Log'!$K$18),INDEX(att_actpct,$A4279)))</f>
        <v>0.03</v>
      </c>
      <c r="C4279" s="73">
        <f>IF('Rate Log'!$C$18="",0,IF(1+$B4279&gt;0,LN(1+$B4279),0))</f>
        <v>2.9558802241544429E-2</v>
      </c>
      <c r="D4279" s="74">
        <f>IF('Rate Log'!$C$18="","",IF($A4279=0,'Rate Log'!$C$18,IF(ISBLANK(INDEX(att_actdate,$A4279)),'Rate Log'!$C$18,INDEX(att_actdate,$A4279))))</f>
        <v>46054</v>
      </c>
      <c r="E4279" s="74">
        <f t="shared" si="1582"/>
        <v>46054</v>
      </c>
      <c r="F4279" s="75">
        <f t="shared" si="1583"/>
        <v>28</v>
      </c>
      <c r="G4279" s="75">
        <f>IF($D4279="",0,COUNTIFS(rl_key,'Rate Log'!$J$18,$E$4268:$E$4507,$E4279,$D$4268:$D$4507,"&lt;"&amp;$D4279))</f>
        <v>0</v>
      </c>
      <c r="H4279" s="75">
        <f>IF($D4279="",0,COUNTIFS('Rate Log'!$J$7:$J$18,'Rate Log'!$J$18,$E$4268:$E4279,$E4279,$D$4268:$D4279,$D4279))</f>
        <v>1</v>
      </c>
      <c r="I4279" s="75">
        <f t="shared" si="1584"/>
        <v>1</v>
      </c>
    </row>
    <row r="4280" spans="1:9" x14ac:dyDescent="0.3">
      <c r="A4280" s="75">
        <f>IF(OR('Rate Log'!$J$19&lt;&gt;nr_SelKey,'Rate Log'!$E$19&lt;&gt;"planned",'Rate Log'!$C$19=""),0,COUNTIFS('Rate Log'!$J$7:$J$19,nr_SelKey,'Rate Log'!$E$7:$E$19,"planned"))</f>
        <v>0</v>
      </c>
      <c r="B4280" s="72">
        <f>IF($A4280=0,N('Rate Log'!$K$19),IF(ISBLANK(INDEX(att_actpct,$A4280)),N('Rate Log'!$K$19),INDEX(att_actpct,$A4280)))</f>
        <v>0.04</v>
      </c>
      <c r="C4280" s="73">
        <f>IF('Rate Log'!$C$19="",0,IF(1+$B4280&gt;0,LN(1+$B4280),0))</f>
        <v>3.9220713153281329E-2</v>
      </c>
      <c r="D4280" s="74">
        <f>IF('Rate Log'!$C$19="","",IF($A4280=0,'Rate Log'!$C$19,IF(ISBLANK(INDEX(att_actdate,$A4280)),'Rate Log'!$C$19,INDEX(att_actdate,$A4280))))</f>
        <v>46419</v>
      </c>
      <c r="E4280" s="74">
        <f t="shared" si="1582"/>
        <v>46419</v>
      </c>
      <c r="F4280" s="75">
        <f t="shared" si="1583"/>
        <v>28</v>
      </c>
      <c r="G4280" s="75">
        <f>IF($D4280="",0,COUNTIFS(rl_key,'Rate Log'!$J$19,$E$4268:$E$4507,$E4280,$D$4268:$D$4507,"&lt;"&amp;$D4280))</f>
        <v>0</v>
      </c>
      <c r="H4280" s="75">
        <f>IF($D4280="",0,COUNTIFS('Rate Log'!$J$7:$J$19,'Rate Log'!$J$19,$E$4268:$E4280,$E4280,$D$4268:$D4280,$D4280))</f>
        <v>1</v>
      </c>
      <c r="I4280" s="75">
        <f t="shared" si="1584"/>
        <v>1</v>
      </c>
    </row>
    <row r="4281" spans="1:9" x14ac:dyDescent="0.3">
      <c r="A4281" s="75">
        <f>IF(OR('Rate Log'!$J$20&lt;&gt;nr_SelKey,'Rate Log'!$E$20&lt;&gt;"planned",'Rate Log'!$C$20=""),0,COUNTIFS('Rate Log'!$J$7:$J$20,nr_SelKey,'Rate Log'!$E$7:$E$20,"planned"))</f>
        <v>0</v>
      </c>
      <c r="B4281" s="72">
        <f>IF($A4281=0,N('Rate Log'!$K$20),IF(ISBLANK(INDEX(att_actpct,$A4281)),N('Rate Log'!$K$20),INDEX(att_actpct,$A4281)))</f>
        <v>0.05</v>
      </c>
      <c r="C4281" s="73">
        <f>IF('Rate Log'!$C$20="",0,IF(1+$B4281&gt;0,LN(1+$B4281),0))</f>
        <v>4.8790164169432049E-2</v>
      </c>
      <c r="D4281" s="74">
        <f>IF('Rate Log'!$C$20="","",IF($A4281=0,'Rate Log'!$C$20,IF(ISBLANK(INDEX(att_actdate,$A4281)),'Rate Log'!$C$20,INDEX(att_actdate,$A4281))))</f>
        <v>46113</v>
      </c>
      <c r="E4281" s="74">
        <f t="shared" si="1582"/>
        <v>46113</v>
      </c>
      <c r="F4281" s="75">
        <f t="shared" si="1583"/>
        <v>30</v>
      </c>
      <c r="G4281" s="75">
        <f>IF($D4281="",0,COUNTIFS(rl_key,'Rate Log'!$J$20,$E$4268:$E$4507,$E4281,$D$4268:$D$4507,"&lt;"&amp;$D4281))</f>
        <v>0</v>
      </c>
      <c r="H4281" s="75">
        <f>IF($D4281="",0,COUNTIFS('Rate Log'!$J$7:$J$20,'Rate Log'!$J$20,$E$4268:$E4281,$E4281,$D$4268:$D4281,$D4281))</f>
        <v>1</v>
      </c>
      <c r="I4281" s="75">
        <f t="shared" si="1584"/>
        <v>1</v>
      </c>
    </row>
    <row r="4282" spans="1:9" x14ac:dyDescent="0.3">
      <c r="A4282" s="75">
        <f>IF(OR('Rate Log'!$J$21&lt;&gt;nr_SelKey,'Rate Log'!$E$21&lt;&gt;"planned",'Rate Log'!$C$21=""),0,COUNTIFS('Rate Log'!$J$7:$J$21,nr_SelKey,'Rate Log'!$E$7:$E$21,"planned"))</f>
        <v>0</v>
      </c>
      <c r="B4282" s="72">
        <f>IF($A4282=0,N('Rate Log'!$K$21),IF(ISBLANK(INDEX(att_actpct,$A4282)),N('Rate Log'!$K$21),INDEX(att_actpct,$A4282)))</f>
        <v>0.06</v>
      </c>
      <c r="C4282" s="73">
        <f>IF('Rate Log'!$C$21="",0,IF(1+$B4282&gt;0,LN(1+$B4282),0))</f>
        <v>5.8268908123975824E-2</v>
      </c>
      <c r="D4282" s="74">
        <f>IF('Rate Log'!$C$21="","",IF($A4282=0,'Rate Log'!$C$21,IF(ISBLANK(INDEX(att_actdate,$A4282)),'Rate Log'!$C$21,INDEX(att_actdate,$A4282))))</f>
        <v>46143</v>
      </c>
      <c r="E4282" s="74">
        <f t="shared" si="1582"/>
        <v>46143</v>
      </c>
      <c r="F4282" s="75">
        <f t="shared" si="1583"/>
        <v>31</v>
      </c>
      <c r="G4282" s="75">
        <f>IF($D4282="",0,COUNTIFS(rl_key,'Rate Log'!$J$21,$E$4268:$E$4507,$E4282,$D$4268:$D$4507,"&lt;"&amp;$D4282))</f>
        <v>0</v>
      </c>
      <c r="H4282" s="75">
        <f>IF($D4282="",0,COUNTIFS('Rate Log'!$J$7:$J$21,'Rate Log'!$J$21,$E$4268:$E4282,$E4282,$D$4268:$D4282,$D4282))</f>
        <v>1</v>
      </c>
      <c r="I4282" s="75">
        <f t="shared" si="1584"/>
        <v>1</v>
      </c>
    </row>
    <row r="4283" spans="1:9" x14ac:dyDescent="0.3">
      <c r="A4283" s="75">
        <f>IF(OR('Rate Log'!$J$22&lt;&gt;nr_SelKey,'Rate Log'!$E$22&lt;&gt;"planned",'Rate Log'!$C$22=""),0,COUNTIFS('Rate Log'!$J$7:$J$22,nr_SelKey,'Rate Log'!$E$7:$E$22,"planned"))</f>
        <v>0</v>
      </c>
      <c r="B4283" s="72">
        <f>IF($A4283=0,N('Rate Log'!$K$22),IF(ISBLANK(INDEX(att_actpct,$A4283)),N('Rate Log'!$K$22),INDEX(att_actpct,$A4283)))</f>
        <v>0.04</v>
      </c>
      <c r="C4283" s="73">
        <f>IF('Rate Log'!$C$22="",0,IF(1+$B4283&gt;0,LN(1+$B4283),0))</f>
        <v>3.9220713153281329E-2</v>
      </c>
      <c r="D4283" s="74">
        <f>IF('Rate Log'!$C$22="","",IF($A4283=0,'Rate Log'!$C$22,IF(ISBLANK(INDEX(att_actdate,$A4283)),'Rate Log'!$C$22,INDEX(att_actdate,$A4283))))</f>
        <v>46539</v>
      </c>
      <c r="E4283" s="74">
        <f t="shared" si="1582"/>
        <v>46539</v>
      </c>
      <c r="F4283" s="75">
        <f t="shared" si="1583"/>
        <v>30</v>
      </c>
      <c r="G4283" s="75">
        <f>IF($D4283="",0,COUNTIFS(rl_key,'Rate Log'!$J$22,$E$4268:$E$4507,$E4283,$D$4268:$D$4507,"&lt;"&amp;$D4283))</f>
        <v>0</v>
      </c>
      <c r="H4283" s="75">
        <f>IF($D4283="",0,COUNTIFS('Rate Log'!$J$7:$J$22,'Rate Log'!$J$22,$E$4268:$E4283,$E4283,$D$4268:$D4283,$D4283))</f>
        <v>1</v>
      </c>
      <c r="I4283" s="75">
        <f t="shared" si="1584"/>
        <v>1</v>
      </c>
    </row>
    <row r="4284" spans="1:9" x14ac:dyDescent="0.3">
      <c r="A4284" s="75">
        <f>IF(OR('Rate Log'!$J$23&lt;&gt;nr_SelKey,'Rate Log'!$E$23&lt;&gt;"planned",'Rate Log'!$C$23=""),0,COUNTIFS('Rate Log'!$J$7:$J$23,nr_SelKey,'Rate Log'!$E$7:$E$23,"planned"))</f>
        <v>0</v>
      </c>
      <c r="B4284" s="72">
        <f>IF($A4284=0,N('Rate Log'!$K$23),IF(ISBLANK(INDEX(att_actpct,$A4284)),N('Rate Log'!$K$23),INDEX(att_actpct,$A4284)))</f>
        <v>0.03</v>
      </c>
      <c r="C4284" s="73">
        <f>IF('Rate Log'!$C$23="",0,IF(1+$B4284&gt;0,LN(1+$B4284),0))</f>
        <v>2.9558802241544429E-2</v>
      </c>
      <c r="D4284" s="74">
        <f>IF('Rate Log'!$C$23="","",IF($A4284=0,'Rate Log'!$C$23,IF(ISBLANK(INDEX(att_actdate,$A4284)),'Rate Log'!$C$23,INDEX(att_actdate,$A4284))))</f>
        <v>46204</v>
      </c>
      <c r="E4284" s="74">
        <f t="shared" si="1582"/>
        <v>46204</v>
      </c>
      <c r="F4284" s="75">
        <f t="shared" si="1583"/>
        <v>31</v>
      </c>
      <c r="G4284" s="75">
        <f>IF($D4284="",0,COUNTIFS(rl_key,'Rate Log'!$J$23,$E$4268:$E$4507,$E4284,$D$4268:$D$4507,"&lt;"&amp;$D4284))</f>
        <v>0</v>
      </c>
      <c r="H4284" s="75">
        <f>IF($D4284="",0,COUNTIFS('Rate Log'!$J$7:$J$23,'Rate Log'!$J$23,$E$4268:$E4284,$E4284,$D$4268:$D4284,$D4284))</f>
        <v>1</v>
      </c>
      <c r="I4284" s="75">
        <f t="shared" si="1584"/>
        <v>1</v>
      </c>
    </row>
    <row r="4285" spans="1:9" x14ac:dyDescent="0.3">
      <c r="A4285" s="75">
        <f>IF(OR('Rate Log'!$J$24&lt;&gt;nr_SelKey,'Rate Log'!$E$24&lt;&gt;"planned",'Rate Log'!$C$24=""),0,COUNTIFS('Rate Log'!$J$7:$J$24,nr_SelKey,'Rate Log'!$E$7:$E$24,"planned"))</f>
        <v>0</v>
      </c>
      <c r="B4285" s="72">
        <f>IF($A4285=0,N('Rate Log'!$K$24),IF(ISBLANK(INDEX(att_actpct,$A4285)),N('Rate Log'!$K$24),INDEX(att_actpct,$A4285)))</f>
        <v>0.04</v>
      </c>
      <c r="C4285" s="73">
        <f>IF('Rate Log'!$C$24="",0,IF(1+$B4285&gt;0,LN(1+$B4285),0))</f>
        <v>3.9220713153281329E-2</v>
      </c>
      <c r="D4285" s="74">
        <f>IF('Rate Log'!$C$24="","",IF($A4285=0,'Rate Log'!$C$24,IF(ISBLANK(INDEX(att_actdate,$A4285)),'Rate Log'!$C$24,INDEX(att_actdate,$A4285))))</f>
        <v>46235</v>
      </c>
      <c r="E4285" s="74">
        <f t="shared" si="1582"/>
        <v>46235</v>
      </c>
      <c r="F4285" s="75">
        <f t="shared" si="1583"/>
        <v>31</v>
      </c>
      <c r="G4285" s="75">
        <f>IF($D4285="",0,COUNTIFS(rl_key,'Rate Log'!$J$24,$E$4268:$E$4507,$E4285,$D$4268:$D$4507,"&lt;"&amp;$D4285))</f>
        <v>0</v>
      </c>
      <c r="H4285" s="75">
        <f>IF($D4285="",0,COUNTIFS('Rate Log'!$J$7:$J$24,'Rate Log'!$J$24,$E$4268:$E4285,$E4285,$D$4268:$D4285,$D4285))</f>
        <v>1</v>
      </c>
      <c r="I4285" s="75">
        <f t="shared" si="1584"/>
        <v>1</v>
      </c>
    </row>
    <row r="4286" spans="1:9" x14ac:dyDescent="0.3">
      <c r="A4286" s="75">
        <f>IF(OR('Rate Log'!$J$25&lt;&gt;nr_SelKey,'Rate Log'!$E$25&lt;&gt;"planned",'Rate Log'!$C$25=""),0,COUNTIFS('Rate Log'!$J$7:$J$25,nr_SelKey,'Rate Log'!$E$7:$E$25,"planned"))</f>
        <v>0</v>
      </c>
      <c r="B4286" s="72">
        <f>IF($A4286=0,N('Rate Log'!$K$25),IF(ISBLANK(INDEX(att_actpct,$A4286)),N('Rate Log'!$K$25),INDEX(att_actpct,$A4286)))</f>
        <v>0.06</v>
      </c>
      <c r="C4286" s="73">
        <f>IF('Rate Log'!$C$25="",0,IF(1+$B4286&gt;0,LN(1+$B4286),0))</f>
        <v>5.8268908123975824E-2</v>
      </c>
      <c r="D4286" s="74">
        <f>IF('Rate Log'!$C$25="","",IF($A4286=0,'Rate Log'!$C$25,IF(ISBLANK(INDEX(att_actdate,$A4286)),'Rate Log'!$C$25,INDEX(att_actdate,$A4286))))</f>
        <v>46296</v>
      </c>
      <c r="E4286" s="74">
        <f t="shared" si="1582"/>
        <v>46296</v>
      </c>
      <c r="F4286" s="75">
        <f t="shared" si="1583"/>
        <v>31</v>
      </c>
      <c r="G4286" s="75">
        <f>IF($D4286="",0,COUNTIFS(rl_key,'Rate Log'!$J$25,$E$4268:$E$4507,$E4286,$D$4268:$D$4507,"&lt;"&amp;$D4286))</f>
        <v>0</v>
      </c>
      <c r="H4286" s="75">
        <f>IF($D4286="",0,COUNTIFS('Rate Log'!$J$7:$J$25,'Rate Log'!$J$25,$E$4268:$E4286,$E4286,$D$4268:$D4286,$D4286))</f>
        <v>1</v>
      </c>
      <c r="I4286" s="75">
        <f t="shared" si="1584"/>
        <v>1</v>
      </c>
    </row>
    <row r="4287" spans="1:9" x14ac:dyDescent="0.3">
      <c r="A4287" s="75">
        <f>IF(OR('Rate Log'!$J$26&lt;&gt;nr_SelKey,'Rate Log'!$E$26&lt;&gt;"planned",'Rate Log'!$C$26=""),0,COUNTIFS('Rate Log'!$J$7:$J$26,nr_SelKey,'Rate Log'!$E$7:$E$26,"planned"))</f>
        <v>0</v>
      </c>
      <c r="B4287" s="72">
        <f>IF($A4287=0,N('Rate Log'!$K$26),IF(ISBLANK(INDEX(att_actpct,$A4287)),N('Rate Log'!$K$26),INDEX(att_actpct,$A4287)))</f>
        <v>0.04</v>
      </c>
      <c r="C4287" s="73">
        <f>IF('Rate Log'!$C$26="",0,IF(1+$B4287&gt;0,LN(1+$B4287),0))</f>
        <v>3.9220713153281329E-2</v>
      </c>
      <c r="D4287" s="74">
        <f>IF('Rate Log'!$C$26="","",IF($A4287=0,'Rate Log'!$C$26,IF(ISBLANK(INDEX(att_actdate,$A4287)),'Rate Log'!$C$26,INDEX(att_actdate,$A4287))))</f>
        <v>46661</v>
      </c>
      <c r="E4287" s="74">
        <f t="shared" si="1582"/>
        <v>46661</v>
      </c>
      <c r="F4287" s="75">
        <f t="shared" si="1583"/>
        <v>31</v>
      </c>
      <c r="G4287" s="75">
        <f>IF($D4287="",0,COUNTIFS(rl_key,'Rate Log'!$J$26,$E$4268:$E$4507,$E4287,$D$4268:$D$4507,"&lt;"&amp;$D4287))</f>
        <v>0</v>
      </c>
      <c r="H4287" s="75">
        <f>IF($D4287="",0,COUNTIFS('Rate Log'!$J$7:$J$26,'Rate Log'!$J$26,$E$4268:$E4287,$E4287,$D$4268:$D4287,$D4287))</f>
        <v>1</v>
      </c>
      <c r="I4287" s="75">
        <f t="shared" si="1584"/>
        <v>1</v>
      </c>
    </row>
    <row r="4288" spans="1:9" x14ac:dyDescent="0.3">
      <c r="A4288" s="75">
        <f>IF(OR('Rate Log'!$J$27&lt;&gt;nr_SelKey,'Rate Log'!$E$27&lt;&gt;"planned",'Rate Log'!$C$27=""),0,COUNTIFS('Rate Log'!$J$7:$J$27,nr_SelKey,'Rate Log'!$E$7:$E$27,"planned"))</f>
        <v>0</v>
      </c>
      <c r="B4288" s="72">
        <f>IF($A4288=0,N('Rate Log'!$K$27),IF(ISBLANK(INDEX(att_actpct,$A4288)),N('Rate Log'!$K$27),INDEX(att_actpct,$A4288)))</f>
        <v>0.02</v>
      </c>
      <c r="C4288" s="73">
        <f>IF('Rate Log'!$C$27="",0,IF(1+$B4288&gt;0,LN(1+$B4288),0))</f>
        <v>1.980262729617973E-2</v>
      </c>
      <c r="D4288" s="74">
        <f>IF('Rate Log'!$C$27="","",IF($A4288=0,'Rate Log'!$C$27,IF(ISBLANK(INDEX(att_actdate,$A4288)),'Rate Log'!$C$27,INDEX(att_actdate,$A4288))))</f>
        <v>46327</v>
      </c>
      <c r="E4288" s="74">
        <f t="shared" si="1582"/>
        <v>46327</v>
      </c>
      <c r="F4288" s="75">
        <f t="shared" si="1583"/>
        <v>30</v>
      </c>
      <c r="G4288" s="75">
        <f>IF($D4288="",0,COUNTIFS(rl_key,'Rate Log'!$J$27,$E$4268:$E$4507,$E4288,$D$4268:$D$4507,"&lt;"&amp;$D4288))</f>
        <v>0</v>
      </c>
      <c r="H4288" s="75">
        <f>IF($D4288="",0,COUNTIFS('Rate Log'!$J$7:$J$27,'Rate Log'!$J$27,$E$4268:$E4288,$E4288,$D$4268:$D4288,$D4288))</f>
        <v>1</v>
      </c>
      <c r="I4288" s="75">
        <f t="shared" si="1584"/>
        <v>1</v>
      </c>
    </row>
    <row r="4289" spans="1:9" x14ac:dyDescent="0.3">
      <c r="A4289" s="75">
        <f>IF(OR('Rate Log'!$J$28&lt;&gt;nr_SelKey,'Rate Log'!$E$28&lt;&gt;"planned",'Rate Log'!$C$28=""),0,COUNTIFS('Rate Log'!$J$7:$J$28,nr_SelKey,'Rate Log'!$E$7:$E$28,"planned"))</f>
        <v>0</v>
      </c>
      <c r="B4289" s="72">
        <f>IF($A4289=0,N('Rate Log'!$K$28),IF(ISBLANK(INDEX(att_actpct,$A4289)),N('Rate Log'!$K$28),INDEX(att_actpct,$A4289)))</f>
        <v>0.04</v>
      </c>
      <c r="C4289" s="73">
        <f>IF('Rate Log'!$C$28="",0,IF(1+$B4289&gt;0,LN(1+$B4289),0))</f>
        <v>3.9220713153281329E-2</v>
      </c>
      <c r="D4289" s="74">
        <f>IF('Rate Log'!$C$28="","",IF($A4289=0,'Rate Log'!$C$28,IF(ISBLANK(INDEX(att_actdate,$A4289)),'Rate Log'!$C$28,INDEX(att_actdate,$A4289))))</f>
        <v>46023</v>
      </c>
      <c r="E4289" s="74">
        <f t="shared" si="1582"/>
        <v>46023</v>
      </c>
      <c r="F4289" s="75">
        <f t="shared" si="1583"/>
        <v>31</v>
      </c>
      <c r="G4289" s="75">
        <f>IF($D4289="",0,COUNTIFS(rl_key,'Rate Log'!$J$28,$E$4268:$E$4507,$E4289,$D$4268:$D$4507,"&lt;"&amp;$D4289))</f>
        <v>0</v>
      </c>
      <c r="H4289" s="75">
        <f>IF($D4289="",0,COUNTIFS('Rate Log'!$J$7:$J$28,'Rate Log'!$J$28,$E$4268:$E4289,$E4289,$D$4268:$D4289,$D4289))</f>
        <v>1</v>
      </c>
      <c r="I4289" s="75">
        <f t="shared" si="1584"/>
        <v>1</v>
      </c>
    </row>
    <row r="4290" spans="1:9" x14ac:dyDescent="0.3">
      <c r="A4290" s="75">
        <f>IF(OR('Rate Log'!$J$29&lt;&gt;nr_SelKey,'Rate Log'!$E$29&lt;&gt;"planned",'Rate Log'!$C$29=""),0,COUNTIFS('Rate Log'!$J$7:$J$29,nr_SelKey,'Rate Log'!$E$7:$E$29,"planned"))</f>
        <v>0</v>
      </c>
      <c r="B4290" s="72">
        <f>IF($A4290=0,N('Rate Log'!$K$29),IF(ISBLANK(INDEX(att_actpct,$A4290)),N('Rate Log'!$K$29),INDEX(att_actpct,$A4290)))</f>
        <v>0.05</v>
      </c>
      <c r="C4290" s="73">
        <f>IF('Rate Log'!$C$29="",0,IF(1+$B4290&gt;0,LN(1+$B4290),0))</f>
        <v>4.8790164169432049E-2</v>
      </c>
      <c r="D4290" s="74">
        <f>IF('Rate Log'!$C$29="","",IF($A4290=0,'Rate Log'!$C$29,IF(ISBLANK(INDEX(att_actdate,$A4290)),'Rate Log'!$C$29,INDEX(att_actdate,$A4290))))</f>
        <v>46054</v>
      </c>
      <c r="E4290" s="74">
        <f t="shared" si="1582"/>
        <v>46054</v>
      </c>
      <c r="F4290" s="75">
        <f t="shared" si="1583"/>
        <v>28</v>
      </c>
      <c r="G4290" s="75">
        <f>IF($D4290="",0,COUNTIFS(rl_key,'Rate Log'!$J$29,$E$4268:$E$4507,$E4290,$D$4268:$D$4507,"&lt;"&amp;$D4290))</f>
        <v>0</v>
      </c>
      <c r="H4290" s="75">
        <f>IF($D4290="",0,COUNTIFS('Rate Log'!$J$7:$J$29,'Rate Log'!$J$29,$E$4268:$E4290,$E4290,$D$4268:$D4290,$D4290))</f>
        <v>1</v>
      </c>
      <c r="I4290" s="75">
        <f t="shared" si="1584"/>
        <v>1</v>
      </c>
    </row>
    <row r="4291" spans="1:9" x14ac:dyDescent="0.3">
      <c r="A4291" s="75">
        <f>IF(OR('Rate Log'!$J$30&lt;&gt;nr_SelKey,'Rate Log'!$E$30&lt;&gt;"planned",'Rate Log'!$C$30=""),0,COUNTIFS('Rate Log'!$J$7:$J$30,nr_SelKey,'Rate Log'!$E$7:$E$30,"planned"))</f>
        <v>0</v>
      </c>
      <c r="B4291" s="72">
        <f>IF($A4291=0,N('Rate Log'!$K$30),IF(ISBLANK(INDEX(att_actpct,$A4291)),N('Rate Log'!$K$30),INDEX(att_actpct,$A4291)))</f>
        <v>0.04</v>
      </c>
      <c r="C4291" s="73">
        <f>IF('Rate Log'!$C$30="",0,IF(1+$B4291&gt;0,LN(1+$B4291),0))</f>
        <v>3.9220713153281329E-2</v>
      </c>
      <c r="D4291" s="74">
        <f>IF('Rate Log'!$C$30="","",IF($A4291=0,'Rate Log'!$C$30,IF(ISBLANK(INDEX(att_actdate,$A4291)),'Rate Log'!$C$30,INDEX(att_actdate,$A4291))))</f>
        <v>46478</v>
      </c>
      <c r="E4291" s="74">
        <f t="shared" si="1582"/>
        <v>46478</v>
      </c>
      <c r="F4291" s="75">
        <f t="shared" si="1583"/>
        <v>30</v>
      </c>
      <c r="G4291" s="75">
        <f>IF($D4291="",0,COUNTIFS(rl_key,'Rate Log'!$J$30,$E$4268:$E$4507,$E4291,$D$4268:$D$4507,"&lt;"&amp;$D4291))</f>
        <v>0</v>
      </c>
      <c r="H4291" s="75">
        <f>IF($D4291="",0,COUNTIFS('Rate Log'!$J$7:$J$30,'Rate Log'!$J$30,$E$4268:$E4291,$E4291,$D$4268:$D4291,$D4291))</f>
        <v>1</v>
      </c>
      <c r="I4291" s="75">
        <f t="shared" si="1584"/>
        <v>1</v>
      </c>
    </row>
    <row r="4292" spans="1:9" x14ac:dyDescent="0.3">
      <c r="A4292" s="75">
        <f>IF(OR('Rate Log'!$J$31&lt;&gt;nr_SelKey,'Rate Log'!$E$31&lt;&gt;"planned",'Rate Log'!$C$31=""),0,COUNTIFS('Rate Log'!$J$7:$J$31,nr_SelKey,'Rate Log'!$E$7:$E$31,"planned"))</f>
        <v>0</v>
      </c>
      <c r="B4292" s="72">
        <f>IF($A4292=0,N('Rate Log'!$K$31),IF(ISBLANK(INDEX(att_actpct,$A4292)),N('Rate Log'!$K$31),INDEX(att_actpct,$A4292)))</f>
        <v>0.02</v>
      </c>
      <c r="C4292" s="73">
        <f>IF('Rate Log'!$C$31="",0,IF(1+$B4292&gt;0,LN(1+$B4292),0))</f>
        <v>1.980262729617973E-2</v>
      </c>
      <c r="D4292" s="74">
        <f>IF('Rate Log'!$C$31="","",IF($A4292=0,'Rate Log'!$C$31,IF(ISBLANK(INDEX(att_actdate,$A4292)),'Rate Log'!$C$31,INDEX(att_actdate,$A4292))))</f>
        <v>46113</v>
      </c>
      <c r="E4292" s="74">
        <f t="shared" si="1582"/>
        <v>46113</v>
      </c>
      <c r="F4292" s="75">
        <f t="shared" si="1583"/>
        <v>30</v>
      </c>
      <c r="G4292" s="75">
        <f>IF($D4292="",0,COUNTIFS(rl_key,'Rate Log'!$J$31,$E$4268:$E$4507,$E4292,$D$4268:$D$4507,"&lt;"&amp;$D4292))</f>
        <v>0</v>
      </c>
      <c r="H4292" s="75">
        <f>IF($D4292="",0,COUNTIFS('Rate Log'!$J$7:$J$31,'Rate Log'!$J$31,$E$4268:$E4292,$E4292,$D$4268:$D4292,$D4292))</f>
        <v>1</v>
      </c>
      <c r="I4292" s="75">
        <f t="shared" si="1584"/>
        <v>1</v>
      </c>
    </row>
    <row r="4293" spans="1:9" x14ac:dyDescent="0.3">
      <c r="A4293" s="75">
        <f>IF(OR('Rate Log'!$J$32&lt;&gt;nr_SelKey,'Rate Log'!$E$32&lt;&gt;"planned",'Rate Log'!$C$32=""),0,COUNTIFS('Rate Log'!$J$7:$J$32,nr_SelKey,'Rate Log'!$E$7:$E$32,"planned"))</f>
        <v>0</v>
      </c>
      <c r="B4293" s="72">
        <f>IF($A4293=0,N('Rate Log'!$K$32),IF(ISBLANK(INDEX(att_actpct,$A4293)),N('Rate Log'!$K$32),INDEX(att_actpct,$A4293)))</f>
        <v>0.03</v>
      </c>
      <c r="C4293" s="73">
        <f>IF('Rate Log'!$C$32="",0,IF(1+$B4293&gt;0,LN(1+$B4293),0))</f>
        <v>2.9558802241544429E-2</v>
      </c>
      <c r="D4293" s="74">
        <f>IF('Rate Log'!$C$32="","",IF($A4293=0,'Rate Log'!$C$32,IF(ISBLANK(INDEX(att_actdate,$A4293)),'Rate Log'!$C$32,INDEX(att_actdate,$A4293))))</f>
        <v>46143</v>
      </c>
      <c r="E4293" s="74">
        <f t="shared" si="1582"/>
        <v>46143</v>
      </c>
      <c r="F4293" s="75">
        <f t="shared" si="1583"/>
        <v>31</v>
      </c>
      <c r="G4293" s="75">
        <f>IF($D4293="",0,COUNTIFS(rl_key,'Rate Log'!$J$32,$E$4268:$E$4507,$E4293,$D$4268:$D$4507,"&lt;"&amp;$D4293))</f>
        <v>0</v>
      </c>
      <c r="H4293" s="75">
        <f>IF($D4293="",0,COUNTIFS('Rate Log'!$J$7:$J$32,'Rate Log'!$J$32,$E$4268:$E4293,$E4293,$D$4268:$D4293,$D4293))</f>
        <v>1</v>
      </c>
      <c r="I4293" s="75">
        <f t="shared" si="1584"/>
        <v>1</v>
      </c>
    </row>
    <row r="4294" spans="1:9" x14ac:dyDescent="0.3">
      <c r="A4294" s="75">
        <f>IF(OR('Rate Log'!$J$33&lt;&gt;nr_SelKey,'Rate Log'!$E$33&lt;&gt;"planned",'Rate Log'!$C$33=""),0,COUNTIFS('Rate Log'!$J$7:$J$33,nr_SelKey,'Rate Log'!$E$7:$E$33,"planned"))</f>
        <v>0</v>
      </c>
      <c r="B4294" s="72">
        <f>IF($A4294=0,N('Rate Log'!$K$33),IF(ISBLANK(INDEX(att_actpct,$A4294)),N('Rate Log'!$K$33),INDEX(att_actpct,$A4294)))</f>
        <v>0.04</v>
      </c>
      <c r="C4294" s="73">
        <f>IF('Rate Log'!$C$33="",0,IF(1+$B4294&gt;0,LN(1+$B4294),0))</f>
        <v>3.9220713153281329E-2</v>
      </c>
      <c r="D4294" s="74">
        <f>IF('Rate Log'!$C$33="","",IF($A4294=0,'Rate Log'!$C$33,IF(ISBLANK(INDEX(att_actdate,$A4294)),'Rate Log'!$C$33,INDEX(att_actdate,$A4294))))</f>
        <v>46600</v>
      </c>
      <c r="E4294" s="74">
        <f t="shared" si="1582"/>
        <v>46600</v>
      </c>
      <c r="F4294" s="75">
        <f t="shared" si="1583"/>
        <v>31</v>
      </c>
      <c r="G4294" s="75">
        <f>IF($D4294="",0,COUNTIFS(rl_key,'Rate Log'!$J$33,$E$4268:$E$4507,$E4294,$D$4268:$D$4507,"&lt;"&amp;$D4294))</f>
        <v>0</v>
      </c>
      <c r="H4294" s="75">
        <f>IF($D4294="",0,COUNTIFS('Rate Log'!$J$7:$J$33,'Rate Log'!$J$33,$E$4268:$E4294,$E4294,$D$4268:$D4294,$D4294))</f>
        <v>1</v>
      </c>
      <c r="I4294" s="75">
        <f t="shared" si="1584"/>
        <v>1</v>
      </c>
    </row>
    <row r="4295" spans="1:9" x14ac:dyDescent="0.3">
      <c r="A4295" s="75">
        <f>IF(OR('Rate Log'!$J$34&lt;&gt;nr_SelKey,'Rate Log'!$E$34&lt;&gt;"planned",'Rate Log'!$C$34=""),0,COUNTIFS('Rate Log'!$J$7:$J$34,nr_SelKey,'Rate Log'!$E$7:$E$34,"planned"))</f>
        <v>0</v>
      </c>
      <c r="B4295" s="72">
        <f>IF($A4295=0,N('Rate Log'!$K$34),IF(ISBLANK(INDEX(att_actpct,$A4295)),N('Rate Log'!$K$34),INDEX(att_actpct,$A4295)))</f>
        <v>0.05</v>
      </c>
      <c r="C4295" s="73">
        <f>IF('Rate Log'!$C$34="",0,IF(1+$B4295&gt;0,LN(1+$B4295),0))</f>
        <v>4.8790164169432049E-2</v>
      </c>
      <c r="D4295" s="74">
        <f>IF('Rate Log'!$C$34="","",IF($A4295=0,'Rate Log'!$C$34,IF(ISBLANK(INDEX(att_actdate,$A4295)),'Rate Log'!$C$34,INDEX(att_actdate,$A4295))))</f>
        <v>46204</v>
      </c>
      <c r="E4295" s="74">
        <f t="shared" si="1582"/>
        <v>46204</v>
      </c>
      <c r="F4295" s="75">
        <f t="shared" si="1583"/>
        <v>31</v>
      </c>
      <c r="G4295" s="75">
        <f>IF($D4295="",0,COUNTIFS(rl_key,'Rate Log'!$J$34,$E$4268:$E$4507,$E4295,$D$4268:$D$4507,"&lt;"&amp;$D4295))</f>
        <v>0</v>
      </c>
      <c r="H4295" s="75">
        <f>IF($D4295="",0,COUNTIFS('Rate Log'!$J$7:$J$34,'Rate Log'!$J$34,$E$4268:$E4295,$E4295,$D$4268:$D4295,$D4295))</f>
        <v>1</v>
      </c>
      <c r="I4295" s="75">
        <f t="shared" si="1584"/>
        <v>1</v>
      </c>
    </row>
    <row r="4296" spans="1:9" x14ac:dyDescent="0.3">
      <c r="A4296" s="75">
        <f>IF(OR('Rate Log'!$J$35&lt;&gt;nr_SelKey,'Rate Log'!$E$35&lt;&gt;"planned",'Rate Log'!$C$35=""),0,COUNTIFS('Rate Log'!$J$7:$J$35,nr_SelKey,'Rate Log'!$E$7:$E$35,"planned"))</f>
        <v>0</v>
      </c>
      <c r="B4296" s="72">
        <f>IF($A4296=0,N('Rate Log'!$K$35),IF(ISBLANK(INDEX(att_actpct,$A4296)),N('Rate Log'!$K$35),INDEX(att_actpct,$A4296)))</f>
        <v>0.06</v>
      </c>
      <c r="C4296" s="73">
        <f>IF('Rate Log'!$C$35="",0,IF(1+$B4296&gt;0,LN(1+$B4296),0))</f>
        <v>5.8268908123975824E-2</v>
      </c>
      <c r="D4296" s="74">
        <f>IF('Rate Log'!$C$35="","",IF($A4296=0,'Rate Log'!$C$35,IF(ISBLANK(INDEX(att_actdate,$A4296)),'Rate Log'!$C$35,INDEX(att_actdate,$A4296))))</f>
        <v>46235</v>
      </c>
      <c r="E4296" s="74">
        <f t="shared" si="1582"/>
        <v>46235</v>
      </c>
      <c r="F4296" s="75">
        <f t="shared" si="1583"/>
        <v>31</v>
      </c>
      <c r="G4296" s="75">
        <f>IF($D4296="",0,COUNTIFS(rl_key,'Rate Log'!$J$35,$E$4268:$E$4507,$E4296,$D$4268:$D$4507,"&lt;"&amp;$D4296))</f>
        <v>0</v>
      </c>
      <c r="H4296" s="75">
        <f>IF($D4296="",0,COUNTIFS('Rate Log'!$J$7:$J$35,'Rate Log'!$J$35,$E$4268:$E4296,$E4296,$D$4268:$D4296,$D4296))</f>
        <v>1</v>
      </c>
      <c r="I4296" s="75">
        <f t="shared" si="1584"/>
        <v>1</v>
      </c>
    </row>
    <row r="4297" spans="1:9" x14ac:dyDescent="0.3">
      <c r="A4297" s="75">
        <f>IF(OR('Rate Log'!$J$36&lt;&gt;nr_SelKey,'Rate Log'!$E$36&lt;&gt;"planned",'Rate Log'!$C$36=""),0,COUNTIFS('Rate Log'!$J$7:$J$36,nr_SelKey,'Rate Log'!$E$7:$E$36,"planned"))</f>
        <v>0</v>
      </c>
      <c r="B4297" s="72">
        <f>IF($A4297=0,N('Rate Log'!$K$36),IF(ISBLANK(INDEX(att_actpct,$A4297)),N('Rate Log'!$K$36),INDEX(att_actpct,$A4297)))</f>
        <v>0.03</v>
      </c>
      <c r="C4297" s="73">
        <f>IF('Rate Log'!$C$36="",0,IF(1+$B4297&gt;0,LN(1+$B4297),0))</f>
        <v>2.9558802241544429E-2</v>
      </c>
      <c r="D4297" s="74">
        <f>IF('Rate Log'!$C$36="","",IF($A4297=0,'Rate Log'!$C$36,IF(ISBLANK(INDEX(att_actdate,$A4297)),'Rate Log'!$C$36,INDEX(att_actdate,$A4297))))</f>
        <v>46296</v>
      </c>
      <c r="E4297" s="74">
        <f t="shared" si="1582"/>
        <v>46296</v>
      </c>
      <c r="F4297" s="75">
        <f t="shared" si="1583"/>
        <v>31</v>
      </c>
      <c r="G4297" s="75">
        <f>IF($D4297="",0,COUNTIFS(rl_key,'Rate Log'!$J$36,$E$4268:$E$4507,$E4297,$D$4268:$D$4507,"&lt;"&amp;$D4297))</f>
        <v>0</v>
      </c>
      <c r="H4297" s="75">
        <f>IF($D4297="",0,COUNTIFS('Rate Log'!$J$7:$J$36,'Rate Log'!$J$36,$E$4268:$E4297,$E4297,$D$4268:$D4297,$D4297))</f>
        <v>1</v>
      </c>
      <c r="I4297" s="75">
        <f t="shared" si="1584"/>
        <v>1</v>
      </c>
    </row>
    <row r="4298" spans="1:9" x14ac:dyDescent="0.3">
      <c r="A4298" s="75">
        <f>IF(OR('Rate Log'!$J$37&lt;&gt;nr_SelKey,'Rate Log'!$E$37&lt;&gt;"planned",'Rate Log'!$C$37=""),0,COUNTIFS('Rate Log'!$J$7:$J$37,nr_SelKey,'Rate Log'!$E$7:$E$37,"planned"))</f>
        <v>0</v>
      </c>
      <c r="B4298" s="72">
        <f>IF($A4298=0,N('Rate Log'!$K$37),IF(ISBLANK(INDEX(att_actpct,$A4298)),N('Rate Log'!$K$37),INDEX(att_actpct,$A4298)))</f>
        <v>0.04</v>
      </c>
      <c r="C4298" s="73">
        <f>IF('Rate Log'!$C$37="",0,IF(1+$B4298&gt;0,LN(1+$B4298),0))</f>
        <v>3.9220713153281329E-2</v>
      </c>
      <c r="D4298" s="74">
        <f>IF('Rate Log'!$C$37="","",IF($A4298=0,'Rate Log'!$C$37,IF(ISBLANK(INDEX(att_actdate,$A4298)),'Rate Log'!$C$37,INDEX(att_actdate,$A4298))))</f>
        <v>46419</v>
      </c>
      <c r="E4298" s="74">
        <f t="shared" si="1582"/>
        <v>46419</v>
      </c>
      <c r="F4298" s="75">
        <f t="shared" si="1583"/>
        <v>28</v>
      </c>
      <c r="G4298" s="75">
        <f>IF($D4298="",0,COUNTIFS(rl_key,'Rate Log'!$J$37,$E$4268:$E$4507,$E4298,$D$4268:$D$4507,"&lt;"&amp;$D4298))</f>
        <v>0</v>
      </c>
      <c r="H4298" s="75">
        <f>IF($D4298="",0,COUNTIFS('Rate Log'!$J$7:$J$37,'Rate Log'!$J$37,$E$4268:$E4298,$E4298,$D$4268:$D4298,$D4298))</f>
        <v>1</v>
      </c>
      <c r="I4298" s="75">
        <f t="shared" si="1584"/>
        <v>1</v>
      </c>
    </row>
    <row r="4299" spans="1:9" x14ac:dyDescent="0.3">
      <c r="A4299" s="75">
        <f>IF(OR('Rate Log'!$J$38&lt;&gt;nr_SelKey,'Rate Log'!$E$38&lt;&gt;"planned",'Rate Log'!$C$38=""),0,COUNTIFS('Rate Log'!$J$7:$J$38,nr_SelKey,'Rate Log'!$E$7:$E$38,"planned"))</f>
        <v>0</v>
      </c>
      <c r="B4299" s="72">
        <f>IF($A4299=0,N('Rate Log'!$K$38),IF(ISBLANK(INDEX(att_actpct,$A4299)),N('Rate Log'!$K$38),INDEX(att_actpct,$A4299)))</f>
        <v>0.04</v>
      </c>
      <c r="C4299" s="73">
        <f>IF('Rate Log'!$C$38="",0,IF(1+$B4299&gt;0,LN(1+$B4299),0))</f>
        <v>3.9220713153281329E-2</v>
      </c>
      <c r="D4299" s="74">
        <f>IF('Rate Log'!$C$38="","",IF($A4299=0,'Rate Log'!$C$38,IF(ISBLANK(INDEX(att_actdate,$A4299)),'Rate Log'!$C$38,INDEX(att_actdate,$A4299))))</f>
        <v>46327</v>
      </c>
      <c r="E4299" s="74">
        <f t="shared" si="1582"/>
        <v>46327</v>
      </c>
      <c r="F4299" s="75">
        <f t="shared" si="1583"/>
        <v>30</v>
      </c>
      <c r="G4299" s="75">
        <f>IF($D4299="",0,COUNTIFS(rl_key,'Rate Log'!$J$38,$E$4268:$E$4507,$E4299,$D$4268:$D$4507,"&lt;"&amp;$D4299))</f>
        <v>0</v>
      </c>
      <c r="H4299" s="75">
        <f>IF($D4299="",0,COUNTIFS('Rate Log'!$J$7:$J$38,'Rate Log'!$J$38,$E$4268:$E4299,$E4299,$D$4268:$D4299,$D4299))</f>
        <v>1</v>
      </c>
      <c r="I4299" s="75">
        <f t="shared" si="1584"/>
        <v>1</v>
      </c>
    </row>
    <row r="4300" spans="1:9" x14ac:dyDescent="0.3">
      <c r="A4300" s="75">
        <f>IF(OR('Rate Log'!$J$39&lt;&gt;nr_SelKey,'Rate Log'!$E$39&lt;&gt;"planned",'Rate Log'!$C$39=""),0,COUNTIFS('Rate Log'!$J$7:$J$39,nr_SelKey,'Rate Log'!$E$7:$E$39,"planned"))</f>
        <v>0</v>
      </c>
      <c r="B4300" s="72">
        <f>IF($A4300=0,N('Rate Log'!$K$39),IF(ISBLANK(INDEX(att_actpct,$A4300)),N('Rate Log'!$K$39),INDEX(att_actpct,$A4300)))</f>
        <v>0.02</v>
      </c>
      <c r="C4300" s="73">
        <f>IF('Rate Log'!$C$39="",0,IF(1+$B4300&gt;0,LN(1+$B4300),0))</f>
        <v>1.980262729617973E-2</v>
      </c>
      <c r="D4300" s="74">
        <f>IF('Rate Log'!$C$39="","",IF($A4300=0,'Rate Log'!$C$39,IF(ISBLANK(INDEX(att_actdate,$A4300)),'Rate Log'!$C$39,INDEX(att_actdate,$A4300))))</f>
        <v>46054</v>
      </c>
      <c r="E4300" s="74">
        <f t="shared" si="1582"/>
        <v>46054</v>
      </c>
      <c r="F4300" s="75">
        <f t="shared" si="1583"/>
        <v>28</v>
      </c>
      <c r="G4300" s="75">
        <f>IF($D4300="",0,COUNTIFS(rl_key,'Rate Log'!$J$39,$E$4268:$E$4507,$E4300,$D$4268:$D$4507,"&lt;"&amp;$D4300))</f>
        <v>0</v>
      </c>
      <c r="H4300" s="75">
        <f>IF($D4300="",0,COUNTIFS('Rate Log'!$J$7:$J$39,'Rate Log'!$J$39,$E$4268:$E4300,$E4300,$D$4268:$D4300,$D4300))</f>
        <v>1</v>
      </c>
      <c r="I4300" s="75">
        <f t="shared" si="1584"/>
        <v>1</v>
      </c>
    </row>
    <row r="4301" spans="1:9" x14ac:dyDescent="0.3">
      <c r="A4301" s="75">
        <f>IF(OR('Rate Log'!$J$40&lt;&gt;nr_SelKey,'Rate Log'!$E$40&lt;&gt;"planned",'Rate Log'!$C$40=""),0,COUNTIFS('Rate Log'!$J$7:$J$40,nr_SelKey,'Rate Log'!$E$7:$E$40,"planned"))</f>
        <v>0</v>
      </c>
      <c r="B4301" s="72">
        <f>IF($A4301=0,N('Rate Log'!$K$40),IF(ISBLANK(INDEX(att_actpct,$A4301)),N('Rate Log'!$K$40),INDEX(att_actpct,$A4301)))</f>
        <v>0.04</v>
      </c>
      <c r="C4301" s="73">
        <f>IF('Rate Log'!$C$40="",0,IF(1+$B4301&gt;0,LN(1+$B4301),0))</f>
        <v>3.9220713153281329E-2</v>
      </c>
      <c r="D4301" s="74">
        <f>IF('Rate Log'!$C$40="","",IF($A4301=0,'Rate Log'!$C$40,IF(ISBLANK(INDEX(att_actdate,$A4301)),'Rate Log'!$C$40,INDEX(att_actdate,$A4301))))</f>
        <v>46539</v>
      </c>
      <c r="E4301" s="74">
        <f t="shared" si="1582"/>
        <v>46539</v>
      </c>
      <c r="F4301" s="75">
        <f t="shared" si="1583"/>
        <v>30</v>
      </c>
      <c r="G4301" s="75">
        <f>IF($D4301="",0,COUNTIFS(rl_key,'Rate Log'!$J$40,$E$4268:$E$4507,$E4301,$D$4268:$D$4507,"&lt;"&amp;$D4301))</f>
        <v>0</v>
      </c>
      <c r="H4301" s="75">
        <f>IF($D4301="",0,COUNTIFS('Rate Log'!$J$7:$J$40,'Rate Log'!$J$40,$E$4268:$E4301,$E4301,$D$4268:$D4301,$D4301))</f>
        <v>1</v>
      </c>
      <c r="I4301" s="75">
        <f t="shared" si="1584"/>
        <v>1</v>
      </c>
    </row>
    <row r="4302" spans="1:9" x14ac:dyDescent="0.3">
      <c r="A4302" s="75">
        <f>IF(OR('Rate Log'!$J$41&lt;&gt;nr_SelKey,'Rate Log'!$E$41&lt;&gt;"planned",'Rate Log'!$C$41=""),0,COUNTIFS('Rate Log'!$J$7:$J$41,nr_SelKey,'Rate Log'!$E$7:$E$41,"planned"))</f>
        <v>0</v>
      </c>
      <c r="B4302" s="72">
        <f>IF($A4302=0,N('Rate Log'!$K$41),IF(ISBLANK(INDEX(att_actpct,$A4302)),N('Rate Log'!$K$41),INDEX(att_actpct,$A4302)))</f>
        <v>0.04</v>
      </c>
      <c r="C4302" s="73">
        <f>IF('Rate Log'!$C$41="",0,IF(1+$B4302&gt;0,LN(1+$B4302),0))</f>
        <v>3.9220713153281329E-2</v>
      </c>
      <c r="D4302" s="74">
        <f>IF('Rate Log'!$C$41="","",IF($A4302=0,'Rate Log'!$C$41,IF(ISBLANK(INDEX(att_actdate,$A4302)),'Rate Log'!$C$41,INDEX(att_actdate,$A4302))))</f>
        <v>46113</v>
      </c>
      <c r="E4302" s="74">
        <f t="shared" si="1582"/>
        <v>46113</v>
      </c>
      <c r="F4302" s="75">
        <f t="shared" si="1583"/>
        <v>30</v>
      </c>
      <c r="G4302" s="75">
        <f>IF($D4302="",0,COUNTIFS(rl_key,'Rate Log'!$J$41,$E$4268:$E$4507,$E4302,$D$4268:$D$4507,"&lt;"&amp;$D4302))</f>
        <v>0</v>
      </c>
      <c r="H4302" s="75">
        <f>IF($D4302="",0,COUNTIFS('Rate Log'!$J$7:$J$41,'Rate Log'!$J$41,$E$4268:$E4302,$E4302,$D$4268:$D4302,$D4302))</f>
        <v>1</v>
      </c>
      <c r="I4302" s="75">
        <f t="shared" si="1584"/>
        <v>1</v>
      </c>
    </row>
    <row r="4303" spans="1:9" x14ac:dyDescent="0.3">
      <c r="A4303" s="75">
        <f>IF(OR('Rate Log'!$J$42&lt;&gt;nr_SelKey,'Rate Log'!$E$42&lt;&gt;"planned",'Rate Log'!$C$42=""),0,COUNTIFS('Rate Log'!$J$7:$J$42,nr_SelKey,'Rate Log'!$E$7:$E$42,"planned"))</f>
        <v>0</v>
      </c>
      <c r="B4303" s="72">
        <f>IF($A4303=0,N('Rate Log'!$K$42),IF(ISBLANK(INDEX(att_actpct,$A4303)),N('Rate Log'!$K$42),INDEX(att_actpct,$A4303)))</f>
        <v>0.05</v>
      </c>
      <c r="C4303" s="73">
        <f>IF('Rate Log'!$C$42="",0,IF(1+$B4303&gt;0,LN(1+$B4303),0))</f>
        <v>4.8790164169432049E-2</v>
      </c>
      <c r="D4303" s="74">
        <f>IF('Rate Log'!$C$42="","",IF($A4303=0,'Rate Log'!$C$42,IF(ISBLANK(INDEX(att_actdate,$A4303)),'Rate Log'!$C$42,INDEX(att_actdate,$A4303))))</f>
        <v>46143</v>
      </c>
      <c r="E4303" s="74">
        <f t="shared" si="1582"/>
        <v>46143</v>
      </c>
      <c r="F4303" s="75">
        <f t="shared" si="1583"/>
        <v>31</v>
      </c>
      <c r="G4303" s="75">
        <f>IF($D4303="",0,COUNTIFS(rl_key,'Rate Log'!$J$42,$E$4268:$E$4507,$E4303,$D$4268:$D$4507,"&lt;"&amp;$D4303))</f>
        <v>0</v>
      </c>
      <c r="H4303" s="75">
        <f>IF($D4303="",0,COUNTIFS('Rate Log'!$J$7:$J$42,'Rate Log'!$J$42,$E$4268:$E4303,$E4303,$D$4268:$D4303,$D4303))</f>
        <v>1</v>
      </c>
      <c r="I4303" s="75">
        <f t="shared" si="1584"/>
        <v>1</v>
      </c>
    </row>
    <row r="4304" spans="1:9" x14ac:dyDescent="0.3">
      <c r="A4304" s="75">
        <f>IF(OR('Rate Log'!$J$43&lt;&gt;nr_SelKey,'Rate Log'!$E$43&lt;&gt;"planned",'Rate Log'!$C$43=""),0,COUNTIFS('Rate Log'!$J$7:$J$43,nr_SelKey,'Rate Log'!$E$7:$E$43,"planned"))</f>
        <v>0</v>
      </c>
      <c r="B4304" s="72">
        <f>IF($A4304=0,N('Rate Log'!$K$43),IF(ISBLANK(INDEX(att_actpct,$A4304)),N('Rate Log'!$K$43),INDEX(att_actpct,$A4304)))</f>
        <v>0.04</v>
      </c>
      <c r="C4304" s="73">
        <f>IF('Rate Log'!$C$43="",0,IF(1+$B4304&gt;0,LN(1+$B4304),0))</f>
        <v>3.9220713153281329E-2</v>
      </c>
      <c r="D4304" s="74">
        <f>IF('Rate Log'!$C$43="","",IF($A4304=0,'Rate Log'!$C$43,IF(ISBLANK(INDEX(att_actdate,$A4304)),'Rate Log'!$C$43,INDEX(att_actdate,$A4304))))</f>
        <v>46661</v>
      </c>
      <c r="E4304" s="74">
        <f t="shared" si="1582"/>
        <v>46661</v>
      </c>
      <c r="F4304" s="75">
        <f t="shared" si="1583"/>
        <v>31</v>
      </c>
      <c r="G4304" s="75">
        <f>IF($D4304="",0,COUNTIFS(rl_key,'Rate Log'!$J$43,$E$4268:$E$4507,$E4304,$D$4268:$D$4507,"&lt;"&amp;$D4304))</f>
        <v>0</v>
      </c>
      <c r="H4304" s="75">
        <f>IF($D4304="",0,COUNTIFS('Rate Log'!$J$7:$J$43,'Rate Log'!$J$43,$E$4268:$E4304,$E4304,$D$4268:$D4304,$D4304))</f>
        <v>1</v>
      </c>
      <c r="I4304" s="75">
        <f t="shared" si="1584"/>
        <v>1</v>
      </c>
    </row>
    <row r="4305" spans="1:9" x14ac:dyDescent="0.3">
      <c r="A4305" s="75">
        <f>IF(OR('Rate Log'!$J$44&lt;&gt;nr_SelKey,'Rate Log'!$E$44&lt;&gt;"planned",'Rate Log'!$C$44=""),0,COUNTIFS('Rate Log'!$J$7:$J$44,nr_SelKey,'Rate Log'!$E$7:$E$44,"planned"))</f>
        <v>0</v>
      </c>
      <c r="B4305" s="72">
        <f>IF($A4305=0,N('Rate Log'!$K$44),IF(ISBLANK(INDEX(att_actpct,$A4305)),N('Rate Log'!$K$44),INDEX(att_actpct,$A4305)))</f>
        <v>0.02</v>
      </c>
      <c r="C4305" s="73">
        <f>IF('Rate Log'!$C$44="",0,IF(1+$B4305&gt;0,LN(1+$B4305),0))</f>
        <v>1.980262729617973E-2</v>
      </c>
      <c r="D4305" s="74">
        <f>IF('Rate Log'!$C$44="","",IF($A4305=0,'Rate Log'!$C$44,IF(ISBLANK(INDEX(att_actdate,$A4305)),'Rate Log'!$C$44,INDEX(att_actdate,$A4305))))</f>
        <v>46204</v>
      </c>
      <c r="E4305" s="74">
        <f t="shared" si="1582"/>
        <v>46204</v>
      </c>
      <c r="F4305" s="75">
        <f t="shared" si="1583"/>
        <v>31</v>
      </c>
      <c r="G4305" s="75">
        <f>IF($D4305="",0,COUNTIFS(rl_key,'Rate Log'!$J$44,$E$4268:$E$4507,$E4305,$D$4268:$D$4507,"&lt;"&amp;$D4305))</f>
        <v>0</v>
      </c>
      <c r="H4305" s="75">
        <f>IF($D4305="",0,COUNTIFS('Rate Log'!$J$7:$J$44,'Rate Log'!$J$44,$E$4268:$E4305,$E4305,$D$4268:$D4305,$D4305))</f>
        <v>1</v>
      </c>
      <c r="I4305" s="75">
        <f t="shared" si="1584"/>
        <v>1</v>
      </c>
    </row>
    <row r="4306" spans="1:9" x14ac:dyDescent="0.3">
      <c r="A4306" s="75">
        <f>IF(OR('Rate Log'!$J$45&lt;&gt;nr_SelKey,'Rate Log'!$E$45&lt;&gt;"planned",'Rate Log'!$C$45=""),0,COUNTIFS('Rate Log'!$J$7:$J$45,nr_SelKey,'Rate Log'!$E$7:$E$45,"planned"))</f>
        <v>0</v>
      </c>
      <c r="B4306" s="72">
        <f>IF($A4306=0,N('Rate Log'!$K$45),IF(ISBLANK(INDEX(att_actpct,$A4306)),N('Rate Log'!$K$45),INDEX(att_actpct,$A4306)))</f>
        <v>0.03</v>
      </c>
      <c r="C4306" s="73">
        <f>IF('Rate Log'!$C$45="",0,IF(1+$B4306&gt;0,LN(1+$B4306),0))</f>
        <v>2.9558802241544429E-2</v>
      </c>
      <c r="D4306" s="74">
        <f>IF('Rate Log'!$C$45="","",IF($A4306=0,'Rate Log'!$C$45,IF(ISBLANK(INDEX(att_actdate,$A4306)),'Rate Log'!$C$45,INDEX(att_actdate,$A4306))))</f>
        <v>46235</v>
      </c>
      <c r="E4306" s="74">
        <f t="shared" si="1582"/>
        <v>46235</v>
      </c>
      <c r="F4306" s="75">
        <f t="shared" si="1583"/>
        <v>31</v>
      </c>
      <c r="G4306" s="75">
        <f>IF($D4306="",0,COUNTIFS(rl_key,'Rate Log'!$J$45,$E$4268:$E$4507,$E4306,$D$4268:$D$4507,"&lt;"&amp;$D4306))</f>
        <v>0</v>
      </c>
      <c r="H4306" s="75">
        <f>IF($D4306="",0,COUNTIFS('Rate Log'!$J$7:$J$45,'Rate Log'!$J$45,$E$4268:$E4306,$E4306,$D$4268:$D4306,$D4306))</f>
        <v>1</v>
      </c>
      <c r="I4306" s="75">
        <f t="shared" si="1584"/>
        <v>1</v>
      </c>
    </row>
    <row r="4307" spans="1:9" x14ac:dyDescent="0.3">
      <c r="A4307" s="75">
        <f>IF(OR('Rate Log'!$J$46&lt;&gt;nr_SelKey,'Rate Log'!$E$46&lt;&gt;"planned",'Rate Log'!$C$46=""),0,COUNTIFS('Rate Log'!$J$7:$J$46,nr_SelKey,'Rate Log'!$E$7:$E$46,"planned"))</f>
        <v>0</v>
      </c>
      <c r="B4307" s="72">
        <f>IF($A4307=0,N('Rate Log'!$K$46),IF(ISBLANK(INDEX(att_actpct,$A4307)),N('Rate Log'!$K$46),INDEX(att_actpct,$A4307)))</f>
        <v>0.05</v>
      </c>
      <c r="C4307" s="73">
        <f>IF('Rate Log'!$C$46="",0,IF(1+$B4307&gt;0,LN(1+$B4307),0))</f>
        <v>4.8790164169432049E-2</v>
      </c>
      <c r="D4307" s="74">
        <f>IF('Rate Log'!$C$46="","",IF($A4307=0,'Rate Log'!$C$46,IF(ISBLANK(INDEX(att_actdate,$A4307)),'Rate Log'!$C$46,INDEX(att_actdate,$A4307))))</f>
        <v>46296</v>
      </c>
      <c r="E4307" s="74">
        <f t="shared" si="1582"/>
        <v>46296</v>
      </c>
      <c r="F4307" s="75">
        <f t="shared" si="1583"/>
        <v>31</v>
      </c>
      <c r="G4307" s="75">
        <f>IF($D4307="",0,COUNTIFS(rl_key,'Rate Log'!$J$46,$E$4268:$E$4507,$E4307,$D$4268:$D$4507,"&lt;"&amp;$D4307))</f>
        <v>0</v>
      </c>
      <c r="H4307" s="75">
        <f>IF($D4307="",0,COUNTIFS('Rate Log'!$J$7:$J$46,'Rate Log'!$J$46,$E$4268:$E4307,$E4307,$D$4268:$D4307,$D4307))</f>
        <v>1</v>
      </c>
      <c r="I4307" s="75">
        <f t="shared" si="1584"/>
        <v>1</v>
      </c>
    </row>
    <row r="4308" spans="1:9" x14ac:dyDescent="0.3">
      <c r="A4308" s="75">
        <f>IF(OR('Rate Log'!$J$47&lt;&gt;nr_SelKey,'Rate Log'!$E$47&lt;&gt;"planned",'Rate Log'!$C$47=""),0,COUNTIFS('Rate Log'!$J$7:$J$47,nr_SelKey,'Rate Log'!$E$7:$E$47,"planned"))</f>
        <v>0</v>
      </c>
      <c r="B4308" s="72">
        <f>IF($A4308=0,N('Rate Log'!$K$47),IF(ISBLANK(INDEX(att_actpct,$A4308)),N('Rate Log'!$K$47),INDEX(att_actpct,$A4308)))</f>
        <v>0.04</v>
      </c>
      <c r="C4308" s="73">
        <f>IF('Rate Log'!$C$47="",0,IF(1+$B4308&gt;0,LN(1+$B4308),0))</f>
        <v>3.9220713153281329E-2</v>
      </c>
      <c r="D4308" s="74">
        <f>IF('Rate Log'!$C$47="","",IF($A4308=0,'Rate Log'!$C$47,IF(ISBLANK(INDEX(att_actdate,$A4308)),'Rate Log'!$C$47,INDEX(att_actdate,$A4308))))</f>
        <v>46478</v>
      </c>
      <c r="E4308" s="74">
        <f t="shared" si="1582"/>
        <v>46478</v>
      </c>
      <c r="F4308" s="75">
        <f t="shared" si="1583"/>
        <v>30</v>
      </c>
      <c r="G4308" s="75">
        <f>IF($D4308="",0,COUNTIFS(rl_key,'Rate Log'!$J$47,$E$4268:$E$4507,$E4308,$D$4268:$D$4507,"&lt;"&amp;$D4308))</f>
        <v>0</v>
      </c>
      <c r="H4308" s="75">
        <f>IF($D4308="",0,COUNTIFS('Rate Log'!$J$7:$J$47,'Rate Log'!$J$47,$E$4268:$E4308,$E4308,$D$4268:$D4308,$D4308))</f>
        <v>1</v>
      </c>
      <c r="I4308" s="75">
        <f t="shared" si="1584"/>
        <v>1</v>
      </c>
    </row>
    <row r="4309" spans="1:9" x14ac:dyDescent="0.3">
      <c r="A4309" s="75">
        <f>IF(OR('Rate Log'!$J$48&lt;&gt;nr_SelKey,'Rate Log'!$E$48&lt;&gt;"planned",'Rate Log'!$C$48=""),0,COUNTIFS('Rate Log'!$J$7:$J$48,nr_SelKey,'Rate Log'!$E$7:$E$48,"planned"))</f>
        <v>0</v>
      </c>
      <c r="B4309" s="72">
        <f>IF($A4309=0,N('Rate Log'!$K$48),IF(ISBLANK(INDEX(att_actpct,$A4309)),N('Rate Log'!$K$48),INDEX(att_actpct,$A4309)))</f>
        <v>0.06</v>
      </c>
      <c r="C4309" s="73">
        <f>IF('Rate Log'!$C$48="",0,IF(1+$B4309&gt;0,LN(1+$B4309),0))</f>
        <v>5.8268908123975824E-2</v>
      </c>
      <c r="D4309" s="74">
        <f>IF('Rate Log'!$C$48="","",IF($A4309=0,'Rate Log'!$C$48,IF(ISBLANK(INDEX(att_actdate,$A4309)),'Rate Log'!$C$48,INDEX(att_actdate,$A4309))))</f>
        <v>46327</v>
      </c>
      <c r="E4309" s="74">
        <f t="shared" si="1582"/>
        <v>46327</v>
      </c>
      <c r="F4309" s="75">
        <f t="shared" si="1583"/>
        <v>30</v>
      </c>
      <c r="G4309" s="75">
        <f>IF($D4309="",0,COUNTIFS(rl_key,'Rate Log'!$J$48,$E$4268:$E$4507,$E4309,$D$4268:$D$4507,"&lt;"&amp;$D4309))</f>
        <v>0</v>
      </c>
      <c r="H4309" s="75">
        <f>IF($D4309="",0,COUNTIFS('Rate Log'!$J$7:$J$48,'Rate Log'!$J$48,$E$4268:$E4309,$E4309,$D$4268:$D4309,$D4309))</f>
        <v>1</v>
      </c>
      <c r="I4309" s="75">
        <f t="shared" si="1584"/>
        <v>1</v>
      </c>
    </row>
    <row r="4310" spans="1:9" x14ac:dyDescent="0.3">
      <c r="A4310" s="75">
        <f>IF(OR('Rate Log'!$J$49&lt;&gt;nr_SelKey,'Rate Log'!$E$49&lt;&gt;"planned",'Rate Log'!$C$49=""),0,COUNTIFS('Rate Log'!$J$7:$J$49,nr_SelKey,'Rate Log'!$E$7:$E$49,"planned"))</f>
        <v>0</v>
      </c>
      <c r="B4310" s="72">
        <f>IF($A4310=0,N('Rate Log'!$K$49),IF(ISBLANK(INDEX(att_actpct,$A4310)),N('Rate Log'!$K$49),INDEX(att_actpct,$A4310)))</f>
        <v>0.03</v>
      </c>
      <c r="C4310" s="73">
        <f>IF('Rate Log'!$C$49="",0,IF(1+$B4310&gt;0,LN(1+$B4310),0))</f>
        <v>2.9558802241544429E-2</v>
      </c>
      <c r="D4310" s="74">
        <f>IF('Rate Log'!$C$49="","",IF($A4310=0,'Rate Log'!$C$49,IF(ISBLANK(INDEX(att_actdate,$A4310)),'Rate Log'!$C$49,INDEX(att_actdate,$A4310))))</f>
        <v>46023</v>
      </c>
      <c r="E4310" s="74">
        <f t="shared" si="1582"/>
        <v>46023</v>
      </c>
      <c r="F4310" s="75">
        <f t="shared" si="1583"/>
        <v>31</v>
      </c>
      <c r="G4310" s="75">
        <f>IF($D4310="",0,COUNTIFS(rl_key,'Rate Log'!$J$49,$E$4268:$E$4507,$E4310,$D$4268:$D$4507,"&lt;"&amp;$D4310))</f>
        <v>0</v>
      </c>
      <c r="H4310" s="75">
        <f>IF($D4310="",0,COUNTIFS('Rate Log'!$J$7:$J$49,'Rate Log'!$J$49,$E$4268:$E4310,$E4310,$D$4268:$D4310,$D4310))</f>
        <v>1</v>
      </c>
      <c r="I4310" s="75">
        <f t="shared" si="1584"/>
        <v>1</v>
      </c>
    </row>
    <row r="4311" spans="1:9" x14ac:dyDescent="0.3">
      <c r="A4311" s="75">
        <f>IF(OR('Rate Log'!$J$50&lt;&gt;nr_SelKey,'Rate Log'!$E$50&lt;&gt;"planned",'Rate Log'!$C$50=""),0,COUNTIFS('Rate Log'!$J$7:$J$50,nr_SelKey,'Rate Log'!$E$7:$E$50,"planned"))</f>
        <v>0</v>
      </c>
      <c r="B4311" s="72">
        <f>IF($A4311=0,N('Rate Log'!$K$50),IF(ISBLANK(INDEX(att_actpct,$A4311)),N('Rate Log'!$K$50),INDEX(att_actpct,$A4311)))</f>
        <v>0.04</v>
      </c>
      <c r="C4311" s="73">
        <f>IF('Rate Log'!$C$50="",0,IF(1+$B4311&gt;0,LN(1+$B4311),0))</f>
        <v>3.9220713153281329E-2</v>
      </c>
      <c r="D4311" s="74">
        <f>IF('Rate Log'!$C$50="","",IF($A4311=0,'Rate Log'!$C$50,IF(ISBLANK(INDEX(att_actdate,$A4311)),'Rate Log'!$C$50,INDEX(att_actdate,$A4311))))</f>
        <v>46054</v>
      </c>
      <c r="E4311" s="74">
        <f t="shared" si="1582"/>
        <v>46054</v>
      </c>
      <c r="F4311" s="75">
        <f t="shared" si="1583"/>
        <v>28</v>
      </c>
      <c r="G4311" s="75">
        <f>IF($D4311="",0,COUNTIFS(rl_key,'Rate Log'!$J$50,$E$4268:$E$4507,$E4311,$D$4268:$D$4507,"&lt;"&amp;$D4311))</f>
        <v>0</v>
      </c>
      <c r="H4311" s="75">
        <f>IF($D4311="",0,COUNTIFS('Rate Log'!$J$7:$J$50,'Rate Log'!$J$50,$E$4268:$E4311,$E4311,$D$4268:$D4311,$D4311))</f>
        <v>1</v>
      </c>
      <c r="I4311" s="75">
        <f t="shared" si="1584"/>
        <v>1</v>
      </c>
    </row>
    <row r="4312" spans="1:9" x14ac:dyDescent="0.3">
      <c r="A4312" s="75">
        <f>IF(OR('Rate Log'!$J$51&lt;&gt;nr_SelKey,'Rate Log'!$E$51&lt;&gt;"planned",'Rate Log'!$C$51=""),0,COUNTIFS('Rate Log'!$J$7:$J$51,nr_SelKey,'Rate Log'!$E$7:$E$51,"planned"))</f>
        <v>0</v>
      </c>
      <c r="B4312" s="72">
        <f>IF($A4312=0,N('Rate Log'!$K$51),IF(ISBLANK(INDEX(att_actpct,$A4312)),N('Rate Log'!$K$51),INDEX(att_actpct,$A4312)))</f>
        <v>0.04</v>
      </c>
      <c r="C4312" s="73">
        <f>IF('Rate Log'!$C$51="",0,IF(1+$B4312&gt;0,LN(1+$B4312),0))</f>
        <v>3.9220713153281329E-2</v>
      </c>
      <c r="D4312" s="74">
        <f>IF('Rate Log'!$C$51="","",IF($A4312=0,'Rate Log'!$C$51,IF(ISBLANK(INDEX(att_actdate,$A4312)),'Rate Log'!$C$51,INDEX(att_actdate,$A4312))))</f>
        <v>46600</v>
      </c>
      <c r="E4312" s="74">
        <f t="shared" si="1582"/>
        <v>46600</v>
      </c>
      <c r="F4312" s="75">
        <f t="shared" si="1583"/>
        <v>31</v>
      </c>
      <c r="G4312" s="75">
        <f>IF($D4312="",0,COUNTIFS(rl_key,'Rate Log'!$J$51,$E$4268:$E$4507,$E4312,$D$4268:$D$4507,"&lt;"&amp;$D4312))</f>
        <v>0</v>
      </c>
      <c r="H4312" s="75">
        <f>IF($D4312="",0,COUNTIFS('Rate Log'!$J$7:$J$51,'Rate Log'!$J$51,$E$4268:$E4312,$E4312,$D$4268:$D4312,$D4312))</f>
        <v>1</v>
      </c>
      <c r="I4312" s="75">
        <f t="shared" si="1584"/>
        <v>1</v>
      </c>
    </row>
    <row r="4313" spans="1:9" x14ac:dyDescent="0.3">
      <c r="A4313" s="75">
        <f>IF(OR('Rate Log'!$J$52&lt;&gt;nr_SelKey,'Rate Log'!$E$52&lt;&gt;"planned",'Rate Log'!$C$52=""),0,COUNTIFS('Rate Log'!$J$7:$J$52,nr_SelKey,'Rate Log'!$E$7:$E$52,"planned"))</f>
        <v>0</v>
      </c>
      <c r="B4313" s="72">
        <f>IF($A4313=0,N('Rate Log'!$K$52),IF(ISBLANK(INDEX(att_actpct,$A4313)),N('Rate Log'!$K$52),INDEX(att_actpct,$A4313)))</f>
        <v>0.06</v>
      </c>
      <c r="C4313" s="73">
        <f>IF('Rate Log'!$C$52="",0,IF(1+$B4313&gt;0,LN(1+$B4313),0))</f>
        <v>5.8268908123975824E-2</v>
      </c>
      <c r="D4313" s="74">
        <f>IF('Rate Log'!$C$52="","",IF($A4313=0,'Rate Log'!$C$52,IF(ISBLANK(INDEX(att_actdate,$A4313)),'Rate Log'!$C$52,INDEX(att_actdate,$A4313))))</f>
        <v>46113</v>
      </c>
      <c r="E4313" s="74">
        <f t="shared" si="1582"/>
        <v>46113</v>
      </c>
      <c r="F4313" s="75">
        <f t="shared" si="1583"/>
        <v>30</v>
      </c>
      <c r="G4313" s="75">
        <f>IF($D4313="",0,COUNTIFS(rl_key,'Rate Log'!$J$52,$E$4268:$E$4507,$E4313,$D$4268:$D$4507,"&lt;"&amp;$D4313))</f>
        <v>0</v>
      </c>
      <c r="H4313" s="75">
        <f>IF($D4313="",0,COUNTIFS('Rate Log'!$J$7:$J$52,'Rate Log'!$J$52,$E$4268:$E4313,$E4313,$D$4268:$D4313,$D4313))</f>
        <v>1</v>
      </c>
      <c r="I4313" s="75">
        <f t="shared" si="1584"/>
        <v>1</v>
      </c>
    </row>
    <row r="4314" spans="1:9" x14ac:dyDescent="0.3">
      <c r="A4314" s="75">
        <f>IF(OR('Rate Log'!$J$53&lt;&gt;nr_SelKey,'Rate Log'!$E$53&lt;&gt;"planned",'Rate Log'!$C$53=""),0,COUNTIFS('Rate Log'!$J$7:$J$53,nr_SelKey,'Rate Log'!$E$7:$E$53,"planned"))</f>
        <v>0</v>
      </c>
      <c r="B4314" s="72">
        <f>IF($A4314=0,N('Rate Log'!$K$53),IF(ISBLANK(INDEX(att_actpct,$A4314)),N('Rate Log'!$K$53),INDEX(att_actpct,$A4314)))</f>
        <v>0.02</v>
      </c>
      <c r="C4314" s="73">
        <f>IF('Rate Log'!$C$53="",0,IF(1+$B4314&gt;0,LN(1+$B4314),0))</f>
        <v>1.980262729617973E-2</v>
      </c>
      <c r="D4314" s="74">
        <f>IF('Rate Log'!$C$53="","",IF($A4314=0,'Rate Log'!$C$53,IF(ISBLANK(INDEX(att_actdate,$A4314)),'Rate Log'!$C$53,INDEX(att_actdate,$A4314))))</f>
        <v>46143</v>
      </c>
      <c r="E4314" s="74">
        <f t="shared" si="1582"/>
        <v>46143</v>
      </c>
      <c r="F4314" s="75">
        <f t="shared" si="1583"/>
        <v>31</v>
      </c>
      <c r="G4314" s="75">
        <f>IF($D4314="",0,COUNTIFS(rl_key,'Rate Log'!$J$53,$E$4268:$E$4507,$E4314,$D$4268:$D$4507,"&lt;"&amp;$D4314))</f>
        <v>0</v>
      </c>
      <c r="H4314" s="75">
        <f>IF($D4314="",0,COUNTIFS('Rate Log'!$J$7:$J$53,'Rate Log'!$J$53,$E$4268:$E4314,$E4314,$D$4268:$D4314,$D4314))</f>
        <v>1</v>
      </c>
      <c r="I4314" s="75">
        <f t="shared" si="1584"/>
        <v>1</v>
      </c>
    </row>
    <row r="4315" spans="1:9" x14ac:dyDescent="0.3">
      <c r="A4315" s="75">
        <f>IF(OR('Rate Log'!$J$54&lt;&gt;nr_SelKey,'Rate Log'!$E$54&lt;&gt;"planned",'Rate Log'!$C$54=""),0,COUNTIFS('Rate Log'!$J$7:$J$54,nr_SelKey,'Rate Log'!$E$7:$E$54,"planned"))</f>
        <v>0</v>
      </c>
      <c r="B4315" s="72">
        <f>IF($A4315=0,N('Rate Log'!$K$54),IF(ISBLANK(INDEX(att_actpct,$A4315)),N('Rate Log'!$K$54),INDEX(att_actpct,$A4315)))</f>
        <v>0.04</v>
      </c>
      <c r="C4315" s="73">
        <f>IF('Rate Log'!$C$54="",0,IF(1+$B4315&gt;0,LN(1+$B4315),0))</f>
        <v>3.9220713153281329E-2</v>
      </c>
      <c r="D4315" s="74">
        <f>IF('Rate Log'!$C$54="","",IF($A4315=0,'Rate Log'!$C$54,IF(ISBLANK(INDEX(att_actdate,$A4315)),'Rate Log'!$C$54,INDEX(att_actdate,$A4315))))</f>
        <v>46419</v>
      </c>
      <c r="E4315" s="74">
        <f t="shared" si="1582"/>
        <v>46419</v>
      </c>
      <c r="F4315" s="75">
        <f t="shared" si="1583"/>
        <v>28</v>
      </c>
      <c r="G4315" s="75">
        <f>IF($D4315="",0,COUNTIFS(rl_key,'Rate Log'!$J$54,$E$4268:$E$4507,$E4315,$D$4268:$D$4507,"&lt;"&amp;$D4315))</f>
        <v>0</v>
      </c>
      <c r="H4315" s="75">
        <f>IF($D4315="",0,COUNTIFS('Rate Log'!$J$7:$J$54,'Rate Log'!$J$54,$E$4268:$E4315,$E4315,$D$4268:$D4315,$D4315))</f>
        <v>1</v>
      </c>
      <c r="I4315" s="75">
        <f t="shared" si="1584"/>
        <v>1</v>
      </c>
    </row>
    <row r="4316" spans="1:9" x14ac:dyDescent="0.3">
      <c r="A4316" s="75">
        <f>IF(OR('Rate Log'!$J$55&lt;&gt;nr_SelKey,'Rate Log'!$E$55&lt;&gt;"planned",'Rate Log'!$C$55=""),0,COUNTIFS('Rate Log'!$J$7:$J$55,nr_SelKey,'Rate Log'!$E$7:$E$55,"planned"))</f>
        <v>0</v>
      </c>
      <c r="B4316" s="72">
        <f>IF($A4316=0,N('Rate Log'!$K$55),IF(ISBLANK(INDEX(att_actpct,$A4316)),N('Rate Log'!$K$55),INDEX(att_actpct,$A4316)))</f>
        <v>0.04</v>
      </c>
      <c r="C4316" s="73">
        <f>IF('Rate Log'!$C$55="",0,IF(1+$B4316&gt;0,LN(1+$B4316),0))</f>
        <v>3.9220713153281329E-2</v>
      </c>
      <c r="D4316" s="74">
        <f>IF('Rate Log'!$C$55="","",IF($A4316=0,'Rate Log'!$C$55,IF(ISBLANK(INDEX(att_actdate,$A4316)),'Rate Log'!$C$55,INDEX(att_actdate,$A4316))))</f>
        <v>46204</v>
      </c>
      <c r="E4316" s="74">
        <f t="shared" si="1582"/>
        <v>46204</v>
      </c>
      <c r="F4316" s="75">
        <f t="shared" si="1583"/>
        <v>31</v>
      </c>
      <c r="G4316" s="75">
        <f>IF($D4316="",0,COUNTIFS(rl_key,'Rate Log'!$J$55,$E$4268:$E$4507,$E4316,$D$4268:$D$4507,"&lt;"&amp;$D4316))</f>
        <v>0</v>
      </c>
      <c r="H4316" s="75">
        <f>IF($D4316="",0,COUNTIFS('Rate Log'!$J$7:$J$55,'Rate Log'!$J$55,$E$4268:$E4316,$E4316,$D$4268:$D4316,$D4316))</f>
        <v>1</v>
      </c>
      <c r="I4316" s="75">
        <f t="shared" si="1584"/>
        <v>1</v>
      </c>
    </row>
    <row r="4317" spans="1:9" x14ac:dyDescent="0.3">
      <c r="A4317" s="75">
        <f>IF(OR('Rate Log'!$J$56&lt;&gt;nr_SelKey,'Rate Log'!$E$56&lt;&gt;"planned",'Rate Log'!$C$56=""),0,COUNTIFS('Rate Log'!$J$7:$J$56,nr_SelKey,'Rate Log'!$E$7:$E$56,"planned"))</f>
        <v>0</v>
      </c>
      <c r="B4317" s="72">
        <f>IF($A4317=0,N('Rate Log'!$K$56),IF(ISBLANK(INDEX(att_actpct,$A4317)),N('Rate Log'!$K$56),INDEX(att_actpct,$A4317)))</f>
        <v>0.05</v>
      </c>
      <c r="C4317" s="73">
        <f>IF('Rate Log'!$C$56="",0,IF(1+$B4317&gt;0,LN(1+$B4317),0))</f>
        <v>4.8790164169432049E-2</v>
      </c>
      <c r="D4317" s="74">
        <f>IF('Rate Log'!$C$56="","",IF($A4317=0,'Rate Log'!$C$56,IF(ISBLANK(INDEX(att_actdate,$A4317)),'Rate Log'!$C$56,INDEX(att_actdate,$A4317))))</f>
        <v>46235</v>
      </c>
      <c r="E4317" s="74">
        <f t="shared" si="1582"/>
        <v>46235</v>
      </c>
      <c r="F4317" s="75">
        <f t="shared" si="1583"/>
        <v>31</v>
      </c>
      <c r="G4317" s="75">
        <f>IF($D4317="",0,COUNTIFS(rl_key,'Rate Log'!$J$56,$E$4268:$E$4507,$E4317,$D$4268:$D$4507,"&lt;"&amp;$D4317))</f>
        <v>0</v>
      </c>
      <c r="H4317" s="75">
        <f>IF($D4317="",0,COUNTIFS('Rate Log'!$J$7:$J$56,'Rate Log'!$J$56,$E$4268:$E4317,$E4317,$D$4268:$D4317,$D4317))</f>
        <v>1</v>
      </c>
      <c r="I4317" s="75">
        <f t="shared" si="1584"/>
        <v>1</v>
      </c>
    </row>
    <row r="4318" spans="1:9" x14ac:dyDescent="0.3">
      <c r="A4318" s="75">
        <f>IF(OR('Rate Log'!$J$57&lt;&gt;nr_SelKey,'Rate Log'!$E$57&lt;&gt;"planned",'Rate Log'!$C$57=""),0,COUNTIFS('Rate Log'!$J$7:$J$57,nr_SelKey,'Rate Log'!$E$7:$E$57,"planned"))</f>
        <v>0</v>
      </c>
      <c r="B4318" s="72">
        <f>IF($A4318=0,N('Rate Log'!$K$57),IF(ISBLANK(INDEX(att_actpct,$A4318)),N('Rate Log'!$K$57),INDEX(att_actpct,$A4318)))</f>
        <v>0.02</v>
      </c>
      <c r="C4318" s="73">
        <f>IF('Rate Log'!$C$57="",0,IF(1+$B4318&gt;0,LN(1+$B4318),0))</f>
        <v>1.980262729617973E-2</v>
      </c>
      <c r="D4318" s="74">
        <f>IF('Rate Log'!$C$57="","",IF($A4318=0,'Rate Log'!$C$57,IF(ISBLANK(INDEX(att_actdate,$A4318)),'Rate Log'!$C$57,INDEX(att_actdate,$A4318))))</f>
        <v>46296</v>
      </c>
      <c r="E4318" s="74">
        <f t="shared" si="1582"/>
        <v>46296</v>
      </c>
      <c r="F4318" s="75">
        <f t="shared" si="1583"/>
        <v>31</v>
      </c>
      <c r="G4318" s="75">
        <f>IF($D4318="",0,COUNTIFS(rl_key,'Rate Log'!$J$57,$E$4268:$E$4507,$E4318,$D$4268:$D$4507,"&lt;"&amp;$D4318))</f>
        <v>0</v>
      </c>
      <c r="H4318" s="75">
        <f>IF($D4318="",0,COUNTIFS('Rate Log'!$J$7:$J$57,'Rate Log'!$J$57,$E$4268:$E4318,$E4318,$D$4268:$D4318,$D4318))</f>
        <v>1</v>
      </c>
      <c r="I4318" s="75">
        <f t="shared" si="1584"/>
        <v>1</v>
      </c>
    </row>
    <row r="4319" spans="1:9" x14ac:dyDescent="0.3">
      <c r="A4319" s="75">
        <f>IF(OR('Rate Log'!$J$58&lt;&gt;nr_SelKey,'Rate Log'!$E$58&lt;&gt;"planned",'Rate Log'!$C$58=""),0,COUNTIFS('Rate Log'!$J$7:$J$58,nr_SelKey,'Rate Log'!$E$7:$E$58,"planned"))</f>
        <v>0</v>
      </c>
      <c r="B4319" s="72">
        <f>IF($A4319=0,N('Rate Log'!$K$58),IF(ISBLANK(INDEX(att_actpct,$A4319)),N('Rate Log'!$K$58),INDEX(att_actpct,$A4319)))</f>
        <v>0.04</v>
      </c>
      <c r="C4319" s="73">
        <f>IF('Rate Log'!$C$58="",0,IF(1+$B4319&gt;0,LN(1+$B4319),0))</f>
        <v>3.9220713153281329E-2</v>
      </c>
      <c r="D4319" s="74">
        <f>IF('Rate Log'!$C$58="","",IF($A4319=0,'Rate Log'!$C$58,IF(ISBLANK(INDEX(att_actdate,$A4319)),'Rate Log'!$C$58,INDEX(att_actdate,$A4319))))</f>
        <v>46539</v>
      </c>
      <c r="E4319" s="74">
        <f t="shared" si="1582"/>
        <v>46539</v>
      </c>
      <c r="F4319" s="75">
        <f t="shared" si="1583"/>
        <v>30</v>
      </c>
      <c r="G4319" s="75">
        <f>IF($D4319="",0,COUNTIFS(rl_key,'Rate Log'!$J$58,$E$4268:$E$4507,$E4319,$D$4268:$D$4507,"&lt;"&amp;$D4319))</f>
        <v>0</v>
      </c>
      <c r="H4319" s="75">
        <f>IF($D4319="",0,COUNTIFS('Rate Log'!$J$7:$J$58,'Rate Log'!$J$58,$E$4268:$E4319,$E4319,$D$4268:$D4319,$D4319))</f>
        <v>1</v>
      </c>
      <c r="I4319" s="75">
        <f t="shared" si="1584"/>
        <v>1</v>
      </c>
    </row>
    <row r="4320" spans="1:9" x14ac:dyDescent="0.3">
      <c r="A4320" s="75">
        <f>IF(OR('Rate Log'!$J$59&lt;&gt;nr_SelKey,'Rate Log'!$E$59&lt;&gt;"planned",'Rate Log'!$C$59=""),0,COUNTIFS('Rate Log'!$J$7:$J$59,nr_SelKey,'Rate Log'!$E$7:$E$59,"planned"))</f>
        <v>0</v>
      </c>
      <c r="B4320" s="72">
        <f>IF($A4320=0,N('Rate Log'!$K$59),IF(ISBLANK(INDEX(att_actpct,$A4320)),N('Rate Log'!$K$59),INDEX(att_actpct,$A4320)))</f>
        <v>0.06</v>
      </c>
      <c r="C4320" s="73">
        <f>IF('Rate Log'!$C$59="",0,IF(1+$B4320&gt;0,LN(1+$B4320),0))</f>
        <v>5.8268908123975824E-2</v>
      </c>
      <c r="D4320" s="74">
        <f>IF('Rate Log'!$C$59="","",IF($A4320=0,'Rate Log'!$C$59,IF(ISBLANK(INDEX(att_actdate,$A4320)),'Rate Log'!$C$59,INDEX(att_actdate,$A4320))))</f>
        <v>46054</v>
      </c>
      <c r="E4320" s="74">
        <f t="shared" si="1582"/>
        <v>46054</v>
      </c>
      <c r="F4320" s="75">
        <f t="shared" si="1583"/>
        <v>28</v>
      </c>
      <c r="G4320" s="75">
        <f>IF($D4320="",0,COUNTIFS(rl_key,'Rate Log'!$J$59,$E$4268:$E$4507,$E4320,$D$4268:$D$4507,"&lt;"&amp;$D4320))</f>
        <v>0</v>
      </c>
      <c r="H4320" s="75">
        <f>IF($D4320="",0,COUNTIFS('Rate Log'!$J$7:$J$59,'Rate Log'!$J$59,$E$4268:$E4320,$E4320,$D$4268:$D4320,$D4320))</f>
        <v>1</v>
      </c>
      <c r="I4320" s="75">
        <f t="shared" si="1584"/>
        <v>1</v>
      </c>
    </row>
    <row r="4321" spans="1:9" x14ac:dyDescent="0.3">
      <c r="A4321" s="75">
        <f>IF(OR('Rate Log'!$J$60&lt;&gt;nr_SelKey,'Rate Log'!$E$60&lt;&gt;"planned",'Rate Log'!$C$60=""),0,COUNTIFS('Rate Log'!$J$7:$J$60,nr_SelKey,'Rate Log'!$E$7:$E$60,"planned"))</f>
        <v>0</v>
      </c>
      <c r="B4321" s="72">
        <f>IF($A4321=0,N('Rate Log'!$K$60),IF(ISBLANK(INDEX(att_actpct,$A4321)),N('Rate Log'!$K$60),INDEX(att_actpct,$A4321)))</f>
        <v>0.04</v>
      </c>
      <c r="C4321" s="73">
        <f>IF('Rate Log'!$C$60="",0,IF(1+$B4321&gt;0,LN(1+$B4321),0))</f>
        <v>3.9220713153281329E-2</v>
      </c>
      <c r="D4321" s="74">
        <f>IF('Rate Log'!$C$60="","",IF($A4321=0,'Rate Log'!$C$60,IF(ISBLANK(INDEX(att_actdate,$A4321)),'Rate Log'!$C$60,INDEX(att_actdate,$A4321))))</f>
        <v>46661</v>
      </c>
      <c r="E4321" s="74">
        <f t="shared" si="1582"/>
        <v>46661</v>
      </c>
      <c r="F4321" s="75">
        <f t="shared" si="1583"/>
        <v>31</v>
      </c>
      <c r="G4321" s="75">
        <f>IF($D4321="",0,COUNTIFS(rl_key,'Rate Log'!$J$60,$E$4268:$E$4507,$E4321,$D$4268:$D$4507,"&lt;"&amp;$D4321))</f>
        <v>0</v>
      </c>
      <c r="H4321" s="75">
        <f>IF($D4321="",0,COUNTIFS('Rate Log'!$J$7:$J$60,'Rate Log'!$J$60,$E$4268:$E4321,$E4321,$D$4268:$D4321,$D4321))</f>
        <v>1</v>
      </c>
      <c r="I4321" s="75">
        <f t="shared" si="1584"/>
        <v>1</v>
      </c>
    </row>
    <row r="4322" spans="1:9" x14ac:dyDescent="0.3">
      <c r="A4322" s="75">
        <f>IF(OR('Rate Log'!$J$61&lt;&gt;nr_SelKey,'Rate Log'!$E$61&lt;&gt;"planned",'Rate Log'!$C$61=""),0,COUNTIFS('Rate Log'!$J$7:$J$61,nr_SelKey,'Rate Log'!$E$7:$E$61,"planned"))</f>
        <v>0</v>
      </c>
      <c r="B4322" s="72">
        <f>IF($A4322=0,N('Rate Log'!$K$61),IF(ISBLANK(INDEX(att_actpct,$A4322)),N('Rate Log'!$K$61),INDEX(att_actpct,$A4322)))</f>
        <v>0.03</v>
      </c>
      <c r="C4322" s="73">
        <f>IF('Rate Log'!$C$61="",0,IF(1+$B4322&gt;0,LN(1+$B4322),0))</f>
        <v>2.9558802241544429E-2</v>
      </c>
      <c r="D4322" s="74">
        <f>IF('Rate Log'!$C$61="","",IF($A4322=0,'Rate Log'!$C$61,IF(ISBLANK(INDEX(att_actdate,$A4322)),'Rate Log'!$C$61,INDEX(att_actdate,$A4322))))</f>
        <v>46113</v>
      </c>
      <c r="E4322" s="74">
        <f t="shared" si="1582"/>
        <v>46113</v>
      </c>
      <c r="F4322" s="75">
        <f t="shared" si="1583"/>
        <v>30</v>
      </c>
      <c r="G4322" s="75">
        <f>IF($D4322="",0,COUNTIFS(rl_key,'Rate Log'!$J$61,$E$4268:$E$4507,$E4322,$D$4268:$D$4507,"&lt;"&amp;$D4322))</f>
        <v>0</v>
      </c>
      <c r="H4322" s="75">
        <f>IF($D4322="",0,COUNTIFS('Rate Log'!$J$7:$J$61,'Rate Log'!$J$61,$E$4268:$E4322,$E4322,$D$4268:$D4322,$D4322))</f>
        <v>1</v>
      </c>
      <c r="I4322" s="75">
        <f t="shared" si="1584"/>
        <v>1</v>
      </c>
    </row>
    <row r="4323" spans="1:9" x14ac:dyDescent="0.3">
      <c r="A4323" s="75">
        <f>IF(OR('Rate Log'!$J$62&lt;&gt;nr_SelKey,'Rate Log'!$E$62&lt;&gt;"planned",'Rate Log'!$C$62=""),0,COUNTIFS('Rate Log'!$J$7:$J$62,nr_SelKey,'Rate Log'!$E$7:$E$62,"planned"))</f>
        <v>0</v>
      </c>
      <c r="B4323" s="72">
        <f>IF($A4323=0,N('Rate Log'!$K$62),IF(ISBLANK(INDEX(att_actpct,$A4323)),N('Rate Log'!$K$62),INDEX(att_actpct,$A4323)))</f>
        <v>0.04</v>
      </c>
      <c r="C4323" s="73">
        <f>IF('Rate Log'!$C$62="",0,IF(1+$B4323&gt;0,LN(1+$B4323),0))</f>
        <v>3.9220713153281329E-2</v>
      </c>
      <c r="D4323" s="74">
        <f>IF('Rate Log'!$C$62="","",IF($A4323=0,'Rate Log'!$C$62,IF(ISBLANK(INDEX(att_actdate,$A4323)),'Rate Log'!$C$62,INDEX(att_actdate,$A4323))))</f>
        <v>46143</v>
      </c>
      <c r="E4323" s="74">
        <f t="shared" si="1582"/>
        <v>46143</v>
      </c>
      <c r="F4323" s="75">
        <f t="shared" si="1583"/>
        <v>31</v>
      </c>
      <c r="G4323" s="75">
        <f>IF($D4323="",0,COUNTIFS(rl_key,'Rate Log'!$J$62,$E$4268:$E$4507,$E4323,$D$4268:$D$4507,"&lt;"&amp;$D4323))</f>
        <v>0</v>
      </c>
      <c r="H4323" s="75">
        <f>IF($D4323="",0,COUNTIFS('Rate Log'!$J$7:$J$62,'Rate Log'!$J$62,$E$4268:$E4323,$E4323,$D$4268:$D4323,$D4323))</f>
        <v>1</v>
      </c>
      <c r="I4323" s="75">
        <f t="shared" si="1584"/>
        <v>1</v>
      </c>
    </row>
    <row r="4324" spans="1:9" x14ac:dyDescent="0.3">
      <c r="A4324" s="75">
        <f>IF(OR('Rate Log'!$J$63&lt;&gt;nr_SelKey,'Rate Log'!$E$63&lt;&gt;"planned",'Rate Log'!$C$63=""),0,COUNTIFS('Rate Log'!$J$7:$J$63,nr_SelKey,'Rate Log'!$E$7:$E$63,"planned"))</f>
        <v>0</v>
      </c>
      <c r="B4324" s="72">
        <f>IF($A4324=0,N('Rate Log'!$K$63),IF(ISBLANK(INDEX(att_actpct,$A4324)),N('Rate Log'!$K$63),INDEX(att_actpct,$A4324)))</f>
        <v>0.04</v>
      </c>
      <c r="C4324" s="73">
        <f>IF('Rate Log'!$C$63="",0,IF(1+$B4324&gt;0,LN(1+$B4324),0))</f>
        <v>3.9220713153281329E-2</v>
      </c>
      <c r="D4324" s="74">
        <f>IF('Rate Log'!$C$63="","",IF($A4324=0,'Rate Log'!$C$63,IF(ISBLANK(INDEX(att_actdate,$A4324)),'Rate Log'!$C$63,INDEX(att_actdate,$A4324))))</f>
        <v>46478</v>
      </c>
      <c r="E4324" s="74">
        <f t="shared" si="1582"/>
        <v>46478</v>
      </c>
      <c r="F4324" s="75">
        <f t="shared" si="1583"/>
        <v>30</v>
      </c>
      <c r="G4324" s="75">
        <f>IF($D4324="",0,COUNTIFS(rl_key,'Rate Log'!$J$63,$E$4268:$E$4507,$E4324,$D$4268:$D$4507,"&lt;"&amp;$D4324))</f>
        <v>0</v>
      </c>
      <c r="H4324" s="75">
        <f>IF($D4324="",0,COUNTIFS('Rate Log'!$J$7:$J$63,'Rate Log'!$J$63,$E$4268:$E4324,$E4324,$D$4268:$D4324,$D4324))</f>
        <v>1</v>
      </c>
      <c r="I4324" s="75">
        <f t="shared" si="1584"/>
        <v>1</v>
      </c>
    </row>
    <row r="4325" spans="1:9" x14ac:dyDescent="0.3">
      <c r="A4325" s="75">
        <f>IF(OR('Rate Log'!$J$64&lt;&gt;nr_SelKey,'Rate Log'!$E$64&lt;&gt;"planned",'Rate Log'!$C$64=""),0,COUNTIFS('Rate Log'!$J$7:$J$64,nr_SelKey,'Rate Log'!$E$7:$E$64,"planned"))</f>
        <v>0</v>
      </c>
      <c r="B4325" s="72">
        <f>IF($A4325=0,N('Rate Log'!$K$64),IF(ISBLANK(INDEX(att_actpct,$A4325)),N('Rate Log'!$K$64),INDEX(att_actpct,$A4325)))</f>
        <v>0.06</v>
      </c>
      <c r="C4325" s="73">
        <f>IF('Rate Log'!$C$64="",0,IF(1+$B4325&gt;0,LN(1+$B4325),0))</f>
        <v>5.8268908123975824E-2</v>
      </c>
      <c r="D4325" s="74">
        <f>IF('Rate Log'!$C$64="","",IF($A4325=0,'Rate Log'!$C$64,IF(ISBLANK(INDEX(att_actdate,$A4325)),'Rate Log'!$C$64,INDEX(att_actdate,$A4325))))</f>
        <v>46204</v>
      </c>
      <c r="E4325" s="74">
        <f t="shared" si="1582"/>
        <v>46204</v>
      </c>
      <c r="F4325" s="75">
        <f t="shared" si="1583"/>
        <v>31</v>
      </c>
      <c r="G4325" s="75">
        <f>IF($D4325="",0,COUNTIFS(rl_key,'Rate Log'!$J$64,$E$4268:$E$4507,$E4325,$D$4268:$D$4507,"&lt;"&amp;$D4325))</f>
        <v>0</v>
      </c>
      <c r="H4325" s="75">
        <f>IF($D4325="",0,COUNTIFS('Rate Log'!$J$7:$J$64,'Rate Log'!$J$64,$E$4268:$E4325,$E4325,$D$4268:$D4325,$D4325))</f>
        <v>1</v>
      </c>
      <c r="I4325" s="75">
        <f t="shared" si="1584"/>
        <v>1</v>
      </c>
    </row>
    <row r="4326" spans="1:9" x14ac:dyDescent="0.3">
      <c r="A4326" s="75">
        <f>IF(OR('Rate Log'!$J$65&lt;&gt;nr_SelKey,'Rate Log'!$E$65&lt;&gt;"planned",'Rate Log'!$C$65=""),0,COUNTIFS('Rate Log'!$J$7:$J$65,nr_SelKey,'Rate Log'!$E$7:$E$65,"planned"))</f>
        <v>0</v>
      </c>
      <c r="B4326" s="72">
        <f>IF($A4326=0,N('Rate Log'!$K$65),IF(ISBLANK(INDEX(att_actpct,$A4326)),N('Rate Log'!$K$65),INDEX(att_actpct,$A4326)))</f>
        <v>0.02</v>
      </c>
      <c r="C4326" s="73">
        <f>IF('Rate Log'!$C$65="",0,IF(1+$B4326&gt;0,LN(1+$B4326),0))</f>
        <v>1.980262729617973E-2</v>
      </c>
      <c r="D4326" s="74">
        <f>IF('Rate Log'!$C$65="","",IF($A4326=0,'Rate Log'!$C$65,IF(ISBLANK(INDEX(att_actdate,$A4326)),'Rate Log'!$C$65,INDEX(att_actdate,$A4326))))</f>
        <v>46235</v>
      </c>
      <c r="E4326" s="74">
        <f t="shared" si="1582"/>
        <v>46235</v>
      </c>
      <c r="F4326" s="75">
        <f t="shared" si="1583"/>
        <v>31</v>
      </c>
      <c r="G4326" s="75">
        <f>IF($D4326="",0,COUNTIFS(rl_key,'Rate Log'!$J$65,$E$4268:$E$4507,$E4326,$D$4268:$D$4507,"&lt;"&amp;$D4326))</f>
        <v>0</v>
      </c>
      <c r="H4326" s="75">
        <f>IF($D4326="",0,COUNTIFS('Rate Log'!$J$7:$J$65,'Rate Log'!$J$65,$E$4268:$E4326,$E4326,$D$4268:$D4326,$D4326))</f>
        <v>1</v>
      </c>
      <c r="I4326" s="75">
        <f t="shared" si="1584"/>
        <v>1</v>
      </c>
    </row>
    <row r="4327" spans="1:9" x14ac:dyDescent="0.3">
      <c r="A4327" s="75">
        <f>IF(OR('Rate Log'!$J$66&lt;&gt;nr_SelKey,'Rate Log'!$E$66&lt;&gt;"planned",'Rate Log'!$C$66=""),0,COUNTIFS('Rate Log'!$J$7:$J$66,nr_SelKey,'Rate Log'!$E$7:$E$66,"planned"))</f>
        <v>0</v>
      </c>
      <c r="B4327" s="72">
        <f>IF($A4327=0,N('Rate Log'!$K$66),IF(ISBLANK(INDEX(att_actpct,$A4327)),N('Rate Log'!$K$66),INDEX(att_actpct,$A4327)))</f>
        <v>0.04</v>
      </c>
      <c r="C4327" s="73">
        <f>IF('Rate Log'!$C$66="",0,IF(1+$B4327&gt;0,LN(1+$B4327),0))</f>
        <v>3.9220713153281329E-2</v>
      </c>
      <c r="D4327" s="74">
        <f>IF('Rate Log'!$C$66="","",IF($A4327=0,'Rate Log'!$C$66,IF(ISBLANK(INDEX(att_actdate,$A4327)),'Rate Log'!$C$66,INDEX(att_actdate,$A4327))))</f>
        <v>46296</v>
      </c>
      <c r="E4327" s="74">
        <f t="shared" si="1582"/>
        <v>46296</v>
      </c>
      <c r="F4327" s="75">
        <f t="shared" si="1583"/>
        <v>31</v>
      </c>
      <c r="G4327" s="75">
        <f>IF($D4327="",0,COUNTIFS(rl_key,'Rate Log'!$J$66,$E$4268:$E$4507,$E4327,$D$4268:$D$4507,"&lt;"&amp;$D4327))</f>
        <v>0</v>
      </c>
      <c r="H4327" s="75">
        <f>IF($D4327="",0,COUNTIFS('Rate Log'!$J$7:$J$66,'Rate Log'!$J$66,$E$4268:$E4327,$E4327,$D$4268:$D4327,$D4327))</f>
        <v>1</v>
      </c>
      <c r="I4327" s="75">
        <f t="shared" si="1584"/>
        <v>1</v>
      </c>
    </row>
    <row r="4328" spans="1:9" x14ac:dyDescent="0.3">
      <c r="A4328" s="75">
        <f>IF(OR('Rate Log'!$J$67&lt;&gt;nr_SelKey,'Rate Log'!$E$67&lt;&gt;"planned",'Rate Log'!$C$67=""),0,COUNTIFS('Rate Log'!$J$7:$J$67,nr_SelKey,'Rate Log'!$E$7:$E$67,"planned"))</f>
        <v>0</v>
      </c>
      <c r="B4328" s="72">
        <f>IF($A4328=0,N('Rate Log'!$K$67),IF(ISBLANK(INDEX(att_actpct,$A4328)),N('Rate Log'!$K$67),INDEX(att_actpct,$A4328)))</f>
        <v>0.04</v>
      </c>
      <c r="C4328" s="73">
        <f>IF('Rate Log'!$C$67="",0,IF(1+$B4328&gt;0,LN(1+$B4328),0))</f>
        <v>3.9220713153281329E-2</v>
      </c>
      <c r="D4328" s="74">
        <f>IF('Rate Log'!$C$67="","",IF($A4328=0,'Rate Log'!$C$67,IF(ISBLANK(INDEX(att_actdate,$A4328)),'Rate Log'!$C$67,INDEX(att_actdate,$A4328))))</f>
        <v>46600</v>
      </c>
      <c r="E4328" s="74">
        <f t="shared" si="1582"/>
        <v>46600</v>
      </c>
      <c r="F4328" s="75">
        <f t="shared" si="1583"/>
        <v>31</v>
      </c>
      <c r="G4328" s="75">
        <f>IF($D4328="",0,COUNTIFS(rl_key,'Rate Log'!$J$67,$E$4268:$E$4507,$E4328,$D$4268:$D$4507,"&lt;"&amp;$D4328))</f>
        <v>0</v>
      </c>
      <c r="H4328" s="75">
        <f>IF($D4328="",0,COUNTIFS('Rate Log'!$J$7:$J$67,'Rate Log'!$J$67,$E$4268:$E4328,$E4328,$D$4268:$D4328,$D4328))</f>
        <v>1</v>
      </c>
      <c r="I4328" s="75">
        <f t="shared" si="1584"/>
        <v>1</v>
      </c>
    </row>
    <row r="4329" spans="1:9" x14ac:dyDescent="0.3">
      <c r="A4329" s="75">
        <f>IF(OR('Rate Log'!$J$68&lt;&gt;nr_SelKey,'Rate Log'!$E$68&lt;&gt;"planned",'Rate Log'!$C$68=""),0,COUNTIFS('Rate Log'!$J$7:$J$68,nr_SelKey,'Rate Log'!$E$7:$E$68,"planned"))</f>
        <v>0</v>
      </c>
      <c r="B4329" s="72">
        <f>IF($A4329=0,N('Rate Log'!$K$68),IF(ISBLANK(INDEX(att_actpct,$A4329)),N('Rate Log'!$K$68),INDEX(att_actpct,$A4329)))</f>
        <v>0.05</v>
      </c>
      <c r="C4329" s="73">
        <f>IF('Rate Log'!$C$68="",0,IF(1+$B4329&gt;0,LN(1+$B4329),0))</f>
        <v>4.8790164169432049E-2</v>
      </c>
      <c r="D4329" s="74">
        <f>IF('Rate Log'!$C$68="","",IF($A4329=0,'Rate Log'!$C$68,IF(ISBLANK(INDEX(att_actdate,$A4329)),'Rate Log'!$C$68,INDEX(att_actdate,$A4329))))</f>
        <v>46327</v>
      </c>
      <c r="E4329" s="74">
        <f t="shared" si="1582"/>
        <v>46327</v>
      </c>
      <c r="F4329" s="75">
        <f t="shared" si="1583"/>
        <v>30</v>
      </c>
      <c r="G4329" s="75">
        <f>IF($D4329="",0,COUNTIFS(rl_key,'Rate Log'!$J$68,$E$4268:$E$4507,$E4329,$D$4268:$D$4507,"&lt;"&amp;$D4329))</f>
        <v>0</v>
      </c>
      <c r="H4329" s="75">
        <f>IF($D4329="",0,COUNTIFS('Rate Log'!$J$7:$J$68,'Rate Log'!$J$68,$E$4268:$E4329,$E4329,$D$4268:$D4329,$D4329))</f>
        <v>1</v>
      </c>
      <c r="I4329" s="75">
        <f t="shared" si="1584"/>
        <v>1</v>
      </c>
    </row>
    <row r="4330" spans="1:9" x14ac:dyDescent="0.3">
      <c r="A4330" s="75">
        <f>IF(OR('Rate Log'!$J$69&lt;&gt;nr_SelKey,'Rate Log'!$E$69&lt;&gt;"planned",'Rate Log'!$C$69=""),0,COUNTIFS('Rate Log'!$J$7:$J$69,nr_SelKey,'Rate Log'!$E$7:$E$69,"planned"))</f>
        <v>0</v>
      </c>
      <c r="B4330" s="72">
        <f>IF($A4330=0,N('Rate Log'!$K$69),IF(ISBLANK(INDEX(att_actpct,$A4330)),N('Rate Log'!$K$69),INDEX(att_actpct,$A4330)))</f>
        <v>0.02</v>
      </c>
      <c r="C4330" s="73">
        <f>IF('Rate Log'!$C$69="",0,IF(1+$B4330&gt;0,LN(1+$B4330),0))</f>
        <v>1.980262729617973E-2</v>
      </c>
      <c r="D4330" s="74">
        <f>IF('Rate Log'!$C$69="","",IF($A4330=0,'Rate Log'!$C$69,IF(ISBLANK(INDEX(att_actdate,$A4330)),'Rate Log'!$C$69,INDEX(att_actdate,$A4330))))</f>
        <v>46023</v>
      </c>
      <c r="E4330" s="74">
        <f t="shared" si="1582"/>
        <v>46023</v>
      </c>
      <c r="F4330" s="75">
        <f t="shared" si="1583"/>
        <v>31</v>
      </c>
      <c r="G4330" s="75">
        <f>IF($D4330="",0,COUNTIFS(rl_key,'Rate Log'!$J$69,$E$4268:$E$4507,$E4330,$D$4268:$D$4507,"&lt;"&amp;$D4330))</f>
        <v>0</v>
      </c>
      <c r="H4330" s="75">
        <f>IF($D4330="",0,COUNTIFS('Rate Log'!$J$7:$J$69,'Rate Log'!$J$69,$E$4268:$E4330,$E4330,$D$4268:$D4330,$D4330))</f>
        <v>1</v>
      </c>
      <c r="I4330" s="75">
        <f t="shared" si="1584"/>
        <v>1</v>
      </c>
    </row>
    <row r="4331" spans="1:9" x14ac:dyDescent="0.3">
      <c r="A4331" s="75">
        <f>IF(OR('Rate Log'!$J$70&lt;&gt;nr_SelKey,'Rate Log'!$E$70&lt;&gt;"planned",'Rate Log'!$C$70=""),0,COUNTIFS('Rate Log'!$J$7:$J$70,nr_SelKey,'Rate Log'!$E$7:$E$70,"planned"))</f>
        <v>0</v>
      </c>
      <c r="B4331" s="72">
        <f>IF($A4331=0,N('Rate Log'!$K$70),IF(ISBLANK(INDEX(att_actpct,$A4331)),N('Rate Log'!$K$70),INDEX(att_actpct,$A4331)))</f>
        <v>0.03</v>
      </c>
      <c r="C4331" s="73">
        <f>IF('Rate Log'!$C$70="",0,IF(1+$B4331&gt;0,LN(1+$B4331),0))</f>
        <v>2.9558802241544429E-2</v>
      </c>
      <c r="D4331" s="74">
        <f>IF('Rate Log'!$C$70="","",IF($A4331=0,'Rate Log'!$C$70,IF(ISBLANK(INDEX(att_actdate,$A4331)),'Rate Log'!$C$70,INDEX(att_actdate,$A4331))))</f>
        <v>46054</v>
      </c>
      <c r="E4331" s="74">
        <f t="shared" si="1582"/>
        <v>46054</v>
      </c>
      <c r="F4331" s="75">
        <f t="shared" si="1583"/>
        <v>28</v>
      </c>
      <c r="G4331" s="75">
        <f>IF($D4331="",0,COUNTIFS(rl_key,'Rate Log'!$J$70,$E$4268:$E$4507,$E4331,$D$4268:$D$4507,"&lt;"&amp;$D4331))</f>
        <v>0</v>
      </c>
      <c r="H4331" s="75">
        <f>IF($D4331="",0,COUNTIFS('Rate Log'!$J$7:$J$70,'Rate Log'!$J$70,$E$4268:$E4331,$E4331,$D$4268:$D4331,$D4331))</f>
        <v>1</v>
      </c>
      <c r="I4331" s="75">
        <f t="shared" si="1584"/>
        <v>1</v>
      </c>
    </row>
    <row r="4332" spans="1:9" x14ac:dyDescent="0.3">
      <c r="A4332" s="75">
        <f>IF(OR('Rate Log'!$J$71&lt;&gt;nr_SelKey,'Rate Log'!$E$71&lt;&gt;"planned",'Rate Log'!$C$71=""),0,COUNTIFS('Rate Log'!$J$7:$J$71,nr_SelKey,'Rate Log'!$E$7:$E$71,"planned"))</f>
        <v>0</v>
      </c>
      <c r="B4332" s="72">
        <f>IF($A4332=0,N('Rate Log'!$K$71),IF(ISBLANK(INDEX(att_actpct,$A4332)),N('Rate Log'!$K$71),INDEX(att_actpct,$A4332)))</f>
        <v>0.04</v>
      </c>
      <c r="C4332" s="73">
        <f>IF('Rate Log'!$C$71="",0,IF(1+$B4332&gt;0,LN(1+$B4332),0))</f>
        <v>3.9220713153281329E-2</v>
      </c>
      <c r="D4332" s="74">
        <f>IF('Rate Log'!$C$71="","",IF($A4332=0,'Rate Log'!$C$71,IF(ISBLANK(INDEX(att_actdate,$A4332)),'Rate Log'!$C$71,INDEX(att_actdate,$A4332))))</f>
        <v>46419</v>
      </c>
      <c r="E4332" s="74">
        <f t="shared" ref="E4332:E4395" si="1585">IF($D4332="","",DATE(YEAR($D4332),MONTH($D4332),1))</f>
        <v>46419</v>
      </c>
      <c r="F4332" s="75">
        <f t="shared" ref="F4332:F4395" si="1586">IF($D4332="",0,EOMONTH($D4332,0)-$D4332+1)</f>
        <v>28</v>
      </c>
      <c r="G4332" s="75">
        <f>IF($D4332="",0,COUNTIFS(rl_key,'Rate Log'!$J$71,$E$4268:$E$4507,$E4332,$D$4268:$D$4507,"&lt;"&amp;$D4332))</f>
        <v>0</v>
      </c>
      <c r="H4332" s="75">
        <f>IF($D4332="",0,COUNTIFS('Rate Log'!$J$7:$J$71,'Rate Log'!$J$71,$E$4268:$E4332,$E4332,$D$4268:$D4332,$D4332))</f>
        <v>1</v>
      </c>
      <c r="I4332" s="75">
        <f t="shared" ref="I4332:I4395" si="1587">IF($D4332="",0,IF(AND($G4332=0,$H4332=1),1,0))</f>
        <v>1</v>
      </c>
    </row>
    <row r="4333" spans="1:9" x14ac:dyDescent="0.3">
      <c r="A4333" s="75">
        <f>IF(OR('Rate Log'!$J$72&lt;&gt;nr_SelKey,'Rate Log'!$E$72&lt;&gt;"planned",'Rate Log'!$C$72=""),0,COUNTIFS('Rate Log'!$J$7:$J$72,nr_SelKey,'Rate Log'!$E$7:$E$72,"planned"))</f>
        <v>0</v>
      </c>
      <c r="B4333" s="72">
        <f>IF($A4333=0,N('Rate Log'!$K$72),IF(ISBLANK(INDEX(att_actpct,$A4333)),N('Rate Log'!$K$72),INDEX(att_actpct,$A4333)))</f>
        <v>0</v>
      </c>
      <c r="C4333" s="73">
        <f>IF('Rate Log'!$C$72="",0,IF(1+$B4333&gt;0,LN(1+$B4333),0))</f>
        <v>0</v>
      </c>
      <c r="D4333" s="74" t="str">
        <f>IF('Rate Log'!$C$72="","",IF($A4333=0,'Rate Log'!$C$72,IF(ISBLANK(INDEX(att_actdate,$A4333)),'Rate Log'!$C$72,INDEX(att_actdate,$A4333))))</f>
        <v/>
      </c>
      <c r="E4333" s="74" t="str">
        <f t="shared" si="1585"/>
        <v/>
      </c>
      <c r="F4333" s="75">
        <f t="shared" si="1586"/>
        <v>0</v>
      </c>
      <c r="G4333" s="75">
        <f>IF($D4333="",0,COUNTIFS(rl_key,'Rate Log'!$J$72,$E$4268:$E$4507,$E4333,$D$4268:$D$4507,"&lt;"&amp;$D4333))</f>
        <v>0</v>
      </c>
      <c r="H4333" s="75">
        <f>IF($D4333="",0,COUNTIFS('Rate Log'!$J$7:$J$72,'Rate Log'!$J$72,$E$4268:$E4333,$E4333,$D$4268:$D4333,$D4333))</f>
        <v>0</v>
      </c>
      <c r="I4333" s="75">
        <f t="shared" si="1587"/>
        <v>0</v>
      </c>
    </row>
    <row r="4334" spans="1:9" x14ac:dyDescent="0.3">
      <c r="A4334" s="75">
        <f>IF(OR('Rate Log'!$J$73&lt;&gt;nr_SelKey,'Rate Log'!$E$73&lt;&gt;"planned",'Rate Log'!$C$73=""),0,COUNTIFS('Rate Log'!$J$7:$J$73,nr_SelKey,'Rate Log'!$E$7:$E$73,"planned"))</f>
        <v>0</v>
      </c>
      <c r="B4334" s="72">
        <f>IF($A4334=0,N('Rate Log'!$K$73),IF(ISBLANK(INDEX(att_actpct,$A4334)),N('Rate Log'!$K$73),INDEX(att_actpct,$A4334)))</f>
        <v>0</v>
      </c>
      <c r="C4334" s="73">
        <f>IF('Rate Log'!$C$73="",0,IF(1+$B4334&gt;0,LN(1+$B4334),0))</f>
        <v>0</v>
      </c>
      <c r="D4334" s="74" t="str">
        <f>IF('Rate Log'!$C$73="","",IF($A4334=0,'Rate Log'!$C$73,IF(ISBLANK(INDEX(att_actdate,$A4334)),'Rate Log'!$C$73,INDEX(att_actdate,$A4334))))</f>
        <v/>
      </c>
      <c r="E4334" s="74" t="str">
        <f t="shared" si="1585"/>
        <v/>
      </c>
      <c r="F4334" s="75">
        <f t="shared" si="1586"/>
        <v>0</v>
      </c>
      <c r="G4334" s="75">
        <f>IF($D4334="",0,COUNTIFS(rl_key,'Rate Log'!$J$73,$E$4268:$E$4507,$E4334,$D$4268:$D$4507,"&lt;"&amp;$D4334))</f>
        <v>0</v>
      </c>
      <c r="H4334" s="75">
        <f>IF($D4334="",0,COUNTIFS('Rate Log'!$J$7:$J$73,'Rate Log'!$J$73,$E$4268:$E4334,$E4334,$D$4268:$D4334,$D4334))</f>
        <v>0</v>
      </c>
      <c r="I4334" s="75">
        <f t="shared" si="1587"/>
        <v>0</v>
      </c>
    </row>
    <row r="4335" spans="1:9" x14ac:dyDescent="0.3">
      <c r="A4335" s="75">
        <f>IF(OR('Rate Log'!$J$74&lt;&gt;nr_SelKey,'Rate Log'!$E$74&lt;&gt;"planned",'Rate Log'!$C$74=""),0,COUNTIFS('Rate Log'!$J$7:$J$74,nr_SelKey,'Rate Log'!$E$7:$E$74,"planned"))</f>
        <v>0</v>
      </c>
      <c r="B4335" s="72">
        <f>IF($A4335=0,N('Rate Log'!$K$74),IF(ISBLANK(INDEX(att_actpct,$A4335)),N('Rate Log'!$K$74),INDEX(att_actpct,$A4335)))</f>
        <v>0</v>
      </c>
      <c r="C4335" s="73">
        <f>IF('Rate Log'!$C$74="",0,IF(1+$B4335&gt;0,LN(1+$B4335),0))</f>
        <v>0</v>
      </c>
      <c r="D4335" s="74" t="str">
        <f>IF('Rate Log'!$C$74="","",IF($A4335=0,'Rate Log'!$C$74,IF(ISBLANK(INDEX(att_actdate,$A4335)),'Rate Log'!$C$74,INDEX(att_actdate,$A4335))))</f>
        <v/>
      </c>
      <c r="E4335" s="74" t="str">
        <f t="shared" si="1585"/>
        <v/>
      </c>
      <c r="F4335" s="75">
        <f t="shared" si="1586"/>
        <v>0</v>
      </c>
      <c r="G4335" s="75">
        <f>IF($D4335="",0,COUNTIFS(rl_key,'Rate Log'!$J$74,$E$4268:$E$4507,$E4335,$D$4268:$D$4507,"&lt;"&amp;$D4335))</f>
        <v>0</v>
      </c>
      <c r="H4335" s="75">
        <f>IF($D4335="",0,COUNTIFS('Rate Log'!$J$7:$J$74,'Rate Log'!$J$74,$E$4268:$E4335,$E4335,$D$4268:$D4335,$D4335))</f>
        <v>0</v>
      </c>
      <c r="I4335" s="75">
        <f t="shared" si="1587"/>
        <v>0</v>
      </c>
    </row>
    <row r="4336" spans="1:9" x14ac:dyDescent="0.3">
      <c r="A4336" s="75">
        <f>IF(OR('Rate Log'!$J$75&lt;&gt;nr_SelKey,'Rate Log'!$E$75&lt;&gt;"planned",'Rate Log'!$C$75=""),0,COUNTIFS('Rate Log'!$J$7:$J$75,nr_SelKey,'Rate Log'!$E$7:$E$75,"planned"))</f>
        <v>0</v>
      </c>
      <c r="B4336" s="72">
        <f>IF($A4336=0,N('Rate Log'!$K$75),IF(ISBLANK(INDEX(att_actpct,$A4336)),N('Rate Log'!$K$75),INDEX(att_actpct,$A4336)))</f>
        <v>0</v>
      </c>
      <c r="C4336" s="73">
        <f>IF('Rate Log'!$C$75="",0,IF(1+$B4336&gt;0,LN(1+$B4336),0))</f>
        <v>0</v>
      </c>
      <c r="D4336" s="74" t="str">
        <f>IF('Rate Log'!$C$75="","",IF($A4336=0,'Rate Log'!$C$75,IF(ISBLANK(INDEX(att_actdate,$A4336)),'Rate Log'!$C$75,INDEX(att_actdate,$A4336))))</f>
        <v/>
      </c>
      <c r="E4336" s="74" t="str">
        <f t="shared" si="1585"/>
        <v/>
      </c>
      <c r="F4336" s="75">
        <f t="shared" si="1586"/>
        <v>0</v>
      </c>
      <c r="G4336" s="75">
        <f>IF($D4336="",0,COUNTIFS(rl_key,'Rate Log'!$J$75,$E$4268:$E$4507,$E4336,$D$4268:$D$4507,"&lt;"&amp;$D4336))</f>
        <v>0</v>
      </c>
      <c r="H4336" s="75">
        <f>IF($D4336="",0,COUNTIFS('Rate Log'!$J$7:$J$75,'Rate Log'!$J$75,$E$4268:$E4336,$E4336,$D$4268:$D4336,$D4336))</f>
        <v>0</v>
      </c>
      <c r="I4336" s="75">
        <f t="shared" si="1587"/>
        <v>0</v>
      </c>
    </row>
    <row r="4337" spans="1:9" x14ac:dyDescent="0.3">
      <c r="A4337" s="75">
        <f>IF(OR('Rate Log'!$J$76&lt;&gt;nr_SelKey,'Rate Log'!$E$76&lt;&gt;"planned",'Rate Log'!$C$76=""),0,COUNTIFS('Rate Log'!$J$7:$J$76,nr_SelKey,'Rate Log'!$E$7:$E$76,"planned"))</f>
        <v>0</v>
      </c>
      <c r="B4337" s="72">
        <f>IF($A4337=0,N('Rate Log'!$K$76),IF(ISBLANK(INDEX(att_actpct,$A4337)),N('Rate Log'!$K$76),INDEX(att_actpct,$A4337)))</f>
        <v>0</v>
      </c>
      <c r="C4337" s="73">
        <f>IF('Rate Log'!$C$76="",0,IF(1+$B4337&gt;0,LN(1+$B4337),0))</f>
        <v>0</v>
      </c>
      <c r="D4337" s="74" t="str">
        <f>IF('Rate Log'!$C$76="","",IF($A4337=0,'Rate Log'!$C$76,IF(ISBLANK(INDEX(att_actdate,$A4337)),'Rate Log'!$C$76,INDEX(att_actdate,$A4337))))</f>
        <v/>
      </c>
      <c r="E4337" s="74" t="str">
        <f t="shared" si="1585"/>
        <v/>
      </c>
      <c r="F4337" s="75">
        <f t="shared" si="1586"/>
        <v>0</v>
      </c>
      <c r="G4337" s="75">
        <f>IF($D4337="",0,COUNTIFS(rl_key,'Rate Log'!$J$76,$E$4268:$E$4507,$E4337,$D$4268:$D$4507,"&lt;"&amp;$D4337))</f>
        <v>0</v>
      </c>
      <c r="H4337" s="75">
        <f>IF($D4337="",0,COUNTIFS('Rate Log'!$J$7:$J$76,'Rate Log'!$J$76,$E$4268:$E4337,$E4337,$D$4268:$D4337,$D4337))</f>
        <v>0</v>
      </c>
      <c r="I4337" s="75">
        <f t="shared" si="1587"/>
        <v>0</v>
      </c>
    </row>
    <row r="4338" spans="1:9" x14ac:dyDescent="0.3">
      <c r="A4338" s="75">
        <f>IF(OR('Rate Log'!$J$77&lt;&gt;nr_SelKey,'Rate Log'!$E$77&lt;&gt;"planned",'Rate Log'!$C$77=""),0,COUNTIFS('Rate Log'!$J$7:$J$77,nr_SelKey,'Rate Log'!$E$7:$E$77,"planned"))</f>
        <v>0</v>
      </c>
      <c r="B4338" s="72">
        <f>IF($A4338=0,N('Rate Log'!$K$77),IF(ISBLANK(INDEX(att_actpct,$A4338)),N('Rate Log'!$K$77),INDEX(att_actpct,$A4338)))</f>
        <v>0</v>
      </c>
      <c r="C4338" s="73">
        <f>IF('Rate Log'!$C$77="",0,IF(1+$B4338&gt;0,LN(1+$B4338),0))</f>
        <v>0</v>
      </c>
      <c r="D4338" s="74" t="str">
        <f>IF('Rate Log'!$C$77="","",IF($A4338=0,'Rate Log'!$C$77,IF(ISBLANK(INDEX(att_actdate,$A4338)),'Rate Log'!$C$77,INDEX(att_actdate,$A4338))))</f>
        <v/>
      </c>
      <c r="E4338" s="74" t="str">
        <f t="shared" si="1585"/>
        <v/>
      </c>
      <c r="F4338" s="75">
        <f t="shared" si="1586"/>
        <v>0</v>
      </c>
      <c r="G4338" s="75">
        <f>IF($D4338="",0,COUNTIFS(rl_key,'Rate Log'!$J$77,$E$4268:$E$4507,$E4338,$D$4268:$D$4507,"&lt;"&amp;$D4338))</f>
        <v>0</v>
      </c>
      <c r="H4338" s="75">
        <f>IF($D4338="",0,COUNTIFS('Rate Log'!$J$7:$J$77,'Rate Log'!$J$77,$E$4268:$E4338,$E4338,$D$4268:$D4338,$D4338))</f>
        <v>0</v>
      </c>
      <c r="I4338" s="75">
        <f t="shared" si="1587"/>
        <v>0</v>
      </c>
    </row>
    <row r="4339" spans="1:9" x14ac:dyDescent="0.3">
      <c r="A4339" s="75">
        <f>IF(OR('Rate Log'!$J$78&lt;&gt;nr_SelKey,'Rate Log'!$E$78&lt;&gt;"planned",'Rate Log'!$C$78=""),0,COUNTIFS('Rate Log'!$J$7:$J$78,nr_SelKey,'Rate Log'!$E$7:$E$78,"planned"))</f>
        <v>0</v>
      </c>
      <c r="B4339" s="72">
        <f>IF($A4339=0,N('Rate Log'!$K$78),IF(ISBLANK(INDEX(att_actpct,$A4339)),N('Rate Log'!$K$78),INDEX(att_actpct,$A4339)))</f>
        <v>0</v>
      </c>
      <c r="C4339" s="73">
        <f>IF('Rate Log'!$C$78="",0,IF(1+$B4339&gt;0,LN(1+$B4339),0))</f>
        <v>0</v>
      </c>
      <c r="D4339" s="74" t="str">
        <f>IF('Rate Log'!$C$78="","",IF($A4339=0,'Rate Log'!$C$78,IF(ISBLANK(INDEX(att_actdate,$A4339)),'Rate Log'!$C$78,INDEX(att_actdate,$A4339))))</f>
        <v/>
      </c>
      <c r="E4339" s="74" t="str">
        <f t="shared" si="1585"/>
        <v/>
      </c>
      <c r="F4339" s="75">
        <f t="shared" si="1586"/>
        <v>0</v>
      </c>
      <c r="G4339" s="75">
        <f>IF($D4339="",0,COUNTIFS(rl_key,'Rate Log'!$J$78,$E$4268:$E$4507,$E4339,$D$4268:$D$4507,"&lt;"&amp;$D4339))</f>
        <v>0</v>
      </c>
      <c r="H4339" s="75">
        <f>IF($D4339="",0,COUNTIFS('Rate Log'!$J$7:$J$78,'Rate Log'!$J$78,$E$4268:$E4339,$E4339,$D$4268:$D4339,$D4339))</f>
        <v>0</v>
      </c>
      <c r="I4339" s="75">
        <f t="shared" si="1587"/>
        <v>0</v>
      </c>
    </row>
    <row r="4340" spans="1:9" x14ac:dyDescent="0.3">
      <c r="A4340" s="75">
        <f>IF(OR('Rate Log'!$J$79&lt;&gt;nr_SelKey,'Rate Log'!$E$79&lt;&gt;"planned",'Rate Log'!$C$79=""),0,COUNTIFS('Rate Log'!$J$7:$J$79,nr_SelKey,'Rate Log'!$E$7:$E$79,"planned"))</f>
        <v>0</v>
      </c>
      <c r="B4340" s="72">
        <f>IF($A4340=0,N('Rate Log'!$K$79),IF(ISBLANK(INDEX(att_actpct,$A4340)),N('Rate Log'!$K$79),INDEX(att_actpct,$A4340)))</f>
        <v>0</v>
      </c>
      <c r="C4340" s="73">
        <f>IF('Rate Log'!$C$79="",0,IF(1+$B4340&gt;0,LN(1+$B4340),0))</f>
        <v>0</v>
      </c>
      <c r="D4340" s="74" t="str">
        <f>IF('Rate Log'!$C$79="","",IF($A4340=0,'Rate Log'!$C$79,IF(ISBLANK(INDEX(att_actdate,$A4340)),'Rate Log'!$C$79,INDEX(att_actdate,$A4340))))</f>
        <v/>
      </c>
      <c r="E4340" s="74" t="str">
        <f t="shared" si="1585"/>
        <v/>
      </c>
      <c r="F4340" s="75">
        <f t="shared" si="1586"/>
        <v>0</v>
      </c>
      <c r="G4340" s="75">
        <f>IF($D4340="",0,COUNTIFS(rl_key,'Rate Log'!$J$79,$E$4268:$E$4507,$E4340,$D$4268:$D$4507,"&lt;"&amp;$D4340))</f>
        <v>0</v>
      </c>
      <c r="H4340" s="75">
        <f>IF($D4340="",0,COUNTIFS('Rate Log'!$J$7:$J$79,'Rate Log'!$J$79,$E$4268:$E4340,$E4340,$D$4268:$D4340,$D4340))</f>
        <v>0</v>
      </c>
      <c r="I4340" s="75">
        <f t="shared" si="1587"/>
        <v>0</v>
      </c>
    </row>
    <row r="4341" spans="1:9" x14ac:dyDescent="0.3">
      <c r="A4341" s="75">
        <f>IF(OR('Rate Log'!$J$80&lt;&gt;nr_SelKey,'Rate Log'!$E$80&lt;&gt;"planned",'Rate Log'!$C$80=""),0,COUNTIFS('Rate Log'!$J$7:$J$80,nr_SelKey,'Rate Log'!$E$7:$E$80,"planned"))</f>
        <v>0</v>
      </c>
      <c r="B4341" s="72">
        <f>IF($A4341=0,N('Rate Log'!$K$80),IF(ISBLANK(INDEX(att_actpct,$A4341)),N('Rate Log'!$K$80),INDEX(att_actpct,$A4341)))</f>
        <v>0</v>
      </c>
      <c r="C4341" s="73">
        <f>IF('Rate Log'!$C$80="",0,IF(1+$B4341&gt;0,LN(1+$B4341),0))</f>
        <v>0</v>
      </c>
      <c r="D4341" s="74" t="str">
        <f>IF('Rate Log'!$C$80="","",IF($A4341=0,'Rate Log'!$C$80,IF(ISBLANK(INDEX(att_actdate,$A4341)),'Rate Log'!$C$80,INDEX(att_actdate,$A4341))))</f>
        <v/>
      </c>
      <c r="E4341" s="74" t="str">
        <f t="shared" si="1585"/>
        <v/>
      </c>
      <c r="F4341" s="75">
        <f t="shared" si="1586"/>
        <v>0</v>
      </c>
      <c r="G4341" s="75">
        <f>IF($D4341="",0,COUNTIFS(rl_key,'Rate Log'!$J$80,$E$4268:$E$4507,$E4341,$D$4268:$D$4507,"&lt;"&amp;$D4341))</f>
        <v>0</v>
      </c>
      <c r="H4341" s="75">
        <f>IF($D4341="",0,COUNTIFS('Rate Log'!$J$7:$J$80,'Rate Log'!$J$80,$E$4268:$E4341,$E4341,$D$4268:$D4341,$D4341))</f>
        <v>0</v>
      </c>
      <c r="I4341" s="75">
        <f t="shared" si="1587"/>
        <v>0</v>
      </c>
    </row>
    <row r="4342" spans="1:9" x14ac:dyDescent="0.3">
      <c r="A4342" s="75">
        <f>IF(OR('Rate Log'!$J$81&lt;&gt;nr_SelKey,'Rate Log'!$E$81&lt;&gt;"planned",'Rate Log'!$C$81=""),0,COUNTIFS('Rate Log'!$J$7:$J$81,nr_SelKey,'Rate Log'!$E$7:$E$81,"planned"))</f>
        <v>0</v>
      </c>
      <c r="B4342" s="72">
        <f>IF($A4342=0,N('Rate Log'!$K$81),IF(ISBLANK(INDEX(att_actpct,$A4342)),N('Rate Log'!$K$81),INDEX(att_actpct,$A4342)))</f>
        <v>0</v>
      </c>
      <c r="C4342" s="73">
        <f>IF('Rate Log'!$C$81="",0,IF(1+$B4342&gt;0,LN(1+$B4342),0))</f>
        <v>0</v>
      </c>
      <c r="D4342" s="74" t="str">
        <f>IF('Rate Log'!$C$81="","",IF($A4342=0,'Rate Log'!$C$81,IF(ISBLANK(INDEX(att_actdate,$A4342)),'Rate Log'!$C$81,INDEX(att_actdate,$A4342))))</f>
        <v/>
      </c>
      <c r="E4342" s="74" t="str">
        <f t="shared" si="1585"/>
        <v/>
      </c>
      <c r="F4342" s="75">
        <f t="shared" si="1586"/>
        <v>0</v>
      </c>
      <c r="G4342" s="75">
        <f>IF($D4342="",0,COUNTIFS(rl_key,'Rate Log'!$J$81,$E$4268:$E$4507,$E4342,$D$4268:$D$4507,"&lt;"&amp;$D4342))</f>
        <v>0</v>
      </c>
      <c r="H4342" s="75">
        <f>IF($D4342="",0,COUNTIFS('Rate Log'!$J$7:$J$81,'Rate Log'!$J$81,$E$4268:$E4342,$E4342,$D$4268:$D4342,$D4342))</f>
        <v>0</v>
      </c>
      <c r="I4342" s="75">
        <f t="shared" si="1587"/>
        <v>0</v>
      </c>
    </row>
    <row r="4343" spans="1:9" x14ac:dyDescent="0.3">
      <c r="A4343" s="75">
        <f>IF(OR('Rate Log'!$J$82&lt;&gt;nr_SelKey,'Rate Log'!$E$82&lt;&gt;"planned",'Rate Log'!$C$82=""),0,COUNTIFS('Rate Log'!$J$7:$J$82,nr_SelKey,'Rate Log'!$E$7:$E$82,"planned"))</f>
        <v>0</v>
      </c>
      <c r="B4343" s="72">
        <f>IF($A4343=0,N('Rate Log'!$K$82),IF(ISBLANK(INDEX(att_actpct,$A4343)),N('Rate Log'!$K$82),INDEX(att_actpct,$A4343)))</f>
        <v>0</v>
      </c>
      <c r="C4343" s="73">
        <f>IF('Rate Log'!$C$82="",0,IF(1+$B4343&gt;0,LN(1+$B4343),0))</f>
        <v>0</v>
      </c>
      <c r="D4343" s="74" t="str">
        <f>IF('Rate Log'!$C$82="","",IF($A4343=0,'Rate Log'!$C$82,IF(ISBLANK(INDEX(att_actdate,$A4343)),'Rate Log'!$C$82,INDEX(att_actdate,$A4343))))</f>
        <v/>
      </c>
      <c r="E4343" s="74" t="str">
        <f t="shared" si="1585"/>
        <v/>
      </c>
      <c r="F4343" s="75">
        <f t="shared" si="1586"/>
        <v>0</v>
      </c>
      <c r="G4343" s="75">
        <f>IF($D4343="",0,COUNTIFS(rl_key,'Rate Log'!$J$82,$E$4268:$E$4507,$E4343,$D$4268:$D$4507,"&lt;"&amp;$D4343))</f>
        <v>0</v>
      </c>
      <c r="H4343" s="75">
        <f>IF($D4343="",0,COUNTIFS('Rate Log'!$J$7:$J$82,'Rate Log'!$J$82,$E$4268:$E4343,$E4343,$D$4268:$D4343,$D4343))</f>
        <v>0</v>
      </c>
      <c r="I4343" s="75">
        <f t="shared" si="1587"/>
        <v>0</v>
      </c>
    </row>
    <row r="4344" spans="1:9" x14ac:dyDescent="0.3">
      <c r="A4344" s="75">
        <f>IF(OR('Rate Log'!$J$83&lt;&gt;nr_SelKey,'Rate Log'!$E$83&lt;&gt;"planned",'Rate Log'!$C$83=""),0,COUNTIFS('Rate Log'!$J$7:$J$83,nr_SelKey,'Rate Log'!$E$7:$E$83,"planned"))</f>
        <v>0</v>
      </c>
      <c r="B4344" s="72">
        <f>IF($A4344=0,N('Rate Log'!$K$83),IF(ISBLANK(INDEX(att_actpct,$A4344)),N('Rate Log'!$K$83),INDEX(att_actpct,$A4344)))</f>
        <v>0</v>
      </c>
      <c r="C4344" s="73">
        <f>IF('Rate Log'!$C$83="",0,IF(1+$B4344&gt;0,LN(1+$B4344),0))</f>
        <v>0</v>
      </c>
      <c r="D4344" s="74" t="str">
        <f>IF('Rate Log'!$C$83="","",IF($A4344=0,'Rate Log'!$C$83,IF(ISBLANK(INDEX(att_actdate,$A4344)),'Rate Log'!$C$83,INDEX(att_actdate,$A4344))))</f>
        <v/>
      </c>
      <c r="E4344" s="74" t="str">
        <f t="shared" si="1585"/>
        <v/>
      </c>
      <c r="F4344" s="75">
        <f t="shared" si="1586"/>
        <v>0</v>
      </c>
      <c r="G4344" s="75">
        <f>IF($D4344="",0,COUNTIFS(rl_key,'Rate Log'!$J$83,$E$4268:$E$4507,$E4344,$D$4268:$D$4507,"&lt;"&amp;$D4344))</f>
        <v>0</v>
      </c>
      <c r="H4344" s="75">
        <f>IF($D4344="",0,COUNTIFS('Rate Log'!$J$7:$J$83,'Rate Log'!$J$83,$E$4268:$E4344,$E4344,$D$4268:$D4344,$D4344))</f>
        <v>0</v>
      </c>
      <c r="I4344" s="75">
        <f t="shared" si="1587"/>
        <v>0</v>
      </c>
    </row>
    <row r="4345" spans="1:9" x14ac:dyDescent="0.3">
      <c r="A4345" s="75">
        <f>IF(OR('Rate Log'!$J$84&lt;&gt;nr_SelKey,'Rate Log'!$E$84&lt;&gt;"planned",'Rate Log'!$C$84=""),0,COUNTIFS('Rate Log'!$J$7:$J$84,nr_SelKey,'Rate Log'!$E$7:$E$84,"planned"))</f>
        <v>0</v>
      </c>
      <c r="B4345" s="72">
        <f>IF($A4345=0,N('Rate Log'!$K$84),IF(ISBLANK(INDEX(att_actpct,$A4345)),N('Rate Log'!$K$84),INDEX(att_actpct,$A4345)))</f>
        <v>0</v>
      </c>
      <c r="C4345" s="73">
        <f>IF('Rate Log'!$C$84="",0,IF(1+$B4345&gt;0,LN(1+$B4345),0))</f>
        <v>0</v>
      </c>
      <c r="D4345" s="74" t="str">
        <f>IF('Rate Log'!$C$84="","",IF($A4345=0,'Rate Log'!$C$84,IF(ISBLANK(INDEX(att_actdate,$A4345)),'Rate Log'!$C$84,INDEX(att_actdate,$A4345))))</f>
        <v/>
      </c>
      <c r="E4345" s="74" t="str">
        <f t="shared" si="1585"/>
        <v/>
      </c>
      <c r="F4345" s="75">
        <f t="shared" si="1586"/>
        <v>0</v>
      </c>
      <c r="G4345" s="75">
        <f>IF($D4345="",0,COUNTIFS(rl_key,'Rate Log'!$J$84,$E$4268:$E$4507,$E4345,$D$4268:$D$4507,"&lt;"&amp;$D4345))</f>
        <v>0</v>
      </c>
      <c r="H4345" s="75">
        <f>IF($D4345="",0,COUNTIFS('Rate Log'!$J$7:$J$84,'Rate Log'!$J$84,$E$4268:$E4345,$E4345,$D$4268:$D4345,$D4345))</f>
        <v>0</v>
      </c>
      <c r="I4345" s="75">
        <f t="shared" si="1587"/>
        <v>0</v>
      </c>
    </row>
    <row r="4346" spans="1:9" x14ac:dyDescent="0.3">
      <c r="A4346" s="75">
        <f>IF(OR('Rate Log'!$J$85&lt;&gt;nr_SelKey,'Rate Log'!$E$85&lt;&gt;"planned",'Rate Log'!$C$85=""),0,COUNTIFS('Rate Log'!$J$7:$J$85,nr_SelKey,'Rate Log'!$E$7:$E$85,"planned"))</f>
        <v>0</v>
      </c>
      <c r="B4346" s="72">
        <f>IF($A4346=0,N('Rate Log'!$K$85),IF(ISBLANK(INDEX(att_actpct,$A4346)),N('Rate Log'!$K$85),INDEX(att_actpct,$A4346)))</f>
        <v>0</v>
      </c>
      <c r="C4346" s="73">
        <f>IF('Rate Log'!$C$85="",0,IF(1+$B4346&gt;0,LN(1+$B4346),0))</f>
        <v>0</v>
      </c>
      <c r="D4346" s="74" t="str">
        <f>IF('Rate Log'!$C$85="","",IF($A4346=0,'Rate Log'!$C$85,IF(ISBLANK(INDEX(att_actdate,$A4346)),'Rate Log'!$C$85,INDEX(att_actdate,$A4346))))</f>
        <v/>
      </c>
      <c r="E4346" s="74" t="str">
        <f t="shared" si="1585"/>
        <v/>
      </c>
      <c r="F4346" s="75">
        <f t="shared" si="1586"/>
        <v>0</v>
      </c>
      <c r="G4346" s="75">
        <f>IF($D4346="",0,COUNTIFS(rl_key,'Rate Log'!$J$85,$E$4268:$E$4507,$E4346,$D$4268:$D$4507,"&lt;"&amp;$D4346))</f>
        <v>0</v>
      </c>
      <c r="H4346" s="75">
        <f>IF($D4346="",0,COUNTIFS('Rate Log'!$J$7:$J$85,'Rate Log'!$J$85,$E$4268:$E4346,$E4346,$D$4268:$D4346,$D4346))</f>
        <v>0</v>
      </c>
      <c r="I4346" s="75">
        <f t="shared" si="1587"/>
        <v>0</v>
      </c>
    </row>
    <row r="4347" spans="1:9" x14ac:dyDescent="0.3">
      <c r="A4347" s="75">
        <f>IF(OR('Rate Log'!$J$86&lt;&gt;nr_SelKey,'Rate Log'!$E$86&lt;&gt;"planned",'Rate Log'!$C$86=""),0,COUNTIFS('Rate Log'!$J$7:$J$86,nr_SelKey,'Rate Log'!$E$7:$E$86,"planned"))</f>
        <v>0</v>
      </c>
      <c r="B4347" s="72">
        <f>IF($A4347=0,N('Rate Log'!$K$86),IF(ISBLANK(INDEX(att_actpct,$A4347)),N('Rate Log'!$K$86),INDEX(att_actpct,$A4347)))</f>
        <v>0</v>
      </c>
      <c r="C4347" s="73">
        <f>IF('Rate Log'!$C$86="",0,IF(1+$B4347&gt;0,LN(1+$B4347),0))</f>
        <v>0</v>
      </c>
      <c r="D4347" s="74" t="str">
        <f>IF('Rate Log'!$C$86="","",IF($A4347=0,'Rate Log'!$C$86,IF(ISBLANK(INDEX(att_actdate,$A4347)),'Rate Log'!$C$86,INDEX(att_actdate,$A4347))))</f>
        <v/>
      </c>
      <c r="E4347" s="74" t="str">
        <f t="shared" si="1585"/>
        <v/>
      </c>
      <c r="F4347" s="75">
        <f t="shared" si="1586"/>
        <v>0</v>
      </c>
      <c r="G4347" s="75">
        <f>IF($D4347="",0,COUNTIFS(rl_key,'Rate Log'!$J$86,$E$4268:$E$4507,$E4347,$D$4268:$D$4507,"&lt;"&amp;$D4347))</f>
        <v>0</v>
      </c>
      <c r="H4347" s="75">
        <f>IF($D4347="",0,COUNTIFS('Rate Log'!$J$7:$J$86,'Rate Log'!$J$86,$E$4268:$E4347,$E4347,$D$4268:$D4347,$D4347))</f>
        <v>0</v>
      </c>
      <c r="I4347" s="75">
        <f t="shared" si="1587"/>
        <v>0</v>
      </c>
    </row>
    <row r="4348" spans="1:9" x14ac:dyDescent="0.3">
      <c r="A4348" s="75">
        <f>IF(OR('Rate Log'!$J$87&lt;&gt;nr_SelKey,'Rate Log'!$E$87&lt;&gt;"planned",'Rate Log'!$C$87=""),0,COUNTIFS('Rate Log'!$J$7:$J$87,nr_SelKey,'Rate Log'!$E$7:$E$87,"planned"))</f>
        <v>0</v>
      </c>
      <c r="B4348" s="72">
        <f>IF($A4348=0,N('Rate Log'!$K$87),IF(ISBLANK(INDEX(att_actpct,$A4348)),N('Rate Log'!$K$87),INDEX(att_actpct,$A4348)))</f>
        <v>0</v>
      </c>
      <c r="C4348" s="73">
        <f>IF('Rate Log'!$C$87="",0,IF(1+$B4348&gt;0,LN(1+$B4348),0))</f>
        <v>0</v>
      </c>
      <c r="D4348" s="74" t="str">
        <f>IF('Rate Log'!$C$87="","",IF($A4348=0,'Rate Log'!$C$87,IF(ISBLANK(INDEX(att_actdate,$A4348)),'Rate Log'!$C$87,INDEX(att_actdate,$A4348))))</f>
        <v/>
      </c>
      <c r="E4348" s="74" t="str">
        <f t="shared" si="1585"/>
        <v/>
      </c>
      <c r="F4348" s="75">
        <f t="shared" si="1586"/>
        <v>0</v>
      </c>
      <c r="G4348" s="75">
        <f>IF($D4348="",0,COUNTIFS(rl_key,'Rate Log'!$J$87,$E$4268:$E$4507,$E4348,$D$4268:$D$4507,"&lt;"&amp;$D4348))</f>
        <v>0</v>
      </c>
      <c r="H4348" s="75">
        <f>IF($D4348="",0,COUNTIFS('Rate Log'!$J$7:$J$87,'Rate Log'!$J$87,$E$4268:$E4348,$E4348,$D$4268:$D4348,$D4348))</f>
        <v>0</v>
      </c>
      <c r="I4348" s="75">
        <f t="shared" si="1587"/>
        <v>0</v>
      </c>
    </row>
    <row r="4349" spans="1:9" x14ac:dyDescent="0.3">
      <c r="A4349" s="75">
        <f>IF(OR('Rate Log'!$J$88&lt;&gt;nr_SelKey,'Rate Log'!$E$88&lt;&gt;"planned",'Rate Log'!$C$88=""),0,COUNTIFS('Rate Log'!$J$7:$J$88,nr_SelKey,'Rate Log'!$E$7:$E$88,"planned"))</f>
        <v>0</v>
      </c>
      <c r="B4349" s="72">
        <f>IF($A4349=0,N('Rate Log'!$K$88),IF(ISBLANK(INDEX(att_actpct,$A4349)),N('Rate Log'!$K$88),INDEX(att_actpct,$A4349)))</f>
        <v>0</v>
      </c>
      <c r="C4349" s="73">
        <f>IF('Rate Log'!$C$88="",0,IF(1+$B4349&gt;0,LN(1+$B4349),0))</f>
        <v>0</v>
      </c>
      <c r="D4349" s="74" t="str">
        <f>IF('Rate Log'!$C$88="","",IF($A4349=0,'Rate Log'!$C$88,IF(ISBLANK(INDEX(att_actdate,$A4349)),'Rate Log'!$C$88,INDEX(att_actdate,$A4349))))</f>
        <v/>
      </c>
      <c r="E4349" s="74" t="str">
        <f t="shared" si="1585"/>
        <v/>
      </c>
      <c r="F4349" s="75">
        <f t="shared" si="1586"/>
        <v>0</v>
      </c>
      <c r="G4349" s="75">
        <f>IF($D4349="",0,COUNTIFS(rl_key,'Rate Log'!$J$88,$E$4268:$E$4507,$E4349,$D$4268:$D$4507,"&lt;"&amp;$D4349))</f>
        <v>0</v>
      </c>
      <c r="H4349" s="75">
        <f>IF($D4349="",0,COUNTIFS('Rate Log'!$J$7:$J$88,'Rate Log'!$J$88,$E$4268:$E4349,$E4349,$D$4268:$D4349,$D4349))</f>
        <v>0</v>
      </c>
      <c r="I4349" s="75">
        <f t="shared" si="1587"/>
        <v>0</v>
      </c>
    </row>
    <row r="4350" spans="1:9" x14ac:dyDescent="0.3">
      <c r="A4350" s="75">
        <f>IF(OR('Rate Log'!$J$89&lt;&gt;nr_SelKey,'Rate Log'!$E$89&lt;&gt;"planned",'Rate Log'!$C$89=""),0,COUNTIFS('Rate Log'!$J$7:$J$89,nr_SelKey,'Rate Log'!$E$7:$E$89,"planned"))</f>
        <v>0</v>
      </c>
      <c r="B4350" s="72">
        <f>IF($A4350=0,N('Rate Log'!$K$89),IF(ISBLANK(INDEX(att_actpct,$A4350)),N('Rate Log'!$K$89),INDEX(att_actpct,$A4350)))</f>
        <v>0</v>
      </c>
      <c r="C4350" s="73">
        <f>IF('Rate Log'!$C$89="",0,IF(1+$B4350&gt;0,LN(1+$B4350),0))</f>
        <v>0</v>
      </c>
      <c r="D4350" s="74" t="str">
        <f>IF('Rate Log'!$C$89="","",IF($A4350=0,'Rate Log'!$C$89,IF(ISBLANK(INDEX(att_actdate,$A4350)),'Rate Log'!$C$89,INDEX(att_actdate,$A4350))))</f>
        <v/>
      </c>
      <c r="E4350" s="74" t="str">
        <f t="shared" si="1585"/>
        <v/>
      </c>
      <c r="F4350" s="75">
        <f t="shared" si="1586"/>
        <v>0</v>
      </c>
      <c r="G4350" s="75">
        <f>IF($D4350="",0,COUNTIFS(rl_key,'Rate Log'!$J$89,$E$4268:$E$4507,$E4350,$D$4268:$D$4507,"&lt;"&amp;$D4350))</f>
        <v>0</v>
      </c>
      <c r="H4350" s="75">
        <f>IF($D4350="",0,COUNTIFS('Rate Log'!$J$7:$J$89,'Rate Log'!$J$89,$E$4268:$E4350,$E4350,$D$4268:$D4350,$D4350))</f>
        <v>0</v>
      </c>
      <c r="I4350" s="75">
        <f t="shared" si="1587"/>
        <v>0</v>
      </c>
    </row>
    <row r="4351" spans="1:9" x14ac:dyDescent="0.3">
      <c r="A4351" s="75">
        <f>IF(OR('Rate Log'!$J$90&lt;&gt;nr_SelKey,'Rate Log'!$E$90&lt;&gt;"planned",'Rate Log'!$C$90=""),0,COUNTIFS('Rate Log'!$J$7:$J$90,nr_SelKey,'Rate Log'!$E$7:$E$90,"planned"))</f>
        <v>0</v>
      </c>
      <c r="B4351" s="72">
        <f>IF($A4351=0,N('Rate Log'!$K$90),IF(ISBLANK(INDEX(att_actpct,$A4351)),N('Rate Log'!$K$90),INDEX(att_actpct,$A4351)))</f>
        <v>0</v>
      </c>
      <c r="C4351" s="73">
        <f>IF('Rate Log'!$C$90="",0,IF(1+$B4351&gt;0,LN(1+$B4351),0))</f>
        <v>0</v>
      </c>
      <c r="D4351" s="74" t="str">
        <f>IF('Rate Log'!$C$90="","",IF($A4351=0,'Rate Log'!$C$90,IF(ISBLANK(INDEX(att_actdate,$A4351)),'Rate Log'!$C$90,INDEX(att_actdate,$A4351))))</f>
        <v/>
      </c>
      <c r="E4351" s="74" t="str">
        <f t="shared" si="1585"/>
        <v/>
      </c>
      <c r="F4351" s="75">
        <f t="shared" si="1586"/>
        <v>0</v>
      </c>
      <c r="G4351" s="75">
        <f>IF($D4351="",0,COUNTIFS(rl_key,'Rate Log'!$J$90,$E$4268:$E$4507,$E4351,$D$4268:$D$4507,"&lt;"&amp;$D4351))</f>
        <v>0</v>
      </c>
      <c r="H4351" s="75">
        <f>IF($D4351="",0,COUNTIFS('Rate Log'!$J$7:$J$90,'Rate Log'!$J$90,$E$4268:$E4351,$E4351,$D$4268:$D4351,$D4351))</f>
        <v>0</v>
      </c>
      <c r="I4351" s="75">
        <f t="shared" si="1587"/>
        <v>0</v>
      </c>
    </row>
    <row r="4352" spans="1:9" x14ac:dyDescent="0.3">
      <c r="A4352" s="75">
        <f>IF(OR('Rate Log'!$J$91&lt;&gt;nr_SelKey,'Rate Log'!$E$91&lt;&gt;"planned",'Rate Log'!$C$91=""),0,COUNTIFS('Rate Log'!$J$7:$J$91,nr_SelKey,'Rate Log'!$E$7:$E$91,"planned"))</f>
        <v>0</v>
      </c>
      <c r="B4352" s="72">
        <f>IF($A4352=0,N('Rate Log'!$K$91),IF(ISBLANK(INDEX(att_actpct,$A4352)),N('Rate Log'!$K$91),INDEX(att_actpct,$A4352)))</f>
        <v>0</v>
      </c>
      <c r="C4352" s="73">
        <f>IF('Rate Log'!$C$91="",0,IF(1+$B4352&gt;0,LN(1+$B4352),0))</f>
        <v>0</v>
      </c>
      <c r="D4352" s="74" t="str">
        <f>IF('Rate Log'!$C$91="","",IF($A4352=0,'Rate Log'!$C$91,IF(ISBLANK(INDEX(att_actdate,$A4352)),'Rate Log'!$C$91,INDEX(att_actdate,$A4352))))</f>
        <v/>
      </c>
      <c r="E4352" s="74" t="str">
        <f t="shared" si="1585"/>
        <v/>
      </c>
      <c r="F4352" s="75">
        <f t="shared" si="1586"/>
        <v>0</v>
      </c>
      <c r="G4352" s="75">
        <f>IF($D4352="",0,COUNTIFS(rl_key,'Rate Log'!$J$91,$E$4268:$E$4507,$E4352,$D$4268:$D$4507,"&lt;"&amp;$D4352))</f>
        <v>0</v>
      </c>
      <c r="H4352" s="75">
        <f>IF($D4352="",0,COUNTIFS('Rate Log'!$J$7:$J$91,'Rate Log'!$J$91,$E$4268:$E4352,$E4352,$D$4268:$D4352,$D4352))</f>
        <v>0</v>
      </c>
      <c r="I4352" s="75">
        <f t="shared" si="1587"/>
        <v>0</v>
      </c>
    </row>
    <row r="4353" spans="1:9" x14ac:dyDescent="0.3">
      <c r="A4353" s="75">
        <f>IF(OR('Rate Log'!$J$92&lt;&gt;nr_SelKey,'Rate Log'!$E$92&lt;&gt;"planned",'Rate Log'!$C$92=""),0,COUNTIFS('Rate Log'!$J$7:$J$92,nr_SelKey,'Rate Log'!$E$7:$E$92,"planned"))</f>
        <v>0</v>
      </c>
      <c r="B4353" s="72">
        <f>IF($A4353=0,N('Rate Log'!$K$92),IF(ISBLANK(INDEX(att_actpct,$A4353)),N('Rate Log'!$K$92),INDEX(att_actpct,$A4353)))</f>
        <v>0</v>
      </c>
      <c r="C4353" s="73">
        <f>IF('Rate Log'!$C$92="",0,IF(1+$B4353&gt;0,LN(1+$B4353),0))</f>
        <v>0</v>
      </c>
      <c r="D4353" s="74" t="str">
        <f>IF('Rate Log'!$C$92="","",IF($A4353=0,'Rate Log'!$C$92,IF(ISBLANK(INDEX(att_actdate,$A4353)),'Rate Log'!$C$92,INDEX(att_actdate,$A4353))))</f>
        <v/>
      </c>
      <c r="E4353" s="74" t="str">
        <f t="shared" si="1585"/>
        <v/>
      </c>
      <c r="F4353" s="75">
        <f t="shared" si="1586"/>
        <v>0</v>
      </c>
      <c r="G4353" s="75">
        <f>IF($D4353="",0,COUNTIFS(rl_key,'Rate Log'!$J$92,$E$4268:$E$4507,$E4353,$D$4268:$D$4507,"&lt;"&amp;$D4353))</f>
        <v>0</v>
      </c>
      <c r="H4353" s="75">
        <f>IF($D4353="",0,COUNTIFS('Rate Log'!$J$7:$J$92,'Rate Log'!$J$92,$E$4268:$E4353,$E4353,$D$4268:$D4353,$D4353))</f>
        <v>0</v>
      </c>
      <c r="I4353" s="75">
        <f t="shared" si="1587"/>
        <v>0</v>
      </c>
    </row>
    <row r="4354" spans="1:9" x14ac:dyDescent="0.3">
      <c r="A4354" s="75">
        <f>IF(OR('Rate Log'!$J$93&lt;&gt;nr_SelKey,'Rate Log'!$E$93&lt;&gt;"planned",'Rate Log'!$C$93=""),0,COUNTIFS('Rate Log'!$J$7:$J$93,nr_SelKey,'Rate Log'!$E$7:$E$93,"planned"))</f>
        <v>0</v>
      </c>
      <c r="B4354" s="72">
        <f>IF($A4354=0,N('Rate Log'!$K$93),IF(ISBLANK(INDEX(att_actpct,$A4354)),N('Rate Log'!$K$93),INDEX(att_actpct,$A4354)))</f>
        <v>0</v>
      </c>
      <c r="C4354" s="73">
        <f>IF('Rate Log'!$C$93="",0,IF(1+$B4354&gt;0,LN(1+$B4354),0))</f>
        <v>0</v>
      </c>
      <c r="D4354" s="74" t="str">
        <f>IF('Rate Log'!$C$93="","",IF($A4354=0,'Rate Log'!$C$93,IF(ISBLANK(INDEX(att_actdate,$A4354)),'Rate Log'!$C$93,INDEX(att_actdate,$A4354))))</f>
        <v/>
      </c>
      <c r="E4354" s="74" t="str">
        <f t="shared" si="1585"/>
        <v/>
      </c>
      <c r="F4354" s="75">
        <f t="shared" si="1586"/>
        <v>0</v>
      </c>
      <c r="G4354" s="75">
        <f>IF($D4354="",0,COUNTIFS(rl_key,'Rate Log'!$J$93,$E$4268:$E$4507,$E4354,$D$4268:$D$4507,"&lt;"&amp;$D4354))</f>
        <v>0</v>
      </c>
      <c r="H4354" s="75">
        <f>IF($D4354="",0,COUNTIFS('Rate Log'!$J$7:$J$93,'Rate Log'!$J$93,$E$4268:$E4354,$E4354,$D$4268:$D4354,$D4354))</f>
        <v>0</v>
      </c>
      <c r="I4354" s="75">
        <f t="shared" si="1587"/>
        <v>0</v>
      </c>
    </row>
    <row r="4355" spans="1:9" x14ac:dyDescent="0.3">
      <c r="A4355" s="75">
        <f>IF(OR('Rate Log'!$J$94&lt;&gt;nr_SelKey,'Rate Log'!$E$94&lt;&gt;"planned",'Rate Log'!$C$94=""),0,COUNTIFS('Rate Log'!$J$7:$J$94,nr_SelKey,'Rate Log'!$E$7:$E$94,"planned"))</f>
        <v>0</v>
      </c>
      <c r="B4355" s="72">
        <f>IF($A4355=0,N('Rate Log'!$K$94),IF(ISBLANK(INDEX(att_actpct,$A4355)),N('Rate Log'!$K$94),INDEX(att_actpct,$A4355)))</f>
        <v>0</v>
      </c>
      <c r="C4355" s="73">
        <f>IF('Rate Log'!$C$94="",0,IF(1+$B4355&gt;0,LN(1+$B4355),0))</f>
        <v>0</v>
      </c>
      <c r="D4355" s="74" t="str">
        <f>IF('Rate Log'!$C$94="","",IF($A4355=0,'Rate Log'!$C$94,IF(ISBLANK(INDEX(att_actdate,$A4355)),'Rate Log'!$C$94,INDEX(att_actdate,$A4355))))</f>
        <v/>
      </c>
      <c r="E4355" s="74" t="str">
        <f t="shared" si="1585"/>
        <v/>
      </c>
      <c r="F4355" s="75">
        <f t="shared" si="1586"/>
        <v>0</v>
      </c>
      <c r="G4355" s="75">
        <f>IF($D4355="",0,COUNTIFS(rl_key,'Rate Log'!$J$94,$E$4268:$E$4507,$E4355,$D$4268:$D$4507,"&lt;"&amp;$D4355))</f>
        <v>0</v>
      </c>
      <c r="H4355" s="75">
        <f>IF($D4355="",0,COUNTIFS('Rate Log'!$J$7:$J$94,'Rate Log'!$J$94,$E$4268:$E4355,$E4355,$D$4268:$D4355,$D4355))</f>
        <v>0</v>
      </c>
      <c r="I4355" s="75">
        <f t="shared" si="1587"/>
        <v>0</v>
      </c>
    </row>
    <row r="4356" spans="1:9" x14ac:dyDescent="0.3">
      <c r="A4356" s="75">
        <f>IF(OR('Rate Log'!$J$95&lt;&gt;nr_SelKey,'Rate Log'!$E$95&lt;&gt;"planned",'Rate Log'!$C$95=""),0,COUNTIFS('Rate Log'!$J$7:$J$95,nr_SelKey,'Rate Log'!$E$7:$E$95,"planned"))</f>
        <v>0</v>
      </c>
      <c r="B4356" s="72">
        <f>IF($A4356=0,N('Rate Log'!$K$95),IF(ISBLANK(INDEX(att_actpct,$A4356)),N('Rate Log'!$K$95),INDEX(att_actpct,$A4356)))</f>
        <v>0</v>
      </c>
      <c r="C4356" s="73">
        <f>IF('Rate Log'!$C$95="",0,IF(1+$B4356&gt;0,LN(1+$B4356),0))</f>
        <v>0</v>
      </c>
      <c r="D4356" s="74" t="str">
        <f>IF('Rate Log'!$C$95="","",IF($A4356=0,'Rate Log'!$C$95,IF(ISBLANK(INDEX(att_actdate,$A4356)),'Rate Log'!$C$95,INDEX(att_actdate,$A4356))))</f>
        <v/>
      </c>
      <c r="E4356" s="74" t="str">
        <f t="shared" si="1585"/>
        <v/>
      </c>
      <c r="F4356" s="75">
        <f t="shared" si="1586"/>
        <v>0</v>
      </c>
      <c r="G4356" s="75">
        <f>IF($D4356="",0,COUNTIFS(rl_key,'Rate Log'!$J$95,$E$4268:$E$4507,$E4356,$D$4268:$D$4507,"&lt;"&amp;$D4356))</f>
        <v>0</v>
      </c>
      <c r="H4356" s="75">
        <f>IF($D4356="",0,COUNTIFS('Rate Log'!$J$7:$J$95,'Rate Log'!$J$95,$E$4268:$E4356,$E4356,$D$4268:$D4356,$D4356))</f>
        <v>0</v>
      </c>
      <c r="I4356" s="75">
        <f t="shared" si="1587"/>
        <v>0</v>
      </c>
    </row>
    <row r="4357" spans="1:9" x14ac:dyDescent="0.3">
      <c r="A4357" s="75">
        <f>IF(OR('Rate Log'!$J$96&lt;&gt;nr_SelKey,'Rate Log'!$E$96&lt;&gt;"planned",'Rate Log'!$C$96=""),0,COUNTIFS('Rate Log'!$J$7:$J$96,nr_SelKey,'Rate Log'!$E$7:$E$96,"planned"))</f>
        <v>0</v>
      </c>
      <c r="B4357" s="72">
        <f>IF($A4357=0,N('Rate Log'!$K$96),IF(ISBLANK(INDEX(att_actpct,$A4357)),N('Rate Log'!$K$96),INDEX(att_actpct,$A4357)))</f>
        <v>0</v>
      </c>
      <c r="C4357" s="73">
        <f>IF('Rate Log'!$C$96="",0,IF(1+$B4357&gt;0,LN(1+$B4357),0))</f>
        <v>0</v>
      </c>
      <c r="D4357" s="74" t="str">
        <f>IF('Rate Log'!$C$96="","",IF($A4357=0,'Rate Log'!$C$96,IF(ISBLANK(INDEX(att_actdate,$A4357)),'Rate Log'!$C$96,INDEX(att_actdate,$A4357))))</f>
        <v/>
      </c>
      <c r="E4357" s="74" t="str">
        <f t="shared" si="1585"/>
        <v/>
      </c>
      <c r="F4357" s="75">
        <f t="shared" si="1586"/>
        <v>0</v>
      </c>
      <c r="G4357" s="75">
        <f>IF($D4357="",0,COUNTIFS(rl_key,'Rate Log'!$J$96,$E$4268:$E$4507,$E4357,$D$4268:$D$4507,"&lt;"&amp;$D4357))</f>
        <v>0</v>
      </c>
      <c r="H4357" s="75">
        <f>IF($D4357="",0,COUNTIFS('Rate Log'!$J$7:$J$96,'Rate Log'!$J$96,$E$4268:$E4357,$E4357,$D$4268:$D4357,$D4357))</f>
        <v>0</v>
      </c>
      <c r="I4357" s="75">
        <f t="shared" si="1587"/>
        <v>0</v>
      </c>
    </row>
    <row r="4358" spans="1:9" x14ac:dyDescent="0.3">
      <c r="A4358" s="75">
        <f>IF(OR('Rate Log'!$J$97&lt;&gt;nr_SelKey,'Rate Log'!$E$97&lt;&gt;"planned",'Rate Log'!$C$97=""),0,COUNTIFS('Rate Log'!$J$7:$J$97,nr_SelKey,'Rate Log'!$E$7:$E$97,"planned"))</f>
        <v>0</v>
      </c>
      <c r="B4358" s="72">
        <f>IF($A4358=0,N('Rate Log'!$K$97),IF(ISBLANK(INDEX(att_actpct,$A4358)),N('Rate Log'!$K$97),INDEX(att_actpct,$A4358)))</f>
        <v>0</v>
      </c>
      <c r="C4358" s="73">
        <f>IF('Rate Log'!$C$97="",0,IF(1+$B4358&gt;0,LN(1+$B4358),0))</f>
        <v>0</v>
      </c>
      <c r="D4358" s="74" t="str">
        <f>IF('Rate Log'!$C$97="","",IF($A4358=0,'Rate Log'!$C$97,IF(ISBLANK(INDEX(att_actdate,$A4358)),'Rate Log'!$C$97,INDEX(att_actdate,$A4358))))</f>
        <v/>
      </c>
      <c r="E4358" s="74" t="str">
        <f t="shared" si="1585"/>
        <v/>
      </c>
      <c r="F4358" s="75">
        <f t="shared" si="1586"/>
        <v>0</v>
      </c>
      <c r="G4358" s="75">
        <f>IF($D4358="",0,COUNTIFS(rl_key,'Rate Log'!$J$97,$E$4268:$E$4507,$E4358,$D$4268:$D$4507,"&lt;"&amp;$D4358))</f>
        <v>0</v>
      </c>
      <c r="H4358" s="75">
        <f>IF($D4358="",0,COUNTIFS('Rate Log'!$J$7:$J$97,'Rate Log'!$J$97,$E$4268:$E4358,$E4358,$D$4268:$D4358,$D4358))</f>
        <v>0</v>
      </c>
      <c r="I4358" s="75">
        <f t="shared" si="1587"/>
        <v>0</v>
      </c>
    </row>
    <row r="4359" spans="1:9" x14ac:dyDescent="0.3">
      <c r="A4359" s="75">
        <f>IF(OR('Rate Log'!$J$98&lt;&gt;nr_SelKey,'Rate Log'!$E$98&lt;&gt;"planned",'Rate Log'!$C$98=""),0,COUNTIFS('Rate Log'!$J$7:$J$98,nr_SelKey,'Rate Log'!$E$7:$E$98,"planned"))</f>
        <v>0</v>
      </c>
      <c r="B4359" s="72">
        <f>IF($A4359=0,N('Rate Log'!$K$98),IF(ISBLANK(INDEX(att_actpct,$A4359)),N('Rate Log'!$K$98),INDEX(att_actpct,$A4359)))</f>
        <v>0</v>
      </c>
      <c r="C4359" s="73">
        <f>IF('Rate Log'!$C$98="",0,IF(1+$B4359&gt;0,LN(1+$B4359),0))</f>
        <v>0</v>
      </c>
      <c r="D4359" s="74" t="str">
        <f>IF('Rate Log'!$C$98="","",IF($A4359=0,'Rate Log'!$C$98,IF(ISBLANK(INDEX(att_actdate,$A4359)),'Rate Log'!$C$98,INDEX(att_actdate,$A4359))))</f>
        <v/>
      </c>
      <c r="E4359" s="74" t="str">
        <f t="shared" si="1585"/>
        <v/>
      </c>
      <c r="F4359" s="75">
        <f t="shared" si="1586"/>
        <v>0</v>
      </c>
      <c r="G4359" s="75">
        <f>IF($D4359="",0,COUNTIFS(rl_key,'Rate Log'!$J$98,$E$4268:$E$4507,$E4359,$D$4268:$D$4507,"&lt;"&amp;$D4359))</f>
        <v>0</v>
      </c>
      <c r="H4359" s="75">
        <f>IF($D4359="",0,COUNTIFS('Rate Log'!$J$7:$J$98,'Rate Log'!$J$98,$E$4268:$E4359,$E4359,$D$4268:$D4359,$D4359))</f>
        <v>0</v>
      </c>
      <c r="I4359" s="75">
        <f t="shared" si="1587"/>
        <v>0</v>
      </c>
    </row>
    <row r="4360" spans="1:9" x14ac:dyDescent="0.3">
      <c r="A4360" s="75">
        <f>IF(OR('Rate Log'!$J$99&lt;&gt;nr_SelKey,'Rate Log'!$E$99&lt;&gt;"planned",'Rate Log'!$C$99=""),0,COUNTIFS('Rate Log'!$J$7:$J$99,nr_SelKey,'Rate Log'!$E$7:$E$99,"planned"))</f>
        <v>0</v>
      </c>
      <c r="B4360" s="72">
        <f>IF($A4360=0,N('Rate Log'!$K$99),IF(ISBLANK(INDEX(att_actpct,$A4360)),N('Rate Log'!$K$99),INDEX(att_actpct,$A4360)))</f>
        <v>0</v>
      </c>
      <c r="C4360" s="73">
        <f>IF('Rate Log'!$C$99="",0,IF(1+$B4360&gt;0,LN(1+$B4360),0))</f>
        <v>0</v>
      </c>
      <c r="D4360" s="74" t="str">
        <f>IF('Rate Log'!$C$99="","",IF($A4360=0,'Rate Log'!$C$99,IF(ISBLANK(INDEX(att_actdate,$A4360)),'Rate Log'!$C$99,INDEX(att_actdate,$A4360))))</f>
        <v/>
      </c>
      <c r="E4360" s="74" t="str">
        <f t="shared" si="1585"/>
        <v/>
      </c>
      <c r="F4360" s="75">
        <f t="shared" si="1586"/>
        <v>0</v>
      </c>
      <c r="G4360" s="75">
        <f>IF($D4360="",0,COUNTIFS(rl_key,'Rate Log'!$J$99,$E$4268:$E$4507,$E4360,$D$4268:$D$4507,"&lt;"&amp;$D4360))</f>
        <v>0</v>
      </c>
      <c r="H4360" s="75">
        <f>IF($D4360="",0,COUNTIFS('Rate Log'!$J$7:$J$99,'Rate Log'!$J$99,$E$4268:$E4360,$E4360,$D$4268:$D4360,$D4360))</f>
        <v>0</v>
      </c>
      <c r="I4360" s="75">
        <f t="shared" si="1587"/>
        <v>0</v>
      </c>
    </row>
    <row r="4361" spans="1:9" x14ac:dyDescent="0.3">
      <c r="A4361" s="75">
        <f>IF(OR('Rate Log'!$J$100&lt;&gt;nr_SelKey,'Rate Log'!$E$100&lt;&gt;"planned",'Rate Log'!$C$100=""),0,COUNTIFS('Rate Log'!$J$7:$J$100,nr_SelKey,'Rate Log'!$E$7:$E$100,"planned"))</f>
        <v>0</v>
      </c>
      <c r="B4361" s="72">
        <f>IF($A4361=0,N('Rate Log'!$K$100),IF(ISBLANK(INDEX(att_actpct,$A4361)),N('Rate Log'!$K$100),INDEX(att_actpct,$A4361)))</f>
        <v>0</v>
      </c>
      <c r="C4361" s="73">
        <f>IF('Rate Log'!$C$100="",0,IF(1+$B4361&gt;0,LN(1+$B4361),0))</f>
        <v>0</v>
      </c>
      <c r="D4361" s="74" t="str">
        <f>IF('Rate Log'!$C$100="","",IF($A4361=0,'Rate Log'!$C$100,IF(ISBLANK(INDEX(att_actdate,$A4361)),'Rate Log'!$C$100,INDEX(att_actdate,$A4361))))</f>
        <v/>
      </c>
      <c r="E4361" s="74" t="str">
        <f t="shared" si="1585"/>
        <v/>
      </c>
      <c r="F4361" s="75">
        <f t="shared" si="1586"/>
        <v>0</v>
      </c>
      <c r="G4361" s="75">
        <f>IF($D4361="",0,COUNTIFS(rl_key,'Rate Log'!$J$100,$E$4268:$E$4507,$E4361,$D$4268:$D$4507,"&lt;"&amp;$D4361))</f>
        <v>0</v>
      </c>
      <c r="H4361" s="75">
        <f>IF($D4361="",0,COUNTIFS('Rate Log'!$J$7:$J$100,'Rate Log'!$J$100,$E$4268:$E4361,$E4361,$D$4268:$D4361,$D4361))</f>
        <v>0</v>
      </c>
      <c r="I4361" s="75">
        <f t="shared" si="1587"/>
        <v>0</v>
      </c>
    </row>
    <row r="4362" spans="1:9" x14ac:dyDescent="0.3">
      <c r="A4362" s="75">
        <f>IF(OR('Rate Log'!$J$101&lt;&gt;nr_SelKey,'Rate Log'!$E$101&lt;&gt;"planned",'Rate Log'!$C$101=""),0,COUNTIFS('Rate Log'!$J$7:$J$101,nr_SelKey,'Rate Log'!$E$7:$E$101,"planned"))</f>
        <v>0</v>
      </c>
      <c r="B4362" s="72">
        <f>IF($A4362=0,N('Rate Log'!$K$101),IF(ISBLANK(INDEX(att_actpct,$A4362)),N('Rate Log'!$K$101),INDEX(att_actpct,$A4362)))</f>
        <v>0</v>
      </c>
      <c r="C4362" s="73">
        <f>IF('Rate Log'!$C$101="",0,IF(1+$B4362&gt;0,LN(1+$B4362),0))</f>
        <v>0</v>
      </c>
      <c r="D4362" s="74" t="str">
        <f>IF('Rate Log'!$C$101="","",IF($A4362=0,'Rate Log'!$C$101,IF(ISBLANK(INDEX(att_actdate,$A4362)),'Rate Log'!$C$101,INDEX(att_actdate,$A4362))))</f>
        <v/>
      </c>
      <c r="E4362" s="74" t="str">
        <f t="shared" si="1585"/>
        <v/>
      </c>
      <c r="F4362" s="75">
        <f t="shared" si="1586"/>
        <v>0</v>
      </c>
      <c r="G4362" s="75">
        <f>IF($D4362="",0,COUNTIFS(rl_key,'Rate Log'!$J$101,$E$4268:$E$4507,$E4362,$D$4268:$D$4507,"&lt;"&amp;$D4362))</f>
        <v>0</v>
      </c>
      <c r="H4362" s="75">
        <f>IF($D4362="",0,COUNTIFS('Rate Log'!$J$7:$J$101,'Rate Log'!$J$101,$E$4268:$E4362,$E4362,$D$4268:$D4362,$D4362))</f>
        <v>0</v>
      </c>
      <c r="I4362" s="75">
        <f t="shared" si="1587"/>
        <v>0</v>
      </c>
    </row>
    <row r="4363" spans="1:9" x14ac:dyDescent="0.3">
      <c r="A4363" s="75">
        <f>IF(OR('Rate Log'!$J$102&lt;&gt;nr_SelKey,'Rate Log'!$E$102&lt;&gt;"planned",'Rate Log'!$C$102=""),0,COUNTIFS('Rate Log'!$J$7:$J$102,nr_SelKey,'Rate Log'!$E$7:$E$102,"planned"))</f>
        <v>0</v>
      </c>
      <c r="B4363" s="72">
        <f>IF($A4363=0,N('Rate Log'!$K$102),IF(ISBLANK(INDEX(att_actpct,$A4363)),N('Rate Log'!$K$102),INDEX(att_actpct,$A4363)))</f>
        <v>0</v>
      </c>
      <c r="C4363" s="73">
        <f>IF('Rate Log'!$C$102="",0,IF(1+$B4363&gt;0,LN(1+$B4363),0))</f>
        <v>0</v>
      </c>
      <c r="D4363" s="74" t="str">
        <f>IF('Rate Log'!$C$102="","",IF($A4363=0,'Rate Log'!$C$102,IF(ISBLANK(INDEX(att_actdate,$A4363)),'Rate Log'!$C$102,INDEX(att_actdate,$A4363))))</f>
        <v/>
      </c>
      <c r="E4363" s="74" t="str">
        <f t="shared" si="1585"/>
        <v/>
      </c>
      <c r="F4363" s="75">
        <f t="shared" si="1586"/>
        <v>0</v>
      </c>
      <c r="G4363" s="75">
        <f>IF($D4363="",0,COUNTIFS(rl_key,'Rate Log'!$J$102,$E$4268:$E$4507,$E4363,$D$4268:$D$4507,"&lt;"&amp;$D4363))</f>
        <v>0</v>
      </c>
      <c r="H4363" s="75">
        <f>IF($D4363="",0,COUNTIFS('Rate Log'!$J$7:$J$102,'Rate Log'!$J$102,$E$4268:$E4363,$E4363,$D$4268:$D4363,$D4363))</f>
        <v>0</v>
      </c>
      <c r="I4363" s="75">
        <f t="shared" si="1587"/>
        <v>0</v>
      </c>
    </row>
    <row r="4364" spans="1:9" x14ac:dyDescent="0.3">
      <c r="A4364" s="75">
        <f>IF(OR('Rate Log'!$J$103&lt;&gt;nr_SelKey,'Rate Log'!$E$103&lt;&gt;"planned",'Rate Log'!$C$103=""),0,COUNTIFS('Rate Log'!$J$7:$J$103,nr_SelKey,'Rate Log'!$E$7:$E$103,"planned"))</f>
        <v>0</v>
      </c>
      <c r="B4364" s="72">
        <f>IF($A4364=0,N('Rate Log'!$K$103),IF(ISBLANK(INDEX(att_actpct,$A4364)),N('Rate Log'!$K$103),INDEX(att_actpct,$A4364)))</f>
        <v>0</v>
      </c>
      <c r="C4364" s="73">
        <f>IF('Rate Log'!$C$103="",0,IF(1+$B4364&gt;0,LN(1+$B4364),0))</f>
        <v>0</v>
      </c>
      <c r="D4364" s="74" t="str">
        <f>IF('Rate Log'!$C$103="","",IF($A4364=0,'Rate Log'!$C$103,IF(ISBLANK(INDEX(att_actdate,$A4364)),'Rate Log'!$C$103,INDEX(att_actdate,$A4364))))</f>
        <v/>
      </c>
      <c r="E4364" s="74" t="str">
        <f t="shared" si="1585"/>
        <v/>
      </c>
      <c r="F4364" s="75">
        <f t="shared" si="1586"/>
        <v>0</v>
      </c>
      <c r="G4364" s="75">
        <f>IF($D4364="",0,COUNTIFS(rl_key,'Rate Log'!$J$103,$E$4268:$E$4507,$E4364,$D$4268:$D$4507,"&lt;"&amp;$D4364))</f>
        <v>0</v>
      </c>
      <c r="H4364" s="75">
        <f>IF($D4364="",0,COUNTIFS('Rate Log'!$J$7:$J$103,'Rate Log'!$J$103,$E$4268:$E4364,$E4364,$D$4268:$D4364,$D4364))</f>
        <v>0</v>
      </c>
      <c r="I4364" s="75">
        <f t="shared" si="1587"/>
        <v>0</v>
      </c>
    </row>
    <row r="4365" spans="1:9" x14ac:dyDescent="0.3">
      <c r="A4365" s="75">
        <f>IF(OR('Rate Log'!$J$104&lt;&gt;nr_SelKey,'Rate Log'!$E$104&lt;&gt;"planned",'Rate Log'!$C$104=""),0,COUNTIFS('Rate Log'!$J$7:$J$104,nr_SelKey,'Rate Log'!$E$7:$E$104,"planned"))</f>
        <v>0</v>
      </c>
      <c r="B4365" s="72">
        <f>IF($A4365=0,N('Rate Log'!$K$104),IF(ISBLANK(INDEX(att_actpct,$A4365)),N('Rate Log'!$K$104),INDEX(att_actpct,$A4365)))</f>
        <v>0</v>
      </c>
      <c r="C4365" s="73">
        <f>IF('Rate Log'!$C$104="",0,IF(1+$B4365&gt;0,LN(1+$B4365),0))</f>
        <v>0</v>
      </c>
      <c r="D4365" s="74" t="str">
        <f>IF('Rate Log'!$C$104="","",IF($A4365=0,'Rate Log'!$C$104,IF(ISBLANK(INDEX(att_actdate,$A4365)),'Rate Log'!$C$104,INDEX(att_actdate,$A4365))))</f>
        <v/>
      </c>
      <c r="E4365" s="74" t="str">
        <f t="shared" si="1585"/>
        <v/>
      </c>
      <c r="F4365" s="75">
        <f t="shared" si="1586"/>
        <v>0</v>
      </c>
      <c r="G4365" s="75">
        <f>IF($D4365="",0,COUNTIFS(rl_key,'Rate Log'!$J$104,$E$4268:$E$4507,$E4365,$D$4268:$D$4507,"&lt;"&amp;$D4365))</f>
        <v>0</v>
      </c>
      <c r="H4365" s="75">
        <f>IF($D4365="",0,COUNTIFS('Rate Log'!$J$7:$J$104,'Rate Log'!$J$104,$E$4268:$E4365,$E4365,$D$4268:$D4365,$D4365))</f>
        <v>0</v>
      </c>
      <c r="I4365" s="75">
        <f t="shared" si="1587"/>
        <v>0</v>
      </c>
    </row>
    <row r="4366" spans="1:9" x14ac:dyDescent="0.3">
      <c r="A4366" s="75">
        <f>IF(OR('Rate Log'!$J$105&lt;&gt;nr_SelKey,'Rate Log'!$E$105&lt;&gt;"planned",'Rate Log'!$C$105=""),0,COUNTIFS('Rate Log'!$J$7:$J$105,nr_SelKey,'Rate Log'!$E$7:$E$105,"planned"))</f>
        <v>0</v>
      </c>
      <c r="B4366" s="72">
        <f>IF($A4366=0,N('Rate Log'!$K$105),IF(ISBLANK(INDEX(att_actpct,$A4366)),N('Rate Log'!$K$105),INDEX(att_actpct,$A4366)))</f>
        <v>0</v>
      </c>
      <c r="C4366" s="73">
        <f>IF('Rate Log'!$C$105="",0,IF(1+$B4366&gt;0,LN(1+$B4366),0))</f>
        <v>0</v>
      </c>
      <c r="D4366" s="74" t="str">
        <f>IF('Rate Log'!$C$105="","",IF($A4366=0,'Rate Log'!$C$105,IF(ISBLANK(INDEX(att_actdate,$A4366)),'Rate Log'!$C$105,INDEX(att_actdate,$A4366))))</f>
        <v/>
      </c>
      <c r="E4366" s="74" t="str">
        <f t="shared" si="1585"/>
        <v/>
      </c>
      <c r="F4366" s="75">
        <f t="shared" si="1586"/>
        <v>0</v>
      </c>
      <c r="G4366" s="75">
        <f>IF($D4366="",0,COUNTIFS(rl_key,'Rate Log'!$J$105,$E$4268:$E$4507,$E4366,$D$4268:$D$4507,"&lt;"&amp;$D4366))</f>
        <v>0</v>
      </c>
      <c r="H4366" s="75">
        <f>IF($D4366="",0,COUNTIFS('Rate Log'!$J$7:$J$105,'Rate Log'!$J$105,$E$4268:$E4366,$E4366,$D$4268:$D4366,$D4366))</f>
        <v>0</v>
      </c>
      <c r="I4366" s="75">
        <f t="shared" si="1587"/>
        <v>0</v>
      </c>
    </row>
    <row r="4367" spans="1:9" x14ac:dyDescent="0.3">
      <c r="A4367" s="75">
        <f>IF(OR('Rate Log'!$J$106&lt;&gt;nr_SelKey,'Rate Log'!$E$106&lt;&gt;"planned",'Rate Log'!$C$106=""),0,COUNTIFS('Rate Log'!$J$7:$J$106,nr_SelKey,'Rate Log'!$E$7:$E$106,"planned"))</f>
        <v>0</v>
      </c>
      <c r="B4367" s="72">
        <f>IF($A4367=0,N('Rate Log'!$K$106),IF(ISBLANK(INDEX(att_actpct,$A4367)),N('Rate Log'!$K$106),INDEX(att_actpct,$A4367)))</f>
        <v>0</v>
      </c>
      <c r="C4367" s="73">
        <f>IF('Rate Log'!$C$106="",0,IF(1+$B4367&gt;0,LN(1+$B4367),0))</f>
        <v>0</v>
      </c>
      <c r="D4367" s="74" t="str">
        <f>IF('Rate Log'!$C$106="","",IF($A4367=0,'Rate Log'!$C$106,IF(ISBLANK(INDEX(att_actdate,$A4367)),'Rate Log'!$C$106,INDEX(att_actdate,$A4367))))</f>
        <v/>
      </c>
      <c r="E4367" s="74" t="str">
        <f t="shared" si="1585"/>
        <v/>
      </c>
      <c r="F4367" s="75">
        <f t="shared" si="1586"/>
        <v>0</v>
      </c>
      <c r="G4367" s="75">
        <f>IF($D4367="",0,COUNTIFS(rl_key,'Rate Log'!$J$106,$E$4268:$E$4507,$E4367,$D$4268:$D$4507,"&lt;"&amp;$D4367))</f>
        <v>0</v>
      </c>
      <c r="H4367" s="75">
        <f>IF($D4367="",0,COUNTIFS('Rate Log'!$J$7:$J$106,'Rate Log'!$J$106,$E$4268:$E4367,$E4367,$D$4268:$D4367,$D4367))</f>
        <v>0</v>
      </c>
      <c r="I4367" s="75">
        <f t="shared" si="1587"/>
        <v>0</v>
      </c>
    </row>
    <row r="4368" spans="1:9" x14ac:dyDescent="0.3">
      <c r="A4368" s="75">
        <f>IF(OR('Rate Log'!$J$107&lt;&gt;nr_SelKey,'Rate Log'!$E$107&lt;&gt;"planned",'Rate Log'!$C$107=""),0,COUNTIFS('Rate Log'!$J$7:$J$107,nr_SelKey,'Rate Log'!$E$7:$E$107,"planned"))</f>
        <v>0</v>
      </c>
      <c r="B4368" s="72">
        <f>IF($A4368=0,N('Rate Log'!$K$107),IF(ISBLANK(INDEX(att_actpct,$A4368)),N('Rate Log'!$K$107),INDEX(att_actpct,$A4368)))</f>
        <v>0</v>
      </c>
      <c r="C4368" s="73">
        <f>IF('Rate Log'!$C$107="",0,IF(1+$B4368&gt;0,LN(1+$B4368),0))</f>
        <v>0</v>
      </c>
      <c r="D4368" s="74" t="str">
        <f>IF('Rate Log'!$C$107="","",IF($A4368=0,'Rate Log'!$C$107,IF(ISBLANK(INDEX(att_actdate,$A4368)),'Rate Log'!$C$107,INDEX(att_actdate,$A4368))))</f>
        <v/>
      </c>
      <c r="E4368" s="74" t="str">
        <f t="shared" si="1585"/>
        <v/>
      </c>
      <c r="F4368" s="75">
        <f t="shared" si="1586"/>
        <v>0</v>
      </c>
      <c r="G4368" s="75">
        <f>IF($D4368="",0,COUNTIFS(rl_key,'Rate Log'!$J$107,$E$4268:$E$4507,$E4368,$D$4268:$D$4507,"&lt;"&amp;$D4368))</f>
        <v>0</v>
      </c>
      <c r="H4368" s="75">
        <f>IF($D4368="",0,COUNTIFS('Rate Log'!$J$7:$J$107,'Rate Log'!$J$107,$E$4268:$E4368,$E4368,$D$4268:$D4368,$D4368))</f>
        <v>0</v>
      </c>
      <c r="I4368" s="75">
        <f t="shared" si="1587"/>
        <v>0</v>
      </c>
    </row>
    <row r="4369" spans="1:9" x14ac:dyDescent="0.3">
      <c r="A4369" s="75">
        <f>IF(OR('Rate Log'!$J$108&lt;&gt;nr_SelKey,'Rate Log'!$E$108&lt;&gt;"planned",'Rate Log'!$C$108=""),0,COUNTIFS('Rate Log'!$J$7:$J$108,nr_SelKey,'Rate Log'!$E$7:$E$108,"planned"))</f>
        <v>0</v>
      </c>
      <c r="B4369" s="72">
        <f>IF($A4369=0,N('Rate Log'!$K$108),IF(ISBLANK(INDEX(att_actpct,$A4369)),N('Rate Log'!$K$108),INDEX(att_actpct,$A4369)))</f>
        <v>0</v>
      </c>
      <c r="C4369" s="73">
        <f>IF('Rate Log'!$C$108="",0,IF(1+$B4369&gt;0,LN(1+$B4369),0))</f>
        <v>0</v>
      </c>
      <c r="D4369" s="74" t="str">
        <f>IF('Rate Log'!$C$108="","",IF($A4369=0,'Rate Log'!$C$108,IF(ISBLANK(INDEX(att_actdate,$A4369)),'Rate Log'!$C$108,INDEX(att_actdate,$A4369))))</f>
        <v/>
      </c>
      <c r="E4369" s="74" t="str">
        <f t="shared" si="1585"/>
        <v/>
      </c>
      <c r="F4369" s="75">
        <f t="shared" si="1586"/>
        <v>0</v>
      </c>
      <c r="G4369" s="75">
        <f>IF($D4369="",0,COUNTIFS(rl_key,'Rate Log'!$J$108,$E$4268:$E$4507,$E4369,$D$4268:$D$4507,"&lt;"&amp;$D4369))</f>
        <v>0</v>
      </c>
      <c r="H4369" s="75">
        <f>IF($D4369="",0,COUNTIFS('Rate Log'!$J$7:$J$108,'Rate Log'!$J$108,$E$4268:$E4369,$E4369,$D$4268:$D4369,$D4369))</f>
        <v>0</v>
      </c>
      <c r="I4369" s="75">
        <f t="shared" si="1587"/>
        <v>0</v>
      </c>
    </row>
    <row r="4370" spans="1:9" x14ac:dyDescent="0.3">
      <c r="A4370" s="75">
        <f>IF(OR('Rate Log'!$J$109&lt;&gt;nr_SelKey,'Rate Log'!$E$109&lt;&gt;"planned",'Rate Log'!$C$109=""),0,COUNTIFS('Rate Log'!$J$7:$J$109,nr_SelKey,'Rate Log'!$E$7:$E$109,"planned"))</f>
        <v>0</v>
      </c>
      <c r="B4370" s="72">
        <f>IF($A4370=0,N('Rate Log'!$K$109),IF(ISBLANK(INDEX(att_actpct,$A4370)),N('Rate Log'!$K$109),INDEX(att_actpct,$A4370)))</f>
        <v>0</v>
      </c>
      <c r="C4370" s="73">
        <f>IF('Rate Log'!$C$109="",0,IF(1+$B4370&gt;0,LN(1+$B4370),0))</f>
        <v>0</v>
      </c>
      <c r="D4370" s="74" t="str">
        <f>IF('Rate Log'!$C$109="","",IF($A4370=0,'Rate Log'!$C$109,IF(ISBLANK(INDEX(att_actdate,$A4370)),'Rate Log'!$C$109,INDEX(att_actdate,$A4370))))</f>
        <v/>
      </c>
      <c r="E4370" s="74" t="str">
        <f t="shared" si="1585"/>
        <v/>
      </c>
      <c r="F4370" s="75">
        <f t="shared" si="1586"/>
        <v>0</v>
      </c>
      <c r="G4370" s="75">
        <f>IF($D4370="",0,COUNTIFS(rl_key,'Rate Log'!$J$109,$E$4268:$E$4507,$E4370,$D$4268:$D$4507,"&lt;"&amp;$D4370))</f>
        <v>0</v>
      </c>
      <c r="H4370" s="75">
        <f>IF($D4370="",0,COUNTIFS('Rate Log'!$J$7:$J$109,'Rate Log'!$J$109,$E$4268:$E4370,$E4370,$D$4268:$D4370,$D4370))</f>
        <v>0</v>
      </c>
      <c r="I4370" s="75">
        <f t="shared" si="1587"/>
        <v>0</v>
      </c>
    </row>
    <row r="4371" spans="1:9" x14ac:dyDescent="0.3">
      <c r="A4371" s="75">
        <f>IF(OR('Rate Log'!$J$110&lt;&gt;nr_SelKey,'Rate Log'!$E$110&lt;&gt;"planned",'Rate Log'!$C$110=""),0,COUNTIFS('Rate Log'!$J$7:$J$110,nr_SelKey,'Rate Log'!$E$7:$E$110,"planned"))</f>
        <v>0</v>
      </c>
      <c r="B4371" s="72">
        <f>IF($A4371=0,N('Rate Log'!$K$110),IF(ISBLANK(INDEX(att_actpct,$A4371)),N('Rate Log'!$K$110),INDEX(att_actpct,$A4371)))</f>
        <v>0</v>
      </c>
      <c r="C4371" s="73">
        <f>IF('Rate Log'!$C$110="",0,IF(1+$B4371&gt;0,LN(1+$B4371),0))</f>
        <v>0</v>
      </c>
      <c r="D4371" s="74" t="str">
        <f>IF('Rate Log'!$C$110="","",IF($A4371=0,'Rate Log'!$C$110,IF(ISBLANK(INDEX(att_actdate,$A4371)),'Rate Log'!$C$110,INDEX(att_actdate,$A4371))))</f>
        <v/>
      </c>
      <c r="E4371" s="74" t="str">
        <f t="shared" si="1585"/>
        <v/>
      </c>
      <c r="F4371" s="75">
        <f t="shared" si="1586"/>
        <v>0</v>
      </c>
      <c r="G4371" s="75">
        <f>IF($D4371="",0,COUNTIFS(rl_key,'Rate Log'!$J$110,$E$4268:$E$4507,$E4371,$D$4268:$D$4507,"&lt;"&amp;$D4371))</f>
        <v>0</v>
      </c>
      <c r="H4371" s="75">
        <f>IF($D4371="",0,COUNTIFS('Rate Log'!$J$7:$J$110,'Rate Log'!$J$110,$E$4268:$E4371,$E4371,$D$4268:$D4371,$D4371))</f>
        <v>0</v>
      </c>
      <c r="I4371" s="75">
        <f t="shared" si="1587"/>
        <v>0</v>
      </c>
    </row>
    <row r="4372" spans="1:9" x14ac:dyDescent="0.3">
      <c r="A4372" s="75">
        <f>IF(OR('Rate Log'!$J$111&lt;&gt;nr_SelKey,'Rate Log'!$E$111&lt;&gt;"planned",'Rate Log'!$C$111=""),0,COUNTIFS('Rate Log'!$J$7:$J$111,nr_SelKey,'Rate Log'!$E$7:$E$111,"planned"))</f>
        <v>0</v>
      </c>
      <c r="B4372" s="72">
        <f>IF($A4372=0,N('Rate Log'!$K$111),IF(ISBLANK(INDEX(att_actpct,$A4372)),N('Rate Log'!$K$111),INDEX(att_actpct,$A4372)))</f>
        <v>0</v>
      </c>
      <c r="C4372" s="73">
        <f>IF('Rate Log'!$C$111="",0,IF(1+$B4372&gt;0,LN(1+$B4372),0))</f>
        <v>0</v>
      </c>
      <c r="D4372" s="74" t="str">
        <f>IF('Rate Log'!$C$111="","",IF($A4372=0,'Rate Log'!$C$111,IF(ISBLANK(INDEX(att_actdate,$A4372)),'Rate Log'!$C$111,INDEX(att_actdate,$A4372))))</f>
        <v/>
      </c>
      <c r="E4372" s="74" t="str">
        <f t="shared" si="1585"/>
        <v/>
      </c>
      <c r="F4372" s="75">
        <f t="shared" si="1586"/>
        <v>0</v>
      </c>
      <c r="G4372" s="75">
        <f>IF($D4372="",0,COUNTIFS(rl_key,'Rate Log'!$J$111,$E$4268:$E$4507,$E4372,$D$4268:$D$4507,"&lt;"&amp;$D4372))</f>
        <v>0</v>
      </c>
      <c r="H4372" s="75">
        <f>IF($D4372="",0,COUNTIFS('Rate Log'!$J$7:$J$111,'Rate Log'!$J$111,$E$4268:$E4372,$E4372,$D$4268:$D4372,$D4372))</f>
        <v>0</v>
      </c>
      <c r="I4372" s="75">
        <f t="shared" si="1587"/>
        <v>0</v>
      </c>
    </row>
    <row r="4373" spans="1:9" x14ac:dyDescent="0.3">
      <c r="A4373" s="75">
        <f>IF(OR('Rate Log'!$J$112&lt;&gt;nr_SelKey,'Rate Log'!$E$112&lt;&gt;"planned",'Rate Log'!$C$112=""),0,COUNTIFS('Rate Log'!$J$7:$J$112,nr_SelKey,'Rate Log'!$E$7:$E$112,"planned"))</f>
        <v>0</v>
      </c>
      <c r="B4373" s="72">
        <f>IF($A4373=0,N('Rate Log'!$K$112),IF(ISBLANK(INDEX(att_actpct,$A4373)),N('Rate Log'!$K$112),INDEX(att_actpct,$A4373)))</f>
        <v>0</v>
      </c>
      <c r="C4373" s="73">
        <f>IF('Rate Log'!$C$112="",0,IF(1+$B4373&gt;0,LN(1+$B4373),0))</f>
        <v>0</v>
      </c>
      <c r="D4373" s="74" t="str">
        <f>IF('Rate Log'!$C$112="","",IF($A4373=0,'Rate Log'!$C$112,IF(ISBLANK(INDEX(att_actdate,$A4373)),'Rate Log'!$C$112,INDEX(att_actdate,$A4373))))</f>
        <v/>
      </c>
      <c r="E4373" s="74" t="str">
        <f t="shared" si="1585"/>
        <v/>
      </c>
      <c r="F4373" s="75">
        <f t="shared" si="1586"/>
        <v>0</v>
      </c>
      <c r="G4373" s="75">
        <f>IF($D4373="",0,COUNTIFS(rl_key,'Rate Log'!$J$112,$E$4268:$E$4507,$E4373,$D$4268:$D$4507,"&lt;"&amp;$D4373))</f>
        <v>0</v>
      </c>
      <c r="H4373" s="75">
        <f>IF($D4373="",0,COUNTIFS('Rate Log'!$J$7:$J$112,'Rate Log'!$J$112,$E$4268:$E4373,$E4373,$D$4268:$D4373,$D4373))</f>
        <v>0</v>
      </c>
      <c r="I4373" s="75">
        <f t="shared" si="1587"/>
        <v>0</v>
      </c>
    </row>
    <row r="4374" spans="1:9" x14ac:dyDescent="0.3">
      <c r="A4374" s="75">
        <f>IF(OR('Rate Log'!$J$113&lt;&gt;nr_SelKey,'Rate Log'!$E$113&lt;&gt;"planned",'Rate Log'!$C$113=""),0,COUNTIFS('Rate Log'!$J$7:$J$113,nr_SelKey,'Rate Log'!$E$7:$E$113,"planned"))</f>
        <v>0</v>
      </c>
      <c r="B4374" s="72">
        <f>IF($A4374=0,N('Rate Log'!$K$113),IF(ISBLANK(INDEX(att_actpct,$A4374)),N('Rate Log'!$K$113),INDEX(att_actpct,$A4374)))</f>
        <v>0</v>
      </c>
      <c r="C4374" s="73">
        <f>IF('Rate Log'!$C$113="",0,IF(1+$B4374&gt;0,LN(1+$B4374),0))</f>
        <v>0</v>
      </c>
      <c r="D4374" s="74" t="str">
        <f>IF('Rate Log'!$C$113="","",IF($A4374=0,'Rate Log'!$C$113,IF(ISBLANK(INDEX(att_actdate,$A4374)),'Rate Log'!$C$113,INDEX(att_actdate,$A4374))))</f>
        <v/>
      </c>
      <c r="E4374" s="74" t="str">
        <f t="shared" si="1585"/>
        <v/>
      </c>
      <c r="F4374" s="75">
        <f t="shared" si="1586"/>
        <v>0</v>
      </c>
      <c r="G4374" s="75">
        <f>IF($D4374="",0,COUNTIFS(rl_key,'Rate Log'!$J$113,$E$4268:$E$4507,$E4374,$D$4268:$D$4507,"&lt;"&amp;$D4374))</f>
        <v>0</v>
      </c>
      <c r="H4374" s="75">
        <f>IF($D4374="",0,COUNTIFS('Rate Log'!$J$7:$J$113,'Rate Log'!$J$113,$E$4268:$E4374,$E4374,$D$4268:$D4374,$D4374))</f>
        <v>0</v>
      </c>
      <c r="I4374" s="75">
        <f t="shared" si="1587"/>
        <v>0</v>
      </c>
    </row>
    <row r="4375" spans="1:9" x14ac:dyDescent="0.3">
      <c r="A4375" s="75">
        <f>IF(OR('Rate Log'!$J$114&lt;&gt;nr_SelKey,'Rate Log'!$E$114&lt;&gt;"planned",'Rate Log'!$C$114=""),0,COUNTIFS('Rate Log'!$J$7:$J$114,nr_SelKey,'Rate Log'!$E$7:$E$114,"planned"))</f>
        <v>0</v>
      </c>
      <c r="B4375" s="72">
        <f>IF($A4375=0,N('Rate Log'!$K$114),IF(ISBLANK(INDEX(att_actpct,$A4375)),N('Rate Log'!$K$114),INDEX(att_actpct,$A4375)))</f>
        <v>0</v>
      </c>
      <c r="C4375" s="73">
        <f>IF('Rate Log'!$C$114="",0,IF(1+$B4375&gt;0,LN(1+$B4375),0))</f>
        <v>0</v>
      </c>
      <c r="D4375" s="74" t="str">
        <f>IF('Rate Log'!$C$114="","",IF($A4375=0,'Rate Log'!$C$114,IF(ISBLANK(INDEX(att_actdate,$A4375)),'Rate Log'!$C$114,INDEX(att_actdate,$A4375))))</f>
        <v/>
      </c>
      <c r="E4375" s="74" t="str">
        <f t="shared" si="1585"/>
        <v/>
      </c>
      <c r="F4375" s="75">
        <f t="shared" si="1586"/>
        <v>0</v>
      </c>
      <c r="G4375" s="75">
        <f>IF($D4375="",0,COUNTIFS(rl_key,'Rate Log'!$J$114,$E$4268:$E$4507,$E4375,$D$4268:$D$4507,"&lt;"&amp;$D4375))</f>
        <v>0</v>
      </c>
      <c r="H4375" s="75">
        <f>IF($D4375="",0,COUNTIFS('Rate Log'!$J$7:$J$114,'Rate Log'!$J$114,$E$4268:$E4375,$E4375,$D$4268:$D4375,$D4375))</f>
        <v>0</v>
      </c>
      <c r="I4375" s="75">
        <f t="shared" si="1587"/>
        <v>0</v>
      </c>
    </row>
    <row r="4376" spans="1:9" x14ac:dyDescent="0.3">
      <c r="A4376" s="75">
        <f>IF(OR('Rate Log'!$J$115&lt;&gt;nr_SelKey,'Rate Log'!$E$115&lt;&gt;"planned",'Rate Log'!$C$115=""),0,COUNTIFS('Rate Log'!$J$7:$J$115,nr_SelKey,'Rate Log'!$E$7:$E$115,"planned"))</f>
        <v>0</v>
      </c>
      <c r="B4376" s="72">
        <f>IF($A4376=0,N('Rate Log'!$K$115),IF(ISBLANK(INDEX(att_actpct,$A4376)),N('Rate Log'!$K$115),INDEX(att_actpct,$A4376)))</f>
        <v>0</v>
      </c>
      <c r="C4376" s="73">
        <f>IF('Rate Log'!$C$115="",0,IF(1+$B4376&gt;0,LN(1+$B4376),0))</f>
        <v>0</v>
      </c>
      <c r="D4376" s="74" t="str">
        <f>IF('Rate Log'!$C$115="","",IF($A4376=0,'Rate Log'!$C$115,IF(ISBLANK(INDEX(att_actdate,$A4376)),'Rate Log'!$C$115,INDEX(att_actdate,$A4376))))</f>
        <v/>
      </c>
      <c r="E4376" s="74" t="str">
        <f t="shared" si="1585"/>
        <v/>
      </c>
      <c r="F4376" s="75">
        <f t="shared" si="1586"/>
        <v>0</v>
      </c>
      <c r="G4376" s="75">
        <f>IF($D4376="",0,COUNTIFS(rl_key,'Rate Log'!$J$115,$E$4268:$E$4507,$E4376,$D$4268:$D$4507,"&lt;"&amp;$D4376))</f>
        <v>0</v>
      </c>
      <c r="H4376" s="75">
        <f>IF($D4376="",0,COUNTIFS('Rate Log'!$J$7:$J$115,'Rate Log'!$J$115,$E$4268:$E4376,$E4376,$D$4268:$D4376,$D4376))</f>
        <v>0</v>
      </c>
      <c r="I4376" s="75">
        <f t="shared" si="1587"/>
        <v>0</v>
      </c>
    </row>
    <row r="4377" spans="1:9" x14ac:dyDescent="0.3">
      <c r="A4377" s="75">
        <f>IF(OR('Rate Log'!$J$116&lt;&gt;nr_SelKey,'Rate Log'!$E$116&lt;&gt;"planned",'Rate Log'!$C$116=""),0,COUNTIFS('Rate Log'!$J$7:$J$116,nr_SelKey,'Rate Log'!$E$7:$E$116,"planned"))</f>
        <v>0</v>
      </c>
      <c r="B4377" s="72">
        <f>IF($A4377=0,N('Rate Log'!$K$116),IF(ISBLANK(INDEX(att_actpct,$A4377)),N('Rate Log'!$K$116),INDEX(att_actpct,$A4377)))</f>
        <v>0</v>
      </c>
      <c r="C4377" s="73">
        <f>IF('Rate Log'!$C$116="",0,IF(1+$B4377&gt;0,LN(1+$B4377),0))</f>
        <v>0</v>
      </c>
      <c r="D4377" s="74" t="str">
        <f>IF('Rate Log'!$C$116="","",IF($A4377=0,'Rate Log'!$C$116,IF(ISBLANK(INDEX(att_actdate,$A4377)),'Rate Log'!$C$116,INDEX(att_actdate,$A4377))))</f>
        <v/>
      </c>
      <c r="E4377" s="74" t="str">
        <f t="shared" si="1585"/>
        <v/>
      </c>
      <c r="F4377" s="75">
        <f t="shared" si="1586"/>
        <v>0</v>
      </c>
      <c r="G4377" s="75">
        <f>IF($D4377="",0,COUNTIFS(rl_key,'Rate Log'!$J$116,$E$4268:$E$4507,$E4377,$D$4268:$D$4507,"&lt;"&amp;$D4377))</f>
        <v>0</v>
      </c>
      <c r="H4377" s="75">
        <f>IF($D4377="",0,COUNTIFS('Rate Log'!$J$7:$J$116,'Rate Log'!$J$116,$E$4268:$E4377,$E4377,$D$4268:$D4377,$D4377))</f>
        <v>0</v>
      </c>
      <c r="I4377" s="75">
        <f t="shared" si="1587"/>
        <v>0</v>
      </c>
    </row>
    <row r="4378" spans="1:9" x14ac:dyDescent="0.3">
      <c r="A4378" s="75">
        <f>IF(OR('Rate Log'!$J$117&lt;&gt;nr_SelKey,'Rate Log'!$E$117&lt;&gt;"planned",'Rate Log'!$C$117=""),0,COUNTIFS('Rate Log'!$J$7:$J$117,nr_SelKey,'Rate Log'!$E$7:$E$117,"planned"))</f>
        <v>0</v>
      </c>
      <c r="B4378" s="72">
        <f>IF($A4378=0,N('Rate Log'!$K$117),IF(ISBLANK(INDEX(att_actpct,$A4378)),N('Rate Log'!$K$117),INDEX(att_actpct,$A4378)))</f>
        <v>0</v>
      </c>
      <c r="C4378" s="73">
        <f>IF('Rate Log'!$C$117="",0,IF(1+$B4378&gt;0,LN(1+$B4378),0))</f>
        <v>0</v>
      </c>
      <c r="D4378" s="74" t="str">
        <f>IF('Rate Log'!$C$117="","",IF($A4378=0,'Rate Log'!$C$117,IF(ISBLANK(INDEX(att_actdate,$A4378)),'Rate Log'!$C$117,INDEX(att_actdate,$A4378))))</f>
        <v/>
      </c>
      <c r="E4378" s="74" t="str">
        <f t="shared" si="1585"/>
        <v/>
      </c>
      <c r="F4378" s="75">
        <f t="shared" si="1586"/>
        <v>0</v>
      </c>
      <c r="G4378" s="75">
        <f>IF($D4378="",0,COUNTIFS(rl_key,'Rate Log'!$J$117,$E$4268:$E$4507,$E4378,$D$4268:$D$4507,"&lt;"&amp;$D4378))</f>
        <v>0</v>
      </c>
      <c r="H4378" s="75">
        <f>IF($D4378="",0,COUNTIFS('Rate Log'!$J$7:$J$117,'Rate Log'!$J$117,$E$4268:$E4378,$E4378,$D$4268:$D4378,$D4378))</f>
        <v>0</v>
      </c>
      <c r="I4378" s="75">
        <f t="shared" si="1587"/>
        <v>0</v>
      </c>
    </row>
    <row r="4379" spans="1:9" x14ac:dyDescent="0.3">
      <c r="A4379" s="75">
        <f>IF(OR('Rate Log'!$J$118&lt;&gt;nr_SelKey,'Rate Log'!$E$118&lt;&gt;"planned",'Rate Log'!$C$118=""),0,COUNTIFS('Rate Log'!$J$7:$J$118,nr_SelKey,'Rate Log'!$E$7:$E$118,"planned"))</f>
        <v>0</v>
      </c>
      <c r="B4379" s="72">
        <f>IF($A4379=0,N('Rate Log'!$K$118),IF(ISBLANK(INDEX(att_actpct,$A4379)),N('Rate Log'!$K$118),INDEX(att_actpct,$A4379)))</f>
        <v>0</v>
      </c>
      <c r="C4379" s="73">
        <f>IF('Rate Log'!$C$118="",0,IF(1+$B4379&gt;0,LN(1+$B4379),0))</f>
        <v>0</v>
      </c>
      <c r="D4379" s="74" t="str">
        <f>IF('Rate Log'!$C$118="","",IF($A4379=0,'Rate Log'!$C$118,IF(ISBLANK(INDEX(att_actdate,$A4379)),'Rate Log'!$C$118,INDEX(att_actdate,$A4379))))</f>
        <v/>
      </c>
      <c r="E4379" s="74" t="str">
        <f t="shared" si="1585"/>
        <v/>
      </c>
      <c r="F4379" s="75">
        <f t="shared" si="1586"/>
        <v>0</v>
      </c>
      <c r="G4379" s="75">
        <f>IF($D4379="",0,COUNTIFS(rl_key,'Rate Log'!$J$118,$E$4268:$E$4507,$E4379,$D$4268:$D$4507,"&lt;"&amp;$D4379))</f>
        <v>0</v>
      </c>
      <c r="H4379" s="75">
        <f>IF($D4379="",0,COUNTIFS('Rate Log'!$J$7:$J$118,'Rate Log'!$J$118,$E$4268:$E4379,$E4379,$D$4268:$D4379,$D4379))</f>
        <v>0</v>
      </c>
      <c r="I4379" s="75">
        <f t="shared" si="1587"/>
        <v>0</v>
      </c>
    </row>
    <row r="4380" spans="1:9" x14ac:dyDescent="0.3">
      <c r="A4380" s="75">
        <f>IF(OR('Rate Log'!$J$119&lt;&gt;nr_SelKey,'Rate Log'!$E$119&lt;&gt;"planned",'Rate Log'!$C$119=""),0,COUNTIFS('Rate Log'!$J$7:$J$119,nr_SelKey,'Rate Log'!$E$7:$E$119,"planned"))</f>
        <v>0</v>
      </c>
      <c r="B4380" s="72">
        <f>IF($A4380=0,N('Rate Log'!$K$119),IF(ISBLANK(INDEX(att_actpct,$A4380)),N('Rate Log'!$K$119),INDEX(att_actpct,$A4380)))</f>
        <v>0</v>
      </c>
      <c r="C4380" s="73">
        <f>IF('Rate Log'!$C$119="",0,IF(1+$B4380&gt;0,LN(1+$B4380),0))</f>
        <v>0</v>
      </c>
      <c r="D4380" s="74" t="str">
        <f>IF('Rate Log'!$C$119="","",IF($A4380=0,'Rate Log'!$C$119,IF(ISBLANK(INDEX(att_actdate,$A4380)),'Rate Log'!$C$119,INDEX(att_actdate,$A4380))))</f>
        <v/>
      </c>
      <c r="E4380" s="74" t="str">
        <f t="shared" si="1585"/>
        <v/>
      </c>
      <c r="F4380" s="75">
        <f t="shared" si="1586"/>
        <v>0</v>
      </c>
      <c r="G4380" s="75">
        <f>IF($D4380="",0,COUNTIFS(rl_key,'Rate Log'!$J$119,$E$4268:$E$4507,$E4380,$D$4268:$D$4507,"&lt;"&amp;$D4380))</f>
        <v>0</v>
      </c>
      <c r="H4380" s="75">
        <f>IF($D4380="",0,COUNTIFS('Rate Log'!$J$7:$J$119,'Rate Log'!$J$119,$E$4268:$E4380,$E4380,$D$4268:$D4380,$D4380))</f>
        <v>0</v>
      </c>
      <c r="I4380" s="75">
        <f t="shared" si="1587"/>
        <v>0</v>
      </c>
    </row>
    <row r="4381" spans="1:9" x14ac:dyDescent="0.3">
      <c r="A4381" s="75">
        <f>IF(OR('Rate Log'!$J$120&lt;&gt;nr_SelKey,'Rate Log'!$E$120&lt;&gt;"planned",'Rate Log'!$C$120=""),0,COUNTIFS('Rate Log'!$J$7:$J$120,nr_SelKey,'Rate Log'!$E$7:$E$120,"planned"))</f>
        <v>0</v>
      </c>
      <c r="B4381" s="72">
        <f>IF($A4381=0,N('Rate Log'!$K$120),IF(ISBLANK(INDEX(att_actpct,$A4381)),N('Rate Log'!$K$120),INDEX(att_actpct,$A4381)))</f>
        <v>0</v>
      </c>
      <c r="C4381" s="73">
        <f>IF('Rate Log'!$C$120="",0,IF(1+$B4381&gt;0,LN(1+$B4381),0))</f>
        <v>0</v>
      </c>
      <c r="D4381" s="74" t="str">
        <f>IF('Rate Log'!$C$120="","",IF($A4381=0,'Rate Log'!$C$120,IF(ISBLANK(INDEX(att_actdate,$A4381)),'Rate Log'!$C$120,INDEX(att_actdate,$A4381))))</f>
        <v/>
      </c>
      <c r="E4381" s="74" t="str">
        <f t="shared" si="1585"/>
        <v/>
      </c>
      <c r="F4381" s="75">
        <f t="shared" si="1586"/>
        <v>0</v>
      </c>
      <c r="G4381" s="75">
        <f>IF($D4381="",0,COUNTIFS(rl_key,'Rate Log'!$J$120,$E$4268:$E$4507,$E4381,$D$4268:$D$4507,"&lt;"&amp;$D4381))</f>
        <v>0</v>
      </c>
      <c r="H4381" s="75">
        <f>IF($D4381="",0,COUNTIFS('Rate Log'!$J$7:$J$120,'Rate Log'!$J$120,$E$4268:$E4381,$E4381,$D$4268:$D4381,$D4381))</f>
        <v>0</v>
      </c>
      <c r="I4381" s="75">
        <f t="shared" si="1587"/>
        <v>0</v>
      </c>
    </row>
    <row r="4382" spans="1:9" x14ac:dyDescent="0.3">
      <c r="A4382" s="75">
        <f>IF(OR('Rate Log'!$J$121&lt;&gt;nr_SelKey,'Rate Log'!$E$121&lt;&gt;"planned",'Rate Log'!$C$121=""),0,COUNTIFS('Rate Log'!$J$7:$J$121,nr_SelKey,'Rate Log'!$E$7:$E$121,"planned"))</f>
        <v>0</v>
      </c>
      <c r="B4382" s="72">
        <f>IF($A4382=0,N('Rate Log'!$K$121),IF(ISBLANK(INDEX(att_actpct,$A4382)),N('Rate Log'!$K$121),INDEX(att_actpct,$A4382)))</f>
        <v>0</v>
      </c>
      <c r="C4382" s="73">
        <f>IF('Rate Log'!$C$121="",0,IF(1+$B4382&gt;0,LN(1+$B4382),0))</f>
        <v>0</v>
      </c>
      <c r="D4382" s="74" t="str">
        <f>IF('Rate Log'!$C$121="","",IF($A4382=0,'Rate Log'!$C$121,IF(ISBLANK(INDEX(att_actdate,$A4382)),'Rate Log'!$C$121,INDEX(att_actdate,$A4382))))</f>
        <v/>
      </c>
      <c r="E4382" s="74" t="str">
        <f t="shared" si="1585"/>
        <v/>
      </c>
      <c r="F4382" s="75">
        <f t="shared" si="1586"/>
        <v>0</v>
      </c>
      <c r="G4382" s="75">
        <f>IF($D4382="",0,COUNTIFS(rl_key,'Rate Log'!$J$121,$E$4268:$E$4507,$E4382,$D$4268:$D$4507,"&lt;"&amp;$D4382))</f>
        <v>0</v>
      </c>
      <c r="H4382" s="75">
        <f>IF($D4382="",0,COUNTIFS('Rate Log'!$J$7:$J$121,'Rate Log'!$J$121,$E$4268:$E4382,$E4382,$D$4268:$D4382,$D4382))</f>
        <v>0</v>
      </c>
      <c r="I4382" s="75">
        <f t="shared" si="1587"/>
        <v>0</v>
      </c>
    </row>
    <row r="4383" spans="1:9" x14ac:dyDescent="0.3">
      <c r="A4383" s="75">
        <f>IF(OR('Rate Log'!$J$122&lt;&gt;nr_SelKey,'Rate Log'!$E$122&lt;&gt;"planned",'Rate Log'!$C$122=""),0,COUNTIFS('Rate Log'!$J$7:$J$122,nr_SelKey,'Rate Log'!$E$7:$E$122,"planned"))</f>
        <v>0</v>
      </c>
      <c r="B4383" s="72">
        <f>IF($A4383=0,N('Rate Log'!$K$122),IF(ISBLANK(INDEX(att_actpct,$A4383)),N('Rate Log'!$K$122),INDEX(att_actpct,$A4383)))</f>
        <v>0</v>
      </c>
      <c r="C4383" s="73">
        <f>IF('Rate Log'!$C$122="",0,IF(1+$B4383&gt;0,LN(1+$B4383),0))</f>
        <v>0</v>
      </c>
      <c r="D4383" s="74" t="str">
        <f>IF('Rate Log'!$C$122="","",IF($A4383=0,'Rate Log'!$C$122,IF(ISBLANK(INDEX(att_actdate,$A4383)),'Rate Log'!$C$122,INDEX(att_actdate,$A4383))))</f>
        <v/>
      </c>
      <c r="E4383" s="74" t="str">
        <f t="shared" si="1585"/>
        <v/>
      </c>
      <c r="F4383" s="75">
        <f t="shared" si="1586"/>
        <v>0</v>
      </c>
      <c r="G4383" s="75">
        <f>IF($D4383="",0,COUNTIFS(rl_key,'Rate Log'!$J$122,$E$4268:$E$4507,$E4383,$D$4268:$D$4507,"&lt;"&amp;$D4383))</f>
        <v>0</v>
      </c>
      <c r="H4383" s="75">
        <f>IF($D4383="",0,COUNTIFS('Rate Log'!$J$7:$J$122,'Rate Log'!$J$122,$E$4268:$E4383,$E4383,$D$4268:$D4383,$D4383))</f>
        <v>0</v>
      </c>
      <c r="I4383" s="75">
        <f t="shared" si="1587"/>
        <v>0</v>
      </c>
    </row>
    <row r="4384" spans="1:9" x14ac:dyDescent="0.3">
      <c r="A4384" s="75">
        <f>IF(OR('Rate Log'!$J$123&lt;&gt;nr_SelKey,'Rate Log'!$E$123&lt;&gt;"planned",'Rate Log'!$C$123=""),0,COUNTIFS('Rate Log'!$J$7:$J$123,nr_SelKey,'Rate Log'!$E$7:$E$123,"planned"))</f>
        <v>0</v>
      </c>
      <c r="B4384" s="72">
        <f>IF($A4384=0,N('Rate Log'!$K$123),IF(ISBLANK(INDEX(att_actpct,$A4384)),N('Rate Log'!$K$123),INDEX(att_actpct,$A4384)))</f>
        <v>0</v>
      </c>
      <c r="C4384" s="73">
        <f>IF('Rate Log'!$C$123="",0,IF(1+$B4384&gt;0,LN(1+$B4384),0))</f>
        <v>0</v>
      </c>
      <c r="D4384" s="74" t="str">
        <f>IF('Rate Log'!$C$123="","",IF($A4384=0,'Rate Log'!$C$123,IF(ISBLANK(INDEX(att_actdate,$A4384)),'Rate Log'!$C$123,INDEX(att_actdate,$A4384))))</f>
        <v/>
      </c>
      <c r="E4384" s="74" t="str">
        <f t="shared" si="1585"/>
        <v/>
      </c>
      <c r="F4384" s="75">
        <f t="shared" si="1586"/>
        <v>0</v>
      </c>
      <c r="G4384" s="75">
        <f>IF($D4384="",0,COUNTIFS(rl_key,'Rate Log'!$J$123,$E$4268:$E$4507,$E4384,$D$4268:$D$4507,"&lt;"&amp;$D4384))</f>
        <v>0</v>
      </c>
      <c r="H4384" s="75">
        <f>IF($D4384="",0,COUNTIFS('Rate Log'!$J$7:$J$123,'Rate Log'!$J$123,$E$4268:$E4384,$E4384,$D$4268:$D4384,$D4384))</f>
        <v>0</v>
      </c>
      <c r="I4384" s="75">
        <f t="shared" si="1587"/>
        <v>0</v>
      </c>
    </row>
    <row r="4385" spans="1:9" x14ac:dyDescent="0.3">
      <c r="A4385" s="75">
        <f>IF(OR('Rate Log'!$J$124&lt;&gt;nr_SelKey,'Rate Log'!$E$124&lt;&gt;"planned",'Rate Log'!$C$124=""),0,COUNTIFS('Rate Log'!$J$7:$J$124,nr_SelKey,'Rate Log'!$E$7:$E$124,"planned"))</f>
        <v>0</v>
      </c>
      <c r="B4385" s="72">
        <f>IF($A4385=0,N('Rate Log'!$K$124),IF(ISBLANK(INDEX(att_actpct,$A4385)),N('Rate Log'!$K$124),INDEX(att_actpct,$A4385)))</f>
        <v>0</v>
      </c>
      <c r="C4385" s="73">
        <f>IF('Rate Log'!$C$124="",0,IF(1+$B4385&gt;0,LN(1+$B4385),0))</f>
        <v>0</v>
      </c>
      <c r="D4385" s="74" t="str">
        <f>IF('Rate Log'!$C$124="","",IF($A4385=0,'Rate Log'!$C$124,IF(ISBLANK(INDEX(att_actdate,$A4385)),'Rate Log'!$C$124,INDEX(att_actdate,$A4385))))</f>
        <v/>
      </c>
      <c r="E4385" s="74" t="str">
        <f t="shared" si="1585"/>
        <v/>
      </c>
      <c r="F4385" s="75">
        <f t="shared" si="1586"/>
        <v>0</v>
      </c>
      <c r="G4385" s="75">
        <f>IF($D4385="",0,COUNTIFS(rl_key,'Rate Log'!$J$124,$E$4268:$E$4507,$E4385,$D$4268:$D$4507,"&lt;"&amp;$D4385))</f>
        <v>0</v>
      </c>
      <c r="H4385" s="75">
        <f>IF($D4385="",0,COUNTIFS('Rate Log'!$J$7:$J$124,'Rate Log'!$J$124,$E$4268:$E4385,$E4385,$D$4268:$D4385,$D4385))</f>
        <v>0</v>
      </c>
      <c r="I4385" s="75">
        <f t="shared" si="1587"/>
        <v>0</v>
      </c>
    </row>
    <row r="4386" spans="1:9" x14ac:dyDescent="0.3">
      <c r="A4386" s="75">
        <f>IF(OR('Rate Log'!$J$125&lt;&gt;nr_SelKey,'Rate Log'!$E$125&lt;&gt;"planned",'Rate Log'!$C$125=""),0,COUNTIFS('Rate Log'!$J$7:$J$125,nr_SelKey,'Rate Log'!$E$7:$E$125,"planned"))</f>
        <v>0</v>
      </c>
      <c r="B4386" s="72">
        <f>IF($A4386=0,N('Rate Log'!$K$125),IF(ISBLANK(INDEX(att_actpct,$A4386)),N('Rate Log'!$K$125),INDEX(att_actpct,$A4386)))</f>
        <v>0</v>
      </c>
      <c r="C4386" s="73">
        <f>IF('Rate Log'!$C$125="",0,IF(1+$B4386&gt;0,LN(1+$B4386),0))</f>
        <v>0</v>
      </c>
      <c r="D4386" s="74" t="str">
        <f>IF('Rate Log'!$C$125="","",IF($A4386=0,'Rate Log'!$C$125,IF(ISBLANK(INDEX(att_actdate,$A4386)),'Rate Log'!$C$125,INDEX(att_actdate,$A4386))))</f>
        <v/>
      </c>
      <c r="E4386" s="74" t="str">
        <f t="shared" si="1585"/>
        <v/>
      </c>
      <c r="F4386" s="75">
        <f t="shared" si="1586"/>
        <v>0</v>
      </c>
      <c r="G4386" s="75">
        <f>IF($D4386="",0,COUNTIFS(rl_key,'Rate Log'!$J$125,$E$4268:$E$4507,$E4386,$D$4268:$D$4507,"&lt;"&amp;$D4386))</f>
        <v>0</v>
      </c>
      <c r="H4386" s="75">
        <f>IF($D4386="",0,COUNTIFS('Rate Log'!$J$7:$J$125,'Rate Log'!$J$125,$E$4268:$E4386,$E4386,$D$4268:$D4386,$D4386))</f>
        <v>0</v>
      </c>
      <c r="I4386" s="75">
        <f t="shared" si="1587"/>
        <v>0</v>
      </c>
    </row>
    <row r="4387" spans="1:9" x14ac:dyDescent="0.3">
      <c r="A4387" s="75">
        <f>IF(OR('Rate Log'!$J$126&lt;&gt;nr_SelKey,'Rate Log'!$E$126&lt;&gt;"planned",'Rate Log'!$C$126=""),0,COUNTIFS('Rate Log'!$J$7:$J$126,nr_SelKey,'Rate Log'!$E$7:$E$126,"planned"))</f>
        <v>0</v>
      </c>
      <c r="B4387" s="72">
        <f>IF($A4387=0,N('Rate Log'!$K$126),IF(ISBLANK(INDEX(att_actpct,$A4387)),N('Rate Log'!$K$126),INDEX(att_actpct,$A4387)))</f>
        <v>0</v>
      </c>
      <c r="C4387" s="73">
        <f>IF('Rate Log'!$C$126="",0,IF(1+$B4387&gt;0,LN(1+$B4387),0))</f>
        <v>0</v>
      </c>
      <c r="D4387" s="74" t="str">
        <f>IF('Rate Log'!$C$126="","",IF($A4387=0,'Rate Log'!$C$126,IF(ISBLANK(INDEX(att_actdate,$A4387)),'Rate Log'!$C$126,INDEX(att_actdate,$A4387))))</f>
        <v/>
      </c>
      <c r="E4387" s="74" t="str">
        <f t="shared" si="1585"/>
        <v/>
      </c>
      <c r="F4387" s="75">
        <f t="shared" si="1586"/>
        <v>0</v>
      </c>
      <c r="G4387" s="75">
        <f>IF($D4387="",0,COUNTIFS(rl_key,'Rate Log'!$J$126,$E$4268:$E$4507,$E4387,$D$4268:$D$4507,"&lt;"&amp;$D4387))</f>
        <v>0</v>
      </c>
      <c r="H4387" s="75">
        <f>IF($D4387="",0,COUNTIFS('Rate Log'!$J$7:$J$126,'Rate Log'!$J$126,$E$4268:$E4387,$E4387,$D$4268:$D4387,$D4387))</f>
        <v>0</v>
      </c>
      <c r="I4387" s="75">
        <f t="shared" si="1587"/>
        <v>0</v>
      </c>
    </row>
    <row r="4388" spans="1:9" x14ac:dyDescent="0.3">
      <c r="A4388" s="75">
        <f>IF(OR('Rate Log'!$J$127&lt;&gt;nr_SelKey,'Rate Log'!$E$127&lt;&gt;"planned",'Rate Log'!$C$127=""),0,COUNTIFS('Rate Log'!$J$7:$J$127,nr_SelKey,'Rate Log'!$E$7:$E$127,"planned"))</f>
        <v>0</v>
      </c>
      <c r="B4388" s="72">
        <f>IF($A4388=0,N('Rate Log'!$K$127),IF(ISBLANK(INDEX(att_actpct,$A4388)),N('Rate Log'!$K$127),INDEX(att_actpct,$A4388)))</f>
        <v>0</v>
      </c>
      <c r="C4388" s="73">
        <f>IF('Rate Log'!$C$127="",0,IF(1+$B4388&gt;0,LN(1+$B4388),0))</f>
        <v>0</v>
      </c>
      <c r="D4388" s="74" t="str">
        <f>IF('Rate Log'!$C$127="","",IF($A4388=0,'Rate Log'!$C$127,IF(ISBLANK(INDEX(att_actdate,$A4388)),'Rate Log'!$C$127,INDEX(att_actdate,$A4388))))</f>
        <v/>
      </c>
      <c r="E4388" s="74" t="str">
        <f t="shared" si="1585"/>
        <v/>
      </c>
      <c r="F4388" s="75">
        <f t="shared" si="1586"/>
        <v>0</v>
      </c>
      <c r="G4388" s="75">
        <f>IF($D4388="",0,COUNTIFS(rl_key,'Rate Log'!$J$127,$E$4268:$E$4507,$E4388,$D$4268:$D$4507,"&lt;"&amp;$D4388))</f>
        <v>0</v>
      </c>
      <c r="H4388" s="75">
        <f>IF($D4388="",0,COUNTIFS('Rate Log'!$J$7:$J$127,'Rate Log'!$J$127,$E$4268:$E4388,$E4388,$D$4268:$D4388,$D4388))</f>
        <v>0</v>
      </c>
      <c r="I4388" s="75">
        <f t="shared" si="1587"/>
        <v>0</v>
      </c>
    </row>
    <row r="4389" spans="1:9" x14ac:dyDescent="0.3">
      <c r="A4389" s="75">
        <f>IF(OR('Rate Log'!$J$128&lt;&gt;nr_SelKey,'Rate Log'!$E$128&lt;&gt;"planned",'Rate Log'!$C$128=""),0,COUNTIFS('Rate Log'!$J$7:$J$128,nr_SelKey,'Rate Log'!$E$7:$E$128,"planned"))</f>
        <v>0</v>
      </c>
      <c r="B4389" s="72">
        <f>IF($A4389=0,N('Rate Log'!$K$128),IF(ISBLANK(INDEX(att_actpct,$A4389)),N('Rate Log'!$K$128),INDEX(att_actpct,$A4389)))</f>
        <v>0</v>
      </c>
      <c r="C4389" s="73">
        <f>IF('Rate Log'!$C$128="",0,IF(1+$B4389&gt;0,LN(1+$B4389),0))</f>
        <v>0</v>
      </c>
      <c r="D4389" s="74" t="str">
        <f>IF('Rate Log'!$C$128="","",IF($A4389=0,'Rate Log'!$C$128,IF(ISBLANK(INDEX(att_actdate,$A4389)),'Rate Log'!$C$128,INDEX(att_actdate,$A4389))))</f>
        <v/>
      </c>
      <c r="E4389" s="74" t="str">
        <f t="shared" si="1585"/>
        <v/>
      </c>
      <c r="F4389" s="75">
        <f t="shared" si="1586"/>
        <v>0</v>
      </c>
      <c r="G4389" s="75">
        <f>IF($D4389="",0,COUNTIFS(rl_key,'Rate Log'!$J$128,$E$4268:$E$4507,$E4389,$D$4268:$D$4507,"&lt;"&amp;$D4389))</f>
        <v>0</v>
      </c>
      <c r="H4389" s="75">
        <f>IF($D4389="",0,COUNTIFS('Rate Log'!$J$7:$J$128,'Rate Log'!$J$128,$E$4268:$E4389,$E4389,$D$4268:$D4389,$D4389))</f>
        <v>0</v>
      </c>
      <c r="I4389" s="75">
        <f t="shared" si="1587"/>
        <v>0</v>
      </c>
    </row>
    <row r="4390" spans="1:9" x14ac:dyDescent="0.3">
      <c r="A4390" s="75">
        <f>IF(OR('Rate Log'!$J$129&lt;&gt;nr_SelKey,'Rate Log'!$E$129&lt;&gt;"planned",'Rate Log'!$C$129=""),0,COUNTIFS('Rate Log'!$J$7:$J$129,nr_SelKey,'Rate Log'!$E$7:$E$129,"planned"))</f>
        <v>0</v>
      </c>
      <c r="B4390" s="72">
        <f>IF($A4390=0,N('Rate Log'!$K$129),IF(ISBLANK(INDEX(att_actpct,$A4390)),N('Rate Log'!$K$129),INDEX(att_actpct,$A4390)))</f>
        <v>0</v>
      </c>
      <c r="C4390" s="73">
        <f>IF('Rate Log'!$C$129="",0,IF(1+$B4390&gt;0,LN(1+$B4390),0))</f>
        <v>0</v>
      </c>
      <c r="D4390" s="74" t="str">
        <f>IF('Rate Log'!$C$129="","",IF($A4390=0,'Rate Log'!$C$129,IF(ISBLANK(INDEX(att_actdate,$A4390)),'Rate Log'!$C$129,INDEX(att_actdate,$A4390))))</f>
        <v/>
      </c>
      <c r="E4390" s="74" t="str">
        <f t="shared" si="1585"/>
        <v/>
      </c>
      <c r="F4390" s="75">
        <f t="shared" si="1586"/>
        <v>0</v>
      </c>
      <c r="G4390" s="75">
        <f>IF($D4390="",0,COUNTIFS(rl_key,'Rate Log'!$J$129,$E$4268:$E$4507,$E4390,$D$4268:$D$4507,"&lt;"&amp;$D4390))</f>
        <v>0</v>
      </c>
      <c r="H4390" s="75">
        <f>IF($D4390="",0,COUNTIFS('Rate Log'!$J$7:$J$129,'Rate Log'!$J$129,$E$4268:$E4390,$E4390,$D$4268:$D4390,$D4390))</f>
        <v>0</v>
      </c>
      <c r="I4390" s="75">
        <f t="shared" si="1587"/>
        <v>0</v>
      </c>
    </row>
    <row r="4391" spans="1:9" x14ac:dyDescent="0.3">
      <c r="A4391" s="75">
        <f>IF(OR('Rate Log'!$J$130&lt;&gt;nr_SelKey,'Rate Log'!$E$130&lt;&gt;"planned",'Rate Log'!$C$130=""),0,COUNTIFS('Rate Log'!$J$7:$J$130,nr_SelKey,'Rate Log'!$E$7:$E$130,"planned"))</f>
        <v>0</v>
      </c>
      <c r="B4391" s="72">
        <f>IF($A4391=0,N('Rate Log'!$K$130),IF(ISBLANK(INDEX(att_actpct,$A4391)),N('Rate Log'!$K$130),INDEX(att_actpct,$A4391)))</f>
        <v>0</v>
      </c>
      <c r="C4391" s="73">
        <f>IF('Rate Log'!$C$130="",0,IF(1+$B4391&gt;0,LN(1+$B4391),0))</f>
        <v>0</v>
      </c>
      <c r="D4391" s="74" t="str">
        <f>IF('Rate Log'!$C$130="","",IF($A4391=0,'Rate Log'!$C$130,IF(ISBLANK(INDEX(att_actdate,$A4391)),'Rate Log'!$C$130,INDEX(att_actdate,$A4391))))</f>
        <v/>
      </c>
      <c r="E4391" s="74" t="str">
        <f t="shared" si="1585"/>
        <v/>
      </c>
      <c r="F4391" s="75">
        <f t="shared" si="1586"/>
        <v>0</v>
      </c>
      <c r="G4391" s="75">
        <f>IF($D4391="",0,COUNTIFS(rl_key,'Rate Log'!$J$130,$E$4268:$E$4507,$E4391,$D$4268:$D$4507,"&lt;"&amp;$D4391))</f>
        <v>0</v>
      </c>
      <c r="H4391" s="75">
        <f>IF($D4391="",0,COUNTIFS('Rate Log'!$J$7:$J$130,'Rate Log'!$J$130,$E$4268:$E4391,$E4391,$D$4268:$D4391,$D4391))</f>
        <v>0</v>
      </c>
      <c r="I4391" s="75">
        <f t="shared" si="1587"/>
        <v>0</v>
      </c>
    </row>
    <row r="4392" spans="1:9" x14ac:dyDescent="0.3">
      <c r="A4392" s="75">
        <f>IF(OR('Rate Log'!$J$131&lt;&gt;nr_SelKey,'Rate Log'!$E$131&lt;&gt;"planned",'Rate Log'!$C$131=""),0,COUNTIFS('Rate Log'!$J$7:$J$131,nr_SelKey,'Rate Log'!$E$7:$E$131,"planned"))</f>
        <v>0</v>
      </c>
      <c r="B4392" s="72">
        <f>IF($A4392=0,N('Rate Log'!$K$131),IF(ISBLANK(INDEX(att_actpct,$A4392)),N('Rate Log'!$K$131),INDEX(att_actpct,$A4392)))</f>
        <v>0</v>
      </c>
      <c r="C4392" s="73">
        <f>IF('Rate Log'!$C$131="",0,IF(1+$B4392&gt;0,LN(1+$B4392),0))</f>
        <v>0</v>
      </c>
      <c r="D4392" s="74" t="str">
        <f>IF('Rate Log'!$C$131="","",IF($A4392=0,'Rate Log'!$C$131,IF(ISBLANK(INDEX(att_actdate,$A4392)),'Rate Log'!$C$131,INDEX(att_actdate,$A4392))))</f>
        <v/>
      </c>
      <c r="E4392" s="74" t="str">
        <f t="shared" si="1585"/>
        <v/>
      </c>
      <c r="F4392" s="75">
        <f t="shared" si="1586"/>
        <v>0</v>
      </c>
      <c r="G4392" s="75">
        <f>IF($D4392="",0,COUNTIFS(rl_key,'Rate Log'!$J$131,$E$4268:$E$4507,$E4392,$D$4268:$D$4507,"&lt;"&amp;$D4392))</f>
        <v>0</v>
      </c>
      <c r="H4392" s="75">
        <f>IF($D4392="",0,COUNTIFS('Rate Log'!$J$7:$J$131,'Rate Log'!$J$131,$E$4268:$E4392,$E4392,$D$4268:$D4392,$D4392))</f>
        <v>0</v>
      </c>
      <c r="I4392" s="75">
        <f t="shared" si="1587"/>
        <v>0</v>
      </c>
    </row>
    <row r="4393" spans="1:9" x14ac:dyDescent="0.3">
      <c r="A4393" s="75">
        <f>IF(OR('Rate Log'!$J$132&lt;&gt;nr_SelKey,'Rate Log'!$E$132&lt;&gt;"planned",'Rate Log'!$C$132=""),0,COUNTIFS('Rate Log'!$J$7:$J$132,nr_SelKey,'Rate Log'!$E$7:$E$132,"planned"))</f>
        <v>0</v>
      </c>
      <c r="B4393" s="72">
        <f>IF($A4393=0,N('Rate Log'!$K$132),IF(ISBLANK(INDEX(att_actpct,$A4393)),N('Rate Log'!$K$132),INDEX(att_actpct,$A4393)))</f>
        <v>0</v>
      </c>
      <c r="C4393" s="73">
        <f>IF('Rate Log'!$C$132="",0,IF(1+$B4393&gt;0,LN(1+$B4393),0))</f>
        <v>0</v>
      </c>
      <c r="D4393" s="74" t="str">
        <f>IF('Rate Log'!$C$132="","",IF($A4393=0,'Rate Log'!$C$132,IF(ISBLANK(INDEX(att_actdate,$A4393)),'Rate Log'!$C$132,INDEX(att_actdate,$A4393))))</f>
        <v/>
      </c>
      <c r="E4393" s="74" t="str">
        <f t="shared" si="1585"/>
        <v/>
      </c>
      <c r="F4393" s="75">
        <f t="shared" si="1586"/>
        <v>0</v>
      </c>
      <c r="G4393" s="75">
        <f>IF($D4393="",0,COUNTIFS(rl_key,'Rate Log'!$J$132,$E$4268:$E$4507,$E4393,$D$4268:$D$4507,"&lt;"&amp;$D4393))</f>
        <v>0</v>
      </c>
      <c r="H4393" s="75">
        <f>IF($D4393="",0,COUNTIFS('Rate Log'!$J$7:$J$132,'Rate Log'!$J$132,$E$4268:$E4393,$E4393,$D$4268:$D4393,$D4393))</f>
        <v>0</v>
      </c>
      <c r="I4393" s="75">
        <f t="shared" si="1587"/>
        <v>0</v>
      </c>
    </row>
    <row r="4394" spans="1:9" x14ac:dyDescent="0.3">
      <c r="A4394" s="75">
        <f>IF(OR('Rate Log'!$J$133&lt;&gt;nr_SelKey,'Rate Log'!$E$133&lt;&gt;"planned",'Rate Log'!$C$133=""),0,COUNTIFS('Rate Log'!$J$7:$J$133,nr_SelKey,'Rate Log'!$E$7:$E$133,"planned"))</f>
        <v>0</v>
      </c>
      <c r="B4394" s="72">
        <f>IF($A4394=0,N('Rate Log'!$K$133),IF(ISBLANK(INDEX(att_actpct,$A4394)),N('Rate Log'!$K$133),INDEX(att_actpct,$A4394)))</f>
        <v>0</v>
      </c>
      <c r="C4394" s="73">
        <f>IF('Rate Log'!$C$133="",0,IF(1+$B4394&gt;0,LN(1+$B4394),0))</f>
        <v>0</v>
      </c>
      <c r="D4394" s="74" t="str">
        <f>IF('Rate Log'!$C$133="","",IF($A4394=0,'Rate Log'!$C$133,IF(ISBLANK(INDEX(att_actdate,$A4394)),'Rate Log'!$C$133,INDEX(att_actdate,$A4394))))</f>
        <v/>
      </c>
      <c r="E4394" s="74" t="str">
        <f t="shared" si="1585"/>
        <v/>
      </c>
      <c r="F4394" s="75">
        <f t="shared" si="1586"/>
        <v>0</v>
      </c>
      <c r="G4394" s="75">
        <f>IF($D4394="",0,COUNTIFS(rl_key,'Rate Log'!$J$133,$E$4268:$E$4507,$E4394,$D$4268:$D$4507,"&lt;"&amp;$D4394))</f>
        <v>0</v>
      </c>
      <c r="H4394" s="75">
        <f>IF($D4394="",0,COUNTIFS('Rate Log'!$J$7:$J$133,'Rate Log'!$J$133,$E$4268:$E4394,$E4394,$D$4268:$D4394,$D4394))</f>
        <v>0</v>
      </c>
      <c r="I4394" s="75">
        <f t="shared" si="1587"/>
        <v>0</v>
      </c>
    </row>
    <row r="4395" spans="1:9" x14ac:dyDescent="0.3">
      <c r="A4395" s="75">
        <f>IF(OR('Rate Log'!$J$134&lt;&gt;nr_SelKey,'Rate Log'!$E$134&lt;&gt;"planned",'Rate Log'!$C$134=""),0,COUNTIFS('Rate Log'!$J$7:$J$134,nr_SelKey,'Rate Log'!$E$7:$E$134,"planned"))</f>
        <v>0</v>
      </c>
      <c r="B4395" s="72">
        <f>IF($A4395=0,N('Rate Log'!$K$134),IF(ISBLANK(INDEX(att_actpct,$A4395)),N('Rate Log'!$K$134),INDEX(att_actpct,$A4395)))</f>
        <v>0</v>
      </c>
      <c r="C4395" s="73">
        <f>IF('Rate Log'!$C$134="",0,IF(1+$B4395&gt;0,LN(1+$B4395),0))</f>
        <v>0</v>
      </c>
      <c r="D4395" s="74" t="str">
        <f>IF('Rate Log'!$C$134="","",IF($A4395=0,'Rate Log'!$C$134,IF(ISBLANK(INDEX(att_actdate,$A4395)),'Rate Log'!$C$134,INDEX(att_actdate,$A4395))))</f>
        <v/>
      </c>
      <c r="E4395" s="74" t="str">
        <f t="shared" si="1585"/>
        <v/>
      </c>
      <c r="F4395" s="75">
        <f t="shared" si="1586"/>
        <v>0</v>
      </c>
      <c r="G4395" s="75">
        <f>IF($D4395="",0,COUNTIFS(rl_key,'Rate Log'!$J$134,$E$4268:$E$4507,$E4395,$D$4268:$D$4507,"&lt;"&amp;$D4395))</f>
        <v>0</v>
      </c>
      <c r="H4395" s="75">
        <f>IF($D4395="",0,COUNTIFS('Rate Log'!$J$7:$J$134,'Rate Log'!$J$134,$E$4268:$E4395,$E4395,$D$4268:$D4395,$D4395))</f>
        <v>0</v>
      </c>
      <c r="I4395" s="75">
        <f t="shared" si="1587"/>
        <v>0</v>
      </c>
    </row>
    <row r="4396" spans="1:9" x14ac:dyDescent="0.3">
      <c r="A4396" s="75">
        <f>IF(OR('Rate Log'!$J$135&lt;&gt;nr_SelKey,'Rate Log'!$E$135&lt;&gt;"planned",'Rate Log'!$C$135=""),0,COUNTIFS('Rate Log'!$J$7:$J$135,nr_SelKey,'Rate Log'!$E$7:$E$135,"planned"))</f>
        <v>0</v>
      </c>
      <c r="B4396" s="72">
        <f>IF($A4396=0,N('Rate Log'!$K$135),IF(ISBLANK(INDEX(att_actpct,$A4396)),N('Rate Log'!$K$135),INDEX(att_actpct,$A4396)))</f>
        <v>0</v>
      </c>
      <c r="C4396" s="73">
        <f>IF('Rate Log'!$C$135="",0,IF(1+$B4396&gt;0,LN(1+$B4396),0))</f>
        <v>0</v>
      </c>
      <c r="D4396" s="74" t="str">
        <f>IF('Rate Log'!$C$135="","",IF($A4396=0,'Rate Log'!$C$135,IF(ISBLANK(INDEX(att_actdate,$A4396)),'Rate Log'!$C$135,INDEX(att_actdate,$A4396))))</f>
        <v/>
      </c>
      <c r="E4396" s="74" t="str">
        <f t="shared" ref="E4396:E4459" si="1588">IF($D4396="","",DATE(YEAR($D4396),MONTH($D4396),1))</f>
        <v/>
      </c>
      <c r="F4396" s="75">
        <f t="shared" ref="F4396:F4459" si="1589">IF($D4396="",0,EOMONTH($D4396,0)-$D4396+1)</f>
        <v>0</v>
      </c>
      <c r="G4396" s="75">
        <f>IF($D4396="",0,COUNTIFS(rl_key,'Rate Log'!$J$135,$E$4268:$E$4507,$E4396,$D$4268:$D$4507,"&lt;"&amp;$D4396))</f>
        <v>0</v>
      </c>
      <c r="H4396" s="75">
        <f>IF($D4396="",0,COUNTIFS('Rate Log'!$J$7:$J$135,'Rate Log'!$J$135,$E$4268:$E4396,$E4396,$D$4268:$D4396,$D4396))</f>
        <v>0</v>
      </c>
      <c r="I4396" s="75">
        <f t="shared" ref="I4396:I4459" si="1590">IF($D4396="",0,IF(AND($G4396=0,$H4396=1),1,0))</f>
        <v>0</v>
      </c>
    </row>
    <row r="4397" spans="1:9" x14ac:dyDescent="0.3">
      <c r="A4397" s="75">
        <f>IF(OR('Rate Log'!$J$136&lt;&gt;nr_SelKey,'Rate Log'!$E$136&lt;&gt;"planned",'Rate Log'!$C$136=""),0,COUNTIFS('Rate Log'!$J$7:$J$136,nr_SelKey,'Rate Log'!$E$7:$E$136,"planned"))</f>
        <v>0</v>
      </c>
      <c r="B4397" s="72">
        <f>IF($A4397=0,N('Rate Log'!$K$136),IF(ISBLANK(INDEX(att_actpct,$A4397)),N('Rate Log'!$K$136),INDEX(att_actpct,$A4397)))</f>
        <v>0</v>
      </c>
      <c r="C4397" s="73">
        <f>IF('Rate Log'!$C$136="",0,IF(1+$B4397&gt;0,LN(1+$B4397),0))</f>
        <v>0</v>
      </c>
      <c r="D4397" s="74" t="str">
        <f>IF('Rate Log'!$C$136="","",IF($A4397=0,'Rate Log'!$C$136,IF(ISBLANK(INDEX(att_actdate,$A4397)),'Rate Log'!$C$136,INDEX(att_actdate,$A4397))))</f>
        <v/>
      </c>
      <c r="E4397" s="74" t="str">
        <f t="shared" si="1588"/>
        <v/>
      </c>
      <c r="F4397" s="75">
        <f t="shared" si="1589"/>
        <v>0</v>
      </c>
      <c r="G4397" s="75">
        <f>IF($D4397="",0,COUNTIFS(rl_key,'Rate Log'!$J$136,$E$4268:$E$4507,$E4397,$D$4268:$D$4507,"&lt;"&amp;$D4397))</f>
        <v>0</v>
      </c>
      <c r="H4397" s="75">
        <f>IF($D4397="",0,COUNTIFS('Rate Log'!$J$7:$J$136,'Rate Log'!$J$136,$E$4268:$E4397,$E4397,$D$4268:$D4397,$D4397))</f>
        <v>0</v>
      </c>
      <c r="I4397" s="75">
        <f t="shared" si="1590"/>
        <v>0</v>
      </c>
    </row>
    <row r="4398" spans="1:9" x14ac:dyDescent="0.3">
      <c r="A4398" s="75">
        <f>IF(OR('Rate Log'!$J$137&lt;&gt;nr_SelKey,'Rate Log'!$E$137&lt;&gt;"planned",'Rate Log'!$C$137=""),0,COUNTIFS('Rate Log'!$J$7:$J$137,nr_SelKey,'Rate Log'!$E$7:$E$137,"planned"))</f>
        <v>0</v>
      </c>
      <c r="B4398" s="72">
        <f>IF($A4398=0,N('Rate Log'!$K$137),IF(ISBLANK(INDEX(att_actpct,$A4398)),N('Rate Log'!$K$137),INDEX(att_actpct,$A4398)))</f>
        <v>0</v>
      </c>
      <c r="C4398" s="73">
        <f>IF('Rate Log'!$C$137="",0,IF(1+$B4398&gt;0,LN(1+$B4398),0))</f>
        <v>0</v>
      </c>
      <c r="D4398" s="74" t="str">
        <f>IF('Rate Log'!$C$137="","",IF($A4398=0,'Rate Log'!$C$137,IF(ISBLANK(INDEX(att_actdate,$A4398)),'Rate Log'!$C$137,INDEX(att_actdate,$A4398))))</f>
        <v/>
      </c>
      <c r="E4398" s="74" t="str">
        <f t="shared" si="1588"/>
        <v/>
      </c>
      <c r="F4398" s="75">
        <f t="shared" si="1589"/>
        <v>0</v>
      </c>
      <c r="G4398" s="75">
        <f>IF($D4398="",0,COUNTIFS(rl_key,'Rate Log'!$J$137,$E$4268:$E$4507,$E4398,$D$4268:$D$4507,"&lt;"&amp;$D4398))</f>
        <v>0</v>
      </c>
      <c r="H4398" s="75">
        <f>IF($D4398="",0,COUNTIFS('Rate Log'!$J$7:$J$137,'Rate Log'!$J$137,$E$4268:$E4398,$E4398,$D$4268:$D4398,$D4398))</f>
        <v>0</v>
      </c>
      <c r="I4398" s="75">
        <f t="shared" si="1590"/>
        <v>0</v>
      </c>
    </row>
    <row r="4399" spans="1:9" x14ac:dyDescent="0.3">
      <c r="A4399" s="75">
        <f>IF(OR('Rate Log'!$J$138&lt;&gt;nr_SelKey,'Rate Log'!$E$138&lt;&gt;"planned",'Rate Log'!$C$138=""),0,COUNTIFS('Rate Log'!$J$7:$J$138,nr_SelKey,'Rate Log'!$E$7:$E$138,"planned"))</f>
        <v>0</v>
      </c>
      <c r="B4399" s="72">
        <f>IF($A4399=0,N('Rate Log'!$K$138),IF(ISBLANK(INDEX(att_actpct,$A4399)),N('Rate Log'!$K$138),INDEX(att_actpct,$A4399)))</f>
        <v>0</v>
      </c>
      <c r="C4399" s="73">
        <f>IF('Rate Log'!$C$138="",0,IF(1+$B4399&gt;0,LN(1+$B4399),0))</f>
        <v>0</v>
      </c>
      <c r="D4399" s="74" t="str">
        <f>IF('Rate Log'!$C$138="","",IF($A4399=0,'Rate Log'!$C$138,IF(ISBLANK(INDEX(att_actdate,$A4399)),'Rate Log'!$C$138,INDEX(att_actdate,$A4399))))</f>
        <v/>
      </c>
      <c r="E4399" s="74" t="str">
        <f t="shared" si="1588"/>
        <v/>
      </c>
      <c r="F4399" s="75">
        <f t="shared" si="1589"/>
        <v>0</v>
      </c>
      <c r="G4399" s="75">
        <f>IF($D4399="",0,COUNTIFS(rl_key,'Rate Log'!$J$138,$E$4268:$E$4507,$E4399,$D$4268:$D$4507,"&lt;"&amp;$D4399))</f>
        <v>0</v>
      </c>
      <c r="H4399" s="75">
        <f>IF($D4399="",0,COUNTIFS('Rate Log'!$J$7:$J$138,'Rate Log'!$J$138,$E$4268:$E4399,$E4399,$D$4268:$D4399,$D4399))</f>
        <v>0</v>
      </c>
      <c r="I4399" s="75">
        <f t="shared" si="1590"/>
        <v>0</v>
      </c>
    </row>
    <row r="4400" spans="1:9" x14ac:dyDescent="0.3">
      <c r="A4400" s="75">
        <f>IF(OR('Rate Log'!$J$139&lt;&gt;nr_SelKey,'Rate Log'!$E$139&lt;&gt;"planned",'Rate Log'!$C$139=""),0,COUNTIFS('Rate Log'!$J$7:$J$139,nr_SelKey,'Rate Log'!$E$7:$E$139,"planned"))</f>
        <v>0</v>
      </c>
      <c r="B4400" s="72">
        <f>IF($A4400=0,N('Rate Log'!$K$139),IF(ISBLANK(INDEX(att_actpct,$A4400)),N('Rate Log'!$K$139),INDEX(att_actpct,$A4400)))</f>
        <v>0</v>
      </c>
      <c r="C4400" s="73">
        <f>IF('Rate Log'!$C$139="",0,IF(1+$B4400&gt;0,LN(1+$B4400),0))</f>
        <v>0</v>
      </c>
      <c r="D4400" s="74" t="str">
        <f>IF('Rate Log'!$C$139="","",IF($A4400=0,'Rate Log'!$C$139,IF(ISBLANK(INDEX(att_actdate,$A4400)),'Rate Log'!$C$139,INDEX(att_actdate,$A4400))))</f>
        <v/>
      </c>
      <c r="E4400" s="74" t="str">
        <f t="shared" si="1588"/>
        <v/>
      </c>
      <c r="F4400" s="75">
        <f t="shared" si="1589"/>
        <v>0</v>
      </c>
      <c r="G4400" s="75">
        <f>IF($D4400="",0,COUNTIFS(rl_key,'Rate Log'!$J$139,$E$4268:$E$4507,$E4400,$D$4268:$D$4507,"&lt;"&amp;$D4400))</f>
        <v>0</v>
      </c>
      <c r="H4400" s="75">
        <f>IF($D4400="",0,COUNTIFS('Rate Log'!$J$7:$J$139,'Rate Log'!$J$139,$E$4268:$E4400,$E4400,$D$4268:$D4400,$D4400))</f>
        <v>0</v>
      </c>
      <c r="I4400" s="75">
        <f t="shared" si="1590"/>
        <v>0</v>
      </c>
    </row>
    <row r="4401" spans="1:9" x14ac:dyDescent="0.3">
      <c r="A4401" s="75">
        <f>IF(OR('Rate Log'!$J$140&lt;&gt;nr_SelKey,'Rate Log'!$E$140&lt;&gt;"planned",'Rate Log'!$C$140=""),0,COUNTIFS('Rate Log'!$J$7:$J$140,nr_SelKey,'Rate Log'!$E$7:$E$140,"planned"))</f>
        <v>0</v>
      </c>
      <c r="B4401" s="72">
        <f>IF($A4401=0,N('Rate Log'!$K$140),IF(ISBLANK(INDEX(att_actpct,$A4401)),N('Rate Log'!$K$140),INDEX(att_actpct,$A4401)))</f>
        <v>0</v>
      </c>
      <c r="C4401" s="73">
        <f>IF('Rate Log'!$C$140="",0,IF(1+$B4401&gt;0,LN(1+$B4401),0))</f>
        <v>0</v>
      </c>
      <c r="D4401" s="74" t="str">
        <f>IF('Rate Log'!$C$140="","",IF($A4401=0,'Rate Log'!$C$140,IF(ISBLANK(INDEX(att_actdate,$A4401)),'Rate Log'!$C$140,INDEX(att_actdate,$A4401))))</f>
        <v/>
      </c>
      <c r="E4401" s="74" t="str">
        <f t="shared" si="1588"/>
        <v/>
      </c>
      <c r="F4401" s="75">
        <f t="shared" si="1589"/>
        <v>0</v>
      </c>
      <c r="G4401" s="75">
        <f>IF($D4401="",0,COUNTIFS(rl_key,'Rate Log'!$J$140,$E$4268:$E$4507,$E4401,$D$4268:$D$4507,"&lt;"&amp;$D4401))</f>
        <v>0</v>
      </c>
      <c r="H4401" s="75">
        <f>IF($D4401="",0,COUNTIFS('Rate Log'!$J$7:$J$140,'Rate Log'!$J$140,$E$4268:$E4401,$E4401,$D$4268:$D4401,$D4401))</f>
        <v>0</v>
      </c>
      <c r="I4401" s="75">
        <f t="shared" si="1590"/>
        <v>0</v>
      </c>
    </row>
    <row r="4402" spans="1:9" x14ac:dyDescent="0.3">
      <c r="A4402" s="75">
        <f>IF(OR('Rate Log'!$J$141&lt;&gt;nr_SelKey,'Rate Log'!$E$141&lt;&gt;"planned",'Rate Log'!$C$141=""),0,COUNTIFS('Rate Log'!$J$7:$J$141,nr_SelKey,'Rate Log'!$E$7:$E$141,"planned"))</f>
        <v>0</v>
      </c>
      <c r="B4402" s="72">
        <f>IF($A4402=0,N('Rate Log'!$K$141),IF(ISBLANK(INDEX(att_actpct,$A4402)),N('Rate Log'!$K$141),INDEX(att_actpct,$A4402)))</f>
        <v>0</v>
      </c>
      <c r="C4402" s="73">
        <f>IF('Rate Log'!$C$141="",0,IF(1+$B4402&gt;0,LN(1+$B4402),0))</f>
        <v>0</v>
      </c>
      <c r="D4402" s="74" t="str">
        <f>IF('Rate Log'!$C$141="","",IF($A4402=0,'Rate Log'!$C$141,IF(ISBLANK(INDEX(att_actdate,$A4402)),'Rate Log'!$C$141,INDEX(att_actdate,$A4402))))</f>
        <v/>
      </c>
      <c r="E4402" s="74" t="str">
        <f t="shared" si="1588"/>
        <v/>
      </c>
      <c r="F4402" s="75">
        <f t="shared" si="1589"/>
        <v>0</v>
      </c>
      <c r="G4402" s="75">
        <f>IF($D4402="",0,COUNTIFS(rl_key,'Rate Log'!$J$141,$E$4268:$E$4507,$E4402,$D$4268:$D$4507,"&lt;"&amp;$D4402))</f>
        <v>0</v>
      </c>
      <c r="H4402" s="75">
        <f>IF($D4402="",0,COUNTIFS('Rate Log'!$J$7:$J$141,'Rate Log'!$J$141,$E$4268:$E4402,$E4402,$D$4268:$D4402,$D4402))</f>
        <v>0</v>
      </c>
      <c r="I4402" s="75">
        <f t="shared" si="1590"/>
        <v>0</v>
      </c>
    </row>
    <row r="4403" spans="1:9" x14ac:dyDescent="0.3">
      <c r="A4403" s="75">
        <f>IF(OR('Rate Log'!$J$142&lt;&gt;nr_SelKey,'Rate Log'!$E$142&lt;&gt;"planned",'Rate Log'!$C$142=""),0,COUNTIFS('Rate Log'!$J$7:$J$142,nr_SelKey,'Rate Log'!$E$7:$E$142,"planned"))</f>
        <v>0</v>
      </c>
      <c r="B4403" s="72">
        <f>IF($A4403=0,N('Rate Log'!$K$142),IF(ISBLANK(INDEX(att_actpct,$A4403)),N('Rate Log'!$K$142),INDEX(att_actpct,$A4403)))</f>
        <v>0</v>
      </c>
      <c r="C4403" s="73">
        <f>IF('Rate Log'!$C$142="",0,IF(1+$B4403&gt;0,LN(1+$B4403),0))</f>
        <v>0</v>
      </c>
      <c r="D4403" s="74" t="str">
        <f>IF('Rate Log'!$C$142="","",IF($A4403=0,'Rate Log'!$C$142,IF(ISBLANK(INDEX(att_actdate,$A4403)),'Rate Log'!$C$142,INDEX(att_actdate,$A4403))))</f>
        <v/>
      </c>
      <c r="E4403" s="74" t="str">
        <f t="shared" si="1588"/>
        <v/>
      </c>
      <c r="F4403" s="75">
        <f t="shared" si="1589"/>
        <v>0</v>
      </c>
      <c r="G4403" s="75">
        <f>IF($D4403="",0,COUNTIFS(rl_key,'Rate Log'!$J$142,$E$4268:$E$4507,$E4403,$D$4268:$D$4507,"&lt;"&amp;$D4403))</f>
        <v>0</v>
      </c>
      <c r="H4403" s="75">
        <f>IF($D4403="",0,COUNTIFS('Rate Log'!$J$7:$J$142,'Rate Log'!$J$142,$E$4268:$E4403,$E4403,$D$4268:$D4403,$D4403))</f>
        <v>0</v>
      </c>
      <c r="I4403" s="75">
        <f t="shared" si="1590"/>
        <v>0</v>
      </c>
    </row>
    <row r="4404" spans="1:9" x14ac:dyDescent="0.3">
      <c r="A4404" s="75">
        <f>IF(OR('Rate Log'!$J$143&lt;&gt;nr_SelKey,'Rate Log'!$E$143&lt;&gt;"planned",'Rate Log'!$C$143=""),0,COUNTIFS('Rate Log'!$J$7:$J$143,nr_SelKey,'Rate Log'!$E$7:$E$143,"planned"))</f>
        <v>0</v>
      </c>
      <c r="B4404" s="72">
        <f>IF($A4404=0,N('Rate Log'!$K$143),IF(ISBLANK(INDEX(att_actpct,$A4404)),N('Rate Log'!$K$143),INDEX(att_actpct,$A4404)))</f>
        <v>0</v>
      </c>
      <c r="C4404" s="73">
        <f>IF('Rate Log'!$C$143="",0,IF(1+$B4404&gt;0,LN(1+$B4404),0))</f>
        <v>0</v>
      </c>
      <c r="D4404" s="74" t="str">
        <f>IF('Rate Log'!$C$143="","",IF($A4404=0,'Rate Log'!$C$143,IF(ISBLANK(INDEX(att_actdate,$A4404)),'Rate Log'!$C$143,INDEX(att_actdate,$A4404))))</f>
        <v/>
      </c>
      <c r="E4404" s="74" t="str">
        <f t="shared" si="1588"/>
        <v/>
      </c>
      <c r="F4404" s="75">
        <f t="shared" si="1589"/>
        <v>0</v>
      </c>
      <c r="G4404" s="75">
        <f>IF($D4404="",0,COUNTIFS(rl_key,'Rate Log'!$J$143,$E$4268:$E$4507,$E4404,$D$4268:$D$4507,"&lt;"&amp;$D4404))</f>
        <v>0</v>
      </c>
      <c r="H4404" s="75">
        <f>IF($D4404="",0,COUNTIFS('Rate Log'!$J$7:$J$143,'Rate Log'!$J$143,$E$4268:$E4404,$E4404,$D$4268:$D4404,$D4404))</f>
        <v>0</v>
      </c>
      <c r="I4404" s="75">
        <f t="shared" si="1590"/>
        <v>0</v>
      </c>
    </row>
    <row r="4405" spans="1:9" x14ac:dyDescent="0.3">
      <c r="A4405" s="75">
        <f>IF(OR('Rate Log'!$J$144&lt;&gt;nr_SelKey,'Rate Log'!$E$144&lt;&gt;"planned",'Rate Log'!$C$144=""),0,COUNTIFS('Rate Log'!$J$7:$J$144,nr_SelKey,'Rate Log'!$E$7:$E$144,"planned"))</f>
        <v>0</v>
      </c>
      <c r="B4405" s="72">
        <f>IF($A4405=0,N('Rate Log'!$K$144),IF(ISBLANK(INDEX(att_actpct,$A4405)),N('Rate Log'!$K$144),INDEX(att_actpct,$A4405)))</f>
        <v>0</v>
      </c>
      <c r="C4405" s="73">
        <f>IF('Rate Log'!$C$144="",0,IF(1+$B4405&gt;0,LN(1+$B4405),0))</f>
        <v>0</v>
      </c>
      <c r="D4405" s="74" t="str">
        <f>IF('Rate Log'!$C$144="","",IF($A4405=0,'Rate Log'!$C$144,IF(ISBLANK(INDEX(att_actdate,$A4405)),'Rate Log'!$C$144,INDEX(att_actdate,$A4405))))</f>
        <v/>
      </c>
      <c r="E4405" s="74" t="str">
        <f t="shared" si="1588"/>
        <v/>
      </c>
      <c r="F4405" s="75">
        <f t="shared" si="1589"/>
        <v>0</v>
      </c>
      <c r="G4405" s="75">
        <f>IF($D4405="",0,COUNTIFS(rl_key,'Rate Log'!$J$144,$E$4268:$E$4507,$E4405,$D$4268:$D$4507,"&lt;"&amp;$D4405))</f>
        <v>0</v>
      </c>
      <c r="H4405" s="75">
        <f>IF($D4405="",0,COUNTIFS('Rate Log'!$J$7:$J$144,'Rate Log'!$J$144,$E$4268:$E4405,$E4405,$D$4268:$D4405,$D4405))</f>
        <v>0</v>
      </c>
      <c r="I4405" s="75">
        <f t="shared" si="1590"/>
        <v>0</v>
      </c>
    </row>
    <row r="4406" spans="1:9" x14ac:dyDescent="0.3">
      <c r="A4406" s="75">
        <f>IF(OR('Rate Log'!$J$145&lt;&gt;nr_SelKey,'Rate Log'!$E$145&lt;&gt;"planned",'Rate Log'!$C$145=""),0,COUNTIFS('Rate Log'!$J$7:$J$145,nr_SelKey,'Rate Log'!$E$7:$E$145,"planned"))</f>
        <v>0</v>
      </c>
      <c r="B4406" s="72">
        <f>IF($A4406=0,N('Rate Log'!$K$145),IF(ISBLANK(INDEX(att_actpct,$A4406)),N('Rate Log'!$K$145),INDEX(att_actpct,$A4406)))</f>
        <v>0</v>
      </c>
      <c r="C4406" s="73">
        <f>IF('Rate Log'!$C$145="",0,IF(1+$B4406&gt;0,LN(1+$B4406),0))</f>
        <v>0</v>
      </c>
      <c r="D4406" s="74" t="str">
        <f>IF('Rate Log'!$C$145="","",IF($A4406=0,'Rate Log'!$C$145,IF(ISBLANK(INDEX(att_actdate,$A4406)),'Rate Log'!$C$145,INDEX(att_actdate,$A4406))))</f>
        <v/>
      </c>
      <c r="E4406" s="74" t="str">
        <f t="shared" si="1588"/>
        <v/>
      </c>
      <c r="F4406" s="75">
        <f t="shared" si="1589"/>
        <v>0</v>
      </c>
      <c r="G4406" s="75">
        <f>IF($D4406="",0,COUNTIFS(rl_key,'Rate Log'!$J$145,$E$4268:$E$4507,$E4406,$D$4268:$D$4507,"&lt;"&amp;$D4406))</f>
        <v>0</v>
      </c>
      <c r="H4406" s="75">
        <f>IF($D4406="",0,COUNTIFS('Rate Log'!$J$7:$J$145,'Rate Log'!$J$145,$E$4268:$E4406,$E4406,$D$4268:$D4406,$D4406))</f>
        <v>0</v>
      </c>
      <c r="I4406" s="75">
        <f t="shared" si="1590"/>
        <v>0</v>
      </c>
    </row>
    <row r="4407" spans="1:9" x14ac:dyDescent="0.3">
      <c r="A4407" s="75">
        <f>IF(OR('Rate Log'!$J$146&lt;&gt;nr_SelKey,'Rate Log'!$E$146&lt;&gt;"planned",'Rate Log'!$C$146=""),0,COUNTIFS('Rate Log'!$J$7:$J$146,nr_SelKey,'Rate Log'!$E$7:$E$146,"planned"))</f>
        <v>0</v>
      </c>
      <c r="B4407" s="72">
        <f>IF($A4407=0,N('Rate Log'!$K$146),IF(ISBLANK(INDEX(att_actpct,$A4407)),N('Rate Log'!$K$146),INDEX(att_actpct,$A4407)))</f>
        <v>0</v>
      </c>
      <c r="C4407" s="73">
        <f>IF('Rate Log'!$C$146="",0,IF(1+$B4407&gt;0,LN(1+$B4407),0))</f>
        <v>0</v>
      </c>
      <c r="D4407" s="74" t="str">
        <f>IF('Rate Log'!$C$146="","",IF($A4407=0,'Rate Log'!$C$146,IF(ISBLANK(INDEX(att_actdate,$A4407)),'Rate Log'!$C$146,INDEX(att_actdate,$A4407))))</f>
        <v/>
      </c>
      <c r="E4407" s="74" t="str">
        <f t="shared" si="1588"/>
        <v/>
      </c>
      <c r="F4407" s="75">
        <f t="shared" si="1589"/>
        <v>0</v>
      </c>
      <c r="G4407" s="75">
        <f>IF($D4407="",0,COUNTIFS(rl_key,'Rate Log'!$J$146,$E$4268:$E$4507,$E4407,$D$4268:$D$4507,"&lt;"&amp;$D4407))</f>
        <v>0</v>
      </c>
      <c r="H4407" s="75">
        <f>IF($D4407="",0,COUNTIFS('Rate Log'!$J$7:$J$146,'Rate Log'!$J$146,$E$4268:$E4407,$E4407,$D$4268:$D4407,$D4407))</f>
        <v>0</v>
      </c>
      <c r="I4407" s="75">
        <f t="shared" si="1590"/>
        <v>0</v>
      </c>
    </row>
    <row r="4408" spans="1:9" x14ac:dyDescent="0.3">
      <c r="A4408" s="75">
        <f>IF(OR('Rate Log'!$J$147&lt;&gt;nr_SelKey,'Rate Log'!$E$147&lt;&gt;"planned",'Rate Log'!$C$147=""),0,COUNTIFS('Rate Log'!$J$7:$J$147,nr_SelKey,'Rate Log'!$E$7:$E$147,"planned"))</f>
        <v>0</v>
      </c>
      <c r="B4408" s="72">
        <f>IF($A4408=0,N('Rate Log'!$K$147),IF(ISBLANK(INDEX(att_actpct,$A4408)),N('Rate Log'!$K$147),INDEX(att_actpct,$A4408)))</f>
        <v>0</v>
      </c>
      <c r="C4408" s="73">
        <f>IF('Rate Log'!$C$147="",0,IF(1+$B4408&gt;0,LN(1+$B4408),0))</f>
        <v>0</v>
      </c>
      <c r="D4408" s="74" t="str">
        <f>IF('Rate Log'!$C$147="","",IF($A4408=0,'Rate Log'!$C$147,IF(ISBLANK(INDEX(att_actdate,$A4408)),'Rate Log'!$C$147,INDEX(att_actdate,$A4408))))</f>
        <v/>
      </c>
      <c r="E4408" s="74" t="str">
        <f t="shared" si="1588"/>
        <v/>
      </c>
      <c r="F4408" s="75">
        <f t="shared" si="1589"/>
        <v>0</v>
      </c>
      <c r="G4408" s="75">
        <f>IF($D4408="",0,COUNTIFS(rl_key,'Rate Log'!$J$147,$E$4268:$E$4507,$E4408,$D$4268:$D$4507,"&lt;"&amp;$D4408))</f>
        <v>0</v>
      </c>
      <c r="H4408" s="75">
        <f>IF($D4408="",0,COUNTIFS('Rate Log'!$J$7:$J$147,'Rate Log'!$J$147,$E$4268:$E4408,$E4408,$D$4268:$D4408,$D4408))</f>
        <v>0</v>
      </c>
      <c r="I4408" s="75">
        <f t="shared" si="1590"/>
        <v>0</v>
      </c>
    </row>
    <row r="4409" spans="1:9" x14ac:dyDescent="0.3">
      <c r="A4409" s="75">
        <f>IF(OR('Rate Log'!$J$148&lt;&gt;nr_SelKey,'Rate Log'!$E$148&lt;&gt;"planned",'Rate Log'!$C$148=""),0,COUNTIFS('Rate Log'!$J$7:$J$148,nr_SelKey,'Rate Log'!$E$7:$E$148,"planned"))</f>
        <v>0</v>
      </c>
      <c r="B4409" s="72">
        <f>IF($A4409=0,N('Rate Log'!$K$148),IF(ISBLANK(INDEX(att_actpct,$A4409)),N('Rate Log'!$K$148),INDEX(att_actpct,$A4409)))</f>
        <v>0</v>
      </c>
      <c r="C4409" s="73">
        <f>IF('Rate Log'!$C$148="",0,IF(1+$B4409&gt;0,LN(1+$B4409),0))</f>
        <v>0</v>
      </c>
      <c r="D4409" s="74" t="str">
        <f>IF('Rate Log'!$C$148="","",IF($A4409=0,'Rate Log'!$C$148,IF(ISBLANK(INDEX(att_actdate,$A4409)),'Rate Log'!$C$148,INDEX(att_actdate,$A4409))))</f>
        <v/>
      </c>
      <c r="E4409" s="74" t="str">
        <f t="shared" si="1588"/>
        <v/>
      </c>
      <c r="F4409" s="75">
        <f t="shared" si="1589"/>
        <v>0</v>
      </c>
      <c r="G4409" s="75">
        <f>IF($D4409="",0,COUNTIFS(rl_key,'Rate Log'!$J$148,$E$4268:$E$4507,$E4409,$D$4268:$D$4507,"&lt;"&amp;$D4409))</f>
        <v>0</v>
      </c>
      <c r="H4409" s="75">
        <f>IF($D4409="",0,COUNTIFS('Rate Log'!$J$7:$J$148,'Rate Log'!$J$148,$E$4268:$E4409,$E4409,$D$4268:$D4409,$D4409))</f>
        <v>0</v>
      </c>
      <c r="I4409" s="75">
        <f t="shared" si="1590"/>
        <v>0</v>
      </c>
    </row>
    <row r="4410" spans="1:9" x14ac:dyDescent="0.3">
      <c r="A4410" s="75">
        <f>IF(OR('Rate Log'!$J$149&lt;&gt;nr_SelKey,'Rate Log'!$E$149&lt;&gt;"planned",'Rate Log'!$C$149=""),0,COUNTIFS('Rate Log'!$J$7:$J$149,nr_SelKey,'Rate Log'!$E$7:$E$149,"planned"))</f>
        <v>0</v>
      </c>
      <c r="B4410" s="72">
        <f>IF($A4410=0,N('Rate Log'!$K$149),IF(ISBLANK(INDEX(att_actpct,$A4410)),N('Rate Log'!$K$149),INDEX(att_actpct,$A4410)))</f>
        <v>0</v>
      </c>
      <c r="C4410" s="73">
        <f>IF('Rate Log'!$C$149="",0,IF(1+$B4410&gt;0,LN(1+$B4410),0))</f>
        <v>0</v>
      </c>
      <c r="D4410" s="74" t="str">
        <f>IF('Rate Log'!$C$149="","",IF($A4410=0,'Rate Log'!$C$149,IF(ISBLANK(INDEX(att_actdate,$A4410)),'Rate Log'!$C$149,INDEX(att_actdate,$A4410))))</f>
        <v/>
      </c>
      <c r="E4410" s="74" t="str">
        <f t="shared" si="1588"/>
        <v/>
      </c>
      <c r="F4410" s="75">
        <f t="shared" si="1589"/>
        <v>0</v>
      </c>
      <c r="G4410" s="75">
        <f>IF($D4410="",0,COUNTIFS(rl_key,'Rate Log'!$J$149,$E$4268:$E$4507,$E4410,$D$4268:$D$4507,"&lt;"&amp;$D4410))</f>
        <v>0</v>
      </c>
      <c r="H4410" s="75">
        <f>IF($D4410="",0,COUNTIFS('Rate Log'!$J$7:$J$149,'Rate Log'!$J$149,$E$4268:$E4410,$E4410,$D$4268:$D4410,$D4410))</f>
        <v>0</v>
      </c>
      <c r="I4410" s="75">
        <f t="shared" si="1590"/>
        <v>0</v>
      </c>
    </row>
    <row r="4411" spans="1:9" x14ac:dyDescent="0.3">
      <c r="A4411" s="75">
        <f>IF(OR('Rate Log'!$J$150&lt;&gt;nr_SelKey,'Rate Log'!$E$150&lt;&gt;"planned",'Rate Log'!$C$150=""),0,COUNTIFS('Rate Log'!$J$7:$J$150,nr_SelKey,'Rate Log'!$E$7:$E$150,"planned"))</f>
        <v>0</v>
      </c>
      <c r="B4411" s="72">
        <f>IF($A4411=0,N('Rate Log'!$K$150),IF(ISBLANK(INDEX(att_actpct,$A4411)),N('Rate Log'!$K$150),INDEX(att_actpct,$A4411)))</f>
        <v>0</v>
      </c>
      <c r="C4411" s="73">
        <f>IF('Rate Log'!$C$150="",0,IF(1+$B4411&gt;0,LN(1+$B4411),0))</f>
        <v>0</v>
      </c>
      <c r="D4411" s="74" t="str">
        <f>IF('Rate Log'!$C$150="","",IF($A4411=0,'Rate Log'!$C$150,IF(ISBLANK(INDEX(att_actdate,$A4411)),'Rate Log'!$C$150,INDEX(att_actdate,$A4411))))</f>
        <v/>
      </c>
      <c r="E4411" s="74" t="str">
        <f t="shared" si="1588"/>
        <v/>
      </c>
      <c r="F4411" s="75">
        <f t="shared" si="1589"/>
        <v>0</v>
      </c>
      <c r="G4411" s="75">
        <f>IF($D4411="",0,COUNTIFS(rl_key,'Rate Log'!$J$150,$E$4268:$E$4507,$E4411,$D$4268:$D$4507,"&lt;"&amp;$D4411))</f>
        <v>0</v>
      </c>
      <c r="H4411" s="75">
        <f>IF($D4411="",0,COUNTIFS('Rate Log'!$J$7:$J$150,'Rate Log'!$J$150,$E$4268:$E4411,$E4411,$D$4268:$D4411,$D4411))</f>
        <v>0</v>
      </c>
      <c r="I4411" s="75">
        <f t="shared" si="1590"/>
        <v>0</v>
      </c>
    </row>
    <row r="4412" spans="1:9" x14ac:dyDescent="0.3">
      <c r="A4412" s="75">
        <f>IF(OR('Rate Log'!$J$151&lt;&gt;nr_SelKey,'Rate Log'!$E$151&lt;&gt;"planned",'Rate Log'!$C$151=""),0,COUNTIFS('Rate Log'!$J$7:$J$151,nr_SelKey,'Rate Log'!$E$7:$E$151,"planned"))</f>
        <v>0</v>
      </c>
      <c r="B4412" s="72">
        <f>IF($A4412=0,N('Rate Log'!$K$151),IF(ISBLANK(INDEX(att_actpct,$A4412)),N('Rate Log'!$K$151),INDEX(att_actpct,$A4412)))</f>
        <v>0</v>
      </c>
      <c r="C4412" s="73">
        <f>IF('Rate Log'!$C$151="",0,IF(1+$B4412&gt;0,LN(1+$B4412),0))</f>
        <v>0</v>
      </c>
      <c r="D4412" s="74" t="str">
        <f>IF('Rate Log'!$C$151="","",IF($A4412=0,'Rate Log'!$C$151,IF(ISBLANK(INDEX(att_actdate,$A4412)),'Rate Log'!$C$151,INDEX(att_actdate,$A4412))))</f>
        <v/>
      </c>
      <c r="E4412" s="74" t="str">
        <f t="shared" si="1588"/>
        <v/>
      </c>
      <c r="F4412" s="75">
        <f t="shared" si="1589"/>
        <v>0</v>
      </c>
      <c r="G4412" s="75">
        <f>IF($D4412="",0,COUNTIFS(rl_key,'Rate Log'!$J$151,$E$4268:$E$4507,$E4412,$D$4268:$D$4507,"&lt;"&amp;$D4412))</f>
        <v>0</v>
      </c>
      <c r="H4412" s="75">
        <f>IF($D4412="",0,COUNTIFS('Rate Log'!$J$7:$J$151,'Rate Log'!$J$151,$E$4268:$E4412,$E4412,$D$4268:$D4412,$D4412))</f>
        <v>0</v>
      </c>
      <c r="I4412" s="75">
        <f t="shared" si="1590"/>
        <v>0</v>
      </c>
    </row>
    <row r="4413" spans="1:9" x14ac:dyDescent="0.3">
      <c r="A4413" s="75">
        <f>IF(OR('Rate Log'!$J$152&lt;&gt;nr_SelKey,'Rate Log'!$E$152&lt;&gt;"planned",'Rate Log'!$C$152=""),0,COUNTIFS('Rate Log'!$J$7:$J$152,nr_SelKey,'Rate Log'!$E$7:$E$152,"planned"))</f>
        <v>0</v>
      </c>
      <c r="B4413" s="72">
        <f>IF($A4413=0,N('Rate Log'!$K$152),IF(ISBLANK(INDEX(att_actpct,$A4413)),N('Rate Log'!$K$152),INDEX(att_actpct,$A4413)))</f>
        <v>0</v>
      </c>
      <c r="C4413" s="73">
        <f>IF('Rate Log'!$C$152="",0,IF(1+$B4413&gt;0,LN(1+$B4413),0))</f>
        <v>0</v>
      </c>
      <c r="D4413" s="74" t="str">
        <f>IF('Rate Log'!$C$152="","",IF($A4413=0,'Rate Log'!$C$152,IF(ISBLANK(INDEX(att_actdate,$A4413)),'Rate Log'!$C$152,INDEX(att_actdate,$A4413))))</f>
        <v/>
      </c>
      <c r="E4413" s="74" t="str">
        <f t="shared" si="1588"/>
        <v/>
      </c>
      <c r="F4413" s="75">
        <f t="shared" si="1589"/>
        <v>0</v>
      </c>
      <c r="G4413" s="75">
        <f>IF($D4413="",0,COUNTIFS(rl_key,'Rate Log'!$J$152,$E$4268:$E$4507,$E4413,$D$4268:$D$4507,"&lt;"&amp;$D4413))</f>
        <v>0</v>
      </c>
      <c r="H4413" s="75">
        <f>IF($D4413="",0,COUNTIFS('Rate Log'!$J$7:$J$152,'Rate Log'!$J$152,$E$4268:$E4413,$E4413,$D$4268:$D4413,$D4413))</f>
        <v>0</v>
      </c>
      <c r="I4413" s="75">
        <f t="shared" si="1590"/>
        <v>0</v>
      </c>
    </row>
    <row r="4414" spans="1:9" x14ac:dyDescent="0.3">
      <c r="A4414" s="75">
        <f>IF(OR('Rate Log'!$J$153&lt;&gt;nr_SelKey,'Rate Log'!$E$153&lt;&gt;"planned",'Rate Log'!$C$153=""),0,COUNTIFS('Rate Log'!$J$7:$J$153,nr_SelKey,'Rate Log'!$E$7:$E$153,"planned"))</f>
        <v>0</v>
      </c>
      <c r="B4414" s="72">
        <f>IF($A4414=0,N('Rate Log'!$K$153),IF(ISBLANK(INDEX(att_actpct,$A4414)),N('Rate Log'!$K$153),INDEX(att_actpct,$A4414)))</f>
        <v>0</v>
      </c>
      <c r="C4414" s="73">
        <f>IF('Rate Log'!$C$153="",0,IF(1+$B4414&gt;0,LN(1+$B4414),0))</f>
        <v>0</v>
      </c>
      <c r="D4414" s="74" t="str">
        <f>IF('Rate Log'!$C$153="","",IF($A4414=0,'Rate Log'!$C$153,IF(ISBLANK(INDEX(att_actdate,$A4414)),'Rate Log'!$C$153,INDEX(att_actdate,$A4414))))</f>
        <v/>
      </c>
      <c r="E4414" s="74" t="str">
        <f t="shared" si="1588"/>
        <v/>
      </c>
      <c r="F4414" s="75">
        <f t="shared" si="1589"/>
        <v>0</v>
      </c>
      <c r="G4414" s="75">
        <f>IF($D4414="",0,COUNTIFS(rl_key,'Rate Log'!$J$153,$E$4268:$E$4507,$E4414,$D$4268:$D$4507,"&lt;"&amp;$D4414))</f>
        <v>0</v>
      </c>
      <c r="H4414" s="75">
        <f>IF($D4414="",0,COUNTIFS('Rate Log'!$J$7:$J$153,'Rate Log'!$J$153,$E$4268:$E4414,$E4414,$D$4268:$D4414,$D4414))</f>
        <v>0</v>
      </c>
      <c r="I4414" s="75">
        <f t="shared" si="1590"/>
        <v>0</v>
      </c>
    </row>
    <row r="4415" spans="1:9" x14ac:dyDescent="0.3">
      <c r="A4415" s="75">
        <f>IF(OR('Rate Log'!$J$154&lt;&gt;nr_SelKey,'Rate Log'!$E$154&lt;&gt;"planned",'Rate Log'!$C$154=""),0,COUNTIFS('Rate Log'!$J$7:$J$154,nr_SelKey,'Rate Log'!$E$7:$E$154,"planned"))</f>
        <v>0</v>
      </c>
      <c r="B4415" s="72">
        <f>IF($A4415=0,N('Rate Log'!$K$154),IF(ISBLANK(INDEX(att_actpct,$A4415)),N('Rate Log'!$K$154),INDEX(att_actpct,$A4415)))</f>
        <v>0</v>
      </c>
      <c r="C4415" s="73">
        <f>IF('Rate Log'!$C$154="",0,IF(1+$B4415&gt;0,LN(1+$B4415),0))</f>
        <v>0</v>
      </c>
      <c r="D4415" s="74" t="str">
        <f>IF('Rate Log'!$C$154="","",IF($A4415=0,'Rate Log'!$C$154,IF(ISBLANK(INDEX(att_actdate,$A4415)),'Rate Log'!$C$154,INDEX(att_actdate,$A4415))))</f>
        <v/>
      </c>
      <c r="E4415" s="74" t="str">
        <f t="shared" si="1588"/>
        <v/>
      </c>
      <c r="F4415" s="75">
        <f t="shared" si="1589"/>
        <v>0</v>
      </c>
      <c r="G4415" s="75">
        <f>IF($D4415="",0,COUNTIFS(rl_key,'Rate Log'!$J$154,$E$4268:$E$4507,$E4415,$D$4268:$D$4507,"&lt;"&amp;$D4415))</f>
        <v>0</v>
      </c>
      <c r="H4415" s="75">
        <f>IF($D4415="",0,COUNTIFS('Rate Log'!$J$7:$J$154,'Rate Log'!$J$154,$E$4268:$E4415,$E4415,$D$4268:$D4415,$D4415))</f>
        <v>0</v>
      </c>
      <c r="I4415" s="75">
        <f t="shared" si="1590"/>
        <v>0</v>
      </c>
    </row>
    <row r="4416" spans="1:9" x14ac:dyDescent="0.3">
      <c r="A4416" s="75">
        <f>IF(OR('Rate Log'!$J$155&lt;&gt;nr_SelKey,'Rate Log'!$E$155&lt;&gt;"planned",'Rate Log'!$C$155=""),0,COUNTIFS('Rate Log'!$J$7:$J$155,nr_SelKey,'Rate Log'!$E$7:$E$155,"planned"))</f>
        <v>0</v>
      </c>
      <c r="B4416" s="72">
        <f>IF($A4416=0,N('Rate Log'!$K$155),IF(ISBLANK(INDEX(att_actpct,$A4416)),N('Rate Log'!$K$155),INDEX(att_actpct,$A4416)))</f>
        <v>0</v>
      </c>
      <c r="C4416" s="73">
        <f>IF('Rate Log'!$C$155="",0,IF(1+$B4416&gt;0,LN(1+$B4416),0))</f>
        <v>0</v>
      </c>
      <c r="D4416" s="74" t="str">
        <f>IF('Rate Log'!$C$155="","",IF($A4416=0,'Rate Log'!$C$155,IF(ISBLANK(INDEX(att_actdate,$A4416)),'Rate Log'!$C$155,INDEX(att_actdate,$A4416))))</f>
        <v/>
      </c>
      <c r="E4416" s="74" t="str">
        <f t="shared" si="1588"/>
        <v/>
      </c>
      <c r="F4416" s="75">
        <f t="shared" si="1589"/>
        <v>0</v>
      </c>
      <c r="G4416" s="75">
        <f>IF($D4416="",0,COUNTIFS(rl_key,'Rate Log'!$J$155,$E$4268:$E$4507,$E4416,$D$4268:$D$4507,"&lt;"&amp;$D4416))</f>
        <v>0</v>
      </c>
      <c r="H4416" s="75">
        <f>IF($D4416="",0,COUNTIFS('Rate Log'!$J$7:$J$155,'Rate Log'!$J$155,$E$4268:$E4416,$E4416,$D$4268:$D4416,$D4416))</f>
        <v>0</v>
      </c>
      <c r="I4416" s="75">
        <f t="shared" si="1590"/>
        <v>0</v>
      </c>
    </row>
    <row r="4417" spans="1:9" x14ac:dyDescent="0.3">
      <c r="A4417" s="75">
        <f>IF(OR('Rate Log'!$J$156&lt;&gt;nr_SelKey,'Rate Log'!$E$156&lt;&gt;"planned",'Rate Log'!$C$156=""),0,COUNTIFS('Rate Log'!$J$7:$J$156,nr_SelKey,'Rate Log'!$E$7:$E$156,"planned"))</f>
        <v>0</v>
      </c>
      <c r="B4417" s="72">
        <f>IF($A4417=0,N('Rate Log'!$K$156),IF(ISBLANK(INDEX(att_actpct,$A4417)),N('Rate Log'!$K$156),INDEX(att_actpct,$A4417)))</f>
        <v>0</v>
      </c>
      <c r="C4417" s="73">
        <f>IF('Rate Log'!$C$156="",0,IF(1+$B4417&gt;0,LN(1+$B4417),0))</f>
        <v>0</v>
      </c>
      <c r="D4417" s="74" t="str">
        <f>IF('Rate Log'!$C$156="","",IF($A4417=0,'Rate Log'!$C$156,IF(ISBLANK(INDEX(att_actdate,$A4417)),'Rate Log'!$C$156,INDEX(att_actdate,$A4417))))</f>
        <v/>
      </c>
      <c r="E4417" s="74" t="str">
        <f t="shared" si="1588"/>
        <v/>
      </c>
      <c r="F4417" s="75">
        <f t="shared" si="1589"/>
        <v>0</v>
      </c>
      <c r="G4417" s="75">
        <f>IF($D4417="",0,COUNTIFS(rl_key,'Rate Log'!$J$156,$E$4268:$E$4507,$E4417,$D$4268:$D$4507,"&lt;"&amp;$D4417))</f>
        <v>0</v>
      </c>
      <c r="H4417" s="75">
        <f>IF($D4417="",0,COUNTIFS('Rate Log'!$J$7:$J$156,'Rate Log'!$J$156,$E$4268:$E4417,$E4417,$D$4268:$D4417,$D4417))</f>
        <v>0</v>
      </c>
      <c r="I4417" s="75">
        <f t="shared" si="1590"/>
        <v>0</v>
      </c>
    </row>
    <row r="4418" spans="1:9" x14ac:dyDescent="0.3">
      <c r="A4418" s="75">
        <f>IF(OR('Rate Log'!$J$157&lt;&gt;nr_SelKey,'Rate Log'!$E$157&lt;&gt;"planned",'Rate Log'!$C$157=""),0,COUNTIFS('Rate Log'!$J$7:$J$157,nr_SelKey,'Rate Log'!$E$7:$E$157,"planned"))</f>
        <v>0</v>
      </c>
      <c r="B4418" s="72">
        <f>IF($A4418=0,N('Rate Log'!$K$157),IF(ISBLANK(INDEX(att_actpct,$A4418)),N('Rate Log'!$K$157),INDEX(att_actpct,$A4418)))</f>
        <v>0</v>
      </c>
      <c r="C4418" s="73">
        <f>IF('Rate Log'!$C$157="",0,IF(1+$B4418&gt;0,LN(1+$B4418),0))</f>
        <v>0</v>
      </c>
      <c r="D4418" s="74" t="str">
        <f>IF('Rate Log'!$C$157="","",IF($A4418=0,'Rate Log'!$C$157,IF(ISBLANK(INDEX(att_actdate,$A4418)),'Rate Log'!$C$157,INDEX(att_actdate,$A4418))))</f>
        <v/>
      </c>
      <c r="E4418" s="74" t="str">
        <f t="shared" si="1588"/>
        <v/>
      </c>
      <c r="F4418" s="75">
        <f t="shared" si="1589"/>
        <v>0</v>
      </c>
      <c r="G4418" s="75">
        <f>IF($D4418="",0,COUNTIFS(rl_key,'Rate Log'!$J$157,$E$4268:$E$4507,$E4418,$D$4268:$D$4507,"&lt;"&amp;$D4418))</f>
        <v>0</v>
      </c>
      <c r="H4418" s="75">
        <f>IF($D4418="",0,COUNTIFS('Rate Log'!$J$7:$J$157,'Rate Log'!$J$157,$E$4268:$E4418,$E4418,$D$4268:$D4418,$D4418))</f>
        <v>0</v>
      </c>
      <c r="I4418" s="75">
        <f t="shared" si="1590"/>
        <v>0</v>
      </c>
    </row>
    <row r="4419" spans="1:9" x14ac:dyDescent="0.3">
      <c r="A4419" s="75">
        <f>IF(OR('Rate Log'!$J$158&lt;&gt;nr_SelKey,'Rate Log'!$E$158&lt;&gt;"planned",'Rate Log'!$C$158=""),0,COUNTIFS('Rate Log'!$J$7:$J$158,nr_SelKey,'Rate Log'!$E$7:$E$158,"planned"))</f>
        <v>0</v>
      </c>
      <c r="B4419" s="72">
        <f>IF($A4419=0,N('Rate Log'!$K$158),IF(ISBLANK(INDEX(att_actpct,$A4419)),N('Rate Log'!$K$158),INDEX(att_actpct,$A4419)))</f>
        <v>0</v>
      </c>
      <c r="C4419" s="73">
        <f>IF('Rate Log'!$C$158="",0,IF(1+$B4419&gt;0,LN(1+$B4419),0))</f>
        <v>0</v>
      </c>
      <c r="D4419" s="74" t="str">
        <f>IF('Rate Log'!$C$158="","",IF($A4419=0,'Rate Log'!$C$158,IF(ISBLANK(INDEX(att_actdate,$A4419)),'Rate Log'!$C$158,INDEX(att_actdate,$A4419))))</f>
        <v/>
      </c>
      <c r="E4419" s="74" t="str">
        <f t="shared" si="1588"/>
        <v/>
      </c>
      <c r="F4419" s="75">
        <f t="shared" si="1589"/>
        <v>0</v>
      </c>
      <c r="G4419" s="75">
        <f>IF($D4419="",0,COUNTIFS(rl_key,'Rate Log'!$J$158,$E$4268:$E$4507,$E4419,$D$4268:$D$4507,"&lt;"&amp;$D4419))</f>
        <v>0</v>
      </c>
      <c r="H4419" s="75">
        <f>IF($D4419="",0,COUNTIFS('Rate Log'!$J$7:$J$158,'Rate Log'!$J$158,$E$4268:$E4419,$E4419,$D$4268:$D4419,$D4419))</f>
        <v>0</v>
      </c>
      <c r="I4419" s="75">
        <f t="shared" si="1590"/>
        <v>0</v>
      </c>
    </row>
    <row r="4420" spans="1:9" x14ac:dyDescent="0.3">
      <c r="A4420" s="75">
        <f>IF(OR('Rate Log'!$J$159&lt;&gt;nr_SelKey,'Rate Log'!$E$159&lt;&gt;"planned",'Rate Log'!$C$159=""),0,COUNTIFS('Rate Log'!$J$7:$J$159,nr_SelKey,'Rate Log'!$E$7:$E$159,"planned"))</f>
        <v>0</v>
      </c>
      <c r="B4420" s="72">
        <f>IF($A4420=0,N('Rate Log'!$K$159),IF(ISBLANK(INDEX(att_actpct,$A4420)),N('Rate Log'!$K$159),INDEX(att_actpct,$A4420)))</f>
        <v>0</v>
      </c>
      <c r="C4420" s="73">
        <f>IF('Rate Log'!$C$159="",0,IF(1+$B4420&gt;0,LN(1+$B4420),0))</f>
        <v>0</v>
      </c>
      <c r="D4420" s="74" t="str">
        <f>IF('Rate Log'!$C$159="","",IF($A4420=0,'Rate Log'!$C$159,IF(ISBLANK(INDEX(att_actdate,$A4420)),'Rate Log'!$C$159,INDEX(att_actdate,$A4420))))</f>
        <v/>
      </c>
      <c r="E4420" s="74" t="str">
        <f t="shared" si="1588"/>
        <v/>
      </c>
      <c r="F4420" s="75">
        <f t="shared" si="1589"/>
        <v>0</v>
      </c>
      <c r="G4420" s="75">
        <f>IF($D4420="",0,COUNTIFS(rl_key,'Rate Log'!$J$159,$E$4268:$E$4507,$E4420,$D$4268:$D$4507,"&lt;"&amp;$D4420))</f>
        <v>0</v>
      </c>
      <c r="H4420" s="75">
        <f>IF($D4420="",0,COUNTIFS('Rate Log'!$J$7:$J$159,'Rate Log'!$J$159,$E$4268:$E4420,$E4420,$D$4268:$D4420,$D4420))</f>
        <v>0</v>
      </c>
      <c r="I4420" s="75">
        <f t="shared" si="1590"/>
        <v>0</v>
      </c>
    </row>
    <row r="4421" spans="1:9" x14ac:dyDescent="0.3">
      <c r="A4421" s="75">
        <f>IF(OR('Rate Log'!$J$160&lt;&gt;nr_SelKey,'Rate Log'!$E$160&lt;&gt;"planned",'Rate Log'!$C$160=""),0,COUNTIFS('Rate Log'!$J$7:$J$160,nr_SelKey,'Rate Log'!$E$7:$E$160,"planned"))</f>
        <v>0</v>
      </c>
      <c r="B4421" s="72">
        <f>IF($A4421=0,N('Rate Log'!$K$160),IF(ISBLANK(INDEX(att_actpct,$A4421)),N('Rate Log'!$K$160),INDEX(att_actpct,$A4421)))</f>
        <v>0</v>
      </c>
      <c r="C4421" s="73">
        <f>IF('Rate Log'!$C$160="",0,IF(1+$B4421&gt;0,LN(1+$B4421),0))</f>
        <v>0</v>
      </c>
      <c r="D4421" s="74" t="str">
        <f>IF('Rate Log'!$C$160="","",IF($A4421=0,'Rate Log'!$C$160,IF(ISBLANK(INDEX(att_actdate,$A4421)),'Rate Log'!$C$160,INDEX(att_actdate,$A4421))))</f>
        <v/>
      </c>
      <c r="E4421" s="74" t="str">
        <f t="shared" si="1588"/>
        <v/>
      </c>
      <c r="F4421" s="75">
        <f t="shared" si="1589"/>
        <v>0</v>
      </c>
      <c r="G4421" s="75">
        <f>IF($D4421="",0,COUNTIFS(rl_key,'Rate Log'!$J$160,$E$4268:$E$4507,$E4421,$D$4268:$D$4507,"&lt;"&amp;$D4421))</f>
        <v>0</v>
      </c>
      <c r="H4421" s="75">
        <f>IF($D4421="",0,COUNTIFS('Rate Log'!$J$7:$J$160,'Rate Log'!$J$160,$E$4268:$E4421,$E4421,$D$4268:$D4421,$D4421))</f>
        <v>0</v>
      </c>
      <c r="I4421" s="75">
        <f t="shared" si="1590"/>
        <v>0</v>
      </c>
    </row>
    <row r="4422" spans="1:9" x14ac:dyDescent="0.3">
      <c r="A4422" s="75">
        <f>IF(OR('Rate Log'!$J$161&lt;&gt;nr_SelKey,'Rate Log'!$E$161&lt;&gt;"planned",'Rate Log'!$C$161=""),0,COUNTIFS('Rate Log'!$J$7:$J$161,nr_SelKey,'Rate Log'!$E$7:$E$161,"planned"))</f>
        <v>0</v>
      </c>
      <c r="B4422" s="72">
        <f>IF($A4422=0,N('Rate Log'!$K$161),IF(ISBLANK(INDEX(att_actpct,$A4422)),N('Rate Log'!$K$161),INDEX(att_actpct,$A4422)))</f>
        <v>0</v>
      </c>
      <c r="C4422" s="73">
        <f>IF('Rate Log'!$C$161="",0,IF(1+$B4422&gt;0,LN(1+$B4422),0))</f>
        <v>0</v>
      </c>
      <c r="D4422" s="74" t="str">
        <f>IF('Rate Log'!$C$161="","",IF($A4422=0,'Rate Log'!$C$161,IF(ISBLANK(INDEX(att_actdate,$A4422)),'Rate Log'!$C$161,INDEX(att_actdate,$A4422))))</f>
        <v/>
      </c>
      <c r="E4422" s="74" t="str">
        <f t="shared" si="1588"/>
        <v/>
      </c>
      <c r="F4422" s="75">
        <f t="shared" si="1589"/>
        <v>0</v>
      </c>
      <c r="G4422" s="75">
        <f>IF($D4422="",0,COUNTIFS(rl_key,'Rate Log'!$J$161,$E$4268:$E$4507,$E4422,$D$4268:$D$4507,"&lt;"&amp;$D4422))</f>
        <v>0</v>
      </c>
      <c r="H4422" s="75">
        <f>IF($D4422="",0,COUNTIFS('Rate Log'!$J$7:$J$161,'Rate Log'!$J$161,$E$4268:$E4422,$E4422,$D$4268:$D4422,$D4422))</f>
        <v>0</v>
      </c>
      <c r="I4422" s="75">
        <f t="shared" si="1590"/>
        <v>0</v>
      </c>
    </row>
    <row r="4423" spans="1:9" x14ac:dyDescent="0.3">
      <c r="A4423" s="75">
        <f>IF(OR('Rate Log'!$J$162&lt;&gt;nr_SelKey,'Rate Log'!$E$162&lt;&gt;"planned",'Rate Log'!$C$162=""),0,COUNTIFS('Rate Log'!$J$7:$J$162,nr_SelKey,'Rate Log'!$E$7:$E$162,"planned"))</f>
        <v>0</v>
      </c>
      <c r="B4423" s="72">
        <f>IF($A4423=0,N('Rate Log'!$K$162),IF(ISBLANK(INDEX(att_actpct,$A4423)),N('Rate Log'!$K$162),INDEX(att_actpct,$A4423)))</f>
        <v>0</v>
      </c>
      <c r="C4423" s="73">
        <f>IF('Rate Log'!$C$162="",0,IF(1+$B4423&gt;0,LN(1+$B4423),0))</f>
        <v>0</v>
      </c>
      <c r="D4423" s="74" t="str">
        <f>IF('Rate Log'!$C$162="","",IF($A4423=0,'Rate Log'!$C$162,IF(ISBLANK(INDEX(att_actdate,$A4423)),'Rate Log'!$C$162,INDEX(att_actdate,$A4423))))</f>
        <v/>
      </c>
      <c r="E4423" s="74" t="str">
        <f t="shared" si="1588"/>
        <v/>
      </c>
      <c r="F4423" s="75">
        <f t="shared" si="1589"/>
        <v>0</v>
      </c>
      <c r="G4423" s="75">
        <f>IF($D4423="",0,COUNTIFS(rl_key,'Rate Log'!$J$162,$E$4268:$E$4507,$E4423,$D$4268:$D$4507,"&lt;"&amp;$D4423))</f>
        <v>0</v>
      </c>
      <c r="H4423" s="75">
        <f>IF($D4423="",0,COUNTIFS('Rate Log'!$J$7:$J$162,'Rate Log'!$J$162,$E$4268:$E4423,$E4423,$D$4268:$D4423,$D4423))</f>
        <v>0</v>
      </c>
      <c r="I4423" s="75">
        <f t="shared" si="1590"/>
        <v>0</v>
      </c>
    </row>
    <row r="4424" spans="1:9" x14ac:dyDescent="0.3">
      <c r="A4424" s="75">
        <f>IF(OR('Rate Log'!$J$163&lt;&gt;nr_SelKey,'Rate Log'!$E$163&lt;&gt;"planned",'Rate Log'!$C$163=""),0,COUNTIFS('Rate Log'!$J$7:$J$163,nr_SelKey,'Rate Log'!$E$7:$E$163,"planned"))</f>
        <v>0</v>
      </c>
      <c r="B4424" s="72">
        <f>IF($A4424=0,N('Rate Log'!$K$163),IF(ISBLANK(INDEX(att_actpct,$A4424)),N('Rate Log'!$K$163),INDEX(att_actpct,$A4424)))</f>
        <v>0</v>
      </c>
      <c r="C4424" s="73">
        <f>IF('Rate Log'!$C$163="",0,IF(1+$B4424&gt;0,LN(1+$B4424),0))</f>
        <v>0</v>
      </c>
      <c r="D4424" s="74" t="str">
        <f>IF('Rate Log'!$C$163="","",IF($A4424=0,'Rate Log'!$C$163,IF(ISBLANK(INDEX(att_actdate,$A4424)),'Rate Log'!$C$163,INDEX(att_actdate,$A4424))))</f>
        <v/>
      </c>
      <c r="E4424" s="74" t="str">
        <f t="shared" si="1588"/>
        <v/>
      </c>
      <c r="F4424" s="75">
        <f t="shared" si="1589"/>
        <v>0</v>
      </c>
      <c r="G4424" s="75">
        <f>IF($D4424="",0,COUNTIFS(rl_key,'Rate Log'!$J$163,$E$4268:$E$4507,$E4424,$D$4268:$D$4507,"&lt;"&amp;$D4424))</f>
        <v>0</v>
      </c>
      <c r="H4424" s="75">
        <f>IF($D4424="",0,COUNTIFS('Rate Log'!$J$7:$J$163,'Rate Log'!$J$163,$E$4268:$E4424,$E4424,$D$4268:$D4424,$D4424))</f>
        <v>0</v>
      </c>
      <c r="I4424" s="75">
        <f t="shared" si="1590"/>
        <v>0</v>
      </c>
    </row>
    <row r="4425" spans="1:9" x14ac:dyDescent="0.3">
      <c r="A4425" s="75">
        <f>IF(OR('Rate Log'!$J$164&lt;&gt;nr_SelKey,'Rate Log'!$E$164&lt;&gt;"planned",'Rate Log'!$C$164=""),0,COUNTIFS('Rate Log'!$J$7:$J$164,nr_SelKey,'Rate Log'!$E$7:$E$164,"planned"))</f>
        <v>0</v>
      </c>
      <c r="B4425" s="72">
        <f>IF($A4425=0,N('Rate Log'!$K$164),IF(ISBLANK(INDEX(att_actpct,$A4425)),N('Rate Log'!$K$164),INDEX(att_actpct,$A4425)))</f>
        <v>0</v>
      </c>
      <c r="C4425" s="73">
        <f>IF('Rate Log'!$C$164="",0,IF(1+$B4425&gt;0,LN(1+$B4425),0))</f>
        <v>0</v>
      </c>
      <c r="D4425" s="74" t="str">
        <f>IF('Rate Log'!$C$164="","",IF($A4425=0,'Rate Log'!$C$164,IF(ISBLANK(INDEX(att_actdate,$A4425)),'Rate Log'!$C$164,INDEX(att_actdate,$A4425))))</f>
        <v/>
      </c>
      <c r="E4425" s="74" t="str">
        <f t="shared" si="1588"/>
        <v/>
      </c>
      <c r="F4425" s="75">
        <f t="shared" si="1589"/>
        <v>0</v>
      </c>
      <c r="G4425" s="75">
        <f>IF($D4425="",0,COUNTIFS(rl_key,'Rate Log'!$J$164,$E$4268:$E$4507,$E4425,$D$4268:$D$4507,"&lt;"&amp;$D4425))</f>
        <v>0</v>
      </c>
      <c r="H4425" s="75">
        <f>IF($D4425="",0,COUNTIFS('Rate Log'!$J$7:$J$164,'Rate Log'!$J$164,$E$4268:$E4425,$E4425,$D$4268:$D4425,$D4425))</f>
        <v>0</v>
      </c>
      <c r="I4425" s="75">
        <f t="shared" si="1590"/>
        <v>0</v>
      </c>
    </row>
    <row r="4426" spans="1:9" x14ac:dyDescent="0.3">
      <c r="A4426" s="75">
        <f>IF(OR('Rate Log'!$J$165&lt;&gt;nr_SelKey,'Rate Log'!$E$165&lt;&gt;"planned",'Rate Log'!$C$165=""),0,COUNTIFS('Rate Log'!$J$7:$J$165,nr_SelKey,'Rate Log'!$E$7:$E$165,"planned"))</f>
        <v>0</v>
      </c>
      <c r="B4426" s="72">
        <f>IF($A4426=0,N('Rate Log'!$K$165),IF(ISBLANK(INDEX(att_actpct,$A4426)),N('Rate Log'!$K$165),INDEX(att_actpct,$A4426)))</f>
        <v>0</v>
      </c>
      <c r="C4426" s="73">
        <f>IF('Rate Log'!$C$165="",0,IF(1+$B4426&gt;0,LN(1+$B4426),0))</f>
        <v>0</v>
      </c>
      <c r="D4426" s="74" t="str">
        <f>IF('Rate Log'!$C$165="","",IF($A4426=0,'Rate Log'!$C$165,IF(ISBLANK(INDEX(att_actdate,$A4426)),'Rate Log'!$C$165,INDEX(att_actdate,$A4426))))</f>
        <v/>
      </c>
      <c r="E4426" s="74" t="str">
        <f t="shared" si="1588"/>
        <v/>
      </c>
      <c r="F4426" s="75">
        <f t="shared" si="1589"/>
        <v>0</v>
      </c>
      <c r="G4426" s="75">
        <f>IF($D4426="",0,COUNTIFS(rl_key,'Rate Log'!$J$165,$E$4268:$E$4507,$E4426,$D$4268:$D$4507,"&lt;"&amp;$D4426))</f>
        <v>0</v>
      </c>
      <c r="H4426" s="75">
        <f>IF($D4426="",0,COUNTIFS('Rate Log'!$J$7:$J$165,'Rate Log'!$J$165,$E$4268:$E4426,$E4426,$D$4268:$D4426,$D4426))</f>
        <v>0</v>
      </c>
      <c r="I4426" s="75">
        <f t="shared" si="1590"/>
        <v>0</v>
      </c>
    </row>
    <row r="4427" spans="1:9" x14ac:dyDescent="0.3">
      <c r="A4427" s="75">
        <f>IF(OR('Rate Log'!$J$166&lt;&gt;nr_SelKey,'Rate Log'!$E$166&lt;&gt;"planned",'Rate Log'!$C$166=""),0,COUNTIFS('Rate Log'!$J$7:$J$166,nr_SelKey,'Rate Log'!$E$7:$E$166,"planned"))</f>
        <v>0</v>
      </c>
      <c r="B4427" s="72">
        <f>IF($A4427=0,N('Rate Log'!$K$166),IF(ISBLANK(INDEX(att_actpct,$A4427)),N('Rate Log'!$K$166),INDEX(att_actpct,$A4427)))</f>
        <v>0</v>
      </c>
      <c r="C4427" s="73">
        <f>IF('Rate Log'!$C$166="",0,IF(1+$B4427&gt;0,LN(1+$B4427),0))</f>
        <v>0</v>
      </c>
      <c r="D4427" s="74" t="str">
        <f>IF('Rate Log'!$C$166="","",IF($A4427=0,'Rate Log'!$C$166,IF(ISBLANK(INDEX(att_actdate,$A4427)),'Rate Log'!$C$166,INDEX(att_actdate,$A4427))))</f>
        <v/>
      </c>
      <c r="E4427" s="74" t="str">
        <f t="shared" si="1588"/>
        <v/>
      </c>
      <c r="F4427" s="75">
        <f t="shared" si="1589"/>
        <v>0</v>
      </c>
      <c r="G4427" s="75">
        <f>IF($D4427="",0,COUNTIFS(rl_key,'Rate Log'!$J$166,$E$4268:$E$4507,$E4427,$D$4268:$D$4507,"&lt;"&amp;$D4427))</f>
        <v>0</v>
      </c>
      <c r="H4427" s="75">
        <f>IF($D4427="",0,COUNTIFS('Rate Log'!$J$7:$J$166,'Rate Log'!$J$166,$E$4268:$E4427,$E4427,$D$4268:$D4427,$D4427))</f>
        <v>0</v>
      </c>
      <c r="I4427" s="75">
        <f t="shared" si="1590"/>
        <v>0</v>
      </c>
    </row>
    <row r="4428" spans="1:9" x14ac:dyDescent="0.3">
      <c r="A4428" s="75">
        <f>IF(OR('Rate Log'!$J$167&lt;&gt;nr_SelKey,'Rate Log'!$E$167&lt;&gt;"planned",'Rate Log'!$C$167=""),0,COUNTIFS('Rate Log'!$J$7:$J$167,nr_SelKey,'Rate Log'!$E$7:$E$167,"planned"))</f>
        <v>0</v>
      </c>
      <c r="B4428" s="72">
        <f>IF($A4428=0,N('Rate Log'!$K$167),IF(ISBLANK(INDEX(att_actpct,$A4428)),N('Rate Log'!$K$167),INDEX(att_actpct,$A4428)))</f>
        <v>0</v>
      </c>
      <c r="C4428" s="73">
        <f>IF('Rate Log'!$C$167="",0,IF(1+$B4428&gt;0,LN(1+$B4428),0))</f>
        <v>0</v>
      </c>
      <c r="D4428" s="74" t="str">
        <f>IF('Rate Log'!$C$167="","",IF($A4428=0,'Rate Log'!$C$167,IF(ISBLANK(INDEX(att_actdate,$A4428)),'Rate Log'!$C$167,INDEX(att_actdate,$A4428))))</f>
        <v/>
      </c>
      <c r="E4428" s="74" t="str">
        <f t="shared" si="1588"/>
        <v/>
      </c>
      <c r="F4428" s="75">
        <f t="shared" si="1589"/>
        <v>0</v>
      </c>
      <c r="G4428" s="75">
        <f>IF($D4428="",0,COUNTIFS(rl_key,'Rate Log'!$J$167,$E$4268:$E$4507,$E4428,$D$4268:$D$4507,"&lt;"&amp;$D4428))</f>
        <v>0</v>
      </c>
      <c r="H4428" s="75">
        <f>IF($D4428="",0,COUNTIFS('Rate Log'!$J$7:$J$167,'Rate Log'!$J$167,$E$4268:$E4428,$E4428,$D$4268:$D4428,$D4428))</f>
        <v>0</v>
      </c>
      <c r="I4428" s="75">
        <f t="shared" si="1590"/>
        <v>0</v>
      </c>
    </row>
    <row r="4429" spans="1:9" x14ac:dyDescent="0.3">
      <c r="A4429" s="75">
        <f>IF(OR('Rate Log'!$J$168&lt;&gt;nr_SelKey,'Rate Log'!$E$168&lt;&gt;"planned",'Rate Log'!$C$168=""),0,COUNTIFS('Rate Log'!$J$7:$J$168,nr_SelKey,'Rate Log'!$E$7:$E$168,"planned"))</f>
        <v>0</v>
      </c>
      <c r="B4429" s="72">
        <f>IF($A4429=0,N('Rate Log'!$K$168),IF(ISBLANK(INDEX(att_actpct,$A4429)),N('Rate Log'!$K$168),INDEX(att_actpct,$A4429)))</f>
        <v>0</v>
      </c>
      <c r="C4429" s="73">
        <f>IF('Rate Log'!$C$168="",0,IF(1+$B4429&gt;0,LN(1+$B4429),0))</f>
        <v>0</v>
      </c>
      <c r="D4429" s="74" t="str">
        <f>IF('Rate Log'!$C$168="","",IF($A4429=0,'Rate Log'!$C$168,IF(ISBLANK(INDEX(att_actdate,$A4429)),'Rate Log'!$C$168,INDEX(att_actdate,$A4429))))</f>
        <v/>
      </c>
      <c r="E4429" s="74" t="str">
        <f t="shared" si="1588"/>
        <v/>
      </c>
      <c r="F4429" s="75">
        <f t="shared" si="1589"/>
        <v>0</v>
      </c>
      <c r="G4429" s="75">
        <f>IF($D4429="",0,COUNTIFS(rl_key,'Rate Log'!$J$168,$E$4268:$E$4507,$E4429,$D$4268:$D$4507,"&lt;"&amp;$D4429))</f>
        <v>0</v>
      </c>
      <c r="H4429" s="75">
        <f>IF($D4429="",0,COUNTIFS('Rate Log'!$J$7:$J$168,'Rate Log'!$J$168,$E$4268:$E4429,$E4429,$D$4268:$D4429,$D4429))</f>
        <v>0</v>
      </c>
      <c r="I4429" s="75">
        <f t="shared" si="1590"/>
        <v>0</v>
      </c>
    </row>
    <row r="4430" spans="1:9" x14ac:dyDescent="0.3">
      <c r="A4430" s="75">
        <f>IF(OR('Rate Log'!$J$169&lt;&gt;nr_SelKey,'Rate Log'!$E$169&lt;&gt;"planned",'Rate Log'!$C$169=""),0,COUNTIFS('Rate Log'!$J$7:$J$169,nr_SelKey,'Rate Log'!$E$7:$E$169,"planned"))</f>
        <v>0</v>
      </c>
      <c r="B4430" s="72">
        <f>IF($A4430=0,N('Rate Log'!$K$169),IF(ISBLANK(INDEX(att_actpct,$A4430)),N('Rate Log'!$K$169),INDEX(att_actpct,$A4430)))</f>
        <v>0</v>
      </c>
      <c r="C4430" s="73">
        <f>IF('Rate Log'!$C$169="",0,IF(1+$B4430&gt;0,LN(1+$B4430),0))</f>
        <v>0</v>
      </c>
      <c r="D4430" s="74" t="str">
        <f>IF('Rate Log'!$C$169="","",IF($A4430=0,'Rate Log'!$C$169,IF(ISBLANK(INDEX(att_actdate,$A4430)),'Rate Log'!$C$169,INDEX(att_actdate,$A4430))))</f>
        <v/>
      </c>
      <c r="E4430" s="74" t="str">
        <f t="shared" si="1588"/>
        <v/>
      </c>
      <c r="F4430" s="75">
        <f t="shared" si="1589"/>
        <v>0</v>
      </c>
      <c r="G4430" s="75">
        <f>IF($D4430="",0,COUNTIFS(rl_key,'Rate Log'!$J$169,$E$4268:$E$4507,$E4430,$D$4268:$D$4507,"&lt;"&amp;$D4430))</f>
        <v>0</v>
      </c>
      <c r="H4430" s="75">
        <f>IF($D4430="",0,COUNTIFS('Rate Log'!$J$7:$J$169,'Rate Log'!$J$169,$E$4268:$E4430,$E4430,$D$4268:$D4430,$D4430))</f>
        <v>0</v>
      </c>
      <c r="I4430" s="75">
        <f t="shared" si="1590"/>
        <v>0</v>
      </c>
    </row>
    <row r="4431" spans="1:9" x14ac:dyDescent="0.3">
      <c r="A4431" s="75">
        <f>IF(OR('Rate Log'!$J$170&lt;&gt;nr_SelKey,'Rate Log'!$E$170&lt;&gt;"planned",'Rate Log'!$C$170=""),0,COUNTIFS('Rate Log'!$J$7:$J$170,nr_SelKey,'Rate Log'!$E$7:$E$170,"planned"))</f>
        <v>0</v>
      </c>
      <c r="B4431" s="72">
        <f>IF($A4431=0,N('Rate Log'!$K$170),IF(ISBLANK(INDEX(att_actpct,$A4431)),N('Rate Log'!$K$170),INDEX(att_actpct,$A4431)))</f>
        <v>0</v>
      </c>
      <c r="C4431" s="73">
        <f>IF('Rate Log'!$C$170="",0,IF(1+$B4431&gt;0,LN(1+$B4431),0))</f>
        <v>0</v>
      </c>
      <c r="D4431" s="74" t="str">
        <f>IF('Rate Log'!$C$170="","",IF($A4431=0,'Rate Log'!$C$170,IF(ISBLANK(INDEX(att_actdate,$A4431)),'Rate Log'!$C$170,INDEX(att_actdate,$A4431))))</f>
        <v/>
      </c>
      <c r="E4431" s="74" t="str">
        <f t="shared" si="1588"/>
        <v/>
      </c>
      <c r="F4431" s="75">
        <f t="shared" si="1589"/>
        <v>0</v>
      </c>
      <c r="G4431" s="75">
        <f>IF($D4431="",0,COUNTIFS(rl_key,'Rate Log'!$J$170,$E$4268:$E$4507,$E4431,$D$4268:$D$4507,"&lt;"&amp;$D4431))</f>
        <v>0</v>
      </c>
      <c r="H4431" s="75">
        <f>IF($D4431="",0,COUNTIFS('Rate Log'!$J$7:$J$170,'Rate Log'!$J$170,$E$4268:$E4431,$E4431,$D$4268:$D4431,$D4431))</f>
        <v>0</v>
      </c>
      <c r="I4431" s="75">
        <f t="shared" si="1590"/>
        <v>0</v>
      </c>
    </row>
    <row r="4432" spans="1:9" x14ac:dyDescent="0.3">
      <c r="A4432" s="75">
        <f>IF(OR('Rate Log'!$J$171&lt;&gt;nr_SelKey,'Rate Log'!$E$171&lt;&gt;"planned",'Rate Log'!$C$171=""),0,COUNTIFS('Rate Log'!$J$7:$J$171,nr_SelKey,'Rate Log'!$E$7:$E$171,"planned"))</f>
        <v>0</v>
      </c>
      <c r="B4432" s="72">
        <f>IF($A4432=0,N('Rate Log'!$K$171),IF(ISBLANK(INDEX(att_actpct,$A4432)),N('Rate Log'!$K$171),INDEX(att_actpct,$A4432)))</f>
        <v>0</v>
      </c>
      <c r="C4432" s="73">
        <f>IF('Rate Log'!$C$171="",0,IF(1+$B4432&gt;0,LN(1+$B4432),0))</f>
        <v>0</v>
      </c>
      <c r="D4432" s="74" t="str">
        <f>IF('Rate Log'!$C$171="","",IF($A4432=0,'Rate Log'!$C$171,IF(ISBLANK(INDEX(att_actdate,$A4432)),'Rate Log'!$C$171,INDEX(att_actdate,$A4432))))</f>
        <v/>
      </c>
      <c r="E4432" s="74" t="str">
        <f t="shared" si="1588"/>
        <v/>
      </c>
      <c r="F4432" s="75">
        <f t="shared" si="1589"/>
        <v>0</v>
      </c>
      <c r="G4432" s="75">
        <f>IF($D4432="",0,COUNTIFS(rl_key,'Rate Log'!$J$171,$E$4268:$E$4507,$E4432,$D$4268:$D$4507,"&lt;"&amp;$D4432))</f>
        <v>0</v>
      </c>
      <c r="H4432" s="75">
        <f>IF($D4432="",0,COUNTIFS('Rate Log'!$J$7:$J$171,'Rate Log'!$J$171,$E$4268:$E4432,$E4432,$D$4268:$D4432,$D4432))</f>
        <v>0</v>
      </c>
      <c r="I4432" s="75">
        <f t="shared" si="1590"/>
        <v>0</v>
      </c>
    </row>
    <row r="4433" spans="1:9" x14ac:dyDescent="0.3">
      <c r="A4433" s="75">
        <f>IF(OR('Rate Log'!$J$172&lt;&gt;nr_SelKey,'Rate Log'!$E$172&lt;&gt;"planned",'Rate Log'!$C$172=""),0,COUNTIFS('Rate Log'!$J$7:$J$172,nr_SelKey,'Rate Log'!$E$7:$E$172,"planned"))</f>
        <v>0</v>
      </c>
      <c r="B4433" s="72">
        <f>IF($A4433=0,N('Rate Log'!$K$172),IF(ISBLANK(INDEX(att_actpct,$A4433)),N('Rate Log'!$K$172),INDEX(att_actpct,$A4433)))</f>
        <v>0</v>
      </c>
      <c r="C4433" s="73">
        <f>IF('Rate Log'!$C$172="",0,IF(1+$B4433&gt;0,LN(1+$B4433),0))</f>
        <v>0</v>
      </c>
      <c r="D4433" s="74" t="str">
        <f>IF('Rate Log'!$C$172="","",IF($A4433=0,'Rate Log'!$C$172,IF(ISBLANK(INDEX(att_actdate,$A4433)),'Rate Log'!$C$172,INDEX(att_actdate,$A4433))))</f>
        <v/>
      </c>
      <c r="E4433" s="74" t="str">
        <f t="shared" si="1588"/>
        <v/>
      </c>
      <c r="F4433" s="75">
        <f t="shared" si="1589"/>
        <v>0</v>
      </c>
      <c r="G4433" s="75">
        <f>IF($D4433="",0,COUNTIFS(rl_key,'Rate Log'!$J$172,$E$4268:$E$4507,$E4433,$D$4268:$D$4507,"&lt;"&amp;$D4433))</f>
        <v>0</v>
      </c>
      <c r="H4433" s="75">
        <f>IF($D4433="",0,COUNTIFS('Rate Log'!$J$7:$J$172,'Rate Log'!$J$172,$E$4268:$E4433,$E4433,$D$4268:$D4433,$D4433))</f>
        <v>0</v>
      </c>
      <c r="I4433" s="75">
        <f t="shared" si="1590"/>
        <v>0</v>
      </c>
    </row>
    <row r="4434" spans="1:9" x14ac:dyDescent="0.3">
      <c r="A4434" s="75">
        <f>IF(OR('Rate Log'!$J$173&lt;&gt;nr_SelKey,'Rate Log'!$E$173&lt;&gt;"planned",'Rate Log'!$C$173=""),0,COUNTIFS('Rate Log'!$J$7:$J$173,nr_SelKey,'Rate Log'!$E$7:$E$173,"planned"))</f>
        <v>0</v>
      </c>
      <c r="B4434" s="72">
        <f>IF($A4434=0,N('Rate Log'!$K$173),IF(ISBLANK(INDEX(att_actpct,$A4434)),N('Rate Log'!$K$173),INDEX(att_actpct,$A4434)))</f>
        <v>0</v>
      </c>
      <c r="C4434" s="73">
        <f>IF('Rate Log'!$C$173="",0,IF(1+$B4434&gt;0,LN(1+$B4434),0))</f>
        <v>0</v>
      </c>
      <c r="D4434" s="74" t="str">
        <f>IF('Rate Log'!$C$173="","",IF($A4434=0,'Rate Log'!$C$173,IF(ISBLANK(INDEX(att_actdate,$A4434)),'Rate Log'!$C$173,INDEX(att_actdate,$A4434))))</f>
        <v/>
      </c>
      <c r="E4434" s="74" t="str">
        <f t="shared" si="1588"/>
        <v/>
      </c>
      <c r="F4434" s="75">
        <f t="shared" si="1589"/>
        <v>0</v>
      </c>
      <c r="G4434" s="75">
        <f>IF($D4434="",0,COUNTIFS(rl_key,'Rate Log'!$J$173,$E$4268:$E$4507,$E4434,$D$4268:$D$4507,"&lt;"&amp;$D4434))</f>
        <v>0</v>
      </c>
      <c r="H4434" s="75">
        <f>IF($D4434="",0,COUNTIFS('Rate Log'!$J$7:$J$173,'Rate Log'!$J$173,$E$4268:$E4434,$E4434,$D$4268:$D4434,$D4434))</f>
        <v>0</v>
      </c>
      <c r="I4434" s="75">
        <f t="shared" si="1590"/>
        <v>0</v>
      </c>
    </row>
    <row r="4435" spans="1:9" x14ac:dyDescent="0.3">
      <c r="A4435" s="75">
        <f>IF(OR('Rate Log'!$J$174&lt;&gt;nr_SelKey,'Rate Log'!$E$174&lt;&gt;"planned",'Rate Log'!$C$174=""),0,COUNTIFS('Rate Log'!$J$7:$J$174,nr_SelKey,'Rate Log'!$E$7:$E$174,"planned"))</f>
        <v>0</v>
      </c>
      <c r="B4435" s="72">
        <f>IF($A4435=0,N('Rate Log'!$K$174),IF(ISBLANK(INDEX(att_actpct,$A4435)),N('Rate Log'!$K$174),INDEX(att_actpct,$A4435)))</f>
        <v>0</v>
      </c>
      <c r="C4435" s="73">
        <f>IF('Rate Log'!$C$174="",0,IF(1+$B4435&gt;0,LN(1+$B4435),0))</f>
        <v>0</v>
      </c>
      <c r="D4435" s="74" t="str">
        <f>IF('Rate Log'!$C$174="","",IF($A4435=0,'Rate Log'!$C$174,IF(ISBLANK(INDEX(att_actdate,$A4435)),'Rate Log'!$C$174,INDEX(att_actdate,$A4435))))</f>
        <v/>
      </c>
      <c r="E4435" s="74" t="str">
        <f t="shared" si="1588"/>
        <v/>
      </c>
      <c r="F4435" s="75">
        <f t="shared" si="1589"/>
        <v>0</v>
      </c>
      <c r="G4435" s="75">
        <f>IF($D4435="",0,COUNTIFS(rl_key,'Rate Log'!$J$174,$E$4268:$E$4507,$E4435,$D$4268:$D$4507,"&lt;"&amp;$D4435))</f>
        <v>0</v>
      </c>
      <c r="H4435" s="75">
        <f>IF($D4435="",0,COUNTIFS('Rate Log'!$J$7:$J$174,'Rate Log'!$J$174,$E$4268:$E4435,$E4435,$D$4268:$D4435,$D4435))</f>
        <v>0</v>
      </c>
      <c r="I4435" s="75">
        <f t="shared" si="1590"/>
        <v>0</v>
      </c>
    </row>
    <row r="4436" spans="1:9" x14ac:dyDescent="0.3">
      <c r="A4436" s="75">
        <f>IF(OR('Rate Log'!$J$175&lt;&gt;nr_SelKey,'Rate Log'!$E$175&lt;&gt;"planned",'Rate Log'!$C$175=""),0,COUNTIFS('Rate Log'!$J$7:$J$175,nr_SelKey,'Rate Log'!$E$7:$E$175,"planned"))</f>
        <v>0</v>
      </c>
      <c r="B4436" s="72">
        <f>IF($A4436=0,N('Rate Log'!$K$175),IF(ISBLANK(INDEX(att_actpct,$A4436)),N('Rate Log'!$K$175),INDEX(att_actpct,$A4436)))</f>
        <v>0</v>
      </c>
      <c r="C4436" s="73">
        <f>IF('Rate Log'!$C$175="",0,IF(1+$B4436&gt;0,LN(1+$B4436),0))</f>
        <v>0</v>
      </c>
      <c r="D4436" s="74" t="str">
        <f>IF('Rate Log'!$C$175="","",IF($A4436=0,'Rate Log'!$C$175,IF(ISBLANK(INDEX(att_actdate,$A4436)),'Rate Log'!$C$175,INDEX(att_actdate,$A4436))))</f>
        <v/>
      </c>
      <c r="E4436" s="74" t="str">
        <f t="shared" si="1588"/>
        <v/>
      </c>
      <c r="F4436" s="75">
        <f t="shared" si="1589"/>
        <v>0</v>
      </c>
      <c r="G4436" s="75">
        <f>IF($D4436="",0,COUNTIFS(rl_key,'Rate Log'!$J$175,$E$4268:$E$4507,$E4436,$D$4268:$D$4507,"&lt;"&amp;$D4436))</f>
        <v>0</v>
      </c>
      <c r="H4436" s="75">
        <f>IF($D4436="",0,COUNTIFS('Rate Log'!$J$7:$J$175,'Rate Log'!$J$175,$E$4268:$E4436,$E4436,$D$4268:$D4436,$D4436))</f>
        <v>0</v>
      </c>
      <c r="I4436" s="75">
        <f t="shared" si="1590"/>
        <v>0</v>
      </c>
    </row>
    <row r="4437" spans="1:9" x14ac:dyDescent="0.3">
      <c r="A4437" s="75">
        <f>IF(OR('Rate Log'!$J$176&lt;&gt;nr_SelKey,'Rate Log'!$E$176&lt;&gt;"planned",'Rate Log'!$C$176=""),0,COUNTIFS('Rate Log'!$J$7:$J$176,nr_SelKey,'Rate Log'!$E$7:$E$176,"planned"))</f>
        <v>0</v>
      </c>
      <c r="B4437" s="72">
        <f>IF($A4437=0,N('Rate Log'!$K$176),IF(ISBLANK(INDEX(att_actpct,$A4437)),N('Rate Log'!$K$176),INDEX(att_actpct,$A4437)))</f>
        <v>0</v>
      </c>
      <c r="C4437" s="73">
        <f>IF('Rate Log'!$C$176="",0,IF(1+$B4437&gt;0,LN(1+$B4437),0))</f>
        <v>0</v>
      </c>
      <c r="D4437" s="74" t="str">
        <f>IF('Rate Log'!$C$176="","",IF($A4437=0,'Rate Log'!$C$176,IF(ISBLANK(INDEX(att_actdate,$A4437)),'Rate Log'!$C$176,INDEX(att_actdate,$A4437))))</f>
        <v/>
      </c>
      <c r="E4437" s="74" t="str">
        <f t="shared" si="1588"/>
        <v/>
      </c>
      <c r="F4437" s="75">
        <f t="shared" si="1589"/>
        <v>0</v>
      </c>
      <c r="G4437" s="75">
        <f>IF($D4437="",0,COUNTIFS(rl_key,'Rate Log'!$J$176,$E$4268:$E$4507,$E4437,$D$4268:$D$4507,"&lt;"&amp;$D4437))</f>
        <v>0</v>
      </c>
      <c r="H4437" s="75">
        <f>IF($D4437="",0,COUNTIFS('Rate Log'!$J$7:$J$176,'Rate Log'!$J$176,$E$4268:$E4437,$E4437,$D$4268:$D4437,$D4437))</f>
        <v>0</v>
      </c>
      <c r="I4437" s="75">
        <f t="shared" si="1590"/>
        <v>0</v>
      </c>
    </row>
    <row r="4438" spans="1:9" x14ac:dyDescent="0.3">
      <c r="A4438" s="75">
        <f>IF(OR('Rate Log'!$J$177&lt;&gt;nr_SelKey,'Rate Log'!$E$177&lt;&gt;"planned",'Rate Log'!$C$177=""),0,COUNTIFS('Rate Log'!$J$7:$J$177,nr_SelKey,'Rate Log'!$E$7:$E$177,"planned"))</f>
        <v>0</v>
      </c>
      <c r="B4438" s="72">
        <f>IF($A4438=0,N('Rate Log'!$K$177),IF(ISBLANK(INDEX(att_actpct,$A4438)),N('Rate Log'!$K$177),INDEX(att_actpct,$A4438)))</f>
        <v>0</v>
      </c>
      <c r="C4438" s="73">
        <f>IF('Rate Log'!$C$177="",0,IF(1+$B4438&gt;0,LN(1+$B4438),0))</f>
        <v>0</v>
      </c>
      <c r="D4438" s="74" t="str">
        <f>IF('Rate Log'!$C$177="","",IF($A4438=0,'Rate Log'!$C$177,IF(ISBLANK(INDEX(att_actdate,$A4438)),'Rate Log'!$C$177,INDEX(att_actdate,$A4438))))</f>
        <v/>
      </c>
      <c r="E4438" s="74" t="str">
        <f t="shared" si="1588"/>
        <v/>
      </c>
      <c r="F4438" s="75">
        <f t="shared" si="1589"/>
        <v>0</v>
      </c>
      <c r="G4438" s="75">
        <f>IF($D4438="",0,COUNTIFS(rl_key,'Rate Log'!$J$177,$E$4268:$E$4507,$E4438,$D$4268:$D$4507,"&lt;"&amp;$D4438))</f>
        <v>0</v>
      </c>
      <c r="H4438" s="75">
        <f>IF($D4438="",0,COUNTIFS('Rate Log'!$J$7:$J$177,'Rate Log'!$J$177,$E$4268:$E4438,$E4438,$D$4268:$D4438,$D4438))</f>
        <v>0</v>
      </c>
      <c r="I4438" s="75">
        <f t="shared" si="1590"/>
        <v>0</v>
      </c>
    </row>
    <row r="4439" spans="1:9" x14ac:dyDescent="0.3">
      <c r="A4439" s="75">
        <f>IF(OR('Rate Log'!$J$178&lt;&gt;nr_SelKey,'Rate Log'!$E$178&lt;&gt;"planned",'Rate Log'!$C$178=""),0,COUNTIFS('Rate Log'!$J$7:$J$178,nr_SelKey,'Rate Log'!$E$7:$E$178,"planned"))</f>
        <v>0</v>
      </c>
      <c r="B4439" s="72">
        <f>IF($A4439=0,N('Rate Log'!$K$178),IF(ISBLANK(INDEX(att_actpct,$A4439)),N('Rate Log'!$K$178),INDEX(att_actpct,$A4439)))</f>
        <v>0</v>
      </c>
      <c r="C4439" s="73">
        <f>IF('Rate Log'!$C$178="",0,IF(1+$B4439&gt;0,LN(1+$B4439),0))</f>
        <v>0</v>
      </c>
      <c r="D4439" s="74" t="str">
        <f>IF('Rate Log'!$C$178="","",IF($A4439=0,'Rate Log'!$C$178,IF(ISBLANK(INDEX(att_actdate,$A4439)),'Rate Log'!$C$178,INDEX(att_actdate,$A4439))))</f>
        <v/>
      </c>
      <c r="E4439" s="74" t="str">
        <f t="shared" si="1588"/>
        <v/>
      </c>
      <c r="F4439" s="75">
        <f t="shared" si="1589"/>
        <v>0</v>
      </c>
      <c r="G4439" s="75">
        <f>IF($D4439="",0,COUNTIFS(rl_key,'Rate Log'!$J$178,$E$4268:$E$4507,$E4439,$D$4268:$D$4507,"&lt;"&amp;$D4439))</f>
        <v>0</v>
      </c>
      <c r="H4439" s="75">
        <f>IF($D4439="",0,COUNTIFS('Rate Log'!$J$7:$J$178,'Rate Log'!$J$178,$E$4268:$E4439,$E4439,$D$4268:$D4439,$D4439))</f>
        <v>0</v>
      </c>
      <c r="I4439" s="75">
        <f t="shared" si="1590"/>
        <v>0</v>
      </c>
    </row>
    <row r="4440" spans="1:9" x14ac:dyDescent="0.3">
      <c r="A4440" s="75">
        <f>IF(OR('Rate Log'!$J$179&lt;&gt;nr_SelKey,'Rate Log'!$E$179&lt;&gt;"planned",'Rate Log'!$C$179=""),0,COUNTIFS('Rate Log'!$J$7:$J$179,nr_SelKey,'Rate Log'!$E$7:$E$179,"planned"))</f>
        <v>0</v>
      </c>
      <c r="B4440" s="72">
        <f>IF($A4440=0,N('Rate Log'!$K$179),IF(ISBLANK(INDEX(att_actpct,$A4440)),N('Rate Log'!$K$179),INDEX(att_actpct,$A4440)))</f>
        <v>0</v>
      </c>
      <c r="C4440" s="73">
        <f>IF('Rate Log'!$C$179="",0,IF(1+$B4440&gt;0,LN(1+$B4440),0))</f>
        <v>0</v>
      </c>
      <c r="D4440" s="74" t="str">
        <f>IF('Rate Log'!$C$179="","",IF($A4440=0,'Rate Log'!$C$179,IF(ISBLANK(INDEX(att_actdate,$A4440)),'Rate Log'!$C$179,INDEX(att_actdate,$A4440))))</f>
        <v/>
      </c>
      <c r="E4440" s="74" t="str">
        <f t="shared" si="1588"/>
        <v/>
      </c>
      <c r="F4440" s="75">
        <f t="shared" si="1589"/>
        <v>0</v>
      </c>
      <c r="G4440" s="75">
        <f>IF($D4440="",0,COUNTIFS(rl_key,'Rate Log'!$J$179,$E$4268:$E$4507,$E4440,$D$4268:$D$4507,"&lt;"&amp;$D4440))</f>
        <v>0</v>
      </c>
      <c r="H4440" s="75">
        <f>IF($D4440="",0,COUNTIFS('Rate Log'!$J$7:$J$179,'Rate Log'!$J$179,$E$4268:$E4440,$E4440,$D$4268:$D4440,$D4440))</f>
        <v>0</v>
      </c>
      <c r="I4440" s="75">
        <f t="shared" si="1590"/>
        <v>0</v>
      </c>
    </row>
    <row r="4441" spans="1:9" x14ac:dyDescent="0.3">
      <c r="A4441" s="75">
        <f>IF(OR('Rate Log'!$J$180&lt;&gt;nr_SelKey,'Rate Log'!$E$180&lt;&gt;"planned",'Rate Log'!$C$180=""),0,COUNTIFS('Rate Log'!$J$7:$J$180,nr_SelKey,'Rate Log'!$E$7:$E$180,"planned"))</f>
        <v>0</v>
      </c>
      <c r="B4441" s="72">
        <f>IF($A4441=0,N('Rate Log'!$K$180),IF(ISBLANK(INDEX(att_actpct,$A4441)),N('Rate Log'!$K$180),INDEX(att_actpct,$A4441)))</f>
        <v>0</v>
      </c>
      <c r="C4441" s="73">
        <f>IF('Rate Log'!$C$180="",0,IF(1+$B4441&gt;0,LN(1+$B4441),0))</f>
        <v>0</v>
      </c>
      <c r="D4441" s="74" t="str">
        <f>IF('Rate Log'!$C$180="","",IF($A4441=0,'Rate Log'!$C$180,IF(ISBLANK(INDEX(att_actdate,$A4441)),'Rate Log'!$C$180,INDEX(att_actdate,$A4441))))</f>
        <v/>
      </c>
      <c r="E4441" s="74" t="str">
        <f t="shared" si="1588"/>
        <v/>
      </c>
      <c r="F4441" s="75">
        <f t="shared" si="1589"/>
        <v>0</v>
      </c>
      <c r="G4441" s="75">
        <f>IF($D4441="",0,COUNTIFS(rl_key,'Rate Log'!$J$180,$E$4268:$E$4507,$E4441,$D$4268:$D$4507,"&lt;"&amp;$D4441))</f>
        <v>0</v>
      </c>
      <c r="H4441" s="75">
        <f>IF($D4441="",0,COUNTIFS('Rate Log'!$J$7:$J$180,'Rate Log'!$J$180,$E$4268:$E4441,$E4441,$D$4268:$D4441,$D4441))</f>
        <v>0</v>
      </c>
      <c r="I4441" s="75">
        <f t="shared" si="1590"/>
        <v>0</v>
      </c>
    </row>
    <row r="4442" spans="1:9" x14ac:dyDescent="0.3">
      <c r="A4442" s="75">
        <f>IF(OR('Rate Log'!$J$181&lt;&gt;nr_SelKey,'Rate Log'!$E$181&lt;&gt;"planned",'Rate Log'!$C$181=""),0,COUNTIFS('Rate Log'!$J$7:$J$181,nr_SelKey,'Rate Log'!$E$7:$E$181,"planned"))</f>
        <v>0</v>
      </c>
      <c r="B4442" s="72">
        <f>IF($A4442=0,N('Rate Log'!$K$181),IF(ISBLANK(INDEX(att_actpct,$A4442)),N('Rate Log'!$K$181),INDEX(att_actpct,$A4442)))</f>
        <v>0</v>
      </c>
      <c r="C4442" s="73">
        <f>IF('Rate Log'!$C$181="",0,IF(1+$B4442&gt;0,LN(1+$B4442),0))</f>
        <v>0</v>
      </c>
      <c r="D4442" s="74" t="str">
        <f>IF('Rate Log'!$C$181="","",IF($A4442=0,'Rate Log'!$C$181,IF(ISBLANK(INDEX(att_actdate,$A4442)),'Rate Log'!$C$181,INDEX(att_actdate,$A4442))))</f>
        <v/>
      </c>
      <c r="E4442" s="74" t="str">
        <f t="shared" si="1588"/>
        <v/>
      </c>
      <c r="F4442" s="75">
        <f t="shared" si="1589"/>
        <v>0</v>
      </c>
      <c r="G4442" s="75">
        <f>IF($D4442="",0,COUNTIFS(rl_key,'Rate Log'!$J$181,$E$4268:$E$4507,$E4442,$D$4268:$D$4507,"&lt;"&amp;$D4442))</f>
        <v>0</v>
      </c>
      <c r="H4442" s="75">
        <f>IF($D4442="",0,COUNTIFS('Rate Log'!$J$7:$J$181,'Rate Log'!$J$181,$E$4268:$E4442,$E4442,$D$4268:$D4442,$D4442))</f>
        <v>0</v>
      </c>
      <c r="I4442" s="75">
        <f t="shared" si="1590"/>
        <v>0</v>
      </c>
    </row>
    <row r="4443" spans="1:9" x14ac:dyDescent="0.3">
      <c r="A4443" s="75">
        <f>IF(OR('Rate Log'!$J$182&lt;&gt;nr_SelKey,'Rate Log'!$E$182&lt;&gt;"planned",'Rate Log'!$C$182=""),0,COUNTIFS('Rate Log'!$J$7:$J$182,nr_SelKey,'Rate Log'!$E$7:$E$182,"planned"))</f>
        <v>0</v>
      </c>
      <c r="B4443" s="72">
        <f>IF($A4443=0,N('Rate Log'!$K$182),IF(ISBLANK(INDEX(att_actpct,$A4443)),N('Rate Log'!$K$182),INDEX(att_actpct,$A4443)))</f>
        <v>0</v>
      </c>
      <c r="C4443" s="73">
        <f>IF('Rate Log'!$C$182="",0,IF(1+$B4443&gt;0,LN(1+$B4443),0))</f>
        <v>0</v>
      </c>
      <c r="D4443" s="74" t="str">
        <f>IF('Rate Log'!$C$182="","",IF($A4443=0,'Rate Log'!$C$182,IF(ISBLANK(INDEX(att_actdate,$A4443)),'Rate Log'!$C$182,INDEX(att_actdate,$A4443))))</f>
        <v/>
      </c>
      <c r="E4443" s="74" t="str">
        <f t="shared" si="1588"/>
        <v/>
      </c>
      <c r="F4443" s="75">
        <f t="shared" si="1589"/>
        <v>0</v>
      </c>
      <c r="G4443" s="75">
        <f>IF($D4443="",0,COUNTIFS(rl_key,'Rate Log'!$J$182,$E$4268:$E$4507,$E4443,$D$4268:$D$4507,"&lt;"&amp;$D4443))</f>
        <v>0</v>
      </c>
      <c r="H4443" s="75">
        <f>IF($D4443="",0,COUNTIFS('Rate Log'!$J$7:$J$182,'Rate Log'!$J$182,$E$4268:$E4443,$E4443,$D$4268:$D4443,$D4443))</f>
        <v>0</v>
      </c>
      <c r="I4443" s="75">
        <f t="shared" si="1590"/>
        <v>0</v>
      </c>
    </row>
    <row r="4444" spans="1:9" x14ac:dyDescent="0.3">
      <c r="A4444" s="75">
        <f>IF(OR('Rate Log'!$J$183&lt;&gt;nr_SelKey,'Rate Log'!$E$183&lt;&gt;"planned",'Rate Log'!$C$183=""),0,COUNTIFS('Rate Log'!$J$7:$J$183,nr_SelKey,'Rate Log'!$E$7:$E$183,"planned"))</f>
        <v>0</v>
      </c>
      <c r="B4444" s="72">
        <f>IF($A4444=0,N('Rate Log'!$K$183),IF(ISBLANK(INDEX(att_actpct,$A4444)),N('Rate Log'!$K$183),INDEX(att_actpct,$A4444)))</f>
        <v>0</v>
      </c>
      <c r="C4444" s="73">
        <f>IF('Rate Log'!$C$183="",0,IF(1+$B4444&gt;0,LN(1+$B4444),0))</f>
        <v>0</v>
      </c>
      <c r="D4444" s="74" t="str">
        <f>IF('Rate Log'!$C$183="","",IF($A4444=0,'Rate Log'!$C$183,IF(ISBLANK(INDEX(att_actdate,$A4444)),'Rate Log'!$C$183,INDEX(att_actdate,$A4444))))</f>
        <v/>
      </c>
      <c r="E4444" s="74" t="str">
        <f t="shared" si="1588"/>
        <v/>
      </c>
      <c r="F4444" s="75">
        <f t="shared" si="1589"/>
        <v>0</v>
      </c>
      <c r="G4444" s="75">
        <f>IF($D4444="",0,COUNTIFS(rl_key,'Rate Log'!$J$183,$E$4268:$E$4507,$E4444,$D$4268:$D$4507,"&lt;"&amp;$D4444))</f>
        <v>0</v>
      </c>
      <c r="H4444" s="75">
        <f>IF($D4444="",0,COUNTIFS('Rate Log'!$J$7:$J$183,'Rate Log'!$J$183,$E$4268:$E4444,$E4444,$D$4268:$D4444,$D4444))</f>
        <v>0</v>
      </c>
      <c r="I4444" s="75">
        <f t="shared" si="1590"/>
        <v>0</v>
      </c>
    </row>
    <row r="4445" spans="1:9" x14ac:dyDescent="0.3">
      <c r="A4445" s="75">
        <f>IF(OR('Rate Log'!$J$184&lt;&gt;nr_SelKey,'Rate Log'!$E$184&lt;&gt;"planned",'Rate Log'!$C$184=""),0,COUNTIFS('Rate Log'!$J$7:$J$184,nr_SelKey,'Rate Log'!$E$7:$E$184,"planned"))</f>
        <v>0</v>
      </c>
      <c r="B4445" s="72">
        <f>IF($A4445=0,N('Rate Log'!$K$184),IF(ISBLANK(INDEX(att_actpct,$A4445)),N('Rate Log'!$K$184),INDEX(att_actpct,$A4445)))</f>
        <v>0</v>
      </c>
      <c r="C4445" s="73">
        <f>IF('Rate Log'!$C$184="",0,IF(1+$B4445&gt;0,LN(1+$B4445),0))</f>
        <v>0</v>
      </c>
      <c r="D4445" s="74" t="str">
        <f>IF('Rate Log'!$C$184="","",IF($A4445=0,'Rate Log'!$C$184,IF(ISBLANK(INDEX(att_actdate,$A4445)),'Rate Log'!$C$184,INDEX(att_actdate,$A4445))))</f>
        <v/>
      </c>
      <c r="E4445" s="74" t="str">
        <f t="shared" si="1588"/>
        <v/>
      </c>
      <c r="F4445" s="75">
        <f t="shared" si="1589"/>
        <v>0</v>
      </c>
      <c r="G4445" s="75">
        <f>IF($D4445="",0,COUNTIFS(rl_key,'Rate Log'!$J$184,$E$4268:$E$4507,$E4445,$D$4268:$D$4507,"&lt;"&amp;$D4445))</f>
        <v>0</v>
      </c>
      <c r="H4445" s="75">
        <f>IF($D4445="",0,COUNTIFS('Rate Log'!$J$7:$J$184,'Rate Log'!$J$184,$E$4268:$E4445,$E4445,$D$4268:$D4445,$D4445))</f>
        <v>0</v>
      </c>
      <c r="I4445" s="75">
        <f t="shared" si="1590"/>
        <v>0</v>
      </c>
    </row>
    <row r="4446" spans="1:9" x14ac:dyDescent="0.3">
      <c r="A4446" s="75">
        <f>IF(OR('Rate Log'!$J$185&lt;&gt;nr_SelKey,'Rate Log'!$E$185&lt;&gt;"planned",'Rate Log'!$C$185=""),0,COUNTIFS('Rate Log'!$J$7:$J$185,nr_SelKey,'Rate Log'!$E$7:$E$185,"planned"))</f>
        <v>0</v>
      </c>
      <c r="B4446" s="72">
        <f>IF($A4446=0,N('Rate Log'!$K$185),IF(ISBLANK(INDEX(att_actpct,$A4446)),N('Rate Log'!$K$185),INDEX(att_actpct,$A4446)))</f>
        <v>0</v>
      </c>
      <c r="C4446" s="73">
        <f>IF('Rate Log'!$C$185="",0,IF(1+$B4446&gt;0,LN(1+$B4446),0))</f>
        <v>0</v>
      </c>
      <c r="D4446" s="74" t="str">
        <f>IF('Rate Log'!$C$185="","",IF($A4446=0,'Rate Log'!$C$185,IF(ISBLANK(INDEX(att_actdate,$A4446)),'Rate Log'!$C$185,INDEX(att_actdate,$A4446))))</f>
        <v/>
      </c>
      <c r="E4446" s="74" t="str">
        <f t="shared" si="1588"/>
        <v/>
      </c>
      <c r="F4446" s="75">
        <f t="shared" si="1589"/>
        <v>0</v>
      </c>
      <c r="G4446" s="75">
        <f>IF($D4446="",0,COUNTIFS(rl_key,'Rate Log'!$J$185,$E$4268:$E$4507,$E4446,$D$4268:$D$4507,"&lt;"&amp;$D4446))</f>
        <v>0</v>
      </c>
      <c r="H4446" s="75">
        <f>IF($D4446="",0,COUNTIFS('Rate Log'!$J$7:$J$185,'Rate Log'!$J$185,$E$4268:$E4446,$E4446,$D$4268:$D4446,$D4446))</f>
        <v>0</v>
      </c>
      <c r="I4446" s="75">
        <f t="shared" si="1590"/>
        <v>0</v>
      </c>
    </row>
    <row r="4447" spans="1:9" x14ac:dyDescent="0.3">
      <c r="A4447" s="75">
        <f>IF(OR('Rate Log'!$J$186&lt;&gt;nr_SelKey,'Rate Log'!$E$186&lt;&gt;"planned",'Rate Log'!$C$186=""),0,COUNTIFS('Rate Log'!$J$7:$J$186,nr_SelKey,'Rate Log'!$E$7:$E$186,"planned"))</f>
        <v>0</v>
      </c>
      <c r="B4447" s="72">
        <f>IF($A4447=0,N('Rate Log'!$K$186),IF(ISBLANK(INDEX(att_actpct,$A4447)),N('Rate Log'!$K$186),INDEX(att_actpct,$A4447)))</f>
        <v>0</v>
      </c>
      <c r="C4447" s="73">
        <f>IF('Rate Log'!$C$186="",0,IF(1+$B4447&gt;0,LN(1+$B4447),0))</f>
        <v>0</v>
      </c>
      <c r="D4447" s="74" t="str">
        <f>IF('Rate Log'!$C$186="","",IF($A4447=0,'Rate Log'!$C$186,IF(ISBLANK(INDEX(att_actdate,$A4447)),'Rate Log'!$C$186,INDEX(att_actdate,$A4447))))</f>
        <v/>
      </c>
      <c r="E4447" s="74" t="str">
        <f t="shared" si="1588"/>
        <v/>
      </c>
      <c r="F4447" s="75">
        <f t="shared" si="1589"/>
        <v>0</v>
      </c>
      <c r="G4447" s="75">
        <f>IF($D4447="",0,COUNTIFS(rl_key,'Rate Log'!$J$186,$E$4268:$E$4507,$E4447,$D$4268:$D$4507,"&lt;"&amp;$D4447))</f>
        <v>0</v>
      </c>
      <c r="H4447" s="75">
        <f>IF($D4447="",0,COUNTIFS('Rate Log'!$J$7:$J$186,'Rate Log'!$J$186,$E$4268:$E4447,$E4447,$D$4268:$D4447,$D4447))</f>
        <v>0</v>
      </c>
      <c r="I4447" s="75">
        <f t="shared" si="1590"/>
        <v>0</v>
      </c>
    </row>
    <row r="4448" spans="1:9" x14ac:dyDescent="0.3">
      <c r="A4448" s="75">
        <f>IF(OR('Rate Log'!$J$187&lt;&gt;nr_SelKey,'Rate Log'!$E$187&lt;&gt;"planned",'Rate Log'!$C$187=""),0,COUNTIFS('Rate Log'!$J$7:$J$187,nr_SelKey,'Rate Log'!$E$7:$E$187,"planned"))</f>
        <v>0</v>
      </c>
      <c r="B4448" s="72">
        <f>IF($A4448=0,N('Rate Log'!$K$187),IF(ISBLANK(INDEX(att_actpct,$A4448)),N('Rate Log'!$K$187),INDEX(att_actpct,$A4448)))</f>
        <v>0</v>
      </c>
      <c r="C4448" s="73">
        <f>IF('Rate Log'!$C$187="",0,IF(1+$B4448&gt;0,LN(1+$B4448),0))</f>
        <v>0</v>
      </c>
      <c r="D4448" s="74" t="str">
        <f>IF('Rate Log'!$C$187="","",IF($A4448=0,'Rate Log'!$C$187,IF(ISBLANK(INDEX(att_actdate,$A4448)),'Rate Log'!$C$187,INDEX(att_actdate,$A4448))))</f>
        <v/>
      </c>
      <c r="E4448" s="74" t="str">
        <f t="shared" si="1588"/>
        <v/>
      </c>
      <c r="F4448" s="75">
        <f t="shared" si="1589"/>
        <v>0</v>
      </c>
      <c r="G4448" s="75">
        <f>IF($D4448="",0,COUNTIFS(rl_key,'Rate Log'!$J$187,$E$4268:$E$4507,$E4448,$D$4268:$D$4507,"&lt;"&amp;$D4448))</f>
        <v>0</v>
      </c>
      <c r="H4448" s="75">
        <f>IF($D4448="",0,COUNTIFS('Rate Log'!$J$7:$J$187,'Rate Log'!$J$187,$E$4268:$E4448,$E4448,$D$4268:$D4448,$D4448))</f>
        <v>0</v>
      </c>
      <c r="I4448" s="75">
        <f t="shared" si="1590"/>
        <v>0</v>
      </c>
    </row>
    <row r="4449" spans="1:9" x14ac:dyDescent="0.3">
      <c r="A4449" s="75">
        <f>IF(OR('Rate Log'!$J$188&lt;&gt;nr_SelKey,'Rate Log'!$E$188&lt;&gt;"planned",'Rate Log'!$C$188=""),0,COUNTIFS('Rate Log'!$J$7:$J$188,nr_SelKey,'Rate Log'!$E$7:$E$188,"planned"))</f>
        <v>0</v>
      </c>
      <c r="B4449" s="72">
        <f>IF($A4449=0,N('Rate Log'!$K$188),IF(ISBLANK(INDEX(att_actpct,$A4449)),N('Rate Log'!$K$188),INDEX(att_actpct,$A4449)))</f>
        <v>0</v>
      </c>
      <c r="C4449" s="73">
        <f>IF('Rate Log'!$C$188="",0,IF(1+$B4449&gt;0,LN(1+$B4449),0))</f>
        <v>0</v>
      </c>
      <c r="D4449" s="74" t="str">
        <f>IF('Rate Log'!$C$188="","",IF($A4449=0,'Rate Log'!$C$188,IF(ISBLANK(INDEX(att_actdate,$A4449)),'Rate Log'!$C$188,INDEX(att_actdate,$A4449))))</f>
        <v/>
      </c>
      <c r="E4449" s="74" t="str">
        <f t="shared" si="1588"/>
        <v/>
      </c>
      <c r="F4449" s="75">
        <f t="shared" si="1589"/>
        <v>0</v>
      </c>
      <c r="G4449" s="75">
        <f>IF($D4449="",0,COUNTIFS(rl_key,'Rate Log'!$J$188,$E$4268:$E$4507,$E4449,$D$4268:$D$4507,"&lt;"&amp;$D4449))</f>
        <v>0</v>
      </c>
      <c r="H4449" s="75">
        <f>IF($D4449="",0,COUNTIFS('Rate Log'!$J$7:$J$188,'Rate Log'!$J$188,$E$4268:$E4449,$E4449,$D$4268:$D4449,$D4449))</f>
        <v>0</v>
      </c>
      <c r="I4449" s="75">
        <f t="shared" si="1590"/>
        <v>0</v>
      </c>
    </row>
    <row r="4450" spans="1:9" x14ac:dyDescent="0.3">
      <c r="A4450" s="75">
        <f>IF(OR('Rate Log'!$J$189&lt;&gt;nr_SelKey,'Rate Log'!$E$189&lt;&gt;"planned",'Rate Log'!$C$189=""),0,COUNTIFS('Rate Log'!$J$7:$J$189,nr_SelKey,'Rate Log'!$E$7:$E$189,"planned"))</f>
        <v>0</v>
      </c>
      <c r="B4450" s="72">
        <f>IF($A4450=0,N('Rate Log'!$K$189),IF(ISBLANK(INDEX(att_actpct,$A4450)),N('Rate Log'!$K$189),INDEX(att_actpct,$A4450)))</f>
        <v>0</v>
      </c>
      <c r="C4450" s="73">
        <f>IF('Rate Log'!$C$189="",0,IF(1+$B4450&gt;0,LN(1+$B4450),0))</f>
        <v>0</v>
      </c>
      <c r="D4450" s="74" t="str">
        <f>IF('Rate Log'!$C$189="","",IF($A4450=0,'Rate Log'!$C$189,IF(ISBLANK(INDEX(att_actdate,$A4450)),'Rate Log'!$C$189,INDEX(att_actdate,$A4450))))</f>
        <v/>
      </c>
      <c r="E4450" s="74" t="str">
        <f t="shared" si="1588"/>
        <v/>
      </c>
      <c r="F4450" s="75">
        <f t="shared" si="1589"/>
        <v>0</v>
      </c>
      <c r="G4450" s="75">
        <f>IF($D4450="",0,COUNTIFS(rl_key,'Rate Log'!$J$189,$E$4268:$E$4507,$E4450,$D$4268:$D$4507,"&lt;"&amp;$D4450))</f>
        <v>0</v>
      </c>
      <c r="H4450" s="75">
        <f>IF($D4450="",0,COUNTIFS('Rate Log'!$J$7:$J$189,'Rate Log'!$J$189,$E$4268:$E4450,$E4450,$D$4268:$D4450,$D4450))</f>
        <v>0</v>
      </c>
      <c r="I4450" s="75">
        <f t="shared" si="1590"/>
        <v>0</v>
      </c>
    </row>
    <row r="4451" spans="1:9" x14ac:dyDescent="0.3">
      <c r="A4451" s="75">
        <f>IF(OR('Rate Log'!$J$190&lt;&gt;nr_SelKey,'Rate Log'!$E$190&lt;&gt;"planned",'Rate Log'!$C$190=""),0,COUNTIFS('Rate Log'!$J$7:$J$190,nr_SelKey,'Rate Log'!$E$7:$E$190,"planned"))</f>
        <v>0</v>
      </c>
      <c r="B4451" s="72">
        <f>IF($A4451=0,N('Rate Log'!$K$190),IF(ISBLANK(INDEX(att_actpct,$A4451)),N('Rate Log'!$K$190),INDEX(att_actpct,$A4451)))</f>
        <v>0</v>
      </c>
      <c r="C4451" s="73">
        <f>IF('Rate Log'!$C$190="",0,IF(1+$B4451&gt;0,LN(1+$B4451),0))</f>
        <v>0</v>
      </c>
      <c r="D4451" s="74" t="str">
        <f>IF('Rate Log'!$C$190="","",IF($A4451=0,'Rate Log'!$C$190,IF(ISBLANK(INDEX(att_actdate,$A4451)),'Rate Log'!$C$190,INDEX(att_actdate,$A4451))))</f>
        <v/>
      </c>
      <c r="E4451" s="74" t="str">
        <f t="shared" si="1588"/>
        <v/>
      </c>
      <c r="F4451" s="75">
        <f t="shared" si="1589"/>
        <v>0</v>
      </c>
      <c r="G4451" s="75">
        <f>IF($D4451="",0,COUNTIFS(rl_key,'Rate Log'!$J$190,$E$4268:$E$4507,$E4451,$D$4268:$D$4507,"&lt;"&amp;$D4451))</f>
        <v>0</v>
      </c>
      <c r="H4451" s="75">
        <f>IF($D4451="",0,COUNTIFS('Rate Log'!$J$7:$J$190,'Rate Log'!$J$190,$E$4268:$E4451,$E4451,$D$4268:$D4451,$D4451))</f>
        <v>0</v>
      </c>
      <c r="I4451" s="75">
        <f t="shared" si="1590"/>
        <v>0</v>
      </c>
    </row>
    <row r="4452" spans="1:9" x14ac:dyDescent="0.3">
      <c r="A4452" s="75">
        <f>IF(OR('Rate Log'!$J$191&lt;&gt;nr_SelKey,'Rate Log'!$E$191&lt;&gt;"planned",'Rate Log'!$C$191=""),0,COUNTIFS('Rate Log'!$J$7:$J$191,nr_SelKey,'Rate Log'!$E$7:$E$191,"planned"))</f>
        <v>0</v>
      </c>
      <c r="B4452" s="72">
        <f>IF($A4452=0,N('Rate Log'!$K$191),IF(ISBLANK(INDEX(att_actpct,$A4452)),N('Rate Log'!$K$191),INDEX(att_actpct,$A4452)))</f>
        <v>0</v>
      </c>
      <c r="C4452" s="73">
        <f>IF('Rate Log'!$C$191="",0,IF(1+$B4452&gt;0,LN(1+$B4452),0))</f>
        <v>0</v>
      </c>
      <c r="D4452" s="74" t="str">
        <f>IF('Rate Log'!$C$191="","",IF($A4452=0,'Rate Log'!$C$191,IF(ISBLANK(INDEX(att_actdate,$A4452)),'Rate Log'!$C$191,INDEX(att_actdate,$A4452))))</f>
        <v/>
      </c>
      <c r="E4452" s="74" t="str">
        <f t="shared" si="1588"/>
        <v/>
      </c>
      <c r="F4452" s="75">
        <f t="shared" si="1589"/>
        <v>0</v>
      </c>
      <c r="G4452" s="75">
        <f>IF($D4452="",0,COUNTIFS(rl_key,'Rate Log'!$J$191,$E$4268:$E$4507,$E4452,$D$4268:$D$4507,"&lt;"&amp;$D4452))</f>
        <v>0</v>
      </c>
      <c r="H4452" s="75">
        <f>IF($D4452="",0,COUNTIFS('Rate Log'!$J$7:$J$191,'Rate Log'!$J$191,$E$4268:$E4452,$E4452,$D$4268:$D4452,$D4452))</f>
        <v>0</v>
      </c>
      <c r="I4452" s="75">
        <f t="shared" si="1590"/>
        <v>0</v>
      </c>
    </row>
    <row r="4453" spans="1:9" x14ac:dyDescent="0.3">
      <c r="A4453" s="75">
        <f>IF(OR('Rate Log'!$J$192&lt;&gt;nr_SelKey,'Rate Log'!$E$192&lt;&gt;"planned",'Rate Log'!$C$192=""),0,COUNTIFS('Rate Log'!$J$7:$J$192,nr_SelKey,'Rate Log'!$E$7:$E$192,"planned"))</f>
        <v>0</v>
      </c>
      <c r="B4453" s="72">
        <f>IF($A4453=0,N('Rate Log'!$K$192),IF(ISBLANK(INDEX(att_actpct,$A4453)),N('Rate Log'!$K$192),INDEX(att_actpct,$A4453)))</f>
        <v>0</v>
      </c>
      <c r="C4453" s="73">
        <f>IF('Rate Log'!$C$192="",0,IF(1+$B4453&gt;0,LN(1+$B4453),0))</f>
        <v>0</v>
      </c>
      <c r="D4453" s="74" t="str">
        <f>IF('Rate Log'!$C$192="","",IF($A4453=0,'Rate Log'!$C$192,IF(ISBLANK(INDEX(att_actdate,$A4453)),'Rate Log'!$C$192,INDEX(att_actdate,$A4453))))</f>
        <v/>
      </c>
      <c r="E4453" s="74" t="str">
        <f t="shared" si="1588"/>
        <v/>
      </c>
      <c r="F4453" s="75">
        <f t="shared" si="1589"/>
        <v>0</v>
      </c>
      <c r="G4453" s="75">
        <f>IF($D4453="",0,COUNTIFS(rl_key,'Rate Log'!$J$192,$E$4268:$E$4507,$E4453,$D$4268:$D$4507,"&lt;"&amp;$D4453))</f>
        <v>0</v>
      </c>
      <c r="H4453" s="75">
        <f>IF($D4453="",0,COUNTIFS('Rate Log'!$J$7:$J$192,'Rate Log'!$J$192,$E$4268:$E4453,$E4453,$D$4268:$D4453,$D4453))</f>
        <v>0</v>
      </c>
      <c r="I4453" s="75">
        <f t="shared" si="1590"/>
        <v>0</v>
      </c>
    </row>
    <row r="4454" spans="1:9" x14ac:dyDescent="0.3">
      <c r="A4454" s="75">
        <f>IF(OR('Rate Log'!$J$193&lt;&gt;nr_SelKey,'Rate Log'!$E$193&lt;&gt;"planned",'Rate Log'!$C$193=""),0,COUNTIFS('Rate Log'!$J$7:$J$193,nr_SelKey,'Rate Log'!$E$7:$E$193,"planned"))</f>
        <v>0</v>
      </c>
      <c r="B4454" s="72">
        <f>IF($A4454=0,N('Rate Log'!$K$193),IF(ISBLANK(INDEX(att_actpct,$A4454)),N('Rate Log'!$K$193),INDEX(att_actpct,$A4454)))</f>
        <v>0</v>
      </c>
      <c r="C4454" s="73">
        <f>IF('Rate Log'!$C$193="",0,IF(1+$B4454&gt;0,LN(1+$B4454),0))</f>
        <v>0</v>
      </c>
      <c r="D4454" s="74" t="str">
        <f>IF('Rate Log'!$C$193="","",IF($A4454=0,'Rate Log'!$C$193,IF(ISBLANK(INDEX(att_actdate,$A4454)),'Rate Log'!$C$193,INDEX(att_actdate,$A4454))))</f>
        <v/>
      </c>
      <c r="E4454" s="74" t="str">
        <f t="shared" si="1588"/>
        <v/>
      </c>
      <c r="F4454" s="75">
        <f t="shared" si="1589"/>
        <v>0</v>
      </c>
      <c r="G4454" s="75">
        <f>IF($D4454="",0,COUNTIFS(rl_key,'Rate Log'!$J$193,$E$4268:$E$4507,$E4454,$D$4268:$D$4507,"&lt;"&amp;$D4454))</f>
        <v>0</v>
      </c>
      <c r="H4454" s="75">
        <f>IF($D4454="",0,COUNTIFS('Rate Log'!$J$7:$J$193,'Rate Log'!$J$193,$E$4268:$E4454,$E4454,$D$4268:$D4454,$D4454))</f>
        <v>0</v>
      </c>
      <c r="I4454" s="75">
        <f t="shared" si="1590"/>
        <v>0</v>
      </c>
    </row>
    <row r="4455" spans="1:9" x14ac:dyDescent="0.3">
      <c r="A4455" s="75">
        <f>IF(OR('Rate Log'!$J$194&lt;&gt;nr_SelKey,'Rate Log'!$E$194&lt;&gt;"planned",'Rate Log'!$C$194=""),0,COUNTIFS('Rate Log'!$J$7:$J$194,nr_SelKey,'Rate Log'!$E$7:$E$194,"planned"))</f>
        <v>0</v>
      </c>
      <c r="B4455" s="72">
        <f>IF($A4455=0,N('Rate Log'!$K$194),IF(ISBLANK(INDEX(att_actpct,$A4455)),N('Rate Log'!$K$194),INDEX(att_actpct,$A4455)))</f>
        <v>0</v>
      </c>
      <c r="C4455" s="73">
        <f>IF('Rate Log'!$C$194="",0,IF(1+$B4455&gt;0,LN(1+$B4455),0))</f>
        <v>0</v>
      </c>
      <c r="D4455" s="74" t="str">
        <f>IF('Rate Log'!$C$194="","",IF($A4455=0,'Rate Log'!$C$194,IF(ISBLANK(INDEX(att_actdate,$A4455)),'Rate Log'!$C$194,INDEX(att_actdate,$A4455))))</f>
        <v/>
      </c>
      <c r="E4455" s="74" t="str">
        <f t="shared" si="1588"/>
        <v/>
      </c>
      <c r="F4455" s="75">
        <f t="shared" si="1589"/>
        <v>0</v>
      </c>
      <c r="G4455" s="75">
        <f>IF($D4455="",0,COUNTIFS(rl_key,'Rate Log'!$J$194,$E$4268:$E$4507,$E4455,$D$4268:$D$4507,"&lt;"&amp;$D4455))</f>
        <v>0</v>
      </c>
      <c r="H4455" s="75">
        <f>IF($D4455="",0,COUNTIFS('Rate Log'!$J$7:$J$194,'Rate Log'!$J$194,$E$4268:$E4455,$E4455,$D$4268:$D4455,$D4455))</f>
        <v>0</v>
      </c>
      <c r="I4455" s="75">
        <f t="shared" si="1590"/>
        <v>0</v>
      </c>
    </row>
    <row r="4456" spans="1:9" x14ac:dyDescent="0.3">
      <c r="A4456" s="75">
        <f>IF(OR('Rate Log'!$J$195&lt;&gt;nr_SelKey,'Rate Log'!$E$195&lt;&gt;"planned",'Rate Log'!$C$195=""),0,COUNTIFS('Rate Log'!$J$7:$J$195,nr_SelKey,'Rate Log'!$E$7:$E$195,"planned"))</f>
        <v>0</v>
      </c>
      <c r="B4456" s="72">
        <f>IF($A4456=0,N('Rate Log'!$K$195),IF(ISBLANK(INDEX(att_actpct,$A4456)),N('Rate Log'!$K$195),INDEX(att_actpct,$A4456)))</f>
        <v>0</v>
      </c>
      <c r="C4456" s="73">
        <f>IF('Rate Log'!$C$195="",0,IF(1+$B4456&gt;0,LN(1+$B4456),0))</f>
        <v>0</v>
      </c>
      <c r="D4456" s="74" t="str">
        <f>IF('Rate Log'!$C$195="","",IF($A4456=0,'Rate Log'!$C$195,IF(ISBLANK(INDEX(att_actdate,$A4456)),'Rate Log'!$C$195,INDEX(att_actdate,$A4456))))</f>
        <v/>
      </c>
      <c r="E4456" s="74" t="str">
        <f t="shared" si="1588"/>
        <v/>
      </c>
      <c r="F4456" s="75">
        <f t="shared" si="1589"/>
        <v>0</v>
      </c>
      <c r="G4456" s="75">
        <f>IF($D4456="",0,COUNTIFS(rl_key,'Rate Log'!$J$195,$E$4268:$E$4507,$E4456,$D$4268:$D$4507,"&lt;"&amp;$D4456))</f>
        <v>0</v>
      </c>
      <c r="H4456" s="75">
        <f>IF($D4456="",0,COUNTIFS('Rate Log'!$J$7:$J$195,'Rate Log'!$J$195,$E$4268:$E4456,$E4456,$D$4268:$D4456,$D4456))</f>
        <v>0</v>
      </c>
      <c r="I4456" s="75">
        <f t="shared" si="1590"/>
        <v>0</v>
      </c>
    </row>
    <row r="4457" spans="1:9" x14ac:dyDescent="0.3">
      <c r="A4457" s="75">
        <f>IF(OR('Rate Log'!$J$196&lt;&gt;nr_SelKey,'Rate Log'!$E$196&lt;&gt;"planned",'Rate Log'!$C$196=""),0,COUNTIFS('Rate Log'!$J$7:$J$196,nr_SelKey,'Rate Log'!$E$7:$E$196,"planned"))</f>
        <v>0</v>
      </c>
      <c r="B4457" s="72">
        <f>IF($A4457=0,N('Rate Log'!$K$196),IF(ISBLANK(INDEX(att_actpct,$A4457)),N('Rate Log'!$K$196),INDEX(att_actpct,$A4457)))</f>
        <v>0</v>
      </c>
      <c r="C4457" s="73">
        <f>IF('Rate Log'!$C$196="",0,IF(1+$B4457&gt;0,LN(1+$B4457),0))</f>
        <v>0</v>
      </c>
      <c r="D4457" s="74" t="str">
        <f>IF('Rate Log'!$C$196="","",IF($A4457=0,'Rate Log'!$C$196,IF(ISBLANK(INDEX(att_actdate,$A4457)),'Rate Log'!$C$196,INDEX(att_actdate,$A4457))))</f>
        <v/>
      </c>
      <c r="E4457" s="74" t="str">
        <f t="shared" si="1588"/>
        <v/>
      </c>
      <c r="F4457" s="75">
        <f t="shared" si="1589"/>
        <v>0</v>
      </c>
      <c r="G4457" s="75">
        <f>IF($D4457="",0,COUNTIFS(rl_key,'Rate Log'!$J$196,$E$4268:$E$4507,$E4457,$D$4268:$D$4507,"&lt;"&amp;$D4457))</f>
        <v>0</v>
      </c>
      <c r="H4457" s="75">
        <f>IF($D4457="",0,COUNTIFS('Rate Log'!$J$7:$J$196,'Rate Log'!$J$196,$E$4268:$E4457,$E4457,$D$4268:$D4457,$D4457))</f>
        <v>0</v>
      </c>
      <c r="I4457" s="75">
        <f t="shared" si="1590"/>
        <v>0</v>
      </c>
    </row>
    <row r="4458" spans="1:9" x14ac:dyDescent="0.3">
      <c r="A4458" s="75">
        <f>IF(OR('Rate Log'!$J$197&lt;&gt;nr_SelKey,'Rate Log'!$E$197&lt;&gt;"planned",'Rate Log'!$C$197=""),0,COUNTIFS('Rate Log'!$J$7:$J$197,nr_SelKey,'Rate Log'!$E$7:$E$197,"planned"))</f>
        <v>0</v>
      </c>
      <c r="B4458" s="72">
        <f>IF($A4458=0,N('Rate Log'!$K$197),IF(ISBLANK(INDEX(att_actpct,$A4458)),N('Rate Log'!$K$197),INDEX(att_actpct,$A4458)))</f>
        <v>0</v>
      </c>
      <c r="C4458" s="73">
        <f>IF('Rate Log'!$C$197="",0,IF(1+$B4458&gt;0,LN(1+$B4458),0))</f>
        <v>0</v>
      </c>
      <c r="D4458" s="74" t="str">
        <f>IF('Rate Log'!$C$197="","",IF($A4458=0,'Rate Log'!$C$197,IF(ISBLANK(INDEX(att_actdate,$A4458)),'Rate Log'!$C$197,INDEX(att_actdate,$A4458))))</f>
        <v/>
      </c>
      <c r="E4458" s="74" t="str">
        <f t="shared" si="1588"/>
        <v/>
      </c>
      <c r="F4458" s="75">
        <f t="shared" si="1589"/>
        <v>0</v>
      </c>
      <c r="G4458" s="75">
        <f>IF($D4458="",0,COUNTIFS(rl_key,'Rate Log'!$J$197,$E$4268:$E$4507,$E4458,$D$4268:$D$4507,"&lt;"&amp;$D4458))</f>
        <v>0</v>
      </c>
      <c r="H4458" s="75">
        <f>IF($D4458="",0,COUNTIFS('Rate Log'!$J$7:$J$197,'Rate Log'!$J$197,$E$4268:$E4458,$E4458,$D$4268:$D4458,$D4458))</f>
        <v>0</v>
      </c>
      <c r="I4458" s="75">
        <f t="shared" si="1590"/>
        <v>0</v>
      </c>
    </row>
    <row r="4459" spans="1:9" x14ac:dyDescent="0.3">
      <c r="A4459" s="75">
        <f>IF(OR('Rate Log'!$J$198&lt;&gt;nr_SelKey,'Rate Log'!$E$198&lt;&gt;"planned",'Rate Log'!$C$198=""),0,COUNTIFS('Rate Log'!$J$7:$J$198,nr_SelKey,'Rate Log'!$E$7:$E$198,"planned"))</f>
        <v>0</v>
      </c>
      <c r="B4459" s="72">
        <f>IF($A4459=0,N('Rate Log'!$K$198),IF(ISBLANK(INDEX(att_actpct,$A4459)),N('Rate Log'!$K$198),INDEX(att_actpct,$A4459)))</f>
        <v>0</v>
      </c>
      <c r="C4459" s="73">
        <f>IF('Rate Log'!$C$198="",0,IF(1+$B4459&gt;0,LN(1+$B4459),0))</f>
        <v>0</v>
      </c>
      <c r="D4459" s="74" t="str">
        <f>IF('Rate Log'!$C$198="","",IF($A4459=0,'Rate Log'!$C$198,IF(ISBLANK(INDEX(att_actdate,$A4459)),'Rate Log'!$C$198,INDEX(att_actdate,$A4459))))</f>
        <v/>
      </c>
      <c r="E4459" s="74" t="str">
        <f t="shared" si="1588"/>
        <v/>
      </c>
      <c r="F4459" s="75">
        <f t="shared" si="1589"/>
        <v>0</v>
      </c>
      <c r="G4459" s="75">
        <f>IF($D4459="",0,COUNTIFS(rl_key,'Rate Log'!$J$198,$E$4268:$E$4507,$E4459,$D$4268:$D$4507,"&lt;"&amp;$D4459))</f>
        <v>0</v>
      </c>
      <c r="H4459" s="75">
        <f>IF($D4459="",0,COUNTIFS('Rate Log'!$J$7:$J$198,'Rate Log'!$J$198,$E$4268:$E4459,$E4459,$D$4268:$D4459,$D4459))</f>
        <v>0</v>
      </c>
      <c r="I4459" s="75">
        <f t="shared" si="1590"/>
        <v>0</v>
      </c>
    </row>
    <row r="4460" spans="1:9" x14ac:dyDescent="0.3">
      <c r="A4460" s="75">
        <f>IF(OR('Rate Log'!$J$199&lt;&gt;nr_SelKey,'Rate Log'!$E$199&lt;&gt;"planned",'Rate Log'!$C$199=""),0,COUNTIFS('Rate Log'!$J$7:$J$199,nr_SelKey,'Rate Log'!$E$7:$E$199,"planned"))</f>
        <v>0</v>
      </c>
      <c r="B4460" s="72">
        <f>IF($A4460=0,N('Rate Log'!$K$199),IF(ISBLANK(INDEX(att_actpct,$A4460)),N('Rate Log'!$K$199),INDEX(att_actpct,$A4460)))</f>
        <v>0</v>
      </c>
      <c r="C4460" s="73">
        <f>IF('Rate Log'!$C$199="",0,IF(1+$B4460&gt;0,LN(1+$B4460),0))</f>
        <v>0</v>
      </c>
      <c r="D4460" s="74" t="str">
        <f>IF('Rate Log'!$C$199="","",IF($A4460=0,'Rate Log'!$C$199,IF(ISBLANK(INDEX(att_actdate,$A4460)),'Rate Log'!$C$199,INDEX(att_actdate,$A4460))))</f>
        <v/>
      </c>
      <c r="E4460" s="74" t="str">
        <f t="shared" ref="E4460:E4507" si="1591">IF($D4460="","",DATE(YEAR($D4460),MONTH($D4460),1))</f>
        <v/>
      </c>
      <c r="F4460" s="75">
        <f t="shared" ref="F4460:F4507" si="1592">IF($D4460="",0,EOMONTH($D4460,0)-$D4460+1)</f>
        <v>0</v>
      </c>
      <c r="G4460" s="75">
        <f>IF($D4460="",0,COUNTIFS(rl_key,'Rate Log'!$J$199,$E$4268:$E$4507,$E4460,$D$4268:$D$4507,"&lt;"&amp;$D4460))</f>
        <v>0</v>
      </c>
      <c r="H4460" s="75">
        <f>IF($D4460="",0,COUNTIFS('Rate Log'!$J$7:$J$199,'Rate Log'!$J$199,$E$4268:$E4460,$E4460,$D$4268:$D4460,$D4460))</f>
        <v>0</v>
      </c>
      <c r="I4460" s="75">
        <f t="shared" ref="I4460:I4507" si="1593">IF($D4460="",0,IF(AND($G4460=0,$H4460=1),1,0))</f>
        <v>0</v>
      </c>
    </row>
    <row r="4461" spans="1:9" x14ac:dyDescent="0.3">
      <c r="A4461" s="75">
        <f>IF(OR('Rate Log'!$J$200&lt;&gt;nr_SelKey,'Rate Log'!$E$200&lt;&gt;"planned",'Rate Log'!$C$200=""),0,COUNTIFS('Rate Log'!$J$7:$J$200,nr_SelKey,'Rate Log'!$E$7:$E$200,"planned"))</f>
        <v>0</v>
      </c>
      <c r="B4461" s="72">
        <f>IF($A4461=0,N('Rate Log'!$K$200),IF(ISBLANK(INDEX(att_actpct,$A4461)),N('Rate Log'!$K$200),INDEX(att_actpct,$A4461)))</f>
        <v>0</v>
      </c>
      <c r="C4461" s="73">
        <f>IF('Rate Log'!$C$200="",0,IF(1+$B4461&gt;0,LN(1+$B4461),0))</f>
        <v>0</v>
      </c>
      <c r="D4461" s="74" t="str">
        <f>IF('Rate Log'!$C$200="","",IF($A4461=0,'Rate Log'!$C$200,IF(ISBLANK(INDEX(att_actdate,$A4461)),'Rate Log'!$C$200,INDEX(att_actdate,$A4461))))</f>
        <v/>
      </c>
      <c r="E4461" s="74" t="str">
        <f t="shared" si="1591"/>
        <v/>
      </c>
      <c r="F4461" s="75">
        <f t="shared" si="1592"/>
        <v>0</v>
      </c>
      <c r="G4461" s="75">
        <f>IF($D4461="",0,COUNTIFS(rl_key,'Rate Log'!$J$200,$E$4268:$E$4507,$E4461,$D$4268:$D$4507,"&lt;"&amp;$D4461))</f>
        <v>0</v>
      </c>
      <c r="H4461" s="75">
        <f>IF($D4461="",0,COUNTIFS('Rate Log'!$J$7:$J$200,'Rate Log'!$J$200,$E$4268:$E4461,$E4461,$D$4268:$D4461,$D4461))</f>
        <v>0</v>
      </c>
      <c r="I4461" s="75">
        <f t="shared" si="1593"/>
        <v>0</v>
      </c>
    </row>
    <row r="4462" spans="1:9" x14ac:dyDescent="0.3">
      <c r="A4462" s="75">
        <f>IF(OR('Rate Log'!$J$201&lt;&gt;nr_SelKey,'Rate Log'!$E$201&lt;&gt;"planned",'Rate Log'!$C$201=""),0,COUNTIFS('Rate Log'!$J$7:$J$201,nr_SelKey,'Rate Log'!$E$7:$E$201,"planned"))</f>
        <v>0</v>
      </c>
      <c r="B4462" s="72">
        <f>IF($A4462=0,N('Rate Log'!$K$201),IF(ISBLANK(INDEX(att_actpct,$A4462)),N('Rate Log'!$K$201),INDEX(att_actpct,$A4462)))</f>
        <v>0</v>
      </c>
      <c r="C4462" s="73">
        <f>IF('Rate Log'!$C$201="",0,IF(1+$B4462&gt;0,LN(1+$B4462),0))</f>
        <v>0</v>
      </c>
      <c r="D4462" s="74" t="str">
        <f>IF('Rate Log'!$C$201="","",IF($A4462=0,'Rate Log'!$C$201,IF(ISBLANK(INDEX(att_actdate,$A4462)),'Rate Log'!$C$201,INDEX(att_actdate,$A4462))))</f>
        <v/>
      </c>
      <c r="E4462" s="74" t="str">
        <f t="shared" si="1591"/>
        <v/>
      </c>
      <c r="F4462" s="75">
        <f t="shared" si="1592"/>
        <v>0</v>
      </c>
      <c r="G4462" s="75">
        <f>IF($D4462="",0,COUNTIFS(rl_key,'Rate Log'!$J$201,$E$4268:$E$4507,$E4462,$D$4268:$D$4507,"&lt;"&amp;$D4462))</f>
        <v>0</v>
      </c>
      <c r="H4462" s="75">
        <f>IF($D4462="",0,COUNTIFS('Rate Log'!$J$7:$J$201,'Rate Log'!$J$201,$E$4268:$E4462,$E4462,$D$4268:$D4462,$D4462))</f>
        <v>0</v>
      </c>
      <c r="I4462" s="75">
        <f t="shared" si="1593"/>
        <v>0</v>
      </c>
    </row>
    <row r="4463" spans="1:9" x14ac:dyDescent="0.3">
      <c r="A4463" s="75">
        <f>IF(OR('Rate Log'!$J$202&lt;&gt;nr_SelKey,'Rate Log'!$E$202&lt;&gt;"planned",'Rate Log'!$C$202=""),0,COUNTIFS('Rate Log'!$J$7:$J$202,nr_SelKey,'Rate Log'!$E$7:$E$202,"planned"))</f>
        <v>0</v>
      </c>
      <c r="B4463" s="72">
        <f>IF($A4463=0,N('Rate Log'!$K$202),IF(ISBLANK(INDEX(att_actpct,$A4463)),N('Rate Log'!$K$202),INDEX(att_actpct,$A4463)))</f>
        <v>0</v>
      </c>
      <c r="C4463" s="73">
        <f>IF('Rate Log'!$C$202="",0,IF(1+$B4463&gt;0,LN(1+$B4463),0))</f>
        <v>0</v>
      </c>
      <c r="D4463" s="74" t="str">
        <f>IF('Rate Log'!$C$202="","",IF($A4463=0,'Rate Log'!$C$202,IF(ISBLANK(INDEX(att_actdate,$A4463)),'Rate Log'!$C$202,INDEX(att_actdate,$A4463))))</f>
        <v/>
      </c>
      <c r="E4463" s="74" t="str">
        <f t="shared" si="1591"/>
        <v/>
      </c>
      <c r="F4463" s="75">
        <f t="shared" si="1592"/>
        <v>0</v>
      </c>
      <c r="G4463" s="75">
        <f>IF($D4463="",0,COUNTIFS(rl_key,'Rate Log'!$J$202,$E$4268:$E$4507,$E4463,$D$4268:$D$4507,"&lt;"&amp;$D4463))</f>
        <v>0</v>
      </c>
      <c r="H4463" s="75">
        <f>IF($D4463="",0,COUNTIFS('Rate Log'!$J$7:$J$202,'Rate Log'!$J$202,$E$4268:$E4463,$E4463,$D$4268:$D4463,$D4463))</f>
        <v>0</v>
      </c>
      <c r="I4463" s="75">
        <f t="shared" si="1593"/>
        <v>0</v>
      </c>
    </row>
    <row r="4464" spans="1:9" x14ac:dyDescent="0.3">
      <c r="A4464" s="75">
        <f>IF(OR('Rate Log'!$J$203&lt;&gt;nr_SelKey,'Rate Log'!$E$203&lt;&gt;"planned",'Rate Log'!$C$203=""),0,COUNTIFS('Rate Log'!$J$7:$J$203,nr_SelKey,'Rate Log'!$E$7:$E$203,"planned"))</f>
        <v>0</v>
      </c>
      <c r="B4464" s="72">
        <f>IF($A4464=0,N('Rate Log'!$K$203),IF(ISBLANK(INDEX(att_actpct,$A4464)),N('Rate Log'!$K$203),INDEX(att_actpct,$A4464)))</f>
        <v>0</v>
      </c>
      <c r="C4464" s="73">
        <f>IF('Rate Log'!$C$203="",0,IF(1+$B4464&gt;0,LN(1+$B4464),0))</f>
        <v>0</v>
      </c>
      <c r="D4464" s="74" t="str">
        <f>IF('Rate Log'!$C$203="","",IF($A4464=0,'Rate Log'!$C$203,IF(ISBLANK(INDEX(att_actdate,$A4464)),'Rate Log'!$C$203,INDEX(att_actdate,$A4464))))</f>
        <v/>
      </c>
      <c r="E4464" s="74" t="str">
        <f t="shared" si="1591"/>
        <v/>
      </c>
      <c r="F4464" s="75">
        <f t="shared" si="1592"/>
        <v>0</v>
      </c>
      <c r="G4464" s="75">
        <f>IF($D4464="",0,COUNTIFS(rl_key,'Rate Log'!$J$203,$E$4268:$E$4507,$E4464,$D$4268:$D$4507,"&lt;"&amp;$D4464))</f>
        <v>0</v>
      </c>
      <c r="H4464" s="75">
        <f>IF($D4464="",0,COUNTIFS('Rate Log'!$J$7:$J$203,'Rate Log'!$J$203,$E$4268:$E4464,$E4464,$D$4268:$D4464,$D4464))</f>
        <v>0</v>
      </c>
      <c r="I4464" s="75">
        <f t="shared" si="1593"/>
        <v>0</v>
      </c>
    </row>
    <row r="4465" spans="1:9" x14ac:dyDescent="0.3">
      <c r="A4465" s="75">
        <f>IF(OR('Rate Log'!$J$204&lt;&gt;nr_SelKey,'Rate Log'!$E$204&lt;&gt;"planned",'Rate Log'!$C$204=""),0,COUNTIFS('Rate Log'!$J$7:$J$204,nr_SelKey,'Rate Log'!$E$7:$E$204,"planned"))</f>
        <v>0</v>
      </c>
      <c r="B4465" s="72">
        <f>IF($A4465=0,N('Rate Log'!$K$204),IF(ISBLANK(INDEX(att_actpct,$A4465)),N('Rate Log'!$K$204),INDEX(att_actpct,$A4465)))</f>
        <v>0</v>
      </c>
      <c r="C4465" s="73">
        <f>IF('Rate Log'!$C$204="",0,IF(1+$B4465&gt;0,LN(1+$B4465),0))</f>
        <v>0</v>
      </c>
      <c r="D4465" s="74" t="str">
        <f>IF('Rate Log'!$C$204="","",IF($A4465=0,'Rate Log'!$C$204,IF(ISBLANK(INDEX(att_actdate,$A4465)),'Rate Log'!$C$204,INDEX(att_actdate,$A4465))))</f>
        <v/>
      </c>
      <c r="E4465" s="74" t="str">
        <f t="shared" si="1591"/>
        <v/>
      </c>
      <c r="F4465" s="75">
        <f t="shared" si="1592"/>
        <v>0</v>
      </c>
      <c r="G4465" s="75">
        <f>IF($D4465="",0,COUNTIFS(rl_key,'Rate Log'!$J$204,$E$4268:$E$4507,$E4465,$D$4268:$D$4507,"&lt;"&amp;$D4465))</f>
        <v>0</v>
      </c>
      <c r="H4465" s="75">
        <f>IF($D4465="",0,COUNTIFS('Rate Log'!$J$7:$J$204,'Rate Log'!$J$204,$E$4268:$E4465,$E4465,$D$4268:$D4465,$D4465))</f>
        <v>0</v>
      </c>
      <c r="I4465" s="75">
        <f t="shared" si="1593"/>
        <v>0</v>
      </c>
    </row>
    <row r="4466" spans="1:9" x14ac:dyDescent="0.3">
      <c r="A4466" s="75">
        <f>IF(OR('Rate Log'!$J$205&lt;&gt;nr_SelKey,'Rate Log'!$E$205&lt;&gt;"planned",'Rate Log'!$C$205=""),0,COUNTIFS('Rate Log'!$J$7:$J$205,nr_SelKey,'Rate Log'!$E$7:$E$205,"planned"))</f>
        <v>0</v>
      </c>
      <c r="B4466" s="72">
        <f>IF($A4466=0,N('Rate Log'!$K$205),IF(ISBLANK(INDEX(att_actpct,$A4466)),N('Rate Log'!$K$205),INDEX(att_actpct,$A4466)))</f>
        <v>0</v>
      </c>
      <c r="C4466" s="73">
        <f>IF('Rate Log'!$C$205="",0,IF(1+$B4466&gt;0,LN(1+$B4466),0))</f>
        <v>0</v>
      </c>
      <c r="D4466" s="74" t="str">
        <f>IF('Rate Log'!$C$205="","",IF($A4466=0,'Rate Log'!$C$205,IF(ISBLANK(INDEX(att_actdate,$A4466)),'Rate Log'!$C$205,INDEX(att_actdate,$A4466))))</f>
        <v/>
      </c>
      <c r="E4466" s="74" t="str">
        <f t="shared" si="1591"/>
        <v/>
      </c>
      <c r="F4466" s="75">
        <f t="shared" si="1592"/>
        <v>0</v>
      </c>
      <c r="G4466" s="75">
        <f>IF($D4466="",0,COUNTIFS(rl_key,'Rate Log'!$J$205,$E$4268:$E$4507,$E4466,$D$4268:$D$4507,"&lt;"&amp;$D4466))</f>
        <v>0</v>
      </c>
      <c r="H4466" s="75">
        <f>IF($D4466="",0,COUNTIFS('Rate Log'!$J$7:$J$205,'Rate Log'!$J$205,$E$4268:$E4466,$E4466,$D$4268:$D4466,$D4466))</f>
        <v>0</v>
      </c>
      <c r="I4466" s="75">
        <f t="shared" si="1593"/>
        <v>0</v>
      </c>
    </row>
    <row r="4467" spans="1:9" x14ac:dyDescent="0.3">
      <c r="A4467" s="75">
        <f>IF(OR('Rate Log'!$J$206&lt;&gt;nr_SelKey,'Rate Log'!$E$206&lt;&gt;"planned",'Rate Log'!$C$206=""),0,COUNTIFS('Rate Log'!$J$7:$J$206,nr_SelKey,'Rate Log'!$E$7:$E$206,"planned"))</f>
        <v>0</v>
      </c>
      <c r="B4467" s="72">
        <f>IF($A4467=0,N('Rate Log'!$K$206),IF(ISBLANK(INDEX(att_actpct,$A4467)),N('Rate Log'!$K$206),INDEX(att_actpct,$A4467)))</f>
        <v>0</v>
      </c>
      <c r="C4467" s="73">
        <f>IF('Rate Log'!$C$206="",0,IF(1+$B4467&gt;0,LN(1+$B4467),0))</f>
        <v>0</v>
      </c>
      <c r="D4467" s="74" t="str">
        <f>IF('Rate Log'!$C$206="","",IF($A4467=0,'Rate Log'!$C$206,IF(ISBLANK(INDEX(att_actdate,$A4467)),'Rate Log'!$C$206,INDEX(att_actdate,$A4467))))</f>
        <v/>
      </c>
      <c r="E4467" s="74" t="str">
        <f t="shared" si="1591"/>
        <v/>
      </c>
      <c r="F4467" s="75">
        <f t="shared" si="1592"/>
        <v>0</v>
      </c>
      <c r="G4467" s="75">
        <f>IF($D4467="",0,COUNTIFS(rl_key,'Rate Log'!$J$206,$E$4268:$E$4507,$E4467,$D$4268:$D$4507,"&lt;"&amp;$D4467))</f>
        <v>0</v>
      </c>
      <c r="H4467" s="75">
        <f>IF($D4467="",0,COUNTIFS('Rate Log'!$J$7:$J$206,'Rate Log'!$J$206,$E$4268:$E4467,$E4467,$D$4268:$D4467,$D4467))</f>
        <v>0</v>
      </c>
      <c r="I4467" s="75">
        <f t="shared" si="1593"/>
        <v>0</v>
      </c>
    </row>
    <row r="4468" spans="1:9" x14ac:dyDescent="0.3">
      <c r="A4468" s="75">
        <f>IF(OR('Rate Log'!$J$207&lt;&gt;nr_SelKey,'Rate Log'!$E$207&lt;&gt;"planned",'Rate Log'!$C$207=""),0,COUNTIFS('Rate Log'!$J$7:$J$207,nr_SelKey,'Rate Log'!$E$7:$E$207,"planned"))</f>
        <v>0</v>
      </c>
      <c r="B4468" s="72">
        <f>IF($A4468=0,N('Rate Log'!$K$207),IF(ISBLANK(INDEX(att_actpct,$A4468)),N('Rate Log'!$K$207),INDEX(att_actpct,$A4468)))</f>
        <v>0</v>
      </c>
      <c r="C4468" s="73">
        <f>IF('Rate Log'!$C$207="",0,IF(1+$B4468&gt;0,LN(1+$B4468),0))</f>
        <v>0</v>
      </c>
      <c r="D4468" s="74" t="str">
        <f>IF('Rate Log'!$C$207="","",IF($A4468=0,'Rate Log'!$C$207,IF(ISBLANK(INDEX(att_actdate,$A4468)),'Rate Log'!$C$207,INDEX(att_actdate,$A4468))))</f>
        <v/>
      </c>
      <c r="E4468" s="74" t="str">
        <f t="shared" si="1591"/>
        <v/>
      </c>
      <c r="F4468" s="75">
        <f t="shared" si="1592"/>
        <v>0</v>
      </c>
      <c r="G4468" s="75">
        <f>IF($D4468="",0,COUNTIFS(rl_key,'Rate Log'!$J$207,$E$4268:$E$4507,$E4468,$D$4268:$D$4507,"&lt;"&amp;$D4468))</f>
        <v>0</v>
      </c>
      <c r="H4468" s="75">
        <f>IF($D4468="",0,COUNTIFS('Rate Log'!$J$7:$J$207,'Rate Log'!$J$207,$E$4268:$E4468,$E4468,$D$4268:$D4468,$D4468))</f>
        <v>0</v>
      </c>
      <c r="I4468" s="75">
        <f t="shared" si="1593"/>
        <v>0</v>
      </c>
    </row>
    <row r="4469" spans="1:9" x14ac:dyDescent="0.3">
      <c r="A4469" s="75">
        <f>IF(OR('Rate Log'!$J$208&lt;&gt;nr_SelKey,'Rate Log'!$E$208&lt;&gt;"planned",'Rate Log'!$C$208=""),0,COUNTIFS('Rate Log'!$J$7:$J$208,nr_SelKey,'Rate Log'!$E$7:$E$208,"planned"))</f>
        <v>0</v>
      </c>
      <c r="B4469" s="72">
        <f>IF($A4469=0,N('Rate Log'!$K$208),IF(ISBLANK(INDEX(att_actpct,$A4469)),N('Rate Log'!$K$208),INDEX(att_actpct,$A4469)))</f>
        <v>0</v>
      </c>
      <c r="C4469" s="73">
        <f>IF('Rate Log'!$C$208="",0,IF(1+$B4469&gt;0,LN(1+$B4469),0))</f>
        <v>0</v>
      </c>
      <c r="D4469" s="74" t="str">
        <f>IF('Rate Log'!$C$208="","",IF($A4469=0,'Rate Log'!$C$208,IF(ISBLANK(INDEX(att_actdate,$A4469)),'Rate Log'!$C$208,INDEX(att_actdate,$A4469))))</f>
        <v/>
      </c>
      <c r="E4469" s="74" t="str">
        <f t="shared" si="1591"/>
        <v/>
      </c>
      <c r="F4469" s="75">
        <f t="shared" si="1592"/>
        <v>0</v>
      </c>
      <c r="G4469" s="75">
        <f>IF($D4469="",0,COUNTIFS(rl_key,'Rate Log'!$J$208,$E$4268:$E$4507,$E4469,$D$4268:$D$4507,"&lt;"&amp;$D4469))</f>
        <v>0</v>
      </c>
      <c r="H4469" s="75">
        <f>IF($D4469="",0,COUNTIFS('Rate Log'!$J$7:$J$208,'Rate Log'!$J$208,$E$4268:$E4469,$E4469,$D$4268:$D4469,$D4469))</f>
        <v>0</v>
      </c>
      <c r="I4469" s="75">
        <f t="shared" si="1593"/>
        <v>0</v>
      </c>
    </row>
    <row r="4470" spans="1:9" x14ac:dyDescent="0.3">
      <c r="A4470" s="75">
        <f>IF(OR('Rate Log'!$J$209&lt;&gt;nr_SelKey,'Rate Log'!$E$209&lt;&gt;"planned",'Rate Log'!$C$209=""),0,COUNTIFS('Rate Log'!$J$7:$J$209,nr_SelKey,'Rate Log'!$E$7:$E$209,"planned"))</f>
        <v>0</v>
      </c>
      <c r="B4470" s="72">
        <f>IF($A4470=0,N('Rate Log'!$K$209),IF(ISBLANK(INDEX(att_actpct,$A4470)),N('Rate Log'!$K$209),INDEX(att_actpct,$A4470)))</f>
        <v>0</v>
      </c>
      <c r="C4470" s="73">
        <f>IF('Rate Log'!$C$209="",0,IF(1+$B4470&gt;0,LN(1+$B4470),0))</f>
        <v>0</v>
      </c>
      <c r="D4470" s="74" t="str">
        <f>IF('Rate Log'!$C$209="","",IF($A4470=0,'Rate Log'!$C$209,IF(ISBLANK(INDEX(att_actdate,$A4470)),'Rate Log'!$C$209,INDEX(att_actdate,$A4470))))</f>
        <v/>
      </c>
      <c r="E4470" s="74" t="str">
        <f t="shared" si="1591"/>
        <v/>
      </c>
      <c r="F4470" s="75">
        <f t="shared" si="1592"/>
        <v>0</v>
      </c>
      <c r="G4470" s="75">
        <f>IF($D4470="",0,COUNTIFS(rl_key,'Rate Log'!$J$209,$E$4268:$E$4507,$E4470,$D$4268:$D$4507,"&lt;"&amp;$D4470))</f>
        <v>0</v>
      </c>
      <c r="H4470" s="75">
        <f>IF($D4470="",0,COUNTIFS('Rate Log'!$J$7:$J$209,'Rate Log'!$J$209,$E$4268:$E4470,$E4470,$D$4268:$D4470,$D4470))</f>
        <v>0</v>
      </c>
      <c r="I4470" s="75">
        <f t="shared" si="1593"/>
        <v>0</v>
      </c>
    </row>
    <row r="4471" spans="1:9" x14ac:dyDescent="0.3">
      <c r="A4471" s="75">
        <f>IF(OR('Rate Log'!$J$210&lt;&gt;nr_SelKey,'Rate Log'!$E$210&lt;&gt;"planned",'Rate Log'!$C$210=""),0,COUNTIFS('Rate Log'!$J$7:$J$210,nr_SelKey,'Rate Log'!$E$7:$E$210,"planned"))</f>
        <v>0</v>
      </c>
      <c r="B4471" s="72">
        <f>IF($A4471=0,N('Rate Log'!$K$210),IF(ISBLANK(INDEX(att_actpct,$A4471)),N('Rate Log'!$K$210),INDEX(att_actpct,$A4471)))</f>
        <v>0</v>
      </c>
      <c r="C4471" s="73">
        <f>IF('Rate Log'!$C$210="",0,IF(1+$B4471&gt;0,LN(1+$B4471),0))</f>
        <v>0</v>
      </c>
      <c r="D4471" s="74" t="str">
        <f>IF('Rate Log'!$C$210="","",IF($A4471=0,'Rate Log'!$C$210,IF(ISBLANK(INDEX(att_actdate,$A4471)),'Rate Log'!$C$210,INDEX(att_actdate,$A4471))))</f>
        <v/>
      </c>
      <c r="E4471" s="74" t="str">
        <f t="shared" si="1591"/>
        <v/>
      </c>
      <c r="F4471" s="75">
        <f t="shared" si="1592"/>
        <v>0</v>
      </c>
      <c r="G4471" s="75">
        <f>IF($D4471="",0,COUNTIFS(rl_key,'Rate Log'!$J$210,$E$4268:$E$4507,$E4471,$D$4268:$D$4507,"&lt;"&amp;$D4471))</f>
        <v>0</v>
      </c>
      <c r="H4471" s="75">
        <f>IF($D4471="",0,COUNTIFS('Rate Log'!$J$7:$J$210,'Rate Log'!$J$210,$E$4268:$E4471,$E4471,$D$4268:$D4471,$D4471))</f>
        <v>0</v>
      </c>
      <c r="I4471" s="75">
        <f t="shared" si="1593"/>
        <v>0</v>
      </c>
    </row>
    <row r="4472" spans="1:9" x14ac:dyDescent="0.3">
      <c r="A4472" s="75">
        <f>IF(OR('Rate Log'!$J$211&lt;&gt;nr_SelKey,'Rate Log'!$E$211&lt;&gt;"planned",'Rate Log'!$C$211=""),0,COUNTIFS('Rate Log'!$J$7:$J$211,nr_SelKey,'Rate Log'!$E$7:$E$211,"planned"))</f>
        <v>0</v>
      </c>
      <c r="B4472" s="72">
        <f>IF($A4472=0,N('Rate Log'!$K$211),IF(ISBLANK(INDEX(att_actpct,$A4472)),N('Rate Log'!$K$211),INDEX(att_actpct,$A4472)))</f>
        <v>0</v>
      </c>
      <c r="C4472" s="73">
        <f>IF('Rate Log'!$C$211="",0,IF(1+$B4472&gt;0,LN(1+$B4472),0))</f>
        <v>0</v>
      </c>
      <c r="D4472" s="74" t="str">
        <f>IF('Rate Log'!$C$211="","",IF($A4472=0,'Rate Log'!$C$211,IF(ISBLANK(INDEX(att_actdate,$A4472)),'Rate Log'!$C$211,INDEX(att_actdate,$A4472))))</f>
        <v/>
      </c>
      <c r="E4472" s="74" t="str">
        <f t="shared" si="1591"/>
        <v/>
      </c>
      <c r="F4472" s="75">
        <f t="shared" si="1592"/>
        <v>0</v>
      </c>
      <c r="G4472" s="75">
        <f>IF($D4472="",0,COUNTIFS(rl_key,'Rate Log'!$J$211,$E$4268:$E$4507,$E4472,$D$4268:$D$4507,"&lt;"&amp;$D4472))</f>
        <v>0</v>
      </c>
      <c r="H4472" s="75">
        <f>IF($D4472="",0,COUNTIFS('Rate Log'!$J$7:$J$211,'Rate Log'!$J$211,$E$4268:$E4472,$E4472,$D$4268:$D4472,$D4472))</f>
        <v>0</v>
      </c>
      <c r="I4472" s="75">
        <f t="shared" si="1593"/>
        <v>0</v>
      </c>
    </row>
    <row r="4473" spans="1:9" x14ac:dyDescent="0.3">
      <c r="A4473" s="75">
        <f>IF(OR('Rate Log'!$J$212&lt;&gt;nr_SelKey,'Rate Log'!$E$212&lt;&gt;"planned",'Rate Log'!$C$212=""),0,COUNTIFS('Rate Log'!$J$7:$J$212,nr_SelKey,'Rate Log'!$E$7:$E$212,"planned"))</f>
        <v>0</v>
      </c>
      <c r="B4473" s="72">
        <f>IF($A4473=0,N('Rate Log'!$K$212),IF(ISBLANK(INDEX(att_actpct,$A4473)),N('Rate Log'!$K$212),INDEX(att_actpct,$A4473)))</f>
        <v>0</v>
      </c>
      <c r="C4473" s="73">
        <f>IF('Rate Log'!$C$212="",0,IF(1+$B4473&gt;0,LN(1+$B4473),0))</f>
        <v>0</v>
      </c>
      <c r="D4473" s="74" t="str">
        <f>IF('Rate Log'!$C$212="","",IF($A4473=0,'Rate Log'!$C$212,IF(ISBLANK(INDEX(att_actdate,$A4473)),'Rate Log'!$C$212,INDEX(att_actdate,$A4473))))</f>
        <v/>
      </c>
      <c r="E4473" s="74" t="str">
        <f t="shared" si="1591"/>
        <v/>
      </c>
      <c r="F4473" s="75">
        <f t="shared" si="1592"/>
        <v>0</v>
      </c>
      <c r="G4473" s="75">
        <f>IF($D4473="",0,COUNTIFS(rl_key,'Rate Log'!$J$212,$E$4268:$E$4507,$E4473,$D$4268:$D$4507,"&lt;"&amp;$D4473))</f>
        <v>0</v>
      </c>
      <c r="H4473" s="75">
        <f>IF($D4473="",0,COUNTIFS('Rate Log'!$J$7:$J$212,'Rate Log'!$J$212,$E$4268:$E4473,$E4473,$D$4268:$D4473,$D4473))</f>
        <v>0</v>
      </c>
      <c r="I4473" s="75">
        <f t="shared" si="1593"/>
        <v>0</v>
      </c>
    </row>
    <row r="4474" spans="1:9" x14ac:dyDescent="0.3">
      <c r="A4474" s="75">
        <f>IF(OR('Rate Log'!$J$213&lt;&gt;nr_SelKey,'Rate Log'!$E$213&lt;&gt;"planned",'Rate Log'!$C$213=""),0,COUNTIFS('Rate Log'!$J$7:$J$213,nr_SelKey,'Rate Log'!$E$7:$E$213,"planned"))</f>
        <v>0</v>
      </c>
      <c r="B4474" s="72">
        <f>IF($A4474=0,N('Rate Log'!$K$213),IF(ISBLANK(INDEX(att_actpct,$A4474)),N('Rate Log'!$K$213),INDEX(att_actpct,$A4474)))</f>
        <v>0</v>
      </c>
      <c r="C4474" s="73">
        <f>IF('Rate Log'!$C$213="",0,IF(1+$B4474&gt;0,LN(1+$B4474),0))</f>
        <v>0</v>
      </c>
      <c r="D4474" s="74" t="str">
        <f>IF('Rate Log'!$C$213="","",IF($A4474=0,'Rate Log'!$C$213,IF(ISBLANK(INDEX(att_actdate,$A4474)),'Rate Log'!$C$213,INDEX(att_actdate,$A4474))))</f>
        <v/>
      </c>
      <c r="E4474" s="74" t="str">
        <f t="shared" si="1591"/>
        <v/>
      </c>
      <c r="F4474" s="75">
        <f t="shared" si="1592"/>
        <v>0</v>
      </c>
      <c r="G4474" s="75">
        <f>IF($D4474="",0,COUNTIFS(rl_key,'Rate Log'!$J$213,$E$4268:$E$4507,$E4474,$D$4268:$D$4507,"&lt;"&amp;$D4474))</f>
        <v>0</v>
      </c>
      <c r="H4474" s="75">
        <f>IF($D4474="",0,COUNTIFS('Rate Log'!$J$7:$J$213,'Rate Log'!$J$213,$E$4268:$E4474,$E4474,$D$4268:$D4474,$D4474))</f>
        <v>0</v>
      </c>
      <c r="I4474" s="75">
        <f t="shared" si="1593"/>
        <v>0</v>
      </c>
    </row>
    <row r="4475" spans="1:9" x14ac:dyDescent="0.3">
      <c r="A4475" s="75">
        <f>IF(OR('Rate Log'!$J$214&lt;&gt;nr_SelKey,'Rate Log'!$E$214&lt;&gt;"planned",'Rate Log'!$C$214=""),0,COUNTIFS('Rate Log'!$J$7:$J$214,nr_SelKey,'Rate Log'!$E$7:$E$214,"planned"))</f>
        <v>0</v>
      </c>
      <c r="B4475" s="72">
        <f>IF($A4475=0,N('Rate Log'!$K$214),IF(ISBLANK(INDEX(att_actpct,$A4475)),N('Rate Log'!$K$214),INDEX(att_actpct,$A4475)))</f>
        <v>0</v>
      </c>
      <c r="C4475" s="73">
        <f>IF('Rate Log'!$C$214="",0,IF(1+$B4475&gt;0,LN(1+$B4475),0))</f>
        <v>0</v>
      </c>
      <c r="D4475" s="74" t="str">
        <f>IF('Rate Log'!$C$214="","",IF($A4475=0,'Rate Log'!$C$214,IF(ISBLANK(INDEX(att_actdate,$A4475)),'Rate Log'!$C$214,INDEX(att_actdate,$A4475))))</f>
        <v/>
      </c>
      <c r="E4475" s="74" t="str">
        <f t="shared" si="1591"/>
        <v/>
      </c>
      <c r="F4475" s="75">
        <f t="shared" si="1592"/>
        <v>0</v>
      </c>
      <c r="G4475" s="75">
        <f>IF($D4475="",0,COUNTIFS(rl_key,'Rate Log'!$J$214,$E$4268:$E$4507,$E4475,$D$4268:$D$4507,"&lt;"&amp;$D4475))</f>
        <v>0</v>
      </c>
      <c r="H4475" s="75">
        <f>IF($D4475="",0,COUNTIFS('Rate Log'!$J$7:$J$214,'Rate Log'!$J$214,$E$4268:$E4475,$E4475,$D$4268:$D4475,$D4475))</f>
        <v>0</v>
      </c>
      <c r="I4475" s="75">
        <f t="shared" si="1593"/>
        <v>0</v>
      </c>
    </row>
    <row r="4476" spans="1:9" x14ac:dyDescent="0.3">
      <c r="A4476" s="75">
        <f>IF(OR('Rate Log'!$J$215&lt;&gt;nr_SelKey,'Rate Log'!$E$215&lt;&gt;"planned",'Rate Log'!$C$215=""),0,COUNTIFS('Rate Log'!$J$7:$J$215,nr_SelKey,'Rate Log'!$E$7:$E$215,"planned"))</f>
        <v>0</v>
      </c>
      <c r="B4476" s="72">
        <f>IF($A4476=0,N('Rate Log'!$K$215),IF(ISBLANK(INDEX(att_actpct,$A4476)),N('Rate Log'!$K$215),INDEX(att_actpct,$A4476)))</f>
        <v>0</v>
      </c>
      <c r="C4476" s="73">
        <f>IF('Rate Log'!$C$215="",0,IF(1+$B4476&gt;0,LN(1+$B4476),0))</f>
        <v>0</v>
      </c>
      <c r="D4476" s="74" t="str">
        <f>IF('Rate Log'!$C$215="","",IF($A4476=0,'Rate Log'!$C$215,IF(ISBLANK(INDEX(att_actdate,$A4476)),'Rate Log'!$C$215,INDEX(att_actdate,$A4476))))</f>
        <v/>
      </c>
      <c r="E4476" s="74" t="str">
        <f t="shared" si="1591"/>
        <v/>
      </c>
      <c r="F4476" s="75">
        <f t="shared" si="1592"/>
        <v>0</v>
      </c>
      <c r="G4476" s="75">
        <f>IF($D4476="",0,COUNTIFS(rl_key,'Rate Log'!$J$215,$E$4268:$E$4507,$E4476,$D$4268:$D$4507,"&lt;"&amp;$D4476))</f>
        <v>0</v>
      </c>
      <c r="H4476" s="75">
        <f>IF($D4476="",0,COUNTIFS('Rate Log'!$J$7:$J$215,'Rate Log'!$J$215,$E$4268:$E4476,$E4476,$D$4268:$D4476,$D4476))</f>
        <v>0</v>
      </c>
      <c r="I4476" s="75">
        <f t="shared" si="1593"/>
        <v>0</v>
      </c>
    </row>
    <row r="4477" spans="1:9" x14ac:dyDescent="0.3">
      <c r="A4477" s="75">
        <f>IF(OR('Rate Log'!$J$216&lt;&gt;nr_SelKey,'Rate Log'!$E$216&lt;&gt;"planned",'Rate Log'!$C$216=""),0,COUNTIFS('Rate Log'!$J$7:$J$216,nr_SelKey,'Rate Log'!$E$7:$E$216,"planned"))</f>
        <v>0</v>
      </c>
      <c r="B4477" s="72">
        <f>IF($A4477=0,N('Rate Log'!$K$216),IF(ISBLANK(INDEX(att_actpct,$A4477)),N('Rate Log'!$K$216),INDEX(att_actpct,$A4477)))</f>
        <v>0</v>
      </c>
      <c r="C4477" s="73">
        <f>IF('Rate Log'!$C$216="",0,IF(1+$B4477&gt;0,LN(1+$B4477),0))</f>
        <v>0</v>
      </c>
      <c r="D4477" s="74" t="str">
        <f>IF('Rate Log'!$C$216="","",IF($A4477=0,'Rate Log'!$C$216,IF(ISBLANK(INDEX(att_actdate,$A4477)),'Rate Log'!$C$216,INDEX(att_actdate,$A4477))))</f>
        <v/>
      </c>
      <c r="E4477" s="74" t="str">
        <f t="shared" si="1591"/>
        <v/>
      </c>
      <c r="F4477" s="75">
        <f t="shared" si="1592"/>
        <v>0</v>
      </c>
      <c r="G4477" s="75">
        <f>IF($D4477="",0,COUNTIFS(rl_key,'Rate Log'!$J$216,$E$4268:$E$4507,$E4477,$D$4268:$D$4507,"&lt;"&amp;$D4477))</f>
        <v>0</v>
      </c>
      <c r="H4477" s="75">
        <f>IF($D4477="",0,COUNTIFS('Rate Log'!$J$7:$J$216,'Rate Log'!$J$216,$E$4268:$E4477,$E4477,$D$4268:$D4477,$D4477))</f>
        <v>0</v>
      </c>
      <c r="I4477" s="75">
        <f t="shared" si="1593"/>
        <v>0</v>
      </c>
    </row>
    <row r="4478" spans="1:9" x14ac:dyDescent="0.3">
      <c r="A4478" s="75">
        <f>IF(OR('Rate Log'!$J$217&lt;&gt;nr_SelKey,'Rate Log'!$E$217&lt;&gt;"planned",'Rate Log'!$C$217=""),0,COUNTIFS('Rate Log'!$J$7:$J$217,nr_SelKey,'Rate Log'!$E$7:$E$217,"planned"))</f>
        <v>0</v>
      </c>
      <c r="B4478" s="72">
        <f>IF($A4478=0,N('Rate Log'!$K$217),IF(ISBLANK(INDEX(att_actpct,$A4478)),N('Rate Log'!$K$217),INDEX(att_actpct,$A4478)))</f>
        <v>0</v>
      </c>
      <c r="C4478" s="73">
        <f>IF('Rate Log'!$C$217="",0,IF(1+$B4478&gt;0,LN(1+$B4478),0))</f>
        <v>0</v>
      </c>
      <c r="D4478" s="74" t="str">
        <f>IF('Rate Log'!$C$217="","",IF($A4478=0,'Rate Log'!$C$217,IF(ISBLANK(INDEX(att_actdate,$A4478)),'Rate Log'!$C$217,INDEX(att_actdate,$A4478))))</f>
        <v/>
      </c>
      <c r="E4478" s="74" t="str">
        <f t="shared" si="1591"/>
        <v/>
      </c>
      <c r="F4478" s="75">
        <f t="shared" si="1592"/>
        <v>0</v>
      </c>
      <c r="G4478" s="75">
        <f>IF($D4478="",0,COUNTIFS(rl_key,'Rate Log'!$J$217,$E$4268:$E$4507,$E4478,$D$4268:$D$4507,"&lt;"&amp;$D4478))</f>
        <v>0</v>
      </c>
      <c r="H4478" s="75">
        <f>IF($D4478="",0,COUNTIFS('Rate Log'!$J$7:$J$217,'Rate Log'!$J$217,$E$4268:$E4478,$E4478,$D$4268:$D4478,$D4478))</f>
        <v>0</v>
      </c>
      <c r="I4478" s="75">
        <f t="shared" si="1593"/>
        <v>0</v>
      </c>
    </row>
    <row r="4479" spans="1:9" x14ac:dyDescent="0.3">
      <c r="A4479" s="75">
        <f>IF(OR('Rate Log'!$J$218&lt;&gt;nr_SelKey,'Rate Log'!$E$218&lt;&gt;"planned",'Rate Log'!$C$218=""),0,COUNTIFS('Rate Log'!$J$7:$J$218,nr_SelKey,'Rate Log'!$E$7:$E$218,"planned"))</f>
        <v>0</v>
      </c>
      <c r="B4479" s="72">
        <f>IF($A4479=0,N('Rate Log'!$K$218),IF(ISBLANK(INDEX(att_actpct,$A4479)),N('Rate Log'!$K$218),INDEX(att_actpct,$A4479)))</f>
        <v>0</v>
      </c>
      <c r="C4479" s="73">
        <f>IF('Rate Log'!$C$218="",0,IF(1+$B4479&gt;0,LN(1+$B4479),0))</f>
        <v>0</v>
      </c>
      <c r="D4479" s="74" t="str">
        <f>IF('Rate Log'!$C$218="","",IF($A4479=0,'Rate Log'!$C$218,IF(ISBLANK(INDEX(att_actdate,$A4479)),'Rate Log'!$C$218,INDEX(att_actdate,$A4479))))</f>
        <v/>
      </c>
      <c r="E4479" s="74" t="str">
        <f t="shared" si="1591"/>
        <v/>
      </c>
      <c r="F4479" s="75">
        <f t="shared" si="1592"/>
        <v>0</v>
      </c>
      <c r="G4479" s="75">
        <f>IF($D4479="",0,COUNTIFS(rl_key,'Rate Log'!$J$218,$E$4268:$E$4507,$E4479,$D$4268:$D$4507,"&lt;"&amp;$D4479))</f>
        <v>0</v>
      </c>
      <c r="H4479" s="75">
        <f>IF($D4479="",0,COUNTIFS('Rate Log'!$J$7:$J$218,'Rate Log'!$J$218,$E$4268:$E4479,$E4479,$D$4268:$D4479,$D4479))</f>
        <v>0</v>
      </c>
      <c r="I4479" s="75">
        <f t="shared" si="1593"/>
        <v>0</v>
      </c>
    </row>
    <row r="4480" spans="1:9" x14ac:dyDescent="0.3">
      <c r="A4480" s="75">
        <f>IF(OR('Rate Log'!$J$219&lt;&gt;nr_SelKey,'Rate Log'!$E$219&lt;&gt;"planned",'Rate Log'!$C$219=""),0,COUNTIFS('Rate Log'!$J$7:$J$219,nr_SelKey,'Rate Log'!$E$7:$E$219,"planned"))</f>
        <v>0</v>
      </c>
      <c r="B4480" s="72">
        <f>IF($A4480=0,N('Rate Log'!$K$219),IF(ISBLANK(INDEX(att_actpct,$A4480)),N('Rate Log'!$K$219),INDEX(att_actpct,$A4480)))</f>
        <v>0</v>
      </c>
      <c r="C4480" s="73">
        <f>IF('Rate Log'!$C$219="",0,IF(1+$B4480&gt;0,LN(1+$B4480),0))</f>
        <v>0</v>
      </c>
      <c r="D4480" s="74" t="str">
        <f>IF('Rate Log'!$C$219="","",IF($A4480=0,'Rate Log'!$C$219,IF(ISBLANK(INDEX(att_actdate,$A4480)),'Rate Log'!$C$219,INDEX(att_actdate,$A4480))))</f>
        <v/>
      </c>
      <c r="E4480" s="74" t="str">
        <f t="shared" si="1591"/>
        <v/>
      </c>
      <c r="F4480" s="75">
        <f t="shared" si="1592"/>
        <v>0</v>
      </c>
      <c r="G4480" s="75">
        <f>IF($D4480="",0,COUNTIFS(rl_key,'Rate Log'!$J$219,$E$4268:$E$4507,$E4480,$D$4268:$D$4507,"&lt;"&amp;$D4480))</f>
        <v>0</v>
      </c>
      <c r="H4480" s="75">
        <f>IF($D4480="",0,COUNTIFS('Rate Log'!$J$7:$J$219,'Rate Log'!$J$219,$E$4268:$E4480,$E4480,$D$4268:$D4480,$D4480))</f>
        <v>0</v>
      </c>
      <c r="I4480" s="75">
        <f t="shared" si="1593"/>
        <v>0</v>
      </c>
    </row>
    <row r="4481" spans="1:9" x14ac:dyDescent="0.3">
      <c r="A4481" s="75">
        <f>IF(OR('Rate Log'!$J$220&lt;&gt;nr_SelKey,'Rate Log'!$E$220&lt;&gt;"planned",'Rate Log'!$C$220=""),0,COUNTIFS('Rate Log'!$J$7:$J$220,nr_SelKey,'Rate Log'!$E$7:$E$220,"planned"))</f>
        <v>0</v>
      </c>
      <c r="B4481" s="72">
        <f>IF($A4481=0,N('Rate Log'!$K$220),IF(ISBLANK(INDEX(att_actpct,$A4481)),N('Rate Log'!$K$220),INDEX(att_actpct,$A4481)))</f>
        <v>0</v>
      </c>
      <c r="C4481" s="73">
        <f>IF('Rate Log'!$C$220="",0,IF(1+$B4481&gt;0,LN(1+$B4481),0))</f>
        <v>0</v>
      </c>
      <c r="D4481" s="74" t="str">
        <f>IF('Rate Log'!$C$220="","",IF($A4481=0,'Rate Log'!$C$220,IF(ISBLANK(INDEX(att_actdate,$A4481)),'Rate Log'!$C$220,INDEX(att_actdate,$A4481))))</f>
        <v/>
      </c>
      <c r="E4481" s="74" t="str">
        <f t="shared" si="1591"/>
        <v/>
      </c>
      <c r="F4481" s="75">
        <f t="shared" si="1592"/>
        <v>0</v>
      </c>
      <c r="G4481" s="75">
        <f>IF($D4481="",0,COUNTIFS(rl_key,'Rate Log'!$J$220,$E$4268:$E$4507,$E4481,$D$4268:$D$4507,"&lt;"&amp;$D4481))</f>
        <v>0</v>
      </c>
      <c r="H4481" s="75">
        <f>IF($D4481="",0,COUNTIFS('Rate Log'!$J$7:$J$220,'Rate Log'!$J$220,$E$4268:$E4481,$E4481,$D$4268:$D4481,$D4481))</f>
        <v>0</v>
      </c>
      <c r="I4481" s="75">
        <f t="shared" si="1593"/>
        <v>0</v>
      </c>
    </row>
    <row r="4482" spans="1:9" x14ac:dyDescent="0.3">
      <c r="A4482" s="75">
        <f>IF(OR('Rate Log'!$J$221&lt;&gt;nr_SelKey,'Rate Log'!$E$221&lt;&gt;"planned",'Rate Log'!$C$221=""),0,COUNTIFS('Rate Log'!$J$7:$J$221,nr_SelKey,'Rate Log'!$E$7:$E$221,"planned"))</f>
        <v>0</v>
      </c>
      <c r="B4482" s="72">
        <f>IF($A4482=0,N('Rate Log'!$K$221),IF(ISBLANK(INDEX(att_actpct,$A4482)),N('Rate Log'!$K$221),INDEX(att_actpct,$A4482)))</f>
        <v>0</v>
      </c>
      <c r="C4482" s="73">
        <f>IF('Rate Log'!$C$221="",0,IF(1+$B4482&gt;0,LN(1+$B4482),0))</f>
        <v>0</v>
      </c>
      <c r="D4482" s="74" t="str">
        <f>IF('Rate Log'!$C$221="","",IF($A4482=0,'Rate Log'!$C$221,IF(ISBLANK(INDEX(att_actdate,$A4482)),'Rate Log'!$C$221,INDEX(att_actdate,$A4482))))</f>
        <v/>
      </c>
      <c r="E4482" s="74" t="str">
        <f t="shared" si="1591"/>
        <v/>
      </c>
      <c r="F4482" s="75">
        <f t="shared" si="1592"/>
        <v>0</v>
      </c>
      <c r="G4482" s="75">
        <f>IF($D4482="",0,COUNTIFS(rl_key,'Rate Log'!$J$221,$E$4268:$E$4507,$E4482,$D$4268:$D$4507,"&lt;"&amp;$D4482))</f>
        <v>0</v>
      </c>
      <c r="H4482" s="75">
        <f>IF($D4482="",0,COUNTIFS('Rate Log'!$J$7:$J$221,'Rate Log'!$J$221,$E$4268:$E4482,$E4482,$D$4268:$D4482,$D4482))</f>
        <v>0</v>
      </c>
      <c r="I4482" s="75">
        <f t="shared" si="1593"/>
        <v>0</v>
      </c>
    </row>
    <row r="4483" spans="1:9" x14ac:dyDescent="0.3">
      <c r="A4483" s="75">
        <f>IF(OR('Rate Log'!$J$222&lt;&gt;nr_SelKey,'Rate Log'!$E$222&lt;&gt;"planned",'Rate Log'!$C$222=""),0,COUNTIFS('Rate Log'!$J$7:$J$222,nr_SelKey,'Rate Log'!$E$7:$E$222,"planned"))</f>
        <v>0</v>
      </c>
      <c r="B4483" s="72">
        <f>IF($A4483=0,N('Rate Log'!$K$222),IF(ISBLANK(INDEX(att_actpct,$A4483)),N('Rate Log'!$K$222),INDEX(att_actpct,$A4483)))</f>
        <v>0</v>
      </c>
      <c r="C4483" s="73">
        <f>IF('Rate Log'!$C$222="",0,IF(1+$B4483&gt;0,LN(1+$B4483),0))</f>
        <v>0</v>
      </c>
      <c r="D4483" s="74" t="str">
        <f>IF('Rate Log'!$C$222="","",IF($A4483=0,'Rate Log'!$C$222,IF(ISBLANK(INDEX(att_actdate,$A4483)),'Rate Log'!$C$222,INDEX(att_actdate,$A4483))))</f>
        <v/>
      </c>
      <c r="E4483" s="74" t="str">
        <f t="shared" si="1591"/>
        <v/>
      </c>
      <c r="F4483" s="75">
        <f t="shared" si="1592"/>
        <v>0</v>
      </c>
      <c r="G4483" s="75">
        <f>IF($D4483="",0,COUNTIFS(rl_key,'Rate Log'!$J$222,$E$4268:$E$4507,$E4483,$D$4268:$D$4507,"&lt;"&amp;$D4483))</f>
        <v>0</v>
      </c>
      <c r="H4483" s="75">
        <f>IF($D4483="",0,COUNTIFS('Rate Log'!$J$7:$J$222,'Rate Log'!$J$222,$E$4268:$E4483,$E4483,$D$4268:$D4483,$D4483))</f>
        <v>0</v>
      </c>
      <c r="I4483" s="75">
        <f t="shared" si="1593"/>
        <v>0</v>
      </c>
    </row>
    <row r="4484" spans="1:9" x14ac:dyDescent="0.3">
      <c r="A4484" s="75">
        <f>IF(OR('Rate Log'!$J$223&lt;&gt;nr_SelKey,'Rate Log'!$E$223&lt;&gt;"planned",'Rate Log'!$C$223=""),0,COUNTIFS('Rate Log'!$J$7:$J$223,nr_SelKey,'Rate Log'!$E$7:$E$223,"planned"))</f>
        <v>0</v>
      </c>
      <c r="B4484" s="72">
        <f>IF($A4484=0,N('Rate Log'!$K$223),IF(ISBLANK(INDEX(att_actpct,$A4484)),N('Rate Log'!$K$223),INDEX(att_actpct,$A4484)))</f>
        <v>0</v>
      </c>
      <c r="C4484" s="73">
        <f>IF('Rate Log'!$C$223="",0,IF(1+$B4484&gt;0,LN(1+$B4484),0))</f>
        <v>0</v>
      </c>
      <c r="D4484" s="74" t="str">
        <f>IF('Rate Log'!$C$223="","",IF($A4484=0,'Rate Log'!$C$223,IF(ISBLANK(INDEX(att_actdate,$A4484)),'Rate Log'!$C$223,INDEX(att_actdate,$A4484))))</f>
        <v/>
      </c>
      <c r="E4484" s="74" t="str">
        <f t="shared" si="1591"/>
        <v/>
      </c>
      <c r="F4484" s="75">
        <f t="shared" si="1592"/>
        <v>0</v>
      </c>
      <c r="G4484" s="75">
        <f>IF($D4484="",0,COUNTIFS(rl_key,'Rate Log'!$J$223,$E$4268:$E$4507,$E4484,$D$4268:$D$4507,"&lt;"&amp;$D4484))</f>
        <v>0</v>
      </c>
      <c r="H4484" s="75">
        <f>IF($D4484="",0,COUNTIFS('Rate Log'!$J$7:$J$223,'Rate Log'!$J$223,$E$4268:$E4484,$E4484,$D$4268:$D4484,$D4484))</f>
        <v>0</v>
      </c>
      <c r="I4484" s="75">
        <f t="shared" si="1593"/>
        <v>0</v>
      </c>
    </row>
    <row r="4485" spans="1:9" x14ac:dyDescent="0.3">
      <c r="A4485" s="75">
        <f>IF(OR('Rate Log'!$J$224&lt;&gt;nr_SelKey,'Rate Log'!$E$224&lt;&gt;"planned",'Rate Log'!$C$224=""),0,COUNTIFS('Rate Log'!$J$7:$J$224,nr_SelKey,'Rate Log'!$E$7:$E$224,"planned"))</f>
        <v>0</v>
      </c>
      <c r="B4485" s="72">
        <f>IF($A4485=0,N('Rate Log'!$K$224),IF(ISBLANK(INDEX(att_actpct,$A4485)),N('Rate Log'!$K$224),INDEX(att_actpct,$A4485)))</f>
        <v>0</v>
      </c>
      <c r="C4485" s="73">
        <f>IF('Rate Log'!$C$224="",0,IF(1+$B4485&gt;0,LN(1+$B4485),0))</f>
        <v>0</v>
      </c>
      <c r="D4485" s="74" t="str">
        <f>IF('Rate Log'!$C$224="","",IF($A4485=0,'Rate Log'!$C$224,IF(ISBLANK(INDEX(att_actdate,$A4485)),'Rate Log'!$C$224,INDEX(att_actdate,$A4485))))</f>
        <v/>
      </c>
      <c r="E4485" s="74" t="str">
        <f t="shared" si="1591"/>
        <v/>
      </c>
      <c r="F4485" s="75">
        <f t="shared" si="1592"/>
        <v>0</v>
      </c>
      <c r="G4485" s="75">
        <f>IF($D4485="",0,COUNTIFS(rl_key,'Rate Log'!$J$224,$E$4268:$E$4507,$E4485,$D$4268:$D$4507,"&lt;"&amp;$D4485))</f>
        <v>0</v>
      </c>
      <c r="H4485" s="75">
        <f>IF($D4485="",0,COUNTIFS('Rate Log'!$J$7:$J$224,'Rate Log'!$J$224,$E$4268:$E4485,$E4485,$D$4268:$D4485,$D4485))</f>
        <v>0</v>
      </c>
      <c r="I4485" s="75">
        <f t="shared" si="1593"/>
        <v>0</v>
      </c>
    </row>
    <row r="4486" spans="1:9" x14ac:dyDescent="0.3">
      <c r="A4486" s="75">
        <f>IF(OR('Rate Log'!$J$225&lt;&gt;nr_SelKey,'Rate Log'!$E$225&lt;&gt;"planned",'Rate Log'!$C$225=""),0,COUNTIFS('Rate Log'!$J$7:$J$225,nr_SelKey,'Rate Log'!$E$7:$E$225,"planned"))</f>
        <v>0</v>
      </c>
      <c r="B4486" s="72">
        <f>IF($A4486=0,N('Rate Log'!$K$225),IF(ISBLANK(INDEX(att_actpct,$A4486)),N('Rate Log'!$K$225),INDEX(att_actpct,$A4486)))</f>
        <v>0</v>
      </c>
      <c r="C4486" s="73">
        <f>IF('Rate Log'!$C$225="",0,IF(1+$B4486&gt;0,LN(1+$B4486),0))</f>
        <v>0</v>
      </c>
      <c r="D4486" s="74" t="str">
        <f>IF('Rate Log'!$C$225="","",IF($A4486=0,'Rate Log'!$C$225,IF(ISBLANK(INDEX(att_actdate,$A4486)),'Rate Log'!$C$225,INDEX(att_actdate,$A4486))))</f>
        <v/>
      </c>
      <c r="E4486" s="74" t="str">
        <f t="shared" si="1591"/>
        <v/>
      </c>
      <c r="F4486" s="75">
        <f t="shared" si="1592"/>
        <v>0</v>
      </c>
      <c r="G4486" s="75">
        <f>IF($D4486="",0,COUNTIFS(rl_key,'Rate Log'!$J$225,$E$4268:$E$4507,$E4486,$D$4268:$D$4507,"&lt;"&amp;$D4486))</f>
        <v>0</v>
      </c>
      <c r="H4486" s="75">
        <f>IF($D4486="",0,COUNTIFS('Rate Log'!$J$7:$J$225,'Rate Log'!$J$225,$E$4268:$E4486,$E4486,$D$4268:$D4486,$D4486))</f>
        <v>0</v>
      </c>
      <c r="I4486" s="75">
        <f t="shared" si="1593"/>
        <v>0</v>
      </c>
    </row>
    <row r="4487" spans="1:9" x14ac:dyDescent="0.3">
      <c r="A4487" s="75">
        <f>IF(OR('Rate Log'!$J$226&lt;&gt;nr_SelKey,'Rate Log'!$E$226&lt;&gt;"planned",'Rate Log'!$C$226=""),0,COUNTIFS('Rate Log'!$J$7:$J$226,nr_SelKey,'Rate Log'!$E$7:$E$226,"planned"))</f>
        <v>0</v>
      </c>
      <c r="B4487" s="72">
        <f>IF($A4487=0,N('Rate Log'!$K$226),IF(ISBLANK(INDEX(att_actpct,$A4487)),N('Rate Log'!$K$226),INDEX(att_actpct,$A4487)))</f>
        <v>0</v>
      </c>
      <c r="C4487" s="73">
        <f>IF('Rate Log'!$C$226="",0,IF(1+$B4487&gt;0,LN(1+$B4487),0))</f>
        <v>0</v>
      </c>
      <c r="D4487" s="74" t="str">
        <f>IF('Rate Log'!$C$226="","",IF($A4487=0,'Rate Log'!$C$226,IF(ISBLANK(INDEX(att_actdate,$A4487)),'Rate Log'!$C$226,INDEX(att_actdate,$A4487))))</f>
        <v/>
      </c>
      <c r="E4487" s="74" t="str">
        <f t="shared" si="1591"/>
        <v/>
      </c>
      <c r="F4487" s="75">
        <f t="shared" si="1592"/>
        <v>0</v>
      </c>
      <c r="G4487" s="75">
        <f>IF($D4487="",0,COUNTIFS(rl_key,'Rate Log'!$J$226,$E$4268:$E$4507,$E4487,$D$4268:$D$4507,"&lt;"&amp;$D4487))</f>
        <v>0</v>
      </c>
      <c r="H4487" s="75">
        <f>IF($D4487="",0,COUNTIFS('Rate Log'!$J$7:$J$226,'Rate Log'!$J$226,$E$4268:$E4487,$E4487,$D$4268:$D4487,$D4487))</f>
        <v>0</v>
      </c>
      <c r="I4487" s="75">
        <f t="shared" si="1593"/>
        <v>0</v>
      </c>
    </row>
    <row r="4488" spans="1:9" x14ac:dyDescent="0.3">
      <c r="A4488" s="75">
        <f>IF(OR('Rate Log'!$J$227&lt;&gt;nr_SelKey,'Rate Log'!$E$227&lt;&gt;"planned",'Rate Log'!$C$227=""),0,COUNTIFS('Rate Log'!$J$7:$J$227,nr_SelKey,'Rate Log'!$E$7:$E$227,"planned"))</f>
        <v>0</v>
      </c>
      <c r="B4488" s="72">
        <f>IF($A4488=0,N('Rate Log'!$K$227),IF(ISBLANK(INDEX(att_actpct,$A4488)),N('Rate Log'!$K$227),INDEX(att_actpct,$A4488)))</f>
        <v>0</v>
      </c>
      <c r="C4488" s="73">
        <f>IF('Rate Log'!$C$227="",0,IF(1+$B4488&gt;0,LN(1+$B4488),0))</f>
        <v>0</v>
      </c>
      <c r="D4488" s="74" t="str">
        <f>IF('Rate Log'!$C$227="","",IF($A4488=0,'Rate Log'!$C$227,IF(ISBLANK(INDEX(att_actdate,$A4488)),'Rate Log'!$C$227,INDEX(att_actdate,$A4488))))</f>
        <v/>
      </c>
      <c r="E4488" s="74" t="str">
        <f t="shared" si="1591"/>
        <v/>
      </c>
      <c r="F4488" s="75">
        <f t="shared" si="1592"/>
        <v>0</v>
      </c>
      <c r="G4488" s="75">
        <f>IF($D4488="",0,COUNTIFS(rl_key,'Rate Log'!$J$227,$E$4268:$E$4507,$E4488,$D$4268:$D$4507,"&lt;"&amp;$D4488))</f>
        <v>0</v>
      </c>
      <c r="H4488" s="75">
        <f>IF($D4488="",0,COUNTIFS('Rate Log'!$J$7:$J$227,'Rate Log'!$J$227,$E$4268:$E4488,$E4488,$D$4268:$D4488,$D4488))</f>
        <v>0</v>
      </c>
      <c r="I4488" s="75">
        <f t="shared" si="1593"/>
        <v>0</v>
      </c>
    </row>
    <row r="4489" spans="1:9" x14ac:dyDescent="0.3">
      <c r="A4489" s="75">
        <f>IF(OR('Rate Log'!$J$228&lt;&gt;nr_SelKey,'Rate Log'!$E$228&lt;&gt;"planned",'Rate Log'!$C$228=""),0,COUNTIFS('Rate Log'!$J$7:$J$228,nr_SelKey,'Rate Log'!$E$7:$E$228,"planned"))</f>
        <v>0</v>
      </c>
      <c r="B4489" s="72">
        <f>IF($A4489=0,N('Rate Log'!$K$228),IF(ISBLANK(INDEX(att_actpct,$A4489)),N('Rate Log'!$K$228),INDEX(att_actpct,$A4489)))</f>
        <v>0</v>
      </c>
      <c r="C4489" s="73">
        <f>IF('Rate Log'!$C$228="",0,IF(1+$B4489&gt;0,LN(1+$B4489),0))</f>
        <v>0</v>
      </c>
      <c r="D4489" s="74" t="str">
        <f>IF('Rate Log'!$C$228="","",IF($A4489=0,'Rate Log'!$C$228,IF(ISBLANK(INDEX(att_actdate,$A4489)),'Rate Log'!$C$228,INDEX(att_actdate,$A4489))))</f>
        <v/>
      </c>
      <c r="E4489" s="74" t="str">
        <f t="shared" si="1591"/>
        <v/>
      </c>
      <c r="F4489" s="75">
        <f t="shared" si="1592"/>
        <v>0</v>
      </c>
      <c r="G4489" s="75">
        <f>IF($D4489="",0,COUNTIFS(rl_key,'Rate Log'!$J$228,$E$4268:$E$4507,$E4489,$D$4268:$D$4507,"&lt;"&amp;$D4489))</f>
        <v>0</v>
      </c>
      <c r="H4489" s="75">
        <f>IF($D4489="",0,COUNTIFS('Rate Log'!$J$7:$J$228,'Rate Log'!$J$228,$E$4268:$E4489,$E4489,$D$4268:$D4489,$D4489))</f>
        <v>0</v>
      </c>
      <c r="I4489" s="75">
        <f t="shared" si="1593"/>
        <v>0</v>
      </c>
    </row>
    <row r="4490" spans="1:9" x14ac:dyDescent="0.3">
      <c r="A4490" s="75">
        <f>IF(OR('Rate Log'!$J$229&lt;&gt;nr_SelKey,'Rate Log'!$E$229&lt;&gt;"planned",'Rate Log'!$C$229=""),0,COUNTIFS('Rate Log'!$J$7:$J$229,nr_SelKey,'Rate Log'!$E$7:$E$229,"planned"))</f>
        <v>0</v>
      </c>
      <c r="B4490" s="72">
        <f>IF($A4490=0,N('Rate Log'!$K$229),IF(ISBLANK(INDEX(att_actpct,$A4490)),N('Rate Log'!$K$229),INDEX(att_actpct,$A4490)))</f>
        <v>0</v>
      </c>
      <c r="C4490" s="73">
        <f>IF('Rate Log'!$C$229="",0,IF(1+$B4490&gt;0,LN(1+$B4490),0))</f>
        <v>0</v>
      </c>
      <c r="D4490" s="74" t="str">
        <f>IF('Rate Log'!$C$229="","",IF($A4490=0,'Rate Log'!$C$229,IF(ISBLANK(INDEX(att_actdate,$A4490)),'Rate Log'!$C$229,INDEX(att_actdate,$A4490))))</f>
        <v/>
      </c>
      <c r="E4490" s="74" t="str">
        <f t="shared" si="1591"/>
        <v/>
      </c>
      <c r="F4490" s="75">
        <f t="shared" si="1592"/>
        <v>0</v>
      </c>
      <c r="G4490" s="75">
        <f>IF($D4490="",0,COUNTIFS(rl_key,'Rate Log'!$J$229,$E$4268:$E$4507,$E4490,$D$4268:$D$4507,"&lt;"&amp;$D4490))</f>
        <v>0</v>
      </c>
      <c r="H4490" s="75">
        <f>IF($D4490="",0,COUNTIFS('Rate Log'!$J$7:$J$229,'Rate Log'!$J$229,$E$4268:$E4490,$E4490,$D$4268:$D4490,$D4490))</f>
        <v>0</v>
      </c>
      <c r="I4490" s="75">
        <f t="shared" si="1593"/>
        <v>0</v>
      </c>
    </row>
    <row r="4491" spans="1:9" x14ac:dyDescent="0.3">
      <c r="A4491" s="75">
        <f>IF(OR('Rate Log'!$J$230&lt;&gt;nr_SelKey,'Rate Log'!$E$230&lt;&gt;"planned",'Rate Log'!$C$230=""),0,COUNTIFS('Rate Log'!$J$7:$J$230,nr_SelKey,'Rate Log'!$E$7:$E$230,"planned"))</f>
        <v>0</v>
      </c>
      <c r="B4491" s="72">
        <f>IF($A4491=0,N('Rate Log'!$K$230),IF(ISBLANK(INDEX(att_actpct,$A4491)),N('Rate Log'!$K$230),INDEX(att_actpct,$A4491)))</f>
        <v>0</v>
      </c>
      <c r="C4491" s="73">
        <f>IF('Rate Log'!$C$230="",0,IF(1+$B4491&gt;0,LN(1+$B4491),0))</f>
        <v>0</v>
      </c>
      <c r="D4491" s="74" t="str">
        <f>IF('Rate Log'!$C$230="","",IF($A4491=0,'Rate Log'!$C$230,IF(ISBLANK(INDEX(att_actdate,$A4491)),'Rate Log'!$C$230,INDEX(att_actdate,$A4491))))</f>
        <v/>
      </c>
      <c r="E4491" s="74" t="str">
        <f t="shared" si="1591"/>
        <v/>
      </c>
      <c r="F4491" s="75">
        <f t="shared" si="1592"/>
        <v>0</v>
      </c>
      <c r="G4491" s="75">
        <f>IF($D4491="",0,COUNTIFS(rl_key,'Rate Log'!$J$230,$E$4268:$E$4507,$E4491,$D$4268:$D$4507,"&lt;"&amp;$D4491))</f>
        <v>0</v>
      </c>
      <c r="H4491" s="75">
        <f>IF($D4491="",0,COUNTIFS('Rate Log'!$J$7:$J$230,'Rate Log'!$J$230,$E$4268:$E4491,$E4491,$D$4268:$D4491,$D4491))</f>
        <v>0</v>
      </c>
      <c r="I4491" s="75">
        <f t="shared" si="1593"/>
        <v>0</v>
      </c>
    </row>
    <row r="4492" spans="1:9" x14ac:dyDescent="0.3">
      <c r="A4492" s="75">
        <f>IF(OR('Rate Log'!$J$231&lt;&gt;nr_SelKey,'Rate Log'!$E$231&lt;&gt;"planned",'Rate Log'!$C$231=""),0,COUNTIFS('Rate Log'!$J$7:$J$231,nr_SelKey,'Rate Log'!$E$7:$E$231,"planned"))</f>
        <v>0</v>
      </c>
      <c r="B4492" s="72">
        <f>IF($A4492=0,N('Rate Log'!$K$231),IF(ISBLANK(INDEX(att_actpct,$A4492)),N('Rate Log'!$K$231),INDEX(att_actpct,$A4492)))</f>
        <v>0</v>
      </c>
      <c r="C4492" s="73">
        <f>IF('Rate Log'!$C$231="",0,IF(1+$B4492&gt;0,LN(1+$B4492),0))</f>
        <v>0</v>
      </c>
      <c r="D4492" s="74" t="str">
        <f>IF('Rate Log'!$C$231="","",IF($A4492=0,'Rate Log'!$C$231,IF(ISBLANK(INDEX(att_actdate,$A4492)),'Rate Log'!$C$231,INDEX(att_actdate,$A4492))))</f>
        <v/>
      </c>
      <c r="E4492" s="74" t="str">
        <f t="shared" si="1591"/>
        <v/>
      </c>
      <c r="F4492" s="75">
        <f t="shared" si="1592"/>
        <v>0</v>
      </c>
      <c r="G4492" s="75">
        <f>IF($D4492="",0,COUNTIFS(rl_key,'Rate Log'!$J$231,$E$4268:$E$4507,$E4492,$D$4268:$D$4507,"&lt;"&amp;$D4492))</f>
        <v>0</v>
      </c>
      <c r="H4492" s="75">
        <f>IF($D4492="",0,COUNTIFS('Rate Log'!$J$7:$J$231,'Rate Log'!$J$231,$E$4268:$E4492,$E4492,$D$4268:$D4492,$D4492))</f>
        <v>0</v>
      </c>
      <c r="I4492" s="75">
        <f t="shared" si="1593"/>
        <v>0</v>
      </c>
    </row>
    <row r="4493" spans="1:9" x14ac:dyDescent="0.3">
      <c r="A4493" s="75">
        <f>IF(OR('Rate Log'!$J$232&lt;&gt;nr_SelKey,'Rate Log'!$E$232&lt;&gt;"planned",'Rate Log'!$C$232=""),0,COUNTIFS('Rate Log'!$J$7:$J$232,nr_SelKey,'Rate Log'!$E$7:$E$232,"planned"))</f>
        <v>0</v>
      </c>
      <c r="B4493" s="72">
        <f>IF($A4493=0,N('Rate Log'!$K$232),IF(ISBLANK(INDEX(att_actpct,$A4493)),N('Rate Log'!$K$232),INDEX(att_actpct,$A4493)))</f>
        <v>0</v>
      </c>
      <c r="C4493" s="73">
        <f>IF('Rate Log'!$C$232="",0,IF(1+$B4493&gt;0,LN(1+$B4493),0))</f>
        <v>0</v>
      </c>
      <c r="D4493" s="74" t="str">
        <f>IF('Rate Log'!$C$232="","",IF($A4493=0,'Rate Log'!$C$232,IF(ISBLANK(INDEX(att_actdate,$A4493)),'Rate Log'!$C$232,INDEX(att_actdate,$A4493))))</f>
        <v/>
      </c>
      <c r="E4493" s="74" t="str">
        <f t="shared" si="1591"/>
        <v/>
      </c>
      <c r="F4493" s="75">
        <f t="shared" si="1592"/>
        <v>0</v>
      </c>
      <c r="G4493" s="75">
        <f>IF($D4493="",0,COUNTIFS(rl_key,'Rate Log'!$J$232,$E$4268:$E$4507,$E4493,$D$4268:$D$4507,"&lt;"&amp;$D4493))</f>
        <v>0</v>
      </c>
      <c r="H4493" s="75">
        <f>IF($D4493="",0,COUNTIFS('Rate Log'!$J$7:$J$232,'Rate Log'!$J$232,$E$4268:$E4493,$E4493,$D$4268:$D4493,$D4493))</f>
        <v>0</v>
      </c>
      <c r="I4493" s="75">
        <f t="shared" si="1593"/>
        <v>0</v>
      </c>
    </row>
    <row r="4494" spans="1:9" x14ac:dyDescent="0.3">
      <c r="A4494" s="75">
        <f>IF(OR('Rate Log'!$J$233&lt;&gt;nr_SelKey,'Rate Log'!$E$233&lt;&gt;"planned",'Rate Log'!$C$233=""),0,COUNTIFS('Rate Log'!$J$7:$J$233,nr_SelKey,'Rate Log'!$E$7:$E$233,"planned"))</f>
        <v>0</v>
      </c>
      <c r="B4494" s="72">
        <f>IF($A4494=0,N('Rate Log'!$K$233),IF(ISBLANK(INDEX(att_actpct,$A4494)),N('Rate Log'!$K$233),INDEX(att_actpct,$A4494)))</f>
        <v>0</v>
      </c>
      <c r="C4494" s="73">
        <f>IF('Rate Log'!$C$233="",0,IF(1+$B4494&gt;0,LN(1+$B4494),0))</f>
        <v>0</v>
      </c>
      <c r="D4494" s="74" t="str">
        <f>IF('Rate Log'!$C$233="","",IF($A4494=0,'Rate Log'!$C$233,IF(ISBLANK(INDEX(att_actdate,$A4494)),'Rate Log'!$C$233,INDEX(att_actdate,$A4494))))</f>
        <v/>
      </c>
      <c r="E4494" s="74" t="str">
        <f t="shared" si="1591"/>
        <v/>
      </c>
      <c r="F4494" s="75">
        <f t="shared" si="1592"/>
        <v>0</v>
      </c>
      <c r="G4494" s="75">
        <f>IF($D4494="",0,COUNTIFS(rl_key,'Rate Log'!$J$233,$E$4268:$E$4507,$E4494,$D$4268:$D$4507,"&lt;"&amp;$D4494))</f>
        <v>0</v>
      </c>
      <c r="H4494" s="75">
        <f>IF($D4494="",0,COUNTIFS('Rate Log'!$J$7:$J$233,'Rate Log'!$J$233,$E$4268:$E4494,$E4494,$D$4268:$D4494,$D4494))</f>
        <v>0</v>
      </c>
      <c r="I4494" s="75">
        <f t="shared" si="1593"/>
        <v>0</v>
      </c>
    </row>
    <row r="4495" spans="1:9" x14ac:dyDescent="0.3">
      <c r="A4495" s="75">
        <f>IF(OR('Rate Log'!$J$234&lt;&gt;nr_SelKey,'Rate Log'!$E$234&lt;&gt;"planned",'Rate Log'!$C$234=""),0,COUNTIFS('Rate Log'!$J$7:$J$234,nr_SelKey,'Rate Log'!$E$7:$E$234,"planned"))</f>
        <v>0</v>
      </c>
      <c r="B4495" s="72">
        <f>IF($A4495=0,N('Rate Log'!$K$234),IF(ISBLANK(INDEX(att_actpct,$A4495)),N('Rate Log'!$K$234),INDEX(att_actpct,$A4495)))</f>
        <v>0</v>
      </c>
      <c r="C4495" s="73">
        <f>IF('Rate Log'!$C$234="",0,IF(1+$B4495&gt;0,LN(1+$B4495),0))</f>
        <v>0</v>
      </c>
      <c r="D4495" s="74" t="str">
        <f>IF('Rate Log'!$C$234="","",IF($A4495=0,'Rate Log'!$C$234,IF(ISBLANK(INDEX(att_actdate,$A4495)),'Rate Log'!$C$234,INDEX(att_actdate,$A4495))))</f>
        <v/>
      </c>
      <c r="E4495" s="74" t="str">
        <f t="shared" si="1591"/>
        <v/>
      </c>
      <c r="F4495" s="75">
        <f t="shared" si="1592"/>
        <v>0</v>
      </c>
      <c r="G4495" s="75">
        <f>IF($D4495="",0,COUNTIFS(rl_key,'Rate Log'!$J$234,$E$4268:$E$4507,$E4495,$D$4268:$D$4507,"&lt;"&amp;$D4495))</f>
        <v>0</v>
      </c>
      <c r="H4495" s="75">
        <f>IF($D4495="",0,COUNTIFS('Rate Log'!$J$7:$J$234,'Rate Log'!$J$234,$E$4268:$E4495,$E4495,$D$4268:$D4495,$D4495))</f>
        <v>0</v>
      </c>
      <c r="I4495" s="75">
        <f t="shared" si="1593"/>
        <v>0</v>
      </c>
    </row>
    <row r="4496" spans="1:9" x14ac:dyDescent="0.3">
      <c r="A4496" s="75">
        <f>IF(OR('Rate Log'!$J$235&lt;&gt;nr_SelKey,'Rate Log'!$E$235&lt;&gt;"planned",'Rate Log'!$C$235=""),0,COUNTIFS('Rate Log'!$J$7:$J$235,nr_SelKey,'Rate Log'!$E$7:$E$235,"planned"))</f>
        <v>0</v>
      </c>
      <c r="B4496" s="72">
        <f>IF($A4496=0,N('Rate Log'!$K$235),IF(ISBLANK(INDEX(att_actpct,$A4496)),N('Rate Log'!$K$235),INDEX(att_actpct,$A4496)))</f>
        <v>0</v>
      </c>
      <c r="C4496" s="73">
        <f>IF('Rate Log'!$C$235="",0,IF(1+$B4496&gt;0,LN(1+$B4496),0))</f>
        <v>0</v>
      </c>
      <c r="D4496" s="74" t="str">
        <f>IF('Rate Log'!$C$235="","",IF($A4496=0,'Rate Log'!$C$235,IF(ISBLANK(INDEX(att_actdate,$A4496)),'Rate Log'!$C$235,INDEX(att_actdate,$A4496))))</f>
        <v/>
      </c>
      <c r="E4496" s="74" t="str">
        <f t="shared" si="1591"/>
        <v/>
      </c>
      <c r="F4496" s="75">
        <f t="shared" si="1592"/>
        <v>0</v>
      </c>
      <c r="G4496" s="75">
        <f>IF($D4496="",0,COUNTIFS(rl_key,'Rate Log'!$J$235,$E$4268:$E$4507,$E4496,$D$4268:$D$4507,"&lt;"&amp;$D4496))</f>
        <v>0</v>
      </c>
      <c r="H4496" s="75">
        <f>IF($D4496="",0,COUNTIFS('Rate Log'!$J$7:$J$235,'Rate Log'!$J$235,$E$4268:$E4496,$E4496,$D$4268:$D4496,$D4496))</f>
        <v>0</v>
      </c>
      <c r="I4496" s="75">
        <f t="shared" si="1593"/>
        <v>0</v>
      </c>
    </row>
    <row r="4497" spans="1:21" x14ac:dyDescent="0.3">
      <c r="A4497" s="75">
        <f>IF(OR('Rate Log'!$J$236&lt;&gt;nr_SelKey,'Rate Log'!$E$236&lt;&gt;"planned",'Rate Log'!$C$236=""),0,COUNTIFS('Rate Log'!$J$7:$J$236,nr_SelKey,'Rate Log'!$E$7:$E$236,"planned"))</f>
        <v>0</v>
      </c>
      <c r="B4497" s="72">
        <f>IF($A4497=0,N('Rate Log'!$K$236),IF(ISBLANK(INDEX(att_actpct,$A4497)),N('Rate Log'!$K$236),INDEX(att_actpct,$A4497)))</f>
        <v>0</v>
      </c>
      <c r="C4497" s="73">
        <f>IF('Rate Log'!$C$236="",0,IF(1+$B4497&gt;0,LN(1+$B4497),0))</f>
        <v>0</v>
      </c>
      <c r="D4497" s="74" t="str">
        <f>IF('Rate Log'!$C$236="","",IF($A4497=0,'Rate Log'!$C$236,IF(ISBLANK(INDEX(att_actdate,$A4497)),'Rate Log'!$C$236,INDEX(att_actdate,$A4497))))</f>
        <v/>
      </c>
      <c r="E4497" s="74" t="str">
        <f t="shared" si="1591"/>
        <v/>
      </c>
      <c r="F4497" s="75">
        <f t="shared" si="1592"/>
        <v>0</v>
      </c>
      <c r="G4497" s="75">
        <f>IF($D4497="",0,COUNTIFS(rl_key,'Rate Log'!$J$236,$E$4268:$E$4507,$E4497,$D$4268:$D$4507,"&lt;"&amp;$D4497))</f>
        <v>0</v>
      </c>
      <c r="H4497" s="75">
        <f>IF($D4497="",0,COUNTIFS('Rate Log'!$J$7:$J$236,'Rate Log'!$J$236,$E$4268:$E4497,$E4497,$D$4268:$D4497,$D4497))</f>
        <v>0</v>
      </c>
      <c r="I4497" s="75">
        <f t="shared" si="1593"/>
        <v>0</v>
      </c>
    </row>
    <row r="4498" spans="1:21" x14ac:dyDescent="0.3">
      <c r="A4498" s="75">
        <f>IF(OR('Rate Log'!$J$237&lt;&gt;nr_SelKey,'Rate Log'!$E$237&lt;&gt;"planned",'Rate Log'!$C$237=""),0,COUNTIFS('Rate Log'!$J$7:$J$237,nr_SelKey,'Rate Log'!$E$7:$E$237,"planned"))</f>
        <v>0</v>
      </c>
      <c r="B4498" s="72">
        <f>IF($A4498=0,N('Rate Log'!$K$237),IF(ISBLANK(INDEX(att_actpct,$A4498)),N('Rate Log'!$K$237),INDEX(att_actpct,$A4498)))</f>
        <v>0</v>
      </c>
      <c r="C4498" s="73">
        <f>IF('Rate Log'!$C$237="",0,IF(1+$B4498&gt;0,LN(1+$B4498),0))</f>
        <v>0</v>
      </c>
      <c r="D4498" s="74" t="str">
        <f>IF('Rate Log'!$C$237="","",IF($A4498=0,'Rate Log'!$C$237,IF(ISBLANK(INDEX(att_actdate,$A4498)),'Rate Log'!$C$237,INDEX(att_actdate,$A4498))))</f>
        <v/>
      </c>
      <c r="E4498" s="74" t="str">
        <f t="shared" si="1591"/>
        <v/>
      </c>
      <c r="F4498" s="75">
        <f t="shared" si="1592"/>
        <v>0</v>
      </c>
      <c r="G4498" s="75">
        <f>IF($D4498="",0,COUNTIFS(rl_key,'Rate Log'!$J$237,$E$4268:$E$4507,$E4498,$D$4268:$D$4507,"&lt;"&amp;$D4498))</f>
        <v>0</v>
      </c>
      <c r="H4498" s="75">
        <f>IF($D4498="",0,COUNTIFS('Rate Log'!$J$7:$J$237,'Rate Log'!$J$237,$E$4268:$E4498,$E4498,$D$4268:$D4498,$D4498))</f>
        <v>0</v>
      </c>
      <c r="I4498" s="75">
        <f t="shared" si="1593"/>
        <v>0</v>
      </c>
    </row>
    <row r="4499" spans="1:21" x14ac:dyDescent="0.3">
      <c r="A4499" s="75">
        <f>IF(OR('Rate Log'!$J$238&lt;&gt;nr_SelKey,'Rate Log'!$E$238&lt;&gt;"planned",'Rate Log'!$C$238=""),0,COUNTIFS('Rate Log'!$J$7:$J$238,nr_SelKey,'Rate Log'!$E$7:$E$238,"planned"))</f>
        <v>0</v>
      </c>
      <c r="B4499" s="72">
        <f>IF($A4499=0,N('Rate Log'!$K$238),IF(ISBLANK(INDEX(att_actpct,$A4499)),N('Rate Log'!$K$238),INDEX(att_actpct,$A4499)))</f>
        <v>0</v>
      </c>
      <c r="C4499" s="73">
        <f>IF('Rate Log'!$C$238="",0,IF(1+$B4499&gt;0,LN(1+$B4499),0))</f>
        <v>0</v>
      </c>
      <c r="D4499" s="74" t="str">
        <f>IF('Rate Log'!$C$238="","",IF($A4499=0,'Rate Log'!$C$238,IF(ISBLANK(INDEX(att_actdate,$A4499)),'Rate Log'!$C$238,INDEX(att_actdate,$A4499))))</f>
        <v/>
      </c>
      <c r="E4499" s="74" t="str">
        <f t="shared" si="1591"/>
        <v/>
      </c>
      <c r="F4499" s="75">
        <f t="shared" si="1592"/>
        <v>0</v>
      </c>
      <c r="G4499" s="75">
        <f>IF($D4499="",0,COUNTIFS(rl_key,'Rate Log'!$J$238,$E$4268:$E$4507,$E4499,$D$4268:$D$4507,"&lt;"&amp;$D4499))</f>
        <v>0</v>
      </c>
      <c r="H4499" s="75">
        <f>IF($D4499="",0,COUNTIFS('Rate Log'!$J$7:$J$238,'Rate Log'!$J$238,$E$4268:$E4499,$E4499,$D$4268:$D4499,$D4499))</f>
        <v>0</v>
      </c>
      <c r="I4499" s="75">
        <f t="shared" si="1593"/>
        <v>0</v>
      </c>
    </row>
    <row r="4500" spans="1:21" x14ac:dyDescent="0.3">
      <c r="A4500" s="75">
        <f>IF(OR('Rate Log'!$J$239&lt;&gt;nr_SelKey,'Rate Log'!$E$239&lt;&gt;"planned",'Rate Log'!$C$239=""),0,COUNTIFS('Rate Log'!$J$7:$J$239,nr_SelKey,'Rate Log'!$E$7:$E$239,"planned"))</f>
        <v>0</v>
      </c>
      <c r="B4500" s="72">
        <f>IF($A4500=0,N('Rate Log'!$K$239),IF(ISBLANK(INDEX(att_actpct,$A4500)),N('Rate Log'!$K$239),INDEX(att_actpct,$A4500)))</f>
        <v>0</v>
      </c>
      <c r="C4500" s="73">
        <f>IF('Rate Log'!$C$239="",0,IF(1+$B4500&gt;0,LN(1+$B4500),0))</f>
        <v>0</v>
      </c>
      <c r="D4500" s="74" t="str">
        <f>IF('Rate Log'!$C$239="","",IF($A4500=0,'Rate Log'!$C$239,IF(ISBLANK(INDEX(att_actdate,$A4500)),'Rate Log'!$C$239,INDEX(att_actdate,$A4500))))</f>
        <v/>
      </c>
      <c r="E4500" s="74" t="str">
        <f t="shared" si="1591"/>
        <v/>
      </c>
      <c r="F4500" s="75">
        <f t="shared" si="1592"/>
        <v>0</v>
      </c>
      <c r="G4500" s="75">
        <f>IF($D4500="",0,COUNTIFS(rl_key,'Rate Log'!$J$239,$E$4268:$E$4507,$E4500,$D$4268:$D$4507,"&lt;"&amp;$D4500))</f>
        <v>0</v>
      </c>
      <c r="H4500" s="75">
        <f>IF($D4500="",0,COUNTIFS('Rate Log'!$J$7:$J$239,'Rate Log'!$J$239,$E$4268:$E4500,$E4500,$D$4268:$D4500,$D4500))</f>
        <v>0</v>
      </c>
      <c r="I4500" s="75">
        <f t="shared" si="1593"/>
        <v>0</v>
      </c>
    </row>
    <row r="4501" spans="1:21" x14ac:dyDescent="0.3">
      <c r="A4501" s="75">
        <f>IF(OR('Rate Log'!$J$240&lt;&gt;nr_SelKey,'Rate Log'!$E$240&lt;&gt;"planned",'Rate Log'!$C$240=""),0,COUNTIFS('Rate Log'!$J$7:$J$240,nr_SelKey,'Rate Log'!$E$7:$E$240,"planned"))</f>
        <v>0</v>
      </c>
      <c r="B4501" s="72">
        <f>IF($A4501=0,N('Rate Log'!$K$240),IF(ISBLANK(INDEX(att_actpct,$A4501)),N('Rate Log'!$K$240),INDEX(att_actpct,$A4501)))</f>
        <v>0</v>
      </c>
      <c r="C4501" s="73">
        <f>IF('Rate Log'!$C$240="",0,IF(1+$B4501&gt;0,LN(1+$B4501),0))</f>
        <v>0</v>
      </c>
      <c r="D4501" s="74" t="str">
        <f>IF('Rate Log'!$C$240="","",IF($A4501=0,'Rate Log'!$C$240,IF(ISBLANK(INDEX(att_actdate,$A4501)),'Rate Log'!$C$240,INDEX(att_actdate,$A4501))))</f>
        <v/>
      </c>
      <c r="E4501" s="74" t="str">
        <f t="shared" si="1591"/>
        <v/>
      </c>
      <c r="F4501" s="75">
        <f t="shared" si="1592"/>
        <v>0</v>
      </c>
      <c r="G4501" s="75">
        <f>IF($D4501="",0,COUNTIFS(rl_key,'Rate Log'!$J$240,$E$4268:$E$4507,$E4501,$D$4268:$D$4507,"&lt;"&amp;$D4501))</f>
        <v>0</v>
      </c>
      <c r="H4501" s="75">
        <f>IF($D4501="",0,COUNTIFS('Rate Log'!$J$7:$J$240,'Rate Log'!$J$240,$E$4268:$E4501,$E4501,$D$4268:$D4501,$D4501))</f>
        <v>0</v>
      </c>
      <c r="I4501" s="75">
        <f t="shared" si="1593"/>
        <v>0</v>
      </c>
    </row>
    <row r="4502" spans="1:21" x14ac:dyDescent="0.3">
      <c r="A4502" s="75">
        <f>IF(OR('Rate Log'!$J$241&lt;&gt;nr_SelKey,'Rate Log'!$E$241&lt;&gt;"planned",'Rate Log'!$C$241=""),0,COUNTIFS('Rate Log'!$J$7:$J$241,nr_SelKey,'Rate Log'!$E$7:$E$241,"planned"))</f>
        <v>0</v>
      </c>
      <c r="B4502" s="72">
        <f>IF($A4502=0,N('Rate Log'!$K$241),IF(ISBLANK(INDEX(att_actpct,$A4502)),N('Rate Log'!$K$241),INDEX(att_actpct,$A4502)))</f>
        <v>0</v>
      </c>
      <c r="C4502" s="73">
        <f>IF('Rate Log'!$C$241="",0,IF(1+$B4502&gt;0,LN(1+$B4502),0))</f>
        <v>0</v>
      </c>
      <c r="D4502" s="74" t="str">
        <f>IF('Rate Log'!$C$241="","",IF($A4502=0,'Rate Log'!$C$241,IF(ISBLANK(INDEX(att_actdate,$A4502)),'Rate Log'!$C$241,INDEX(att_actdate,$A4502))))</f>
        <v/>
      </c>
      <c r="E4502" s="74" t="str">
        <f t="shared" si="1591"/>
        <v/>
      </c>
      <c r="F4502" s="75">
        <f t="shared" si="1592"/>
        <v>0</v>
      </c>
      <c r="G4502" s="75">
        <f>IF($D4502="",0,COUNTIFS(rl_key,'Rate Log'!$J$241,$E$4268:$E$4507,$E4502,$D$4268:$D$4507,"&lt;"&amp;$D4502))</f>
        <v>0</v>
      </c>
      <c r="H4502" s="75">
        <f>IF($D4502="",0,COUNTIFS('Rate Log'!$J$7:$J$241,'Rate Log'!$J$241,$E$4268:$E4502,$E4502,$D$4268:$D4502,$D4502))</f>
        <v>0</v>
      </c>
      <c r="I4502" s="75">
        <f t="shared" si="1593"/>
        <v>0</v>
      </c>
    </row>
    <row r="4503" spans="1:21" x14ac:dyDescent="0.3">
      <c r="A4503" s="75">
        <f>IF(OR('Rate Log'!$J$242&lt;&gt;nr_SelKey,'Rate Log'!$E$242&lt;&gt;"planned",'Rate Log'!$C$242=""),0,COUNTIFS('Rate Log'!$J$7:$J$242,nr_SelKey,'Rate Log'!$E$7:$E$242,"planned"))</f>
        <v>0</v>
      </c>
      <c r="B4503" s="72">
        <f>IF($A4503=0,N('Rate Log'!$K$242),IF(ISBLANK(INDEX(att_actpct,$A4503)),N('Rate Log'!$K$242),INDEX(att_actpct,$A4503)))</f>
        <v>0</v>
      </c>
      <c r="C4503" s="73">
        <f>IF('Rate Log'!$C$242="",0,IF(1+$B4503&gt;0,LN(1+$B4503),0))</f>
        <v>0</v>
      </c>
      <c r="D4503" s="74" t="str">
        <f>IF('Rate Log'!$C$242="","",IF($A4503=0,'Rate Log'!$C$242,IF(ISBLANK(INDEX(att_actdate,$A4503)),'Rate Log'!$C$242,INDEX(att_actdate,$A4503))))</f>
        <v/>
      </c>
      <c r="E4503" s="74" t="str">
        <f t="shared" si="1591"/>
        <v/>
      </c>
      <c r="F4503" s="75">
        <f t="shared" si="1592"/>
        <v>0</v>
      </c>
      <c r="G4503" s="75">
        <f>IF($D4503="",0,COUNTIFS(rl_key,'Rate Log'!$J$242,$E$4268:$E$4507,$E4503,$D$4268:$D$4507,"&lt;"&amp;$D4503))</f>
        <v>0</v>
      </c>
      <c r="H4503" s="75">
        <f>IF($D4503="",0,COUNTIFS('Rate Log'!$J$7:$J$242,'Rate Log'!$J$242,$E$4268:$E4503,$E4503,$D$4268:$D4503,$D4503))</f>
        <v>0</v>
      </c>
      <c r="I4503" s="75">
        <f t="shared" si="1593"/>
        <v>0</v>
      </c>
    </row>
    <row r="4504" spans="1:21" x14ac:dyDescent="0.3">
      <c r="A4504" s="75">
        <f>IF(OR('Rate Log'!$J$243&lt;&gt;nr_SelKey,'Rate Log'!$E$243&lt;&gt;"planned",'Rate Log'!$C$243=""),0,COUNTIFS('Rate Log'!$J$7:$J$243,nr_SelKey,'Rate Log'!$E$7:$E$243,"planned"))</f>
        <v>0</v>
      </c>
      <c r="B4504" s="72">
        <f>IF($A4504=0,N('Rate Log'!$K$243),IF(ISBLANK(INDEX(att_actpct,$A4504)),N('Rate Log'!$K$243),INDEX(att_actpct,$A4504)))</f>
        <v>0</v>
      </c>
      <c r="C4504" s="73">
        <f>IF('Rate Log'!$C$243="",0,IF(1+$B4504&gt;0,LN(1+$B4504),0))</f>
        <v>0</v>
      </c>
      <c r="D4504" s="74" t="str">
        <f>IF('Rate Log'!$C$243="","",IF($A4504=0,'Rate Log'!$C$243,IF(ISBLANK(INDEX(att_actdate,$A4504)),'Rate Log'!$C$243,INDEX(att_actdate,$A4504))))</f>
        <v/>
      </c>
      <c r="E4504" s="74" t="str">
        <f t="shared" si="1591"/>
        <v/>
      </c>
      <c r="F4504" s="75">
        <f t="shared" si="1592"/>
        <v>0</v>
      </c>
      <c r="G4504" s="75">
        <f>IF($D4504="",0,COUNTIFS(rl_key,'Rate Log'!$J$243,$E$4268:$E$4507,$E4504,$D$4268:$D$4507,"&lt;"&amp;$D4504))</f>
        <v>0</v>
      </c>
      <c r="H4504" s="75">
        <f>IF($D4504="",0,COUNTIFS('Rate Log'!$J$7:$J$243,'Rate Log'!$J$243,$E$4268:$E4504,$E4504,$D$4268:$D4504,$D4504))</f>
        <v>0</v>
      </c>
      <c r="I4504" s="75">
        <f t="shared" si="1593"/>
        <v>0</v>
      </c>
    </row>
    <row r="4505" spans="1:21" x14ac:dyDescent="0.3">
      <c r="A4505" s="75">
        <f>IF(OR('Rate Log'!$J$244&lt;&gt;nr_SelKey,'Rate Log'!$E$244&lt;&gt;"planned",'Rate Log'!$C$244=""),0,COUNTIFS('Rate Log'!$J$7:$J$244,nr_SelKey,'Rate Log'!$E$7:$E$244,"planned"))</f>
        <v>0</v>
      </c>
      <c r="B4505" s="72">
        <f>IF($A4505=0,N('Rate Log'!$K$244),IF(ISBLANK(INDEX(att_actpct,$A4505)),N('Rate Log'!$K$244),INDEX(att_actpct,$A4505)))</f>
        <v>0</v>
      </c>
      <c r="C4505" s="73">
        <f>IF('Rate Log'!$C$244="",0,IF(1+$B4505&gt;0,LN(1+$B4505),0))</f>
        <v>0</v>
      </c>
      <c r="D4505" s="74" t="str">
        <f>IF('Rate Log'!$C$244="","",IF($A4505=0,'Rate Log'!$C$244,IF(ISBLANK(INDEX(att_actdate,$A4505)),'Rate Log'!$C$244,INDEX(att_actdate,$A4505))))</f>
        <v/>
      </c>
      <c r="E4505" s="74" t="str">
        <f t="shared" si="1591"/>
        <v/>
      </c>
      <c r="F4505" s="75">
        <f t="shared" si="1592"/>
        <v>0</v>
      </c>
      <c r="G4505" s="75">
        <f>IF($D4505="",0,COUNTIFS(rl_key,'Rate Log'!$J$244,$E$4268:$E$4507,$E4505,$D$4268:$D$4507,"&lt;"&amp;$D4505))</f>
        <v>0</v>
      </c>
      <c r="H4505" s="75">
        <f>IF($D4505="",0,COUNTIFS('Rate Log'!$J$7:$J$244,'Rate Log'!$J$244,$E$4268:$E4505,$E4505,$D$4268:$D4505,$D4505))</f>
        <v>0</v>
      </c>
      <c r="I4505" s="75">
        <f t="shared" si="1593"/>
        <v>0</v>
      </c>
    </row>
    <row r="4506" spans="1:21" x14ac:dyDescent="0.3">
      <c r="A4506" s="75">
        <f>IF(OR('Rate Log'!$J$245&lt;&gt;nr_SelKey,'Rate Log'!$E$245&lt;&gt;"planned",'Rate Log'!$C$245=""),0,COUNTIFS('Rate Log'!$J$7:$J$245,nr_SelKey,'Rate Log'!$E$7:$E$245,"planned"))</f>
        <v>0</v>
      </c>
      <c r="B4506" s="72">
        <f>IF($A4506=0,N('Rate Log'!$K$245),IF(ISBLANK(INDEX(att_actpct,$A4506)),N('Rate Log'!$K$245),INDEX(att_actpct,$A4506)))</f>
        <v>0</v>
      </c>
      <c r="C4506" s="73">
        <f>IF('Rate Log'!$C$245="",0,IF(1+$B4506&gt;0,LN(1+$B4506),0))</f>
        <v>0</v>
      </c>
      <c r="D4506" s="74" t="str">
        <f>IF('Rate Log'!$C$245="","",IF($A4506=0,'Rate Log'!$C$245,IF(ISBLANK(INDEX(att_actdate,$A4506)),'Rate Log'!$C$245,INDEX(att_actdate,$A4506))))</f>
        <v/>
      </c>
      <c r="E4506" s="74" t="str">
        <f t="shared" si="1591"/>
        <v/>
      </c>
      <c r="F4506" s="75">
        <f t="shared" si="1592"/>
        <v>0</v>
      </c>
      <c r="G4506" s="75">
        <f>IF($D4506="",0,COUNTIFS(rl_key,'Rate Log'!$J$245,$E$4268:$E$4507,$E4506,$D$4268:$D$4507,"&lt;"&amp;$D4506))</f>
        <v>0</v>
      </c>
      <c r="H4506" s="75">
        <f>IF($D4506="",0,COUNTIFS('Rate Log'!$J$7:$J$245,'Rate Log'!$J$245,$E$4268:$E4506,$E4506,$D$4268:$D4506,$D4506))</f>
        <v>0</v>
      </c>
      <c r="I4506" s="75">
        <f t="shared" si="1593"/>
        <v>0</v>
      </c>
    </row>
    <row r="4507" spans="1:21" x14ac:dyDescent="0.3">
      <c r="A4507" s="75">
        <f>IF(OR('Rate Log'!$J$246&lt;&gt;nr_SelKey,'Rate Log'!$E$246&lt;&gt;"planned",'Rate Log'!$C$246=""),0,COUNTIFS('Rate Log'!$J$7:$J$246,nr_SelKey,'Rate Log'!$E$7:$E$246,"planned"))</f>
        <v>0</v>
      </c>
      <c r="B4507" s="72">
        <f>IF($A4507=0,N('Rate Log'!$K$246),IF(ISBLANK(INDEX(att_actpct,$A4507)),N('Rate Log'!$K$246),INDEX(att_actpct,$A4507)))</f>
        <v>0</v>
      </c>
      <c r="C4507" s="73">
        <f>IF('Rate Log'!$C$246="",0,IF(1+$B4507&gt;0,LN(1+$B4507),0))</f>
        <v>0</v>
      </c>
      <c r="D4507" s="74" t="str">
        <f>IF('Rate Log'!$C$246="","",IF($A4507=0,'Rate Log'!$C$246,IF(ISBLANK(INDEX(att_actdate,$A4507)),'Rate Log'!$C$246,INDEX(att_actdate,$A4507))))</f>
        <v/>
      </c>
      <c r="E4507" s="74" t="str">
        <f t="shared" si="1591"/>
        <v/>
      </c>
      <c r="F4507" s="75">
        <f t="shared" si="1592"/>
        <v>0</v>
      </c>
      <c r="G4507" s="75">
        <f>IF($D4507="",0,COUNTIFS(rl_key,'Rate Log'!$J$246,$E$4268:$E$4507,$E4507,$D$4268:$D$4507,"&lt;"&amp;$D4507))</f>
        <v>0</v>
      </c>
      <c r="H4507" s="75">
        <f>IF($D4507="",0,COUNTIFS('Rate Log'!$J$7:$J$246,'Rate Log'!$J$246,$E$4268:$E4507,$E4507,$D$4268:$D4507,$D4507))</f>
        <v>0</v>
      </c>
      <c r="I4507" s="75">
        <f t="shared" si="1593"/>
        <v>0</v>
      </c>
    </row>
    <row r="4510" spans="1:21" x14ac:dyDescent="0.3">
      <c r="A4510" s="270" t="s">
        <v>1707</v>
      </c>
    </row>
    <row r="4512" spans="1:21" ht="36" x14ac:dyDescent="0.3">
      <c r="A4512" s="58" t="s">
        <v>390</v>
      </c>
      <c r="B4512" s="58" t="s">
        <v>449</v>
      </c>
      <c r="C4512" s="58" t="s">
        <v>685</v>
      </c>
      <c r="D4512" s="58" t="s">
        <v>686</v>
      </c>
      <c r="E4512" s="58" t="s">
        <v>687</v>
      </c>
      <c r="F4512" s="58" t="s">
        <v>688</v>
      </c>
      <c r="G4512" s="58" t="s">
        <v>689</v>
      </c>
      <c r="H4512" s="58" t="s">
        <v>452</v>
      </c>
      <c r="I4512" s="58" t="s">
        <v>690</v>
      </c>
      <c r="J4512" s="58" t="s">
        <v>691</v>
      </c>
      <c r="K4512" s="58" t="s">
        <v>692</v>
      </c>
      <c r="L4512" s="58" t="s">
        <v>693</v>
      </c>
      <c r="M4512" s="58" t="s">
        <v>694</v>
      </c>
      <c r="N4512" s="58" t="s">
        <v>695</v>
      </c>
      <c r="O4512" s="58" t="s">
        <v>696</v>
      </c>
      <c r="P4512" s="58" t="s">
        <v>697</v>
      </c>
      <c r="Q4512" s="58" t="s">
        <v>698</v>
      </c>
      <c r="R4512" s="58" t="s">
        <v>699</v>
      </c>
      <c r="S4512" s="58" t="s">
        <v>700</v>
      </c>
      <c r="T4512" s="58" t="s">
        <v>701</v>
      </c>
      <c r="U4512" s="58" t="s">
        <v>702</v>
      </c>
    </row>
    <row r="4513" spans="1:18" x14ac:dyDescent="0.3">
      <c r="A4513" s="187">
        <v>1</v>
      </c>
      <c r="B4513" s="242">
        <f>DATE(nr_PlanYear-2,1,1)</f>
        <v>45658</v>
      </c>
      <c r="C4513" s="243">
        <f t="shared" ref="C4513:C4560" si="1594">EOMONTH($B4513,0)</f>
        <v>45688</v>
      </c>
      <c r="D4513" s="120">
        <f t="shared" ref="D4513:D4560" si="1595">$C4513-$B4513+1</f>
        <v>31</v>
      </c>
      <c r="E4513" s="120">
        <f t="shared" ref="E4513:E4560" si="1596">MONTH($B4513)</f>
        <v>1</v>
      </c>
      <c r="F4513" s="275">
        <f t="shared" ref="F4513:F4560" si="1597">($B4513+$C4513+1)/2</f>
        <v>45673.5</v>
      </c>
      <c r="G4513" s="120">
        <f t="shared" ref="G4513:G4560" si="1598">YEAR($B4513)*12+MONTH($B4513)-1</f>
        <v>24300</v>
      </c>
      <c r="H4513" s="245">
        <f t="shared" ref="H4513:H4560" si="1599">IF(OR(nr_SeasonOn="OFF",re_srow=0,re_ssum=0),1,12*INDEX(se_block,re_srow,$E4513)/re_ssum)</f>
        <v>1</v>
      </c>
      <c r="I4513" s="121">
        <f t="shared" ref="I4513:I4560" si="1600">EXP(SUMPRODUCT((rl_eff&lt;$B4513)*(rl_key=nr_SelKey)*$C$4268:$C$4507))</f>
        <v>1</v>
      </c>
      <c r="J4513" s="121">
        <f t="shared" ref="J4513:J4560" si="1601">EXP(SUMPRODUCT((rl_eff&lt;=$C4513)*(rl_key=nr_SelKey)*$C$4268:$C$4507))</f>
        <v>1</v>
      </c>
      <c r="K4513" s="120">
        <f t="shared" ref="K4513:K4560" si="1602">COUNTIFS(rl_key,nr_SelKey,rl_eff,"&gt;="&amp;$B4513,rl_eff,"&lt;="&amp;$C4513)</f>
        <v>0</v>
      </c>
      <c r="L4513" s="120">
        <f t="shared" ref="L4513:L4560" si="1603">SUMIFS(rl_daysafter,rl_key,nr_SelKey,rl_effmonth,$B4513,rl_first,1)</f>
        <v>0</v>
      </c>
      <c r="M4513" s="246">
        <f t="shared" ref="M4513:M4560" si="1604">IF($K4513=0,0,MIN(1,$L4513/$D4513))</f>
        <v>0</v>
      </c>
      <c r="N4513" s="121">
        <f t="shared" ref="N4513:N4560" si="1605">IF($K4513=0,$J4513,(1-$M4513)*$I4513+$M4513*$J4513)</f>
        <v>1</v>
      </c>
      <c r="P4513" s="121">
        <f t="shared" ref="P4513:P4560" si="1606">MIN(1,MAX(0,(nr_MEndPm1-$G4513+0.5)/nr_TermMonths))-MIN(1,MAX(0,(nr_MStartPm1-1-$G4513+0.5)/nr_TermMonths))</f>
        <v>0</v>
      </c>
      <c r="Q4513" s="121">
        <f t="shared" ref="Q4513:Q4560" si="1607">MIN(1,MAX(0,(nr_MEndP-$G4513+0.5)/nr_TermMonths))-MIN(1,MAX(0,(nr_MStartP-1-$G4513+0.5)/nr_TermMonths))</f>
        <v>0</v>
      </c>
      <c r="R4513" s="121">
        <f t="shared" ref="R4513:R4560" si="1608">MIN(1,MAX(0,(nr_MEndP1-$G4513+0.5)/nr_TermMonths))-MIN(1,MAX(0,(nr_MStartP1-1-$G4513+0.5)/nr_TermMonths))</f>
        <v>0</v>
      </c>
    </row>
    <row r="4514" spans="1:18" x14ac:dyDescent="0.3">
      <c r="A4514" s="187">
        <v>2</v>
      </c>
      <c r="B4514" s="242">
        <f t="shared" ref="B4514:B4560" si="1609">EDATE($B4513,1)</f>
        <v>45689</v>
      </c>
      <c r="C4514" s="243">
        <f t="shared" si="1594"/>
        <v>45716</v>
      </c>
      <c r="D4514" s="120">
        <f t="shared" si="1595"/>
        <v>28</v>
      </c>
      <c r="E4514" s="120">
        <f t="shared" si="1596"/>
        <v>2</v>
      </c>
      <c r="F4514" s="275">
        <f t="shared" si="1597"/>
        <v>45703</v>
      </c>
      <c r="G4514" s="120">
        <f t="shared" si="1598"/>
        <v>24301</v>
      </c>
      <c r="H4514" s="245">
        <f t="shared" si="1599"/>
        <v>1</v>
      </c>
      <c r="I4514" s="121">
        <f t="shared" si="1600"/>
        <v>1</v>
      </c>
      <c r="J4514" s="121">
        <f t="shared" si="1601"/>
        <v>1</v>
      </c>
      <c r="K4514" s="120">
        <f t="shared" si="1602"/>
        <v>0</v>
      </c>
      <c r="L4514" s="120">
        <f t="shared" si="1603"/>
        <v>0</v>
      </c>
      <c r="M4514" s="246">
        <f t="shared" si="1604"/>
        <v>0</v>
      </c>
      <c r="N4514" s="121">
        <f t="shared" si="1605"/>
        <v>1</v>
      </c>
      <c r="P4514" s="121">
        <f t="shared" si="1606"/>
        <v>0</v>
      </c>
      <c r="Q4514" s="121">
        <f t="shared" si="1607"/>
        <v>0</v>
      </c>
      <c r="R4514" s="121">
        <f t="shared" si="1608"/>
        <v>0</v>
      </c>
    </row>
    <row r="4515" spans="1:18" x14ac:dyDescent="0.3">
      <c r="A4515" s="187">
        <v>3</v>
      </c>
      <c r="B4515" s="242">
        <f t="shared" si="1609"/>
        <v>45717</v>
      </c>
      <c r="C4515" s="243">
        <f t="shared" si="1594"/>
        <v>45747</v>
      </c>
      <c r="D4515" s="120">
        <f t="shared" si="1595"/>
        <v>31</v>
      </c>
      <c r="E4515" s="120">
        <f t="shared" si="1596"/>
        <v>3</v>
      </c>
      <c r="F4515" s="275">
        <f t="shared" si="1597"/>
        <v>45732.5</v>
      </c>
      <c r="G4515" s="120">
        <f t="shared" si="1598"/>
        <v>24302</v>
      </c>
      <c r="H4515" s="245">
        <f t="shared" si="1599"/>
        <v>1</v>
      </c>
      <c r="I4515" s="121">
        <f t="shared" si="1600"/>
        <v>1</v>
      </c>
      <c r="J4515" s="121">
        <f t="shared" si="1601"/>
        <v>1</v>
      </c>
      <c r="K4515" s="120">
        <f t="shared" si="1602"/>
        <v>0</v>
      </c>
      <c r="L4515" s="120">
        <f t="shared" si="1603"/>
        <v>0</v>
      </c>
      <c r="M4515" s="246">
        <f t="shared" si="1604"/>
        <v>0</v>
      </c>
      <c r="N4515" s="121">
        <f t="shared" si="1605"/>
        <v>1</v>
      </c>
      <c r="P4515" s="121">
        <f t="shared" si="1606"/>
        <v>0</v>
      </c>
      <c r="Q4515" s="121">
        <f t="shared" si="1607"/>
        <v>0</v>
      </c>
      <c r="R4515" s="121">
        <f t="shared" si="1608"/>
        <v>0</v>
      </c>
    </row>
    <row r="4516" spans="1:18" x14ac:dyDescent="0.3">
      <c r="A4516" s="187">
        <v>4</v>
      </c>
      <c r="B4516" s="242">
        <f t="shared" si="1609"/>
        <v>45748</v>
      </c>
      <c r="C4516" s="243">
        <f t="shared" si="1594"/>
        <v>45777</v>
      </c>
      <c r="D4516" s="120">
        <f t="shared" si="1595"/>
        <v>30</v>
      </c>
      <c r="E4516" s="120">
        <f t="shared" si="1596"/>
        <v>4</v>
      </c>
      <c r="F4516" s="275">
        <f t="shared" si="1597"/>
        <v>45763</v>
      </c>
      <c r="G4516" s="120">
        <f t="shared" si="1598"/>
        <v>24303</v>
      </c>
      <c r="H4516" s="245">
        <f t="shared" si="1599"/>
        <v>1</v>
      </c>
      <c r="I4516" s="121">
        <f t="shared" si="1600"/>
        <v>1</v>
      </c>
      <c r="J4516" s="121">
        <f t="shared" si="1601"/>
        <v>1</v>
      </c>
      <c r="K4516" s="120">
        <f t="shared" si="1602"/>
        <v>0</v>
      </c>
      <c r="L4516" s="120">
        <f t="shared" si="1603"/>
        <v>0</v>
      </c>
      <c r="M4516" s="246">
        <f t="shared" si="1604"/>
        <v>0</v>
      </c>
      <c r="N4516" s="121">
        <f t="shared" si="1605"/>
        <v>1</v>
      </c>
      <c r="P4516" s="121">
        <f t="shared" si="1606"/>
        <v>0</v>
      </c>
      <c r="Q4516" s="121">
        <f t="shared" si="1607"/>
        <v>0</v>
      </c>
      <c r="R4516" s="121">
        <f t="shared" si="1608"/>
        <v>0</v>
      </c>
    </row>
    <row r="4517" spans="1:18" x14ac:dyDescent="0.3">
      <c r="A4517" s="187">
        <v>5</v>
      </c>
      <c r="B4517" s="242">
        <f t="shared" si="1609"/>
        <v>45778</v>
      </c>
      <c r="C4517" s="243">
        <f t="shared" si="1594"/>
        <v>45808</v>
      </c>
      <c r="D4517" s="120">
        <f t="shared" si="1595"/>
        <v>31</v>
      </c>
      <c r="E4517" s="120">
        <f t="shared" si="1596"/>
        <v>5</v>
      </c>
      <c r="F4517" s="275">
        <f t="shared" si="1597"/>
        <v>45793.5</v>
      </c>
      <c r="G4517" s="120">
        <f t="shared" si="1598"/>
        <v>24304</v>
      </c>
      <c r="H4517" s="245">
        <f t="shared" si="1599"/>
        <v>1</v>
      </c>
      <c r="I4517" s="121">
        <f t="shared" si="1600"/>
        <v>1</v>
      </c>
      <c r="J4517" s="121">
        <f t="shared" si="1601"/>
        <v>1</v>
      </c>
      <c r="K4517" s="120">
        <f t="shared" si="1602"/>
        <v>0</v>
      </c>
      <c r="L4517" s="120">
        <f t="shared" si="1603"/>
        <v>0</v>
      </c>
      <c r="M4517" s="246">
        <f t="shared" si="1604"/>
        <v>0</v>
      </c>
      <c r="N4517" s="121">
        <f t="shared" si="1605"/>
        <v>1</v>
      </c>
      <c r="P4517" s="121">
        <f t="shared" si="1606"/>
        <v>0</v>
      </c>
      <c r="Q4517" s="121">
        <f t="shared" si="1607"/>
        <v>0</v>
      </c>
      <c r="R4517" s="121">
        <f t="shared" si="1608"/>
        <v>0</v>
      </c>
    </row>
    <row r="4518" spans="1:18" x14ac:dyDescent="0.3">
      <c r="A4518" s="187">
        <v>6</v>
      </c>
      <c r="B4518" s="242">
        <f t="shared" si="1609"/>
        <v>45809</v>
      </c>
      <c r="C4518" s="243">
        <f t="shared" si="1594"/>
        <v>45838</v>
      </c>
      <c r="D4518" s="120">
        <f t="shared" si="1595"/>
        <v>30</v>
      </c>
      <c r="E4518" s="120">
        <f t="shared" si="1596"/>
        <v>6</v>
      </c>
      <c r="F4518" s="275">
        <f t="shared" si="1597"/>
        <v>45824</v>
      </c>
      <c r="G4518" s="120">
        <f t="shared" si="1598"/>
        <v>24305</v>
      </c>
      <c r="H4518" s="245">
        <f t="shared" si="1599"/>
        <v>1</v>
      </c>
      <c r="I4518" s="121">
        <f t="shared" si="1600"/>
        <v>1</v>
      </c>
      <c r="J4518" s="121">
        <f t="shared" si="1601"/>
        <v>1</v>
      </c>
      <c r="K4518" s="120">
        <f t="shared" si="1602"/>
        <v>0</v>
      </c>
      <c r="L4518" s="120">
        <f t="shared" si="1603"/>
        <v>0</v>
      </c>
      <c r="M4518" s="246">
        <f t="shared" si="1604"/>
        <v>0</v>
      </c>
      <c r="N4518" s="121">
        <f t="shared" si="1605"/>
        <v>1</v>
      </c>
      <c r="P4518" s="121">
        <f t="shared" si="1606"/>
        <v>0</v>
      </c>
      <c r="Q4518" s="121">
        <f t="shared" si="1607"/>
        <v>0</v>
      </c>
      <c r="R4518" s="121">
        <f t="shared" si="1608"/>
        <v>0</v>
      </c>
    </row>
    <row r="4519" spans="1:18" x14ac:dyDescent="0.3">
      <c r="A4519" s="187">
        <v>7</v>
      </c>
      <c r="B4519" s="242">
        <f t="shared" si="1609"/>
        <v>45839</v>
      </c>
      <c r="C4519" s="243">
        <f t="shared" si="1594"/>
        <v>45869</v>
      </c>
      <c r="D4519" s="120">
        <f t="shared" si="1595"/>
        <v>31</v>
      </c>
      <c r="E4519" s="120">
        <f t="shared" si="1596"/>
        <v>7</v>
      </c>
      <c r="F4519" s="275">
        <f t="shared" si="1597"/>
        <v>45854.5</v>
      </c>
      <c r="G4519" s="120">
        <f t="shared" si="1598"/>
        <v>24306</v>
      </c>
      <c r="H4519" s="245">
        <f t="shared" si="1599"/>
        <v>1</v>
      </c>
      <c r="I4519" s="121">
        <f t="shared" si="1600"/>
        <v>1</v>
      </c>
      <c r="J4519" s="121">
        <f t="shared" si="1601"/>
        <v>1.04</v>
      </c>
      <c r="K4519" s="120">
        <f t="shared" si="1602"/>
        <v>1</v>
      </c>
      <c r="L4519" s="120">
        <f t="shared" si="1603"/>
        <v>31</v>
      </c>
      <c r="M4519" s="246">
        <f t="shared" si="1604"/>
        <v>1</v>
      </c>
      <c r="N4519" s="121">
        <f t="shared" si="1605"/>
        <v>1.04</v>
      </c>
      <c r="P4519" s="121">
        <f t="shared" si="1606"/>
        <v>8.333333333333337E-2</v>
      </c>
      <c r="Q4519" s="121">
        <f t="shared" si="1607"/>
        <v>0</v>
      </c>
      <c r="R4519" s="121">
        <f t="shared" si="1608"/>
        <v>0</v>
      </c>
    </row>
    <row r="4520" spans="1:18" x14ac:dyDescent="0.3">
      <c r="A4520" s="187">
        <v>8</v>
      </c>
      <c r="B4520" s="242">
        <f t="shared" si="1609"/>
        <v>45870</v>
      </c>
      <c r="C4520" s="243">
        <f t="shared" si="1594"/>
        <v>45900</v>
      </c>
      <c r="D4520" s="120">
        <f t="shared" si="1595"/>
        <v>31</v>
      </c>
      <c r="E4520" s="120">
        <f t="shared" si="1596"/>
        <v>8</v>
      </c>
      <c r="F4520" s="275">
        <f t="shared" si="1597"/>
        <v>45885.5</v>
      </c>
      <c r="G4520" s="120">
        <f t="shared" si="1598"/>
        <v>24307</v>
      </c>
      <c r="H4520" s="245">
        <f t="shared" si="1599"/>
        <v>1</v>
      </c>
      <c r="I4520" s="121">
        <f t="shared" si="1600"/>
        <v>1.04</v>
      </c>
      <c r="J4520" s="121">
        <f t="shared" si="1601"/>
        <v>1.04</v>
      </c>
      <c r="K4520" s="120">
        <f t="shared" si="1602"/>
        <v>0</v>
      </c>
      <c r="L4520" s="120">
        <f t="shared" si="1603"/>
        <v>0</v>
      </c>
      <c r="M4520" s="246">
        <f t="shared" si="1604"/>
        <v>0</v>
      </c>
      <c r="N4520" s="121">
        <f t="shared" si="1605"/>
        <v>1.04</v>
      </c>
      <c r="P4520" s="121">
        <f t="shared" si="1606"/>
        <v>0.25</v>
      </c>
      <c r="Q4520" s="121">
        <f t="shared" si="1607"/>
        <v>0</v>
      </c>
      <c r="R4520" s="121">
        <f t="shared" si="1608"/>
        <v>0</v>
      </c>
    </row>
    <row r="4521" spans="1:18" x14ac:dyDescent="0.3">
      <c r="A4521" s="187">
        <v>9</v>
      </c>
      <c r="B4521" s="242">
        <f t="shared" si="1609"/>
        <v>45901</v>
      </c>
      <c r="C4521" s="243">
        <f t="shared" si="1594"/>
        <v>45930</v>
      </c>
      <c r="D4521" s="120">
        <f t="shared" si="1595"/>
        <v>30</v>
      </c>
      <c r="E4521" s="120">
        <f t="shared" si="1596"/>
        <v>9</v>
      </c>
      <c r="F4521" s="275">
        <f t="shared" si="1597"/>
        <v>45916</v>
      </c>
      <c r="G4521" s="120">
        <f t="shared" si="1598"/>
        <v>24308</v>
      </c>
      <c r="H4521" s="245">
        <f t="shared" si="1599"/>
        <v>1</v>
      </c>
      <c r="I4521" s="121">
        <f t="shared" si="1600"/>
        <v>1.04</v>
      </c>
      <c r="J4521" s="121">
        <f t="shared" si="1601"/>
        <v>1.04</v>
      </c>
      <c r="K4521" s="120">
        <f t="shared" si="1602"/>
        <v>0</v>
      </c>
      <c r="L4521" s="120">
        <f t="shared" si="1603"/>
        <v>0</v>
      </c>
      <c r="M4521" s="246">
        <f t="shared" si="1604"/>
        <v>0</v>
      </c>
      <c r="N4521" s="121">
        <f t="shared" si="1605"/>
        <v>1.04</v>
      </c>
      <c r="P4521" s="121">
        <f t="shared" si="1606"/>
        <v>0.41666666666666663</v>
      </c>
      <c r="Q4521" s="121">
        <f t="shared" si="1607"/>
        <v>0</v>
      </c>
      <c r="R4521" s="121">
        <f t="shared" si="1608"/>
        <v>0</v>
      </c>
    </row>
    <row r="4522" spans="1:18" x14ac:dyDescent="0.3">
      <c r="A4522" s="187">
        <v>10</v>
      </c>
      <c r="B4522" s="242">
        <f t="shared" si="1609"/>
        <v>45931</v>
      </c>
      <c r="C4522" s="243">
        <f t="shared" si="1594"/>
        <v>45961</v>
      </c>
      <c r="D4522" s="120">
        <f t="shared" si="1595"/>
        <v>31</v>
      </c>
      <c r="E4522" s="120">
        <f t="shared" si="1596"/>
        <v>10</v>
      </c>
      <c r="F4522" s="275">
        <f t="shared" si="1597"/>
        <v>45946.5</v>
      </c>
      <c r="G4522" s="120">
        <f t="shared" si="1598"/>
        <v>24309</v>
      </c>
      <c r="H4522" s="245">
        <f t="shared" si="1599"/>
        <v>1</v>
      </c>
      <c r="I4522" s="121">
        <f t="shared" si="1600"/>
        <v>1.04</v>
      </c>
      <c r="J4522" s="121">
        <f t="shared" si="1601"/>
        <v>1.04</v>
      </c>
      <c r="K4522" s="120">
        <f t="shared" si="1602"/>
        <v>0</v>
      </c>
      <c r="L4522" s="120">
        <f t="shared" si="1603"/>
        <v>0</v>
      </c>
      <c r="M4522" s="246">
        <f t="shared" si="1604"/>
        <v>0</v>
      </c>
      <c r="N4522" s="121">
        <f t="shared" si="1605"/>
        <v>1.04</v>
      </c>
      <c r="P4522" s="121">
        <f t="shared" si="1606"/>
        <v>0.58333333333333326</v>
      </c>
      <c r="Q4522" s="121">
        <f t="shared" si="1607"/>
        <v>0</v>
      </c>
      <c r="R4522" s="121">
        <f t="shared" si="1608"/>
        <v>0</v>
      </c>
    </row>
    <row r="4523" spans="1:18" x14ac:dyDescent="0.3">
      <c r="A4523" s="187">
        <v>11</v>
      </c>
      <c r="B4523" s="242">
        <f t="shared" si="1609"/>
        <v>45962</v>
      </c>
      <c r="C4523" s="243">
        <f t="shared" si="1594"/>
        <v>45991</v>
      </c>
      <c r="D4523" s="120">
        <f t="shared" si="1595"/>
        <v>30</v>
      </c>
      <c r="E4523" s="120">
        <f t="shared" si="1596"/>
        <v>11</v>
      </c>
      <c r="F4523" s="275">
        <f t="shared" si="1597"/>
        <v>45977</v>
      </c>
      <c r="G4523" s="120">
        <f t="shared" si="1598"/>
        <v>24310</v>
      </c>
      <c r="H4523" s="245">
        <f t="shared" si="1599"/>
        <v>1</v>
      </c>
      <c r="I4523" s="121">
        <f t="shared" si="1600"/>
        <v>1.04</v>
      </c>
      <c r="J4523" s="121">
        <f t="shared" si="1601"/>
        <v>1.04</v>
      </c>
      <c r="K4523" s="120">
        <f t="shared" si="1602"/>
        <v>0</v>
      </c>
      <c r="L4523" s="120">
        <f t="shared" si="1603"/>
        <v>0</v>
      </c>
      <c r="M4523" s="246">
        <f t="shared" si="1604"/>
        <v>0</v>
      </c>
      <c r="N4523" s="121">
        <f t="shared" si="1605"/>
        <v>1.04</v>
      </c>
      <c r="P4523" s="121">
        <f t="shared" si="1606"/>
        <v>0.75</v>
      </c>
      <c r="Q4523" s="121">
        <f t="shared" si="1607"/>
        <v>0</v>
      </c>
      <c r="R4523" s="121">
        <f t="shared" si="1608"/>
        <v>0</v>
      </c>
    </row>
    <row r="4524" spans="1:18" x14ac:dyDescent="0.3">
      <c r="A4524" s="187">
        <v>12</v>
      </c>
      <c r="B4524" s="242">
        <f t="shared" si="1609"/>
        <v>45992</v>
      </c>
      <c r="C4524" s="243">
        <f t="shared" si="1594"/>
        <v>46022</v>
      </c>
      <c r="D4524" s="120">
        <f t="shared" si="1595"/>
        <v>31</v>
      </c>
      <c r="E4524" s="120">
        <f t="shared" si="1596"/>
        <v>12</v>
      </c>
      <c r="F4524" s="275">
        <f t="shared" si="1597"/>
        <v>46007.5</v>
      </c>
      <c r="G4524" s="120">
        <f t="shared" si="1598"/>
        <v>24311</v>
      </c>
      <c r="H4524" s="245">
        <f t="shared" si="1599"/>
        <v>1</v>
      </c>
      <c r="I4524" s="121">
        <f t="shared" si="1600"/>
        <v>1.04</v>
      </c>
      <c r="J4524" s="121">
        <f t="shared" si="1601"/>
        <v>1.04</v>
      </c>
      <c r="K4524" s="120">
        <f t="shared" si="1602"/>
        <v>0</v>
      </c>
      <c r="L4524" s="120">
        <f t="shared" si="1603"/>
        <v>0</v>
      </c>
      <c r="M4524" s="246">
        <f t="shared" si="1604"/>
        <v>0</v>
      </c>
      <c r="N4524" s="121">
        <f t="shared" si="1605"/>
        <v>1.04</v>
      </c>
      <c r="P4524" s="121">
        <f t="shared" si="1606"/>
        <v>0.91666666666666663</v>
      </c>
      <c r="Q4524" s="121">
        <f t="shared" si="1607"/>
        <v>0</v>
      </c>
      <c r="R4524" s="121">
        <f t="shared" si="1608"/>
        <v>0</v>
      </c>
    </row>
    <row r="4525" spans="1:18" x14ac:dyDescent="0.3">
      <c r="A4525" s="187">
        <v>13</v>
      </c>
      <c r="B4525" s="242">
        <f t="shared" si="1609"/>
        <v>46023</v>
      </c>
      <c r="C4525" s="243">
        <f t="shared" si="1594"/>
        <v>46053</v>
      </c>
      <c r="D4525" s="120">
        <f t="shared" si="1595"/>
        <v>31</v>
      </c>
      <c r="E4525" s="120">
        <f t="shared" si="1596"/>
        <v>1</v>
      </c>
      <c r="F4525" s="275">
        <f t="shared" si="1597"/>
        <v>46038.5</v>
      </c>
      <c r="G4525" s="120">
        <f t="shared" si="1598"/>
        <v>24312</v>
      </c>
      <c r="H4525" s="245">
        <f t="shared" si="1599"/>
        <v>1</v>
      </c>
      <c r="I4525" s="121">
        <f t="shared" si="1600"/>
        <v>1.04</v>
      </c>
      <c r="J4525" s="121">
        <f t="shared" si="1601"/>
        <v>1.04</v>
      </c>
      <c r="K4525" s="120">
        <f t="shared" si="1602"/>
        <v>0</v>
      </c>
      <c r="L4525" s="120">
        <f t="shared" si="1603"/>
        <v>0</v>
      </c>
      <c r="M4525" s="246">
        <f t="shared" si="1604"/>
        <v>0</v>
      </c>
      <c r="N4525" s="121">
        <f t="shared" si="1605"/>
        <v>1.04</v>
      </c>
      <c r="P4525" s="121">
        <f t="shared" si="1606"/>
        <v>1</v>
      </c>
      <c r="Q4525" s="121">
        <f t="shared" si="1607"/>
        <v>0</v>
      </c>
      <c r="R4525" s="121">
        <f t="shared" si="1608"/>
        <v>0</v>
      </c>
    </row>
    <row r="4526" spans="1:18" x14ac:dyDescent="0.3">
      <c r="A4526" s="187">
        <v>14</v>
      </c>
      <c r="B4526" s="242">
        <f t="shared" si="1609"/>
        <v>46054</v>
      </c>
      <c r="C4526" s="243">
        <f t="shared" si="1594"/>
        <v>46081</v>
      </c>
      <c r="D4526" s="120">
        <f t="shared" si="1595"/>
        <v>28</v>
      </c>
      <c r="E4526" s="120">
        <f t="shared" si="1596"/>
        <v>2</v>
      </c>
      <c r="F4526" s="275">
        <f t="shared" si="1597"/>
        <v>46068</v>
      </c>
      <c r="G4526" s="120">
        <f t="shared" si="1598"/>
        <v>24313</v>
      </c>
      <c r="H4526" s="245">
        <f t="shared" si="1599"/>
        <v>1</v>
      </c>
      <c r="I4526" s="121">
        <f t="shared" si="1600"/>
        <v>1.04</v>
      </c>
      <c r="J4526" s="121">
        <f t="shared" si="1601"/>
        <v>1.04</v>
      </c>
      <c r="K4526" s="120">
        <f t="shared" si="1602"/>
        <v>0</v>
      </c>
      <c r="L4526" s="120">
        <f t="shared" si="1603"/>
        <v>0</v>
      </c>
      <c r="M4526" s="246">
        <f t="shared" si="1604"/>
        <v>0</v>
      </c>
      <c r="N4526" s="121">
        <f t="shared" si="1605"/>
        <v>1.04</v>
      </c>
      <c r="P4526" s="121">
        <f t="shared" si="1606"/>
        <v>1</v>
      </c>
      <c r="Q4526" s="121">
        <f t="shared" si="1607"/>
        <v>0</v>
      </c>
      <c r="R4526" s="121">
        <f t="shared" si="1608"/>
        <v>0</v>
      </c>
    </row>
    <row r="4527" spans="1:18" x14ac:dyDescent="0.3">
      <c r="A4527" s="187">
        <v>15</v>
      </c>
      <c r="B4527" s="242">
        <f t="shared" si="1609"/>
        <v>46082</v>
      </c>
      <c r="C4527" s="243">
        <f t="shared" si="1594"/>
        <v>46112</v>
      </c>
      <c r="D4527" s="120">
        <f t="shared" si="1595"/>
        <v>31</v>
      </c>
      <c r="E4527" s="120">
        <f t="shared" si="1596"/>
        <v>3</v>
      </c>
      <c r="F4527" s="275">
        <f t="shared" si="1597"/>
        <v>46097.5</v>
      </c>
      <c r="G4527" s="120">
        <f t="shared" si="1598"/>
        <v>24314</v>
      </c>
      <c r="H4527" s="245">
        <f t="shared" si="1599"/>
        <v>1</v>
      </c>
      <c r="I4527" s="121">
        <f t="shared" si="1600"/>
        <v>1.04</v>
      </c>
      <c r="J4527" s="121">
        <f t="shared" si="1601"/>
        <v>1.04</v>
      </c>
      <c r="K4527" s="120">
        <f t="shared" si="1602"/>
        <v>0</v>
      </c>
      <c r="L4527" s="120">
        <f t="shared" si="1603"/>
        <v>0</v>
      </c>
      <c r="M4527" s="246">
        <f t="shared" si="1604"/>
        <v>0</v>
      </c>
      <c r="N4527" s="121">
        <f t="shared" si="1605"/>
        <v>1.04</v>
      </c>
      <c r="P4527" s="121">
        <f t="shared" si="1606"/>
        <v>1</v>
      </c>
      <c r="Q4527" s="121">
        <f t="shared" si="1607"/>
        <v>0</v>
      </c>
      <c r="R4527" s="121">
        <f t="shared" si="1608"/>
        <v>0</v>
      </c>
    </row>
    <row r="4528" spans="1:18" x14ac:dyDescent="0.3">
      <c r="A4528" s="187">
        <v>16</v>
      </c>
      <c r="B4528" s="242">
        <f t="shared" si="1609"/>
        <v>46113</v>
      </c>
      <c r="C4528" s="243">
        <f t="shared" si="1594"/>
        <v>46142</v>
      </c>
      <c r="D4528" s="120">
        <f t="shared" si="1595"/>
        <v>30</v>
      </c>
      <c r="E4528" s="120">
        <f t="shared" si="1596"/>
        <v>4</v>
      </c>
      <c r="F4528" s="275">
        <f t="shared" si="1597"/>
        <v>46128</v>
      </c>
      <c r="G4528" s="120">
        <f t="shared" si="1598"/>
        <v>24315</v>
      </c>
      <c r="H4528" s="245">
        <f t="shared" si="1599"/>
        <v>1</v>
      </c>
      <c r="I4528" s="121">
        <f t="shared" si="1600"/>
        <v>1.04</v>
      </c>
      <c r="J4528" s="121">
        <f t="shared" si="1601"/>
        <v>1.04</v>
      </c>
      <c r="K4528" s="120">
        <f t="shared" si="1602"/>
        <v>0</v>
      </c>
      <c r="L4528" s="120">
        <f t="shared" si="1603"/>
        <v>0</v>
      </c>
      <c r="M4528" s="246">
        <f t="shared" si="1604"/>
        <v>0</v>
      </c>
      <c r="N4528" s="121">
        <f t="shared" si="1605"/>
        <v>1.04</v>
      </c>
      <c r="P4528" s="121">
        <f t="shared" si="1606"/>
        <v>1</v>
      </c>
      <c r="Q4528" s="121">
        <f t="shared" si="1607"/>
        <v>0</v>
      </c>
      <c r="R4528" s="121">
        <f t="shared" si="1608"/>
        <v>0</v>
      </c>
    </row>
    <row r="4529" spans="1:18" x14ac:dyDescent="0.3">
      <c r="A4529" s="187">
        <v>17</v>
      </c>
      <c r="B4529" s="242">
        <f t="shared" si="1609"/>
        <v>46143</v>
      </c>
      <c r="C4529" s="243">
        <f t="shared" si="1594"/>
        <v>46173</v>
      </c>
      <c r="D4529" s="120">
        <f t="shared" si="1595"/>
        <v>31</v>
      </c>
      <c r="E4529" s="120">
        <f t="shared" si="1596"/>
        <v>5</v>
      </c>
      <c r="F4529" s="275">
        <f t="shared" si="1597"/>
        <v>46158.5</v>
      </c>
      <c r="G4529" s="120">
        <f t="shared" si="1598"/>
        <v>24316</v>
      </c>
      <c r="H4529" s="245">
        <f t="shared" si="1599"/>
        <v>1</v>
      </c>
      <c r="I4529" s="121">
        <f t="shared" si="1600"/>
        <v>1.04</v>
      </c>
      <c r="J4529" s="121">
        <f t="shared" si="1601"/>
        <v>1.04</v>
      </c>
      <c r="K4529" s="120">
        <f t="shared" si="1602"/>
        <v>0</v>
      </c>
      <c r="L4529" s="120">
        <f t="shared" si="1603"/>
        <v>0</v>
      </c>
      <c r="M4529" s="246">
        <f t="shared" si="1604"/>
        <v>0</v>
      </c>
      <c r="N4529" s="121">
        <f t="shared" si="1605"/>
        <v>1.04</v>
      </c>
      <c r="P4529" s="121">
        <f t="shared" si="1606"/>
        <v>1</v>
      </c>
      <c r="Q4529" s="121">
        <f t="shared" si="1607"/>
        <v>0</v>
      </c>
      <c r="R4529" s="121">
        <f t="shared" si="1608"/>
        <v>0</v>
      </c>
    </row>
    <row r="4530" spans="1:18" x14ac:dyDescent="0.3">
      <c r="A4530" s="187">
        <v>18</v>
      </c>
      <c r="B4530" s="242">
        <f t="shared" si="1609"/>
        <v>46174</v>
      </c>
      <c r="C4530" s="243">
        <f t="shared" si="1594"/>
        <v>46203</v>
      </c>
      <c r="D4530" s="120">
        <f t="shared" si="1595"/>
        <v>30</v>
      </c>
      <c r="E4530" s="120">
        <f t="shared" si="1596"/>
        <v>6</v>
      </c>
      <c r="F4530" s="275">
        <f t="shared" si="1597"/>
        <v>46189</v>
      </c>
      <c r="G4530" s="120">
        <f t="shared" si="1598"/>
        <v>24317</v>
      </c>
      <c r="H4530" s="245">
        <f t="shared" si="1599"/>
        <v>1</v>
      </c>
      <c r="I4530" s="121">
        <f t="shared" si="1600"/>
        <v>1.04</v>
      </c>
      <c r="J4530" s="121">
        <f t="shared" si="1601"/>
        <v>1.04</v>
      </c>
      <c r="K4530" s="120">
        <f t="shared" si="1602"/>
        <v>0</v>
      </c>
      <c r="L4530" s="120">
        <f t="shared" si="1603"/>
        <v>0</v>
      </c>
      <c r="M4530" s="246">
        <f t="shared" si="1604"/>
        <v>0</v>
      </c>
      <c r="N4530" s="121">
        <f t="shared" si="1605"/>
        <v>1.04</v>
      </c>
      <c r="P4530" s="121">
        <f t="shared" si="1606"/>
        <v>1</v>
      </c>
      <c r="Q4530" s="121">
        <f t="shared" si="1607"/>
        <v>0</v>
      </c>
      <c r="R4530" s="121">
        <f t="shared" si="1608"/>
        <v>0</v>
      </c>
    </row>
    <row r="4531" spans="1:18" x14ac:dyDescent="0.3">
      <c r="A4531" s="187">
        <v>19</v>
      </c>
      <c r="B4531" s="242">
        <f t="shared" si="1609"/>
        <v>46204</v>
      </c>
      <c r="C4531" s="243">
        <f t="shared" si="1594"/>
        <v>46234</v>
      </c>
      <c r="D4531" s="120">
        <f t="shared" si="1595"/>
        <v>31</v>
      </c>
      <c r="E4531" s="120">
        <f t="shared" si="1596"/>
        <v>7</v>
      </c>
      <c r="F4531" s="275">
        <f t="shared" si="1597"/>
        <v>46219.5</v>
      </c>
      <c r="G4531" s="120">
        <f t="shared" si="1598"/>
        <v>24318</v>
      </c>
      <c r="H4531" s="245">
        <f t="shared" si="1599"/>
        <v>1</v>
      </c>
      <c r="I4531" s="121">
        <f t="shared" si="1600"/>
        <v>1.04</v>
      </c>
      <c r="J4531" s="121">
        <f t="shared" si="1601"/>
        <v>1.1024</v>
      </c>
      <c r="K4531" s="120">
        <f t="shared" si="1602"/>
        <v>1</v>
      </c>
      <c r="L4531" s="120">
        <f t="shared" si="1603"/>
        <v>31</v>
      </c>
      <c r="M4531" s="246">
        <f t="shared" si="1604"/>
        <v>1</v>
      </c>
      <c r="N4531" s="121">
        <f t="shared" si="1605"/>
        <v>1.1024</v>
      </c>
      <c r="P4531" s="121">
        <f t="shared" si="1606"/>
        <v>0.91666666666666663</v>
      </c>
      <c r="Q4531" s="121">
        <f t="shared" si="1607"/>
        <v>8.333333333333337E-2</v>
      </c>
      <c r="R4531" s="121">
        <f t="shared" si="1608"/>
        <v>0</v>
      </c>
    </row>
    <row r="4532" spans="1:18" x14ac:dyDescent="0.3">
      <c r="A4532" s="187">
        <v>20</v>
      </c>
      <c r="B4532" s="242">
        <f t="shared" si="1609"/>
        <v>46235</v>
      </c>
      <c r="C4532" s="243">
        <f t="shared" si="1594"/>
        <v>46265</v>
      </c>
      <c r="D4532" s="120">
        <f t="shared" si="1595"/>
        <v>31</v>
      </c>
      <c r="E4532" s="120">
        <f t="shared" si="1596"/>
        <v>8</v>
      </c>
      <c r="F4532" s="275">
        <f t="shared" si="1597"/>
        <v>46250.5</v>
      </c>
      <c r="G4532" s="120">
        <f t="shared" si="1598"/>
        <v>24319</v>
      </c>
      <c r="H4532" s="245">
        <f t="shared" si="1599"/>
        <v>1</v>
      </c>
      <c r="I4532" s="121">
        <f t="shared" si="1600"/>
        <v>1.1024</v>
      </c>
      <c r="J4532" s="121">
        <f t="shared" si="1601"/>
        <v>1.1024</v>
      </c>
      <c r="K4532" s="120">
        <f t="shared" si="1602"/>
        <v>0</v>
      </c>
      <c r="L4532" s="120">
        <f t="shared" si="1603"/>
        <v>0</v>
      </c>
      <c r="M4532" s="246">
        <f t="shared" si="1604"/>
        <v>0</v>
      </c>
      <c r="N4532" s="121">
        <f t="shared" si="1605"/>
        <v>1.1024</v>
      </c>
      <c r="P4532" s="121">
        <f t="shared" si="1606"/>
        <v>0.75</v>
      </c>
      <c r="Q4532" s="121">
        <f t="shared" si="1607"/>
        <v>0.25</v>
      </c>
      <c r="R4532" s="121">
        <f t="shared" si="1608"/>
        <v>0</v>
      </c>
    </row>
    <row r="4533" spans="1:18" x14ac:dyDescent="0.3">
      <c r="A4533" s="187">
        <v>21</v>
      </c>
      <c r="B4533" s="242">
        <f t="shared" si="1609"/>
        <v>46266</v>
      </c>
      <c r="C4533" s="243">
        <f t="shared" si="1594"/>
        <v>46295</v>
      </c>
      <c r="D4533" s="120">
        <f t="shared" si="1595"/>
        <v>30</v>
      </c>
      <c r="E4533" s="120">
        <f t="shared" si="1596"/>
        <v>9</v>
      </c>
      <c r="F4533" s="275">
        <f t="shared" si="1597"/>
        <v>46281</v>
      </c>
      <c r="G4533" s="120">
        <f t="shared" si="1598"/>
        <v>24320</v>
      </c>
      <c r="H4533" s="245">
        <f t="shared" si="1599"/>
        <v>1</v>
      </c>
      <c r="I4533" s="121">
        <f t="shared" si="1600"/>
        <v>1.1024</v>
      </c>
      <c r="J4533" s="121">
        <f t="shared" si="1601"/>
        <v>1.1024</v>
      </c>
      <c r="K4533" s="120">
        <f t="shared" si="1602"/>
        <v>0</v>
      </c>
      <c r="L4533" s="120">
        <f t="shared" si="1603"/>
        <v>0</v>
      </c>
      <c r="M4533" s="246">
        <f t="shared" si="1604"/>
        <v>0</v>
      </c>
      <c r="N4533" s="121">
        <f t="shared" si="1605"/>
        <v>1.1024</v>
      </c>
      <c r="P4533" s="121">
        <f t="shared" si="1606"/>
        <v>0.58333333333333337</v>
      </c>
      <c r="Q4533" s="121">
        <f t="shared" si="1607"/>
        <v>0.41666666666666663</v>
      </c>
      <c r="R4533" s="121">
        <f t="shared" si="1608"/>
        <v>0</v>
      </c>
    </row>
    <row r="4534" spans="1:18" x14ac:dyDescent="0.3">
      <c r="A4534" s="187">
        <v>22</v>
      </c>
      <c r="B4534" s="242">
        <f t="shared" si="1609"/>
        <v>46296</v>
      </c>
      <c r="C4534" s="243">
        <f t="shared" si="1594"/>
        <v>46326</v>
      </c>
      <c r="D4534" s="120">
        <f t="shared" si="1595"/>
        <v>31</v>
      </c>
      <c r="E4534" s="120">
        <f t="shared" si="1596"/>
        <v>10</v>
      </c>
      <c r="F4534" s="275">
        <f t="shared" si="1597"/>
        <v>46311.5</v>
      </c>
      <c r="G4534" s="120">
        <f t="shared" si="1598"/>
        <v>24321</v>
      </c>
      <c r="H4534" s="245">
        <f t="shared" si="1599"/>
        <v>1</v>
      </c>
      <c r="I4534" s="121">
        <f t="shared" si="1600"/>
        <v>1.1024</v>
      </c>
      <c r="J4534" s="121">
        <f t="shared" si="1601"/>
        <v>1.1024</v>
      </c>
      <c r="K4534" s="120">
        <f t="shared" si="1602"/>
        <v>0</v>
      </c>
      <c r="L4534" s="120">
        <f t="shared" si="1603"/>
        <v>0</v>
      </c>
      <c r="M4534" s="246">
        <f t="shared" si="1604"/>
        <v>0</v>
      </c>
      <c r="N4534" s="121">
        <f t="shared" si="1605"/>
        <v>1.1024</v>
      </c>
      <c r="P4534" s="121">
        <f t="shared" si="1606"/>
        <v>0.41666666666666669</v>
      </c>
      <c r="Q4534" s="121">
        <f t="shared" si="1607"/>
        <v>0.58333333333333326</v>
      </c>
      <c r="R4534" s="121">
        <f t="shared" si="1608"/>
        <v>0</v>
      </c>
    </row>
    <row r="4535" spans="1:18" x14ac:dyDescent="0.3">
      <c r="A4535" s="187">
        <v>23</v>
      </c>
      <c r="B4535" s="242">
        <f t="shared" si="1609"/>
        <v>46327</v>
      </c>
      <c r="C4535" s="243">
        <f t="shared" si="1594"/>
        <v>46356</v>
      </c>
      <c r="D4535" s="120">
        <f t="shared" si="1595"/>
        <v>30</v>
      </c>
      <c r="E4535" s="120">
        <f t="shared" si="1596"/>
        <v>11</v>
      </c>
      <c r="F4535" s="275">
        <f t="shared" si="1597"/>
        <v>46342</v>
      </c>
      <c r="G4535" s="120">
        <f t="shared" si="1598"/>
        <v>24322</v>
      </c>
      <c r="H4535" s="245">
        <f t="shared" si="1599"/>
        <v>1</v>
      </c>
      <c r="I4535" s="121">
        <f t="shared" si="1600"/>
        <v>1.1024</v>
      </c>
      <c r="J4535" s="121">
        <f t="shared" si="1601"/>
        <v>1.1024</v>
      </c>
      <c r="K4535" s="120">
        <f t="shared" si="1602"/>
        <v>0</v>
      </c>
      <c r="L4535" s="120">
        <f t="shared" si="1603"/>
        <v>0</v>
      </c>
      <c r="M4535" s="246">
        <f t="shared" si="1604"/>
        <v>0</v>
      </c>
      <c r="N4535" s="121">
        <f t="shared" si="1605"/>
        <v>1.1024</v>
      </c>
      <c r="P4535" s="121">
        <f t="shared" si="1606"/>
        <v>0.25</v>
      </c>
      <c r="Q4535" s="121">
        <f t="shared" si="1607"/>
        <v>0.75</v>
      </c>
      <c r="R4535" s="121">
        <f t="shared" si="1608"/>
        <v>0</v>
      </c>
    </row>
    <row r="4536" spans="1:18" x14ac:dyDescent="0.3">
      <c r="A4536" s="187">
        <v>24</v>
      </c>
      <c r="B4536" s="242">
        <f t="shared" si="1609"/>
        <v>46357</v>
      </c>
      <c r="C4536" s="243">
        <f t="shared" si="1594"/>
        <v>46387</v>
      </c>
      <c r="D4536" s="120">
        <f t="shared" si="1595"/>
        <v>31</v>
      </c>
      <c r="E4536" s="120">
        <f t="shared" si="1596"/>
        <v>12</v>
      </c>
      <c r="F4536" s="275">
        <f t="shared" si="1597"/>
        <v>46372.5</v>
      </c>
      <c r="G4536" s="120">
        <f t="shared" si="1598"/>
        <v>24323</v>
      </c>
      <c r="H4536" s="245">
        <f t="shared" si="1599"/>
        <v>1</v>
      </c>
      <c r="I4536" s="121">
        <f t="shared" si="1600"/>
        <v>1.1024</v>
      </c>
      <c r="J4536" s="121">
        <f t="shared" si="1601"/>
        <v>1.1024</v>
      </c>
      <c r="K4536" s="120">
        <f t="shared" si="1602"/>
        <v>0</v>
      </c>
      <c r="L4536" s="120">
        <f t="shared" si="1603"/>
        <v>0</v>
      </c>
      <c r="M4536" s="246">
        <f t="shared" si="1604"/>
        <v>0</v>
      </c>
      <c r="N4536" s="121">
        <f t="shared" si="1605"/>
        <v>1.1024</v>
      </c>
      <c r="P4536" s="121">
        <f t="shared" si="1606"/>
        <v>8.3333333333333329E-2</v>
      </c>
      <c r="Q4536" s="121">
        <f t="shared" si="1607"/>
        <v>0.91666666666666663</v>
      </c>
      <c r="R4536" s="121">
        <f t="shared" si="1608"/>
        <v>0</v>
      </c>
    </row>
    <row r="4537" spans="1:18" x14ac:dyDescent="0.3">
      <c r="A4537" s="187">
        <v>25</v>
      </c>
      <c r="B4537" s="242">
        <f t="shared" si="1609"/>
        <v>46388</v>
      </c>
      <c r="C4537" s="243">
        <f t="shared" si="1594"/>
        <v>46418</v>
      </c>
      <c r="D4537" s="120">
        <f t="shared" si="1595"/>
        <v>31</v>
      </c>
      <c r="E4537" s="120">
        <f t="shared" si="1596"/>
        <v>1</v>
      </c>
      <c r="F4537" s="275">
        <f t="shared" si="1597"/>
        <v>46403.5</v>
      </c>
      <c r="G4537" s="120">
        <f t="shared" si="1598"/>
        <v>24324</v>
      </c>
      <c r="H4537" s="245">
        <f t="shared" si="1599"/>
        <v>1</v>
      </c>
      <c r="I4537" s="121">
        <f t="shared" si="1600"/>
        <v>1.1024</v>
      </c>
      <c r="J4537" s="121">
        <f t="shared" si="1601"/>
        <v>1.1024</v>
      </c>
      <c r="K4537" s="120">
        <f t="shared" si="1602"/>
        <v>0</v>
      </c>
      <c r="L4537" s="120">
        <f t="shared" si="1603"/>
        <v>0</v>
      </c>
      <c r="M4537" s="246">
        <f t="shared" si="1604"/>
        <v>0</v>
      </c>
      <c r="N4537" s="121">
        <f t="shared" si="1605"/>
        <v>1.1024</v>
      </c>
      <c r="P4537" s="121">
        <f t="shared" si="1606"/>
        <v>0</v>
      </c>
      <c r="Q4537" s="121">
        <f t="shared" si="1607"/>
        <v>1</v>
      </c>
      <c r="R4537" s="121">
        <f t="shared" si="1608"/>
        <v>0</v>
      </c>
    </row>
    <row r="4538" spans="1:18" x14ac:dyDescent="0.3">
      <c r="A4538" s="187">
        <v>26</v>
      </c>
      <c r="B4538" s="242">
        <f t="shared" si="1609"/>
        <v>46419</v>
      </c>
      <c r="C4538" s="243">
        <f t="shared" si="1594"/>
        <v>46446</v>
      </c>
      <c r="D4538" s="120">
        <f t="shared" si="1595"/>
        <v>28</v>
      </c>
      <c r="E4538" s="120">
        <f t="shared" si="1596"/>
        <v>2</v>
      </c>
      <c r="F4538" s="275">
        <f t="shared" si="1597"/>
        <v>46433</v>
      </c>
      <c r="G4538" s="120">
        <f t="shared" si="1598"/>
        <v>24325</v>
      </c>
      <c r="H4538" s="245">
        <f t="shared" si="1599"/>
        <v>1</v>
      </c>
      <c r="I4538" s="121">
        <f t="shared" si="1600"/>
        <v>1.1024</v>
      </c>
      <c r="J4538" s="121">
        <f t="shared" si="1601"/>
        <v>1.1024</v>
      </c>
      <c r="K4538" s="120">
        <f t="shared" si="1602"/>
        <v>0</v>
      </c>
      <c r="L4538" s="120">
        <f t="shared" si="1603"/>
        <v>0</v>
      </c>
      <c r="M4538" s="246">
        <f t="shared" si="1604"/>
        <v>0</v>
      </c>
      <c r="N4538" s="121">
        <f t="shared" si="1605"/>
        <v>1.1024</v>
      </c>
      <c r="P4538" s="121">
        <f t="shared" si="1606"/>
        <v>0</v>
      </c>
      <c r="Q4538" s="121">
        <f t="shared" si="1607"/>
        <v>1</v>
      </c>
      <c r="R4538" s="121">
        <f t="shared" si="1608"/>
        <v>0</v>
      </c>
    </row>
    <row r="4539" spans="1:18" x14ac:dyDescent="0.3">
      <c r="A4539" s="187">
        <v>27</v>
      </c>
      <c r="B4539" s="242">
        <f t="shared" si="1609"/>
        <v>46447</v>
      </c>
      <c r="C4539" s="243">
        <f t="shared" si="1594"/>
        <v>46477</v>
      </c>
      <c r="D4539" s="120">
        <f t="shared" si="1595"/>
        <v>31</v>
      </c>
      <c r="E4539" s="120">
        <f t="shared" si="1596"/>
        <v>3</v>
      </c>
      <c r="F4539" s="275">
        <f t="shared" si="1597"/>
        <v>46462.5</v>
      </c>
      <c r="G4539" s="120">
        <f t="shared" si="1598"/>
        <v>24326</v>
      </c>
      <c r="H4539" s="245">
        <f t="shared" si="1599"/>
        <v>1</v>
      </c>
      <c r="I4539" s="121">
        <f t="shared" si="1600"/>
        <v>1.1024</v>
      </c>
      <c r="J4539" s="121">
        <f t="shared" si="1601"/>
        <v>1.1024</v>
      </c>
      <c r="K4539" s="120">
        <f t="shared" si="1602"/>
        <v>0</v>
      </c>
      <c r="L4539" s="120">
        <f t="shared" si="1603"/>
        <v>0</v>
      </c>
      <c r="M4539" s="246">
        <f t="shared" si="1604"/>
        <v>0</v>
      </c>
      <c r="N4539" s="121">
        <f t="shared" si="1605"/>
        <v>1.1024</v>
      </c>
      <c r="P4539" s="121">
        <f t="shared" si="1606"/>
        <v>0</v>
      </c>
      <c r="Q4539" s="121">
        <f t="shared" si="1607"/>
        <v>1</v>
      </c>
      <c r="R4539" s="121">
        <f t="shared" si="1608"/>
        <v>0</v>
      </c>
    </row>
    <row r="4540" spans="1:18" x14ac:dyDescent="0.3">
      <c r="A4540" s="187">
        <v>28</v>
      </c>
      <c r="B4540" s="242">
        <f t="shared" si="1609"/>
        <v>46478</v>
      </c>
      <c r="C4540" s="243">
        <f t="shared" si="1594"/>
        <v>46507</v>
      </c>
      <c r="D4540" s="120">
        <f t="shared" si="1595"/>
        <v>30</v>
      </c>
      <c r="E4540" s="120">
        <f t="shared" si="1596"/>
        <v>4</v>
      </c>
      <c r="F4540" s="275">
        <f t="shared" si="1597"/>
        <v>46493</v>
      </c>
      <c r="G4540" s="120">
        <f t="shared" si="1598"/>
        <v>24327</v>
      </c>
      <c r="H4540" s="245">
        <f t="shared" si="1599"/>
        <v>1</v>
      </c>
      <c r="I4540" s="121">
        <f t="shared" si="1600"/>
        <v>1.1024</v>
      </c>
      <c r="J4540" s="121">
        <f t="shared" si="1601"/>
        <v>1.1575200000000001</v>
      </c>
      <c r="K4540" s="120">
        <f t="shared" si="1602"/>
        <v>1</v>
      </c>
      <c r="L4540" s="120">
        <f t="shared" si="1603"/>
        <v>30</v>
      </c>
      <c r="M4540" s="246">
        <f t="shared" si="1604"/>
        <v>1</v>
      </c>
      <c r="N4540" s="121">
        <f t="shared" si="1605"/>
        <v>1.1575200000000001</v>
      </c>
      <c r="P4540" s="121">
        <f t="shared" si="1606"/>
        <v>0</v>
      </c>
      <c r="Q4540" s="121">
        <f t="shared" si="1607"/>
        <v>1</v>
      </c>
      <c r="R4540" s="121">
        <f t="shared" si="1608"/>
        <v>0</v>
      </c>
    </row>
    <row r="4541" spans="1:18" x14ac:dyDescent="0.3">
      <c r="A4541" s="187">
        <v>29</v>
      </c>
      <c r="B4541" s="242">
        <f t="shared" si="1609"/>
        <v>46508</v>
      </c>
      <c r="C4541" s="243">
        <f t="shared" si="1594"/>
        <v>46538</v>
      </c>
      <c r="D4541" s="120">
        <f t="shared" si="1595"/>
        <v>31</v>
      </c>
      <c r="E4541" s="120">
        <f t="shared" si="1596"/>
        <v>5</v>
      </c>
      <c r="F4541" s="275">
        <f t="shared" si="1597"/>
        <v>46523.5</v>
      </c>
      <c r="G4541" s="120">
        <f t="shared" si="1598"/>
        <v>24328</v>
      </c>
      <c r="H4541" s="245">
        <f t="shared" si="1599"/>
        <v>1</v>
      </c>
      <c r="I4541" s="121">
        <f t="shared" si="1600"/>
        <v>1.1575200000000001</v>
      </c>
      <c r="J4541" s="121">
        <f t="shared" si="1601"/>
        <v>1.1575200000000001</v>
      </c>
      <c r="K4541" s="120">
        <f t="shared" si="1602"/>
        <v>0</v>
      </c>
      <c r="L4541" s="120">
        <f t="shared" si="1603"/>
        <v>0</v>
      </c>
      <c r="M4541" s="246">
        <f t="shared" si="1604"/>
        <v>0</v>
      </c>
      <c r="N4541" s="121">
        <f t="shared" si="1605"/>
        <v>1.1575200000000001</v>
      </c>
      <c r="P4541" s="121">
        <f t="shared" si="1606"/>
        <v>0</v>
      </c>
      <c r="Q4541" s="121">
        <f t="shared" si="1607"/>
        <v>1</v>
      </c>
      <c r="R4541" s="121">
        <f t="shared" si="1608"/>
        <v>0</v>
      </c>
    </row>
    <row r="4542" spans="1:18" x14ac:dyDescent="0.3">
      <c r="A4542" s="187">
        <v>30</v>
      </c>
      <c r="B4542" s="242">
        <f t="shared" si="1609"/>
        <v>46539</v>
      </c>
      <c r="C4542" s="243">
        <f t="shared" si="1594"/>
        <v>46568</v>
      </c>
      <c r="D4542" s="120">
        <f t="shared" si="1595"/>
        <v>30</v>
      </c>
      <c r="E4542" s="120">
        <f t="shared" si="1596"/>
        <v>6</v>
      </c>
      <c r="F4542" s="275">
        <f t="shared" si="1597"/>
        <v>46554</v>
      </c>
      <c r="G4542" s="120">
        <f t="shared" si="1598"/>
        <v>24329</v>
      </c>
      <c r="H4542" s="245">
        <f t="shared" si="1599"/>
        <v>1</v>
      </c>
      <c r="I4542" s="121">
        <f t="shared" si="1600"/>
        <v>1.1575200000000001</v>
      </c>
      <c r="J4542" s="121">
        <f t="shared" si="1601"/>
        <v>1.1575200000000001</v>
      </c>
      <c r="K4542" s="120">
        <f t="shared" si="1602"/>
        <v>0</v>
      </c>
      <c r="L4542" s="120">
        <f t="shared" si="1603"/>
        <v>0</v>
      </c>
      <c r="M4542" s="246">
        <f t="shared" si="1604"/>
        <v>0</v>
      </c>
      <c r="N4542" s="121">
        <f t="shared" si="1605"/>
        <v>1.1575200000000001</v>
      </c>
      <c r="P4542" s="121">
        <f t="shared" si="1606"/>
        <v>0</v>
      </c>
      <c r="Q4542" s="121">
        <f t="shared" si="1607"/>
        <v>1</v>
      </c>
      <c r="R4542" s="121">
        <f t="shared" si="1608"/>
        <v>0</v>
      </c>
    </row>
    <row r="4543" spans="1:18" x14ac:dyDescent="0.3">
      <c r="A4543" s="187">
        <v>31</v>
      </c>
      <c r="B4543" s="242">
        <f t="shared" si="1609"/>
        <v>46569</v>
      </c>
      <c r="C4543" s="243">
        <f t="shared" si="1594"/>
        <v>46599</v>
      </c>
      <c r="D4543" s="120">
        <f t="shared" si="1595"/>
        <v>31</v>
      </c>
      <c r="E4543" s="120">
        <f t="shared" si="1596"/>
        <v>7</v>
      </c>
      <c r="F4543" s="275">
        <f t="shared" si="1597"/>
        <v>46584.5</v>
      </c>
      <c r="G4543" s="120">
        <f t="shared" si="1598"/>
        <v>24330</v>
      </c>
      <c r="H4543" s="245">
        <f t="shared" si="1599"/>
        <v>1</v>
      </c>
      <c r="I4543" s="121">
        <f t="shared" si="1600"/>
        <v>1.1575200000000001</v>
      </c>
      <c r="J4543" s="121">
        <f t="shared" si="1601"/>
        <v>1.1575200000000001</v>
      </c>
      <c r="K4543" s="120">
        <f t="shared" si="1602"/>
        <v>0</v>
      </c>
      <c r="L4543" s="120">
        <f t="shared" si="1603"/>
        <v>0</v>
      </c>
      <c r="M4543" s="246">
        <f t="shared" si="1604"/>
        <v>0</v>
      </c>
      <c r="N4543" s="121">
        <f t="shared" si="1605"/>
        <v>1.1575200000000001</v>
      </c>
      <c r="P4543" s="121">
        <f t="shared" si="1606"/>
        <v>0</v>
      </c>
      <c r="Q4543" s="121">
        <f t="shared" si="1607"/>
        <v>0.91666666666666663</v>
      </c>
      <c r="R4543" s="121">
        <f t="shared" si="1608"/>
        <v>8.333333333333337E-2</v>
      </c>
    </row>
    <row r="4544" spans="1:18" x14ac:dyDescent="0.3">
      <c r="A4544" s="187">
        <v>32</v>
      </c>
      <c r="B4544" s="242">
        <f t="shared" si="1609"/>
        <v>46600</v>
      </c>
      <c r="C4544" s="243">
        <f t="shared" si="1594"/>
        <v>46630</v>
      </c>
      <c r="D4544" s="120">
        <f t="shared" si="1595"/>
        <v>31</v>
      </c>
      <c r="E4544" s="120">
        <f t="shared" si="1596"/>
        <v>8</v>
      </c>
      <c r="F4544" s="275">
        <f t="shared" si="1597"/>
        <v>46615.5</v>
      </c>
      <c r="G4544" s="120">
        <f t="shared" si="1598"/>
        <v>24331</v>
      </c>
      <c r="H4544" s="245">
        <f t="shared" si="1599"/>
        <v>1</v>
      </c>
      <c r="I4544" s="121">
        <f t="shared" si="1600"/>
        <v>1.1575200000000001</v>
      </c>
      <c r="J4544" s="121">
        <f t="shared" si="1601"/>
        <v>1.1575200000000001</v>
      </c>
      <c r="K4544" s="120">
        <f t="shared" si="1602"/>
        <v>0</v>
      </c>
      <c r="L4544" s="120">
        <f t="shared" si="1603"/>
        <v>0</v>
      </c>
      <c r="M4544" s="246">
        <f t="shared" si="1604"/>
        <v>0</v>
      </c>
      <c r="N4544" s="121">
        <f t="shared" si="1605"/>
        <v>1.1575200000000001</v>
      </c>
      <c r="P4544" s="121">
        <f t="shared" si="1606"/>
        <v>0</v>
      </c>
      <c r="Q4544" s="121">
        <f t="shared" si="1607"/>
        <v>0.75</v>
      </c>
      <c r="R4544" s="121">
        <f t="shared" si="1608"/>
        <v>0.25</v>
      </c>
    </row>
    <row r="4545" spans="1:18" x14ac:dyDescent="0.3">
      <c r="A4545" s="187">
        <v>33</v>
      </c>
      <c r="B4545" s="242">
        <f t="shared" si="1609"/>
        <v>46631</v>
      </c>
      <c r="C4545" s="243">
        <f t="shared" si="1594"/>
        <v>46660</v>
      </c>
      <c r="D4545" s="120">
        <f t="shared" si="1595"/>
        <v>30</v>
      </c>
      <c r="E4545" s="120">
        <f t="shared" si="1596"/>
        <v>9</v>
      </c>
      <c r="F4545" s="275">
        <f t="shared" si="1597"/>
        <v>46646</v>
      </c>
      <c r="G4545" s="120">
        <f t="shared" si="1598"/>
        <v>24332</v>
      </c>
      <c r="H4545" s="245">
        <f t="shared" si="1599"/>
        <v>1</v>
      </c>
      <c r="I4545" s="121">
        <f t="shared" si="1600"/>
        <v>1.1575200000000001</v>
      </c>
      <c r="J4545" s="121">
        <f t="shared" si="1601"/>
        <v>1.1575200000000001</v>
      </c>
      <c r="K4545" s="120">
        <f t="shared" si="1602"/>
        <v>0</v>
      </c>
      <c r="L4545" s="120">
        <f t="shared" si="1603"/>
        <v>0</v>
      </c>
      <c r="M4545" s="246">
        <f t="shared" si="1604"/>
        <v>0</v>
      </c>
      <c r="N4545" s="121">
        <f t="shared" si="1605"/>
        <v>1.1575200000000001</v>
      </c>
      <c r="P4545" s="121">
        <f t="shared" si="1606"/>
        <v>0</v>
      </c>
      <c r="Q4545" s="121">
        <f t="shared" si="1607"/>
        <v>0.58333333333333337</v>
      </c>
      <c r="R4545" s="121">
        <f t="shared" si="1608"/>
        <v>0.41666666666666663</v>
      </c>
    </row>
    <row r="4546" spans="1:18" x14ac:dyDescent="0.3">
      <c r="A4546" s="187">
        <v>34</v>
      </c>
      <c r="B4546" s="242">
        <f t="shared" si="1609"/>
        <v>46661</v>
      </c>
      <c r="C4546" s="243">
        <f t="shared" si="1594"/>
        <v>46691</v>
      </c>
      <c r="D4546" s="120">
        <f t="shared" si="1595"/>
        <v>31</v>
      </c>
      <c r="E4546" s="120">
        <f t="shared" si="1596"/>
        <v>10</v>
      </c>
      <c r="F4546" s="275">
        <f t="shared" si="1597"/>
        <v>46676.5</v>
      </c>
      <c r="G4546" s="120">
        <f t="shared" si="1598"/>
        <v>24333</v>
      </c>
      <c r="H4546" s="245">
        <f t="shared" si="1599"/>
        <v>1</v>
      </c>
      <c r="I4546" s="121">
        <f t="shared" si="1600"/>
        <v>1.1575200000000001</v>
      </c>
      <c r="J4546" s="121">
        <f t="shared" si="1601"/>
        <v>1.1575200000000001</v>
      </c>
      <c r="K4546" s="120">
        <f t="shared" si="1602"/>
        <v>0</v>
      </c>
      <c r="L4546" s="120">
        <f t="shared" si="1603"/>
        <v>0</v>
      </c>
      <c r="M4546" s="246">
        <f t="shared" si="1604"/>
        <v>0</v>
      </c>
      <c r="N4546" s="121">
        <f t="shared" si="1605"/>
        <v>1.1575200000000001</v>
      </c>
      <c r="P4546" s="121">
        <f t="shared" si="1606"/>
        <v>0</v>
      </c>
      <c r="Q4546" s="121">
        <f t="shared" si="1607"/>
        <v>0.41666666666666669</v>
      </c>
      <c r="R4546" s="121">
        <f t="shared" si="1608"/>
        <v>0.58333333333333326</v>
      </c>
    </row>
    <row r="4547" spans="1:18" x14ac:dyDescent="0.3">
      <c r="A4547" s="187">
        <v>35</v>
      </c>
      <c r="B4547" s="242">
        <f t="shared" si="1609"/>
        <v>46692</v>
      </c>
      <c r="C4547" s="243">
        <f t="shared" si="1594"/>
        <v>46721</v>
      </c>
      <c r="D4547" s="120">
        <f t="shared" si="1595"/>
        <v>30</v>
      </c>
      <c r="E4547" s="120">
        <f t="shared" si="1596"/>
        <v>11</v>
      </c>
      <c r="F4547" s="275">
        <f t="shared" si="1597"/>
        <v>46707</v>
      </c>
      <c r="G4547" s="120">
        <f t="shared" si="1598"/>
        <v>24334</v>
      </c>
      <c r="H4547" s="245">
        <f t="shared" si="1599"/>
        <v>1</v>
      </c>
      <c r="I4547" s="121">
        <f t="shared" si="1600"/>
        <v>1.1575200000000001</v>
      </c>
      <c r="J4547" s="121">
        <f t="shared" si="1601"/>
        <v>1.1575200000000001</v>
      </c>
      <c r="K4547" s="120">
        <f t="shared" si="1602"/>
        <v>0</v>
      </c>
      <c r="L4547" s="120">
        <f t="shared" si="1603"/>
        <v>0</v>
      </c>
      <c r="M4547" s="246">
        <f t="shared" si="1604"/>
        <v>0</v>
      </c>
      <c r="N4547" s="121">
        <f t="shared" si="1605"/>
        <v>1.1575200000000001</v>
      </c>
      <c r="P4547" s="121">
        <f t="shared" si="1606"/>
        <v>0</v>
      </c>
      <c r="Q4547" s="121">
        <f t="shared" si="1607"/>
        <v>0.25</v>
      </c>
      <c r="R4547" s="121">
        <f t="shared" si="1608"/>
        <v>0.75</v>
      </c>
    </row>
    <row r="4548" spans="1:18" x14ac:dyDescent="0.3">
      <c r="A4548" s="187">
        <v>36</v>
      </c>
      <c r="B4548" s="242">
        <f t="shared" si="1609"/>
        <v>46722</v>
      </c>
      <c r="C4548" s="243">
        <f t="shared" si="1594"/>
        <v>46752</v>
      </c>
      <c r="D4548" s="120">
        <f t="shared" si="1595"/>
        <v>31</v>
      </c>
      <c r="E4548" s="120">
        <f t="shared" si="1596"/>
        <v>12</v>
      </c>
      <c r="F4548" s="275">
        <f t="shared" si="1597"/>
        <v>46737.5</v>
      </c>
      <c r="G4548" s="120">
        <f t="shared" si="1598"/>
        <v>24335</v>
      </c>
      <c r="H4548" s="245">
        <f t="shared" si="1599"/>
        <v>1</v>
      </c>
      <c r="I4548" s="121">
        <f t="shared" si="1600"/>
        <v>1.1575200000000001</v>
      </c>
      <c r="J4548" s="121">
        <f t="shared" si="1601"/>
        <v>1.1575200000000001</v>
      </c>
      <c r="K4548" s="120">
        <f t="shared" si="1602"/>
        <v>0</v>
      </c>
      <c r="L4548" s="120">
        <f t="shared" si="1603"/>
        <v>0</v>
      </c>
      <c r="M4548" s="246">
        <f t="shared" si="1604"/>
        <v>0</v>
      </c>
      <c r="N4548" s="121">
        <f t="shared" si="1605"/>
        <v>1.1575200000000001</v>
      </c>
      <c r="P4548" s="121">
        <f t="shared" si="1606"/>
        <v>0</v>
      </c>
      <c r="Q4548" s="121">
        <f t="shared" si="1607"/>
        <v>8.3333333333333329E-2</v>
      </c>
      <c r="R4548" s="121">
        <f t="shared" si="1608"/>
        <v>0.91666666666666663</v>
      </c>
    </row>
    <row r="4549" spans="1:18" x14ac:dyDescent="0.3">
      <c r="A4549" s="187">
        <v>37</v>
      </c>
      <c r="B4549" s="242">
        <f t="shared" si="1609"/>
        <v>46753</v>
      </c>
      <c r="C4549" s="243">
        <f t="shared" si="1594"/>
        <v>46783</v>
      </c>
      <c r="D4549" s="120">
        <f t="shared" si="1595"/>
        <v>31</v>
      </c>
      <c r="E4549" s="120">
        <f t="shared" si="1596"/>
        <v>1</v>
      </c>
      <c r="F4549" s="275">
        <f t="shared" si="1597"/>
        <v>46768.5</v>
      </c>
      <c r="G4549" s="120">
        <f t="shared" si="1598"/>
        <v>24336</v>
      </c>
      <c r="H4549" s="245">
        <f t="shared" si="1599"/>
        <v>1</v>
      </c>
      <c r="I4549" s="121">
        <f t="shared" si="1600"/>
        <v>1.1575200000000001</v>
      </c>
      <c r="J4549" s="121">
        <f t="shared" si="1601"/>
        <v>1.1575200000000001</v>
      </c>
      <c r="K4549" s="120">
        <f t="shared" si="1602"/>
        <v>0</v>
      </c>
      <c r="L4549" s="120">
        <f t="shared" si="1603"/>
        <v>0</v>
      </c>
      <c r="M4549" s="246">
        <f t="shared" si="1604"/>
        <v>0</v>
      </c>
      <c r="N4549" s="121">
        <f t="shared" si="1605"/>
        <v>1.1575200000000001</v>
      </c>
      <c r="P4549" s="121">
        <f t="shared" si="1606"/>
        <v>0</v>
      </c>
      <c r="Q4549" s="121">
        <f t="shared" si="1607"/>
        <v>0</v>
      </c>
      <c r="R4549" s="121">
        <f t="shared" si="1608"/>
        <v>1</v>
      </c>
    </row>
    <row r="4550" spans="1:18" x14ac:dyDescent="0.3">
      <c r="A4550" s="187">
        <v>38</v>
      </c>
      <c r="B4550" s="242">
        <f t="shared" si="1609"/>
        <v>46784</v>
      </c>
      <c r="C4550" s="243">
        <f t="shared" si="1594"/>
        <v>46812</v>
      </c>
      <c r="D4550" s="120">
        <f t="shared" si="1595"/>
        <v>29</v>
      </c>
      <c r="E4550" s="120">
        <f t="shared" si="1596"/>
        <v>2</v>
      </c>
      <c r="F4550" s="275">
        <f t="shared" si="1597"/>
        <v>46798.5</v>
      </c>
      <c r="G4550" s="120">
        <f t="shared" si="1598"/>
        <v>24337</v>
      </c>
      <c r="H4550" s="245">
        <f t="shared" si="1599"/>
        <v>1</v>
      </c>
      <c r="I4550" s="121">
        <f t="shared" si="1600"/>
        <v>1.1575200000000001</v>
      </c>
      <c r="J4550" s="121">
        <f t="shared" si="1601"/>
        <v>1.1575200000000001</v>
      </c>
      <c r="K4550" s="120">
        <f t="shared" si="1602"/>
        <v>0</v>
      </c>
      <c r="L4550" s="120">
        <f t="shared" si="1603"/>
        <v>0</v>
      </c>
      <c r="M4550" s="246">
        <f t="shared" si="1604"/>
        <v>0</v>
      </c>
      <c r="N4550" s="121">
        <f t="shared" si="1605"/>
        <v>1.1575200000000001</v>
      </c>
      <c r="P4550" s="121">
        <f t="shared" si="1606"/>
        <v>0</v>
      </c>
      <c r="Q4550" s="121">
        <f t="shared" si="1607"/>
        <v>0</v>
      </c>
      <c r="R4550" s="121">
        <f t="shared" si="1608"/>
        <v>1</v>
      </c>
    </row>
    <row r="4551" spans="1:18" x14ac:dyDescent="0.3">
      <c r="A4551" s="187">
        <v>39</v>
      </c>
      <c r="B4551" s="242">
        <f t="shared" si="1609"/>
        <v>46813</v>
      </c>
      <c r="C4551" s="243">
        <f t="shared" si="1594"/>
        <v>46843</v>
      </c>
      <c r="D4551" s="120">
        <f t="shared" si="1595"/>
        <v>31</v>
      </c>
      <c r="E4551" s="120">
        <f t="shared" si="1596"/>
        <v>3</v>
      </c>
      <c r="F4551" s="275">
        <f t="shared" si="1597"/>
        <v>46828.5</v>
      </c>
      <c r="G4551" s="120">
        <f t="shared" si="1598"/>
        <v>24338</v>
      </c>
      <c r="H4551" s="245">
        <f t="shared" si="1599"/>
        <v>1</v>
      </c>
      <c r="I4551" s="121">
        <f t="shared" si="1600"/>
        <v>1.1575200000000001</v>
      </c>
      <c r="J4551" s="121">
        <f t="shared" si="1601"/>
        <v>1.1575200000000001</v>
      </c>
      <c r="K4551" s="120">
        <f t="shared" si="1602"/>
        <v>0</v>
      </c>
      <c r="L4551" s="120">
        <f t="shared" si="1603"/>
        <v>0</v>
      </c>
      <c r="M4551" s="246">
        <f t="shared" si="1604"/>
        <v>0</v>
      </c>
      <c r="N4551" s="121">
        <f t="shared" si="1605"/>
        <v>1.1575200000000001</v>
      </c>
      <c r="P4551" s="121">
        <f t="shared" si="1606"/>
        <v>0</v>
      </c>
      <c r="Q4551" s="121">
        <f t="shared" si="1607"/>
        <v>0</v>
      </c>
      <c r="R4551" s="121">
        <f t="shared" si="1608"/>
        <v>1</v>
      </c>
    </row>
    <row r="4552" spans="1:18" x14ac:dyDescent="0.3">
      <c r="A4552" s="187">
        <v>40</v>
      </c>
      <c r="B4552" s="242">
        <f t="shared" si="1609"/>
        <v>46844</v>
      </c>
      <c r="C4552" s="243">
        <f t="shared" si="1594"/>
        <v>46873</v>
      </c>
      <c r="D4552" s="120">
        <f t="shared" si="1595"/>
        <v>30</v>
      </c>
      <c r="E4552" s="120">
        <f t="shared" si="1596"/>
        <v>4</v>
      </c>
      <c r="F4552" s="275">
        <f t="shared" si="1597"/>
        <v>46859</v>
      </c>
      <c r="G4552" s="120">
        <f t="shared" si="1598"/>
        <v>24339</v>
      </c>
      <c r="H4552" s="245">
        <f t="shared" si="1599"/>
        <v>1</v>
      </c>
      <c r="I4552" s="121">
        <f t="shared" si="1600"/>
        <v>1.1575200000000001</v>
      </c>
      <c r="J4552" s="121">
        <f t="shared" si="1601"/>
        <v>1.1575200000000001</v>
      </c>
      <c r="K4552" s="120">
        <f t="shared" si="1602"/>
        <v>0</v>
      </c>
      <c r="L4552" s="120">
        <f t="shared" si="1603"/>
        <v>0</v>
      </c>
      <c r="M4552" s="246">
        <f t="shared" si="1604"/>
        <v>0</v>
      </c>
      <c r="N4552" s="121">
        <f t="shared" si="1605"/>
        <v>1.1575200000000001</v>
      </c>
      <c r="P4552" s="121">
        <f t="shared" si="1606"/>
        <v>0</v>
      </c>
      <c r="Q4552" s="121">
        <f t="shared" si="1607"/>
        <v>0</v>
      </c>
      <c r="R4552" s="121">
        <f t="shared" si="1608"/>
        <v>1</v>
      </c>
    </row>
    <row r="4553" spans="1:18" x14ac:dyDescent="0.3">
      <c r="A4553" s="187">
        <v>41</v>
      </c>
      <c r="B4553" s="242">
        <f t="shared" si="1609"/>
        <v>46874</v>
      </c>
      <c r="C4553" s="243">
        <f t="shared" si="1594"/>
        <v>46904</v>
      </c>
      <c r="D4553" s="120">
        <f t="shared" si="1595"/>
        <v>31</v>
      </c>
      <c r="E4553" s="120">
        <f t="shared" si="1596"/>
        <v>5</v>
      </c>
      <c r="F4553" s="275">
        <f t="shared" si="1597"/>
        <v>46889.5</v>
      </c>
      <c r="G4553" s="120">
        <f t="shared" si="1598"/>
        <v>24340</v>
      </c>
      <c r="H4553" s="245">
        <f t="shared" si="1599"/>
        <v>1</v>
      </c>
      <c r="I4553" s="121">
        <f t="shared" si="1600"/>
        <v>1.1575200000000001</v>
      </c>
      <c r="J4553" s="121">
        <f t="shared" si="1601"/>
        <v>1.1575200000000001</v>
      </c>
      <c r="K4553" s="120">
        <f t="shared" si="1602"/>
        <v>0</v>
      </c>
      <c r="L4553" s="120">
        <f t="shared" si="1603"/>
        <v>0</v>
      </c>
      <c r="M4553" s="246">
        <f t="shared" si="1604"/>
        <v>0</v>
      </c>
      <c r="N4553" s="121">
        <f t="shared" si="1605"/>
        <v>1.1575200000000001</v>
      </c>
      <c r="P4553" s="121">
        <f t="shared" si="1606"/>
        <v>0</v>
      </c>
      <c r="Q4553" s="121">
        <f t="shared" si="1607"/>
        <v>0</v>
      </c>
      <c r="R4553" s="121">
        <f t="shared" si="1608"/>
        <v>1</v>
      </c>
    </row>
    <row r="4554" spans="1:18" x14ac:dyDescent="0.3">
      <c r="A4554" s="187">
        <v>42</v>
      </c>
      <c r="B4554" s="242">
        <f t="shared" si="1609"/>
        <v>46905</v>
      </c>
      <c r="C4554" s="243">
        <f t="shared" si="1594"/>
        <v>46934</v>
      </c>
      <c r="D4554" s="120">
        <f t="shared" si="1595"/>
        <v>30</v>
      </c>
      <c r="E4554" s="120">
        <f t="shared" si="1596"/>
        <v>6</v>
      </c>
      <c r="F4554" s="275">
        <f t="shared" si="1597"/>
        <v>46920</v>
      </c>
      <c r="G4554" s="120">
        <f t="shared" si="1598"/>
        <v>24341</v>
      </c>
      <c r="H4554" s="245">
        <f t="shared" si="1599"/>
        <v>1</v>
      </c>
      <c r="I4554" s="121">
        <f t="shared" si="1600"/>
        <v>1.1575200000000001</v>
      </c>
      <c r="J4554" s="121">
        <f t="shared" si="1601"/>
        <v>1.1575200000000001</v>
      </c>
      <c r="K4554" s="120">
        <f t="shared" si="1602"/>
        <v>0</v>
      </c>
      <c r="L4554" s="120">
        <f t="shared" si="1603"/>
        <v>0</v>
      </c>
      <c r="M4554" s="246">
        <f t="shared" si="1604"/>
        <v>0</v>
      </c>
      <c r="N4554" s="121">
        <f t="shared" si="1605"/>
        <v>1.1575200000000001</v>
      </c>
      <c r="P4554" s="121">
        <f t="shared" si="1606"/>
        <v>0</v>
      </c>
      <c r="Q4554" s="121">
        <f t="shared" si="1607"/>
        <v>0</v>
      </c>
      <c r="R4554" s="121">
        <f t="shared" si="1608"/>
        <v>1</v>
      </c>
    </row>
    <row r="4555" spans="1:18" x14ac:dyDescent="0.3">
      <c r="A4555" s="187">
        <v>43</v>
      </c>
      <c r="B4555" s="242">
        <f t="shared" si="1609"/>
        <v>46935</v>
      </c>
      <c r="C4555" s="243">
        <f t="shared" si="1594"/>
        <v>46965</v>
      </c>
      <c r="D4555" s="120">
        <f t="shared" si="1595"/>
        <v>31</v>
      </c>
      <c r="E4555" s="120">
        <f t="shared" si="1596"/>
        <v>7</v>
      </c>
      <c r="F4555" s="275">
        <f t="shared" si="1597"/>
        <v>46950.5</v>
      </c>
      <c r="G4555" s="120">
        <f t="shared" si="1598"/>
        <v>24342</v>
      </c>
      <c r="H4555" s="245">
        <f t="shared" si="1599"/>
        <v>1</v>
      </c>
      <c r="I4555" s="121">
        <f t="shared" si="1600"/>
        <v>1.1575200000000001</v>
      </c>
      <c r="J4555" s="121">
        <f t="shared" si="1601"/>
        <v>1.1575200000000001</v>
      </c>
      <c r="K4555" s="120">
        <f t="shared" si="1602"/>
        <v>0</v>
      </c>
      <c r="L4555" s="120">
        <f t="shared" si="1603"/>
        <v>0</v>
      </c>
      <c r="M4555" s="246">
        <f t="shared" si="1604"/>
        <v>0</v>
      </c>
      <c r="N4555" s="121">
        <f t="shared" si="1605"/>
        <v>1.1575200000000001</v>
      </c>
      <c r="P4555" s="121">
        <f t="shared" si="1606"/>
        <v>0</v>
      </c>
      <c r="Q4555" s="121">
        <f t="shared" si="1607"/>
        <v>0</v>
      </c>
      <c r="R4555" s="121">
        <f t="shared" si="1608"/>
        <v>0.91666666666666663</v>
      </c>
    </row>
    <row r="4556" spans="1:18" x14ac:dyDescent="0.3">
      <c r="A4556" s="187">
        <v>44</v>
      </c>
      <c r="B4556" s="242">
        <f t="shared" si="1609"/>
        <v>46966</v>
      </c>
      <c r="C4556" s="243">
        <f t="shared" si="1594"/>
        <v>46996</v>
      </c>
      <c r="D4556" s="120">
        <f t="shared" si="1595"/>
        <v>31</v>
      </c>
      <c r="E4556" s="120">
        <f t="shared" si="1596"/>
        <v>8</v>
      </c>
      <c r="F4556" s="275">
        <f t="shared" si="1597"/>
        <v>46981.5</v>
      </c>
      <c r="G4556" s="120">
        <f t="shared" si="1598"/>
        <v>24343</v>
      </c>
      <c r="H4556" s="245">
        <f t="shared" si="1599"/>
        <v>1</v>
      </c>
      <c r="I4556" s="121">
        <f t="shared" si="1600"/>
        <v>1.1575200000000001</v>
      </c>
      <c r="J4556" s="121">
        <f t="shared" si="1601"/>
        <v>1.1575200000000001</v>
      </c>
      <c r="K4556" s="120">
        <f t="shared" si="1602"/>
        <v>0</v>
      </c>
      <c r="L4556" s="120">
        <f t="shared" si="1603"/>
        <v>0</v>
      </c>
      <c r="M4556" s="246">
        <f t="shared" si="1604"/>
        <v>0</v>
      </c>
      <c r="N4556" s="121">
        <f t="shared" si="1605"/>
        <v>1.1575200000000001</v>
      </c>
      <c r="P4556" s="121">
        <f t="shared" si="1606"/>
        <v>0</v>
      </c>
      <c r="Q4556" s="121">
        <f t="shared" si="1607"/>
        <v>0</v>
      </c>
      <c r="R4556" s="121">
        <f t="shared" si="1608"/>
        <v>0.75</v>
      </c>
    </row>
    <row r="4557" spans="1:18" x14ac:dyDescent="0.3">
      <c r="A4557" s="187">
        <v>45</v>
      </c>
      <c r="B4557" s="242">
        <f t="shared" si="1609"/>
        <v>46997</v>
      </c>
      <c r="C4557" s="243">
        <f t="shared" si="1594"/>
        <v>47026</v>
      </c>
      <c r="D4557" s="120">
        <f t="shared" si="1595"/>
        <v>30</v>
      </c>
      <c r="E4557" s="120">
        <f t="shared" si="1596"/>
        <v>9</v>
      </c>
      <c r="F4557" s="275">
        <f t="shared" si="1597"/>
        <v>47012</v>
      </c>
      <c r="G4557" s="120">
        <f t="shared" si="1598"/>
        <v>24344</v>
      </c>
      <c r="H4557" s="245">
        <f t="shared" si="1599"/>
        <v>1</v>
      </c>
      <c r="I4557" s="121">
        <f t="shared" si="1600"/>
        <v>1.1575200000000001</v>
      </c>
      <c r="J4557" s="121">
        <f t="shared" si="1601"/>
        <v>1.1575200000000001</v>
      </c>
      <c r="K4557" s="120">
        <f t="shared" si="1602"/>
        <v>0</v>
      </c>
      <c r="L4557" s="120">
        <f t="shared" si="1603"/>
        <v>0</v>
      </c>
      <c r="M4557" s="246">
        <f t="shared" si="1604"/>
        <v>0</v>
      </c>
      <c r="N4557" s="121">
        <f t="shared" si="1605"/>
        <v>1.1575200000000001</v>
      </c>
      <c r="P4557" s="121">
        <f t="shared" si="1606"/>
        <v>0</v>
      </c>
      <c r="Q4557" s="121">
        <f t="shared" si="1607"/>
        <v>0</v>
      </c>
      <c r="R4557" s="121">
        <f t="shared" si="1608"/>
        <v>0.58333333333333337</v>
      </c>
    </row>
    <row r="4558" spans="1:18" x14ac:dyDescent="0.3">
      <c r="A4558" s="187">
        <v>46</v>
      </c>
      <c r="B4558" s="242">
        <f t="shared" si="1609"/>
        <v>47027</v>
      </c>
      <c r="C4558" s="243">
        <f t="shared" si="1594"/>
        <v>47057</v>
      </c>
      <c r="D4558" s="120">
        <f t="shared" si="1595"/>
        <v>31</v>
      </c>
      <c r="E4558" s="120">
        <f t="shared" si="1596"/>
        <v>10</v>
      </c>
      <c r="F4558" s="275">
        <f t="shared" si="1597"/>
        <v>47042.5</v>
      </c>
      <c r="G4558" s="120">
        <f t="shared" si="1598"/>
        <v>24345</v>
      </c>
      <c r="H4558" s="245">
        <f t="shared" si="1599"/>
        <v>1</v>
      </c>
      <c r="I4558" s="121">
        <f t="shared" si="1600"/>
        <v>1.1575200000000001</v>
      </c>
      <c r="J4558" s="121">
        <f t="shared" si="1601"/>
        <v>1.1575200000000001</v>
      </c>
      <c r="K4558" s="120">
        <f t="shared" si="1602"/>
        <v>0</v>
      </c>
      <c r="L4558" s="120">
        <f t="shared" si="1603"/>
        <v>0</v>
      </c>
      <c r="M4558" s="246">
        <f t="shared" si="1604"/>
        <v>0</v>
      </c>
      <c r="N4558" s="121">
        <f t="shared" si="1605"/>
        <v>1.1575200000000001</v>
      </c>
      <c r="P4558" s="121">
        <f t="shared" si="1606"/>
        <v>0</v>
      </c>
      <c r="Q4558" s="121">
        <f t="shared" si="1607"/>
        <v>0</v>
      </c>
      <c r="R4558" s="121">
        <f t="shared" si="1608"/>
        <v>0.41666666666666669</v>
      </c>
    </row>
    <row r="4559" spans="1:18" x14ac:dyDescent="0.3">
      <c r="A4559" s="187">
        <v>47</v>
      </c>
      <c r="B4559" s="242">
        <f t="shared" si="1609"/>
        <v>47058</v>
      </c>
      <c r="C4559" s="243">
        <f t="shared" si="1594"/>
        <v>47087</v>
      </c>
      <c r="D4559" s="120">
        <f t="shared" si="1595"/>
        <v>30</v>
      </c>
      <c r="E4559" s="120">
        <f t="shared" si="1596"/>
        <v>11</v>
      </c>
      <c r="F4559" s="275">
        <f t="shared" si="1597"/>
        <v>47073</v>
      </c>
      <c r="G4559" s="120">
        <f t="shared" si="1598"/>
        <v>24346</v>
      </c>
      <c r="H4559" s="245">
        <f t="shared" si="1599"/>
        <v>1</v>
      </c>
      <c r="I4559" s="121">
        <f t="shared" si="1600"/>
        <v>1.1575200000000001</v>
      </c>
      <c r="J4559" s="121">
        <f t="shared" si="1601"/>
        <v>1.1575200000000001</v>
      </c>
      <c r="K4559" s="120">
        <f t="shared" si="1602"/>
        <v>0</v>
      </c>
      <c r="L4559" s="120">
        <f t="shared" si="1603"/>
        <v>0</v>
      </c>
      <c r="M4559" s="246">
        <f t="shared" si="1604"/>
        <v>0</v>
      </c>
      <c r="N4559" s="121">
        <f t="shared" si="1605"/>
        <v>1.1575200000000001</v>
      </c>
      <c r="P4559" s="121">
        <f t="shared" si="1606"/>
        <v>0</v>
      </c>
      <c r="Q4559" s="121">
        <f t="shared" si="1607"/>
        <v>0</v>
      </c>
      <c r="R4559" s="121">
        <f t="shared" si="1608"/>
        <v>0.25</v>
      </c>
    </row>
    <row r="4560" spans="1:18" x14ac:dyDescent="0.3">
      <c r="A4560" s="187">
        <v>48</v>
      </c>
      <c r="B4560" s="242">
        <f t="shared" si="1609"/>
        <v>47088</v>
      </c>
      <c r="C4560" s="243">
        <f t="shared" si="1594"/>
        <v>47118</v>
      </c>
      <c r="D4560" s="120">
        <f t="shared" si="1595"/>
        <v>31</v>
      </c>
      <c r="E4560" s="120">
        <f t="shared" si="1596"/>
        <v>12</v>
      </c>
      <c r="F4560" s="275">
        <f t="shared" si="1597"/>
        <v>47103.5</v>
      </c>
      <c r="G4560" s="120">
        <f t="shared" si="1598"/>
        <v>24347</v>
      </c>
      <c r="H4560" s="245">
        <f t="shared" si="1599"/>
        <v>1</v>
      </c>
      <c r="I4560" s="121">
        <f t="shared" si="1600"/>
        <v>1.1575200000000001</v>
      </c>
      <c r="J4560" s="121">
        <f t="shared" si="1601"/>
        <v>1.1575200000000001</v>
      </c>
      <c r="K4560" s="120">
        <f t="shared" si="1602"/>
        <v>0</v>
      </c>
      <c r="L4560" s="120">
        <f t="shared" si="1603"/>
        <v>0</v>
      </c>
      <c r="M4560" s="246">
        <f t="shared" si="1604"/>
        <v>0</v>
      </c>
      <c r="N4560" s="121">
        <f t="shared" si="1605"/>
        <v>1.1575200000000001</v>
      </c>
      <c r="P4560" s="121">
        <f t="shared" si="1606"/>
        <v>0</v>
      </c>
      <c r="Q4560" s="121">
        <f t="shared" si="1607"/>
        <v>0</v>
      </c>
      <c r="R4560" s="121">
        <f t="shared" si="1608"/>
        <v>8.3333333333333329E-2</v>
      </c>
    </row>
    <row r="4561" spans="1:21" x14ac:dyDescent="0.3">
      <c r="B4561" s="73">
        <f>SUMPRODUCT($H$4513:$H$4560,$Q$4513:$Q$4560,$N$4513:$N$4560)/SUMPRODUCT($H$4513:$H$4560,$Q$4513:$Q$4560)</f>
        <v>1.1299600000000001</v>
      </c>
    </row>
    <row r="4564" spans="1:21" x14ac:dyDescent="0.3">
      <c r="A4564" s="270" t="s">
        <v>1708</v>
      </c>
    </row>
    <row r="4566" spans="1:21" ht="36" x14ac:dyDescent="0.3">
      <c r="A4566" s="58" t="s">
        <v>390</v>
      </c>
      <c r="B4566" s="58" t="s">
        <v>449</v>
      </c>
      <c r="C4566" s="58" t="s">
        <v>685</v>
      </c>
      <c r="D4566" s="58" t="s">
        <v>686</v>
      </c>
      <c r="E4566" s="58" t="s">
        <v>687</v>
      </c>
      <c r="F4566" s="58" t="s">
        <v>688</v>
      </c>
      <c r="G4566" s="58" t="s">
        <v>689</v>
      </c>
      <c r="H4566" s="58" t="s">
        <v>452</v>
      </c>
      <c r="I4566" s="58" t="s">
        <v>690</v>
      </c>
      <c r="J4566" s="58" t="s">
        <v>691</v>
      </c>
      <c r="K4566" s="58" t="s">
        <v>692</v>
      </c>
      <c r="L4566" s="58" t="s">
        <v>693</v>
      </c>
      <c r="M4566" s="58" t="s">
        <v>694</v>
      </c>
      <c r="N4566" s="58" t="s">
        <v>695</v>
      </c>
      <c r="O4566" s="58" t="s">
        <v>696</v>
      </c>
      <c r="P4566" s="58" t="s">
        <v>697</v>
      </c>
      <c r="Q4566" s="58" t="s">
        <v>698</v>
      </c>
      <c r="R4566" s="58" t="s">
        <v>699</v>
      </c>
      <c r="S4566" s="58" t="s">
        <v>700</v>
      </c>
      <c r="T4566" s="58" t="s">
        <v>701</v>
      </c>
      <c r="U4566" s="58" t="s">
        <v>702</v>
      </c>
    </row>
    <row r="4567" spans="1:21" x14ac:dyDescent="0.3">
      <c r="A4567" s="187">
        <v>1</v>
      </c>
      <c r="B4567" s="242">
        <f>DATE(nr_PlanYear-2,1,1)</f>
        <v>45658</v>
      </c>
      <c r="C4567" s="243">
        <f t="shared" ref="C4567:C4614" si="1610">EOMONTH($B4567,0)</f>
        <v>45688</v>
      </c>
      <c r="D4567" s="120">
        <f t="shared" ref="D4567:D4614" si="1611">$C4567-$B4567+1</f>
        <v>31</v>
      </c>
      <c r="E4567" s="120">
        <f t="shared" ref="E4567:E4614" si="1612">MONTH($B4567)</f>
        <v>1</v>
      </c>
      <c r="F4567" s="275">
        <f t="shared" ref="F4567:F4614" si="1613">($B4567+$C4567+1)/2</f>
        <v>45673.5</v>
      </c>
      <c r="G4567" s="120">
        <f t="shared" ref="G4567:G4614" si="1614">YEAR($B4567)*12+MONTH($B4567)-1</f>
        <v>24300</v>
      </c>
      <c r="H4567" s="245">
        <f t="shared" ref="H4567:H4614" si="1615">IF(OR(nr_SeasonOn="OFF",re_srow=0,re_ssum=0),1,12*INDEX(se_block,re_srow,$E4567)/re_ssum)</f>
        <v>1</v>
      </c>
      <c r="I4567" s="121">
        <f t="shared" ref="I4567:I4614" si="1616">EXP(SUMPRODUCT(($D$4268:$D$4507&lt;$B4567)*(rl_key=nr_SelKey)*$C$4268:$C$4507))</f>
        <v>1</v>
      </c>
      <c r="J4567" s="121">
        <f t="shared" ref="J4567:J4614" si="1617">EXP(SUMPRODUCT(($D$4268:$D$4507&lt;=$C4567)*(rl_key=nr_SelKey)*$C$4268:$C$4507))</f>
        <v>1</v>
      </c>
      <c r="K4567" s="120">
        <f t="shared" ref="K4567:K4614" si="1618">COUNTIFS(rl_key,nr_SelKey,$D$4268:$D$4507,"&gt;="&amp;$B4567,$D$4268:$D$4507,"&lt;="&amp;$C4567)</f>
        <v>0</v>
      </c>
      <c r="L4567" s="120">
        <f t="shared" ref="L4567:L4614" si="1619">SUMIFS($F$4268:$F$4507,rl_key,nr_SelKey,$E$4268:$E$4507,$B4567,$I$4268:$I$4507,1)</f>
        <v>0</v>
      </c>
      <c r="M4567" s="246">
        <f t="shared" ref="M4567:M4614" si="1620">IF($K4567=0,0,MIN(1,$L4567/$D4567))</f>
        <v>0</v>
      </c>
      <c r="N4567" s="121">
        <f t="shared" ref="N4567:N4614" si="1621">IF($K4567=0,$J4567,(1-$M4567)*$I4567+$M4567*$J4567)</f>
        <v>1</v>
      </c>
      <c r="P4567" s="121">
        <f t="shared" ref="P4567:P4614" si="1622">MIN(1,MAX(0,(nr_MEndPm1-$G4567+0.5)/nr_TermMonths))-MIN(1,MAX(0,(nr_MStartPm1-1-$G4567+0.5)/nr_TermMonths))</f>
        <v>0</v>
      </c>
      <c r="Q4567" s="121">
        <f t="shared" ref="Q4567:Q4614" si="1623">MIN(1,MAX(0,(nr_MEndP-$G4567+0.5)/nr_TermMonths))-MIN(1,MAX(0,(nr_MStartP-1-$G4567+0.5)/nr_TermMonths))</f>
        <v>0</v>
      </c>
      <c r="R4567" s="121">
        <f t="shared" ref="R4567:R4614" si="1624">MIN(1,MAX(0,(nr_MEndP1-$G4567+0.5)/nr_TermMonths))-MIN(1,MAX(0,(nr_MStartP1-1-$G4567+0.5)/nr_TermMonths))</f>
        <v>0</v>
      </c>
    </row>
    <row r="4568" spans="1:21" x14ac:dyDescent="0.3">
      <c r="A4568" s="187">
        <v>2</v>
      </c>
      <c r="B4568" s="242">
        <f t="shared" ref="B4568:B4614" si="1625">EDATE($B4567,1)</f>
        <v>45689</v>
      </c>
      <c r="C4568" s="243">
        <f t="shared" si="1610"/>
        <v>45716</v>
      </c>
      <c r="D4568" s="120">
        <f t="shared" si="1611"/>
        <v>28</v>
      </c>
      <c r="E4568" s="120">
        <f t="shared" si="1612"/>
        <v>2</v>
      </c>
      <c r="F4568" s="275">
        <f t="shared" si="1613"/>
        <v>45703</v>
      </c>
      <c r="G4568" s="120">
        <f t="shared" si="1614"/>
        <v>24301</v>
      </c>
      <c r="H4568" s="245">
        <f t="shared" si="1615"/>
        <v>1</v>
      </c>
      <c r="I4568" s="121">
        <f t="shared" si="1616"/>
        <v>1</v>
      </c>
      <c r="J4568" s="121">
        <f t="shared" si="1617"/>
        <v>1</v>
      </c>
      <c r="K4568" s="120">
        <f t="shared" si="1618"/>
        <v>0</v>
      </c>
      <c r="L4568" s="120">
        <f t="shared" si="1619"/>
        <v>0</v>
      </c>
      <c r="M4568" s="246">
        <f t="shared" si="1620"/>
        <v>0</v>
      </c>
      <c r="N4568" s="121">
        <f t="shared" si="1621"/>
        <v>1</v>
      </c>
      <c r="P4568" s="121">
        <f t="shared" si="1622"/>
        <v>0</v>
      </c>
      <c r="Q4568" s="121">
        <f t="shared" si="1623"/>
        <v>0</v>
      </c>
      <c r="R4568" s="121">
        <f t="shared" si="1624"/>
        <v>0</v>
      </c>
    </row>
    <row r="4569" spans="1:21" x14ac:dyDescent="0.3">
      <c r="A4569" s="187">
        <v>3</v>
      </c>
      <c r="B4569" s="242">
        <f t="shared" si="1625"/>
        <v>45717</v>
      </c>
      <c r="C4569" s="243">
        <f t="shared" si="1610"/>
        <v>45747</v>
      </c>
      <c r="D4569" s="120">
        <f t="shared" si="1611"/>
        <v>31</v>
      </c>
      <c r="E4569" s="120">
        <f t="shared" si="1612"/>
        <v>3</v>
      </c>
      <c r="F4569" s="275">
        <f t="shared" si="1613"/>
        <v>45732.5</v>
      </c>
      <c r="G4569" s="120">
        <f t="shared" si="1614"/>
        <v>24302</v>
      </c>
      <c r="H4569" s="245">
        <f t="shared" si="1615"/>
        <v>1</v>
      </c>
      <c r="I4569" s="121">
        <f t="shared" si="1616"/>
        <v>1</v>
      </c>
      <c r="J4569" s="121">
        <f t="shared" si="1617"/>
        <v>1</v>
      </c>
      <c r="K4569" s="120">
        <f t="shared" si="1618"/>
        <v>0</v>
      </c>
      <c r="L4569" s="120">
        <f t="shared" si="1619"/>
        <v>0</v>
      </c>
      <c r="M4569" s="246">
        <f t="shared" si="1620"/>
        <v>0</v>
      </c>
      <c r="N4569" s="121">
        <f t="shared" si="1621"/>
        <v>1</v>
      </c>
      <c r="P4569" s="121">
        <f t="shared" si="1622"/>
        <v>0</v>
      </c>
      <c r="Q4569" s="121">
        <f t="shared" si="1623"/>
        <v>0</v>
      </c>
      <c r="R4569" s="121">
        <f t="shared" si="1624"/>
        <v>0</v>
      </c>
    </row>
    <row r="4570" spans="1:21" x14ac:dyDescent="0.3">
      <c r="A4570" s="187">
        <v>4</v>
      </c>
      <c r="B4570" s="242">
        <f t="shared" si="1625"/>
        <v>45748</v>
      </c>
      <c r="C4570" s="243">
        <f t="shared" si="1610"/>
        <v>45777</v>
      </c>
      <c r="D4570" s="120">
        <f t="shared" si="1611"/>
        <v>30</v>
      </c>
      <c r="E4570" s="120">
        <f t="shared" si="1612"/>
        <v>4</v>
      </c>
      <c r="F4570" s="275">
        <f t="shared" si="1613"/>
        <v>45763</v>
      </c>
      <c r="G4570" s="120">
        <f t="shared" si="1614"/>
        <v>24303</v>
      </c>
      <c r="H4570" s="245">
        <f t="shared" si="1615"/>
        <v>1</v>
      </c>
      <c r="I4570" s="121">
        <f t="shared" si="1616"/>
        <v>1</v>
      </c>
      <c r="J4570" s="121">
        <f t="shared" si="1617"/>
        <v>1</v>
      </c>
      <c r="K4570" s="120">
        <f t="shared" si="1618"/>
        <v>0</v>
      </c>
      <c r="L4570" s="120">
        <f t="shared" si="1619"/>
        <v>0</v>
      </c>
      <c r="M4570" s="246">
        <f t="shared" si="1620"/>
        <v>0</v>
      </c>
      <c r="N4570" s="121">
        <f t="shared" si="1621"/>
        <v>1</v>
      </c>
      <c r="P4570" s="121">
        <f t="shared" si="1622"/>
        <v>0</v>
      </c>
      <c r="Q4570" s="121">
        <f t="shared" si="1623"/>
        <v>0</v>
      </c>
      <c r="R4570" s="121">
        <f t="shared" si="1624"/>
        <v>0</v>
      </c>
    </row>
    <row r="4571" spans="1:21" x14ac:dyDescent="0.3">
      <c r="A4571" s="187">
        <v>5</v>
      </c>
      <c r="B4571" s="242">
        <f t="shared" si="1625"/>
        <v>45778</v>
      </c>
      <c r="C4571" s="243">
        <f t="shared" si="1610"/>
        <v>45808</v>
      </c>
      <c r="D4571" s="120">
        <f t="shared" si="1611"/>
        <v>31</v>
      </c>
      <c r="E4571" s="120">
        <f t="shared" si="1612"/>
        <v>5</v>
      </c>
      <c r="F4571" s="275">
        <f t="shared" si="1613"/>
        <v>45793.5</v>
      </c>
      <c r="G4571" s="120">
        <f t="shared" si="1614"/>
        <v>24304</v>
      </c>
      <c r="H4571" s="245">
        <f t="shared" si="1615"/>
        <v>1</v>
      </c>
      <c r="I4571" s="121">
        <f t="shared" si="1616"/>
        <v>1</v>
      </c>
      <c r="J4571" s="121">
        <f t="shared" si="1617"/>
        <v>1</v>
      </c>
      <c r="K4571" s="120">
        <f t="shared" si="1618"/>
        <v>0</v>
      </c>
      <c r="L4571" s="120">
        <f t="shared" si="1619"/>
        <v>0</v>
      </c>
      <c r="M4571" s="246">
        <f t="shared" si="1620"/>
        <v>0</v>
      </c>
      <c r="N4571" s="121">
        <f t="shared" si="1621"/>
        <v>1</v>
      </c>
      <c r="P4571" s="121">
        <f t="shared" si="1622"/>
        <v>0</v>
      </c>
      <c r="Q4571" s="121">
        <f t="shared" si="1623"/>
        <v>0</v>
      </c>
      <c r="R4571" s="121">
        <f t="shared" si="1624"/>
        <v>0</v>
      </c>
    </row>
    <row r="4572" spans="1:21" x14ac:dyDescent="0.3">
      <c r="A4572" s="187">
        <v>6</v>
      </c>
      <c r="B4572" s="242">
        <f t="shared" si="1625"/>
        <v>45809</v>
      </c>
      <c r="C4572" s="243">
        <f t="shared" si="1610"/>
        <v>45838</v>
      </c>
      <c r="D4572" s="120">
        <f t="shared" si="1611"/>
        <v>30</v>
      </c>
      <c r="E4572" s="120">
        <f t="shared" si="1612"/>
        <v>6</v>
      </c>
      <c r="F4572" s="275">
        <f t="shared" si="1613"/>
        <v>45824</v>
      </c>
      <c r="G4572" s="120">
        <f t="shared" si="1614"/>
        <v>24305</v>
      </c>
      <c r="H4572" s="245">
        <f t="shared" si="1615"/>
        <v>1</v>
      </c>
      <c r="I4572" s="121">
        <f t="shared" si="1616"/>
        <v>1</v>
      </c>
      <c r="J4572" s="121">
        <f t="shared" si="1617"/>
        <v>1</v>
      </c>
      <c r="K4572" s="120">
        <f t="shared" si="1618"/>
        <v>0</v>
      </c>
      <c r="L4572" s="120">
        <f t="shared" si="1619"/>
        <v>0</v>
      </c>
      <c r="M4572" s="246">
        <f t="shared" si="1620"/>
        <v>0</v>
      </c>
      <c r="N4572" s="121">
        <f t="shared" si="1621"/>
        <v>1</v>
      </c>
      <c r="P4572" s="121">
        <f t="shared" si="1622"/>
        <v>0</v>
      </c>
      <c r="Q4572" s="121">
        <f t="shared" si="1623"/>
        <v>0</v>
      </c>
      <c r="R4572" s="121">
        <f t="shared" si="1624"/>
        <v>0</v>
      </c>
    </row>
    <row r="4573" spans="1:21" x14ac:dyDescent="0.3">
      <c r="A4573" s="187">
        <v>7</v>
      </c>
      <c r="B4573" s="242">
        <f t="shared" si="1625"/>
        <v>45839</v>
      </c>
      <c r="C4573" s="243">
        <f t="shared" si="1610"/>
        <v>45869</v>
      </c>
      <c r="D4573" s="120">
        <f t="shared" si="1611"/>
        <v>31</v>
      </c>
      <c r="E4573" s="120">
        <f t="shared" si="1612"/>
        <v>7</v>
      </c>
      <c r="F4573" s="275">
        <f t="shared" si="1613"/>
        <v>45854.5</v>
      </c>
      <c r="G4573" s="120">
        <f t="shared" si="1614"/>
        <v>24306</v>
      </c>
      <c r="H4573" s="245">
        <f t="shared" si="1615"/>
        <v>1</v>
      </c>
      <c r="I4573" s="121">
        <f t="shared" si="1616"/>
        <v>1</v>
      </c>
      <c r="J4573" s="121">
        <f t="shared" si="1617"/>
        <v>1.04</v>
      </c>
      <c r="K4573" s="120">
        <f t="shared" si="1618"/>
        <v>1</v>
      </c>
      <c r="L4573" s="120">
        <f t="shared" si="1619"/>
        <v>31</v>
      </c>
      <c r="M4573" s="246">
        <f t="shared" si="1620"/>
        <v>1</v>
      </c>
      <c r="N4573" s="121">
        <f t="shared" si="1621"/>
        <v>1.04</v>
      </c>
      <c r="P4573" s="121">
        <f t="shared" si="1622"/>
        <v>8.333333333333337E-2</v>
      </c>
      <c r="Q4573" s="121">
        <f t="shared" si="1623"/>
        <v>0</v>
      </c>
      <c r="R4573" s="121">
        <f t="shared" si="1624"/>
        <v>0</v>
      </c>
    </row>
    <row r="4574" spans="1:21" x14ac:dyDescent="0.3">
      <c r="A4574" s="187">
        <v>8</v>
      </c>
      <c r="B4574" s="242">
        <f t="shared" si="1625"/>
        <v>45870</v>
      </c>
      <c r="C4574" s="243">
        <f t="shared" si="1610"/>
        <v>45900</v>
      </c>
      <c r="D4574" s="120">
        <f t="shared" si="1611"/>
        <v>31</v>
      </c>
      <c r="E4574" s="120">
        <f t="shared" si="1612"/>
        <v>8</v>
      </c>
      <c r="F4574" s="275">
        <f t="shared" si="1613"/>
        <v>45885.5</v>
      </c>
      <c r="G4574" s="120">
        <f t="shared" si="1614"/>
        <v>24307</v>
      </c>
      <c r="H4574" s="245">
        <f t="shared" si="1615"/>
        <v>1</v>
      </c>
      <c r="I4574" s="121">
        <f t="shared" si="1616"/>
        <v>1.04</v>
      </c>
      <c r="J4574" s="121">
        <f t="shared" si="1617"/>
        <v>1.04</v>
      </c>
      <c r="K4574" s="120">
        <f t="shared" si="1618"/>
        <v>0</v>
      </c>
      <c r="L4574" s="120">
        <f t="shared" si="1619"/>
        <v>0</v>
      </c>
      <c r="M4574" s="246">
        <f t="shared" si="1620"/>
        <v>0</v>
      </c>
      <c r="N4574" s="121">
        <f t="shared" si="1621"/>
        <v>1.04</v>
      </c>
      <c r="P4574" s="121">
        <f t="shared" si="1622"/>
        <v>0.25</v>
      </c>
      <c r="Q4574" s="121">
        <f t="shared" si="1623"/>
        <v>0</v>
      </c>
      <c r="R4574" s="121">
        <f t="shared" si="1624"/>
        <v>0</v>
      </c>
    </row>
    <row r="4575" spans="1:21" x14ac:dyDescent="0.3">
      <c r="A4575" s="187">
        <v>9</v>
      </c>
      <c r="B4575" s="242">
        <f t="shared" si="1625"/>
        <v>45901</v>
      </c>
      <c r="C4575" s="243">
        <f t="shared" si="1610"/>
        <v>45930</v>
      </c>
      <c r="D4575" s="120">
        <f t="shared" si="1611"/>
        <v>30</v>
      </c>
      <c r="E4575" s="120">
        <f t="shared" si="1612"/>
        <v>9</v>
      </c>
      <c r="F4575" s="275">
        <f t="shared" si="1613"/>
        <v>45916</v>
      </c>
      <c r="G4575" s="120">
        <f t="shared" si="1614"/>
        <v>24308</v>
      </c>
      <c r="H4575" s="245">
        <f t="shared" si="1615"/>
        <v>1</v>
      </c>
      <c r="I4575" s="121">
        <f t="shared" si="1616"/>
        <v>1.04</v>
      </c>
      <c r="J4575" s="121">
        <f t="shared" si="1617"/>
        <v>1.04</v>
      </c>
      <c r="K4575" s="120">
        <f t="shared" si="1618"/>
        <v>0</v>
      </c>
      <c r="L4575" s="120">
        <f t="shared" si="1619"/>
        <v>0</v>
      </c>
      <c r="M4575" s="246">
        <f t="shared" si="1620"/>
        <v>0</v>
      </c>
      <c r="N4575" s="121">
        <f t="shared" si="1621"/>
        <v>1.04</v>
      </c>
      <c r="P4575" s="121">
        <f t="shared" si="1622"/>
        <v>0.41666666666666663</v>
      </c>
      <c r="Q4575" s="121">
        <f t="shared" si="1623"/>
        <v>0</v>
      </c>
      <c r="R4575" s="121">
        <f t="shared" si="1624"/>
        <v>0</v>
      </c>
    </row>
    <row r="4576" spans="1:21" x14ac:dyDescent="0.3">
      <c r="A4576" s="187">
        <v>10</v>
      </c>
      <c r="B4576" s="242">
        <f t="shared" si="1625"/>
        <v>45931</v>
      </c>
      <c r="C4576" s="243">
        <f t="shared" si="1610"/>
        <v>45961</v>
      </c>
      <c r="D4576" s="120">
        <f t="shared" si="1611"/>
        <v>31</v>
      </c>
      <c r="E4576" s="120">
        <f t="shared" si="1612"/>
        <v>10</v>
      </c>
      <c r="F4576" s="275">
        <f t="shared" si="1613"/>
        <v>45946.5</v>
      </c>
      <c r="G4576" s="120">
        <f t="shared" si="1614"/>
        <v>24309</v>
      </c>
      <c r="H4576" s="245">
        <f t="shared" si="1615"/>
        <v>1</v>
      </c>
      <c r="I4576" s="121">
        <f t="shared" si="1616"/>
        <v>1.04</v>
      </c>
      <c r="J4576" s="121">
        <f t="shared" si="1617"/>
        <v>1.04</v>
      </c>
      <c r="K4576" s="120">
        <f t="shared" si="1618"/>
        <v>0</v>
      </c>
      <c r="L4576" s="120">
        <f t="shared" si="1619"/>
        <v>0</v>
      </c>
      <c r="M4576" s="246">
        <f t="shared" si="1620"/>
        <v>0</v>
      </c>
      <c r="N4576" s="121">
        <f t="shared" si="1621"/>
        <v>1.04</v>
      </c>
      <c r="P4576" s="121">
        <f t="shared" si="1622"/>
        <v>0.58333333333333326</v>
      </c>
      <c r="Q4576" s="121">
        <f t="shared" si="1623"/>
        <v>0</v>
      </c>
      <c r="R4576" s="121">
        <f t="shared" si="1624"/>
        <v>0</v>
      </c>
    </row>
    <row r="4577" spans="1:18" x14ac:dyDescent="0.3">
      <c r="A4577" s="187">
        <v>11</v>
      </c>
      <c r="B4577" s="242">
        <f t="shared" si="1625"/>
        <v>45962</v>
      </c>
      <c r="C4577" s="243">
        <f t="shared" si="1610"/>
        <v>45991</v>
      </c>
      <c r="D4577" s="120">
        <f t="shared" si="1611"/>
        <v>30</v>
      </c>
      <c r="E4577" s="120">
        <f t="shared" si="1612"/>
        <v>11</v>
      </c>
      <c r="F4577" s="275">
        <f t="shared" si="1613"/>
        <v>45977</v>
      </c>
      <c r="G4577" s="120">
        <f t="shared" si="1614"/>
        <v>24310</v>
      </c>
      <c r="H4577" s="245">
        <f t="shared" si="1615"/>
        <v>1</v>
      </c>
      <c r="I4577" s="121">
        <f t="shared" si="1616"/>
        <v>1.04</v>
      </c>
      <c r="J4577" s="121">
        <f t="shared" si="1617"/>
        <v>1.04</v>
      </c>
      <c r="K4577" s="120">
        <f t="shared" si="1618"/>
        <v>0</v>
      </c>
      <c r="L4577" s="120">
        <f t="shared" si="1619"/>
        <v>0</v>
      </c>
      <c r="M4577" s="246">
        <f t="shared" si="1620"/>
        <v>0</v>
      </c>
      <c r="N4577" s="121">
        <f t="shared" si="1621"/>
        <v>1.04</v>
      </c>
      <c r="P4577" s="121">
        <f t="shared" si="1622"/>
        <v>0.75</v>
      </c>
      <c r="Q4577" s="121">
        <f t="shared" si="1623"/>
        <v>0</v>
      </c>
      <c r="R4577" s="121">
        <f t="shared" si="1624"/>
        <v>0</v>
      </c>
    </row>
    <row r="4578" spans="1:18" x14ac:dyDescent="0.3">
      <c r="A4578" s="187">
        <v>12</v>
      </c>
      <c r="B4578" s="242">
        <f t="shared" si="1625"/>
        <v>45992</v>
      </c>
      <c r="C4578" s="243">
        <f t="shared" si="1610"/>
        <v>46022</v>
      </c>
      <c r="D4578" s="120">
        <f t="shared" si="1611"/>
        <v>31</v>
      </c>
      <c r="E4578" s="120">
        <f t="shared" si="1612"/>
        <v>12</v>
      </c>
      <c r="F4578" s="275">
        <f t="shared" si="1613"/>
        <v>46007.5</v>
      </c>
      <c r="G4578" s="120">
        <f t="shared" si="1614"/>
        <v>24311</v>
      </c>
      <c r="H4578" s="245">
        <f t="shared" si="1615"/>
        <v>1</v>
      </c>
      <c r="I4578" s="121">
        <f t="shared" si="1616"/>
        <v>1.04</v>
      </c>
      <c r="J4578" s="121">
        <f t="shared" si="1617"/>
        <v>1.04</v>
      </c>
      <c r="K4578" s="120">
        <f t="shared" si="1618"/>
        <v>0</v>
      </c>
      <c r="L4578" s="120">
        <f t="shared" si="1619"/>
        <v>0</v>
      </c>
      <c r="M4578" s="246">
        <f t="shared" si="1620"/>
        <v>0</v>
      </c>
      <c r="N4578" s="121">
        <f t="shared" si="1621"/>
        <v>1.04</v>
      </c>
      <c r="P4578" s="121">
        <f t="shared" si="1622"/>
        <v>0.91666666666666663</v>
      </c>
      <c r="Q4578" s="121">
        <f t="shared" si="1623"/>
        <v>0</v>
      </c>
      <c r="R4578" s="121">
        <f t="shared" si="1624"/>
        <v>0</v>
      </c>
    </row>
    <row r="4579" spans="1:18" x14ac:dyDescent="0.3">
      <c r="A4579" s="187">
        <v>13</v>
      </c>
      <c r="B4579" s="242">
        <f t="shared" si="1625"/>
        <v>46023</v>
      </c>
      <c r="C4579" s="243">
        <f t="shared" si="1610"/>
        <v>46053</v>
      </c>
      <c r="D4579" s="120">
        <f t="shared" si="1611"/>
        <v>31</v>
      </c>
      <c r="E4579" s="120">
        <f t="shared" si="1612"/>
        <v>1</v>
      </c>
      <c r="F4579" s="275">
        <f t="shared" si="1613"/>
        <v>46038.5</v>
      </c>
      <c r="G4579" s="120">
        <f t="shared" si="1614"/>
        <v>24312</v>
      </c>
      <c r="H4579" s="245">
        <f t="shared" si="1615"/>
        <v>1</v>
      </c>
      <c r="I4579" s="121">
        <f t="shared" si="1616"/>
        <v>1.04</v>
      </c>
      <c r="J4579" s="121">
        <f t="shared" si="1617"/>
        <v>1.04</v>
      </c>
      <c r="K4579" s="120">
        <f t="shared" si="1618"/>
        <v>0</v>
      </c>
      <c r="L4579" s="120">
        <f t="shared" si="1619"/>
        <v>0</v>
      </c>
      <c r="M4579" s="246">
        <f t="shared" si="1620"/>
        <v>0</v>
      </c>
      <c r="N4579" s="121">
        <f t="shared" si="1621"/>
        <v>1.04</v>
      </c>
      <c r="P4579" s="121">
        <f t="shared" si="1622"/>
        <v>1</v>
      </c>
      <c r="Q4579" s="121">
        <f t="shared" si="1623"/>
        <v>0</v>
      </c>
      <c r="R4579" s="121">
        <f t="shared" si="1624"/>
        <v>0</v>
      </c>
    </row>
    <row r="4580" spans="1:18" x14ac:dyDescent="0.3">
      <c r="A4580" s="187">
        <v>14</v>
      </c>
      <c r="B4580" s="242">
        <f t="shared" si="1625"/>
        <v>46054</v>
      </c>
      <c r="C4580" s="243">
        <f t="shared" si="1610"/>
        <v>46081</v>
      </c>
      <c r="D4580" s="120">
        <f t="shared" si="1611"/>
        <v>28</v>
      </c>
      <c r="E4580" s="120">
        <f t="shared" si="1612"/>
        <v>2</v>
      </c>
      <c r="F4580" s="275">
        <f t="shared" si="1613"/>
        <v>46068</v>
      </c>
      <c r="G4580" s="120">
        <f t="shared" si="1614"/>
        <v>24313</v>
      </c>
      <c r="H4580" s="245">
        <f t="shared" si="1615"/>
        <v>1</v>
      </c>
      <c r="I4580" s="121">
        <f t="shared" si="1616"/>
        <v>1.04</v>
      </c>
      <c r="J4580" s="121">
        <f t="shared" si="1617"/>
        <v>1.04</v>
      </c>
      <c r="K4580" s="120">
        <f t="shared" si="1618"/>
        <v>0</v>
      </c>
      <c r="L4580" s="120">
        <f t="shared" si="1619"/>
        <v>0</v>
      </c>
      <c r="M4580" s="246">
        <f t="shared" si="1620"/>
        <v>0</v>
      </c>
      <c r="N4580" s="121">
        <f t="shared" si="1621"/>
        <v>1.04</v>
      </c>
      <c r="P4580" s="121">
        <f t="shared" si="1622"/>
        <v>1</v>
      </c>
      <c r="Q4580" s="121">
        <f t="shared" si="1623"/>
        <v>0</v>
      </c>
      <c r="R4580" s="121">
        <f t="shared" si="1624"/>
        <v>0</v>
      </c>
    </row>
    <row r="4581" spans="1:18" x14ac:dyDescent="0.3">
      <c r="A4581" s="187">
        <v>15</v>
      </c>
      <c r="B4581" s="242">
        <f t="shared" si="1625"/>
        <v>46082</v>
      </c>
      <c r="C4581" s="243">
        <f t="shared" si="1610"/>
        <v>46112</v>
      </c>
      <c r="D4581" s="120">
        <f t="shared" si="1611"/>
        <v>31</v>
      </c>
      <c r="E4581" s="120">
        <f t="shared" si="1612"/>
        <v>3</v>
      </c>
      <c r="F4581" s="275">
        <f t="shared" si="1613"/>
        <v>46097.5</v>
      </c>
      <c r="G4581" s="120">
        <f t="shared" si="1614"/>
        <v>24314</v>
      </c>
      <c r="H4581" s="245">
        <f t="shared" si="1615"/>
        <v>1</v>
      </c>
      <c r="I4581" s="121">
        <f t="shared" si="1616"/>
        <v>1.04</v>
      </c>
      <c r="J4581" s="121">
        <f t="shared" si="1617"/>
        <v>1.04</v>
      </c>
      <c r="K4581" s="120">
        <f t="shared" si="1618"/>
        <v>0</v>
      </c>
      <c r="L4581" s="120">
        <f t="shared" si="1619"/>
        <v>0</v>
      </c>
      <c r="M4581" s="246">
        <f t="shared" si="1620"/>
        <v>0</v>
      </c>
      <c r="N4581" s="121">
        <f t="shared" si="1621"/>
        <v>1.04</v>
      </c>
      <c r="P4581" s="121">
        <f t="shared" si="1622"/>
        <v>1</v>
      </c>
      <c r="Q4581" s="121">
        <f t="shared" si="1623"/>
        <v>0</v>
      </c>
      <c r="R4581" s="121">
        <f t="shared" si="1624"/>
        <v>0</v>
      </c>
    </row>
    <row r="4582" spans="1:18" x14ac:dyDescent="0.3">
      <c r="A4582" s="187">
        <v>16</v>
      </c>
      <c r="B4582" s="242">
        <f t="shared" si="1625"/>
        <v>46113</v>
      </c>
      <c r="C4582" s="243">
        <f t="shared" si="1610"/>
        <v>46142</v>
      </c>
      <c r="D4582" s="120">
        <f t="shared" si="1611"/>
        <v>30</v>
      </c>
      <c r="E4582" s="120">
        <f t="shared" si="1612"/>
        <v>4</v>
      </c>
      <c r="F4582" s="275">
        <f t="shared" si="1613"/>
        <v>46128</v>
      </c>
      <c r="G4582" s="120">
        <f t="shared" si="1614"/>
        <v>24315</v>
      </c>
      <c r="H4582" s="245">
        <f t="shared" si="1615"/>
        <v>1</v>
      </c>
      <c r="I4582" s="121">
        <f t="shared" si="1616"/>
        <v>1.04</v>
      </c>
      <c r="J4582" s="121">
        <f t="shared" si="1617"/>
        <v>1.04</v>
      </c>
      <c r="K4582" s="120">
        <f t="shared" si="1618"/>
        <v>0</v>
      </c>
      <c r="L4582" s="120">
        <f t="shared" si="1619"/>
        <v>0</v>
      </c>
      <c r="M4582" s="246">
        <f t="shared" si="1620"/>
        <v>0</v>
      </c>
      <c r="N4582" s="121">
        <f t="shared" si="1621"/>
        <v>1.04</v>
      </c>
      <c r="P4582" s="121">
        <f t="shared" si="1622"/>
        <v>1</v>
      </c>
      <c r="Q4582" s="121">
        <f t="shared" si="1623"/>
        <v>0</v>
      </c>
      <c r="R4582" s="121">
        <f t="shared" si="1624"/>
        <v>0</v>
      </c>
    </row>
    <row r="4583" spans="1:18" x14ac:dyDescent="0.3">
      <c r="A4583" s="187">
        <v>17</v>
      </c>
      <c r="B4583" s="242">
        <f t="shared" si="1625"/>
        <v>46143</v>
      </c>
      <c r="C4583" s="243">
        <f t="shared" si="1610"/>
        <v>46173</v>
      </c>
      <c r="D4583" s="120">
        <f t="shared" si="1611"/>
        <v>31</v>
      </c>
      <c r="E4583" s="120">
        <f t="shared" si="1612"/>
        <v>5</v>
      </c>
      <c r="F4583" s="275">
        <f t="shared" si="1613"/>
        <v>46158.5</v>
      </c>
      <c r="G4583" s="120">
        <f t="shared" si="1614"/>
        <v>24316</v>
      </c>
      <c r="H4583" s="245">
        <f t="shared" si="1615"/>
        <v>1</v>
      </c>
      <c r="I4583" s="121">
        <f t="shared" si="1616"/>
        <v>1.04</v>
      </c>
      <c r="J4583" s="121">
        <f t="shared" si="1617"/>
        <v>1.04</v>
      </c>
      <c r="K4583" s="120">
        <f t="shared" si="1618"/>
        <v>0</v>
      </c>
      <c r="L4583" s="120">
        <f t="shared" si="1619"/>
        <v>0</v>
      </c>
      <c r="M4583" s="246">
        <f t="shared" si="1620"/>
        <v>0</v>
      </c>
      <c r="N4583" s="121">
        <f t="shared" si="1621"/>
        <v>1.04</v>
      </c>
      <c r="P4583" s="121">
        <f t="shared" si="1622"/>
        <v>1</v>
      </c>
      <c r="Q4583" s="121">
        <f t="shared" si="1623"/>
        <v>0</v>
      </c>
      <c r="R4583" s="121">
        <f t="shared" si="1624"/>
        <v>0</v>
      </c>
    </row>
    <row r="4584" spans="1:18" x14ac:dyDescent="0.3">
      <c r="A4584" s="187">
        <v>18</v>
      </c>
      <c r="B4584" s="242">
        <f t="shared" si="1625"/>
        <v>46174</v>
      </c>
      <c r="C4584" s="243">
        <f t="shared" si="1610"/>
        <v>46203</v>
      </c>
      <c r="D4584" s="120">
        <f t="shared" si="1611"/>
        <v>30</v>
      </c>
      <c r="E4584" s="120">
        <f t="shared" si="1612"/>
        <v>6</v>
      </c>
      <c r="F4584" s="275">
        <f t="shared" si="1613"/>
        <v>46189</v>
      </c>
      <c r="G4584" s="120">
        <f t="shared" si="1614"/>
        <v>24317</v>
      </c>
      <c r="H4584" s="245">
        <f t="shared" si="1615"/>
        <v>1</v>
      </c>
      <c r="I4584" s="121">
        <f t="shared" si="1616"/>
        <v>1.04</v>
      </c>
      <c r="J4584" s="121">
        <f t="shared" si="1617"/>
        <v>1.04</v>
      </c>
      <c r="K4584" s="120">
        <f t="shared" si="1618"/>
        <v>0</v>
      </c>
      <c r="L4584" s="120">
        <f t="shared" si="1619"/>
        <v>0</v>
      </c>
      <c r="M4584" s="246">
        <f t="shared" si="1620"/>
        <v>0</v>
      </c>
      <c r="N4584" s="121">
        <f t="shared" si="1621"/>
        <v>1.04</v>
      </c>
      <c r="P4584" s="121">
        <f t="shared" si="1622"/>
        <v>1</v>
      </c>
      <c r="Q4584" s="121">
        <f t="shared" si="1623"/>
        <v>0</v>
      </c>
      <c r="R4584" s="121">
        <f t="shared" si="1624"/>
        <v>0</v>
      </c>
    </row>
    <row r="4585" spans="1:18" x14ac:dyDescent="0.3">
      <c r="A4585" s="187">
        <v>19</v>
      </c>
      <c r="B4585" s="242">
        <f t="shared" si="1625"/>
        <v>46204</v>
      </c>
      <c r="C4585" s="243">
        <f t="shared" si="1610"/>
        <v>46234</v>
      </c>
      <c r="D4585" s="120">
        <f t="shared" si="1611"/>
        <v>31</v>
      </c>
      <c r="E4585" s="120">
        <f t="shared" si="1612"/>
        <v>7</v>
      </c>
      <c r="F4585" s="275">
        <f t="shared" si="1613"/>
        <v>46219.5</v>
      </c>
      <c r="G4585" s="120">
        <f t="shared" si="1614"/>
        <v>24318</v>
      </c>
      <c r="H4585" s="245">
        <f t="shared" si="1615"/>
        <v>1</v>
      </c>
      <c r="I4585" s="121">
        <f t="shared" si="1616"/>
        <v>1.04</v>
      </c>
      <c r="J4585" s="121">
        <f t="shared" si="1617"/>
        <v>1.1024</v>
      </c>
      <c r="K4585" s="120">
        <f t="shared" si="1618"/>
        <v>1</v>
      </c>
      <c r="L4585" s="120">
        <f t="shared" si="1619"/>
        <v>31</v>
      </c>
      <c r="M4585" s="246">
        <f t="shared" si="1620"/>
        <v>1</v>
      </c>
      <c r="N4585" s="121">
        <f t="shared" si="1621"/>
        <v>1.1024</v>
      </c>
      <c r="P4585" s="121">
        <f t="shared" si="1622"/>
        <v>0.91666666666666663</v>
      </c>
      <c r="Q4585" s="121">
        <f t="shared" si="1623"/>
        <v>8.333333333333337E-2</v>
      </c>
      <c r="R4585" s="121">
        <f t="shared" si="1624"/>
        <v>0</v>
      </c>
    </row>
    <row r="4586" spans="1:18" x14ac:dyDescent="0.3">
      <c r="A4586" s="187">
        <v>20</v>
      </c>
      <c r="B4586" s="242">
        <f t="shared" si="1625"/>
        <v>46235</v>
      </c>
      <c r="C4586" s="243">
        <f t="shared" si="1610"/>
        <v>46265</v>
      </c>
      <c r="D4586" s="120">
        <f t="shared" si="1611"/>
        <v>31</v>
      </c>
      <c r="E4586" s="120">
        <f t="shared" si="1612"/>
        <v>8</v>
      </c>
      <c r="F4586" s="275">
        <f t="shared" si="1613"/>
        <v>46250.5</v>
      </c>
      <c r="G4586" s="120">
        <f t="shared" si="1614"/>
        <v>24319</v>
      </c>
      <c r="H4586" s="245">
        <f t="shared" si="1615"/>
        <v>1</v>
      </c>
      <c r="I4586" s="121">
        <f t="shared" si="1616"/>
        <v>1.1024</v>
      </c>
      <c r="J4586" s="121">
        <f t="shared" si="1617"/>
        <v>1.1024</v>
      </c>
      <c r="K4586" s="120">
        <f t="shared" si="1618"/>
        <v>0</v>
      </c>
      <c r="L4586" s="120">
        <f t="shared" si="1619"/>
        <v>0</v>
      </c>
      <c r="M4586" s="246">
        <f t="shared" si="1620"/>
        <v>0</v>
      </c>
      <c r="N4586" s="121">
        <f t="shared" si="1621"/>
        <v>1.1024</v>
      </c>
      <c r="P4586" s="121">
        <f t="shared" si="1622"/>
        <v>0.75</v>
      </c>
      <c r="Q4586" s="121">
        <f t="shared" si="1623"/>
        <v>0.25</v>
      </c>
      <c r="R4586" s="121">
        <f t="shared" si="1624"/>
        <v>0</v>
      </c>
    </row>
    <row r="4587" spans="1:18" x14ac:dyDescent="0.3">
      <c r="A4587" s="187">
        <v>21</v>
      </c>
      <c r="B4587" s="242">
        <f t="shared" si="1625"/>
        <v>46266</v>
      </c>
      <c r="C4587" s="243">
        <f t="shared" si="1610"/>
        <v>46295</v>
      </c>
      <c r="D4587" s="120">
        <f t="shared" si="1611"/>
        <v>30</v>
      </c>
      <c r="E4587" s="120">
        <f t="shared" si="1612"/>
        <v>9</v>
      </c>
      <c r="F4587" s="275">
        <f t="shared" si="1613"/>
        <v>46281</v>
      </c>
      <c r="G4587" s="120">
        <f t="shared" si="1614"/>
        <v>24320</v>
      </c>
      <c r="H4587" s="245">
        <f t="shared" si="1615"/>
        <v>1</v>
      </c>
      <c r="I4587" s="121">
        <f t="shared" si="1616"/>
        <v>1.1024</v>
      </c>
      <c r="J4587" s="121">
        <f t="shared" si="1617"/>
        <v>1.1024</v>
      </c>
      <c r="K4587" s="120">
        <f t="shared" si="1618"/>
        <v>0</v>
      </c>
      <c r="L4587" s="120">
        <f t="shared" si="1619"/>
        <v>0</v>
      </c>
      <c r="M4587" s="246">
        <f t="shared" si="1620"/>
        <v>0</v>
      </c>
      <c r="N4587" s="121">
        <f t="shared" si="1621"/>
        <v>1.1024</v>
      </c>
      <c r="P4587" s="121">
        <f t="shared" si="1622"/>
        <v>0.58333333333333337</v>
      </c>
      <c r="Q4587" s="121">
        <f t="shared" si="1623"/>
        <v>0.41666666666666663</v>
      </c>
      <c r="R4587" s="121">
        <f t="shared" si="1624"/>
        <v>0</v>
      </c>
    </row>
    <row r="4588" spans="1:18" x14ac:dyDescent="0.3">
      <c r="A4588" s="187">
        <v>22</v>
      </c>
      <c r="B4588" s="242">
        <f t="shared" si="1625"/>
        <v>46296</v>
      </c>
      <c r="C4588" s="243">
        <f t="shared" si="1610"/>
        <v>46326</v>
      </c>
      <c r="D4588" s="120">
        <f t="shared" si="1611"/>
        <v>31</v>
      </c>
      <c r="E4588" s="120">
        <f t="shared" si="1612"/>
        <v>10</v>
      </c>
      <c r="F4588" s="275">
        <f t="shared" si="1613"/>
        <v>46311.5</v>
      </c>
      <c r="G4588" s="120">
        <f t="shared" si="1614"/>
        <v>24321</v>
      </c>
      <c r="H4588" s="245">
        <f t="shared" si="1615"/>
        <v>1</v>
      </c>
      <c r="I4588" s="121">
        <f t="shared" si="1616"/>
        <v>1.1024</v>
      </c>
      <c r="J4588" s="121">
        <f t="shared" si="1617"/>
        <v>1.1024</v>
      </c>
      <c r="K4588" s="120">
        <f t="shared" si="1618"/>
        <v>0</v>
      </c>
      <c r="L4588" s="120">
        <f t="shared" si="1619"/>
        <v>0</v>
      </c>
      <c r="M4588" s="246">
        <f t="shared" si="1620"/>
        <v>0</v>
      </c>
      <c r="N4588" s="121">
        <f t="shared" si="1621"/>
        <v>1.1024</v>
      </c>
      <c r="P4588" s="121">
        <f t="shared" si="1622"/>
        <v>0.41666666666666669</v>
      </c>
      <c r="Q4588" s="121">
        <f t="shared" si="1623"/>
        <v>0.58333333333333326</v>
      </c>
      <c r="R4588" s="121">
        <f t="shared" si="1624"/>
        <v>0</v>
      </c>
    </row>
    <row r="4589" spans="1:18" x14ac:dyDescent="0.3">
      <c r="A4589" s="187">
        <v>23</v>
      </c>
      <c r="B4589" s="242">
        <f t="shared" si="1625"/>
        <v>46327</v>
      </c>
      <c r="C4589" s="243">
        <f t="shared" si="1610"/>
        <v>46356</v>
      </c>
      <c r="D4589" s="120">
        <f t="shared" si="1611"/>
        <v>30</v>
      </c>
      <c r="E4589" s="120">
        <f t="shared" si="1612"/>
        <v>11</v>
      </c>
      <c r="F4589" s="275">
        <f t="shared" si="1613"/>
        <v>46342</v>
      </c>
      <c r="G4589" s="120">
        <f t="shared" si="1614"/>
        <v>24322</v>
      </c>
      <c r="H4589" s="245">
        <f t="shared" si="1615"/>
        <v>1</v>
      </c>
      <c r="I4589" s="121">
        <f t="shared" si="1616"/>
        <v>1.1024</v>
      </c>
      <c r="J4589" s="121">
        <f t="shared" si="1617"/>
        <v>1.1024</v>
      </c>
      <c r="K4589" s="120">
        <f t="shared" si="1618"/>
        <v>0</v>
      </c>
      <c r="L4589" s="120">
        <f t="shared" si="1619"/>
        <v>0</v>
      </c>
      <c r="M4589" s="246">
        <f t="shared" si="1620"/>
        <v>0</v>
      </c>
      <c r="N4589" s="121">
        <f t="shared" si="1621"/>
        <v>1.1024</v>
      </c>
      <c r="P4589" s="121">
        <f t="shared" si="1622"/>
        <v>0.25</v>
      </c>
      <c r="Q4589" s="121">
        <f t="shared" si="1623"/>
        <v>0.75</v>
      </c>
      <c r="R4589" s="121">
        <f t="shared" si="1624"/>
        <v>0</v>
      </c>
    </row>
    <row r="4590" spans="1:18" x14ac:dyDescent="0.3">
      <c r="A4590" s="187">
        <v>24</v>
      </c>
      <c r="B4590" s="242">
        <f t="shared" si="1625"/>
        <v>46357</v>
      </c>
      <c r="C4590" s="243">
        <f t="shared" si="1610"/>
        <v>46387</v>
      </c>
      <c r="D4590" s="120">
        <f t="shared" si="1611"/>
        <v>31</v>
      </c>
      <c r="E4590" s="120">
        <f t="shared" si="1612"/>
        <v>12</v>
      </c>
      <c r="F4590" s="275">
        <f t="shared" si="1613"/>
        <v>46372.5</v>
      </c>
      <c r="G4590" s="120">
        <f t="shared" si="1614"/>
        <v>24323</v>
      </c>
      <c r="H4590" s="245">
        <f t="shared" si="1615"/>
        <v>1</v>
      </c>
      <c r="I4590" s="121">
        <f t="shared" si="1616"/>
        <v>1.1024</v>
      </c>
      <c r="J4590" s="121">
        <f t="shared" si="1617"/>
        <v>1.1024</v>
      </c>
      <c r="K4590" s="120">
        <f t="shared" si="1618"/>
        <v>0</v>
      </c>
      <c r="L4590" s="120">
        <f t="shared" si="1619"/>
        <v>0</v>
      </c>
      <c r="M4590" s="246">
        <f t="shared" si="1620"/>
        <v>0</v>
      </c>
      <c r="N4590" s="121">
        <f t="shared" si="1621"/>
        <v>1.1024</v>
      </c>
      <c r="P4590" s="121">
        <f t="shared" si="1622"/>
        <v>8.3333333333333329E-2</v>
      </c>
      <c r="Q4590" s="121">
        <f t="shared" si="1623"/>
        <v>0.91666666666666663</v>
      </c>
      <c r="R4590" s="121">
        <f t="shared" si="1624"/>
        <v>0</v>
      </c>
    </row>
    <row r="4591" spans="1:18" x14ac:dyDescent="0.3">
      <c r="A4591" s="187">
        <v>25</v>
      </c>
      <c r="B4591" s="242">
        <f t="shared" si="1625"/>
        <v>46388</v>
      </c>
      <c r="C4591" s="243">
        <f t="shared" si="1610"/>
        <v>46418</v>
      </c>
      <c r="D4591" s="120">
        <f t="shared" si="1611"/>
        <v>31</v>
      </c>
      <c r="E4591" s="120">
        <f t="shared" si="1612"/>
        <v>1</v>
      </c>
      <c r="F4591" s="275">
        <f t="shared" si="1613"/>
        <v>46403.5</v>
      </c>
      <c r="G4591" s="120">
        <f t="shared" si="1614"/>
        <v>24324</v>
      </c>
      <c r="H4591" s="245">
        <f t="shared" si="1615"/>
        <v>1</v>
      </c>
      <c r="I4591" s="121">
        <f t="shared" si="1616"/>
        <v>1.1024</v>
      </c>
      <c r="J4591" s="121">
        <f t="shared" si="1617"/>
        <v>1.1024</v>
      </c>
      <c r="K4591" s="120">
        <f t="shared" si="1618"/>
        <v>0</v>
      </c>
      <c r="L4591" s="120">
        <f t="shared" si="1619"/>
        <v>0</v>
      </c>
      <c r="M4591" s="246">
        <f t="shared" si="1620"/>
        <v>0</v>
      </c>
      <c r="N4591" s="121">
        <f t="shared" si="1621"/>
        <v>1.1024</v>
      </c>
      <c r="P4591" s="121">
        <f t="shared" si="1622"/>
        <v>0</v>
      </c>
      <c r="Q4591" s="121">
        <f t="shared" si="1623"/>
        <v>1</v>
      </c>
      <c r="R4591" s="121">
        <f t="shared" si="1624"/>
        <v>0</v>
      </c>
    </row>
    <row r="4592" spans="1:18" x14ac:dyDescent="0.3">
      <c r="A4592" s="187">
        <v>26</v>
      </c>
      <c r="B4592" s="242">
        <f t="shared" si="1625"/>
        <v>46419</v>
      </c>
      <c r="C4592" s="243">
        <f t="shared" si="1610"/>
        <v>46446</v>
      </c>
      <c r="D4592" s="120">
        <f t="shared" si="1611"/>
        <v>28</v>
      </c>
      <c r="E4592" s="120">
        <f t="shared" si="1612"/>
        <v>2</v>
      </c>
      <c r="F4592" s="275">
        <f t="shared" si="1613"/>
        <v>46433</v>
      </c>
      <c r="G4592" s="120">
        <f t="shared" si="1614"/>
        <v>24325</v>
      </c>
      <c r="H4592" s="245">
        <f t="shared" si="1615"/>
        <v>1</v>
      </c>
      <c r="I4592" s="121">
        <f t="shared" si="1616"/>
        <v>1.1024</v>
      </c>
      <c r="J4592" s="121">
        <f t="shared" si="1617"/>
        <v>1.1024</v>
      </c>
      <c r="K4592" s="120">
        <f t="shared" si="1618"/>
        <v>0</v>
      </c>
      <c r="L4592" s="120">
        <f t="shared" si="1619"/>
        <v>0</v>
      </c>
      <c r="M4592" s="246">
        <f t="shared" si="1620"/>
        <v>0</v>
      </c>
      <c r="N4592" s="121">
        <f t="shared" si="1621"/>
        <v>1.1024</v>
      </c>
      <c r="P4592" s="121">
        <f t="shared" si="1622"/>
        <v>0</v>
      </c>
      <c r="Q4592" s="121">
        <f t="shared" si="1623"/>
        <v>1</v>
      </c>
      <c r="R4592" s="121">
        <f t="shared" si="1624"/>
        <v>0</v>
      </c>
    </row>
    <row r="4593" spans="1:18" x14ac:dyDescent="0.3">
      <c r="A4593" s="187">
        <v>27</v>
      </c>
      <c r="B4593" s="242">
        <f t="shared" si="1625"/>
        <v>46447</v>
      </c>
      <c r="C4593" s="243">
        <f t="shared" si="1610"/>
        <v>46477</v>
      </c>
      <c r="D4593" s="120">
        <f t="shared" si="1611"/>
        <v>31</v>
      </c>
      <c r="E4593" s="120">
        <f t="shared" si="1612"/>
        <v>3</v>
      </c>
      <c r="F4593" s="275">
        <f t="shared" si="1613"/>
        <v>46462.5</v>
      </c>
      <c r="G4593" s="120">
        <f t="shared" si="1614"/>
        <v>24326</v>
      </c>
      <c r="H4593" s="245">
        <f t="shared" si="1615"/>
        <v>1</v>
      </c>
      <c r="I4593" s="121">
        <f t="shared" si="1616"/>
        <v>1.1024</v>
      </c>
      <c r="J4593" s="121">
        <f t="shared" si="1617"/>
        <v>1.1024</v>
      </c>
      <c r="K4593" s="120">
        <f t="shared" si="1618"/>
        <v>0</v>
      </c>
      <c r="L4593" s="120">
        <f t="shared" si="1619"/>
        <v>0</v>
      </c>
      <c r="M4593" s="246">
        <f t="shared" si="1620"/>
        <v>0</v>
      </c>
      <c r="N4593" s="121">
        <f t="shared" si="1621"/>
        <v>1.1024</v>
      </c>
      <c r="P4593" s="121">
        <f t="shared" si="1622"/>
        <v>0</v>
      </c>
      <c r="Q4593" s="121">
        <f t="shared" si="1623"/>
        <v>1</v>
      </c>
      <c r="R4593" s="121">
        <f t="shared" si="1624"/>
        <v>0</v>
      </c>
    </row>
    <row r="4594" spans="1:18" x14ac:dyDescent="0.3">
      <c r="A4594" s="187">
        <v>28</v>
      </c>
      <c r="B4594" s="242">
        <f t="shared" si="1625"/>
        <v>46478</v>
      </c>
      <c r="C4594" s="243">
        <f t="shared" si="1610"/>
        <v>46507</v>
      </c>
      <c r="D4594" s="120">
        <f t="shared" si="1611"/>
        <v>30</v>
      </c>
      <c r="E4594" s="120">
        <f t="shared" si="1612"/>
        <v>4</v>
      </c>
      <c r="F4594" s="275">
        <f t="shared" si="1613"/>
        <v>46493</v>
      </c>
      <c r="G4594" s="120">
        <f t="shared" si="1614"/>
        <v>24327</v>
      </c>
      <c r="H4594" s="245">
        <f t="shared" si="1615"/>
        <v>1</v>
      </c>
      <c r="I4594" s="121">
        <f t="shared" si="1616"/>
        <v>1.1024</v>
      </c>
      <c r="J4594" s="121">
        <f t="shared" si="1617"/>
        <v>1.1575200000000001</v>
      </c>
      <c r="K4594" s="120">
        <f t="shared" si="1618"/>
        <v>1</v>
      </c>
      <c r="L4594" s="120">
        <f t="shared" si="1619"/>
        <v>30</v>
      </c>
      <c r="M4594" s="246">
        <f t="shared" si="1620"/>
        <v>1</v>
      </c>
      <c r="N4594" s="121">
        <f t="shared" si="1621"/>
        <v>1.1575200000000001</v>
      </c>
      <c r="P4594" s="121">
        <f t="shared" si="1622"/>
        <v>0</v>
      </c>
      <c r="Q4594" s="121">
        <f t="shared" si="1623"/>
        <v>1</v>
      </c>
      <c r="R4594" s="121">
        <f t="shared" si="1624"/>
        <v>0</v>
      </c>
    </row>
    <row r="4595" spans="1:18" x14ac:dyDescent="0.3">
      <c r="A4595" s="187">
        <v>29</v>
      </c>
      <c r="B4595" s="242">
        <f t="shared" si="1625"/>
        <v>46508</v>
      </c>
      <c r="C4595" s="243">
        <f t="shared" si="1610"/>
        <v>46538</v>
      </c>
      <c r="D4595" s="120">
        <f t="shared" si="1611"/>
        <v>31</v>
      </c>
      <c r="E4595" s="120">
        <f t="shared" si="1612"/>
        <v>5</v>
      </c>
      <c r="F4595" s="275">
        <f t="shared" si="1613"/>
        <v>46523.5</v>
      </c>
      <c r="G4595" s="120">
        <f t="shared" si="1614"/>
        <v>24328</v>
      </c>
      <c r="H4595" s="245">
        <f t="shared" si="1615"/>
        <v>1</v>
      </c>
      <c r="I4595" s="121">
        <f t="shared" si="1616"/>
        <v>1.1575200000000001</v>
      </c>
      <c r="J4595" s="121">
        <f t="shared" si="1617"/>
        <v>1.1575200000000001</v>
      </c>
      <c r="K4595" s="120">
        <f t="shared" si="1618"/>
        <v>0</v>
      </c>
      <c r="L4595" s="120">
        <f t="shared" si="1619"/>
        <v>0</v>
      </c>
      <c r="M4595" s="246">
        <f t="shared" si="1620"/>
        <v>0</v>
      </c>
      <c r="N4595" s="121">
        <f t="shared" si="1621"/>
        <v>1.1575200000000001</v>
      </c>
      <c r="P4595" s="121">
        <f t="shared" si="1622"/>
        <v>0</v>
      </c>
      <c r="Q4595" s="121">
        <f t="shared" si="1623"/>
        <v>1</v>
      </c>
      <c r="R4595" s="121">
        <f t="shared" si="1624"/>
        <v>0</v>
      </c>
    </row>
    <row r="4596" spans="1:18" x14ac:dyDescent="0.3">
      <c r="A4596" s="187">
        <v>30</v>
      </c>
      <c r="B4596" s="242">
        <f t="shared" si="1625"/>
        <v>46539</v>
      </c>
      <c r="C4596" s="243">
        <f t="shared" si="1610"/>
        <v>46568</v>
      </c>
      <c r="D4596" s="120">
        <f t="shared" si="1611"/>
        <v>30</v>
      </c>
      <c r="E4596" s="120">
        <f t="shared" si="1612"/>
        <v>6</v>
      </c>
      <c r="F4596" s="275">
        <f t="shared" si="1613"/>
        <v>46554</v>
      </c>
      <c r="G4596" s="120">
        <f t="shared" si="1614"/>
        <v>24329</v>
      </c>
      <c r="H4596" s="245">
        <f t="shared" si="1615"/>
        <v>1</v>
      </c>
      <c r="I4596" s="121">
        <f t="shared" si="1616"/>
        <v>1.1575200000000001</v>
      </c>
      <c r="J4596" s="121">
        <f t="shared" si="1617"/>
        <v>1.1575200000000001</v>
      </c>
      <c r="K4596" s="120">
        <f t="shared" si="1618"/>
        <v>0</v>
      </c>
      <c r="L4596" s="120">
        <f t="shared" si="1619"/>
        <v>0</v>
      </c>
      <c r="M4596" s="246">
        <f t="shared" si="1620"/>
        <v>0</v>
      </c>
      <c r="N4596" s="121">
        <f t="shared" si="1621"/>
        <v>1.1575200000000001</v>
      </c>
      <c r="P4596" s="121">
        <f t="shared" si="1622"/>
        <v>0</v>
      </c>
      <c r="Q4596" s="121">
        <f t="shared" si="1623"/>
        <v>1</v>
      </c>
      <c r="R4596" s="121">
        <f t="shared" si="1624"/>
        <v>0</v>
      </c>
    </row>
    <row r="4597" spans="1:18" x14ac:dyDescent="0.3">
      <c r="A4597" s="187">
        <v>31</v>
      </c>
      <c r="B4597" s="242">
        <f t="shared" si="1625"/>
        <v>46569</v>
      </c>
      <c r="C4597" s="243">
        <f t="shared" si="1610"/>
        <v>46599</v>
      </c>
      <c r="D4597" s="120">
        <f t="shared" si="1611"/>
        <v>31</v>
      </c>
      <c r="E4597" s="120">
        <f t="shared" si="1612"/>
        <v>7</v>
      </c>
      <c r="F4597" s="275">
        <f t="shared" si="1613"/>
        <v>46584.5</v>
      </c>
      <c r="G4597" s="120">
        <f t="shared" si="1614"/>
        <v>24330</v>
      </c>
      <c r="H4597" s="245">
        <f t="shared" si="1615"/>
        <v>1</v>
      </c>
      <c r="I4597" s="121">
        <f t="shared" si="1616"/>
        <v>1.1575200000000001</v>
      </c>
      <c r="J4597" s="121">
        <f t="shared" si="1617"/>
        <v>1.1575200000000001</v>
      </c>
      <c r="K4597" s="120">
        <f t="shared" si="1618"/>
        <v>0</v>
      </c>
      <c r="L4597" s="120">
        <f t="shared" si="1619"/>
        <v>0</v>
      </c>
      <c r="M4597" s="246">
        <f t="shared" si="1620"/>
        <v>0</v>
      </c>
      <c r="N4597" s="121">
        <f t="shared" si="1621"/>
        <v>1.1575200000000001</v>
      </c>
      <c r="P4597" s="121">
        <f t="shared" si="1622"/>
        <v>0</v>
      </c>
      <c r="Q4597" s="121">
        <f t="shared" si="1623"/>
        <v>0.91666666666666663</v>
      </c>
      <c r="R4597" s="121">
        <f t="shared" si="1624"/>
        <v>8.333333333333337E-2</v>
      </c>
    </row>
    <row r="4598" spans="1:18" x14ac:dyDescent="0.3">
      <c r="A4598" s="187">
        <v>32</v>
      </c>
      <c r="B4598" s="242">
        <f t="shared" si="1625"/>
        <v>46600</v>
      </c>
      <c r="C4598" s="243">
        <f t="shared" si="1610"/>
        <v>46630</v>
      </c>
      <c r="D4598" s="120">
        <f t="shared" si="1611"/>
        <v>31</v>
      </c>
      <c r="E4598" s="120">
        <f t="shared" si="1612"/>
        <v>8</v>
      </c>
      <c r="F4598" s="275">
        <f t="shared" si="1613"/>
        <v>46615.5</v>
      </c>
      <c r="G4598" s="120">
        <f t="shared" si="1614"/>
        <v>24331</v>
      </c>
      <c r="H4598" s="245">
        <f t="shared" si="1615"/>
        <v>1</v>
      </c>
      <c r="I4598" s="121">
        <f t="shared" si="1616"/>
        <v>1.1575200000000001</v>
      </c>
      <c r="J4598" s="121">
        <f t="shared" si="1617"/>
        <v>1.1575200000000001</v>
      </c>
      <c r="K4598" s="120">
        <f t="shared" si="1618"/>
        <v>0</v>
      </c>
      <c r="L4598" s="120">
        <f t="shared" si="1619"/>
        <v>0</v>
      </c>
      <c r="M4598" s="246">
        <f t="shared" si="1620"/>
        <v>0</v>
      </c>
      <c r="N4598" s="121">
        <f t="shared" si="1621"/>
        <v>1.1575200000000001</v>
      </c>
      <c r="P4598" s="121">
        <f t="shared" si="1622"/>
        <v>0</v>
      </c>
      <c r="Q4598" s="121">
        <f t="shared" si="1623"/>
        <v>0.75</v>
      </c>
      <c r="R4598" s="121">
        <f t="shared" si="1624"/>
        <v>0.25</v>
      </c>
    </row>
    <row r="4599" spans="1:18" x14ac:dyDescent="0.3">
      <c r="A4599" s="187">
        <v>33</v>
      </c>
      <c r="B4599" s="242">
        <f t="shared" si="1625"/>
        <v>46631</v>
      </c>
      <c r="C4599" s="243">
        <f t="shared" si="1610"/>
        <v>46660</v>
      </c>
      <c r="D4599" s="120">
        <f t="shared" si="1611"/>
        <v>30</v>
      </c>
      <c r="E4599" s="120">
        <f t="shared" si="1612"/>
        <v>9</v>
      </c>
      <c r="F4599" s="275">
        <f t="shared" si="1613"/>
        <v>46646</v>
      </c>
      <c r="G4599" s="120">
        <f t="shared" si="1614"/>
        <v>24332</v>
      </c>
      <c r="H4599" s="245">
        <f t="shared" si="1615"/>
        <v>1</v>
      </c>
      <c r="I4599" s="121">
        <f t="shared" si="1616"/>
        <v>1.1575200000000001</v>
      </c>
      <c r="J4599" s="121">
        <f t="shared" si="1617"/>
        <v>1.1575200000000001</v>
      </c>
      <c r="K4599" s="120">
        <f t="shared" si="1618"/>
        <v>0</v>
      </c>
      <c r="L4599" s="120">
        <f t="shared" si="1619"/>
        <v>0</v>
      </c>
      <c r="M4599" s="246">
        <f t="shared" si="1620"/>
        <v>0</v>
      </c>
      <c r="N4599" s="121">
        <f t="shared" si="1621"/>
        <v>1.1575200000000001</v>
      </c>
      <c r="P4599" s="121">
        <f t="shared" si="1622"/>
        <v>0</v>
      </c>
      <c r="Q4599" s="121">
        <f t="shared" si="1623"/>
        <v>0.58333333333333337</v>
      </c>
      <c r="R4599" s="121">
        <f t="shared" si="1624"/>
        <v>0.41666666666666663</v>
      </c>
    </row>
    <row r="4600" spans="1:18" x14ac:dyDescent="0.3">
      <c r="A4600" s="187">
        <v>34</v>
      </c>
      <c r="B4600" s="242">
        <f t="shared" si="1625"/>
        <v>46661</v>
      </c>
      <c r="C4600" s="243">
        <f t="shared" si="1610"/>
        <v>46691</v>
      </c>
      <c r="D4600" s="120">
        <f t="shared" si="1611"/>
        <v>31</v>
      </c>
      <c r="E4600" s="120">
        <f t="shared" si="1612"/>
        <v>10</v>
      </c>
      <c r="F4600" s="275">
        <f t="shared" si="1613"/>
        <v>46676.5</v>
      </c>
      <c r="G4600" s="120">
        <f t="shared" si="1614"/>
        <v>24333</v>
      </c>
      <c r="H4600" s="245">
        <f t="shared" si="1615"/>
        <v>1</v>
      </c>
      <c r="I4600" s="121">
        <f t="shared" si="1616"/>
        <v>1.1575200000000001</v>
      </c>
      <c r="J4600" s="121">
        <f t="shared" si="1617"/>
        <v>1.1575200000000001</v>
      </c>
      <c r="K4600" s="120">
        <f t="shared" si="1618"/>
        <v>0</v>
      </c>
      <c r="L4600" s="120">
        <f t="shared" si="1619"/>
        <v>0</v>
      </c>
      <c r="M4600" s="246">
        <f t="shared" si="1620"/>
        <v>0</v>
      </c>
      <c r="N4600" s="121">
        <f t="shared" si="1621"/>
        <v>1.1575200000000001</v>
      </c>
      <c r="P4600" s="121">
        <f t="shared" si="1622"/>
        <v>0</v>
      </c>
      <c r="Q4600" s="121">
        <f t="shared" si="1623"/>
        <v>0.41666666666666669</v>
      </c>
      <c r="R4600" s="121">
        <f t="shared" si="1624"/>
        <v>0.58333333333333326</v>
      </c>
    </row>
    <row r="4601" spans="1:18" x14ac:dyDescent="0.3">
      <c r="A4601" s="187">
        <v>35</v>
      </c>
      <c r="B4601" s="242">
        <f t="shared" si="1625"/>
        <v>46692</v>
      </c>
      <c r="C4601" s="243">
        <f t="shared" si="1610"/>
        <v>46721</v>
      </c>
      <c r="D4601" s="120">
        <f t="shared" si="1611"/>
        <v>30</v>
      </c>
      <c r="E4601" s="120">
        <f t="shared" si="1612"/>
        <v>11</v>
      </c>
      <c r="F4601" s="275">
        <f t="shared" si="1613"/>
        <v>46707</v>
      </c>
      <c r="G4601" s="120">
        <f t="shared" si="1614"/>
        <v>24334</v>
      </c>
      <c r="H4601" s="245">
        <f t="shared" si="1615"/>
        <v>1</v>
      </c>
      <c r="I4601" s="121">
        <f t="shared" si="1616"/>
        <v>1.1575200000000001</v>
      </c>
      <c r="J4601" s="121">
        <f t="shared" si="1617"/>
        <v>1.1575200000000001</v>
      </c>
      <c r="K4601" s="120">
        <f t="shared" si="1618"/>
        <v>0</v>
      </c>
      <c r="L4601" s="120">
        <f t="shared" si="1619"/>
        <v>0</v>
      </c>
      <c r="M4601" s="246">
        <f t="shared" si="1620"/>
        <v>0</v>
      </c>
      <c r="N4601" s="121">
        <f t="shared" si="1621"/>
        <v>1.1575200000000001</v>
      </c>
      <c r="P4601" s="121">
        <f t="shared" si="1622"/>
        <v>0</v>
      </c>
      <c r="Q4601" s="121">
        <f t="shared" si="1623"/>
        <v>0.25</v>
      </c>
      <c r="R4601" s="121">
        <f t="shared" si="1624"/>
        <v>0.75</v>
      </c>
    </row>
    <row r="4602" spans="1:18" x14ac:dyDescent="0.3">
      <c r="A4602" s="187">
        <v>36</v>
      </c>
      <c r="B4602" s="242">
        <f t="shared" si="1625"/>
        <v>46722</v>
      </c>
      <c r="C4602" s="243">
        <f t="shared" si="1610"/>
        <v>46752</v>
      </c>
      <c r="D4602" s="120">
        <f t="shared" si="1611"/>
        <v>31</v>
      </c>
      <c r="E4602" s="120">
        <f t="shared" si="1612"/>
        <v>12</v>
      </c>
      <c r="F4602" s="275">
        <f t="shared" si="1613"/>
        <v>46737.5</v>
      </c>
      <c r="G4602" s="120">
        <f t="shared" si="1614"/>
        <v>24335</v>
      </c>
      <c r="H4602" s="245">
        <f t="shared" si="1615"/>
        <v>1</v>
      </c>
      <c r="I4602" s="121">
        <f t="shared" si="1616"/>
        <v>1.1575200000000001</v>
      </c>
      <c r="J4602" s="121">
        <f t="shared" si="1617"/>
        <v>1.1575200000000001</v>
      </c>
      <c r="K4602" s="120">
        <f t="shared" si="1618"/>
        <v>0</v>
      </c>
      <c r="L4602" s="120">
        <f t="shared" si="1619"/>
        <v>0</v>
      </c>
      <c r="M4602" s="246">
        <f t="shared" si="1620"/>
        <v>0</v>
      </c>
      <c r="N4602" s="121">
        <f t="shared" si="1621"/>
        <v>1.1575200000000001</v>
      </c>
      <c r="P4602" s="121">
        <f t="shared" si="1622"/>
        <v>0</v>
      </c>
      <c r="Q4602" s="121">
        <f t="shared" si="1623"/>
        <v>8.3333333333333329E-2</v>
      </c>
      <c r="R4602" s="121">
        <f t="shared" si="1624"/>
        <v>0.91666666666666663</v>
      </c>
    </row>
    <row r="4603" spans="1:18" x14ac:dyDescent="0.3">
      <c r="A4603" s="187">
        <v>37</v>
      </c>
      <c r="B4603" s="242">
        <f t="shared" si="1625"/>
        <v>46753</v>
      </c>
      <c r="C4603" s="243">
        <f t="shared" si="1610"/>
        <v>46783</v>
      </c>
      <c r="D4603" s="120">
        <f t="shared" si="1611"/>
        <v>31</v>
      </c>
      <c r="E4603" s="120">
        <f t="shared" si="1612"/>
        <v>1</v>
      </c>
      <c r="F4603" s="275">
        <f t="shared" si="1613"/>
        <v>46768.5</v>
      </c>
      <c r="G4603" s="120">
        <f t="shared" si="1614"/>
        <v>24336</v>
      </c>
      <c r="H4603" s="245">
        <f t="shared" si="1615"/>
        <v>1</v>
      </c>
      <c r="I4603" s="121">
        <f t="shared" si="1616"/>
        <v>1.1575200000000001</v>
      </c>
      <c r="J4603" s="121">
        <f t="shared" si="1617"/>
        <v>1.1575200000000001</v>
      </c>
      <c r="K4603" s="120">
        <f t="shared" si="1618"/>
        <v>0</v>
      </c>
      <c r="L4603" s="120">
        <f t="shared" si="1619"/>
        <v>0</v>
      </c>
      <c r="M4603" s="246">
        <f t="shared" si="1620"/>
        <v>0</v>
      </c>
      <c r="N4603" s="121">
        <f t="shared" si="1621"/>
        <v>1.1575200000000001</v>
      </c>
      <c r="P4603" s="121">
        <f t="shared" si="1622"/>
        <v>0</v>
      </c>
      <c r="Q4603" s="121">
        <f t="shared" si="1623"/>
        <v>0</v>
      </c>
      <c r="R4603" s="121">
        <f t="shared" si="1624"/>
        <v>1</v>
      </c>
    </row>
    <row r="4604" spans="1:18" x14ac:dyDescent="0.3">
      <c r="A4604" s="187">
        <v>38</v>
      </c>
      <c r="B4604" s="242">
        <f t="shared" si="1625"/>
        <v>46784</v>
      </c>
      <c r="C4604" s="243">
        <f t="shared" si="1610"/>
        <v>46812</v>
      </c>
      <c r="D4604" s="120">
        <f t="shared" si="1611"/>
        <v>29</v>
      </c>
      <c r="E4604" s="120">
        <f t="shared" si="1612"/>
        <v>2</v>
      </c>
      <c r="F4604" s="275">
        <f t="shared" si="1613"/>
        <v>46798.5</v>
      </c>
      <c r="G4604" s="120">
        <f t="shared" si="1614"/>
        <v>24337</v>
      </c>
      <c r="H4604" s="245">
        <f t="shared" si="1615"/>
        <v>1</v>
      </c>
      <c r="I4604" s="121">
        <f t="shared" si="1616"/>
        <v>1.1575200000000001</v>
      </c>
      <c r="J4604" s="121">
        <f t="shared" si="1617"/>
        <v>1.1575200000000001</v>
      </c>
      <c r="K4604" s="120">
        <f t="shared" si="1618"/>
        <v>0</v>
      </c>
      <c r="L4604" s="120">
        <f t="shared" si="1619"/>
        <v>0</v>
      </c>
      <c r="M4604" s="246">
        <f t="shared" si="1620"/>
        <v>0</v>
      </c>
      <c r="N4604" s="121">
        <f t="shared" si="1621"/>
        <v>1.1575200000000001</v>
      </c>
      <c r="P4604" s="121">
        <f t="shared" si="1622"/>
        <v>0</v>
      </c>
      <c r="Q4604" s="121">
        <f t="shared" si="1623"/>
        <v>0</v>
      </c>
      <c r="R4604" s="121">
        <f t="shared" si="1624"/>
        <v>1</v>
      </c>
    </row>
    <row r="4605" spans="1:18" x14ac:dyDescent="0.3">
      <c r="A4605" s="187">
        <v>39</v>
      </c>
      <c r="B4605" s="242">
        <f t="shared" si="1625"/>
        <v>46813</v>
      </c>
      <c r="C4605" s="243">
        <f t="shared" si="1610"/>
        <v>46843</v>
      </c>
      <c r="D4605" s="120">
        <f t="shared" si="1611"/>
        <v>31</v>
      </c>
      <c r="E4605" s="120">
        <f t="shared" si="1612"/>
        <v>3</v>
      </c>
      <c r="F4605" s="275">
        <f t="shared" si="1613"/>
        <v>46828.5</v>
      </c>
      <c r="G4605" s="120">
        <f t="shared" si="1614"/>
        <v>24338</v>
      </c>
      <c r="H4605" s="245">
        <f t="shared" si="1615"/>
        <v>1</v>
      </c>
      <c r="I4605" s="121">
        <f t="shared" si="1616"/>
        <v>1.1575200000000001</v>
      </c>
      <c r="J4605" s="121">
        <f t="shared" si="1617"/>
        <v>1.1575200000000001</v>
      </c>
      <c r="K4605" s="120">
        <f t="shared" si="1618"/>
        <v>0</v>
      </c>
      <c r="L4605" s="120">
        <f t="shared" si="1619"/>
        <v>0</v>
      </c>
      <c r="M4605" s="246">
        <f t="shared" si="1620"/>
        <v>0</v>
      </c>
      <c r="N4605" s="121">
        <f t="shared" si="1621"/>
        <v>1.1575200000000001</v>
      </c>
      <c r="P4605" s="121">
        <f t="shared" si="1622"/>
        <v>0</v>
      </c>
      <c r="Q4605" s="121">
        <f t="shared" si="1623"/>
        <v>0</v>
      </c>
      <c r="R4605" s="121">
        <f t="shared" si="1624"/>
        <v>1</v>
      </c>
    </row>
    <row r="4606" spans="1:18" x14ac:dyDescent="0.3">
      <c r="A4606" s="187">
        <v>40</v>
      </c>
      <c r="B4606" s="242">
        <f t="shared" si="1625"/>
        <v>46844</v>
      </c>
      <c r="C4606" s="243">
        <f t="shared" si="1610"/>
        <v>46873</v>
      </c>
      <c r="D4606" s="120">
        <f t="shared" si="1611"/>
        <v>30</v>
      </c>
      <c r="E4606" s="120">
        <f t="shared" si="1612"/>
        <v>4</v>
      </c>
      <c r="F4606" s="275">
        <f t="shared" si="1613"/>
        <v>46859</v>
      </c>
      <c r="G4606" s="120">
        <f t="shared" si="1614"/>
        <v>24339</v>
      </c>
      <c r="H4606" s="245">
        <f t="shared" si="1615"/>
        <v>1</v>
      </c>
      <c r="I4606" s="121">
        <f t="shared" si="1616"/>
        <v>1.1575200000000001</v>
      </c>
      <c r="J4606" s="121">
        <f t="shared" si="1617"/>
        <v>1.1575200000000001</v>
      </c>
      <c r="K4606" s="120">
        <f t="shared" si="1618"/>
        <v>0</v>
      </c>
      <c r="L4606" s="120">
        <f t="shared" si="1619"/>
        <v>0</v>
      </c>
      <c r="M4606" s="246">
        <f t="shared" si="1620"/>
        <v>0</v>
      </c>
      <c r="N4606" s="121">
        <f t="shared" si="1621"/>
        <v>1.1575200000000001</v>
      </c>
      <c r="P4606" s="121">
        <f t="shared" si="1622"/>
        <v>0</v>
      </c>
      <c r="Q4606" s="121">
        <f t="shared" si="1623"/>
        <v>0</v>
      </c>
      <c r="R4606" s="121">
        <f t="shared" si="1624"/>
        <v>1</v>
      </c>
    </row>
    <row r="4607" spans="1:18" x14ac:dyDescent="0.3">
      <c r="A4607" s="187">
        <v>41</v>
      </c>
      <c r="B4607" s="242">
        <f t="shared" si="1625"/>
        <v>46874</v>
      </c>
      <c r="C4607" s="243">
        <f t="shared" si="1610"/>
        <v>46904</v>
      </c>
      <c r="D4607" s="120">
        <f t="shared" si="1611"/>
        <v>31</v>
      </c>
      <c r="E4607" s="120">
        <f t="shared" si="1612"/>
        <v>5</v>
      </c>
      <c r="F4607" s="275">
        <f t="shared" si="1613"/>
        <v>46889.5</v>
      </c>
      <c r="G4607" s="120">
        <f t="shared" si="1614"/>
        <v>24340</v>
      </c>
      <c r="H4607" s="245">
        <f t="shared" si="1615"/>
        <v>1</v>
      </c>
      <c r="I4607" s="121">
        <f t="shared" si="1616"/>
        <v>1.1575200000000001</v>
      </c>
      <c r="J4607" s="121">
        <f t="shared" si="1617"/>
        <v>1.1575200000000001</v>
      </c>
      <c r="K4607" s="120">
        <f t="shared" si="1618"/>
        <v>0</v>
      </c>
      <c r="L4607" s="120">
        <f t="shared" si="1619"/>
        <v>0</v>
      </c>
      <c r="M4607" s="246">
        <f t="shared" si="1620"/>
        <v>0</v>
      </c>
      <c r="N4607" s="121">
        <f t="shared" si="1621"/>
        <v>1.1575200000000001</v>
      </c>
      <c r="P4607" s="121">
        <f t="shared" si="1622"/>
        <v>0</v>
      </c>
      <c r="Q4607" s="121">
        <f t="shared" si="1623"/>
        <v>0</v>
      </c>
      <c r="R4607" s="121">
        <f t="shared" si="1624"/>
        <v>1</v>
      </c>
    </row>
    <row r="4608" spans="1:18" x14ac:dyDescent="0.3">
      <c r="A4608" s="187">
        <v>42</v>
      </c>
      <c r="B4608" s="242">
        <f t="shared" si="1625"/>
        <v>46905</v>
      </c>
      <c r="C4608" s="243">
        <f t="shared" si="1610"/>
        <v>46934</v>
      </c>
      <c r="D4608" s="120">
        <f t="shared" si="1611"/>
        <v>30</v>
      </c>
      <c r="E4608" s="120">
        <f t="shared" si="1612"/>
        <v>6</v>
      </c>
      <c r="F4608" s="275">
        <f t="shared" si="1613"/>
        <v>46920</v>
      </c>
      <c r="G4608" s="120">
        <f t="shared" si="1614"/>
        <v>24341</v>
      </c>
      <c r="H4608" s="245">
        <f t="shared" si="1615"/>
        <v>1</v>
      </c>
      <c r="I4608" s="121">
        <f t="shared" si="1616"/>
        <v>1.1575200000000001</v>
      </c>
      <c r="J4608" s="121">
        <f t="shared" si="1617"/>
        <v>1.1575200000000001</v>
      </c>
      <c r="K4608" s="120">
        <f t="shared" si="1618"/>
        <v>0</v>
      </c>
      <c r="L4608" s="120">
        <f t="shared" si="1619"/>
        <v>0</v>
      </c>
      <c r="M4608" s="246">
        <f t="shared" si="1620"/>
        <v>0</v>
      </c>
      <c r="N4608" s="121">
        <f t="shared" si="1621"/>
        <v>1.1575200000000001</v>
      </c>
      <c r="P4608" s="121">
        <f t="shared" si="1622"/>
        <v>0</v>
      </c>
      <c r="Q4608" s="121">
        <f t="shared" si="1623"/>
        <v>0</v>
      </c>
      <c r="R4608" s="121">
        <f t="shared" si="1624"/>
        <v>1</v>
      </c>
    </row>
    <row r="4609" spans="1:21" x14ac:dyDescent="0.3">
      <c r="A4609" s="187">
        <v>43</v>
      </c>
      <c r="B4609" s="242">
        <f t="shared" si="1625"/>
        <v>46935</v>
      </c>
      <c r="C4609" s="243">
        <f t="shared" si="1610"/>
        <v>46965</v>
      </c>
      <c r="D4609" s="120">
        <f t="shared" si="1611"/>
        <v>31</v>
      </c>
      <c r="E4609" s="120">
        <f t="shared" si="1612"/>
        <v>7</v>
      </c>
      <c r="F4609" s="275">
        <f t="shared" si="1613"/>
        <v>46950.5</v>
      </c>
      <c r="G4609" s="120">
        <f t="shared" si="1614"/>
        <v>24342</v>
      </c>
      <c r="H4609" s="245">
        <f t="shared" si="1615"/>
        <v>1</v>
      </c>
      <c r="I4609" s="121">
        <f t="shared" si="1616"/>
        <v>1.1575200000000001</v>
      </c>
      <c r="J4609" s="121">
        <f t="shared" si="1617"/>
        <v>1.1575200000000001</v>
      </c>
      <c r="K4609" s="120">
        <f t="shared" si="1618"/>
        <v>0</v>
      </c>
      <c r="L4609" s="120">
        <f t="shared" si="1619"/>
        <v>0</v>
      </c>
      <c r="M4609" s="246">
        <f t="shared" si="1620"/>
        <v>0</v>
      </c>
      <c r="N4609" s="121">
        <f t="shared" si="1621"/>
        <v>1.1575200000000001</v>
      </c>
      <c r="P4609" s="121">
        <f t="shared" si="1622"/>
        <v>0</v>
      </c>
      <c r="Q4609" s="121">
        <f t="shared" si="1623"/>
        <v>0</v>
      </c>
      <c r="R4609" s="121">
        <f t="shared" si="1624"/>
        <v>0.91666666666666663</v>
      </c>
    </row>
    <row r="4610" spans="1:21" x14ac:dyDescent="0.3">
      <c r="A4610" s="187">
        <v>44</v>
      </c>
      <c r="B4610" s="242">
        <f t="shared" si="1625"/>
        <v>46966</v>
      </c>
      <c r="C4610" s="243">
        <f t="shared" si="1610"/>
        <v>46996</v>
      </c>
      <c r="D4610" s="120">
        <f t="shared" si="1611"/>
        <v>31</v>
      </c>
      <c r="E4610" s="120">
        <f t="shared" si="1612"/>
        <v>8</v>
      </c>
      <c r="F4610" s="275">
        <f t="shared" si="1613"/>
        <v>46981.5</v>
      </c>
      <c r="G4610" s="120">
        <f t="shared" si="1614"/>
        <v>24343</v>
      </c>
      <c r="H4610" s="245">
        <f t="shared" si="1615"/>
        <v>1</v>
      </c>
      <c r="I4610" s="121">
        <f t="shared" si="1616"/>
        <v>1.1575200000000001</v>
      </c>
      <c r="J4610" s="121">
        <f t="shared" si="1617"/>
        <v>1.1575200000000001</v>
      </c>
      <c r="K4610" s="120">
        <f t="shared" si="1618"/>
        <v>0</v>
      </c>
      <c r="L4610" s="120">
        <f t="shared" si="1619"/>
        <v>0</v>
      </c>
      <c r="M4610" s="246">
        <f t="shared" si="1620"/>
        <v>0</v>
      </c>
      <c r="N4610" s="121">
        <f t="shared" si="1621"/>
        <v>1.1575200000000001</v>
      </c>
      <c r="P4610" s="121">
        <f t="shared" si="1622"/>
        <v>0</v>
      </c>
      <c r="Q4610" s="121">
        <f t="shared" si="1623"/>
        <v>0</v>
      </c>
      <c r="R4610" s="121">
        <f t="shared" si="1624"/>
        <v>0.75</v>
      </c>
    </row>
    <row r="4611" spans="1:21" x14ac:dyDescent="0.3">
      <c r="A4611" s="187">
        <v>45</v>
      </c>
      <c r="B4611" s="242">
        <f t="shared" si="1625"/>
        <v>46997</v>
      </c>
      <c r="C4611" s="243">
        <f t="shared" si="1610"/>
        <v>47026</v>
      </c>
      <c r="D4611" s="120">
        <f t="shared" si="1611"/>
        <v>30</v>
      </c>
      <c r="E4611" s="120">
        <f t="shared" si="1612"/>
        <v>9</v>
      </c>
      <c r="F4611" s="275">
        <f t="shared" si="1613"/>
        <v>47012</v>
      </c>
      <c r="G4611" s="120">
        <f t="shared" si="1614"/>
        <v>24344</v>
      </c>
      <c r="H4611" s="245">
        <f t="shared" si="1615"/>
        <v>1</v>
      </c>
      <c r="I4611" s="121">
        <f t="shared" si="1616"/>
        <v>1.1575200000000001</v>
      </c>
      <c r="J4611" s="121">
        <f t="shared" si="1617"/>
        <v>1.1575200000000001</v>
      </c>
      <c r="K4611" s="120">
        <f t="shared" si="1618"/>
        <v>0</v>
      </c>
      <c r="L4611" s="120">
        <f t="shared" si="1619"/>
        <v>0</v>
      </c>
      <c r="M4611" s="246">
        <f t="shared" si="1620"/>
        <v>0</v>
      </c>
      <c r="N4611" s="121">
        <f t="shared" si="1621"/>
        <v>1.1575200000000001</v>
      </c>
      <c r="P4611" s="121">
        <f t="shared" si="1622"/>
        <v>0</v>
      </c>
      <c r="Q4611" s="121">
        <f t="shared" si="1623"/>
        <v>0</v>
      </c>
      <c r="R4611" s="121">
        <f t="shared" si="1624"/>
        <v>0.58333333333333337</v>
      </c>
    </row>
    <row r="4612" spans="1:21" x14ac:dyDescent="0.3">
      <c r="A4612" s="187">
        <v>46</v>
      </c>
      <c r="B4612" s="242">
        <f t="shared" si="1625"/>
        <v>47027</v>
      </c>
      <c r="C4612" s="243">
        <f t="shared" si="1610"/>
        <v>47057</v>
      </c>
      <c r="D4612" s="120">
        <f t="shared" si="1611"/>
        <v>31</v>
      </c>
      <c r="E4612" s="120">
        <f t="shared" si="1612"/>
        <v>10</v>
      </c>
      <c r="F4612" s="275">
        <f t="shared" si="1613"/>
        <v>47042.5</v>
      </c>
      <c r="G4612" s="120">
        <f t="shared" si="1614"/>
        <v>24345</v>
      </c>
      <c r="H4612" s="245">
        <f t="shared" si="1615"/>
        <v>1</v>
      </c>
      <c r="I4612" s="121">
        <f t="shared" si="1616"/>
        <v>1.1575200000000001</v>
      </c>
      <c r="J4612" s="121">
        <f t="shared" si="1617"/>
        <v>1.1575200000000001</v>
      </c>
      <c r="K4612" s="120">
        <f t="shared" si="1618"/>
        <v>0</v>
      </c>
      <c r="L4612" s="120">
        <f t="shared" si="1619"/>
        <v>0</v>
      </c>
      <c r="M4612" s="246">
        <f t="shared" si="1620"/>
        <v>0</v>
      </c>
      <c r="N4612" s="121">
        <f t="shared" si="1621"/>
        <v>1.1575200000000001</v>
      </c>
      <c r="P4612" s="121">
        <f t="shared" si="1622"/>
        <v>0</v>
      </c>
      <c r="Q4612" s="121">
        <f t="shared" si="1623"/>
        <v>0</v>
      </c>
      <c r="R4612" s="121">
        <f t="shared" si="1624"/>
        <v>0.41666666666666669</v>
      </c>
    </row>
    <row r="4613" spans="1:21" x14ac:dyDescent="0.3">
      <c r="A4613" s="187">
        <v>47</v>
      </c>
      <c r="B4613" s="242">
        <f t="shared" si="1625"/>
        <v>47058</v>
      </c>
      <c r="C4613" s="243">
        <f t="shared" si="1610"/>
        <v>47087</v>
      </c>
      <c r="D4613" s="120">
        <f t="shared" si="1611"/>
        <v>30</v>
      </c>
      <c r="E4613" s="120">
        <f t="shared" si="1612"/>
        <v>11</v>
      </c>
      <c r="F4613" s="275">
        <f t="shared" si="1613"/>
        <v>47073</v>
      </c>
      <c r="G4613" s="120">
        <f t="shared" si="1614"/>
        <v>24346</v>
      </c>
      <c r="H4613" s="245">
        <f t="shared" si="1615"/>
        <v>1</v>
      </c>
      <c r="I4613" s="121">
        <f t="shared" si="1616"/>
        <v>1.1575200000000001</v>
      </c>
      <c r="J4613" s="121">
        <f t="shared" si="1617"/>
        <v>1.1575200000000001</v>
      </c>
      <c r="K4613" s="120">
        <f t="shared" si="1618"/>
        <v>0</v>
      </c>
      <c r="L4613" s="120">
        <f t="shared" si="1619"/>
        <v>0</v>
      </c>
      <c r="M4613" s="246">
        <f t="shared" si="1620"/>
        <v>0</v>
      </c>
      <c r="N4613" s="121">
        <f t="shared" si="1621"/>
        <v>1.1575200000000001</v>
      </c>
      <c r="P4613" s="121">
        <f t="shared" si="1622"/>
        <v>0</v>
      </c>
      <c r="Q4613" s="121">
        <f t="shared" si="1623"/>
        <v>0</v>
      </c>
      <c r="R4613" s="121">
        <f t="shared" si="1624"/>
        <v>0.25</v>
      </c>
    </row>
    <row r="4614" spans="1:21" x14ac:dyDescent="0.3">
      <c r="A4614" s="187">
        <v>48</v>
      </c>
      <c r="B4614" s="242">
        <f t="shared" si="1625"/>
        <v>47088</v>
      </c>
      <c r="C4614" s="243">
        <f t="shared" si="1610"/>
        <v>47118</v>
      </c>
      <c r="D4614" s="120">
        <f t="shared" si="1611"/>
        <v>31</v>
      </c>
      <c r="E4614" s="120">
        <f t="shared" si="1612"/>
        <v>12</v>
      </c>
      <c r="F4614" s="275">
        <f t="shared" si="1613"/>
        <v>47103.5</v>
      </c>
      <c r="G4614" s="120">
        <f t="shared" si="1614"/>
        <v>24347</v>
      </c>
      <c r="H4614" s="245">
        <f t="shared" si="1615"/>
        <v>1</v>
      </c>
      <c r="I4614" s="121">
        <f t="shared" si="1616"/>
        <v>1.1575200000000001</v>
      </c>
      <c r="J4614" s="121">
        <f t="shared" si="1617"/>
        <v>1.1575200000000001</v>
      </c>
      <c r="K4614" s="120">
        <f t="shared" si="1618"/>
        <v>0</v>
      </c>
      <c r="L4614" s="120">
        <f t="shared" si="1619"/>
        <v>0</v>
      </c>
      <c r="M4614" s="246">
        <f t="shared" si="1620"/>
        <v>0</v>
      </c>
      <c r="N4614" s="121">
        <f t="shared" si="1621"/>
        <v>1.1575200000000001</v>
      </c>
      <c r="P4614" s="121">
        <f t="shared" si="1622"/>
        <v>0</v>
      </c>
      <c r="Q4614" s="121">
        <f t="shared" si="1623"/>
        <v>0</v>
      </c>
      <c r="R4614" s="121">
        <f t="shared" si="1624"/>
        <v>8.3333333333333329E-2</v>
      </c>
    </row>
    <row r="4615" spans="1:21" x14ac:dyDescent="0.3">
      <c r="B4615" s="73">
        <f>SUMPRODUCT($H$4567:$H$4614,$Q$4567:$Q$4614,$N$4567:$N$4614)/SUMPRODUCT($H$4567:$H$4614,$Q$4567:$Q$4614)</f>
        <v>1.1299600000000001</v>
      </c>
    </row>
    <row r="4618" spans="1:21" x14ac:dyDescent="0.3">
      <c r="A4618" s="270" t="s">
        <v>1709</v>
      </c>
      <c r="M4618" s="224">
        <f>IF(N(att_m0)=0,nr_M0,att_m0)</f>
        <v>0.86</v>
      </c>
      <c r="N4618" s="74">
        <f>IF(N(att_asof)=0,nr_M0Asof,att_asof)</f>
        <v>46295</v>
      </c>
      <c r="O4618" s="224">
        <f>IF(N(att_m1)=0,nr_M1,att_m1)</f>
        <v>0.89</v>
      </c>
      <c r="P4618" s="224">
        <f>IF(N(att_m2)=0,N(nr_M2),att_m2)</f>
        <v>0</v>
      </c>
    </row>
    <row r="4619" spans="1:21" x14ac:dyDescent="0.3">
      <c r="A4619" s="6">
        <f>EDATE($N$4618,-12)+1</f>
        <v>45931</v>
      </c>
      <c r="B4619" s="6">
        <f>$N$4618+1</f>
        <v>46296</v>
      </c>
      <c r="C4619" s="6">
        <f>DATE(nr_PlanYear,12,31)+1</f>
        <v>46753</v>
      </c>
      <c r="D4619" s="6">
        <f>DATE(nr_PlanYear+1,12,31)+1</f>
        <v>47119</v>
      </c>
      <c r="E4619" s="6">
        <f>IF(N(nr_MPrior)=0,$F$4619-($G$4619-$F$4619)/($C$4619-$B$4619)*($B$4619-$A$4619),nr_MPrior)</f>
        <v>0.83603938730853389</v>
      </c>
      <c r="F4619" s="6">
        <f>$M$4618</f>
        <v>0.86</v>
      </c>
      <c r="G4619" s="6">
        <f>$O$4618</f>
        <v>0.89</v>
      </c>
      <c r="H4619" s="6">
        <f>IF(N($P$4618)=0,$O$4618,$P$4618)</f>
        <v>0.89</v>
      </c>
      <c r="I4619" s="6">
        <f>($F$4619-$E$4619)/($B$4619-$A$4619)</f>
        <v>6.5645514223194786E-5</v>
      </c>
      <c r="J4619" s="6">
        <f>($G$4619-$F$4619)/($C$4619-$B$4619)</f>
        <v>6.5645514223194813E-5</v>
      </c>
      <c r="K4619" s="6">
        <f>($H$4619-$G$4619)/($D$4619-$C$4619)</f>
        <v>0</v>
      </c>
    </row>
    <row r="4620" spans="1:21" ht="36" x14ac:dyDescent="0.3">
      <c r="A4620" s="58" t="s">
        <v>390</v>
      </c>
      <c r="B4620" s="58" t="s">
        <v>449</v>
      </c>
      <c r="C4620" s="58" t="s">
        <v>685</v>
      </c>
      <c r="D4620" s="58" t="s">
        <v>686</v>
      </c>
      <c r="E4620" s="58" t="s">
        <v>687</v>
      </c>
      <c r="F4620" s="58" t="s">
        <v>688</v>
      </c>
      <c r="G4620" s="58" t="s">
        <v>689</v>
      </c>
      <c r="H4620" s="58" t="s">
        <v>452</v>
      </c>
      <c r="I4620" s="58" t="s">
        <v>690</v>
      </c>
      <c r="J4620" s="58" t="s">
        <v>691</v>
      </c>
      <c r="K4620" s="58" t="s">
        <v>692</v>
      </c>
      <c r="L4620" s="58" t="s">
        <v>693</v>
      </c>
      <c r="M4620" s="58" t="s">
        <v>694</v>
      </c>
      <c r="N4620" s="58" t="s">
        <v>695</v>
      </c>
      <c r="O4620" s="58" t="s">
        <v>696</v>
      </c>
      <c r="P4620" s="58" t="s">
        <v>697</v>
      </c>
      <c r="Q4620" s="58" t="s">
        <v>698</v>
      </c>
      <c r="R4620" s="58" t="s">
        <v>699</v>
      </c>
      <c r="S4620" s="58" t="s">
        <v>700</v>
      </c>
      <c r="T4620" s="58" t="s">
        <v>701</v>
      </c>
      <c r="U4620" s="58" t="s">
        <v>702</v>
      </c>
    </row>
    <row r="4621" spans="1:21" x14ac:dyDescent="0.3">
      <c r="A4621" s="187">
        <v>1</v>
      </c>
      <c r="B4621" s="242">
        <f>DATE(nr_PlanYear-2,1,1)</f>
        <v>45658</v>
      </c>
      <c r="C4621" s="243">
        <f t="shared" ref="C4621:C4668" si="1626">EOMONTH($B4621,0)</f>
        <v>45688</v>
      </c>
      <c r="D4621" s="120">
        <f t="shared" ref="D4621:D4668" si="1627">$C4621-$B4621+1</f>
        <v>31</v>
      </c>
      <c r="E4621" s="120">
        <f t="shared" ref="E4621:E4668" si="1628">MONTH($B4621)</f>
        <v>1</v>
      </c>
      <c r="F4621" s="275">
        <f t="shared" ref="F4621:F4668" si="1629">($B4621+$C4621+1)/2</f>
        <v>45673.5</v>
      </c>
      <c r="G4621" s="120">
        <f t="shared" ref="G4621:G4668" si="1630">YEAR($B4621)*12+MONTH($B4621)-1</f>
        <v>24300</v>
      </c>
      <c r="H4621" s="245">
        <f t="shared" ref="H4621:H4668" si="1631">IF(OR(nr_SeasonOn="OFF",re_srow=0,re_ssum=0),1,12*INDEX(se_block,re_srow,$E4621)/re_ssum)</f>
        <v>1</v>
      </c>
      <c r="O4621" s="246">
        <f t="shared" ref="O4621:O4668" si="1632">IF($F4621&lt;$B$4619,$E$4619+$I$4619*($F4621-$A$4619),IF($F4621&lt;$C$4619,$F$4619+$J$4619*($F4621-$B$4619),$G$4619+$K$4619*($F4621-$C$4619)))</f>
        <v>0.81913566739606125</v>
      </c>
      <c r="P4621" s="121">
        <f t="shared" ref="P4621:P4668" si="1633">MIN(1,MAX(0,(nr_MEndPm1-$G4621+0.5)/nr_TermMonths))-MIN(1,MAX(0,(nr_MStartPm1-1-$G4621+0.5)/nr_TermMonths))</f>
        <v>0</v>
      </c>
      <c r="Q4621" s="121">
        <f t="shared" ref="Q4621:Q4668" si="1634">MIN(1,MAX(0,(nr_MEndP-$G4621+0.5)/nr_TermMonths))-MIN(1,MAX(0,(nr_MStartP-1-$G4621+0.5)/nr_TermMonths))</f>
        <v>0</v>
      </c>
      <c r="R4621" s="121">
        <f t="shared" ref="R4621:R4668" si="1635">MIN(1,MAX(0,(nr_MEndP1-$G4621+0.5)/nr_TermMonths))-MIN(1,MAX(0,(nr_MStartP1-1-$G4621+0.5)/nr_TermMonths))</f>
        <v>0</v>
      </c>
    </row>
    <row r="4622" spans="1:21" x14ac:dyDescent="0.3">
      <c r="A4622" s="187">
        <v>2</v>
      </c>
      <c r="B4622" s="242">
        <f t="shared" ref="B4622:B4668" si="1636">EDATE($B4621,1)</f>
        <v>45689</v>
      </c>
      <c r="C4622" s="243">
        <f t="shared" si="1626"/>
        <v>45716</v>
      </c>
      <c r="D4622" s="120">
        <f t="shared" si="1627"/>
        <v>28</v>
      </c>
      <c r="E4622" s="120">
        <f t="shared" si="1628"/>
        <v>2</v>
      </c>
      <c r="F4622" s="275">
        <f t="shared" si="1629"/>
        <v>45703</v>
      </c>
      <c r="G4622" s="120">
        <f t="shared" si="1630"/>
        <v>24301</v>
      </c>
      <c r="H4622" s="245">
        <f t="shared" si="1631"/>
        <v>1</v>
      </c>
      <c r="O4622" s="246">
        <f t="shared" si="1632"/>
        <v>0.82107221006564546</v>
      </c>
      <c r="P4622" s="121">
        <f t="shared" si="1633"/>
        <v>0</v>
      </c>
      <c r="Q4622" s="121">
        <f t="shared" si="1634"/>
        <v>0</v>
      </c>
      <c r="R4622" s="121">
        <f t="shared" si="1635"/>
        <v>0</v>
      </c>
    </row>
    <row r="4623" spans="1:21" x14ac:dyDescent="0.3">
      <c r="A4623" s="187">
        <v>3</v>
      </c>
      <c r="B4623" s="242">
        <f t="shared" si="1636"/>
        <v>45717</v>
      </c>
      <c r="C4623" s="243">
        <f t="shared" si="1626"/>
        <v>45747</v>
      </c>
      <c r="D4623" s="120">
        <f t="shared" si="1627"/>
        <v>31</v>
      </c>
      <c r="E4623" s="120">
        <f t="shared" si="1628"/>
        <v>3</v>
      </c>
      <c r="F4623" s="275">
        <f t="shared" si="1629"/>
        <v>45732.5</v>
      </c>
      <c r="G4623" s="120">
        <f t="shared" si="1630"/>
        <v>24302</v>
      </c>
      <c r="H4623" s="245">
        <f t="shared" si="1631"/>
        <v>1</v>
      </c>
      <c r="O4623" s="246">
        <f t="shared" si="1632"/>
        <v>0.82300875273522978</v>
      </c>
      <c r="P4623" s="121">
        <f t="shared" si="1633"/>
        <v>0</v>
      </c>
      <c r="Q4623" s="121">
        <f t="shared" si="1634"/>
        <v>0</v>
      </c>
      <c r="R4623" s="121">
        <f t="shared" si="1635"/>
        <v>0</v>
      </c>
    </row>
    <row r="4624" spans="1:21" x14ac:dyDescent="0.3">
      <c r="A4624" s="187">
        <v>4</v>
      </c>
      <c r="B4624" s="242">
        <f t="shared" si="1636"/>
        <v>45748</v>
      </c>
      <c r="C4624" s="243">
        <f t="shared" si="1626"/>
        <v>45777</v>
      </c>
      <c r="D4624" s="120">
        <f t="shared" si="1627"/>
        <v>30</v>
      </c>
      <c r="E4624" s="120">
        <f t="shared" si="1628"/>
        <v>4</v>
      </c>
      <c r="F4624" s="275">
        <f t="shared" si="1629"/>
        <v>45763</v>
      </c>
      <c r="G4624" s="120">
        <f t="shared" si="1630"/>
        <v>24303</v>
      </c>
      <c r="H4624" s="245">
        <f t="shared" si="1631"/>
        <v>1</v>
      </c>
      <c r="O4624" s="246">
        <f t="shared" si="1632"/>
        <v>0.82501094091903715</v>
      </c>
      <c r="P4624" s="121">
        <f t="shared" si="1633"/>
        <v>0</v>
      </c>
      <c r="Q4624" s="121">
        <f t="shared" si="1634"/>
        <v>0</v>
      </c>
      <c r="R4624" s="121">
        <f t="shared" si="1635"/>
        <v>0</v>
      </c>
    </row>
    <row r="4625" spans="1:18" x14ac:dyDescent="0.3">
      <c r="A4625" s="187">
        <v>5</v>
      </c>
      <c r="B4625" s="242">
        <f t="shared" si="1636"/>
        <v>45778</v>
      </c>
      <c r="C4625" s="243">
        <f t="shared" si="1626"/>
        <v>45808</v>
      </c>
      <c r="D4625" s="120">
        <f t="shared" si="1627"/>
        <v>31</v>
      </c>
      <c r="E4625" s="120">
        <f t="shared" si="1628"/>
        <v>5</v>
      </c>
      <c r="F4625" s="275">
        <f t="shared" si="1629"/>
        <v>45793.5</v>
      </c>
      <c r="G4625" s="120">
        <f t="shared" si="1630"/>
        <v>24304</v>
      </c>
      <c r="H4625" s="245">
        <f t="shared" si="1631"/>
        <v>1</v>
      </c>
      <c r="O4625" s="246">
        <f t="shared" si="1632"/>
        <v>0.82701312910284464</v>
      </c>
      <c r="P4625" s="121">
        <f t="shared" si="1633"/>
        <v>0</v>
      </c>
      <c r="Q4625" s="121">
        <f t="shared" si="1634"/>
        <v>0</v>
      </c>
      <c r="R4625" s="121">
        <f t="shared" si="1635"/>
        <v>0</v>
      </c>
    </row>
    <row r="4626" spans="1:18" x14ac:dyDescent="0.3">
      <c r="A4626" s="187">
        <v>6</v>
      </c>
      <c r="B4626" s="242">
        <f t="shared" si="1636"/>
        <v>45809</v>
      </c>
      <c r="C4626" s="243">
        <f t="shared" si="1626"/>
        <v>45838</v>
      </c>
      <c r="D4626" s="120">
        <f t="shared" si="1627"/>
        <v>30</v>
      </c>
      <c r="E4626" s="120">
        <f t="shared" si="1628"/>
        <v>6</v>
      </c>
      <c r="F4626" s="275">
        <f t="shared" si="1629"/>
        <v>45824</v>
      </c>
      <c r="G4626" s="120">
        <f t="shared" si="1630"/>
        <v>24305</v>
      </c>
      <c r="H4626" s="245">
        <f t="shared" si="1631"/>
        <v>1</v>
      </c>
      <c r="O4626" s="246">
        <f t="shared" si="1632"/>
        <v>0.82901531728665201</v>
      </c>
      <c r="P4626" s="121">
        <f t="shared" si="1633"/>
        <v>0</v>
      </c>
      <c r="Q4626" s="121">
        <f t="shared" si="1634"/>
        <v>0</v>
      </c>
      <c r="R4626" s="121">
        <f t="shared" si="1635"/>
        <v>0</v>
      </c>
    </row>
    <row r="4627" spans="1:18" x14ac:dyDescent="0.3">
      <c r="A4627" s="187">
        <v>7</v>
      </c>
      <c r="B4627" s="242">
        <f t="shared" si="1636"/>
        <v>45839</v>
      </c>
      <c r="C4627" s="243">
        <f t="shared" si="1626"/>
        <v>45869</v>
      </c>
      <c r="D4627" s="120">
        <f t="shared" si="1627"/>
        <v>31</v>
      </c>
      <c r="E4627" s="120">
        <f t="shared" si="1628"/>
        <v>7</v>
      </c>
      <c r="F4627" s="275">
        <f t="shared" si="1629"/>
        <v>45854.5</v>
      </c>
      <c r="G4627" s="120">
        <f t="shared" si="1630"/>
        <v>24306</v>
      </c>
      <c r="H4627" s="245">
        <f t="shared" si="1631"/>
        <v>1</v>
      </c>
      <c r="O4627" s="246">
        <f t="shared" si="1632"/>
        <v>0.83101750547045949</v>
      </c>
      <c r="P4627" s="121">
        <f t="shared" si="1633"/>
        <v>8.333333333333337E-2</v>
      </c>
      <c r="Q4627" s="121">
        <f t="shared" si="1634"/>
        <v>0</v>
      </c>
      <c r="R4627" s="121">
        <f t="shared" si="1635"/>
        <v>0</v>
      </c>
    </row>
    <row r="4628" spans="1:18" x14ac:dyDescent="0.3">
      <c r="A4628" s="187">
        <v>8</v>
      </c>
      <c r="B4628" s="242">
        <f t="shared" si="1636"/>
        <v>45870</v>
      </c>
      <c r="C4628" s="243">
        <f t="shared" si="1626"/>
        <v>45900</v>
      </c>
      <c r="D4628" s="120">
        <f t="shared" si="1627"/>
        <v>31</v>
      </c>
      <c r="E4628" s="120">
        <f t="shared" si="1628"/>
        <v>8</v>
      </c>
      <c r="F4628" s="275">
        <f t="shared" si="1629"/>
        <v>45885.5</v>
      </c>
      <c r="G4628" s="120">
        <f t="shared" si="1630"/>
        <v>24307</v>
      </c>
      <c r="H4628" s="245">
        <f t="shared" si="1631"/>
        <v>1</v>
      </c>
      <c r="O4628" s="246">
        <f t="shared" si="1632"/>
        <v>0.83305251641137856</v>
      </c>
      <c r="P4628" s="121">
        <f t="shared" si="1633"/>
        <v>0.25</v>
      </c>
      <c r="Q4628" s="121">
        <f t="shared" si="1634"/>
        <v>0</v>
      </c>
      <c r="R4628" s="121">
        <f t="shared" si="1635"/>
        <v>0</v>
      </c>
    </row>
    <row r="4629" spans="1:18" x14ac:dyDescent="0.3">
      <c r="A4629" s="187">
        <v>9</v>
      </c>
      <c r="B4629" s="242">
        <f t="shared" si="1636"/>
        <v>45901</v>
      </c>
      <c r="C4629" s="243">
        <f t="shared" si="1626"/>
        <v>45930</v>
      </c>
      <c r="D4629" s="120">
        <f t="shared" si="1627"/>
        <v>30</v>
      </c>
      <c r="E4629" s="120">
        <f t="shared" si="1628"/>
        <v>9</v>
      </c>
      <c r="F4629" s="275">
        <f t="shared" si="1629"/>
        <v>45916</v>
      </c>
      <c r="G4629" s="120">
        <f t="shared" si="1630"/>
        <v>24308</v>
      </c>
      <c r="H4629" s="245">
        <f t="shared" si="1631"/>
        <v>1</v>
      </c>
      <c r="O4629" s="246">
        <f t="shared" si="1632"/>
        <v>0.83505470459518594</v>
      </c>
      <c r="P4629" s="121">
        <f t="shared" si="1633"/>
        <v>0.41666666666666663</v>
      </c>
      <c r="Q4629" s="121">
        <f t="shared" si="1634"/>
        <v>0</v>
      </c>
      <c r="R4629" s="121">
        <f t="shared" si="1635"/>
        <v>0</v>
      </c>
    </row>
    <row r="4630" spans="1:18" x14ac:dyDescent="0.3">
      <c r="A4630" s="187">
        <v>10</v>
      </c>
      <c r="B4630" s="242">
        <f t="shared" si="1636"/>
        <v>45931</v>
      </c>
      <c r="C4630" s="243">
        <f t="shared" si="1626"/>
        <v>45961</v>
      </c>
      <c r="D4630" s="120">
        <f t="shared" si="1627"/>
        <v>31</v>
      </c>
      <c r="E4630" s="120">
        <f t="shared" si="1628"/>
        <v>10</v>
      </c>
      <c r="F4630" s="275">
        <f t="shared" si="1629"/>
        <v>45946.5</v>
      </c>
      <c r="G4630" s="120">
        <f t="shared" si="1630"/>
        <v>24309</v>
      </c>
      <c r="H4630" s="245">
        <f t="shared" si="1631"/>
        <v>1</v>
      </c>
      <c r="O4630" s="246">
        <f t="shared" si="1632"/>
        <v>0.83705689277899342</v>
      </c>
      <c r="P4630" s="121">
        <f t="shared" si="1633"/>
        <v>0.58333333333333326</v>
      </c>
      <c r="Q4630" s="121">
        <f t="shared" si="1634"/>
        <v>0</v>
      </c>
      <c r="R4630" s="121">
        <f t="shared" si="1635"/>
        <v>0</v>
      </c>
    </row>
    <row r="4631" spans="1:18" x14ac:dyDescent="0.3">
      <c r="A4631" s="187">
        <v>11</v>
      </c>
      <c r="B4631" s="242">
        <f t="shared" si="1636"/>
        <v>45962</v>
      </c>
      <c r="C4631" s="243">
        <f t="shared" si="1626"/>
        <v>45991</v>
      </c>
      <c r="D4631" s="120">
        <f t="shared" si="1627"/>
        <v>30</v>
      </c>
      <c r="E4631" s="120">
        <f t="shared" si="1628"/>
        <v>11</v>
      </c>
      <c r="F4631" s="275">
        <f t="shared" si="1629"/>
        <v>45977</v>
      </c>
      <c r="G4631" s="120">
        <f t="shared" si="1630"/>
        <v>24310</v>
      </c>
      <c r="H4631" s="245">
        <f t="shared" si="1631"/>
        <v>1</v>
      </c>
      <c r="O4631" s="246">
        <f t="shared" si="1632"/>
        <v>0.8390590809628008</v>
      </c>
      <c r="P4631" s="121">
        <f t="shared" si="1633"/>
        <v>0.75</v>
      </c>
      <c r="Q4631" s="121">
        <f t="shared" si="1634"/>
        <v>0</v>
      </c>
      <c r="R4631" s="121">
        <f t="shared" si="1635"/>
        <v>0</v>
      </c>
    </row>
    <row r="4632" spans="1:18" x14ac:dyDescent="0.3">
      <c r="A4632" s="187">
        <v>12</v>
      </c>
      <c r="B4632" s="242">
        <f t="shared" si="1636"/>
        <v>45992</v>
      </c>
      <c r="C4632" s="243">
        <f t="shared" si="1626"/>
        <v>46022</v>
      </c>
      <c r="D4632" s="120">
        <f t="shared" si="1627"/>
        <v>31</v>
      </c>
      <c r="E4632" s="120">
        <f t="shared" si="1628"/>
        <v>12</v>
      </c>
      <c r="F4632" s="275">
        <f t="shared" si="1629"/>
        <v>46007.5</v>
      </c>
      <c r="G4632" s="120">
        <f t="shared" si="1630"/>
        <v>24311</v>
      </c>
      <c r="H4632" s="245">
        <f t="shared" si="1631"/>
        <v>1</v>
      </c>
      <c r="O4632" s="246">
        <f t="shared" si="1632"/>
        <v>0.84106126914660828</v>
      </c>
      <c r="P4632" s="121">
        <f t="shared" si="1633"/>
        <v>0.91666666666666663</v>
      </c>
      <c r="Q4632" s="121">
        <f t="shared" si="1634"/>
        <v>0</v>
      </c>
      <c r="R4632" s="121">
        <f t="shared" si="1635"/>
        <v>0</v>
      </c>
    </row>
    <row r="4633" spans="1:18" x14ac:dyDescent="0.3">
      <c r="A4633" s="187">
        <v>13</v>
      </c>
      <c r="B4633" s="242">
        <f t="shared" si="1636"/>
        <v>46023</v>
      </c>
      <c r="C4633" s="243">
        <f t="shared" si="1626"/>
        <v>46053</v>
      </c>
      <c r="D4633" s="120">
        <f t="shared" si="1627"/>
        <v>31</v>
      </c>
      <c r="E4633" s="120">
        <f t="shared" si="1628"/>
        <v>1</v>
      </c>
      <c r="F4633" s="275">
        <f t="shared" si="1629"/>
        <v>46038.5</v>
      </c>
      <c r="G4633" s="120">
        <f t="shared" si="1630"/>
        <v>24312</v>
      </c>
      <c r="H4633" s="245">
        <f t="shared" si="1631"/>
        <v>1</v>
      </c>
      <c r="O4633" s="246">
        <f t="shared" si="1632"/>
        <v>0.84309628008752735</v>
      </c>
      <c r="P4633" s="121">
        <f t="shared" si="1633"/>
        <v>1</v>
      </c>
      <c r="Q4633" s="121">
        <f t="shared" si="1634"/>
        <v>0</v>
      </c>
      <c r="R4633" s="121">
        <f t="shared" si="1635"/>
        <v>0</v>
      </c>
    </row>
    <row r="4634" spans="1:18" x14ac:dyDescent="0.3">
      <c r="A4634" s="187">
        <v>14</v>
      </c>
      <c r="B4634" s="242">
        <f t="shared" si="1636"/>
        <v>46054</v>
      </c>
      <c r="C4634" s="243">
        <f t="shared" si="1626"/>
        <v>46081</v>
      </c>
      <c r="D4634" s="120">
        <f t="shared" si="1627"/>
        <v>28</v>
      </c>
      <c r="E4634" s="120">
        <f t="shared" si="1628"/>
        <v>2</v>
      </c>
      <c r="F4634" s="275">
        <f t="shared" si="1629"/>
        <v>46068</v>
      </c>
      <c r="G4634" s="120">
        <f t="shared" si="1630"/>
        <v>24313</v>
      </c>
      <c r="H4634" s="245">
        <f t="shared" si="1631"/>
        <v>1</v>
      </c>
      <c r="O4634" s="246">
        <f t="shared" si="1632"/>
        <v>0.84503282275711156</v>
      </c>
      <c r="P4634" s="121">
        <f t="shared" si="1633"/>
        <v>1</v>
      </c>
      <c r="Q4634" s="121">
        <f t="shared" si="1634"/>
        <v>0</v>
      </c>
      <c r="R4634" s="121">
        <f t="shared" si="1635"/>
        <v>0</v>
      </c>
    </row>
    <row r="4635" spans="1:18" x14ac:dyDescent="0.3">
      <c r="A4635" s="187">
        <v>15</v>
      </c>
      <c r="B4635" s="242">
        <f t="shared" si="1636"/>
        <v>46082</v>
      </c>
      <c r="C4635" s="243">
        <f t="shared" si="1626"/>
        <v>46112</v>
      </c>
      <c r="D4635" s="120">
        <f t="shared" si="1627"/>
        <v>31</v>
      </c>
      <c r="E4635" s="120">
        <f t="shared" si="1628"/>
        <v>3</v>
      </c>
      <c r="F4635" s="275">
        <f t="shared" si="1629"/>
        <v>46097.5</v>
      </c>
      <c r="G4635" s="120">
        <f t="shared" si="1630"/>
        <v>24314</v>
      </c>
      <c r="H4635" s="245">
        <f t="shared" si="1631"/>
        <v>1</v>
      </c>
      <c r="O4635" s="246">
        <f t="shared" si="1632"/>
        <v>0.84696936542669587</v>
      </c>
      <c r="P4635" s="121">
        <f t="shared" si="1633"/>
        <v>1</v>
      </c>
      <c r="Q4635" s="121">
        <f t="shared" si="1634"/>
        <v>0</v>
      </c>
      <c r="R4635" s="121">
        <f t="shared" si="1635"/>
        <v>0</v>
      </c>
    </row>
    <row r="4636" spans="1:18" x14ac:dyDescent="0.3">
      <c r="A4636" s="187">
        <v>16</v>
      </c>
      <c r="B4636" s="242">
        <f t="shared" si="1636"/>
        <v>46113</v>
      </c>
      <c r="C4636" s="243">
        <f t="shared" si="1626"/>
        <v>46142</v>
      </c>
      <c r="D4636" s="120">
        <f t="shared" si="1627"/>
        <v>30</v>
      </c>
      <c r="E4636" s="120">
        <f t="shared" si="1628"/>
        <v>4</v>
      </c>
      <c r="F4636" s="275">
        <f t="shared" si="1629"/>
        <v>46128</v>
      </c>
      <c r="G4636" s="120">
        <f t="shared" si="1630"/>
        <v>24315</v>
      </c>
      <c r="H4636" s="245">
        <f t="shared" si="1631"/>
        <v>1</v>
      </c>
      <c r="O4636" s="246">
        <f t="shared" si="1632"/>
        <v>0.84897155361050325</v>
      </c>
      <c r="P4636" s="121">
        <f t="shared" si="1633"/>
        <v>1</v>
      </c>
      <c r="Q4636" s="121">
        <f t="shared" si="1634"/>
        <v>0</v>
      </c>
      <c r="R4636" s="121">
        <f t="shared" si="1635"/>
        <v>0</v>
      </c>
    </row>
    <row r="4637" spans="1:18" x14ac:dyDescent="0.3">
      <c r="A4637" s="187">
        <v>17</v>
      </c>
      <c r="B4637" s="242">
        <f t="shared" si="1636"/>
        <v>46143</v>
      </c>
      <c r="C4637" s="243">
        <f t="shared" si="1626"/>
        <v>46173</v>
      </c>
      <c r="D4637" s="120">
        <f t="shared" si="1627"/>
        <v>31</v>
      </c>
      <c r="E4637" s="120">
        <f t="shared" si="1628"/>
        <v>5</v>
      </c>
      <c r="F4637" s="275">
        <f t="shared" si="1629"/>
        <v>46158.5</v>
      </c>
      <c r="G4637" s="120">
        <f t="shared" si="1630"/>
        <v>24316</v>
      </c>
      <c r="H4637" s="245">
        <f t="shared" si="1631"/>
        <v>1</v>
      </c>
      <c r="O4637" s="246">
        <f t="shared" si="1632"/>
        <v>0.85097374179431073</v>
      </c>
      <c r="P4637" s="121">
        <f t="shared" si="1633"/>
        <v>1</v>
      </c>
      <c r="Q4637" s="121">
        <f t="shared" si="1634"/>
        <v>0</v>
      </c>
      <c r="R4637" s="121">
        <f t="shared" si="1635"/>
        <v>0</v>
      </c>
    </row>
    <row r="4638" spans="1:18" x14ac:dyDescent="0.3">
      <c r="A4638" s="187">
        <v>18</v>
      </c>
      <c r="B4638" s="242">
        <f t="shared" si="1636"/>
        <v>46174</v>
      </c>
      <c r="C4638" s="243">
        <f t="shared" si="1626"/>
        <v>46203</v>
      </c>
      <c r="D4638" s="120">
        <f t="shared" si="1627"/>
        <v>30</v>
      </c>
      <c r="E4638" s="120">
        <f t="shared" si="1628"/>
        <v>6</v>
      </c>
      <c r="F4638" s="275">
        <f t="shared" si="1629"/>
        <v>46189</v>
      </c>
      <c r="G4638" s="120">
        <f t="shared" si="1630"/>
        <v>24317</v>
      </c>
      <c r="H4638" s="245">
        <f t="shared" si="1631"/>
        <v>1</v>
      </c>
      <c r="O4638" s="246">
        <f t="shared" si="1632"/>
        <v>0.85297592997811811</v>
      </c>
      <c r="P4638" s="121">
        <f t="shared" si="1633"/>
        <v>1</v>
      </c>
      <c r="Q4638" s="121">
        <f t="shared" si="1634"/>
        <v>0</v>
      </c>
      <c r="R4638" s="121">
        <f t="shared" si="1635"/>
        <v>0</v>
      </c>
    </row>
    <row r="4639" spans="1:18" x14ac:dyDescent="0.3">
      <c r="A4639" s="187">
        <v>19</v>
      </c>
      <c r="B4639" s="242">
        <f t="shared" si="1636"/>
        <v>46204</v>
      </c>
      <c r="C4639" s="243">
        <f t="shared" si="1626"/>
        <v>46234</v>
      </c>
      <c r="D4639" s="120">
        <f t="shared" si="1627"/>
        <v>31</v>
      </c>
      <c r="E4639" s="120">
        <f t="shared" si="1628"/>
        <v>7</v>
      </c>
      <c r="F4639" s="275">
        <f t="shared" si="1629"/>
        <v>46219.5</v>
      </c>
      <c r="G4639" s="120">
        <f t="shared" si="1630"/>
        <v>24318</v>
      </c>
      <c r="H4639" s="245">
        <f t="shared" si="1631"/>
        <v>1</v>
      </c>
      <c r="O4639" s="246">
        <f t="shared" si="1632"/>
        <v>0.85497811816192559</v>
      </c>
      <c r="P4639" s="121">
        <f t="shared" si="1633"/>
        <v>0.91666666666666663</v>
      </c>
      <c r="Q4639" s="121">
        <f t="shared" si="1634"/>
        <v>8.333333333333337E-2</v>
      </c>
      <c r="R4639" s="121">
        <f t="shared" si="1635"/>
        <v>0</v>
      </c>
    </row>
    <row r="4640" spans="1:18" x14ac:dyDescent="0.3">
      <c r="A4640" s="187">
        <v>20</v>
      </c>
      <c r="B4640" s="242">
        <f t="shared" si="1636"/>
        <v>46235</v>
      </c>
      <c r="C4640" s="243">
        <f t="shared" si="1626"/>
        <v>46265</v>
      </c>
      <c r="D4640" s="120">
        <f t="shared" si="1627"/>
        <v>31</v>
      </c>
      <c r="E4640" s="120">
        <f t="shared" si="1628"/>
        <v>8</v>
      </c>
      <c r="F4640" s="275">
        <f t="shared" si="1629"/>
        <v>46250.5</v>
      </c>
      <c r="G4640" s="120">
        <f t="shared" si="1630"/>
        <v>24319</v>
      </c>
      <c r="H4640" s="245">
        <f t="shared" si="1631"/>
        <v>1</v>
      </c>
      <c r="O4640" s="246">
        <f t="shared" si="1632"/>
        <v>0.85701312910284466</v>
      </c>
      <c r="P4640" s="121">
        <f t="shared" si="1633"/>
        <v>0.75</v>
      </c>
      <c r="Q4640" s="121">
        <f t="shared" si="1634"/>
        <v>0.25</v>
      </c>
      <c r="R4640" s="121">
        <f t="shared" si="1635"/>
        <v>0</v>
      </c>
    </row>
    <row r="4641" spans="1:18" x14ac:dyDescent="0.3">
      <c r="A4641" s="187">
        <v>21</v>
      </c>
      <c r="B4641" s="242">
        <f t="shared" si="1636"/>
        <v>46266</v>
      </c>
      <c r="C4641" s="243">
        <f t="shared" si="1626"/>
        <v>46295</v>
      </c>
      <c r="D4641" s="120">
        <f t="shared" si="1627"/>
        <v>30</v>
      </c>
      <c r="E4641" s="120">
        <f t="shared" si="1628"/>
        <v>9</v>
      </c>
      <c r="F4641" s="275">
        <f t="shared" si="1629"/>
        <v>46281</v>
      </c>
      <c r="G4641" s="120">
        <f t="shared" si="1630"/>
        <v>24320</v>
      </c>
      <c r="H4641" s="245">
        <f t="shared" si="1631"/>
        <v>1</v>
      </c>
      <c r="O4641" s="246">
        <f t="shared" si="1632"/>
        <v>0.85901531728665204</v>
      </c>
      <c r="P4641" s="121">
        <f t="shared" si="1633"/>
        <v>0.58333333333333337</v>
      </c>
      <c r="Q4641" s="121">
        <f t="shared" si="1634"/>
        <v>0.41666666666666663</v>
      </c>
      <c r="R4641" s="121">
        <f t="shared" si="1635"/>
        <v>0</v>
      </c>
    </row>
    <row r="4642" spans="1:18" x14ac:dyDescent="0.3">
      <c r="A4642" s="187">
        <v>22</v>
      </c>
      <c r="B4642" s="242">
        <f t="shared" si="1636"/>
        <v>46296</v>
      </c>
      <c r="C4642" s="243">
        <f t="shared" si="1626"/>
        <v>46326</v>
      </c>
      <c r="D4642" s="120">
        <f t="shared" si="1627"/>
        <v>31</v>
      </c>
      <c r="E4642" s="120">
        <f t="shared" si="1628"/>
        <v>10</v>
      </c>
      <c r="F4642" s="275">
        <f t="shared" si="1629"/>
        <v>46311.5</v>
      </c>
      <c r="G4642" s="120">
        <f t="shared" si="1630"/>
        <v>24321</v>
      </c>
      <c r="H4642" s="245">
        <f t="shared" si="1631"/>
        <v>1</v>
      </c>
      <c r="O4642" s="246">
        <f t="shared" si="1632"/>
        <v>0.86101750547045952</v>
      </c>
      <c r="P4642" s="121">
        <f t="shared" si="1633"/>
        <v>0.41666666666666669</v>
      </c>
      <c r="Q4642" s="121">
        <f t="shared" si="1634"/>
        <v>0.58333333333333326</v>
      </c>
      <c r="R4642" s="121">
        <f t="shared" si="1635"/>
        <v>0</v>
      </c>
    </row>
    <row r="4643" spans="1:18" x14ac:dyDescent="0.3">
      <c r="A4643" s="187">
        <v>23</v>
      </c>
      <c r="B4643" s="242">
        <f t="shared" si="1636"/>
        <v>46327</v>
      </c>
      <c r="C4643" s="243">
        <f t="shared" si="1626"/>
        <v>46356</v>
      </c>
      <c r="D4643" s="120">
        <f t="shared" si="1627"/>
        <v>30</v>
      </c>
      <c r="E4643" s="120">
        <f t="shared" si="1628"/>
        <v>11</v>
      </c>
      <c r="F4643" s="275">
        <f t="shared" si="1629"/>
        <v>46342</v>
      </c>
      <c r="G4643" s="120">
        <f t="shared" si="1630"/>
        <v>24322</v>
      </c>
      <c r="H4643" s="245">
        <f t="shared" si="1631"/>
        <v>1</v>
      </c>
      <c r="O4643" s="246">
        <f t="shared" si="1632"/>
        <v>0.8630196936542669</v>
      </c>
      <c r="P4643" s="121">
        <f t="shared" si="1633"/>
        <v>0.25</v>
      </c>
      <c r="Q4643" s="121">
        <f t="shared" si="1634"/>
        <v>0.75</v>
      </c>
      <c r="R4643" s="121">
        <f t="shared" si="1635"/>
        <v>0</v>
      </c>
    </row>
    <row r="4644" spans="1:18" x14ac:dyDescent="0.3">
      <c r="A4644" s="187">
        <v>24</v>
      </c>
      <c r="B4644" s="242">
        <f t="shared" si="1636"/>
        <v>46357</v>
      </c>
      <c r="C4644" s="243">
        <f t="shared" si="1626"/>
        <v>46387</v>
      </c>
      <c r="D4644" s="120">
        <f t="shared" si="1627"/>
        <v>31</v>
      </c>
      <c r="E4644" s="120">
        <f t="shared" si="1628"/>
        <v>12</v>
      </c>
      <c r="F4644" s="275">
        <f t="shared" si="1629"/>
        <v>46372.5</v>
      </c>
      <c r="G4644" s="120">
        <f t="shared" si="1630"/>
        <v>24323</v>
      </c>
      <c r="H4644" s="245">
        <f t="shared" si="1631"/>
        <v>1</v>
      </c>
      <c r="O4644" s="246">
        <f t="shared" si="1632"/>
        <v>0.86502188183807438</v>
      </c>
      <c r="P4644" s="121">
        <f t="shared" si="1633"/>
        <v>8.3333333333333329E-2</v>
      </c>
      <c r="Q4644" s="121">
        <f t="shared" si="1634"/>
        <v>0.91666666666666663</v>
      </c>
      <c r="R4644" s="121">
        <f t="shared" si="1635"/>
        <v>0</v>
      </c>
    </row>
    <row r="4645" spans="1:18" x14ac:dyDescent="0.3">
      <c r="A4645" s="187">
        <v>25</v>
      </c>
      <c r="B4645" s="242">
        <f t="shared" si="1636"/>
        <v>46388</v>
      </c>
      <c r="C4645" s="243">
        <f t="shared" si="1626"/>
        <v>46418</v>
      </c>
      <c r="D4645" s="120">
        <f t="shared" si="1627"/>
        <v>31</v>
      </c>
      <c r="E4645" s="120">
        <f t="shared" si="1628"/>
        <v>1</v>
      </c>
      <c r="F4645" s="275">
        <f t="shared" si="1629"/>
        <v>46403.5</v>
      </c>
      <c r="G4645" s="120">
        <f t="shared" si="1630"/>
        <v>24324</v>
      </c>
      <c r="H4645" s="245">
        <f t="shared" si="1631"/>
        <v>1</v>
      </c>
      <c r="O4645" s="246">
        <f t="shared" si="1632"/>
        <v>0.86705689277899345</v>
      </c>
      <c r="P4645" s="121">
        <f t="shared" si="1633"/>
        <v>0</v>
      </c>
      <c r="Q4645" s="121">
        <f t="shared" si="1634"/>
        <v>1</v>
      </c>
      <c r="R4645" s="121">
        <f t="shared" si="1635"/>
        <v>0</v>
      </c>
    </row>
    <row r="4646" spans="1:18" x14ac:dyDescent="0.3">
      <c r="A4646" s="187">
        <v>26</v>
      </c>
      <c r="B4646" s="242">
        <f t="shared" si="1636"/>
        <v>46419</v>
      </c>
      <c r="C4646" s="243">
        <f t="shared" si="1626"/>
        <v>46446</v>
      </c>
      <c r="D4646" s="120">
        <f t="shared" si="1627"/>
        <v>28</v>
      </c>
      <c r="E4646" s="120">
        <f t="shared" si="1628"/>
        <v>2</v>
      </c>
      <c r="F4646" s="275">
        <f t="shared" si="1629"/>
        <v>46433</v>
      </c>
      <c r="G4646" s="120">
        <f t="shared" si="1630"/>
        <v>24325</v>
      </c>
      <c r="H4646" s="245">
        <f t="shared" si="1631"/>
        <v>1</v>
      </c>
      <c r="O4646" s="246">
        <f t="shared" si="1632"/>
        <v>0.86899343544857766</v>
      </c>
      <c r="P4646" s="121">
        <f t="shared" si="1633"/>
        <v>0</v>
      </c>
      <c r="Q4646" s="121">
        <f t="shared" si="1634"/>
        <v>1</v>
      </c>
      <c r="R4646" s="121">
        <f t="shared" si="1635"/>
        <v>0</v>
      </c>
    </row>
    <row r="4647" spans="1:18" x14ac:dyDescent="0.3">
      <c r="A4647" s="187">
        <v>27</v>
      </c>
      <c r="B4647" s="242">
        <f t="shared" si="1636"/>
        <v>46447</v>
      </c>
      <c r="C4647" s="243">
        <f t="shared" si="1626"/>
        <v>46477</v>
      </c>
      <c r="D4647" s="120">
        <f t="shared" si="1627"/>
        <v>31</v>
      </c>
      <c r="E4647" s="120">
        <f t="shared" si="1628"/>
        <v>3</v>
      </c>
      <c r="F4647" s="275">
        <f t="shared" si="1629"/>
        <v>46462.5</v>
      </c>
      <c r="G4647" s="120">
        <f t="shared" si="1630"/>
        <v>24326</v>
      </c>
      <c r="H4647" s="245">
        <f t="shared" si="1631"/>
        <v>1</v>
      </c>
      <c r="O4647" s="246">
        <f t="shared" si="1632"/>
        <v>0.87092997811816197</v>
      </c>
      <c r="P4647" s="121">
        <f t="shared" si="1633"/>
        <v>0</v>
      </c>
      <c r="Q4647" s="121">
        <f t="shared" si="1634"/>
        <v>1</v>
      </c>
      <c r="R4647" s="121">
        <f t="shared" si="1635"/>
        <v>0</v>
      </c>
    </row>
    <row r="4648" spans="1:18" x14ac:dyDescent="0.3">
      <c r="A4648" s="187">
        <v>28</v>
      </c>
      <c r="B4648" s="242">
        <f t="shared" si="1636"/>
        <v>46478</v>
      </c>
      <c r="C4648" s="243">
        <f t="shared" si="1626"/>
        <v>46507</v>
      </c>
      <c r="D4648" s="120">
        <f t="shared" si="1627"/>
        <v>30</v>
      </c>
      <c r="E4648" s="120">
        <f t="shared" si="1628"/>
        <v>4</v>
      </c>
      <c r="F4648" s="275">
        <f t="shared" si="1629"/>
        <v>46493</v>
      </c>
      <c r="G4648" s="120">
        <f t="shared" si="1630"/>
        <v>24327</v>
      </c>
      <c r="H4648" s="245">
        <f t="shared" si="1631"/>
        <v>1</v>
      </c>
      <c r="O4648" s="246">
        <f t="shared" si="1632"/>
        <v>0.87293216630196935</v>
      </c>
      <c r="P4648" s="121">
        <f t="shared" si="1633"/>
        <v>0</v>
      </c>
      <c r="Q4648" s="121">
        <f t="shared" si="1634"/>
        <v>1</v>
      </c>
      <c r="R4648" s="121">
        <f t="shared" si="1635"/>
        <v>0</v>
      </c>
    </row>
    <row r="4649" spans="1:18" x14ac:dyDescent="0.3">
      <c r="A4649" s="187">
        <v>29</v>
      </c>
      <c r="B4649" s="242">
        <f t="shared" si="1636"/>
        <v>46508</v>
      </c>
      <c r="C4649" s="243">
        <f t="shared" si="1626"/>
        <v>46538</v>
      </c>
      <c r="D4649" s="120">
        <f t="shared" si="1627"/>
        <v>31</v>
      </c>
      <c r="E4649" s="120">
        <f t="shared" si="1628"/>
        <v>5</v>
      </c>
      <c r="F4649" s="275">
        <f t="shared" si="1629"/>
        <v>46523.5</v>
      </c>
      <c r="G4649" s="120">
        <f t="shared" si="1630"/>
        <v>24328</v>
      </c>
      <c r="H4649" s="245">
        <f t="shared" si="1631"/>
        <v>1</v>
      </c>
      <c r="O4649" s="246">
        <f t="shared" si="1632"/>
        <v>0.87493435448577683</v>
      </c>
      <c r="P4649" s="121">
        <f t="shared" si="1633"/>
        <v>0</v>
      </c>
      <c r="Q4649" s="121">
        <f t="shared" si="1634"/>
        <v>1</v>
      </c>
      <c r="R4649" s="121">
        <f t="shared" si="1635"/>
        <v>0</v>
      </c>
    </row>
    <row r="4650" spans="1:18" x14ac:dyDescent="0.3">
      <c r="A4650" s="187">
        <v>30</v>
      </c>
      <c r="B4650" s="242">
        <f t="shared" si="1636"/>
        <v>46539</v>
      </c>
      <c r="C4650" s="243">
        <f t="shared" si="1626"/>
        <v>46568</v>
      </c>
      <c r="D4650" s="120">
        <f t="shared" si="1627"/>
        <v>30</v>
      </c>
      <c r="E4650" s="120">
        <f t="shared" si="1628"/>
        <v>6</v>
      </c>
      <c r="F4650" s="275">
        <f t="shared" si="1629"/>
        <v>46554</v>
      </c>
      <c r="G4650" s="120">
        <f t="shared" si="1630"/>
        <v>24329</v>
      </c>
      <c r="H4650" s="245">
        <f t="shared" si="1631"/>
        <v>1</v>
      </c>
      <c r="O4650" s="246">
        <f t="shared" si="1632"/>
        <v>0.87693654266958421</v>
      </c>
      <c r="P4650" s="121">
        <f t="shared" si="1633"/>
        <v>0</v>
      </c>
      <c r="Q4650" s="121">
        <f t="shared" si="1634"/>
        <v>1</v>
      </c>
      <c r="R4650" s="121">
        <f t="shared" si="1635"/>
        <v>0</v>
      </c>
    </row>
    <row r="4651" spans="1:18" x14ac:dyDescent="0.3">
      <c r="A4651" s="187">
        <v>31</v>
      </c>
      <c r="B4651" s="242">
        <f t="shared" si="1636"/>
        <v>46569</v>
      </c>
      <c r="C4651" s="243">
        <f t="shared" si="1626"/>
        <v>46599</v>
      </c>
      <c r="D4651" s="120">
        <f t="shared" si="1627"/>
        <v>31</v>
      </c>
      <c r="E4651" s="120">
        <f t="shared" si="1628"/>
        <v>7</v>
      </c>
      <c r="F4651" s="275">
        <f t="shared" si="1629"/>
        <v>46584.5</v>
      </c>
      <c r="G4651" s="120">
        <f t="shared" si="1630"/>
        <v>24330</v>
      </c>
      <c r="H4651" s="245">
        <f t="shared" si="1631"/>
        <v>1</v>
      </c>
      <c r="O4651" s="246">
        <f t="shared" si="1632"/>
        <v>0.87893873085339169</v>
      </c>
      <c r="P4651" s="121">
        <f t="shared" si="1633"/>
        <v>0</v>
      </c>
      <c r="Q4651" s="121">
        <f t="shared" si="1634"/>
        <v>0.91666666666666663</v>
      </c>
      <c r="R4651" s="121">
        <f t="shared" si="1635"/>
        <v>8.333333333333337E-2</v>
      </c>
    </row>
    <row r="4652" spans="1:18" x14ac:dyDescent="0.3">
      <c r="A4652" s="187">
        <v>32</v>
      </c>
      <c r="B4652" s="242">
        <f t="shared" si="1636"/>
        <v>46600</v>
      </c>
      <c r="C4652" s="243">
        <f t="shared" si="1626"/>
        <v>46630</v>
      </c>
      <c r="D4652" s="120">
        <f t="shared" si="1627"/>
        <v>31</v>
      </c>
      <c r="E4652" s="120">
        <f t="shared" si="1628"/>
        <v>8</v>
      </c>
      <c r="F4652" s="275">
        <f t="shared" si="1629"/>
        <v>46615.5</v>
      </c>
      <c r="G4652" s="120">
        <f t="shared" si="1630"/>
        <v>24331</v>
      </c>
      <c r="H4652" s="245">
        <f t="shared" si="1631"/>
        <v>1</v>
      </c>
      <c r="O4652" s="246">
        <f t="shared" si="1632"/>
        <v>0.88097374179431076</v>
      </c>
      <c r="P4652" s="121">
        <f t="shared" si="1633"/>
        <v>0</v>
      </c>
      <c r="Q4652" s="121">
        <f t="shared" si="1634"/>
        <v>0.75</v>
      </c>
      <c r="R4652" s="121">
        <f t="shared" si="1635"/>
        <v>0.25</v>
      </c>
    </row>
    <row r="4653" spans="1:18" x14ac:dyDescent="0.3">
      <c r="A4653" s="187">
        <v>33</v>
      </c>
      <c r="B4653" s="242">
        <f t="shared" si="1636"/>
        <v>46631</v>
      </c>
      <c r="C4653" s="243">
        <f t="shared" si="1626"/>
        <v>46660</v>
      </c>
      <c r="D4653" s="120">
        <f t="shared" si="1627"/>
        <v>30</v>
      </c>
      <c r="E4653" s="120">
        <f t="shared" si="1628"/>
        <v>9</v>
      </c>
      <c r="F4653" s="275">
        <f t="shared" si="1629"/>
        <v>46646</v>
      </c>
      <c r="G4653" s="120">
        <f t="shared" si="1630"/>
        <v>24332</v>
      </c>
      <c r="H4653" s="245">
        <f t="shared" si="1631"/>
        <v>1</v>
      </c>
      <c r="O4653" s="246">
        <f t="shared" si="1632"/>
        <v>0.88297592997811813</v>
      </c>
      <c r="P4653" s="121">
        <f t="shared" si="1633"/>
        <v>0</v>
      </c>
      <c r="Q4653" s="121">
        <f t="shared" si="1634"/>
        <v>0.58333333333333337</v>
      </c>
      <c r="R4653" s="121">
        <f t="shared" si="1635"/>
        <v>0.41666666666666663</v>
      </c>
    </row>
    <row r="4654" spans="1:18" x14ac:dyDescent="0.3">
      <c r="A4654" s="187">
        <v>34</v>
      </c>
      <c r="B4654" s="242">
        <f t="shared" si="1636"/>
        <v>46661</v>
      </c>
      <c r="C4654" s="243">
        <f t="shared" si="1626"/>
        <v>46691</v>
      </c>
      <c r="D4654" s="120">
        <f t="shared" si="1627"/>
        <v>31</v>
      </c>
      <c r="E4654" s="120">
        <f t="shared" si="1628"/>
        <v>10</v>
      </c>
      <c r="F4654" s="275">
        <f t="shared" si="1629"/>
        <v>46676.5</v>
      </c>
      <c r="G4654" s="120">
        <f t="shared" si="1630"/>
        <v>24333</v>
      </c>
      <c r="H4654" s="245">
        <f t="shared" si="1631"/>
        <v>1</v>
      </c>
      <c r="O4654" s="246">
        <f t="shared" si="1632"/>
        <v>0.88497811816192562</v>
      </c>
      <c r="P4654" s="121">
        <f t="shared" si="1633"/>
        <v>0</v>
      </c>
      <c r="Q4654" s="121">
        <f t="shared" si="1634"/>
        <v>0.41666666666666669</v>
      </c>
      <c r="R4654" s="121">
        <f t="shared" si="1635"/>
        <v>0.58333333333333326</v>
      </c>
    </row>
    <row r="4655" spans="1:18" x14ac:dyDescent="0.3">
      <c r="A4655" s="187">
        <v>35</v>
      </c>
      <c r="B4655" s="242">
        <f t="shared" si="1636"/>
        <v>46692</v>
      </c>
      <c r="C4655" s="243">
        <f t="shared" si="1626"/>
        <v>46721</v>
      </c>
      <c r="D4655" s="120">
        <f t="shared" si="1627"/>
        <v>30</v>
      </c>
      <c r="E4655" s="120">
        <f t="shared" si="1628"/>
        <v>11</v>
      </c>
      <c r="F4655" s="275">
        <f t="shared" si="1629"/>
        <v>46707</v>
      </c>
      <c r="G4655" s="120">
        <f t="shared" si="1630"/>
        <v>24334</v>
      </c>
      <c r="H4655" s="245">
        <f t="shared" si="1631"/>
        <v>1</v>
      </c>
      <c r="O4655" s="246">
        <f t="shared" si="1632"/>
        <v>0.8869803063457331</v>
      </c>
      <c r="P4655" s="121">
        <f t="shared" si="1633"/>
        <v>0</v>
      </c>
      <c r="Q4655" s="121">
        <f t="shared" si="1634"/>
        <v>0.25</v>
      </c>
      <c r="R4655" s="121">
        <f t="shared" si="1635"/>
        <v>0.75</v>
      </c>
    </row>
    <row r="4656" spans="1:18" x14ac:dyDescent="0.3">
      <c r="A4656" s="187">
        <v>36</v>
      </c>
      <c r="B4656" s="242">
        <f t="shared" si="1636"/>
        <v>46722</v>
      </c>
      <c r="C4656" s="243">
        <f t="shared" si="1626"/>
        <v>46752</v>
      </c>
      <c r="D4656" s="120">
        <f t="shared" si="1627"/>
        <v>31</v>
      </c>
      <c r="E4656" s="120">
        <f t="shared" si="1628"/>
        <v>12</v>
      </c>
      <c r="F4656" s="275">
        <f t="shared" si="1629"/>
        <v>46737.5</v>
      </c>
      <c r="G4656" s="120">
        <f t="shared" si="1630"/>
        <v>24335</v>
      </c>
      <c r="H4656" s="245">
        <f t="shared" si="1631"/>
        <v>1</v>
      </c>
      <c r="O4656" s="246">
        <f t="shared" si="1632"/>
        <v>0.88898249452954048</v>
      </c>
      <c r="P4656" s="121">
        <f t="shared" si="1633"/>
        <v>0</v>
      </c>
      <c r="Q4656" s="121">
        <f t="shared" si="1634"/>
        <v>8.3333333333333329E-2</v>
      </c>
      <c r="R4656" s="121">
        <f t="shared" si="1635"/>
        <v>0.91666666666666663</v>
      </c>
    </row>
    <row r="4657" spans="1:18" x14ac:dyDescent="0.3">
      <c r="A4657" s="187">
        <v>37</v>
      </c>
      <c r="B4657" s="242">
        <f t="shared" si="1636"/>
        <v>46753</v>
      </c>
      <c r="C4657" s="243">
        <f t="shared" si="1626"/>
        <v>46783</v>
      </c>
      <c r="D4657" s="120">
        <f t="shared" si="1627"/>
        <v>31</v>
      </c>
      <c r="E4657" s="120">
        <f t="shared" si="1628"/>
        <v>1</v>
      </c>
      <c r="F4657" s="275">
        <f t="shared" si="1629"/>
        <v>46768.5</v>
      </c>
      <c r="G4657" s="120">
        <f t="shared" si="1630"/>
        <v>24336</v>
      </c>
      <c r="H4657" s="245">
        <f t="shared" si="1631"/>
        <v>1</v>
      </c>
      <c r="O4657" s="246">
        <f t="shared" si="1632"/>
        <v>0.89</v>
      </c>
      <c r="P4657" s="121">
        <f t="shared" si="1633"/>
        <v>0</v>
      </c>
      <c r="Q4657" s="121">
        <f t="shared" si="1634"/>
        <v>0</v>
      </c>
      <c r="R4657" s="121">
        <f t="shared" si="1635"/>
        <v>1</v>
      </c>
    </row>
    <row r="4658" spans="1:18" x14ac:dyDescent="0.3">
      <c r="A4658" s="187">
        <v>38</v>
      </c>
      <c r="B4658" s="242">
        <f t="shared" si="1636"/>
        <v>46784</v>
      </c>
      <c r="C4658" s="243">
        <f t="shared" si="1626"/>
        <v>46812</v>
      </c>
      <c r="D4658" s="120">
        <f t="shared" si="1627"/>
        <v>29</v>
      </c>
      <c r="E4658" s="120">
        <f t="shared" si="1628"/>
        <v>2</v>
      </c>
      <c r="F4658" s="275">
        <f t="shared" si="1629"/>
        <v>46798.5</v>
      </c>
      <c r="G4658" s="120">
        <f t="shared" si="1630"/>
        <v>24337</v>
      </c>
      <c r="H4658" s="245">
        <f t="shared" si="1631"/>
        <v>1</v>
      </c>
      <c r="O4658" s="246">
        <f t="shared" si="1632"/>
        <v>0.89</v>
      </c>
      <c r="P4658" s="121">
        <f t="shared" si="1633"/>
        <v>0</v>
      </c>
      <c r="Q4658" s="121">
        <f t="shared" si="1634"/>
        <v>0</v>
      </c>
      <c r="R4658" s="121">
        <f t="shared" si="1635"/>
        <v>1</v>
      </c>
    </row>
    <row r="4659" spans="1:18" x14ac:dyDescent="0.3">
      <c r="A4659" s="187">
        <v>39</v>
      </c>
      <c r="B4659" s="242">
        <f t="shared" si="1636"/>
        <v>46813</v>
      </c>
      <c r="C4659" s="243">
        <f t="shared" si="1626"/>
        <v>46843</v>
      </c>
      <c r="D4659" s="120">
        <f t="shared" si="1627"/>
        <v>31</v>
      </c>
      <c r="E4659" s="120">
        <f t="shared" si="1628"/>
        <v>3</v>
      </c>
      <c r="F4659" s="275">
        <f t="shared" si="1629"/>
        <v>46828.5</v>
      </c>
      <c r="G4659" s="120">
        <f t="shared" si="1630"/>
        <v>24338</v>
      </c>
      <c r="H4659" s="245">
        <f t="shared" si="1631"/>
        <v>1</v>
      </c>
      <c r="O4659" s="246">
        <f t="shared" si="1632"/>
        <v>0.89</v>
      </c>
      <c r="P4659" s="121">
        <f t="shared" si="1633"/>
        <v>0</v>
      </c>
      <c r="Q4659" s="121">
        <f t="shared" si="1634"/>
        <v>0</v>
      </c>
      <c r="R4659" s="121">
        <f t="shared" si="1635"/>
        <v>1</v>
      </c>
    </row>
    <row r="4660" spans="1:18" x14ac:dyDescent="0.3">
      <c r="A4660" s="187">
        <v>40</v>
      </c>
      <c r="B4660" s="242">
        <f t="shared" si="1636"/>
        <v>46844</v>
      </c>
      <c r="C4660" s="243">
        <f t="shared" si="1626"/>
        <v>46873</v>
      </c>
      <c r="D4660" s="120">
        <f t="shared" si="1627"/>
        <v>30</v>
      </c>
      <c r="E4660" s="120">
        <f t="shared" si="1628"/>
        <v>4</v>
      </c>
      <c r="F4660" s="275">
        <f t="shared" si="1629"/>
        <v>46859</v>
      </c>
      <c r="G4660" s="120">
        <f t="shared" si="1630"/>
        <v>24339</v>
      </c>
      <c r="H4660" s="245">
        <f t="shared" si="1631"/>
        <v>1</v>
      </c>
      <c r="O4660" s="246">
        <f t="shared" si="1632"/>
        <v>0.89</v>
      </c>
      <c r="P4660" s="121">
        <f t="shared" si="1633"/>
        <v>0</v>
      </c>
      <c r="Q4660" s="121">
        <f t="shared" si="1634"/>
        <v>0</v>
      </c>
      <c r="R4660" s="121">
        <f t="shared" si="1635"/>
        <v>1</v>
      </c>
    </row>
    <row r="4661" spans="1:18" x14ac:dyDescent="0.3">
      <c r="A4661" s="187">
        <v>41</v>
      </c>
      <c r="B4661" s="242">
        <f t="shared" si="1636"/>
        <v>46874</v>
      </c>
      <c r="C4661" s="243">
        <f t="shared" si="1626"/>
        <v>46904</v>
      </c>
      <c r="D4661" s="120">
        <f t="shared" si="1627"/>
        <v>31</v>
      </c>
      <c r="E4661" s="120">
        <f t="shared" si="1628"/>
        <v>5</v>
      </c>
      <c r="F4661" s="275">
        <f t="shared" si="1629"/>
        <v>46889.5</v>
      </c>
      <c r="G4661" s="120">
        <f t="shared" si="1630"/>
        <v>24340</v>
      </c>
      <c r="H4661" s="245">
        <f t="shared" si="1631"/>
        <v>1</v>
      </c>
      <c r="O4661" s="246">
        <f t="shared" si="1632"/>
        <v>0.89</v>
      </c>
      <c r="P4661" s="121">
        <f t="shared" si="1633"/>
        <v>0</v>
      </c>
      <c r="Q4661" s="121">
        <f t="shared" si="1634"/>
        <v>0</v>
      </c>
      <c r="R4661" s="121">
        <f t="shared" si="1635"/>
        <v>1</v>
      </c>
    </row>
    <row r="4662" spans="1:18" x14ac:dyDescent="0.3">
      <c r="A4662" s="187">
        <v>42</v>
      </c>
      <c r="B4662" s="242">
        <f t="shared" si="1636"/>
        <v>46905</v>
      </c>
      <c r="C4662" s="243">
        <f t="shared" si="1626"/>
        <v>46934</v>
      </c>
      <c r="D4662" s="120">
        <f t="shared" si="1627"/>
        <v>30</v>
      </c>
      <c r="E4662" s="120">
        <f t="shared" si="1628"/>
        <v>6</v>
      </c>
      <c r="F4662" s="275">
        <f t="shared" si="1629"/>
        <v>46920</v>
      </c>
      <c r="G4662" s="120">
        <f t="shared" si="1630"/>
        <v>24341</v>
      </c>
      <c r="H4662" s="245">
        <f t="shared" si="1631"/>
        <v>1</v>
      </c>
      <c r="O4662" s="246">
        <f t="shared" si="1632"/>
        <v>0.89</v>
      </c>
      <c r="P4662" s="121">
        <f t="shared" si="1633"/>
        <v>0</v>
      </c>
      <c r="Q4662" s="121">
        <f t="shared" si="1634"/>
        <v>0</v>
      </c>
      <c r="R4662" s="121">
        <f t="shared" si="1635"/>
        <v>1</v>
      </c>
    </row>
    <row r="4663" spans="1:18" x14ac:dyDescent="0.3">
      <c r="A4663" s="187">
        <v>43</v>
      </c>
      <c r="B4663" s="242">
        <f t="shared" si="1636"/>
        <v>46935</v>
      </c>
      <c r="C4663" s="243">
        <f t="shared" si="1626"/>
        <v>46965</v>
      </c>
      <c r="D4663" s="120">
        <f t="shared" si="1627"/>
        <v>31</v>
      </c>
      <c r="E4663" s="120">
        <f t="shared" si="1628"/>
        <v>7</v>
      </c>
      <c r="F4663" s="275">
        <f t="shared" si="1629"/>
        <v>46950.5</v>
      </c>
      <c r="G4663" s="120">
        <f t="shared" si="1630"/>
        <v>24342</v>
      </c>
      <c r="H4663" s="245">
        <f t="shared" si="1631"/>
        <v>1</v>
      </c>
      <c r="O4663" s="246">
        <f t="shared" si="1632"/>
        <v>0.89</v>
      </c>
      <c r="P4663" s="121">
        <f t="shared" si="1633"/>
        <v>0</v>
      </c>
      <c r="Q4663" s="121">
        <f t="shared" si="1634"/>
        <v>0</v>
      </c>
      <c r="R4663" s="121">
        <f t="shared" si="1635"/>
        <v>0.91666666666666663</v>
      </c>
    </row>
    <row r="4664" spans="1:18" x14ac:dyDescent="0.3">
      <c r="A4664" s="187">
        <v>44</v>
      </c>
      <c r="B4664" s="242">
        <f t="shared" si="1636"/>
        <v>46966</v>
      </c>
      <c r="C4664" s="243">
        <f t="shared" si="1626"/>
        <v>46996</v>
      </c>
      <c r="D4664" s="120">
        <f t="shared" si="1627"/>
        <v>31</v>
      </c>
      <c r="E4664" s="120">
        <f t="shared" si="1628"/>
        <v>8</v>
      </c>
      <c r="F4664" s="275">
        <f t="shared" si="1629"/>
        <v>46981.5</v>
      </c>
      <c r="G4664" s="120">
        <f t="shared" si="1630"/>
        <v>24343</v>
      </c>
      <c r="H4664" s="245">
        <f t="shared" si="1631"/>
        <v>1</v>
      </c>
      <c r="O4664" s="246">
        <f t="shared" si="1632"/>
        <v>0.89</v>
      </c>
      <c r="P4664" s="121">
        <f t="shared" si="1633"/>
        <v>0</v>
      </c>
      <c r="Q4664" s="121">
        <f t="shared" si="1634"/>
        <v>0</v>
      </c>
      <c r="R4664" s="121">
        <f t="shared" si="1635"/>
        <v>0.75</v>
      </c>
    </row>
    <row r="4665" spans="1:18" x14ac:dyDescent="0.3">
      <c r="A4665" s="187">
        <v>45</v>
      </c>
      <c r="B4665" s="242">
        <f t="shared" si="1636"/>
        <v>46997</v>
      </c>
      <c r="C4665" s="243">
        <f t="shared" si="1626"/>
        <v>47026</v>
      </c>
      <c r="D4665" s="120">
        <f t="shared" si="1627"/>
        <v>30</v>
      </c>
      <c r="E4665" s="120">
        <f t="shared" si="1628"/>
        <v>9</v>
      </c>
      <c r="F4665" s="275">
        <f t="shared" si="1629"/>
        <v>47012</v>
      </c>
      <c r="G4665" s="120">
        <f t="shared" si="1630"/>
        <v>24344</v>
      </c>
      <c r="H4665" s="245">
        <f t="shared" si="1631"/>
        <v>1</v>
      </c>
      <c r="O4665" s="246">
        <f t="shared" si="1632"/>
        <v>0.89</v>
      </c>
      <c r="P4665" s="121">
        <f t="shared" si="1633"/>
        <v>0</v>
      </c>
      <c r="Q4665" s="121">
        <f t="shared" si="1634"/>
        <v>0</v>
      </c>
      <c r="R4665" s="121">
        <f t="shared" si="1635"/>
        <v>0.58333333333333337</v>
      </c>
    </row>
    <row r="4666" spans="1:18" x14ac:dyDescent="0.3">
      <c r="A4666" s="187">
        <v>46</v>
      </c>
      <c r="B4666" s="242">
        <f t="shared" si="1636"/>
        <v>47027</v>
      </c>
      <c r="C4666" s="243">
        <f t="shared" si="1626"/>
        <v>47057</v>
      </c>
      <c r="D4666" s="120">
        <f t="shared" si="1627"/>
        <v>31</v>
      </c>
      <c r="E4666" s="120">
        <f t="shared" si="1628"/>
        <v>10</v>
      </c>
      <c r="F4666" s="275">
        <f t="shared" si="1629"/>
        <v>47042.5</v>
      </c>
      <c r="G4666" s="120">
        <f t="shared" si="1630"/>
        <v>24345</v>
      </c>
      <c r="H4666" s="245">
        <f t="shared" si="1631"/>
        <v>1</v>
      </c>
      <c r="O4666" s="246">
        <f t="shared" si="1632"/>
        <v>0.89</v>
      </c>
      <c r="P4666" s="121">
        <f t="shared" si="1633"/>
        <v>0</v>
      </c>
      <c r="Q4666" s="121">
        <f t="shared" si="1634"/>
        <v>0</v>
      </c>
      <c r="R4666" s="121">
        <f t="shared" si="1635"/>
        <v>0.41666666666666669</v>
      </c>
    </row>
    <row r="4667" spans="1:18" x14ac:dyDescent="0.3">
      <c r="A4667" s="187">
        <v>47</v>
      </c>
      <c r="B4667" s="242">
        <f t="shared" si="1636"/>
        <v>47058</v>
      </c>
      <c r="C4667" s="243">
        <f t="shared" si="1626"/>
        <v>47087</v>
      </c>
      <c r="D4667" s="120">
        <f t="shared" si="1627"/>
        <v>30</v>
      </c>
      <c r="E4667" s="120">
        <f t="shared" si="1628"/>
        <v>11</v>
      </c>
      <c r="F4667" s="275">
        <f t="shared" si="1629"/>
        <v>47073</v>
      </c>
      <c r="G4667" s="120">
        <f t="shared" si="1630"/>
        <v>24346</v>
      </c>
      <c r="H4667" s="245">
        <f t="shared" si="1631"/>
        <v>1</v>
      </c>
      <c r="O4667" s="246">
        <f t="shared" si="1632"/>
        <v>0.89</v>
      </c>
      <c r="P4667" s="121">
        <f t="shared" si="1633"/>
        <v>0</v>
      </c>
      <c r="Q4667" s="121">
        <f t="shared" si="1634"/>
        <v>0</v>
      </c>
      <c r="R4667" s="121">
        <f t="shared" si="1635"/>
        <v>0.25</v>
      </c>
    </row>
    <row r="4668" spans="1:18" x14ac:dyDescent="0.3">
      <c r="A4668" s="187">
        <v>48</v>
      </c>
      <c r="B4668" s="242">
        <f t="shared" si="1636"/>
        <v>47088</v>
      </c>
      <c r="C4668" s="243">
        <f t="shared" si="1626"/>
        <v>47118</v>
      </c>
      <c r="D4668" s="120">
        <f t="shared" si="1627"/>
        <v>31</v>
      </c>
      <c r="E4668" s="120">
        <f t="shared" si="1628"/>
        <v>12</v>
      </c>
      <c r="F4668" s="275">
        <f t="shared" si="1629"/>
        <v>47103.5</v>
      </c>
      <c r="G4668" s="120">
        <f t="shared" si="1630"/>
        <v>24347</v>
      </c>
      <c r="H4668" s="245">
        <f t="shared" si="1631"/>
        <v>1</v>
      </c>
      <c r="O4668" s="246">
        <f t="shared" si="1632"/>
        <v>0.89</v>
      </c>
      <c r="P4668" s="121">
        <f t="shared" si="1633"/>
        <v>0</v>
      </c>
      <c r="Q4668" s="121">
        <f t="shared" si="1634"/>
        <v>0</v>
      </c>
      <c r="R4668" s="121">
        <f t="shared" si="1635"/>
        <v>8.3333333333333329E-2</v>
      </c>
    </row>
    <row r="4669" spans="1:18" x14ac:dyDescent="0.3">
      <c r="B4669" s="224">
        <f>SUMPRODUCT($H$4621:$H$4668,$Q$4621:$Q$4668,$O$4621:$O$4668)/SUMPRODUCT($H$4621:$H$4668,$Q$4621:$Q$4668)</f>
        <v>0.87197757111597374</v>
      </c>
    </row>
    <row r="4672" spans="1:18" x14ac:dyDescent="0.3">
      <c r="A4672" s="270" t="s">
        <v>1710</v>
      </c>
      <c r="M4672" s="75">
        <f>IF(COUNTIF(se_state,slv_state)=0,0,MATCH(slv_state,se_state,0))</f>
        <v>0</v>
      </c>
      <c r="N4672" s="70">
        <f>IF($M$4672=0,0,INDEX(se_sum,$M$4672))</f>
        <v>0</v>
      </c>
    </row>
    <row r="4674" spans="1:21" ht="36" x14ac:dyDescent="0.3">
      <c r="A4674" s="58" t="s">
        <v>390</v>
      </c>
      <c r="B4674" s="58" t="s">
        <v>449</v>
      </c>
      <c r="C4674" s="58" t="s">
        <v>685</v>
      </c>
      <c r="D4674" s="58" t="s">
        <v>686</v>
      </c>
      <c r="E4674" s="58" t="s">
        <v>687</v>
      </c>
      <c r="F4674" s="58" t="s">
        <v>688</v>
      </c>
      <c r="G4674" s="58" t="s">
        <v>689</v>
      </c>
      <c r="H4674" s="58" t="s">
        <v>452</v>
      </c>
      <c r="I4674" s="58" t="s">
        <v>690</v>
      </c>
      <c r="J4674" s="58" t="s">
        <v>691</v>
      </c>
      <c r="K4674" s="58" t="s">
        <v>692</v>
      </c>
      <c r="L4674" s="58" t="s">
        <v>693</v>
      </c>
      <c r="M4674" s="58" t="s">
        <v>694</v>
      </c>
      <c r="N4674" s="58" t="s">
        <v>695</v>
      </c>
      <c r="O4674" s="58" t="s">
        <v>696</v>
      </c>
      <c r="P4674" s="58" t="s">
        <v>697</v>
      </c>
      <c r="Q4674" s="58" t="s">
        <v>698</v>
      </c>
      <c r="R4674" s="58" t="s">
        <v>699</v>
      </c>
      <c r="S4674" s="276" t="s">
        <v>1711</v>
      </c>
      <c r="T4674" s="276" t="s">
        <v>1712</v>
      </c>
      <c r="U4674" s="276" t="s">
        <v>1713</v>
      </c>
    </row>
    <row r="4675" spans="1:21" x14ac:dyDescent="0.3">
      <c r="A4675" s="187">
        <v>1</v>
      </c>
      <c r="B4675" s="242">
        <f>DATE(nr_PlanYear-2,1,1)</f>
        <v>45658</v>
      </c>
      <c r="C4675" s="243">
        <f t="shared" ref="C4675:C4722" si="1637">EOMONTH($B4675,0)</f>
        <v>45688</v>
      </c>
      <c r="D4675" s="120">
        <f t="shared" ref="D4675:D4722" si="1638">$C4675-$B4675+1</f>
        <v>31</v>
      </c>
      <c r="E4675" s="120">
        <f t="shared" ref="E4675:E4722" si="1639">MONTH($B4675)</f>
        <v>1</v>
      </c>
      <c r="F4675" s="275">
        <f t="shared" ref="F4675:F4722" si="1640">($B4675+$C4675+1)/2</f>
        <v>45673.5</v>
      </c>
      <c r="G4675" s="120">
        <f t="shared" ref="G4675:G4722" si="1641">YEAR($B4675)*12+MONTH($B4675)-1</f>
        <v>24300</v>
      </c>
      <c r="H4675" s="245">
        <f t="shared" ref="H4675:H4722" si="1642">IF(OR(nr_SeasonOn="OFF",$M$4672=0,$N$4672=0),1,12*INDEX(se_block,$M$4672,$E4675)/$N$4672)</f>
        <v>1</v>
      </c>
      <c r="I4675" s="121">
        <f t="shared" ref="I4675:I4722" si="1643">EXP(SUMPRODUCT((rl_eff&lt;$B4675)*(rl_key=slv_key)*(rl_status="taken")*rl_ln1p))</f>
        <v>1</v>
      </c>
      <c r="J4675" s="121">
        <f t="shared" ref="J4675:J4722" si="1644">EXP(SUMPRODUCT((rl_eff&lt;=$C4675)*(rl_key=slv_key)*(rl_status="taken")*rl_ln1p))</f>
        <v>1</v>
      </c>
      <c r="K4675" s="120">
        <f t="shared" ref="K4675:K4722" si="1645">COUNTIFS(rl_key,slv_key,rl_eff,"&gt;="&amp;$B4675,rl_eff,"&lt;="&amp;$C4675,rl_status,"taken")</f>
        <v>0</v>
      </c>
      <c r="L4675" s="120">
        <f t="shared" ref="L4675:L4722" si="1646">SUMIFS(rl_daysafter,rl_key,slv_key,rl_effmonth,$B4675,rl_firsttaken,1,rl_status,"taken")</f>
        <v>0</v>
      </c>
      <c r="M4675" s="246">
        <f t="shared" ref="M4675:M4722" si="1647">IF($K4675=0,0,MIN(1,$L4675/$D4675))</f>
        <v>0</v>
      </c>
      <c r="N4675" s="121">
        <f t="shared" ref="N4675:N4722" si="1648">IF($K4675=0,$J4675,(1-$M4675)*$I4675+$M4675*$J4675)</f>
        <v>1</v>
      </c>
      <c r="P4675" s="121">
        <f t="shared" ref="P4675:P4722" si="1649">MIN(1,MAX(0,(nr_MEndPm1-$G4675+0.5)/nr_TermMonths))-MIN(1,MAX(0,(nr_MStartPm1-1-$G4675+0.5)/nr_TermMonths))</f>
        <v>0</v>
      </c>
      <c r="Q4675" s="121">
        <f t="shared" ref="Q4675:Q4722" si="1650">MIN(1,MAX(0,(nr_MEndP-$G4675+0.5)/nr_TermMonths))-MIN(1,MAX(0,(nr_MStartP-1-$G4675+0.5)/nr_TermMonths))</f>
        <v>0</v>
      </c>
      <c r="R4675" s="121">
        <f t="shared" ref="R4675:R4722" si="1651">MIN(1,MAX(0,(nr_MEndP1-$G4675+0.5)/nr_TermMonths))-MIN(1,MAX(0,(nr_MStartP1-1-$G4675+0.5)/nr_TermMonths))</f>
        <v>0</v>
      </c>
      <c r="S4675" s="73">
        <f t="shared" ref="S4675:S4722" si="1652">$H4675*$Q4675*$N4675</f>
        <v>0</v>
      </c>
      <c r="T4675" s="73">
        <f>SUM($S$4675:$S4675)</f>
        <v>0</v>
      </c>
      <c r="U4675" s="73">
        <f t="shared" ref="U4675:U4722" si="1653">$H4675*$Q4675*$J4675</f>
        <v>0</v>
      </c>
    </row>
    <row r="4676" spans="1:21" x14ac:dyDescent="0.3">
      <c r="A4676" s="187">
        <v>2</v>
      </c>
      <c r="B4676" s="242">
        <f t="shared" ref="B4676:B4722" si="1654">EDATE($B4675,1)</f>
        <v>45689</v>
      </c>
      <c r="C4676" s="243">
        <f t="shared" si="1637"/>
        <v>45716</v>
      </c>
      <c r="D4676" s="120">
        <f t="shared" si="1638"/>
        <v>28</v>
      </c>
      <c r="E4676" s="120">
        <f t="shared" si="1639"/>
        <v>2</v>
      </c>
      <c r="F4676" s="275">
        <f t="shared" si="1640"/>
        <v>45703</v>
      </c>
      <c r="G4676" s="120">
        <f t="shared" si="1641"/>
        <v>24301</v>
      </c>
      <c r="H4676" s="245">
        <f t="shared" si="1642"/>
        <v>1</v>
      </c>
      <c r="I4676" s="121">
        <f t="shared" si="1643"/>
        <v>1</v>
      </c>
      <c r="J4676" s="121">
        <f t="shared" si="1644"/>
        <v>1</v>
      </c>
      <c r="K4676" s="120">
        <f t="shared" si="1645"/>
        <v>0</v>
      </c>
      <c r="L4676" s="120">
        <f t="shared" si="1646"/>
        <v>0</v>
      </c>
      <c r="M4676" s="246">
        <f t="shared" si="1647"/>
        <v>0</v>
      </c>
      <c r="N4676" s="121">
        <f t="shared" si="1648"/>
        <v>1</v>
      </c>
      <c r="P4676" s="121">
        <f t="shared" si="1649"/>
        <v>0</v>
      </c>
      <c r="Q4676" s="121">
        <f t="shared" si="1650"/>
        <v>0</v>
      </c>
      <c r="R4676" s="121">
        <f t="shared" si="1651"/>
        <v>0</v>
      </c>
      <c r="S4676" s="73">
        <f t="shared" si="1652"/>
        <v>0</v>
      </c>
      <c r="T4676" s="73">
        <f>SUM($S$4675:$S4676)</f>
        <v>0</v>
      </c>
      <c r="U4676" s="73">
        <f t="shared" si="1653"/>
        <v>0</v>
      </c>
    </row>
    <row r="4677" spans="1:21" x14ac:dyDescent="0.3">
      <c r="A4677" s="187">
        <v>3</v>
      </c>
      <c r="B4677" s="242">
        <f t="shared" si="1654"/>
        <v>45717</v>
      </c>
      <c r="C4677" s="243">
        <f t="shared" si="1637"/>
        <v>45747</v>
      </c>
      <c r="D4677" s="120">
        <f t="shared" si="1638"/>
        <v>31</v>
      </c>
      <c r="E4677" s="120">
        <f t="shared" si="1639"/>
        <v>3</v>
      </c>
      <c r="F4677" s="275">
        <f t="shared" si="1640"/>
        <v>45732.5</v>
      </c>
      <c r="G4677" s="120">
        <f t="shared" si="1641"/>
        <v>24302</v>
      </c>
      <c r="H4677" s="245">
        <f t="shared" si="1642"/>
        <v>1</v>
      </c>
      <c r="I4677" s="121">
        <f t="shared" si="1643"/>
        <v>1</v>
      </c>
      <c r="J4677" s="121">
        <f t="shared" si="1644"/>
        <v>1</v>
      </c>
      <c r="K4677" s="120">
        <f t="shared" si="1645"/>
        <v>0</v>
      </c>
      <c r="L4677" s="120">
        <f t="shared" si="1646"/>
        <v>0</v>
      </c>
      <c r="M4677" s="246">
        <f t="shared" si="1647"/>
        <v>0</v>
      </c>
      <c r="N4677" s="121">
        <f t="shared" si="1648"/>
        <v>1</v>
      </c>
      <c r="P4677" s="121">
        <f t="shared" si="1649"/>
        <v>0</v>
      </c>
      <c r="Q4677" s="121">
        <f t="shared" si="1650"/>
        <v>0</v>
      </c>
      <c r="R4677" s="121">
        <f t="shared" si="1651"/>
        <v>0</v>
      </c>
      <c r="S4677" s="73">
        <f t="shared" si="1652"/>
        <v>0</v>
      </c>
      <c r="T4677" s="73">
        <f>SUM($S$4675:$S4677)</f>
        <v>0</v>
      </c>
      <c r="U4677" s="73">
        <f t="shared" si="1653"/>
        <v>0</v>
      </c>
    </row>
    <row r="4678" spans="1:21" x14ac:dyDescent="0.3">
      <c r="A4678" s="187">
        <v>4</v>
      </c>
      <c r="B4678" s="242">
        <f t="shared" si="1654"/>
        <v>45748</v>
      </c>
      <c r="C4678" s="243">
        <f t="shared" si="1637"/>
        <v>45777</v>
      </c>
      <c r="D4678" s="120">
        <f t="shared" si="1638"/>
        <v>30</v>
      </c>
      <c r="E4678" s="120">
        <f t="shared" si="1639"/>
        <v>4</v>
      </c>
      <c r="F4678" s="275">
        <f t="shared" si="1640"/>
        <v>45763</v>
      </c>
      <c r="G4678" s="120">
        <f t="shared" si="1641"/>
        <v>24303</v>
      </c>
      <c r="H4678" s="245">
        <f t="shared" si="1642"/>
        <v>1</v>
      </c>
      <c r="I4678" s="121">
        <f t="shared" si="1643"/>
        <v>1</v>
      </c>
      <c r="J4678" s="121">
        <f t="shared" si="1644"/>
        <v>1</v>
      </c>
      <c r="K4678" s="120">
        <f t="shared" si="1645"/>
        <v>0</v>
      </c>
      <c r="L4678" s="120">
        <f t="shared" si="1646"/>
        <v>0</v>
      </c>
      <c r="M4678" s="246">
        <f t="shared" si="1647"/>
        <v>0</v>
      </c>
      <c r="N4678" s="121">
        <f t="shared" si="1648"/>
        <v>1</v>
      </c>
      <c r="P4678" s="121">
        <f t="shared" si="1649"/>
        <v>0</v>
      </c>
      <c r="Q4678" s="121">
        <f t="shared" si="1650"/>
        <v>0</v>
      </c>
      <c r="R4678" s="121">
        <f t="shared" si="1651"/>
        <v>0</v>
      </c>
      <c r="S4678" s="73">
        <f t="shared" si="1652"/>
        <v>0</v>
      </c>
      <c r="T4678" s="73">
        <f>SUM($S$4675:$S4678)</f>
        <v>0</v>
      </c>
      <c r="U4678" s="73">
        <f t="shared" si="1653"/>
        <v>0</v>
      </c>
    </row>
    <row r="4679" spans="1:21" x14ac:dyDescent="0.3">
      <c r="A4679" s="187">
        <v>5</v>
      </c>
      <c r="B4679" s="242">
        <f t="shared" si="1654"/>
        <v>45778</v>
      </c>
      <c r="C4679" s="243">
        <f t="shared" si="1637"/>
        <v>45808</v>
      </c>
      <c r="D4679" s="120">
        <f t="shared" si="1638"/>
        <v>31</v>
      </c>
      <c r="E4679" s="120">
        <f t="shared" si="1639"/>
        <v>5</v>
      </c>
      <c r="F4679" s="275">
        <f t="shared" si="1640"/>
        <v>45793.5</v>
      </c>
      <c r="G4679" s="120">
        <f t="shared" si="1641"/>
        <v>24304</v>
      </c>
      <c r="H4679" s="245">
        <f t="shared" si="1642"/>
        <v>1</v>
      </c>
      <c r="I4679" s="121">
        <f t="shared" si="1643"/>
        <v>1</v>
      </c>
      <c r="J4679" s="121">
        <f t="shared" si="1644"/>
        <v>1</v>
      </c>
      <c r="K4679" s="120">
        <f t="shared" si="1645"/>
        <v>0</v>
      </c>
      <c r="L4679" s="120">
        <f t="shared" si="1646"/>
        <v>0</v>
      </c>
      <c r="M4679" s="246">
        <f t="shared" si="1647"/>
        <v>0</v>
      </c>
      <c r="N4679" s="121">
        <f t="shared" si="1648"/>
        <v>1</v>
      </c>
      <c r="P4679" s="121">
        <f t="shared" si="1649"/>
        <v>0</v>
      </c>
      <c r="Q4679" s="121">
        <f t="shared" si="1650"/>
        <v>0</v>
      </c>
      <c r="R4679" s="121">
        <f t="shared" si="1651"/>
        <v>0</v>
      </c>
      <c r="S4679" s="73">
        <f t="shared" si="1652"/>
        <v>0</v>
      </c>
      <c r="T4679" s="73">
        <f>SUM($S$4675:$S4679)</f>
        <v>0</v>
      </c>
      <c r="U4679" s="73">
        <f t="shared" si="1653"/>
        <v>0</v>
      </c>
    </row>
    <row r="4680" spans="1:21" x14ac:dyDescent="0.3">
      <c r="A4680" s="187">
        <v>6</v>
      </c>
      <c r="B4680" s="242">
        <f t="shared" si="1654"/>
        <v>45809</v>
      </c>
      <c r="C4680" s="243">
        <f t="shared" si="1637"/>
        <v>45838</v>
      </c>
      <c r="D4680" s="120">
        <f t="shared" si="1638"/>
        <v>30</v>
      </c>
      <c r="E4680" s="120">
        <f t="shared" si="1639"/>
        <v>6</v>
      </c>
      <c r="F4680" s="275">
        <f t="shared" si="1640"/>
        <v>45824</v>
      </c>
      <c r="G4680" s="120">
        <f t="shared" si="1641"/>
        <v>24305</v>
      </c>
      <c r="H4680" s="245">
        <f t="shared" si="1642"/>
        <v>1</v>
      </c>
      <c r="I4680" s="121">
        <f t="shared" si="1643"/>
        <v>1</v>
      </c>
      <c r="J4680" s="121">
        <f t="shared" si="1644"/>
        <v>1</v>
      </c>
      <c r="K4680" s="120">
        <f t="shared" si="1645"/>
        <v>0</v>
      </c>
      <c r="L4680" s="120">
        <f t="shared" si="1646"/>
        <v>0</v>
      </c>
      <c r="M4680" s="246">
        <f t="shared" si="1647"/>
        <v>0</v>
      </c>
      <c r="N4680" s="121">
        <f t="shared" si="1648"/>
        <v>1</v>
      </c>
      <c r="P4680" s="121">
        <f t="shared" si="1649"/>
        <v>0</v>
      </c>
      <c r="Q4680" s="121">
        <f t="shared" si="1650"/>
        <v>0</v>
      </c>
      <c r="R4680" s="121">
        <f t="shared" si="1651"/>
        <v>0</v>
      </c>
      <c r="S4680" s="73">
        <f t="shared" si="1652"/>
        <v>0</v>
      </c>
      <c r="T4680" s="73">
        <f>SUM($S$4675:$S4680)</f>
        <v>0</v>
      </c>
      <c r="U4680" s="73">
        <f t="shared" si="1653"/>
        <v>0</v>
      </c>
    </row>
    <row r="4681" spans="1:21" x14ac:dyDescent="0.3">
      <c r="A4681" s="187">
        <v>7</v>
      </c>
      <c r="B4681" s="242">
        <f t="shared" si="1654"/>
        <v>45839</v>
      </c>
      <c r="C4681" s="243">
        <f t="shared" si="1637"/>
        <v>45869</v>
      </c>
      <c r="D4681" s="120">
        <f t="shared" si="1638"/>
        <v>31</v>
      </c>
      <c r="E4681" s="120">
        <f t="shared" si="1639"/>
        <v>7</v>
      </c>
      <c r="F4681" s="275">
        <f t="shared" si="1640"/>
        <v>45854.5</v>
      </c>
      <c r="G4681" s="120">
        <f t="shared" si="1641"/>
        <v>24306</v>
      </c>
      <c r="H4681" s="245">
        <f t="shared" si="1642"/>
        <v>1</v>
      </c>
      <c r="I4681" s="121">
        <f t="shared" si="1643"/>
        <v>1</v>
      </c>
      <c r="J4681" s="121">
        <f t="shared" si="1644"/>
        <v>1.04</v>
      </c>
      <c r="K4681" s="120">
        <f t="shared" si="1645"/>
        <v>1</v>
      </c>
      <c r="L4681" s="120">
        <f t="shared" si="1646"/>
        <v>31</v>
      </c>
      <c r="M4681" s="246">
        <f t="shared" si="1647"/>
        <v>1</v>
      </c>
      <c r="N4681" s="121">
        <f t="shared" si="1648"/>
        <v>1.04</v>
      </c>
      <c r="P4681" s="121">
        <f t="shared" si="1649"/>
        <v>8.333333333333337E-2</v>
      </c>
      <c r="Q4681" s="121">
        <f t="shared" si="1650"/>
        <v>0</v>
      </c>
      <c r="R4681" s="121">
        <f t="shared" si="1651"/>
        <v>0</v>
      </c>
      <c r="S4681" s="73">
        <f t="shared" si="1652"/>
        <v>0</v>
      </c>
      <c r="T4681" s="73">
        <f>SUM($S$4675:$S4681)</f>
        <v>0</v>
      </c>
      <c r="U4681" s="73">
        <f t="shared" si="1653"/>
        <v>0</v>
      </c>
    </row>
    <row r="4682" spans="1:21" x14ac:dyDescent="0.3">
      <c r="A4682" s="187">
        <v>8</v>
      </c>
      <c r="B4682" s="242">
        <f t="shared" si="1654"/>
        <v>45870</v>
      </c>
      <c r="C4682" s="243">
        <f t="shared" si="1637"/>
        <v>45900</v>
      </c>
      <c r="D4682" s="120">
        <f t="shared" si="1638"/>
        <v>31</v>
      </c>
      <c r="E4682" s="120">
        <f t="shared" si="1639"/>
        <v>8</v>
      </c>
      <c r="F4682" s="275">
        <f t="shared" si="1640"/>
        <v>45885.5</v>
      </c>
      <c r="G4682" s="120">
        <f t="shared" si="1641"/>
        <v>24307</v>
      </c>
      <c r="H4682" s="245">
        <f t="shared" si="1642"/>
        <v>1</v>
      </c>
      <c r="I4682" s="121">
        <f t="shared" si="1643"/>
        <v>1.04</v>
      </c>
      <c r="J4682" s="121">
        <f t="shared" si="1644"/>
        <v>1.04</v>
      </c>
      <c r="K4682" s="120">
        <f t="shared" si="1645"/>
        <v>0</v>
      </c>
      <c r="L4682" s="120">
        <f t="shared" si="1646"/>
        <v>0</v>
      </c>
      <c r="M4682" s="246">
        <f t="shared" si="1647"/>
        <v>0</v>
      </c>
      <c r="N4682" s="121">
        <f t="shared" si="1648"/>
        <v>1.04</v>
      </c>
      <c r="P4682" s="121">
        <f t="shared" si="1649"/>
        <v>0.25</v>
      </c>
      <c r="Q4682" s="121">
        <f t="shared" si="1650"/>
        <v>0</v>
      </c>
      <c r="R4682" s="121">
        <f t="shared" si="1651"/>
        <v>0</v>
      </c>
      <c r="S4682" s="73">
        <f t="shared" si="1652"/>
        <v>0</v>
      </c>
      <c r="T4682" s="73">
        <f>SUM($S$4675:$S4682)</f>
        <v>0</v>
      </c>
      <c r="U4682" s="73">
        <f t="shared" si="1653"/>
        <v>0</v>
      </c>
    </row>
    <row r="4683" spans="1:21" x14ac:dyDescent="0.3">
      <c r="A4683" s="187">
        <v>9</v>
      </c>
      <c r="B4683" s="242">
        <f t="shared" si="1654"/>
        <v>45901</v>
      </c>
      <c r="C4683" s="243">
        <f t="shared" si="1637"/>
        <v>45930</v>
      </c>
      <c r="D4683" s="120">
        <f t="shared" si="1638"/>
        <v>30</v>
      </c>
      <c r="E4683" s="120">
        <f t="shared" si="1639"/>
        <v>9</v>
      </c>
      <c r="F4683" s="275">
        <f t="shared" si="1640"/>
        <v>45916</v>
      </c>
      <c r="G4683" s="120">
        <f t="shared" si="1641"/>
        <v>24308</v>
      </c>
      <c r="H4683" s="245">
        <f t="shared" si="1642"/>
        <v>1</v>
      </c>
      <c r="I4683" s="121">
        <f t="shared" si="1643"/>
        <v>1.04</v>
      </c>
      <c r="J4683" s="121">
        <f t="shared" si="1644"/>
        <v>1.04</v>
      </c>
      <c r="K4683" s="120">
        <f t="shared" si="1645"/>
        <v>0</v>
      </c>
      <c r="L4683" s="120">
        <f t="shared" si="1646"/>
        <v>0</v>
      </c>
      <c r="M4683" s="246">
        <f t="shared" si="1647"/>
        <v>0</v>
      </c>
      <c r="N4683" s="121">
        <f t="shared" si="1648"/>
        <v>1.04</v>
      </c>
      <c r="P4683" s="121">
        <f t="shared" si="1649"/>
        <v>0.41666666666666663</v>
      </c>
      <c r="Q4683" s="121">
        <f t="shared" si="1650"/>
        <v>0</v>
      </c>
      <c r="R4683" s="121">
        <f t="shared" si="1651"/>
        <v>0</v>
      </c>
      <c r="S4683" s="73">
        <f t="shared" si="1652"/>
        <v>0</v>
      </c>
      <c r="T4683" s="73">
        <f>SUM($S$4675:$S4683)</f>
        <v>0</v>
      </c>
      <c r="U4683" s="73">
        <f t="shared" si="1653"/>
        <v>0</v>
      </c>
    </row>
    <row r="4684" spans="1:21" x14ac:dyDescent="0.3">
      <c r="A4684" s="187">
        <v>10</v>
      </c>
      <c r="B4684" s="242">
        <f t="shared" si="1654"/>
        <v>45931</v>
      </c>
      <c r="C4684" s="243">
        <f t="shared" si="1637"/>
        <v>45961</v>
      </c>
      <c r="D4684" s="120">
        <f t="shared" si="1638"/>
        <v>31</v>
      </c>
      <c r="E4684" s="120">
        <f t="shared" si="1639"/>
        <v>10</v>
      </c>
      <c r="F4684" s="275">
        <f t="shared" si="1640"/>
        <v>45946.5</v>
      </c>
      <c r="G4684" s="120">
        <f t="shared" si="1641"/>
        <v>24309</v>
      </c>
      <c r="H4684" s="245">
        <f t="shared" si="1642"/>
        <v>1</v>
      </c>
      <c r="I4684" s="121">
        <f t="shared" si="1643"/>
        <v>1.04</v>
      </c>
      <c r="J4684" s="121">
        <f t="shared" si="1644"/>
        <v>1.04</v>
      </c>
      <c r="K4684" s="120">
        <f t="shared" si="1645"/>
        <v>0</v>
      </c>
      <c r="L4684" s="120">
        <f t="shared" si="1646"/>
        <v>0</v>
      </c>
      <c r="M4684" s="246">
        <f t="shared" si="1647"/>
        <v>0</v>
      </c>
      <c r="N4684" s="121">
        <f t="shared" si="1648"/>
        <v>1.04</v>
      </c>
      <c r="P4684" s="121">
        <f t="shared" si="1649"/>
        <v>0.58333333333333326</v>
      </c>
      <c r="Q4684" s="121">
        <f t="shared" si="1650"/>
        <v>0</v>
      </c>
      <c r="R4684" s="121">
        <f t="shared" si="1651"/>
        <v>0</v>
      </c>
      <c r="S4684" s="73">
        <f t="shared" si="1652"/>
        <v>0</v>
      </c>
      <c r="T4684" s="73">
        <f>SUM($S$4675:$S4684)</f>
        <v>0</v>
      </c>
      <c r="U4684" s="73">
        <f t="shared" si="1653"/>
        <v>0</v>
      </c>
    </row>
    <row r="4685" spans="1:21" x14ac:dyDescent="0.3">
      <c r="A4685" s="187">
        <v>11</v>
      </c>
      <c r="B4685" s="242">
        <f t="shared" si="1654"/>
        <v>45962</v>
      </c>
      <c r="C4685" s="243">
        <f t="shared" si="1637"/>
        <v>45991</v>
      </c>
      <c r="D4685" s="120">
        <f t="shared" si="1638"/>
        <v>30</v>
      </c>
      <c r="E4685" s="120">
        <f t="shared" si="1639"/>
        <v>11</v>
      </c>
      <c r="F4685" s="275">
        <f t="shared" si="1640"/>
        <v>45977</v>
      </c>
      <c r="G4685" s="120">
        <f t="shared" si="1641"/>
        <v>24310</v>
      </c>
      <c r="H4685" s="245">
        <f t="shared" si="1642"/>
        <v>1</v>
      </c>
      <c r="I4685" s="121">
        <f t="shared" si="1643"/>
        <v>1.04</v>
      </c>
      <c r="J4685" s="121">
        <f t="shared" si="1644"/>
        <v>1.04</v>
      </c>
      <c r="K4685" s="120">
        <f t="shared" si="1645"/>
        <v>0</v>
      </c>
      <c r="L4685" s="120">
        <f t="shared" si="1646"/>
        <v>0</v>
      </c>
      <c r="M4685" s="246">
        <f t="shared" si="1647"/>
        <v>0</v>
      </c>
      <c r="N4685" s="121">
        <f t="shared" si="1648"/>
        <v>1.04</v>
      </c>
      <c r="P4685" s="121">
        <f t="shared" si="1649"/>
        <v>0.75</v>
      </c>
      <c r="Q4685" s="121">
        <f t="shared" si="1650"/>
        <v>0</v>
      </c>
      <c r="R4685" s="121">
        <f t="shared" si="1651"/>
        <v>0</v>
      </c>
      <c r="S4685" s="73">
        <f t="shared" si="1652"/>
        <v>0</v>
      </c>
      <c r="T4685" s="73">
        <f>SUM($S$4675:$S4685)</f>
        <v>0</v>
      </c>
      <c r="U4685" s="73">
        <f t="shared" si="1653"/>
        <v>0</v>
      </c>
    </row>
    <row r="4686" spans="1:21" x14ac:dyDescent="0.3">
      <c r="A4686" s="187">
        <v>12</v>
      </c>
      <c r="B4686" s="242">
        <f t="shared" si="1654"/>
        <v>45992</v>
      </c>
      <c r="C4686" s="243">
        <f t="shared" si="1637"/>
        <v>46022</v>
      </c>
      <c r="D4686" s="120">
        <f t="shared" si="1638"/>
        <v>31</v>
      </c>
      <c r="E4686" s="120">
        <f t="shared" si="1639"/>
        <v>12</v>
      </c>
      <c r="F4686" s="275">
        <f t="shared" si="1640"/>
        <v>46007.5</v>
      </c>
      <c r="G4686" s="120">
        <f t="shared" si="1641"/>
        <v>24311</v>
      </c>
      <c r="H4686" s="245">
        <f t="shared" si="1642"/>
        <v>1</v>
      </c>
      <c r="I4686" s="121">
        <f t="shared" si="1643"/>
        <v>1.04</v>
      </c>
      <c r="J4686" s="121">
        <f t="shared" si="1644"/>
        <v>1.04</v>
      </c>
      <c r="K4686" s="120">
        <f t="shared" si="1645"/>
        <v>0</v>
      </c>
      <c r="L4686" s="120">
        <f t="shared" si="1646"/>
        <v>0</v>
      </c>
      <c r="M4686" s="246">
        <f t="shared" si="1647"/>
        <v>0</v>
      </c>
      <c r="N4686" s="121">
        <f t="shared" si="1648"/>
        <v>1.04</v>
      </c>
      <c r="P4686" s="121">
        <f t="shared" si="1649"/>
        <v>0.91666666666666663</v>
      </c>
      <c r="Q4686" s="121">
        <f t="shared" si="1650"/>
        <v>0</v>
      </c>
      <c r="R4686" s="121">
        <f t="shared" si="1651"/>
        <v>0</v>
      </c>
      <c r="S4686" s="73">
        <f t="shared" si="1652"/>
        <v>0</v>
      </c>
      <c r="T4686" s="73">
        <f>SUM($S$4675:$S4686)</f>
        <v>0</v>
      </c>
      <c r="U4686" s="73">
        <f t="shared" si="1653"/>
        <v>0</v>
      </c>
    </row>
    <row r="4687" spans="1:21" x14ac:dyDescent="0.3">
      <c r="A4687" s="187">
        <v>13</v>
      </c>
      <c r="B4687" s="242">
        <f t="shared" si="1654"/>
        <v>46023</v>
      </c>
      <c r="C4687" s="243">
        <f t="shared" si="1637"/>
        <v>46053</v>
      </c>
      <c r="D4687" s="120">
        <f t="shared" si="1638"/>
        <v>31</v>
      </c>
      <c r="E4687" s="120">
        <f t="shared" si="1639"/>
        <v>1</v>
      </c>
      <c r="F4687" s="275">
        <f t="shared" si="1640"/>
        <v>46038.5</v>
      </c>
      <c r="G4687" s="120">
        <f t="shared" si="1641"/>
        <v>24312</v>
      </c>
      <c r="H4687" s="245">
        <f t="shared" si="1642"/>
        <v>1</v>
      </c>
      <c r="I4687" s="121">
        <f t="shared" si="1643"/>
        <v>1.04</v>
      </c>
      <c r="J4687" s="121">
        <f t="shared" si="1644"/>
        <v>1.04</v>
      </c>
      <c r="K4687" s="120">
        <f t="shared" si="1645"/>
        <v>0</v>
      </c>
      <c r="L4687" s="120">
        <f t="shared" si="1646"/>
        <v>0</v>
      </c>
      <c r="M4687" s="246">
        <f t="shared" si="1647"/>
        <v>0</v>
      </c>
      <c r="N4687" s="121">
        <f t="shared" si="1648"/>
        <v>1.04</v>
      </c>
      <c r="P4687" s="121">
        <f t="shared" si="1649"/>
        <v>1</v>
      </c>
      <c r="Q4687" s="121">
        <f t="shared" si="1650"/>
        <v>0</v>
      </c>
      <c r="R4687" s="121">
        <f t="shared" si="1651"/>
        <v>0</v>
      </c>
      <c r="S4687" s="73">
        <f t="shared" si="1652"/>
        <v>0</v>
      </c>
      <c r="T4687" s="73">
        <f>SUM($S$4675:$S4687)</f>
        <v>0</v>
      </c>
      <c r="U4687" s="73">
        <f t="shared" si="1653"/>
        <v>0</v>
      </c>
    </row>
    <row r="4688" spans="1:21" x14ac:dyDescent="0.3">
      <c r="A4688" s="187">
        <v>14</v>
      </c>
      <c r="B4688" s="242">
        <f t="shared" si="1654"/>
        <v>46054</v>
      </c>
      <c r="C4688" s="243">
        <f t="shared" si="1637"/>
        <v>46081</v>
      </c>
      <c r="D4688" s="120">
        <f t="shared" si="1638"/>
        <v>28</v>
      </c>
      <c r="E4688" s="120">
        <f t="shared" si="1639"/>
        <v>2</v>
      </c>
      <c r="F4688" s="275">
        <f t="shared" si="1640"/>
        <v>46068</v>
      </c>
      <c r="G4688" s="120">
        <f t="shared" si="1641"/>
        <v>24313</v>
      </c>
      <c r="H4688" s="245">
        <f t="shared" si="1642"/>
        <v>1</v>
      </c>
      <c r="I4688" s="121">
        <f t="shared" si="1643"/>
        <v>1.04</v>
      </c>
      <c r="J4688" s="121">
        <f t="shared" si="1644"/>
        <v>1.04</v>
      </c>
      <c r="K4688" s="120">
        <f t="shared" si="1645"/>
        <v>0</v>
      </c>
      <c r="L4688" s="120">
        <f t="shared" si="1646"/>
        <v>0</v>
      </c>
      <c r="M4688" s="246">
        <f t="shared" si="1647"/>
        <v>0</v>
      </c>
      <c r="N4688" s="121">
        <f t="shared" si="1648"/>
        <v>1.04</v>
      </c>
      <c r="P4688" s="121">
        <f t="shared" si="1649"/>
        <v>1</v>
      </c>
      <c r="Q4688" s="121">
        <f t="shared" si="1650"/>
        <v>0</v>
      </c>
      <c r="R4688" s="121">
        <f t="shared" si="1651"/>
        <v>0</v>
      </c>
      <c r="S4688" s="73">
        <f t="shared" si="1652"/>
        <v>0</v>
      </c>
      <c r="T4688" s="73">
        <f>SUM($S$4675:$S4688)</f>
        <v>0</v>
      </c>
      <c r="U4688" s="73">
        <f t="shared" si="1653"/>
        <v>0</v>
      </c>
    </row>
    <row r="4689" spans="1:21" x14ac:dyDescent="0.3">
      <c r="A4689" s="187">
        <v>15</v>
      </c>
      <c r="B4689" s="242">
        <f t="shared" si="1654"/>
        <v>46082</v>
      </c>
      <c r="C4689" s="243">
        <f t="shared" si="1637"/>
        <v>46112</v>
      </c>
      <c r="D4689" s="120">
        <f t="shared" si="1638"/>
        <v>31</v>
      </c>
      <c r="E4689" s="120">
        <f t="shared" si="1639"/>
        <v>3</v>
      </c>
      <c r="F4689" s="275">
        <f t="shared" si="1640"/>
        <v>46097.5</v>
      </c>
      <c r="G4689" s="120">
        <f t="shared" si="1641"/>
        <v>24314</v>
      </c>
      <c r="H4689" s="245">
        <f t="shared" si="1642"/>
        <v>1</v>
      </c>
      <c r="I4689" s="121">
        <f t="shared" si="1643"/>
        <v>1.04</v>
      </c>
      <c r="J4689" s="121">
        <f t="shared" si="1644"/>
        <v>1.04</v>
      </c>
      <c r="K4689" s="120">
        <f t="shared" si="1645"/>
        <v>0</v>
      </c>
      <c r="L4689" s="120">
        <f t="shared" si="1646"/>
        <v>0</v>
      </c>
      <c r="M4689" s="246">
        <f t="shared" si="1647"/>
        <v>0</v>
      </c>
      <c r="N4689" s="121">
        <f t="shared" si="1648"/>
        <v>1.04</v>
      </c>
      <c r="P4689" s="121">
        <f t="shared" si="1649"/>
        <v>1</v>
      </c>
      <c r="Q4689" s="121">
        <f t="shared" si="1650"/>
        <v>0</v>
      </c>
      <c r="R4689" s="121">
        <f t="shared" si="1651"/>
        <v>0</v>
      </c>
      <c r="S4689" s="73">
        <f t="shared" si="1652"/>
        <v>0</v>
      </c>
      <c r="T4689" s="73">
        <f>SUM($S$4675:$S4689)</f>
        <v>0</v>
      </c>
      <c r="U4689" s="73">
        <f t="shared" si="1653"/>
        <v>0</v>
      </c>
    </row>
    <row r="4690" spans="1:21" x14ac:dyDescent="0.3">
      <c r="A4690" s="187">
        <v>16</v>
      </c>
      <c r="B4690" s="242">
        <f t="shared" si="1654"/>
        <v>46113</v>
      </c>
      <c r="C4690" s="243">
        <f t="shared" si="1637"/>
        <v>46142</v>
      </c>
      <c r="D4690" s="120">
        <f t="shared" si="1638"/>
        <v>30</v>
      </c>
      <c r="E4690" s="120">
        <f t="shared" si="1639"/>
        <v>4</v>
      </c>
      <c r="F4690" s="275">
        <f t="shared" si="1640"/>
        <v>46128</v>
      </c>
      <c r="G4690" s="120">
        <f t="shared" si="1641"/>
        <v>24315</v>
      </c>
      <c r="H4690" s="245">
        <f t="shared" si="1642"/>
        <v>1</v>
      </c>
      <c r="I4690" s="121">
        <f t="shared" si="1643"/>
        <v>1.04</v>
      </c>
      <c r="J4690" s="121">
        <f t="shared" si="1644"/>
        <v>1.04</v>
      </c>
      <c r="K4690" s="120">
        <f t="shared" si="1645"/>
        <v>0</v>
      </c>
      <c r="L4690" s="120">
        <f t="shared" si="1646"/>
        <v>0</v>
      </c>
      <c r="M4690" s="246">
        <f t="shared" si="1647"/>
        <v>0</v>
      </c>
      <c r="N4690" s="121">
        <f t="shared" si="1648"/>
        <v>1.04</v>
      </c>
      <c r="P4690" s="121">
        <f t="shared" si="1649"/>
        <v>1</v>
      </c>
      <c r="Q4690" s="121">
        <f t="shared" si="1650"/>
        <v>0</v>
      </c>
      <c r="R4690" s="121">
        <f t="shared" si="1651"/>
        <v>0</v>
      </c>
      <c r="S4690" s="73">
        <f t="shared" si="1652"/>
        <v>0</v>
      </c>
      <c r="T4690" s="73">
        <f>SUM($S$4675:$S4690)</f>
        <v>0</v>
      </c>
      <c r="U4690" s="73">
        <f t="shared" si="1653"/>
        <v>0</v>
      </c>
    </row>
    <row r="4691" spans="1:21" x14ac:dyDescent="0.3">
      <c r="A4691" s="187">
        <v>17</v>
      </c>
      <c r="B4691" s="242">
        <f t="shared" si="1654"/>
        <v>46143</v>
      </c>
      <c r="C4691" s="243">
        <f t="shared" si="1637"/>
        <v>46173</v>
      </c>
      <c r="D4691" s="120">
        <f t="shared" si="1638"/>
        <v>31</v>
      </c>
      <c r="E4691" s="120">
        <f t="shared" si="1639"/>
        <v>5</v>
      </c>
      <c r="F4691" s="275">
        <f t="shared" si="1640"/>
        <v>46158.5</v>
      </c>
      <c r="G4691" s="120">
        <f t="shared" si="1641"/>
        <v>24316</v>
      </c>
      <c r="H4691" s="245">
        <f t="shared" si="1642"/>
        <v>1</v>
      </c>
      <c r="I4691" s="121">
        <f t="shared" si="1643"/>
        <v>1.04</v>
      </c>
      <c r="J4691" s="121">
        <f t="shared" si="1644"/>
        <v>1.04</v>
      </c>
      <c r="K4691" s="120">
        <f t="shared" si="1645"/>
        <v>0</v>
      </c>
      <c r="L4691" s="120">
        <f t="shared" si="1646"/>
        <v>0</v>
      </c>
      <c r="M4691" s="246">
        <f t="shared" si="1647"/>
        <v>0</v>
      </c>
      <c r="N4691" s="121">
        <f t="shared" si="1648"/>
        <v>1.04</v>
      </c>
      <c r="P4691" s="121">
        <f t="shared" si="1649"/>
        <v>1</v>
      </c>
      <c r="Q4691" s="121">
        <f t="shared" si="1650"/>
        <v>0</v>
      </c>
      <c r="R4691" s="121">
        <f t="shared" si="1651"/>
        <v>0</v>
      </c>
      <c r="S4691" s="73">
        <f t="shared" si="1652"/>
        <v>0</v>
      </c>
      <c r="T4691" s="73">
        <f>SUM($S$4675:$S4691)</f>
        <v>0</v>
      </c>
      <c r="U4691" s="73">
        <f t="shared" si="1653"/>
        <v>0</v>
      </c>
    </row>
    <row r="4692" spans="1:21" x14ac:dyDescent="0.3">
      <c r="A4692" s="187">
        <v>18</v>
      </c>
      <c r="B4692" s="242">
        <f t="shared" si="1654"/>
        <v>46174</v>
      </c>
      <c r="C4692" s="243">
        <f t="shared" si="1637"/>
        <v>46203</v>
      </c>
      <c r="D4692" s="120">
        <f t="shared" si="1638"/>
        <v>30</v>
      </c>
      <c r="E4692" s="120">
        <f t="shared" si="1639"/>
        <v>6</v>
      </c>
      <c r="F4692" s="275">
        <f t="shared" si="1640"/>
        <v>46189</v>
      </c>
      <c r="G4692" s="120">
        <f t="shared" si="1641"/>
        <v>24317</v>
      </c>
      <c r="H4692" s="245">
        <f t="shared" si="1642"/>
        <v>1</v>
      </c>
      <c r="I4692" s="121">
        <f t="shared" si="1643"/>
        <v>1.04</v>
      </c>
      <c r="J4692" s="121">
        <f t="shared" si="1644"/>
        <v>1.04</v>
      </c>
      <c r="K4692" s="120">
        <f t="shared" si="1645"/>
        <v>0</v>
      </c>
      <c r="L4692" s="120">
        <f t="shared" si="1646"/>
        <v>0</v>
      </c>
      <c r="M4692" s="246">
        <f t="shared" si="1647"/>
        <v>0</v>
      </c>
      <c r="N4692" s="121">
        <f t="shared" si="1648"/>
        <v>1.04</v>
      </c>
      <c r="P4692" s="121">
        <f t="shared" si="1649"/>
        <v>1</v>
      </c>
      <c r="Q4692" s="121">
        <f t="shared" si="1650"/>
        <v>0</v>
      </c>
      <c r="R4692" s="121">
        <f t="shared" si="1651"/>
        <v>0</v>
      </c>
      <c r="S4692" s="73">
        <f t="shared" si="1652"/>
        <v>0</v>
      </c>
      <c r="T4692" s="73">
        <f>SUM($S$4675:$S4692)</f>
        <v>0</v>
      </c>
      <c r="U4692" s="73">
        <f t="shared" si="1653"/>
        <v>0</v>
      </c>
    </row>
    <row r="4693" spans="1:21" x14ac:dyDescent="0.3">
      <c r="A4693" s="187">
        <v>19</v>
      </c>
      <c r="B4693" s="242">
        <f t="shared" si="1654"/>
        <v>46204</v>
      </c>
      <c r="C4693" s="243">
        <f t="shared" si="1637"/>
        <v>46234</v>
      </c>
      <c r="D4693" s="120">
        <f t="shared" si="1638"/>
        <v>31</v>
      </c>
      <c r="E4693" s="120">
        <f t="shared" si="1639"/>
        <v>7</v>
      </c>
      <c r="F4693" s="275">
        <f t="shared" si="1640"/>
        <v>46219.5</v>
      </c>
      <c r="G4693" s="120">
        <f t="shared" si="1641"/>
        <v>24318</v>
      </c>
      <c r="H4693" s="245">
        <f t="shared" si="1642"/>
        <v>1</v>
      </c>
      <c r="I4693" s="121">
        <f t="shared" si="1643"/>
        <v>1.04</v>
      </c>
      <c r="J4693" s="121">
        <f t="shared" si="1644"/>
        <v>1.1024</v>
      </c>
      <c r="K4693" s="120">
        <f t="shared" si="1645"/>
        <v>1</v>
      </c>
      <c r="L4693" s="120">
        <f t="shared" si="1646"/>
        <v>31</v>
      </c>
      <c r="M4693" s="246">
        <f t="shared" si="1647"/>
        <v>1</v>
      </c>
      <c r="N4693" s="121">
        <f t="shared" si="1648"/>
        <v>1.1024</v>
      </c>
      <c r="P4693" s="121">
        <f t="shared" si="1649"/>
        <v>0.91666666666666663</v>
      </c>
      <c r="Q4693" s="121">
        <f t="shared" si="1650"/>
        <v>8.333333333333337E-2</v>
      </c>
      <c r="R4693" s="121">
        <f t="shared" si="1651"/>
        <v>0</v>
      </c>
      <c r="S4693" s="73">
        <f t="shared" si="1652"/>
        <v>9.1866666666666708E-2</v>
      </c>
      <c r="T4693" s="73">
        <f>SUM($S$4675:$S4693)</f>
        <v>9.1866666666666708E-2</v>
      </c>
      <c r="U4693" s="73">
        <f t="shared" si="1653"/>
        <v>9.1866666666666708E-2</v>
      </c>
    </row>
    <row r="4694" spans="1:21" x14ac:dyDescent="0.3">
      <c r="A4694" s="187">
        <v>20</v>
      </c>
      <c r="B4694" s="242">
        <f t="shared" si="1654"/>
        <v>46235</v>
      </c>
      <c r="C4694" s="243">
        <f t="shared" si="1637"/>
        <v>46265</v>
      </c>
      <c r="D4694" s="120">
        <f t="shared" si="1638"/>
        <v>31</v>
      </c>
      <c r="E4694" s="120">
        <f t="shared" si="1639"/>
        <v>8</v>
      </c>
      <c r="F4694" s="275">
        <f t="shared" si="1640"/>
        <v>46250.5</v>
      </c>
      <c r="G4694" s="120">
        <f t="shared" si="1641"/>
        <v>24319</v>
      </c>
      <c r="H4694" s="245">
        <f t="shared" si="1642"/>
        <v>1</v>
      </c>
      <c r="I4694" s="121">
        <f t="shared" si="1643"/>
        <v>1.1024</v>
      </c>
      <c r="J4694" s="121">
        <f t="shared" si="1644"/>
        <v>1.1024</v>
      </c>
      <c r="K4694" s="120">
        <f t="shared" si="1645"/>
        <v>0</v>
      </c>
      <c r="L4694" s="120">
        <f t="shared" si="1646"/>
        <v>0</v>
      </c>
      <c r="M4694" s="246">
        <f t="shared" si="1647"/>
        <v>0</v>
      </c>
      <c r="N4694" s="121">
        <f t="shared" si="1648"/>
        <v>1.1024</v>
      </c>
      <c r="P4694" s="121">
        <f t="shared" si="1649"/>
        <v>0.75</v>
      </c>
      <c r="Q4694" s="121">
        <f t="shared" si="1650"/>
        <v>0.25</v>
      </c>
      <c r="R4694" s="121">
        <f t="shared" si="1651"/>
        <v>0</v>
      </c>
      <c r="S4694" s="73">
        <f t="shared" si="1652"/>
        <v>0.27560000000000001</v>
      </c>
      <c r="T4694" s="73">
        <f>SUM($S$4675:$S4694)</f>
        <v>0.36746666666666672</v>
      </c>
      <c r="U4694" s="73">
        <f t="shared" si="1653"/>
        <v>0.27560000000000001</v>
      </c>
    </row>
    <row r="4695" spans="1:21" x14ac:dyDescent="0.3">
      <c r="A4695" s="187">
        <v>21</v>
      </c>
      <c r="B4695" s="242">
        <f t="shared" si="1654"/>
        <v>46266</v>
      </c>
      <c r="C4695" s="243">
        <f t="shared" si="1637"/>
        <v>46295</v>
      </c>
      <c r="D4695" s="120">
        <f t="shared" si="1638"/>
        <v>30</v>
      </c>
      <c r="E4695" s="120">
        <f t="shared" si="1639"/>
        <v>9</v>
      </c>
      <c r="F4695" s="275">
        <f t="shared" si="1640"/>
        <v>46281</v>
      </c>
      <c r="G4695" s="120">
        <f t="shared" si="1641"/>
        <v>24320</v>
      </c>
      <c r="H4695" s="245">
        <f t="shared" si="1642"/>
        <v>1</v>
      </c>
      <c r="I4695" s="121">
        <f t="shared" si="1643"/>
        <v>1.1024</v>
      </c>
      <c r="J4695" s="121">
        <f t="shared" si="1644"/>
        <v>1.1024</v>
      </c>
      <c r="K4695" s="120">
        <f t="shared" si="1645"/>
        <v>0</v>
      </c>
      <c r="L4695" s="120">
        <f t="shared" si="1646"/>
        <v>0</v>
      </c>
      <c r="M4695" s="246">
        <f t="shared" si="1647"/>
        <v>0</v>
      </c>
      <c r="N4695" s="121">
        <f t="shared" si="1648"/>
        <v>1.1024</v>
      </c>
      <c r="P4695" s="121">
        <f t="shared" si="1649"/>
        <v>0.58333333333333337</v>
      </c>
      <c r="Q4695" s="121">
        <f t="shared" si="1650"/>
        <v>0.41666666666666663</v>
      </c>
      <c r="R4695" s="121">
        <f t="shared" si="1651"/>
        <v>0</v>
      </c>
      <c r="S4695" s="73">
        <f t="shared" si="1652"/>
        <v>0.45933333333333332</v>
      </c>
      <c r="T4695" s="73">
        <f>SUM($S$4675:$S4695)</f>
        <v>0.82679999999999998</v>
      </c>
      <c r="U4695" s="73">
        <f t="shared" si="1653"/>
        <v>0.45933333333333332</v>
      </c>
    </row>
    <row r="4696" spans="1:21" x14ac:dyDescent="0.3">
      <c r="A4696" s="187">
        <v>22</v>
      </c>
      <c r="B4696" s="242">
        <f t="shared" si="1654"/>
        <v>46296</v>
      </c>
      <c r="C4696" s="243">
        <f t="shared" si="1637"/>
        <v>46326</v>
      </c>
      <c r="D4696" s="120">
        <f t="shared" si="1638"/>
        <v>31</v>
      </c>
      <c r="E4696" s="120">
        <f t="shared" si="1639"/>
        <v>10</v>
      </c>
      <c r="F4696" s="275">
        <f t="shared" si="1640"/>
        <v>46311.5</v>
      </c>
      <c r="G4696" s="120">
        <f t="shared" si="1641"/>
        <v>24321</v>
      </c>
      <c r="H4696" s="245">
        <f t="shared" si="1642"/>
        <v>1</v>
      </c>
      <c r="I4696" s="121">
        <f t="shared" si="1643"/>
        <v>1.1024</v>
      </c>
      <c r="J4696" s="121">
        <f t="shared" si="1644"/>
        <v>1.1024</v>
      </c>
      <c r="K4696" s="120">
        <f t="shared" si="1645"/>
        <v>0</v>
      </c>
      <c r="L4696" s="120">
        <f t="shared" si="1646"/>
        <v>0</v>
      </c>
      <c r="M4696" s="246">
        <f t="shared" si="1647"/>
        <v>0</v>
      </c>
      <c r="N4696" s="121">
        <f t="shared" si="1648"/>
        <v>1.1024</v>
      </c>
      <c r="P4696" s="121">
        <f t="shared" si="1649"/>
        <v>0.41666666666666669</v>
      </c>
      <c r="Q4696" s="121">
        <f t="shared" si="1650"/>
        <v>0.58333333333333326</v>
      </c>
      <c r="R4696" s="121">
        <f t="shared" si="1651"/>
        <v>0</v>
      </c>
      <c r="S4696" s="73">
        <f t="shared" si="1652"/>
        <v>0.64306666666666656</v>
      </c>
      <c r="T4696" s="73">
        <f>SUM($S$4675:$S4696)</f>
        <v>1.4698666666666664</v>
      </c>
      <c r="U4696" s="73">
        <f t="shared" si="1653"/>
        <v>0.64306666666666656</v>
      </c>
    </row>
    <row r="4697" spans="1:21" x14ac:dyDescent="0.3">
      <c r="A4697" s="187">
        <v>23</v>
      </c>
      <c r="B4697" s="242">
        <f t="shared" si="1654"/>
        <v>46327</v>
      </c>
      <c r="C4697" s="243">
        <f t="shared" si="1637"/>
        <v>46356</v>
      </c>
      <c r="D4697" s="120">
        <f t="shared" si="1638"/>
        <v>30</v>
      </c>
      <c r="E4697" s="120">
        <f t="shared" si="1639"/>
        <v>11</v>
      </c>
      <c r="F4697" s="275">
        <f t="shared" si="1640"/>
        <v>46342</v>
      </c>
      <c r="G4697" s="120">
        <f t="shared" si="1641"/>
        <v>24322</v>
      </c>
      <c r="H4697" s="245">
        <f t="shared" si="1642"/>
        <v>1</v>
      </c>
      <c r="I4697" s="121">
        <f t="shared" si="1643"/>
        <v>1.1024</v>
      </c>
      <c r="J4697" s="121">
        <f t="shared" si="1644"/>
        <v>1.1024</v>
      </c>
      <c r="K4697" s="120">
        <f t="shared" si="1645"/>
        <v>0</v>
      </c>
      <c r="L4697" s="120">
        <f t="shared" si="1646"/>
        <v>0</v>
      </c>
      <c r="M4697" s="246">
        <f t="shared" si="1647"/>
        <v>0</v>
      </c>
      <c r="N4697" s="121">
        <f t="shared" si="1648"/>
        <v>1.1024</v>
      </c>
      <c r="P4697" s="121">
        <f t="shared" si="1649"/>
        <v>0.25</v>
      </c>
      <c r="Q4697" s="121">
        <f t="shared" si="1650"/>
        <v>0.75</v>
      </c>
      <c r="R4697" s="121">
        <f t="shared" si="1651"/>
        <v>0</v>
      </c>
      <c r="S4697" s="73">
        <f t="shared" si="1652"/>
        <v>0.82679999999999998</v>
      </c>
      <c r="T4697" s="73">
        <f>SUM($S$4675:$S4697)</f>
        <v>2.2966666666666664</v>
      </c>
      <c r="U4697" s="73">
        <f t="shared" si="1653"/>
        <v>0.82679999999999998</v>
      </c>
    </row>
    <row r="4698" spans="1:21" x14ac:dyDescent="0.3">
      <c r="A4698" s="187">
        <v>24</v>
      </c>
      <c r="B4698" s="242">
        <f t="shared" si="1654"/>
        <v>46357</v>
      </c>
      <c r="C4698" s="243">
        <f t="shared" si="1637"/>
        <v>46387</v>
      </c>
      <c r="D4698" s="120">
        <f t="shared" si="1638"/>
        <v>31</v>
      </c>
      <c r="E4698" s="120">
        <f t="shared" si="1639"/>
        <v>12</v>
      </c>
      <c r="F4698" s="275">
        <f t="shared" si="1640"/>
        <v>46372.5</v>
      </c>
      <c r="G4698" s="120">
        <f t="shared" si="1641"/>
        <v>24323</v>
      </c>
      <c r="H4698" s="245">
        <f t="shared" si="1642"/>
        <v>1</v>
      </c>
      <c r="I4698" s="121">
        <f t="shared" si="1643"/>
        <v>1.1024</v>
      </c>
      <c r="J4698" s="121">
        <f t="shared" si="1644"/>
        <v>1.1024</v>
      </c>
      <c r="K4698" s="120">
        <f t="shared" si="1645"/>
        <v>0</v>
      </c>
      <c r="L4698" s="120">
        <f t="shared" si="1646"/>
        <v>0</v>
      </c>
      <c r="M4698" s="246">
        <f t="shared" si="1647"/>
        <v>0</v>
      </c>
      <c r="N4698" s="121">
        <f t="shared" si="1648"/>
        <v>1.1024</v>
      </c>
      <c r="P4698" s="121">
        <f t="shared" si="1649"/>
        <v>8.3333333333333329E-2</v>
      </c>
      <c r="Q4698" s="121">
        <f t="shared" si="1650"/>
        <v>0.91666666666666663</v>
      </c>
      <c r="R4698" s="121">
        <f t="shared" si="1651"/>
        <v>0</v>
      </c>
      <c r="S4698" s="73">
        <f t="shared" si="1652"/>
        <v>1.0105333333333333</v>
      </c>
      <c r="T4698" s="73">
        <f>SUM($S$4675:$S4698)</f>
        <v>3.3071999999999999</v>
      </c>
      <c r="U4698" s="73">
        <f t="shared" si="1653"/>
        <v>1.0105333333333333</v>
      </c>
    </row>
    <row r="4699" spans="1:21" x14ac:dyDescent="0.3">
      <c r="A4699" s="187">
        <v>25</v>
      </c>
      <c r="B4699" s="242">
        <f t="shared" si="1654"/>
        <v>46388</v>
      </c>
      <c r="C4699" s="243">
        <f t="shared" si="1637"/>
        <v>46418</v>
      </c>
      <c r="D4699" s="120">
        <f t="shared" si="1638"/>
        <v>31</v>
      </c>
      <c r="E4699" s="120">
        <f t="shared" si="1639"/>
        <v>1</v>
      </c>
      <c r="F4699" s="275">
        <f t="shared" si="1640"/>
        <v>46403.5</v>
      </c>
      <c r="G4699" s="120">
        <f t="shared" si="1641"/>
        <v>24324</v>
      </c>
      <c r="H4699" s="245">
        <f t="shared" si="1642"/>
        <v>1</v>
      </c>
      <c r="I4699" s="121">
        <f t="shared" si="1643"/>
        <v>1.1024</v>
      </c>
      <c r="J4699" s="121">
        <f t="shared" si="1644"/>
        <v>1.1024</v>
      </c>
      <c r="K4699" s="120">
        <f t="shared" si="1645"/>
        <v>0</v>
      </c>
      <c r="L4699" s="120">
        <f t="shared" si="1646"/>
        <v>0</v>
      </c>
      <c r="M4699" s="246">
        <f t="shared" si="1647"/>
        <v>0</v>
      </c>
      <c r="N4699" s="121">
        <f t="shared" si="1648"/>
        <v>1.1024</v>
      </c>
      <c r="P4699" s="121">
        <f t="shared" si="1649"/>
        <v>0</v>
      </c>
      <c r="Q4699" s="121">
        <f t="shared" si="1650"/>
        <v>1</v>
      </c>
      <c r="R4699" s="121">
        <f t="shared" si="1651"/>
        <v>0</v>
      </c>
      <c r="S4699" s="73">
        <f t="shared" si="1652"/>
        <v>1.1024</v>
      </c>
      <c r="T4699" s="73">
        <f>SUM($S$4675:$S4699)</f>
        <v>4.4096000000000002</v>
      </c>
      <c r="U4699" s="73">
        <f t="shared" si="1653"/>
        <v>1.1024</v>
      </c>
    </row>
    <row r="4700" spans="1:21" x14ac:dyDescent="0.3">
      <c r="A4700" s="187">
        <v>26</v>
      </c>
      <c r="B4700" s="242">
        <f t="shared" si="1654"/>
        <v>46419</v>
      </c>
      <c r="C4700" s="243">
        <f t="shared" si="1637"/>
        <v>46446</v>
      </c>
      <c r="D4700" s="120">
        <f t="shared" si="1638"/>
        <v>28</v>
      </c>
      <c r="E4700" s="120">
        <f t="shared" si="1639"/>
        <v>2</v>
      </c>
      <c r="F4700" s="275">
        <f t="shared" si="1640"/>
        <v>46433</v>
      </c>
      <c r="G4700" s="120">
        <f t="shared" si="1641"/>
        <v>24325</v>
      </c>
      <c r="H4700" s="245">
        <f t="shared" si="1642"/>
        <v>1</v>
      </c>
      <c r="I4700" s="121">
        <f t="shared" si="1643"/>
        <v>1.1024</v>
      </c>
      <c r="J4700" s="121">
        <f t="shared" si="1644"/>
        <v>1.1024</v>
      </c>
      <c r="K4700" s="120">
        <f t="shared" si="1645"/>
        <v>0</v>
      </c>
      <c r="L4700" s="120">
        <f t="shared" si="1646"/>
        <v>0</v>
      </c>
      <c r="M4700" s="246">
        <f t="shared" si="1647"/>
        <v>0</v>
      </c>
      <c r="N4700" s="121">
        <f t="shared" si="1648"/>
        <v>1.1024</v>
      </c>
      <c r="P4700" s="121">
        <f t="shared" si="1649"/>
        <v>0</v>
      </c>
      <c r="Q4700" s="121">
        <f t="shared" si="1650"/>
        <v>1</v>
      </c>
      <c r="R4700" s="121">
        <f t="shared" si="1651"/>
        <v>0</v>
      </c>
      <c r="S4700" s="73">
        <f t="shared" si="1652"/>
        <v>1.1024</v>
      </c>
      <c r="T4700" s="73">
        <f>SUM($S$4675:$S4700)</f>
        <v>5.5120000000000005</v>
      </c>
      <c r="U4700" s="73">
        <f t="shared" si="1653"/>
        <v>1.1024</v>
      </c>
    </row>
    <row r="4701" spans="1:21" x14ac:dyDescent="0.3">
      <c r="A4701" s="187">
        <v>27</v>
      </c>
      <c r="B4701" s="242">
        <f t="shared" si="1654"/>
        <v>46447</v>
      </c>
      <c r="C4701" s="243">
        <f t="shared" si="1637"/>
        <v>46477</v>
      </c>
      <c r="D4701" s="120">
        <f t="shared" si="1638"/>
        <v>31</v>
      </c>
      <c r="E4701" s="120">
        <f t="shared" si="1639"/>
        <v>3</v>
      </c>
      <c r="F4701" s="275">
        <f t="shared" si="1640"/>
        <v>46462.5</v>
      </c>
      <c r="G4701" s="120">
        <f t="shared" si="1641"/>
        <v>24326</v>
      </c>
      <c r="H4701" s="245">
        <f t="shared" si="1642"/>
        <v>1</v>
      </c>
      <c r="I4701" s="121">
        <f t="shared" si="1643"/>
        <v>1.1024</v>
      </c>
      <c r="J4701" s="121">
        <f t="shared" si="1644"/>
        <v>1.1024</v>
      </c>
      <c r="K4701" s="120">
        <f t="shared" si="1645"/>
        <v>0</v>
      </c>
      <c r="L4701" s="120">
        <f t="shared" si="1646"/>
        <v>0</v>
      </c>
      <c r="M4701" s="246">
        <f t="shared" si="1647"/>
        <v>0</v>
      </c>
      <c r="N4701" s="121">
        <f t="shared" si="1648"/>
        <v>1.1024</v>
      </c>
      <c r="P4701" s="121">
        <f t="shared" si="1649"/>
        <v>0</v>
      </c>
      <c r="Q4701" s="121">
        <f t="shared" si="1650"/>
        <v>1</v>
      </c>
      <c r="R4701" s="121">
        <f t="shared" si="1651"/>
        <v>0</v>
      </c>
      <c r="S4701" s="73">
        <f t="shared" si="1652"/>
        <v>1.1024</v>
      </c>
      <c r="T4701" s="73">
        <f>SUM($S$4675:$S4701)</f>
        <v>6.6144000000000007</v>
      </c>
      <c r="U4701" s="73">
        <f t="shared" si="1653"/>
        <v>1.1024</v>
      </c>
    </row>
    <row r="4702" spans="1:21" x14ac:dyDescent="0.3">
      <c r="A4702" s="187">
        <v>28</v>
      </c>
      <c r="B4702" s="242">
        <f t="shared" si="1654"/>
        <v>46478</v>
      </c>
      <c r="C4702" s="243">
        <f t="shared" si="1637"/>
        <v>46507</v>
      </c>
      <c r="D4702" s="120">
        <f t="shared" si="1638"/>
        <v>30</v>
      </c>
      <c r="E4702" s="120">
        <f t="shared" si="1639"/>
        <v>4</v>
      </c>
      <c r="F4702" s="275">
        <f t="shared" si="1640"/>
        <v>46493</v>
      </c>
      <c r="G4702" s="120">
        <f t="shared" si="1641"/>
        <v>24327</v>
      </c>
      <c r="H4702" s="245">
        <f t="shared" si="1642"/>
        <v>1</v>
      </c>
      <c r="I4702" s="121">
        <f t="shared" si="1643"/>
        <v>1.1024</v>
      </c>
      <c r="J4702" s="121">
        <f t="shared" si="1644"/>
        <v>1.1024</v>
      </c>
      <c r="K4702" s="120">
        <f t="shared" si="1645"/>
        <v>0</v>
      </c>
      <c r="L4702" s="120">
        <f t="shared" si="1646"/>
        <v>0</v>
      </c>
      <c r="M4702" s="246">
        <f t="shared" si="1647"/>
        <v>0</v>
      </c>
      <c r="N4702" s="121">
        <f t="shared" si="1648"/>
        <v>1.1024</v>
      </c>
      <c r="P4702" s="121">
        <f t="shared" si="1649"/>
        <v>0</v>
      </c>
      <c r="Q4702" s="121">
        <f t="shared" si="1650"/>
        <v>1</v>
      </c>
      <c r="R4702" s="121">
        <f t="shared" si="1651"/>
        <v>0</v>
      </c>
      <c r="S4702" s="73">
        <f t="shared" si="1652"/>
        <v>1.1024</v>
      </c>
      <c r="T4702" s="73">
        <f>SUM($S$4675:$S4702)</f>
        <v>7.716800000000001</v>
      </c>
      <c r="U4702" s="73">
        <f t="shared" si="1653"/>
        <v>1.1024</v>
      </c>
    </row>
    <row r="4703" spans="1:21" x14ac:dyDescent="0.3">
      <c r="A4703" s="187">
        <v>29</v>
      </c>
      <c r="B4703" s="242">
        <f t="shared" si="1654"/>
        <v>46508</v>
      </c>
      <c r="C4703" s="243">
        <f t="shared" si="1637"/>
        <v>46538</v>
      </c>
      <c r="D4703" s="120">
        <f t="shared" si="1638"/>
        <v>31</v>
      </c>
      <c r="E4703" s="120">
        <f t="shared" si="1639"/>
        <v>5</v>
      </c>
      <c r="F4703" s="275">
        <f t="shared" si="1640"/>
        <v>46523.5</v>
      </c>
      <c r="G4703" s="120">
        <f t="shared" si="1641"/>
        <v>24328</v>
      </c>
      <c r="H4703" s="245">
        <f t="shared" si="1642"/>
        <v>1</v>
      </c>
      <c r="I4703" s="121">
        <f t="shared" si="1643"/>
        <v>1.1024</v>
      </c>
      <c r="J4703" s="121">
        <f t="shared" si="1644"/>
        <v>1.1024</v>
      </c>
      <c r="K4703" s="120">
        <f t="shared" si="1645"/>
        <v>0</v>
      </c>
      <c r="L4703" s="120">
        <f t="shared" si="1646"/>
        <v>0</v>
      </c>
      <c r="M4703" s="246">
        <f t="shared" si="1647"/>
        <v>0</v>
      </c>
      <c r="N4703" s="121">
        <f t="shared" si="1648"/>
        <v>1.1024</v>
      </c>
      <c r="P4703" s="121">
        <f t="shared" si="1649"/>
        <v>0</v>
      </c>
      <c r="Q4703" s="121">
        <f t="shared" si="1650"/>
        <v>1</v>
      </c>
      <c r="R4703" s="121">
        <f t="shared" si="1651"/>
        <v>0</v>
      </c>
      <c r="S4703" s="73">
        <f t="shared" si="1652"/>
        <v>1.1024</v>
      </c>
      <c r="T4703" s="73">
        <f>SUM($S$4675:$S4703)</f>
        <v>8.8192000000000004</v>
      </c>
      <c r="U4703" s="73">
        <f t="shared" si="1653"/>
        <v>1.1024</v>
      </c>
    </row>
    <row r="4704" spans="1:21" x14ac:dyDescent="0.3">
      <c r="A4704" s="187">
        <v>30</v>
      </c>
      <c r="B4704" s="242">
        <f t="shared" si="1654"/>
        <v>46539</v>
      </c>
      <c r="C4704" s="243">
        <f t="shared" si="1637"/>
        <v>46568</v>
      </c>
      <c r="D4704" s="120">
        <f t="shared" si="1638"/>
        <v>30</v>
      </c>
      <c r="E4704" s="120">
        <f t="shared" si="1639"/>
        <v>6</v>
      </c>
      <c r="F4704" s="275">
        <f t="shared" si="1640"/>
        <v>46554</v>
      </c>
      <c r="G4704" s="120">
        <f t="shared" si="1641"/>
        <v>24329</v>
      </c>
      <c r="H4704" s="245">
        <f t="shared" si="1642"/>
        <v>1</v>
      </c>
      <c r="I4704" s="121">
        <f t="shared" si="1643"/>
        <v>1.1024</v>
      </c>
      <c r="J4704" s="121">
        <f t="shared" si="1644"/>
        <v>1.1024</v>
      </c>
      <c r="K4704" s="120">
        <f t="shared" si="1645"/>
        <v>0</v>
      </c>
      <c r="L4704" s="120">
        <f t="shared" si="1646"/>
        <v>0</v>
      </c>
      <c r="M4704" s="246">
        <f t="shared" si="1647"/>
        <v>0</v>
      </c>
      <c r="N4704" s="121">
        <f t="shared" si="1648"/>
        <v>1.1024</v>
      </c>
      <c r="P4704" s="121">
        <f t="shared" si="1649"/>
        <v>0</v>
      </c>
      <c r="Q4704" s="121">
        <f t="shared" si="1650"/>
        <v>1</v>
      </c>
      <c r="R4704" s="121">
        <f t="shared" si="1651"/>
        <v>0</v>
      </c>
      <c r="S4704" s="73">
        <f t="shared" si="1652"/>
        <v>1.1024</v>
      </c>
      <c r="T4704" s="73">
        <f>SUM($S$4675:$S4704)</f>
        <v>9.9215999999999998</v>
      </c>
      <c r="U4704" s="73">
        <f t="shared" si="1653"/>
        <v>1.1024</v>
      </c>
    </row>
    <row r="4705" spans="1:21" x14ac:dyDescent="0.3">
      <c r="A4705" s="187">
        <v>31</v>
      </c>
      <c r="B4705" s="242">
        <f t="shared" si="1654"/>
        <v>46569</v>
      </c>
      <c r="C4705" s="243">
        <f t="shared" si="1637"/>
        <v>46599</v>
      </c>
      <c r="D4705" s="120">
        <f t="shared" si="1638"/>
        <v>31</v>
      </c>
      <c r="E4705" s="120">
        <f t="shared" si="1639"/>
        <v>7</v>
      </c>
      <c r="F4705" s="275">
        <f t="shared" si="1640"/>
        <v>46584.5</v>
      </c>
      <c r="G4705" s="120">
        <f t="shared" si="1641"/>
        <v>24330</v>
      </c>
      <c r="H4705" s="245">
        <f t="shared" si="1642"/>
        <v>1</v>
      </c>
      <c r="I4705" s="121">
        <f t="shared" si="1643"/>
        <v>1.1024</v>
      </c>
      <c r="J4705" s="121">
        <f t="shared" si="1644"/>
        <v>1.1024</v>
      </c>
      <c r="K4705" s="120">
        <f t="shared" si="1645"/>
        <v>0</v>
      </c>
      <c r="L4705" s="120">
        <f t="shared" si="1646"/>
        <v>0</v>
      </c>
      <c r="M4705" s="246">
        <f t="shared" si="1647"/>
        <v>0</v>
      </c>
      <c r="N4705" s="121">
        <f t="shared" si="1648"/>
        <v>1.1024</v>
      </c>
      <c r="P4705" s="121">
        <f t="shared" si="1649"/>
        <v>0</v>
      </c>
      <c r="Q4705" s="121">
        <f t="shared" si="1650"/>
        <v>0.91666666666666663</v>
      </c>
      <c r="R4705" s="121">
        <f t="shared" si="1651"/>
        <v>8.333333333333337E-2</v>
      </c>
      <c r="S4705" s="73">
        <f t="shared" si="1652"/>
        <v>1.0105333333333333</v>
      </c>
      <c r="T4705" s="73">
        <f>SUM($S$4675:$S4705)</f>
        <v>10.932133333333333</v>
      </c>
      <c r="U4705" s="73">
        <f t="shared" si="1653"/>
        <v>1.0105333333333333</v>
      </c>
    </row>
    <row r="4706" spans="1:21" x14ac:dyDescent="0.3">
      <c r="A4706" s="187">
        <v>32</v>
      </c>
      <c r="B4706" s="242">
        <f t="shared" si="1654"/>
        <v>46600</v>
      </c>
      <c r="C4706" s="243">
        <f t="shared" si="1637"/>
        <v>46630</v>
      </c>
      <c r="D4706" s="120">
        <f t="shared" si="1638"/>
        <v>31</v>
      </c>
      <c r="E4706" s="120">
        <f t="shared" si="1639"/>
        <v>8</v>
      </c>
      <c r="F4706" s="275">
        <f t="shared" si="1640"/>
        <v>46615.5</v>
      </c>
      <c r="G4706" s="120">
        <f t="shared" si="1641"/>
        <v>24331</v>
      </c>
      <c r="H4706" s="245">
        <f t="shared" si="1642"/>
        <v>1</v>
      </c>
      <c r="I4706" s="121">
        <f t="shared" si="1643"/>
        <v>1.1024</v>
      </c>
      <c r="J4706" s="121">
        <f t="shared" si="1644"/>
        <v>1.1024</v>
      </c>
      <c r="K4706" s="120">
        <f t="shared" si="1645"/>
        <v>0</v>
      </c>
      <c r="L4706" s="120">
        <f t="shared" si="1646"/>
        <v>0</v>
      </c>
      <c r="M4706" s="246">
        <f t="shared" si="1647"/>
        <v>0</v>
      </c>
      <c r="N4706" s="121">
        <f t="shared" si="1648"/>
        <v>1.1024</v>
      </c>
      <c r="P4706" s="121">
        <f t="shared" si="1649"/>
        <v>0</v>
      </c>
      <c r="Q4706" s="121">
        <f t="shared" si="1650"/>
        <v>0.75</v>
      </c>
      <c r="R4706" s="121">
        <f t="shared" si="1651"/>
        <v>0.25</v>
      </c>
      <c r="S4706" s="73">
        <f t="shared" si="1652"/>
        <v>0.82679999999999998</v>
      </c>
      <c r="T4706" s="73">
        <f>SUM($S$4675:$S4706)</f>
        <v>11.758933333333333</v>
      </c>
      <c r="U4706" s="73">
        <f t="shared" si="1653"/>
        <v>0.82679999999999998</v>
      </c>
    </row>
    <row r="4707" spans="1:21" x14ac:dyDescent="0.3">
      <c r="A4707" s="187">
        <v>33</v>
      </c>
      <c r="B4707" s="242">
        <f t="shared" si="1654"/>
        <v>46631</v>
      </c>
      <c r="C4707" s="243">
        <f t="shared" si="1637"/>
        <v>46660</v>
      </c>
      <c r="D4707" s="120">
        <f t="shared" si="1638"/>
        <v>30</v>
      </c>
      <c r="E4707" s="120">
        <f t="shared" si="1639"/>
        <v>9</v>
      </c>
      <c r="F4707" s="275">
        <f t="shared" si="1640"/>
        <v>46646</v>
      </c>
      <c r="G4707" s="120">
        <f t="shared" si="1641"/>
        <v>24332</v>
      </c>
      <c r="H4707" s="245">
        <f t="shared" si="1642"/>
        <v>1</v>
      </c>
      <c r="I4707" s="121">
        <f t="shared" si="1643"/>
        <v>1.1024</v>
      </c>
      <c r="J4707" s="121">
        <f t="shared" si="1644"/>
        <v>1.1024</v>
      </c>
      <c r="K4707" s="120">
        <f t="shared" si="1645"/>
        <v>0</v>
      </c>
      <c r="L4707" s="120">
        <f t="shared" si="1646"/>
        <v>0</v>
      </c>
      <c r="M4707" s="246">
        <f t="shared" si="1647"/>
        <v>0</v>
      </c>
      <c r="N4707" s="121">
        <f t="shared" si="1648"/>
        <v>1.1024</v>
      </c>
      <c r="P4707" s="121">
        <f t="shared" si="1649"/>
        <v>0</v>
      </c>
      <c r="Q4707" s="121">
        <f t="shared" si="1650"/>
        <v>0.58333333333333337</v>
      </c>
      <c r="R4707" s="121">
        <f t="shared" si="1651"/>
        <v>0.41666666666666663</v>
      </c>
      <c r="S4707" s="73">
        <f t="shared" si="1652"/>
        <v>0.64306666666666679</v>
      </c>
      <c r="T4707" s="73">
        <f>SUM($S$4675:$S4707)</f>
        <v>12.401999999999999</v>
      </c>
      <c r="U4707" s="73">
        <f t="shared" si="1653"/>
        <v>0.64306666666666679</v>
      </c>
    </row>
    <row r="4708" spans="1:21" x14ac:dyDescent="0.3">
      <c r="A4708" s="187">
        <v>34</v>
      </c>
      <c r="B4708" s="242">
        <f t="shared" si="1654"/>
        <v>46661</v>
      </c>
      <c r="C4708" s="243">
        <f t="shared" si="1637"/>
        <v>46691</v>
      </c>
      <c r="D4708" s="120">
        <f t="shared" si="1638"/>
        <v>31</v>
      </c>
      <c r="E4708" s="120">
        <f t="shared" si="1639"/>
        <v>10</v>
      </c>
      <c r="F4708" s="275">
        <f t="shared" si="1640"/>
        <v>46676.5</v>
      </c>
      <c r="G4708" s="120">
        <f t="shared" si="1641"/>
        <v>24333</v>
      </c>
      <c r="H4708" s="245">
        <f t="shared" si="1642"/>
        <v>1</v>
      </c>
      <c r="I4708" s="121">
        <f t="shared" si="1643"/>
        <v>1.1024</v>
      </c>
      <c r="J4708" s="121">
        <f t="shared" si="1644"/>
        <v>1.1024</v>
      </c>
      <c r="K4708" s="120">
        <f t="shared" si="1645"/>
        <v>0</v>
      </c>
      <c r="L4708" s="120">
        <f t="shared" si="1646"/>
        <v>0</v>
      </c>
      <c r="M4708" s="246">
        <f t="shared" si="1647"/>
        <v>0</v>
      </c>
      <c r="N4708" s="121">
        <f t="shared" si="1648"/>
        <v>1.1024</v>
      </c>
      <c r="P4708" s="121">
        <f t="shared" si="1649"/>
        <v>0</v>
      </c>
      <c r="Q4708" s="121">
        <f t="shared" si="1650"/>
        <v>0.41666666666666669</v>
      </c>
      <c r="R4708" s="121">
        <f t="shared" si="1651"/>
        <v>0.58333333333333326</v>
      </c>
      <c r="S4708" s="73">
        <f t="shared" si="1652"/>
        <v>0.45933333333333337</v>
      </c>
      <c r="T4708" s="73">
        <f>SUM($S$4675:$S4708)</f>
        <v>12.861333333333333</v>
      </c>
      <c r="U4708" s="73">
        <f t="shared" si="1653"/>
        <v>0.45933333333333337</v>
      </c>
    </row>
    <row r="4709" spans="1:21" x14ac:dyDescent="0.3">
      <c r="A4709" s="187">
        <v>35</v>
      </c>
      <c r="B4709" s="242">
        <f t="shared" si="1654"/>
        <v>46692</v>
      </c>
      <c r="C4709" s="243">
        <f t="shared" si="1637"/>
        <v>46721</v>
      </c>
      <c r="D4709" s="120">
        <f t="shared" si="1638"/>
        <v>30</v>
      </c>
      <c r="E4709" s="120">
        <f t="shared" si="1639"/>
        <v>11</v>
      </c>
      <c r="F4709" s="275">
        <f t="shared" si="1640"/>
        <v>46707</v>
      </c>
      <c r="G4709" s="120">
        <f t="shared" si="1641"/>
        <v>24334</v>
      </c>
      <c r="H4709" s="245">
        <f t="shared" si="1642"/>
        <v>1</v>
      </c>
      <c r="I4709" s="121">
        <f t="shared" si="1643"/>
        <v>1.1024</v>
      </c>
      <c r="J4709" s="121">
        <f t="shared" si="1644"/>
        <v>1.1024</v>
      </c>
      <c r="K4709" s="120">
        <f t="shared" si="1645"/>
        <v>0</v>
      </c>
      <c r="L4709" s="120">
        <f t="shared" si="1646"/>
        <v>0</v>
      </c>
      <c r="M4709" s="246">
        <f t="shared" si="1647"/>
        <v>0</v>
      </c>
      <c r="N4709" s="121">
        <f t="shared" si="1648"/>
        <v>1.1024</v>
      </c>
      <c r="P4709" s="121">
        <f t="shared" si="1649"/>
        <v>0</v>
      </c>
      <c r="Q4709" s="121">
        <f t="shared" si="1650"/>
        <v>0.25</v>
      </c>
      <c r="R4709" s="121">
        <f t="shared" si="1651"/>
        <v>0.75</v>
      </c>
      <c r="S4709" s="73">
        <f t="shared" si="1652"/>
        <v>0.27560000000000001</v>
      </c>
      <c r="T4709" s="73">
        <f>SUM($S$4675:$S4709)</f>
        <v>13.136933333333333</v>
      </c>
      <c r="U4709" s="73">
        <f t="shared" si="1653"/>
        <v>0.27560000000000001</v>
      </c>
    </row>
    <row r="4710" spans="1:21" x14ac:dyDescent="0.3">
      <c r="A4710" s="187">
        <v>36</v>
      </c>
      <c r="B4710" s="242">
        <f t="shared" si="1654"/>
        <v>46722</v>
      </c>
      <c r="C4710" s="243">
        <f t="shared" si="1637"/>
        <v>46752</v>
      </c>
      <c r="D4710" s="120">
        <f t="shared" si="1638"/>
        <v>31</v>
      </c>
      <c r="E4710" s="120">
        <f t="shared" si="1639"/>
        <v>12</v>
      </c>
      <c r="F4710" s="275">
        <f t="shared" si="1640"/>
        <v>46737.5</v>
      </c>
      <c r="G4710" s="120">
        <f t="shared" si="1641"/>
        <v>24335</v>
      </c>
      <c r="H4710" s="245">
        <f t="shared" si="1642"/>
        <v>1</v>
      </c>
      <c r="I4710" s="121">
        <f t="shared" si="1643"/>
        <v>1.1024</v>
      </c>
      <c r="J4710" s="121">
        <f t="shared" si="1644"/>
        <v>1.1024</v>
      </c>
      <c r="K4710" s="120">
        <f t="shared" si="1645"/>
        <v>0</v>
      </c>
      <c r="L4710" s="120">
        <f t="shared" si="1646"/>
        <v>0</v>
      </c>
      <c r="M4710" s="246">
        <f t="shared" si="1647"/>
        <v>0</v>
      </c>
      <c r="N4710" s="121">
        <f t="shared" si="1648"/>
        <v>1.1024</v>
      </c>
      <c r="P4710" s="121">
        <f t="shared" si="1649"/>
        <v>0</v>
      </c>
      <c r="Q4710" s="121">
        <f t="shared" si="1650"/>
        <v>8.3333333333333329E-2</v>
      </c>
      <c r="R4710" s="121">
        <f t="shared" si="1651"/>
        <v>0.91666666666666663</v>
      </c>
      <c r="S4710" s="73">
        <f t="shared" si="1652"/>
        <v>9.1866666666666666E-2</v>
      </c>
      <c r="T4710" s="73">
        <f>SUM($S$4675:$S4710)</f>
        <v>13.2288</v>
      </c>
      <c r="U4710" s="73">
        <f t="shared" si="1653"/>
        <v>9.1866666666666666E-2</v>
      </c>
    </row>
    <row r="4711" spans="1:21" x14ac:dyDescent="0.3">
      <c r="A4711" s="187">
        <v>37</v>
      </c>
      <c r="B4711" s="242">
        <f t="shared" si="1654"/>
        <v>46753</v>
      </c>
      <c r="C4711" s="243">
        <f t="shared" si="1637"/>
        <v>46783</v>
      </c>
      <c r="D4711" s="120">
        <f t="shared" si="1638"/>
        <v>31</v>
      </c>
      <c r="E4711" s="120">
        <f t="shared" si="1639"/>
        <v>1</v>
      </c>
      <c r="F4711" s="275">
        <f t="shared" si="1640"/>
        <v>46768.5</v>
      </c>
      <c r="G4711" s="120">
        <f t="shared" si="1641"/>
        <v>24336</v>
      </c>
      <c r="H4711" s="245">
        <f t="shared" si="1642"/>
        <v>1</v>
      </c>
      <c r="I4711" s="121">
        <f t="shared" si="1643"/>
        <v>1.1024</v>
      </c>
      <c r="J4711" s="121">
        <f t="shared" si="1644"/>
        <v>1.1024</v>
      </c>
      <c r="K4711" s="120">
        <f t="shared" si="1645"/>
        <v>0</v>
      </c>
      <c r="L4711" s="120">
        <f t="shared" si="1646"/>
        <v>0</v>
      </c>
      <c r="M4711" s="246">
        <f t="shared" si="1647"/>
        <v>0</v>
      </c>
      <c r="N4711" s="121">
        <f t="shared" si="1648"/>
        <v>1.1024</v>
      </c>
      <c r="P4711" s="121">
        <f t="shared" si="1649"/>
        <v>0</v>
      </c>
      <c r="Q4711" s="121">
        <f t="shared" si="1650"/>
        <v>0</v>
      </c>
      <c r="R4711" s="121">
        <f t="shared" si="1651"/>
        <v>1</v>
      </c>
      <c r="S4711" s="73">
        <f t="shared" si="1652"/>
        <v>0</v>
      </c>
      <c r="T4711" s="73">
        <f>SUM($S$4675:$S4711)</f>
        <v>13.2288</v>
      </c>
      <c r="U4711" s="73">
        <f t="shared" si="1653"/>
        <v>0</v>
      </c>
    </row>
    <row r="4712" spans="1:21" x14ac:dyDescent="0.3">
      <c r="A4712" s="187">
        <v>38</v>
      </c>
      <c r="B4712" s="242">
        <f t="shared" si="1654"/>
        <v>46784</v>
      </c>
      <c r="C4712" s="243">
        <f t="shared" si="1637"/>
        <v>46812</v>
      </c>
      <c r="D4712" s="120">
        <f t="shared" si="1638"/>
        <v>29</v>
      </c>
      <c r="E4712" s="120">
        <f t="shared" si="1639"/>
        <v>2</v>
      </c>
      <c r="F4712" s="275">
        <f t="shared" si="1640"/>
        <v>46798.5</v>
      </c>
      <c r="G4712" s="120">
        <f t="shared" si="1641"/>
        <v>24337</v>
      </c>
      <c r="H4712" s="245">
        <f t="shared" si="1642"/>
        <v>1</v>
      </c>
      <c r="I4712" s="121">
        <f t="shared" si="1643"/>
        <v>1.1024</v>
      </c>
      <c r="J4712" s="121">
        <f t="shared" si="1644"/>
        <v>1.1024</v>
      </c>
      <c r="K4712" s="120">
        <f t="shared" si="1645"/>
        <v>0</v>
      </c>
      <c r="L4712" s="120">
        <f t="shared" si="1646"/>
        <v>0</v>
      </c>
      <c r="M4712" s="246">
        <f t="shared" si="1647"/>
        <v>0</v>
      </c>
      <c r="N4712" s="121">
        <f t="shared" si="1648"/>
        <v>1.1024</v>
      </c>
      <c r="P4712" s="121">
        <f t="shared" si="1649"/>
        <v>0</v>
      </c>
      <c r="Q4712" s="121">
        <f t="shared" si="1650"/>
        <v>0</v>
      </c>
      <c r="R4712" s="121">
        <f t="shared" si="1651"/>
        <v>1</v>
      </c>
      <c r="S4712" s="73">
        <f t="shared" si="1652"/>
        <v>0</v>
      </c>
      <c r="T4712" s="73">
        <f>SUM($S$4675:$S4712)</f>
        <v>13.2288</v>
      </c>
      <c r="U4712" s="73">
        <f t="shared" si="1653"/>
        <v>0</v>
      </c>
    </row>
    <row r="4713" spans="1:21" x14ac:dyDescent="0.3">
      <c r="A4713" s="187">
        <v>39</v>
      </c>
      <c r="B4713" s="242">
        <f t="shared" si="1654"/>
        <v>46813</v>
      </c>
      <c r="C4713" s="243">
        <f t="shared" si="1637"/>
        <v>46843</v>
      </c>
      <c r="D4713" s="120">
        <f t="shared" si="1638"/>
        <v>31</v>
      </c>
      <c r="E4713" s="120">
        <f t="shared" si="1639"/>
        <v>3</v>
      </c>
      <c r="F4713" s="275">
        <f t="shared" si="1640"/>
        <v>46828.5</v>
      </c>
      <c r="G4713" s="120">
        <f t="shared" si="1641"/>
        <v>24338</v>
      </c>
      <c r="H4713" s="245">
        <f t="shared" si="1642"/>
        <v>1</v>
      </c>
      <c r="I4713" s="121">
        <f t="shared" si="1643"/>
        <v>1.1024</v>
      </c>
      <c r="J4713" s="121">
        <f t="shared" si="1644"/>
        <v>1.1024</v>
      </c>
      <c r="K4713" s="120">
        <f t="shared" si="1645"/>
        <v>0</v>
      </c>
      <c r="L4713" s="120">
        <f t="shared" si="1646"/>
        <v>0</v>
      </c>
      <c r="M4713" s="246">
        <f t="shared" si="1647"/>
        <v>0</v>
      </c>
      <c r="N4713" s="121">
        <f t="shared" si="1648"/>
        <v>1.1024</v>
      </c>
      <c r="P4713" s="121">
        <f t="shared" si="1649"/>
        <v>0</v>
      </c>
      <c r="Q4713" s="121">
        <f t="shared" si="1650"/>
        <v>0</v>
      </c>
      <c r="R4713" s="121">
        <f t="shared" si="1651"/>
        <v>1</v>
      </c>
      <c r="S4713" s="73">
        <f t="shared" si="1652"/>
        <v>0</v>
      </c>
      <c r="T4713" s="73">
        <f>SUM($S$4675:$S4713)</f>
        <v>13.2288</v>
      </c>
      <c r="U4713" s="73">
        <f t="shared" si="1653"/>
        <v>0</v>
      </c>
    </row>
    <row r="4714" spans="1:21" x14ac:dyDescent="0.3">
      <c r="A4714" s="187">
        <v>40</v>
      </c>
      <c r="B4714" s="242">
        <f t="shared" si="1654"/>
        <v>46844</v>
      </c>
      <c r="C4714" s="243">
        <f t="shared" si="1637"/>
        <v>46873</v>
      </c>
      <c r="D4714" s="120">
        <f t="shared" si="1638"/>
        <v>30</v>
      </c>
      <c r="E4714" s="120">
        <f t="shared" si="1639"/>
        <v>4</v>
      </c>
      <c r="F4714" s="275">
        <f t="shared" si="1640"/>
        <v>46859</v>
      </c>
      <c r="G4714" s="120">
        <f t="shared" si="1641"/>
        <v>24339</v>
      </c>
      <c r="H4714" s="245">
        <f t="shared" si="1642"/>
        <v>1</v>
      </c>
      <c r="I4714" s="121">
        <f t="shared" si="1643"/>
        <v>1.1024</v>
      </c>
      <c r="J4714" s="121">
        <f t="shared" si="1644"/>
        <v>1.1024</v>
      </c>
      <c r="K4714" s="120">
        <f t="shared" si="1645"/>
        <v>0</v>
      </c>
      <c r="L4714" s="120">
        <f t="shared" si="1646"/>
        <v>0</v>
      </c>
      <c r="M4714" s="246">
        <f t="shared" si="1647"/>
        <v>0</v>
      </c>
      <c r="N4714" s="121">
        <f t="shared" si="1648"/>
        <v>1.1024</v>
      </c>
      <c r="P4714" s="121">
        <f t="shared" si="1649"/>
        <v>0</v>
      </c>
      <c r="Q4714" s="121">
        <f t="shared" si="1650"/>
        <v>0</v>
      </c>
      <c r="R4714" s="121">
        <f t="shared" si="1651"/>
        <v>1</v>
      </c>
      <c r="S4714" s="73">
        <f t="shared" si="1652"/>
        <v>0</v>
      </c>
      <c r="T4714" s="73">
        <f>SUM($S$4675:$S4714)</f>
        <v>13.2288</v>
      </c>
      <c r="U4714" s="73">
        <f t="shared" si="1653"/>
        <v>0</v>
      </c>
    </row>
    <row r="4715" spans="1:21" x14ac:dyDescent="0.3">
      <c r="A4715" s="187">
        <v>41</v>
      </c>
      <c r="B4715" s="242">
        <f t="shared" si="1654"/>
        <v>46874</v>
      </c>
      <c r="C4715" s="243">
        <f t="shared" si="1637"/>
        <v>46904</v>
      </c>
      <c r="D4715" s="120">
        <f t="shared" si="1638"/>
        <v>31</v>
      </c>
      <c r="E4715" s="120">
        <f t="shared" si="1639"/>
        <v>5</v>
      </c>
      <c r="F4715" s="275">
        <f t="shared" si="1640"/>
        <v>46889.5</v>
      </c>
      <c r="G4715" s="120">
        <f t="shared" si="1641"/>
        <v>24340</v>
      </c>
      <c r="H4715" s="245">
        <f t="shared" si="1642"/>
        <v>1</v>
      </c>
      <c r="I4715" s="121">
        <f t="shared" si="1643"/>
        <v>1.1024</v>
      </c>
      <c r="J4715" s="121">
        <f t="shared" si="1644"/>
        <v>1.1024</v>
      </c>
      <c r="K4715" s="120">
        <f t="shared" si="1645"/>
        <v>0</v>
      </c>
      <c r="L4715" s="120">
        <f t="shared" si="1646"/>
        <v>0</v>
      </c>
      <c r="M4715" s="246">
        <f t="shared" si="1647"/>
        <v>0</v>
      </c>
      <c r="N4715" s="121">
        <f t="shared" si="1648"/>
        <v>1.1024</v>
      </c>
      <c r="P4715" s="121">
        <f t="shared" si="1649"/>
        <v>0</v>
      </c>
      <c r="Q4715" s="121">
        <f t="shared" si="1650"/>
        <v>0</v>
      </c>
      <c r="R4715" s="121">
        <f t="shared" si="1651"/>
        <v>1</v>
      </c>
      <c r="S4715" s="73">
        <f t="shared" si="1652"/>
        <v>0</v>
      </c>
      <c r="T4715" s="73">
        <f>SUM($S$4675:$S4715)</f>
        <v>13.2288</v>
      </c>
      <c r="U4715" s="73">
        <f t="shared" si="1653"/>
        <v>0</v>
      </c>
    </row>
    <row r="4716" spans="1:21" x14ac:dyDescent="0.3">
      <c r="A4716" s="187">
        <v>42</v>
      </c>
      <c r="B4716" s="242">
        <f t="shared" si="1654"/>
        <v>46905</v>
      </c>
      <c r="C4716" s="243">
        <f t="shared" si="1637"/>
        <v>46934</v>
      </c>
      <c r="D4716" s="120">
        <f t="shared" si="1638"/>
        <v>30</v>
      </c>
      <c r="E4716" s="120">
        <f t="shared" si="1639"/>
        <v>6</v>
      </c>
      <c r="F4716" s="275">
        <f t="shared" si="1640"/>
        <v>46920</v>
      </c>
      <c r="G4716" s="120">
        <f t="shared" si="1641"/>
        <v>24341</v>
      </c>
      <c r="H4716" s="245">
        <f t="shared" si="1642"/>
        <v>1</v>
      </c>
      <c r="I4716" s="121">
        <f t="shared" si="1643"/>
        <v>1.1024</v>
      </c>
      <c r="J4716" s="121">
        <f t="shared" si="1644"/>
        <v>1.1024</v>
      </c>
      <c r="K4716" s="120">
        <f t="shared" si="1645"/>
        <v>0</v>
      </c>
      <c r="L4716" s="120">
        <f t="shared" si="1646"/>
        <v>0</v>
      </c>
      <c r="M4716" s="246">
        <f t="shared" si="1647"/>
        <v>0</v>
      </c>
      <c r="N4716" s="121">
        <f t="shared" si="1648"/>
        <v>1.1024</v>
      </c>
      <c r="P4716" s="121">
        <f t="shared" si="1649"/>
        <v>0</v>
      </c>
      <c r="Q4716" s="121">
        <f t="shared" si="1650"/>
        <v>0</v>
      </c>
      <c r="R4716" s="121">
        <f t="shared" si="1651"/>
        <v>1</v>
      </c>
      <c r="S4716" s="73">
        <f t="shared" si="1652"/>
        <v>0</v>
      </c>
      <c r="T4716" s="73">
        <f>SUM($S$4675:$S4716)</f>
        <v>13.2288</v>
      </c>
      <c r="U4716" s="73">
        <f t="shared" si="1653"/>
        <v>0</v>
      </c>
    </row>
    <row r="4717" spans="1:21" x14ac:dyDescent="0.3">
      <c r="A4717" s="187">
        <v>43</v>
      </c>
      <c r="B4717" s="242">
        <f t="shared" si="1654"/>
        <v>46935</v>
      </c>
      <c r="C4717" s="243">
        <f t="shared" si="1637"/>
        <v>46965</v>
      </c>
      <c r="D4717" s="120">
        <f t="shared" si="1638"/>
        <v>31</v>
      </c>
      <c r="E4717" s="120">
        <f t="shared" si="1639"/>
        <v>7</v>
      </c>
      <c r="F4717" s="275">
        <f t="shared" si="1640"/>
        <v>46950.5</v>
      </c>
      <c r="G4717" s="120">
        <f t="shared" si="1641"/>
        <v>24342</v>
      </c>
      <c r="H4717" s="245">
        <f t="shared" si="1642"/>
        <v>1</v>
      </c>
      <c r="I4717" s="121">
        <f t="shared" si="1643"/>
        <v>1.1024</v>
      </c>
      <c r="J4717" s="121">
        <f t="shared" si="1644"/>
        <v>1.1024</v>
      </c>
      <c r="K4717" s="120">
        <f t="shared" si="1645"/>
        <v>0</v>
      </c>
      <c r="L4717" s="120">
        <f t="shared" si="1646"/>
        <v>0</v>
      </c>
      <c r="M4717" s="246">
        <f t="shared" si="1647"/>
        <v>0</v>
      </c>
      <c r="N4717" s="121">
        <f t="shared" si="1648"/>
        <v>1.1024</v>
      </c>
      <c r="P4717" s="121">
        <f t="shared" si="1649"/>
        <v>0</v>
      </c>
      <c r="Q4717" s="121">
        <f t="shared" si="1650"/>
        <v>0</v>
      </c>
      <c r="R4717" s="121">
        <f t="shared" si="1651"/>
        <v>0.91666666666666663</v>
      </c>
      <c r="S4717" s="73">
        <f t="shared" si="1652"/>
        <v>0</v>
      </c>
      <c r="T4717" s="73">
        <f>SUM($S$4675:$S4717)</f>
        <v>13.2288</v>
      </c>
      <c r="U4717" s="73">
        <f t="shared" si="1653"/>
        <v>0</v>
      </c>
    </row>
    <row r="4718" spans="1:21" x14ac:dyDescent="0.3">
      <c r="A4718" s="187">
        <v>44</v>
      </c>
      <c r="B4718" s="242">
        <f t="shared" si="1654"/>
        <v>46966</v>
      </c>
      <c r="C4718" s="243">
        <f t="shared" si="1637"/>
        <v>46996</v>
      </c>
      <c r="D4718" s="120">
        <f t="shared" si="1638"/>
        <v>31</v>
      </c>
      <c r="E4718" s="120">
        <f t="shared" si="1639"/>
        <v>8</v>
      </c>
      <c r="F4718" s="275">
        <f t="shared" si="1640"/>
        <v>46981.5</v>
      </c>
      <c r="G4718" s="120">
        <f t="shared" si="1641"/>
        <v>24343</v>
      </c>
      <c r="H4718" s="245">
        <f t="shared" si="1642"/>
        <v>1</v>
      </c>
      <c r="I4718" s="121">
        <f t="shared" si="1643"/>
        <v>1.1024</v>
      </c>
      <c r="J4718" s="121">
        <f t="shared" si="1644"/>
        <v>1.1024</v>
      </c>
      <c r="K4718" s="120">
        <f t="shared" si="1645"/>
        <v>0</v>
      </c>
      <c r="L4718" s="120">
        <f t="shared" si="1646"/>
        <v>0</v>
      </c>
      <c r="M4718" s="246">
        <f t="shared" si="1647"/>
        <v>0</v>
      </c>
      <c r="N4718" s="121">
        <f t="shared" si="1648"/>
        <v>1.1024</v>
      </c>
      <c r="P4718" s="121">
        <f t="shared" si="1649"/>
        <v>0</v>
      </c>
      <c r="Q4718" s="121">
        <f t="shared" si="1650"/>
        <v>0</v>
      </c>
      <c r="R4718" s="121">
        <f t="shared" si="1651"/>
        <v>0.75</v>
      </c>
      <c r="S4718" s="73">
        <f t="shared" si="1652"/>
        <v>0</v>
      </c>
      <c r="T4718" s="73">
        <f>SUM($S$4675:$S4718)</f>
        <v>13.2288</v>
      </c>
      <c r="U4718" s="73">
        <f t="shared" si="1653"/>
        <v>0</v>
      </c>
    </row>
    <row r="4719" spans="1:21" x14ac:dyDescent="0.3">
      <c r="A4719" s="187">
        <v>45</v>
      </c>
      <c r="B4719" s="242">
        <f t="shared" si="1654"/>
        <v>46997</v>
      </c>
      <c r="C4719" s="243">
        <f t="shared" si="1637"/>
        <v>47026</v>
      </c>
      <c r="D4719" s="120">
        <f t="shared" si="1638"/>
        <v>30</v>
      </c>
      <c r="E4719" s="120">
        <f t="shared" si="1639"/>
        <v>9</v>
      </c>
      <c r="F4719" s="275">
        <f t="shared" si="1640"/>
        <v>47012</v>
      </c>
      <c r="G4719" s="120">
        <f t="shared" si="1641"/>
        <v>24344</v>
      </c>
      <c r="H4719" s="245">
        <f t="shared" si="1642"/>
        <v>1</v>
      </c>
      <c r="I4719" s="121">
        <f t="shared" si="1643"/>
        <v>1.1024</v>
      </c>
      <c r="J4719" s="121">
        <f t="shared" si="1644"/>
        <v>1.1024</v>
      </c>
      <c r="K4719" s="120">
        <f t="shared" si="1645"/>
        <v>0</v>
      </c>
      <c r="L4719" s="120">
        <f t="shared" si="1646"/>
        <v>0</v>
      </c>
      <c r="M4719" s="246">
        <f t="shared" si="1647"/>
        <v>0</v>
      </c>
      <c r="N4719" s="121">
        <f t="shared" si="1648"/>
        <v>1.1024</v>
      </c>
      <c r="P4719" s="121">
        <f t="shared" si="1649"/>
        <v>0</v>
      </c>
      <c r="Q4719" s="121">
        <f t="shared" si="1650"/>
        <v>0</v>
      </c>
      <c r="R4719" s="121">
        <f t="shared" si="1651"/>
        <v>0.58333333333333337</v>
      </c>
      <c r="S4719" s="73">
        <f t="shared" si="1652"/>
        <v>0</v>
      </c>
      <c r="T4719" s="73">
        <f>SUM($S$4675:$S4719)</f>
        <v>13.2288</v>
      </c>
      <c r="U4719" s="73">
        <f t="shared" si="1653"/>
        <v>0</v>
      </c>
    </row>
    <row r="4720" spans="1:21" x14ac:dyDescent="0.3">
      <c r="A4720" s="187">
        <v>46</v>
      </c>
      <c r="B4720" s="242">
        <f t="shared" si="1654"/>
        <v>47027</v>
      </c>
      <c r="C4720" s="243">
        <f t="shared" si="1637"/>
        <v>47057</v>
      </c>
      <c r="D4720" s="120">
        <f t="shared" si="1638"/>
        <v>31</v>
      </c>
      <c r="E4720" s="120">
        <f t="shared" si="1639"/>
        <v>10</v>
      </c>
      <c r="F4720" s="275">
        <f t="shared" si="1640"/>
        <v>47042.5</v>
      </c>
      <c r="G4720" s="120">
        <f t="shared" si="1641"/>
        <v>24345</v>
      </c>
      <c r="H4720" s="245">
        <f t="shared" si="1642"/>
        <v>1</v>
      </c>
      <c r="I4720" s="121">
        <f t="shared" si="1643"/>
        <v>1.1024</v>
      </c>
      <c r="J4720" s="121">
        <f t="shared" si="1644"/>
        <v>1.1024</v>
      </c>
      <c r="K4720" s="120">
        <f t="shared" si="1645"/>
        <v>0</v>
      </c>
      <c r="L4720" s="120">
        <f t="shared" si="1646"/>
        <v>0</v>
      </c>
      <c r="M4720" s="246">
        <f t="shared" si="1647"/>
        <v>0</v>
      </c>
      <c r="N4720" s="121">
        <f t="shared" si="1648"/>
        <v>1.1024</v>
      </c>
      <c r="P4720" s="121">
        <f t="shared" si="1649"/>
        <v>0</v>
      </c>
      <c r="Q4720" s="121">
        <f t="shared" si="1650"/>
        <v>0</v>
      </c>
      <c r="R4720" s="121">
        <f t="shared" si="1651"/>
        <v>0.41666666666666669</v>
      </c>
      <c r="S4720" s="73">
        <f t="shared" si="1652"/>
        <v>0</v>
      </c>
      <c r="T4720" s="73">
        <f>SUM($S$4675:$S4720)</f>
        <v>13.2288</v>
      </c>
      <c r="U4720" s="73">
        <f t="shared" si="1653"/>
        <v>0</v>
      </c>
    </row>
    <row r="4721" spans="1:21" x14ac:dyDescent="0.3">
      <c r="A4721" s="187">
        <v>47</v>
      </c>
      <c r="B4721" s="242">
        <f t="shared" si="1654"/>
        <v>47058</v>
      </c>
      <c r="C4721" s="243">
        <f t="shared" si="1637"/>
        <v>47087</v>
      </c>
      <c r="D4721" s="120">
        <f t="shared" si="1638"/>
        <v>30</v>
      </c>
      <c r="E4721" s="120">
        <f t="shared" si="1639"/>
        <v>11</v>
      </c>
      <c r="F4721" s="275">
        <f t="shared" si="1640"/>
        <v>47073</v>
      </c>
      <c r="G4721" s="120">
        <f t="shared" si="1641"/>
        <v>24346</v>
      </c>
      <c r="H4721" s="245">
        <f t="shared" si="1642"/>
        <v>1</v>
      </c>
      <c r="I4721" s="121">
        <f t="shared" si="1643"/>
        <v>1.1024</v>
      </c>
      <c r="J4721" s="121">
        <f t="shared" si="1644"/>
        <v>1.1024</v>
      </c>
      <c r="K4721" s="120">
        <f t="shared" si="1645"/>
        <v>0</v>
      </c>
      <c r="L4721" s="120">
        <f t="shared" si="1646"/>
        <v>0</v>
      </c>
      <c r="M4721" s="246">
        <f t="shared" si="1647"/>
        <v>0</v>
      </c>
      <c r="N4721" s="121">
        <f t="shared" si="1648"/>
        <v>1.1024</v>
      </c>
      <c r="P4721" s="121">
        <f t="shared" si="1649"/>
        <v>0</v>
      </c>
      <c r="Q4721" s="121">
        <f t="shared" si="1650"/>
        <v>0</v>
      </c>
      <c r="R4721" s="121">
        <f t="shared" si="1651"/>
        <v>0.25</v>
      </c>
      <c r="S4721" s="73">
        <f t="shared" si="1652"/>
        <v>0</v>
      </c>
      <c r="T4721" s="73">
        <f>SUM($S$4675:$S4721)</f>
        <v>13.2288</v>
      </c>
      <c r="U4721" s="73">
        <f t="shared" si="1653"/>
        <v>0</v>
      </c>
    </row>
    <row r="4722" spans="1:21" x14ac:dyDescent="0.3">
      <c r="A4722" s="187">
        <v>48</v>
      </c>
      <c r="B4722" s="242">
        <f t="shared" si="1654"/>
        <v>47088</v>
      </c>
      <c r="C4722" s="243">
        <f t="shared" si="1637"/>
        <v>47118</v>
      </c>
      <c r="D4722" s="120">
        <f t="shared" si="1638"/>
        <v>31</v>
      </c>
      <c r="E4722" s="120">
        <f t="shared" si="1639"/>
        <v>12</v>
      </c>
      <c r="F4722" s="275">
        <f t="shared" si="1640"/>
        <v>47103.5</v>
      </c>
      <c r="G4722" s="120">
        <f t="shared" si="1641"/>
        <v>24347</v>
      </c>
      <c r="H4722" s="245">
        <f t="shared" si="1642"/>
        <v>1</v>
      </c>
      <c r="I4722" s="121">
        <f t="shared" si="1643"/>
        <v>1.1024</v>
      </c>
      <c r="J4722" s="121">
        <f t="shared" si="1644"/>
        <v>1.1024</v>
      </c>
      <c r="K4722" s="120">
        <f t="shared" si="1645"/>
        <v>0</v>
      </c>
      <c r="L4722" s="120">
        <f t="shared" si="1646"/>
        <v>0</v>
      </c>
      <c r="M4722" s="246">
        <f t="shared" si="1647"/>
        <v>0</v>
      </c>
      <c r="N4722" s="121">
        <f t="shared" si="1648"/>
        <v>1.1024</v>
      </c>
      <c r="P4722" s="121">
        <f t="shared" si="1649"/>
        <v>0</v>
      </c>
      <c r="Q4722" s="121">
        <f t="shared" si="1650"/>
        <v>0</v>
      </c>
      <c r="R4722" s="121">
        <f t="shared" si="1651"/>
        <v>8.3333333333333329E-2</v>
      </c>
      <c r="S4722" s="73">
        <f t="shared" si="1652"/>
        <v>0</v>
      </c>
      <c r="T4722" s="73">
        <f>SUM($S$4675:$S4722)</f>
        <v>13.2288</v>
      </c>
      <c r="U4722" s="73">
        <f t="shared" si="1653"/>
        <v>0</v>
      </c>
    </row>
    <row r="4723" spans="1:21" x14ac:dyDescent="0.3">
      <c r="A4723" s="6" t="s">
        <v>1714</v>
      </c>
      <c r="B4723" s="73">
        <f>SUMPRODUCT($H$4675:$H$4722,$Q$4675:$Q$4722)</f>
        <v>12</v>
      </c>
      <c r="C4723" s="73">
        <f>SUM($S$4675:$S$4722)</f>
        <v>13.2288</v>
      </c>
    </row>
    <row r="4726" spans="1:21" x14ac:dyDescent="0.3">
      <c r="A4726" s="270" t="s">
        <v>1715</v>
      </c>
    </row>
    <row r="4728" spans="1:21" ht="36" x14ac:dyDescent="0.3">
      <c r="A4728" s="58" t="s">
        <v>390</v>
      </c>
      <c r="B4728" s="58" t="s">
        <v>449</v>
      </c>
      <c r="C4728" s="58" t="s">
        <v>685</v>
      </c>
      <c r="D4728" s="58" t="s">
        <v>686</v>
      </c>
      <c r="E4728" s="58" t="s">
        <v>687</v>
      </c>
      <c r="F4728" s="58" t="s">
        <v>688</v>
      </c>
      <c r="G4728" s="58" t="s">
        <v>689</v>
      </c>
      <c r="H4728" s="58" t="s">
        <v>452</v>
      </c>
      <c r="I4728" s="58" t="s">
        <v>690</v>
      </c>
      <c r="J4728" s="58" t="s">
        <v>691</v>
      </c>
      <c r="K4728" s="58" t="s">
        <v>692</v>
      </c>
      <c r="L4728" s="58" t="s">
        <v>693</v>
      </c>
      <c r="M4728" s="58" t="s">
        <v>694</v>
      </c>
      <c r="N4728" s="58" t="s">
        <v>695</v>
      </c>
      <c r="O4728" s="58" t="s">
        <v>696</v>
      </c>
      <c r="P4728" s="58" t="s">
        <v>697</v>
      </c>
      <c r="Q4728" s="58" t="s">
        <v>698</v>
      </c>
      <c r="R4728" s="58" t="s">
        <v>699</v>
      </c>
      <c r="S4728" s="58" t="s">
        <v>700</v>
      </c>
      <c r="T4728" s="58" t="s">
        <v>701</v>
      </c>
      <c r="U4728" s="58" t="s">
        <v>702</v>
      </c>
    </row>
    <row r="4729" spans="1:21" x14ac:dyDescent="0.3">
      <c r="A4729" s="187">
        <v>1</v>
      </c>
      <c r="B4729" s="242">
        <f>DATE(nr_PlanYear-2,1,1)</f>
        <v>45658</v>
      </c>
      <c r="C4729" s="243">
        <f t="shared" ref="C4729:C4776" si="1655">EOMONTH($B4729,0)</f>
        <v>45688</v>
      </c>
      <c r="D4729" s="120">
        <f t="shared" ref="D4729:D4776" si="1656">$C4729-$B4729+1</f>
        <v>31</v>
      </c>
      <c r="E4729" s="120">
        <f t="shared" ref="E4729:E4776" si="1657">MONTH($B4729)</f>
        <v>1</v>
      </c>
      <c r="F4729" s="275">
        <f t="shared" ref="F4729:F4776" si="1658">($B4729+$C4729+1)/2</f>
        <v>45673.5</v>
      </c>
      <c r="G4729" s="120">
        <f t="shared" ref="G4729:G4776" si="1659">YEAR($B4729)*12+MONTH($B4729)-1</f>
        <v>24300</v>
      </c>
      <c r="H4729" s="245">
        <f t="shared" ref="H4729:H4776" si="1660">IF(OR(nr_SeasonOn="OFF",re_srow=0,re_ssum=0),1,12*INDEX(se_block,re_srow,$E4729)/re_ssum)</f>
        <v>1</v>
      </c>
      <c r="I4729" s="121">
        <f t="shared" ref="I4729:I4776" si="1661">EXP(SUMPRODUCT((rl_eff&lt;$B4729)*(rl_key=nr_SelKey)*(rl_status="taken")*rl_ln1p))</f>
        <v>1</v>
      </c>
      <c r="J4729" s="121">
        <f t="shared" ref="J4729:J4776" si="1662">EXP(SUMPRODUCT((rl_eff&lt;=$C4729)*(rl_key=nr_SelKey)*(rl_status="taken")*rl_ln1p))</f>
        <v>1</v>
      </c>
      <c r="K4729" s="120">
        <f t="shared" ref="K4729:K4776" si="1663">COUNTIFS(rl_key,nr_SelKey,rl_eff,"&gt;="&amp;$B4729,rl_eff,"&lt;="&amp;$C4729,rl_status,"taken")</f>
        <v>0</v>
      </c>
      <c r="L4729" s="120">
        <f t="shared" ref="L4729:L4776" si="1664">SUMIFS(rl_daysafter,rl_key,nr_SelKey,rl_effmonth,$B4729,rl_firsttaken,1,rl_status,"taken")</f>
        <v>0</v>
      </c>
      <c r="M4729" s="246">
        <f t="shared" ref="M4729:M4776" si="1665">IF($K4729=0,0,MIN(1,$L4729/$D4729))</f>
        <v>0</v>
      </c>
      <c r="N4729" s="121">
        <f t="shared" ref="N4729:N4776" si="1666">IF($K4729=0,$J4729,(1-$M4729)*$I4729+$M4729*$J4729)</f>
        <v>1</v>
      </c>
      <c r="P4729" s="121">
        <f t="shared" ref="P4729:P4776" si="1667">MIN(1,MAX(0,(nr_MEndPm1-$G4729+0.5)/nr_TermMonths))-MIN(1,MAX(0,(nr_MStartPm1-1-$G4729+0.5)/nr_TermMonths))</f>
        <v>0</v>
      </c>
      <c r="Q4729" s="121">
        <f t="shared" ref="Q4729:Q4776" si="1668">MIN(1,MAX(0,(nr_MEndP-$G4729+0.5)/nr_TermMonths))-MIN(1,MAX(0,(nr_MStartP-1-$G4729+0.5)/nr_TermMonths))</f>
        <v>0</v>
      </c>
      <c r="R4729" s="121">
        <f t="shared" ref="R4729:R4776" si="1669">MIN(1,MAX(0,(nr_MEndP1-$G4729+0.5)/nr_TermMonths))-MIN(1,MAX(0,(nr_MStartP1-1-$G4729+0.5)/nr_TermMonths))</f>
        <v>0</v>
      </c>
    </row>
    <row r="4730" spans="1:21" x14ac:dyDescent="0.3">
      <c r="A4730" s="187">
        <v>2</v>
      </c>
      <c r="B4730" s="242">
        <f t="shared" ref="B4730:B4776" si="1670">EDATE($B4729,1)</f>
        <v>45689</v>
      </c>
      <c r="C4730" s="243">
        <f t="shared" si="1655"/>
        <v>45716</v>
      </c>
      <c r="D4730" s="120">
        <f t="shared" si="1656"/>
        <v>28</v>
      </c>
      <c r="E4730" s="120">
        <f t="shared" si="1657"/>
        <v>2</v>
      </c>
      <c r="F4730" s="275">
        <f t="shared" si="1658"/>
        <v>45703</v>
      </c>
      <c r="G4730" s="120">
        <f t="shared" si="1659"/>
        <v>24301</v>
      </c>
      <c r="H4730" s="245">
        <f t="shared" si="1660"/>
        <v>1</v>
      </c>
      <c r="I4730" s="121">
        <f t="shared" si="1661"/>
        <v>1</v>
      </c>
      <c r="J4730" s="121">
        <f t="shared" si="1662"/>
        <v>1</v>
      </c>
      <c r="K4730" s="120">
        <f t="shared" si="1663"/>
        <v>0</v>
      </c>
      <c r="L4730" s="120">
        <f t="shared" si="1664"/>
        <v>0</v>
      </c>
      <c r="M4730" s="246">
        <f t="shared" si="1665"/>
        <v>0</v>
      </c>
      <c r="N4730" s="121">
        <f t="shared" si="1666"/>
        <v>1</v>
      </c>
      <c r="P4730" s="121">
        <f t="shared" si="1667"/>
        <v>0</v>
      </c>
      <c r="Q4730" s="121">
        <f t="shared" si="1668"/>
        <v>0</v>
      </c>
      <c r="R4730" s="121">
        <f t="shared" si="1669"/>
        <v>0</v>
      </c>
    </row>
    <row r="4731" spans="1:21" x14ac:dyDescent="0.3">
      <c r="A4731" s="187">
        <v>3</v>
      </c>
      <c r="B4731" s="242">
        <f t="shared" si="1670"/>
        <v>45717</v>
      </c>
      <c r="C4731" s="243">
        <f t="shared" si="1655"/>
        <v>45747</v>
      </c>
      <c r="D4731" s="120">
        <f t="shared" si="1656"/>
        <v>31</v>
      </c>
      <c r="E4731" s="120">
        <f t="shared" si="1657"/>
        <v>3</v>
      </c>
      <c r="F4731" s="275">
        <f t="shared" si="1658"/>
        <v>45732.5</v>
      </c>
      <c r="G4731" s="120">
        <f t="shared" si="1659"/>
        <v>24302</v>
      </c>
      <c r="H4731" s="245">
        <f t="shared" si="1660"/>
        <v>1</v>
      </c>
      <c r="I4731" s="121">
        <f t="shared" si="1661"/>
        <v>1</v>
      </c>
      <c r="J4731" s="121">
        <f t="shared" si="1662"/>
        <v>1</v>
      </c>
      <c r="K4731" s="120">
        <f t="shared" si="1663"/>
        <v>0</v>
      </c>
      <c r="L4731" s="120">
        <f t="shared" si="1664"/>
        <v>0</v>
      </c>
      <c r="M4731" s="246">
        <f t="shared" si="1665"/>
        <v>0</v>
      </c>
      <c r="N4731" s="121">
        <f t="shared" si="1666"/>
        <v>1</v>
      </c>
      <c r="P4731" s="121">
        <f t="shared" si="1667"/>
        <v>0</v>
      </c>
      <c r="Q4731" s="121">
        <f t="shared" si="1668"/>
        <v>0</v>
      </c>
      <c r="R4731" s="121">
        <f t="shared" si="1669"/>
        <v>0</v>
      </c>
    </row>
    <row r="4732" spans="1:21" x14ac:dyDescent="0.3">
      <c r="A4732" s="187">
        <v>4</v>
      </c>
      <c r="B4732" s="242">
        <f t="shared" si="1670"/>
        <v>45748</v>
      </c>
      <c r="C4732" s="243">
        <f t="shared" si="1655"/>
        <v>45777</v>
      </c>
      <c r="D4732" s="120">
        <f t="shared" si="1656"/>
        <v>30</v>
      </c>
      <c r="E4732" s="120">
        <f t="shared" si="1657"/>
        <v>4</v>
      </c>
      <c r="F4732" s="275">
        <f t="shared" si="1658"/>
        <v>45763</v>
      </c>
      <c r="G4732" s="120">
        <f t="shared" si="1659"/>
        <v>24303</v>
      </c>
      <c r="H4732" s="245">
        <f t="shared" si="1660"/>
        <v>1</v>
      </c>
      <c r="I4732" s="121">
        <f t="shared" si="1661"/>
        <v>1</v>
      </c>
      <c r="J4732" s="121">
        <f t="shared" si="1662"/>
        <v>1</v>
      </c>
      <c r="K4732" s="120">
        <f t="shared" si="1663"/>
        <v>0</v>
      </c>
      <c r="L4732" s="120">
        <f t="shared" si="1664"/>
        <v>0</v>
      </c>
      <c r="M4732" s="246">
        <f t="shared" si="1665"/>
        <v>0</v>
      </c>
      <c r="N4732" s="121">
        <f t="shared" si="1666"/>
        <v>1</v>
      </c>
      <c r="P4732" s="121">
        <f t="shared" si="1667"/>
        <v>0</v>
      </c>
      <c r="Q4732" s="121">
        <f t="shared" si="1668"/>
        <v>0</v>
      </c>
      <c r="R4732" s="121">
        <f t="shared" si="1669"/>
        <v>0</v>
      </c>
    </row>
    <row r="4733" spans="1:21" x14ac:dyDescent="0.3">
      <c r="A4733" s="187">
        <v>5</v>
      </c>
      <c r="B4733" s="242">
        <f t="shared" si="1670"/>
        <v>45778</v>
      </c>
      <c r="C4733" s="243">
        <f t="shared" si="1655"/>
        <v>45808</v>
      </c>
      <c r="D4733" s="120">
        <f t="shared" si="1656"/>
        <v>31</v>
      </c>
      <c r="E4733" s="120">
        <f t="shared" si="1657"/>
        <v>5</v>
      </c>
      <c r="F4733" s="275">
        <f t="shared" si="1658"/>
        <v>45793.5</v>
      </c>
      <c r="G4733" s="120">
        <f t="shared" si="1659"/>
        <v>24304</v>
      </c>
      <c r="H4733" s="245">
        <f t="shared" si="1660"/>
        <v>1</v>
      </c>
      <c r="I4733" s="121">
        <f t="shared" si="1661"/>
        <v>1</v>
      </c>
      <c r="J4733" s="121">
        <f t="shared" si="1662"/>
        <v>1</v>
      </c>
      <c r="K4733" s="120">
        <f t="shared" si="1663"/>
        <v>0</v>
      </c>
      <c r="L4733" s="120">
        <f t="shared" si="1664"/>
        <v>0</v>
      </c>
      <c r="M4733" s="246">
        <f t="shared" si="1665"/>
        <v>0</v>
      </c>
      <c r="N4733" s="121">
        <f t="shared" si="1666"/>
        <v>1</v>
      </c>
      <c r="P4733" s="121">
        <f t="shared" si="1667"/>
        <v>0</v>
      </c>
      <c r="Q4733" s="121">
        <f t="shared" si="1668"/>
        <v>0</v>
      </c>
      <c r="R4733" s="121">
        <f t="shared" si="1669"/>
        <v>0</v>
      </c>
    </row>
    <row r="4734" spans="1:21" x14ac:dyDescent="0.3">
      <c r="A4734" s="187">
        <v>6</v>
      </c>
      <c r="B4734" s="242">
        <f t="shared" si="1670"/>
        <v>45809</v>
      </c>
      <c r="C4734" s="243">
        <f t="shared" si="1655"/>
        <v>45838</v>
      </c>
      <c r="D4734" s="120">
        <f t="shared" si="1656"/>
        <v>30</v>
      </c>
      <c r="E4734" s="120">
        <f t="shared" si="1657"/>
        <v>6</v>
      </c>
      <c r="F4734" s="275">
        <f t="shared" si="1658"/>
        <v>45824</v>
      </c>
      <c r="G4734" s="120">
        <f t="shared" si="1659"/>
        <v>24305</v>
      </c>
      <c r="H4734" s="245">
        <f t="shared" si="1660"/>
        <v>1</v>
      </c>
      <c r="I4734" s="121">
        <f t="shared" si="1661"/>
        <v>1</v>
      </c>
      <c r="J4734" s="121">
        <f t="shared" si="1662"/>
        <v>1</v>
      </c>
      <c r="K4734" s="120">
        <f t="shared" si="1663"/>
        <v>0</v>
      </c>
      <c r="L4734" s="120">
        <f t="shared" si="1664"/>
        <v>0</v>
      </c>
      <c r="M4734" s="246">
        <f t="shared" si="1665"/>
        <v>0</v>
      </c>
      <c r="N4734" s="121">
        <f t="shared" si="1666"/>
        <v>1</v>
      </c>
      <c r="P4734" s="121">
        <f t="shared" si="1667"/>
        <v>0</v>
      </c>
      <c r="Q4734" s="121">
        <f t="shared" si="1668"/>
        <v>0</v>
      </c>
      <c r="R4734" s="121">
        <f t="shared" si="1669"/>
        <v>0</v>
      </c>
    </row>
    <row r="4735" spans="1:21" x14ac:dyDescent="0.3">
      <c r="A4735" s="187">
        <v>7</v>
      </c>
      <c r="B4735" s="242">
        <f t="shared" si="1670"/>
        <v>45839</v>
      </c>
      <c r="C4735" s="243">
        <f t="shared" si="1655"/>
        <v>45869</v>
      </c>
      <c r="D4735" s="120">
        <f t="shared" si="1656"/>
        <v>31</v>
      </c>
      <c r="E4735" s="120">
        <f t="shared" si="1657"/>
        <v>7</v>
      </c>
      <c r="F4735" s="275">
        <f t="shared" si="1658"/>
        <v>45854.5</v>
      </c>
      <c r="G4735" s="120">
        <f t="shared" si="1659"/>
        <v>24306</v>
      </c>
      <c r="H4735" s="245">
        <f t="shared" si="1660"/>
        <v>1</v>
      </c>
      <c r="I4735" s="121">
        <f t="shared" si="1661"/>
        <v>1</v>
      </c>
      <c r="J4735" s="121">
        <f t="shared" si="1662"/>
        <v>1.04</v>
      </c>
      <c r="K4735" s="120">
        <f t="shared" si="1663"/>
        <v>1</v>
      </c>
      <c r="L4735" s="120">
        <f t="shared" si="1664"/>
        <v>31</v>
      </c>
      <c r="M4735" s="246">
        <f t="shared" si="1665"/>
        <v>1</v>
      </c>
      <c r="N4735" s="121">
        <f t="shared" si="1666"/>
        <v>1.04</v>
      </c>
      <c r="P4735" s="121">
        <f t="shared" si="1667"/>
        <v>8.333333333333337E-2</v>
      </c>
      <c r="Q4735" s="121">
        <f t="shared" si="1668"/>
        <v>0</v>
      </c>
      <c r="R4735" s="121">
        <f t="shared" si="1669"/>
        <v>0</v>
      </c>
    </row>
    <row r="4736" spans="1:21" x14ac:dyDescent="0.3">
      <c r="A4736" s="187">
        <v>8</v>
      </c>
      <c r="B4736" s="242">
        <f t="shared" si="1670"/>
        <v>45870</v>
      </c>
      <c r="C4736" s="243">
        <f t="shared" si="1655"/>
        <v>45900</v>
      </c>
      <c r="D4736" s="120">
        <f t="shared" si="1656"/>
        <v>31</v>
      </c>
      <c r="E4736" s="120">
        <f t="shared" si="1657"/>
        <v>8</v>
      </c>
      <c r="F4736" s="275">
        <f t="shared" si="1658"/>
        <v>45885.5</v>
      </c>
      <c r="G4736" s="120">
        <f t="shared" si="1659"/>
        <v>24307</v>
      </c>
      <c r="H4736" s="245">
        <f t="shared" si="1660"/>
        <v>1</v>
      </c>
      <c r="I4736" s="121">
        <f t="shared" si="1661"/>
        <v>1.04</v>
      </c>
      <c r="J4736" s="121">
        <f t="shared" si="1662"/>
        <v>1.04</v>
      </c>
      <c r="K4736" s="120">
        <f t="shared" si="1663"/>
        <v>0</v>
      </c>
      <c r="L4736" s="120">
        <f t="shared" si="1664"/>
        <v>0</v>
      </c>
      <c r="M4736" s="246">
        <f t="shared" si="1665"/>
        <v>0</v>
      </c>
      <c r="N4736" s="121">
        <f t="shared" si="1666"/>
        <v>1.04</v>
      </c>
      <c r="P4736" s="121">
        <f t="shared" si="1667"/>
        <v>0.25</v>
      </c>
      <c r="Q4736" s="121">
        <f t="shared" si="1668"/>
        <v>0</v>
      </c>
      <c r="R4736" s="121">
        <f t="shared" si="1669"/>
        <v>0</v>
      </c>
    </row>
    <row r="4737" spans="1:18" x14ac:dyDescent="0.3">
      <c r="A4737" s="187">
        <v>9</v>
      </c>
      <c r="B4737" s="242">
        <f t="shared" si="1670"/>
        <v>45901</v>
      </c>
      <c r="C4737" s="243">
        <f t="shared" si="1655"/>
        <v>45930</v>
      </c>
      <c r="D4737" s="120">
        <f t="shared" si="1656"/>
        <v>30</v>
      </c>
      <c r="E4737" s="120">
        <f t="shared" si="1657"/>
        <v>9</v>
      </c>
      <c r="F4737" s="275">
        <f t="shared" si="1658"/>
        <v>45916</v>
      </c>
      <c r="G4737" s="120">
        <f t="shared" si="1659"/>
        <v>24308</v>
      </c>
      <c r="H4737" s="245">
        <f t="shared" si="1660"/>
        <v>1</v>
      </c>
      <c r="I4737" s="121">
        <f t="shared" si="1661"/>
        <v>1.04</v>
      </c>
      <c r="J4737" s="121">
        <f t="shared" si="1662"/>
        <v>1.04</v>
      </c>
      <c r="K4737" s="120">
        <f t="shared" si="1663"/>
        <v>0</v>
      </c>
      <c r="L4737" s="120">
        <f t="shared" si="1664"/>
        <v>0</v>
      </c>
      <c r="M4737" s="246">
        <f t="shared" si="1665"/>
        <v>0</v>
      </c>
      <c r="N4737" s="121">
        <f t="shared" si="1666"/>
        <v>1.04</v>
      </c>
      <c r="P4737" s="121">
        <f t="shared" si="1667"/>
        <v>0.41666666666666663</v>
      </c>
      <c r="Q4737" s="121">
        <f t="shared" si="1668"/>
        <v>0</v>
      </c>
      <c r="R4737" s="121">
        <f t="shared" si="1669"/>
        <v>0</v>
      </c>
    </row>
    <row r="4738" spans="1:18" x14ac:dyDescent="0.3">
      <c r="A4738" s="187">
        <v>10</v>
      </c>
      <c r="B4738" s="242">
        <f t="shared" si="1670"/>
        <v>45931</v>
      </c>
      <c r="C4738" s="243">
        <f t="shared" si="1655"/>
        <v>45961</v>
      </c>
      <c r="D4738" s="120">
        <f t="shared" si="1656"/>
        <v>31</v>
      </c>
      <c r="E4738" s="120">
        <f t="shared" si="1657"/>
        <v>10</v>
      </c>
      <c r="F4738" s="275">
        <f t="shared" si="1658"/>
        <v>45946.5</v>
      </c>
      <c r="G4738" s="120">
        <f t="shared" si="1659"/>
        <v>24309</v>
      </c>
      <c r="H4738" s="245">
        <f t="shared" si="1660"/>
        <v>1</v>
      </c>
      <c r="I4738" s="121">
        <f t="shared" si="1661"/>
        <v>1.04</v>
      </c>
      <c r="J4738" s="121">
        <f t="shared" si="1662"/>
        <v>1.04</v>
      </c>
      <c r="K4738" s="120">
        <f t="shared" si="1663"/>
        <v>0</v>
      </c>
      <c r="L4738" s="120">
        <f t="shared" si="1664"/>
        <v>0</v>
      </c>
      <c r="M4738" s="246">
        <f t="shared" si="1665"/>
        <v>0</v>
      </c>
      <c r="N4738" s="121">
        <f t="shared" si="1666"/>
        <v>1.04</v>
      </c>
      <c r="P4738" s="121">
        <f t="shared" si="1667"/>
        <v>0.58333333333333326</v>
      </c>
      <c r="Q4738" s="121">
        <f t="shared" si="1668"/>
        <v>0</v>
      </c>
      <c r="R4738" s="121">
        <f t="shared" si="1669"/>
        <v>0</v>
      </c>
    </row>
    <row r="4739" spans="1:18" x14ac:dyDescent="0.3">
      <c r="A4739" s="187">
        <v>11</v>
      </c>
      <c r="B4739" s="242">
        <f t="shared" si="1670"/>
        <v>45962</v>
      </c>
      <c r="C4739" s="243">
        <f t="shared" si="1655"/>
        <v>45991</v>
      </c>
      <c r="D4739" s="120">
        <f t="shared" si="1656"/>
        <v>30</v>
      </c>
      <c r="E4739" s="120">
        <f t="shared" si="1657"/>
        <v>11</v>
      </c>
      <c r="F4739" s="275">
        <f t="shared" si="1658"/>
        <v>45977</v>
      </c>
      <c r="G4739" s="120">
        <f t="shared" si="1659"/>
        <v>24310</v>
      </c>
      <c r="H4739" s="245">
        <f t="shared" si="1660"/>
        <v>1</v>
      </c>
      <c r="I4739" s="121">
        <f t="shared" si="1661"/>
        <v>1.04</v>
      </c>
      <c r="J4739" s="121">
        <f t="shared" si="1662"/>
        <v>1.04</v>
      </c>
      <c r="K4739" s="120">
        <f t="shared" si="1663"/>
        <v>0</v>
      </c>
      <c r="L4739" s="120">
        <f t="shared" si="1664"/>
        <v>0</v>
      </c>
      <c r="M4739" s="246">
        <f t="shared" si="1665"/>
        <v>0</v>
      </c>
      <c r="N4739" s="121">
        <f t="shared" si="1666"/>
        <v>1.04</v>
      </c>
      <c r="P4739" s="121">
        <f t="shared" si="1667"/>
        <v>0.75</v>
      </c>
      <c r="Q4739" s="121">
        <f t="shared" si="1668"/>
        <v>0</v>
      </c>
      <c r="R4739" s="121">
        <f t="shared" si="1669"/>
        <v>0</v>
      </c>
    </row>
    <row r="4740" spans="1:18" x14ac:dyDescent="0.3">
      <c r="A4740" s="187">
        <v>12</v>
      </c>
      <c r="B4740" s="242">
        <f t="shared" si="1670"/>
        <v>45992</v>
      </c>
      <c r="C4740" s="243">
        <f t="shared" si="1655"/>
        <v>46022</v>
      </c>
      <c r="D4740" s="120">
        <f t="shared" si="1656"/>
        <v>31</v>
      </c>
      <c r="E4740" s="120">
        <f t="shared" si="1657"/>
        <v>12</v>
      </c>
      <c r="F4740" s="275">
        <f t="shared" si="1658"/>
        <v>46007.5</v>
      </c>
      <c r="G4740" s="120">
        <f t="shared" si="1659"/>
        <v>24311</v>
      </c>
      <c r="H4740" s="245">
        <f t="shared" si="1660"/>
        <v>1</v>
      </c>
      <c r="I4740" s="121">
        <f t="shared" si="1661"/>
        <v>1.04</v>
      </c>
      <c r="J4740" s="121">
        <f t="shared" si="1662"/>
        <v>1.04</v>
      </c>
      <c r="K4740" s="120">
        <f t="shared" si="1663"/>
        <v>0</v>
      </c>
      <c r="L4740" s="120">
        <f t="shared" si="1664"/>
        <v>0</v>
      </c>
      <c r="M4740" s="246">
        <f t="shared" si="1665"/>
        <v>0</v>
      </c>
      <c r="N4740" s="121">
        <f t="shared" si="1666"/>
        <v>1.04</v>
      </c>
      <c r="P4740" s="121">
        <f t="shared" si="1667"/>
        <v>0.91666666666666663</v>
      </c>
      <c r="Q4740" s="121">
        <f t="shared" si="1668"/>
        <v>0</v>
      </c>
      <c r="R4740" s="121">
        <f t="shared" si="1669"/>
        <v>0</v>
      </c>
    </row>
    <row r="4741" spans="1:18" x14ac:dyDescent="0.3">
      <c r="A4741" s="187">
        <v>13</v>
      </c>
      <c r="B4741" s="242">
        <f t="shared" si="1670"/>
        <v>46023</v>
      </c>
      <c r="C4741" s="243">
        <f t="shared" si="1655"/>
        <v>46053</v>
      </c>
      <c r="D4741" s="120">
        <f t="shared" si="1656"/>
        <v>31</v>
      </c>
      <c r="E4741" s="120">
        <f t="shared" si="1657"/>
        <v>1</v>
      </c>
      <c r="F4741" s="275">
        <f t="shared" si="1658"/>
        <v>46038.5</v>
      </c>
      <c r="G4741" s="120">
        <f t="shared" si="1659"/>
        <v>24312</v>
      </c>
      <c r="H4741" s="245">
        <f t="shared" si="1660"/>
        <v>1</v>
      </c>
      <c r="I4741" s="121">
        <f t="shared" si="1661"/>
        <v>1.04</v>
      </c>
      <c r="J4741" s="121">
        <f t="shared" si="1662"/>
        <v>1.04</v>
      </c>
      <c r="K4741" s="120">
        <f t="shared" si="1663"/>
        <v>0</v>
      </c>
      <c r="L4741" s="120">
        <f t="shared" si="1664"/>
        <v>0</v>
      </c>
      <c r="M4741" s="246">
        <f t="shared" si="1665"/>
        <v>0</v>
      </c>
      <c r="N4741" s="121">
        <f t="shared" si="1666"/>
        <v>1.04</v>
      </c>
      <c r="P4741" s="121">
        <f t="shared" si="1667"/>
        <v>1</v>
      </c>
      <c r="Q4741" s="121">
        <f t="shared" si="1668"/>
        <v>0</v>
      </c>
      <c r="R4741" s="121">
        <f t="shared" si="1669"/>
        <v>0</v>
      </c>
    </row>
    <row r="4742" spans="1:18" x14ac:dyDescent="0.3">
      <c r="A4742" s="187">
        <v>14</v>
      </c>
      <c r="B4742" s="242">
        <f t="shared" si="1670"/>
        <v>46054</v>
      </c>
      <c r="C4742" s="243">
        <f t="shared" si="1655"/>
        <v>46081</v>
      </c>
      <c r="D4742" s="120">
        <f t="shared" si="1656"/>
        <v>28</v>
      </c>
      <c r="E4742" s="120">
        <f t="shared" si="1657"/>
        <v>2</v>
      </c>
      <c r="F4742" s="275">
        <f t="shared" si="1658"/>
        <v>46068</v>
      </c>
      <c r="G4742" s="120">
        <f t="shared" si="1659"/>
        <v>24313</v>
      </c>
      <c r="H4742" s="245">
        <f t="shared" si="1660"/>
        <v>1</v>
      </c>
      <c r="I4742" s="121">
        <f t="shared" si="1661"/>
        <v>1.04</v>
      </c>
      <c r="J4742" s="121">
        <f t="shared" si="1662"/>
        <v>1.04</v>
      </c>
      <c r="K4742" s="120">
        <f t="shared" si="1663"/>
        <v>0</v>
      </c>
      <c r="L4742" s="120">
        <f t="shared" si="1664"/>
        <v>0</v>
      </c>
      <c r="M4742" s="246">
        <f t="shared" si="1665"/>
        <v>0</v>
      </c>
      <c r="N4742" s="121">
        <f t="shared" si="1666"/>
        <v>1.04</v>
      </c>
      <c r="P4742" s="121">
        <f t="shared" si="1667"/>
        <v>1</v>
      </c>
      <c r="Q4742" s="121">
        <f t="shared" si="1668"/>
        <v>0</v>
      </c>
      <c r="R4742" s="121">
        <f t="shared" si="1669"/>
        <v>0</v>
      </c>
    </row>
    <row r="4743" spans="1:18" x14ac:dyDescent="0.3">
      <c r="A4743" s="187">
        <v>15</v>
      </c>
      <c r="B4743" s="242">
        <f t="shared" si="1670"/>
        <v>46082</v>
      </c>
      <c r="C4743" s="243">
        <f t="shared" si="1655"/>
        <v>46112</v>
      </c>
      <c r="D4743" s="120">
        <f t="shared" si="1656"/>
        <v>31</v>
      </c>
      <c r="E4743" s="120">
        <f t="shared" si="1657"/>
        <v>3</v>
      </c>
      <c r="F4743" s="275">
        <f t="shared" si="1658"/>
        <v>46097.5</v>
      </c>
      <c r="G4743" s="120">
        <f t="shared" si="1659"/>
        <v>24314</v>
      </c>
      <c r="H4743" s="245">
        <f t="shared" si="1660"/>
        <v>1</v>
      </c>
      <c r="I4743" s="121">
        <f t="shared" si="1661"/>
        <v>1.04</v>
      </c>
      <c r="J4743" s="121">
        <f t="shared" si="1662"/>
        <v>1.04</v>
      </c>
      <c r="K4743" s="120">
        <f t="shared" si="1663"/>
        <v>0</v>
      </c>
      <c r="L4743" s="120">
        <f t="shared" si="1664"/>
        <v>0</v>
      </c>
      <c r="M4743" s="246">
        <f t="shared" si="1665"/>
        <v>0</v>
      </c>
      <c r="N4743" s="121">
        <f t="shared" si="1666"/>
        <v>1.04</v>
      </c>
      <c r="P4743" s="121">
        <f t="shared" si="1667"/>
        <v>1</v>
      </c>
      <c r="Q4743" s="121">
        <f t="shared" si="1668"/>
        <v>0</v>
      </c>
      <c r="R4743" s="121">
        <f t="shared" si="1669"/>
        <v>0</v>
      </c>
    </row>
    <row r="4744" spans="1:18" x14ac:dyDescent="0.3">
      <c r="A4744" s="187">
        <v>16</v>
      </c>
      <c r="B4744" s="242">
        <f t="shared" si="1670"/>
        <v>46113</v>
      </c>
      <c r="C4744" s="243">
        <f t="shared" si="1655"/>
        <v>46142</v>
      </c>
      <c r="D4744" s="120">
        <f t="shared" si="1656"/>
        <v>30</v>
      </c>
      <c r="E4744" s="120">
        <f t="shared" si="1657"/>
        <v>4</v>
      </c>
      <c r="F4744" s="275">
        <f t="shared" si="1658"/>
        <v>46128</v>
      </c>
      <c r="G4744" s="120">
        <f t="shared" si="1659"/>
        <v>24315</v>
      </c>
      <c r="H4744" s="245">
        <f t="shared" si="1660"/>
        <v>1</v>
      </c>
      <c r="I4744" s="121">
        <f t="shared" si="1661"/>
        <v>1.04</v>
      </c>
      <c r="J4744" s="121">
        <f t="shared" si="1662"/>
        <v>1.04</v>
      </c>
      <c r="K4744" s="120">
        <f t="shared" si="1663"/>
        <v>0</v>
      </c>
      <c r="L4744" s="120">
        <f t="shared" si="1664"/>
        <v>0</v>
      </c>
      <c r="M4744" s="246">
        <f t="shared" si="1665"/>
        <v>0</v>
      </c>
      <c r="N4744" s="121">
        <f t="shared" si="1666"/>
        <v>1.04</v>
      </c>
      <c r="P4744" s="121">
        <f t="shared" si="1667"/>
        <v>1</v>
      </c>
      <c r="Q4744" s="121">
        <f t="shared" si="1668"/>
        <v>0</v>
      </c>
      <c r="R4744" s="121">
        <f t="shared" si="1669"/>
        <v>0</v>
      </c>
    </row>
    <row r="4745" spans="1:18" x14ac:dyDescent="0.3">
      <c r="A4745" s="187">
        <v>17</v>
      </c>
      <c r="B4745" s="242">
        <f t="shared" si="1670"/>
        <v>46143</v>
      </c>
      <c r="C4745" s="243">
        <f t="shared" si="1655"/>
        <v>46173</v>
      </c>
      <c r="D4745" s="120">
        <f t="shared" si="1656"/>
        <v>31</v>
      </c>
      <c r="E4745" s="120">
        <f t="shared" si="1657"/>
        <v>5</v>
      </c>
      <c r="F4745" s="275">
        <f t="shared" si="1658"/>
        <v>46158.5</v>
      </c>
      <c r="G4745" s="120">
        <f t="shared" si="1659"/>
        <v>24316</v>
      </c>
      <c r="H4745" s="245">
        <f t="shared" si="1660"/>
        <v>1</v>
      </c>
      <c r="I4745" s="121">
        <f t="shared" si="1661"/>
        <v>1.04</v>
      </c>
      <c r="J4745" s="121">
        <f t="shared" si="1662"/>
        <v>1.04</v>
      </c>
      <c r="K4745" s="120">
        <f t="shared" si="1663"/>
        <v>0</v>
      </c>
      <c r="L4745" s="120">
        <f t="shared" si="1664"/>
        <v>0</v>
      </c>
      <c r="M4745" s="246">
        <f t="shared" si="1665"/>
        <v>0</v>
      </c>
      <c r="N4745" s="121">
        <f t="shared" si="1666"/>
        <v>1.04</v>
      </c>
      <c r="P4745" s="121">
        <f t="shared" si="1667"/>
        <v>1</v>
      </c>
      <c r="Q4745" s="121">
        <f t="shared" si="1668"/>
        <v>0</v>
      </c>
      <c r="R4745" s="121">
        <f t="shared" si="1669"/>
        <v>0</v>
      </c>
    </row>
    <row r="4746" spans="1:18" x14ac:dyDescent="0.3">
      <c r="A4746" s="187">
        <v>18</v>
      </c>
      <c r="B4746" s="242">
        <f t="shared" si="1670"/>
        <v>46174</v>
      </c>
      <c r="C4746" s="243">
        <f t="shared" si="1655"/>
        <v>46203</v>
      </c>
      <c r="D4746" s="120">
        <f t="shared" si="1656"/>
        <v>30</v>
      </c>
      <c r="E4746" s="120">
        <f t="shared" si="1657"/>
        <v>6</v>
      </c>
      <c r="F4746" s="275">
        <f t="shared" si="1658"/>
        <v>46189</v>
      </c>
      <c r="G4746" s="120">
        <f t="shared" si="1659"/>
        <v>24317</v>
      </c>
      <c r="H4746" s="245">
        <f t="shared" si="1660"/>
        <v>1</v>
      </c>
      <c r="I4746" s="121">
        <f t="shared" si="1661"/>
        <v>1.04</v>
      </c>
      <c r="J4746" s="121">
        <f t="shared" si="1662"/>
        <v>1.04</v>
      </c>
      <c r="K4746" s="120">
        <f t="shared" si="1663"/>
        <v>0</v>
      </c>
      <c r="L4746" s="120">
        <f t="shared" si="1664"/>
        <v>0</v>
      </c>
      <c r="M4746" s="246">
        <f t="shared" si="1665"/>
        <v>0</v>
      </c>
      <c r="N4746" s="121">
        <f t="shared" si="1666"/>
        <v>1.04</v>
      </c>
      <c r="P4746" s="121">
        <f t="shared" si="1667"/>
        <v>1</v>
      </c>
      <c r="Q4746" s="121">
        <f t="shared" si="1668"/>
        <v>0</v>
      </c>
      <c r="R4746" s="121">
        <f t="shared" si="1669"/>
        <v>0</v>
      </c>
    </row>
    <row r="4747" spans="1:18" x14ac:dyDescent="0.3">
      <c r="A4747" s="187">
        <v>19</v>
      </c>
      <c r="B4747" s="242">
        <f t="shared" si="1670"/>
        <v>46204</v>
      </c>
      <c r="C4747" s="243">
        <f t="shared" si="1655"/>
        <v>46234</v>
      </c>
      <c r="D4747" s="120">
        <f t="shared" si="1656"/>
        <v>31</v>
      </c>
      <c r="E4747" s="120">
        <f t="shared" si="1657"/>
        <v>7</v>
      </c>
      <c r="F4747" s="275">
        <f t="shared" si="1658"/>
        <v>46219.5</v>
      </c>
      <c r="G4747" s="120">
        <f t="shared" si="1659"/>
        <v>24318</v>
      </c>
      <c r="H4747" s="245">
        <f t="shared" si="1660"/>
        <v>1</v>
      </c>
      <c r="I4747" s="121">
        <f t="shared" si="1661"/>
        <v>1.04</v>
      </c>
      <c r="J4747" s="121">
        <f t="shared" si="1662"/>
        <v>1.1024</v>
      </c>
      <c r="K4747" s="120">
        <f t="shared" si="1663"/>
        <v>1</v>
      </c>
      <c r="L4747" s="120">
        <f t="shared" si="1664"/>
        <v>31</v>
      </c>
      <c r="M4747" s="246">
        <f t="shared" si="1665"/>
        <v>1</v>
      </c>
      <c r="N4747" s="121">
        <f t="shared" si="1666"/>
        <v>1.1024</v>
      </c>
      <c r="P4747" s="121">
        <f t="shared" si="1667"/>
        <v>0.91666666666666663</v>
      </c>
      <c r="Q4747" s="121">
        <f t="shared" si="1668"/>
        <v>8.333333333333337E-2</v>
      </c>
      <c r="R4747" s="121">
        <f t="shared" si="1669"/>
        <v>0</v>
      </c>
    </row>
    <row r="4748" spans="1:18" x14ac:dyDescent="0.3">
      <c r="A4748" s="187">
        <v>20</v>
      </c>
      <c r="B4748" s="242">
        <f t="shared" si="1670"/>
        <v>46235</v>
      </c>
      <c r="C4748" s="243">
        <f t="shared" si="1655"/>
        <v>46265</v>
      </c>
      <c r="D4748" s="120">
        <f t="shared" si="1656"/>
        <v>31</v>
      </c>
      <c r="E4748" s="120">
        <f t="shared" si="1657"/>
        <v>8</v>
      </c>
      <c r="F4748" s="275">
        <f t="shared" si="1658"/>
        <v>46250.5</v>
      </c>
      <c r="G4748" s="120">
        <f t="shared" si="1659"/>
        <v>24319</v>
      </c>
      <c r="H4748" s="245">
        <f t="shared" si="1660"/>
        <v>1</v>
      </c>
      <c r="I4748" s="121">
        <f t="shared" si="1661"/>
        <v>1.1024</v>
      </c>
      <c r="J4748" s="121">
        <f t="shared" si="1662"/>
        <v>1.1024</v>
      </c>
      <c r="K4748" s="120">
        <f t="shared" si="1663"/>
        <v>0</v>
      </c>
      <c r="L4748" s="120">
        <f t="shared" si="1664"/>
        <v>0</v>
      </c>
      <c r="M4748" s="246">
        <f t="shared" si="1665"/>
        <v>0</v>
      </c>
      <c r="N4748" s="121">
        <f t="shared" si="1666"/>
        <v>1.1024</v>
      </c>
      <c r="P4748" s="121">
        <f t="shared" si="1667"/>
        <v>0.75</v>
      </c>
      <c r="Q4748" s="121">
        <f t="shared" si="1668"/>
        <v>0.25</v>
      </c>
      <c r="R4748" s="121">
        <f t="shared" si="1669"/>
        <v>0</v>
      </c>
    </row>
    <row r="4749" spans="1:18" x14ac:dyDescent="0.3">
      <c r="A4749" s="187">
        <v>21</v>
      </c>
      <c r="B4749" s="242">
        <f t="shared" si="1670"/>
        <v>46266</v>
      </c>
      <c r="C4749" s="243">
        <f t="shared" si="1655"/>
        <v>46295</v>
      </c>
      <c r="D4749" s="120">
        <f t="shared" si="1656"/>
        <v>30</v>
      </c>
      <c r="E4749" s="120">
        <f t="shared" si="1657"/>
        <v>9</v>
      </c>
      <c r="F4749" s="275">
        <f t="shared" si="1658"/>
        <v>46281</v>
      </c>
      <c r="G4749" s="120">
        <f t="shared" si="1659"/>
        <v>24320</v>
      </c>
      <c r="H4749" s="245">
        <f t="shared" si="1660"/>
        <v>1</v>
      </c>
      <c r="I4749" s="121">
        <f t="shared" si="1661"/>
        <v>1.1024</v>
      </c>
      <c r="J4749" s="121">
        <f t="shared" si="1662"/>
        <v>1.1024</v>
      </c>
      <c r="K4749" s="120">
        <f t="shared" si="1663"/>
        <v>0</v>
      </c>
      <c r="L4749" s="120">
        <f t="shared" si="1664"/>
        <v>0</v>
      </c>
      <c r="M4749" s="246">
        <f t="shared" si="1665"/>
        <v>0</v>
      </c>
      <c r="N4749" s="121">
        <f t="shared" si="1666"/>
        <v>1.1024</v>
      </c>
      <c r="P4749" s="121">
        <f t="shared" si="1667"/>
        <v>0.58333333333333337</v>
      </c>
      <c r="Q4749" s="121">
        <f t="shared" si="1668"/>
        <v>0.41666666666666663</v>
      </c>
      <c r="R4749" s="121">
        <f t="shared" si="1669"/>
        <v>0</v>
      </c>
    </row>
    <row r="4750" spans="1:18" x14ac:dyDescent="0.3">
      <c r="A4750" s="187">
        <v>22</v>
      </c>
      <c r="B4750" s="242">
        <f t="shared" si="1670"/>
        <v>46296</v>
      </c>
      <c r="C4750" s="243">
        <f t="shared" si="1655"/>
        <v>46326</v>
      </c>
      <c r="D4750" s="120">
        <f t="shared" si="1656"/>
        <v>31</v>
      </c>
      <c r="E4750" s="120">
        <f t="shared" si="1657"/>
        <v>10</v>
      </c>
      <c r="F4750" s="275">
        <f t="shared" si="1658"/>
        <v>46311.5</v>
      </c>
      <c r="G4750" s="120">
        <f t="shared" si="1659"/>
        <v>24321</v>
      </c>
      <c r="H4750" s="245">
        <f t="shared" si="1660"/>
        <v>1</v>
      </c>
      <c r="I4750" s="121">
        <f t="shared" si="1661"/>
        <v>1.1024</v>
      </c>
      <c r="J4750" s="121">
        <f t="shared" si="1662"/>
        <v>1.1024</v>
      </c>
      <c r="K4750" s="120">
        <f t="shared" si="1663"/>
        <v>0</v>
      </c>
      <c r="L4750" s="120">
        <f t="shared" si="1664"/>
        <v>0</v>
      </c>
      <c r="M4750" s="246">
        <f t="shared" si="1665"/>
        <v>0</v>
      </c>
      <c r="N4750" s="121">
        <f t="shared" si="1666"/>
        <v>1.1024</v>
      </c>
      <c r="P4750" s="121">
        <f t="shared" si="1667"/>
        <v>0.41666666666666669</v>
      </c>
      <c r="Q4750" s="121">
        <f t="shared" si="1668"/>
        <v>0.58333333333333326</v>
      </c>
      <c r="R4750" s="121">
        <f t="shared" si="1669"/>
        <v>0</v>
      </c>
    </row>
    <row r="4751" spans="1:18" x14ac:dyDescent="0.3">
      <c r="A4751" s="187">
        <v>23</v>
      </c>
      <c r="B4751" s="242">
        <f t="shared" si="1670"/>
        <v>46327</v>
      </c>
      <c r="C4751" s="243">
        <f t="shared" si="1655"/>
        <v>46356</v>
      </c>
      <c r="D4751" s="120">
        <f t="shared" si="1656"/>
        <v>30</v>
      </c>
      <c r="E4751" s="120">
        <f t="shared" si="1657"/>
        <v>11</v>
      </c>
      <c r="F4751" s="275">
        <f t="shared" si="1658"/>
        <v>46342</v>
      </c>
      <c r="G4751" s="120">
        <f t="shared" si="1659"/>
        <v>24322</v>
      </c>
      <c r="H4751" s="245">
        <f t="shared" si="1660"/>
        <v>1</v>
      </c>
      <c r="I4751" s="121">
        <f t="shared" si="1661"/>
        <v>1.1024</v>
      </c>
      <c r="J4751" s="121">
        <f t="shared" si="1662"/>
        <v>1.1024</v>
      </c>
      <c r="K4751" s="120">
        <f t="shared" si="1663"/>
        <v>0</v>
      </c>
      <c r="L4751" s="120">
        <f t="shared" si="1664"/>
        <v>0</v>
      </c>
      <c r="M4751" s="246">
        <f t="shared" si="1665"/>
        <v>0</v>
      </c>
      <c r="N4751" s="121">
        <f t="shared" si="1666"/>
        <v>1.1024</v>
      </c>
      <c r="P4751" s="121">
        <f t="shared" si="1667"/>
        <v>0.25</v>
      </c>
      <c r="Q4751" s="121">
        <f t="shared" si="1668"/>
        <v>0.75</v>
      </c>
      <c r="R4751" s="121">
        <f t="shared" si="1669"/>
        <v>0</v>
      </c>
    </row>
    <row r="4752" spans="1:18" x14ac:dyDescent="0.3">
      <c r="A4752" s="187">
        <v>24</v>
      </c>
      <c r="B4752" s="242">
        <f t="shared" si="1670"/>
        <v>46357</v>
      </c>
      <c r="C4752" s="243">
        <f t="shared" si="1655"/>
        <v>46387</v>
      </c>
      <c r="D4752" s="120">
        <f t="shared" si="1656"/>
        <v>31</v>
      </c>
      <c r="E4752" s="120">
        <f t="shared" si="1657"/>
        <v>12</v>
      </c>
      <c r="F4752" s="275">
        <f t="shared" si="1658"/>
        <v>46372.5</v>
      </c>
      <c r="G4752" s="120">
        <f t="shared" si="1659"/>
        <v>24323</v>
      </c>
      <c r="H4752" s="245">
        <f t="shared" si="1660"/>
        <v>1</v>
      </c>
      <c r="I4752" s="121">
        <f t="shared" si="1661"/>
        <v>1.1024</v>
      </c>
      <c r="J4752" s="121">
        <f t="shared" si="1662"/>
        <v>1.1024</v>
      </c>
      <c r="K4752" s="120">
        <f t="shared" si="1663"/>
        <v>0</v>
      </c>
      <c r="L4752" s="120">
        <f t="shared" si="1664"/>
        <v>0</v>
      </c>
      <c r="M4752" s="246">
        <f t="shared" si="1665"/>
        <v>0</v>
      </c>
      <c r="N4752" s="121">
        <f t="shared" si="1666"/>
        <v>1.1024</v>
      </c>
      <c r="P4752" s="121">
        <f t="shared" si="1667"/>
        <v>8.3333333333333329E-2</v>
      </c>
      <c r="Q4752" s="121">
        <f t="shared" si="1668"/>
        <v>0.91666666666666663</v>
      </c>
      <c r="R4752" s="121">
        <f t="shared" si="1669"/>
        <v>0</v>
      </c>
    </row>
    <row r="4753" spans="1:18" x14ac:dyDescent="0.3">
      <c r="A4753" s="187">
        <v>25</v>
      </c>
      <c r="B4753" s="242">
        <f t="shared" si="1670"/>
        <v>46388</v>
      </c>
      <c r="C4753" s="243">
        <f t="shared" si="1655"/>
        <v>46418</v>
      </c>
      <c r="D4753" s="120">
        <f t="shared" si="1656"/>
        <v>31</v>
      </c>
      <c r="E4753" s="120">
        <f t="shared" si="1657"/>
        <v>1</v>
      </c>
      <c r="F4753" s="275">
        <f t="shared" si="1658"/>
        <v>46403.5</v>
      </c>
      <c r="G4753" s="120">
        <f t="shared" si="1659"/>
        <v>24324</v>
      </c>
      <c r="H4753" s="245">
        <f t="shared" si="1660"/>
        <v>1</v>
      </c>
      <c r="I4753" s="121">
        <f t="shared" si="1661"/>
        <v>1.1024</v>
      </c>
      <c r="J4753" s="121">
        <f t="shared" si="1662"/>
        <v>1.1024</v>
      </c>
      <c r="K4753" s="120">
        <f t="shared" si="1663"/>
        <v>0</v>
      </c>
      <c r="L4753" s="120">
        <f t="shared" si="1664"/>
        <v>0</v>
      </c>
      <c r="M4753" s="246">
        <f t="shared" si="1665"/>
        <v>0</v>
      </c>
      <c r="N4753" s="121">
        <f t="shared" si="1666"/>
        <v>1.1024</v>
      </c>
      <c r="P4753" s="121">
        <f t="shared" si="1667"/>
        <v>0</v>
      </c>
      <c r="Q4753" s="121">
        <f t="shared" si="1668"/>
        <v>1</v>
      </c>
      <c r="R4753" s="121">
        <f t="shared" si="1669"/>
        <v>0</v>
      </c>
    </row>
    <row r="4754" spans="1:18" x14ac:dyDescent="0.3">
      <c r="A4754" s="187">
        <v>26</v>
      </c>
      <c r="B4754" s="242">
        <f t="shared" si="1670"/>
        <v>46419</v>
      </c>
      <c r="C4754" s="243">
        <f t="shared" si="1655"/>
        <v>46446</v>
      </c>
      <c r="D4754" s="120">
        <f t="shared" si="1656"/>
        <v>28</v>
      </c>
      <c r="E4754" s="120">
        <f t="shared" si="1657"/>
        <v>2</v>
      </c>
      <c r="F4754" s="275">
        <f t="shared" si="1658"/>
        <v>46433</v>
      </c>
      <c r="G4754" s="120">
        <f t="shared" si="1659"/>
        <v>24325</v>
      </c>
      <c r="H4754" s="245">
        <f t="shared" si="1660"/>
        <v>1</v>
      </c>
      <c r="I4754" s="121">
        <f t="shared" si="1661"/>
        <v>1.1024</v>
      </c>
      <c r="J4754" s="121">
        <f t="shared" si="1662"/>
        <v>1.1024</v>
      </c>
      <c r="K4754" s="120">
        <f t="shared" si="1663"/>
        <v>0</v>
      </c>
      <c r="L4754" s="120">
        <f t="shared" si="1664"/>
        <v>0</v>
      </c>
      <c r="M4754" s="246">
        <f t="shared" si="1665"/>
        <v>0</v>
      </c>
      <c r="N4754" s="121">
        <f t="shared" si="1666"/>
        <v>1.1024</v>
      </c>
      <c r="P4754" s="121">
        <f t="shared" si="1667"/>
        <v>0</v>
      </c>
      <c r="Q4754" s="121">
        <f t="shared" si="1668"/>
        <v>1</v>
      </c>
      <c r="R4754" s="121">
        <f t="shared" si="1669"/>
        <v>0</v>
      </c>
    </row>
    <row r="4755" spans="1:18" x14ac:dyDescent="0.3">
      <c r="A4755" s="187">
        <v>27</v>
      </c>
      <c r="B4755" s="242">
        <f t="shared" si="1670"/>
        <v>46447</v>
      </c>
      <c r="C4755" s="243">
        <f t="shared" si="1655"/>
        <v>46477</v>
      </c>
      <c r="D4755" s="120">
        <f t="shared" si="1656"/>
        <v>31</v>
      </c>
      <c r="E4755" s="120">
        <f t="shared" si="1657"/>
        <v>3</v>
      </c>
      <c r="F4755" s="275">
        <f t="shared" si="1658"/>
        <v>46462.5</v>
      </c>
      <c r="G4755" s="120">
        <f t="shared" si="1659"/>
        <v>24326</v>
      </c>
      <c r="H4755" s="245">
        <f t="shared" si="1660"/>
        <v>1</v>
      </c>
      <c r="I4755" s="121">
        <f t="shared" si="1661"/>
        <v>1.1024</v>
      </c>
      <c r="J4755" s="121">
        <f t="shared" si="1662"/>
        <v>1.1024</v>
      </c>
      <c r="K4755" s="120">
        <f t="shared" si="1663"/>
        <v>0</v>
      </c>
      <c r="L4755" s="120">
        <f t="shared" si="1664"/>
        <v>0</v>
      </c>
      <c r="M4755" s="246">
        <f t="shared" si="1665"/>
        <v>0</v>
      </c>
      <c r="N4755" s="121">
        <f t="shared" si="1666"/>
        <v>1.1024</v>
      </c>
      <c r="P4755" s="121">
        <f t="shared" si="1667"/>
        <v>0</v>
      </c>
      <c r="Q4755" s="121">
        <f t="shared" si="1668"/>
        <v>1</v>
      </c>
      <c r="R4755" s="121">
        <f t="shared" si="1669"/>
        <v>0</v>
      </c>
    </row>
    <row r="4756" spans="1:18" x14ac:dyDescent="0.3">
      <c r="A4756" s="187">
        <v>28</v>
      </c>
      <c r="B4756" s="242">
        <f t="shared" si="1670"/>
        <v>46478</v>
      </c>
      <c r="C4756" s="243">
        <f t="shared" si="1655"/>
        <v>46507</v>
      </c>
      <c r="D4756" s="120">
        <f t="shared" si="1656"/>
        <v>30</v>
      </c>
      <c r="E4756" s="120">
        <f t="shared" si="1657"/>
        <v>4</v>
      </c>
      <c r="F4756" s="275">
        <f t="shared" si="1658"/>
        <v>46493</v>
      </c>
      <c r="G4756" s="120">
        <f t="shared" si="1659"/>
        <v>24327</v>
      </c>
      <c r="H4756" s="245">
        <f t="shared" si="1660"/>
        <v>1</v>
      </c>
      <c r="I4756" s="121">
        <f t="shared" si="1661"/>
        <v>1.1024</v>
      </c>
      <c r="J4756" s="121">
        <f t="shared" si="1662"/>
        <v>1.1024</v>
      </c>
      <c r="K4756" s="120">
        <f t="shared" si="1663"/>
        <v>0</v>
      </c>
      <c r="L4756" s="120">
        <f t="shared" si="1664"/>
        <v>0</v>
      </c>
      <c r="M4756" s="246">
        <f t="shared" si="1665"/>
        <v>0</v>
      </c>
      <c r="N4756" s="121">
        <f t="shared" si="1666"/>
        <v>1.1024</v>
      </c>
      <c r="P4756" s="121">
        <f t="shared" si="1667"/>
        <v>0</v>
      </c>
      <c r="Q4756" s="121">
        <f t="shared" si="1668"/>
        <v>1</v>
      </c>
      <c r="R4756" s="121">
        <f t="shared" si="1669"/>
        <v>0</v>
      </c>
    </row>
    <row r="4757" spans="1:18" x14ac:dyDescent="0.3">
      <c r="A4757" s="187">
        <v>29</v>
      </c>
      <c r="B4757" s="242">
        <f t="shared" si="1670"/>
        <v>46508</v>
      </c>
      <c r="C4757" s="243">
        <f t="shared" si="1655"/>
        <v>46538</v>
      </c>
      <c r="D4757" s="120">
        <f t="shared" si="1656"/>
        <v>31</v>
      </c>
      <c r="E4757" s="120">
        <f t="shared" si="1657"/>
        <v>5</v>
      </c>
      <c r="F4757" s="275">
        <f t="shared" si="1658"/>
        <v>46523.5</v>
      </c>
      <c r="G4757" s="120">
        <f t="shared" si="1659"/>
        <v>24328</v>
      </c>
      <c r="H4757" s="245">
        <f t="shared" si="1660"/>
        <v>1</v>
      </c>
      <c r="I4757" s="121">
        <f t="shared" si="1661"/>
        <v>1.1024</v>
      </c>
      <c r="J4757" s="121">
        <f t="shared" si="1662"/>
        <v>1.1024</v>
      </c>
      <c r="K4757" s="120">
        <f t="shared" si="1663"/>
        <v>0</v>
      </c>
      <c r="L4757" s="120">
        <f t="shared" si="1664"/>
        <v>0</v>
      </c>
      <c r="M4757" s="246">
        <f t="shared" si="1665"/>
        <v>0</v>
      </c>
      <c r="N4757" s="121">
        <f t="shared" si="1666"/>
        <v>1.1024</v>
      </c>
      <c r="P4757" s="121">
        <f t="shared" si="1667"/>
        <v>0</v>
      </c>
      <c r="Q4757" s="121">
        <f t="shared" si="1668"/>
        <v>1</v>
      </c>
      <c r="R4757" s="121">
        <f t="shared" si="1669"/>
        <v>0</v>
      </c>
    </row>
    <row r="4758" spans="1:18" x14ac:dyDescent="0.3">
      <c r="A4758" s="187">
        <v>30</v>
      </c>
      <c r="B4758" s="242">
        <f t="shared" si="1670"/>
        <v>46539</v>
      </c>
      <c r="C4758" s="243">
        <f t="shared" si="1655"/>
        <v>46568</v>
      </c>
      <c r="D4758" s="120">
        <f t="shared" si="1656"/>
        <v>30</v>
      </c>
      <c r="E4758" s="120">
        <f t="shared" si="1657"/>
        <v>6</v>
      </c>
      <c r="F4758" s="275">
        <f t="shared" si="1658"/>
        <v>46554</v>
      </c>
      <c r="G4758" s="120">
        <f t="shared" si="1659"/>
        <v>24329</v>
      </c>
      <c r="H4758" s="245">
        <f t="shared" si="1660"/>
        <v>1</v>
      </c>
      <c r="I4758" s="121">
        <f t="shared" si="1661"/>
        <v>1.1024</v>
      </c>
      <c r="J4758" s="121">
        <f t="shared" si="1662"/>
        <v>1.1024</v>
      </c>
      <c r="K4758" s="120">
        <f t="shared" si="1663"/>
        <v>0</v>
      </c>
      <c r="L4758" s="120">
        <f t="shared" si="1664"/>
        <v>0</v>
      </c>
      <c r="M4758" s="246">
        <f t="shared" si="1665"/>
        <v>0</v>
      </c>
      <c r="N4758" s="121">
        <f t="shared" si="1666"/>
        <v>1.1024</v>
      </c>
      <c r="P4758" s="121">
        <f t="shared" si="1667"/>
        <v>0</v>
      </c>
      <c r="Q4758" s="121">
        <f t="shared" si="1668"/>
        <v>1</v>
      </c>
      <c r="R4758" s="121">
        <f t="shared" si="1669"/>
        <v>0</v>
      </c>
    </row>
    <row r="4759" spans="1:18" x14ac:dyDescent="0.3">
      <c r="A4759" s="187">
        <v>31</v>
      </c>
      <c r="B4759" s="242">
        <f t="shared" si="1670"/>
        <v>46569</v>
      </c>
      <c r="C4759" s="243">
        <f t="shared" si="1655"/>
        <v>46599</v>
      </c>
      <c r="D4759" s="120">
        <f t="shared" si="1656"/>
        <v>31</v>
      </c>
      <c r="E4759" s="120">
        <f t="shared" si="1657"/>
        <v>7</v>
      </c>
      <c r="F4759" s="275">
        <f t="shared" si="1658"/>
        <v>46584.5</v>
      </c>
      <c r="G4759" s="120">
        <f t="shared" si="1659"/>
        <v>24330</v>
      </c>
      <c r="H4759" s="245">
        <f t="shared" si="1660"/>
        <v>1</v>
      </c>
      <c r="I4759" s="121">
        <f t="shared" si="1661"/>
        <v>1.1024</v>
      </c>
      <c r="J4759" s="121">
        <f t="shared" si="1662"/>
        <v>1.1024</v>
      </c>
      <c r="K4759" s="120">
        <f t="shared" si="1663"/>
        <v>0</v>
      </c>
      <c r="L4759" s="120">
        <f t="shared" si="1664"/>
        <v>0</v>
      </c>
      <c r="M4759" s="246">
        <f t="shared" si="1665"/>
        <v>0</v>
      </c>
      <c r="N4759" s="121">
        <f t="shared" si="1666"/>
        <v>1.1024</v>
      </c>
      <c r="P4759" s="121">
        <f t="shared" si="1667"/>
        <v>0</v>
      </c>
      <c r="Q4759" s="121">
        <f t="shared" si="1668"/>
        <v>0.91666666666666663</v>
      </c>
      <c r="R4759" s="121">
        <f t="shared" si="1669"/>
        <v>8.333333333333337E-2</v>
      </c>
    </row>
    <row r="4760" spans="1:18" x14ac:dyDescent="0.3">
      <c r="A4760" s="187">
        <v>32</v>
      </c>
      <c r="B4760" s="242">
        <f t="shared" si="1670"/>
        <v>46600</v>
      </c>
      <c r="C4760" s="243">
        <f t="shared" si="1655"/>
        <v>46630</v>
      </c>
      <c r="D4760" s="120">
        <f t="shared" si="1656"/>
        <v>31</v>
      </c>
      <c r="E4760" s="120">
        <f t="shared" si="1657"/>
        <v>8</v>
      </c>
      <c r="F4760" s="275">
        <f t="shared" si="1658"/>
        <v>46615.5</v>
      </c>
      <c r="G4760" s="120">
        <f t="shared" si="1659"/>
        <v>24331</v>
      </c>
      <c r="H4760" s="245">
        <f t="shared" si="1660"/>
        <v>1</v>
      </c>
      <c r="I4760" s="121">
        <f t="shared" si="1661"/>
        <v>1.1024</v>
      </c>
      <c r="J4760" s="121">
        <f t="shared" si="1662"/>
        <v>1.1024</v>
      </c>
      <c r="K4760" s="120">
        <f t="shared" si="1663"/>
        <v>0</v>
      </c>
      <c r="L4760" s="120">
        <f t="shared" si="1664"/>
        <v>0</v>
      </c>
      <c r="M4760" s="246">
        <f t="shared" si="1665"/>
        <v>0</v>
      </c>
      <c r="N4760" s="121">
        <f t="shared" si="1666"/>
        <v>1.1024</v>
      </c>
      <c r="P4760" s="121">
        <f t="shared" si="1667"/>
        <v>0</v>
      </c>
      <c r="Q4760" s="121">
        <f t="shared" si="1668"/>
        <v>0.75</v>
      </c>
      <c r="R4760" s="121">
        <f t="shared" si="1669"/>
        <v>0.25</v>
      </c>
    </row>
    <row r="4761" spans="1:18" x14ac:dyDescent="0.3">
      <c r="A4761" s="187">
        <v>33</v>
      </c>
      <c r="B4761" s="242">
        <f t="shared" si="1670"/>
        <v>46631</v>
      </c>
      <c r="C4761" s="243">
        <f t="shared" si="1655"/>
        <v>46660</v>
      </c>
      <c r="D4761" s="120">
        <f t="shared" si="1656"/>
        <v>30</v>
      </c>
      <c r="E4761" s="120">
        <f t="shared" si="1657"/>
        <v>9</v>
      </c>
      <c r="F4761" s="275">
        <f t="shared" si="1658"/>
        <v>46646</v>
      </c>
      <c r="G4761" s="120">
        <f t="shared" si="1659"/>
        <v>24332</v>
      </c>
      <c r="H4761" s="245">
        <f t="shared" si="1660"/>
        <v>1</v>
      </c>
      <c r="I4761" s="121">
        <f t="shared" si="1661"/>
        <v>1.1024</v>
      </c>
      <c r="J4761" s="121">
        <f t="shared" si="1662"/>
        <v>1.1024</v>
      </c>
      <c r="K4761" s="120">
        <f t="shared" si="1663"/>
        <v>0</v>
      </c>
      <c r="L4761" s="120">
        <f t="shared" si="1664"/>
        <v>0</v>
      </c>
      <c r="M4761" s="246">
        <f t="shared" si="1665"/>
        <v>0</v>
      </c>
      <c r="N4761" s="121">
        <f t="shared" si="1666"/>
        <v>1.1024</v>
      </c>
      <c r="P4761" s="121">
        <f t="shared" si="1667"/>
        <v>0</v>
      </c>
      <c r="Q4761" s="121">
        <f t="shared" si="1668"/>
        <v>0.58333333333333337</v>
      </c>
      <c r="R4761" s="121">
        <f t="shared" si="1669"/>
        <v>0.41666666666666663</v>
      </c>
    </row>
    <row r="4762" spans="1:18" x14ac:dyDescent="0.3">
      <c r="A4762" s="187">
        <v>34</v>
      </c>
      <c r="B4762" s="242">
        <f t="shared" si="1670"/>
        <v>46661</v>
      </c>
      <c r="C4762" s="243">
        <f t="shared" si="1655"/>
        <v>46691</v>
      </c>
      <c r="D4762" s="120">
        <f t="shared" si="1656"/>
        <v>31</v>
      </c>
      <c r="E4762" s="120">
        <f t="shared" si="1657"/>
        <v>10</v>
      </c>
      <c r="F4762" s="275">
        <f t="shared" si="1658"/>
        <v>46676.5</v>
      </c>
      <c r="G4762" s="120">
        <f t="shared" si="1659"/>
        <v>24333</v>
      </c>
      <c r="H4762" s="245">
        <f t="shared" si="1660"/>
        <v>1</v>
      </c>
      <c r="I4762" s="121">
        <f t="shared" si="1661"/>
        <v>1.1024</v>
      </c>
      <c r="J4762" s="121">
        <f t="shared" si="1662"/>
        <v>1.1024</v>
      </c>
      <c r="K4762" s="120">
        <f t="shared" si="1663"/>
        <v>0</v>
      </c>
      <c r="L4762" s="120">
        <f t="shared" si="1664"/>
        <v>0</v>
      </c>
      <c r="M4762" s="246">
        <f t="shared" si="1665"/>
        <v>0</v>
      </c>
      <c r="N4762" s="121">
        <f t="shared" si="1666"/>
        <v>1.1024</v>
      </c>
      <c r="P4762" s="121">
        <f t="shared" si="1667"/>
        <v>0</v>
      </c>
      <c r="Q4762" s="121">
        <f t="shared" si="1668"/>
        <v>0.41666666666666669</v>
      </c>
      <c r="R4762" s="121">
        <f t="shared" si="1669"/>
        <v>0.58333333333333326</v>
      </c>
    </row>
    <row r="4763" spans="1:18" x14ac:dyDescent="0.3">
      <c r="A4763" s="187">
        <v>35</v>
      </c>
      <c r="B4763" s="242">
        <f t="shared" si="1670"/>
        <v>46692</v>
      </c>
      <c r="C4763" s="243">
        <f t="shared" si="1655"/>
        <v>46721</v>
      </c>
      <c r="D4763" s="120">
        <f t="shared" si="1656"/>
        <v>30</v>
      </c>
      <c r="E4763" s="120">
        <f t="shared" si="1657"/>
        <v>11</v>
      </c>
      <c r="F4763" s="275">
        <f t="shared" si="1658"/>
        <v>46707</v>
      </c>
      <c r="G4763" s="120">
        <f t="shared" si="1659"/>
        <v>24334</v>
      </c>
      <c r="H4763" s="245">
        <f t="shared" si="1660"/>
        <v>1</v>
      </c>
      <c r="I4763" s="121">
        <f t="shared" si="1661"/>
        <v>1.1024</v>
      </c>
      <c r="J4763" s="121">
        <f t="shared" si="1662"/>
        <v>1.1024</v>
      </c>
      <c r="K4763" s="120">
        <f t="shared" si="1663"/>
        <v>0</v>
      </c>
      <c r="L4763" s="120">
        <f t="shared" si="1664"/>
        <v>0</v>
      </c>
      <c r="M4763" s="246">
        <f t="shared" si="1665"/>
        <v>0</v>
      </c>
      <c r="N4763" s="121">
        <f t="shared" si="1666"/>
        <v>1.1024</v>
      </c>
      <c r="P4763" s="121">
        <f t="shared" si="1667"/>
        <v>0</v>
      </c>
      <c r="Q4763" s="121">
        <f t="shared" si="1668"/>
        <v>0.25</v>
      </c>
      <c r="R4763" s="121">
        <f t="shared" si="1669"/>
        <v>0.75</v>
      </c>
    </row>
    <row r="4764" spans="1:18" x14ac:dyDescent="0.3">
      <c r="A4764" s="187">
        <v>36</v>
      </c>
      <c r="B4764" s="242">
        <f t="shared" si="1670"/>
        <v>46722</v>
      </c>
      <c r="C4764" s="243">
        <f t="shared" si="1655"/>
        <v>46752</v>
      </c>
      <c r="D4764" s="120">
        <f t="shared" si="1656"/>
        <v>31</v>
      </c>
      <c r="E4764" s="120">
        <f t="shared" si="1657"/>
        <v>12</v>
      </c>
      <c r="F4764" s="275">
        <f t="shared" si="1658"/>
        <v>46737.5</v>
      </c>
      <c r="G4764" s="120">
        <f t="shared" si="1659"/>
        <v>24335</v>
      </c>
      <c r="H4764" s="245">
        <f t="shared" si="1660"/>
        <v>1</v>
      </c>
      <c r="I4764" s="121">
        <f t="shared" si="1661"/>
        <v>1.1024</v>
      </c>
      <c r="J4764" s="121">
        <f t="shared" si="1662"/>
        <v>1.1024</v>
      </c>
      <c r="K4764" s="120">
        <f t="shared" si="1663"/>
        <v>0</v>
      </c>
      <c r="L4764" s="120">
        <f t="shared" si="1664"/>
        <v>0</v>
      </c>
      <c r="M4764" s="246">
        <f t="shared" si="1665"/>
        <v>0</v>
      </c>
      <c r="N4764" s="121">
        <f t="shared" si="1666"/>
        <v>1.1024</v>
      </c>
      <c r="P4764" s="121">
        <f t="shared" si="1667"/>
        <v>0</v>
      </c>
      <c r="Q4764" s="121">
        <f t="shared" si="1668"/>
        <v>8.3333333333333329E-2</v>
      </c>
      <c r="R4764" s="121">
        <f t="shared" si="1669"/>
        <v>0.91666666666666663</v>
      </c>
    </row>
    <row r="4765" spans="1:18" x14ac:dyDescent="0.3">
      <c r="A4765" s="187">
        <v>37</v>
      </c>
      <c r="B4765" s="242">
        <f t="shared" si="1670"/>
        <v>46753</v>
      </c>
      <c r="C4765" s="243">
        <f t="shared" si="1655"/>
        <v>46783</v>
      </c>
      <c r="D4765" s="120">
        <f t="shared" si="1656"/>
        <v>31</v>
      </c>
      <c r="E4765" s="120">
        <f t="shared" si="1657"/>
        <v>1</v>
      </c>
      <c r="F4765" s="275">
        <f t="shared" si="1658"/>
        <v>46768.5</v>
      </c>
      <c r="G4765" s="120">
        <f t="shared" si="1659"/>
        <v>24336</v>
      </c>
      <c r="H4765" s="245">
        <f t="shared" si="1660"/>
        <v>1</v>
      </c>
      <c r="I4765" s="121">
        <f t="shared" si="1661"/>
        <v>1.1024</v>
      </c>
      <c r="J4765" s="121">
        <f t="shared" si="1662"/>
        <v>1.1024</v>
      </c>
      <c r="K4765" s="120">
        <f t="shared" si="1663"/>
        <v>0</v>
      </c>
      <c r="L4765" s="120">
        <f t="shared" si="1664"/>
        <v>0</v>
      </c>
      <c r="M4765" s="246">
        <f t="shared" si="1665"/>
        <v>0</v>
      </c>
      <c r="N4765" s="121">
        <f t="shared" si="1666"/>
        <v>1.1024</v>
      </c>
      <c r="P4765" s="121">
        <f t="shared" si="1667"/>
        <v>0</v>
      </c>
      <c r="Q4765" s="121">
        <f t="shared" si="1668"/>
        <v>0</v>
      </c>
      <c r="R4765" s="121">
        <f t="shared" si="1669"/>
        <v>1</v>
      </c>
    </row>
    <row r="4766" spans="1:18" x14ac:dyDescent="0.3">
      <c r="A4766" s="187">
        <v>38</v>
      </c>
      <c r="B4766" s="242">
        <f t="shared" si="1670"/>
        <v>46784</v>
      </c>
      <c r="C4766" s="243">
        <f t="shared" si="1655"/>
        <v>46812</v>
      </c>
      <c r="D4766" s="120">
        <f t="shared" si="1656"/>
        <v>29</v>
      </c>
      <c r="E4766" s="120">
        <f t="shared" si="1657"/>
        <v>2</v>
      </c>
      <c r="F4766" s="275">
        <f t="shared" si="1658"/>
        <v>46798.5</v>
      </c>
      <c r="G4766" s="120">
        <f t="shared" si="1659"/>
        <v>24337</v>
      </c>
      <c r="H4766" s="245">
        <f t="shared" si="1660"/>
        <v>1</v>
      </c>
      <c r="I4766" s="121">
        <f t="shared" si="1661"/>
        <v>1.1024</v>
      </c>
      <c r="J4766" s="121">
        <f t="shared" si="1662"/>
        <v>1.1024</v>
      </c>
      <c r="K4766" s="120">
        <f t="shared" si="1663"/>
        <v>0</v>
      </c>
      <c r="L4766" s="120">
        <f t="shared" si="1664"/>
        <v>0</v>
      </c>
      <c r="M4766" s="246">
        <f t="shared" si="1665"/>
        <v>0</v>
      </c>
      <c r="N4766" s="121">
        <f t="shared" si="1666"/>
        <v>1.1024</v>
      </c>
      <c r="P4766" s="121">
        <f t="shared" si="1667"/>
        <v>0</v>
      </c>
      <c r="Q4766" s="121">
        <f t="shared" si="1668"/>
        <v>0</v>
      </c>
      <c r="R4766" s="121">
        <f t="shared" si="1669"/>
        <v>1</v>
      </c>
    </row>
    <row r="4767" spans="1:18" x14ac:dyDescent="0.3">
      <c r="A4767" s="187">
        <v>39</v>
      </c>
      <c r="B4767" s="242">
        <f t="shared" si="1670"/>
        <v>46813</v>
      </c>
      <c r="C4767" s="243">
        <f t="shared" si="1655"/>
        <v>46843</v>
      </c>
      <c r="D4767" s="120">
        <f t="shared" si="1656"/>
        <v>31</v>
      </c>
      <c r="E4767" s="120">
        <f t="shared" si="1657"/>
        <v>3</v>
      </c>
      <c r="F4767" s="275">
        <f t="shared" si="1658"/>
        <v>46828.5</v>
      </c>
      <c r="G4767" s="120">
        <f t="shared" si="1659"/>
        <v>24338</v>
      </c>
      <c r="H4767" s="245">
        <f t="shared" si="1660"/>
        <v>1</v>
      </c>
      <c r="I4767" s="121">
        <f t="shared" si="1661"/>
        <v>1.1024</v>
      </c>
      <c r="J4767" s="121">
        <f t="shared" si="1662"/>
        <v>1.1024</v>
      </c>
      <c r="K4767" s="120">
        <f t="shared" si="1663"/>
        <v>0</v>
      </c>
      <c r="L4767" s="120">
        <f t="shared" si="1664"/>
        <v>0</v>
      </c>
      <c r="M4767" s="246">
        <f t="shared" si="1665"/>
        <v>0</v>
      </c>
      <c r="N4767" s="121">
        <f t="shared" si="1666"/>
        <v>1.1024</v>
      </c>
      <c r="P4767" s="121">
        <f t="shared" si="1667"/>
        <v>0</v>
      </c>
      <c r="Q4767" s="121">
        <f t="shared" si="1668"/>
        <v>0</v>
      </c>
      <c r="R4767" s="121">
        <f t="shared" si="1669"/>
        <v>1</v>
      </c>
    </row>
    <row r="4768" spans="1:18" x14ac:dyDescent="0.3">
      <c r="A4768" s="187">
        <v>40</v>
      </c>
      <c r="B4768" s="242">
        <f t="shared" si="1670"/>
        <v>46844</v>
      </c>
      <c r="C4768" s="243">
        <f t="shared" si="1655"/>
        <v>46873</v>
      </c>
      <c r="D4768" s="120">
        <f t="shared" si="1656"/>
        <v>30</v>
      </c>
      <c r="E4768" s="120">
        <f t="shared" si="1657"/>
        <v>4</v>
      </c>
      <c r="F4768" s="275">
        <f t="shared" si="1658"/>
        <v>46859</v>
      </c>
      <c r="G4768" s="120">
        <f t="shared" si="1659"/>
        <v>24339</v>
      </c>
      <c r="H4768" s="245">
        <f t="shared" si="1660"/>
        <v>1</v>
      </c>
      <c r="I4768" s="121">
        <f t="shared" si="1661"/>
        <v>1.1024</v>
      </c>
      <c r="J4768" s="121">
        <f t="shared" si="1662"/>
        <v>1.1024</v>
      </c>
      <c r="K4768" s="120">
        <f t="shared" si="1663"/>
        <v>0</v>
      </c>
      <c r="L4768" s="120">
        <f t="shared" si="1664"/>
        <v>0</v>
      </c>
      <c r="M4768" s="246">
        <f t="shared" si="1665"/>
        <v>0</v>
      </c>
      <c r="N4768" s="121">
        <f t="shared" si="1666"/>
        <v>1.1024</v>
      </c>
      <c r="P4768" s="121">
        <f t="shared" si="1667"/>
        <v>0</v>
      </c>
      <c r="Q4768" s="121">
        <f t="shared" si="1668"/>
        <v>0</v>
      </c>
      <c r="R4768" s="121">
        <f t="shared" si="1669"/>
        <v>1</v>
      </c>
    </row>
    <row r="4769" spans="1:18" x14ac:dyDescent="0.3">
      <c r="A4769" s="187">
        <v>41</v>
      </c>
      <c r="B4769" s="242">
        <f t="shared" si="1670"/>
        <v>46874</v>
      </c>
      <c r="C4769" s="243">
        <f t="shared" si="1655"/>
        <v>46904</v>
      </c>
      <c r="D4769" s="120">
        <f t="shared" si="1656"/>
        <v>31</v>
      </c>
      <c r="E4769" s="120">
        <f t="shared" si="1657"/>
        <v>5</v>
      </c>
      <c r="F4769" s="275">
        <f t="shared" si="1658"/>
        <v>46889.5</v>
      </c>
      <c r="G4769" s="120">
        <f t="shared" si="1659"/>
        <v>24340</v>
      </c>
      <c r="H4769" s="245">
        <f t="shared" si="1660"/>
        <v>1</v>
      </c>
      <c r="I4769" s="121">
        <f t="shared" si="1661"/>
        <v>1.1024</v>
      </c>
      <c r="J4769" s="121">
        <f t="shared" si="1662"/>
        <v>1.1024</v>
      </c>
      <c r="K4769" s="120">
        <f t="shared" si="1663"/>
        <v>0</v>
      </c>
      <c r="L4769" s="120">
        <f t="shared" si="1664"/>
        <v>0</v>
      </c>
      <c r="M4769" s="246">
        <f t="shared" si="1665"/>
        <v>0</v>
      </c>
      <c r="N4769" s="121">
        <f t="shared" si="1666"/>
        <v>1.1024</v>
      </c>
      <c r="P4769" s="121">
        <f t="shared" si="1667"/>
        <v>0</v>
      </c>
      <c r="Q4769" s="121">
        <f t="shared" si="1668"/>
        <v>0</v>
      </c>
      <c r="R4769" s="121">
        <f t="shared" si="1669"/>
        <v>1</v>
      </c>
    </row>
    <row r="4770" spans="1:18" x14ac:dyDescent="0.3">
      <c r="A4770" s="187">
        <v>42</v>
      </c>
      <c r="B4770" s="242">
        <f t="shared" si="1670"/>
        <v>46905</v>
      </c>
      <c r="C4770" s="243">
        <f t="shared" si="1655"/>
        <v>46934</v>
      </c>
      <c r="D4770" s="120">
        <f t="shared" si="1656"/>
        <v>30</v>
      </c>
      <c r="E4770" s="120">
        <f t="shared" si="1657"/>
        <v>6</v>
      </c>
      <c r="F4770" s="275">
        <f t="shared" si="1658"/>
        <v>46920</v>
      </c>
      <c r="G4770" s="120">
        <f t="shared" si="1659"/>
        <v>24341</v>
      </c>
      <c r="H4770" s="245">
        <f t="shared" si="1660"/>
        <v>1</v>
      </c>
      <c r="I4770" s="121">
        <f t="shared" si="1661"/>
        <v>1.1024</v>
      </c>
      <c r="J4770" s="121">
        <f t="shared" si="1662"/>
        <v>1.1024</v>
      </c>
      <c r="K4770" s="120">
        <f t="shared" si="1663"/>
        <v>0</v>
      </c>
      <c r="L4770" s="120">
        <f t="shared" si="1664"/>
        <v>0</v>
      </c>
      <c r="M4770" s="246">
        <f t="shared" si="1665"/>
        <v>0</v>
      </c>
      <c r="N4770" s="121">
        <f t="shared" si="1666"/>
        <v>1.1024</v>
      </c>
      <c r="P4770" s="121">
        <f t="shared" si="1667"/>
        <v>0</v>
      </c>
      <c r="Q4770" s="121">
        <f t="shared" si="1668"/>
        <v>0</v>
      </c>
      <c r="R4770" s="121">
        <f t="shared" si="1669"/>
        <v>1</v>
      </c>
    </row>
    <row r="4771" spans="1:18" x14ac:dyDescent="0.3">
      <c r="A4771" s="187">
        <v>43</v>
      </c>
      <c r="B4771" s="242">
        <f t="shared" si="1670"/>
        <v>46935</v>
      </c>
      <c r="C4771" s="243">
        <f t="shared" si="1655"/>
        <v>46965</v>
      </c>
      <c r="D4771" s="120">
        <f t="shared" si="1656"/>
        <v>31</v>
      </c>
      <c r="E4771" s="120">
        <f t="shared" si="1657"/>
        <v>7</v>
      </c>
      <c r="F4771" s="275">
        <f t="shared" si="1658"/>
        <v>46950.5</v>
      </c>
      <c r="G4771" s="120">
        <f t="shared" si="1659"/>
        <v>24342</v>
      </c>
      <c r="H4771" s="245">
        <f t="shared" si="1660"/>
        <v>1</v>
      </c>
      <c r="I4771" s="121">
        <f t="shared" si="1661"/>
        <v>1.1024</v>
      </c>
      <c r="J4771" s="121">
        <f t="shared" si="1662"/>
        <v>1.1024</v>
      </c>
      <c r="K4771" s="120">
        <f t="shared" si="1663"/>
        <v>0</v>
      </c>
      <c r="L4771" s="120">
        <f t="shared" si="1664"/>
        <v>0</v>
      </c>
      <c r="M4771" s="246">
        <f t="shared" si="1665"/>
        <v>0</v>
      </c>
      <c r="N4771" s="121">
        <f t="shared" si="1666"/>
        <v>1.1024</v>
      </c>
      <c r="P4771" s="121">
        <f t="shared" si="1667"/>
        <v>0</v>
      </c>
      <c r="Q4771" s="121">
        <f t="shared" si="1668"/>
        <v>0</v>
      </c>
      <c r="R4771" s="121">
        <f t="shared" si="1669"/>
        <v>0.91666666666666663</v>
      </c>
    </row>
    <row r="4772" spans="1:18" x14ac:dyDescent="0.3">
      <c r="A4772" s="187">
        <v>44</v>
      </c>
      <c r="B4772" s="242">
        <f t="shared" si="1670"/>
        <v>46966</v>
      </c>
      <c r="C4772" s="243">
        <f t="shared" si="1655"/>
        <v>46996</v>
      </c>
      <c r="D4772" s="120">
        <f t="shared" si="1656"/>
        <v>31</v>
      </c>
      <c r="E4772" s="120">
        <f t="shared" si="1657"/>
        <v>8</v>
      </c>
      <c r="F4772" s="275">
        <f t="shared" si="1658"/>
        <v>46981.5</v>
      </c>
      <c r="G4772" s="120">
        <f t="shared" si="1659"/>
        <v>24343</v>
      </c>
      <c r="H4772" s="245">
        <f t="shared" si="1660"/>
        <v>1</v>
      </c>
      <c r="I4772" s="121">
        <f t="shared" si="1661"/>
        <v>1.1024</v>
      </c>
      <c r="J4772" s="121">
        <f t="shared" si="1662"/>
        <v>1.1024</v>
      </c>
      <c r="K4772" s="120">
        <f t="shared" si="1663"/>
        <v>0</v>
      </c>
      <c r="L4772" s="120">
        <f t="shared" si="1664"/>
        <v>0</v>
      </c>
      <c r="M4772" s="246">
        <f t="shared" si="1665"/>
        <v>0</v>
      </c>
      <c r="N4772" s="121">
        <f t="shared" si="1666"/>
        <v>1.1024</v>
      </c>
      <c r="P4772" s="121">
        <f t="shared" si="1667"/>
        <v>0</v>
      </c>
      <c r="Q4772" s="121">
        <f t="shared" si="1668"/>
        <v>0</v>
      </c>
      <c r="R4772" s="121">
        <f t="shared" si="1669"/>
        <v>0.75</v>
      </c>
    </row>
    <row r="4773" spans="1:18" x14ac:dyDescent="0.3">
      <c r="A4773" s="187">
        <v>45</v>
      </c>
      <c r="B4773" s="242">
        <f t="shared" si="1670"/>
        <v>46997</v>
      </c>
      <c r="C4773" s="243">
        <f t="shared" si="1655"/>
        <v>47026</v>
      </c>
      <c r="D4773" s="120">
        <f t="shared" si="1656"/>
        <v>30</v>
      </c>
      <c r="E4773" s="120">
        <f t="shared" si="1657"/>
        <v>9</v>
      </c>
      <c r="F4773" s="275">
        <f t="shared" si="1658"/>
        <v>47012</v>
      </c>
      <c r="G4773" s="120">
        <f t="shared" si="1659"/>
        <v>24344</v>
      </c>
      <c r="H4773" s="245">
        <f t="shared" si="1660"/>
        <v>1</v>
      </c>
      <c r="I4773" s="121">
        <f t="shared" si="1661"/>
        <v>1.1024</v>
      </c>
      <c r="J4773" s="121">
        <f t="shared" si="1662"/>
        <v>1.1024</v>
      </c>
      <c r="K4773" s="120">
        <f t="shared" si="1663"/>
        <v>0</v>
      </c>
      <c r="L4773" s="120">
        <f t="shared" si="1664"/>
        <v>0</v>
      </c>
      <c r="M4773" s="246">
        <f t="shared" si="1665"/>
        <v>0</v>
      </c>
      <c r="N4773" s="121">
        <f t="shared" si="1666"/>
        <v>1.1024</v>
      </c>
      <c r="P4773" s="121">
        <f t="shared" si="1667"/>
        <v>0</v>
      </c>
      <c r="Q4773" s="121">
        <f t="shared" si="1668"/>
        <v>0</v>
      </c>
      <c r="R4773" s="121">
        <f t="shared" si="1669"/>
        <v>0.58333333333333337</v>
      </c>
    </row>
    <row r="4774" spans="1:18" x14ac:dyDescent="0.3">
      <c r="A4774" s="187">
        <v>46</v>
      </c>
      <c r="B4774" s="242">
        <f t="shared" si="1670"/>
        <v>47027</v>
      </c>
      <c r="C4774" s="243">
        <f t="shared" si="1655"/>
        <v>47057</v>
      </c>
      <c r="D4774" s="120">
        <f t="shared" si="1656"/>
        <v>31</v>
      </c>
      <c r="E4774" s="120">
        <f t="shared" si="1657"/>
        <v>10</v>
      </c>
      <c r="F4774" s="275">
        <f t="shared" si="1658"/>
        <v>47042.5</v>
      </c>
      <c r="G4774" s="120">
        <f t="shared" si="1659"/>
        <v>24345</v>
      </c>
      <c r="H4774" s="245">
        <f t="shared" si="1660"/>
        <v>1</v>
      </c>
      <c r="I4774" s="121">
        <f t="shared" si="1661"/>
        <v>1.1024</v>
      </c>
      <c r="J4774" s="121">
        <f t="shared" si="1662"/>
        <v>1.1024</v>
      </c>
      <c r="K4774" s="120">
        <f t="shared" si="1663"/>
        <v>0</v>
      </c>
      <c r="L4774" s="120">
        <f t="shared" si="1664"/>
        <v>0</v>
      </c>
      <c r="M4774" s="246">
        <f t="shared" si="1665"/>
        <v>0</v>
      </c>
      <c r="N4774" s="121">
        <f t="shared" si="1666"/>
        <v>1.1024</v>
      </c>
      <c r="P4774" s="121">
        <f t="shared" si="1667"/>
        <v>0</v>
      </c>
      <c r="Q4774" s="121">
        <f t="shared" si="1668"/>
        <v>0</v>
      </c>
      <c r="R4774" s="121">
        <f t="shared" si="1669"/>
        <v>0.41666666666666669</v>
      </c>
    </row>
    <row r="4775" spans="1:18" x14ac:dyDescent="0.3">
      <c r="A4775" s="187">
        <v>47</v>
      </c>
      <c r="B4775" s="242">
        <f t="shared" si="1670"/>
        <v>47058</v>
      </c>
      <c r="C4775" s="243">
        <f t="shared" si="1655"/>
        <v>47087</v>
      </c>
      <c r="D4775" s="120">
        <f t="shared" si="1656"/>
        <v>30</v>
      </c>
      <c r="E4775" s="120">
        <f t="shared" si="1657"/>
        <v>11</v>
      </c>
      <c r="F4775" s="275">
        <f t="shared" si="1658"/>
        <v>47073</v>
      </c>
      <c r="G4775" s="120">
        <f t="shared" si="1659"/>
        <v>24346</v>
      </c>
      <c r="H4775" s="245">
        <f t="shared" si="1660"/>
        <v>1</v>
      </c>
      <c r="I4775" s="121">
        <f t="shared" si="1661"/>
        <v>1.1024</v>
      </c>
      <c r="J4775" s="121">
        <f t="shared" si="1662"/>
        <v>1.1024</v>
      </c>
      <c r="K4775" s="120">
        <f t="shared" si="1663"/>
        <v>0</v>
      </c>
      <c r="L4775" s="120">
        <f t="shared" si="1664"/>
        <v>0</v>
      </c>
      <c r="M4775" s="246">
        <f t="shared" si="1665"/>
        <v>0</v>
      </c>
      <c r="N4775" s="121">
        <f t="shared" si="1666"/>
        <v>1.1024</v>
      </c>
      <c r="P4775" s="121">
        <f t="shared" si="1667"/>
        <v>0</v>
      </c>
      <c r="Q4775" s="121">
        <f t="shared" si="1668"/>
        <v>0</v>
      </c>
      <c r="R4775" s="121">
        <f t="shared" si="1669"/>
        <v>0.25</v>
      </c>
    </row>
    <row r="4776" spans="1:18" x14ac:dyDescent="0.3">
      <c r="A4776" s="187">
        <v>48</v>
      </c>
      <c r="B4776" s="242">
        <f t="shared" si="1670"/>
        <v>47088</v>
      </c>
      <c r="C4776" s="243">
        <f t="shared" si="1655"/>
        <v>47118</v>
      </c>
      <c r="D4776" s="120">
        <f t="shared" si="1656"/>
        <v>31</v>
      </c>
      <c r="E4776" s="120">
        <f t="shared" si="1657"/>
        <v>12</v>
      </c>
      <c r="F4776" s="275">
        <f t="shared" si="1658"/>
        <v>47103.5</v>
      </c>
      <c r="G4776" s="120">
        <f t="shared" si="1659"/>
        <v>24347</v>
      </c>
      <c r="H4776" s="245">
        <f t="shared" si="1660"/>
        <v>1</v>
      </c>
      <c r="I4776" s="121">
        <f t="shared" si="1661"/>
        <v>1.1024</v>
      </c>
      <c r="J4776" s="121">
        <f t="shared" si="1662"/>
        <v>1.1024</v>
      </c>
      <c r="K4776" s="120">
        <f t="shared" si="1663"/>
        <v>0</v>
      </c>
      <c r="L4776" s="120">
        <f t="shared" si="1664"/>
        <v>0</v>
      </c>
      <c r="M4776" s="246">
        <f t="shared" si="1665"/>
        <v>0</v>
      </c>
      <c r="N4776" s="121">
        <f t="shared" si="1666"/>
        <v>1.1024</v>
      </c>
      <c r="P4776" s="121">
        <f t="shared" si="1667"/>
        <v>0</v>
      </c>
      <c r="Q4776" s="121">
        <f t="shared" si="1668"/>
        <v>0</v>
      </c>
      <c r="R4776" s="121">
        <f t="shared" si="1669"/>
        <v>8.3333333333333329E-2</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642"/>
  <sheetViews>
    <sheetView workbookViewId="0"/>
  </sheetViews>
  <sheetFormatPr defaultRowHeight="14.4" x14ac:dyDescent="0.3"/>
  <cols>
    <col min="1" max="26" width="10" customWidth="1"/>
    <col min="28" max="35" width="10" customWidth="1"/>
  </cols>
  <sheetData>
    <row r="1" spans="1:10" x14ac:dyDescent="0.3">
      <c r="A1" s="270" t="s">
        <v>1716</v>
      </c>
      <c r="J1" s="277">
        <f>MAX($P$298,$P$354,$P$410,$P$466,$P$522,$P$578,$P$634,$P$690,$P$746,$P$802,$P$858,$P$914,$P$970,$P$1026,$P$1082,$P$1138,$P$1194,$P$1250,$P$1306,$P$1362,$P$1418,$P$1474,$P$1530,$P$1586,$P$1642)</f>
        <v>0</v>
      </c>
    </row>
    <row r="3" spans="1:10" x14ac:dyDescent="0.3">
      <c r="A3" s="23" t="s">
        <v>1717</v>
      </c>
      <c r="B3" s="23" t="s">
        <v>1718</v>
      </c>
      <c r="C3" s="23" t="s">
        <v>1719</v>
      </c>
      <c r="D3" s="23" t="s">
        <v>1720</v>
      </c>
      <c r="E3" s="23" t="s">
        <v>1721</v>
      </c>
      <c r="F3" s="23" t="s">
        <v>1704</v>
      </c>
      <c r="G3" s="23" t="s">
        <v>1705</v>
      </c>
      <c r="H3" s="23" t="s">
        <v>1722</v>
      </c>
    </row>
    <row r="4" spans="1:10" x14ac:dyDescent="0.3">
      <c r="A4" s="43">
        <f>IF('Rate Log'!$C$7="",0,IF(OR('Rate Log'!$E$7="taken",'Rate Log'!$C$7&lt;DATE(nr_PlanYear,1,1)),1,0))</f>
        <v>1</v>
      </c>
      <c r="B4" s="278">
        <f>IF($A4=0,"",'Rate Log'!$C$7)</f>
        <v>45839</v>
      </c>
      <c r="C4" s="278">
        <f t="shared" ref="C4:C67" si="0">IF($A4=0,"",DATE(YEAR($B4),MONTH($B4),1))</f>
        <v>45839</v>
      </c>
      <c r="D4" s="160">
        <f>IF($A4=0,0,'Rate Log'!$L$7)</f>
        <v>3.9220713153281329E-2</v>
      </c>
      <c r="E4" s="43">
        <f>IF($A4=0,0,'Rate Log'!$N$7)</f>
        <v>31</v>
      </c>
      <c r="F4" s="43">
        <f>IF($A4=0,0,COUNTIFS(rl_key,'Rate Log'!$J$7,$C$4:$C$243,$C4,$B$4:$B$243,"&lt;"&amp;$B4))</f>
        <v>0</v>
      </c>
      <c r="G4" s="43">
        <f>IF($A4=0,0,COUNTIFS('Rate Log'!$J$7:$J$7,'Rate Log'!$J$7,$C$4:$C4,$C4,$B$4:$B4,$B4))</f>
        <v>1</v>
      </c>
      <c r="H4" s="43">
        <f t="shared" ref="H4:H67" si="1">IF($A4=0,0,IF(AND($F4=0,$G4=1),1,0))</f>
        <v>1</v>
      </c>
    </row>
    <row r="5" spans="1:10" x14ac:dyDescent="0.3">
      <c r="A5" s="43">
        <f>IF('Rate Log'!$C$8="",0,IF(OR('Rate Log'!$E$8="taken",'Rate Log'!$C$8&lt;DATE(nr_PlanYear,1,1)),1,0))</f>
        <v>1</v>
      </c>
      <c r="B5" s="278">
        <f>IF($A5=0,"",'Rate Log'!$C$8)</f>
        <v>46204</v>
      </c>
      <c r="C5" s="278">
        <f t="shared" si="0"/>
        <v>46204</v>
      </c>
      <c r="D5" s="160">
        <f>IF($A5=0,0,'Rate Log'!$L$8)</f>
        <v>5.8268908123975824E-2</v>
      </c>
      <c r="E5" s="43">
        <f>IF($A5=0,0,'Rate Log'!$N$8)</f>
        <v>31</v>
      </c>
      <c r="F5" s="43">
        <f>IF($A5=0,0,COUNTIFS(rl_key,'Rate Log'!$J$8,$C$4:$C$243,$C5,$B$4:$B$243,"&lt;"&amp;$B5))</f>
        <v>0</v>
      </c>
      <c r="G5" s="43">
        <f>IF($A5=0,0,COUNTIFS('Rate Log'!$J$7:$J$8,'Rate Log'!$J$8,$C$4:$C5,$C5,$B$4:$B5,$B5))</f>
        <v>1</v>
      </c>
      <c r="H5" s="43">
        <f t="shared" si="1"/>
        <v>1</v>
      </c>
    </row>
    <row r="6" spans="1:10" x14ac:dyDescent="0.3">
      <c r="A6" s="43">
        <f>IF('Rate Log'!$C$9="",0,IF(OR('Rate Log'!$E$9="taken",'Rate Log'!$C$9&lt;DATE(nr_PlanYear,1,1)),1,0))</f>
        <v>0</v>
      </c>
      <c r="B6" s="278" t="str">
        <f>IF($A6=0,"",'Rate Log'!$C$9)</f>
        <v/>
      </c>
      <c r="C6" s="278" t="str">
        <f t="shared" si="0"/>
        <v/>
      </c>
      <c r="D6" s="160">
        <f>IF($A6=0,0,'Rate Log'!$L$9)</f>
        <v>0</v>
      </c>
      <c r="E6" s="43">
        <f>IF($A6=0,0,'Rate Log'!$N$9)</f>
        <v>0</v>
      </c>
      <c r="F6" s="43">
        <f>IF($A6=0,0,COUNTIFS(rl_key,'Rate Log'!$J$9,$C$4:$C$243,$C6,$B$4:$B$243,"&lt;"&amp;$B6))</f>
        <v>0</v>
      </c>
      <c r="G6" s="43">
        <f>IF($A6=0,0,COUNTIFS('Rate Log'!$J$7:$J$9,'Rate Log'!$J$9,$C$4:$C6,$C6,$B$4:$B6,$B6))</f>
        <v>0</v>
      </c>
      <c r="H6" s="43">
        <f t="shared" si="1"/>
        <v>0</v>
      </c>
    </row>
    <row r="7" spans="1:10" x14ac:dyDescent="0.3">
      <c r="A7" s="43">
        <f>IF('Rate Log'!$C$10="",0,IF(OR('Rate Log'!$E$10="taken",'Rate Log'!$C$10&lt;DATE(nr_PlanYear,1,1)),1,0))</f>
        <v>1</v>
      </c>
      <c r="B7" s="278">
        <f>IF($A7=0,"",'Rate Log'!$C$10)</f>
        <v>46204</v>
      </c>
      <c r="C7" s="278">
        <f t="shared" si="0"/>
        <v>46204</v>
      </c>
      <c r="D7" s="160">
        <f>IF($A7=0,0,'Rate Log'!$L$10)</f>
        <v>6.2974799161388387E-2</v>
      </c>
      <c r="E7" s="43">
        <f>IF($A7=0,0,'Rate Log'!$N$10)</f>
        <v>31</v>
      </c>
      <c r="F7" s="43">
        <f>IF($A7=0,0,COUNTIFS(rl_key,'Rate Log'!$J$10,$C$4:$C$243,$C7,$B$4:$B$243,"&lt;"&amp;$B7))</f>
        <v>0</v>
      </c>
      <c r="G7" s="43">
        <f>IF($A7=0,0,COUNTIFS('Rate Log'!$J$7:$J$10,'Rate Log'!$J$10,$C$4:$C7,$C7,$B$4:$B7,$B7))</f>
        <v>1</v>
      </c>
      <c r="H7" s="43">
        <f t="shared" si="1"/>
        <v>1</v>
      </c>
    </row>
    <row r="8" spans="1:10" x14ac:dyDescent="0.3">
      <c r="A8" s="43">
        <f>IF('Rate Log'!$C$11="",0,IF(OR('Rate Log'!$E$11="taken",'Rate Log'!$C$11&lt;DATE(nr_PlanYear,1,1)),1,0))</f>
        <v>1</v>
      </c>
      <c r="B8" s="278">
        <f>IF($A8=0,"",'Rate Log'!$C$11)</f>
        <v>46113</v>
      </c>
      <c r="C8" s="278">
        <f t="shared" si="0"/>
        <v>46113</v>
      </c>
      <c r="D8" s="160">
        <f>IF($A8=0,0,'Rate Log'!$L$11)</f>
        <v>4.8790164169432049E-2</v>
      </c>
      <c r="E8" s="43">
        <f>IF($A8=0,0,'Rate Log'!$N$11)</f>
        <v>30</v>
      </c>
      <c r="F8" s="43">
        <f>IF($A8=0,0,COUNTIFS(rl_key,'Rate Log'!$J$11,$C$4:$C$243,$C8,$B$4:$B$243,"&lt;"&amp;$B8))</f>
        <v>0</v>
      </c>
      <c r="G8" s="43">
        <f>IF($A8=0,0,COUNTIFS('Rate Log'!$J$7:$J$11,'Rate Log'!$J$11,$C$4:$C8,$C8,$B$4:$B8,$B8))</f>
        <v>1</v>
      </c>
      <c r="H8" s="43">
        <f t="shared" si="1"/>
        <v>1</v>
      </c>
    </row>
    <row r="9" spans="1:10" x14ac:dyDescent="0.3">
      <c r="A9" s="43">
        <f>IF('Rate Log'!$C$12="",0,IF(OR('Rate Log'!$E$12="taken",'Rate Log'!$C$12&lt;DATE(nr_PlanYear,1,1)),1,0))</f>
        <v>0</v>
      </c>
      <c r="B9" s="278" t="str">
        <f>IF($A9=0,"",'Rate Log'!$C$12)</f>
        <v/>
      </c>
      <c r="C9" s="278" t="str">
        <f t="shared" si="0"/>
        <v/>
      </c>
      <c r="D9" s="160">
        <f>IF($A9=0,0,'Rate Log'!$L$12)</f>
        <v>0</v>
      </c>
      <c r="E9" s="43">
        <f>IF($A9=0,0,'Rate Log'!$N$12)</f>
        <v>0</v>
      </c>
      <c r="F9" s="43">
        <f>IF($A9=0,0,COUNTIFS(rl_key,'Rate Log'!$J$12,$C$4:$C$243,$C9,$B$4:$B$243,"&lt;"&amp;$B9))</f>
        <v>0</v>
      </c>
      <c r="G9" s="43">
        <f>IF($A9=0,0,COUNTIFS('Rate Log'!$J$7:$J$12,'Rate Log'!$J$12,$C$4:$C9,$C9,$B$4:$B9,$B9))</f>
        <v>0</v>
      </c>
      <c r="H9" s="43">
        <f t="shared" si="1"/>
        <v>0</v>
      </c>
    </row>
    <row r="10" spans="1:10" x14ac:dyDescent="0.3">
      <c r="A10" s="43">
        <f>IF('Rate Log'!$C$13="",0,IF(OR('Rate Log'!$E$13="taken",'Rate Log'!$C$13&lt;DATE(nr_PlanYear,1,1)),1,0))</f>
        <v>1</v>
      </c>
      <c r="B10" s="278">
        <f>IF($A10=0,"",'Rate Log'!$C$13)</f>
        <v>46296</v>
      </c>
      <c r="C10" s="278">
        <f t="shared" si="0"/>
        <v>46296</v>
      </c>
      <c r="D10" s="160">
        <f>IF($A10=0,0,'Rate Log'!$L$13)</f>
        <v>7.6961041136128394E-2</v>
      </c>
      <c r="E10" s="43">
        <f>IF($A10=0,0,'Rate Log'!$N$13)</f>
        <v>31</v>
      </c>
      <c r="F10" s="43">
        <f>IF($A10=0,0,COUNTIFS(rl_key,'Rate Log'!$J$13,$C$4:$C$243,$C10,$B$4:$B$243,"&lt;"&amp;$B10))</f>
        <v>0</v>
      </c>
      <c r="G10" s="43">
        <f>IF($A10=0,0,COUNTIFS('Rate Log'!$J$7:$J$13,'Rate Log'!$J$13,$C$4:$C10,$C10,$B$4:$B10,$B10))</f>
        <v>1</v>
      </c>
      <c r="H10" s="43">
        <f t="shared" si="1"/>
        <v>1</v>
      </c>
    </row>
    <row r="11" spans="1:10" x14ac:dyDescent="0.3">
      <c r="A11" s="43">
        <f>IF('Rate Log'!$C$14="",0,IF(OR('Rate Log'!$E$14="taken",'Rate Log'!$C$14&lt;DATE(nr_PlanYear,1,1)),1,0))</f>
        <v>0</v>
      </c>
      <c r="B11" s="278" t="str">
        <f>IF($A11=0,"",'Rate Log'!$C$14)</f>
        <v/>
      </c>
      <c r="C11" s="278" t="str">
        <f t="shared" si="0"/>
        <v/>
      </c>
      <c r="D11" s="160">
        <f>IF($A11=0,0,'Rate Log'!$L$14)</f>
        <v>0</v>
      </c>
      <c r="E11" s="43">
        <f>IF($A11=0,0,'Rate Log'!$N$14)</f>
        <v>0</v>
      </c>
      <c r="F11" s="43">
        <f>IF($A11=0,0,COUNTIFS(rl_key,'Rate Log'!$J$14,$C$4:$C$243,$C11,$B$4:$B$243,"&lt;"&amp;$B11))</f>
        <v>0</v>
      </c>
      <c r="G11" s="43">
        <f>IF($A11=0,0,COUNTIFS('Rate Log'!$J$7:$J$14,'Rate Log'!$J$14,$C$4:$C11,$C11,$B$4:$B11,$B11))</f>
        <v>0</v>
      </c>
      <c r="H11" s="43">
        <f t="shared" si="1"/>
        <v>0</v>
      </c>
    </row>
    <row r="12" spans="1:10" x14ac:dyDescent="0.3">
      <c r="A12" s="43">
        <f>IF('Rate Log'!$C$15="",0,IF(OR('Rate Log'!$E$15="taken",'Rate Log'!$C$15&lt;DATE(nr_PlanYear,1,1)),1,0))</f>
        <v>1</v>
      </c>
      <c r="B12" s="278">
        <f>IF($A12=0,"",'Rate Log'!$C$15)</f>
        <v>46174</v>
      </c>
      <c r="C12" s="278">
        <f t="shared" si="0"/>
        <v>46174</v>
      </c>
      <c r="D12" s="160">
        <f>IF($A12=0,0,'Rate Log'!$L$15)</f>
        <v>4.401688541677426E-2</v>
      </c>
      <c r="E12" s="43">
        <f>IF($A12=0,0,'Rate Log'!$N$15)</f>
        <v>30</v>
      </c>
      <c r="F12" s="43">
        <f>IF($A12=0,0,COUNTIFS(rl_key,'Rate Log'!$J$15,$C$4:$C$243,$C12,$B$4:$B$243,"&lt;"&amp;$B12))</f>
        <v>0</v>
      </c>
      <c r="G12" s="43">
        <f>IF($A12=0,0,COUNTIFS('Rate Log'!$J$7:$J$15,'Rate Log'!$J$15,$C$4:$C12,$C12,$B$4:$B12,$B12))</f>
        <v>1</v>
      </c>
      <c r="H12" s="43">
        <f t="shared" si="1"/>
        <v>1</v>
      </c>
    </row>
    <row r="13" spans="1:10" x14ac:dyDescent="0.3">
      <c r="A13" s="43">
        <f>IF('Rate Log'!$C$16="",0,IF(OR('Rate Log'!$E$16="taken",'Rate Log'!$C$16&lt;DATE(nr_PlanYear,1,1)),1,0))</f>
        <v>1</v>
      </c>
      <c r="B13" s="278">
        <f>IF($A13=0,"",'Rate Log'!$C$16)</f>
        <v>46296</v>
      </c>
      <c r="C13" s="278">
        <f t="shared" si="0"/>
        <v>46296</v>
      </c>
      <c r="D13" s="160">
        <f>IF($A13=0,0,'Rate Log'!$L$16)</f>
        <v>9.5310179804324935E-2</v>
      </c>
      <c r="E13" s="43">
        <f>IF($A13=0,0,'Rate Log'!$N$16)</f>
        <v>31</v>
      </c>
      <c r="F13" s="43">
        <f>IF($A13=0,0,COUNTIFS(rl_key,'Rate Log'!$J$16,$C$4:$C$243,$C13,$B$4:$B$243,"&lt;"&amp;$B13))</f>
        <v>0</v>
      </c>
      <c r="G13" s="43">
        <f>IF($A13=0,0,COUNTIFS('Rate Log'!$J$7:$J$16,'Rate Log'!$J$16,$C$4:$C13,$C13,$B$4:$B13,$B13))</f>
        <v>1</v>
      </c>
      <c r="H13" s="43">
        <f t="shared" si="1"/>
        <v>1</v>
      </c>
    </row>
    <row r="14" spans="1:10" x14ac:dyDescent="0.3">
      <c r="A14" s="43">
        <f>IF('Rate Log'!$C$17="",0,IF(OR('Rate Log'!$E$17="taken",'Rate Log'!$C$17&lt;DATE(nr_PlanYear,1,1)),1,0))</f>
        <v>0</v>
      </c>
      <c r="B14" s="278" t="str">
        <f>IF($A14=0,"",'Rate Log'!$C$17)</f>
        <v/>
      </c>
      <c r="C14" s="278" t="str">
        <f t="shared" si="0"/>
        <v/>
      </c>
      <c r="D14" s="160">
        <f>IF($A14=0,0,'Rate Log'!$L$17)</f>
        <v>0</v>
      </c>
      <c r="E14" s="43">
        <f>IF($A14=0,0,'Rate Log'!$N$17)</f>
        <v>0</v>
      </c>
      <c r="F14" s="43">
        <f>IF($A14=0,0,COUNTIFS(rl_key,'Rate Log'!$J$17,$C$4:$C$243,$C14,$B$4:$B$243,"&lt;"&amp;$B14))</f>
        <v>0</v>
      </c>
      <c r="G14" s="43">
        <f>IF($A14=0,0,COUNTIFS('Rate Log'!$J$7:$J$17,'Rate Log'!$J$17,$C$4:$C14,$C14,$B$4:$B14,$B14))</f>
        <v>0</v>
      </c>
      <c r="H14" s="43">
        <f t="shared" si="1"/>
        <v>0</v>
      </c>
    </row>
    <row r="15" spans="1:10" x14ac:dyDescent="0.3">
      <c r="A15" s="43">
        <f>IF('Rate Log'!$C$18="",0,IF(OR('Rate Log'!$E$18="taken",'Rate Log'!$C$18&lt;DATE(nr_PlanYear,1,1)),1,0))</f>
        <v>1</v>
      </c>
      <c r="B15" s="278">
        <f>IF($A15=0,"",'Rate Log'!$C$18)</f>
        <v>46054</v>
      </c>
      <c r="C15" s="278">
        <f t="shared" si="0"/>
        <v>46054</v>
      </c>
      <c r="D15" s="160">
        <f>IF($A15=0,0,'Rate Log'!$L$18)</f>
        <v>2.9558802241544429E-2</v>
      </c>
      <c r="E15" s="43">
        <f>IF($A15=0,0,'Rate Log'!$N$18)</f>
        <v>28</v>
      </c>
      <c r="F15" s="43">
        <f>IF($A15=0,0,COUNTIFS(rl_key,'Rate Log'!$J$18,$C$4:$C$243,$C15,$B$4:$B$243,"&lt;"&amp;$B15))</f>
        <v>0</v>
      </c>
      <c r="G15" s="43">
        <f>IF($A15=0,0,COUNTIFS('Rate Log'!$J$7:$J$18,'Rate Log'!$J$18,$C$4:$C15,$C15,$B$4:$B15,$B15))</f>
        <v>1</v>
      </c>
      <c r="H15" s="43">
        <f t="shared" si="1"/>
        <v>1</v>
      </c>
    </row>
    <row r="16" spans="1:10" x14ac:dyDescent="0.3">
      <c r="A16" s="43">
        <f>IF('Rate Log'!$C$19="",0,IF(OR('Rate Log'!$E$19="taken",'Rate Log'!$C$19&lt;DATE(nr_PlanYear,1,1)),1,0))</f>
        <v>0</v>
      </c>
      <c r="B16" s="278" t="str">
        <f>IF($A16=0,"",'Rate Log'!$C$19)</f>
        <v/>
      </c>
      <c r="C16" s="278" t="str">
        <f t="shared" si="0"/>
        <v/>
      </c>
      <c r="D16" s="160">
        <f>IF($A16=0,0,'Rate Log'!$L$19)</f>
        <v>0</v>
      </c>
      <c r="E16" s="43">
        <f>IF($A16=0,0,'Rate Log'!$N$19)</f>
        <v>0</v>
      </c>
      <c r="F16" s="43">
        <f>IF($A16=0,0,COUNTIFS(rl_key,'Rate Log'!$J$19,$C$4:$C$243,$C16,$B$4:$B$243,"&lt;"&amp;$B16))</f>
        <v>0</v>
      </c>
      <c r="G16" s="43">
        <f>IF($A16=0,0,COUNTIFS('Rate Log'!$J$7:$J$19,'Rate Log'!$J$19,$C$4:$C16,$C16,$B$4:$B16,$B16))</f>
        <v>0</v>
      </c>
      <c r="H16" s="43">
        <f t="shared" si="1"/>
        <v>0</v>
      </c>
    </row>
    <row r="17" spans="1:8" x14ac:dyDescent="0.3">
      <c r="A17" s="43">
        <f>IF('Rate Log'!$C$20="",0,IF(OR('Rate Log'!$E$20="taken",'Rate Log'!$C$20&lt;DATE(nr_PlanYear,1,1)),1,0))</f>
        <v>1</v>
      </c>
      <c r="B17" s="278">
        <f>IF($A17=0,"",'Rate Log'!$C$20)</f>
        <v>46113</v>
      </c>
      <c r="C17" s="278">
        <f t="shared" si="0"/>
        <v>46113</v>
      </c>
      <c r="D17" s="160">
        <f>IF($A17=0,0,'Rate Log'!$L$20)</f>
        <v>4.8790164169432049E-2</v>
      </c>
      <c r="E17" s="43">
        <f>IF($A17=0,0,'Rate Log'!$N$20)</f>
        <v>30</v>
      </c>
      <c r="F17" s="43">
        <f>IF($A17=0,0,COUNTIFS(rl_key,'Rate Log'!$J$20,$C$4:$C$243,$C17,$B$4:$B$243,"&lt;"&amp;$B17))</f>
        <v>0</v>
      </c>
      <c r="G17" s="43">
        <f>IF($A17=0,0,COUNTIFS('Rate Log'!$J$7:$J$20,'Rate Log'!$J$20,$C$4:$C17,$C17,$B$4:$B17,$B17))</f>
        <v>1</v>
      </c>
      <c r="H17" s="43">
        <f t="shared" si="1"/>
        <v>1</v>
      </c>
    </row>
    <row r="18" spans="1:8" x14ac:dyDescent="0.3">
      <c r="A18" s="43">
        <f>IF('Rate Log'!$C$21="",0,IF(OR('Rate Log'!$E$21="taken",'Rate Log'!$C$21&lt;DATE(nr_PlanYear,1,1)),1,0))</f>
        <v>1</v>
      </c>
      <c r="B18" s="278">
        <f>IF($A18=0,"",'Rate Log'!$C$21)</f>
        <v>46143</v>
      </c>
      <c r="C18" s="278">
        <f t="shared" si="0"/>
        <v>46143</v>
      </c>
      <c r="D18" s="160">
        <f>IF($A18=0,0,'Rate Log'!$L$21)</f>
        <v>5.8268908123975824E-2</v>
      </c>
      <c r="E18" s="43">
        <f>IF($A18=0,0,'Rate Log'!$N$21)</f>
        <v>31</v>
      </c>
      <c r="F18" s="43">
        <f>IF($A18=0,0,COUNTIFS(rl_key,'Rate Log'!$J$21,$C$4:$C$243,$C18,$B$4:$B$243,"&lt;"&amp;$B18))</f>
        <v>0</v>
      </c>
      <c r="G18" s="43">
        <f>IF($A18=0,0,COUNTIFS('Rate Log'!$J$7:$J$21,'Rate Log'!$J$21,$C$4:$C18,$C18,$B$4:$B18,$B18))</f>
        <v>1</v>
      </c>
      <c r="H18" s="43">
        <f t="shared" si="1"/>
        <v>1</v>
      </c>
    </row>
    <row r="19" spans="1:8" x14ac:dyDescent="0.3">
      <c r="A19" s="43">
        <f>IF('Rate Log'!$C$22="",0,IF(OR('Rate Log'!$E$22="taken",'Rate Log'!$C$22&lt;DATE(nr_PlanYear,1,1)),1,0))</f>
        <v>0</v>
      </c>
      <c r="B19" s="278" t="str">
        <f>IF($A19=0,"",'Rate Log'!$C$22)</f>
        <v/>
      </c>
      <c r="C19" s="278" t="str">
        <f t="shared" si="0"/>
        <v/>
      </c>
      <c r="D19" s="160">
        <f>IF($A19=0,0,'Rate Log'!$L$22)</f>
        <v>0</v>
      </c>
      <c r="E19" s="43">
        <f>IF($A19=0,0,'Rate Log'!$N$22)</f>
        <v>0</v>
      </c>
      <c r="F19" s="43">
        <f>IF($A19=0,0,COUNTIFS(rl_key,'Rate Log'!$J$22,$C$4:$C$243,$C19,$B$4:$B$243,"&lt;"&amp;$B19))</f>
        <v>0</v>
      </c>
      <c r="G19" s="43">
        <f>IF($A19=0,0,COUNTIFS('Rate Log'!$J$7:$J$22,'Rate Log'!$J$22,$C$4:$C19,$C19,$B$4:$B19,$B19))</f>
        <v>0</v>
      </c>
      <c r="H19" s="43">
        <f t="shared" si="1"/>
        <v>0</v>
      </c>
    </row>
    <row r="20" spans="1:8" x14ac:dyDescent="0.3">
      <c r="A20" s="43">
        <f>IF('Rate Log'!$C$23="",0,IF(OR('Rate Log'!$E$23="taken",'Rate Log'!$C$23&lt;DATE(nr_PlanYear,1,1)),1,0))</f>
        <v>1</v>
      </c>
      <c r="B20" s="278">
        <f>IF($A20=0,"",'Rate Log'!$C$23)</f>
        <v>46204</v>
      </c>
      <c r="C20" s="278">
        <f t="shared" si="0"/>
        <v>46204</v>
      </c>
      <c r="D20" s="160">
        <f>IF($A20=0,0,'Rate Log'!$L$23)</f>
        <v>2.9558802241544429E-2</v>
      </c>
      <c r="E20" s="43">
        <f>IF($A20=0,0,'Rate Log'!$N$23)</f>
        <v>31</v>
      </c>
      <c r="F20" s="43">
        <f>IF($A20=0,0,COUNTIFS(rl_key,'Rate Log'!$J$23,$C$4:$C$243,$C20,$B$4:$B$243,"&lt;"&amp;$B20))</f>
        <v>0</v>
      </c>
      <c r="G20" s="43">
        <f>IF($A20=0,0,COUNTIFS('Rate Log'!$J$7:$J$23,'Rate Log'!$J$23,$C$4:$C20,$C20,$B$4:$B20,$B20))</f>
        <v>1</v>
      </c>
      <c r="H20" s="43">
        <f t="shared" si="1"/>
        <v>1</v>
      </c>
    </row>
    <row r="21" spans="1:8" x14ac:dyDescent="0.3">
      <c r="A21" s="43">
        <f>IF('Rate Log'!$C$24="",0,IF(OR('Rate Log'!$E$24="taken",'Rate Log'!$C$24&lt;DATE(nr_PlanYear,1,1)),1,0))</f>
        <v>1</v>
      </c>
      <c r="B21" s="278">
        <f>IF($A21=0,"",'Rate Log'!$C$24)</f>
        <v>46235</v>
      </c>
      <c r="C21" s="278">
        <f t="shared" si="0"/>
        <v>46235</v>
      </c>
      <c r="D21" s="160">
        <f>IF($A21=0,0,'Rate Log'!$L$24)</f>
        <v>3.9220713153281329E-2</v>
      </c>
      <c r="E21" s="43">
        <f>IF($A21=0,0,'Rate Log'!$N$24)</f>
        <v>31</v>
      </c>
      <c r="F21" s="43">
        <f>IF($A21=0,0,COUNTIFS(rl_key,'Rate Log'!$J$24,$C$4:$C$243,$C21,$B$4:$B$243,"&lt;"&amp;$B21))</f>
        <v>0</v>
      </c>
      <c r="G21" s="43">
        <f>IF($A21=0,0,COUNTIFS('Rate Log'!$J$7:$J$24,'Rate Log'!$J$24,$C$4:$C21,$C21,$B$4:$B21,$B21))</f>
        <v>1</v>
      </c>
      <c r="H21" s="43">
        <f t="shared" si="1"/>
        <v>1</v>
      </c>
    </row>
    <row r="22" spans="1:8" x14ac:dyDescent="0.3">
      <c r="A22" s="43">
        <f>IF('Rate Log'!$C$25="",0,IF(OR('Rate Log'!$E$25="taken",'Rate Log'!$C$25&lt;DATE(nr_PlanYear,1,1)),1,0))</f>
        <v>1</v>
      </c>
      <c r="B22" s="278">
        <f>IF($A22=0,"",'Rate Log'!$C$25)</f>
        <v>46296</v>
      </c>
      <c r="C22" s="278">
        <f t="shared" si="0"/>
        <v>46296</v>
      </c>
      <c r="D22" s="160">
        <f>IF($A22=0,0,'Rate Log'!$L$25)</f>
        <v>5.8268908123975824E-2</v>
      </c>
      <c r="E22" s="43">
        <f>IF($A22=0,0,'Rate Log'!$N$25)</f>
        <v>31</v>
      </c>
      <c r="F22" s="43">
        <f>IF($A22=0,0,COUNTIFS(rl_key,'Rate Log'!$J$25,$C$4:$C$243,$C22,$B$4:$B$243,"&lt;"&amp;$B22))</f>
        <v>0</v>
      </c>
      <c r="G22" s="43">
        <f>IF($A22=0,0,COUNTIFS('Rate Log'!$J$7:$J$25,'Rate Log'!$J$25,$C$4:$C22,$C22,$B$4:$B22,$B22))</f>
        <v>1</v>
      </c>
      <c r="H22" s="43">
        <f t="shared" si="1"/>
        <v>1</v>
      </c>
    </row>
    <row r="23" spans="1:8" x14ac:dyDescent="0.3">
      <c r="A23" s="43">
        <f>IF('Rate Log'!$C$26="",0,IF(OR('Rate Log'!$E$26="taken",'Rate Log'!$C$26&lt;DATE(nr_PlanYear,1,1)),1,0))</f>
        <v>0</v>
      </c>
      <c r="B23" s="278" t="str">
        <f>IF($A23=0,"",'Rate Log'!$C$26)</f>
        <v/>
      </c>
      <c r="C23" s="278" t="str">
        <f t="shared" si="0"/>
        <v/>
      </c>
      <c r="D23" s="160">
        <f>IF($A23=0,0,'Rate Log'!$L$26)</f>
        <v>0</v>
      </c>
      <c r="E23" s="43">
        <f>IF($A23=0,0,'Rate Log'!$N$26)</f>
        <v>0</v>
      </c>
      <c r="F23" s="43">
        <f>IF($A23=0,0,COUNTIFS(rl_key,'Rate Log'!$J$26,$C$4:$C$243,$C23,$B$4:$B$243,"&lt;"&amp;$B23))</f>
        <v>0</v>
      </c>
      <c r="G23" s="43">
        <f>IF($A23=0,0,COUNTIFS('Rate Log'!$J$7:$J$26,'Rate Log'!$J$26,$C$4:$C23,$C23,$B$4:$B23,$B23))</f>
        <v>0</v>
      </c>
      <c r="H23" s="43">
        <f t="shared" si="1"/>
        <v>0</v>
      </c>
    </row>
    <row r="24" spans="1:8" x14ac:dyDescent="0.3">
      <c r="A24" s="43">
        <f>IF('Rate Log'!$C$27="",0,IF(OR('Rate Log'!$E$27="taken",'Rate Log'!$C$27&lt;DATE(nr_PlanYear,1,1)),1,0))</f>
        <v>1</v>
      </c>
      <c r="B24" s="278">
        <f>IF($A24=0,"",'Rate Log'!$C$27)</f>
        <v>46327</v>
      </c>
      <c r="C24" s="278">
        <f t="shared" si="0"/>
        <v>46327</v>
      </c>
      <c r="D24" s="160">
        <f>IF($A24=0,0,'Rate Log'!$L$27)</f>
        <v>1.980262729617973E-2</v>
      </c>
      <c r="E24" s="43">
        <f>IF($A24=0,0,'Rate Log'!$N$27)</f>
        <v>30</v>
      </c>
      <c r="F24" s="43">
        <f>IF($A24=0,0,COUNTIFS(rl_key,'Rate Log'!$J$27,$C$4:$C$243,$C24,$B$4:$B$243,"&lt;"&amp;$B24))</f>
        <v>0</v>
      </c>
      <c r="G24" s="43">
        <f>IF($A24=0,0,COUNTIFS('Rate Log'!$J$7:$J$27,'Rate Log'!$J$27,$C$4:$C24,$C24,$B$4:$B24,$B24))</f>
        <v>1</v>
      </c>
      <c r="H24" s="43">
        <f t="shared" si="1"/>
        <v>1</v>
      </c>
    </row>
    <row r="25" spans="1:8" x14ac:dyDescent="0.3">
      <c r="A25" s="43">
        <f>IF('Rate Log'!$C$28="",0,IF(OR('Rate Log'!$E$28="taken",'Rate Log'!$C$28&lt;DATE(nr_PlanYear,1,1)),1,0))</f>
        <v>1</v>
      </c>
      <c r="B25" s="278">
        <f>IF($A25=0,"",'Rate Log'!$C$28)</f>
        <v>46023</v>
      </c>
      <c r="C25" s="278">
        <f t="shared" si="0"/>
        <v>46023</v>
      </c>
      <c r="D25" s="160">
        <f>IF($A25=0,0,'Rate Log'!$L$28)</f>
        <v>3.9220713153281329E-2</v>
      </c>
      <c r="E25" s="43">
        <f>IF($A25=0,0,'Rate Log'!$N$28)</f>
        <v>31</v>
      </c>
      <c r="F25" s="43">
        <f>IF($A25=0,0,COUNTIFS(rl_key,'Rate Log'!$J$28,$C$4:$C$243,$C25,$B$4:$B$243,"&lt;"&amp;$B25))</f>
        <v>0</v>
      </c>
      <c r="G25" s="43">
        <f>IF($A25=0,0,COUNTIFS('Rate Log'!$J$7:$J$28,'Rate Log'!$J$28,$C$4:$C25,$C25,$B$4:$B25,$B25))</f>
        <v>1</v>
      </c>
      <c r="H25" s="43">
        <f t="shared" si="1"/>
        <v>1</v>
      </c>
    </row>
    <row r="26" spans="1:8" x14ac:dyDescent="0.3">
      <c r="A26" s="43">
        <f>IF('Rate Log'!$C$29="",0,IF(OR('Rate Log'!$E$29="taken",'Rate Log'!$C$29&lt;DATE(nr_PlanYear,1,1)),1,0))</f>
        <v>1</v>
      </c>
      <c r="B26" s="278">
        <f>IF($A26=0,"",'Rate Log'!$C$29)</f>
        <v>46054</v>
      </c>
      <c r="C26" s="278">
        <f t="shared" si="0"/>
        <v>46054</v>
      </c>
      <c r="D26" s="160">
        <f>IF($A26=0,0,'Rate Log'!$L$29)</f>
        <v>4.8790164169432049E-2</v>
      </c>
      <c r="E26" s="43">
        <f>IF($A26=0,0,'Rate Log'!$N$29)</f>
        <v>28</v>
      </c>
      <c r="F26" s="43">
        <f>IF($A26=0,0,COUNTIFS(rl_key,'Rate Log'!$J$29,$C$4:$C$243,$C26,$B$4:$B$243,"&lt;"&amp;$B26))</f>
        <v>0</v>
      </c>
      <c r="G26" s="43">
        <f>IF($A26=0,0,COUNTIFS('Rate Log'!$J$7:$J$29,'Rate Log'!$J$29,$C$4:$C26,$C26,$B$4:$B26,$B26))</f>
        <v>1</v>
      </c>
      <c r="H26" s="43">
        <f t="shared" si="1"/>
        <v>1</v>
      </c>
    </row>
    <row r="27" spans="1:8" x14ac:dyDescent="0.3">
      <c r="A27" s="43">
        <f>IF('Rate Log'!$C$30="",0,IF(OR('Rate Log'!$E$30="taken",'Rate Log'!$C$30&lt;DATE(nr_PlanYear,1,1)),1,0))</f>
        <v>0</v>
      </c>
      <c r="B27" s="278" t="str">
        <f>IF($A27=0,"",'Rate Log'!$C$30)</f>
        <v/>
      </c>
      <c r="C27" s="278" t="str">
        <f t="shared" si="0"/>
        <v/>
      </c>
      <c r="D27" s="160">
        <f>IF($A27=0,0,'Rate Log'!$L$30)</f>
        <v>0</v>
      </c>
      <c r="E27" s="43">
        <f>IF($A27=0,0,'Rate Log'!$N$30)</f>
        <v>0</v>
      </c>
      <c r="F27" s="43">
        <f>IF($A27=0,0,COUNTIFS(rl_key,'Rate Log'!$J$30,$C$4:$C$243,$C27,$B$4:$B$243,"&lt;"&amp;$B27))</f>
        <v>0</v>
      </c>
      <c r="G27" s="43">
        <f>IF($A27=0,0,COUNTIFS('Rate Log'!$J$7:$J$30,'Rate Log'!$J$30,$C$4:$C27,$C27,$B$4:$B27,$B27))</f>
        <v>0</v>
      </c>
      <c r="H27" s="43">
        <f t="shared" si="1"/>
        <v>0</v>
      </c>
    </row>
    <row r="28" spans="1:8" x14ac:dyDescent="0.3">
      <c r="A28" s="43">
        <f>IF('Rate Log'!$C$31="",0,IF(OR('Rate Log'!$E$31="taken",'Rate Log'!$C$31&lt;DATE(nr_PlanYear,1,1)),1,0))</f>
        <v>1</v>
      </c>
      <c r="B28" s="278">
        <f>IF($A28=0,"",'Rate Log'!$C$31)</f>
        <v>46113</v>
      </c>
      <c r="C28" s="278">
        <f t="shared" si="0"/>
        <v>46113</v>
      </c>
      <c r="D28" s="160">
        <f>IF($A28=0,0,'Rate Log'!$L$31)</f>
        <v>1.980262729617973E-2</v>
      </c>
      <c r="E28" s="43">
        <f>IF($A28=0,0,'Rate Log'!$N$31)</f>
        <v>30</v>
      </c>
      <c r="F28" s="43">
        <f>IF($A28=0,0,COUNTIFS(rl_key,'Rate Log'!$J$31,$C$4:$C$243,$C28,$B$4:$B$243,"&lt;"&amp;$B28))</f>
        <v>0</v>
      </c>
      <c r="G28" s="43">
        <f>IF($A28=0,0,COUNTIFS('Rate Log'!$J$7:$J$31,'Rate Log'!$J$31,$C$4:$C28,$C28,$B$4:$B28,$B28))</f>
        <v>1</v>
      </c>
      <c r="H28" s="43">
        <f t="shared" si="1"/>
        <v>1</v>
      </c>
    </row>
    <row r="29" spans="1:8" x14ac:dyDescent="0.3">
      <c r="A29" s="43">
        <f>IF('Rate Log'!$C$32="",0,IF(OR('Rate Log'!$E$32="taken",'Rate Log'!$C$32&lt;DATE(nr_PlanYear,1,1)),1,0))</f>
        <v>1</v>
      </c>
      <c r="B29" s="278">
        <f>IF($A29=0,"",'Rate Log'!$C$32)</f>
        <v>46143</v>
      </c>
      <c r="C29" s="278">
        <f t="shared" si="0"/>
        <v>46143</v>
      </c>
      <c r="D29" s="160">
        <f>IF($A29=0,0,'Rate Log'!$L$32)</f>
        <v>2.9558802241544429E-2</v>
      </c>
      <c r="E29" s="43">
        <f>IF($A29=0,0,'Rate Log'!$N$32)</f>
        <v>31</v>
      </c>
      <c r="F29" s="43">
        <f>IF($A29=0,0,COUNTIFS(rl_key,'Rate Log'!$J$32,$C$4:$C$243,$C29,$B$4:$B$243,"&lt;"&amp;$B29))</f>
        <v>0</v>
      </c>
      <c r="G29" s="43">
        <f>IF($A29=0,0,COUNTIFS('Rate Log'!$J$7:$J$32,'Rate Log'!$J$32,$C$4:$C29,$C29,$B$4:$B29,$B29))</f>
        <v>1</v>
      </c>
      <c r="H29" s="43">
        <f t="shared" si="1"/>
        <v>1</v>
      </c>
    </row>
    <row r="30" spans="1:8" x14ac:dyDescent="0.3">
      <c r="A30" s="43">
        <f>IF('Rate Log'!$C$33="",0,IF(OR('Rate Log'!$E$33="taken",'Rate Log'!$C$33&lt;DATE(nr_PlanYear,1,1)),1,0))</f>
        <v>0</v>
      </c>
      <c r="B30" s="278" t="str">
        <f>IF($A30=0,"",'Rate Log'!$C$33)</f>
        <v/>
      </c>
      <c r="C30" s="278" t="str">
        <f t="shared" si="0"/>
        <v/>
      </c>
      <c r="D30" s="160">
        <f>IF($A30=0,0,'Rate Log'!$L$33)</f>
        <v>0</v>
      </c>
      <c r="E30" s="43">
        <f>IF($A30=0,0,'Rate Log'!$N$33)</f>
        <v>0</v>
      </c>
      <c r="F30" s="43">
        <f>IF($A30=0,0,COUNTIFS(rl_key,'Rate Log'!$J$33,$C$4:$C$243,$C30,$B$4:$B$243,"&lt;"&amp;$B30))</f>
        <v>0</v>
      </c>
      <c r="G30" s="43">
        <f>IF($A30=0,0,COUNTIFS('Rate Log'!$J$7:$J$33,'Rate Log'!$J$33,$C$4:$C30,$C30,$B$4:$B30,$B30))</f>
        <v>0</v>
      </c>
      <c r="H30" s="43">
        <f t="shared" si="1"/>
        <v>0</v>
      </c>
    </row>
    <row r="31" spans="1:8" x14ac:dyDescent="0.3">
      <c r="A31" s="43">
        <f>IF('Rate Log'!$C$34="",0,IF(OR('Rate Log'!$E$34="taken",'Rate Log'!$C$34&lt;DATE(nr_PlanYear,1,1)),1,0))</f>
        <v>1</v>
      </c>
      <c r="B31" s="278">
        <f>IF($A31=0,"",'Rate Log'!$C$34)</f>
        <v>46204</v>
      </c>
      <c r="C31" s="278">
        <f t="shared" si="0"/>
        <v>46204</v>
      </c>
      <c r="D31" s="160">
        <f>IF($A31=0,0,'Rate Log'!$L$34)</f>
        <v>4.8790164169432049E-2</v>
      </c>
      <c r="E31" s="43">
        <f>IF($A31=0,0,'Rate Log'!$N$34)</f>
        <v>31</v>
      </c>
      <c r="F31" s="43">
        <f>IF($A31=0,0,COUNTIFS(rl_key,'Rate Log'!$J$34,$C$4:$C$243,$C31,$B$4:$B$243,"&lt;"&amp;$B31))</f>
        <v>0</v>
      </c>
      <c r="G31" s="43">
        <f>IF($A31=0,0,COUNTIFS('Rate Log'!$J$7:$J$34,'Rate Log'!$J$34,$C$4:$C31,$C31,$B$4:$B31,$B31))</f>
        <v>1</v>
      </c>
      <c r="H31" s="43">
        <f t="shared" si="1"/>
        <v>1</v>
      </c>
    </row>
    <row r="32" spans="1:8" x14ac:dyDescent="0.3">
      <c r="A32" s="43">
        <f>IF('Rate Log'!$C$35="",0,IF(OR('Rate Log'!$E$35="taken",'Rate Log'!$C$35&lt;DATE(nr_PlanYear,1,1)),1,0))</f>
        <v>1</v>
      </c>
      <c r="B32" s="278">
        <f>IF($A32=0,"",'Rate Log'!$C$35)</f>
        <v>46235</v>
      </c>
      <c r="C32" s="278">
        <f t="shared" si="0"/>
        <v>46235</v>
      </c>
      <c r="D32" s="160">
        <f>IF($A32=0,0,'Rate Log'!$L$35)</f>
        <v>5.8268908123975824E-2</v>
      </c>
      <c r="E32" s="43">
        <f>IF($A32=0,0,'Rate Log'!$N$35)</f>
        <v>31</v>
      </c>
      <c r="F32" s="43">
        <f>IF($A32=0,0,COUNTIFS(rl_key,'Rate Log'!$J$35,$C$4:$C$243,$C32,$B$4:$B$243,"&lt;"&amp;$B32))</f>
        <v>0</v>
      </c>
      <c r="G32" s="43">
        <f>IF($A32=0,0,COUNTIFS('Rate Log'!$J$7:$J$35,'Rate Log'!$J$35,$C$4:$C32,$C32,$B$4:$B32,$B32))</f>
        <v>1</v>
      </c>
      <c r="H32" s="43">
        <f t="shared" si="1"/>
        <v>1</v>
      </c>
    </row>
    <row r="33" spans="1:8" x14ac:dyDescent="0.3">
      <c r="A33" s="43">
        <f>IF('Rate Log'!$C$36="",0,IF(OR('Rate Log'!$E$36="taken",'Rate Log'!$C$36&lt;DATE(nr_PlanYear,1,1)),1,0))</f>
        <v>1</v>
      </c>
      <c r="B33" s="278">
        <f>IF($A33=0,"",'Rate Log'!$C$36)</f>
        <v>46296</v>
      </c>
      <c r="C33" s="278">
        <f t="shared" si="0"/>
        <v>46296</v>
      </c>
      <c r="D33" s="160">
        <f>IF($A33=0,0,'Rate Log'!$L$36)</f>
        <v>2.9558802241544429E-2</v>
      </c>
      <c r="E33" s="43">
        <f>IF($A33=0,0,'Rate Log'!$N$36)</f>
        <v>31</v>
      </c>
      <c r="F33" s="43">
        <f>IF($A33=0,0,COUNTIFS(rl_key,'Rate Log'!$J$36,$C$4:$C$243,$C33,$B$4:$B$243,"&lt;"&amp;$B33))</f>
        <v>0</v>
      </c>
      <c r="G33" s="43">
        <f>IF($A33=0,0,COUNTIFS('Rate Log'!$J$7:$J$36,'Rate Log'!$J$36,$C$4:$C33,$C33,$B$4:$B33,$B33))</f>
        <v>1</v>
      </c>
      <c r="H33" s="43">
        <f t="shared" si="1"/>
        <v>1</v>
      </c>
    </row>
    <row r="34" spans="1:8" x14ac:dyDescent="0.3">
      <c r="A34" s="43">
        <f>IF('Rate Log'!$C$37="",0,IF(OR('Rate Log'!$E$37="taken",'Rate Log'!$C$37&lt;DATE(nr_PlanYear,1,1)),1,0))</f>
        <v>0</v>
      </c>
      <c r="B34" s="278" t="str">
        <f>IF($A34=0,"",'Rate Log'!$C$37)</f>
        <v/>
      </c>
      <c r="C34" s="278" t="str">
        <f t="shared" si="0"/>
        <v/>
      </c>
      <c r="D34" s="160">
        <f>IF($A34=0,0,'Rate Log'!$L$37)</f>
        <v>0</v>
      </c>
      <c r="E34" s="43">
        <f>IF($A34=0,0,'Rate Log'!$N$37)</f>
        <v>0</v>
      </c>
      <c r="F34" s="43">
        <f>IF($A34=0,0,COUNTIFS(rl_key,'Rate Log'!$J$37,$C$4:$C$243,$C34,$B$4:$B$243,"&lt;"&amp;$B34))</f>
        <v>0</v>
      </c>
      <c r="G34" s="43">
        <f>IF($A34=0,0,COUNTIFS('Rate Log'!$J$7:$J$37,'Rate Log'!$J$37,$C$4:$C34,$C34,$B$4:$B34,$B34))</f>
        <v>0</v>
      </c>
      <c r="H34" s="43">
        <f t="shared" si="1"/>
        <v>0</v>
      </c>
    </row>
    <row r="35" spans="1:8" x14ac:dyDescent="0.3">
      <c r="A35" s="43">
        <f>IF('Rate Log'!$C$38="",0,IF(OR('Rate Log'!$E$38="taken",'Rate Log'!$C$38&lt;DATE(nr_PlanYear,1,1)),1,0))</f>
        <v>1</v>
      </c>
      <c r="B35" s="278">
        <f>IF($A35=0,"",'Rate Log'!$C$38)</f>
        <v>46327</v>
      </c>
      <c r="C35" s="278">
        <f t="shared" si="0"/>
        <v>46327</v>
      </c>
      <c r="D35" s="160">
        <f>IF($A35=0,0,'Rate Log'!$L$38)</f>
        <v>3.9220713153281329E-2</v>
      </c>
      <c r="E35" s="43">
        <f>IF($A35=0,0,'Rate Log'!$N$38)</f>
        <v>30</v>
      </c>
      <c r="F35" s="43">
        <f>IF($A35=0,0,COUNTIFS(rl_key,'Rate Log'!$J$38,$C$4:$C$243,$C35,$B$4:$B$243,"&lt;"&amp;$B35))</f>
        <v>0</v>
      </c>
      <c r="G35" s="43">
        <f>IF($A35=0,0,COUNTIFS('Rate Log'!$J$7:$J$38,'Rate Log'!$J$38,$C$4:$C35,$C35,$B$4:$B35,$B35))</f>
        <v>1</v>
      </c>
      <c r="H35" s="43">
        <f t="shared" si="1"/>
        <v>1</v>
      </c>
    </row>
    <row r="36" spans="1:8" x14ac:dyDescent="0.3">
      <c r="A36" s="43">
        <f>IF('Rate Log'!$C$39="",0,IF(OR('Rate Log'!$E$39="taken",'Rate Log'!$C$39&lt;DATE(nr_PlanYear,1,1)),1,0))</f>
        <v>1</v>
      </c>
      <c r="B36" s="278">
        <f>IF($A36=0,"",'Rate Log'!$C$39)</f>
        <v>46054</v>
      </c>
      <c r="C36" s="278">
        <f t="shared" si="0"/>
        <v>46054</v>
      </c>
      <c r="D36" s="160">
        <f>IF($A36=0,0,'Rate Log'!$L$39)</f>
        <v>1.980262729617973E-2</v>
      </c>
      <c r="E36" s="43">
        <f>IF($A36=0,0,'Rate Log'!$N$39)</f>
        <v>28</v>
      </c>
      <c r="F36" s="43">
        <f>IF($A36=0,0,COUNTIFS(rl_key,'Rate Log'!$J$39,$C$4:$C$243,$C36,$B$4:$B$243,"&lt;"&amp;$B36))</f>
        <v>0</v>
      </c>
      <c r="G36" s="43">
        <f>IF($A36=0,0,COUNTIFS('Rate Log'!$J$7:$J$39,'Rate Log'!$J$39,$C$4:$C36,$C36,$B$4:$B36,$B36))</f>
        <v>1</v>
      </c>
      <c r="H36" s="43">
        <f t="shared" si="1"/>
        <v>1</v>
      </c>
    </row>
    <row r="37" spans="1:8" x14ac:dyDescent="0.3">
      <c r="A37" s="43">
        <f>IF('Rate Log'!$C$40="",0,IF(OR('Rate Log'!$E$40="taken",'Rate Log'!$C$40&lt;DATE(nr_PlanYear,1,1)),1,0))</f>
        <v>0</v>
      </c>
      <c r="B37" s="278" t="str">
        <f>IF($A37=0,"",'Rate Log'!$C$40)</f>
        <v/>
      </c>
      <c r="C37" s="278" t="str">
        <f t="shared" si="0"/>
        <v/>
      </c>
      <c r="D37" s="160">
        <f>IF($A37=0,0,'Rate Log'!$L$40)</f>
        <v>0</v>
      </c>
      <c r="E37" s="43">
        <f>IF($A37=0,0,'Rate Log'!$N$40)</f>
        <v>0</v>
      </c>
      <c r="F37" s="43">
        <f>IF($A37=0,0,COUNTIFS(rl_key,'Rate Log'!$J$40,$C$4:$C$243,$C37,$B$4:$B$243,"&lt;"&amp;$B37))</f>
        <v>0</v>
      </c>
      <c r="G37" s="43">
        <f>IF($A37=0,0,COUNTIFS('Rate Log'!$J$7:$J$40,'Rate Log'!$J$40,$C$4:$C37,$C37,$B$4:$B37,$B37))</f>
        <v>0</v>
      </c>
      <c r="H37" s="43">
        <f t="shared" si="1"/>
        <v>0</v>
      </c>
    </row>
    <row r="38" spans="1:8" x14ac:dyDescent="0.3">
      <c r="A38" s="43">
        <f>IF('Rate Log'!$C$41="",0,IF(OR('Rate Log'!$E$41="taken",'Rate Log'!$C$41&lt;DATE(nr_PlanYear,1,1)),1,0))</f>
        <v>1</v>
      </c>
      <c r="B38" s="278">
        <f>IF($A38=0,"",'Rate Log'!$C$41)</f>
        <v>46113</v>
      </c>
      <c r="C38" s="278">
        <f t="shared" si="0"/>
        <v>46113</v>
      </c>
      <c r="D38" s="160">
        <f>IF($A38=0,0,'Rate Log'!$L$41)</f>
        <v>3.9220713153281329E-2</v>
      </c>
      <c r="E38" s="43">
        <f>IF($A38=0,0,'Rate Log'!$N$41)</f>
        <v>30</v>
      </c>
      <c r="F38" s="43">
        <f>IF($A38=0,0,COUNTIFS(rl_key,'Rate Log'!$J$41,$C$4:$C$243,$C38,$B$4:$B$243,"&lt;"&amp;$B38))</f>
        <v>0</v>
      </c>
      <c r="G38" s="43">
        <f>IF($A38=0,0,COUNTIFS('Rate Log'!$J$7:$J$41,'Rate Log'!$J$41,$C$4:$C38,$C38,$B$4:$B38,$B38))</f>
        <v>1</v>
      </c>
      <c r="H38" s="43">
        <f t="shared" si="1"/>
        <v>1</v>
      </c>
    </row>
    <row r="39" spans="1:8" x14ac:dyDescent="0.3">
      <c r="A39" s="43">
        <f>IF('Rate Log'!$C$42="",0,IF(OR('Rate Log'!$E$42="taken",'Rate Log'!$C$42&lt;DATE(nr_PlanYear,1,1)),1,0))</f>
        <v>1</v>
      </c>
      <c r="B39" s="278">
        <f>IF($A39=0,"",'Rate Log'!$C$42)</f>
        <v>46143</v>
      </c>
      <c r="C39" s="278">
        <f t="shared" si="0"/>
        <v>46143</v>
      </c>
      <c r="D39" s="160">
        <f>IF($A39=0,0,'Rate Log'!$L$42)</f>
        <v>4.8790164169432049E-2</v>
      </c>
      <c r="E39" s="43">
        <f>IF($A39=0,0,'Rate Log'!$N$42)</f>
        <v>31</v>
      </c>
      <c r="F39" s="43">
        <f>IF($A39=0,0,COUNTIFS(rl_key,'Rate Log'!$J$42,$C$4:$C$243,$C39,$B$4:$B$243,"&lt;"&amp;$B39))</f>
        <v>0</v>
      </c>
      <c r="G39" s="43">
        <f>IF($A39=0,0,COUNTIFS('Rate Log'!$J$7:$J$42,'Rate Log'!$J$42,$C$4:$C39,$C39,$B$4:$B39,$B39))</f>
        <v>1</v>
      </c>
      <c r="H39" s="43">
        <f t="shared" si="1"/>
        <v>1</v>
      </c>
    </row>
    <row r="40" spans="1:8" x14ac:dyDescent="0.3">
      <c r="A40" s="43">
        <f>IF('Rate Log'!$C$43="",0,IF(OR('Rate Log'!$E$43="taken",'Rate Log'!$C$43&lt;DATE(nr_PlanYear,1,1)),1,0))</f>
        <v>0</v>
      </c>
      <c r="B40" s="278" t="str">
        <f>IF($A40=0,"",'Rate Log'!$C$43)</f>
        <v/>
      </c>
      <c r="C40" s="278" t="str">
        <f t="shared" si="0"/>
        <v/>
      </c>
      <c r="D40" s="160">
        <f>IF($A40=0,0,'Rate Log'!$L$43)</f>
        <v>0</v>
      </c>
      <c r="E40" s="43">
        <f>IF($A40=0,0,'Rate Log'!$N$43)</f>
        <v>0</v>
      </c>
      <c r="F40" s="43">
        <f>IF($A40=0,0,COUNTIFS(rl_key,'Rate Log'!$J$43,$C$4:$C$243,$C40,$B$4:$B$243,"&lt;"&amp;$B40))</f>
        <v>0</v>
      </c>
      <c r="G40" s="43">
        <f>IF($A40=0,0,COUNTIFS('Rate Log'!$J$7:$J$43,'Rate Log'!$J$43,$C$4:$C40,$C40,$B$4:$B40,$B40))</f>
        <v>0</v>
      </c>
      <c r="H40" s="43">
        <f t="shared" si="1"/>
        <v>0</v>
      </c>
    </row>
    <row r="41" spans="1:8" x14ac:dyDescent="0.3">
      <c r="A41" s="43">
        <f>IF('Rate Log'!$C$44="",0,IF(OR('Rate Log'!$E$44="taken",'Rate Log'!$C$44&lt;DATE(nr_PlanYear,1,1)),1,0))</f>
        <v>1</v>
      </c>
      <c r="B41" s="278">
        <f>IF($A41=0,"",'Rate Log'!$C$44)</f>
        <v>46204</v>
      </c>
      <c r="C41" s="278">
        <f t="shared" si="0"/>
        <v>46204</v>
      </c>
      <c r="D41" s="160">
        <f>IF($A41=0,0,'Rate Log'!$L$44)</f>
        <v>1.980262729617973E-2</v>
      </c>
      <c r="E41" s="43">
        <f>IF($A41=0,0,'Rate Log'!$N$44)</f>
        <v>31</v>
      </c>
      <c r="F41" s="43">
        <f>IF($A41=0,0,COUNTIFS(rl_key,'Rate Log'!$J$44,$C$4:$C$243,$C41,$B$4:$B$243,"&lt;"&amp;$B41))</f>
        <v>0</v>
      </c>
      <c r="G41" s="43">
        <f>IF($A41=0,0,COUNTIFS('Rate Log'!$J$7:$J$44,'Rate Log'!$J$44,$C$4:$C41,$C41,$B$4:$B41,$B41))</f>
        <v>1</v>
      </c>
      <c r="H41" s="43">
        <f t="shared" si="1"/>
        <v>1</v>
      </c>
    </row>
    <row r="42" spans="1:8" x14ac:dyDescent="0.3">
      <c r="A42" s="43">
        <f>IF('Rate Log'!$C$45="",0,IF(OR('Rate Log'!$E$45="taken",'Rate Log'!$C$45&lt;DATE(nr_PlanYear,1,1)),1,0))</f>
        <v>1</v>
      </c>
      <c r="B42" s="278">
        <f>IF($A42=0,"",'Rate Log'!$C$45)</f>
        <v>46235</v>
      </c>
      <c r="C42" s="278">
        <f t="shared" si="0"/>
        <v>46235</v>
      </c>
      <c r="D42" s="160">
        <f>IF($A42=0,0,'Rate Log'!$L$45)</f>
        <v>2.9558802241544429E-2</v>
      </c>
      <c r="E42" s="43">
        <f>IF($A42=0,0,'Rate Log'!$N$45)</f>
        <v>31</v>
      </c>
      <c r="F42" s="43">
        <f>IF($A42=0,0,COUNTIFS(rl_key,'Rate Log'!$J$45,$C$4:$C$243,$C42,$B$4:$B$243,"&lt;"&amp;$B42))</f>
        <v>0</v>
      </c>
      <c r="G42" s="43">
        <f>IF($A42=0,0,COUNTIFS('Rate Log'!$J$7:$J$45,'Rate Log'!$J$45,$C$4:$C42,$C42,$B$4:$B42,$B42))</f>
        <v>1</v>
      </c>
      <c r="H42" s="43">
        <f t="shared" si="1"/>
        <v>1</v>
      </c>
    </row>
    <row r="43" spans="1:8" x14ac:dyDescent="0.3">
      <c r="A43" s="43">
        <f>IF('Rate Log'!$C$46="",0,IF(OR('Rate Log'!$E$46="taken",'Rate Log'!$C$46&lt;DATE(nr_PlanYear,1,1)),1,0))</f>
        <v>1</v>
      </c>
      <c r="B43" s="278">
        <f>IF($A43=0,"",'Rate Log'!$C$46)</f>
        <v>46296</v>
      </c>
      <c r="C43" s="278">
        <f t="shared" si="0"/>
        <v>46296</v>
      </c>
      <c r="D43" s="160">
        <f>IF($A43=0,0,'Rate Log'!$L$46)</f>
        <v>4.8790164169432049E-2</v>
      </c>
      <c r="E43" s="43">
        <f>IF($A43=0,0,'Rate Log'!$N$46)</f>
        <v>31</v>
      </c>
      <c r="F43" s="43">
        <f>IF($A43=0,0,COUNTIFS(rl_key,'Rate Log'!$J$46,$C$4:$C$243,$C43,$B$4:$B$243,"&lt;"&amp;$B43))</f>
        <v>0</v>
      </c>
      <c r="G43" s="43">
        <f>IF($A43=0,0,COUNTIFS('Rate Log'!$J$7:$J$46,'Rate Log'!$J$46,$C$4:$C43,$C43,$B$4:$B43,$B43))</f>
        <v>1</v>
      </c>
      <c r="H43" s="43">
        <f t="shared" si="1"/>
        <v>1</v>
      </c>
    </row>
    <row r="44" spans="1:8" x14ac:dyDescent="0.3">
      <c r="A44" s="43">
        <f>IF('Rate Log'!$C$47="",0,IF(OR('Rate Log'!$E$47="taken",'Rate Log'!$C$47&lt;DATE(nr_PlanYear,1,1)),1,0))</f>
        <v>0</v>
      </c>
      <c r="B44" s="278" t="str">
        <f>IF($A44=0,"",'Rate Log'!$C$47)</f>
        <v/>
      </c>
      <c r="C44" s="278" t="str">
        <f t="shared" si="0"/>
        <v/>
      </c>
      <c r="D44" s="160">
        <f>IF($A44=0,0,'Rate Log'!$L$47)</f>
        <v>0</v>
      </c>
      <c r="E44" s="43">
        <f>IF($A44=0,0,'Rate Log'!$N$47)</f>
        <v>0</v>
      </c>
      <c r="F44" s="43">
        <f>IF($A44=0,0,COUNTIFS(rl_key,'Rate Log'!$J$47,$C$4:$C$243,$C44,$B$4:$B$243,"&lt;"&amp;$B44))</f>
        <v>0</v>
      </c>
      <c r="G44" s="43">
        <f>IF($A44=0,0,COUNTIFS('Rate Log'!$J$7:$J$47,'Rate Log'!$J$47,$C$4:$C44,$C44,$B$4:$B44,$B44))</f>
        <v>0</v>
      </c>
      <c r="H44" s="43">
        <f t="shared" si="1"/>
        <v>0</v>
      </c>
    </row>
    <row r="45" spans="1:8" x14ac:dyDescent="0.3">
      <c r="A45" s="43">
        <f>IF('Rate Log'!$C$48="",0,IF(OR('Rate Log'!$E$48="taken",'Rate Log'!$C$48&lt;DATE(nr_PlanYear,1,1)),1,0))</f>
        <v>1</v>
      </c>
      <c r="B45" s="278">
        <f>IF($A45=0,"",'Rate Log'!$C$48)</f>
        <v>46327</v>
      </c>
      <c r="C45" s="278">
        <f t="shared" si="0"/>
        <v>46327</v>
      </c>
      <c r="D45" s="160">
        <f>IF($A45=0,0,'Rate Log'!$L$48)</f>
        <v>5.8268908123975824E-2</v>
      </c>
      <c r="E45" s="43">
        <f>IF($A45=0,0,'Rate Log'!$N$48)</f>
        <v>30</v>
      </c>
      <c r="F45" s="43">
        <f>IF($A45=0,0,COUNTIFS(rl_key,'Rate Log'!$J$48,$C$4:$C$243,$C45,$B$4:$B$243,"&lt;"&amp;$B45))</f>
        <v>0</v>
      </c>
      <c r="G45" s="43">
        <f>IF($A45=0,0,COUNTIFS('Rate Log'!$J$7:$J$48,'Rate Log'!$J$48,$C$4:$C45,$C45,$B$4:$B45,$B45))</f>
        <v>1</v>
      </c>
      <c r="H45" s="43">
        <f t="shared" si="1"/>
        <v>1</v>
      </c>
    </row>
    <row r="46" spans="1:8" x14ac:dyDescent="0.3">
      <c r="A46" s="43">
        <f>IF('Rate Log'!$C$49="",0,IF(OR('Rate Log'!$E$49="taken",'Rate Log'!$C$49&lt;DATE(nr_PlanYear,1,1)),1,0))</f>
        <v>1</v>
      </c>
      <c r="B46" s="278">
        <f>IF($A46=0,"",'Rate Log'!$C$49)</f>
        <v>46023</v>
      </c>
      <c r="C46" s="278">
        <f t="shared" si="0"/>
        <v>46023</v>
      </c>
      <c r="D46" s="160">
        <f>IF($A46=0,0,'Rate Log'!$L$49)</f>
        <v>2.9558802241544429E-2</v>
      </c>
      <c r="E46" s="43">
        <f>IF($A46=0,0,'Rate Log'!$N$49)</f>
        <v>31</v>
      </c>
      <c r="F46" s="43">
        <f>IF($A46=0,0,COUNTIFS(rl_key,'Rate Log'!$J$49,$C$4:$C$243,$C46,$B$4:$B$243,"&lt;"&amp;$B46))</f>
        <v>0</v>
      </c>
      <c r="G46" s="43">
        <f>IF($A46=0,0,COUNTIFS('Rate Log'!$J$7:$J$49,'Rate Log'!$J$49,$C$4:$C46,$C46,$B$4:$B46,$B46))</f>
        <v>1</v>
      </c>
      <c r="H46" s="43">
        <f t="shared" si="1"/>
        <v>1</v>
      </c>
    </row>
    <row r="47" spans="1:8" x14ac:dyDescent="0.3">
      <c r="A47" s="43">
        <f>IF('Rate Log'!$C$50="",0,IF(OR('Rate Log'!$E$50="taken",'Rate Log'!$C$50&lt;DATE(nr_PlanYear,1,1)),1,0))</f>
        <v>1</v>
      </c>
      <c r="B47" s="278">
        <f>IF($A47=0,"",'Rate Log'!$C$50)</f>
        <v>46054</v>
      </c>
      <c r="C47" s="278">
        <f t="shared" si="0"/>
        <v>46054</v>
      </c>
      <c r="D47" s="160">
        <f>IF($A47=0,0,'Rate Log'!$L$50)</f>
        <v>3.9220713153281329E-2</v>
      </c>
      <c r="E47" s="43">
        <f>IF($A47=0,0,'Rate Log'!$N$50)</f>
        <v>28</v>
      </c>
      <c r="F47" s="43">
        <f>IF($A47=0,0,COUNTIFS(rl_key,'Rate Log'!$J$50,$C$4:$C$243,$C47,$B$4:$B$243,"&lt;"&amp;$B47))</f>
        <v>0</v>
      </c>
      <c r="G47" s="43">
        <f>IF($A47=0,0,COUNTIFS('Rate Log'!$J$7:$J$50,'Rate Log'!$J$50,$C$4:$C47,$C47,$B$4:$B47,$B47))</f>
        <v>1</v>
      </c>
      <c r="H47" s="43">
        <f t="shared" si="1"/>
        <v>1</v>
      </c>
    </row>
    <row r="48" spans="1:8" x14ac:dyDescent="0.3">
      <c r="A48" s="43">
        <f>IF('Rate Log'!$C$51="",0,IF(OR('Rate Log'!$E$51="taken",'Rate Log'!$C$51&lt;DATE(nr_PlanYear,1,1)),1,0))</f>
        <v>0</v>
      </c>
      <c r="B48" s="278" t="str">
        <f>IF($A48=0,"",'Rate Log'!$C$51)</f>
        <v/>
      </c>
      <c r="C48" s="278" t="str">
        <f t="shared" si="0"/>
        <v/>
      </c>
      <c r="D48" s="160">
        <f>IF($A48=0,0,'Rate Log'!$L$51)</f>
        <v>0</v>
      </c>
      <c r="E48" s="43">
        <f>IF($A48=0,0,'Rate Log'!$N$51)</f>
        <v>0</v>
      </c>
      <c r="F48" s="43">
        <f>IF($A48=0,0,COUNTIFS(rl_key,'Rate Log'!$J$51,$C$4:$C$243,$C48,$B$4:$B$243,"&lt;"&amp;$B48))</f>
        <v>0</v>
      </c>
      <c r="G48" s="43">
        <f>IF($A48=0,0,COUNTIFS('Rate Log'!$J$7:$J$51,'Rate Log'!$J$51,$C$4:$C48,$C48,$B$4:$B48,$B48))</f>
        <v>0</v>
      </c>
      <c r="H48" s="43">
        <f t="shared" si="1"/>
        <v>0</v>
      </c>
    </row>
    <row r="49" spans="1:8" x14ac:dyDescent="0.3">
      <c r="A49" s="43">
        <f>IF('Rate Log'!$C$52="",0,IF(OR('Rate Log'!$E$52="taken",'Rate Log'!$C$52&lt;DATE(nr_PlanYear,1,1)),1,0))</f>
        <v>1</v>
      </c>
      <c r="B49" s="278">
        <f>IF($A49=0,"",'Rate Log'!$C$52)</f>
        <v>46113</v>
      </c>
      <c r="C49" s="278">
        <f t="shared" si="0"/>
        <v>46113</v>
      </c>
      <c r="D49" s="160">
        <f>IF($A49=0,0,'Rate Log'!$L$52)</f>
        <v>5.8268908123975824E-2</v>
      </c>
      <c r="E49" s="43">
        <f>IF($A49=0,0,'Rate Log'!$N$52)</f>
        <v>30</v>
      </c>
      <c r="F49" s="43">
        <f>IF($A49=0,0,COUNTIFS(rl_key,'Rate Log'!$J$52,$C$4:$C$243,$C49,$B$4:$B$243,"&lt;"&amp;$B49))</f>
        <v>0</v>
      </c>
      <c r="G49" s="43">
        <f>IF($A49=0,0,COUNTIFS('Rate Log'!$J$7:$J$52,'Rate Log'!$J$52,$C$4:$C49,$C49,$B$4:$B49,$B49))</f>
        <v>1</v>
      </c>
      <c r="H49" s="43">
        <f t="shared" si="1"/>
        <v>1</v>
      </c>
    </row>
    <row r="50" spans="1:8" x14ac:dyDescent="0.3">
      <c r="A50" s="43">
        <f>IF('Rate Log'!$C$53="",0,IF(OR('Rate Log'!$E$53="taken",'Rate Log'!$C$53&lt;DATE(nr_PlanYear,1,1)),1,0))</f>
        <v>1</v>
      </c>
      <c r="B50" s="278">
        <f>IF($A50=0,"",'Rate Log'!$C$53)</f>
        <v>46143</v>
      </c>
      <c r="C50" s="278">
        <f t="shared" si="0"/>
        <v>46143</v>
      </c>
      <c r="D50" s="160">
        <f>IF($A50=0,0,'Rate Log'!$L$53)</f>
        <v>1.980262729617973E-2</v>
      </c>
      <c r="E50" s="43">
        <f>IF($A50=0,0,'Rate Log'!$N$53)</f>
        <v>31</v>
      </c>
      <c r="F50" s="43">
        <f>IF($A50=0,0,COUNTIFS(rl_key,'Rate Log'!$J$53,$C$4:$C$243,$C50,$B$4:$B$243,"&lt;"&amp;$B50))</f>
        <v>0</v>
      </c>
      <c r="G50" s="43">
        <f>IF($A50=0,0,COUNTIFS('Rate Log'!$J$7:$J$53,'Rate Log'!$J$53,$C$4:$C50,$C50,$B$4:$B50,$B50))</f>
        <v>1</v>
      </c>
      <c r="H50" s="43">
        <f t="shared" si="1"/>
        <v>1</v>
      </c>
    </row>
    <row r="51" spans="1:8" x14ac:dyDescent="0.3">
      <c r="A51" s="43">
        <f>IF('Rate Log'!$C$54="",0,IF(OR('Rate Log'!$E$54="taken",'Rate Log'!$C$54&lt;DATE(nr_PlanYear,1,1)),1,0))</f>
        <v>0</v>
      </c>
      <c r="B51" s="278" t="str">
        <f>IF($A51=0,"",'Rate Log'!$C$54)</f>
        <v/>
      </c>
      <c r="C51" s="278" t="str">
        <f t="shared" si="0"/>
        <v/>
      </c>
      <c r="D51" s="160">
        <f>IF($A51=0,0,'Rate Log'!$L$54)</f>
        <v>0</v>
      </c>
      <c r="E51" s="43">
        <f>IF($A51=0,0,'Rate Log'!$N$54)</f>
        <v>0</v>
      </c>
      <c r="F51" s="43">
        <f>IF($A51=0,0,COUNTIFS(rl_key,'Rate Log'!$J$54,$C$4:$C$243,$C51,$B$4:$B$243,"&lt;"&amp;$B51))</f>
        <v>0</v>
      </c>
      <c r="G51" s="43">
        <f>IF($A51=0,0,COUNTIFS('Rate Log'!$J$7:$J$54,'Rate Log'!$J$54,$C$4:$C51,$C51,$B$4:$B51,$B51))</f>
        <v>0</v>
      </c>
      <c r="H51" s="43">
        <f t="shared" si="1"/>
        <v>0</v>
      </c>
    </row>
    <row r="52" spans="1:8" x14ac:dyDescent="0.3">
      <c r="A52" s="43">
        <f>IF('Rate Log'!$C$55="",0,IF(OR('Rate Log'!$E$55="taken",'Rate Log'!$C$55&lt;DATE(nr_PlanYear,1,1)),1,0))</f>
        <v>1</v>
      </c>
      <c r="B52" s="278">
        <f>IF($A52=0,"",'Rate Log'!$C$55)</f>
        <v>46204</v>
      </c>
      <c r="C52" s="278">
        <f t="shared" si="0"/>
        <v>46204</v>
      </c>
      <c r="D52" s="160">
        <f>IF($A52=0,0,'Rate Log'!$L$55)</f>
        <v>3.9220713153281329E-2</v>
      </c>
      <c r="E52" s="43">
        <f>IF($A52=0,0,'Rate Log'!$N$55)</f>
        <v>31</v>
      </c>
      <c r="F52" s="43">
        <f>IF($A52=0,0,COUNTIFS(rl_key,'Rate Log'!$J$55,$C$4:$C$243,$C52,$B$4:$B$243,"&lt;"&amp;$B52))</f>
        <v>0</v>
      </c>
      <c r="G52" s="43">
        <f>IF($A52=0,0,COUNTIFS('Rate Log'!$J$7:$J$55,'Rate Log'!$J$55,$C$4:$C52,$C52,$B$4:$B52,$B52))</f>
        <v>1</v>
      </c>
      <c r="H52" s="43">
        <f t="shared" si="1"/>
        <v>1</v>
      </c>
    </row>
    <row r="53" spans="1:8" x14ac:dyDescent="0.3">
      <c r="A53" s="43">
        <f>IF('Rate Log'!$C$56="",0,IF(OR('Rate Log'!$E$56="taken",'Rate Log'!$C$56&lt;DATE(nr_PlanYear,1,1)),1,0))</f>
        <v>1</v>
      </c>
      <c r="B53" s="278">
        <f>IF($A53=0,"",'Rate Log'!$C$56)</f>
        <v>46235</v>
      </c>
      <c r="C53" s="278">
        <f t="shared" si="0"/>
        <v>46235</v>
      </c>
      <c r="D53" s="160">
        <f>IF($A53=0,0,'Rate Log'!$L$56)</f>
        <v>4.8790164169432049E-2</v>
      </c>
      <c r="E53" s="43">
        <f>IF($A53=0,0,'Rate Log'!$N$56)</f>
        <v>31</v>
      </c>
      <c r="F53" s="43">
        <f>IF($A53=0,0,COUNTIFS(rl_key,'Rate Log'!$J$56,$C$4:$C$243,$C53,$B$4:$B$243,"&lt;"&amp;$B53))</f>
        <v>0</v>
      </c>
      <c r="G53" s="43">
        <f>IF($A53=0,0,COUNTIFS('Rate Log'!$J$7:$J$56,'Rate Log'!$J$56,$C$4:$C53,$C53,$B$4:$B53,$B53))</f>
        <v>1</v>
      </c>
      <c r="H53" s="43">
        <f t="shared" si="1"/>
        <v>1</v>
      </c>
    </row>
    <row r="54" spans="1:8" x14ac:dyDescent="0.3">
      <c r="A54" s="43">
        <f>IF('Rate Log'!$C$57="",0,IF(OR('Rate Log'!$E$57="taken",'Rate Log'!$C$57&lt;DATE(nr_PlanYear,1,1)),1,0))</f>
        <v>1</v>
      </c>
      <c r="B54" s="278">
        <f>IF($A54=0,"",'Rate Log'!$C$57)</f>
        <v>46296</v>
      </c>
      <c r="C54" s="278">
        <f t="shared" si="0"/>
        <v>46296</v>
      </c>
      <c r="D54" s="160">
        <f>IF($A54=0,0,'Rate Log'!$L$57)</f>
        <v>1.980262729617973E-2</v>
      </c>
      <c r="E54" s="43">
        <f>IF($A54=0,0,'Rate Log'!$N$57)</f>
        <v>31</v>
      </c>
      <c r="F54" s="43">
        <f>IF($A54=0,0,COUNTIFS(rl_key,'Rate Log'!$J$57,$C$4:$C$243,$C54,$B$4:$B$243,"&lt;"&amp;$B54))</f>
        <v>0</v>
      </c>
      <c r="G54" s="43">
        <f>IF($A54=0,0,COUNTIFS('Rate Log'!$J$7:$J$57,'Rate Log'!$J$57,$C$4:$C54,$C54,$B$4:$B54,$B54))</f>
        <v>1</v>
      </c>
      <c r="H54" s="43">
        <f t="shared" si="1"/>
        <v>1</v>
      </c>
    </row>
    <row r="55" spans="1:8" x14ac:dyDescent="0.3">
      <c r="A55" s="43">
        <f>IF('Rate Log'!$C$58="",0,IF(OR('Rate Log'!$E$58="taken",'Rate Log'!$C$58&lt;DATE(nr_PlanYear,1,1)),1,0))</f>
        <v>0</v>
      </c>
      <c r="B55" s="278" t="str">
        <f>IF($A55=0,"",'Rate Log'!$C$58)</f>
        <v/>
      </c>
      <c r="C55" s="278" t="str">
        <f t="shared" si="0"/>
        <v/>
      </c>
      <c r="D55" s="160">
        <f>IF($A55=0,0,'Rate Log'!$L$58)</f>
        <v>0</v>
      </c>
      <c r="E55" s="43">
        <f>IF($A55=0,0,'Rate Log'!$N$58)</f>
        <v>0</v>
      </c>
      <c r="F55" s="43">
        <f>IF($A55=0,0,COUNTIFS(rl_key,'Rate Log'!$J$58,$C$4:$C$243,$C55,$B$4:$B$243,"&lt;"&amp;$B55))</f>
        <v>0</v>
      </c>
      <c r="G55" s="43">
        <f>IF($A55=0,0,COUNTIFS('Rate Log'!$J$7:$J$58,'Rate Log'!$J$58,$C$4:$C55,$C55,$B$4:$B55,$B55))</f>
        <v>0</v>
      </c>
      <c r="H55" s="43">
        <f t="shared" si="1"/>
        <v>0</v>
      </c>
    </row>
    <row r="56" spans="1:8" x14ac:dyDescent="0.3">
      <c r="A56" s="43">
        <f>IF('Rate Log'!$C$59="",0,IF(OR('Rate Log'!$E$59="taken",'Rate Log'!$C$59&lt;DATE(nr_PlanYear,1,1)),1,0))</f>
        <v>1</v>
      </c>
      <c r="B56" s="278">
        <f>IF($A56=0,"",'Rate Log'!$C$59)</f>
        <v>46054</v>
      </c>
      <c r="C56" s="278">
        <f t="shared" si="0"/>
        <v>46054</v>
      </c>
      <c r="D56" s="160">
        <f>IF($A56=0,0,'Rate Log'!$L$59)</f>
        <v>5.8268908123975824E-2</v>
      </c>
      <c r="E56" s="43">
        <f>IF($A56=0,0,'Rate Log'!$N$59)</f>
        <v>28</v>
      </c>
      <c r="F56" s="43">
        <f>IF($A56=0,0,COUNTIFS(rl_key,'Rate Log'!$J$59,$C$4:$C$243,$C56,$B$4:$B$243,"&lt;"&amp;$B56))</f>
        <v>0</v>
      </c>
      <c r="G56" s="43">
        <f>IF($A56=0,0,COUNTIFS('Rate Log'!$J$7:$J$59,'Rate Log'!$J$59,$C$4:$C56,$C56,$B$4:$B56,$B56))</f>
        <v>1</v>
      </c>
      <c r="H56" s="43">
        <f t="shared" si="1"/>
        <v>1</v>
      </c>
    </row>
    <row r="57" spans="1:8" x14ac:dyDescent="0.3">
      <c r="A57" s="43">
        <f>IF('Rate Log'!$C$60="",0,IF(OR('Rate Log'!$E$60="taken",'Rate Log'!$C$60&lt;DATE(nr_PlanYear,1,1)),1,0))</f>
        <v>0</v>
      </c>
      <c r="B57" s="278" t="str">
        <f>IF($A57=0,"",'Rate Log'!$C$60)</f>
        <v/>
      </c>
      <c r="C57" s="278" t="str">
        <f t="shared" si="0"/>
        <v/>
      </c>
      <c r="D57" s="160">
        <f>IF($A57=0,0,'Rate Log'!$L$60)</f>
        <v>0</v>
      </c>
      <c r="E57" s="43">
        <f>IF($A57=0,0,'Rate Log'!$N$60)</f>
        <v>0</v>
      </c>
      <c r="F57" s="43">
        <f>IF($A57=0,0,COUNTIFS(rl_key,'Rate Log'!$J$60,$C$4:$C$243,$C57,$B$4:$B$243,"&lt;"&amp;$B57))</f>
        <v>0</v>
      </c>
      <c r="G57" s="43">
        <f>IF($A57=0,0,COUNTIFS('Rate Log'!$J$7:$J$60,'Rate Log'!$J$60,$C$4:$C57,$C57,$B$4:$B57,$B57))</f>
        <v>0</v>
      </c>
      <c r="H57" s="43">
        <f t="shared" si="1"/>
        <v>0</v>
      </c>
    </row>
    <row r="58" spans="1:8" x14ac:dyDescent="0.3">
      <c r="A58" s="43">
        <f>IF('Rate Log'!$C$61="",0,IF(OR('Rate Log'!$E$61="taken",'Rate Log'!$C$61&lt;DATE(nr_PlanYear,1,1)),1,0))</f>
        <v>1</v>
      </c>
      <c r="B58" s="278">
        <f>IF($A58=0,"",'Rate Log'!$C$61)</f>
        <v>46113</v>
      </c>
      <c r="C58" s="278">
        <f t="shared" si="0"/>
        <v>46113</v>
      </c>
      <c r="D58" s="160">
        <f>IF($A58=0,0,'Rate Log'!$L$61)</f>
        <v>2.9558802241544429E-2</v>
      </c>
      <c r="E58" s="43">
        <f>IF($A58=0,0,'Rate Log'!$N$61)</f>
        <v>30</v>
      </c>
      <c r="F58" s="43">
        <f>IF($A58=0,0,COUNTIFS(rl_key,'Rate Log'!$J$61,$C$4:$C$243,$C58,$B$4:$B$243,"&lt;"&amp;$B58))</f>
        <v>0</v>
      </c>
      <c r="G58" s="43">
        <f>IF($A58=0,0,COUNTIFS('Rate Log'!$J$7:$J$61,'Rate Log'!$J$61,$C$4:$C58,$C58,$B$4:$B58,$B58))</f>
        <v>1</v>
      </c>
      <c r="H58" s="43">
        <f t="shared" si="1"/>
        <v>1</v>
      </c>
    </row>
    <row r="59" spans="1:8" x14ac:dyDescent="0.3">
      <c r="A59" s="43">
        <f>IF('Rate Log'!$C$62="",0,IF(OR('Rate Log'!$E$62="taken",'Rate Log'!$C$62&lt;DATE(nr_PlanYear,1,1)),1,0))</f>
        <v>1</v>
      </c>
      <c r="B59" s="278">
        <f>IF($A59=0,"",'Rate Log'!$C$62)</f>
        <v>46143</v>
      </c>
      <c r="C59" s="278">
        <f t="shared" si="0"/>
        <v>46143</v>
      </c>
      <c r="D59" s="160">
        <f>IF($A59=0,0,'Rate Log'!$L$62)</f>
        <v>3.9220713153281329E-2</v>
      </c>
      <c r="E59" s="43">
        <f>IF($A59=0,0,'Rate Log'!$N$62)</f>
        <v>31</v>
      </c>
      <c r="F59" s="43">
        <f>IF($A59=0,0,COUNTIFS(rl_key,'Rate Log'!$J$62,$C$4:$C$243,$C59,$B$4:$B$243,"&lt;"&amp;$B59))</f>
        <v>0</v>
      </c>
      <c r="G59" s="43">
        <f>IF($A59=0,0,COUNTIFS('Rate Log'!$J$7:$J$62,'Rate Log'!$J$62,$C$4:$C59,$C59,$B$4:$B59,$B59))</f>
        <v>1</v>
      </c>
      <c r="H59" s="43">
        <f t="shared" si="1"/>
        <v>1</v>
      </c>
    </row>
    <row r="60" spans="1:8" x14ac:dyDescent="0.3">
      <c r="A60" s="43">
        <f>IF('Rate Log'!$C$63="",0,IF(OR('Rate Log'!$E$63="taken",'Rate Log'!$C$63&lt;DATE(nr_PlanYear,1,1)),1,0))</f>
        <v>0</v>
      </c>
      <c r="B60" s="278" t="str">
        <f>IF($A60=0,"",'Rate Log'!$C$63)</f>
        <v/>
      </c>
      <c r="C60" s="278" t="str">
        <f t="shared" si="0"/>
        <v/>
      </c>
      <c r="D60" s="160">
        <f>IF($A60=0,0,'Rate Log'!$L$63)</f>
        <v>0</v>
      </c>
      <c r="E60" s="43">
        <f>IF($A60=0,0,'Rate Log'!$N$63)</f>
        <v>0</v>
      </c>
      <c r="F60" s="43">
        <f>IF($A60=0,0,COUNTIFS(rl_key,'Rate Log'!$J$63,$C$4:$C$243,$C60,$B$4:$B$243,"&lt;"&amp;$B60))</f>
        <v>0</v>
      </c>
      <c r="G60" s="43">
        <f>IF($A60=0,0,COUNTIFS('Rate Log'!$J$7:$J$63,'Rate Log'!$J$63,$C$4:$C60,$C60,$B$4:$B60,$B60))</f>
        <v>0</v>
      </c>
      <c r="H60" s="43">
        <f t="shared" si="1"/>
        <v>0</v>
      </c>
    </row>
    <row r="61" spans="1:8" x14ac:dyDescent="0.3">
      <c r="A61" s="43">
        <f>IF('Rate Log'!$C$64="",0,IF(OR('Rate Log'!$E$64="taken",'Rate Log'!$C$64&lt;DATE(nr_PlanYear,1,1)),1,0))</f>
        <v>1</v>
      </c>
      <c r="B61" s="278">
        <f>IF($A61=0,"",'Rate Log'!$C$64)</f>
        <v>46204</v>
      </c>
      <c r="C61" s="278">
        <f t="shared" si="0"/>
        <v>46204</v>
      </c>
      <c r="D61" s="160">
        <f>IF($A61=0,0,'Rate Log'!$L$64)</f>
        <v>5.8268908123975824E-2</v>
      </c>
      <c r="E61" s="43">
        <f>IF($A61=0,0,'Rate Log'!$N$64)</f>
        <v>31</v>
      </c>
      <c r="F61" s="43">
        <f>IF($A61=0,0,COUNTIFS(rl_key,'Rate Log'!$J$64,$C$4:$C$243,$C61,$B$4:$B$243,"&lt;"&amp;$B61))</f>
        <v>0</v>
      </c>
      <c r="G61" s="43">
        <f>IF($A61=0,0,COUNTIFS('Rate Log'!$J$7:$J$64,'Rate Log'!$J$64,$C$4:$C61,$C61,$B$4:$B61,$B61))</f>
        <v>1</v>
      </c>
      <c r="H61" s="43">
        <f t="shared" si="1"/>
        <v>1</v>
      </c>
    </row>
    <row r="62" spans="1:8" x14ac:dyDescent="0.3">
      <c r="A62" s="43">
        <f>IF('Rate Log'!$C$65="",0,IF(OR('Rate Log'!$E$65="taken",'Rate Log'!$C$65&lt;DATE(nr_PlanYear,1,1)),1,0))</f>
        <v>1</v>
      </c>
      <c r="B62" s="278">
        <f>IF($A62=0,"",'Rate Log'!$C$65)</f>
        <v>46235</v>
      </c>
      <c r="C62" s="278">
        <f t="shared" si="0"/>
        <v>46235</v>
      </c>
      <c r="D62" s="160">
        <f>IF($A62=0,0,'Rate Log'!$L$65)</f>
        <v>1.980262729617973E-2</v>
      </c>
      <c r="E62" s="43">
        <f>IF($A62=0,0,'Rate Log'!$N$65)</f>
        <v>31</v>
      </c>
      <c r="F62" s="43">
        <f>IF($A62=0,0,COUNTIFS(rl_key,'Rate Log'!$J$65,$C$4:$C$243,$C62,$B$4:$B$243,"&lt;"&amp;$B62))</f>
        <v>0</v>
      </c>
      <c r="G62" s="43">
        <f>IF($A62=0,0,COUNTIFS('Rate Log'!$J$7:$J$65,'Rate Log'!$J$65,$C$4:$C62,$C62,$B$4:$B62,$B62))</f>
        <v>1</v>
      </c>
      <c r="H62" s="43">
        <f t="shared" si="1"/>
        <v>1</v>
      </c>
    </row>
    <row r="63" spans="1:8" x14ac:dyDescent="0.3">
      <c r="A63" s="43">
        <f>IF('Rate Log'!$C$66="",0,IF(OR('Rate Log'!$E$66="taken",'Rate Log'!$C$66&lt;DATE(nr_PlanYear,1,1)),1,0))</f>
        <v>1</v>
      </c>
      <c r="B63" s="278">
        <f>IF($A63=0,"",'Rate Log'!$C$66)</f>
        <v>46296</v>
      </c>
      <c r="C63" s="278">
        <f t="shared" si="0"/>
        <v>46296</v>
      </c>
      <c r="D63" s="160">
        <f>IF($A63=0,0,'Rate Log'!$L$66)</f>
        <v>3.9220713153281329E-2</v>
      </c>
      <c r="E63" s="43">
        <f>IF($A63=0,0,'Rate Log'!$N$66)</f>
        <v>31</v>
      </c>
      <c r="F63" s="43">
        <f>IF($A63=0,0,COUNTIFS(rl_key,'Rate Log'!$J$66,$C$4:$C$243,$C63,$B$4:$B$243,"&lt;"&amp;$B63))</f>
        <v>0</v>
      </c>
      <c r="G63" s="43">
        <f>IF($A63=0,0,COUNTIFS('Rate Log'!$J$7:$J$66,'Rate Log'!$J$66,$C$4:$C63,$C63,$B$4:$B63,$B63))</f>
        <v>1</v>
      </c>
      <c r="H63" s="43">
        <f t="shared" si="1"/>
        <v>1</v>
      </c>
    </row>
    <row r="64" spans="1:8" x14ac:dyDescent="0.3">
      <c r="A64" s="43">
        <f>IF('Rate Log'!$C$67="",0,IF(OR('Rate Log'!$E$67="taken",'Rate Log'!$C$67&lt;DATE(nr_PlanYear,1,1)),1,0))</f>
        <v>0</v>
      </c>
      <c r="B64" s="278" t="str">
        <f>IF($A64=0,"",'Rate Log'!$C$67)</f>
        <v/>
      </c>
      <c r="C64" s="278" t="str">
        <f t="shared" si="0"/>
        <v/>
      </c>
      <c r="D64" s="160">
        <f>IF($A64=0,0,'Rate Log'!$L$67)</f>
        <v>0</v>
      </c>
      <c r="E64" s="43">
        <f>IF($A64=0,0,'Rate Log'!$N$67)</f>
        <v>0</v>
      </c>
      <c r="F64" s="43">
        <f>IF($A64=0,0,COUNTIFS(rl_key,'Rate Log'!$J$67,$C$4:$C$243,$C64,$B$4:$B$243,"&lt;"&amp;$B64))</f>
        <v>0</v>
      </c>
      <c r="G64" s="43">
        <f>IF($A64=0,0,COUNTIFS('Rate Log'!$J$7:$J$67,'Rate Log'!$J$67,$C$4:$C64,$C64,$B$4:$B64,$B64))</f>
        <v>0</v>
      </c>
      <c r="H64" s="43">
        <f t="shared" si="1"/>
        <v>0</v>
      </c>
    </row>
    <row r="65" spans="1:8" x14ac:dyDescent="0.3">
      <c r="A65" s="43">
        <f>IF('Rate Log'!$C$68="",0,IF(OR('Rate Log'!$E$68="taken",'Rate Log'!$C$68&lt;DATE(nr_PlanYear,1,1)),1,0))</f>
        <v>1</v>
      </c>
      <c r="B65" s="278">
        <f>IF($A65=0,"",'Rate Log'!$C$68)</f>
        <v>46327</v>
      </c>
      <c r="C65" s="278">
        <f t="shared" si="0"/>
        <v>46327</v>
      </c>
      <c r="D65" s="160">
        <f>IF($A65=0,0,'Rate Log'!$L$68)</f>
        <v>4.8790164169432049E-2</v>
      </c>
      <c r="E65" s="43">
        <f>IF($A65=0,0,'Rate Log'!$N$68)</f>
        <v>30</v>
      </c>
      <c r="F65" s="43">
        <f>IF($A65=0,0,COUNTIFS(rl_key,'Rate Log'!$J$68,$C$4:$C$243,$C65,$B$4:$B$243,"&lt;"&amp;$B65))</f>
        <v>0</v>
      </c>
      <c r="G65" s="43">
        <f>IF($A65=0,0,COUNTIFS('Rate Log'!$J$7:$J$68,'Rate Log'!$J$68,$C$4:$C65,$C65,$B$4:$B65,$B65))</f>
        <v>1</v>
      </c>
      <c r="H65" s="43">
        <f t="shared" si="1"/>
        <v>1</v>
      </c>
    </row>
    <row r="66" spans="1:8" x14ac:dyDescent="0.3">
      <c r="A66" s="43">
        <f>IF('Rate Log'!$C$69="",0,IF(OR('Rate Log'!$E$69="taken",'Rate Log'!$C$69&lt;DATE(nr_PlanYear,1,1)),1,0))</f>
        <v>1</v>
      </c>
      <c r="B66" s="278">
        <f>IF($A66=0,"",'Rate Log'!$C$69)</f>
        <v>46023</v>
      </c>
      <c r="C66" s="278">
        <f t="shared" si="0"/>
        <v>46023</v>
      </c>
      <c r="D66" s="160">
        <f>IF($A66=0,0,'Rate Log'!$L$69)</f>
        <v>1.980262729617973E-2</v>
      </c>
      <c r="E66" s="43">
        <f>IF($A66=0,0,'Rate Log'!$N$69)</f>
        <v>31</v>
      </c>
      <c r="F66" s="43">
        <f>IF($A66=0,0,COUNTIFS(rl_key,'Rate Log'!$J$69,$C$4:$C$243,$C66,$B$4:$B$243,"&lt;"&amp;$B66))</f>
        <v>0</v>
      </c>
      <c r="G66" s="43">
        <f>IF($A66=0,0,COUNTIFS('Rate Log'!$J$7:$J$69,'Rate Log'!$J$69,$C$4:$C66,$C66,$B$4:$B66,$B66))</f>
        <v>1</v>
      </c>
      <c r="H66" s="43">
        <f t="shared" si="1"/>
        <v>1</v>
      </c>
    </row>
    <row r="67" spans="1:8" x14ac:dyDescent="0.3">
      <c r="A67" s="43">
        <f>IF('Rate Log'!$C$70="",0,IF(OR('Rate Log'!$E$70="taken",'Rate Log'!$C$70&lt;DATE(nr_PlanYear,1,1)),1,0))</f>
        <v>1</v>
      </c>
      <c r="B67" s="278">
        <f>IF($A67=0,"",'Rate Log'!$C$70)</f>
        <v>46054</v>
      </c>
      <c r="C67" s="278">
        <f t="shared" si="0"/>
        <v>46054</v>
      </c>
      <c r="D67" s="160">
        <f>IF($A67=0,0,'Rate Log'!$L$70)</f>
        <v>2.9558802241544429E-2</v>
      </c>
      <c r="E67" s="43">
        <f>IF($A67=0,0,'Rate Log'!$N$70)</f>
        <v>28</v>
      </c>
      <c r="F67" s="43">
        <f>IF($A67=0,0,COUNTIFS(rl_key,'Rate Log'!$J$70,$C$4:$C$243,$C67,$B$4:$B$243,"&lt;"&amp;$B67))</f>
        <v>0</v>
      </c>
      <c r="G67" s="43">
        <f>IF($A67=0,0,COUNTIFS('Rate Log'!$J$7:$J$70,'Rate Log'!$J$70,$C$4:$C67,$C67,$B$4:$B67,$B67))</f>
        <v>1</v>
      </c>
      <c r="H67" s="43">
        <f t="shared" si="1"/>
        <v>1</v>
      </c>
    </row>
    <row r="68" spans="1:8" x14ac:dyDescent="0.3">
      <c r="A68" s="43">
        <f>IF('Rate Log'!$C$71="",0,IF(OR('Rate Log'!$E$71="taken",'Rate Log'!$C$71&lt;DATE(nr_PlanYear,1,1)),1,0))</f>
        <v>0</v>
      </c>
      <c r="B68" s="278" t="str">
        <f>IF($A68=0,"",'Rate Log'!$C$71)</f>
        <v/>
      </c>
      <c r="C68" s="278" t="str">
        <f t="shared" ref="C68:C131" si="2">IF($A68=0,"",DATE(YEAR($B68),MONTH($B68),1))</f>
        <v/>
      </c>
      <c r="D68" s="160">
        <f>IF($A68=0,0,'Rate Log'!$L$71)</f>
        <v>0</v>
      </c>
      <c r="E68" s="43">
        <f>IF($A68=0,0,'Rate Log'!$N$71)</f>
        <v>0</v>
      </c>
      <c r="F68" s="43">
        <f>IF($A68=0,0,COUNTIFS(rl_key,'Rate Log'!$J$71,$C$4:$C$243,$C68,$B$4:$B$243,"&lt;"&amp;$B68))</f>
        <v>0</v>
      </c>
      <c r="G68" s="43">
        <f>IF($A68=0,0,COUNTIFS('Rate Log'!$J$7:$J$71,'Rate Log'!$J$71,$C$4:$C68,$C68,$B$4:$B68,$B68))</f>
        <v>0</v>
      </c>
      <c r="H68" s="43">
        <f t="shared" ref="H68:H131" si="3">IF($A68=0,0,IF(AND($F68=0,$G68=1),1,0))</f>
        <v>0</v>
      </c>
    </row>
    <row r="69" spans="1:8" x14ac:dyDescent="0.3">
      <c r="A69" s="43">
        <f>IF('Rate Log'!$C$72="",0,IF(OR('Rate Log'!$E$72="taken",'Rate Log'!$C$72&lt;DATE(nr_PlanYear,1,1)),1,0))</f>
        <v>0</v>
      </c>
      <c r="B69" s="278" t="str">
        <f>IF($A69=0,"",'Rate Log'!$C$72)</f>
        <v/>
      </c>
      <c r="C69" s="278" t="str">
        <f t="shared" si="2"/>
        <v/>
      </c>
      <c r="D69" s="160">
        <f>IF($A69=0,0,'Rate Log'!$L$72)</f>
        <v>0</v>
      </c>
      <c r="E69" s="43">
        <f>IF($A69=0,0,'Rate Log'!$N$72)</f>
        <v>0</v>
      </c>
      <c r="F69" s="43">
        <f>IF($A69=0,0,COUNTIFS(rl_key,'Rate Log'!$J$72,$C$4:$C$243,$C69,$B$4:$B$243,"&lt;"&amp;$B69))</f>
        <v>0</v>
      </c>
      <c r="G69" s="43">
        <f>IF($A69=0,0,COUNTIFS('Rate Log'!$J$7:$J$72,'Rate Log'!$J$72,$C$4:$C69,$C69,$B$4:$B69,$B69))</f>
        <v>0</v>
      </c>
      <c r="H69" s="43">
        <f t="shared" si="3"/>
        <v>0</v>
      </c>
    </row>
    <row r="70" spans="1:8" x14ac:dyDescent="0.3">
      <c r="A70" s="43">
        <f>IF('Rate Log'!$C$73="",0,IF(OR('Rate Log'!$E$73="taken",'Rate Log'!$C$73&lt;DATE(nr_PlanYear,1,1)),1,0))</f>
        <v>0</v>
      </c>
      <c r="B70" s="278" t="str">
        <f>IF($A70=0,"",'Rate Log'!$C$73)</f>
        <v/>
      </c>
      <c r="C70" s="278" t="str">
        <f t="shared" si="2"/>
        <v/>
      </c>
      <c r="D70" s="160">
        <f>IF($A70=0,0,'Rate Log'!$L$73)</f>
        <v>0</v>
      </c>
      <c r="E70" s="43">
        <f>IF($A70=0,0,'Rate Log'!$N$73)</f>
        <v>0</v>
      </c>
      <c r="F70" s="43">
        <f>IF($A70=0,0,COUNTIFS(rl_key,'Rate Log'!$J$73,$C$4:$C$243,$C70,$B$4:$B$243,"&lt;"&amp;$B70))</f>
        <v>0</v>
      </c>
      <c r="G70" s="43">
        <f>IF($A70=0,0,COUNTIFS('Rate Log'!$J$7:$J$73,'Rate Log'!$J$73,$C$4:$C70,$C70,$B$4:$B70,$B70))</f>
        <v>0</v>
      </c>
      <c r="H70" s="43">
        <f t="shared" si="3"/>
        <v>0</v>
      </c>
    </row>
    <row r="71" spans="1:8" x14ac:dyDescent="0.3">
      <c r="A71" s="43">
        <f>IF('Rate Log'!$C$74="",0,IF(OR('Rate Log'!$E$74="taken",'Rate Log'!$C$74&lt;DATE(nr_PlanYear,1,1)),1,0))</f>
        <v>0</v>
      </c>
      <c r="B71" s="278" t="str">
        <f>IF($A71=0,"",'Rate Log'!$C$74)</f>
        <v/>
      </c>
      <c r="C71" s="278" t="str">
        <f t="shared" si="2"/>
        <v/>
      </c>
      <c r="D71" s="160">
        <f>IF($A71=0,0,'Rate Log'!$L$74)</f>
        <v>0</v>
      </c>
      <c r="E71" s="43">
        <f>IF($A71=0,0,'Rate Log'!$N$74)</f>
        <v>0</v>
      </c>
      <c r="F71" s="43">
        <f>IF($A71=0,0,COUNTIFS(rl_key,'Rate Log'!$J$74,$C$4:$C$243,$C71,$B$4:$B$243,"&lt;"&amp;$B71))</f>
        <v>0</v>
      </c>
      <c r="G71" s="43">
        <f>IF($A71=0,0,COUNTIFS('Rate Log'!$J$7:$J$74,'Rate Log'!$J$74,$C$4:$C71,$C71,$B$4:$B71,$B71))</f>
        <v>0</v>
      </c>
      <c r="H71" s="43">
        <f t="shared" si="3"/>
        <v>0</v>
      </c>
    </row>
    <row r="72" spans="1:8" x14ac:dyDescent="0.3">
      <c r="A72" s="43">
        <f>IF('Rate Log'!$C$75="",0,IF(OR('Rate Log'!$E$75="taken",'Rate Log'!$C$75&lt;DATE(nr_PlanYear,1,1)),1,0))</f>
        <v>0</v>
      </c>
      <c r="B72" s="278" t="str">
        <f>IF($A72=0,"",'Rate Log'!$C$75)</f>
        <v/>
      </c>
      <c r="C72" s="278" t="str">
        <f t="shared" si="2"/>
        <v/>
      </c>
      <c r="D72" s="160">
        <f>IF($A72=0,0,'Rate Log'!$L$75)</f>
        <v>0</v>
      </c>
      <c r="E72" s="43">
        <f>IF($A72=0,0,'Rate Log'!$N$75)</f>
        <v>0</v>
      </c>
      <c r="F72" s="43">
        <f>IF($A72=0,0,COUNTIFS(rl_key,'Rate Log'!$J$75,$C$4:$C$243,$C72,$B$4:$B$243,"&lt;"&amp;$B72))</f>
        <v>0</v>
      </c>
      <c r="G72" s="43">
        <f>IF($A72=0,0,COUNTIFS('Rate Log'!$J$7:$J$75,'Rate Log'!$J$75,$C$4:$C72,$C72,$B$4:$B72,$B72))</f>
        <v>0</v>
      </c>
      <c r="H72" s="43">
        <f t="shared" si="3"/>
        <v>0</v>
      </c>
    </row>
    <row r="73" spans="1:8" x14ac:dyDescent="0.3">
      <c r="A73" s="43">
        <f>IF('Rate Log'!$C$76="",0,IF(OR('Rate Log'!$E$76="taken",'Rate Log'!$C$76&lt;DATE(nr_PlanYear,1,1)),1,0))</f>
        <v>0</v>
      </c>
      <c r="B73" s="278" t="str">
        <f>IF($A73=0,"",'Rate Log'!$C$76)</f>
        <v/>
      </c>
      <c r="C73" s="278" t="str">
        <f t="shared" si="2"/>
        <v/>
      </c>
      <c r="D73" s="160">
        <f>IF($A73=0,0,'Rate Log'!$L$76)</f>
        <v>0</v>
      </c>
      <c r="E73" s="43">
        <f>IF($A73=0,0,'Rate Log'!$N$76)</f>
        <v>0</v>
      </c>
      <c r="F73" s="43">
        <f>IF($A73=0,0,COUNTIFS(rl_key,'Rate Log'!$J$76,$C$4:$C$243,$C73,$B$4:$B$243,"&lt;"&amp;$B73))</f>
        <v>0</v>
      </c>
      <c r="G73" s="43">
        <f>IF($A73=0,0,COUNTIFS('Rate Log'!$J$7:$J$76,'Rate Log'!$J$76,$C$4:$C73,$C73,$B$4:$B73,$B73))</f>
        <v>0</v>
      </c>
      <c r="H73" s="43">
        <f t="shared" si="3"/>
        <v>0</v>
      </c>
    </row>
    <row r="74" spans="1:8" x14ac:dyDescent="0.3">
      <c r="A74" s="43">
        <f>IF('Rate Log'!$C$77="",0,IF(OR('Rate Log'!$E$77="taken",'Rate Log'!$C$77&lt;DATE(nr_PlanYear,1,1)),1,0))</f>
        <v>0</v>
      </c>
      <c r="B74" s="278" t="str">
        <f>IF($A74=0,"",'Rate Log'!$C$77)</f>
        <v/>
      </c>
      <c r="C74" s="278" t="str">
        <f t="shared" si="2"/>
        <v/>
      </c>
      <c r="D74" s="160">
        <f>IF($A74=0,0,'Rate Log'!$L$77)</f>
        <v>0</v>
      </c>
      <c r="E74" s="43">
        <f>IF($A74=0,0,'Rate Log'!$N$77)</f>
        <v>0</v>
      </c>
      <c r="F74" s="43">
        <f>IF($A74=0,0,COUNTIFS(rl_key,'Rate Log'!$J$77,$C$4:$C$243,$C74,$B$4:$B$243,"&lt;"&amp;$B74))</f>
        <v>0</v>
      </c>
      <c r="G74" s="43">
        <f>IF($A74=0,0,COUNTIFS('Rate Log'!$J$7:$J$77,'Rate Log'!$J$77,$C$4:$C74,$C74,$B$4:$B74,$B74))</f>
        <v>0</v>
      </c>
      <c r="H74" s="43">
        <f t="shared" si="3"/>
        <v>0</v>
      </c>
    </row>
    <row r="75" spans="1:8" x14ac:dyDescent="0.3">
      <c r="A75" s="43">
        <f>IF('Rate Log'!$C$78="",0,IF(OR('Rate Log'!$E$78="taken",'Rate Log'!$C$78&lt;DATE(nr_PlanYear,1,1)),1,0))</f>
        <v>0</v>
      </c>
      <c r="B75" s="278" t="str">
        <f>IF($A75=0,"",'Rate Log'!$C$78)</f>
        <v/>
      </c>
      <c r="C75" s="278" t="str">
        <f t="shared" si="2"/>
        <v/>
      </c>
      <c r="D75" s="160">
        <f>IF($A75=0,0,'Rate Log'!$L$78)</f>
        <v>0</v>
      </c>
      <c r="E75" s="43">
        <f>IF($A75=0,0,'Rate Log'!$N$78)</f>
        <v>0</v>
      </c>
      <c r="F75" s="43">
        <f>IF($A75=0,0,COUNTIFS(rl_key,'Rate Log'!$J$78,$C$4:$C$243,$C75,$B$4:$B$243,"&lt;"&amp;$B75))</f>
        <v>0</v>
      </c>
      <c r="G75" s="43">
        <f>IF($A75=0,0,COUNTIFS('Rate Log'!$J$7:$J$78,'Rate Log'!$J$78,$C$4:$C75,$C75,$B$4:$B75,$B75))</f>
        <v>0</v>
      </c>
      <c r="H75" s="43">
        <f t="shared" si="3"/>
        <v>0</v>
      </c>
    </row>
    <row r="76" spans="1:8" x14ac:dyDescent="0.3">
      <c r="A76" s="43">
        <f>IF('Rate Log'!$C$79="",0,IF(OR('Rate Log'!$E$79="taken",'Rate Log'!$C$79&lt;DATE(nr_PlanYear,1,1)),1,0))</f>
        <v>0</v>
      </c>
      <c r="B76" s="278" t="str">
        <f>IF($A76=0,"",'Rate Log'!$C$79)</f>
        <v/>
      </c>
      <c r="C76" s="278" t="str">
        <f t="shared" si="2"/>
        <v/>
      </c>
      <c r="D76" s="160">
        <f>IF($A76=0,0,'Rate Log'!$L$79)</f>
        <v>0</v>
      </c>
      <c r="E76" s="43">
        <f>IF($A76=0,0,'Rate Log'!$N$79)</f>
        <v>0</v>
      </c>
      <c r="F76" s="43">
        <f>IF($A76=0,0,COUNTIFS(rl_key,'Rate Log'!$J$79,$C$4:$C$243,$C76,$B$4:$B$243,"&lt;"&amp;$B76))</f>
        <v>0</v>
      </c>
      <c r="G76" s="43">
        <f>IF($A76=0,0,COUNTIFS('Rate Log'!$J$7:$J$79,'Rate Log'!$J$79,$C$4:$C76,$C76,$B$4:$B76,$B76))</f>
        <v>0</v>
      </c>
      <c r="H76" s="43">
        <f t="shared" si="3"/>
        <v>0</v>
      </c>
    </row>
    <row r="77" spans="1:8" x14ac:dyDescent="0.3">
      <c r="A77" s="43">
        <f>IF('Rate Log'!$C$80="",0,IF(OR('Rate Log'!$E$80="taken",'Rate Log'!$C$80&lt;DATE(nr_PlanYear,1,1)),1,0))</f>
        <v>0</v>
      </c>
      <c r="B77" s="278" t="str">
        <f>IF($A77=0,"",'Rate Log'!$C$80)</f>
        <v/>
      </c>
      <c r="C77" s="278" t="str">
        <f t="shared" si="2"/>
        <v/>
      </c>
      <c r="D77" s="160">
        <f>IF($A77=0,0,'Rate Log'!$L$80)</f>
        <v>0</v>
      </c>
      <c r="E77" s="43">
        <f>IF($A77=0,0,'Rate Log'!$N$80)</f>
        <v>0</v>
      </c>
      <c r="F77" s="43">
        <f>IF($A77=0,0,COUNTIFS(rl_key,'Rate Log'!$J$80,$C$4:$C$243,$C77,$B$4:$B$243,"&lt;"&amp;$B77))</f>
        <v>0</v>
      </c>
      <c r="G77" s="43">
        <f>IF($A77=0,0,COUNTIFS('Rate Log'!$J$7:$J$80,'Rate Log'!$J$80,$C$4:$C77,$C77,$B$4:$B77,$B77))</f>
        <v>0</v>
      </c>
      <c r="H77" s="43">
        <f t="shared" si="3"/>
        <v>0</v>
      </c>
    </row>
    <row r="78" spans="1:8" x14ac:dyDescent="0.3">
      <c r="A78" s="43">
        <f>IF('Rate Log'!$C$81="",0,IF(OR('Rate Log'!$E$81="taken",'Rate Log'!$C$81&lt;DATE(nr_PlanYear,1,1)),1,0))</f>
        <v>0</v>
      </c>
      <c r="B78" s="278" t="str">
        <f>IF($A78=0,"",'Rate Log'!$C$81)</f>
        <v/>
      </c>
      <c r="C78" s="278" t="str">
        <f t="shared" si="2"/>
        <v/>
      </c>
      <c r="D78" s="160">
        <f>IF($A78=0,0,'Rate Log'!$L$81)</f>
        <v>0</v>
      </c>
      <c r="E78" s="43">
        <f>IF($A78=0,0,'Rate Log'!$N$81)</f>
        <v>0</v>
      </c>
      <c r="F78" s="43">
        <f>IF($A78=0,0,COUNTIFS(rl_key,'Rate Log'!$J$81,$C$4:$C$243,$C78,$B$4:$B$243,"&lt;"&amp;$B78))</f>
        <v>0</v>
      </c>
      <c r="G78" s="43">
        <f>IF($A78=0,0,COUNTIFS('Rate Log'!$J$7:$J$81,'Rate Log'!$J$81,$C$4:$C78,$C78,$B$4:$B78,$B78))</f>
        <v>0</v>
      </c>
      <c r="H78" s="43">
        <f t="shared" si="3"/>
        <v>0</v>
      </c>
    </row>
    <row r="79" spans="1:8" x14ac:dyDescent="0.3">
      <c r="A79" s="43">
        <f>IF('Rate Log'!$C$82="",0,IF(OR('Rate Log'!$E$82="taken",'Rate Log'!$C$82&lt;DATE(nr_PlanYear,1,1)),1,0))</f>
        <v>0</v>
      </c>
      <c r="B79" s="278" t="str">
        <f>IF($A79=0,"",'Rate Log'!$C$82)</f>
        <v/>
      </c>
      <c r="C79" s="278" t="str">
        <f t="shared" si="2"/>
        <v/>
      </c>
      <c r="D79" s="160">
        <f>IF($A79=0,0,'Rate Log'!$L$82)</f>
        <v>0</v>
      </c>
      <c r="E79" s="43">
        <f>IF($A79=0,0,'Rate Log'!$N$82)</f>
        <v>0</v>
      </c>
      <c r="F79" s="43">
        <f>IF($A79=0,0,COUNTIFS(rl_key,'Rate Log'!$J$82,$C$4:$C$243,$C79,$B$4:$B$243,"&lt;"&amp;$B79))</f>
        <v>0</v>
      </c>
      <c r="G79" s="43">
        <f>IF($A79=0,0,COUNTIFS('Rate Log'!$J$7:$J$82,'Rate Log'!$J$82,$C$4:$C79,$C79,$B$4:$B79,$B79))</f>
        <v>0</v>
      </c>
      <c r="H79" s="43">
        <f t="shared" si="3"/>
        <v>0</v>
      </c>
    </row>
    <row r="80" spans="1:8" x14ac:dyDescent="0.3">
      <c r="A80" s="43">
        <f>IF('Rate Log'!$C$83="",0,IF(OR('Rate Log'!$E$83="taken",'Rate Log'!$C$83&lt;DATE(nr_PlanYear,1,1)),1,0))</f>
        <v>0</v>
      </c>
      <c r="B80" s="278" t="str">
        <f>IF($A80=0,"",'Rate Log'!$C$83)</f>
        <v/>
      </c>
      <c r="C80" s="278" t="str">
        <f t="shared" si="2"/>
        <v/>
      </c>
      <c r="D80" s="160">
        <f>IF($A80=0,0,'Rate Log'!$L$83)</f>
        <v>0</v>
      </c>
      <c r="E80" s="43">
        <f>IF($A80=0,0,'Rate Log'!$N$83)</f>
        <v>0</v>
      </c>
      <c r="F80" s="43">
        <f>IF($A80=0,0,COUNTIFS(rl_key,'Rate Log'!$J$83,$C$4:$C$243,$C80,$B$4:$B$243,"&lt;"&amp;$B80))</f>
        <v>0</v>
      </c>
      <c r="G80" s="43">
        <f>IF($A80=0,0,COUNTIFS('Rate Log'!$J$7:$J$83,'Rate Log'!$J$83,$C$4:$C80,$C80,$B$4:$B80,$B80))</f>
        <v>0</v>
      </c>
      <c r="H80" s="43">
        <f t="shared" si="3"/>
        <v>0</v>
      </c>
    </row>
    <row r="81" spans="1:8" x14ac:dyDescent="0.3">
      <c r="A81" s="43">
        <f>IF('Rate Log'!$C$84="",0,IF(OR('Rate Log'!$E$84="taken",'Rate Log'!$C$84&lt;DATE(nr_PlanYear,1,1)),1,0))</f>
        <v>0</v>
      </c>
      <c r="B81" s="278" t="str">
        <f>IF($A81=0,"",'Rate Log'!$C$84)</f>
        <v/>
      </c>
      <c r="C81" s="278" t="str">
        <f t="shared" si="2"/>
        <v/>
      </c>
      <c r="D81" s="160">
        <f>IF($A81=0,0,'Rate Log'!$L$84)</f>
        <v>0</v>
      </c>
      <c r="E81" s="43">
        <f>IF($A81=0,0,'Rate Log'!$N$84)</f>
        <v>0</v>
      </c>
      <c r="F81" s="43">
        <f>IF($A81=0,0,COUNTIFS(rl_key,'Rate Log'!$J$84,$C$4:$C$243,$C81,$B$4:$B$243,"&lt;"&amp;$B81))</f>
        <v>0</v>
      </c>
      <c r="G81" s="43">
        <f>IF($A81=0,0,COUNTIFS('Rate Log'!$J$7:$J$84,'Rate Log'!$J$84,$C$4:$C81,$C81,$B$4:$B81,$B81))</f>
        <v>0</v>
      </c>
      <c r="H81" s="43">
        <f t="shared" si="3"/>
        <v>0</v>
      </c>
    </row>
    <row r="82" spans="1:8" x14ac:dyDescent="0.3">
      <c r="A82" s="43">
        <f>IF('Rate Log'!$C$85="",0,IF(OR('Rate Log'!$E$85="taken",'Rate Log'!$C$85&lt;DATE(nr_PlanYear,1,1)),1,0))</f>
        <v>0</v>
      </c>
      <c r="B82" s="278" t="str">
        <f>IF($A82=0,"",'Rate Log'!$C$85)</f>
        <v/>
      </c>
      <c r="C82" s="278" t="str">
        <f t="shared" si="2"/>
        <v/>
      </c>
      <c r="D82" s="160">
        <f>IF($A82=0,0,'Rate Log'!$L$85)</f>
        <v>0</v>
      </c>
      <c r="E82" s="43">
        <f>IF($A82=0,0,'Rate Log'!$N$85)</f>
        <v>0</v>
      </c>
      <c r="F82" s="43">
        <f>IF($A82=0,0,COUNTIFS(rl_key,'Rate Log'!$J$85,$C$4:$C$243,$C82,$B$4:$B$243,"&lt;"&amp;$B82))</f>
        <v>0</v>
      </c>
      <c r="G82" s="43">
        <f>IF($A82=0,0,COUNTIFS('Rate Log'!$J$7:$J$85,'Rate Log'!$J$85,$C$4:$C82,$C82,$B$4:$B82,$B82))</f>
        <v>0</v>
      </c>
      <c r="H82" s="43">
        <f t="shared" si="3"/>
        <v>0</v>
      </c>
    </row>
    <row r="83" spans="1:8" x14ac:dyDescent="0.3">
      <c r="A83" s="43">
        <f>IF('Rate Log'!$C$86="",0,IF(OR('Rate Log'!$E$86="taken",'Rate Log'!$C$86&lt;DATE(nr_PlanYear,1,1)),1,0))</f>
        <v>0</v>
      </c>
      <c r="B83" s="278" t="str">
        <f>IF($A83=0,"",'Rate Log'!$C$86)</f>
        <v/>
      </c>
      <c r="C83" s="278" t="str">
        <f t="shared" si="2"/>
        <v/>
      </c>
      <c r="D83" s="160">
        <f>IF($A83=0,0,'Rate Log'!$L$86)</f>
        <v>0</v>
      </c>
      <c r="E83" s="43">
        <f>IF($A83=0,0,'Rate Log'!$N$86)</f>
        <v>0</v>
      </c>
      <c r="F83" s="43">
        <f>IF($A83=0,0,COUNTIFS(rl_key,'Rate Log'!$J$86,$C$4:$C$243,$C83,$B$4:$B$243,"&lt;"&amp;$B83))</f>
        <v>0</v>
      </c>
      <c r="G83" s="43">
        <f>IF($A83=0,0,COUNTIFS('Rate Log'!$J$7:$J$86,'Rate Log'!$J$86,$C$4:$C83,$C83,$B$4:$B83,$B83))</f>
        <v>0</v>
      </c>
      <c r="H83" s="43">
        <f t="shared" si="3"/>
        <v>0</v>
      </c>
    </row>
    <row r="84" spans="1:8" x14ac:dyDescent="0.3">
      <c r="A84" s="43">
        <f>IF('Rate Log'!$C$87="",0,IF(OR('Rate Log'!$E$87="taken",'Rate Log'!$C$87&lt;DATE(nr_PlanYear,1,1)),1,0))</f>
        <v>0</v>
      </c>
      <c r="B84" s="278" t="str">
        <f>IF($A84=0,"",'Rate Log'!$C$87)</f>
        <v/>
      </c>
      <c r="C84" s="278" t="str">
        <f t="shared" si="2"/>
        <v/>
      </c>
      <c r="D84" s="160">
        <f>IF($A84=0,0,'Rate Log'!$L$87)</f>
        <v>0</v>
      </c>
      <c r="E84" s="43">
        <f>IF($A84=0,0,'Rate Log'!$N$87)</f>
        <v>0</v>
      </c>
      <c r="F84" s="43">
        <f>IF($A84=0,0,COUNTIFS(rl_key,'Rate Log'!$J$87,$C$4:$C$243,$C84,$B$4:$B$243,"&lt;"&amp;$B84))</f>
        <v>0</v>
      </c>
      <c r="G84" s="43">
        <f>IF($A84=0,0,COUNTIFS('Rate Log'!$J$7:$J$87,'Rate Log'!$J$87,$C$4:$C84,$C84,$B$4:$B84,$B84))</f>
        <v>0</v>
      </c>
      <c r="H84" s="43">
        <f t="shared" si="3"/>
        <v>0</v>
      </c>
    </row>
    <row r="85" spans="1:8" x14ac:dyDescent="0.3">
      <c r="A85" s="43">
        <f>IF('Rate Log'!$C$88="",0,IF(OR('Rate Log'!$E$88="taken",'Rate Log'!$C$88&lt;DATE(nr_PlanYear,1,1)),1,0))</f>
        <v>0</v>
      </c>
      <c r="B85" s="278" t="str">
        <f>IF($A85=0,"",'Rate Log'!$C$88)</f>
        <v/>
      </c>
      <c r="C85" s="278" t="str">
        <f t="shared" si="2"/>
        <v/>
      </c>
      <c r="D85" s="160">
        <f>IF($A85=0,0,'Rate Log'!$L$88)</f>
        <v>0</v>
      </c>
      <c r="E85" s="43">
        <f>IF($A85=0,0,'Rate Log'!$N$88)</f>
        <v>0</v>
      </c>
      <c r="F85" s="43">
        <f>IF($A85=0,0,COUNTIFS(rl_key,'Rate Log'!$J$88,$C$4:$C$243,$C85,$B$4:$B$243,"&lt;"&amp;$B85))</f>
        <v>0</v>
      </c>
      <c r="G85" s="43">
        <f>IF($A85=0,0,COUNTIFS('Rate Log'!$J$7:$J$88,'Rate Log'!$J$88,$C$4:$C85,$C85,$B$4:$B85,$B85))</f>
        <v>0</v>
      </c>
      <c r="H85" s="43">
        <f t="shared" si="3"/>
        <v>0</v>
      </c>
    </row>
    <row r="86" spans="1:8" x14ac:dyDescent="0.3">
      <c r="A86" s="43">
        <f>IF('Rate Log'!$C$89="",0,IF(OR('Rate Log'!$E$89="taken",'Rate Log'!$C$89&lt;DATE(nr_PlanYear,1,1)),1,0))</f>
        <v>0</v>
      </c>
      <c r="B86" s="278" t="str">
        <f>IF($A86=0,"",'Rate Log'!$C$89)</f>
        <v/>
      </c>
      <c r="C86" s="278" t="str">
        <f t="shared" si="2"/>
        <v/>
      </c>
      <c r="D86" s="160">
        <f>IF($A86=0,0,'Rate Log'!$L$89)</f>
        <v>0</v>
      </c>
      <c r="E86" s="43">
        <f>IF($A86=0,0,'Rate Log'!$N$89)</f>
        <v>0</v>
      </c>
      <c r="F86" s="43">
        <f>IF($A86=0,0,COUNTIFS(rl_key,'Rate Log'!$J$89,$C$4:$C$243,$C86,$B$4:$B$243,"&lt;"&amp;$B86))</f>
        <v>0</v>
      </c>
      <c r="G86" s="43">
        <f>IF($A86=0,0,COUNTIFS('Rate Log'!$J$7:$J$89,'Rate Log'!$J$89,$C$4:$C86,$C86,$B$4:$B86,$B86))</f>
        <v>0</v>
      </c>
      <c r="H86" s="43">
        <f t="shared" si="3"/>
        <v>0</v>
      </c>
    </row>
    <row r="87" spans="1:8" x14ac:dyDescent="0.3">
      <c r="A87" s="43">
        <f>IF('Rate Log'!$C$90="",0,IF(OR('Rate Log'!$E$90="taken",'Rate Log'!$C$90&lt;DATE(nr_PlanYear,1,1)),1,0))</f>
        <v>0</v>
      </c>
      <c r="B87" s="278" t="str">
        <f>IF($A87=0,"",'Rate Log'!$C$90)</f>
        <v/>
      </c>
      <c r="C87" s="278" t="str">
        <f t="shared" si="2"/>
        <v/>
      </c>
      <c r="D87" s="160">
        <f>IF($A87=0,0,'Rate Log'!$L$90)</f>
        <v>0</v>
      </c>
      <c r="E87" s="43">
        <f>IF($A87=0,0,'Rate Log'!$N$90)</f>
        <v>0</v>
      </c>
      <c r="F87" s="43">
        <f>IF($A87=0,0,COUNTIFS(rl_key,'Rate Log'!$J$90,$C$4:$C$243,$C87,$B$4:$B$243,"&lt;"&amp;$B87))</f>
        <v>0</v>
      </c>
      <c r="G87" s="43">
        <f>IF($A87=0,0,COUNTIFS('Rate Log'!$J$7:$J$90,'Rate Log'!$J$90,$C$4:$C87,$C87,$B$4:$B87,$B87))</f>
        <v>0</v>
      </c>
      <c r="H87" s="43">
        <f t="shared" si="3"/>
        <v>0</v>
      </c>
    </row>
    <row r="88" spans="1:8" x14ac:dyDescent="0.3">
      <c r="A88" s="43">
        <f>IF('Rate Log'!$C$91="",0,IF(OR('Rate Log'!$E$91="taken",'Rate Log'!$C$91&lt;DATE(nr_PlanYear,1,1)),1,0))</f>
        <v>0</v>
      </c>
      <c r="B88" s="278" t="str">
        <f>IF($A88=0,"",'Rate Log'!$C$91)</f>
        <v/>
      </c>
      <c r="C88" s="278" t="str">
        <f t="shared" si="2"/>
        <v/>
      </c>
      <c r="D88" s="160">
        <f>IF($A88=0,0,'Rate Log'!$L$91)</f>
        <v>0</v>
      </c>
      <c r="E88" s="43">
        <f>IF($A88=0,0,'Rate Log'!$N$91)</f>
        <v>0</v>
      </c>
      <c r="F88" s="43">
        <f>IF($A88=0,0,COUNTIFS(rl_key,'Rate Log'!$J$91,$C$4:$C$243,$C88,$B$4:$B$243,"&lt;"&amp;$B88))</f>
        <v>0</v>
      </c>
      <c r="G88" s="43">
        <f>IF($A88=0,0,COUNTIFS('Rate Log'!$J$7:$J$91,'Rate Log'!$J$91,$C$4:$C88,$C88,$B$4:$B88,$B88))</f>
        <v>0</v>
      </c>
      <c r="H88" s="43">
        <f t="shared" si="3"/>
        <v>0</v>
      </c>
    </row>
    <row r="89" spans="1:8" x14ac:dyDescent="0.3">
      <c r="A89" s="43">
        <f>IF('Rate Log'!$C$92="",0,IF(OR('Rate Log'!$E$92="taken",'Rate Log'!$C$92&lt;DATE(nr_PlanYear,1,1)),1,0))</f>
        <v>0</v>
      </c>
      <c r="B89" s="278" t="str">
        <f>IF($A89=0,"",'Rate Log'!$C$92)</f>
        <v/>
      </c>
      <c r="C89" s="278" t="str">
        <f t="shared" si="2"/>
        <v/>
      </c>
      <c r="D89" s="160">
        <f>IF($A89=0,0,'Rate Log'!$L$92)</f>
        <v>0</v>
      </c>
      <c r="E89" s="43">
        <f>IF($A89=0,0,'Rate Log'!$N$92)</f>
        <v>0</v>
      </c>
      <c r="F89" s="43">
        <f>IF($A89=0,0,COUNTIFS(rl_key,'Rate Log'!$J$92,$C$4:$C$243,$C89,$B$4:$B$243,"&lt;"&amp;$B89))</f>
        <v>0</v>
      </c>
      <c r="G89" s="43">
        <f>IF($A89=0,0,COUNTIFS('Rate Log'!$J$7:$J$92,'Rate Log'!$J$92,$C$4:$C89,$C89,$B$4:$B89,$B89))</f>
        <v>0</v>
      </c>
      <c r="H89" s="43">
        <f t="shared" si="3"/>
        <v>0</v>
      </c>
    </row>
    <row r="90" spans="1:8" x14ac:dyDescent="0.3">
      <c r="A90" s="43">
        <f>IF('Rate Log'!$C$93="",0,IF(OR('Rate Log'!$E$93="taken",'Rate Log'!$C$93&lt;DATE(nr_PlanYear,1,1)),1,0))</f>
        <v>0</v>
      </c>
      <c r="B90" s="278" t="str">
        <f>IF($A90=0,"",'Rate Log'!$C$93)</f>
        <v/>
      </c>
      <c r="C90" s="278" t="str">
        <f t="shared" si="2"/>
        <v/>
      </c>
      <c r="D90" s="160">
        <f>IF($A90=0,0,'Rate Log'!$L$93)</f>
        <v>0</v>
      </c>
      <c r="E90" s="43">
        <f>IF($A90=0,0,'Rate Log'!$N$93)</f>
        <v>0</v>
      </c>
      <c r="F90" s="43">
        <f>IF($A90=0,0,COUNTIFS(rl_key,'Rate Log'!$J$93,$C$4:$C$243,$C90,$B$4:$B$243,"&lt;"&amp;$B90))</f>
        <v>0</v>
      </c>
      <c r="G90" s="43">
        <f>IF($A90=0,0,COUNTIFS('Rate Log'!$J$7:$J$93,'Rate Log'!$J$93,$C$4:$C90,$C90,$B$4:$B90,$B90))</f>
        <v>0</v>
      </c>
      <c r="H90" s="43">
        <f t="shared" si="3"/>
        <v>0</v>
      </c>
    </row>
    <row r="91" spans="1:8" x14ac:dyDescent="0.3">
      <c r="A91" s="43">
        <f>IF('Rate Log'!$C$94="",0,IF(OR('Rate Log'!$E$94="taken",'Rate Log'!$C$94&lt;DATE(nr_PlanYear,1,1)),1,0))</f>
        <v>0</v>
      </c>
      <c r="B91" s="278" t="str">
        <f>IF($A91=0,"",'Rate Log'!$C$94)</f>
        <v/>
      </c>
      <c r="C91" s="278" t="str">
        <f t="shared" si="2"/>
        <v/>
      </c>
      <c r="D91" s="160">
        <f>IF($A91=0,0,'Rate Log'!$L$94)</f>
        <v>0</v>
      </c>
      <c r="E91" s="43">
        <f>IF($A91=0,0,'Rate Log'!$N$94)</f>
        <v>0</v>
      </c>
      <c r="F91" s="43">
        <f>IF($A91=0,0,COUNTIFS(rl_key,'Rate Log'!$J$94,$C$4:$C$243,$C91,$B$4:$B$243,"&lt;"&amp;$B91))</f>
        <v>0</v>
      </c>
      <c r="G91" s="43">
        <f>IF($A91=0,0,COUNTIFS('Rate Log'!$J$7:$J$94,'Rate Log'!$J$94,$C$4:$C91,$C91,$B$4:$B91,$B91))</f>
        <v>0</v>
      </c>
      <c r="H91" s="43">
        <f t="shared" si="3"/>
        <v>0</v>
      </c>
    </row>
    <row r="92" spans="1:8" x14ac:dyDescent="0.3">
      <c r="A92" s="43">
        <f>IF('Rate Log'!$C$95="",0,IF(OR('Rate Log'!$E$95="taken",'Rate Log'!$C$95&lt;DATE(nr_PlanYear,1,1)),1,0))</f>
        <v>0</v>
      </c>
      <c r="B92" s="278" t="str">
        <f>IF($A92=0,"",'Rate Log'!$C$95)</f>
        <v/>
      </c>
      <c r="C92" s="278" t="str">
        <f t="shared" si="2"/>
        <v/>
      </c>
      <c r="D92" s="160">
        <f>IF($A92=0,0,'Rate Log'!$L$95)</f>
        <v>0</v>
      </c>
      <c r="E92" s="43">
        <f>IF($A92=0,0,'Rate Log'!$N$95)</f>
        <v>0</v>
      </c>
      <c r="F92" s="43">
        <f>IF($A92=0,0,COUNTIFS(rl_key,'Rate Log'!$J$95,$C$4:$C$243,$C92,$B$4:$B$243,"&lt;"&amp;$B92))</f>
        <v>0</v>
      </c>
      <c r="G92" s="43">
        <f>IF($A92=0,0,COUNTIFS('Rate Log'!$J$7:$J$95,'Rate Log'!$J$95,$C$4:$C92,$C92,$B$4:$B92,$B92))</f>
        <v>0</v>
      </c>
      <c r="H92" s="43">
        <f t="shared" si="3"/>
        <v>0</v>
      </c>
    </row>
    <row r="93" spans="1:8" x14ac:dyDescent="0.3">
      <c r="A93" s="43">
        <f>IF('Rate Log'!$C$96="",0,IF(OR('Rate Log'!$E$96="taken",'Rate Log'!$C$96&lt;DATE(nr_PlanYear,1,1)),1,0))</f>
        <v>0</v>
      </c>
      <c r="B93" s="278" t="str">
        <f>IF($A93=0,"",'Rate Log'!$C$96)</f>
        <v/>
      </c>
      <c r="C93" s="278" t="str">
        <f t="shared" si="2"/>
        <v/>
      </c>
      <c r="D93" s="160">
        <f>IF($A93=0,0,'Rate Log'!$L$96)</f>
        <v>0</v>
      </c>
      <c r="E93" s="43">
        <f>IF($A93=0,0,'Rate Log'!$N$96)</f>
        <v>0</v>
      </c>
      <c r="F93" s="43">
        <f>IF($A93=0,0,COUNTIFS(rl_key,'Rate Log'!$J$96,$C$4:$C$243,$C93,$B$4:$B$243,"&lt;"&amp;$B93))</f>
        <v>0</v>
      </c>
      <c r="G93" s="43">
        <f>IF($A93=0,0,COUNTIFS('Rate Log'!$J$7:$J$96,'Rate Log'!$J$96,$C$4:$C93,$C93,$B$4:$B93,$B93))</f>
        <v>0</v>
      </c>
      <c r="H93" s="43">
        <f t="shared" si="3"/>
        <v>0</v>
      </c>
    </row>
    <row r="94" spans="1:8" x14ac:dyDescent="0.3">
      <c r="A94" s="43">
        <f>IF('Rate Log'!$C$97="",0,IF(OR('Rate Log'!$E$97="taken",'Rate Log'!$C$97&lt;DATE(nr_PlanYear,1,1)),1,0))</f>
        <v>0</v>
      </c>
      <c r="B94" s="278" t="str">
        <f>IF($A94=0,"",'Rate Log'!$C$97)</f>
        <v/>
      </c>
      <c r="C94" s="278" t="str">
        <f t="shared" si="2"/>
        <v/>
      </c>
      <c r="D94" s="160">
        <f>IF($A94=0,0,'Rate Log'!$L$97)</f>
        <v>0</v>
      </c>
      <c r="E94" s="43">
        <f>IF($A94=0,0,'Rate Log'!$N$97)</f>
        <v>0</v>
      </c>
      <c r="F94" s="43">
        <f>IF($A94=0,0,COUNTIFS(rl_key,'Rate Log'!$J$97,$C$4:$C$243,$C94,$B$4:$B$243,"&lt;"&amp;$B94))</f>
        <v>0</v>
      </c>
      <c r="G94" s="43">
        <f>IF($A94=0,0,COUNTIFS('Rate Log'!$J$7:$J$97,'Rate Log'!$J$97,$C$4:$C94,$C94,$B$4:$B94,$B94))</f>
        <v>0</v>
      </c>
      <c r="H94" s="43">
        <f t="shared" si="3"/>
        <v>0</v>
      </c>
    </row>
    <row r="95" spans="1:8" x14ac:dyDescent="0.3">
      <c r="A95" s="43">
        <f>IF('Rate Log'!$C$98="",0,IF(OR('Rate Log'!$E$98="taken",'Rate Log'!$C$98&lt;DATE(nr_PlanYear,1,1)),1,0))</f>
        <v>0</v>
      </c>
      <c r="B95" s="278" t="str">
        <f>IF($A95=0,"",'Rate Log'!$C$98)</f>
        <v/>
      </c>
      <c r="C95" s="278" t="str">
        <f t="shared" si="2"/>
        <v/>
      </c>
      <c r="D95" s="160">
        <f>IF($A95=0,0,'Rate Log'!$L$98)</f>
        <v>0</v>
      </c>
      <c r="E95" s="43">
        <f>IF($A95=0,0,'Rate Log'!$N$98)</f>
        <v>0</v>
      </c>
      <c r="F95" s="43">
        <f>IF($A95=0,0,COUNTIFS(rl_key,'Rate Log'!$J$98,$C$4:$C$243,$C95,$B$4:$B$243,"&lt;"&amp;$B95))</f>
        <v>0</v>
      </c>
      <c r="G95" s="43">
        <f>IF($A95=0,0,COUNTIFS('Rate Log'!$J$7:$J$98,'Rate Log'!$J$98,$C$4:$C95,$C95,$B$4:$B95,$B95))</f>
        <v>0</v>
      </c>
      <c r="H95" s="43">
        <f t="shared" si="3"/>
        <v>0</v>
      </c>
    </row>
    <row r="96" spans="1:8" x14ac:dyDescent="0.3">
      <c r="A96" s="43">
        <f>IF('Rate Log'!$C$99="",0,IF(OR('Rate Log'!$E$99="taken",'Rate Log'!$C$99&lt;DATE(nr_PlanYear,1,1)),1,0))</f>
        <v>0</v>
      </c>
      <c r="B96" s="278" t="str">
        <f>IF($A96=0,"",'Rate Log'!$C$99)</f>
        <v/>
      </c>
      <c r="C96" s="278" t="str">
        <f t="shared" si="2"/>
        <v/>
      </c>
      <c r="D96" s="160">
        <f>IF($A96=0,0,'Rate Log'!$L$99)</f>
        <v>0</v>
      </c>
      <c r="E96" s="43">
        <f>IF($A96=0,0,'Rate Log'!$N$99)</f>
        <v>0</v>
      </c>
      <c r="F96" s="43">
        <f>IF($A96=0,0,COUNTIFS(rl_key,'Rate Log'!$J$99,$C$4:$C$243,$C96,$B$4:$B$243,"&lt;"&amp;$B96))</f>
        <v>0</v>
      </c>
      <c r="G96" s="43">
        <f>IF($A96=0,0,COUNTIFS('Rate Log'!$J$7:$J$99,'Rate Log'!$J$99,$C$4:$C96,$C96,$B$4:$B96,$B96))</f>
        <v>0</v>
      </c>
      <c r="H96" s="43">
        <f t="shared" si="3"/>
        <v>0</v>
      </c>
    </row>
    <row r="97" spans="1:8" x14ac:dyDescent="0.3">
      <c r="A97" s="43">
        <f>IF('Rate Log'!$C$100="",0,IF(OR('Rate Log'!$E$100="taken",'Rate Log'!$C$100&lt;DATE(nr_PlanYear,1,1)),1,0))</f>
        <v>0</v>
      </c>
      <c r="B97" s="278" t="str">
        <f>IF($A97=0,"",'Rate Log'!$C$100)</f>
        <v/>
      </c>
      <c r="C97" s="278" t="str">
        <f t="shared" si="2"/>
        <v/>
      </c>
      <c r="D97" s="160">
        <f>IF($A97=0,0,'Rate Log'!$L$100)</f>
        <v>0</v>
      </c>
      <c r="E97" s="43">
        <f>IF($A97=0,0,'Rate Log'!$N$100)</f>
        <v>0</v>
      </c>
      <c r="F97" s="43">
        <f>IF($A97=0,0,COUNTIFS(rl_key,'Rate Log'!$J$100,$C$4:$C$243,$C97,$B$4:$B$243,"&lt;"&amp;$B97))</f>
        <v>0</v>
      </c>
      <c r="G97" s="43">
        <f>IF($A97=0,0,COUNTIFS('Rate Log'!$J$7:$J$100,'Rate Log'!$J$100,$C$4:$C97,$C97,$B$4:$B97,$B97))</f>
        <v>0</v>
      </c>
      <c r="H97" s="43">
        <f t="shared" si="3"/>
        <v>0</v>
      </c>
    </row>
    <row r="98" spans="1:8" x14ac:dyDescent="0.3">
      <c r="A98" s="43">
        <f>IF('Rate Log'!$C$101="",0,IF(OR('Rate Log'!$E$101="taken",'Rate Log'!$C$101&lt;DATE(nr_PlanYear,1,1)),1,0))</f>
        <v>0</v>
      </c>
      <c r="B98" s="278" t="str">
        <f>IF($A98=0,"",'Rate Log'!$C$101)</f>
        <v/>
      </c>
      <c r="C98" s="278" t="str">
        <f t="shared" si="2"/>
        <v/>
      </c>
      <c r="D98" s="160">
        <f>IF($A98=0,0,'Rate Log'!$L$101)</f>
        <v>0</v>
      </c>
      <c r="E98" s="43">
        <f>IF($A98=0,0,'Rate Log'!$N$101)</f>
        <v>0</v>
      </c>
      <c r="F98" s="43">
        <f>IF($A98=0,0,COUNTIFS(rl_key,'Rate Log'!$J$101,$C$4:$C$243,$C98,$B$4:$B$243,"&lt;"&amp;$B98))</f>
        <v>0</v>
      </c>
      <c r="G98" s="43">
        <f>IF($A98=0,0,COUNTIFS('Rate Log'!$J$7:$J$101,'Rate Log'!$J$101,$C$4:$C98,$C98,$B$4:$B98,$B98))</f>
        <v>0</v>
      </c>
      <c r="H98" s="43">
        <f t="shared" si="3"/>
        <v>0</v>
      </c>
    </row>
    <row r="99" spans="1:8" x14ac:dyDescent="0.3">
      <c r="A99" s="43">
        <f>IF('Rate Log'!$C$102="",0,IF(OR('Rate Log'!$E$102="taken",'Rate Log'!$C$102&lt;DATE(nr_PlanYear,1,1)),1,0))</f>
        <v>0</v>
      </c>
      <c r="B99" s="278" t="str">
        <f>IF($A99=0,"",'Rate Log'!$C$102)</f>
        <v/>
      </c>
      <c r="C99" s="278" t="str">
        <f t="shared" si="2"/>
        <v/>
      </c>
      <c r="D99" s="160">
        <f>IF($A99=0,0,'Rate Log'!$L$102)</f>
        <v>0</v>
      </c>
      <c r="E99" s="43">
        <f>IF($A99=0,0,'Rate Log'!$N$102)</f>
        <v>0</v>
      </c>
      <c r="F99" s="43">
        <f>IF($A99=0,0,COUNTIFS(rl_key,'Rate Log'!$J$102,$C$4:$C$243,$C99,$B$4:$B$243,"&lt;"&amp;$B99))</f>
        <v>0</v>
      </c>
      <c r="G99" s="43">
        <f>IF($A99=0,0,COUNTIFS('Rate Log'!$J$7:$J$102,'Rate Log'!$J$102,$C$4:$C99,$C99,$B$4:$B99,$B99))</f>
        <v>0</v>
      </c>
      <c r="H99" s="43">
        <f t="shared" si="3"/>
        <v>0</v>
      </c>
    </row>
    <row r="100" spans="1:8" x14ac:dyDescent="0.3">
      <c r="A100" s="43">
        <f>IF('Rate Log'!$C$103="",0,IF(OR('Rate Log'!$E$103="taken",'Rate Log'!$C$103&lt;DATE(nr_PlanYear,1,1)),1,0))</f>
        <v>0</v>
      </c>
      <c r="B100" s="278" t="str">
        <f>IF($A100=0,"",'Rate Log'!$C$103)</f>
        <v/>
      </c>
      <c r="C100" s="278" t="str">
        <f t="shared" si="2"/>
        <v/>
      </c>
      <c r="D100" s="160">
        <f>IF($A100=0,0,'Rate Log'!$L$103)</f>
        <v>0</v>
      </c>
      <c r="E100" s="43">
        <f>IF($A100=0,0,'Rate Log'!$N$103)</f>
        <v>0</v>
      </c>
      <c r="F100" s="43">
        <f>IF($A100=0,0,COUNTIFS(rl_key,'Rate Log'!$J$103,$C$4:$C$243,$C100,$B$4:$B$243,"&lt;"&amp;$B100))</f>
        <v>0</v>
      </c>
      <c r="G100" s="43">
        <f>IF($A100=0,0,COUNTIFS('Rate Log'!$J$7:$J$103,'Rate Log'!$J$103,$C$4:$C100,$C100,$B$4:$B100,$B100))</f>
        <v>0</v>
      </c>
      <c r="H100" s="43">
        <f t="shared" si="3"/>
        <v>0</v>
      </c>
    </row>
    <row r="101" spans="1:8" x14ac:dyDescent="0.3">
      <c r="A101" s="43">
        <f>IF('Rate Log'!$C$104="",0,IF(OR('Rate Log'!$E$104="taken",'Rate Log'!$C$104&lt;DATE(nr_PlanYear,1,1)),1,0))</f>
        <v>0</v>
      </c>
      <c r="B101" s="278" t="str">
        <f>IF($A101=0,"",'Rate Log'!$C$104)</f>
        <v/>
      </c>
      <c r="C101" s="278" t="str">
        <f t="shared" si="2"/>
        <v/>
      </c>
      <c r="D101" s="160">
        <f>IF($A101=0,0,'Rate Log'!$L$104)</f>
        <v>0</v>
      </c>
      <c r="E101" s="43">
        <f>IF($A101=0,0,'Rate Log'!$N$104)</f>
        <v>0</v>
      </c>
      <c r="F101" s="43">
        <f>IF($A101=0,0,COUNTIFS(rl_key,'Rate Log'!$J$104,$C$4:$C$243,$C101,$B$4:$B$243,"&lt;"&amp;$B101))</f>
        <v>0</v>
      </c>
      <c r="G101" s="43">
        <f>IF($A101=0,0,COUNTIFS('Rate Log'!$J$7:$J$104,'Rate Log'!$J$104,$C$4:$C101,$C101,$B$4:$B101,$B101))</f>
        <v>0</v>
      </c>
      <c r="H101" s="43">
        <f t="shared" si="3"/>
        <v>0</v>
      </c>
    </row>
    <row r="102" spans="1:8" x14ac:dyDescent="0.3">
      <c r="A102" s="43">
        <f>IF('Rate Log'!$C$105="",0,IF(OR('Rate Log'!$E$105="taken",'Rate Log'!$C$105&lt;DATE(nr_PlanYear,1,1)),1,0))</f>
        <v>0</v>
      </c>
      <c r="B102" s="278" t="str">
        <f>IF($A102=0,"",'Rate Log'!$C$105)</f>
        <v/>
      </c>
      <c r="C102" s="278" t="str">
        <f t="shared" si="2"/>
        <v/>
      </c>
      <c r="D102" s="160">
        <f>IF($A102=0,0,'Rate Log'!$L$105)</f>
        <v>0</v>
      </c>
      <c r="E102" s="43">
        <f>IF($A102=0,0,'Rate Log'!$N$105)</f>
        <v>0</v>
      </c>
      <c r="F102" s="43">
        <f>IF($A102=0,0,COUNTIFS(rl_key,'Rate Log'!$J$105,$C$4:$C$243,$C102,$B$4:$B$243,"&lt;"&amp;$B102))</f>
        <v>0</v>
      </c>
      <c r="G102" s="43">
        <f>IF($A102=0,0,COUNTIFS('Rate Log'!$J$7:$J$105,'Rate Log'!$J$105,$C$4:$C102,$C102,$B$4:$B102,$B102))</f>
        <v>0</v>
      </c>
      <c r="H102" s="43">
        <f t="shared" si="3"/>
        <v>0</v>
      </c>
    </row>
    <row r="103" spans="1:8" x14ac:dyDescent="0.3">
      <c r="A103" s="43">
        <f>IF('Rate Log'!$C$106="",0,IF(OR('Rate Log'!$E$106="taken",'Rate Log'!$C$106&lt;DATE(nr_PlanYear,1,1)),1,0))</f>
        <v>0</v>
      </c>
      <c r="B103" s="278" t="str">
        <f>IF($A103=0,"",'Rate Log'!$C$106)</f>
        <v/>
      </c>
      <c r="C103" s="278" t="str">
        <f t="shared" si="2"/>
        <v/>
      </c>
      <c r="D103" s="160">
        <f>IF($A103=0,0,'Rate Log'!$L$106)</f>
        <v>0</v>
      </c>
      <c r="E103" s="43">
        <f>IF($A103=0,0,'Rate Log'!$N$106)</f>
        <v>0</v>
      </c>
      <c r="F103" s="43">
        <f>IF($A103=0,0,COUNTIFS(rl_key,'Rate Log'!$J$106,$C$4:$C$243,$C103,$B$4:$B$243,"&lt;"&amp;$B103))</f>
        <v>0</v>
      </c>
      <c r="G103" s="43">
        <f>IF($A103=0,0,COUNTIFS('Rate Log'!$J$7:$J$106,'Rate Log'!$J$106,$C$4:$C103,$C103,$B$4:$B103,$B103))</f>
        <v>0</v>
      </c>
      <c r="H103" s="43">
        <f t="shared" si="3"/>
        <v>0</v>
      </c>
    </row>
    <row r="104" spans="1:8" x14ac:dyDescent="0.3">
      <c r="A104" s="43">
        <f>IF('Rate Log'!$C$107="",0,IF(OR('Rate Log'!$E$107="taken",'Rate Log'!$C$107&lt;DATE(nr_PlanYear,1,1)),1,0))</f>
        <v>0</v>
      </c>
      <c r="B104" s="278" t="str">
        <f>IF($A104=0,"",'Rate Log'!$C$107)</f>
        <v/>
      </c>
      <c r="C104" s="278" t="str">
        <f t="shared" si="2"/>
        <v/>
      </c>
      <c r="D104" s="160">
        <f>IF($A104=0,0,'Rate Log'!$L$107)</f>
        <v>0</v>
      </c>
      <c r="E104" s="43">
        <f>IF($A104=0,0,'Rate Log'!$N$107)</f>
        <v>0</v>
      </c>
      <c r="F104" s="43">
        <f>IF($A104=0,0,COUNTIFS(rl_key,'Rate Log'!$J$107,$C$4:$C$243,$C104,$B$4:$B$243,"&lt;"&amp;$B104))</f>
        <v>0</v>
      </c>
      <c r="G104" s="43">
        <f>IF($A104=0,0,COUNTIFS('Rate Log'!$J$7:$J$107,'Rate Log'!$J$107,$C$4:$C104,$C104,$B$4:$B104,$B104))</f>
        <v>0</v>
      </c>
      <c r="H104" s="43">
        <f t="shared" si="3"/>
        <v>0</v>
      </c>
    </row>
    <row r="105" spans="1:8" x14ac:dyDescent="0.3">
      <c r="A105" s="43">
        <f>IF('Rate Log'!$C$108="",0,IF(OR('Rate Log'!$E$108="taken",'Rate Log'!$C$108&lt;DATE(nr_PlanYear,1,1)),1,0))</f>
        <v>0</v>
      </c>
      <c r="B105" s="278" t="str">
        <f>IF($A105=0,"",'Rate Log'!$C$108)</f>
        <v/>
      </c>
      <c r="C105" s="278" t="str">
        <f t="shared" si="2"/>
        <v/>
      </c>
      <c r="D105" s="160">
        <f>IF($A105=0,0,'Rate Log'!$L$108)</f>
        <v>0</v>
      </c>
      <c r="E105" s="43">
        <f>IF($A105=0,0,'Rate Log'!$N$108)</f>
        <v>0</v>
      </c>
      <c r="F105" s="43">
        <f>IF($A105=0,0,COUNTIFS(rl_key,'Rate Log'!$J$108,$C$4:$C$243,$C105,$B$4:$B$243,"&lt;"&amp;$B105))</f>
        <v>0</v>
      </c>
      <c r="G105" s="43">
        <f>IF($A105=0,0,COUNTIFS('Rate Log'!$J$7:$J$108,'Rate Log'!$J$108,$C$4:$C105,$C105,$B$4:$B105,$B105))</f>
        <v>0</v>
      </c>
      <c r="H105" s="43">
        <f t="shared" si="3"/>
        <v>0</v>
      </c>
    </row>
    <row r="106" spans="1:8" x14ac:dyDescent="0.3">
      <c r="A106" s="43">
        <f>IF('Rate Log'!$C$109="",0,IF(OR('Rate Log'!$E$109="taken",'Rate Log'!$C$109&lt;DATE(nr_PlanYear,1,1)),1,0))</f>
        <v>0</v>
      </c>
      <c r="B106" s="278" t="str">
        <f>IF($A106=0,"",'Rate Log'!$C$109)</f>
        <v/>
      </c>
      <c r="C106" s="278" t="str">
        <f t="shared" si="2"/>
        <v/>
      </c>
      <c r="D106" s="160">
        <f>IF($A106=0,0,'Rate Log'!$L$109)</f>
        <v>0</v>
      </c>
      <c r="E106" s="43">
        <f>IF($A106=0,0,'Rate Log'!$N$109)</f>
        <v>0</v>
      </c>
      <c r="F106" s="43">
        <f>IF($A106=0,0,COUNTIFS(rl_key,'Rate Log'!$J$109,$C$4:$C$243,$C106,$B$4:$B$243,"&lt;"&amp;$B106))</f>
        <v>0</v>
      </c>
      <c r="G106" s="43">
        <f>IF($A106=0,0,COUNTIFS('Rate Log'!$J$7:$J$109,'Rate Log'!$J$109,$C$4:$C106,$C106,$B$4:$B106,$B106))</f>
        <v>0</v>
      </c>
      <c r="H106" s="43">
        <f t="shared" si="3"/>
        <v>0</v>
      </c>
    </row>
    <row r="107" spans="1:8" x14ac:dyDescent="0.3">
      <c r="A107" s="43">
        <f>IF('Rate Log'!$C$110="",0,IF(OR('Rate Log'!$E$110="taken",'Rate Log'!$C$110&lt;DATE(nr_PlanYear,1,1)),1,0))</f>
        <v>0</v>
      </c>
      <c r="B107" s="278" t="str">
        <f>IF($A107=0,"",'Rate Log'!$C$110)</f>
        <v/>
      </c>
      <c r="C107" s="278" t="str">
        <f t="shared" si="2"/>
        <v/>
      </c>
      <c r="D107" s="160">
        <f>IF($A107=0,0,'Rate Log'!$L$110)</f>
        <v>0</v>
      </c>
      <c r="E107" s="43">
        <f>IF($A107=0,0,'Rate Log'!$N$110)</f>
        <v>0</v>
      </c>
      <c r="F107" s="43">
        <f>IF($A107=0,0,COUNTIFS(rl_key,'Rate Log'!$J$110,$C$4:$C$243,$C107,$B$4:$B$243,"&lt;"&amp;$B107))</f>
        <v>0</v>
      </c>
      <c r="G107" s="43">
        <f>IF($A107=0,0,COUNTIFS('Rate Log'!$J$7:$J$110,'Rate Log'!$J$110,$C$4:$C107,$C107,$B$4:$B107,$B107))</f>
        <v>0</v>
      </c>
      <c r="H107" s="43">
        <f t="shared" si="3"/>
        <v>0</v>
      </c>
    </row>
    <row r="108" spans="1:8" x14ac:dyDescent="0.3">
      <c r="A108" s="43">
        <f>IF('Rate Log'!$C$111="",0,IF(OR('Rate Log'!$E$111="taken",'Rate Log'!$C$111&lt;DATE(nr_PlanYear,1,1)),1,0))</f>
        <v>0</v>
      </c>
      <c r="B108" s="278" t="str">
        <f>IF($A108=0,"",'Rate Log'!$C$111)</f>
        <v/>
      </c>
      <c r="C108" s="278" t="str">
        <f t="shared" si="2"/>
        <v/>
      </c>
      <c r="D108" s="160">
        <f>IF($A108=0,0,'Rate Log'!$L$111)</f>
        <v>0</v>
      </c>
      <c r="E108" s="43">
        <f>IF($A108=0,0,'Rate Log'!$N$111)</f>
        <v>0</v>
      </c>
      <c r="F108" s="43">
        <f>IF($A108=0,0,COUNTIFS(rl_key,'Rate Log'!$J$111,$C$4:$C$243,$C108,$B$4:$B$243,"&lt;"&amp;$B108))</f>
        <v>0</v>
      </c>
      <c r="G108" s="43">
        <f>IF($A108=0,0,COUNTIFS('Rate Log'!$J$7:$J$111,'Rate Log'!$J$111,$C$4:$C108,$C108,$B$4:$B108,$B108))</f>
        <v>0</v>
      </c>
      <c r="H108" s="43">
        <f t="shared" si="3"/>
        <v>0</v>
      </c>
    </row>
    <row r="109" spans="1:8" x14ac:dyDescent="0.3">
      <c r="A109" s="43">
        <f>IF('Rate Log'!$C$112="",0,IF(OR('Rate Log'!$E$112="taken",'Rate Log'!$C$112&lt;DATE(nr_PlanYear,1,1)),1,0))</f>
        <v>0</v>
      </c>
      <c r="B109" s="278" t="str">
        <f>IF($A109=0,"",'Rate Log'!$C$112)</f>
        <v/>
      </c>
      <c r="C109" s="278" t="str">
        <f t="shared" si="2"/>
        <v/>
      </c>
      <c r="D109" s="160">
        <f>IF($A109=0,0,'Rate Log'!$L$112)</f>
        <v>0</v>
      </c>
      <c r="E109" s="43">
        <f>IF($A109=0,0,'Rate Log'!$N$112)</f>
        <v>0</v>
      </c>
      <c r="F109" s="43">
        <f>IF($A109=0,0,COUNTIFS(rl_key,'Rate Log'!$J$112,$C$4:$C$243,$C109,$B$4:$B$243,"&lt;"&amp;$B109))</f>
        <v>0</v>
      </c>
      <c r="G109" s="43">
        <f>IF($A109=0,0,COUNTIFS('Rate Log'!$J$7:$J$112,'Rate Log'!$J$112,$C$4:$C109,$C109,$B$4:$B109,$B109))</f>
        <v>0</v>
      </c>
      <c r="H109" s="43">
        <f t="shared" si="3"/>
        <v>0</v>
      </c>
    </row>
    <row r="110" spans="1:8" x14ac:dyDescent="0.3">
      <c r="A110" s="43">
        <f>IF('Rate Log'!$C$113="",0,IF(OR('Rate Log'!$E$113="taken",'Rate Log'!$C$113&lt;DATE(nr_PlanYear,1,1)),1,0))</f>
        <v>0</v>
      </c>
      <c r="B110" s="278" t="str">
        <f>IF($A110=0,"",'Rate Log'!$C$113)</f>
        <v/>
      </c>
      <c r="C110" s="278" t="str">
        <f t="shared" si="2"/>
        <v/>
      </c>
      <c r="D110" s="160">
        <f>IF($A110=0,0,'Rate Log'!$L$113)</f>
        <v>0</v>
      </c>
      <c r="E110" s="43">
        <f>IF($A110=0,0,'Rate Log'!$N$113)</f>
        <v>0</v>
      </c>
      <c r="F110" s="43">
        <f>IF($A110=0,0,COUNTIFS(rl_key,'Rate Log'!$J$113,$C$4:$C$243,$C110,$B$4:$B$243,"&lt;"&amp;$B110))</f>
        <v>0</v>
      </c>
      <c r="G110" s="43">
        <f>IF($A110=0,0,COUNTIFS('Rate Log'!$J$7:$J$113,'Rate Log'!$J$113,$C$4:$C110,$C110,$B$4:$B110,$B110))</f>
        <v>0</v>
      </c>
      <c r="H110" s="43">
        <f t="shared" si="3"/>
        <v>0</v>
      </c>
    </row>
    <row r="111" spans="1:8" x14ac:dyDescent="0.3">
      <c r="A111" s="43">
        <f>IF('Rate Log'!$C$114="",0,IF(OR('Rate Log'!$E$114="taken",'Rate Log'!$C$114&lt;DATE(nr_PlanYear,1,1)),1,0))</f>
        <v>0</v>
      </c>
      <c r="B111" s="278" t="str">
        <f>IF($A111=0,"",'Rate Log'!$C$114)</f>
        <v/>
      </c>
      <c r="C111" s="278" t="str">
        <f t="shared" si="2"/>
        <v/>
      </c>
      <c r="D111" s="160">
        <f>IF($A111=0,0,'Rate Log'!$L$114)</f>
        <v>0</v>
      </c>
      <c r="E111" s="43">
        <f>IF($A111=0,0,'Rate Log'!$N$114)</f>
        <v>0</v>
      </c>
      <c r="F111" s="43">
        <f>IF($A111=0,0,COUNTIFS(rl_key,'Rate Log'!$J$114,$C$4:$C$243,$C111,$B$4:$B$243,"&lt;"&amp;$B111))</f>
        <v>0</v>
      </c>
      <c r="G111" s="43">
        <f>IF($A111=0,0,COUNTIFS('Rate Log'!$J$7:$J$114,'Rate Log'!$J$114,$C$4:$C111,$C111,$B$4:$B111,$B111))</f>
        <v>0</v>
      </c>
      <c r="H111" s="43">
        <f t="shared" si="3"/>
        <v>0</v>
      </c>
    </row>
    <row r="112" spans="1:8" x14ac:dyDescent="0.3">
      <c r="A112" s="43">
        <f>IF('Rate Log'!$C$115="",0,IF(OR('Rate Log'!$E$115="taken",'Rate Log'!$C$115&lt;DATE(nr_PlanYear,1,1)),1,0))</f>
        <v>0</v>
      </c>
      <c r="B112" s="278" t="str">
        <f>IF($A112=0,"",'Rate Log'!$C$115)</f>
        <v/>
      </c>
      <c r="C112" s="278" t="str">
        <f t="shared" si="2"/>
        <v/>
      </c>
      <c r="D112" s="160">
        <f>IF($A112=0,0,'Rate Log'!$L$115)</f>
        <v>0</v>
      </c>
      <c r="E112" s="43">
        <f>IF($A112=0,0,'Rate Log'!$N$115)</f>
        <v>0</v>
      </c>
      <c r="F112" s="43">
        <f>IF($A112=0,0,COUNTIFS(rl_key,'Rate Log'!$J$115,$C$4:$C$243,$C112,$B$4:$B$243,"&lt;"&amp;$B112))</f>
        <v>0</v>
      </c>
      <c r="G112" s="43">
        <f>IF($A112=0,0,COUNTIFS('Rate Log'!$J$7:$J$115,'Rate Log'!$J$115,$C$4:$C112,$C112,$B$4:$B112,$B112))</f>
        <v>0</v>
      </c>
      <c r="H112" s="43">
        <f t="shared" si="3"/>
        <v>0</v>
      </c>
    </row>
    <row r="113" spans="1:8" x14ac:dyDescent="0.3">
      <c r="A113" s="43">
        <f>IF('Rate Log'!$C$116="",0,IF(OR('Rate Log'!$E$116="taken",'Rate Log'!$C$116&lt;DATE(nr_PlanYear,1,1)),1,0))</f>
        <v>0</v>
      </c>
      <c r="B113" s="278" t="str">
        <f>IF($A113=0,"",'Rate Log'!$C$116)</f>
        <v/>
      </c>
      <c r="C113" s="278" t="str">
        <f t="shared" si="2"/>
        <v/>
      </c>
      <c r="D113" s="160">
        <f>IF($A113=0,0,'Rate Log'!$L$116)</f>
        <v>0</v>
      </c>
      <c r="E113" s="43">
        <f>IF($A113=0,0,'Rate Log'!$N$116)</f>
        <v>0</v>
      </c>
      <c r="F113" s="43">
        <f>IF($A113=0,0,COUNTIFS(rl_key,'Rate Log'!$J$116,$C$4:$C$243,$C113,$B$4:$B$243,"&lt;"&amp;$B113))</f>
        <v>0</v>
      </c>
      <c r="G113" s="43">
        <f>IF($A113=0,0,COUNTIFS('Rate Log'!$J$7:$J$116,'Rate Log'!$J$116,$C$4:$C113,$C113,$B$4:$B113,$B113))</f>
        <v>0</v>
      </c>
      <c r="H113" s="43">
        <f t="shared" si="3"/>
        <v>0</v>
      </c>
    </row>
    <row r="114" spans="1:8" x14ac:dyDescent="0.3">
      <c r="A114" s="43">
        <f>IF('Rate Log'!$C$117="",0,IF(OR('Rate Log'!$E$117="taken",'Rate Log'!$C$117&lt;DATE(nr_PlanYear,1,1)),1,0))</f>
        <v>0</v>
      </c>
      <c r="B114" s="278" t="str">
        <f>IF($A114=0,"",'Rate Log'!$C$117)</f>
        <v/>
      </c>
      <c r="C114" s="278" t="str">
        <f t="shared" si="2"/>
        <v/>
      </c>
      <c r="D114" s="160">
        <f>IF($A114=0,0,'Rate Log'!$L$117)</f>
        <v>0</v>
      </c>
      <c r="E114" s="43">
        <f>IF($A114=0,0,'Rate Log'!$N$117)</f>
        <v>0</v>
      </c>
      <c r="F114" s="43">
        <f>IF($A114=0,0,COUNTIFS(rl_key,'Rate Log'!$J$117,$C$4:$C$243,$C114,$B$4:$B$243,"&lt;"&amp;$B114))</f>
        <v>0</v>
      </c>
      <c r="G114" s="43">
        <f>IF($A114=0,0,COUNTIFS('Rate Log'!$J$7:$J$117,'Rate Log'!$J$117,$C$4:$C114,$C114,$B$4:$B114,$B114))</f>
        <v>0</v>
      </c>
      <c r="H114" s="43">
        <f t="shared" si="3"/>
        <v>0</v>
      </c>
    </row>
    <row r="115" spans="1:8" x14ac:dyDescent="0.3">
      <c r="A115" s="43">
        <f>IF('Rate Log'!$C$118="",0,IF(OR('Rate Log'!$E$118="taken",'Rate Log'!$C$118&lt;DATE(nr_PlanYear,1,1)),1,0))</f>
        <v>0</v>
      </c>
      <c r="B115" s="278" t="str">
        <f>IF($A115=0,"",'Rate Log'!$C$118)</f>
        <v/>
      </c>
      <c r="C115" s="278" t="str">
        <f t="shared" si="2"/>
        <v/>
      </c>
      <c r="D115" s="160">
        <f>IF($A115=0,0,'Rate Log'!$L$118)</f>
        <v>0</v>
      </c>
      <c r="E115" s="43">
        <f>IF($A115=0,0,'Rate Log'!$N$118)</f>
        <v>0</v>
      </c>
      <c r="F115" s="43">
        <f>IF($A115=0,0,COUNTIFS(rl_key,'Rate Log'!$J$118,$C$4:$C$243,$C115,$B$4:$B$243,"&lt;"&amp;$B115))</f>
        <v>0</v>
      </c>
      <c r="G115" s="43">
        <f>IF($A115=0,0,COUNTIFS('Rate Log'!$J$7:$J$118,'Rate Log'!$J$118,$C$4:$C115,$C115,$B$4:$B115,$B115))</f>
        <v>0</v>
      </c>
      <c r="H115" s="43">
        <f t="shared" si="3"/>
        <v>0</v>
      </c>
    </row>
    <row r="116" spans="1:8" x14ac:dyDescent="0.3">
      <c r="A116" s="43">
        <f>IF('Rate Log'!$C$119="",0,IF(OR('Rate Log'!$E$119="taken",'Rate Log'!$C$119&lt;DATE(nr_PlanYear,1,1)),1,0))</f>
        <v>0</v>
      </c>
      <c r="B116" s="278" t="str">
        <f>IF($A116=0,"",'Rate Log'!$C$119)</f>
        <v/>
      </c>
      <c r="C116" s="278" t="str">
        <f t="shared" si="2"/>
        <v/>
      </c>
      <c r="D116" s="160">
        <f>IF($A116=0,0,'Rate Log'!$L$119)</f>
        <v>0</v>
      </c>
      <c r="E116" s="43">
        <f>IF($A116=0,0,'Rate Log'!$N$119)</f>
        <v>0</v>
      </c>
      <c r="F116" s="43">
        <f>IF($A116=0,0,COUNTIFS(rl_key,'Rate Log'!$J$119,$C$4:$C$243,$C116,$B$4:$B$243,"&lt;"&amp;$B116))</f>
        <v>0</v>
      </c>
      <c r="G116" s="43">
        <f>IF($A116=0,0,COUNTIFS('Rate Log'!$J$7:$J$119,'Rate Log'!$J$119,$C$4:$C116,$C116,$B$4:$B116,$B116))</f>
        <v>0</v>
      </c>
      <c r="H116" s="43">
        <f t="shared" si="3"/>
        <v>0</v>
      </c>
    </row>
    <row r="117" spans="1:8" x14ac:dyDescent="0.3">
      <c r="A117" s="43">
        <f>IF('Rate Log'!$C$120="",0,IF(OR('Rate Log'!$E$120="taken",'Rate Log'!$C$120&lt;DATE(nr_PlanYear,1,1)),1,0))</f>
        <v>0</v>
      </c>
      <c r="B117" s="278" t="str">
        <f>IF($A117=0,"",'Rate Log'!$C$120)</f>
        <v/>
      </c>
      <c r="C117" s="278" t="str">
        <f t="shared" si="2"/>
        <v/>
      </c>
      <c r="D117" s="160">
        <f>IF($A117=0,0,'Rate Log'!$L$120)</f>
        <v>0</v>
      </c>
      <c r="E117" s="43">
        <f>IF($A117=0,0,'Rate Log'!$N$120)</f>
        <v>0</v>
      </c>
      <c r="F117" s="43">
        <f>IF($A117=0,0,COUNTIFS(rl_key,'Rate Log'!$J$120,$C$4:$C$243,$C117,$B$4:$B$243,"&lt;"&amp;$B117))</f>
        <v>0</v>
      </c>
      <c r="G117" s="43">
        <f>IF($A117=0,0,COUNTIFS('Rate Log'!$J$7:$J$120,'Rate Log'!$J$120,$C$4:$C117,$C117,$B$4:$B117,$B117))</f>
        <v>0</v>
      </c>
      <c r="H117" s="43">
        <f t="shared" si="3"/>
        <v>0</v>
      </c>
    </row>
    <row r="118" spans="1:8" x14ac:dyDescent="0.3">
      <c r="A118" s="43">
        <f>IF('Rate Log'!$C$121="",0,IF(OR('Rate Log'!$E$121="taken",'Rate Log'!$C$121&lt;DATE(nr_PlanYear,1,1)),1,0))</f>
        <v>0</v>
      </c>
      <c r="B118" s="278" t="str">
        <f>IF($A118=0,"",'Rate Log'!$C$121)</f>
        <v/>
      </c>
      <c r="C118" s="278" t="str">
        <f t="shared" si="2"/>
        <v/>
      </c>
      <c r="D118" s="160">
        <f>IF($A118=0,0,'Rate Log'!$L$121)</f>
        <v>0</v>
      </c>
      <c r="E118" s="43">
        <f>IF($A118=0,0,'Rate Log'!$N$121)</f>
        <v>0</v>
      </c>
      <c r="F118" s="43">
        <f>IF($A118=0,0,COUNTIFS(rl_key,'Rate Log'!$J$121,$C$4:$C$243,$C118,$B$4:$B$243,"&lt;"&amp;$B118))</f>
        <v>0</v>
      </c>
      <c r="G118" s="43">
        <f>IF($A118=0,0,COUNTIFS('Rate Log'!$J$7:$J$121,'Rate Log'!$J$121,$C$4:$C118,$C118,$B$4:$B118,$B118))</f>
        <v>0</v>
      </c>
      <c r="H118" s="43">
        <f t="shared" si="3"/>
        <v>0</v>
      </c>
    </row>
    <row r="119" spans="1:8" x14ac:dyDescent="0.3">
      <c r="A119" s="43">
        <f>IF('Rate Log'!$C$122="",0,IF(OR('Rate Log'!$E$122="taken",'Rate Log'!$C$122&lt;DATE(nr_PlanYear,1,1)),1,0))</f>
        <v>0</v>
      </c>
      <c r="B119" s="278" t="str">
        <f>IF($A119=0,"",'Rate Log'!$C$122)</f>
        <v/>
      </c>
      <c r="C119" s="278" t="str">
        <f t="shared" si="2"/>
        <v/>
      </c>
      <c r="D119" s="160">
        <f>IF($A119=0,0,'Rate Log'!$L$122)</f>
        <v>0</v>
      </c>
      <c r="E119" s="43">
        <f>IF($A119=0,0,'Rate Log'!$N$122)</f>
        <v>0</v>
      </c>
      <c r="F119" s="43">
        <f>IF($A119=0,0,COUNTIFS(rl_key,'Rate Log'!$J$122,$C$4:$C$243,$C119,$B$4:$B$243,"&lt;"&amp;$B119))</f>
        <v>0</v>
      </c>
      <c r="G119" s="43">
        <f>IF($A119=0,0,COUNTIFS('Rate Log'!$J$7:$J$122,'Rate Log'!$J$122,$C$4:$C119,$C119,$B$4:$B119,$B119))</f>
        <v>0</v>
      </c>
      <c r="H119" s="43">
        <f t="shared" si="3"/>
        <v>0</v>
      </c>
    </row>
    <row r="120" spans="1:8" x14ac:dyDescent="0.3">
      <c r="A120" s="43">
        <f>IF('Rate Log'!$C$123="",0,IF(OR('Rate Log'!$E$123="taken",'Rate Log'!$C$123&lt;DATE(nr_PlanYear,1,1)),1,0))</f>
        <v>0</v>
      </c>
      <c r="B120" s="278" t="str">
        <f>IF($A120=0,"",'Rate Log'!$C$123)</f>
        <v/>
      </c>
      <c r="C120" s="278" t="str">
        <f t="shared" si="2"/>
        <v/>
      </c>
      <c r="D120" s="160">
        <f>IF($A120=0,0,'Rate Log'!$L$123)</f>
        <v>0</v>
      </c>
      <c r="E120" s="43">
        <f>IF($A120=0,0,'Rate Log'!$N$123)</f>
        <v>0</v>
      </c>
      <c r="F120" s="43">
        <f>IF($A120=0,0,COUNTIFS(rl_key,'Rate Log'!$J$123,$C$4:$C$243,$C120,$B$4:$B$243,"&lt;"&amp;$B120))</f>
        <v>0</v>
      </c>
      <c r="G120" s="43">
        <f>IF($A120=0,0,COUNTIFS('Rate Log'!$J$7:$J$123,'Rate Log'!$J$123,$C$4:$C120,$C120,$B$4:$B120,$B120))</f>
        <v>0</v>
      </c>
      <c r="H120" s="43">
        <f t="shared" si="3"/>
        <v>0</v>
      </c>
    </row>
    <row r="121" spans="1:8" x14ac:dyDescent="0.3">
      <c r="A121" s="43">
        <f>IF('Rate Log'!$C$124="",0,IF(OR('Rate Log'!$E$124="taken",'Rate Log'!$C$124&lt;DATE(nr_PlanYear,1,1)),1,0))</f>
        <v>0</v>
      </c>
      <c r="B121" s="278" t="str">
        <f>IF($A121=0,"",'Rate Log'!$C$124)</f>
        <v/>
      </c>
      <c r="C121" s="278" t="str">
        <f t="shared" si="2"/>
        <v/>
      </c>
      <c r="D121" s="160">
        <f>IF($A121=0,0,'Rate Log'!$L$124)</f>
        <v>0</v>
      </c>
      <c r="E121" s="43">
        <f>IF($A121=0,0,'Rate Log'!$N$124)</f>
        <v>0</v>
      </c>
      <c r="F121" s="43">
        <f>IF($A121=0,0,COUNTIFS(rl_key,'Rate Log'!$J$124,$C$4:$C$243,$C121,$B$4:$B$243,"&lt;"&amp;$B121))</f>
        <v>0</v>
      </c>
      <c r="G121" s="43">
        <f>IF($A121=0,0,COUNTIFS('Rate Log'!$J$7:$J$124,'Rate Log'!$J$124,$C$4:$C121,$C121,$B$4:$B121,$B121))</f>
        <v>0</v>
      </c>
      <c r="H121" s="43">
        <f t="shared" si="3"/>
        <v>0</v>
      </c>
    </row>
    <row r="122" spans="1:8" x14ac:dyDescent="0.3">
      <c r="A122" s="43">
        <f>IF('Rate Log'!$C$125="",0,IF(OR('Rate Log'!$E$125="taken",'Rate Log'!$C$125&lt;DATE(nr_PlanYear,1,1)),1,0))</f>
        <v>0</v>
      </c>
      <c r="B122" s="278" t="str">
        <f>IF($A122=0,"",'Rate Log'!$C$125)</f>
        <v/>
      </c>
      <c r="C122" s="278" t="str">
        <f t="shared" si="2"/>
        <v/>
      </c>
      <c r="D122" s="160">
        <f>IF($A122=0,0,'Rate Log'!$L$125)</f>
        <v>0</v>
      </c>
      <c r="E122" s="43">
        <f>IF($A122=0,0,'Rate Log'!$N$125)</f>
        <v>0</v>
      </c>
      <c r="F122" s="43">
        <f>IF($A122=0,0,COUNTIFS(rl_key,'Rate Log'!$J$125,$C$4:$C$243,$C122,$B$4:$B$243,"&lt;"&amp;$B122))</f>
        <v>0</v>
      </c>
      <c r="G122" s="43">
        <f>IF($A122=0,0,COUNTIFS('Rate Log'!$J$7:$J$125,'Rate Log'!$J$125,$C$4:$C122,$C122,$B$4:$B122,$B122))</f>
        <v>0</v>
      </c>
      <c r="H122" s="43">
        <f t="shared" si="3"/>
        <v>0</v>
      </c>
    </row>
    <row r="123" spans="1:8" x14ac:dyDescent="0.3">
      <c r="A123" s="43">
        <f>IF('Rate Log'!$C$126="",0,IF(OR('Rate Log'!$E$126="taken",'Rate Log'!$C$126&lt;DATE(nr_PlanYear,1,1)),1,0))</f>
        <v>0</v>
      </c>
      <c r="B123" s="278" t="str">
        <f>IF($A123=0,"",'Rate Log'!$C$126)</f>
        <v/>
      </c>
      <c r="C123" s="278" t="str">
        <f t="shared" si="2"/>
        <v/>
      </c>
      <c r="D123" s="160">
        <f>IF($A123=0,0,'Rate Log'!$L$126)</f>
        <v>0</v>
      </c>
      <c r="E123" s="43">
        <f>IF($A123=0,0,'Rate Log'!$N$126)</f>
        <v>0</v>
      </c>
      <c r="F123" s="43">
        <f>IF($A123=0,0,COUNTIFS(rl_key,'Rate Log'!$J$126,$C$4:$C$243,$C123,$B$4:$B$243,"&lt;"&amp;$B123))</f>
        <v>0</v>
      </c>
      <c r="G123" s="43">
        <f>IF($A123=0,0,COUNTIFS('Rate Log'!$J$7:$J$126,'Rate Log'!$J$126,$C$4:$C123,$C123,$B$4:$B123,$B123))</f>
        <v>0</v>
      </c>
      <c r="H123" s="43">
        <f t="shared" si="3"/>
        <v>0</v>
      </c>
    </row>
    <row r="124" spans="1:8" x14ac:dyDescent="0.3">
      <c r="A124" s="43">
        <f>IF('Rate Log'!$C$127="",0,IF(OR('Rate Log'!$E$127="taken",'Rate Log'!$C$127&lt;DATE(nr_PlanYear,1,1)),1,0))</f>
        <v>0</v>
      </c>
      <c r="B124" s="278" t="str">
        <f>IF($A124=0,"",'Rate Log'!$C$127)</f>
        <v/>
      </c>
      <c r="C124" s="278" t="str">
        <f t="shared" si="2"/>
        <v/>
      </c>
      <c r="D124" s="160">
        <f>IF($A124=0,0,'Rate Log'!$L$127)</f>
        <v>0</v>
      </c>
      <c r="E124" s="43">
        <f>IF($A124=0,0,'Rate Log'!$N$127)</f>
        <v>0</v>
      </c>
      <c r="F124" s="43">
        <f>IF($A124=0,0,COUNTIFS(rl_key,'Rate Log'!$J$127,$C$4:$C$243,$C124,$B$4:$B$243,"&lt;"&amp;$B124))</f>
        <v>0</v>
      </c>
      <c r="G124" s="43">
        <f>IF($A124=0,0,COUNTIFS('Rate Log'!$J$7:$J$127,'Rate Log'!$J$127,$C$4:$C124,$C124,$B$4:$B124,$B124))</f>
        <v>0</v>
      </c>
      <c r="H124" s="43">
        <f t="shared" si="3"/>
        <v>0</v>
      </c>
    </row>
    <row r="125" spans="1:8" x14ac:dyDescent="0.3">
      <c r="A125" s="43">
        <f>IF('Rate Log'!$C$128="",0,IF(OR('Rate Log'!$E$128="taken",'Rate Log'!$C$128&lt;DATE(nr_PlanYear,1,1)),1,0))</f>
        <v>0</v>
      </c>
      <c r="B125" s="278" t="str">
        <f>IF($A125=0,"",'Rate Log'!$C$128)</f>
        <v/>
      </c>
      <c r="C125" s="278" t="str">
        <f t="shared" si="2"/>
        <v/>
      </c>
      <c r="D125" s="160">
        <f>IF($A125=0,0,'Rate Log'!$L$128)</f>
        <v>0</v>
      </c>
      <c r="E125" s="43">
        <f>IF($A125=0,0,'Rate Log'!$N$128)</f>
        <v>0</v>
      </c>
      <c r="F125" s="43">
        <f>IF($A125=0,0,COUNTIFS(rl_key,'Rate Log'!$J$128,$C$4:$C$243,$C125,$B$4:$B$243,"&lt;"&amp;$B125))</f>
        <v>0</v>
      </c>
      <c r="G125" s="43">
        <f>IF($A125=0,0,COUNTIFS('Rate Log'!$J$7:$J$128,'Rate Log'!$J$128,$C$4:$C125,$C125,$B$4:$B125,$B125))</f>
        <v>0</v>
      </c>
      <c r="H125" s="43">
        <f t="shared" si="3"/>
        <v>0</v>
      </c>
    </row>
    <row r="126" spans="1:8" x14ac:dyDescent="0.3">
      <c r="A126" s="43">
        <f>IF('Rate Log'!$C$129="",0,IF(OR('Rate Log'!$E$129="taken",'Rate Log'!$C$129&lt;DATE(nr_PlanYear,1,1)),1,0))</f>
        <v>0</v>
      </c>
      <c r="B126" s="278" t="str">
        <f>IF($A126=0,"",'Rate Log'!$C$129)</f>
        <v/>
      </c>
      <c r="C126" s="278" t="str">
        <f t="shared" si="2"/>
        <v/>
      </c>
      <c r="D126" s="160">
        <f>IF($A126=0,0,'Rate Log'!$L$129)</f>
        <v>0</v>
      </c>
      <c r="E126" s="43">
        <f>IF($A126=0,0,'Rate Log'!$N$129)</f>
        <v>0</v>
      </c>
      <c r="F126" s="43">
        <f>IF($A126=0,0,COUNTIFS(rl_key,'Rate Log'!$J$129,$C$4:$C$243,$C126,$B$4:$B$243,"&lt;"&amp;$B126))</f>
        <v>0</v>
      </c>
      <c r="G126" s="43">
        <f>IF($A126=0,0,COUNTIFS('Rate Log'!$J$7:$J$129,'Rate Log'!$J$129,$C$4:$C126,$C126,$B$4:$B126,$B126))</f>
        <v>0</v>
      </c>
      <c r="H126" s="43">
        <f t="shared" si="3"/>
        <v>0</v>
      </c>
    </row>
    <row r="127" spans="1:8" x14ac:dyDescent="0.3">
      <c r="A127" s="43">
        <f>IF('Rate Log'!$C$130="",0,IF(OR('Rate Log'!$E$130="taken",'Rate Log'!$C$130&lt;DATE(nr_PlanYear,1,1)),1,0))</f>
        <v>0</v>
      </c>
      <c r="B127" s="278" t="str">
        <f>IF($A127=0,"",'Rate Log'!$C$130)</f>
        <v/>
      </c>
      <c r="C127" s="278" t="str">
        <f t="shared" si="2"/>
        <v/>
      </c>
      <c r="D127" s="160">
        <f>IF($A127=0,0,'Rate Log'!$L$130)</f>
        <v>0</v>
      </c>
      <c r="E127" s="43">
        <f>IF($A127=0,0,'Rate Log'!$N$130)</f>
        <v>0</v>
      </c>
      <c r="F127" s="43">
        <f>IF($A127=0,0,COUNTIFS(rl_key,'Rate Log'!$J$130,$C$4:$C$243,$C127,$B$4:$B$243,"&lt;"&amp;$B127))</f>
        <v>0</v>
      </c>
      <c r="G127" s="43">
        <f>IF($A127=0,0,COUNTIFS('Rate Log'!$J$7:$J$130,'Rate Log'!$J$130,$C$4:$C127,$C127,$B$4:$B127,$B127))</f>
        <v>0</v>
      </c>
      <c r="H127" s="43">
        <f t="shared" si="3"/>
        <v>0</v>
      </c>
    </row>
    <row r="128" spans="1:8" x14ac:dyDescent="0.3">
      <c r="A128" s="43">
        <f>IF('Rate Log'!$C$131="",0,IF(OR('Rate Log'!$E$131="taken",'Rate Log'!$C$131&lt;DATE(nr_PlanYear,1,1)),1,0))</f>
        <v>0</v>
      </c>
      <c r="B128" s="278" t="str">
        <f>IF($A128=0,"",'Rate Log'!$C$131)</f>
        <v/>
      </c>
      <c r="C128" s="278" t="str">
        <f t="shared" si="2"/>
        <v/>
      </c>
      <c r="D128" s="160">
        <f>IF($A128=0,0,'Rate Log'!$L$131)</f>
        <v>0</v>
      </c>
      <c r="E128" s="43">
        <f>IF($A128=0,0,'Rate Log'!$N$131)</f>
        <v>0</v>
      </c>
      <c r="F128" s="43">
        <f>IF($A128=0,0,COUNTIFS(rl_key,'Rate Log'!$J$131,$C$4:$C$243,$C128,$B$4:$B$243,"&lt;"&amp;$B128))</f>
        <v>0</v>
      </c>
      <c r="G128" s="43">
        <f>IF($A128=0,0,COUNTIFS('Rate Log'!$J$7:$J$131,'Rate Log'!$J$131,$C$4:$C128,$C128,$B$4:$B128,$B128))</f>
        <v>0</v>
      </c>
      <c r="H128" s="43">
        <f t="shared" si="3"/>
        <v>0</v>
      </c>
    </row>
    <row r="129" spans="1:8" x14ac:dyDescent="0.3">
      <c r="A129" s="43">
        <f>IF('Rate Log'!$C$132="",0,IF(OR('Rate Log'!$E$132="taken",'Rate Log'!$C$132&lt;DATE(nr_PlanYear,1,1)),1,0))</f>
        <v>0</v>
      </c>
      <c r="B129" s="278" t="str">
        <f>IF($A129=0,"",'Rate Log'!$C$132)</f>
        <v/>
      </c>
      <c r="C129" s="278" t="str">
        <f t="shared" si="2"/>
        <v/>
      </c>
      <c r="D129" s="160">
        <f>IF($A129=0,0,'Rate Log'!$L$132)</f>
        <v>0</v>
      </c>
      <c r="E129" s="43">
        <f>IF($A129=0,0,'Rate Log'!$N$132)</f>
        <v>0</v>
      </c>
      <c r="F129" s="43">
        <f>IF($A129=0,0,COUNTIFS(rl_key,'Rate Log'!$J$132,$C$4:$C$243,$C129,$B$4:$B$243,"&lt;"&amp;$B129))</f>
        <v>0</v>
      </c>
      <c r="G129" s="43">
        <f>IF($A129=0,0,COUNTIFS('Rate Log'!$J$7:$J$132,'Rate Log'!$J$132,$C$4:$C129,$C129,$B$4:$B129,$B129))</f>
        <v>0</v>
      </c>
      <c r="H129" s="43">
        <f t="shared" si="3"/>
        <v>0</v>
      </c>
    </row>
    <row r="130" spans="1:8" x14ac:dyDescent="0.3">
      <c r="A130" s="43">
        <f>IF('Rate Log'!$C$133="",0,IF(OR('Rate Log'!$E$133="taken",'Rate Log'!$C$133&lt;DATE(nr_PlanYear,1,1)),1,0))</f>
        <v>0</v>
      </c>
      <c r="B130" s="278" t="str">
        <f>IF($A130=0,"",'Rate Log'!$C$133)</f>
        <v/>
      </c>
      <c r="C130" s="278" t="str">
        <f t="shared" si="2"/>
        <v/>
      </c>
      <c r="D130" s="160">
        <f>IF($A130=0,0,'Rate Log'!$L$133)</f>
        <v>0</v>
      </c>
      <c r="E130" s="43">
        <f>IF($A130=0,0,'Rate Log'!$N$133)</f>
        <v>0</v>
      </c>
      <c r="F130" s="43">
        <f>IF($A130=0,0,COUNTIFS(rl_key,'Rate Log'!$J$133,$C$4:$C$243,$C130,$B$4:$B$243,"&lt;"&amp;$B130))</f>
        <v>0</v>
      </c>
      <c r="G130" s="43">
        <f>IF($A130=0,0,COUNTIFS('Rate Log'!$J$7:$J$133,'Rate Log'!$J$133,$C$4:$C130,$C130,$B$4:$B130,$B130))</f>
        <v>0</v>
      </c>
      <c r="H130" s="43">
        <f t="shared" si="3"/>
        <v>0</v>
      </c>
    </row>
    <row r="131" spans="1:8" x14ac:dyDescent="0.3">
      <c r="A131" s="43">
        <f>IF('Rate Log'!$C$134="",0,IF(OR('Rate Log'!$E$134="taken",'Rate Log'!$C$134&lt;DATE(nr_PlanYear,1,1)),1,0))</f>
        <v>0</v>
      </c>
      <c r="B131" s="278" t="str">
        <f>IF($A131=0,"",'Rate Log'!$C$134)</f>
        <v/>
      </c>
      <c r="C131" s="278" t="str">
        <f t="shared" si="2"/>
        <v/>
      </c>
      <c r="D131" s="160">
        <f>IF($A131=0,0,'Rate Log'!$L$134)</f>
        <v>0</v>
      </c>
      <c r="E131" s="43">
        <f>IF($A131=0,0,'Rate Log'!$N$134)</f>
        <v>0</v>
      </c>
      <c r="F131" s="43">
        <f>IF($A131=0,0,COUNTIFS(rl_key,'Rate Log'!$J$134,$C$4:$C$243,$C131,$B$4:$B$243,"&lt;"&amp;$B131))</f>
        <v>0</v>
      </c>
      <c r="G131" s="43">
        <f>IF($A131=0,0,COUNTIFS('Rate Log'!$J$7:$J$134,'Rate Log'!$J$134,$C$4:$C131,$C131,$B$4:$B131,$B131))</f>
        <v>0</v>
      </c>
      <c r="H131" s="43">
        <f t="shared" si="3"/>
        <v>0</v>
      </c>
    </row>
    <row r="132" spans="1:8" x14ac:dyDescent="0.3">
      <c r="A132" s="43">
        <f>IF('Rate Log'!$C$135="",0,IF(OR('Rate Log'!$E$135="taken",'Rate Log'!$C$135&lt;DATE(nr_PlanYear,1,1)),1,0))</f>
        <v>0</v>
      </c>
      <c r="B132" s="278" t="str">
        <f>IF($A132=0,"",'Rate Log'!$C$135)</f>
        <v/>
      </c>
      <c r="C132" s="278" t="str">
        <f t="shared" ref="C132:C195" si="4">IF($A132=0,"",DATE(YEAR($B132),MONTH($B132),1))</f>
        <v/>
      </c>
      <c r="D132" s="160">
        <f>IF($A132=0,0,'Rate Log'!$L$135)</f>
        <v>0</v>
      </c>
      <c r="E132" s="43">
        <f>IF($A132=0,0,'Rate Log'!$N$135)</f>
        <v>0</v>
      </c>
      <c r="F132" s="43">
        <f>IF($A132=0,0,COUNTIFS(rl_key,'Rate Log'!$J$135,$C$4:$C$243,$C132,$B$4:$B$243,"&lt;"&amp;$B132))</f>
        <v>0</v>
      </c>
      <c r="G132" s="43">
        <f>IF($A132=0,0,COUNTIFS('Rate Log'!$J$7:$J$135,'Rate Log'!$J$135,$C$4:$C132,$C132,$B$4:$B132,$B132))</f>
        <v>0</v>
      </c>
      <c r="H132" s="43">
        <f t="shared" ref="H132:H195" si="5">IF($A132=0,0,IF(AND($F132=0,$G132=1),1,0))</f>
        <v>0</v>
      </c>
    </row>
    <row r="133" spans="1:8" x14ac:dyDescent="0.3">
      <c r="A133" s="43">
        <f>IF('Rate Log'!$C$136="",0,IF(OR('Rate Log'!$E$136="taken",'Rate Log'!$C$136&lt;DATE(nr_PlanYear,1,1)),1,0))</f>
        <v>0</v>
      </c>
      <c r="B133" s="278" t="str">
        <f>IF($A133=0,"",'Rate Log'!$C$136)</f>
        <v/>
      </c>
      <c r="C133" s="278" t="str">
        <f t="shared" si="4"/>
        <v/>
      </c>
      <c r="D133" s="160">
        <f>IF($A133=0,0,'Rate Log'!$L$136)</f>
        <v>0</v>
      </c>
      <c r="E133" s="43">
        <f>IF($A133=0,0,'Rate Log'!$N$136)</f>
        <v>0</v>
      </c>
      <c r="F133" s="43">
        <f>IF($A133=0,0,COUNTIFS(rl_key,'Rate Log'!$J$136,$C$4:$C$243,$C133,$B$4:$B$243,"&lt;"&amp;$B133))</f>
        <v>0</v>
      </c>
      <c r="G133" s="43">
        <f>IF($A133=0,0,COUNTIFS('Rate Log'!$J$7:$J$136,'Rate Log'!$J$136,$C$4:$C133,$C133,$B$4:$B133,$B133))</f>
        <v>0</v>
      </c>
      <c r="H133" s="43">
        <f t="shared" si="5"/>
        <v>0</v>
      </c>
    </row>
    <row r="134" spans="1:8" x14ac:dyDescent="0.3">
      <c r="A134" s="43">
        <f>IF('Rate Log'!$C$137="",0,IF(OR('Rate Log'!$E$137="taken",'Rate Log'!$C$137&lt;DATE(nr_PlanYear,1,1)),1,0))</f>
        <v>0</v>
      </c>
      <c r="B134" s="278" t="str">
        <f>IF($A134=0,"",'Rate Log'!$C$137)</f>
        <v/>
      </c>
      <c r="C134" s="278" t="str">
        <f t="shared" si="4"/>
        <v/>
      </c>
      <c r="D134" s="160">
        <f>IF($A134=0,0,'Rate Log'!$L$137)</f>
        <v>0</v>
      </c>
      <c r="E134" s="43">
        <f>IF($A134=0,0,'Rate Log'!$N$137)</f>
        <v>0</v>
      </c>
      <c r="F134" s="43">
        <f>IF($A134=0,0,COUNTIFS(rl_key,'Rate Log'!$J$137,$C$4:$C$243,$C134,$B$4:$B$243,"&lt;"&amp;$B134))</f>
        <v>0</v>
      </c>
      <c r="G134" s="43">
        <f>IF($A134=0,0,COUNTIFS('Rate Log'!$J$7:$J$137,'Rate Log'!$J$137,$C$4:$C134,$C134,$B$4:$B134,$B134))</f>
        <v>0</v>
      </c>
      <c r="H134" s="43">
        <f t="shared" si="5"/>
        <v>0</v>
      </c>
    </row>
    <row r="135" spans="1:8" x14ac:dyDescent="0.3">
      <c r="A135" s="43">
        <f>IF('Rate Log'!$C$138="",0,IF(OR('Rate Log'!$E$138="taken",'Rate Log'!$C$138&lt;DATE(nr_PlanYear,1,1)),1,0))</f>
        <v>0</v>
      </c>
      <c r="B135" s="278" t="str">
        <f>IF($A135=0,"",'Rate Log'!$C$138)</f>
        <v/>
      </c>
      <c r="C135" s="278" t="str">
        <f t="shared" si="4"/>
        <v/>
      </c>
      <c r="D135" s="160">
        <f>IF($A135=0,0,'Rate Log'!$L$138)</f>
        <v>0</v>
      </c>
      <c r="E135" s="43">
        <f>IF($A135=0,0,'Rate Log'!$N$138)</f>
        <v>0</v>
      </c>
      <c r="F135" s="43">
        <f>IF($A135=0,0,COUNTIFS(rl_key,'Rate Log'!$J$138,$C$4:$C$243,$C135,$B$4:$B$243,"&lt;"&amp;$B135))</f>
        <v>0</v>
      </c>
      <c r="G135" s="43">
        <f>IF($A135=0,0,COUNTIFS('Rate Log'!$J$7:$J$138,'Rate Log'!$J$138,$C$4:$C135,$C135,$B$4:$B135,$B135))</f>
        <v>0</v>
      </c>
      <c r="H135" s="43">
        <f t="shared" si="5"/>
        <v>0</v>
      </c>
    </row>
    <row r="136" spans="1:8" x14ac:dyDescent="0.3">
      <c r="A136" s="43">
        <f>IF('Rate Log'!$C$139="",0,IF(OR('Rate Log'!$E$139="taken",'Rate Log'!$C$139&lt;DATE(nr_PlanYear,1,1)),1,0))</f>
        <v>0</v>
      </c>
      <c r="B136" s="278" t="str">
        <f>IF($A136=0,"",'Rate Log'!$C$139)</f>
        <v/>
      </c>
      <c r="C136" s="278" t="str">
        <f t="shared" si="4"/>
        <v/>
      </c>
      <c r="D136" s="160">
        <f>IF($A136=0,0,'Rate Log'!$L$139)</f>
        <v>0</v>
      </c>
      <c r="E136" s="43">
        <f>IF($A136=0,0,'Rate Log'!$N$139)</f>
        <v>0</v>
      </c>
      <c r="F136" s="43">
        <f>IF($A136=0,0,COUNTIFS(rl_key,'Rate Log'!$J$139,$C$4:$C$243,$C136,$B$4:$B$243,"&lt;"&amp;$B136))</f>
        <v>0</v>
      </c>
      <c r="G136" s="43">
        <f>IF($A136=0,0,COUNTIFS('Rate Log'!$J$7:$J$139,'Rate Log'!$J$139,$C$4:$C136,$C136,$B$4:$B136,$B136))</f>
        <v>0</v>
      </c>
      <c r="H136" s="43">
        <f t="shared" si="5"/>
        <v>0</v>
      </c>
    </row>
    <row r="137" spans="1:8" x14ac:dyDescent="0.3">
      <c r="A137" s="43">
        <f>IF('Rate Log'!$C$140="",0,IF(OR('Rate Log'!$E$140="taken",'Rate Log'!$C$140&lt;DATE(nr_PlanYear,1,1)),1,0))</f>
        <v>0</v>
      </c>
      <c r="B137" s="278" t="str">
        <f>IF($A137=0,"",'Rate Log'!$C$140)</f>
        <v/>
      </c>
      <c r="C137" s="278" t="str">
        <f t="shared" si="4"/>
        <v/>
      </c>
      <c r="D137" s="160">
        <f>IF($A137=0,0,'Rate Log'!$L$140)</f>
        <v>0</v>
      </c>
      <c r="E137" s="43">
        <f>IF($A137=0,0,'Rate Log'!$N$140)</f>
        <v>0</v>
      </c>
      <c r="F137" s="43">
        <f>IF($A137=0,0,COUNTIFS(rl_key,'Rate Log'!$J$140,$C$4:$C$243,$C137,$B$4:$B$243,"&lt;"&amp;$B137))</f>
        <v>0</v>
      </c>
      <c r="G137" s="43">
        <f>IF($A137=0,0,COUNTIFS('Rate Log'!$J$7:$J$140,'Rate Log'!$J$140,$C$4:$C137,$C137,$B$4:$B137,$B137))</f>
        <v>0</v>
      </c>
      <c r="H137" s="43">
        <f t="shared" si="5"/>
        <v>0</v>
      </c>
    </row>
    <row r="138" spans="1:8" x14ac:dyDescent="0.3">
      <c r="A138" s="43">
        <f>IF('Rate Log'!$C$141="",0,IF(OR('Rate Log'!$E$141="taken",'Rate Log'!$C$141&lt;DATE(nr_PlanYear,1,1)),1,0))</f>
        <v>0</v>
      </c>
      <c r="B138" s="278" t="str">
        <f>IF($A138=0,"",'Rate Log'!$C$141)</f>
        <v/>
      </c>
      <c r="C138" s="278" t="str">
        <f t="shared" si="4"/>
        <v/>
      </c>
      <c r="D138" s="160">
        <f>IF($A138=0,0,'Rate Log'!$L$141)</f>
        <v>0</v>
      </c>
      <c r="E138" s="43">
        <f>IF($A138=0,0,'Rate Log'!$N$141)</f>
        <v>0</v>
      </c>
      <c r="F138" s="43">
        <f>IF($A138=0,0,COUNTIFS(rl_key,'Rate Log'!$J$141,$C$4:$C$243,$C138,$B$4:$B$243,"&lt;"&amp;$B138))</f>
        <v>0</v>
      </c>
      <c r="G138" s="43">
        <f>IF($A138=0,0,COUNTIFS('Rate Log'!$J$7:$J$141,'Rate Log'!$J$141,$C$4:$C138,$C138,$B$4:$B138,$B138))</f>
        <v>0</v>
      </c>
      <c r="H138" s="43">
        <f t="shared" si="5"/>
        <v>0</v>
      </c>
    </row>
    <row r="139" spans="1:8" x14ac:dyDescent="0.3">
      <c r="A139" s="43">
        <f>IF('Rate Log'!$C$142="",0,IF(OR('Rate Log'!$E$142="taken",'Rate Log'!$C$142&lt;DATE(nr_PlanYear,1,1)),1,0))</f>
        <v>0</v>
      </c>
      <c r="B139" s="278" t="str">
        <f>IF($A139=0,"",'Rate Log'!$C$142)</f>
        <v/>
      </c>
      <c r="C139" s="278" t="str">
        <f t="shared" si="4"/>
        <v/>
      </c>
      <c r="D139" s="160">
        <f>IF($A139=0,0,'Rate Log'!$L$142)</f>
        <v>0</v>
      </c>
      <c r="E139" s="43">
        <f>IF($A139=0,0,'Rate Log'!$N$142)</f>
        <v>0</v>
      </c>
      <c r="F139" s="43">
        <f>IF($A139=0,0,COUNTIFS(rl_key,'Rate Log'!$J$142,$C$4:$C$243,$C139,$B$4:$B$243,"&lt;"&amp;$B139))</f>
        <v>0</v>
      </c>
      <c r="G139" s="43">
        <f>IF($A139=0,0,COUNTIFS('Rate Log'!$J$7:$J$142,'Rate Log'!$J$142,$C$4:$C139,$C139,$B$4:$B139,$B139))</f>
        <v>0</v>
      </c>
      <c r="H139" s="43">
        <f t="shared" si="5"/>
        <v>0</v>
      </c>
    </row>
    <row r="140" spans="1:8" x14ac:dyDescent="0.3">
      <c r="A140" s="43">
        <f>IF('Rate Log'!$C$143="",0,IF(OR('Rate Log'!$E$143="taken",'Rate Log'!$C$143&lt;DATE(nr_PlanYear,1,1)),1,0))</f>
        <v>0</v>
      </c>
      <c r="B140" s="278" t="str">
        <f>IF($A140=0,"",'Rate Log'!$C$143)</f>
        <v/>
      </c>
      <c r="C140" s="278" t="str">
        <f t="shared" si="4"/>
        <v/>
      </c>
      <c r="D140" s="160">
        <f>IF($A140=0,0,'Rate Log'!$L$143)</f>
        <v>0</v>
      </c>
      <c r="E140" s="43">
        <f>IF($A140=0,0,'Rate Log'!$N$143)</f>
        <v>0</v>
      </c>
      <c r="F140" s="43">
        <f>IF($A140=0,0,COUNTIFS(rl_key,'Rate Log'!$J$143,$C$4:$C$243,$C140,$B$4:$B$243,"&lt;"&amp;$B140))</f>
        <v>0</v>
      </c>
      <c r="G140" s="43">
        <f>IF($A140=0,0,COUNTIFS('Rate Log'!$J$7:$J$143,'Rate Log'!$J$143,$C$4:$C140,$C140,$B$4:$B140,$B140))</f>
        <v>0</v>
      </c>
      <c r="H140" s="43">
        <f t="shared" si="5"/>
        <v>0</v>
      </c>
    </row>
    <row r="141" spans="1:8" x14ac:dyDescent="0.3">
      <c r="A141" s="43">
        <f>IF('Rate Log'!$C$144="",0,IF(OR('Rate Log'!$E$144="taken",'Rate Log'!$C$144&lt;DATE(nr_PlanYear,1,1)),1,0))</f>
        <v>0</v>
      </c>
      <c r="B141" s="278" t="str">
        <f>IF($A141=0,"",'Rate Log'!$C$144)</f>
        <v/>
      </c>
      <c r="C141" s="278" t="str">
        <f t="shared" si="4"/>
        <v/>
      </c>
      <c r="D141" s="160">
        <f>IF($A141=0,0,'Rate Log'!$L$144)</f>
        <v>0</v>
      </c>
      <c r="E141" s="43">
        <f>IF($A141=0,0,'Rate Log'!$N$144)</f>
        <v>0</v>
      </c>
      <c r="F141" s="43">
        <f>IF($A141=0,0,COUNTIFS(rl_key,'Rate Log'!$J$144,$C$4:$C$243,$C141,$B$4:$B$243,"&lt;"&amp;$B141))</f>
        <v>0</v>
      </c>
      <c r="G141" s="43">
        <f>IF($A141=0,0,COUNTIFS('Rate Log'!$J$7:$J$144,'Rate Log'!$J$144,$C$4:$C141,$C141,$B$4:$B141,$B141))</f>
        <v>0</v>
      </c>
      <c r="H141" s="43">
        <f t="shared" si="5"/>
        <v>0</v>
      </c>
    </row>
    <row r="142" spans="1:8" x14ac:dyDescent="0.3">
      <c r="A142" s="43">
        <f>IF('Rate Log'!$C$145="",0,IF(OR('Rate Log'!$E$145="taken",'Rate Log'!$C$145&lt;DATE(nr_PlanYear,1,1)),1,0))</f>
        <v>0</v>
      </c>
      <c r="B142" s="278" t="str">
        <f>IF($A142=0,"",'Rate Log'!$C$145)</f>
        <v/>
      </c>
      <c r="C142" s="278" t="str">
        <f t="shared" si="4"/>
        <v/>
      </c>
      <c r="D142" s="160">
        <f>IF($A142=0,0,'Rate Log'!$L$145)</f>
        <v>0</v>
      </c>
      <c r="E142" s="43">
        <f>IF($A142=0,0,'Rate Log'!$N$145)</f>
        <v>0</v>
      </c>
      <c r="F142" s="43">
        <f>IF($A142=0,0,COUNTIFS(rl_key,'Rate Log'!$J$145,$C$4:$C$243,$C142,$B$4:$B$243,"&lt;"&amp;$B142))</f>
        <v>0</v>
      </c>
      <c r="G142" s="43">
        <f>IF($A142=0,0,COUNTIFS('Rate Log'!$J$7:$J$145,'Rate Log'!$J$145,$C$4:$C142,$C142,$B$4:$B142,$B142))</f>
        <v>0</v>
      </c>
      <c r="H142" s="43">
        <f t="shared" si="5"/>
        <v>0</v>
      </c>
    </row>
    <row r="143" spans="1:8" x14ac:dyDescent="0.3">
      <c r="A143" s="43">
        <f>IF('Rate Log'!$C$146="",0,IF(OR('Rate Log'!$E$146="taken",'Rate Log'!$C$146&lt;DATE(nr_PlanYear,1,1)),1,0))</f>
        <v>0</v>
      </c>
      <c r="B143" s="278" t="str">
        <f>IF($A143=0,"",'Rate Log'!$C$146)</f>
        <v/>
      </c>
      <c r="C143" s="278" t="str">
        <f t="shared" si="4"/>
        <v/>
      </c>
      <c r="D143" s="160">
        <f>IF($A143=0,0,'Rate Log'!$L$146)</f>
        <v>0</v>
      </c>
      <c r="E143" s="43">
        <f>IF($A143=0,0,'Rate Log'!$N$146)</f>
        <v>0</v>
      </c>
      <c r="F143" s="43">
        <f>IF($A143=0,0,COUNTIFS(rl_key,'Rate Log'!$J$146,$C$4:$C$243,$C143,$B$4:$B$243,"&lt;"&amp;$B143))</f>
        <v>0</v>
      </c>
      <c r="G143" s="43">
        <f>IF($A143=0,0,COUNTIFS('Rate Log'!$J$7:$J$146,'Rate Log'!$J$146,$C$4:$C143,$C143,$B$4:$B143,$B143))</f>
        <v>0</v>
      </c>
      <c r="H143" s="43">
        <f t="shared" si="5"/>
        <v>0</v>
      </c>
    </row>
    <row r="144" spans="1:8" x14ac:dyDescent="0.3">
      <c r="A144" s="43">
        <f>IF('Rate Log'!$C$147="",0,IF(OR('Rate Log'!$E$147="taken",'Rate Log'!$C$147&lt;DATE(nr_PlanYear,1,1)),1,0))</f>
        <v>0</v>
      </c>
      <c r="B144" s="278" t="str">
        <f>IF($A144=0,"",'Rate Log'!$C$147)</f>
        <v/>
      </c>
      <c r="C144" s="278" t="str">
        <f t="shared" si="4"/>
        <v/>
      </c>
      <c r="D144" s="160">
        <f>IF($A144=0,0,'Rate Log'!$L$147)</f>
        <v>0</v>
      </c>
      <c r="E144" s="43">
        <f>IF($A144=0,0,'Rate Log'!$N$147)</f>
        <v>0</v>
      </c>
      <c r="F144" s="43">
        <f>IF($A144=0,0,COUNTIFS(rl_key,'Rate Log'!$J$147,$C$4:$C$243,$C144,$B$4:$B$243,"&lt;"&amp;$B144))</f>
        <v>0</v>
      </c>
      <c r="G144" s="43">
        <f>IF($A144=0,0,COUNTIFS('Rate Log'!$J$7:$J$147,'Rate Log'!$J$147,$C$4:$C144,$C144,$B$4:$B144,$B144))</f>
        <v>0</v>
      </c>
      <c r="H144" s="43">
        <f t="shared" si="5"/>
        <v>0</v>
      </c>
    </row>
    <row r="145" spans="1:8" x14ac:dyDescent="0.3">
      <c r="A145" s="43">
        <f>IF('Rate Log'!$C$148="",0,IF(OR('Rate Log'!$E$148="taken",'Rate Log'!$C$148&lt;DATE(nr_PlanYear,1,1)),1,0))</f>
        <v>0</v>
      </c>
      <c r="B145" s="278" t="str">
        <f>IF($A145=0,"",'Rate Log'!$C$148)</f>
        <v/>
      </c>
      <c r="C145" s="278" t="str">
        <f t="shared" si="4"/>
        <v/>
      </c>
      <c r="D145" s="160">
        <f>IF($A145=0,0,'Rate Log'!$L$148)</f>
        <v>0</v>
      </c>
      <c r="E145" s="43">
        <f>IF($A145=0,0,'Rate Log'!$N$148)</f>
        <v>0</v>
      </c>
      <c r="F145" s="43">
        <f>IF($A145=0,0,COUNTIFS(rl_key,'Rate Log'!$J$148,$C$4:$C$243,$C145,$B$4:$B$243,"&lt;"&amp;$B145))</f>
        <v>0</v>
      </c>
      <c r="G145" s="43">
        <f>IF($A145=0,0,COUNTIFS('Rate Log'!$J$7:$J$148,'Rate Log'!$J$148,$C$4:$C145,$C145,$B$4:$B145,$B145))</f>
        <v>0</v>
      </c>
      <c r="H145" s="43">
        <f t="shared" si="5"/>
        <v>0</v>
      </c>
    </row>
    <row r="146" spans="1:8" x14ac:dyDescent="0.3">
      <c r="A146" s="43">
        <f>IF('Rate Log'!$C$149="",0,IF(OR('Rate Log'!$E$149="taken",'Rate Log'!$C$149&lt;DATE(nr_PlanYear,1,1)),1,0))</f>
        <v>0</v>
      </c>
      <c r="B146" s="278" t="str">
        <f>IF($A146=0,"",'Rate Log'!$C$149)</f>
        <v/>
      </c>
      <c r="C146" s="278" t="str">
        <f t="shared" si="4"/>
        <v/>
      </c>
      <c r="D146" s="160">
        <f>IF($A146=0,0,'Rate Log'!$L$149)</f>
        <v>0</v>
      </c>
      <c r="E146" s="43">
        <f>IF($A146=0,0,'Rate Log'!$N$149)</f>
        <v>0</v>
      </c>
      <c r="F146" s="43">
        <f>IF($A146=0,0,COUNTIFS(rl_key,'Rate Log'!$J$149,$C$4:$C$243,$C146,$B$4:$B$243,"&lt;"&amp;$B146))</f>
        <v>0</v>
      </c>
      <c r="G146" s="43">
        <f>IF($A146=0,0,COUNTIFS('Rate Log'!$J$7:$J$149,'Rate Log'!$J$149,$C$4:$C146,$C146,$B$4:$B146,$B146))</f>
        <v>0</v>
      </c>
      <c r="H146" s="43">
        <f t="shared" si="5"/>
        <v>0</v>
      </c>
    </row>
    <row r="147" spans="1:8" x14ac:dyDescent="0.3">
      <c r="A147" s="43">
        <f>IF('Rate Log'!$C$150="",0,IF(OR('Rate Log'!$E$150="taken",'Rate Log'!$C$150&lt;DATE(nr_PlanYear,1,1)),1,0))</f>
        <v>0</v>
      </c>
      <c r="B147" s="278" t="str">
        <f>IF($A147=0,"",'Rate Log'!$C$150)</f>
        <v/>
      </c>
      <c r="C147" s="278" t="str">
        <f t="shared" si="4"/>
        <v/>
      </c>
      <c r="D147" s="160">
        <f>IF($A147=0,0,'Rate Log'!$L$150)</f>
        <v>0</v>
      </c>
      <c r="E147" s="43">
        <f>IF($A147=0,0,'Rate Log'!$N$150)</f>
        <v>0</v>
      </c>
      <c r="F147" s="43">
        <f>IF($A147=0,0,COUNTIFS(rl_key,'Rate Log'!$J$150,$C$4:$C$243,$C147,$B$4:$B$243,"&lt;"&amp;$B147))</f>
        <v>0</v>
      </c>
      <c r="G147" s="43">
        <f>IF($A147=0,0,COUNTIFS('Rate Log'!$J$7:$J$150,'Rate Log'!$J$150,$C$4:$C147,$C147,$B$4:$B147,$B147))</f>
        <v>0</v>
      </c>
      <c r="H147" s="43">
        <f t="shared" si="5"/>
        <v>0</v>
      </c>
    </row>
    <row r="148" spans="1:8" x14ac:dyDescent="0.3">
      <c r="A148" s="43">
        <f>IF('Rate Log'!$C$151="",0,IF(OR('Rate Log'!$E$151="taken",'Rate Log'!$C$151&lt;DATE(nr_PlanYear,1,1)),1,0))</f>
        <v>0</v>
      </c>
      <c r="B148" s="278" t="str">
        <f>IF($A148=0,"",'Rate Log'!$C$151)</f>
        <v/>
      </c>
      <c r="C148" s="278" t="str">
        <f t="shared" si="4"/>
        <v/>
      </c>
      <c r="D148" s="160">
        <f>IF($A148=0,0,'Rate Log'!$L$151)</f>
        <v>0</v>
      </c>
      <c r="E148" s="43">
        <f>IF($A148=0,0,'Rate Log'!$N$151)</f>
        <v>0</v>
      </c>
      <c r="F148" s="43">
        <f>IF($A148=0,0,COUNTIFS(rl_key,'Rate Log'!$J$151,$C$4:$C$243,$C148,$B$4:$B$243,"&lt;"&amp;$B148))</f>
        <v>0</v>
      </c>
      <c r="G148" s="43">
        <f>IF($A148=0,0,COUNTIFS('Rate Log'!$J$7:$J$151,'Rate Log'!$J$151,$C$4:$C148,$C148,$B$4:$B148,$B148))</f>
        <v>0</v>
      </c>
      <c r="H148" s="43">
        <f t="shared" si="5"/>
        <v>0</v>
      </c>
    </row>
    <row r="149" spans="1:8" x14ac:dyDescent="0.3">
      <c r="A149" s="43">
        <f>IF('Rate Log'!$C$152="",0,IF(OR('Rate Log'!$E$152="taken",'Rate Log'!$C$152&lt;DATE(nr_PlanYear,1,1)),1,0))</f>
        <v>0</v>
      </c>
      <c r="B149" s="278" t="str">
        <f>IF($A149=0,"",'Rate Log'!$C$152)</f>
        <v/>
      </c>
      <c r="C149" s="278" t="str">
        <f t="shared" si="4"/>
        <v/>
      </c>
      <c r="D149" s="160">
        <f>IF($A149=0,0,'Rate Log'!$L$152)</f>
        <v>0</v>
      </c>
      <c r="E149" s="43">
        <f>IF($A149=0,0,'Rate Log'!$N$152)</f>
        <v>0</v>
      </c>
      <c r="F149" s="43">
        <f>IF($A149=0,0,COUNTIFS(rl_key,'Rate Log'!$J$152,$C$4:$C$243,$C149,$B$4:$B$243,"&lt;"&amp;$B149))</f>
        <v>0</v>
      </c>
      <c r="G149" s="43">
        <f>IF($A149=0,0,COUNTIFS('Rate Log'!$J$7:$J$152,'Rate Log'!$J$152,$C$4:$C149,$C149,$B$4:$B149,$B149))</f>
        <v>0</v>
      </c>
      <c r="H149" s="43">
        <f t="shared" si="5"/>
        <v>0</v>
      </c>
    </row>
    <row r="150" spans="1:8" x14ac:dyDescent="0.3">
      <c r="A150" s="43">
        <f>IF('Rate Log'!$C$153="",0,IF(OR('Rate Log'!$E$153="taken",'Rate Log'!$C$153&lt;DATE(nr_PlanYear,1,1)),1,0))</f>
        <v>0</v>
      </c>
      <c r="B150" s="278" t="str">
        <f>IF($A150=0,"",'Rate Log'!$C$153)</f>
        <v/>
      </c>
      <c r="C150" s="278" t="str">
        <f t="shared" si="4"/>
        <v/>
      </c>
      <c r="D150" s="160">
        <f>IF($A150=0,0,'Rate Log'!$L$153)</f>
        <v>0</v>
      </c>
      <c r="E150" s="43">
        <f>IF($A150=0,0,'Rate Log'!$N$153)</f>
        <v>0</v>
      </c>
      <c r="F150" s="43">
        <f>IF($A150=0,0,COUNTIFS(rl_key,'Rate Log'!$J$153,$C$4:$C$243,$C150,$B$4:$B$243,"&lt;"&amp;$B150))</f>
        <v>0</v>
      </c>
      <c r="G150" s="43">
        <f>IF($A150=0,0,COUNTIFS('Rate Log'!$J$7:$J$153,'Rate Log'!$J$153,$C$4:$C150,$C150,$B$4:$B150,$B150))</f>
        <v>0</v>
      </c>
      <c r="H150" s="43">
        <f t="shared" si="5"/>
        <v>0</v>
      </c>
    </row>
    <row r="151" spans="1:8" x14ac:dyDescent="0.3">
      <c r="A151" s="43">
        <f>IF('Rate Log'!$C$154="",0,IF(OR('Rate Log'!$E$154="taken",'Rate Log'!$C$154&lt;DATE(nr_PlanYear,1,1)),1,0))</f>
        <v>0</v>
      </c>
      <c r="B151" s="278" t="str">
        <f>IF($A151=0,"",'Rate Log'!$C$154)</f>
        <v/>
      </c>
      <c r="C151" s="278" t="str">
        <f t="shared" si="4"/>
        <v/>
      </c>
      <c r="D151" s="160">
        <f>IF($A151=0,0,'Rate Log'!$L$154)</f>
        <v>0</v>
      </c>
      <c r="E151" s="43">
        <f>IF($A151=0,0,'Rate Log'!$N$154)</f>
        <v>0</v>
      </c>
      <c r="F151" s="43">
        <f>IF($A151=0,0,COUNTIFS(rl_key,'Rate Log'!$J$154,$C$4:$C$243,$C151,$B$4:$B$243,"&lt;"&amp;$B151))</f>
        <v>0</v>
      </c>
      <c r="G151" s="43">
        <f>IF($A151=0,0,COUNTIFS('Rate Log'!$J$7:$J$154,'Rate Log'!$J$154,$C$4:$C151,$C151,$B$4:$B151,$B151))</f>
        <v>0</v>
      </c>
      <c r="H151" s="43">
        <f t="shared" si="5"/>
        <v>0</v>
      </c>
    </row>
    <row r="152" spans="1:8" x14ac:dyDescent="0.3">
      <c r="A152" s="43">
        <f>IF('Rate Log'!$C$155="",0,IF(OR('Rate Log'!$E$155="taken",'Rate Log'!$C$155&lt;DATE(nr_PlanYear,1,1)),1,0))</f>
        <v>0</v>
      </c>
      <c r="B152" s="278" t="str">
        <f>IF($A152=0,"",'Rate Log'!$C$155)</f>
        <v/>
      </c>
      <c r="C152" s="278" t="str">
        <f t="shared" si="4"/>
        <v/>
      </c>
      <c r="D152" s="160">
        <f>IF($A152=0,0,'Rate Log'!$L$155)</f>
        <v>0</v>
      </c>
      <c r="E152" s="43">
        <f>IF($A152=0,0,'Rate Log'!$N$155)</f>
        <v>0</v>
      </c>
      <c r="F152" s="43">
        <f>IF($A152=0,0,COUNTIFS(rl_key,'Rate Log'!$J$155,$C$4:$C$243,$C152,$B$4:$B$243,"&lt;"&amp;$B152))</f>
        <v>0</v>
      </c>
      <c r="G152" s="43">
        <f>IF($A152=0,0,COUNTIFS('Rate Log'!$J$7:$J$155,'Rate Log'!$J$155,$C$4:$C152,$C152,$B$4:$B152,$B152))</f>
        <v>0</v>
      </c>
      <c r="H152" s="43">
        <f t="shared" si="5"/>
        <v>0</v>
      </c>
    </row>
    <row r="153" spans="1:8" x14ac:dyDescent="0.3">
      <c r="A153" s="43">
        <f>IF('Rate Log'!$C$156="",0,IF(OR('Rate Log'!$E$156="taken",'Rate Log'!$C$156&lt;DATE(nr_PlanYear,1,1)),1,0))</f>
        <v>0</v>
      </c>
      <c r="B153" s="278" t="str">
        <f>IF($A153=0,"",'Rate Log'!$C$156)</f>
        <v/>
      </c>
      <c r="C153" s="278" t="str">
        <f t="shared" si="4"/>
        <v/>
      </c>
      <c r="D153" s="160">
        <f>IF($A153=0,0,'Rate Log'!$L$156)</f>
        <v>0</v>
      </c>
      <c r="E153" s="43">
        <f>IF($A153=0,0,'Rate Log'!$N$156)</f>
        <v>0</v>
      </c>
      <c r="F153" s="43">
        <f>IF($A153=0,0,COUNTIFS(rl_key,'Rate Log'!$J$156,$C$4:$C$243,$C153,$B$4:$B$243,"&lt;"&amp;$B153))</f>
        <v>0</v>
      </c>
      <c r="G153" s="43">
        <f>IF($A153=0,0,COUNTIFS('Rate Log'!$J$7:$J$156,'Rate Log'!$J$156,$C$4:$C153,$C153,$B$4:$B153,$B153))</f>
        <v>0</v>
      </c>
      <c r="H153" s="43">
        <f t="shared" si="5"/>
        <v>0</v>
      </c>
    </row>
    <row r="154" spans="1:8" x14ac:dyDescent="0.3">
      <c r="A154" s="43">
        <f>IF('Rate Log'!$C$157="",0,IF(OR('Rate Log'!$E$157="taken",'Rate Log'!$C$157&lt;DATE(nr_PlanYear,1,1)),1,0))</f>
        <v>0</v>
      </c>
      <c r="B154" s="278" t="str">
        <f>IF($A154=0,"",'Rate Log'!$C$157)</f>
        <v/>
      </c>
      <c r="C154" s="278" t="str">
        <f t="shared" si="4"/>
        <v/>
      </c>
      <c r="D154" s="160">
        <f>IF($A154=0,0,'Rate Log'!$L$157)</f>
        <v>0</v>
      </c>
      <c r="E154" s="43">
        <f>IF($A154=0,0,'Rate Log'!$N$157)</f>
        <v>0</v>
      </c>
      <c r="F154" s="43">
        <f>IF($A154=0,0,COUNTIFS(rl_key,'Rate Log'!$J$157,$C$4:$C$243,$C154,$B$4:$B$243,"&lt;"&amp;$B154))</f>
        <v>0</v>
      </c>
      <c r="G154" s="43">
        <f>IF($A154=0,0,COUNTIFS('Rate Log'!$J$7:$J$157,'Rate Log'!$J$157,$C$4:$C154,$C154,$B$4:$B154,$B154))</f>
        <v>0</v>
      </c>
      <c r="H154" s="43">
        <f t="shared" si="5"/>
        <v>0</v>
      </c>
    </row>
    <row r="155" spans="1:8" x14ac:dyDescent="0.3">
      <c r="A155" s="43">
        <f>IF('Rate Log'!$C$158="",0,IF(OR('Rate Log'!$E$158="taken",'Rate Log'!$C$158&lt;DATE(nr_PlanYear,1,1)),1,0))</f>
        <v>0</v>
      </c>
      <c r="B155" s="278" t="str">
        <f>IF($A155=0,"",'Rate Log'!$C$158)</f>
        <v/>
      </c>
      <c r="C155" s="278" t="str">
        <f t="shared" si="4"/>
        <v/>
      </c>
      <c r="D155" s="160">
        <f>IF($A155=0,0,'Rate Log'!$L$158)</f>
        <v>0</v>
      </c>
      <c r="E155" s="43">
        <f>IF($A155=0,0,'Rate Log'!$N$158)</f>
        <v>0</v>
      </c>
      <c r="F155" s="43">
        <f>IF($A155=0,0,COUNTIFS(rl_key,'Rate Log'!$J$158,$C$4:$C$243,$C155,$B$4:$B$243,"&lt;"&amp;$B155))</f>
        <v>0</v>
      </c>
      <c r="G155" s="43">
        <f>IF($A155=0,0,COUNTIFS('Rate Log'!$J$7:$J$158,'Rate Log'!$J$158,$C$4:$C155,$C155,$B$4:$B155,$B155))</f>
        <v>0</v>
      </c>
      <c r="H155" s="43">
        <f t="shared" si="5"/>
        <v>0</v>
      </c>
    </row>
    <row r="156" spans="1:8" x14ac:dyDescent="0.3">
      <c r="A156" s="43">
        <f>IF('Rate Log'!$C$159="",0,IF(OR('Rate Log'!$E$159="taken",'Rate Log'!$C$159&lt;DATE(nr_PlanYear,1,1)),1,0))</f>
        <v>0</v>
      </c>
      <c r="B156" s="278" t="str">
        <f>IF($A156=0,"",'Rate Log'!$C$159)</f>
        <v/>
      </c>
      <c r="C156" s="278" t="str">
        <f t="shared" si="4"/>
        <v/>
      </c>
      <c r="D156" s="160">
        <f>IF($A156=0,0,'Rate Log'!$L$159)</f>
        <v>0</v>
      </c>
      <c r="E156" s="43">
        <f>IF($A156=0,0,'Rate Log'!$N$159)</f>
        <v>0</v>
      </c>
      <c r="F156" s="43">
        <f>IF($A156=0,0,COUNTIFS(rl_key,'Rate Log'!$J$159,$C$4:$C$243,$C156,$B$4:$B$243,"&lt;"&amp;$B156))</f>
        <v>0</v>
      </c>
      <c r="G156" s="43">
        <f>IF($A156=0,0,COUNTIFS('Rate Log'!$J$7:$J$159,'Rate Log'!$J$159,$C$4:$C156,$C156,$B$4:$B156,$B156))</f>
        <v>0</v>
      </c>
      <c r="H156" s="43">
        <f t="shared" si="5"/>
        <v>0</v>
      </c>
    </row>
    <row r="157" spans="1:8" x14ac:dyDescent="0.3">
      <c r="A157" s="43">
        <f>IF('Rate Log'!$C$160="",0,IF(OR('Rate Log'!$E$160="taken",'Rate Log'!$C$160&lt;DATE(nr_PlanYear,1,1)),1,0))</f>
        <v>0</v>
      </c>
      <c r="B157" s="278" t="str">
        <f>IF($A157=0,"",'Rate Log'!$C$160)</f>
        <v/>
      </c>
      <c r="C157" s="278" t="str">
        <f t="shared" si="4"/>
        <v/>
      </c>
      <c r="D157" s="160">
        <f>IF($A157=0,0,'Rate Log'!$L$160)</f>
        <v>0</v>
      </c>
      <c r="E157" s="43">
        <f>IF($A157=0,0,'Rate Log'!$N$160)</f>
        <v>0</v>
      </c>
      <c r="F157" s="43">
        <f>IF($A157=0,0,COUNTIFS(rl_key,'Rate Log'!$J$160,$C$4:$C$243,$C157,$B$4:$B$243,"&lt;"&amp;$B157))</f>
        <v>0</v>
      </c>
      <c r="G157" s="43">
        <f>IF($A157=0,0,COUNTIFS('Rate Log'!$J$7:$J$160,'Rate Log'!$J$160,$C$4:$C157,$C157,$B$4:$B157,$B157))</f>
        <v>0</v>
      </c>
      <c r="H157" s="43">
        <f t="shared" si="5"/>
        <v>0</v>
      </c>
    </row>
    <row r="158" spans="1:8" x14ac:dyDescent="0.3">
      <c r="A158" s="43">
        <f>IF('Rate Log'!$C$161="",0,IF(OR('Rate Log'!$E$161="taken",'Rate Log'!$C$161&lt;DATE(nr_PlanYear,1,1)),1,0))</f>
        <v>0</v>
      </c>
      <c r="B158" s="278" t="str">
        <f>IF($A158=0,"",'Rate Log'!$C$161)</f>
        <v/>
      </c>
      <c r="C158" s="278" t="str">
        <f t="shared" si="4"/>
        <v/>
      </c>
      <c r="D158" s="160">
        <f>IF($A158=0,0,'Rate Log'!$L$161)</f>
        <v>0</v>
      </c>
      <c r="E158" s="43">
        <f>IF($A158=0,0,'Rate Log'!$N$161)</f>
        <v>0</v>
      </c>
      <c r="F158" s="43">
        <f>IF($A158=0,0,COUNTIFS(rl_key,'Rate Log'!$J$161,$C$4:$C$243,$C158,$B$4:$B$243,"&lt;"&amp;$B158))</f>
        <v>0</v>
      </c>
      <c r="G158" s="43">
        <f>IF($A158=0,0,COUNTIFS('Rate Log'!$J$7:$J$161,'Rate Log'!$J$161,$C$4:$C158,$C158,$B$4:$B158,$B158))</f>
        <v>0</v>
      </c>
      <c r="H158" s="43">
        <f t="shared" si="5"/>
        <v>0</v>
      </c>
    </row>
    <row r="159" spans="1:8" x14ac:dyDescent="0.3">
      <c r="A159" s="43">
        <f>IF('Rate Log'!$C$162="",0,IF(OR('Rate Log'!$E$162="taken",'Rate Log'!$C$162&lt;DATE(nr_PlanYear,1,1)),1,0))</f>
        <v>0</v>
      </c>
      <c r="B159" s="278" t="str">
        <f>IF($A159=0,"",'Rate Log'!$C$162)</f>
        <v/>
      </c>
      <c r="C159" s="278" t="str">
        <f t="shared" si="4"/>
        <v/>
      </c>
      <c r="D159" s="160">
        <f>IF($A159=0,0,'Rate Log'!$L$162)</f>
        <v>0</v>
      </c>
      <c r="E159" s="43">
        <f>IF($A159=0,0,'Rate Log'!$N$162)</f>
        <v>0</v>
      </c>
      <c r="F159" s="43">
        <f>IF($A159=0,0,COUNTIFS(rl_key,'Rate Log'!$J$162,$C$4:$C$243,$C159,$B$4:$B$243,"&lt;"&amp;$B159))</f>
        <v>0</v>
      </c>
      <c r="G159" s="43">
        <f>IF($A159=0,0,COUNTIFS('Rate Log'!$J$7:$J$162,'Rate Log'!$J$162,$C$4:$C159,$C159,$B$4:$B159,$B159))</f>
        <v>0</v>
      </c>
      <c r="H159" s="43">
        <f t="shared" si="5"/>
        <v>0</v>
      </c>
    </row>
    <row r="160" spans="1:8" x14ac:dyDescent="0.3">
      <c r="A160" s="43">
        <f>IF('Rate Log'!$C$163="",0,IF(OR('Rate Log'!$E$163="taken",'Rate Log'!$C$163&lt;DATE(nr_PlanYear,1,1)),1,0))</f>
        <v>0</v>
      </c>
      <c r="B160" s="278" t="str">
        <f>IF($A160=0,"",'Rate Log'!$C$163)</f>
        <v/>
      </c>
      <c r="C160" s="278" t="str">
        <f t="shared" si="4"/>
        <v/>
      </c>
      <c r="D160" s="160">
        <f>IF($A160=0,0,'Rate Log'!$L$163)</f>
        <v>0</v>
      </c>
      <c r="E160" s="43">
        <f>IF($A160=0,0,'Rate Log'!$N$163)</f>
        <v>0</v>
      </c>
      <c r="F160" s="43">
        <f>IF($A160=0,0,COUNTIFS(rl_key,'Rate Log'!$J$163,$C$4:$C$243,$C160,$B$4:$B$243,"&lt;"&amp;$B160))</f>
        <v>0</v>
      </c>
      <c r="G160" s="43">
        <f>IF($A160=0,0,COUNTIFS('Rate Log'!$J$7:$J$163,'Rate Log'!$J$163,$C$4:$C160,$C160,$B$4:$B160,$B160))</f>
        <v>0</v>
      </c>
      <c r="H160" s="43">
        <f t="shared" si="5"/>
        <v>0</v>
      </c>
    </row>
    <row r="161" spans="1:8" x14ac:dyDescent="0.3">
      <c r="A161" s="43">
        <f>IF('Rate Log'!$C$164="",0,IF(OR('Rate Log'!$E$164="taken",'Rate Log'!$C$164&lt;DATE(nr_PlanYear,1,1)),1,0))</f>
        <v>0</v>
      </c>
      <c r="B161" s="278" t="str">
        <f>IF($A161=0,"",'Rate Log'!$C$164)</f>
        <v/>
      </c>
      <c r="C161" s="278" t="str">
        <f t="shared" si="4"/>
        <v/>
      </c>
      <c r="D161" s="160">
        <f>IF($A161=0,0,'Rate Log'!$L$164)</f>
        <v>0</v>
      </c>
      <c r="E161" s="43">
        <f>IF($A161=0,0,'Rate Log'!$N$164)</f>
        <v>0</v>
      </c>
      <c r="F161" s="43">
        <f>IF($A161=0,0,COUNTIFS(rl_key,'Rate Log'!$J$164,$C$4:$C$243,$C161,$B$4:$B$243,"&lt;"&amp;$B161))</f>
        <v>0</v>
      </c>
      <c r="G161" s="43">
        <f>IF($A161=0,0,COUNTIFS('Rate Log'!$J$7:$J$164,'Rate Log'!$J$164,$C$4:$C161,$C161,$B$4:$B161,$B161))</f>
        <v>0</v>
      </c>
      <c r="H161" s="43">
        <f t="shared" si="5"/>
        <v>0</v>
      </c>
    </row>
    <row r="162" spans="1:8" x14ac:dyDescent="0.3">
      <c r="A162" s="43">
        <f>IF('Rate Log'!$C$165="",0,IF(OR('Rate Log'!$E$165="taken",'Rate Log'!$C$165&lt;DATE(nr_PlanYear,1,1)),1,0))</f>
        <v>0</v>
      </c>
      <c r="B162" s="278" t="str">
        <f>IF($A162=0,"",'Rate Log'!$C$165)</f>
        <v/>
      </c>
      <c r="C162" s="278" t="str">
        <f t="shared" si="4"/>
        <v/>
      </c>
      <c r="D162" s="160">
        <f>IF($A162=0,0,'Rate Log'!$L$165)</f>
        <v>0</v>
      </c>
      <c r="E162" s="43">
        <f>IF($A162=0,0,'Rate Log'!$N$165)</f>
        <v>0</v>
      </c>
      <c r="F162" s="43">
        <f>IF($A162=0,0,COUNTIFS(rl_key,'Rate Log'!$J$165,$C$4:$C$243,$C162,$B$4:$B$243,"&lt;"&amp;$B162))</f>
        <v>0</v>
      </c>
      <c r="G162" s="43">
        <f>IF($A162=0,0,COUNTIFS('Rate Log'!$J$7:$J$165,'Rate Log'!$J$165,$C$4:$C162,$C162,$B$4:$B162,$B162))</f>
        <v>0</v>
      </c>
      <c r="H162" s="43">
        <f t="shared" si="5"/>
        <v>0</v>
      </c>
    </row>
    <row r="163" spans="1:8" x14ac:dyDescent="0.3">
      <c r="A163" s="43">
        <f>IF('Rate Log'!$C$166="",0,IF(OR('Rate Log'!$E$166="taken",'Rate Log'!$C$166&lt;DATE(nr_PlanYear,1,1)),1,0))</f>
        <v>0</v>
      </c>
      <c r="B163" s="278" t="str">
        <f>IF($A163=0,"",'Rate Log'!$C$166)</f>
        <v/>
      </c>
      <c r="C163" s="278" t="str">
        <f t="shared" si="4"/>
        <v/>
      </c>
      <c r="D163" s="160">
        <f>IF($A163=0,0,'Rate Log'!$L$166)</f>
        <v>0</v>
      </c>
      <c r="E163" s="43">
        <f>IF($A163=0,0,'Rate Log'!$N$166)</f>
        <v>0</v>
      </c>
      <c r="F163" s="43">
        <f>IF($A163=0,0,COUNTIFS(rl_key,'Rate Log'!$J$166,$C$4:$C$243,$C163,$B$4:$B$243,"&lt;"&amp;$B163))</f>
        <v>0</v>
      </c>
      <c r="G163" s="43">
        <f>IF($A163=0,0,COUNTIFS('Rate Log'!$J$7:$J$166,'Rate Log'!$J$166,$C$4:$C163,$C163,$B$4:$B163,$B163))</f>
        <v>0</v>
      </c>
      <c r="H163" s="43">
        <f t="shared" si="5"/>
        <v>0</v>
      </c>
    </row>
    <row r="164" spans="1:8" x14ac:dyDescent="0.3">
      <c r="A164" s="43">
        <f>IF('Rate Log'!$C$167="",0,IF(OR('Rate Log'!$E$167="taken",'Rate Log'!$C$167&lt;DATE(nr_PlanYear,1,1)),1,0))</f>
        <v>0</v>
      </c>
      <c r="B164" s="278" t="str">
        <f>IF($A164=0,"",'Rate Log'!$C$167)</f>
        <v/>
      </c>
      <c r="C164" s="278" t="str">
        <f t="shared" si="4"/>
        <v/>
      </c>
      <c r="D164" s="160">
        <f>IF($A164=0,0,'Rate Log'!$L$167)</f>
        <v>0</v>
      </c>
      <c r="E164" s="43">
        <f>IF($A164=0,0,'Rate Log'!$N$167)</f>
        <v>0</v>
      </c>
      <c r="F164" s="43">
        <f>IF($A164=0,0,COUNTIFS(rl_key,'Rate Log'!$J$167,$C$4:$C$243,$C164,$B$4:$B$243,"&lt;"&amp;$B164))</f>
        <v>0</v>
      </c>
      <c r="G164" s="43">
        <f>IF($A164=0,0,COUNTIFS('Rate Log'!$J$7:$J$167,'Rate Log'!$J$167,$C$4:$C164,$C164,$B$4:$B164,$B164))</f>
        <v>0</v>
      </c>
      <c r="H164" s="43">
        <f t="shared" si="5"/>
        <v>0</v>
      </c>
    </row>
    <row r="165" spans="1:8" x14ac:dyDescent="0.3">
      <c r="A165" s="43">
        <f>IF('Rate Log'!$C$168="",0,IF(OR('Rate Log'!$E$168="taken",'Rate Log'!$C$168&lt;DATE(nr_PlanYear,1,1)),1,0))</f>
        <v>0</v>
      </c>
      <c r="B165" s="278" t="str">
        <f>IF($A165=0,"",'Rate Log'!$C$168)</f>
        <v/>
      </c>
      <c r="C165" s="278" t="str">
        <f t="shared" si="4"/>
        <v/>
      </c>
      <c r="D165" s="160">
        <f>IF($A165=0,0,'Rate Log'!$L$168)</f>
        <v>0</v>
      </c>
      <c r="E165" s="43">
        <f>IF($A165=0,0,'Rate Log'!$N$168)</f>
        <v>0</v>
      </c>
      <c r="F165" s="43">
        <f>IF($A165=0,0,COUNTIFS(rl_key,'Rate Log'!$J$168,$C$4:$C$243,$C165,$B$4:$B$243,"&lt;"&amp;$B165))</f>
        <v>0</v>
      </c>
      <c r="G165" s="43">
        <f>IF($A165=0,0,COUNTIFS('Rate Log'!$J$7:$J$168,'Rate Log'!$J$168,$C$4:$C165,$C165,$B$4:$B165,$B165))</f>
        <v>0</v>
      </c>
      <c r="H165" s="43">
        <f t="shared" si="5"/>
        <v>0</v>
      </c>
    </row>
    <row r="166" spans="1:8" x14ac:dyDescent="0.3">
      <c r="A166" s="43">
        <f>IF('Rate Log'!$C$169="",0,IF(OR('Rate Log'!$E$169="taken",'Rate Log'!$C$169&lt;DATE(nr_PlanYear,1,1)),1,0))</f>
        <v>0</v>
      </c>
      <c r="B166" s="278" t="str">
        <f>IF($A166=0,"",'Rate Log'!$C$169)</f>
        <v/>
      </c>
      <c r="C166" s="278" t="str">
        <f t="shared" si="4"/>
        <v/>
      </c>
      <c r="D166" s="160">
        <f>IF($A166=0,0,'Rate Log'!$L$169)</f>
        <v>0</v>
      </c>
      <c r="E166" s="43">
        <f>IF($A166=0,0,'Rate Log'!$N$169)</f>
        <v>0</v>
      </c>
      <c r="F166" s="43">
        <f>IF($A166=0,0,COUNTIFS(rl_key,'Rate Log'!$J$169,$C$4:$C$243,$C166,$B$4:$B$243,"&lt;"&amp;$B166))</f>
        <v>0</v>
      </c>
      <c r="G166" s="43">
        <f>IF($A166=0,0,COUNTIFS('Rate Log'!$J$7:$J$169,'Rate Log'!$J$169,$C$4:$C166,$C166,$B$4:$B166,$B166))</f>
        <v>0</v>
      </c>
      <c r="H166" s="43">
        <f t="shared" si="5"/>
        <v>0</v>
      </c>
    </row>
    <row r="167" spans="1:8" x14ac:dyDescent="0.3">
      <c r="A167" s="43">
        <f>IF('Rate Log'!$C$170="",0,IF(OR('Rate Log'!$E$170="taken",'Rate Log'!$C$170&lt;DATE(nr_PlanYear,1,1)),1,0))</f>
        <v>0</v>
      </c>
      <c r="B167" s="278" t="str">
        <f>IF($A167=0,"",'Rate Log'!$C$170)</f>
        <v/>
      </c>
      <c r="C167" s="278" t="str">
        <f t="shared" si="4"/>
        <v/>
      </c>
      <c r="D167" s="160">
        <f>IF($A167=0,0,'Rate Log'!$L$170)</f>
        <v>0</v>
      </c>
      <c r="E167" s="43">
        <f>IF($A167=0,0,'Rate Log'!$N$170)</f>
        <v>0</v>
      </c>
      <c r="F167" s="43">
        <f>IF($A167=0,0,COUNTIFS(rl_key,'Rate Log'!$J$170,$C$4:$C$243,$C167,$B$4:$B$243,"&lt;"&amp;$B167))</f>
        <v>0</v>
      </c>
      <c r="G167" s="43">
        <f>IF($A167=0,0,COUNTIFS('Rate Log'!$J$7:$J$170,'Rate Log'!$J$170,$C$4:$C167,$C167,$B$4:$B167,$B167))</f>
        <v>0</v>
      </c>
      <c r="H167" s="43">
        <f t="shared" si="5"/>
        <v>0</v>
      </c>
    </row>
    <row r="168" spans="1:8" x14ac:dyDescent="0.3">
      <c r="A168" s="43">
        <f>IF('Rate Log'!$C$171="",0,IF(OR('Rate Log'!$E$171="taken",'Rate Log'!$C$171&lt;DATE(nr_PlanYear,1,1)),1,0))</f>
        <v>0</v>
      </c>
      <c r="B168" s="278" t="str">
        <f>IF($A168=0,"",'Rate Log'!$C$171)</f>
        <v/>
      </c>
      <c r="C168" s="278" t="str">
        <f t="shared" si="4"/>
        <v/>
      </c>
      <c r="D168" s="160">
        <f>IF($A168=0,0,'Rate Log'!$L$171)</f>
        <v>0</v>
      </c>
      <c r="E168" s="43">
        <f>IF($A168=0,0,'Rate Log'!$N$171)</f>
        <v>0</v>
      </c>
      <c r="F168" s="43">
        <f>IF($A168=0,0,COUNTIFS(rl_key,'Rate Log'!$J$171,$C$4:$C$243,$C168,$B$4:$B$243,"&lt;"&amp;$B168))</f>
        <v>0</v>
      </c>
      <c r="G168" s="43">
        <f>IF($A168=0,0,COUNTIFS('Rate Log'!$J$7:$J$171,'Rate Log'!$J$171,$C$4:$C168,$C168,$B$4:$B168,$B168))</f>
        <v>0</v>
      </c>
      <c r="H168" s="43">
        <f t="shared" si="5"/>
        <v>0</v>
      </c>
    </row>
    <row r="169" spans="1:8" x14ac:dyDescent="0.3">
      <c r="A169" s="43">
        <f>IF('Rate Log'!$C$172="",0,IF(OR('Rate Log'!$E$172="taken",'Rate Log'!$C$172&lt;DATE(nr_PlanYear,1,1)),1,0))</f>
        <v>0</v>
      </c>
      <c r="B169" s="278" t="str">
        <f>IF($A169=0,"",'Rate Log'!$C$172)</f>
        <v/>
      </c>
      <c r="C169" s="278" t="str">
        <f t="shared" si="4"/>
        <v/>
      </c>
      <c r="D169" s="160">
        <f>IF($A169=0,0,'Rate Log'!$L$172)</f>
        <v>0</v>
      </c>
      <c r="E169" s="43">
        <f>IF($A169=0,0,'Rate Log'!$N$172)</f>
        <v>0</v>
      </c>
      <c r="F169" s="43">
        <f>IF($A169=0,0,COUNTIFS(rl_key,'Rate Log'!$J$172,$C$4:$C$243,$C169,$B$4:$B$243,"&lt;"&amp;$B169))</f>
        <v>0</v>
      </c>
      <c r="G169" s="43">
        <f>IF($A169=0,0,COUNTIFS('Rate Log'!$J$7:$J$172,'Rate Log'!$J$172,$C$4:$C169,$C169,$B$4:$B169,$B169))</f>
        <v>0</v>
      </c>
      <c r="H169" s="43">
        <f t="shared" si="5"/>
        <v>0</v>
      </c>
    </row>
    <row r="170" spans="1:8" x14ac:dyDescent="0.3">
      <c r="A170" s="43">
        <f>IF('Rate Log'!$C$173="",0,IF(OR('Rate Log'!$E$173="taken",'Rate Log'!$C$173&lt;DATE(nr_PlanYear,1,1)),1,0))</f>
        <v>0</v>
      </c>
      <c r="B170" s="278" t="str">
        <f>IF($A170=0,"",'Rate Log'!$C$173)</f>
        <v/>
      </c>
      <c r="C170" s="278" t="str">
        <f t="shared" si="4"/>
        <v/>
      </c>
      <c r="D170" s="160">
        <f>IF($A170=0,0,'Rate Log'!$L$173)</f>
        <v>0</v>
      </c>
      <c r="E170" s="43">
        <f>IF($A170=0,0,'Rate Log'!$N$173)</f>
        <v>0</v>
      </c>
      <c r="F170" s="43">
        <f>IF($A170=0,0,COUNTIFS(rl_key,'Rate Log'!$J$173,$C$4:$C$243,$C170,$B$4:$B$243,"&lt;"&amp;$B170))</f>
        <v>0</v>
      </c>
      <c r="G170" s="43">
        <f>IF($A170=0,0,COUNTIFS('Rate Log'!$J$7:$J$173,'Rate Log'!$J$173,$C$4:$C170,$C170,$B$4:$B170,$B170))</f>
        <v>0</v>
      </c>
      <c r="H170" s="43">
        <f t="shared" si="5"/>
        <v>0</v>
      </c>
    </row>
    <row r="171" spans="1:8" x14ac:dyDescent="0.3">
      <c r="A171" s="43">
        <f>IF('Rate Log'!$C$174="",0,IF(OR('Rate Log'!$E$174="taken",'Rate Log'!$C$174&lt;DATE(nr_PlanYear,1,1)),1,0))</f>
        <v>0</v>
      </c>
      <c r="B171" s="278" t="str">
        <f>IF($A171=0,"",'Rate Log'!$C$174)</f>
        <v/>
      </c>
      <c r="C171" s="278" t="str">
        <f t="shared" si="4"/>
        <v/>
      </c>
      <c r="D171" s="160">
        <f>IF($A171=0,0,'Rate Log'!$L$174)</f>
        <v>0</v>
      </c>
      <c r="E171" s="43">
        <f>IF($A171=0,0,'Rate Log'!$N$174)</f>
        <v>0</v>
      </c>
      <c r="F171" s="43">
        <f>IF($A171=0,0,COUNTIFS(rl_key,'Rate Log'!$J$174,$C$4:$C$243,$C171,$B$4:$B$243,"&lt;"&amp;$B171))</f>
        <v>0</v>
      </c>
      <c r="G171" s="43">
        <f>IF($A171=0,0,COUNTIFS('Rate Log'!$J$7:$J$174,'Rate Log'!$J$174,$C$4:$C171,$C171,$B$4:$B171,$B171))</f>
        <v>0</v>
      </c>
      <c r="H171" s="43">
        <f t="shared" si="5"/>
        <v>0</v>
      </c>
    </row>
    <row r="172" spans="1:8" x14ac:dyDescent="0.3">
      <c r="A172" s="43">
        <f>IF('Rate Log'!$C$175="",0,IF(OR('Rate Log'!$E$175="taken",'Rate Log'!$C$175&lt;DATE(nr_PlanYear,1,1)),1,0))</f>
        <v>0</v>
      </c>
      <c r="B172" s="278" t="str">
        <f>IF($A172=0,"",'Rate Log'!$C$175)</f>
        <v/>
      </c>
      <c r="C172" s="278" t="str">
        <f t="shared" si="4"/>
        <v/>
      </c>
      <c r="D172" s="160">
        <f>IF($A172=0,0,'Rate Log'!$L$175)</f>
        <v>0</v>
      </c>
      <c r="E172" s="43">
        <f>IF($A172=0,0,'Rate Log'!$N$175)</f>
        <v>0</v>
      </c>
      <c r="F172" s="43">
        <f>IF($A172=0,0,COUNTIFS(rl_key,'Rate Log'!$J$175,$C$4:$C$243,$C172,$B$4:$B$243,"&lt;"&amp;$B172))</f>
        <v>0</v>
      </c>
      <c r="G172" s="43">
        <f>IF($A172=0,0,COUNTIFS('Rate Log'!$J$7:$J$175,'Rate Log'!$J$175,$C$4:$C172,$C172,$B$4:$B172,$B172))</f>
        <v>0</v>
      </c>
      <c r="H172" s="43">
        <f t="shared" si="5"/>
        <v>0</v>
      </c>
    </row>
    <row r="173" spans="1:8" x14ac:dyDescent="0.3">
      <c r="A173" s="43">
        <f>IF('Rate Log'!$C$176="",0,IF(OR('Rate Log'!$E$176="taken",'Rate Log'!$C$176&lt;DATE(nr_PlanYear,1,1)),1,0))</f>
        <v>0</v>
      </c>
      <c r="B173" s="278" t="str">
        <f>IF($A173=0,"",'Rate Log'!$C$176)</f>
        <v/>
      </c>
      <c r="C173" s="278" t="str">
        <f t="shared" si="4"/>
        <v/>
      </c>
      <c r="D173" s="160">
        <f>IF($A173=0,0,'Rate Log'!$L$176)</f>
        <v>0</v>
      </c>
      <c r="E173" s="43">
        <f>IF($A173=0,0,'Rate Log'!$N$176)</f>
        <v>0</v>
      </c>
      <c r="F173" s="43">
        <f>IF($A173=0,0,COUNTIFS(rl_key,'Rate Log'!$J$176,$C$4:$C$243,$C173,$B$4:$B$243,"&lt;"&amp;$B173))</f>
        <v>0</v>
      </c>
      <c r="G173" s="43">
        <f>IF($A173=0,0,COUNTIFS('Rate Log'!$J$7:$J$176,'Rate Log'!$J$176,$C$4:$C173,$C173,$B$4:$B173,$B173))</f>
        <v>0</v>
      </c>
      <c r="H173" s="43">
        <f t="shared" si="5"/>
        <v>0</v>
      </c>
    </row>
    <row r="174" spans="1:8" x14ac:dyDescent="0.3">
      <c r="A174" s="43">
        <f>IF('Rate Log'!$C$177="",0,IF(OR('Rate Log'!$E$177="taken",'Rate Log'!$C$177&lt;DATE(nr_PlanYear,1,1)),1,0))</f>
        <v>0</v>
      </c>
      <c r="B174" s="278" t="str">
        <f>IF($A174=0,"",'Rate Log'!$C$177)</f>
        <v/>
      </c>
      <c r="C174" s="278" t="str">
        <f t="shared" si="4"/>
        <v/>
      </c>
      <c r="D174" s="160">
        <f>IF($A174=0,0,'Rate Log'!$L$177)</f>
        <v>0</v>
      </c>
      <c r="E174" s="43">
        <f>IF($A174=0,0,'Rate Log'!$N$177)</f>
        <v>0</v>
      </c>
      <c r="F174" s="43">
        <f>IF($A174=0,0,COUNTIFS(rl_key,'Rate Log'!$J$177,$C$4:$C$243,$C174,$B$4:$B$243,"&lt;"&amp;$B174))</f>
        <v>0</v>
      </c>
      <c r="G174" s="43">
        <f>IF($A174=0,0,COUNTIFS('Rate Log'!$J$7:$J$177,'Rate Log'!$J$177,$C$4:$C174,$C174,$B$4:$B174,$B174))</f>
        <v>0</v>
      </c>
      <c r="H174" s="43">
        <f t="shared" si="5"/>
        <v>0</v>
      </c>
    </row>
    <row r="175" spans="1:8" x14ac:dyDescent="0.3">
      <c r="A175" s="43">
        <f>IF('Rate Log'!$C$178="",0,IF(OR('Rate Log'!$E$178="taken",'Rate Log'!$C$178&lt;DATE(nr_PlanYear,1,1)),1,0))</f>
        <v>0</v>
      </c>
      <c r="B175" s="278" t="str">
        <f>IF($A175=0,"",'Rate Log'!$C$178)</f>
        <v/>
      </c>
      <c r="C175" s="278" t="str">
        <f t="shared" si="4"/>
        <v/>
      </c>
      <c r="D175" s="160">
        <f>IF($A175=0,0,'Rate Log'!$L$178)</f>
        <v>0</v>
      </c>
      <c r="E175" s="43">
        <f>IF($A175=0,0,'Rate Log'!$N$178)</f>
        <v>0</v>
      </c>
      <c r="F175" s="43">
        <f>IF($A175=0,0,COUNTIFS(rl_key,'Rate Log'!$J$178,$C$4:$C$243,$C175,$B$4:$B$243,"&lt;"&amp;$B175))</f>
        <v>0</v>
      </c>
      <c r="G175" s="43">
        <f>IF($A175=0,0,COUNTIFS('Rate Log'!$J$7:$J$178,'Rate Log'!$J$178,$C$4:$C175,$C175,$B$4:$B175,$B175))</f>
        <v>0</v>
      </c>
      <c r="H175" s="43">
        <f t="shared" si="5"/>
        <v>0</v>
      </c>
    </row>
    <row r="176" spans="1:8" x14ac:dyDescent="0.3">
      <c r="A176" s="43">
        <f>IF('Rate Log'!$C$179="",0,IF(OR('Rate Log'!$E$179="taken",'Rate Log'!$C$179&lt;DATE(nr_PlanYear,1,1)),1,0))</f>
        <v>0</v>
      </c>
      <c r="B176" s="278" t="str">
        <f>IF($A176=0,"",'Rate Log'!$C$179)</f>
        <v/>
      </c>
      <c r="C176" s="278" t="str">
        <f t="shared" si="4"/>
        <v/>
      </c>
      <c r="D176" s="160">
        <f>IF($A176=0,0,'Rate Log'!$L$179)</f>
        <v>0</v>
      </c>
      <c r="E176" s="43">
        <f>IF($A176=0,0,'Rate Log'!$N$179)</f>
        <v>0</v>
      </c>
      <c r="F176" s="43">
        <f>IF($A176=0,0,COUNTIFS(rl_key,'Rate Log'!$J$179,$C$4:$C$243,$C176,$B$4:$B$243,"&lt;"&amp;$B176))</f>
        <v>0</v>
      </c>
      <c r="G176" s="43">
        <f>IF($A176=0,0,COUNTIFS('Rate Log'!$J$7:$J$179,'Rate Log'!$J$179,$C$4:$C176,$C176,$B$4:$B176,$B176))</f>
        <v>0</v>
      </c>
      <c r="H176" s="43">
        <f t="shared" si="5"/>
        <v>0</v>
      </c>
    </row>
    <row r="177" spans="1:8" x14ac:dyDescent="0.3">
      <c r="A177" s="43">
        <f>IF('Rate Log'!$C$180="",0,IF(OR('Rate Log'!$E$180="taken",'Rate Log'!$C$180&lt;DATE(nr_PlanYear,1,1)),1,0))</f>
        <v>0</v>
      </c>
      <c r="B177" s="278" t="str">
        <f>IF($A177=0,"",'Rate Log'!$C$180)</f>
        <v/>
      </c>
      <c r="C177" s="278" t="str">
        <f t="shared" si="4"/>
        <v/>
      </c>
      <c r="D177" s="160">
        <f>IF($A177=0,0,'Rate Log'!$L$180)</f>
        <v>0</v>
      </c>
      <c r="E177" s="43">
        <f>IF($A177=0,0,'Rate Log'!$N$180)</f>
        <v>0</v>
      </c>
      <c r="F177" s="43">
        <f>IF($A177=0,0,COUNTIFS(rl_key,'Rate Log'!$J$180,$C$4:$C$243,$C177,$B$4:$B$243,"&lt;"&amp;$B177))</f>
        <v>0</v>
      </c>
      <c r="G177" s="43">
        <f>IF($A177=0,0,COUNTIFS('Rate Log'!$J$7:$J$180,'Rate Log'!$J$180,$C$4:$C177,$C177,$B$4:$B177,$B177))</f>
        <v>0</v>
      </c>
      <c r="H177" s="43">
        <f t="shared" si="5"/>
        <v>0</v>
      </c>
    </row>
    <row r="178" spans="1:8" x14ac:dyDescent="0.3">
      <c r="A178" s="43">
        <f>IF('Rate Log'!$C$181="",0,IF(OR('Rate Log'!$E$181="taken",'Rate Log'!$C$181&lt;DATE(nr_PlanYear,1,1)),1,0))</f>
        <v>0</v>
      </c>
      <c r="B178" s="278" t="str">
        <f>IF($A178=0,"",'Rate Log'!$C$181)</f>
        <v/>
      </c>
      <c r="C178" s="278" t="str">
        <f t="shared" si="4"/>
        <v/>
      </c>
      <c r="D178" s="160">
        <f>IF($A178=0,0,'Rate Log'!$L$181)</f>
        <v>0</v>
      </c>
      <c r="E178" s="43">
        <f>IF($A178=0,0,'Rate Log'!$N$181)</f>
        <v>0</v>
      </c>
      <c r="F178" s="43">
        <f>IF($A178=0,0,COUNTIFS(rl_key,'Rate Log'!$J$181,$C$4:$C$243,$C178,$B$4:$B$243,"&lt;"&amp;$B178))</f>
        <v>0</v>
      </c>
      <c r="G178" s="43">
        <f>IF($A178=0,0,COUNTIFS('Rate Log'!$J$7:$J$181,'Rate Log'!$J$181,$C$4:$C178,$C178,$B$4:$B178,$B178))</f>
        <v>0</v>
      </c>
      <c r="H178" s="43">
        <f t="shared" si="5"/>
        <v>0</v>
      </c>
    </row>
    <row r="179" spans="1:8" x14ac:dyDescent="0.3">
      <c r="A179" s="43">
        <f>IF('Rate Log'!$C$182="",0,IF(OR('Rate Log'!$E$182="taken",'Rate Log'!$C$182&lt;DATE(nr_PlanYear,1,1)),1,0))</f>
        <v>0</v>
      </c>
      <c r="B179" s="278" t="str">
        <f>IF($A179=0,"",'Rate Log'!$C$182)</f>
        <v/>
      </c>
      <c r="C179" s="278" t="str">
        <f t="shared" si="4"/>
        <v/>
      </c>
      <c r="D179" s="160">
        <f>IF($A179=0,0,'Rate Log'!$L$182)</f>
        <v>0</v>
      </c>
      <c r="E179" s="43">
        <f>IF($A179=0,0,'Rate Log'!$N$182)</f>
        <v>0</v>
      </c>
      <c r="F179" s="43">
        <f>IF($A179=0,0,COUNTIFS(rl_key,'Rate Log'!$J$182,$C$4:$C$243,$C179,$B$4:$B$243,"&lt;"&amp;$B179))</f>
        <v>0</v>
      </c>
      <c r="G179" s="43">
        <f>IF($A179=0,0,COUNTIFS('Rate Log'!$J$7:$J$182,'Rate Log'!$J$182,$C$4:$C179,$C179,$B$4:$B179,$B179))</f>
        <v>0</v>
      </c>
      <c r="H179" s="43">
        <f t="shared" si="5"/>
        <v>0</v>
      </c>
    </row>
    <row r="180" spans="1:8" x14ac:dyDescent="0.3">
      <c r="A180" s="43">
        <f>IF('Rate Log'!$C$183="",0,IF(OR('Rate Log'!$E$183="taken",'Rate Log'!$C$183&lt;DATE(nr_PlanYear,1,1)),1,0))</f>
        <v>0</v>
      </c>
      <c r="B180" s="278" t="str">
        <f>IF($A180=0,"",'Rate Log'!$C$183)</f>
        <v/>
      </c>
      <c r="C180" s="278" t="str">
        <f t="shared" si="4"/>
        <v/>
      </c>
      <c r="D180" s="160">
        <f>IF($A180=0,0,'Rate Log'!$L$183)</f>
        <v>0</v>
      </c>
      <c r="E180" s="43">
        <f>IF($A180=0,0,'Rate Log'!$N$183)</f>
        <v>0</v>
      </c>
      <c r="F180" s="43">
        <f>IF($A180=0,0,COUNTIFS(rl_key,'Rate Log'!$J$183,$C$4:$C$243,$C180,$B$4:$B$243,"&lt;"&amp;$B180))</f>
        <v>0</v>
      </c>
      <c r="G180" s="43">
        <f>IF($A180=0,0,COUNTIFS('Rate Log'!$J$7:$J$183,'Rate Log'!$J$183,$C$4:$C180,$C180,$B$4:$B180,$B180))</f>
        <v>0</v>
      </c>
      <c r="H180" s="43">
        <f t="shared" si="5"/>
        <v>0</v>
      </c>
    </row>
    <row r="181" spans="1:8" x14ac:dyDescent="0.3">
      <c r="A181" s="43">
        <f>IF('Rate Log'!$C$184="",0,IF(OR('Rate Log'!$E$184="taken",'Rate Log'!$C$184&lt;DATE(nr_PlanYear,1,1)),1,0))</f>
        <v>0</v>
      </c>
      <c r="B181" s="278" t="str">
        <f>IF($A181=0,"",'Rate Log'!$C$184)</f>
        <v/>
      </c>
      <c r="C181" s="278" t="str">
        <f t="shared" si="4"/>
        <v/>
      </c>
      <c r="D181" s="160">
        <f>IF($A181=0,0,'Rate Log'!$L$184)</f>
        <v>0</v>
      </c>
      <c r="E181" s="43">
        <f>IF($A181=0,0,'Rate Log'!$N$184)</f>
        <v>0</v>
      </c>
      <c r="F181" s="43">
        <f>IF($A181=0,0,COUNTIFS(rl_key,'Rate Log'!$J$184,$C$4:$C$243,$C181,$B$4:$B$243,"&lt;"&amp;$B181))</f>
        <v>0</v>
      </c>
      <c r="G181" s="43">
        <f>IF($A181=0,0,COUNTIFS('Rate Log'!$J$7:$J$184,'Rate Log'!$J$184,$C$4:$C181,$C181,$B$4:$B181,$B181))</f>
        <v>0</v>
      </c>
      <c r="H181" s="43">
        <f t="shared" si="5"/>
        <v>0</v>
      </c>
    </row>
    <row r="182" spans="1:8" x14ac:dyDescent="0.3">
      <c r="A182" s="43">
        <f>IF('Rate Log'!$C$185="",0,IF(OR('Rate Log'!$E$185="taken",'Rate Log'!$C$185&lt;DATE(nr_PlanYear,1,1)),1,0))</f>
        <v>0</v>
      </c>
      <c r="B182" s="278" t="str">
        <f>IF($A182=0,"",'Rate Log'!$C$185)</f>
        <v/>
      </c>
      <c r="C182" s="278" t="str">
        <f t="shared" si="4"/>
        <v/>
      </c>
      <c r="D182" s="160">
        <f>IF($A182=0,0,'Rate Log'!$L$185)</f>
        <v>0</v>
      </c>
      <c r="E182" s="43">
        <f>IF($A182=0,0,'Rate Log'!$N$185)</f>
        <v>0</v>
      </c>
      <c r="F182" s="43">
        <f>IF($A182=0,0,COUNTIFS(rl_key,'Rate Log'!$J$185,$C$4:$C$243,$C182,$B$4:$B$243,"&lt;"&amp;$B182))</f>
        <v>0</v>
      </c>
      <c r="G182" s="43">
        <f>IF($A182=0,0,COUNTIFS('Rate Log'!$J$7:$J$185,'Rate Log'!$J$185,$C$4:$C182,$C182,$B$4:$B182,$B182))</f>
        <v>0</v>
      </c>
      <c r="H182" s="43">
        <f t="shared" si="5"/>
        <v>0</v>
      </c>
    </row>
    <row r="183" spans="1:8" x14ac:dyDescent="0.3">
      <c r="A183" s="43">
        <f>IF('Rate Log'!$C$186="",0,IF(OR('Rate Log'!$E$186="taken",'Rate Log'!$C$186&lt;DATE(nr_PlanYear,1,1)),1,0))</f>
        <v>0</v>
      </c>
      <c r="B183" s="278" t="str">
        <f>IF($A183=0,"",'Rate Log'!$C$186)</f>
        <v/>
      </c>
      <c r="C183" s="278" t="str">
        <f t="shared" si="4"/>
        <v/>
      </c>
      <c r="D183" s="160">
        <f>IF($A183=0,0,'Rate Log'!$L$186)</f>
        <v>0</v>
      </c>
      <c r="E183" s="43">
        <f>IF($A183=0,0,'Rate Log'!$N$186)</f>
        <v>0</v>
      </c>
      <c r="F183" s="43">
        <f>IF($A183=0,0,COUNTIFS(rl_key,'Rate Log'!$J$186,$C$4:$C$243,$C183,$B$4:$B$243,"&lt;"&amp;$B183))</f>
        <v>0</v>
      </c>
      <c r="G183" s="43">
        <f>IF($A183=0,0,COUNTIFS('Rate Log'!$J$7:$J$186,'Rate Log'!$J$186,$C$4:$C183,$C183,$B$4:$B183,$B183))</f>
        <v>0</v>
      </c>
      <c r="H183" s="43">
        <f t="shared" si="5"/>
        <v>0</v>
      </c>
    </row>
    <row r="184" spans="1:8" x14ac:dyDescent="0.3">
      <c r="A184" s="43">
        <f>IF('Rate Log'!$C$187="",0,IF(OR('Rate Log'!$E$187="taken",'Rate Log'!$C$187&lt;DATE(nr_PlanYear,1,1)),1,0))</f>
        <v>0</v>
      </c>
      <c r="B184" s="278" t="str">
        <f>IF($A184=0,"",'Rate Log'!$C$187)</f>
        <v/>
      </c>
      <c r="C184" s="278" t="str">
        <f t="shared" si="4"/>
        <v/>
      </c>
      <c r="D184" s="160">
        <f>IF($A184=0,0,'Rate Log'!$L$187)</f>
        <v>0</v>
      </c>
      <c r="E184" s="43">
        <f>IF($A184=0,0,'Rate Log'!$N$187)</f>
        <v>0</v>
      </c>
      <c r="F184" s="43">
        <f>IF($A184=0,0,COUNTIFS(rl_key,'Rate Log'!$J$187,$C$4:$C$243,$C184,$B$4:$B$243,"&lt;"&amp;$B184))</f>
        <v>0</v>
      </c>
      <c r="G184" s="43">
        <f>IF($A184=0,0,COUNTIFS('Rate Log'!$J$7:$J$187,'Rate Log'!$J$187,$C$4:$C184,$C184,$B$4:$B184,$B184))</f>
        <v>0</v>
      </c>
      <c r="H184" s="43">
        <f t="shared" si="5"/>
        <v>0</v>
      </c>
    </row>
    <row r="185" spans="1:8" x14ac:dyDescent="0.3">
      <c r="A185" s="43">
        <f>IF('Rate Log'!$C$188="",0,IF(OR('Rate Log'!$E$188="taken",'Rate Log'!$C$188&lt;DATE(nr_PlanYear,1,1)),1,0))</f>
        <v>0</v>
      </c>
      <c r="B185" s="278" t="str">
        <f>IF($A185=0,"",'Rate Log'!$C$188)</f>
        <v/>
      </c>
      <c r="C185" s="278" t="str">
        <f t="shared" si="4"/>
        <v/>
      </c>
      <c r="D185" s="160">
        <f>IF($A185=0,0,'Rate Log'!$L$188)</f>
        <v>0</v>
      </c>
      <c r="E185" s="43">
        <f>IF($A185=0,0,'Rate Log'!$N$188)</f>
        <v>0</v>
      </c>
      <c r="F185" s="43">
        <f>IF($A185=0,0,COUNTIFS(rl_key,'Rate Log'!$J$188,$C$4:$C$243,$C185,$B$4:$B$243,"&lt;"&amp;$B185))</f>
        <v>0</v>
      </c>
      <c r="G185" s="43">
        <f>IF($A185=0,0,COUNTIFS('Rate Log'!$J$7:$J$188,'Rate Log'!$J$188,$C$4:$C185,$C185,$B$4:$B185,$B185))</f>
        <v>0</v>
      </c>
      <c r="H185" s="43">
        <f t="shared" si="5"/>
        <v>0</v>
      </c>
    </row>
    <row r="186" spans="1:8" x14ac:dyDescent="0.3">
      <c r="A186" s="43">
        <f>IF('Rate Log'!$C$189="",0,IF(OR('Rate Log'!$E$189="taken",'Rate Log'!$C$189&lt;DATE(nr_PlanYear,1,1)),1,0))</f>
        <v>0</v>
      </c>
      <c r="B186" s="278" t="str">
        <f>IF($A186=0,"",'Rate Log'!$C$189)</f>
        <v/>
      </c>
      <c r="C186" s="278" t="str">
        <f t="shared" si="4"/>
        <v/>
      </c>
      <c r="D186" s="160">
        <f>IF($A186=0,0,'Rate Log'!$L$189)</f>
        <v>0</v>
      </c>
      <c r="E186" s="43">
        <f>IF($A186=0,0,'Rate Log'!$N$189)</f>
        <v>0</v>
      </c>
      <c r="F186" s="43">
        <f>IF($A186=0,0,COUNTIFS(rl_key,'Rate Log'!$J$189,$C$4:$C$243,$C186,$B$4:$B$243,"&lt;"&amp;$B186))</f>
        <v>0</v>
      </c>
      <c r="G186" s="43">
        <f>IF($A186=0,0,COUNTIFS('Rate Log'!$J$7:$J$189,'Rate Log'!$J$189,$C$4:$C186,$C186,$B$4:$B186,$B186))</f>
        <v>0</v>
      </c>
      <c r="H186" s="43">
        <f t="shared" si="5"/>
        <v>0</v>
      </c>
    </row>
    <row r="187" spans="1:8" x14ac:dyDescent="0.3">
      <c r="A187" s="43">
        <f>IF('Rate Log'!$C$190="",0,IF(OR('Rate Log'!$E$190="taken",'Rate Log'!$C$190&lt;DATE(nr_PlanYear,1,1)),1,0))</f>
        <v>0</v>
      </c>
      <c r="B187" s="278" t="str">
        <f>IF($A187=0,"",'Rate Log'!$C$190)</f>
        <v/>
      </c>
      <c r="C187" s="278" t="str">
        <f t="shared" si="4"/>
        <v/>
      </c>
      <c r="D187" s="160">
        <f>IF($A187=0,0,'Rate Log'!$L$190)</f>
        <v>0</v>
      </c>
      <c r="E187" s="43">
        <f>IF($A187=0,0,'Rate Log'!$N$190)</f>
        <v>0</v>
      </c>
      <c r="F187" s="43">
        <f>IF($A187=0,0,COUNTIFS(rl_key,'Rate Log'!$J$190,$C$4:$C$243,$C187,$B$4:$B$243,"&lt;"&amp;$B187))</f>
        <v>0</v>
      </c>
      <c r="G187" s="43">
        <f>IF($A187=0,0,COUNTIFS('Rate Log'!$J$7:$J$190,'Rate Log'!$J$190,$C$4:$C187,$C187,$B$4:$B187,$B187))</f>
        <v>0</v>
      </c>
      <c r="H187" s="43">
        <f t="shared" si="5"/>
        <v>0</v>
      </c>
    </row>
    <row r="188" spans="1:8" x14ac:dyDescent="0.3">
      <c r="A188" s="43">
        <f>IF('Rate Log'!$C$191="",0,IF(OR('Rate Log'!$E$191="taken",'Rate Log'!$C$191&lt;DATE(nr_PlanYear,1,1)),1,0))</f>
        <v>0</v>
      </c>
      <c r="B188" s="278" t="str">
        <f>IF($A188=0,"",'Rate Log'!$C$191)</f>
        <v/>
      </c>
      <c r="C188" s="278" t="str">
        <f t="shared" si="4"/>
        <v/>
      </c>
      <c r="D188" s="160">
        <f>IF($A188=0,0,'Rate Log'!$L$191)</f>
        <v>0</v>
      </c>
      <c r="E188" s="43">
        <f>IF($A188=0,0,'Rate Log'!$N$191)</f>
        <v>0</v>
      </c>
      <c r="F188" s="43">
        <f>IF($A188=0,0,COUNTIFS(rl_key,'Rate Log'!$J$191,$C$4:$C$243,$C188,$B$4:$B$243,"&lt;"&amp;$B188))</f>
        <v>0</v>
      </c>
      <c r="G188" s="43">
        <f>IF($A188=0,0,COUNTIFS('Rate Log'!$J$7:$J$191,'Rate Log'!$J$191,$C$4:$C188,$C188,$B$4:$B188,$B188))</f>
        <v>0</v>
      </c>
      <c r="H188" s="43">
        <f t="shared" si="5"/>
        <v>0</v>
      </c>
    </row>
    <row r="189" spans="1:8" x14ac:dyDescent="0.3">
      <c r="A189" s="43">
        <f>IF('Rate Log'!$C$192="",0,IF(OR('Rate Log'!$E$192="taken",'Rate Log'!$C$192&lt;DATE(nr_PlanYear,1,1)),1,0))</f>
        <v>0</v>
      </c>
      <c r="B189" s="278" t="str">
        <f>IF($A189=0,"",'Rate Log'!$C$192)</f>
        <v/>
      </c>
      <c r="C189" s="278" t="str">
        <f t="shared" si="4"/>
        <v/>
      </c>
      <c r="D189" s="160">
        <f>IF($A189=0,0,'Rate Log'!$L$192)</f>
        <v>0</v>
      </c>
      <c r="E189" s="43">
        <f>IF($A189=0,0,'Rate Log'!$N$192)</f>
        <v>0</v>
      </c>
      <c r="F189" s="43">
        <f>IF($A189=0,0,COUNTIFS(rl_key,'Rate Log'!$J$192,$C$4:$C$243,$C189,$B$4:$B$243,"&lt;"&amp;$B189))</f>
        <v>0</v>
      </c>
      <c r="G189" s="43">
        <f>IF($A189=0,0,COUNTIFS('Rate Log'!$J$7:$J$192,'Rate Log'!$J$192,$C$4:$C189,$C189,$B$4:$B189,$B189))</f>
        <v>0</v>
      </c>
      <c r="H189" s="43">
        <f t="shared" si="5"/>
        <v>0</v>
      </c>
    </row>
    <row r="190" spans="1:8" x14ac:dyDescent="0.3">
      <c r="A190" s="43">
        <f>IF('Rate Log'!$C$193="",0,IF(OR('Rate Log'!$E$193="taken",'Rate Log'!$C$193&lt;DATE(nr_PlanYear,1,1)),1,0))</f>
        <v>0</v>
      </c>
      <c r="B190" s="278" t="str">
        <f>IF($A190=0,"",'Rate Log'!$C$193)</f>
        <v/>
      </c>
      <c r="C190" s="278" t="str">
        <f t="shared" si="4"/>
        <v/>
      </c>
      <c r="D190" s="160">
        <f>IF($A190=0,0,'Rate Log'!$L$193)</f>
        <v>0</v>
      </c>
      <c r="E190" s="43">
        <f>IF($A190=0,0,'Rate Log'!$N$193)</f>
        <v>0</v>
      </c>
      <c r="F190" s="43">
        <f>IF($A190=0,0,COUNTIFS(rl_key,'Rate Log'!$J$193,$C$4:$C$243,$C190,$B$4:$B$243,"&lt;"&amp;$B190))</f>
        <v>0</v>
      </c>
      <c r="G190" s="43">
        <f>IF($A190=0,0,COUNTIFS('Rate Log'!$J$7:$J$193,'Rate Log'!$J$193,$C$4:$C190,$C190,$B$4:$B190,$B190))</f>
        <v>0</v>
      </c>
      <c r="H190" s="43">
        <f t="shared" si="5"/>
        <v>0</v>
      </c>
    </row>
    <row r="191" spans="1:8" x14ac:dyDescent="0.3">
      <c r="A191" s="43">
        <f>IF('Rate Log'!$C$194="",0,IF(OR('Rate Log'!$E$194="taken",'Rate Log'!$C$194&lt;DATE(nr_PlanYear,1,1)),1,0))</f>
        <v>0</v>
      </c>
      <c r="B191" s="278" t="str">
        <f>IF($A191=0,"",'Rate Log'!$C$194)</f>
        <v/>
      </c>
      <c r="C191" s="278" t="str">
        <f t="shared" si="4"/>
        <v/>
      </c>
      <c r="D191" s="160">
        <f>IF($A191=0,0,'Rate Log'!$L$194)</f>
        <v>0</v>
      </c>
      <c r="E191" s="43">
        <f>IF($A191=0,0,'Rate Log'!$N$194)</f>
        <v>0</v>
      </c>
      <c r="F191" s="43">
        <f>IF($A191=0,0,COUNTIFS(rl_key,'Rate Log'!$J$194,$C$4:$C$243,$C191,$B$4:$B$243,"&lt;"&amp;$B191))</f>
        <v>0</v>
      </c>
      <c r="G191" s="43">
        <f>IF($A191=0,0,COUNTIFS('Rate Log'!$J$7:$J$194,'Rate Log'!$J$194,$C$4:$C191,$C191,$B$4:$B191,$B191))</f>
        <v>0</v>
      </c>
      <c r="H191" s="43">
        <f t="shared" si="5"/>
        <v>0</v>
      </c>
    </row>
    <row r="192" spans="1:8" x14ac:dyDescent="0.3">
      <c r="A192" s="43">
        <f>IF('Rate Log'!$C$195="",0,IF(OR('Rate Log'!$E$195="taken",'Rate Log'!$C$195&lt;DATE(nr_PlanYear,1,1)),1,0))</f>
        <v>0</v>
      </c>
      <c r="B192" s="278" t="str">
        <f>IF($A192=0,"",'Rate Log'!$C$195)</f>
        <v/>
      </c>
      <c r="C192" s="278" t="str">
        <f t="shared" si="4"/>
        <v/>
      </c>
      <c r="D192" s="160">
        <f>IF($A192=0,0,'Rate Log'!$L$195)</f>
        <v>0</v>
      </c>
      <c r="E192" s="43">
        <f>IF($A192=0,0,'Rate Log'!$N$195)</f>
        <v>0</v>
      </c>
      <c r="F192" s="43">
        <f>IF($A192=0,0,COUNTIFS(rl_key,'Rate Log'!$J$195,$C$4:$C$243,$C192,$B$4:$B$243,"&lt;"&amp;$B192))</f>
        <v>0</v>
      </c>
      <c r="G192" s="43">
        <f>IF($A192=0,0,COUNTIFS('Rate Log'!$J$7:$J$195,'Rate Log'!$J$195,$C$4:$C192,$C192,$B$4:$B192,$B192))</f>
        <v>0</v>
      </c>
      <c r="H192" s="43">
        <f t="shared" si="5"/>
        <v>0</v>
      </c>
    </row>
    <row r="193" spans="1:8" x14ac:dyDescent="0.3">
      <c r="A193" s="43">
        <f>IF('Rate Log'!$C$196="",0,IF(OR('Rate Log'!$E$196="taken",'Rate Log'!$C$196&lt;DATE(nr_PlanYear,1,1)),1,0))</f>
        <v>0</v>
      </c>
      <c r="B193" s="278" t="str">
        <f>IF($A193=0,"",'Rate Log'!$C$196)</f>
        <v/>
      </c>
      <c r="C193" s="278" t="str">
        <f t="shared" si="4"/>
        <v/>
      </c>
      <c r="D193" s="160">
        <f>IF($A193=0,0,'Rate Log'!$L$196)</f>
        <v>0</v>
      </c>
      <c r="E193" s="43">
        <f>IF($A193=0,0,'Rate Log'!$N$196)</f>
        <v>0</v>
      </c>
      <c r="F193" s="43">
        <f>IF($A193=0,0,COUNTIFS(rl_key,'Rate Log'!$J$196,$C$4:$C$243,$C193,$B$4:$B$243,"&lt;"&amp;$B193))</f>
        <v>0</v>
      </c>
      <c r="G193" s="43">
        <f>IF($A193=0,0,COUNTIFS('Rate Log'!$J$7:$J$196,'Rate Log'!$J$196,$C$4:$C193,$C193,$B$4:$B193,$B193))</f>
        <v>0</v>
      </c>
      <c r="H193" s="43">
        <f t="shared" si="5"/>
        <v>0</v>
      </c>
    </row>
    <row r="194" spans="1:8" x14ac:dyDescent="0.3">
      <c r="A194" s="43">
        <f>IF('Rate Log'!$C$197="",0,IF(OR('Rate Log'!$E$197="taken",'Rate Log'!$C$197&lt;DATE(nr_PlanYear,1,1)),1,0))</f>
        <v>0</v>
      </c>
      <c r="B194" s="278" t="str">
        <f>IF($A194=0,"",'Rate Log'!$C$197)</f>
        <v/>
      </c>
      <c r="C194" s="278" t="str">
        <f t="shared" si="4"/>
        <v/>
      </c>
      <c r="D194" s="160">
        <f>IF($A194=0,0,'Rate Log'!$L$197)</f>
        <v>0</v>
      </c>
      <c r="E194" s="43">
        <f>IF($A194=0,0,'Rate Log'!$N$197)</f>
        <v>0</v>
      </c>
      <c r="F194" s="43">
        <f>IF($A194=0,0,COUNTIFS(rl_key,'Rate Log'!$J$197,$C$4:$C$243,$C194,$B$4:$B$243,"&lt;"&amp;$B194))</f>
        <v>0</v>
      </c>
      <c r="G194" s="43">
        <f>IF($A194=0,0,COUNTIFS('Rate Log'!$J$7:$J$197,'Rate Log'!$J$197,$C$4:$C194,$C194,$B$4:$B194,$B194))</f>
        <v>0</v>
      </c>
      <c r="H194" s="43">
        <f t="shared" si="5"/>
        <v>0</v>
      </c>
    </row>
    <row r="195" spans="1:8" x14ac:dyDescent="0.3">
      <c r="A195" s="43">
        <f>IF('Rate Log'!$C$198="",0,IF(OR('Rate Log'!$E$198="taken",'Rate Log'!$C$198&lt;DATE(nr_PlanYear,1,1)),1,0))</f>
        <v>0</v>
      </c>
      <c r="B195" s="278" t="str">
        <f>IF($A195=0,"",'Rate Log'!$C$198)</f>
        <v/>
      </c>
      <c r="C195" s="278" t="str">
        <f t="shared" si="4"/>
        <v/>
      </c>
      <c r="D195" s="160">
        <f>IF($A195=0,0,'Rate Log'!$L$198)</f>
        <v>0</v>
      </c>
      <c r="E195" s="43">
        <f>IF($A195=0,0,'Rate Log'!$N$198)</f>
        <v>0</v>
      </c>
      <c r="F195" s="43">
        <f>IF($A195=0,0,COUNTIFS(rl_key,'Rate Log'!$J$198,$C$4:$C$243,$C195,$B$4:$B$243,"&lt;"&amp;$B195))</f>
        <v>0</v>
      </c>
      <c r="G195" s="43">
        <f>IF($A195=0,0,COUNTIFS('Rate Log'!$J$7:$J$198,'Rate Log'!$J$198,$C$4:$C195,$C195,$B$4:$B195,$B195))</f>
        <v>0</v>
      </c>
      <c r="H195" s="43">
        <f t="shared" si="5"/>
        <v>0</v>
      </c>
    </row>
    <row r="196" spans="1:8" x14ac:dyDescent="0.3">
      <c r="A196" s="43">
        <f>IF('Rate Log'!$C$199="",0,IF(OR('Rate Log'!$E$199="taken",'Rate Log'!$C$199&lt;DATE(nr_PlanYear,1,1)),1,0))</f>
        <v>0</v>
      </c>
      <c r="B196" s="278" t="str">
        <f>IF($A196=0,"",'Rate Log'!$C$199)</f>
        <v/>
      </c>
      <c r="C196" s="278" t="str">
        <f t="shared" ref="C196:C243" si="6">IF($A196=0,"",DATE(YEAR($B196),MONTH($B196),1))</f>
        <v/>
      </c>
      <c r="D196" s="160">
        <f>IF($A196=0,0,'Rate Log'!$L$199)</f>
        <v>0</v>
      </c>
      <c r="E196" s="43">
        <f>IF($A196=0,0,'Rate Log'!$N$199)</f>
        <v>0</v>
      </c>
      <c r="F196" s="43">
        <f>IF($A196=0,0,COUNTIFS(rl_key,'Rate Log'!$J$199,$C$4:$C$243,$C196,$B$4:$B$243,"&lt;"&amp;$B196))</f>
        <v>0</v>
      </c>
      <c r="G196" s="43">
        <f>IF($A196=0,0,COUNTIFS('Rate Log'!$J$7:$J$199,'Rate Log'!$J$199,$C$4:$C196,$C196,$B$4:$B196,$B196))</f>
        <v>0</v>
      </c>
      <c r="H196" s="43">
        <f t="shared" ref="H196:H243" si="7">IF($A196=0,0,IF(AND($F196=0,$G196=1),1,0))</f>
        <v>0</v>
      </c>
    </row>
    <row r="197" spans="1:8" x14ac:dyDescent="0.3">
      <c r="A197" s="43">
        <f>IF('Rate Log'!$C$200="",0,IF(OR('Rate Log'!$E$200="taken",'Rate Log'!$C$200&lt;DATE(nr_PlanYear,1,1)),1,0))</f>
        <v>0</v>
      </c>
      <c r="B197" s="278" t="str">
        <f>IF($A197=0,"",'Rate Log'!$C$200)</f>
        <v/>
      </c>
      <c r="C197" s="278" t="str">
        <f t="shared" si="6"/>
        <v/>
      </c>
      <c r="D197" s="160">
        <f>IF($A197=0,0,'Rate Log'!$L$200)</f>
        <v>0</v>
      </c>
      <c r="E197" s="43">
        <f>IF($A197=0,0,'Rate Log'!$N$200)</f>
        <v>0</v>
      </c>
      <c r="F197" s="43">
        <f>IF($A197=0,0,COUNTIFS(rl_key,'Rate Log'!$J$200,$C$4:$C$243,$C197,$B$4:$B$243,"&lt;"&amp;$B197))</f>
        <v>0</v>
      </c>
      <c r="G197" s="43">
        <f>IF($A197=0,0,COUNTIFS('Rate Log'!$J$7:$J$200,'Rate Log'!$J$200,$C$4:$C197,$C197,$B$4:$B197,$B197))</f>
        <v>0</v>
      </c>
      <c r="H197" s="43">
        <f t="shared" si="7"/>
        <v>0</v>
      </c>
    </row>
    <row r="198" spans="1:8" x14ac:dyDescent="0.3">
      <c r="A198" s="43">
        <f>IF('Rate Log'!$C$201="",0,IF(OR('Rate Log'!$E$201="taken",'Rate Log'!$C$201&lt;DATE(nr_PlanYear,1,1)),1,0))</f>
        <v>0</v>
      </c>
      <c r="B198" s="278" t="str">
        <f>IF($A198=0,"",'Rate Log'!$C$201)</f>
        <v/>
      </c>
      <c r="C198" s="278" t="str">
        <f t="shared" si="6"/>
        <v/>
      </c>
      <c r="D198" s="160">
        <f>IF($A198=0,0,'Rate Log'!$L$201)</f>
        <v>0</v>
      </c>
      <c r="E198" s="43">
        <f>IF($A198=0,0,'Rate Log'!$N$201)</f>
        <v>0</v>
      </c>
      <c r="F198" s="43">
        <f>IF($A198=0,0,COUNTIFS(rl_key,'Rate Log'!$J$201,$C$4:$C$243,$C198,$B$4:$B$243,"&lt;"&amp;$B198))</f>
        <v>0</v>
      </c>
      <c r="G198" s="43">
        <f>IF($A198=0,0,COUNTIFS('Rate Log'!$J$7:$J$201,'Rate Log'!$J$201,$C$4:$C198,$C198,$B$4:$B198,$B198))</f>
        <v>0</v>
      </c>
      <c r="H198" s="43">
        <f t="shared" si="7"/>
        <v>0</v>
      </c>
    </row>
    <row r="199" spans="1:8" x14ac:dyDescent="0.3">
      <c r="A199" s="43">
        <f>IF('Rate Log'!$C$202="",0,IF(OR('Rate Log'!$E$202="taken",'Rate Log'!$C$202&lt;DATE(nr_PlanYear,1,1)),1,0))</f>
        <v>0</v>
      </c>
      <c r="B199" s="278" t="str">
        <f>IF($A199=0,"",'Rate Log'!$C$202)</f>
        <v/>
      </c>
      <c r="C199" s="278" t="str">
        <f t="shared" si="6"/>
        <v/>
      </c>
      <c r="D199" s="160">
        <f>IF($A199=0,0,'Rate Log'!$L$202)</f>
        <v>0</v>
      </c>
      <c r="E199" s="43">
        <f>IF($A199=0,0,'Rate Log'!$N$202)</f>
        <v>0</v>
      </c>
      <c r="F199" s="43">
        <f>IF($A199=0,0,COUNTIFS(rl_key,'Rate Log'!$J$202,$C$4:$C$243,$C199,$B$4:$B$243,"&lt;"&amp;$B199))</f>
        <v>0</v>
      </c>
      <c r="G199" s="43">
        <f>IF($A199=0,0,COUNTIFS('Rate Log'!$J$7:$J$202,'Rate Log'!$J$202,$C$4:$C199,$C199,$B$4:$B199,$B199))</f>
        <v>0</v>
      </c>
      <c r="H199" s="43">
        <f t="shared" si="7"/>
        <v>0</v>
      </c>
    </row>
    <row r="200" spans="1:8" x14ac:dyDescent="0.3">
      <c r="A200" s="43">
        <f>IF('Rate Log'!$C$203="",0,IF(OR('Rate Log'!$E$203="taken",'Rate Log'!$C$203&lt;DATE(nr_PlanYear,1,1)),1,0))</f>
        <v>0</v>
      </c>
      <c r="B200" s="278" t="str">
        <f>IF($A200=0,"",'Rate Log'!$C$203)</f>
        <v/>
      </c>
      <c r="C200" s="278" t="str">
        <f t="shared" si="6"/>
        <v/>
      </c>
      <c r="D200" s="160">
        <f>IF($A200=0,0,'Rate Log'!$L$203)</f>
        <v>0</v>
      </c>
      <c r="E200" s="43">
        <f>IF($A200=0,0,'Rate Log'!$N$203)</f>
        <v>0</v>
      </c>
      <c r="F200" s="43">
        <f>IF($A200=0,0,COUNTIFS(rl_key,'Rate Log'!$J$203,$C$4:$C$243,$C200,$B$4:$B$243,"&lt;"&amp;$B200))</f>
        <v>0</v>
      </c>
      <c r="G200" s="43">
        <f>IF($A200=0,0,COUNTIFS('Rate Log'!$J$7:$J$203,'Rate Log'!$J$203,$C$4:$C200,$C200,$B$4:$B200,$B200))</f>
        <v>0</v>
      </c>
      <c r="H200" s="43">
        <f t="shared" si="7"/>
        <v>0</v>
      </c>
    </row>
    <row r="201" spans="1:8" x14ac:dyDescent="0.3">
      <c r="A201" s="43">
        <f>IF('Rate Log'!$C$204="",0,IF(OR('Rate Log'!$E$204="taken",'Rate Log'!$C$204&lt;DATE(nr_PlanYear,1,1)),1,0))</f>
        <v>0</v>
      </c>
      <c r="B201" s="278" t="str">
        <f>IF($A201=0,"",'Rate Log'!$C$204)</f>
        <v/>
      </c>
      <c r="C201" s="278" t="str">
        <f t="shared" si="6"/>
        <v/>
      </c>
      <c r="D201" s="160">
        <f>IF($A201=0,0,'Rate Log'!$L$204)</f>
        <v>0</v>
      </c>
      <c r="E201" s="43">
        <f>IF($A201=0,0,'Rate Log'!$N$204)</f>
        <v>0</v>
      </c>
      <c r="F201" s="43">
        <f>IF($A201=0,0,COUNTIFS(rl_key,'Rate Log'!$J$204,$C$4:$C$243,$C201,$B$4:$B$243,"&lt;"&amp;$B201))</f>
        <v>0</v>
      </c>
      <c r="G201" s="43">
        <f>IF($A201=0,0,COUNTIFS('Rate Log'!$J$7:$J$204,'Rate Log'!$J$204,$C$4:$C201,$C201,$B$4:$B201,$B201))</f>
        <v>0</v>
      </c>
      <c r="H201" s="43">
        <f t="shared" si="7"/>
        <v>0</v>
      </c>
    </row>
    <row r="202" spans="1:8" x14ac:dyDescent="0.3">
      <c r="A202" s="43">
        <f>IF('Rate Log'!$C$205="",0,IF(OR('Rate Log'!$E$205="taken",'Rate Log'!$C$205&lt;DATE(nr_PlanYear,1,1)),1,0))</f>
        <v>0</v>
      </c>
      <c r="B202" s="278" t="str">
        <f>IF($A202=0,"",'Rate Log'!$C$205)</f>
        <v/>
      </c>
      <c r="C202" s="278" t="str">
        <f t="shared" si="6"/>
        <v/>
      </c>
      <c r="D202" s="160">
        <f>IF($A202=0,0,'Rate Log'!$L$205)</f>
        <v>0</v>
      </c>
      <c r="E202" s="43">
        <f>IF($A202=0,0,'Rate Log'!$N$205)</f>
        <v>0</v>
      </c>
      <c r="F202" s="43">
        <f>IF($A202=0,0,COUNTIFS(rl_key,'Rate Log'!$J$205,$C$4:$C$243,$C202,$B$4:$B$243,"&lt;"&amp;$B202))</f>
        <v>0</v>
      </c>
      <c r="G202" s="43">
        <f>IF($A202=0,0,COUNTIFS('Rate Log'!$J$7:$J$205,'Rate Log'!$J$205,$C$4:$C202,$C202,$B$4:$B202,$B202))</f>
        <v>0</v>
      </c>
      <c r="H202" s="43">
        <f t="shared" si="7"/>
        <v>0</v>
      </c>
    </row>
    <row r="203" spans="1:8" x14ac:dyDescent="0.3">
      <c r="A203" s="43">
        <f>IF('Rate Log'!$C$206="",0,IF(OR('Rate Log'!$E$206="taken",'Rate Log'!$C$206&lt;DATE(nr_PlanYear,1,1)),1,0))</f>
        <v>0</v>
      </c>
      <c r="B203" s="278" t="str">
        <f>IF($A203=0,"",'Rate Log'!$C$206)</f>
        <v/>
      </c>
      <c r="C203" s="278" t="str">
        <f t="shared" si="6"/>
        <v/>
      </c>
      <c r="D203" s="160">
        <f>IF($A203=0,0,'Rate Log'!$L$206)</f>
        <v>0</v>
      </c>
      <c r="E203" s="43">
        <f>IF($A203=0,0,'Rate Log'!$N$206)</f>
        <v>0</v>
      </c>
      <c r="F203" s="43">
        <f>IF($A203=0,0,COUNTIFS(rl_key,'Rate Log'!$J$206,$C$4:$C$243,$C203,$B$4:$B$243,"&lt;"&amp;$B203))</f>
        <v>0</v>
      </c>
      <c r="G203" s="43">
        <f>IF($A203=0,0,COUNTIFS('Rate Log'!$J$7:$J$206,'Rate Log'!$J$206,$C$4:$C203,$C203,$B$4:$B203,$B203))</f>
        <v>0</v>
      </c>
      <c r="H203" s="43">
        <f t="shared" si="7"/>
        <v>0</v>
      </c>
    </row>
    <row r="204" spans="1:8" x14ac:dyDescent="0.3">
      <c r="A204" s="43">
        <f>IF('Rate Log'!$C$207="",0,IF(OR('Rate Log'!$E$207="taken",'Rate Log'!$C$207&lt;DATE(nr_PlanYear,1,1)),1,0))</f>
        <v>0</v>
      </c>
      <c r="B204" s="278" t="str">
        <f>IF($A204=0,"",'Rate Log'!$C$207)</f>
        <v/>
      </c>
      <c r="C204" s="278" t="str">
        <f t="shared" si="6"/>
        <v/>
      </c>
      <c r="D204" s="160">
        <f>IF($A204=0,0,'Rate Log'!$L$207)</f>
        <v>0</v>
      </c>
      <c r="E204" s="43">
        <f>IF($A204=0,0,'Rate Log'!$N$207)</f>
        <v>0</v>
      </c>
      <c r="F204" s="43">
        <f>IF($A204=0,0,COUNTIFS(rl_key,'Rate Log'!$J$207,$C$4:$C$243,$C204,$B$4:$B$243,"&lt;"&amp;$B204))</f>
        <v>0</v>
      </c>
      <c r="G204" s="43">
        <f>IF($A204=0,0,COUNTIFS('Rate Log'!$J$7:$J$207,'Rate Log'!$J$207,$C$4:$C204,$C204,$B$4:$B204,$B204))</f>
        <v>0</v>
      </c>
      <c r="H204" s="43">
        <f t="shared" si="7"/>
        <v>0</v>
      </c>
    </row>
    <row r="205" spans="1:8" x14ac:dyDescent="0.3">
      <c r="A205" s="43">
        <f>IF('Rate Log'!$C$208="",0,IF(OR('Rate Log'!$E$208="taken",'Rate Log'!$C$208&lt;DATE(nr_PlanYear,1,1)),1,0))</f>
        <v>0</v>
      </c>
      <c r="B205" s="278" t="str">
        <f>IF($A205=0,"",'Rate Log'!$C$208)</f>
        <v/>
      </c>
      <c r="C205" s="278" t="str">
        <f t="shared" si="6"/>
        <v/>
      </c>
      <c r="D205" s="160">
        <f>IF($A205=0,0,'Rate Log'!$L$208)</f>
        <v>0</v>
      </c>
      <c r="E205" s="43">
        <f>IF($A205=0,0,'Rate Log'!$N$208)</f>
        <v>0</v>
      </c>
      <c r="F205" s="43">
        <f>IF($A205=0,0,COUNTIFS(rl_key,'Rate Log'!$J$208,$C$4:$C$243,$C205,$B$4:$B$243,"&lt;"&amp;$B205))</f>
        <v>0</v>
      </c>
      <c r="G205" s="43">
        <f>IF($A205=0,0,COUNTIFS('Rate Log'!$J$7:$J$208,'Rate Log'!$J$208,$C$4:$C205,$C205,$B$4:$B205,$B205))</f>
        <v>0</v>
      </c>
      <c r="H205" s="43">
        <f t="shared" si="7"/>
        <v>0</v>
      </c>
    </row>
    <row r="206" spans="1:8" x14ac:dyDescent="0.3">
      <c r="A206" s="43">
        <f>IF('Rate Log'!$C$209="",0,IF(OR('Rate Log'!$E$209="taken",'Rate Log'!$C$209&lt;DATE(nr_PlanYear,1,1)),1,0))</f>
        <v>0</v>
      </c>
      <c r="B206" s="278" t="str">
        <f>IF($A206=0,"",'Rate Log'!$C$209)</f>
        <v/>
      </c>
      <c r="C206" s="278" t="str">
        <f t="shared" si="6"/>
        <v/>
      </c>
      <c r="D206" s="160">
        <f>IF($A206=0,0,'Rate Log'!$L$209)</f>
        <v>0</v>
      </c>
      <c r="E206" s="43">
        <f>IF($A206=0,0,'Rate Log'!$N$209)</f>
        <v>0</v>
      </c>
      <c r="F206" s="43">
        <f>IF($A206=0,0,COUNTIFS(rl_key,'Rate Log'!$J$209,$C$4:$C$243,$C206,$B$4:$B$243,"&lt;"&amp;$B206))</f>
        <v>0</v>
      </c>
      <c r="G206" s="43">
        <f>IF($A206=0,0,COUNTIFS('Rate Log'!$J$7:$J$209,'Rate Log'!$J$209,$C$4:$C206,$C206,$B$4:$B206,$B206))</f>
        <v>0</v>
      </c>
      <c r="H206" s="43">
        <f t="shared" si="7"/>
        <v>0</v>
      </c>
    </row>
    <row r="207" spans="1:8" x14ac:dyDescent="0.3">
      <c r="A207" s="43">
        <f>IF('Rate Log'!$C$210="",0,IF(OR('Rate Log'!$E$210="taken",'Rate Log'!$C$210&lt;DATE(nr_PlanYear,1,1)),1,0))</f>
        <v>0</v>
      </c>
      <c r="B207" s="278" t="str">
        <f>IF($A207=0,"",'Rate Log'!$C$210)</f>
        <v/>
      </c>
      <c r="C207" s="278" t="str">
        <f t="shared" si="6"/>
        <v/>
      </c>
      <c r="D207" s="160">
        <f>IF($A207=0,0,'Rate Log'!$L$210)</f>
        <v>0</v>
      </c>
      <c r="E207" s="43">
        <f>IF($A207=0,0,'Rate Log'!$N$210)</f>
        <v>0</v>
      </c>
      <c r="F207" s="43">
        <f>IF($A207=0,0,COUNTIFS(rl_key,'Rate Log'!$J$210,$C$4:$C$243,$C207,$B$4:$B$243,"&lt;"&amp;$B207))</f>
        <v>0</v>
      </c>
      <c r="G207" s="43">
        <f>IF($A207=0,0,COUNTIFS('Rate Log'!$J$7:$J$210,'Rate Log'!$J$210,$C$4:$C207,$C207,$B$4:$B207,$B207))</f>
        <v>0</v>
      </c>
      <c r="H207" s="43">
        <f t="shared" si="7"/>
        <v>0</v>
      </c>
    </row>
    <row r="208" spans="1:8" x14ac:dyDescent="0.3">
      <c r="A208" s="43">
        <f>IF('Rate Log'!$C$211="",0,IF(OR('Rate Log'!$E$211="taken",'Rate Log'!$C$211&lt;DATE(nr_PlanYear,1,1)),1,0))</f>
        <v>0</v>
      </c>
      <c r="B208" s="278" t="str">
        <f>IF($A208=0,"",'Rate Log'!$C$211)</f>
        <v/>
      </c>
      <c r="C208" s="278" t="str">
        <f t="shared" si="6"/>
        <v/>
      </c>
      <c r="D208" s="160">
        <f>IF($A208=0,0,'Rate Log'!$L$211)</f>
        <v>0</v>
      </c>
      <c r="E208" s="43">
        <f>IF($A208=0,0,'Rate Log'!$N$211)</f>
        <v>0</v>
      </c>
      <c r="F208" s="43">
        <f>IF($A208=0,0,COUNTIFS(rl_key,'Rate Log'!$J$211,$C$4:$C$243,$C208,$B$4:$B$243,"&lt;"&amp;$B208))</f>
        <v>0</v>
      </c>
      <c r="G208" s="43">
        <f>IF($A208=0,0,COUNTIFS('Rate Log'!$J$7:$J$211,'Rate Log'!$J$211,$C$4:$C208,$C208,$B$4:$B208,$B208))</f>
        <v>0</v>
      </c>
      <c r="H208" s="43">
        <f t="shared" si="7"/>
        <v>0</v>
      </c>
    </row>
    <row r="209" spans="1:8" x14ac:dyDescent="0.3">
      <c r="A209" s="43">
        <f>IF('Rate Log'!$C$212="",0,IF(OR('Rate Log'!$E$212="taken",'Rate Log'!$C$212&lt;DATE(nr_PlanYear,1,1)),1,0))</f>
        <v>0</v>
      </c>
      <c r="B209" s="278" t="str">
        <f>IF($A209=0,"",'Rate Log'!$C$212)</f>
        <v/>
      </c>
      <c r="C209" s="278" t="str">
        <f t="shared" si="6"/>
        <v/>
      </c>
      <c r="D209" s="160">
        <f>IF($A209=0,0,'Rate Log'!$L$212)</f>
        <v>0</v>
      </c>
      <c r="E209" s="43">
        <f>IF($A209=0,0,'Rate Log'!$N$212)</f>
        <v>0</v>
      </c>
      <c r="F209" s="43">
        <f>IF($A209=0,0,COUNTIFS(rl_key,'Rate Log'!$J$212,$C$4:$C$243,$C209,$B$4:$B$243,"&lt;"&amp;$B209))</f>
        <v>0</v>
      </c>
      <c r="G209" s="43">
        <f>IF($A209=0,0,COUNTIFS('Rate Log'!$J$7:$J$212,'Rate Log'!$J$212,$C$4:$C209,$C209,$B$4:$B209,$B209))</f>
        <v>0</v>
      </c>
      <c r="H209" s="43">
        <f t="shared" si="7"/>
        <v>0</v>
      </c>
    </row>
    <row r="210" spans="1:8" x14ac:dyDescent="0.3">
      <c r="A210" s="43">
        <f>IF('Rate Log'!$C$213="",0,IF(OR('Rate Log'!$E$213="taken",'Rate Log'!$C$213&lt;DATE(nr_PlanYear,1,1)),1,0))</f>
        <v>0</v>
      </c>
      <c r="B210" s="278" t="str">
        <f>IF($A210=0,"",'Rate Log'!$C$213)</f>
        <v/>
      </c>
      <c r="C210" s="278" t="str">
        <f t="shared" si="6"/>
        <v/>
      </c>
      <c r="D210" s="160">
        <f>IF($A210=0,0,'Rate Log'!$L$213)</f>
        <v>0</v>
      </c>
      <c r="E210" s="43">
        <f>IF($A210=0,0,'Rate Log'!$N$213)</f>
        <v>0</v>
      </c>
      <c r="F210" s="43">
        <f>IF($A210=0,0,COUNTIFS(rl_key,'Rate Log'!$J$213,$C$4:$C$243,$C210,$B$4:$B$243,"&lt;"&amp;$B210))</f>
        <v>0</v>
      </c>
      <c r="G210" s="43">
        <f>IF($A210=0,0,COUNTIFS('Rate Log'!$J$7:$J$213,'Rate Log'!$J$213,$C$4:$C210,$C210,$B$4:$B210,$B210))</f>
        <v>0</v>
      </c>
      <c r="H210" s="43">
        <f t="shared" si="7"/>
        <v>0</v>
      </c>
    </row>
    <row r="211" spans="1:8" x14ac:dyDescent="0.3">
      <c r="A211" s="43">
        <f>IF('Rate Log'!$C$214="",0,IF(OR('Rate Log'!$E$214="taken",'Rate Log'!$C$214&lt;DATE(nr_PlanYear,1,1)),1,0))</f>
        <v>0</v>
      </c>
      <c r="B211" s="278" t="str">
        <f>IF($A211=0,"",'Rate Log'!$C$214)</f>
        <v/>
      </c>
      <c r="C211" s="278" t="str">
        <f t="shared" si="6"/>
        <v/>
      </c>
      <c r="D211" s="160">
        <f>IF($A211=0,0,'Rate Log'!$L$214)</f>
        <v>0</v>
      </c>
      <c r="E211" s="43">
        <f>IF($A211=0,0,'Rate Log'!$N$214)</f>
        <v>0</v>
      </c>
      <c r="F211" s="43">
        <f>IF($A211=0,0,COUNTIFS(rl_key,'Rate Log'!$J$214,$C$4:$C$243,$C211,$B$4:$B$243,"&lt;"&amp;$B211))</f>
        <v>0</v>
      </c>
      <c r="G211" s="43">
        <f>IF($A211=0,0,COUNTIFS('Rate Log'!$J$7:$J$214,'Rate Log'!$J$214,$C$4:$C211,$C211,$B$4:$B211,$B211))</f>
        <v>0</v>
      </c>
      <c r="H211" s="43">
        <f t="shared" si="7"/>
        <v>0</v>
      </c>
    </row>
    <row r="212" spans="1:8" x14ac:dyDescent="0.3">
      <c r="A212" s="43">
        <f>IF('Rate Log'!$C$215="",0,IF(OR('Rate Log'!$E$215="taken",'Rate Log'!$C$215&lt;DATE(nr_PlanYear,1,1)),1,0))</f>
        <v>0</v>
      </c>
      <c r="B212" s="278" t="str">
        <f>IF($A212=0,"",'Rate Log'!$C$215)</f>
        <v/>
      </c>
      <c r="C212" s="278" t="str">
        <f t="shared" si="6"/>
        <v/>
      </c>
      <c r="D212" s="160">
        <f>IF($A212=0,0,'Rate Log'!$L$215)</f>
        <v>0</v>
      </c>
      <c r="E212" s="43">
        <f>IF($A212=0,0,'Rate Log'!$N$215)</f>
        <v>0</v>
      </c>
      <c r="F212" s="43">
        <f>IF($A212=0,0,COUNTIFS(rl_key,'Rate Log'!$J$215,$C$4:$C$243,$C212,$B$4:$B$243,"&lt;"&amp;$B212))</f>
        <v>0</v>
      </c>
      <c r="G212" s="43">
        <f>IF($A212=0,0,COUNTIFS('Rate Log'!$J$7:$J$215,'Rate Log'!$J$215,$C$4:$C212,$C212,$B$4:$B212,$B212))</f>
        <v>0</v>
      </c>
      <c r="H212" s="43">
        <f t="shared" si="7"/>
        <v>0</v>
      </c>
    </row>
    <row r="213" spans="1:8" x14ac:dyDescent="0.3">
      <c r="A213" s="43">
        <f>IF('Rate Log'!$C$216="",0,IF(OR('Rate Log'!$E$216="taken",'Rate Log'!$C$216&lt;DATE(nr_PlanYear,1,1)),1,0))</f>
        <v>0</v>
      </c>
      <c r="B213" s="278" t="str">
        <f>IF($A213=0,"",'Rate Log'!$C$216)</f>
        <v/>
      </c>
      <c r="C213" s="278" t="str">
        <f t="shared" si="6"/>
        <v/>
      </c>
      <c r="D213" s="160">
        <f>IF($A213=0,0,'Rate Log'!$L$216)</f>
        <v>0</v>
      </c>
      <c r="E213" s="43">
        <f>IF($A213=0,0,'Rate Log'!$N$216)</f>
        <v>0</v>
      </c>
      <c r="F213" s="43">
        <f>IF($A213=0,0,COUNTIFS(rl_key,'Rate Log'!$J$216,$C$4:$C$243,$C213,$B$4:$B$243,"&lt;"&amp;$B213))</f>
        <v>0</v>
      </c>
      <c r="G213" s="43">
        <f>IF($A213=0,0,COUNTIFS('Rate Log'!$J$7:$J$216,'Rate Log'!$J$216,$C$4:$C213,$C213,$B$4:$B213,$B213))</f>
        <v>0</v>
      </c>
      <c r="H213" s="43">
        <f t="shared" si="7"/>
        <v>0</v>
      </c>
    </row>
    <row r="214" spans="1:8" x14ac:dyDescent="0.3">
      <c r="A214" s="43">
        <f>IF('Rate Log'!$C$217="",0,IF(OR('Rate Log'!$E$217="taken",'Rate Log'!$C$217&lt;DATE(nr_PlanYear,1,1)),1,0))</f>
        <v>0</v>
      </c>
      <c r="B214" s="278" t="str">
        <f>IF($A214=0,"",'Rate Log'!$C$217)</f>
        <v/>
      </c>
      <c r="C214" s="278" t="str">
        <f t="shared" si="6"/>
        <v/>
      </c>
      <c r="D214" s="160">
        <f>IF($A214=0,0,'Rate Log'!$L$217)</f>
        <v>0</v>
      </c>
      <c r="E214" s="43">
        <f>IF($A214=0,0,'Rate Log'!$N$217)</f>
        <v>0</v>
      </c>
      <c r="F214" s="43">
        <f>IF($A214=0,0,COUNTIFS(rl_key,'Rate Log'!$J$217,$C$4:$C$243,$C214,$B$4:$B$243,"&lt;"&amp;$B214))</f>
        <v>0</v>
      </c>
      <c r="G214" s="43">
        <f>IF($A214=0,0,COUNTIFS('Rate Log'!$J$7:$J$217,'Rate Log'!$J$217,$C$4:$C214,$C214,$B$4:$B214,$B214))</f>
        <v>0</v>
      </c>
      <c r="H214" s="43">
        <f t="shared" si="7"/>
        <v>0</v>
      </c>
    </row>
    <row r="215" spans="1:8" x14ac:dyDescent="0.3">
      <c r="A215" s="43">
        <f>IF('Rate Log'!$C$218="",0,IF(OR('Rate Log'!$E$218="taken",'Rate Log'!$C$218&lt;DATE(nr_PlanYear,1,1)),1,0))</f>
        <v>0</v>
      </c>
      <c r="B215" s="278" t="str">
        <f>IF($A215=0,"",'Rate Log'!$C$218)</f>
        <v/>
      </c>
      <c r="C215" s="278" t="str">
        <f t="shared" si="6"/>
        <v/>
      </c>
      <c r="D215" s="160">
        <f>IF($A215=0,0,'Rate Log'!$L$218)</f>
        <v>0</v>
      </c>
      <c r="E215" s="43">
        <f>IF($A215=0,0,'Rate Log'!$N$218)</f>
        <v>0</v>
      </c>
      <c r="F215" s="43">
        <f>IF($A215=0,0,COUNTIFS(rl_key,'Rate Log'!$J$218,$C$4:$C$243,$C215,$B$4:$B$243,"&lt;"&amp;$B215))</f>
        <v>0</v>
      </c>
      <c r="G215" s="43">
        <f>IF($A215=0,0,COUNTIFS('Rate Log'!$J$7:$J$218,'Rate Log'!$J$218,$C$4:$C215,$C215,$B$4:$B215,$B215))</f>
        <v>0</v>
      </c>
      <c r="H215" s="43">
        <f t="shared" si="7"/>
        <v>0</v>
      </c>
    </row>
    <row r="216" spans="1:8" x14ac:dyDescent="0.3">
      <c r="A216" s="43">
        <f>IF('Rate Log'!$C$219="",0,IF(OR('Rate Log'!$E$219="taken",'Rate Log'!$C$219&lt;DATE(nr_PlanYear,1,1)),1,0))</f>
        <v>0</v>
      </c>
      <c r="B216" s="278" t="str">
        <f>IF($A216=0,"",'Rate Log'!$C$219)</f>
        <v/>
      </c>
      <c r="C216" s="278" t="str">
        <f t="shared" si="6"/>
        <v/>
      </c>
      <c r="D216" s="160">
        <f>IF($A216=0,0,'Rate Log'!$L$219)</f>
        <v>0</v>
      </c>
      <c r="E216" s="43">
        <f>IF($A216=0,0,'Rate Log'!$N$219)</f>
        <v>0</v>
      </c>
      <c r="F216" s="43">
        <f>IF($A216=0,0,COUNTIFS(rl_key,'Rate Log'!$J$219,$C$4:$C$243,$C216,$B$4:$B$243,"&lt;"&amp;$B216))</f>
        <v>0</v>
      </c>
      <c r="G216" s="43">
        <f>IF($A216=0,0,COUNTIFS('Rate Log'!$J$7:$J$219,'Rate Log'!$J$219,$C$4:$C216,$C216,$B$4:$B216,$B216))</f>
        <v>0</v>
      </c>
      <c r="H216" s="43">
        <f t="shared" si="7"/>
        <v>0</v>
      </c>
    </row>
    <row r="217" spans="1:8" x14ac:dyDescent="0.3">
      <c r="A217" s="43">
        <f>IF('Rate Log'!$C$220="",0,IF(OR('Rate Log'!$E$220="taken",'Rate Log'!$C$220&lt;DATE(nr_PlanYear,1,1)),1,0))</f>
        <v>0</v>
      </c>
      <c r="B217" s="278" t="str">
        <f>IF($A217=0,"",'Rate Log'!$C$220)</f>
        <v/>
      </c>
      <c r="C217" s="278" t="str">
        <f t="shared" si="6"/>
        <v/>
      </c>
      <c r="D217" s="160">
        <f>IF($A217=0,0,'Rate Log'!$L$220)</f>
        <v>0</v>
      </c>
      <c r="E217" s="43">
        <f>IF($A217=0,0,'Rate Log'!$N$220)</f>
        <v>0</v>
      </c>
      <c r="F217" s="43">
        <f>IF($A217=0,0,COUNTIFS(rl_key,'Rate Log'!$J$220,$C$4:$C$243,$C217,$B$4:$B$243,"&lt;"&amp;$B217))</f>
        <v>0</v>
      </c>
      <c r="G217" s="43">
        <f>IF($A217=0,0,COUNTIFS('Rate Log'!$J$7:$J$220,'Rate Log'!$J$220,$C$4:$C217,$C217,$B$4:$B217,$B217))</f>
        <v>0</v>
      </c>
      <c r="H217" s="43">
        <f t="shared" si="7"/>
        <v>0</v>
      </c>
    </row>
    <row r="218" spans="1:8" x14ac:dyDescent="0.3">
      <c r="A218" s="43">
        <f>IF('Rate Log'!$C$221="",0,IF(OR('Rate Log'!$E$221="taken",'Rate Log'!$C$221&lt;DATE(nr_PlanYear,1,1)),1,0))</f>
        <v>0</v>
      </c>
      <c r="B218" s="278" t="str">
        <f>IF($A218=0,"",'Rate Log'!$C$221)</f>
        <v/>
      </c>
      <c r="C218" s="278" t="str">
        <f t="shared" si="6"/>
        <v/>
      </c>
      <c r="D218" s="160">
        <f>IF($A218=0,0,'Rate Log'!$L$221)</f>
        <v>0</v>
      </c>
      <c r="E218" s="43">
        <f>IF($A218=0,0,'Rate Log'!$N$221)</f>
        <v>0</v>
      </c>
      <c r="F218" s="43">
        <f>IF($A218=0,0,COUNTIFS(rl_key,'Rate Log'!$J$221,$C$4:$C$243,$C218,$B$4:$B$243,"&lt;"&amp;$B218))</f>
        <v>0</v>
      </c>
      <c r="G218" s="43">
        <f>IF($A218=0,0,COUNTIFS('Rate Log'!$J$7:$J$221,'Rate Log'!$J$221,$C$4:$C218,$C218,$B$4:$B218,$B218))</f>
        <v>0</v>
      </c>
      <c r="H218" s="43">
        <f t="shared" si="7"/>
        <v>0</v>
      </c>
    </row>
    <row r="219" spans="1:8" x14ac:dyDescent="0.3">
      <c r="A219" s="43">
        <f>IF('Rate Log'!$C$222="",0,IF(OR('Rate Log'!$E$222="taken",'Rate Log'!$C$222&lt;DATE(nr_PlanYear,1,1)),1,0))</f>
        <v>0</v>
      </c>
      <c r="B219" s="278" t="str">
        <f>IF($A219=0,"",'Rate Log'!$C$222)</f>
        <v/>
      </c>
      <c r="C219" s="278" t="str">
        <f t="shared" si="6"/>
        <v/>
      </c>
      <c r="D219" s="160">
        <f>IF($A219=0,0,'Rate Log'!$L$222)</f>
        <v>0</v>
      </c>
      <c r="E219" s="43">
        <f>IF($A219=0,0,'Rate Log'!$N$222)</f>
        <v>0</v>
      </c>
      <c r="F219" s="43">
        <f>IF($A219=0,0,COUNTIFS(rl_key,'Rate Log'!$J$222,$C$4:$C$243,$C219,$B$4:$B$243,"&lt;"&amp;$B219))</f>
        <v>0</v>
      </c>
      <c r="G219" s="43">
        <f>IF($A219=0,0,COUNTIFS('Rate Log'!$J$7:$J$222,'Rate Log'!$J$222,$C$4:$C219,$C219,$B$4:$B219,$B219))</f>
        <v>0</v>
      </c>
      <c r="H219" s="43">
        <f t="shared" si="7"/>
        <v>0</v>
      </c>
    </row>
    <row r="220" spans="1:8" x14ac:dyDescent="0.3">
      <c r="A220" s="43">
        <f>IF('Rate Log'!$C$223="",0,IF(OR('Rate Log'!$E$223="taken",'Rate Log'!$C$223&lt;DATE(nr_PlanYear,1,1)),1,0))</f>
        <v>0</v>
      </c>
      <c r="B220" s="278" t="str">
        <f>IF($A220=0,"",'Rate Log'!$C$223)</f>
        <v/>
      </c>
      <c r="C220" s="278" t="str">
        <f t="shared" si="6"/>
        <v/>
      </c>
      <c r="D220" s="160">
        <f>IF($A220=0,0,'Rate Log'!$L$223)</f>
        <v>0</v>
      </c>
      <c r="E220" s="43">
        <f>IF($A220=0,0,'Rate Log'!$N$223)</f>
        <v>0</v>
      </c>
      <c r="F220" s="43">
        <f>IF($A220=0,0,COUNTIFS(rl_key,'Rate Log'!$J$223,$C$4:$C$243,$C220,$B$4:$B$243,"&lt;"&amp;$B220))</f>
        <v>0</v>
      </c>
      <c r="G220" s="43">
        <f>IF($A220=0,0,COUNTIFS('Rate Log'!$J$7:$J$223,'Rate Log'!$J$223,$C$4:$C220,$C220,$B$4:$B220,$B220))</f>
        <v>0</v>
      </c>
      <c r="H220" s="43">
        <f t="shared" si="7"/>
        <v>0</v>
      </c>
    </row>
    <row r="221" spans="1:8" x14ac:dyDescent="0.3">
      <c r="A221" s="43">
        <f>IF('Rate Log'!$C$224="",0,IF(OR('Rate Log'!$E$224="taken",'Rate Log'!$C$224&lt;DATE(nr_PlanYear,1,1)),1,0))</f>
        <v>0</v>
      </c>
      <c r="B221" s="278" t="str">
        <f>IF($A221=0,"",'Rate Log'!$C$224)</f>
        <v/>
      </c>
      <c r="C221" s="278" t="str">
        <f t="shared" si="6"/>
        <v/>
      </c>
      <c r="D221" s="160">
        <f>IF($A221=0,0,'Rate Log'!$L$224)</f>
        <v>0</v>
      </c>
      <c r="E221" s="43">
        <f>IF($A221=0,0,'Rate Log'!$N$224)</f>
        <v>0</v>
      </c>
      <c r="F221" s="43">
        <f>IF($A221=0,0,COUNTIFS(rl_key,'Rate Log'!$J$224,$C$4:$C$243,$C221,$B$4:$B$243,"&lt;"&amp;$B221))</f>
        <v>0</v>
      </c>
      <c r="G221" s="43">
        <f>IF($A221=0,0,COUNTIFS('Rate Log'!$J$7:$J$224,'Rate Log'!$J$224,$C$4:$C221,$C221,$B$4:$B221,$B221))</f>
        <v>0</v>
      </c>
      <c r="H221" s="43">
        <f t="shared" si="7"/>
        <v>0</v>
      </c>
    </row>
    <row r="222" spans="1:8" x14ac:dyDescent="0.3">
      <c r="A222" s="43">
        <f>IF('Rate Log'!$C$225="",0,IF(OR('Rate Log'!$E$225="taken",'Rate Log'!$C$225&lt;DATE(nr_PlanYear,1,1)),1,0))</f>
        <v>0</v>
      </c>
      <c r="B222" s="278" t="str">
        <f>IF($A222=0,"",'Rate Log'!$C$225)</f>
        <v/>
      </c>
      <c r="C222" s="278" t="str">
        <f t="shared" si="6"/>
        <v/>
      </c>
      <c r="D222" s="160">
        <f>IF($A222=0,0,'Rate Log'!$L$225)</f>
        <v>0</v>
      </c>
      <c r="E222" s="43">
        <f>IF($A222=0,0,'Rate Log'!$N$225)</f>
        <v>0</v>
      </c>
      <c r="F222" s="43">
        <f>IF($A222=0,0,COUNTIFS(rl_key,'Rate Log'!$J$225,$C$4:$C$243,$C222,$B$4:$B$243,"&lt;"&amp;$B222))</f>
        <v>0</v>
      </c>
      <c r="G222" s="43">
        <f>IF($A222=0,0,COUNTIFS('Rate Log'!$J$7:$J$225,'Rate Log'!$J$225,$C$4:$C222,$C222,$B$4:$B222,$B222))</f>
        <v>0</v>
      </c>
      <c r="H222" s="43">
        <f t="shared" si="7"/>
        <v>0</v>
      </c>
    </row>
    <row r="223" spans="1:8" x14ac:dyDescent="0.3">
      <c r="A223" s="43">
        <f>IF('Rate Log'!$C$226="",0,IF(OR('Rate Log'!$E$226="taken",'Rate Log'!$C$226&lt;DATE(nr_PlanYear,1,1)),1,0))</f>
        <v>0</v>
      </c>
      <c r="B223" s="278" t="str">
        <f>IF($A223=0,"",'Rate Log'!$C$226)</f>
        <v/>
      </c>
      <c r="C223" s="278" t="str">
        <f t="shared" si="6"/>
        <v/>
      </c>
      <c r="D223" s="160">
        <f>IF($A223=0,0,'Rate Log'!$L$226)</f>
        <v>0</v>
      </c>
      <c r="E223" s="43">
        <f>IF($A223=0,0,'Rate Log'!$N$226)</f>
        <v>0</v>
      </c>
      <c r="F223" s="43">
        <f>IF($A223=0,0,COUNTIFS(rl_key,'Rate Log'!$J$226,$C$4:$C$243,$C223,$B$4:$B$243,"&lt;"&amp;$B223))</f>
        <v>0</v>
      </c>
      <c r="G223" s="43">
        <f>IF($A223=0,0,COUNTIFS('Rate Log'!$J$7:$J$226,'Rate Log'!$J$226,$C$4:$C223,$C223,$B$4:$B223,$B223))</f>
        <v>0</v>
      </c>
      <c r="H223" s="43">
        <f t="shared" si="7"/>
        <v>0</v>
      </c>
    </row>
    <row r="224" spans="1:8" x14ac:dyDescent="0.3">
      <c r="A224" s="43">
        <f>IF('Rate Log'!$C$227="",0,IF(OR('Rate Log'!$E$227="taken",'Rate Log'!$C$227&lt;DATE(nr_PlanYear,1,1)),1,0))</f>
        <v>0</v>
      </c>
      <c r="B224" s="278" t="str">
        <f>IF($A224=0,"",'Rate Log'!$C$227)</f>
        <v/>
      </c>
      <c r="C224" s="278" t="str">
        <f t="shared" si="6"/>
        <v/>
      </c>
      <c r="D224" s="160">
        <f>IF($A224=0,0,'Rate Log'!$L$227)</f>
        <v>0</v>
      </c>
      <c r="E224" s="43">
        <f>IF($A224=0,0,'Rate Log'!$N$227)</f>
        <v>0</v>
      </c>
      <c r="F224" s="43">
        <f>IF($A224=0,0,COUNTIFS(rl_key,'Rate Log'!$J$227,$C$4:$C$243,$C224,$B$4:$B$243,"&lt;"&amp;$B224))</f>
        <v>0</v>
      </c>
      <c r="G224" s="43">
        <f>IF($A224=0,0,COUNTIFS('Rate Log'!$J$7:$J$227,'Rate Log'!$J$227,$C$4:$C224,$C224,$B$4:$B224,$B224))</f>
        <v>0</v>
      </c>
      <c r="H224" s="43">
        <f t="shared" si="7"/>
        <v>0</v>
      </c>
    </row>
    <row r="225" spans="1:8" x14ac:dyDescent="0.3">
      <c r="A225" s="43">
        <f>IF('Rate Log'!$C$228="",0,IF(OR('Rate Log'!$E$228="taken",'Rate Log'!$C$228&lt;DATE(nr_PlanYear,1,1)),1,0))</f>
        <v>0</v>
      </c>
      <c r="B225" s="278" t="str">
        <f>IF($A225=0,"",'Rate Log'!$C$228)</f>
        <v/>
      </c>
      <c r="C225" s="278" t="str">
        <f t="shared" si="6"/>
        <v/>
      </c>
      <c r="D225" s="160">
        <f>IF($A225=0,0,'Rate Log'!$L$228)</f>
        <v>0</v>
      </c>
      <c r="E225" s="43">
        <f>IF($A225=0,0,'Rate Log'!$N$228)</f>
        <v>0</v>
      </c>
      <c r="F225" s="43">
        <f>IF($A225=0,0,COUNTIFS(rl_key,'Rate Log'!$J$228,$C$4:$C$243,$C225,$B$4:$B$243,"&lt;"&amp;$B225))</f>
        <v>0</v>
      </c>
      <c r="G225" s="43">
        <f>IF($A225=0,0,COUNTIFS('Rate Log'!$J$7:$J$228,'Rate Log'!$J$228,$C$4:$C225,$C225,$B$4:$B225,$B225))</f>
        <v>0</v>
      </c>
      <c r="H225" s="43">
        <f t="shared" si="7"/>
        <v>0</v>
      </c>
    </row>
    <row r="226" spans="1:8" x14ac:dyDescent="0.3">
      <c r="A226" s="43">
        <f>IF('Rate Log'!$C$229="",0,IF(OR('Rate Log'!$E$229="taken",'Rate Log'!$C$229&lt;DATE(nr_PlanYear,1,1)),1,0))</f>
        <v>0</v>
      </c>
      <c r="B226" s="278" t="str">
        <f>IF($A226=0,"",'Rate Log'!$C$229)</f>
        <v/>
      </c>
      <c r="C226" s="278" t="str">
        <f t="shared" si="6"/>
        <v/>
      </c>
      <c r="D226" s="160">
        <f>IF($A226=0,0,'Rate Log'!$L$229)</f>
        <v>0</v>
      </c>
      <c r="E226" s="43">
        <f>IF($A226=0,0,'Rate Log'!$N$229)</f>
        <v>0</v>
      </c>
      <c r="F226" s="43">
        <f>IF($A226=0,0,COUNTIFS(rl_key,'Rate Log'!$J$229,$C$4:$C$243,$C226,$B$4:$B$243,"&lt;"&amp;$B226))</f>
        <v>0</v>
      </c>
      <c r="G226" s="43">
        <f>IF($A226=0,0,COUNTIFS('Rate Log'!$J$7:$J$229,'Rate Log'!$J$229,$C$4:$C226,$C226,$B$4:$B226,$B226))</f>
        <v>0</v>
      </c>
      <c r="H226" s="43">
        <f t="shared" si="7"/>
        <v>0</v>
      </c>
    </row>
    <row r="227" spans="1:8" x14ac:dyDescent="0.3">
      <c r="A227" s="43">
        <f>IF('Rate Log'!$C$230="",0,IF(OR('Rate Log'!$E$230="taken",'Rate Log'!$C$230&lt;DATE(nr_PlanYear,1,1)),1,0))</f>
        <v>0</v>
      </c>
      <c r="B227" s="278" t="str">
        <f>IF($A227=0,"",'Rate Log'!$C$230)</f>
        <v/>
      </c>
      <c r="C227" s="278" t="str">
        <f t="shared" si="6"/>
        <v/>
      </c>
      <c r="D227" s="160">
        <f>IF($A227=0,0,'Rate Log'!$L$230)</f>
        <v>0</v>
      </c>
      <c r="E227" s="43">
        <f>IF($A227=0,0,'Rate Log'!$N$230)</f>
        <v>0</v>
      </c>
      <c r="F227" s="43">
        <f>IF($A227=0,0,COUNTIFS(rl_key,'Rate Log'!$J$230,$C$4:$C$243,$C227,$B$4:$B$243,"&lt;"&amp;$B227))</f>
        <v>0</v>
      </c>
      <c r="G227" s="43">
        <f>IF($A227=0,0,COUNTIFS('Rate Log'!$J$7:$J$230,'Rate Log'!$J$230,$C$4:$C227,$C227,$B$4:$B227,$B227))</f>
        <v>0</v>
      </c>
      <c r="H227" s="43">
        <f t="shared" si="7"/>
        <v>0</v>
      </c>
    </row>
    <row r="228" spans="1:8" x14ac:dyDescent="0.3">
      <c r="A228" s="43">
        <f>IF('Rate Log'!$C$231="",0,IF(OR('Rate Log'!$E$231="taken",'Rate Log'!$C$231&lt;DATE(nr_PlanYear,1,1)),1,0))</f>
        <v>0</v>
      </c>
      <c r="B228" s="278" t="str">
        <f>IF($A228=0,"",'Rate Log'!$C$231)</f>
        <v/>
      </c>
      <c r="C228" s="278" t="str">
        <f t="shared" si="6"/>
        <v/>
      </c>
      <c r="D228" s="160">
        <f>IF($A228=0,0,'Rate Log'!$L$231)</f>
        <v>0</v>
      </c>
      <c r="E228" s="43">
        <f>IF($A228=0,0,'Rate Log'!$N$231)</f>
        <v>0</v>
      </c>
      <c r="F228" s="43">
        <f>IF($A228=0,0,COUNTIFS(rl_key,'Rate Log'!$J$231,$C$4:$C$243,$C228,$B$4:$B$243,"&lt;"&amp;$B228))</f>
        <v>0</v>
      </c>
      <c r="G228" s="43">
        <f>IF($A228=0,0,COUNTIFS('Rate Log'!$J$7:$J$231,'Rate Log'!$J$231,$C$4:$C228,$C228,$B$4:$B228,$B228))</f>
        <v>0</v>
      </c>
      <c r="H228" s="43">
        <f t="shared" si="7"/>
        <v>0</v>
      </c>
    </row>
    <row r="229" spans="1:8" x14ac:dyDescent="0.3">
      <c r="A229" s="43">
        <f>IF('Rate Log'!$C$232="",0,IF(OR('Rate Log'!$E$232="taken",'Rate Log'!$C$232&lt;DATE(nr_PlanYear,1,1)),1,0))</f>
        <v>0</v>
      </c>
      <c r="B229" s="278" t="str">
        <f>IF($A229=0,"",'Rate Log'!$C$232)</f>
        <v/>
      </c>
      <c r="C229" s="278" t="str">
        <f t="shared" si="6"/>
        <v/>
      </c>
      <c r="D229" s="160">
        <f>IF($A229=0,0,'Rate Log'!$L$232)</f>
        <v>0</v>
      </c>
      <c r="E229" s="43">
        <f>IF($A229=0,0,'Rate Log'!$N$232)</f>
        <v>0</v>
      </c>
      <c r="F229" s="43">
        <f>IF($A229=0,0,COUNTIFS(rl_key,'Rate Log'!$J$232,$C$4:$C$243,$C229,$B$4:$B$243,"&lt;"&amp;$B229))</f>
        <v>0</v>
      </c>
      <c r="G229" s="43">
        <f>IF($A229=0,0,COUNTIFS('Rate Log'!$J$7:$J$232,'Rate Log'!$J$232,$C$4:$C229,$C229,$B$4:$B229,$B229))</f>
        <v>0</v>
      </c>
      <c r="H229" s="43">
        <f t="shared" si="7"/>
        <v>0</v>
      </c>
    </row>
    <row r="230" spans="1:8" x14ac:dyDescent="0.3">
      <c r="A230" s="43">
        <f>IF('Rate Log'!$C$233="",0,IF(OR('Rate Log'!$E$233="taken",'Rate Log'!$C$233&lt;DATE(nr_PlanYear,1,1)),1,0))</f>
        <v>0</v>
      </c>
      <c r="B230" s="278" t="str">
        <f>IF($A230=0,"",'Rate Log'!$C$233)</f>
        <v/>
      </c>
      <c r="C230" s="278" t="str">
        <f t="shared" si="6"/>
        <v/>
      </c>
      <c r="D230" s="160">
        <f>IF($A230=0,0,'Rate Log'!$L$233)</f>
        <v>0</v>
      </c>
      <c r="E230" s="43">
        <f>IF($A230=0,0,'Rate Log'!$N$233)</f>
        <v>0</v>
      </c>
      <c r="F230" s="43">
        <f>IF($A230=0,0,COUNTIFS(rl_key,'Rate Log'!$J$233,$C$4:$C$243,$C230,$B$4:$B$243,"&lt;"&amp;$B230))</f>
        <v>0</v>
      </c>
      <c r="G230" s="43">
        <f>IF($A230=0,0,COUNTIFS('Rate Log'!$J$7:$J$233,'Rate Log'!$J$233,$C$4:$C230,$C230,$B$4:$B230,$B230))</f>
        <v>0</v>
      </c>
      <c r="H230" s="43">
        <f t="shared" si="7"/>
        <v>0</v>
      </c>
    </row>
    <row r="231" spans="1:8" x14ac:dyDescent="0.3">
      <c r="A231" s="43">
        <f>IF('Rate Log'!$C$234="",0,IF(OR('Rate Log'!$E$234="taken",'Rate Log'!$C$234&lt;DATE(nr_PlanYear,1,1)),1,0))</f>
        <v>0</v>
      </c>
      <c r="B231" s="278" t="str">
        <f>IF($A231=0,"",'Rate Log'!$C$234)</f>
        <v/>
      </c>
      <c r="C231" s="278" t="str">
        <f t="shared" si="6"/>
        <v/>
      </c>
      <c r="D231" s="160">
        <f>IF($A231=0,0,'Rate Log'!$L$234)</f>
        <v>0</v>
      </c>
      <c r="E231" s="43">
        <f>IF($A231=0,0,'Rate Log'!$N$234)</f>
        <v>0</v>
      </c>
      <c r="F231" s="43">
        <f>IF($A231=0,0,COUNTIFS(rl_key,'Rate Log'!$J$234,$C$4:$C$243,$C231,$B$4:$B$243,"&lt;"&amp;$B231))</f>
        <v>0</v>
      </c>
      <c r="G231" s="43">
        <f>IF($A231=0,0,COUNTIFS('Rate Log'!$J$7:$J$234,'Rate Log'!$J$234,$C$4:$C231,$C231,$B$4:$B231,$B231))</f>
        <v>0</v>
      </c>
      <c r="H231" s="43">
        <f t="shared" si="7"/>
        <v>0</v>
      </c>
    </row>
    <row r="232" spans="1:8" x14ac:dyDescent="0.3">
      <c r="A232" s="43">
        <f>IF('Rate Log'!$C$235="",0,IF(OR('Rate Log'!$E$235="taken",'Rate Log'!$C$235&lt;DATE(nr_PlanYear,1,1)),1,0))</f>
        <v>0</v>
      </c>
      <c r="B232" s="278" t="str">
        <f>IF($A232=0,"",'Rate Log'!$C$235)</f>
        <v/>
      </c>
      <c r="C232" s="278" t="str">
        <f t="shared" si="6"/>
        <v/>
      </c>
      <c r="D232" s="160">
        <f>IF($A232=0,0,'Rate Log'!$L$235)</f>
        <v>0</v>
      </c>
      <c r="E232" s="43">
        <f>IF($A232=0,0,'Rate Log'!$N$235)</f>
        <v>0</v>
      </c>
      <c r="F232" s="43">
        <f>IF($A232=0,0,COUNTIFS(rl_key,'Rate Log'!$J$235,$C$4:$C$243,$C232,$B$4:$B$243,"&lt;"&amp;$B232))</f>
        <v>0</v>
      </c>
      <c r="G232" s="43">
        <f>IF($A232=0,0,COUNTIFS('Rate Log'!$J$7:$J$235,'Rate Log'!$J$235,$C$4:$C232,$C232,$B$4:$B232,$B232))</f>
        <v>0</v>
      </c>
      <c r="H232" s="43">
        <f t="shared" si="7"/>
        <v>0</v>
      </c>
    </row>
    <row r="233" spans="1:8" x14ac:dyDescent="0.3">
      <c r="A233" s="43">
        <f>IF('Rate Log'!$C$236="",0,IF(OR('Rate Log'!$E$236="taken",'Rate Log'!$C$236&lt;DATE(nr_PlanYear,1,1)),1,0))</f>
        <v>0</v>
      </c>
      <c r="B233" s="278" t="str">
        <f>IF($A233=0,"",'Rate Log'!$C$236)</f>
        <v/>
      </c>
      <c r="C233" s="278" t="str">
        <f t="shared" si="6"/>
        <v/>
      </c>
      <c r="D233" s="160">
        <f>IF($A233=0,0,'Rate Log'!$L$236)</f>
        <v>0</v>
      </c>
      <c r="E233" s="43">
        <f>IF($A233=0,0,'Rate Log'!$N$236)</f>
        <v>0</v>
      </c>
      <c r="F233" s="43">
        <f>IF($A233=0,0,COUNTIFS(rl_key,'Rate Log'!$J$236,$C$4:$C$243,$C233,$B$4:$B$243,"&lt;"&amp;$B233))</f>
        <v>0</v>
      </c>
      <c r="G233" s="43">
        <f>IF($A233=0,0,COUNTIFS('Rate Log'!$J$7:$J$236,'Rate Log'!$J$236,$C$4:$C233,$C233,$B$4:$B233,$B233))</f>
        <v>0</v>
      </c>
      <c r="H233" s="43">
        <f t="shared" si="7"/>
        <v>0</v>
      </c>
    </row>
    <row r="234" spans="1:8" x14ac:dyDescent="0.3">
      <c r="A234" s="43">
        <f>IF('Rate Log'!$C$237="",0,IF(OR('Rate Log'!$E$237="taken",'Rate Log'!$C$237&lt;DATE(nr_PlanYear,1,1)),1,0))</f>
        <v>0</v>
      </c>
      <c r="B234" s="278" t="str">
        <f>IF($A234=0,"",'Rate Log'!$C$237)</f>
        <v/>
      </c>
      <c r="C234" s="278" t="str">
        <f t="shared" si="6"/>
        <v/>
      </c>
      <c r="D234" s="160">
        <f>IF($A234=0,0,'Rate Log'!$L$237)</f>
        <v>0</v>
      </c>
      <c r="E234" s="43">
        <f>IF($A234=0,0,'Rate Log'!$N$237)</f>
        <v>0</v>
      </c>
      <c r="F234" s="43">
        <f>IF($A234=0,0,COUNTIFS(rl_key,'Rate Log'!$J$237,$C$4:$C$243,$C234,$B$4:$B$243,"&lt;"&amp;$B234))</f>
        <v>0</v>
      </c>
      <c r="G234" s="43">
        <f>IF($A234=0,0,COUNTIFS('Rate Log'!$J$7:$J$237,'Rate Log'!$J$237,$C$4:$C234,$C234,$B$4:$B234,$B234))</f>
        <v>0</v>
      </c>
      <c r="H234" s="43">
        <f t="shared" si="7"/>
        <v>0</v>
      </c>
    </row>
    <row r="235" spans="1:8" x14ac:dyDescent="0.3">
      <c r="A235" s="43">
        <f>IF('Rate Log'!$C$238="",0,IF(OR('Rate Log'!$E$238="taken",'Rate Log'!$C$238&lt;DATE(nr_PlanYear,1,1)),1,0))</f>
        <v>0</v>
      </c>
      <c r="B235" s="278" t="str">
        <f>IF($A235=0,"",'Rate Log'!$C$238)</f>
        <v/>
      </c>
      <c r="C235" s="278" t="str">
        <f t="shared" si="6"/>
        <v/>
      </c>
      <c r="D235" s="160">
        <f>IF($A235=0,0,'Rate Log'!$L$238)</f>
        <v>0</v>
      </c>
      <c r="E235" s="43">
        <f>IF($A235=0,0,'Rate Log'!$N$238)</f>
        <v>0</v>
      </c>
      <c r="F235" s="43">
        <f>IF($A235=0,0,COUNTIFS(rl_key,'Rate Log'!$J$238,$C$4:$C$243,$C235,$B$4:$B$243,"&lt;"&amp;$B235))</f>
        <v>0</v>
      </c>
      <c r="G235" s="43">
        <f>IF($A235=0,0,COUNTIFS('Rate Log'!$J$7:$J$238,'Rate Log'!$J$238,$C$4:$C235,$C235,$B$4:$B235,$B235))</f>
        <v>0</v>
      </c>
      <c r="H235" s="43">
        <f t="shared" si="7"/>
        <v>0</v>
      </c>
    </row>
    <row r="236" spans="1:8" x14ac:dyDescent="0.3">
      <c r="A236" s="43">
        <f>IF('Rate Log'!$C$239="",0,IF(OR('Rate Log'!$E$239="taken",'Rate Log'!$C$239&lt;DATE(nr_PlanYear,1,1)),1,0))</f>
        <v>0</v>
      </c>
      <c r="B236" s="278" t="str">
        <f>IF($A236=0,"",'Rate Log'!$C$239)</f>
        <v/>
      </c>
      <c r="C236" s="278" t="str">
        <f t="shared" si="6"/>
        <v/>
      </c>
      <c r="D236" s="160">
        <f>IF($A236=0,0,'Rate Log'!$L$239)</f>
        <v>0</v>
      </c>
      <c r="E236" s="43">
        <f>IF($A236=0,0,'Rate Log'!$N$239)</f>
        <v>0</v>
      </c>
      <c r="F236" s="43">
        <f>IF($A236=0,0,COUNTIFS(rl_key,'Rate Log'!$J$239,$C$4:$C$243,$C236,$B$4:$B$243,"&lt;"&amp;$B236))</f>
        <v>0</v>
      </c>
      <c r="G236" s="43">
        <f>IF($A236=0,0,COUNTIFS('Rate Log'!$J$7:$J$239,'Rate Log'!$J$239,$C$4:$C236,$C236,$B$4:$B236,$B236))</f>
        <v>0</v>
      </c>
      <c r="H236" s="43">
        <f t="shared" si="7"/>
        <v>0</v>
      </c>
    </row>
    <row r="237" spans="1:8" x14ac:dyDescent="0.3">
      <c r="A237" s="43">
        <f>IF('Rate Log'!$C$240="",0,IF(OR('Rate Log'!$E$240="taken",'Rate Log'!$C$240&lt;DATE(nr_PlanYear,1,1)),1,0))</f>
        <v>0</v>
      </c>
      <c r="B237" s="278" t="str">
        <f>IF($A237=0,"",'Rate Log'!$C$240)</f>
        <v/>
      </c>
      <c r="C237" s="278" t="str">
        <f t="shared" si="6"/>
        <v/>
      </c>
      <c r="D237" s="160">
        <f>IF($A237=0,0,'Rate Log'!$L$240)</f>
        <v>0</v>
      </c>
      <c r="E237" s="43">
        <f>IF($A237=0,0,'Rate Log'!$N$240)</f>
        <v>0</v>
      </c>
      <c r="F237" s="43">
        <f>IF($A237=0,0,COUNTIFS(rl_key,'Rate Log'!$J$240,$C$4:$C$243,$C237,$B$4:$B$243,"&lt;"&amp;$B237))</f>
        <v>0</v>
      </c>
      <c r="G237" s="43">
        <f>IF($A237=0,0,COUNTIFS('Rate Log'!$J$7:$J$240,'Rate Log'!$J$240,$C$4:$C237,$C237,$B$4:$B237,$B237))</f>
        <v>0</v>
      </c>
      <c r="H237" s="43">
        <f t="shared" si="7"/>
        <v>0</v>
      </c>
    </row>
    <row r="238" spans="1:8" x14ac:dyDescent="0.3">
      <c r="A238" s="43">
        <f>IF('Rate Log'!$C$241="",0,IF(OR('Rate Log'!$E$241="taken",'Rate Log'!$C$241&lt;DATE(nr_PlanYear,1,1)),1,0))</f>
        <v>0</v>
      </c>
      <c r="B238" s="278" t="str">
        <f>IF($A238=0,"",'Rate Log'!$C$241)</f>
        <v/>
      </c>
      <c r="C238" s="278" t="str">
        <f t="shared" si="6"/>
        <v/>
      </c>
      <c r="D238" s="160">
        <f>IF($A238=0,0,'Rate Log'!$L$241)</f>
        <v>0</v>
      </c>
      <c r="E238" s="43">
        <f>IF($A238=0,0,'Rate Log'!$N$241)</f>
        <v>0</v>
      </c>
      <c r="F238" s="43">
        <f>IF($A238=0,0,COUNTIFS(rl_key,'Rate Log'!$J$241,$C$4:$C$243,$C238,$B$4:$B$243,"&lt;"&amp;$B238))</f>
        <v>0</v>
      </c>
      <c r="G238" s="43">
        <f>IF($A238=0,0,COUNTIFS('Rate Log'!$J$7:$J$241,'Rate Log'!$J$241,$C$4:$C238,$C238,$B$4:$B238,$B238))</f>
        <v>0</v>
      </c>
      <c r="H238" s="43">
        <f t="shared" si="7"/>
        <v>0</v>
      </c>
    </row>
    <row r="239" spans="1:8" x14ac:dyDescent="0.3">
      <c r="A239" s="43">
        <f>IF('Rate Log'!$C$242="",0,IF(OR('Rate Log'!$E$242="taken",'Rate Log'!$C$242&lt;DATE(nr_PlanYear,1,1)),1,0))</f>
        <v>0</v>
      </c>
      <c r="B239" s="278" t="str">
        <f>IF($A239=0,"",'Rate Log'!$C$242)</f>
        <v/>
      </c>
      <c r="C239" s="278" t="str">
        <f t="shared" si="6"/>
        <v/>
      </c>
      <c r="D239" s="160">
        <f>IF($A239=0,0,'Rate Log'!$L$242)</f>
        <v>0</v>
      </c>
      <c r="E239" s="43">
        <f>IF($A239=0,0,'Rate Log'!$N$242)</f>
        <v>0</v>
      </c>
      <c r="F239" s="43">
        <f>IF($A239=0,0,COUNTIFS(rl_key,'Rate Log'!$J$242,$C$4:$C$243,$C239,$B$4:$B$243,"&lt;"&amp;$B239))</f>
        <v>0</v>
      </c>
      <c r="G239" s="43">
        <f>IF($A239=0,0,COUNTIFS('Rate Log'!$J$7:$J$242,'Rate Log'!$J$242,$C$4:$C239,$C239,$B$4:$B239,$B239))</f>
        <v>0</v>
      </c>
      <c r="H239" s="43">
        <f t="shared" si="7"/>
        <v>0</v>
      </c>
    </row>
    <row r="240" spans="1:8" x14ac:dyDescent="0.3">
      <c r="A240" s="43">
        <f>IF('Rate Log'!$C$243="",0,IF(OR('Rate Log'!$E$243="taken",'Rate Log'!$C$243&lt;DATE(nr_PlanYear,1,1)),1,0))</f>
        <v>0</v>
      </c>
      <c r="B240" s="278" t="str">
        <f>IF($A240=0,"",'Rate Log'!$C$243)</f>
        <v/>
      </c>
      <c r="C240" s="278" t="str">
        <f t="shared" si="6"/>
        <v/>
      </c>
      <c r="D240" s="160">
        <f>IF($A240=0,0,'Rate Log'!$L$243)</f>
        <v>0</v>
      </c>
      <c r="E240" s="43">
        <f>IF($A240=0,0,'Rate Log'!$N$243)</f>
        <v>0</v>
      </c>
      <c r="F240" s="43">
        <f>IF($A240=0,0,COUNTIFS(rl_key,'Rate Log'!$J$243,$C$4:$C$243,$C240,$B$4:$B$243,"&lt;"&amp;$B240))</f>
        <v>0</v>
      </c>
      <c r="G240" s="43">
        <f>IF($A240=0,0,COUNTIFS('Rate Log'!$J$7:$J$243,'Rate Log'!$J$243,$C$4:$C240,$C240,$B$4:$B240,$B240))</f>
        <v>0</v>
      </c>
      <c r="H240" s="43">
        <f t="shared" si="7"/>
        <v>0</v>
      </c>
    </row>
    <row r="241" spans="1:31" x14ac:dyDescent="0.3">
      <c r="A241" s="43">
        <f>IF('Rate Log'!$C$244="",0,IF(OR('Rate Log'!$E$244="taken",'Rate Log'!$C$244&lt;DATE(nr_PlanYear,1,1)),1,0))</f>
        <v>0</v>
      </c>
      <c r="B241" s="278" t="str">
        <f>IF($A241=0,"",'Rate Log'!$C$244)</f>
        <v/>
      </c>
      <c r="C241" s="278" t="str">
        <f t="shared" si="6"/>
        <v/>
      </c>
      <c r="D241" s="160">
        <f>IF($A241=0,0,'Rate Log'!$L$244)</f>
        <v>0</v>
      </c>
      <c r="E241" s="43">
        <f>IF($A241=0,0,'Rate Log'!$N$244)</f>
        <v>0</v>
      </c>
      <c r="F241" s="43">
        <f>IF($A241=0,0,COUNTIFS(rl_key,'Rate Log'!$J$244,$C$4:$C$243,$C241,$B$4:$B$243,"&lt;"&amp;$B241))</f>
        <v>0</v>
      </c>
      <c r="G241" s="43">
        <f>IF($A241=0,0,COUNTIFS('Rate Log'!$J$7:$J$244,'Rate Log'!$J$244,$C$4:$C241,$C241,$B$4:$B241,$B241))</f>
        <v>0</v>
      </c>
      <c r="H241" s="43">
        <f t="shared" si="7"/>
        <v>0</v>
      </c>
    </row>
    <row r="242" spans="1:31" x14ac:dyDescent="0.3">
      <c r="A242" s="43">
        <f>IF('Rate Log'!$C$245="",0,IF(OR('Rate Log'!$E$245="taken",'Rate Log'!$C$245&lt;DATE(nr_PlanYear,1,1)),1,0))</f>
        <v>0</v>
      </c>
      <c r="B242" s="278" t="str">
        <f>IF($A242=0,"",'Rate Log'!$C$245)</f>
        <v/>
      </c>
      <c r="C242" s="278" t="str">
        <f t="shared" si="6"/>
        <v/>
      </c>
      <c r="D242" s="160">
        <f>IF($A242=0,0,'Rate Log'!$L$245)</f>
        <v>0</v>
      </c>
      <c r="E242" s="43">
        <f>IF($A242=0,0,'Rate Log'!$N$245)</f>
        <v>0</v>
      </c>
      <c r="F242" s="43">
        <f>IF($A242=0,0,COUNTIFS(rl_key,'Rate Log'!$J$245,$C$4:$C$243,$C242,$B$4:$B$243,"&lt;"&amp;$B242))</f>
        <v>0</v>
      </c>
      <c r="G242" s="43">
        <f>IF($A242=0,0,COUNTIFS('Rate Log'!$J$7:$J$245,'Rate Log'!$J$245,$C$4:$C242,$C242,$B$4:$B242,$B242))</f>
        <v>0</v>
      </c>
      <c r="H242" s="43">
        <f t="shared" si="7"/>
        <v>0</v>
      </c>
    </row>
    <row r="243" spans="1:31" x14ac:dyDescent="0.3">
      <c r="A243" s="43">
        <f>IF('Rate Log'!$C$246="",0,IF(OR('Rate Log'!$E$246="taken",'Rate Log'!$C$246&lt;DATE(nr_PlanYear,1,1)),1,0))</f>
        <v>0</v>
      </c>
      <c r="B243" s="278" t="str">
        <f>IF($A243=0,"",'Rate Log'!$C$246)</f>
        <v/>
      </c>
      <c r="C243" s="278" t="str">
        <f t="shared" si="6"/>
        <v/>
      </c>
      <c r="D243" s="160">
        <f>IF($A243=0,0,'Rate Log'!$L$246)</f>
        <v>0</v>
      </c>
      <c r="E243" s="43">
        <f>IF($A243=0,0,'Rate Log'!$N$246)</f>
        <v>0</v>
      </c>
      <c r="F243" s="43">
        <f>IF($A243=0,0,COUNTIFS(rl_key,'Rate Log'!$J$246,$C$4:$C$243,$C243,$B$4:$B$243,"&lt;"&amp;$B243))</f>
        <v>0</v>
      </c>
      <c r="G243" s="43">
        <f>IF($A243=0,0,COUNTIFS('Rate Log'!$J$7:$J$246,'Rate Log'!$J$246,$C$4:$C243,$C243,$B$4:$B243,$B243))</f>
        <v>0</v>
      </c>
      <c r="H243" s="43">
        <f t="shared" si="7"/>
        <v>0</v>
      </c>
    </row>
    <row r="247" spans="1:31" x14ac:dyDescent="0.3">
      <c r="A247" s="23" t="str">
        <f>_lists!$B$3</f>
        <v>AZ</v>
      </c>
      <c r="B247" s="23" t="str">
        <f>IF(OR($A247="",nd_BU="All"),"",nd_BU&amp;"|"&amp;$A247)</f>
        <v>SBA|AZ</v>
      </c>
      <c r="C247" s="43">
        <f>IF($B247="",0,IF(COUNTIF(lr_key,$B247)=0,0,MATCH($B247,lr_key,0)))</f>
        <v>43</v>
      </c>
      <c r="D247" s="43">
        <f>IF($C247=0,0,IF(ISBLANK(INDEX(lr_netp,$C247)),0,1))</f>
        <v>0</v>
      </c>
      <c r="E247" s="229">
        <f>IF($D247=0,0,N(INDEX(lr_netp,$C247)))</f>
        <v>0</v>
      </c>
      <c r="F247" s="43">
        <f>IF($C247=0,0,IF(AND(nr_ModAdjMaster="ON",INDEX(lr_modadj,$C247)="ON"),1,0))</f>
        <v>1</v>
      </c>
      <c r="G247" s="220">
        <f>IF($C247=0,1,IF(N(INDEX(lr_mind,$C247))=0,1,INDEX(lr_mind,$C247)))</f>
        <v>0.92</v>
      </c>
      <c r="H247" s="220">
        <f>IF($C247=0,1,IF(N(INDEX(lr_m0,$C247))=0,1,INDEX(lr_m0,$C247)))</f>
        <v>0.91</v>
      </c>
      <c r="I247" s="278">
        <f>IF($C247=0,DATE(nr_PlanYear-1,10,1),IF(N(INDEX(lr_m0asof,$C247))=0,DATE(nr_PlanYear-1,10,1),INDEX(lr_m0asof,$C247)))</f>
        <v>46295</v>
      </c>
      <c r="J247" s="220">
        <f>IF($C247=0,1,IF(N(INDEX(lr_m1,$C247))=0,1,INDEX(lr_m1,$C247)))</f>
        <v>0.9</v>
      </c>
      <c r="K247" s="220">
        <f>IF($C247=0,0,N(INDEX(lr_mprior,$C247)))</f>
        <v>0</v>
      </c>
      <c r="L247" s="220">
        <f>IF($C247=0,0,N(INDEX(lr_m2,$C247)))</f>
        <v>0</v>
      </c>
      <c r="M247" s="43">
        <f>IF(OR($A247="",COUNTIF(se_state,$A247)=0),0,MATCH($A247,se_state,0))</f>
        <v>0</v>
      </c>
      <c r="N247" s="279">
        <f>IF($M247=0,0,INDEX(se_sum,$M247))</f>
        <v>0</v>
      </c>
      <c r="O247" s="278">
        <f>IF('Net Delivery'!$D$9="",$X247,'Net Delivery'!$D$9)</f>
        <v>46478</v>
      </c>
      <c r="P247" s="43">
        <f>IF(AND($O247&gt;=DATE(nr_PlanYear,1,1),$O247&lt;=DATE(nr_PlanYear,12,31)),1,0)</f>
        <v>1</v>
      </c>
      <c r="Q247" s="43">
        <f>YEAR($O247)*12+MONTH($O247)-1</f>
        <v>24327</v>
      </c>
      <c r="R247" s="43">
        <f>DAY(EOMONTH($O247,0))</f>
        <v>30</v>
      </c>
      <c r="S247" s="43">
        <f>EOMONTH($O247,0)-$O247+1</f>
        <v>30</v>
      </c>
      <c r="T247" s="43">
        <f>SUMIFS(ndl_days,rl_key,$B247,ndl_effmonth,DATE(YEAR($O247),MONTH($O247),1),ndl_first,1)</f>
        <v>0</v>
      </c>
      <c r="U247" s="220">
        <f>IF($P247=1,MIN(1,MAX($S247,$T247)/$R247),1)</f>
        <v>1</v>
      </c>
      <c r="V247" s="280" t="str">
        <f>IF(ISBLANK('Net Delivery'!$E$9),$Y247,'Net Delivery'!$E$9)</f>
        <v/>
      </c>
      <c r="W247" s="43">
        <f>IF($B247="",0,COUNTIFS(rl_key,$B247,rl_status,"planned",rl_eff,"&gt;="&amp;DATE(nr_PlanYear,1,1),rl_eff,"&lt;="&amp;DATE(nr_PlanYear,12,31)))</f>
        <v>0</v>
      </c>
      <c r="X247" s="278">
        <f>IF($W247=0,nd_DefaultDate,SUMIFS(rl_eff,rl_key,$B247,rl_firstplanned,1))</f>
        <v>46478</v>
      </c>
      <c r="Y247" s="280" t="str">
        <f>IF($W247=0,"",SUMIFS(rl_reff,rl_key,$B247,rl_firstplanned,1))</f>
        <v/>
      </c>
      <c r="Z247" s="280" t="str">
        <f>IF($W247=0,"",SUMIFS(rl_filed,rl_key,$B247,rl_firstplanned,1))</f>
        <v/>
      </c>
    </row>
    <row r="248" spans="1:31" x14ac:dyDescent="0.3">
      <c r="A248" s="6">
        <f>EDATE($I$247,-12)+1</f>
        <v>45931</v>
      </c>
      <c r="B248" s="6">
        <f>$I$247+1</f>
        <v>46296</v>
      </c>
      <c r="C248" s="6">
        <f>DATE(nr_PlanYear,12,31)+1</f>
        <v>46753</v>
      </c>
      <c r="D248" s="6">
        <f>DATE(nr_PlanYear+1,12,31)+1</f>
        <v>47119</v>
      </c>
      <c r="E248" s="6">
        <f>IF(N($K$247)=0,$F$248-($G$248-$F$248)/($C$248-$B$248)*($B$248-$A$248),$K$247)</f>
        <v>0.91798687089715536</v>
      </c>
      <c r="F248" s="6">
        <f>$H$247</f>
        <v>0.91</v>
      </c>
      <c r="G248" s="6">
        <f>$J$247</f>
        <v>0.9</v>
      </c>
      <c r="H248" s="6">
        <f>IF(N($L$247)=0,$J$247,$L$247)</f>
        <v>0.9</v>
      </c>
      <c r="I248" s="6">
        <f>($F$248-$E$248)/($B$248-$A$248)</f>
        <v>-2.1881838074398162E-5</v>
      </c>
      <c r="J248" s="6">
        <f>($G$248-$F$248)/($C$248-$B$248)</f>
        <v>-2.188183807439827E-5</v>
      </c>
      <c r="K248" s="6">
        <f>($H$248-$G$248)/($D$248-$C$248)</f>
        <v>0</v>
      </c>
    </row>
    <row r="249" spans="1:31" ht="36" x14ac:dyDescent="0.3">
      <c r="A249" s="58" t="s">
        <v>390</v>
      </c>
      <c r="B249" s="58" t="s">
        <v>449</v>
      </c>
      <c r="C249" s="58" t="s">
        <v>685</v>
      </c>
      <c r="D249" s="58" t="s">
        <v>686</v>
      </c>
      <c r="E249" s="58" t="s">
        <v>687</v>
      </c>
      <c r="F249" s="58" t="s">
        <v>688</v>
      </c>
      <c r="G249" s="58" t="s">
        <v>689</v>
      </c>
      <c r="H249" s="58" t="s">
        <v>452</v>
      </c>
      <c r="I249" s="58" t="s">
        <v>690</v>
      </c>
      <c r="J249" s="58" t="s">
        <v>691</v>
      </c>
      <c r="K249" s="58" t="s">
        <v>692</v>
      </c>
      <c r="L249" s="58" t="s">
        <v>693</v>
      </c>
      <c r="M249" s="58" t="s">
        <v>694</v>
      </c>
      <c r="N249" s="58" t="s">
        <v>695</v>
      </c>
      <c r="O249" s="58" t="s">
        <v>696</v>
      </c>
      <c r="P249" s="58" t="s">
        <v>697</v>
      </c>
      <c r="Q249" s="58" t="s">
        <v>698</v>
      </c>
      <c r="R249" s="58" t="s">
        <v>699</v>
      </c>
      <c r="S249" s="58" t="s">
        <v>700</v>
      </c>
      <c r="T249" s="58" t="s">
        <v>701</v>
      </c>
      <c r="U249" s="58" t="s">
        <v>702</v>
      </c>
    </row>
    <row r="250" spans="1:31" x14ac:dyDescent="0.3">
      <c r="A250" s="187">
        <v>1</v>
      </c>
      <c r="B250" s="242">
        <f>DATE(nr_PlanYear-2,1,1)</f>
        <v>45658</v>
      </c>
      <c r="C250" s="243">
        <f t="shared" ref="C250:C297" si="8">EOMONTH($B250,0)</f>
        <v>45688</v>
      </c>
      <c r="D250" s="120">
        <f t="shared" ref="D250:D297" si="9">$C250-$B250+1</f>
        <v>31</v>
      </c>
      <c r="E250" s="120">
        <f t="shared" ref="E250:E297" si="10">MONTH($B250)</f>
        <v>1</v>
      </c>
      <c r="F250" s="275">
        <f t="shared" ref="F250:F297" si="11">($B250+$C250+1)/2</f>
        <v>45673.5</v>
      </c>
      <c r="G250" s="120">
        <f t="shared" ref="G250:G297" si="12">YEAR($B250)*12+MONTH($B250)-1</f>
        <v>24300</v>
      </c>
      <c r="H250" s="245">
        <f t="shared" ref="H250:H297" si="13">IF(OR(nr_SeasonOn="OFF",$M$247=0,$N$247=0),1,12*INDEX(se_block,$M$247,$E250)/$N$247)</f>
        <v>1</v>
      </c>
      <c r="I250" s="121">
        <f t="shared" ref="I250:I297" si="14">EXP(SUMPRODUCT((ndl_eff&lt;$B250)*(rl_key=$B$247)*ndl_ln))</f>
        <v>1</v>
      </c>
      <c r="J250" s="121">
        <f t="shared" ref="J250:J297" si="15">EXP(SUMPRODUCT((ndl_eff&lt;=$C250)*(rl_key=$B$247)*ndl_ln))</f>
        <v>1</v>
      </c>
      <c r="K250" s="120">
        <f t="shared" ref="K250:K297" si="16">COUNTIFS(rl_key,$B$247,ndl_eff,"&gt;="&amp;$B250,ndl_eff,"&lt;="&amp;$C250)</f>
        <v>0</v>
      </c>
      <c r="L250" s="120">
        <f t="shared" ref="L250:L297" si="17">SUMIFS(ndl_days,rl_key,$B$247,ndl_effmonth,$B250,ndl_first,1)</f>
        <v>0</v>
      </c>
      <c r="M250" s="246">
        <f t="shared" ref="M250:M297" si="18">IF($K250=0,0,MIN(1,$L250/$D250))</f>
        <v>0</v>
      </c>
      <c r="N250" s="121">
        <f t="shared" ref="N250:N297" si="19">IF($K250=0,$J250,(1-$M250)*$I250+$M250*$J250)</f>
        <v>1</v>
      </c>
      <c r="O250" s="246">
        <f t="shared" ref="O250:O297" si="20">IF($F250&lt;$B$248,$E$248+$I$248*($F250-$A$248),IF($F250&lt;$C$248,$F$248+$J$248*($F250-$B$248),$G$248+$K$248*($F250-$C$248)))</f>
        <v>0.92362144420131287</v>
      </c>
      <c r="P250" s="121">
        <f t="shared" ref="P250:P297" si="21">MIN(1,MAX(0,(nr_MEndPm1-$G250+0.5)/nr_TermMonths))-MIN(1,MAX(0,(nr_MStartPm1-1-$G250+0.5)/nr_TermMonths))</f>
        <v>0</v>
      </c>
      <c r="Q250" s="121">
        <f t="shared" ref="Q250:Q297" si="22">MIN(1,MAX(0,(nr_MEndP-$G250+0.5)/nr_TermMonths))-MIN(1,MAX(0,(nr_MStartP-1-$G250+0.5)/nr_TermMonths))</f>
        <v>0</v>
      </c>
      <c r="R250" s="121">
        <f t="shared" ref="R250:R297" si="23">MIN(1,MAX(0,(nr_MEndP1-$G250+0.5)/nr_TermMonths))-MIN(1,MAX(0,(nr_MStartP1-1-$G250+0.5)/nr_TermMonths))</f>
        <v>0</v>
      </c>
      <c r="AE250" s="160">
        <f t="shared" ref="AE250:AE297" si="24">IF(OR($G250&lt;nr_MStartP,$G250&gt;=nr_MStartP1),IF($F$247=1,$N250*$O250/$G$247,$N250),($W250+$X250*IF(ISNUMBER($F$298),$F$298,0))*IF($F$247=1,($AC250+$AB250*IF(ISNUMBER($H$298),$H$298,$J$247))/$G$247,1))</f>
        <v>1.0039363523927314</v>
      </c>
    </row>
    <row r="251" spans="1:31" x14ac:dyDescent="0.3">
      <c r="A251" s="187">
        <v>2</v>
      </c>
      <c r="B251" s="242">
        <f t="shared" ref="B251:B297" si="25">EDATE($B250,1)</f>
        <v>45689</v>
      </c>
      <c r="C251" s="243">
        <f t="shared" si="8"/>
        <v>45716</v>
      </c>
      <c r="D251" s="120">
        <f t="shared" si="9"/>
        <v>28</v>
      </c>
      <c r="E251" s="120">
        <f t="shared" si="10"/>
        <v>2</v>
      </c>
      <c r="F251" s="275">
        <f t="shared" si="11"/>
        <v>45703</v>
      </c>
      <c r="G251" s="120">
        <f t="shared" si="12"/>
        <v>24301</v>
      </c>
      <c r="H251" s="245">
        <f t="shared" si="13"/>
        <v>1</v>
      </c>
      <c r="I251" s="121">
        <f t="shared" si="14"/>
        <v>1</v>
      </c>
      <c r="J251" s="121">
        <f t="shared" si="15"/>
        <v>1</v>
      </c>
      <c r="K251" s="120">
        <f t="shared" si="16"/>
        <v>0</v>
      </c>
      <c r="L251" s="120">
        <f t="shared" si="17"/>
        <v>0</v>
      </c>
      <c r="M251" s="246">
        <f t="shared" si="18"/>
        <v>0</v>
      </c>
      <c r="N251" s="121">
        <f t="shared" si="19"/>
        <v>1</v>
      </c>
      <c r="O251" s="246">
        <f t="shared" si="20"/>
        <v>0.92297592997811817</v>
      </c>
      <c r="P251" s="121">
        <f t="shared" si="21"/>
        <v>0</v>
      </c>
      <c r="Q251" s="121">
        <f t="shared" si="22"/>
        <v>0</v>
      </c>
      <c r="R251" s="121">
        <f t="shared" si="23"/>
        <v>0</v>
      </c>
      <c r="AE251" s="160">
        <f t="shared" si="24"/>
        <v>1.0032347064979545</v>
      </c>
    </row>
    <row r="252" spans="1:31" x14ac:dyDescent="0.3">
      <c r="A252" s="187">
        <v>3</v>
      </c>
      <c r="B252" s="242">
        <f t="shared" si="25"/>
        <v>45717</v>
      </c>
      <c r="C252" s="243">
        <f t="shared" si="8"/>
        <v>45747</v>
      </c>
      <c r="D252" s="120">
        <f t="shared" si="9"/>
        <v>31</v>
      </c>
      <c r="E252" s="120">
        <f t="shared" si="10"/>
        <v>3</v>
      </c>
      <c r="F252" s="275">
        <f t="shared" si="11"/>
        <v>45732.5</v>
      </c>
      <c r="G252" s="120">
        <f t="shared" si="12"/>
        <v>24302</v>
      </c>
      <c r="H252" s="245">
        <f t="shared" si="13"/>
        <v>1</v>
      </c>
      <c r="I252" s="121">
        <f t="shared" si="14"/>
        <v>1</v>
      </c>
      <c r="J252" s="121">
        <f t="shared" si="15"/>
        <v>1</v>
      </c>
      <c r="K252" s="120">
        <f t="shared" si="16"/>
        <v>0</v>
      </c>
      <c r="L252" s="120">
        <f t="shared" si="17"/>
        <v>0</v>
      </c>
      <c r="M252" s="246">
        <f t="shared" si="18"/>
        <v>0</v>
      </c>
      <c r="N252" s="121">
        <f t="shared" si="19"/>
        <v>1</v>
      </c>
      <c r="O252" s="246">
        <f t="shared" si="20"/>
        <v>0.92233041575492336</v>
      </c>
      <c r="P252" s="121">
        <f t="shared" si="21"/>
        <v>0</v>
      </c>
      <c r="Q252" s="121">
        <f t="shared" si="22"/>
        <v>0</v>
      </c>
      <c r="R252" s="121">
        <f t="shared" si="23"/>
        <v>0</v>
      </c>
      <c r="AE252" s="160">
        <f t="shared" si="24"/>
        <v>1.0025330606031775</v>
      </c>
    </row>
    <row r="253" spans="1:31" x14ac:dyDescent="0.3">
      <c r="A253" s="187">
        <v>4</v>
      </c>
      <c r="B253" s="242">
        <f t="shared" si="25"/>
        <v>45748</v>
      </c>
      <c r="C253" s="243">
        <f t="shared" si="8"/>
        <v>45777</v>
      </c>
      <c r="D253" s="120">
        <f t="shared" si="9"/>
        <v>30</v>
      </c>
      <c r="E253" s="120">
        <f t="shared" si="10"/>
        <v>4</v>
      </c>
      <c r="F253" s="275">
        <f t="shared" si="11"/>
        <v>45763</v>
      </c>
      <c r="G253" s="120">
        <f t="shared" si="12"/>
        <v>24303</v>
      </c>
      <c r="H253" s="245">
        <f t="shared" si="13"/>
        <v>1</v>
      </c>
      <c r="I253" s="121">
        <f t="shared" si="14"/>
        <v>1</v>
      </c>
      <c r="J253" s="121">
        <f t="shared" si="15"/>
        <v>1</v>
      </c>
      <c r="K253" s="120">
        <f t="shared" si="16"/>
        <v>0</v>
      </c>
      <c r="L253" s="120">
        <f t="shared" si="17"/>
        <v>0</v>
      </c>
      <c r="M253" s="246">
        <f t="shared" si="18"/>
        <v>0</v>
      </c>
      <c r="N253" s="121">
        <f t="shared" si="19"/>
        <v>1</v>
      </c>
      <c r="O253" s="246">
        <f t="shared" si="20"/>
        <v>0.92166301969365427</v>
      </c>
      <c r="P253" s="121">
        <f t="shared" si="21"/>
        <v>0</v>
      </c>
      <c r="Q253" s="121">
        <f t="shared" si="22"/>
        <v>0</v>
      </c>
      <c r="R253" s="121">
        <f t="shared" si="23"/>
        <v>0</v>
      </c>
      <c r="AE253" s="160">
        <f t="shared" si="24"/>
        <v>1.0018076301017982</v>
      </c>
    </row>
    <row r="254" spans="1:31" x14ac:dyDescent="0.3">
      <c r="A254" s="187">
        <v>5</v>
      </c>
      <c r="B254" s="242">
        <f t="shared" si="25"/>
        <v>45778</v>
      </c>
      <c r="C254" s="243">
        <f t="shared" si="8"/>
        <v>45808</v>
      </c>
      <c r="D254" s="120">
        <f t="shared" si="9"/>
        <v>31</v>
      </c>
      <c r="E254" s="120">
        <f t="shared" si="10"/>
        <v>5</v>
      </c>
      <c r="F254" s="275">
        <f t="shared" si="11"/>
        <v>45793.5</v>
      </c>
      <c r="G254" s="120">
        <f t="shared" si="12"/>
        <v>24304</v>
      </c>
      <c r="H254" s="245">
        <f t="shared" si="13"/>
        <v>1</v>
      </c>
      <c r="I254" s="121">
        <f t="shared" si="14"/>
        <v>1</v>
      </c>
      <c r="J254" s="121">
        <f t="shared" si="15"/>
        <v>1</v>
      </c>
      <c r="K254" s="120">
        <f t="shared" si="16"/>
        <v>0</v>
      </c>
      <c r="L254" s="120">
        <f t="shared" si="17"/>
        <v>0</v>
      </c>
      <c r="M254" s="246">
        <f t="shared" si="18"/>
        <v>0</v>
      </c>
      <c r="N254" s="121">
        <f t="shared" si="19"/>
        <v>1</v>
      </c>
      <c r="O254" s="246">
        <f t="shared" si="20"/>
        <v>0.92099562363238507</v>
      </c>
      <c r="P254" s="121">
        <f t="shared" si="21"/>
        <v>0</v>
      </c>
      <c r="Q254" s="121">
        <f t="shared" si="22"/>
        <v>0</v>
      </c>
      <c r="R254" s="121">
        <f t="shared" si="23"/>
        <v>0</v>
      </c>
      <c r="AE254" s="160">
        <f t="shared" si="24"/>
        <v>1.0010821996004184</v>
      </c>
    </row>
    <row r="255" spans="1:31" x14ac:dyDescent="0.3">
      <c r="A255" s="187">
        <v>6</v>
      </c>
      <c r="B255" s="242">
        <f t="shared" si="25"/>
        <v>45809</v>
      </c>
      <c r="C255" s="243">
        <f t="shared" si="8"/>
        <v>45838</v>
      </c>
      <c r="D255" s="120">
        <f t="shared" si="9"/>
        <v>30</v>
      </c>
      <c r="E255" s="120">
        <f t="shared" si="10"/>
        <v>6</v>
      </c>
      <c r="F255" s="275">
        <f t="shared" si="11"/>
        <v>45824</v>
      </c>
      <c r="G255" s="120">
        <f t="shared" si="12"/>
        <v>24305</v>
      </c>
      <c r="H255" s="245">
        <f t="shared" si="13"/>
        <v>1</v>
      </c>
      <c r="I255" s="121">
        <f t="shared" si="14"/>
        <v>1</v>
      </c>
      <c r="J255" s="121">
        <f t="shared" si="15"/>
        <v>1</v>
      </c>
      <c r="K255" s="120">
        <f t="shared" si="16"/>
        <v>0</v>
      </c>
      <c r="L255" s="120">
        <f t="shared" si="17"/>
        <v>0</v>
      </c>
      <c r="M255" s="246">
        <f t="shared" si="18"/>
        <v>0</v>
      </c>
      <c r="N255" s="121">
        <f t="shared" si="19"/>
        <v>1</v>
      </c>
      <c r="O255" s="246">
        <f t="shared" si="20"/>
        <v>0.92032822757111599</v>
      </c>
      <c r="P255" s="121">
        <f t="shared" si="21"/>
        <v>0</v>
      </c>
      <c r="Q255" s="121">
        <f t="shared" si="22"/>
        <v>0</v>
      </c>
      <c r="R255" s="121">
        <f t="shared" si="23"/>
        <v>0</v>
      </c>
      <c r="AE255" s="160">
        <f t="shared" si="24"/>
        <v>1.0003567690990391</v>
      </c>
    </row>
    <row r="256" spans="1:31" x14ac:dyDescent="0.3">
      <c r="A256" s="187">
        <v>7</v>
      </c>
      <c r="B256" s="242">
        <f t="shared" si="25"/>
        <v>45839</v>
      </c>
      <c r="C256" s="243">
        <f t="shared" si="8"/>
        <v>45869</v>
      </c>
      <c r="D256" s="120">
        <f t="shared" si="9"/>
        <v>31</v>
      </c>
      <c r="E256" s="120">
        <f t="shared" si="10"/>
        <v>7</v>
      </c>
      <c r="F256" s="275">
        <f t="shared" si="11"/>
        <v>45854.5</v>
      </c>
      <c r="G256" s="120">
        <f t="shared" si="12"/>
        <v>24306</v>
      </c>
      <c r="H256" s="245">
        <f t="shared" si="13"/>
        <v>1</v>
      </c>
      <c r="I256" s="121">
        <f t="shared" si="14"/>
        <v>1</v>
      </c>
      <c r="J256" s="121">
        <f t="shared" si="15"/>
        <v>1</v>
      </c>
      <c r="K256" s="120">
        <f t="shared" si="16"/>
        <v>0</v>
      </c>
      <c r="L256" s="120">
        <f t="shared" si="17"/>
        <v>0</v>
      </c>
      <c r="M256" s="246">
        <f t="shared" si="18"/>
        <v>0</v>
      </c>
      <c r="N256" s="121">
        <f t="shared" si="19"/>
        <v>1</v>
      </c>
      <c r="O256" s="246">
        <f t="shared" si="20"/>
        <v>0.91966083150984679</v>
      </c>
      <c r="P256" s="121">
        <f t="shared" si="21"/>
        <v>8.333333333333337E-2</v>
      </c>
      <c r="Q256" s="121">
        <f t="shared" si="22"/>
        <v>0</v>
      </c>
      <c r="R256" s="121">
        <f t="shared" si="23"/>
        <v>0</v>
      </c>
      <c r="AE256" s="160">
        <f t="shared" si="24"/>
        <v>0.99963133859765951</v>
      </c>
    </row>
    <row r="257" spans="1:31" x14ac:dyDescent="0.3">
      <c r="A257" s="187">
        <v>8</v>
      </c>
      <c r="B257" s="242">
        <f t="shared" si="25"/>
        <v>45870</v>
      </c>
      <c r="C257" s="243">
        <f t="shared" si="8"/>
        <v>45900</v>
      </c>
      <c r="D257" s="120">
        <f t="shared" si="9"/>
        <v>31</v>
      </c>
      <c r="E257" s="120">
        <f t="shared" si="10"/>
        <v>8</v>
      </c>
      <c r="F257" s="275">
        <f t="shared" si="11"/>
        <v>45885.5</v>
      </c>
      <c r="G257" s="120">
        <f t="shared" si="12"/>
        <v>24307</v>
      </c>
      <c r="H257" s="245">
        <f t="shared" si="13"/>
        <v>1</v>
      </c>
      <c r="I257" s="121">
        <f t="shared" si="14"/>
        <v>1</v>
      </c>
      <c r="J257" s="121">
        <f t="shared" si="15"/>
        <v>1</v>
      </c>
      <c r="K257" s="120">
        <f t="shared" si="16"/>
        <v>0</v>
      </c>
      <c r="L257" s="120">
        <f t="shared" si="17"/>
        <v>0</v>
      </c>
      <c r="M257" s="246">
        <f t="shared" si="18"/>
        <v>0</v>
      </c>
      <c r="N257" s="121">
        <f t="shared" si="19"/>
        <v>1</v>
      </c>
      <c r="O257" s="246">
        <f t="shared" si="20"/>
        <v>0.91898249452954051</v>
      </c>
      <c r="P257" s="121">
        <f t="shared" si="21"/>
        <v>0.25</v>
      </c>
      <c r="Q257" s="121">
        <f t="shared" si="22"/>
        <v>0</v>
      </c>
      <c r="R257" s="121">
        <f t="shared" si="23"/>
        <v>0</v>
      </c>
      <c r="AE257" s="160">
        <f t="shared" si="24"/>
        <v>0.99889401579297876</v>
      </c>
    </row>
    <row r="258" spans="1:31" x14ac:dyDescent="0.3">
      <c r="A258" s="187">
        <v>9</v>
      </c>
      <c r="B258" s="242">
        <f t="shared" si="25"/>
        <v>45901</v>
      </c>
      <c r="C258" s="243">
        <f t="shared" si="8"/>
        <v>45930</v>
      </c>
      <c r="D258" s="120">
        <f t="shared" si="9"/>
        <v>30</v>
      </c>
      <c r="E258" s="120">
        <f t="shared" si="10"/>
        <v>9</v>
      </c>
      <c r="F258" s="275">
        <f t="shared" si="11"/>
        <v>45916</v>
      </c>
      <c r="G258" s="120">
        <f t="shared" si="12"/>
        <v>24308</v>
      </c>
      <c r="H258" s="245">
        <f t="shared" si="13"/>
        <v>1</v>
      </c>
      <c r="I258" s="121">
        <f t="shared" si="14"/>
        <v>1</v>
      </c>
      <c r="J258" s="121">
        <f t="shared" si="15"/>
        <v>1</v>
      </c>
      <c r="K258" s="120">
        <f t="shared" si="16"/>
        <v>0</v>
      </c>
      <c r="L258" s="120">
        <f t="shared" si="17"/>
        <v>0</v>
      </c>
      <c r="M258" s="246">
        <f t="shared" si="18"/>
        <v>0</v>
      </c>
      <c r="N258" s="121">
        <f t="shared" si="19"/>
        <v>1</v>
      </c>
      <c r="O258" s="246">
        <f t="shared" si="20"/>
        <v>0.91831509846827131</v>
      </c>
      <c r="P258" s="121">
        <f t="shared" si="21"/>
        <v>0.41666666666666663</v>
      </c>
      <c r="Q258" s="121">
        <f t="shared" si="22"/>
        <v>0</v>
      </c>
      <c r="R258" s="121">
        <f t="shared" si="23"/>
        <v>0</v>
      </c>
      <c r="AE258" s="160">
        <f t="shared" si="24"/>
        <v>0.99816858529159924</v>
      </c>
    </row>
    <row r="259" spans="1:31" x14ac:dyDescent="0.3">
      <c r="A259" s="187">
        <v>10</v>
      </c>
      <c r="B259" s="242">
        <f t="shared" si="25"/>
        <v>45931</v>
      </c>
      <c r="C259" s="243">
        <f t="shared" si="8"/>
        <v>45961</v>
      </c>
      <c r="D259" s="120">
        <f t="shared" si="9"/>
        <v>31</v>
      </c>
      <c r="E259" s="120">
        <f t="shared" si="10"/>
        <v>10</v>
      </c>
      <c r="F259" s="275">
        <f t="shared" si="11"/>
        <v>45946.5</v>
      </c>
      <c r="G259" s="120">
        <f t="shared" si="12"/>
        <v>24309</v>
      </c>
      <c r="H259" s="245">
        <f t="shared" si="13"/>
        <v>1</v>
      </c>
      <c r="I259" s="121">
        <f t="shared" si="14"/>
        <v>1</v>
      </c>
      <c r="J259" s="121">
        <f t="shared" si="15"/>
        <v>1</v>
      </c>
      <c r="K259" s="120">
        <f t="shared" si="16"/>
        <v>0</v>
      </c>
      <c r="L259" s="120">
        <f t="shared" si="17"/>
        <v>0</v>
      </c>
      <c r="M259" s="246">
        <f t="shared" si="18"/>
        <v>0</v>
      </c>
      <c r="N259" s="121">
        <f t="shared" si="19"/>
        <v>1</v>
      </c>
      <c r="O259" s="246">
        <f t="shared" si="20"/>
        <v>0.91764770240700222</v>
      </c>
      <c r="P259" s="121">
        <f t="shared" si="21"/>
        <v>0.58333333333333326</v>
      </c>
      <c r="Q259" s="121">
        <f t="shared" si="22"/>
        <v>0</v>
      </c>
      <c r="R259" s="121">
        <f t="shared" si="23"/>
        <v>0</v>
      </c>
      <c r="AE259" s="160">
        <f t="shared" si="24"/>
        <v>0.99744315479021972</v>
      </c>
    </row>
    <row r="260" spans="1:31" x14ac:dyDescent="0.3">
      <c r="A260" s="187">
        <v>11</v>
      </c>
      <c r="B260" s="242">
        <f t="shared" si="25"/>
        <v>45962</v>
      </c>
      <c r="C260" s="243">
        <f t="shared" si="8"/>
        <v>45991</v>
      </c>
      <c r="D260" s="120">
        <f t="shared" si="9"/>
        <v>30</v>
      </c>
      <c r="E260" s="120">
        <f t="shared" si="10"/>
        <v>11</v>
      </c>
      <c r="F260" s="275">
        <f t="shared" si="11"/>
        <v>45977</v>
      </c>
      <c r="G260" s="120">
        <f t="shared" si="12"/>
        <v>24310</v>
      </c>
      <c r="H260" s="245">
        <f t="shared" si="13"/>
        <v>1</v>
      </c>
      <c r="I260" s="121">
        <f t="shared" si="14"/>
        <v>1</v>
      </c>
      <c r="J260" s="121">
        <f t="shared" si="15"/>
        <v>1</v>
      </c>
      <c r="K260" s="120">
        <f t="shared" si="16"/>
        <v>0</v>
      </c>
      <c r="L260" s="120">
        <f t="shared" si="17"/>
        <v>0</v>
      </c>
      <c r="M260" s="246">
        <f t="shared" si="18"/>
        <v>0</v>
      </c>
      <c r="N260" s="121">
        <f t="shared" si="19"/>
        <v>1</v>
      </c>
      <c r="O260" s="246">
        <f t="shared" si="20"/>
        <v>0.91698030634573302</v>
      </c>
      <c r="P260" s="121">
        <f t="shared" si="21"/>
        <v>0.75</v>
      </c>
      <c r="Q260" s="121">
        <f t="shared" si="22"/>
        <v>0</v>
      </c>
      <c r="R260" s="121">
        <f t="shared" si="23"/>
        <v>0</v>
      </c>
      <c r="AE260" s="160">
        <f t="shared" si="24"/>
        <v>0.9967177242888402</v>
      </c>
    </row>
    <row r="261" spans="1:31" x14ac:dyDescent="0.3">
      <c r="A261" s="187">
        <v>12</v>
      </c>
      <c r="B261" s="242">
        <f t="shared" si="25"/>
        <v>45992</v>
      </c>
      <c r="C261" s="243">
        <f t="shared" si="8"/>
        <v>46022</v>
      </c>
      <c r="D261" s="120">
        <f t="shared" si="9"/>
        <v>31</v>
      </c>
      <c r="E261" s="120">
        <f t="shared" si="10"/>
        <v>12</v>
      </c>
      <c r="F261" s="275">
        <f t="shared" si="11"/>
        <v>46007.5</v>
      </c>
      <c r="G261" s="120">
        <f t="shared" si="12"/>
        <v>24311</v>
      </c>
      <c r="H261" s="245">
        <f t="shared" si="13"/>
        <v>1</v>
      </c>
      <c r="I261" s="121">
        <f t="shared" si="14"/>
        <v>1</v>
      </c>
      <c r="J261" s="121">
        <f t="shared" si="15"/>
        <v>1</v>
      </c>
      <c r="K261" s="120">
        <f t="shared" si="16"/>
        <v>0</v>
      </c>
      <c r="L261" s="120">
        <f t="shared" si="17"/>
        <v>0</v>
      </c>
      <c r="M261" s="246">
        <f t="shared" si="18"/>
        <v>0</v>
      </c>
      <c r="N261" s="121">
        <f t="shared" si="19"/>
        <v>1</v>
      </c>
      <c r="O261" s="246">
        <f t="shared" si="20"/>
        <v>0.91631291028446393</v>
      </c>
      <c r="P261" s="121">
        <f t="shared" si="21"/>
        <v>0.91666666666666663</v>
      </c>
      <c r="Q261" s="121">
        <f t="shared" si="22"/>
        <v>0</v>
      </c>
      <c r="R261" s="121">
        <f t="shared" si="23"/>
        <v>0</v>
      </c>
      <c r="AE261" s="160">
        <f t="shared" si="24"/>
        <v>0.99599229378746079</v>
      </c>
    </row>
    <row r="262" spans="1:31" x14ac:dyDescent="0.3">
      <c r="A262" s="187">
        <v>13</v>
      </c>
      <c r="B262" s="242">
        <f t="shared" si="25"/>
        <v>46023</v>
      </c>
      <c r="C262" s="243">
        <f t="shared" si="8"/>
        <v>46053</v>
      </c>
      <c r="D262" s="120">
        <f t="shared" si="9"/>
        <v>31</v>
      </c>
      <c r="E262" s="120">
        <f t="shared" si="10"/>
        <v>1</v>
      </c>
      <c r="F262" s="275">
        <f t="shared" si="11"/>
        <v>46038.5</v>
      </c>
      <c r="G262" s="120">
        <f t="shared" si="12"/>
        <v>24312</v>
      </c>
      <c r="H262" s="245">
        <f t="shared" si="13"/>
        <v>1</v>
      </c>
      <c r="I262" s="121">
        <f t="shared" si="14"/>
        <v>1</v>
      </c>
      <c r="J262" s="121">
        <f t="shared" si="15"/>
        <v>1</v>
      </c>
      <c r="K262" s="120">
        <f t="shared" si="16"/>
        <v>0</v>
      </c>
      <c r="L262" s="120">
        <f t="shared" si="17"/>
        <v>0</v>
      </c>
      <c r="M262" s="246">
        <f t="shared" si="18"/>
        <v>0</v>
      </c>
      <c r="N262" s="121">
        <f t="shared" si="19"/>
        <v>1</v>
      </c>
      <c r="O262" s="246">
        <f t="shared" si="20"/>
        <v>0.91563457330415754</v>
      </c>
      <c r="P262" s="121">
        <f t="shared" si="21"/>
        <v>1</v>
      </c>
      <c r="Q262" s="121">
        <f t="shared" si="22"/>
        <v>0</v>
      </c>
      <c r="R262" s="121">
        <f t="shared" si="23"/>
        <v>0</v>
      </c>
      <c r="AE262" s="160">
        <f t="shared" si="24"/>
        <v>0.99525497098277993</v>
      </c>
    </row>
    <row r="263" spans="1:31" x14ac:dyDescent="0.3">
      <c r="A263" s="187">
        <v>14</v>
      </c>
      <c r="B263" s="242">
        <f t="shared" si="25"/>
        <v>46054</v>
      </c>
      <c r="C263" s="243">
        <f t="shared" si="8"/>
        <v>46081</v>
      </c>
      <c r="D263" s="120">
        <f t="shared" si="9"/>
        <v>28</v>
      </c>
      <c r="E263" s="120">
        <f t="shared" si="10"/>
        <v>2</v>
      </c>
      <c r="F263" s="275">
        <f t="shared" si="11"/>
        <v>46068</v>
      </c>
      <c r="G263" s="120">
        <f t="shared" si="12"/>
        <v>24313</v>
      </c>
      <c r="H263" s="245">
        <f t="shared" si="13"/>
        <v>1</v>
      </c>
      <c r="I263" s="121">
        <f t="shared" si="14"/>
        <v>1</v>
      </c>
      <c r="J263" s="121">
        <f t="shared" si="15"/>
        <v>1</v>
      </c>
      <c r="K263" s="120">
        <f t="shared" si="16"/>
        <v>0</v>
      </c>
      <c r="L263" s="120">
        <f t="shared" si="17"/>
        <v>0</v>
      </c>
      <c r="M263" s="246">
        <f t="shared" si="18"/>
        <v>0</v>
      </c>
      <c r="N263" s="121">
        <f t="shared" si="19"/>
        <v>1</v>
      </c>
      <c r="O263" s="246">
        <f t="shared" si="20"/>
        <v>0.91498905908096284</v>
      </c>
      <c r="P263" s="121">
        <f t="shared" si="21"/>
        <v>1</v>
      </c>
      <c r="Q263" s="121">
        <f t="shared" si="22"/>
        <v>0</v>
      </c>
      <c r="R263" s="121">
        <f t="shared" si="23"/>
        <v>0</v>
      </c>
      <c r="AE263" s="160">
        <f t="shared" si="24"/>
        <v>0.99455332508800309</v>
      </c>
    </row>
    <row r="264" spans="1:31" x14ac:dyDescent="0.3">
      <c r="A264" s="187">
        <v>15</v>
      </c>
      <c r="B264" s="242">
        <f t="shared" si="25"/>
        <v>46082</v>
      </c>
      <c r="C264" s="243">
        <f t="shared" si="8"/>
        <v>46112</v>
      </c>
      <c r="D264" s="120">
        <f t="shared" si="9"/>
        <v>31</v>
      </c>
      <c r="E264" s="120">
        <f t="shared" si="10"/>
        <v>3</v>
      </c>
      <c r="F264" s="275">
        <f t="shared" si="11"/>
        <v>46097.5</v>
      </c>
      <c r="G264" s="120">
        <f t="shared" si="12"/>
        <v>24314</v>
      </c>
      <c r="H264" s="245">
        <f t="shared" si="13"/>
        <v>1</v>
      </c>
      <c r="I264" s="121">
        <f t="shared" si="14"/>
        <v>1</v>
      </c>
      <c r="J264" s="121">
        <f t="shared" si="15"/>
        <v>1</v>
      </c>
      <c r="K264" s="120">
        <f t="shared" si="16"/>
        <v>0</v>
      </c>
      <c r="L264" s="120">
        <f t="shared" si="17"/>
        <v>0</v>
      </c>
      <c r="M264" s="246">
        <f t="shared" si="18"/>
        <v>0</v>
      </c>
      <c r="N264" s="121">
        <f t="shared" si="19"/>
        <v>1</v>
      </c>
      <c r="O264" s="246">
        <f t="shared" si="20"/>
        <v>0.91434354485776803</v>
      </c>
      <c r="P264" s="121">
        <f t="shared" si="21"/>
        <v>1</v>
      </c>
      <c r="Q264" s="121">
        <f t="shared" si="22"/>
        <v>0</v>
      </c>
      <c r="R264" s="121">
        <f t="shared" si="23"/>
        <v>0</v>
      </c>
      <c r="AE264" s="160">
        <f t="shared" si="24"/>
        <v>0.99385167919322603</v>
      </c>
    </row>
    <row r="265" spans="1:31" x14ac:dyDescent="0.3">
      <c r="A265" s="187">
        <v>16</v>
      </c>
      <c r="B265" s="242">
        <f t="shared" si="25"/>
        <v>46113</v>
      </c>
      <c r="C265" s="243">
        <f t="shared" si="8"/>
        <v>46142</v>
      </c>
      <c r="D265" s="120">
        <f t="shared" si="9"/>
        <v>30</v>
      </c>
      <c r="E265" s="120">
        <f t="shared" si="10"/>
        <v>4</v>
      </c>
      <c r="F265" s="275">
        <f t="shared" si="11"/>
        <v>46128</v>
      </c>
      <c r="G265" s="120">
        <f t="shared" si="12"/>
        <v>24315</v>
      </c>
      <c r="H265" s="245">
        <f t="shared" si="13"/>
        <v>1</v>
      </c>
      <c r="I265" s="121">
        <f t="shared" si="14"/>
        <v>1</v>
      </c>
      <c r="J265" s="121">
        <f t="shared" si="15"/>
        <v>1</v>
      </c>
      <c r="K265" s="120">
        <f t="shared" si="16"/>
        <v>0</v>
      </c>
      <c r="L265" s="120">
        <f t="shared" si="17"/>
        <v>0</v>
      </c>
      <c r="M265" s="246">
        <f t="shared" si="18"/>
        <v>0</v>
      </c>
      <c r="N265" s="121">
        <f t="shared" si="19"/>
        <v>1</v>
      </c>
      <c r="O265" s="246">
        <f t="shared" si="20"/>
        <v>0.91367614879649894</v>
      </c>
      <c r="P265" s="121">
        <f t="shared" si="21"/>
        <v>1</v>
      </c>
      <c r="Q265" s="121">
        <f t="shared" si="22"/>
        <v>0</v>
      </c>
      <c r="R265" s="121">
        <f t="shared" si="23"/>
        <v>0</v>
      </c>
      <c r="AE265" s="160">
        <f t="shared" si="24"/>
        <v>0.99312624869184662</v>
      </c>
    </row>
    <row r="266" spans="1:31" x14ac:dyDescent="0.3">
      <c r="A266" s="187">
        <v>17</v>
      </c>
      <c r="B266" s="242">
        <f t="shared" si="25"/>
        <v>46143</v>
      </c>
      <c r="C266" s="243">
        <f t="shared" si="8"/>
        <v>46173</v>
      </c>
      <c r="D266" s="120">
        <f t="shared" si="9"/>
        <v>31</v>
      </c>
      <c r="E266" s="120">
        <f t="shared" si="10"/>
        <v>5</v>
      </c>
      <c r="F266" s="275">
        <f t="shared" si="11"/>
        <v>46158.5</v>
      </c>
      <c r="G266" s="120">
        <f t="shared" si="12"/>
        <v>24316</v>
      </c>
      <c r="H266" s="245">
        <f t="shared" si="13"/>
        <v>1</v>
      </c>
      <c r="I266" s="121">
        <f t="shared" si="14"/>
        <v>1</v>
      </c>
      <c r="J266" s="121">
        <f t="shared" si="15"/>
        <v>1</v>
      </c>
      <c r="K266" s="120">
        <f t="shared" si="16"/>
        <v>0</v>
      </c>
      <c r="L266" s="120">
        <f t="shared" si="17"/>
        <v>0</v>
      </c>
      <c r="M266" s="246">
        <f t="shared" si="18"/>
        <v>0</v>
      </c>
      <c r="N266" s="121">
        <f t="shared" si="19"/>
        <v>1</v>
      </c>
      <c r="O266" s="246">
        <f t="shared" si="20"/>
        <v>0.91300875273522974</v>
      </c>
      <c r="P266" s="121">
        <f t="shared" si="21"/>
        <v>1</v>
      </c>
      <c r="Q266" s="121">
        <f t="shared" si="22"/>
        <v>0</v>
      </c>
      <c r="R266" s="121">
        <f t="shared" si="23"/>
        <v>0</v>
      </c>
      <c r="AE266" s="160">
        <f t="shared" si="24"/>
        <v>0.9924008181904671</v>
      </c>
    </row>
    <row r="267" spans="1:31" x14ac:dyDescent="0.3">
      <c r="A267" s="187">
        <v>18</v>
      </c>
      <c r="B267" s="242">
        <f t="shared" si="25"/>
        <v>46174</v>
      </c>
      <c r="C267" s="243">
        <f t="shared" si="8"/>
        <v>46203</v>
      </c>
      <c r="D267" s="120">
        <f t="shared" si="9"/>
        <v>30</v>
      </c>
      <c r="E267" s="120">
        <f t="shared" si="10"/>
        <v>6</v>
      </c>
      <c r="F267" s="275">
        <f t="shared" si="11"/>
        <v>46189</v>
      </c>
      <c r="G267" s="120">
        <f t="shared" si="12"/>
        <v>24317</v>
      </c>
      <c r="H267" s="245">
        <f t="shared" si="13"/>
        <v>1</v>
      </c>
      <c r="I267" s="121">
        <f t="shared" si="14"/>
        <v>1</v>
      </c>
      <c r="J267" s="121">
        <f t="shared" si="15"/>
        <v>1</v>
      </c>
      <c r="K267" s="120">
        <f t="shared" si="16"/>
        <v>0</v>
      </c>
      <c r="L267" s="120">
        <f t="shared" si="17"/>
        <v>0</v>
      </c>
      <c r="M267" s="246">
        <f t="shared" si="18"/>
        <v>0</v>
      </c>
      <c r="N267" s="121">
        <f t="shared" si="19"/>
        <v>1</v>
      </c>
      <c r="O267" s="246">
        <f t="shared" si="20"/>
        <v>0.91234135667396066</v>
      </c>
      <c r="P267" s="121">
        <f t="shared" si="21"/>
        <v>1</v>
      </c>
      <c r="Q267" s="121">
        <f t="shared" si="22"/>
        <v>0</v>
      </c>
      <c r="R267" s="121">
        <f t="shared" si="23"/>
        <v>0</v>
      </c>
      <c r="AE267" s="160">
        <f t="shared" si="24"/>
        <v>0.99167538768908758</v>
      </c>
    </row>
    <row r="268" spans="1:31" x14ac:dyDescent="0.3">
      <c r="A268" s="187">
        <v>19</v>
      </c>
      <c r="B268" s="242">
        <f t="shared" si="25"/>
        <v>46204</v>
      </c>
      <c r="C268" s="243">
        <f t="shared" si="8"/>
        <v>46234</v>
      </c>
      <c r="D268" s="120">
        <f t="shared" si="9"/>
        <v>31</v>
      </c>
      <c r="E268" s="120">
        <f t="shared" si="10"/>
        <v>7</v>
      </c>
      <c r="F268" s="275">
        <f t="shared" si="11"/>
        <v>46219.5</v>
      </c>
      <c r="G268" s="120">
        <f t="shared" si="12"/>
        <v>24318</v>
      </c>
      <c r="H268" s="245">
        <f t="shared" si="13"/>
        <v>1</v>
      </c>
      <c r="I268" s="121">
        <f t="shared" si="14"/>
        <v>1</v>
      </c>
      <c r="J268" s="121">
        <f t="shared" si="15"/>
        <v>1.04</v>
      </c>
      <c r="K268" s="120">
        <f t="shared" si="16"/>
        <v>1</v>
      </c>
      <c r="L268" s="120">
        <f t="shared" si="17"/>
        <v>31</v>
      </c>
      <c r="M268" s="246">
        <f t="shared" si="18"/>
        <v>1</v>
      </c>
      <c r="N268" s="121">
        <f t="shared" si="19"/>
        <v>1.04</v>
      </c>
      <c r="O268" s="246">
        <f t="shared" si="20"/>
        <v>0.91167396061269146</v>
      </c>
      <c r="P268" s="121">
        <f t="shared" si="21"/>
        <v>0.91666666666666663</v>
      </c>
      <c r="Q268" s="121">
        <f t="shared" si="22"/>
        <v>8.333333333333337E-2</v>
      </c>
      <c r="R268" s="121">
        <f t="shared" si="23"/>
        <v>0</v>
      </c>
      <c r="AE268" s="160">
        <f t="shared" si="24"/>
        <v>1.0305879554752164</v>
      </c>
    </row>
    <row r="269" spans="1:31" x14ac:dyDescent="0.3">
      <c r="A269" s="187">
        <v>20</v>
      </c>
      <c r="B269" s="242">
        <f t="shared" si="25"/>
        <v>46235</v>
      </c>
      <c r="C269" s="243">
        <f t="shared" si="8"/>
        <v>46265</v>
      </c>
      <c r="D269" s="120">
        <f t="shared" si="9"/>
        <v>31</v>
      </c>
      <c r="E269" s="120">
        <f t="shared" si="10"/>
        <v>8</v>
      </c>
      <c r="F269" s="275">
        <f t="shared" si="11"/>
        <v>46250.5</v>
      </c>
      <c r="G269" s="120">
        <f t="shared" si="12"/>
        <v>24319</v>
      </c>
      <c r="H269" s="245">
        <f t="shared" si="13"/>
        <v>1</v>
      </c>
      <c r="I269" s="121">
        <f t="shared" si="14"/>
        <v>1.04</v>
      </c>
      <c r="J269" s="121">
        <f t="shared" si="15"/>
        <v>1.04</v>
      </c>
      <c r="K269" s="120">
        <f t="shared" si="16"/>
        <v>0</v>
      </c>
      <c r="L269" s="120">
        <f t="shared" si="17"/>
        <v>0</v>
      </c>
      <c r="M269" s="246">
        <f t="shared" si="18"/>
        <v>0</v>
      </c>
      <c r="N269" s="121">
        <f t="shared" si="19"/>
        <v>1.04</v>
      </c>
      <c r="O269" s="246">
        <f t="shared" si="20"/>
        <v>0.91099562363238518</v>
      </c>
      <c r="P269" s="121">
        <f t="shared" si="21"/>
        <v>0.75</v>
      </c>
      <c r="Q269" s="121">
        <f t="shared" si="22"/>
        <v>0.25</v>
      </c>
      <c r="R269" s="121">
        <f t="shared" si="23"/>
        <v>0</v>
      </c>
      <c r="AE269" s="160">
        <f t="shared" si="24"/>
        <v>1.0298211397583483</v>
      </c>
    </row>
    <row r="270" spans="1:31" x14ac:dyDescent="0.3">
      <c r="A270" s="187">
        <v>21</v>
      </c>
      <c r="B270" s="242">
        <f t="shared" si="25"/>
        <v>46266</v>
      </c>
      <c r="C270" s="243">
        <f t="shared" si="8"/>
        <v>46295</v>
      </c>
      <c r="D270" s="120">
        <f t="shared" si="9"/>
        <v>30</v>
      </c>
      <c r="E270" s="120">
        <f t="shared" si="10"/>
        <v>9</v>
      </c>
      <c r="F270" s="275">
        <f t="shared" si="11"/>
        <v>46281</v>
      </c>
      <c r="G270" s="120">
        <f t="shared" si="12"/>
        <v>24320</v>
      </c>
      <c r="H270" s="245">
        <f t="shared" si="13"/>
        <v>1</v>
      </c>
      <c r="I270" s="121">
        <f t="shared" si="14"/>
        <v>1.04</v>
      </c>
      <c r="J270" s="121">
        <f t="shared" si="15"/>
        <v>1.04</v>
      </c>
      <c r="K270" s="120">
        <f t="shared" si="16"/>
        <v>0</v>
      </c>
      <c r="L270" s="120">
        <f t="shared" si="17"/>
        <v>0</v>
      </c>
      <c r="M270" s="246">
        <f t="shared" si="18"/>
        <v>0</v>
      </c>
      <c r="N270" s="121">
        <f t="shared" si="19"/>
        <v>1.04</v>
      </c>
      <c r="O270" s="246">
        <f t="shared" si="20"/>
        <v>0.91032822757111598</v>
      </c>
      <c r="P270" s="121">
        <f t="shared" si="21"/>
        <v>0.58333333333333337</v>
      </c>
      <c r="Q270" s="121">
        <f t="shared" si="22"/>
        <v>0.41666666666666663</v>
      </c>
      <c r="R270" s="121">
        <f t="shared" si="23"/>
        <v>0</v>
      </c>
      <c r="AE270" s="160">
        <f t="shared" si="24"/>
        <v>1.0290666920369136</v>
      </c>
    </row>
    <row r="271" spans="1:31" x14ac:dyDescent="0.3">
      <c r="A271" s="187">
        <v>22</v>
      </c>
      <c r="B271" s="242">
        <f t="shared" si="25"/>
        <v>46296</v>
      </c>
      <c r="C271" s="243">
        <f t="shared" si="8"/>
        <v>46326</v>
      </c>
      <c r="D271" s="120">
        <f t="shared" si="9"/>
        <v>31</v>
      </c>
      <c r="E271" s="120">
        <f t="shared" si="10"/>
        <v>10</v>
      </c>
      <c r="F271" s="275">
        <f t="shared" si="11"/>
        <v>46311.5</v>
      </c>
      <c r="G271" s="120">
        <f t="shared" si="12"/>
        <v>24321</v>
      </c>
      <c r="H271" s="245">
        <f t="shared" si="13"/>
        <v>1</v>
      </c>
      <c r="I271" s="121">
        <f t="shared" si="14"/>
        <v>1.04</v>
      </c>
      <c r="J271" s="121">
        <f t="shared" si="15"/>
        <v>1.04</v>
      </c>
      <c r="K271" s="120">
        <f t="shared" si="16"/>
        <v>0</v>
      </c>
      <c r="L271" s="120">
        <f t="shared" si="17"/>
        <v>0</v>
      </c>
      <c r="M271" s="246">
        <f t="shared" si="18"/>
        <v>0</v>
      </c>
      <c r="N271" s="121">
        <f t="shared" si="19"/>
        <v>1.04</v>
      </c>
      <c r="O271" s="246">
        <f t="shared" si="20"/>
        <v>0.90966083150984689</v>
      </c>
      <c r="P271" s="121">
        <f t="shared" si="21"/>
        <v>0.41666666666666669</v>
      </c>
      <c r="Q271" s="121">
        <f t="shared" si="22"/>
        <v>0.58333333333333326</v>
      </c>
      <c r="R271" s="121">
        <f t="shared" si="23"/>
        <v>0</v>
      </c>
      <c r="AE271" s="160">
        <f t="shared" si="24"/>
        <v>1.0283122443154791</v>
      </c>
    </row>
    <row r="272" spans="1:31" x14ac:dyDescent="0.3">
      <c r="A272" s="187">
        <v>23</v>
      </c>
      <c r="B272" s="242">
        <f t="shared" si="25"/>
        <v>46327</v>
      </c>
      <c r="C272" s="243">
        <f t="shared" si="8"/>
        <v>46356</v>
      </c>
      <c r="D272" s="120">
        <f t="shared" si="9"/>
        <v>30</v>
      </c>
      <c r="E272" s="120">
        <f t="shared" si="10"/>
        <v>11</v>
      </c>
      <c r="F272" s="275">
        <f t="shared" si="11"/>
        <v>46342</v>
      </c>
      <c r="G272" s="120">
        <f t="shared" si="12"/>
        <v>24322</v>
      </c>
      <c r="H272" s="245">
        <f t="shared" si="13"/>
        <v>1</v>
      </c>
      <c r="I272" s="121">
        <f t="shared" si="14"/>
        <v>1.04</v>
      </c>
      <c r="J272" s="121">
        <f t="shared" si="15"/>
        <v>1.04</v>
      </c>
      <c r="K272" s="120">
        <f t="shared" si="16"/>
        <v>0</v>
      </c>
      <c r="L272" s="120">
        <f t="shared" si="17"/>
        <v>0</v>
      </c>
      <c r="M272" s="246">
        <f t="shared" si="18"/>
        <v>0</v>
      </c>
      <c r="N272" s="121">
        <f t="shared" si="19"/>
        <v>1.04</v>
      </c>
      <c r="O272" s="246">
        <f t="shared" si="20"/>
        <v>0.90899343544857769</v>
      </c>
      <c r="P272" s="121">
        <f t="shared" si="21"/>
        <v>0.25</v>
      </c>
      <c r="Q272" s="121">
        <f t="shared" si="22"/>
        <v>0.75</v>
      </c>
      <c r="R272" s="121">
        <f t="shared" si="23"/>
        <v>0</v>
      </c>
      <c r="AE272" s="160">
        <f t="shared" si="24"/>
        <v>1.0275577965940443</v>
      </c>
    </row>
    <row r="273" spans="1:35" x14ac:dyDescent="0.3">
      <c r="A273" s="187">
        <v>24</v>
      </c>
      <c r="B273" s="242">
        <f t="shared" si="25"/>
        <v>46357</v>
      </c>
      <c r="C273" s="243">
        <f t="shared" si="8"/>
        <v>46387</v>
      </c>
      <c r="D273" s="120">
        <f t="shared" si="9"/>
        <v>31</v>
      </c>
      <c r="E273" s="120">
        <f t="shared" si="10"/>
        <v>12</v>
      </c>
      <c r="F273" s="275">
        <f t="shared" si="11"/>
        <v>46372.5</v>
      </c>
      <c r="G273" s="120">
        <f t="shared" si="12"/>
        <v>24323</v>
      </c>
      <c r="H273" s="245">
        <f t="shared" si="13"/>
        <v>1</v>
      </c>
      <c r="I273" s="121">
        <f t="shared" si="14"/>
        <v>1.04</v>
      </c>
      <c r="J273" s="121">
        <f t="shared" si="15"/>
        <v>1.04</v>
      </c>
      <c r="K273" s="120">
        <f t="shared" si="16"/>
        <v>0</v>
      </c>
      <c r="L273" s="120">
        <f t="shared" si="17"/>
        <v>0</v>
      </c>
      <c r="M273" s="246">
        <f t="shared" si="18"/>
        <v>0</v>
      </c>
      <c r="N273" s="121">
        <f t="shared" si="19"/>
        <v>1.04</v>
      </c>
      <c r="O273" s="246">
        <f t="shared" si="20"/>
        <v>0.9083260393873086</v>
      </c>
      <c r="P273" s="121">
        <f t="shared" si="21"/>
        <v>8.3333333333333329E-2</v>
      </c>
      <c r="Q273" s="121">
        <f t="shared" si="22"/>
        <v>0.91666666666666663</v>
      </c>
      <c r="R273" s="121">
        <f t="shared" si="23"/>
        <v>0</v>
      </c>
      <c r="AE273" s="160">
        <f t="shared" si="24"/>
        <v>1.0268033488726096</v>
      </c>
    </row>
    <row r="274" spans="1:35" x14ac:dyDescent="0.3">
      <c r="A274" s="187">
        <v>25</v>
      </c>
      <c r="B274" s="242">
        <f t="shared" si="25"/>
        <v>46388</v>
      </c>
      <c r="C274" s="243">
        <f t="shared" si="8"/>
        <v>46418</v>
      </c>
      <c r="D274" s="120">
        <f t="shared" si="9"/>
        <v>31</v>
      </c>
      <c r="E274" s="120">
        <f t="shared" si="10"/>
        <v>1</v>
      </c>
      <c r="F274" s="275">
        <f t="shared" si="11"/>
        <v>46403.5</v>
      </c>
      <c r="G274" s="120">
        <f t="shared" si="12"/>
        <v>24324</v>
      </c>
      <c r="H274" s="245">
        <f t="shared" si="13"/>
        <v>1</v>
      </c>
      <c r="I274" s="121">
        <f t="shared" si="14"/>
        <v>1.04</v>
      </c>
      <c r="J274" s="121">
        <f t="shared" si="15"/>
        <v>1.04</v>
      </c>
      <c r="K274" s="120">
        <f t="shared" si="16"/>
        <v>0</v>
      </c>
      <c r="L274" s="120">
        <f t="shared" si="17"/>
        <v>0</v>
      </c>
      <c r="M274" s="246">
        <f t="shared" si="18"/>
        <v>0</v>
      </c>
      <c r="N274" s="121">
        <f t="shared" si="19"/>
        <v>1.04</v>
      </c>
      <c r="O274" s="246">
        <f t="shared" si="20"/>
        <v>0.90764770240700221</v>
      </c>
      <c r="P274" s="121">
        <f t="shared" si="21"/>
        <v>0</v>
      </c>
      <c r="Q274" s="121">
        <f t="shared" si="22"/>
        <v>1</v>
      </c>
      <c r="R274" s="121">
        <f t="shared" si="23"/>
        <v>0</v>
      </c>
      <c r="W274" s="160">
        <f t="shared" ref="W274:W285" si="26">IF($G274&lt;&gt;$Q$247,$N274,(1-$U$247)*$I274+$U$247*$J274)</f>
        <v>1.04</v>
      </c>
      <c r="X274" s="160">
        <f t="shared" ref="X274:X285" si="27">IF($G274&lt;$Q$247,0,IF($G274&gt;$Q$247,$N274,$U$247*$J274))</f>
        <v>0</v>
      </c>
      <c r="Y274" s="160">
        <f t="shared" ref="Y274:Y285" si="28">IF($F$247=1,$O274/$O262,1)</f>
        <v>0.99127722878753488</v>
      </c>
      <c r="AB274" s="160">
        <f t="shared" ref="AB274:AB285" si="29">IF(AND(N($K$247)&lt;&gt;0,$F274&lt;=$B$248),0,($F274-$B$248)/($C$248-$B$248))</f>
        <v>0.23522975929978118</v>
      </c>
      <c r="AC274" s="220">
        <f t="shared" ref="AC274:AC285" si="30">IF(AND(N($K$247)&lt;&gt;0,$F274&lt;=$B$248),$O274,$F$248*(1-$AB274))</f>
        <v>0.69594091903719912</v>
      </c>
      <c r="AD274" s="160">
        <f t="shared" ref="AD274:AD285" si="31">$H274*($W274+$X274*IF(ISNUMBER($F$298),$F$298,0))/($N262*$O262)</f>
        <v>1.1358243018795779</v>
      </c>
      <c r="AE274" s="160">
        <f t="shared" si="24"/>
        <v>1.0260365331557417</v>
      </c>
      <c r="AF274" s="220">
        <f t="shared" ref="AF274:AF285" si="32">IF($G274&lt;$Q$247,0,IF($G274&gt;$Q$247,1,$U$247))</f>
        <v>0</v>
      </c>
      <c r="AG274" s="183" t="str">
        <f t="shared" ref="AG274:AG285" si="33">IF(OR($D$247=0,$P$247=0),"",($W274+$X274*IF(ISNUMBER($F$298),$F$298,0))/$N262-1)</f>
        <v/>
      </c>
      <c r="AH274" s="183" t="str">
        <f t="shared" ref="AH274:AH285" si="34">IF(OR($AG274="",$F$247=0),"",(1+$E$247)/(1+$AG274)-1)</f>
        <v/>
      </c>
      <c r="AI274" s="220" t="str">
        <f t="shared" ref="AI274:AI285" si="35">IF($AH274="","",$O262*(1+$E$247)/(1+$AG274))</f>
        <v/>
      </c>
    </row>
    <row r="275" spans="1:35" x14ac:dyDescent="0.3">
      <c r="A275" s="187">
        <v>26</v>
      </c>
      <c r="B275" s="242">
        <f t="shared" si="25"/>
        <v>46419</v>
      </c>
      <c r="C275" s="243">
        <f t="shared" si="8"/>
        <v>46446</v>
      </c>
      <c r="D275" s="120">
        <f t="shared" si="9"/>
        <v>28</v>
      </c>
      <c r="E275" s="120">
        <f t="shared" si="10"/>
        <v>2</v>
      </c>
      <c r="F275" s="275">
        <f t="shared" si="11"/>
        <v>46433</v>
      </c>
      <c r="G275" s="120">
        <f t="shared" si="12"/>
        <v>24325</v>
      </c>
      <c r="H275" s="245">
        <f t="shared" si="13"/>
        <v>1</v>
      </c>
      <c r="I275" s="121">
        <f t="shared" si="14"/>
        <v>1.04</v>
      </c>
      <c r="J275" s="121">
        <f t="shared" si="15"/>
        <v>1.04</v>
      </c>
      <c r="K275" s="120">
        <f t="shared" si="16"/>
        <v>0</v>
      </c>
      <c r="L275" s="120">
        <f t="shared" si="17"/>
        <v>0</v>
      </c>
      <c r="M275" s="246">
        <f t="shared" si="18"/>
        <v>0</v>
      </c>
      <c r="N275" s="121">
        <f t="shared" si="19"/>
        <v>1.04</v>
      </c>
      <c r="O275" s="246">
        <f t="shared" si="20"/>
        <v>0.90700218818380751</v>
      </c>
      <c r="P275" s="121">
        <f t="shared" si="21"/>
        <v>0</v>
      </c>
      <c r="Q275" s="121">
        <f t="shared" si="22"/>
        <v>1</v>
      </c>
      <c r="R275" s="121">
        <f t="shared" si="23"/>
        <v>0</v>
      </c>
      <c r="W275" s="160">
        <f t="shared" si="26"/>
        <v>1.04</v>
      </c>
      <c r="X275" s="160">
        <f t="shared" si="27"/>
        <v>0</v>
      </c>
      <c r="Y275" s="160">
        <f t="shared" si="28"/>
        <v>0.99127107497309586</v>
      </c>
      <c r="AB275" s="160">
        <f t="shared" si="29"/>
        <v>0.29978118161925604</v>
      </c>
      <c r="AC275" s="220">
        <f t="shared" si="30"/>
        <v>0.637199124726477</v>
      </c>
      <c r="AD275" s="160">
        <f t="shared" si="31"/>
        <v>1.1366256128183665</v>
      </c>
      <c r="AE275" s="160">
        <f t="shared" si="24"/>
        <v>1.0253068214251737</v>
      </c>
      <c r="AF275" s="220">
        <f t="shared" si="32"/>
        <v>0</v>
      </c>
      <c r="AG275" s="183" t="str">
        <f t="shared" si="33"/>
        <v/>
      </c>
      <c r="AH275" s="183" t="str">
        <f t="shared" si="34"/>
        <v/>
      </c>
      <c r="AI275" s="220" t="str">
        <f t="shared" si="35"/>
        <v/>
      </c>
    </row>
    <row r="276" spans="1:35" x14ac:dyDescent="0.3">
      <c r="A276" s="187">
        <v>27</v>
      </c>
      <c r="B276" s="242">
        <f t="shared" si="25"/>
        <v>46447</v>
      </c>
      <c r="C276" s="243">
        <f t="shared" si="8"/>
        <v>46477</v>
      </c>
      <c r="D276" s="120">
        <f t="shared" si="9"/>
        <v>31</v>
      </c>
      <c r="E276" s="120">
        <f t="shared" si="10"/>
        <v>3</v>
      </c>
      <c r="F276" s="275">
        <f t="shared" si="11"/>
        <v>46462.5</v>
      </c>
      <c r="G276" s="120">
        <f t="shared" si="12"/>
        <v>24326</v>
      </c>
      <c r="H276" s="245">
        <f t="shared" si="13"/>
        <v>1</v>
      </c>
      <c r="I276" s="121">
        <f t="shared" si="14"/>
        <v>1.04</v>
      </c>
      <c r="J276" s="121">
        <f t="shared" si="15"/>
        <v>1.04</v>
      </c>
      <c r="K276" s="120">
        <f t="shared" si="16"/>
        <v>0</v>
      </c>
      <c r="L276" s="120">
        <f t="shared" si="17"/>
        <v>0</v>
      </c>
      <c r="M276" s="246">
        <f t="shared" si="18"/>
        <v>0</v>
      </c>
      <c r="N276" s="121">
        <f t="shared" si="19"/>
        <v>1.04</v>
      </c>
      <c r="O276" s="246">
        <f t="shared" si="20"/>
        <v>0.9063566739606127</v>
      </c>
      <c r="P276" s="121">
        <f t="shared" si="21"/>
        <v>0</v>
      </c>
      <c r="Q276" s="121">
        <f t="shared" si="22"/>
        <v>1</v>
      </c>
      <c r="R276" s="121">
        <f t="shared" si="23"/>
        <v>0</v>
      </c>
      <c r="W276" s="160">
        <f t="shared" si="26"/>
        <v>1.04</v>
      </c>
      <c r="X276" s="160">
        <f t="shared" si="27"/>
        <v>0</v>
      </c>
      <c r="Y276" s="160">
        <f t="shared" si="28"/>
        <v>0.99126491246963666</v>
      </c>
      <c r="AB276" s="160">
        <f t="shared" si="29"/>
        <v>0.36433260393873085</v>
      </c>
      <c r="AC276" s="220">
        <f t="shared" si="30"/>
        <v>0.57845733041575487</v>
      </c>
      <c r="AD276" s="160">
        <f t="shared" si="31"/>
        <v>1.1374280551866078</v>
      </c>
      <c r="AE276" s="160">
        <f t="shared" si="24"/>
        <v>1.0245771096946055</v>
      </c>
      <c r="AF276" s="220">
        <f t="shared" si="32"/>
        <v>0</v>
      </c>
      <c r="AG276" s="183" t="str">
        <f t="shared" si="33"/>
        <v/>
      </c>
      <c r="AH276" s="183" t="str">
        <f t="shared" si="34"/>
        <v/>
      </c>
      <c r="AI276" s="220" t="str">
        <f t="shared" si="35"/>
        <v/>
      </c>
    </row>
    <row r="277" spans="1:35" x14ac:dyDescent="0.3">
      <c r="A277" s="187">
        <v>28</v>
      </c>
      <c r="B277" s="242">
        <f t="shared" si="25"/>
        <v>46478</v>
      </c>
      <c r="C277" s="243">
        <f t="shared" si="8"/>
        <v>46507</v>
      </c>
      <c r="D277" s="120">
        <f t="shared" si="9"/>
        <v>30</v>
      </c>
      <c r="E277" s="120">
        <f t="shared" si="10"/>
        <v>4</v>
      </c>
      <c r="F277" s="275">
        <f t="shared" si="11"/>
        <v>46493</v>
      </c>
      <c r="G277" s="120">
        <f t="shared" si="12"/>
        <v>24327</v>
      </c>
      <c r="H277" s="245">
        <f t="shared" si="13"/>
        <v>1</v>
      </c>
      <c r="I277" s="121">
        <f t="shared" si="14"/>
        <v>1.04</v>
      </c>
      <c r="J277" s="121">
        <f t="shared" si="15"/>
        <v>1.04</v>
      </c>
      <c r="K277" s="120">
        <f t="shared" si="16"/>
        <v>0</v>
      </c>
      <c r="L277" s="120">
        <f t="shared" si="17"/>
        <v>0</v>
      </c>
      <c r="M277" s="246">
        <f t="shared" si="18"/>
        <v>0</v>
      </c>
      <c r="N277" s="121">
        <f t="shared" si="19"/>
        <v>1.04</v>
      </c>
      <c r="O277" s="246">
        <f t="shared" si="20"/>
        <v>0.90568927789934361</v>
      </c>
      <c r="P277" s="121">
        <f t="shared" si="21"/>
        <v>0</v>
      </c>
      <c r="Q277" s="121">
        <f t="shared" si="22"/>
        <v>1</v>
      </c>
      <c r="R277" s="121">
        <f t="shared" si="23"/>
        <v>0</v>
      </c>
      <c r="W277" s="160">
        <f t="shared" si="26"/>
        <v>1.04</v>
      </c>
      <c r="X277" s="160">
        <f t="shared" si="27"/>
        <v>1.04</v>
      </c>
      <c r="Y277" s="160">
        <f t="shared" si="28"/>
        <v>0.99125853191234581</v>
      </c>
      <c r="AB277" s="160">
        <f t="shared" si="29"/>
        <v>0.4310722100656455</v>
      </c>
      <c r="AC277" s="220">
        <f t="shared" si="30"/>
        <v>0.51772428884026267</v>
      </c>
      <c r="AD277" s="160">
        <f t="shared" si="31"/>
        <v>1.1382588911507603</v>
      </c>
      <c r="AE277" s="160">
        <f t="shared" si="24"/>
        <v>1.023822661973171</v>
      </c>
      <c r="AF277" s="220">
        <f t="shared" si="32"/>
        <v>1</v>
      </c>
      <c r="AG277" s="183" t="str">
        <f t="shared" si="33"/>
        <v/>
      </c>
      <c r="AH277" s="183" t="str">
        <f t="shared" si="34"/>
        <v/>
      </c>
      <c r="AI277" s="220" t="str">
        <f t="shared" si="35"/>
        <v/>
      </c>
    </row>
    <row r="278" spans="1:35" x14ac:dyDescent="0.3">
      <c r="A278" s="187">
        <v>29</v>
      </c>
      <c r="B278" s="242">
        <f t="shared" si="25"/>
        <v>46508</v>
      </c>
      <c r="C278" s="243">
        <f t="shared" si="8"/>
        <v>46538</v>
      </c>
      <c r="D278" s="120">
        <f t="shared" si="9"/>
        <v>31</v>
      </c>
      <c r="E278" s="120">
        <f t="shared" si="10"/>
        <v>5</v>
      </c>
      <c r="F278" s="275">
        <f t="shared" si="11"/>
        <v>46523.5</v>
      </c>
      <c r="G278" s="120">
        <f t="shared" si="12"/>
        <v>24328</v>
      </c>
      <c r="H278" s="245">
        <f t="shared" si="13"/>
        <v>1</v>
      </c>
      <c r="I278" s="121">
        <f t="shared" si="14"/>
        <v>1.04</v>
      </c>
      <c r="J278" s="121">
        <f t="shared" si="15"/>
        <v>1.04</v>
      </c>
      <c r="K278" s="120">
        <f t="shared" si="16"/>
        <v>0</v>
      </c>
      <c r="L278" s="120">
        <f t="shared" si="17"/>
        <v>0</v>
      </c>
      <c r="M278" s="246">
        <f t="shared" si="18"/>
        <v>0</v>
      </c>
      <c r="N278" s="121">
        <f t="shared" si="19"/>
        <v>1.04</v>
      </c>
      <c r="O278" s="246">
        <f t="shared" si="20"/>
        <v>0.90502188183807442</v>
      </c>
      <c r="P278" s="121">
        <f t="shared" si="21"/>
        <v>0</v>
      </c>
      <c r="Q278" s="121">
        <f t="shared" si="22"/>
        <v>1</v>
      </c>
      <c r="R278" s="121">
        <f t="shared" si="23"/>
        <v>0</v>
      </c>
      <c r="W278" s="160">
        <f t="shared" si="26"/>
        <v>1.04</v>
      </c>
      <c r="X278" s="160">
        <f t="shared" si="27"/>
        <v>1.04</v>
      </c>
      <c r="Y278" s="160">
        <f t="shared" si="28"/>
        <v>0.99125214202686673</v>
      </c>
      <c r="AB278" s="160">
        <f t="shared" si="29"/>
        <v>0.49781181619256015</v>
      </c>
      <c r="AC278" s="220">
        <f t="shared" si="30"/>
        <v>0.45699124726477025</v>
      </c>
      <c r="AD278" s="160">
        <f t="shared" si="31"/>
        <v>1.1390909417728194</v>
      </c>
      <c r="AE278" s="160">
        <f t="shared" si="24"/>
        <v>1.0230682142517362</v>
      </c>
      <c r="AF278" s="220">
        <f t="shared" si="32"/>
        <v>1</v>
      </c>
      <c r="AG278" s="183" t="str">
        <f t="shared" si="33"/>
        <v/>
      </c>
      <c r="AH278" s="183" t="str">
        <f t="shared" si="34"/>
        <v/>
      </c>
      <c r="AI278" s="220" t="str">
        <f t="shared" si="35"/>
        <v/>
      </c>
    </row>
    <row r="279" spans="1:35" x14ac:dyDescent="0.3">
      <c r="A279" s="187">
        <v>30</v>
      </c>
      <c r="B279" s="242">
        <f t="shared" si="25"/>
        <v>46539</v>
      </c>
      <c r="C279" s="243">
        <f t="shared" si="8"/>
        <v>46568</v>
      </c>
      <c r="D279" s="120">
        <f t="shared" si="9"/>
        <v>30</v>
      </c>
      <c r="E279" s="120">
        <f t="shared" si="10"/>
        <v>6</v>
      </c>
      <c r="F279" s="275">
        <f t="shared" si="11"/>
        <v>46554</v>
      </c>
      <c r="G279" s="120">
        <f t="shared" si="12"/>
        <v>24329</v>
      </c>
      <c r="H279" s="245">
        <f t="shared" si="13"/>
        <v>1</v>
      </c>
      <c r="I279" s="121">
        <f t="shared" si="14"/>
        <v>1.04</v>
      </c>
      <c r="J279" s="121">
        <f t="shared" si="15"/>
        <v>1.04</v>
      </c>
      <c r="K279" s="120">
        <f t="shared" si="16"/>
        <v>0</v>
      </c>
      <c r="L279" s="120">
        <f t="shared" si="17"/>
        <v>0</v>
      </c>
      <c r="M279" s="246">
        <f t="shared" si="18"/>
        <v>0</v>
      </c>
      <c r="N279" s="121">
        <f t="shared" si="19"/>
        <v>1.04</v>
      </c>
      <c r="O279" s="246">
        <f t="shared" si="20"/>
        <v>0.90435448577680533</v>
      </c>
      <c r="P279" s="121">
        <f t="shared" si="21"/>
        <v>0</v>
      </c>
      <c r="Q279" s="121">
        <f t="shared" si="22"/>
        <v>1</v>
      </c>
      <c r="R279" s="121">
        <f t="shared" si="23"/>
        <v>0</v>
      </c>
      <c r="W279" s="160">
        <f t="shared" si="26"/>
        <v>1.04</v>
      </c>
      <c r="X279" s="160">
        <f t="shared" si="27"/>
        <v>1.04</v>
      </c>
      <c r="Y279" s="160">
        <f t="shared" si="28"/>
        <v>0.99124574279272804</v>
      </c>
      <c r="AB279" s="160">
        <f t="shared" si="29"/>
        <v>0.56455142231947486</v>
      </c>
      <c r="AC279" s="220">
        <f t="shared" si="30"/>
        <v>0.39625820568927789</v>
      </c>
      <c r="AD279" s="160">
        <f t="shared" si="31"/>
        <v>1.1399242097184248</v>
      </c>
      <c r="AE279" s="160">
        <f t="shared" si="24"/>
        <v>1.0223137665303017</v>
      </c>
      <c r="AF279" s="220">
        <f t="shared" si="32"/>
        <v>1</v>
      </c>
      <c r="AG279" s="183" t="str">
        <f t="shared" si="33"/>
        <v/>
      </c>
      <c r="AH279" s="183" t="str">
        <f t="shared" si="34"/>
        <v/>
      </c>
      <c r="AI279" s="220" t="str">
        <f t="shared" si="35"/>
        <v/>
      </c>
    </row>
    <row r="280" spans="1:35" x14ac:dyDescent="0.3">
      <c r="A280" s="187">
        <v>31</v>
      </c>
      <c r="B280" s="242">
        <f t="shared" si="25"/>
        <v>46569</v>
      </c>
      <c r="C280" s="243">
        <f t="shared" si="8"/>
        <v>46599</v>
      </c>
      <c r="D280" s="120">
        <f t="shared" si="9"/>
        <v>31</v>
      </c>
      <c r="E280" s="120">
        <f t="shared" si="10"/>
        <v>7</v>
      </c>
      <c r="F280" s="275">
        <f t="shared" si="11"/>
        <v>46584.5</v>
      </c>
      <c r="G280" s="120">
        <f t="shared" si="12"/>
        <v>24330</v>
      </c>
      <c r="H280" s="245">
        <f t="shared" si="13"/>
        <v>1</v>
      </c>
      <c r="I280" s="121">
        <f t="shared" si="14"/>
        <v>1.04</v>
      </c>
      <c r="J280" s="121">
        <f t="shared" si="15"/>
        <v>1.04</v>
      </c>
      <c r="K280" s="120">
        <f t="shared" si="16"/>
        <v>0</v>
      </c>
      <c r="L280" s="120">
        <f t="shared" si="17"/>
        <v>0</v>
      </c>
      <c r="M280" s="246">
        <f t="shared" si="18"/>
        <v>0</v>
      </c>
      <c r="N280" s="121">
        <f t="shared" si="19"/>
        <v>1.04</v>
      </c>
      <c r="O280" s="246">
        <f t="shared" si="20"/>
        <v>0.90368708971553613</v>
      </c>
      <c r="P280" s="121">
        <f t="shared" si="21"/>
        <v>0</v>
      </c>
      <c r="Q280" s="121">
        <f t="shared" si="22"/>
        <v>0.91666666666666663</v>
      </c>
      <c r="R280" s="121">
        <f t="shared" si="23"/>
        <v>8.333333333333337E-2</v>
      </c>
      <c r="W280" s="160">
        <f t="shared" si="26"/>
        <v>1.04</v>
      </c>
      <c r="X280" s="160">
        <f t="shared" si="27"/>
        <v>1.04</v>
      </c>
      <c r="Y280" s="160">
        <f t="shared" si="28"/>
        <v>0.99123933418939847</v>
      </c>
      <c r="AB280" s="160">
        <f t="shared" si="29"/>
        <v>0.63129102844638951</v>
      </c>
      <c r="AC280" s="220">
        <f t="shared" si="30"/>
        <v>0.33552516411378558</v>
      </c>
      <c r="AD280" s="160">
        <f t="shared" si="31"/>
        <v>1.0968833631355983</v>
      </c>
      <c r="AE280" s="160">
        <f t="shared" si="24"/>
        <v>1.021559318808867</v>
      </c>
      <c r="AF280" s="220">
        <f t="shared" si="32"/>
        <v>1</v>
      </c>
      <c r="AG280" s="183" t="str">
        <f t="shared" si="33"/>
        <v/>
      </c>
      <c r="AH280" s="183" t="str">
        <f t="shared" si="34"/>
        <v/>
      </c>
      <c r="AI280" s="220" t="str">
        <f t="shared" si="35"/>
        <v/>
      </c>
    </row>
    <row r="281" spans="1:35" x14ac:dyDescent="0.3">
      <c r="A281" s="187">
        <v>32</v>
      </c>
      <c r="B281" s="242">
        <f t="shared" si="25"/>
        <v>46600</v>
      </c>
      <c r="C281" s="243">
        <f t="shared" si="8"/>
        <v>46630</v>
      </c>
      <c r="D281" s="120">
        <f t="shared" si="9"/>
        <v>31</v>
      </c>
      <c r="E281" s="120">
        <f t="shared" si="10"/>
        <v>8</v>
      </c>
      <c r="F281" s="275">
        <f t="shared" si="11"/>
        <v>46615.5</v>
      </c>
      <c r="G281" s="120">
        <f t="shared" si="12"/>
        <v>24331</v>
      </c>
      <c r="H281" s="245">
        <f t="shared" si="13"/>
        <v>1</v>
      </c>
      <c r="I281" s="121">
        <f t="shared" si="14"/>
        <v>1.04</v>
      </c>
      <c r="J281" s="121">
        <f t="shared" si="15"/>
        <v>1.04</v>
      </c>
      <c r="K281" s="120">
        <f t="shared" si="16"/>
        <v>0</v>
      </c>
      <c r="L281" s="120">
        <f t="shared" si="17"/>
        <v>0</v>
      </c>
      <c r="M281" s="246">
        <f t="shared" si="18"/>
        <v>0</v>
      </c>
      <c r="N281" s="121">
        <f t="shared" si="19"/>
        <v>1.04</v>
      </c>
      <c r="O281" s="246">
        <f t="shared" si="20"/>
        <v>0.90300875273522974</v>
      </c>
      <c r="P281" s="121">
        <f t="shared" si="21"/>
        <v>0</v>
      </c>
      <c r="Q281" s="121">
        <f t="shared" si="22"/>
        <v>0.75</v>
      </c>
      <c r="R281" s="121">
        <f t="shared" si="23"/>
        <v>0.25</v>
      </c>
      <c r="W281" s="160">
        <f t="shared" si="26"/>
        <v>1.04</v>
      </c>
      <c r="X281" s="160">
        <f t="shared" si="27"/>
        <v>1.04</v>
      </c>
      <c r="Y281" s="160">
        <f t="shared" si="28"/>
        <v>0.99123281090494197</v>
      </c>
      <c r="AB281" s="160">
        <f t="shared" si="29"/>
        <v>0.69912472647702406</v>
      </c>
      <c r="AC281" s="220">
        <f t="shared" si="30"/>
        <v>0.27379649890590813</v>
      </c>
      <c r="AD281" s="160">
        <f t="shared" si="31"/>
        <v>1.0977001140935567</v>
      </c>
      <c r="AE281" s="160">
        <f t="shared" si="24"/>
        <v>1.0207925030919989</v>
      </c>
      <c r="AF281" s="220">
        <f t="shared" si="32"/>
        <v>1</v>
      </c>
      <c r="AG281" s="183" t="str">
        <f t="shared" si="33"/>
        <v/>
      </c>
      <c r="AH281" s="183" t="str">
        <f t="shared" si="34"/>
        <v/>
      </c>
      <c r="AI281" s="220" t="str">
        <f t="shared" si="35"/>
        <v/>
      </c>
    </row>
    <row r="282" spans="1:35" x14ac:dyDescent="0.3">
      <c r="A282" s="187">
        <v>33</v>
      </c>
      <c r="B282" s="242">
        <f t="shared" si="25"/>
        <v>46631</v>
      </c>
      <c r="C282" s="243">
        <f t="shared" si="8"/>
        <v>46660</v>
      </c>
      <c r="D282" s="120">
        <f t="shared" si="9"/>
        <v>30</v>
      </c>
      <c r="E282" s="120">
        <f t="shared" si="10"/>
        <v>9</v>
      </c>
      <c r="F282" s="275">
        <f t="shared" si="11"/>
        <v>46646</v>
      </c>
      <c r="G282" s="120">
        <f t="shared" si="12"/>
        <v>24332</v>
      </c>
      <c r="H282" s="245">
        <f t="shared" si="13"/>
        <v>1</v>
      </c>
      <c r="I282" s="121">
        <f t="shared" si="14"/>
        <v>1.04</v>
      </c>
      <c r="J282" s="121">
        <f t="shared" si="15"/>
        <v>1.04</v>
      </c>
      <c r="K282" s="120">
        <f t="shared" si="16"/>
        <v>0</v>
      </c>
      <c r="L282" s="120">
        <f t="shared" si="17"/>
        <v>0</v>
      </c>
      <c r="M282" s="246">
        <f t="shared" si="18"/>
        <v>0</v>
      </c>
      <c r="N282" s="121">
        <f t="shared" si="19"/>
        <v>1.04</v>
      </c>
      <c r="O282" s="246">
        <f t="shared" si="20"/>
        <v>0.90234135667396065</v>
      </c>
      <c r="P282" s="121">
        <f t="shared" si="21"/>
        <v>0</v>
      </c>
      <c r="Q282" s="121">
        <f t="shared" si="22"/>
        <v>0.58333333333333337</v>
      </c>
      <c r="R282" s="121">
        <f t="shared" si="23"/>
        <v>0.41666666666666663</v>
      </c>
      <c r="W282" s="160">
        <f t="shared" si="26"/>
        <v>1.04</v>
      </c>
      <c r="X282" s="160">
        <f t="shared" si="27"/>
        <v>1.04</v>
      </c>
      <c r="Y282" s="160">
        <f t="shared" si="28"/>
        <v>0.99122638334695445</v>
      </c>
      <c r="AB282" s="160">
        <f t="shared" si="29"/>
        <v>0.76586433260393871</v>
      </c>
      <c r="AC282" s="220">
        <f t="shared" si="30"/>
        <v>0.21306345733041579</v>
      </c>
      <c r="AD282" s="160">
        <f t="shared" si="31"/>
        <v>1.0985048795730974</v>
      </c>
      <c r="AE282" s="160">
        <f t="shared" si="24"/>
        <v>1.0200380553705641</v>
      </c>
      <c r="AF282" s="220">
        <f t="shared" si="32"/>
        <v>1</v>
      </c>
      <c r="AG282" s="183" t="str">
        <f t="shared" si="33"/>
        <v/>
      </c>
      <c r="AH282" s="183" t="str">
        <f t="shared" si="34"/>
        <v/>
      </c>
      <c r="AI282" s="220" t="str">
        <f t="shared" si="35"/>
        <v/>
      </c>
    </row>
    <row r="283" spans="1:35" x14ac:dyDescent="0.3">
      <c r="A283" s="187">
        <v>34</v>
      </c>
      <c r="B283" s="242">
        <f t="shared" si="25"/>
        <v>46661</v>
      </c>
      <c r="C283" s="243">
        <f t="shared" si="8"/>
        <v>46691</v>
      </c>
      <c r="D283" s="120">
        <f t="shared" si="9"/>
        <v>31</v>
      </c>
      <c r="E283" s="120">
        <f t="shared" si="10"/>
        <v>10</v>
      </c>
      <c r="F283" s="275">
        <f t="shared" si="11"/>
        <v>46676.5</v>
      </c>
      <c r="G283" s="120">
        <f t="shared" si="12"/>
        <v>24333</v>
      </c>
      <c r="H283" s="245">
        <f t="shared" si="13"/>
        <v>1</v>
      </c>
      <c r="I283" s="121">
        <f t="shared" si="14"/>
        <v>1.04</v>
      </c>
      <c r="J283" s="121">
        <f t="shared" si="15"/>
        <v>1.04</v>
      </c>
      <c r="K283" s="120">
        <f t="shared" si="16"/>
        <v>0</v>
      </c>
      <c r="L283" s="120">
        <f t="shared" si="17"/>
        <v>0</v>
      </c>
      <c r="M283" s="246">
        <f t="shared" si="18"/>
        <v>0</v>
      </c>
      <c r="N283" s="121">
        <f t="shared" si="19"/>
        <v>1.04</v>
      </c>
      <c r="O283" s="246">
        <f t="shared" si="20"/>
        <v>0.90167396061269145</v>
      </c>
      <c r="P283" s="121">
        <f t="shared" si="21"/>
        <v>0</v>
      </c>
      <c r="Q283" s="121">
        <f t="shared" si="22"/>
        <v>0.41666666666666669</v>
      </c>
      <c r="R283" s="121">
        <f t="shared" si="23"/>
        <v>0.58333333333333326</v>
      </c>
      <c r="W283" s="160">
        <f t="shared" si="26"/>
        <v>1.04</v>
      </c>
      <c r="X283" s="160">
        <f t="shared" si="27"/>
        <v>1.04</v>
      </c>
      <c r="Y283" s="160">
        <f t="shared" si="28"/>
        <v>0.99121994635748045</v>
      </c>
      <c r="AB283" s="160">
        <f t="shared" si="29"/>
        <v>0.83260393873085337</v>
      </c>
      <c r="AC283" s="220">
        <f t="shared" si="30"/>
        <v>0.15233041575492345</v>
      </c>
      <c r="AD283" s="160">
        <f t="shared" si="31"/>
        <v>1.0993108259264159</v>
      </c>
      <c r="AE283" s="160">
        <f t="shared" si="24"/>
        <v>1.0192836076491294</v>
      </c>
      <c r="AF283" s="220">
        <f t="shared" si="32"/>
        <v>1</v>
      </c>
      <c r="AG283" s="183" t="str">
        <f t="shared" si="33"/>
        <v/>
      </c>
      <c r="AH283" s="183" t="str">
        <f t="shared" si="34"/>
        <v/>
      </c>
      <c r="AI283" s="220" t="str">
        <f t="shared" si="35"/>
        <v/>
      </c>
    </row>
    <row r="284" spans="1:35" x14ac:dyDescent="0.3">
      <c r="A284" s="187">
        <v>35</v>
      </c>
      <c r="B284" s="242">
        <f t="shared" si="25"/>
        <v>46692</v>
      </c>
      <c r="C284" s="243">
        <f t="shared" si="8"/>
        <v>46721</v>
      </c>
      <c r="D284" s="120">
        <f t="shared" si="9"/>
        <v>30</v>
      </c>
      <c r="E284" s="120">
        <f t="shared" si="10"/>
        <v>11</v>
      </c>
      <c r="F284" s="275">
        <f t="shared" si="11"/>
        <v>46707</v>
      </c>
      <c r="G284" s="120">
        <f t="shared" si="12"/>
        <v>24334</v>
      </c>
      <c r="H284" s="245">
        <f t="shared" si="13"/>
        <v>1</v>
      </c>
      <c r="I284" s="121">
        <f t="shared" si="14"/>
        <v>1.04</v>
      </c>
      <c r="J284" s="121">
        <f t="shared" si="15"/>
        <v>1.04</v>
      </c>
      <c r="K284" s="120">
        <f t="shared" si="16"/>
        <v>0</v>
      </c>
      <c r="L284" s="120">
        <f t="shared" si="17"/>
        <v>0</v>
      </c>
      <c r="M284" s="246">
        <f t="shared" si="18"/>
        <v>0</v>
      </c>
      <c r="N284" s="121">
        <f t="shared" si="19"/>
        <v>1.04</v>
      </c>
      <c r="O284" s="246">
        <f t="shared" si="20"/>
        <v>0.90100656455142236</v>
      </c>
      <c r="P284" s="121">
        <f t="shared" si="21"/>
        <v>0</v>
      </c>
      <c r="Q284" s="121">
        <f t="shared" si="22"/>
        <v>0.25</v>
      </c>
      <c r="R284" s="121">
        <f t="shared" si="23"/>
        <v>0.75</v>
      </c>
      <c r="W284" s="160">
        <f t="shared" si="26"/>
        <v>1.04</v>
      </c>
      <c r="X284" s="160">
        <f t="shared" si="27"/>
        <v>1.04</v>
      </c>
      <c r="Y284" s="160">
        <f t="shared" si="28"/>
        <v>0.99121349991574592</v>
      </c>
      <c r="AB284" s="160">
        <f t="shared" si="29"/>
        <v>0.89934354485776802</v>
      </c>
      <c r="AC284" s="220">
        <f t="shared" si="30"/>
        <v>9.1597374179431104E-2</v>
      </c>
      <c r="AD284" s="160">
        <f t="shared" si="31"/>
        <v>1.1001179557545557</v>
      </c>
      <c r="AE284" s="160">
        <f t="shared" si="24"/>
        <v>1.0185291599276949</v>
      </c>
      <c r="AF284" s="220">
        <f t="shared" si="32"/>
        <v>1</v>
      </c>
      <c r="AG284" s="183" t="str">
        <f t="shared" si="33"/>
        <v/>
      </c>
      <c r="AH284" s="183" t="str">
        <f t="shared" si="34"/>
        <v/>
      </c>
      <c r="AI284" s="220" t="str">
        <f t="shared" si="35"/>
        <v/>
      </c>
    </row>
    <row r="285" spans="1:35" x14ac:dyDescent="0.3">
      <c r="A285" s="187">
        <v>36</v>
      </c>
      <c r="B285" s="242">
        <f t="shared" si="25"/>
        <v>46722</v>
      </c>
      <c r="C285" s="243">
        <f t="shared" si="8"/>
        <v>46752</v>
      </c>
      <c r="D285" s="120">
        <f t="shared" si="9"/>
        <v>31</v>
      </c>
      <c r="E285" s="120">
        <f t="shared" si="10"/>
        <v>12</v>
      </c>
      <c r="F285" s="275">
        <f t="shared" si="11"/>
        <v>46737.5</v>
      </c>
      <c r="G285" s="120">
        <f t="shared" si="12"/>
        <v>24335</v>
      </c>
      <c r="H285" s="245">
        <f t="shared" si="13"/>
        <v>1</v>
      </c>
      <c r="I285" s="121">
        <f t="shared" si="14"/>
        <v>1.04</v>
      </c>
      <c r="J285" s="121">
        <f t="shared" si="15"/>
        <v>1.04</v>
      </c>
      <c r="K285" s="120">
        <f t="shared" si="16"/>
        <v>0</v>
      </c>
      <c r="L285" s="120">
        <f t="shared" si="17"/>
        <v>0</v>
      </c>
      <c r="M285" s="246">
        <f t="shared" si="18"/>
        <v>0</v>
      </c>
      <c r="N285" s="121">
        <f t="shared" si="19"/>
        <v>1.04</v>
      </c>
      <c r="O285" s="246">
        <f t="shared" si="20"/>
        <v>0.90033916849015316</v>
      </c>
      <c r="P285" s="121">
        <f t="shared" si="21"/>
        <v>0</v>
      </c>
      <c r="Q285" s="121">
        <f t="shared" si="22"/>
        <v>8.3333333333333329E-2</v>
      </c>
      <c r="R285" s="121">
        <f t="shared" si="23"/>
        <v>0.91666666666666663</v>
      </c>
      <c r="W285" s="160">
        <f t="shared" si="26"/>
        <v>1.04</v>
      </c>
      <c r="X285" s="160">
        <f t="shared" si="27"/>
        <v>1.04</v>
      </c>
      <c r="Y285" s="160">
        <f t="shared" si="28"/>
        <v>0.9912070440009153</v>
      </c>
      <c r="AB285" s="160">
        <f t="shared" si="29"/>
        <v>0.96608315098468267</v>
      </c>
      <c r="AC285" s="220">
        <f t="shared" si="30"/>
        <v>3.0864332603938772E-2</v>
      </c>
      <c r="AD285" s="160">
        <f t="shared" si="31"/>
        <v>1.1009262716662049</v>
      </c>
      <c r="AE285" s="160">
        <f t="shared" si="24"/>
        <v>1.0177747122062601</v>
      </c>
      <c r="AF285" s="220">
        <f t="shared" si="32"/>
        <v>1</v>
      </c>
      <c r="AG285" s="183" t="str">
        <f t="shared" si="33"/>
        <v/>
      </c>
      <c r="AH285" s="183" t="str">
        <f t="shared" si="34"/>
        <v/>
      </c>
      <c r="AI285" s="220" t="str">
        <f t="shared" si="35"/>
        <v/>
      </c>
    </row>
    <row r="286" spans="1:35" x14ac:dyDescent="0.3">
      <c r="A286" s="187">
        <v>37</v>
      </c>
      <c r="B286" s="242">
        <f t="shared" si="25"/>
        <v>46753</v>
      </c>
      <c r="C286" s="243">
        <f t="shared" si="8"/>
        <v>46783</v>
      </c>
      <c r="D286" s="120">
        <f t="shared" si="9"/>
        <v>31</v>
      </c>
      <c r="E286" s="120">
        <f t="shared" si="10"/>
        <v>1</v>
      </c>
      <c r="F286" s="275">
        <f t="shared" si="11"/>
        <v>46768.5</v>
      </c>
      <c r="G286" s="120">
        <f t="shared" si="12"/>
        <v>24336</v>
      </c>
      <c r="H286" s="245">
        <f t="shared" si="13"/>
        <v>1</v>
      </c>
      <c r="I286" s="121">
        <f t="shared" si="14"/>
        <v>1.04</v>
      </c>
      <c r="J286" s="121">
        <f t="shared" si="15"/>
        <v>1.04</v>
      </c>
      <c r="K286" s="120">
        <f t="shared" si="16"/>
        <v>0</v>
      </c>
      <c r="L286" s="120">
        <f t="shared" si="17"/>
        <v>0</v>
      </c>
      <c r="M286" s="246">
        <f t="shared" si="18"/>
        <v>0</v>
      </c>
      <c r="N286" s="121">
        <f t="shared" si="19"/>
        <v>1.04</v>
      </c>
      <c r="O286" s="246">
        <f t="shared" si="20"/>
        <v>0.9</v>
      </c>
      <c r="P286" s="121">
        <f t="shared" si="21"/>
        <v>0</v>
      </c>
      <c r="Q286" s="121">
        <f t="shared" si="22"/>
        <v>0</v>
      </c>
      <c r="R286" s="121">
        <f t="shared" si="23"/>
        <v>1</v>
      </c>
      <c r="AE286" s="160">
        <f t="shared" si="24"/>
        <v>1.0173913043478262</v>
      </c>
    </row>
    <row r="287" spans="1:35" x14ac:dyDescent="0.3">
      <c r="A287" s="187">
        <v>38</v>
      </c>
      <c r="B287" s="242">
        <f t="shared" si="25"/>
        <v>46784</v>
      </c>
      <c r="C287" s="243">
        <f t="shared" si="8"/>
        <v>46812</v>
      </c>
      <c r="D287" s="120">
        <f t="shared" si="9"/>
        <v>29</v>
      </c>
      <c r="E287" s="120">
        <f t="shared" si="10"/>
        <v>2</v>
      </c>
      <c r="F287" s="275">
        <f t="shared" si="11"/>
        <v>46798.5</v>
      </c>
      <c r="G287" s="120">
        <f t="shared" si="12"/>
        <v>24337</v>
      </c>
      <c r="H287" s="245">
        <f t="shared" si="13"/>
        <v>1</v>
      </c>
      <c r="I287" s="121">
        <f t="shared" si="14"/>
        <v>1.04</v>
      </c>
      <c r="J287" s="121">
        <f t="shared" si="15"/>
        <v>1.04</v>
      </c>
      <c r="K287" s="120">
        <f t="shared" si="16"/>
        <v>0</v>
      </c>
      <c r="L287" s="120">
        <f t="shared" si="17"/>
        <v>0</v>
      </c>
      <c r="M287" s="246">
        <f t="shared" si="18"/>
        <v>0</v>
      </c>
      <c r="N287" s="121">
        <f t="shared" si="19"/>
        <v>1.04</v>
      </c>
      <c r="O287" s="246">
        <f t="shared" si="20"/>
        <v>0.9</v>
      </c>
      <c r="P287" s="121">
        <f t="shared" si="21"/>
        <v>0</v>
      </c>
      <c r="Q287" s="121">
        <f t="shared" si="22"/>
        <v>0</v>
      </c>
      <c r="R287" s="121">
        <f t="shared" si="23"/>
        <v>1</v>
      </c>
      <c r="AE287" s="160">
        <f t="shared" si="24"/>
        <v>1.0173913043478262</v>
      </c>
    </row>
    <row r="288" spans="1:35" x14ac:dyDescent="0.3">
      <c r="A288" s="187">
        <v>39</v>
      </c>
      <c r="B288" s="242">
        <f t="shared" si="25"/>
        <v>46813</v>
      </c>
      <c r="C288" s="243">
        <f t="shared" si="8"/>
        <v>46843</v>
      </c>
      <c r="D288" s="120">
        <f t="shared" si="9"/>
        <v>31</v>
      </c>
      <c r="E288" s="120">
        <f t="shared" si="10"/>
        <v>3</v>
      </c>
      <c r="F288" s="275">
        <f t="shared" si="11"/>
        <v>46828.5</v>
      </c>
      <c r="G288" s="120">
        <f t="shared" si="12"/>
        <v>24338</v>
      </c>
      <c r="H288" s="245">
        <f t="shared" si="13"/>
        <v>1</v>
      </c>
      <c r="I288" s="121">
        <f t="shared" si="14"/>
        <v>1.04</v>
      </c>
      <c r="J288" s="121">
        <f t="shared" si="15"/>
        <v>1.04</v>
      </c>
      <c r="K288" s="120">
        <f t="shared" si="16"/>
        <v>0</v>
      </c>
      <c r="L288" s="120">
        <f t="shared" si="17"/>
        <v>0</v>
      </c>
      <c r="M288" s="246">
        <f t="shared" si="18"/>
        <v>0</v>
      </c>
      <c r="N288" s="121">
        <f t="shared" si="19"/>
        <v>1.04</v>
      </c>
      <c r="O288" s="246">
        <f t="shared" si="20"/>
        <v>0.9</v>
      </c>
      <c r="P288" s="121">
        <f t="shared" si="21"/>
        <v>0</v>
      </c>
      <c r="Q288" s="121">
        <f t="shared" si="22"/>
        <v>0</v>
      </c>
      <c r="R288" s="121">
        <f t="shared" si="23"/>
        <v>1</v>
      </c>
      <c r="AE288" s="160">
        <f t="shared" si="24"/>
        <v>1.0173913043478262</v>
      </c>
    </row>
    <row r="289" spans="1:31" x14ac:dyDescent="0.3">
      <c r="A289" s="187">
        <v>40</v>
      </c>
      <c r="B289" s="242">
        <f t="shared" si="25"/>
        <v>46844</v>
      </c>
      <c r="C289" s="243">
        <f t="shared" si="8"/>
        <v>46873</v>
      </c>
      <c r="D289" s="120">
        <f t="shared" si="9"/>
        <v>30</v>
      </c>
      <c r="E289" s="120">
        <f t="shared" si="10"/>
        <v>4</v>
      </c>
      <c r="F289" s="275">
        <f t="shared" si="11"/>
        <v>46859</v>
      </c>
      <c r="G289" s="120">
        <f t="shared" si="12"/>
        <v>24339</v>
      </c>
      <c r="H289" s="245">
        <f t="shared" si="13"/>
        <v>1</v>
      </c>
      <c r="I289" s="121">
        <f t="shared" si="14"/>
        <v>1.04</v>
      </c>
      <c r="J289" s="121">
        <f t="shared" si="15"/>
        <v>1.04</v>
      </c>
      <c r="K289" s="120">
        <f t="shared" si="16"/>
        <v>0</v>
      </c>
      <c r="L289" s="120">
        <f t="shared" si="17"/>
        <v>0</v>
      </c>
      <c r="M289" s="246">
        <f t="shared" si="18"/>
        <v>0</v>
      </c>
      <c r="N289" s="121">
        <f t="shared" si="19"/>
        <v>1.04</v>
      </c>
      <c r="O289" s="246">
        <f t="shared" si="20"/>
        <v>0.9</v>
      </c>
      <c r="P289" s="121">
        <f t="shared" si="21"/>
        <v>0</v>
      </c>
      <c r="Q289" s="121">
        <f t="shared" si="22"/>
        <v>0</v>
      </c>
      <c r="R289" s="121">
        <f t="shared" si="23"/>
        <v>1</v>
      </c>
      <c r="AE289" s="160">
        <f t="shared" si="24"/>
        <v>1.0173913043478262</v>
      </c>
    </row>
    <row r="290" spans="1:31" x14ac:dyDescent="0.3">
      <c r="A290" s="187">
        <v>41</v>
      </c>
      <c r="B290" s="242">
        <f t="shared" si="25"/>
        <v>46874</v>
      </c>
      <c r="C290" s="243">
        <f t="shared" si="8"/>
        <v>46904</v>
      </c>
      <c r="D290" s="120">
        <f t="shared" si="9"/>
        <v>31</v>
      </c>
      <c r="E290" s="120">
        <f t="shared" si="10"/>
        <v>5</v>
      </c>
      <c r="F290" s="275">
        <f t="shared" si="11"/>
        <v>46889.5</v>
      </c>
      <c r="G290" s="120">
        <f t="shared" si="12"/>
        <v>24340</v>
      </c>
      <c r="H290" s="245">
        <f t="shared" si="13"/>
        <v>1</v>
      </c>
      <c r="I290" s="121">
        <f t="shared" si="14"/>
        <v>1.04</v>
      </c>
      <c r="J290" s="121">
        <f t="shared" si="15"/>
        <v>1.04</v>
      </c>
      <c r="K290" s="120">
        <f t="shared" si="16"/>
        <v>0</v>
      </c>
      <c r="L290" s="120">
        <f t="shared" si="17"/>
        <v>0</v>
      </c>
      <c r="M290" s="246">
        <f t="shared" si="18"/>
        <v>0</v>
      </c>
      <c r="N290" s="121">
        <f t="shared" si="19"/>
        <v>1.04</v>
      </c>
      <c r="O290" s="246">
        <f t="shared" si="20"/>
        <v>0.9</v>
      </c>
      <c r="P290" s="121">
        <f t="shared" si="21"/>
        <v>0</v>
      </c>
      <c r="Q290" s="121">
        <f t="shared" si="22"/>
        <v>0</v>
      </c>
      <c r="R290" s="121">
        <f t="shared" si="23"/>
        <v>1</v>
      </c>
      <c r="AE290" s="160">
        <f t="shared" si="24"/>
        <v>1.0173913043478262</v>
      </c>
    </row>
    <row r="291" spans="1:31" x14ac:dyDescent="0.3">
      <c r="A291" s="187">
        <v>42</v>
      </c>
      <c r="B291" s="242">
        <f t="shared" si="25"/>
        <v>46905</v>
      </c>
      <c r="C291" s="243">
        <f t="shared" si="8"/>
        <v>46934</v>
      </c>
      <c r="D291" s="120">
        <f t="shared" si="9"/>
        <v>30</v>
      </c>
      <c r="E291" s="120">
        <f t="shared" si="10"/>
        <v>6</v>
      </c>
      <c r="F291" s="275">
        <f t="shared" si="11"/>
        <v>46920</v>
      </c>
      <c r="G291" s="120">
        <f t="shared" si="12"/>
        <v>24341</v>
      </c>
      <c r="H291" s="245">
        <f t="shared" si="13"/>
        <v>1</v>
      </c>
      <c r="I291" s="121">
        <f t="shared" si="14"/>
        <v>1.04</v>
      </c>
      <c r="J291" s="121">
        <f t="shared" si="15"/>
        <v>1.04</v>
      </c>
      <c r="K291" s="120">
        <f t="shared" si="16"/>
        <v>0</v>
      </c>
      <c r="L291" s="120">
        <f t="shared" si="17"/>
        <v>0</v>
      </c>
      <c r="M291" s="246">
        <f t="shared" si="18"/>
        <v>0</v>
      </c>
      <c r="N291" s="121">
        <f t="shared" si="19"/>
        <v>1.04</v>
      </c>
      <c r="O291" s="246">
        <f t="shared" si="20"/>
        <v>0.9</v>
      </c>
      <c r="P291" s="121">
        <f t="shared" si="21"/>
        <v>0</v>
      </c>
      <c r="Q291" s="121">
        <f t="shared" si="22"/>
        <v>0</v>
      </c>
      <c r="R291" s="121">
        <f t="shared" si="23"/>
        <v>1</v>
      </c>
      <c r="AE291" s="160">
        <f t="shared" si="24"/>
        <v>1.0173913043478262</v>
      </c>
    </row>
    <row r="292" spans="1:31" x14ac:dyDescent="0.3">
      <c r="A292" s="187">
        <v>43</v>
      </c>
      <c r="B292" s="242">
        <f t="shared" si="25"/>
        <v>46935</v>
      </c>
      <c r="C292" s="243">
        <f t="shared" si="8"/>
        <v>46965</v>
      </c>
      <c r="D292" s="120">
        <f t="shared" si="9"/>
        <v>31</v>
      </c>
      <c r="E292" s="120">
        <f t="shared" si="10"/>
        <v>7</v>
      </c>
      <c r="F292" s="275">
        <f t="shared" si="11"/>
        <v>46950.5</v>
      </c>
      <c r="G292" s="120">
        <f t="shared" si="12"/>
        <v>24342</v>
      </c>
      <c r="H292" s="245">
        <f t="shared" si="13"/>
        <v>1</v>
      </c>
      <c r="I292" s="121">
        <f t="shared" si="14"/>
        <v>1.04</v>
      </c>
      <c r="J292" s="121">
        <f t="shared" si="15"/>
        <v>1.04</v>
      </c>
      <c r="K292" s="120">
        <f t="shared" si="16"/>
        <v>0</v>
      </c>
      <c r="L292" s="120">
        <f t="shared" si="17"/>
        <v>0</v>
      </c>
      <c r="M292" s="246">
        <f t="shared" si="18"/>
        <v>0</v>
      </c>
      <c r="N292" s="121">
        <f t="shared" si="19"/>
        <v>1.04</v>
      </c>
      <c r="O292" s="246">
        <f t="shared" si="20"/>
        <v>0.9</v>
      </c>
      <c r="P292" s="121">
        <f t="shared" si="21"/>
        <v>0</v>
      </c>
      <c r="Q292" s="121">
        <f t="shared" si="22"/>
        <v>0</v>
      </c>
      <c r="R292" s="121">
        <f t="shared" si="23"/>
        <v>0.91666666666666663</v>
      </c>
      <c r="AE292" s="160">
        <f t="shared" si="24"/>
        <v>1.0173913043478262</v>
      </c>
    </row>
    <row r="293" spans="1:31" x14ac:dyDescent="0.3">
      <c r="A293" s="187">
        <v>44</v>
      </c>
      <c r="B293" s="242">
        <f t="shared" si="25"/>
        <v>46966</v>
      </c>
      <c r="C293" s="243">
        <f t="shared" si="8"/>
        <v>46996</v>
      </c>
      <c r="D293" s="120">
        <f t="shared" si="9"/>
        <v>31</v>
      </c>
      <c r="E293" s="120">
        <f t="shared" si="10"/>
        <v>8</v>
      </c>
      <c r="F293" s="275">
        <f t="shared" si="11"/>
        <v>46981.5</v>
      </c>
      <c r="G293" s="120">
        <f t="shared" si="12"/>
        <v>24343</v>
      </c>
      <c r="H293" s="245">
        <f t="shared" si="13"/>
        <v>1</v>
      </c>
      <c r="I293" s="121">
        <f t="shared" si="14"/>
        <v>1.04</v>
      </c>
      <c r="J293" s="121">
        <f t="shared" si="15"/>
        <v>1.04</v>
      </c>
      <c r="K293" s="120">
        <f t="shared" si="16"/>
        <v>0</v>
      </c>
      <c r="L293" s="120">
        <f t="shared" si="17"/>
        <v>0</v>
      </c>
      <c r="M293" s="246">
        <f t="shared" si="18"/>
        <v>0</v>
      </c>
      <c r="N293" s="121">
        <f t="shared" si="19"/>
        <v>1.04</v>
      </c>
      <c r="O293" s="246">
        <f t="shared" si="20"/>
        <v>0.9</v>
      </c>
      <c r="P293" s="121">
        <f t="shared" si="21"/>
        <v>0</v>
      </c>
      <c r="Q293" s="121">
        <f t="shared" si="22"/>
        <v>0</v>
      </c>
      <c r="R293" s="121">
        <f t="shared" si="23"/>
        <v>0.75</v>
      </c>
      <c r="AE293" s="160">
        <f t="shared" si="24"/>
        <v>1.0173913043478262</v>
      </c>
    </row>
    <row r="294" spans="1:31" x14ac:dyDescent="0.3">
      <c r="A294" s="187">
        <v>45</v>
      </c>
      <c r="B294" s="242">
        <f t="shared" si="25"/>
        <v>46997</v>
      </c>
      <c r="C294" s="243">
        <f t="shared" si="8"/>
        <v>47026</v>
      </c>
      <c r="D294" s="120">
        <f t="shared" si="9"/>
        <v>30</v>
      </c>
      <c r="E294" s="120">
        <f t="shared" si="10"/>
        <v>9</v>
      </c>
      <c r="F294" s="275">
        <f t="shared" si="11"/>
        <v>47012</v>
      </c>
      <c r="G294" s="120">
        <f t="shared" si="12"/>
        <v>24344</v>
      </c>
      <c r="H294" s="245">
        <f t="shared" si="13"/>
        <v>1</v>
      </c>
      <c r="I294" s="121">
        <f t="shared" si="14"/>
        <v>1.04</v>
      </c>
      <c r="J294" s="121">
        <f t="shared" si="15"/>
        <v>1.04</v>
      </c>
      <c r="K294" s="120">
        <f t="shared" si="16"/>
        <v>0</v>
      </c>
      <c r="L294" s="120">
        <f t="shared" si="17"/>
        <v>0</v>
      </c>
      <c r="M294" s="246">
        <f t="shared" si="18"/>
        <v>0</v>
      </c>
      <c r="N294" s="121">
        <f t="shared" si="19"/>
        <v>1.04</v>
      </c>
      <c r="O294" s="246">
        <f t="shared" si="20"/>
        <v>0.9</v>
      </c>
      <c r="P294" s="121">
        <f t="shared" si="21"/>
        <v>0</v>
      </c>
      <c r="Q294" s="121">
        <f t="shared" si="22"/>
        <v>0</v>
      </c>
      <c r="R294" s="121">
        <f t="shared" si="23"/>
        <v>0.58333333333333337</v>
      </c>
      <c r="AE294" s="160">
        <f t="shared" si="24"/>
        <v>1.0173913043478262</v>
      </c>
    </row>
    <row r="295" spans="1:31" x14ac:dyDescent="0.3">
      <c r="A295" s="187">
        <v>46</v>
      </c>
      <c r="B295" s="242">
        <f t="shared" si="25"/>
        <v>47027</v>
      </c>
      <c r="C295" s="243">
        <f t="shared" si="8"/>
        <v>47057</v>
      </c>
      <c r="D295" s="120">
        <f t="shared" si="9"/>
        <v>31</v>
      </c>
      <c r="E295" s="120">
        <f t="shared" si="10"/>
        <v>10</v>
      </c>
      <c r="F295" s="275">
        <f t="shared" si="11"/>
        <v>47042.5</v>
      </c>
      <c r="G295" s="120">
        <f t="shared" si="12"/>
        <v>24345</v>
      </c>
      <c r="H295" s="245">
        <f t="shared" si="13"/>
        <v>1</v>
      </c>
      <c r="I295" s="121">
        <f t="shared" si="14"/>
        <v>1.04</v>
      </c>
      <c r="J295" s="121">
        <f t="shared" si="15"/>
        <v>1.04</v>
      </c>
      <c r="K295" s="120">
        <f t="shared" si="16"/>
        <v>0</v>
      </c>
      <c r="L295" s="120">
        <f t="shared" si="17"/>
        <v>0</v>
      </c>
      <c r="M295" s="246">
        <f t="shared" si="18"/>
        <v>0</v>
      </c>
      <c r="N295" s="121">
        <f t="shared" si="19"/>
        <v>1.04</v>
      </c>
      <c r="O295" s="246">
        <f t="shared" si="20"/>
        <v>0.9</v>
      </c>
      <c r="P295" s="121">
        <f t="shared" si="21"/>
        <v>0</v>
      </c>
      <c r="Q295" s="121">
        <f t="shared" si="22"/>
        <v>0</v>
      </c>
      <c r="R295" s="121">
        <f t="shared" si="23"/>
        <v>0.41666666666666669</v>
      </c>
      <c r="AE295" s="160">
        <f t="shared" si="24"/>
        <v>1.0173913043478262</v>
      </c>
    </row>
    <row r="296" spans="1:31" x14ac:dyDescent="0.3">
      <c r="A296" s="187">
        <v>47</v>
      </c>
      <c r="B296" s="242">
        <f t="shared" si="25"/>
        <v>47058</v>
      </c>
      <c r="C296" s="243">
        <f t="shared" si="8"/>
        <v>47087</v>
      </c>
      <c r="D296" s="120">
        <f t="shared" si="9"/>
        <v>30</v>
      </c>
      <c r="E296" s="120">
        <f t="shared" si="10"/>
        <v>11</v>
      </c>
      <c r="F296" s="275">
        <f t="shared" si="11"/>
        <v>47073</v>
      </c>
      <c r="G296" s="120">
        <f t="shared" si="12"/>
        <v>24346</v>
      </c>
      <c r="H296" s="245">
        <f t="shared" si="13"/>
        <v>1</v>
      </c>
      <c r="I296" s="121">
        <f t="shared" si="14"/>
        <v>1.04</v>
      </c>
      <c r="J296" s="121">
        <f t="shared" si="15"/>
        <v>1.04</v>
      </c>
      <c r="K296" s="120">
        <f t="shared" si="16"/>
        <v>0</v>
      </c>
      <c r="L296" s="120">
        <f t="shared" si="17"/>
        <v>0</v>
      </c>
      <c r="M296" s="246">
        <f t="shared" si="18"/>
        <v>0</v>
      </c>
      <c r="N296" s="121">
        <f t="shared" si="19"/>
        <v>1.04</v>
      </c>
      <c r="O296" s="246">
        <f t="shared" si="20"/>
        <v>0.9</v>
      </c>
      <c r="P296" s="121">
        <f t="shared" si="21"/>
        <v>0</v>
      </c>
      <c r="Q296" s="121">
        <f t="shared" si="22"/>
        <v>0</v>
      </c>
      <c r="R296" s="121">
        <f t="shared" si="23"/>
        <v>0.25</v>
      </c>
      <c r="AE296" s="160">
        <f t="shared" si="24"/>
        <v>1.0173913043478262</v>
      </c>
    </row>
    <row r="297" spans="1:31" x14ac:dyDescent="0.3">
      <c r="A297" s="187">
        <v>48</v>
      </c>
      <c r="B297" s="242">
        <f t="shared" si="25"/>
        <v>47088</v>
      </c>
      <c r="C297" s="243">
        <f t="shared" si="8"/>
        <v>47118</v>
      </c>
      <c r="D297" s="120">
        <f t="shared" si="9"/>
        <v>31</v>
      </c>
      <c r="E297" s="120">
        <f t="shared" si="10"/>
        <v>12</v>
      </c>
      <c r="F297" s="275">
        <f t="shared" si="11"/>
        <v>47103.5</v>
      </c>
      <c r="G297" s="120">
        <f t="shared" si="12"/>
        <v>24347</v>
      </c>
      <c r="H297" s="245">
        <f t="shared" si="13"/>
        <v>1</v>
      </c>
      <c r="I297" s="121">
        <f t="shared" si="14"/>
        <v>1.04</v>
      </c>
      <c r="J297" s="121">
        <f t="shared" si="15"/>
        <v>1.04</v>
      </c>
      <c r="K297" s="120">
        <f t="shared" si="16"/>
        <v>0</v>
      </c>
      <c r="L297" s="120">
        <f t="shared" si="17"/>
        <v>0</v>
      </c>
      <c r="M297" s="246">
        <f t="shared" si="18"/>
        <v>0</v>
      </c>
      <c r="N297" s="121">
        <f t="shared" si="19"/>
        <v>1.04</v>
      </c>
      <c r="O297" s="246">
        <f t="shared" si="20"/>
        <v>0.9</v>
      </c>
      <c r="P297" s="121">
        <f t="shared" si="21"/>
        <v>0</v>
      </c>
      <c r="Q297" s="121">
        <f t="shared" si="22"/>
        <v>0</v>
      </c>
      <c r="R297" s="121">
        <f t="shared" si="23"/>
        <v>8.3333333333333329E-2</v>
      </c>
      <c r="AE297" s="160">
        <f t="shared" si="24"/>
        <v>1.0173913043478262</v>
      </c>
    </row>
    <row r="298" spans="1:31" x14ac:dyDescent="0.3">
      <c r="A298" s="23" t="s">
        <v>1723</v>
      </c>
      <c r="B298" s="279">
        <f>SUM($H$274:$H$285)</f>
        <v>12</v>
      </c>
      <c r="C298" s="160">
        <f>SUMPRODUCT($H$274:$H$285,$W$274:$W$285/$N$262:$N$273,$Y$274:$Y$285)</f>
        <v>12.132811436996134</v>
      </c>
      <c r="D298" s="160">
        <f>SUMPRODUCT($H$274:$H$285,$X$274:$X$285/$N$262:$N$273,$Y$274:$Y$285)</f>
        <v>9.0400456921166548</v>
      </c>
      <c r="E298" s="281" t="str">
        <f>IF(OR($D$247=0,$P$247=0,$D298=0),"n/a",((1+$E$247)*$B298-$C298)/$D298)</f>
        <v>n/a</v>
      </c>
      <c r="F298" s="281" t="str">
        <f>IF($V$247&lt;&gt;"",$V$247,$E298)</f>
        <v>n/a</v>
      </c>
      <c r="G298" s="281" t="str">
        <f>IF(OR(NOT(ISNUMBER($F298)),nd_Ach=0),"n/a",$F298/nd_Ach)</f>
        <v>n/a</v>
      </c>
      <c r="H298" s="220" t="str">
        <f>IF(OR(NOT(ISNUMBER($F298)),$F$247=0,SUMPRODUCT($AD$274:$AD$285,$AB$274:$AB$285)=0),"n/a",((1+$E$247)*$B298-SUMPRODUCT($AD$274:$AD$285,$AC$274:$AC$285))/SUMPRODUCT($AD$274:$AD$285,$AB$274:$AB$285))</f>
        <v>n/a</v>
      </c>
      <c r="I298" s="183" t="str">
        <f>IF(NOT(ISNUMBER($F298)),"n/a",SUMPRODUCT($H$274:$H$285,($W$274:$W$285+$X$274:$X$285*$F298)/$N$262:$N$273)/$B298-1)</f>
        <v>n/a</v>
      </c>
      <c r="J298" s="183" t="str">
        <f>IF(OR(NOT(ISNUMBER($I298)),$F$247=0),"n/a",(1+$E$247)/(1+$I298)-1)</f>
        <v>n/a</v>
      </c>
      <c r="K298" s="183" t="str">
        <f>IF(NOT(ISNUMBER($F298)),"n/a",($C298+$D298*$F298)/$B298-1)</f>
        <v>n/a</v>
      </c>
      <c r="L298" s="229" t="str">
        <f>IF(NOT(ISNUMBER($F298)),"n/a",SUMPRODUCT($H$274:$H$285,$AF$274:$AF$285)/$B298)</f>
        <v>n/a</v>
      </c>
      <c r="M298" s="23" t="str">
        <f>IF($D$247=0,"",TRIM(IF(AND(ISNUMBER($H298),OR($H298&lt;0.5,$H298&gt;1.5)),"MOD-BOUND ","")&amp;IF(AND(ISNUMBER($F298),ABS($F298)&gt;nr_SolvMaxRate),"RATE-BOUND ","")&amp;IF(AND(ISNUMBER($L298),$L298&lt;nr_SolvMinShare),"THIN-SHARE ","")&amp;IF($W$247&gt;1,"MULTI-PLANNED ","")&amp;IF($F$247=0,"RATE-ONLY","")))</f>
        <v/>
      </c>
      <c r="N298" s="229" t="str">
        <f>IF(OR($D$247=0,NOT(ISNUMBER($F298))),"n/a",INDEX(calc_lrcur,$C$247)*INDEX(calc_crl,$C$247)/(SUMPRODUCT($H$250:$H$297,$Q$250:$Q$297,$AE$250:$AE$297)/SUMPRODUCT($H$250:$H$297,$Q$250:$Q$297))*INDEX(calc_aother,$C$247))</f>
        <v>n/a</v>
      </c>
      <c r="O298" s="229" t="str">
        <f>IF($D$247=0,"n/a",INDEX(calc_cylr_p,$C$247))</f>
        <v>n/a</v>
      </c>
      <c r="P298" s="282">
        <f>IF(NOT(ISNUMBER($E298)),0,ABS(($C298+$D298*$E298)/$B298-(1+$E$247)))</f>
        <v>0</v>
      </c>
    </row>
    <row r="303" spans="1:31" x14ac:dyDescent="0.3">
      <c r="A303" s="23" t="str">
        <f>_lists!$B$4</f>
        <v>CO</v>
      </c>
      <c r="B303" s="23" t="str">
        <f>IF(OR($A303="",nd_BU="All"),"",nd_BU&amp;"|"&amp;$A303)</f>
        <v>SBA|CO</v>
      </c>
      <c r="C303" s="43">
        <f>IF($B303="",0,IF(COUNTIF(lr_key,$B303)=0,0,MATCH($B303,lr_key,0)))</f>
        <v>44</v>
      </c>
      <c r="D303" s="43">
        <f>IF($C303=0,0,IF(ISBLANK(INDEX(lr_netp,$C303)),0,1))</f>
        <v>0</v>
      </c>
      <c r="E303" s="229">
        <f>IF($D303=0,0,N(INDEX(lr_netp,$C303)))</f>
        <v>0</v>
      </c>
      <c r="F303" s="43">
        <f>IF($C303=0,0,IF(AND(nr_ModAdjMaster="ON",INDEX(lr_modadj,$C303)="ON"),1,0))</f>
        <v>1</v>
      </c>
      <c r="G303" s="220">
        <f>IF($C303=0,1,IF(N(INDEX(lr_mind,$C303))=0,1,INDEX(lr_mind,$C303)))</f>
        <v>0.92</v>
      </c>
      <c r="H303" s="220">
        <f>IF($C303=0,1,IF(N(INDEX(lr_m0,$C303))=0,1,INDEX(lr_m0,$C303)))</f>
        <v>0.91</v>
      </c>
      <c r="I303" s="278">
        <f>IF($C303=0,DATE(nr_PlanYear-1,10,1),IF(N(INDEX(lr_m0asof,$C303))=0,DATE(nr_PlanYear-1,10,1),INDEX(lr_m0asof,$C303)))</f>
        <v>46295</v>
      </c>
      <c r="J303" s="220">
        <f>IF($C303=0,1,IF(N(INDEX(lr_m1,$C303))=0,1,INDEX(lr_m1,$C303)))</f>
        <v>0.91500000000000004</v>
      </c>
      <c r="K303" s="220">
        <f>IF($C303=0,0,N(INDEX(lr_mprior,$C303)))</f>
        <v>0</v>
      </c>
      <c r="L303" s="220">
        <f>IF($C303=0,0,N(INDEX(lr_m2,$C303)))</f>
        <v>0</v>
      </c>
      <c r="M303" s="43">
        <f>IF(OR($A303="",COUNTIF(se_state,$A303)=0),0,MATCH($A303,se_state,0))</f>
        <v>0</v>
      </c>
      <c r="N303" s="279">
        <f>IF($M303=0,0,INDEX(se_sum,$M303))</f>
        <v>0</v>
      </c>
      <c r="O303" s="278">
        <f>IF('Net Delivery'!$D$10="",$X303,'Net Delivery'!$D$10)</f>
        <v>46478</v>
      </c>
      <c r="P303" s="43">
        <f>IF(AND($O303&gt;=DATE(nr_PlanYear,1,1),$O303&lt;=DATE(nr_PlanYear,12,31)),1,0)</f>
        <v>1</v>
      </c>
      <c r="Q303" s="43">
        <f>YEAR($O303)*12+MONTH($O303)-1</f>
        <v>24327</v>
      </c>
      <c r="R303" s="43">
        <f>DAY(EOMONTH($O303,0))</f>
        <v>30</v>
      </c>
      <c r="S303" s="43">
        <f>EOMONTH($O303,0)-$O303+1</f>
        <v>30</v>
      </c>
      <c r="T303" s="43">
        <f>SUMIFS(ndl_days,rl_key,$B303,ndl_effmonth,DATE(YEAR($O303),MONTH($O303),1),ndl_first,1)</f>
        <v>0</v>
      </c>
      <c r="U303" s="220">
        <f>IF($P303=1,MIN(1,MAX($S303,$T303)/$R303),1)</f>
        <v>1</v>
      </c>
      <c r="V303" s="280" t="str">
        <f>IF(ISBLANK('Net Delivery'!$E$10),$Y303,'Net Delivery'!$E$10)</f>
        <v/>
      </c>
      <c r="W303" s="43">
        <f>IF($B303="",0,COUNTIFS(rl_key,$B303,rl_status,"planned",rl_eff,"&gt;="&amp;DATE(nr_PlanYear,1,1),rl_eff,"&lt;="&amp;DATE(nr_PlanYear,12,31)))</f>
        <v>0</v>
      </c>
      <c r="X303" s="278">
        <f>IF($W303=0,nd_DefaultDate,SUMIFS(rl_eff,rl_key,$B303,rl_firstplanned,1))</f>
        <v>46478</v>
      </c>
      <c r="Y303" s="280" t="str">
        <f>IF($W303=0,"",SUMIFS(rl_reff,rl_key,$B303,rl_firstplanned,1))</f>
        <v/>
      </c>
      <c r="Z303" s="280" t="str">
        <f>IF($W303=0,"",SUMIFS(rl_filed,rl_key,$B303,rl_firstplanned,1))</f>
        <v/>
      </c>
    </row>
    <row r="304" spans="1:31" x14ac:dyDescent="0.3">
      <c r="A304" s="6">
        <f>EDATE($I$303,-12)+1</f>
        <v>45931</v>
      </c>
      <c r="B304" s="6">
        <f>$I$303+1</f>
        <v>46296</v>
      </c>
      <c r="C304" s="6">
        <f>DATE(nr_PlanYear,12,31)+1</f>
        <v>46753</v>
      </c>
      <c r="D304" s="6">
        <f>DATE(nr_PlanYear+1,12,31)+1</f>
        <v>47119</v>
      </c>
      <c r="E304" s="6">
        <f>IF(N($K$303)=0,$F$304-($G$304-$F$304)/($C$304-$B$304)*($B$304-$A$304),$K$303)</f>
        <v>0.90600656455142237</v>
      </c>
      <c r="F304" s="6">
        <f>$H$303</f>
        <v>0.91</v>
      </c>
      <c r="G304" s="6">
        <f>$J$303</f>
        <v>0.91500000000000004</v>
      </c>
      <c r="H304" s="6">
        <f>IF(N($L$303)=0,$J$303,$L$303)</f>
        <v>0.91500000000000004</v>
      </c>
      <c r="I304" s="6">
        <f>($F$304-$E$304)/($B$304-$A$304)</f>
        <v>1.0940919037199081E-5</v>
      </c>
      <c r="J304" s="6">
        <f>($G$304-$F$304)/($C$304-$B$304)</f>
        <v>1.0940919037199135E-5</v>
      </c>
      <c r="K304" s="6">
        <f>($H$304-$G$304)/($D$304-$C$304)</f>
        <v>0</v>
      </c>
    </row>
    <row r="305" spans="1:31" ht="36" x14ac:dyDescent="0.3">
      <c r="A305" s="58" t="s">
        <v>390</v>
      </c>
      <c r="B305" s="58" t="s">
        <v>449</v>
      </c>
      <c r="C305" s="58" t="s">
        <v>685</v>
      </c>
      <c r="D305" s="58" t="s">
        <v>686</v>
      </c>
      <c r="E305" s="58" t="s">
        <v>687</v>
      </c>
      <c r="F305" s="58" t="s">
        <v>688</v>
      </c>
      <c r="G305" s="58" t="s">
        <v>689</v>
      </c>
      <c r="H305" s="58" t="s">
        <v>452</v>
      </c>
      <c r="I305" s="58" t="s">
        <v>690</v>
      </c>
      <c r="J305" s="58" t="s">
        <v>691</v>
      </c>
      <c r="K305" s="58" t="s">
        <v>692</v>
      </c>
      <c r="L305" s="58" t="s">
        <v>693</v>
      </c>
      <c r="M305" s="58" t="s">
        <v>694</v>
      </c>
      <c r="N305" s="58" t="s">
        <v>695</v>
      </c>
      <c r="O305" s="58" t="s">
        <v>696</v>
      </c>
      <c r="P305" s="58" t="s">
        <v>697</v>
      </c>
      <c r="Q305" s="58" t="s">
        <v>698</v>
      </c>
      <c r="R305" s="58" t="s">
        <v>699</v>
      </c>
      <c r="S305" s="58" t="s">
        <v>700</v>
      </c>
      <c r="T305" s="58" t="s">
        <v>701</v>
      </c>
      <c r="U305" s="58" t="s">
        <v>702</v>
      </c>
    </row>
    <row r="306" spans="1:31" x14ac:dyDescent="0.3">
      <c r="A306" s="187">
        <v>1</v>
      </c>
      <c r="B306" s="242">
        <f>DATE(nr_PlanYear-2,1,1)</f>
        <v>45658</v>
      </c>
      <c r="C306" s="243">
        <f t="shared" ref="C306:C353" si="36">EOMONTH($B306,0)</f>
        <v>45688</v>
      </c>
      <c r="D306" s="120">
        <f t="shared" ref="D306:D353" si="37">$C306-$B306+1</f>
        <v>31</v>
      </c>
      <c r="E306" s="120">
        <f t="shared" ref="E306:E353" si="38">MONTH($B306)</f>
        <v>1</v>
      </c>
      <c r="F306" s="275">
        <f t="shared" ref="F306:F353" si="39">($B306+$C306+1)/2</f>
        <v>45673.5</v>
      </c>
      <c r="G306" s="120">
        <f t="shared" ref="G306:G353" si="40">YEAR($B306)*12+MONTH($B306)-1</f>
        <v>24300</v>
      </c>
      <c r="H306" s="245">
        <f t="shared" ref="H306:H353" si="41">IF(OR(nr_SeasonOn="OFF",$M$303=0,$N$303=0),1,12*INDEX(se_block,$M$303,$E306)/$N$303)</f>
        <v>1</v>
      </c>
      <c r="I306" s="121">
        <f t="shared" ref="I306:I353" si="42">EXP(SUMPRODUCT((ndl_eff&lt;$B306)*(rl_key=$B$303)*ndl_ln))</f>
        <v>1</v>
      </c>
      <c r="J306" s="121">
        <f t="shared" ref="J306:J353" si="43">EXP(SUMPRODUCT((ndl_eff&lt;=$C306)*(rl_key=$B$303)*ndl_ln))</f>
        <v>1</v>
      </c>
      <c r="K306" s="120">
        <f t="shared" ref="K306:K353" si="44">COUNTIFS(rl_key,$B$303,ndl_eff,"&gt;="&amp;$B306,ndl_eff,"&lt;="&amp;$C306)</f>
        <v>0</v>
      </c>
      <c r="L306" s="120">
        <f t="shared" ref="L306:L353" si="45">SUMIFS(ndl_days,rl_key,$B$303,ndl_effmonth,$B306,ndl_first,1)</f>
        <v>0</v>
      </c>
      <c r="M306" s="246">
        <f t="shared" ref="M306:M353" si="46">IF($K306=0,0,MIN(1,$L306/$D306))</f>
        <v>0</v>
      </c>
      <c r="N306" s="121">
        <f t="shared" ref="N306:N353" si="47">IF($K306=0,$J306,(1-$M306)*$I306+$M306*$J306)</f>
        <v>1</v>
      </c>
      <c r="O306" s="246">
        <f t="shared" ref="O306:O353" si="48">IF($F306&lt;$B$304,$E$304+$I$304*($F306-$A$304),IF($F306&lt;$C$304,$F$304+$J$304*($F306-$B$304),$G$304+$K$304*($F306-$C$304)))</f>
        <v>0.90318927789934356</v>
      </c>
      <c r="P306" s="121">
        <f t="shared" ref="P306:P353" si="49">MIN(1,MAX(0,(nr_MEndPm1-$G306+0.5)/nr_TermMonths))-MIN(1,MAX(0,(nr_MStartPm1-1-$G306+0.5)/nr_TermMonths))</f>
        <v>0</v>
      </c>
      <c r="Q306" s="121">
        <f t="shared" ref="Q306:Q353" si="50">MIN(1,MAX(0,(nr_MEndP-$G306+0.5)/nr_TermMonths))-MIN(1,MAX(0,(nr_MStartP-1-$G306+0.5)/nr_TermMonths))</f>
        <v>0</v>
      </c>
      <c r="R306" s="121">
        <f t="shared" ref="R306:R353" si="51">MIN(1,MAX(0,(nr_MEndP1-$G306+0.5)/nr_TermMonths))-MIN(1,MAX(0,(nr_MStartP1-1-$G306+0.5)/nr_TermMonths))</f>
        <v>0</v>
      </c>
      <c r="AE306" s="160">
        <f t="shared" ref="AE306:AE353" si="52">IF(OR($G306&lt;nr_MStartP,$G306&gt;=nr_MStartP1),IF($F$303=1,$N306*$O306/$G$303,$N306),($W306+$X306*IF(ISNUMBER($F$354),$F$354,0))*IF($F$303=1,($AC306+$AB306*IF(ISNUMBER($H$354),$H$354,$J$303))/$G$303,1))</f>
        <v>0.98172747597754728</v>
      </c>
    </row>
    <row r="307" spans="1:31" x14ac:dyDescent="0.3">
      <c r="A307" s="187">
        <v>2</v>
      </c>
      <c r="B307" s="242">
        <f t="shared" ref="B307:B353" si="53">EDATE($B306,1)</f>
        <v>45689</v>
      </c>
      <c r="C307" s="243">
        <f t="shared" si="36"/>
        <v>45716</v>
      </c>
      <c r="D307" s="120">
        <f t="shared" si="37"/>
        <v>28</v>
      </c>
      <c r="E307" s="120">
        <f t="shared" si="38"/>
        <v>2</v>
      </c>
      <c r="F307" s="275">
        <f t="shared" si="39"/>
        <v>45703</v>
      </c>
      <c r="G307" s="120">
        <f t="shared" si="40"/>
        <v>24301</v>
      </c>
      <c r="H307" s="245">
        <f t="shared" si="41"/>
        <v>1</v>
      </c>
      <c r="I307" s="121">
        <f t="shared" si="42"/>
        <v>1</v>
      </c>
      <c r="J307" s="121">
        <f t="shared" si="43"/>
        <v>1</v>
      </c>
      <c r="K307" s="120">
        <f t="shared" si="44"/>
        <v>0</v>
      </c>
      <c r="L307" s="120">
        <f t="shared" si="45"/>
        <v>0</v>
      </c>
      <c r="M307" s="246">
        <f t="shared" si="46"/>
        <v>0</v>
      </c>
      <c r="N307" s="121">
        <f t="shared" si="47"/>
        <v>1</v>
      </c>
      <c r="O307" s="246">
        <f t="shared" si="48"/>
        <v>0.90351203501094102</v>
      </c>
      <c r="P307" s="121">
        <f t="shared" si="49"/>
        <v>0</v>
      </c>
      <c r="Q307" s="121">
        <f t="shared" si="50"/>
        <v>0</v>
      </c>
      <c r="R307" s="121">
        <f t="shared" si="51"/>
        <v>0</v>
      </c>
      <c r="AE307" s="160">
        <f t="shared" si="52"/>
        <v>0.98207829892493581</v>
      </c>
    </row>
    <row r="308" spans="1:31" x14ac:dyDescent="0.3">
      <c r="A308" s="187">
        <v>3</v>
      </c>
      <c r="B308" s="242">
        <f t="shared" si="53"/>
        <v>45717</v>
      </c>
      <c r="C308" s="243">
        <f t="shared" si="36"/>
        <v>45747</v>
      </c>
      <c r="D308" s="120">
        <f t="shared" si="37"/>
        <v>31</v>
      </c>
      <c r="E308" s="120">
        <f t="shared" si="38"/>
        <v>3</v>
      </c>
      <c r="F308" s="275">
        <f t="shared" si="39"/>
        <v>45732.5</v>
      </c>
      <c r="G308" s="120">
        <f t="shared" si="40"/>
        <v>24302</v>
      </c>
      <c r="H308" s="245">
        <f t="shared" si="41"/>
        <v>1</v>
      </c>
      <c r="I308" s="121">
        <f t="shared" si="42"/>
        <v>1</v>
      </c>
      <c r="J308" s="121">
        <f t="shared" si="43"/>
        <v>1</v>
      </c>
      <c r="K308" s="120">
        <f t="shared" si="44"/>
        <v>0</v>
      </c>
      <c r="L308" s="120">
        <f t="shared" si="45"/>
        <v>0</v>
      </c>
      <c r="M308" s="246">
        <f t="shared" si="46"/>
        <v>0</v>
      </c>
      <c r="N308" s="121">
        <f t="shared" si="47"/>
        <v>1</v>
      </c>
      <c r="O308" s="246">
        <f t="shared" si="48"/>
        <v>0.90383479212253837</v>
      </c>
      <c r="P308" s="121">
        <f t="shared" si="49"/>
        <v>0</v>
      </c>
      <c r="Q308" s="121">
        <f t="shared" si="50"/>
        <v>0</v>
      </c>
      <c r="R308" s="121">
        <f t="shared" si="51"/>
        <v>0</v>
      </c>
      <c r="AE308" s="160">
        <f t="shared" si="52"/>
        <v>0.98242912187232423</v>
      </c>
    </row>
    <row r="309" spans="1:31" x14ac:dyDescent="0.3">
      <c r="A309" s="187">
        <v>4</v>
      </c>
      <c r="B309" s="242">
        <f t="shared" si="53"/>
        <v>45748</v>
      </c>
      <c r="C309" s="243">
        <f t="shared" si="36"/>
        <v>45777</v>
      </c>
      <c r="D309" s="120">
        <f t="shared" si="37"/>
        <v>30</v>
      </c>
      <c r="E309" s="120">
        <f t="shared" si="38"/>
        <v>4</v>
      </c>
      <c r="F309" s="275">
        <f t="shared" si="39"/>
        <v>45763</v>
      </c>
      <c r="G309" s="120">
        <f t="shared" si="40"/>
        <v>24303</v>
      </c>
      <c r="H309" s="245">
        <f t="shared" si="41"/>
        <v>1</v>
      </c>
      <c r="I309" s="121">
        <f t="shared" si="42"/>
        <v>1</v>
      </c>
      <c r="J309" s="121">
        <f t="shared" si="43"/>
        <v>1</v>
      </c>
      <c r="K309" s="120">
        <f t="shared" si="44"/>
        <v>0</v>
      </c>
      <c r="L309" s="120">
        <f t="shared" si="45"/>
        <v>0</v>
      </c>
      <c r="M309" s="246">
        <f t="shared" si="46"/>
        <v>0</v>
      </c>
      <c r="N309" s="121">
        <f t="shared" si="47"/>
        <v>1</v>
      </c>
      <c r="O309" s="246">
        <f t="shared" si="48"/>
        <v>0.90416849015317291</v>
      </c>
      <c r="P309" s="121">
        <f t="shared" si="49"/>
        <v>0</v>
      </c>
      <c r="Q309" s="121">
        <f t="shared" si="50"/>
        <v>0</v>
      </c>
      <c r="R309" s="121">
        <f t="shared" si="51"/>
        <v>0</v>
      </c>
      <c r="AE309" s="160">
        <f t="shared" si="52"/>
        <v>0.98279183712301399</v>
      </c>
    </row>
    <row r="310" spans="1:31" x14ac:dyDescent="0.3">
      <c r="A310" s="187">
        <v>5</v>
      </c>
      <c r="B310" s="242">
        <f t="shared" si="53"/>
        <v>45778</v>
      </c>
      <c r="C310" s="243">
        <f t="shared" si="36"/>
        <v>45808</v>
      </c>
      <c r="D310" s="120">
        <f t="shared" si="37"/>
        <v>31</v>
      </c>
      <c r="E310" s="120">
        <f t="shared" si="38"/>
        <v>5</v>
      </c>
      <c r="F310" s="275">
        <f t="shared" si="39"/>
        <v>45793.5</v>
      </c>
      <c r="G310" s="120">
        <f t="shared" si="40"/>
        <v>24304</v>
      </c>
      <c r="H310" s="245">
        <f t="shared" si="41"/>
        <v>1</v>
      </c>
      <c r="I310" s="121">
        <f t="shared" si="42"/>
        <v>1</v>
      </c>
      <c r="J310" s="121">
        <f t="shared" si="43"/>
        <v>1</v>
      </c>
      <c r="K310" s="120">
        <f t="shared" si="44"/>
        <v>0</v>
      </c>
      <c r="L310" s="120">
        <f t="shared" si="45"/>
        <v>0</v>
      </c>
      <c r="M310" s="246">
        <f t="shared" si="46"/>
        <v>0</v>
      </c>
      <c r="N310" s="121">
        <f t="shared" si="47"/>
        <v>1</v>
      </c>
      <c r="O310" s="246">
        <f t="shared" si="48"/>
        <v>0.90450218818380745</v>
      </c>
      <c r="P310" s="121">
        <f t="shared" si="49"/>
        <v>0</v>
      </c>
      <c r="Q310" s="121">
        <f t="shared" si="50"/>
        <v>0</v>
      </c>
      <c r="R310" s="121">
        <f t="shared" si="51"/>
        <v>0</v>
      </c>
      <c r="AE310" s="160">
        <f t="shared" si="52"/>
        <v>0.98315455237370375</v>
      </c>
    </row>
    <row r="311" spans="1:31" x14ac:dyDescent="0.3">
      <c r="A311" s="187">
        <v>6</v>
      </c>
      <c r="B311" s="242">
        <f t="shared" si="53"/>
        <v>45809</v>
      </c>
      <c r="C311" s="243">
        <f t="shared" si="36"/>
        <v>45838</v>
      </c>
      <c r="D311" s="120">
        <f t="shared" si="37"/>
        <v>30</v>
      </c>
      <c r="E311" s="120">
        <f t="shared" si="38"/>
        <v>6</v>
      </c>
      <c r="F311" s="275">
        <f t="shared" si="39"/>
        <v>45824</v>
      </c>
      <c r="G311" s="120">
        <f t="shared" si="40"/>
        <v>24305</v>
      </c>
      <c r="H311" s="245">
        <f t="shared" si="41"/>
        <v>1</v>
      </c>
      <c r="I311" s="121">
        <f t="shared" si="42"/>
        <v>1</v>
      </c>
      <c r="J311" s="121">
        <f t="shared" si="43"/>
        <v>1</v>
      </c>
      <c r="K311" s="120">
        <f t="shared" si="44"/>
        <v>0</v>
      </c>
      <c r="L311" s="120">
        <f t="shared" si="45"/>
        <v>0</v>
      </c>
      <c r="M311" s="246">
        <f t="shared" si="46"/>
        <v>0</v>
      </c>
      <c r="N311" s="121">
        <f t="shared" si="47"/>
        <v>1</v>
      </c>
      <c r="O311" s="246">
        <f t="shared" si="48"/>
        <v>0.90483588621444211</v>
      </c>
      <c r="P311" s="121">
        <f t="shared" si="49"/>
        <v>0</v>
      </c>
      <c r="Q311" s="121">
        <f t="shared" si="50"/>
        <v>0</v>
      </c>
      <c r="R311" s="121">
        <f t="shared" si="51"/>
        <v>0</v>
      </c>
      <c r="AE311" s="160">
        <f t="shared" si="52"/>
        <v>0.98351726762439351</v>
      </c>
    </row>
    <row r="312" spans="1:31" x14ac:dyDescent="0.3">
      <c r="A312" s="187">
        <v>7</v>
      </c>
      <c r="B312" s="242">
        <f t="shared" si="53"/>
        <v>45839</v>
      </c>
      <c r="C312" s="243">
        <f t="shared" si="36"/>
        <v>45869</v>
      </c>
      <c r="D312" s="120">
        <f t="shared" si="37"/>
        <v>31</v>
      </c>
      <c r="E312" s="120">
        <f t="shared" si="38"/>
        <v>7</v>
      </c>
      <c r="F312" s="275">
        <f t="shared" si="39"/>
        <v>45854.5</v>
      </c>
      <c r="G312" s="120">
        <f t="shared" si="40"/>
        <v>24306</v>
      </c>
      <c r="H312" s="245">
        <f t="shared" si="41"/>
        <v>1</v>
      </c>
      <c r="I312" s="121">
        <f t="shared" si="42"/>
        <v>1</v>
      </c>
      <c r="J312" s="121">
        <f t="shared" si="43"/>
        <v>1</v>
      </c>
      <c r="K312" s="120">
        <f t="shared" si="44"/>
        <v>0</v>
      </c>
      <c r="L312" s="120">
        <f t="shared" si="45"/>
        <v>0</v>
      </c>
      <c r="M312" s="246">
        <f t="shared" si="46"/>
        <v>0</v>
      </c>
      <c r="N312" s="121">
        <f t="shared" si="47"/>
        <v>1</v>
      </c>
      <c r="O312" s="246">
        <f t="shared" si="48"/>
        <v>0.90516958424507665</v>
      </c>
      <c r="P312" s="121">
        <f t="shared" si="49"/>
        <v>8.333333333333337E-2</v>
      </c>
      <c r="Q312" s="121">
        <f t="shared" si="50"/>
        <v>0</v>
      </c>
      <c r="R312" s="121">
        <f t="shared" si="51"/>
        <v>0</v>
      </c>
      <c r="AE312" s="160">
        <f t="shared" si="52"/>
        <v>0.98387998287508327</v>
      </c>
    </row>
    <row r="313" spans="1:31" x14ac:dyDescent="0.3">
      <c r="A313" s="187">
        <v>8</v>
      </c>
      <c r="B313" s="242">
        <f t="shared" si="53"/>
        <v>45870</v>
      </c>
      <c r="C313" s="243">
        <f t="shared" si="36"/>
        <v>45900</v>
      </c>
      <c r="D313" s="120">
        <f t="shared" si="37"/>
        <v>31</v>
      </c>
      <c r="E313" s="120">
        <f t="shared" si="38"/>
        <v>8</v>
      </c>
      <c r="F313" s="275">
        <f t="shared" si="39"/>
        <v>45885.5</v>
      </c>
      <c r="G313" s="120">
        <f t="shared" si="40"/>
        <v>24307</v>
      </c>
      <c r="H313" s="245">
        <f t="shared" si="41"/>
        <v>1</v>
      </c>
      <c r="I313" s="121">
        <f t="shared" si="42"/>
        <v>1</v>
      </c>
      <c r="J313" s="121">
        <f t="shared" si="43"/>
        <v>1</v>
      </c>
      <c r="K313" s="120">
        <f t="shared" si="44"/>
        <v>0</v>
      </c>
      <c r="L313" s="120">
        <f t="shared" si="45"/>
        <v>0</v>
      </c>
      <c r="M313" s="246">
        <f t="shared" si="46"/>
        <v>0</v>
      </c>
      <c r="N313" s="121">
        <f t="shared" si="47"/>
        <v>1</v>
      </c>
      <c r="O313" s="246">
        <f t="shared" si="48"/>
        <v>0.90550875273522979</v>
      </c>
      <c r="P313" s="121">
        <f t="shared" si="49"/>
        <v>0.25</v>
      </c>
      <c r="Q313" s="121">
        <f t="shared" si="50"/>
        <v>0</v>
      </c>
      <c r="R313" s="121">
        <f t="shared" si="51"/>
        <v>0</v>
      </c>
      <c r="AE313" s="160">
        <f t="shared" si="52"/>
        <v>0.98424864427742365</v>
      </c>
    </row>
    <row r="314" spans="1:31" x14ac:dyDescent="0.3">
      <c r="A314" s="187">
        <v>9</v>
      </c>
      <c r="B314" s="242">
        <f t="shared" si="53"/>
        <v>45901</v>
      </c>
      <c r="C314" s="243">
        <f t="shared" si="36"/>
        <v>45930</v>
      </c>
      <c r="D314" s="120">
        <f t="shared" si="37"/>
        <v>30</v>
      </c>
      <c r="E314" s="120">
        <f t="shared" si="38"/>
        <v>9</v>
      </c>
      <c r="F314" s="275">
        <f t="shared" si="39"/>
        <v>45916</v>
      </c>
      <c r="G314" s="120">
        <f t="shared" si="40"/>
        <v>24308</v>
      </c>
      <c r="H314" s="245">
        <f t="shared" si="41"/>
        <v>1</v>
      </c>
      <c r="I314" s="121">
        <f t="shared" si="42"/>
        <v>1</v>
      </c>
      <c r="J314" s="121">
        <f t="shared" si="43"/>
        <v>1</v>
      </c>
      <c r="K314" s="120">
        <f t="shared" si="44"/>
        <v>0</v>
      </c>
      <c r="L314" s="120">
        <f t="shared" si="45"/>
        <v>0</v>
      </c>
      <c r="M314" s="246">
        <f t="shared" si="46"/>
        <v>0</v>
      </c>
      <c r="N314" s="121">
        <f t="shared" si="47"/>
        <v>1</v>
      </c>
      <c r="O314" s="246">
        <f t="shared" si="48"/>
        <v>0.90584245076586434</v>
      </c>
      <c r="P314" s="121">
        <f t="shared" si="49"/>
        <v>0.41666666666666663</v>
      </c>
      <c r="Q314" s="121">
        <f t="shared" si="50"/>
        <v>0</v>
      </c>
      <c r="R314" s="121">
        <f t="shared" si="51"/>
        <v>0</v>
      </c>
      <c r="AE314" s="160">
        <f t="shared" si="52"/>
        <v>0.98461135952811341</v>
      </c>
    </row>
    <row r="315" spans="1:31" x14ac:dyDescent="0.3">
      <c r="A315" s="187">
        <v>10</v>
      </c>
      <c r="B315" s="242">
        <f t="shared" si="53"/>
        <v>45931</v>
      </c>
      <c r="C315" s="243">
        <f t="shared" si="36"/>
        <v>45961</v>
      </c>
      <c r="D315" s="120">
        <f t="shared" si="37"/>
        <v>31</v>
      </c>
      <c r="E315" s="120">
        <f t="shared" si="38"/>
        <v>10</v>
      </c>
      <c r="F315" s="275">
        <f t="shared" si="39"/>
        <v>45946.5</v>
      </c>
      <c r="G315" s="120">
        <f t="shared" si="40"/>
        <v>24309</v>
      </c>
      <c r="H315" s="245">
        <f t="shared" si="41"/>
        <v>1</v>
      </c>
      <c r="I315" s="121">
        <f t="shared" si="42"/>
        <v>1</v>
      </c>
      <c r="J315" s="121">
        <f t="shared" si="43"/>
        <v>1</v>
      </c>
      <c r="K315" s="120">
        <f t="shared" si="44"/>
        <v>0</v>
      </c>
      <c r="L315" s="120">
        <f t="shared" si="45"/>
        <v>0</v>
      </c>
      <c r="M315" s="246">
        <f t="shared" si="46"/>
        <v>0</v>
      </c>
      <c r="N315" s="121">
        <f t="shared" si="47"/>
        <v>1</v>
      </c>
      <c r="O315" s="246">
        <f t="shared" si="48"/>
        <v>0.90617614879649899</v>
      </c>
      <c r="P315" s="121">
        <f t="shared" si="49"/>
        <v>0.58333333333333326</v>
      </c>
      <c r="Q315" s="121">
        <f t="shared" si="50"/>
        <v>0</v>
      </c>
      <c r="R315" s="121">
        <f t="shared" si="51"/>
        <v>0</v>
      </c>
      <c r="AE315" s="160">
        <f t="shared" si="52"/>
        <v>0.98497407477880317</v>
      </c>
    </row>
    <row r="316" spans="1:31" x14ac:dyDescent="0.3">
      <c r="A316" s="187">
        <v>11</v>
      </c>
      <c r="B316" s="242">
        <f t="shared" si="53"/>
        <v>45962</v>
      </c>
      <c r="C316" s="243">
        <f t="shared" si="36"/>
        <v>45991</v>
      </c>
      <c r="D316" s="120">
        <f t="shared" si="37"/>
        <v>30</v>
      </c>
      <c r="E316" s="120">
        <f t="shared" si="38"/>
        <v>11</v>
      </c>
      <c r="F316" s="275">
        <f t="shared" si="39"/>
        <v>45977</v>
      </c>
      <c r="G316" s="120">
        <f t="shared" si="40"/>
        <v>24310</v>
      </c>
      <c r="H316" s="245">
        <f t="shared" si="41"/>
        <v>1</v>
      </c>
      <c r="I316" s="121">
        <f t="shared" si="42"/>
        <v>1</v>
      </c>
      <c r="J316" s="121">
        <f t="shared" si="43"/>
        <v>1</v>
      </c>
      <c r="K316" s="120">
        <f t="shared" si="44"/>
        <v>0</v>
      </c>
      <c r="L316" s="120">
        <f t="shared" si="45"/>
        <v>0</v>
      </c>
      <c r="M316" s="246">
        <f t="shared" si="46"/>
        <v>0</v>
      </c>
      <c r="N316" s="121">
        <f t="shared" si="47"/>
        <v>1</v>
      </c>
      <c r="O316" s="246">
        <f t="shared" si="48"/>
        <v>0.90650984682713354</v>
      </c>
      <c r="P316" s="121">
        <f t="shared" si="49"/>
        <v>0.75</v>
      </c>
      <c r="Q316" s="121">
        <f t="shared" si="50"/>
        <v>0</v>
      </c>
      <c r="R316" s="121">
        <f t="shared" si="51"/>
        <v>0</v>
      </c>
      <c r="AE316" s="160">
        <f t="shared" si="52"/>
        <v>0.98533679002949293</v>
      </c>
    </row>
    <row r="317" spans="1:31" x14ac:dyDescent="0.3">
      <c r="A317" s="187">
        <v>12</v>
      </c>
      <c r="B317" s="242">
        <f t="shared" si="53"/>
        <v>45992</v>
      </c>
      <c r="C317" s="243">
        <f t="shared" si="36"/>
        <v>46022</v>
      </c>
      <c r="D317" s="120">
        <f t="shared" si="37"/>
        <v>31</v>
      </c>
      <c r="E317" s="120">
        <f t="shared" si="38"/>
        <v>12</v>
      </c>
      <c r="F317" s="275">
        <f t="shared" si="39"/>
        <v>46007.5</v>
      </c>
      <c r="G317" s="120">
        <f t="shared" si="40"/>
        <v>24311</v>
      </c>
      <c r="H317" s="245">
        <f t="shared" si="41"/>
        <v>1</v>
      </c>
      <c r="I317" s="121">
        <f t="shared" si="42"/>
        <v>1</v>
      </c>
      <c r="J317" s="121">
        <f t="shared" si="43"/>
        <v>1</v>
      </c>
      <c r="K317" s="120">
        <f t="shared" si="44"/>
        <v>0</v>
      </c>
      <c r="L317" s="120">
        <f t="shared" si="45"/>
        <v>0</v>
      </c>
      <c r="M317" s="246">
        <f t="shared" si="46"/>
        <v>0</v>
      </c>
      <c r="N317" s="121">
        <f t="shared" si="47"/>
        <v>1</v>
      </c>
      <c r="O317" s="246">
        <f t="shared" si="48"/>
        <v>0.90684354485776808</v>
      </c>
      <c r="P317" s="121">
        <f t="shared" si="49"/>
        <v>0.91666666666666663</v>
      </c>
      <c r="Q317" s="121">
        <f t="shared" si="50"/>
        <v>0</v>
      </c>
      <c r="R317" s="121">
        <f t="shared" si="51"/>
        <v>0</v>
      </c>
      <c r="AE317" s="160">
        <f t="shared" si="52"/>
        <v>0.98569950528018269</v>
      </c>
    </row>
    <row r="318" spans="1:31" x14ac:dyDescent="0.3">
      <c r="A318" s="187">
        <v>13</v>
      </c>
      <c r="B318" s="242">
        <f t="shared" si="53"/>
        <v>46023</v>
      </c>
      <c r="C318" s="243">
        <f t="shared" si="36"/>
        <v>46053</v>
      </c>
      <c r="D318" s="120">
        <f t="shared" si="37"/>
        <v>31</v>
      </c>
      <c r="E318" s="120">
        <f t="shared" si="38"/>
        <v>1</v>
      </c>
      <c r="F318" s="275">
        <f t="shared" si="39"/>
        <v>46038.5</v>
      </c>
      <c r="G318" s="120">
        <f t="shared" si="40"/>
        <v>24312</v>
      </c>
      <c r="H318" s="245">
        <f t="shared" si="41"/>
        <v>1</v>
      </c>
      <c r="I318" s="121">
        <f t="shared" si="42"/>
        <v>1</v>
      </c>
      <c r="J318" s="121">
        <f t="shared" si="43"/>
        <v>1</v>
      </c>
      <c r="K318" s="120">
        <f t="shared" si="44"/>
        <v>0</v>
      </c>
      <c r="L318" s="120">
        <f t="shared" si="45"/>
        <v>0</v>
      </c>
      <c r="M318" s="246">
        <f t="shared" si="46"/>
        <v>0</v>
      </c>
      <c r="N318" s="121">
        <f t="shared" si="47"/>
        <v>1</v>
      </c>
      <c r="O318" s="246">
        <f t="shared" si="48"/>
        <v>0.90718271334792122</v>
      </c>
      <c r="P318" s="121">
        <f t="shared" si="49"/>
        <v>1</v>
      </c>
      <c r="Q318" s="121">
        <f t="shared" si="50"/>
        <v>0</v>
      </c>
      <c r="R318" s="121">
        <f t="shared" si="51"/>
        <v>0</v>
      </c>
      <c r="AE318" s="160">
        <f t="shared" si="52"/>
        <v>0.98606816668252306</v>
      </c>
    </row>
    <row r="319" spans="1:31" x14ac:dyDescent="0.3">
      <c r="A319" s="187">
        <v>14</v>
      </c>
      <c r="B319" s="242">
        <f t="shared" si="53"/>
        <v>46054</v>
      </c>
      <c r="C319" s="243">
        <f t="shared" si="36"/>
        <v>46081</v>
      </c>
      <c r="D319" s="120">
        <f t="shared" si="37"/>
        <v>28</v>
      </c>
      <c r="E319" s="120">
        <f t="shared" si="38"/>
        <v>2</v>
      </c>
      <c r="F319" s="275">
        <f t="shared" si="39"/>
        <v>46068</v>
      </c>
      <c r="G319" s="120">
        <f t="shared" si="40"/>
        <v>24313</v>
      </c>
      <c r="H319" s="245">
        <f t="shared" si="41"/>
        <v>1</v>
      </c>
      <c r="I319" s="121">
        <f t="shared" si="42"/>
        <v>1</v>
      </c>
      <c r="J319" s="121">
        <f t="shared" si="43"/>
        <v>1</v>
      </c>
      <c r="K319" s="120">
        <f t="shared" si="44"/>
        <v>0</v>
      </c>
      <c r="L319" s="120">
        <f t="shared" si="45"/>
        <v>0</v>
      </c>
      <c r="M319" s="246">
        <f t="shared" si="46"/>
        <v>0</v>
      </c>
      <c r="N319" s="121">
        <f t="shared" si="47"/>
        <v>1</v>
      </c>
      <c r="O319" s="246">
        <f t="shared" si="48"/>
        <v>0.90750547045951868</v>
      </c>
      <c r="P319" s="121">
        <f t="shared" si="49"/>
        <v>1</v>
      </c>
      <c r="Q319" s="121">
        <f t="shared" si="50"/>
        <v>0</v>
      </c>
      <c r="R319" s="121">
        <f t="shared" si="51"/>
        <v>0</v>
      </c>
      <c r="AE319" s="160">
        <f t="shared" si="52"/>
        <v>0.98641898962991159</v>
      </c>
    </row>
    <row r="320" spans="1:31" x14ac:dyDescent="0.3">
      <c r="A320" s="187">
        <v>15</v>
      </c>
      <c r="B320" s="242">
        <f t="shared" si="53"/>
        <v>46082</v>
      </c>
      <c r="C320" s="243">
        <f t="shared" si="36"/>
        <v>46112</v>
      </c>
      <c r="D320" s="120">
        <f t="shared" si="37"/>
        <v>31</v>
      </c>
      <c r="E320" s="120">
        <f t="shared" si="38"/>
        <v>3</v>
      </c>
      <c r="F320" s="275">
        <f t="shared" si="39"/>
        <v>46097.5</v>
      </c>
      <c r="G320" s="120">
        <f t="shared" si="40"/>
        <v>24314</v>
      </c>
      <c r="H320" s="245">
        <f t="shared" si="41"/>
        <v>1</v>
      </c>
      <c r="I320" s="121">
        <f t="shared" si="42"/>
        <v>1</v>
      </c>
      <c r="J320" s="121">
        <f t="shared" si="43"/>
        <v>1</v>
      </c>
      <c r="K320" s="120">
        <f t="shared" si="44"/>
        <v>0</v>
      </c>
      <c r="L320" s="120">
        <f t="shared" si="45"/>
        <v>0</v>
      </c>
      <c r="M320" s="246">
        <f t="shared" si="46"/>
        <v>0</v>
      </c>
      <c r="N320" s="121">
        <f t="shared" si="47"/>
        <v>1</v>
      </c>
      <c r="O320" s="246">
        <f t="shared" si="48"/>
        <v>0.90782822757111603</v>
      </c>
      <c r="P320" s="121">
        <f t="shared" si="49"/>
        <v>1</v>
      </c>
      <c r="Q320" s="121">
        <f t="shared" si="50"/>
        <v>0</v>
      </c>
      <c r="R320" s="121">
        <f t="shared" si="51"/>
        <v>0</v>
      </c>
      <c r="AE320" s="160">
        <f t="shared" si="52"/>
        <v>0.98676981257730001</v>
      </c>
    </row>
    <row r="321" spans="1:35" x14ac:dyDescent="0.3">
      <c r="A321" s="187">
        <v>16</v>
      </c>
      <c r="B321" s="242">
        <f t="shared" si="53"/>
        <v>46113</v>
      </c>
      <c r="C321" s="243">
        <f t="shared" si="36"/>
        <v>46142</v>
      </c>
      <c r="D321" s="120">
        <f t="shared" si="37"/>
        <v>30</v>
      </c>
      <c r="E321" s="120">
        <f t="shared" si="38"/>
        <v>4</v>
      </c>
      <c r="F321" s="275">
        <f t="shared" si="39"/>
        <v>46128</v>
      </c>
      <c r="G321" s="120">
        <f t="shared" si="40"/>
        <v>24315</v>
      </c>
      <c r="H321" s="245">
        <f t="shared" si="41"/>
        <v>1</v>
      </c>
      <c r="I321" s="121">
        <f t="shared" si="42"/>
        <v>1</v>
      </c>
      <c r="J321" s="121">
        <f t="shared" si="43"/>
        <v>1</v>
      </c>
      <c r="K321" s="120">
        <f t="shared" si="44"/>
        <v>0</v>
      </c>
      <c r="L321" s="120">
        <f t="shared" si="45"/>
        <v>0</v>
      </c>
      <c r="M321" s="246">
        <f t="shared" si="46"/>
        <v>0</v>
      </c>
      <c r="N321" s="121">
        <f t="shared" si="47"/>
        <v>1</v>
      </c>
      <c r="O321" s="246">
        <f t="shared" si="48"/>
        <v>0.90816192560175057</v>
      </c>
      <c r="P321" s="121">
        <f t="shared" si="49"/>
        <v>1</v>
      </c>
      <c r="Q321" s="121">
        <f t="shared" si="50"/>
        <v>0</v>
      </c>
      <c r="R321" s="121">
        <f t="shared" si="51"/>
        <v>0</v>
      </c>
      <c r="AE321" s="160">
        <f t="shared" si="52"/>
        <v>0.98713252782798966</v>
      </c>
    </row>
    <row r="322" spans="1:35" x14ac:dyDescent="0.3">
      <c r="A322" s="187">
        <v>17</v>
      </c>
      <c r="B322" s="242">
        <f t="shared" si="53"/>
        <v>46143</v>
      </c>
      <c r="C322" s="243">
        <f t="shared" si="36"/>
        <v>46173</v>
      </c>
      <c r="D322" s="120">
        <f t="shared" si="37"/>
        <v>31</v>
      </c>
      <c r="E322" s="120">
        <f t="shared" si="38"/>
        <v>5</v>
      </c>
      <c r="F322" s="275">
        <f t="shared" si="39"/>
        <v>46158.5</v>
      </c>
      <c r="G322" s="120">
        <f t="shared" si="40"/>
        <v>24316</v>
      </c>
      <c r="H322" s="245">
        <f t="shared" si="41"/>
        <v>1</v>
      </c>
      <c r="I322" s="121">
        <f t="shared" si="42"/>
        <v>1</v>
      </c>
      <c r="J322" s="121">
        <f t="shared" si="43"/>
        <v>1</v>
      </c>
      <c r="K322" s="120">
        <f t="shared" si="44"/>
        <v>0</v>
      </c>
      <c r="L322" s="120">
        <f t="shared" si="45"/>
        <v>0</v>
      </c>
      <c r="M322" s="246">
        <f t="shared" si="46"/>
        <v>0</v>
      </c>
      <c r="N322" s="121">
        <f t="shared" si="47"/>
        <v>1</v>
      </c>
      <c r="O322" s="246">
        <f t="shared" si="48"/>
        <v>0.90849562363238512</v>
      </c>
      <c r="P322" s="121">
        <f t="shared" si="49"/>
        <v>1</v>
      </c>
      <c r="Q322" s="121">
        <f t="shared" si="50"/>
        <v>0</v>
      </c>
      <c r="R322" s="121">
        <f t="shared" si="51"/>
        <v>0</v>
      </c>
      <c r="AE322" s="160">
        <f t="shared" si="52"/>
        <v>0.98749524307867942</v>
      </c>
    </row>
    <row r="323" spans="1:35" x14ac:dyDescent="0.3">
      <c r="A323" s="187">
        <v>18</v>
      </c>
      <c r="B323" s="242">
        <f t="shared" si="53"/>
        <v>46174</v>
      </c>
      <c r="C323" s="243">
        <f t="shared" si="36"/>
        <v>46203</v>
      </c>
      <c r="D323" s="120">
        <f t="shared" si="37"/>
        <v>30</v>
      </c>
      <c r="E323" s="120">
        <f t="shared" si="38"/>
        <v>6</v>
      </c>
      <c r="F323" s="275">
        <f t="shared" si="39"/>
        <v>46189</v>
      </c>
      <c r="G323" s="120">
        <f t="shared" si="40"/>
        <v>24317</v>
      </c>
      <c r="H323" s="245">
        <f t="shared" si="41"/>
        <v>1</v>
      </c>
      <c r="I323" s="121">
        <f t="shared" si="42"/>
        <v>1</v>
      </c>
      <c r="J323" s="121">
        <f t="shared" si="43"/>
        <v>1</v>
      </c>
      <c r="K323" s="120">
        <f t="shared" si="44"/>
        <v>0</v>
      </c>
      <c r="L323" s="120">
        <f t="shared" si="45"/>
        <v>0</v>
      </c>
      <c r="M323" s="246">
        <f t="shared" si="46"/>
        <v>0</v>
      </c>
      <c r="N323" s="121">
        <f t="shared" si="47"/>
        <v>1</v>
      </c>
      <c r="O323" s="246">
        <f t="shared" si="48"/>
        <v>0.90882932166301977</v>
      </c>
      <c r="P323" s="121">
        <f t="shared" si="49"/>
        <v>1</v>
      </c>
      <c r="Q323" s="121">
        <f t="shared" si="50"/>
        <v>0</v>
      </c>
      <c r="R323" s="121">
        <f t="shared" si="51"/>
        <v>0</v>
      </c>
      <c r="AE323" s="160">
        <f t="shared" si="52"/>
        <v>0.98785795832936929</v>
      </c>
    </row>
    <row r="324" spans="1:35" x14ac:dyDescent="0.3">
      <c r="A324" s="187">
        <v>19</v>
      </c>
      <c r="B324" s="242">
        <f t="shared" si="53"/>
        <v>46204</v>
      </c>
      <c r="C324" s="243">
        <f t="shared" si="36"/>
        <v>46234</v>
      </c>
      <c r="D324" s="120">
        <f t="shared" si="37"/>
        <v>31</v>
      </c>
      <c r="E324" s="120">
        <f t="shared" si="38"/>
        <v>7</v>
      </c>
      <c r="F324" s="275">
        <f t="shared" si="39"/>
        <v>46219.5</v>
      </c>
      <c r="G324" s="120">
        <f t="shared" si="40"/>
        <v>24318</v>
      </c>
      <c r="H324" s="245">
        <f t="shared" si="41"/>
        <v>1</v>
      </c>
      <c r="I324" s="121">
        <f t="shared" si="42"/>
        <v>1</v>
      </c>
      <c r="J324" s="121">
        <f t="shared" si="43"/>
        <v>1</v>
      </c>
      <c r="K324" s="120">
        <f t="shared" si="44"/>
        <v>0</v>
      </c>
      <c r="L324" s="120">
        <f t="shared" si="45"/>
        <v>0</v>
      </c>
      <c r="M324" s="246">
        <f t="shared" si="46"/>
        <v>0</v>
      </c>
      <c r="N324" s="121">
        <f t="shared" si="47"/>
        <v>1</v>
      </c>
      <c r="O324" s="246">
        <f t="shared" si="48"/>
        <v>0.90916301969365432</v>
      </c>
      <c r="P324" s="121">
        <f t="shared" si="49"/>
        <v>0.91666666666666663</v>
      </c>
      <c r="Q324" s="121">
        <f t="shared" si="50"/>
        <v>8.333333333333337E-2</v>
      </c>
      <c r="R324" s="121">
        <f t="shared" si="51"/>
        <v>0</v>
      </c>
      <c r="AE324" s="160">
        <f t="shared" si="52"/>
        <v>0.98822067358005905</v>
      </c>
    </row>
    <row r="325" spans="1:35" x14ac:dyDescent="0.3">
      <c r="A325" s="187">
        <v>20</v>
      </c>
      <c r="B325" s="242">
        <f t="shared" si="53"/>
        <v>46235</v>
      </c>
      <c r="C325" s="243">
        <f t="shared" si="36"/>
        <v>46265</v>
      </c>
      <c r="D325" s="120">
        <f t="shared" si="37"/>
        <v>31</v>
      </c>
      <c r="E325" s="120">
        <f t="shared" si="38"/>
        <v>8</v>
      </c>
      <c r="F325" s="275">
        <f t="shared" si="39"/>
        <v>46250.5</v>
      </c>
      <c r="G325" s="120">
        <f t="shared" si="40"/>
        <v>24319</v>
      </c>
      <c r="H325" s="245">
        <f t="shared" si="41"/>
        <v>1</v>
      </c>
      <c r="I325" s="121">
        <f t="shared" si="42"/>
        <v>1</v>
      </c>
      <c r="J325" s="121">
        <f t="shared" si="43"/>
        <v>1.05</v>
      </c>
      <c r="K325" s="120">
        <f t="shared" si="44"/>
        <v>1</v>
      </c>
      <c r="L325" s="120">
        <f t="shared" si="45"/>
        <v>31</v>
      </c>
      <c r="M325" s="246">
        <f t="shared" si="46"/>
        <v>1</v>
      </c>
      <c r="N325" s="121">
        <f t="shared" si="47"/>
        <v>1.05</v>
      </c>
      <c r="O325" s="246">
        <f t="shared" si="48"/>
        <v>0.90950218818380746</v>
      </c>
      <c r="P325" s="121">
        <f t="shared" si="49"/>
        <v>0.75</v>
      </c>
      <c r="Q325" s="121">
        <f t="shared" si="50"/>
        <v>0.25</v>
      </c>
      <c r="R325" s="121">
        <f t="shared" si="51"/>
        <v>0</v>
      </c>
      <c r="AE325" s="160">
        <f t="shared" si="52"/>
        <v>1.0380188017315193</v>
      </c>
    </row>
    <row r="326" spans="1:35" x14ac:dyDescent="0.3">
      <c r="A326" s="187">
        <v>21</v>
      </c>
      <c r="B326" s="242">
        <f t="shared" si="53"/>
        <v>46266</v>
      </c>
      <c r="C326" s="243">
        <f t="shared" si="36"/>
        <v>46295</v>
      </c>
      <c r="D326" s="120">
        <f t="shared" si="37"/>
        <v>30</v>
      </c>
      <c r="E326" s="120">
        <f t="shared" si="38"/>
        <v>9</v>
      </c>
      <c r="F326" s="275">
        <f t="shared" si="39"/>
        <v>46281</v>
      </c>
      <c r="G326" s="120">
        <f t="shared" si="40"/>
        <v>24320</v>
      </c>
      <c r="H326" s="245">
        <f t="shared" si="41"/>
        <v>1</v>
      </c>
      <c r="I326" s="121">
        <f t="shared" si="42"/>
        <v>1.05</v>
      </c>
      <c r="J326" s="121">
        <f t="shared" si="43"/>
        <v>1.05</v>
      </c>
      <c r="K326" s="120">
        <f t="shared" si="44"/>
        <v>0</v>
      </c>
      <c r="L326" s="120">
        <f t="shared" si="45"/>
        <v>0</v>
      </c>
      <c r="M326" s="246">
        <f t="shared" si="46"/>
        <v>0</v>
      </c>
      <c r="N326" s="121">
        <f t="shared" si="47"/>
        <v>1.05</v>
      </c>
      <c r="O326" s="246">
        <f t="shared" si="48"/>
        <v>0.909835886214442</v>
      </c>
      <c r="P326" s="121">
        <f t="shared" si="49"/>
        <v>0.58333333333333337</v>
      </c>
      <c r="Q326" s="121">
        <f t="shared" si="50"/>
        <v>0.41666666666666663</v>
      </c>
      <c r="R326" s="121">
        <f t="shared" si="51"/>
        <v>0</v>
      </c>
      <c r="AE326" s="160">
        <f t="shared" si="52"/>
        <v>1.0383996527447437</v>
      </c>
    </row>
    <row r="327" spans="1:35" x14ac:dyDescent="0.3">
      <c r="A327" s="187">
        <v>22</v>
      </c>
      <c r="B327" s="242">
        <f t="shared" si="53"/>
        <v>46296</v>
      </c>
      <c r="C327" s="243">
        <f t="shared" si="36"/>
        <v>46326</v>
      </c>
      <c r="D327" s="120">
        <f t="shared" si="37"/>
        <v>31</v>
      </c>
      <c r="E327" s="120">
        <f t="shared" si="38"/>
        <v>10</v>
      </c>
      <c r="F327" s="275">
        <f t="shared" si="39"/>
        <v>46311.5</v>
      </c>
      <c r="G327" s="120">
        <f t="shared" si="40"/>
        <v>24321</v>
      </c>
      <c r="H327" s="245">
        <f t="shared" si="41"/>
        <v>1</v>
      </c>
      <c r="I327" s="121">
        <f t="shared" si="42"/>
        <v>1.05</v>
      </c>
      <c r="J327" s="121">
        <f t="shared" si="43"/>
        <v>1.05</v>
      </c>
      <c r="K327" s="120">
        <f t="shared" si="44"/>
        <v>0</v>
      </c>
      <c r="L327" s="120">
        <f t="shared" si="45"/>
        <v>0</v>
      </c>
      <c r="M327" s="246">
        <f t="shared" si="46"/>
        <v>0</v>
      </c>
      <c r="N327" s="121">
        <f t="shared" si="47"/>
        <v>1.05</v>
      </c>
      <c r="O327" s="246">
        <f t="shared" si="48"/>
        <v>0.91016958424507666</v>
      </c>
      <c r="P327" s="121">
        <f t="shared" si="49"/>
        <v>0.41666666666666669</v>
      </c>
      <c r="Q327" s="121">
        <f t="shared" si="50"/>
        <v>0.58333333333333326</v>
      </c>
      <c r="R327" s="121">
        <f t="shared" si="51"/>
        <v>0</v>
      </c>
      <c r="AE327" s="160">
        <f t="shared" si="52"/>
        <v>1.0387805037579678</v>
      </c>
    </row>
    <row r="328" spans="1:35" x14ac:dyDescent="0.3">
      <c r="A328" s="187">
        <v>23</v>
      </c>
      <c r="B328" s="242">
        <f t="shared" si="53"/>
        <v>46327</v>
      </c>
      <c r="C328" s="243">
        <f t="shared" si="36"/>
        <v>46356</v>
      </c>
      <c r="D328" s="120">
        <f t="shared" si="37"/>
        <v>30</v>
      </c>
      <c r="E328" s="120">
        <f t="shared" si="38"/>
        <v>11</v>
      </c>
      <c r="F328" s="275">
        <f t="shared" si="39"/>
        <v>46342</v>
      </c>
      <c r="G328" s="120">
        <f t="shared" si="40"/>
        <v>24322</v>
      </c>
      <c r="H328" s="245">
        <f t="shared" si="41"/>
        <v>1</v>
      </c>
      <c r="I328" s="121">
        <f t="shared" si="42"/>
        <v>1.05</v>
      </c>
      <c r="J328" s="121">
        <f t="shared" si="43"/>
        <v>1.05</v>
      </c>
      <c r="K328" s="120">
        <f t="shared" si="44"/>
        <v>0</v>
      </c>
      <c r="L328" s="120">
        <f t="shared" si="45"/>
        <v>0</v>
      </c>
      <c r="M328" s="246">
        <f t="shared" si="46"/>
        <v>0</v>
      </c>
      <c r="N328" s="121">
        <f t="shared" si="47"/>
        <v>1.05</v>
      </c>
      <c r="O328" s="246">
        <f t="shared" si="48"/>
        <v>0.9105032822757112</v>
      </c>
      <c r="P328" s="121">
        <f t="shared" si="49"/>
        <v>0.25</v>
      </c>
      <c r="Q328" s="121">
        <f t="shared" si="50"/>
        <v>0.75</v>
      </c>
      <c r="R328" s="121">
        <f t="shared" si="51"/>
        <v>0</v>
      </c>
      <c r="AE328" s="160">
        <f t="shared" si="52"/>
        <v>1.0391613547711922</v>
      </c>
    </row>
    <row r="329" spans="1:35" x14ac:dyDescent="0.3">
      <c r="A329" s="187">
        <v>24</v>
      </c>
      <c r="B329" s="242">
        <f t="shared" si="53"/>
        <v>46357</v>
      </c>
      <c r="C329" s="243">
        <f t="shared" si="36"/>
        <v>46387</v>
      </c>
      <c r="D329" s="120">
        <f t="shared" si="37"/>
        <v>31</v>
      </c>
      <c r="E329" s="120">
        <f t="shared" si="38"/>
        <v>12</v>
      </c>
      <c r="F329" s="275">
        <f t="shared" si="39"/>
        <v>46372.5</v>
      </c>
      <c r="G329" s="120">
        <f t="shared" si="40"/>
        <v>24323</v>
      </c>
      <c r="H329" s="245">
        <f t="shared" si="41"/>
        <v>1</v>
      </c>
      <c r="I329" s="121">
        <f t="shared" si="42"/>
        <v>1.05</v>
      </c>
      <c r="J329" s="121">
        <f t="shared" si="43"/>
        <v>1.05</v>
      </c>
      <c r="K329" s="120">
        <f t="shared" si="44"/>
        <v>0</v>
      </c>
      <c r="L329" s="120">
        <f t="shared" si="45"/>
        <v>0</v>
      </c>
      <c r="M329" s="246">
        <f t="shared" si="46"/>
        <v>0</v>
      </c>
      <c r="N329" s="121">
        <f t="shared" si="47"/>
        <v>1.05</v>
      </c>
      <c r="O329" s="246">
        <f t="shared" si="48"/>
        <v>0.91083698030634574</v>
      </c>
      <c r="P329" s="121">
        <f t="shared" si="49"/>
        <v>8.3333333333333329E-2</v>
      </c>
      <c r="Q329" s="121">
        <f t="shared" si="50"/>
        <v>0.91666666666666663</v>
      </c>
      <c r="R329" s="121">
        <f t="shared" si="51"/>
        <v>0</v>
      </c>
      <c r="AE329" s="160">
        <f t="shared" si="52"/>
        <v>1.0395422057844164</v>
      </c>
    </row>
    <row r="330" spans="1:35" x14ac:dyDescent="0.3">
      <c r="A330" s="187">
        <v>25</v>
      </c>
      <c r="B330" s="242">
        <f t="shared" si="53"/>
        <v>46388</v>
      </c>
      <c r="C330" s="243">
        <f t="shared" si="36"/>
        <v>46418</v>
      </c>
      <c r="D330" s="120">
        <f t="shared" si="37"/>
        <v>31</v>
      </c>
      <c r="E330" s="120">
        <f t="shared" si="38"/>
        <v>1</v>
      </c>
      <c r="F330" s="275">
        <f t="shared" si="39"/>
        <v>46403.5</v>
      </c>
      <c r="G330" s="120">
        <f t="shared" si="40"/>
        <v>24324</v>
      </c>
      <c r="H330" s="245">
        <f t="shared" si="41"/>
        <v>1</v>
      </c>
      <c r="I330" s="121">
        <f t="shared" si="42"/>
        <v>1.05</v>
      </c>
      <c r="J330" s="121">
        <f t="shared" si="43"/>
        <v>1.05</v>
      </c>
      <c r="K330" s="120">
        <f t="shared" si="44"/>
        <v>0</v>
      </c>
      <c r="L330" s="120">
        <f t="shared" si="45"/>
        <v>0</v>
      </c>
      <c r="M330" s="246">
        <f t="shared" si="46"/>
        <v>0</v>
      </c>
      <c r="N330" s="121">
        <f t="shared" si="47"/>
        <v>1.05</v>
      </c>
      <c r="O330" s="246">
        <f t="shared" si="48"/>
        <v>0.91117614879649889</v>
      </c>
      <c r="P330" s="121">
        <f t="shared" si="49"/>
        <v>0</v>
      </c>
      <c r="Q330" s="121">
        <f t="shared" si="50"/>
        <v>1</v>
      </c>
      <c r="R330" s="121">
        <f t="shared" si="51"/>
        <v>0</v>
      </c>
      <c r="W330" s="160">
        <f t="shared" ref="W330:W341" si="54">IF($G330&lt;&gt;$Q$303,$N330,(1-$U$303)*$I330+$U$303*$J330)</f>
        <v>1.05</v>
      </c>
      <c r="X330" s="160">
        <f t="shared" ref="X330:X341" si="55">IF($G330&lt;$Q$303,0,IF($G330&gt;$Q$303,$N330,$U$303*$J330))</f>
        <v>0</v>
      </c>
      <c r="Y330" s="160">
        <f t="shared" ref="Y330:Y341" si="56">IF($F$303=1,$O330/$O318,1)</f>
        <v>1.0044020188985305</v>
      </c>
      <c r="AB330" s="160">
        <f t="shared" ref="AB330:AB341" si="57">IF(AND(N($K$303)&lt;&gt;0,$F330&lt;=$B$304),0,($F330-$B$304)/($C$304-$B$304))</f>
        <v>0.23522975929978118</v>
      </c>
      <c r="AC330" s="220">
        <f t="shared" ref="AC330:AC341" si="58">IF(AND(N($K$303)&lt;&gt;0,$F330&lt;=$B$304),$O330,$F$304*(1-$AB330))</f>
        <v>0.69594091903719912</v>
      </c>
      <c r="AD330" s="160">
        <f t="shared" ref="AD330:AD341" si="59">$H330*($W330+$X330*IF(ISNUMBER($F$354),$F$354,0))/($N318*$O318)</f>
        <v>1.1574294621697732</v>
      </c>
      <c r="AE330" s="160">
        <f t="shared" si="52"/>
        <v>1.0399293002568737</v>
      </c>
      <c r="AF330" s="220">
        <f t="shared" ref="AF330:AF341" si="60">IF($G330&lt;$Q$303,0,IF($G330&gt;$Q$303,1,$U$303))</f>
        <v>0</v>
      </c>
      <c r="AG330" s="183" t="str">
        <f t="shared" ref="AG330:AG341" si="61">IF(OR($D$303=0,$P$303=0),"",($W330+$X330*IF(ISNUMBER($F$354),$F$354,0))/$N318-1)</f>
        <v/>
      </c>
      <c r="AH330" s="183" t="str">
        <f t="shared" ref="AH330:AH341" si="62">IF(OR($AG330="",$F$303=0),"",(1+$E$303)/(1+$AG330)-1)</f>
        <v/>
      </c>
      <c r="AI330" s="220" t="str">
        <f t="shared" ref="AI330:AI341" si="63">IF($AH330="","",$O318*(1+$E$303)/(1+$AG330))</f>
        <v/>
      </c>
    </row>
    <row r="331" spans="1:35" x14ac:dyDescent="0.3">
      <c r="A331" s="187">
        <v>26</v>
      </c>
      <c r="B331" s="242">
        <f t="shared" si="53"/>
        <v>46419</v>
      </c>
      <c r="C331" s="243">
        <f t="shared" si="36"/>
        <v>46446</v>
      </c>
      <c r="D331" s="120">
        <f t="shared" si="37"/>
        <v>28</v>
      </c>
      <c r="E331" s="120">
        <f t="shared" si="38"/>
        <v>2</v>
      </c>
      <c r="F331" s="275">
        <f t="shared" si="39"/>
        <v>46433</v>
      </c>
      <c r="G331" s="120">
        <f t="shared" si="40"/>
        <v>24325</v>
      </c>
      <c r="H331" s="245">
        <f t="shared" si="41"/>
        <v>1</v>
      </c>
      <c r="I331" s="121">
        <f t="shared" si="42"/>
        <v>1.05</v>
      </c>
      <c r="J331" s="121">
        <f t="shared" si="43"/>
        <v>1.05</v>
      </c>
      <c r="K331" s="120">
        <f t="shared" si="44"/>
        <v>0</v>
      </c>
      <c r="L331" s="120">
        <f t="shared" si="45"/>
        <v>0</v>
      </c>
      <c r="M331" s="246">
        <f t="shared" si="46"/>
        <v>0</v>
      </c>
      <c r="N331" s="121">
        <f t="shared" si="47"/>
        <v>1.05</v>
      </c>
      <c r="O331" s="246">
        <f t="shared" si="48"/>
        <v>0.91149890590809635</v>
      </c>
      <c r="P331" s="121">
        <f t="shared" si="49"/>
        <v>0</v>
      </c>
      <c r="Q331" s="121">
        <f t="shared" si="50"/>
        <v>1</v>
      </c>
      <c r="R331" s="121">
        <f t="shared" si="51"/>
        <v>0</v>
      </c>
      <c r="W331" s="160">
        <f t="shared" si="54"/>
        <v>1.05</v>
      </c>
      <c r="X331" s="160">
        <f t="shared" si="55"/>
        <v>0</v>
      </c>
      <c r="Y331" s="160">
        <f t="shared" si="56"/>
        <v>1.0044004533069708</v>
      </c>
      <c r="AB331" s="160">
        <f t="shared" si="57"/>
        <v>0.29978118161925604</v>
      </c>
      <c r="AC331" s="220">
        <f t="shared" si="58"/>
        <v>0.637199124726477</v>
      </c>
      <c r="AD331" s="160">
        <f t="shared" si="59"/>
        <v>1.157017818821884</v>
      </c>
      <c r="AE331" s="160">
        <f t="shared" si="52"/>
        <v>1.0402976643516315</v>
      </c>
      <c r="AF331" s="220">
        <f t="shared" si="60"/>
        <v>0</v>
      </c>
      <c r="AG331" s="183" t="str">
        <f t="shared" si="61"/>
        <v/>
      </c>
      <c r="AH331" s="183" t="str">
        <f t="shared" si="62"/>
        <v/>
      </c>
      <c r="AI331" s="220" t="str">
        <f t="shared" si="63"/>
        <v/>
      </c>
    </row>
    <row r="332" spans="1:35" x14ac:dyDescent="0.3">
      <c r="A332" s="187">
        <v>27</v>
      </c>
      <c r="B332" s="242">
        <f t="shared" si="53"/>
        <v>46447</v>
      </c>
      <c r="C332" s="243">
        <f t="shared" si="36"/>
        <v>46477</v>
      </c>
      <c r="D332" s="120">
        <f t="shared" si="37"/>
        <v>31</v>
      </c>
      <c r="E332" s="120">
        <f t="shared" si="38"/>
        <v>3</v>
      </c>
      <c r="F332" s="275">
        <f t="shared" si="39"/>
        <v>46462.5</v>
      </c>
      <c r="G332" s="120">
        <f t="shared" si="40"/>
        <v>24326</v>
      </c>
      <c r="H332" s="245">
        <f t="shared" si="41"/>
        <v>1</v>
      </c>
      <c r="I332" s="121">
        <f t="shared" si="42"/>
        <v>1.05</v>
      </c>
      <c r="J332" s="121">
        <f t="shared" si="43"/>
        <v>1.05</v>
      </c>
      <c r="K332" s="120">
        <f t="shared" si="44"/>
        <v>0</v>
      </c>
      <c r="L332" s="120">
        <f t="shared" si="45"/>
        <v>0</v>
      </c>
      <c r="M332" s="246">
        <f t="shared" si="46"/>
        <v>0</v>
      </c>
      <c r="N332" s="121">
        <f t="shared" si="47"/>
        <v>1.05</v>
      </c>
      <c r="O332" s="246">
        <f t="shared" si="48"/>
        <v>0.9118216630196937</v>
      </c>
      <c r="P332" s="121">
        <f t="shared" si="49"/>
        <v>0</v>
      </c>
      <c r="Q332" s="121">
        <f t="shared" si="50"/>
        <v>1</v>
      </c>
      <c r="R332" s="121">
        <f t="shared" si="51"/>
        <v>0</v>
      </c>
      <c r="W332" s="160">
        <f t="shared" si="54"/>
        <v>1.05</v>
      </c>
      <c r="X332" s="160">
        <f t="shared" si="55"/>
        <v>0</v>
      </c>
      <c r="Y332" s="160">
        <f t="shared" si="56"/>
        <v>1.0043988888286302</v>
      </c>
      <c r="AB332" s="160">
        <f t="shared" si="57"/>
        <v>0.36433260393873085</v>
      </c>
      <c r="AC332" s="220">
        <f t="shared" si="58"/>
        <v>0.57845733041575487</v>
      </c>
      <c r="AD332" s="160">
        <f t="shared" si="59"/>
        <v>1.1566064681743407</v>
      </c>
      <c r="AE332" s="160">
        <f t="shared" si="52"/>
        <v>1.0406660284463893</v>
      </c>
      <c r="AF332" s="220">
        <f t="shared" si="60"/>
        <v>0</v>
      </c>
      <c r="AG332" s="183" t="str">
        <f t="shared" si="61"/>
        <v/>
      </c>
      <c r="AH332" s="183" t="str">
        <f t="shared" si="62"/>
        <v/>
      </c>
      <c r="AI332" s="220" t="str">
        <f t="shared" si="63"/>
        <v/>
      </c>
    </row>
    <row r="333" spans="1:35" x14ac:dyDescent="0.3">
      <c r="A333" s="187">
        <v>28</v>
      </c>
      <c r="B333" s="242">
        <f t="shared" si="53"/>
        <v>46478</v>
      </c>
      <c r="C333" s="243">
        <f t="shared" si="36"/>
        <v>46507</v>
      </c>
      <c r="D333" s="120">
        <f t="shared" si="37"/>
        <v>30</v>
      </c>
      <c r="E333" s="120">
        <f t="shared" si="38"/>
        <v>4</v>
      </c>
      <c r="F333" s="275">
        <f t="shared" si="39"/>
        <v>46493</v>
      </c>
      <c r="G333" s="120">
        <f t="shared" si="40"/>
        <v>24327</v>
      </c>
      <c r="H333" s="245">
        <f t="shared" si="41"/>
        <v>1</v>
      </c>
      <c r="I333" s="121">
        <f t="shared" si="42"/>
        <v>1.05</v>
      </c>
      <c r="J333" s="121">
        <f t="shared" si="43"/>
        <v>1.05</v>
      </c>
      <c r="K333" s="120">
        <f t="shared" si="44"/>
        <v>0</v>
      </c>
      <c r="L333" s="120">
        <f t="shared" si="45"/>
        <v>0</v>
      </c>
      <c r="M333" s="246">
        <f t="shared" si="46"/>
        <v>0</v>
      </c>
      <c r="N333" s="121">
        <f t="shared" si="47"/>
        <v>1.05</v>
      </c>
      <c r="O333" s="246">
        <f t="shared" si="48"/>
        <v>0.91215536105032824</v>
      </c>
      <c r="P333" s="121">
        <f t="shared" si="49"/>
        <v>0</v>
      </c>
      <c r="Q333" s="121">
        <f t="shared" si="50"/>
        <v>1</v>
      </c>
      <c r="R333" s="121">
        <f t="shared" si="51"/>
        <v>0</v>
      </c>
      <c r="W333" s="160">
        <f t="shared" si="54"/>
        <v>1.05</v>
      </c>
      <c r="X333" s="160">
        <f t="shared" si="55"/>
        <v>1.05</v>
      </c>
      <c r="Y333" s="160">
        <f t="shared" si="56"/>
        <v>1.0043972724863264</v>
      </c>
      <c r="AB333" s="160">
        <f t="shared" si="57"/>
        <v>0.4310722100656455</v>
      </c>
      <c r="AC333" s="220">
        <f t="shared" si="58"/>
        <v>0.51772428884026267</v>
      </c>
      <c r="AD333" s="160">
        <f t="shared" si="59"/>
        <v>1.1561814808568056</v>
      </c>
      <c r="AE333" s="160">
        <f t="shared" si="52"/>
        <v>1.0410468794596139</v>
      </c>
      <c r="AF333" s="220">
        <f t="shared" si="60"/>
        <v>1</v>
      </c>
      <c r="AG333" s="183" t="str">
        <f t="shared" si="61"/>
        <v/>
      </c>
      <c r="AH333" s="183" t="str">
        <f t="shared" si="62"/>
        <v/>
      </c>
      <c r="AI333" s="220" t="str">
        <f t="shared" si="63"/>
        <v/>
      </c>
    </row>
    <row r="334" spans="1:35" x14ac:dyDescent="0.3">
      <c r="A334" s="187">
        <v>29</v>
      </c>
      <c r="B334" s="242">
        <f t="shared" si="53"/>
        <v>46508</v>
      </c>
      <c r="C334" s="243">
        <f t="shared" si="36"/>
        <v>46538</v>
      </c>
      <c r="D334" s="120">
        <f t="shared" si="37"/>
        <v>31</v>
      </c>
      <c r="E334" s="120">
        <f t="shared" si="38"/>
        <v>5</v>
      </c>
      <c r="F334" s="275">
        <f t="shared" si="39"/>
        <v>46523.5</v>
      </c>
      <c r="G334" s="120">
        <f t="shared" si="40"/>
        <v>24328</v>
      </c>
      <c r="H334" s="245">
        <f t="shared" si="41"/>
        <v>1</v>
      </c>
      <c r="I334" s="121">
        <f t="shared" si="42"/>
        <v>1.05</v>
      </c>
      <c r="J334" s="121">
        <f t="shared" si="43"/>
        <v>1.05</v>
      </c>
      <c r="K334" s="120">
        <f t="shared" si="44"/>
        <v>0</v>
      </c>
      <c r="L334" s="120">
        <f t="shared" si="45"/>
        <v>0</v>
      </c>
      <c r="M334" s="246">
        <f t="shared" si="46"/>
        <v>0</v>
      </c>
      <c r="N334" s="121">
        <f t="shared" si="47"/>
        <v>1.05</v>
      </c>
      <c r="O334" s="246">
        <f t="shared" si="48"/>
        <v>0.91248905908096278</v>
      </c>
      <c r="P334" s="121">
        <f t="shared" si="49"/>
        <v>0</v>
      </c>
      <c r="Q334" s="121">
        <f t="shared" si="50"/>
        <v>1</v>
      </c>
      <c r="R334" s="121">
        <f t="shared" si="51"/>
        <v>0</v>
      </c>
      <c r="W334" s="160">
        <f t="shared" si="54"/>
        <v>1.05</v>
      </c>
      <c r="X334" s="160">
        <f t="shared" si="55"/>
        <v>1.05</v>
      </c>
      <c r="Y334" s="160">
        <f t="shared" si="56"/>
        <v>1.0043956573314146</v>
      </c>
      <c r="AB334" s="160">
        <f t="shared" si="57"/>
        <v>0.49781181619256015</v>
      </c>
      <c r="AC334" s="220">
        <f t="shared" si="58"/>
        <v>0.45699124726477025</v>
      </c>
      <c r="AD334" s="160">
        <f t="shared" si="59"/>
        <v>1.1557568057420533</v>
      </c>
      <c r="AE334" s="160">
        <f t="shared" si="52"/>
        <v>1.0414277304728381</v>
      </c>
      <c r="AF334" s="220">
        <f t="shared" si="60"/>
        <v>1</v>
      </c>
      <c r="AG334" s="183" t="str">
        <f t="shared" si="61"/>
        <v/>
      </c>
      <c r="AH334" s="183" t="str">
        <f t="shared" si="62"/>
        <v/>
      </c>
      <c r="AI334" s="220" t="str">
        <f t="shared" si="63"/>
        <v/>
      </c>
    </row>
    <row r="335" spans="1:35" x14ac:dyDescent="0.3">
      <c r="A335" s="187">
        <v>30</v>
      </c>
      <c r="B335" s="242">
        <f t="shared" si="53"/>
        <v>46539</v>
      </c>
      <c r="C335" s="243">
        <f t="shared" si="36"/>
        <v>46568</v>
      </c>
      <c r="D335" s="120">
        <f t="shared" si="37"/>
        <v>30</v>
      </c>
      <c r="E335" s="120">
        <f t="shared" si="38"/>
        <v>6</v>
      </c>
      <c r="F335" s="275">
        <f t="shared" si="39"/>
        <v>46554</v>
      </c>
      <c r="G335" s="120">
        <f t="shared" si="40"/>
        <v>24329</v>
      </c>
      <c r="H335" s="245">
        <f t="shared" si="41"/>
        <v>1</v>
      </c>
      <c r="I335" s="121">
        <f t="shared" si="42"/>
        <v>1.05</v>
      </c>
      <c r="J335" s="121">
        <f t="shared" si="43"/>
        <v>1.05</v>
      </c>
      <c r="K335" s="120">
        <f t="shared" si="44"/>
        <v>0</v>
      </c>
      <c r="L335" s="120">
        <f t="shared" si="45"/>
        <v>0</v>
      </c>
      <c r="M335" s="246">
        <f t="shared" si="46"/>
        <v>0</v>
      </c>
      <c r="N335" s="121">
        <f t="shared" si="47"/>
        <v>1.05</v>
      </c>
      <c r="O335" s="246">
        <f t="shared" si="48"/>
        <v>0.91282275711159744</v>
      </c>
      <c r="P335" s="121">
        <f t="shared" si="49"/>
        <v>0</v>
      </c>
      <c r="Q335" s="121">
        <f t="shared" si="50"/>
        <v>1</v>
      </c>
      <c r="R335" s="121">
        <f t="shared" si="51"/>
        <v>0</v>
      </c>
      <c r="W335" s="160">
        <f t="shared" si="54"/>
        <v>1.05</v>
      </c>
      <c r="X335" s="160">
        <f t="shared" si="55"/>
        <v>1.05</v>
      </c>
      <c r="Y335" s="160">
        <f t="shared" si="56"/>
        <v>1.0043940433625869</v>
      </c>
      <c r="AB335" s="160">
        <f t="shared" si="57"/>
        <v>0.56455142231947486</v>
      </c>
      <c r="AC335" s="220">
        <f t="shared" si="58"/>
        <v>0.39625820568927789</v>
      </c>
      <c r="AD335" s="160">
        <f t="shared" si="59"/>
        <v>1.1553324424861857</v>
      </c>
      <c r="AE335" s="160">
        <f t="shared" si="52"/>
        <v>1.0418085814860623</v>
      </c>
      <c r="AF335" s="220">
        <f t="shared" si="60"/>
        <v>1</v>
      </c>
      <c r="AG335" s="183" t="str">
        <f t="shared" si="61"/>
        <v/>
      </c>
      <c r="AH335" s="183" t="str">
        <f t="shared" si="62"/>
        <v/>
      </c>
      <c r="AI335" s="220" t="str">
        <f t="shared" si="63"/>
        <v/>
      </c>
    </row>
    <row r="336" spans="1:35" x14ac:dyDescent="0.3">
      <c r="A336" s="187">
        <v>31</v>
      </c>
      <c r="B336" s="242">
        <f t="shared" si="53"/>
        <v>46569</v>
      </c>
      <c r="C336" s="243">
        <f t="shared" si="36"/>
        <v>46599</v>
      </c>
      <c r="D336" s="120">
        <f t="shared" si="37"/>
        <v>31</v>
      </c>
      <c r="E336" s="120">
        <f t="shared" si="38"/>
        <v>7</v>
      </c>
      <c r="F336" s="275">
        <f t="shared" si="39"/>
        <v>46584.5</v>
      </c>
      <c r="G336" s="120">
        <f t="shared" si="40"/>
        <v>24330</v>
      </c>
      <c r="H336" s="245">
        <f t="shared" si="41"/>
        <v>1</v>
      </c>
      <c r="I336" s="121">
        <f t="shared" si="42"/>
        <v>1.05</v>
      </c>
      <c r="J336" s="121">
        <f t="shared" si="43"/>
        <v>1.05</v>
      </c>
      <c r="K336" s="120">
        <f t="shared" si="44"/>
        <v>0</v>
      </c>
      <c r="L336" s="120">
        <f t="shared" si="45"/>
        <v>0</v>
      </c>
      <c r="M336" s="246">
        <f t="shared" si="46"/>
        <v>0</v>
      </c>
      <c r="N336" s="121">
        <f t="shared" si="47"/>
        <v>1.05</v>
      </c>
      <c r="O336" s="246">
        <f t="shared" si="48"/>
        <v>0.91315645514223198</v>
      </c>
      <c r="P336" s="121">
        <f t="shared" si="49"/>
        <v>0</v>
      </c>
      <c r="Q336" s="121">
        <f t="shared" si="50"/>
        <v>0.91666666666666663</v>
      </c>
      <c r="R336" s="121">
        <f t="shared" si="51"/>
        <v>8.333333333333337E-2</v>
      </c>
      <c r="W336" s="160">
        <f t="shared" si="54"/>
        <v>1.05</v>
      </c>
      <c r="X336" s="160">
        <f t="shared" si="55"/>
        <v>1.05</v>
      </c>
      <c r="Y336" s="160">
        <f t="shared" si="56"/>
        <v>1.0043924305785372</v>
      </c>
      <c r="AB336" s="160">
        <f t="shared" si="57"/>
        <v>0.63129102844638951</v>
      </c>
      <c r="AC336" s="220">
        <f t="shared" si="58"/>
        <v>0.33552516411378558</v>
      </c>
      <c r="AD336" s="160">
        <f t="shared" si="59"/>
        <v>1.1549083907458106</v>
      </c>
      <c r="AE336" s="160">
        <f t="shared" si="52"/>
        <v>1.0421894324992864</v>
      </c>
      <c r="AF336" s="220">
        <f t="shared" si="60"/>
        <v>1</v>
      </c>
      <c r="AG336" s="183" t="str">
        <f t="shared" si="61"/>
        <v/>
      </c>
      <c r="AH336" s="183" t="str">
        <f t="shared" si="62"/>
        <v/>
      </c>
      <c r="AI336" s="220" t="str">
        <f t="shared" si="63"/>
        <v/>
      </c>
    </row>
    <row r="337" spans="1:35" x14ac:dyDescent="0.3">
      <c r="A337" s="187">
        <v>32</v>
      </c>
      <c r="B337" s="242">
        <f t="shared" si="53"/>
        <v>46600</v>
      </c>
      <c r="C337" s="243">
        <f t="shared" si="36"/>
        <v>46630</v>
      </c>
      <c r="D337" s="120">
        <f t="shared" si="37"/>
        <v>31</v>
      </c>
      <c r="E337" s="120">
        <f t="shared" si="38"/>
        <v>8</v>
      </c>
      <c r="F337" s="275">
        <f t="shared" si="39"/>
        <v>46615.5</v>
      </c>
      <c r="G337" s="120">
        <f t="shared" si="40"/>
        <v>24331</v>
      </c>
      <c r="H337" s="245">
        <f t="shared" si="41"/>
        <v>1</v>
      </c>
      <c r="I337" s="121">
        <f t="shared" si="42"/>
        <v>1.05</v>
      </c>
      <c r="J337" s="121">
        <f t="shared" si="43"/>
        <v>1.05</v>
      </c>
      <c r="K337" s="120">
        <f t="shared" si="44"/>
        <v>0</v>
      </c>
      <c r="L337" s="120">
        <f t="shared" si="45"/>
        <v>0</v>
      </c>
      <c r="M337" s="246">
        <f t="shared" si="46"/>
        <v>0</v>
      </c>
      <c r="N337" s="121">
        <f t="shared" si="47"/>
        <v>1.05</v>
      </c>
      <c r="O337" s="246">
        <f t="shared" si="48"/>
        <v>0.91349562363238512</v>
      </c>
      <c r="P337" s="121">
        <f t="shared" si="49"/>
        <v>0</v>
      </c>
      <c r="Q337" s="121">
        <f t="shared" si="50"/>
        <v>0.75</v>
      </c>
      <c r="R337" s="121">
        <f t="shared" si="51"/>
        <v>0.25</v>
      </c>
      <c r="W337" s="160">
        <f t="shared" si="54"/>
        <v>1.05</v>
      </c>
      <c r="X337" s="160">
        <f t="shared" si="55"/>
        <v>1.05</v>
      </c>
      <c r="Y337" s="160">
        <f t="shared" si="56"/>
        <v>1.0043907925681324</v>
      </c>
      <c r="AB337" s="160">
        <f t="shared" si="57"/>
        <v>0.69912472647702406</v>
      </c>
      <c r="AC337" s="220">
        <f t="shared" si="58"/>
        <v>0.27379649890590813</v>
      </c>
      <c r="AD337" s="160">
        <f t="shared" si="59"/>
        <v>1.0995025773350897</v>
      </c>
      <c r="AE337" s="160">
        <f t="shared" si="52"/>
        <v>1.042576526971744</v>
      </c>
      <c r="AF337" s="220">
        <f t="shared" si="60"/>
        <v>1</v>
      </c>
      <c r="AG337" s="183" t="str">
        <f t="shared" si="61"/>
        <v/>
      </c>
      <c r="AH337" s="183" t="str">
        <f t="shared" si="62"/>
        <v/>
      </c>
      <c r="AI337" s="220" t="str">
        <f t="shared" si="63"/>
        <v/>
      </c>
    </row>
    <row r="338" spans="1:35" x14ac:dyDescent="0.3">
      <c r="A338" s="187">
        <v>33</v>
      </c>
      <c r="B338" s="242">
        <f t="shared" si="53"/>
        <v>46631</v>
      </c>
      <c r="C338" s="243">
        <f t="shared" si="36"/>
        <v>46660</v>
      </c>
      <c r="D338" s="120">
        <f t="shared" si="37"/>
        <v>30</v>
      </c>
      <c r="E338" s="120">
        <f t="shared" si="38"/>
        <v>9</v>
      </c>
      <c r="F338" s="275">
        <f t="shared" si="39"/>
        <v>46646</v>
      </c>
      <c r="G338" s="120">
        <f t="shared" si="40"/>
        <v>24332</v>
      </c>
      <c r="H338" s="245">
        <f t="shared" si="41"/>
        <v>1</v>
      </c>
      <c r="I338" s="121">
        <f t="shared" si="42"/>
        <v>1.05</v>
      </c>
      <c r="J338" s="121">
        <f t="shared" si="43"/>
        <v>1.05</v>
      </c>
      <c r="K338" s="120">
        <f t="shared" si="44"/>
        <v>0</v>
      </c>
      <c r="L338" s="120">
        <f t="shared" si="45"/>
        <v>0</v>
      </c>
      <c r="M338" s="246">
        <f t="shared" si="46"/>
        <v>0</v>
      </c>
      <c r="N338" s="121">
        <f t="shared" si="47"/>
        <v>1.05</v>
      </c>
      <c r="O338" s="246">
        <f t="shared" si="48"/>
        <v>0.91382932166301978</v>
      </c>
      <c r="P338" s="121">
        <f t="shared" si="49"/>
        <v>0</v>
      </c>
      <c r="Q338" s="121">
        <f t="shared" si="50"/>
        <v>0.58333333333333337</v>
      </c>
      <c r="R338" s="121">
        <f t="shared" si="51"/>
        <v>0.41666666666666663</v>
      </c>
      <c r="W338" s="160">
        <f t="shared" si="54"/>
        <v>1.05</v>
      </c>
      <c r="X338" s="160">
        <f t="shared" si="55"/>
        <v>1.05</v>
      </c>
      <c r="Y338" s="160">
        <f t="shared" si="56"/>
        <v>1.0043891821690978</v>
      </c>
      <c r="AB338" s="160">
        <f t="shared" si="57"/>
        <v>0.76586433260393871</v>
      </c>
      <c r="AC338" s="220">
        <f t="shared" si="58"/>
        <v>0.21306345733041579</v>
      </c>
      <c r="AD338" s="160">
        <f t="shared" si="59"/>
        <v>1.099099315768588</v>
      </c>
      <c r="AE338" s="160">
        <f t="shared" si="52"/>
        <v>1.0429573779849681</v>
      </c>
      <c r="AF338" s="220">
        <f t="shared" si="60"/>
        <v>1</v>
      </c>
      <c r="AG338" s="183" t="str">
        <f t="shared" si="61"/>
        <v/>
      </c>
      <c r="AH338" s="183" t="str">
        <f t="shared" si="62"/>
        <v/>
      </c>
      <c r="AI338" s="220" t="str">
        <f t="shared" si="63"/>
        <v/>
      </c>
    </row>
    <row r="339" spans="1:35" x14ac:dyDescent="0.3">
      <c r="A339" s="187">
        <v>34</v>
      </c>
      <c r="B339" s="242">
        <f t="shared" si="53"/>
        <v>46661</v>
      </c>
      <c r="C339" s="243">
        <f t="shared" si="36"/>
        <v>46691</v>
      </c>
      <c r="D339" s="120">
        <f t="shared" si="37"/>
        <v>31</v>
      </c>
      <c r="E339" s="120">
        <f t="shared" si="38"/>
        <v>10</v>
      </c>
      <c r="F339" s="275">
        <f t="shared" si="39"/>
        <v>46676.5</v>
      </c>
      <c r="G339" s="120">
        <f t="shared" si="40"/>
        <v>24333</v>
      </c>
      <c r="H339" s="245">
        <f t="shared" si="41"/>
        <v>1</v>
      </c>
      <c r="I339" s="121">
        <f t="shared" si="42"/>
        <v>1.05</v>
      </c>
      <c r="J339" s="121">
        <f t="shared" si="43"/>
        <v>1.05</v>
      </c>
      <c r="K339" s="120">
        <f t="shared" si="44"/>
        <v>0</v>
      </c>
      <c r="L339" s="120">
        <f t="shared" si="45"/>
        <v>0</v>
      </c>
      <c r="M339" s="246">
        <f t="shared" si="46"/>
        <v>0</v>
      </c>
      <c r="N339" s="121">
        <f t="shared" si="47"/>
        <v>1.05</v>
      </c>
      <c r="O339" s="246">
        <f t="shared" si="48"/>
        <v>0.91416301969365432</v>
      </c>
      <c r="P339" s="121">
        <f t="shared" si="49"/>
        <v>0</v>
      </c>
      <c r="Q339" s="121">
        <f t="shared" si="50"/>
        <v>0.41666666666666669</v>
      </c>
      <c r="R339" s="121">
        <f t="shared" si="51"/>
        <v>0.58333333333333326</v>
      </c>
      <c r="W339" s="160">
        <f t="shared" si="54"/>
        <v>1.05</v>
      </c>
      <c r="X339" s="160">
        <f t="shared" si="55"/>
        <v>1.05</v>
      </c>
      <c r="Y339" s="160">
        <f t="shared" si="56"/>
        <v>1.0043875729509133</v>
      </c>
      <c r="AB339" s="160">
        <f t="shared" si="57"/>
        <v>0.83260393873085337</v>
      </c>
      <c r="AC339" s="220">
        <f t="shared" si="58"/>
        <v>0.15233041575492345</v>
      </c>
      <c r="AD339" s="160">
        <f t="shared" si="59"/>
        <v>1.0986963498999271</v>
      </c>
      <c r="AE339" s="160">
        <f t="shared" si="52"/>
        <v>1.0433382289981923</v>
      </c>
      <c r="AF339" s="220">
        <f t="shared" si="60"/>
        <v>1</v>
      </c>
      <c r="AG339" s="183" t="str">
        <f t="shared" si="61"/>
        <v/>
      </c>
      <c r="AH339" s="183" t="str">
        <f t="shared" si="62"/>
        <v/>
      </c>
      <c r="AI339" s="220" t="str">
        <f t="shared" si="63"/>
        <v/>
      </c>
    </row>
    <row r="340" spans="1:35" x14ac:dyDescent="0.3">
      <c r="A340" s="187">
        <v>35</v>
      </c>
      <c r="B340" s="242">
        <f t="shared" si="53"/>
        <v>46692</v>
      </c>
      <c r="C340" s="243">
        <f t="shared" si="36"/>
        <v>46721</v>
      </c>
      <c r="D340" s="120">
        <f t="shared" si="37"/>
        <v>30</v>
      </c>
      <c r="E340" s="120">
        <f t="shared" si="38"/>
        <v>11</v>
      </c>
      <c r="F340" s="275">
        <f t="shared" si="39"/>
        <v>46707</v>
      </c>
      <c r="G340" s="120">
        <f t="shared" si="40"/>
        <v>24334</v>
      </c>
      <c r="H340" s="245">
        <f t="shared" si="41"/>
        <v>1</v>
      </c>
      <c r="I340" s="121">
        <f t="shared" si="42"/>
        <v>1.05</v>
      </c>
      <c r="J340" s="121">
        <f t="shared" si="43"/>
        <v>1.05</v>
      </c>
      <c r="K340" s="120">
        <f t="shared" si="44"/>
        <v>0</v>
      </c>
      <c r="L340" s="120">
        <f t="shared" si="45"/>
        <v>0</v>
      </c>
      <c r="M340" s="246">
        <f t="shared" si="46"/>
        <v>0</v>
      </c>
      <c r="N340" s="121">
        <f t="shared" si="47"/>
        <v>1.05</v>
      </c>
      <c r="O340" s="246">
        <f t="shared" si="48"/>
        <v>0.91449671772428887</v>
      </c>
      <c r="P340" s="121">
        <f t="shared" si="49"/>
        <v>0</v>
      </c>
      <c r="Q340" s="121">
        <f t="shared" si="50"/>
        <v>0.25</v>
      </c>
      <c r="R340" s="121">
        <f t="shared" si="51"/>
        <v>0.75</v>
      </c>
      <c r="W340" s="160">
        <f t="shared" si="54"/>
        <v>1.05</v>
      </c>
      <c r="X340" s="160">
        <f t="shared" si="55"/>
        <v>1.05</v>
      </c>
      <c r="Y340" s="160">
        <f t="shared" si="56"/>
        <v>1.0043859649122806</v>
      </c>
      <c r="AB340" s="160">
        <f t="shared" si="57"/>
        <v>0.89934354485776802</v>
      </c>
      <c r="AC340" s="220">
        <f t="shared" si="58"/>
        <v>9.1597374179431104E-2</v>
      </c>
      <c r="AD340" s="160">
        <f t="shared" si="59"/>
        <v>1.0982936794039895</v>
      </c>
      <c r="AE340" s="160">
        <f t="shared" si="52"/>
        <v>1.0437190800114167</v>
      </c>
      <c r="AF340" s="220">
        <f t="shared" si="60"/>
        <v>1</v>
      </c>
      <c r="AG340" s="183" t="str">
        <f t="shared" si="61"/>
        <v/>
      </c>
      <c r="AH340" s="183" t="str">
        <f t="shared" si="62"/>
        <v/>
      </c>
      <c r="AI340" s="220" t="str">
        <f t="shared" si="63"/>
        <v/>
      </c>
    </row>
    <row r="341" spans="1:35" x14ac:dyDescent="0.3">
      <c r="A341" s="187">
        <v>36</v>
      </c>
      <c r="B341" s="242">
        <f t="shared" si="53"/>
        <v>46722</v>
      </c>
      <c r="C341" s="243">
        <f t="shared" si="36"/>
        <v>46752</v>
      </c>
      <c r="D341" s="120">
        <f t="shared" si="37"/>
        <v>31</v>
      </c>
      <c r="E341" s="120">
        <f t="shared" si="38"/>
        <v>12</v>
      </c>
      <c r="F341" s="275">
        <f t="shared" si="39"/>
        <v>46737.5</v>
      </c>
      <c r="G341" s="120">
        <f t="shared" si="40"/>
        <v>24335</v>
      </c>
      <c r="H341" s="245">
        <f t="shared" si="41"/>
        <v>1</v>
      </c>
      <c r="I341" s="121">
        <f t="shared" si="42"/>
        <v>1.05</v>
      </c>
      <c r="J341" s="121">
        <f t="shared" si="43"/>
        <v>1.05</v>
      </c>
      <c r="K341" s="120">
        <f t="shared" si="44"/>
        <v>0</v>
      </c>
      <c r="L341" s="120">
        <f t="shared" si="45"/>
        <v>0</v>
      </c>
      <c r="M341" s="246">
        <f t="shared" si="46"/>
        <v>0</v>
      </c>
      <c r="N341" s="121">
        <f t="shared" si="47"/>
        <v>1.05</v>
      </c>
      <c r="O341" s="246">
        <f t="shared" si="48"/>
        <v>0.91483041575492341</v>
      </c>
      <c r="P341" s="121">
        <f t="shared" si="49"/>
        <v>0</v>
      </c>
      <c r="Q341" s="121">
        <f t="shared" si="50"/>
        <v>8.3333333333333329E-2</v>
      </c>
      <c r="R341" s="121">
        <f t="shared" si="51"/>
        <v>0.91666666666666663</v>
      </c>
      <c r="W341" s="160">
        <f t="shared" si="54"/>
        <v>1.05</v>
      </c>
      <c r="X341" s="160">
        <f t="shared" si="55"/>
        <v>1.05</v>
      </c>
      <c r="Y341" s="160">
        <f t="shared" si="56"/>
        <v>1.0043843580519036</v>
      </c>
      <c r="AB341" s="160">
        <f t="shared" si="57"/>
        <v>0.96608315098468267</v>
      </c>
      <c r="AC341" s="220">
        <f t="shared" si="58"/>
        <v>3.0864332603938772E-2</v>
      </c>
      <c r="AD341" s="160">
        <f t="shared" si="59"/>
        <v>1.0978913039561324</v>
      </c>
      <c r="AE341" s="160">
        <f t="shared" si="52"/>
        <v>1.0440999310246408</v>
      </c>
      <c r="AF341" s="220">
        <f t="shared" si="60"/>
        <v>1</v>
      </c>
      <c r="AG341" s="183" t="str">
        <f t="shared" si="61"/>
        <v/>
      </c>
      <c r="AH341" s="183" t="str">
        <f t="shared" si="62"/>
        <v/>
      </c>
      <c r="AI341" s="220" t="str">
        <f t="shared" si="63"/>
        <v/>
      </c>
    </row>
    <row r="342" spans="1:35" x14ac:dyDescent="0.3">
      <c r="A342" s="187">
        <v>37</v>
      </c>
      <c r="B342" s="242">
        <f t="shared" si="53"/>
        <v>46753</v>
      </c>
      <c r="C342" s="243">
        <f t="shared" si="36"/>
        <v>46783</v>
      </c>
      <c r="D342" s="120">
        <f t="shared" si="37"/>
        <v>31</v>
      </c>
      <c r="E342" s="120">
        <f t="shared" si="38"/>
        <v>1</v>
      </c>
      <c r="F342" s="275">
        <f t="shared" si="39"/>
        <v>46768.5</v>
      </c>
      <c r="G342" s="120">
        <f t="shared" si="40"/>
        <v>24336</v>
      </c>
      <c r="H342" s="245">
        <f t="shared" si="41"/>
        <v>1</v>
      </c>
      <c r="I342" s="121">
        <f t="shared" si="42"/>
        <v>1.05</v>
      </c>
      <c r="J342" s="121">
        <f t="shared" si="43"/>
        <v>1.05</v>
      </c>
      <c r="K342" s="120">
        <f t="shared" si="44"/>
        <v>0</v>
      </c>
      <c r="L342" s="120">
        <f t="shared" si="45"/>
        <v>0</v>
      </c>
      <c r="M342" s="246">
        <f t="shared" si="46"/>
        <v>0</v>
      </c>
      <c r="N342" s="121">
        <f t="shared" si="47"/>
        <v>1.05</v>
      </c>
      <c r="O342" s="246">
        <f t="shared" si="48"/>
        <v>0.91500000000000004</v>
      </c>
      <c r="P342" s="121">
        <f t="shared" si="49"/>
        <v>0</v>
      </c>
      <c r="Q342" s="121">
        <f t="shared" si="50"/>
        <v>0</v>
      </c>
      <c r="R342" s="121">
        <f t="shared" si="51"/>
        <v>1</v>
      </c>
      <c r="AE342" s="160">
        <f t="shared" si="52"/>
        <v>1.0442934782608697</v>
      </c>
    </row>
    <row r="343" spans="1:35" x14ac:dyDescent="0.3">
      <c r="A343" s="187">
        <v>38</v>
      </c>
      <c r="B343" s="242">
        <f t="shared" si="53"/>
        <v>46784</v>
      </c>
      <c r="C343" s="243">
        <f t="shared" si="36"/>
        <v>46812</v>
      </c>
      <c r="D343" s="120">
        <f t="shared" si="37"/>
        <v>29</v>
      </c>
      <c r="E343" s="120">
        <f t="shared" si="38"/>
        <v>2</v>
      </c>
      <c r="F343" s="275">
        <f t="shared" si="39"/>
        <v>46798.5</v>
      </c>
      <c r="G343" s="120">
        <f t="shared" si="40"/>
        <v>24337</v>
      </c>
      <c r="H343" s="245">
        <f t="shared" si="41"/>
        <v>1</v>
      </c>
      <c r="I343" s="121">
        <f t="shared" si="42"/>
        <v>1.05</v>
      </c>
      <c r="J343" s="121">
        <f t="shared" si="43"/>
        <v>1.05</v>
      </c>
      <c r="K343" s="120">
        <f t="shared" si="44"/>
        <v>0</v>
      </c>
      <c r="L343" s="120">
        <f t="shared" si="45"/>
        <v>0</v>
      </c>
      <c r="M343" s="246">
        <f t="shared" si="46"/>
        <v>0</v>
      </c>
      <c r="N343" s="121">
        <f t="shared" si="47"/>
        <v>1.05</v>
      </c>
      <c r="O343" s="246">
        <f t="shared" si="48"/>
        <v>0.91500000000000004</v>
      </c>
      <c r="P343" s="121">
        <f t="shared" si="49"/>
        <v>0</v>
      </c>
      <c r="Q343" s="121">
        <f t="shared" si="50"/>
        <v>0</v>
      </c>
      <c r="R343" s="121">
        <f t="shared" si="51"/>
        <v>1</v>
      </c>
      <c r="AE343" s="160">
        <f t="shared" si="52"/>
        <v>1.0442934782608697</v>
      </c>
    </row>
    <row r="344" spans="1:35" x14ac:dyDescent="0.3">
      <c r="A344" s="187">
        <v>39</v>
      </c>
      <c r="B344" s="242">
        <f t="shared" si="53"/>
        <v>46813</v>
      </c>
      <c r="C344" s="243">
        <f t="shared" si="36"/>
        <v>46843</v>
      </c>
      <c r="D344" s="120">
        <f t="shared" si="37"/>
        <v>31</v>
      </c>
      <c r="E344" s="120">
        <f t="shared" si="38"/>
        <v>3</v>
      </c>
      <c r="F344" s="275">
        <f t="shared" si="39"/>
        <v>46828.5</v>
      </c>
      <c r="G344" s="120">
        <f t="shared" si="40"/>
        <v>24338</v>
      </c>
      <c r="H344" s="245">
        <f t="shared" si="41"/>
        <v>1</v>
      </c>
      <c r="I344" s="121">
        <f t="shared" si="42"/>
        <v>1.05</v>
      </c>
      <c r="J344" s="121">
        <f t="shared" si="43"/>
        <v>1.05</v>
      </c>
      <c r="K344" s="120">
        <f t="shared" si="44"/>
        <v>0</v>
      </c>
      <c r="L344" s="120">
        <f t="shared" si="45"/>
        <v>0</v>
      </c>
      <c r="M344" s="246">
        <f t="shared" si="46"/>
        <v>0</v>
      </c>
      <c r="N344" s="121">
        <f t="shared" si="47"/>
        <v>1.05</v>
      </c>
      <c r="O344" s="246">
        <f t="shared" si="48"/>
        <v>0.91500000000000004</v>
      </c>
      <c r="P344" s="121">
        <f t="shared" si="49"/>
        <v>0</v>
      </c>
      <c r="Q344" s="121">
        <f t="shared" si="50"/>
        <v>0</v>
      </c>
      <c r="R344" s="121">
        <f t="shared" si="51"/>
        <v>1</v>
      </c>
      <c r="AE344" s="160">
        <f t="shared" si="52"/>
        <v>1.0442934782608697</v>
      </c>
    </row>
    <row r="345" spans="1:35" x14ac:dyDescent="0.3">
      <c r="A345" s="187">
        <v>40</v>
      </c>
      <c r="B345" s="242">
        <f t="shared" si="53"/>
        <v>46844</v>
      </c>
      <c r="C345" s="243">
        <f t="shared" si="36"/>
        <v>46873</v>
      </c>
      <c r="D345" s="120">
        <f t="shared" si="37"/>
        <v>30</v>
      </c>
      <c r="E345" s="120">
        <f t="shared" si="38"/>
        <v>4</v>
      </c>
      <c r="F345" s="275">
        <f t="shared" si="39"/>
        <v>46859</v>
      </c>
      <c r="G345" s="120">
        <f t="shared" si="40"/>
        <v>24339</v>
      </c>
      <c r="H345" s="245">
        <f t="shared" si="41"/>
        <v>1</v>
      </c>
      <c r="I345" s="121">
        <f t="shared" si="42"/>
        <v>1.05</v>
      </c>
      <c r="J345" s="121">
        <f t="shared" si="43"/>
        <v>1.05</v>
      </c>
      <c r="K345" s="120">
        <f t="shared" si="44"/>
        <v>0</v>
      </c>
      <c r="L345" s="120">
        <f t="shared" si="45"/>
        <v>0</v>
      </c>
      <c r="M345" s="246">
        <f t="shared" si="46"/>
        <v>0</v>
      </c>
      <c r="N345" s="121">
        <f t="shared" si="47"/>
        <v>1.05</v>
      </c>
      <c r="O345" s="246">
        <f t="shared" si="48"/>
        <v>0.91500000000000004</v>
      </c>
      <c r="P345" s="121">
        <f t="shared" si="49"/>
        <v>0</v>
      </c>
      <c r="Q345" s="121">
        <f t="shared" si="50"/>
        <v>0</v>
      </c>
      <c r="R345" s="121">
        <f t="shared" si="51"/>
        <v>1</v>
      </c>
      <c r="AE345" s="160">
        <f t="shared" si="52"/>
        <v>1.0442934782608697</v>
      </c>
    </row>
    <row r="346" spans="1:35" x14ac:dyDescent="0.3">
      <c r="A346" s="187">
        <v>41</v>
      </c>
      <c r="B346" s="242">
        <f t="shared" si="53"/>
        <v>46874</v>
      </c>
      <c r="C346" s="243">
        <f t="shared" si="36"/>
        <v>46904</v>
      </c>
      <c r="D346" s="120">
        <f t="shared" si="37"/>
        <v>31</v>
      </c>
      <c r="E346" s="120">
        <f t="shared" si="38"/>
        <v>5</v>
      </c>
      <c r="F346" s="275">
        <f t="shared" si="39"/>
        <v>46889.5</v>
      </c>
      <c r="G346" s="120">
        <f t="shared" si="40"/>
        <v>24340</v>
      </c>
      <c r="H346" s="245">
        <f t="shared" si="41"/>
        <v>1</v>
      </c>
      <c r="I346" s="121">
        <f t="shared" si="42"/>
        <v>1.05</v>
      </c>
      <c r="J346" s="121">
        <f t="shared" si="43"/>
        <v>1.05</v>
      </c>
      <c r="K346" s="120">
        <f t="shared" si="44"/>
        <v>0</v>
      </c>
      <c r="L346" s="120">
        <f t="shared" si="45"/>
        <v>0</v>
      </c>
      <c r="M346" s="246">
        <f t="shared" si="46"/>
        <v>0</v>
      </c>
      <c r="N346" s="121">
        <f t="shared" si="47"/>
        <v>1.05</v>
      </c>
      <c r="O346" s="246">
        <f t="shared" si="48"/>
        <v>0.91500000000000004</v>
      </c>
      <c r="P346" s="121">
        <f t="shared" si="49"/>
        <v>0</v>
      </c>
      <c r="Q346" s="121">
        <f t="shared" si="50"/>
        <v>0</v>
      </c>
      <c r="R346" s="121">
        <f t="shared" si="51"/>
        <v>1</v>
      </c>
      <c r="AE346" s="160">
        <f t="shared" si="52"/>
        <v>1.0442934782608697</v>
      </c>
    </row>
    <row r="347" spans="1:35" x14ac:dyDescent="0.3">
      <c r="A347" s="187">
        <v>42</v>
      </c>
      <c r="B347" s="242">
        <f t="shared" si="53"/>
        <v>46905</v>
      </c>
      <c r="C347" s="243">
        <f t="shared" si="36"/>
        <v>46934</v>
      </c>
      <c r="D347" s="120">
        <f t="shared" si="37"/>
        <v>30</v>
      </c>
      <c r="E347" s="120">
        <f t="shared" si="38"/>
        <v>6</v>
      </c>
      <c r="F347" s="275">
        <f t="shared" si="39"/>
        <v>46920</v>
      </c>
      <c r="G347" s="120">
        <f t="shared" si="40"/>
        <v>24341</v>
      </c>
      <c r="H347" s="245">
        <f t="shared" si="41"/>
        <v>1</v>
      </c>
      <c r="I347" s="121">
        <f t="shared" si="42"/>
        <v>1.05</v>
      </c>
      <c r="J347" s="121">
        <f t="shared" si="43"/>
        <v>1.05</v>
      </c>
      <c r="K347" s="120">
        <f t="shared" si="44"/>
        <v>0</v>
      </c>
      <c r="L347" s="120">
        <f t="shared" si="45"/>
        <v>0</v>
      </c>
      <c r="M347" s="246">
        <f t="shared" si="46"/>
        <v>0</v>
      </c>
      <c r="N347" s="121">
        <f t="shared" si="47"/>
        <v>1.05</v>
      </c>
      <c r="O347" s="246">
        <f t="shared" si="48"/>
        <v>0.91500000000000004</v>
      </c>
      <c r="P347" s="121">
        <f t="shared" si="49"/>
        <v>0</v>
      </c>
      <c r="Q347" s="121">
        <f t="shared" si="50"/>
        <v>0</v>
      </c>
      <c r="R347" s="121">
        <f t="shared" si="51"/>
        <v>1</v>
      </c>
      <c r="AE347" s="160">
        <f t="shared" si="52"/>
        <v>1.0442934782608697</v>
      </c>
    </row>
    <row r="348" spans="1:35" x14ac:dyDescent="0.3">
      <c r="A348" s="187">
        <v>43</v>
      </c>
      <c r="B348" s="242">
        <f t="shared" si="53"/>
        <v>46935</v>
      </c>
      <c r="C348" s="243">
        <f t="shared" si="36"/>
        <v>46965</v>
      </c>
      <c r="D348" s="120">
        <f t="shared" si="37"/>
        <v>31</v>
      </c>
      <c r="E348" s="120">
        <f t="shared" si="38"/>
        <v>7</v>
      </c>
      <c r="F348" s="275">
        <f t="shared" si="39"/>
        <v>46950.5</v>
      </c>
      <c r="G348" s="120">
        <f t="shared" si="40"/>
        <v>24342</v>
      </c>
      <c r="H348" s="245">
        <f t="shared" si="41"/>
        <v>1</v>
      </c>
      <c r="I348" s="121">
        <f t="shared" si="42"/>
        <v>1.05</v>
      </c>
      <c r="J348" s="121">
        <f t="shared" si="43"/>
        <v>1.05</v>
      </c>
      <c r="K348" s="120">
        <f t="shared" si="44"/>
        <v>0</v>
      </c>
      <c r="L348" s="120">
        <f t="shared" si="45"/>
        <v>0</v>
      </c>
      <c r="M348" s="246">
        <f t="shared" si="46"/>
        <v>0</v>
      </c>
      <c r="N348" s="121">
        <f t="shared" si="47"/>
        <v>1.05</v>
      </c>
      <c r="O348" s="246">
        <f t="shared" si="48"/>
        <v>0.91500000000000004</v>
      </c>
      <c r="P348" s="121">
        <f t="shared" si="49"/>
        <v>0</v>
      </c>
      <c r="Q348" s="121">
        <f t="shared" si="50"/>
        <v>0</v>
      </c>
      <c r="R348" s="121">
        <f t="shared" si="51"/>
        <v>0.91666666666666663</v>
      </c>
      <c r="AE348" s="160">
        <f t="shared" si="52"/>
        <v>1.0442934782608697</v>
      </c>
    </row>
    <row r="349" spans="1:35" x14ac:dyDescent="0.3">
      <c r="A349" s="187">
        <v>44</v>
      </c>
      <c r="B349" s="242">
        <f t="shared" si="53"/>
        <v>46966</v>
      </c>
      <c r="C349" s="243">
        <f t="shared" si="36"/>
        <v>46996</v>
      </c>
      <c r="D349" s="120">
        <f t="shared" si="37"/>
        <v>31</v>
      </c>
      <c r="E349" s="120">
        <f t="shared" si="38"/>
        <v>8</v>
      </c>
      <c r="F349" s="275">
        <f t="shared" si="39"/>
        <v>46981.5</v>
      </c>
      <c r="G349" s="120">
        <f t="shared" si="40"/>
        <v>24343</v>
      </c>
      <c r="H349" s="245">
        <f t="shared" si="41"/>
        <v>1</v>
      </c>
      <c r="I349" s="121">
        <f t="shared" si="42"/>
        <v>1.05</v>
      </c>
      <c r="J349" s="121">
        <f t="shared" si="43"/>
        <v>1.05</v>
      </c>
      <c r="K349" s="120">
        <f t="shared" si="44"/>
        <v>0</v>
      </c>
      <c r="L349" s="120">
        <f t="shared" si="45"/>
        <v>0</v>
      </c>
      <c r="M349" s="246">
        <f t="shared" si="46"/>
        <v>0</v>
      </c>
      <c r="N349" s="121">
        <f t="shared" si="47"/>
        <v>1.05</v>
      </c>
      <c r="O349" s="246">
        <f t="shared" si="48"/>
        <v>0.91500000000000004</v>
      </c>
      <c r="P349" s="121">
        <f t="shared" si="49"/>
        <v>0</v>
      </c>
      <c r="Q349" s="121">
        <f t="shared" si="50"/>
        <v>0</v>
      </c>
      <c r="R349" s="121">
        <f t="shared" si="51"/>
        <v>0.75</v>
      </c>
      <c r="AE349" s="160">
        <f t="shared" si="52"/>
        <v>1.0442934782608697</v>
      </c>
    </row>
    <row r="350" spans="1:35" x14ac:dyDescent="0.3">
      <c r="A350" s="187">
        <v>45</v>
      </c>
      <c r="B350" s="242">
        <f t="shared" si="53"/>
        <v>46997</v>
      </c>
      <c r="C350" s="243">
        <f t="shared" si="36"/>
        <v>47026</v>
      </c>
      <c r="D350" s="120">
        <f t="shared" si="37"/>
        <v>30</v>
      </c>
      <c r="E350" s="120">
        <f t="shared" si="38"/>
        <v>9</v>
      </c>
      <c r="F350" s="275">
        <f t="shared" si="39"/>
        <v>47012</v>
      </c>
      <c r="G350" s="120">
        <f t="shared" si="40"/>
        <v>24344</v>
      </c>
      <c r="H350" s="245">
        <f t="shared" si="41"/>
        <v>1</v>
      </c>
      <c r="I350" s="121">
        <f t="shared" si="42"/>
        <v>1.05</v>
      </c>
      <c r="J350" s="121">
        <f t="shared" si="43"/>
        <v>1.05</v>
      </c>
      <c r="K350" s="120">
        <f t="shared" si="44"/>
        <v>0</v>
      </c>
      <c r="L350" s="120">
        <f t="shared" si="45"/>
        <v>0</v>
      </c>
      <c r="M350" s="246">
        <f t="shared" si="46"/>
        <v>0</v>
      </c>
      <c r="N350" s="121">
        <f t="shared" si="47"/>
        <v>1.05</v>
      </c>
      <c r="O350" s="246">
        <f t="shared" si="48"/>
        <v>0.91500000000000004</v>
      </c>
      <c r="P350" s="121">
        <f t="shared" si="49"/>
        <v>0</v>
      </c>
      <c r="Q350" s="121">
        <f t="shared" si="50"/>
        <v>0</v>
      </c>
      <c r="R350" s="121">
        <f t="shared" si="51"/>
        <v>0.58333333333333337</v>
      </c>
      <c r="AE350" s="160">
        <f t="shared" si="52"/>
        <v>1.0442934782608697</v>
      </c>
    </row>
    <row r="351" spans="1:35" x14ac:dyDescent="0.3">
      <c r="A351" s="187">
        <v>46</v>
      </c>
      <c r="B351" s="242">
        <f t="shared" si="53"/>
        <v>47027</v>
      </c>
      <c r="C351" s="243">
        <f t="shared" si="36"/>
        <v>47057</v>
      </c>
      <c r="D351" s="120">
        <f t="shared" si="37"/>
        <v>31</v>
      </c>
      <c r="E351" s="120">
        <f t="shared" si="38"/>
        <v>10</v>
      </c>
      <c r="F351" s="275">
        <f t="shared" si="39"/>
        <v>47042.5</v>
      </c>
      <c r="G351" s="120">
        <f t="shared" si="40"/>
        <v>24345</v>
      </c>
      <c r="H351" s="245">
        <f t="shared" si="41"/>
        <v>1</v>
      </c>
      <c r="I351" s="121">
        <f t="shared" si="42"/>
        <v>1.05</v>
      </c>
      <c r="J351" s="121">
        <f t="shared" si="43"/>
        <v>1.05</v>
      </c>
      <c r="K351" s="120">
        <f t="shared" si="44"/>
        <v>0</v>
      </c>
      <c r="L351" s="120">
        <f t="shared" si="45"/>
        <v>0</v>
      </c>
      <c r="M351" s="246">
        <f t="shared" si="46"/>
        <v>0</v>
      </c>
      <c r="N351" s="121">
        <f t="shared" si="47"/>
        <v>1.05</v>
      </c>
      <c r="O351" s="246">
        <f t="shared" si="48"/>
        <v>0.91500000000000004</v>
      </c>
      <c r="P351" s="121">
        <f t="shared" si="49"/>
        <v>0</v>
      </c>
      <c r="Q351" s="121">
        <f t="shared" si="50"/>
        <v>0</v>
      </c>
      <c r="R351" s="121">
        <f t="shared" si="51"/>
        <v>0.41666666666666669</v>
      </c>
      <c r="AE351" s="160">
        <f t="shared" si="52"/>
        <v>1.0442934782608697</v>
      </c>
    </row>
    <row r="352" spans="1:35" x14ac:dyDescent="0.3">
      <c r="A352" s="187">
        <v>47</v>
      </c>
      <c r="B352" s="242">
        <f t="shared" si="53"/>
        <v>47058</v>
      </c>
      <c r="C352" s="243">
        <f t="shared" si="36"/>
        <v>47087</v>
      </c>
      <c r="D352" s="120">
        <f t="shared" si="37"/>
        <v>30</v>
      </c>
      <c r="E352" s="120">
        <f t="shared" si="38"/>
        <v>11</v>
      </c>
      <c r="F352" s="275">
        <f t="shared" si="39"/>
        <v>47073</v>
      </c>
      <c r="G352" s="120">
        <f t="shared" si="40"/>
        <v>24346</v>
      </c>
      <c r="H352" s="245">
        <f t="shared" si="41"/>
        <v>1</v>
      </c>
      <c r="I352" s="121">
        <f t="shared" si="42"/>
        <v>1.05</v>
      </c>
      <c r="J352" s="121">
        <f t="shared" si="43"/>
        <v>1.05</v>
      </c>
      <c r="K352" s="120">
        <f t="shared" si="44"/>
        <v>0</v>
      </c>
      <c r="L352" s="120">
        <f t="shared" si="45"/>
        <v>0</v>
      </c>
      <c r="M352" s="246">
        <f t="shared" si="46"/>
        <v>0</v>
      </c>
      <c r="N352" s="121">
        <f t="shared" si="47"/>
        <v>1.05</v>
      </c>
      <c r="O352" s="246">
        <f t="shared" si="48"/>
        <v>0.91500000000000004</v>
      </c>
      <c r="P352" s="121">
        <f t="shared" si="49"/>
        <v>0</v>
      </c>
      <c r="Q352" s="121">
        <f t="shared" si="50"/>
        <v>0</v>
      </c>
      <c r="R352" s="121">
        <f t="shared" si="51"/>
        <v>0.25</v>
      </c>
      <c r="AE352" s="160">
        <f t="shared" si="52"/>
        <v>1.0442934782608697</v>
      </c>
    </row>
    <row r="353" spans="1:31" x14ac:dyDescent="0.3">
      <c r="A353" s="187">
        <v>48</v>
      </c>
      <c r="B353" s="242">
        <f t="shared" si="53"/>
        <v>47088</v>
      </c>
      <c r="C353" s="243">
        <f t="shared" si="36"/>
        <v>47118</v>
      </c>
      <c r="D353" s="120">
        <f t="shared" si="37"/>
        <v>31</v>
      </c>
      <c r="E353" s="120">
        <f t="shared" si="38"/>
        <v>12</v>
      </c>
      <c r="F353" s="275">
        <f t="shared" si="39"/>
        <v>47103.5</v>
      </c>
      <c r="G353" s="120">
        <f t="shared" si="40"/>
        <v>24347</v>
      </c>
      <c r="H353" s="245">
        <f t="shared" si="41"/>
        <v>1</v>
      </c>
      <c r="I353" s="121">
        <f t="shared" si="42"/>
        <v>1.05</v>
      </c>
      <c r="J353" s="121">
        <f t="shared" si="43"/>
        <v>1.05</v>
      </c>
      <c r="K353" s="120">
        <f t="shared" si="44"/>
        <v>0</v>
      </c>
      <c r="L353" s="120">
        <f t="shared" si="45"/>
        <v>0</v>
      </c>
      <c r="M353" s="246">
        <f t="shared" si="46"/>
        <v>0</v>
      </c>
      <c r="N353" s="121">
        <f t="shared" si="47"/>
        <v>1.05</v>
      </c>
      <c r="O353" s="246">
        <f t="shared" si="48"/>
        <v>0.91500000000000004</v>
      </c>
      <c r="P353" s="121">
        <f t="shared" si="49"/>
        <v>0</v>
      </c>
      <c r="Q353" s="121">
        <f t="shared" si="50"/>
        <v>0</v>
      </c>
      <c r="R353" s="121">
        <f t="shared" si="51"/>
        <v>8.3333333333333329E-2</v>
      </c>
      <c r="AE353" s="160">
        <f t="shared" si="52"/>
        <v>1.0442934782608697</v>
      </c>
    </row>
    <row r="354" spans="1:31" x14ac:dyDescent="0.3">
      <c r="A354" s="23" t="s">
        <v>1723</v>
      </c>
      <c r="B354" s="279">
        <f>SUM($H$330:$H$341)</f>
        <v>12</v>
      </c>
      <c r="C354" s="160">
        <f>SUMPRODUCT($H$330:$H$341,$W$330:$W$341/$N$318:$N$329,$Y$330:$Y$341)</f>
        <v>12.404257673684974</v>
      </c>
      <c r="D354" s="160">
        <f>SUMPRODUCT($H$330:$H$341,$X$330:$X$341/$N$318:$N$329,$Y$330:$Y$341)</f>
        <v>9.2403962445991361</v>
      </c>
      <c r="E354" s="281" t="str">
        <f>IF(OR($D$303=0,$P$303=0,$D354=0),"n/a",((1+$E$303)*$B354-$C354)/$D354)</f>
        <v>n/a</v>
      </c>
      <c r="F354" s="281" t="str">
        <f>IF($V$303&lt;&gt;"",$V$303,$E354)</f>
        <v>n/a</v>
      </c>
      <c r="G354" s="281" t="str">
        <f>IF(OR(NOT(ISNUMBER($F354)),nd_Ach=0),"n/a",$F354/nd_Ach)</f>
        <v>n/a</v>
      </c>
      <c r="H354" s="220" t="str">
        <f>IF(OR(NOT(ISNUMBER($F354)),$F$303=0,SUMPRODUCT($AD$330:$AD$341,$AB$330:$AB$341)=0),"n/a",((1+$E$303)*$B354-SUMPRODUCT($AD$330:$AD$341,$AC$330:$AC$341))/SUMPRODUCT($AD$330:$AD$341,$AB$330:$AB$341))</f>
        <v>n/a</v>
      </c>
      <c r="I354" s="183" t="str">
        <f>IF(NOT(ISNUMBER($F354)),"n/a",SUMPRODUCT($H$330:$H$341,($W$330:$W$341+$X$330:$X$341*$F354)/$N$318:$N$329)/$B354-1)</f>
        <v>n/a</v>
      </c>
      <c r="J354" s="183" t="str">
        <f>IF(OR(NOT(ISNUMBER($I354)),$F$303=0),"n/a",(1+$E$303)/(1+$I354)-1)</f>
        <v>n/a</v>
      </c>
      <c r="K354" s="183" t="str">
        <f>IF(NOT(ISNUMBER($F354)),"n/a",($C354+$D354*$F354)/$B354-1)</f>
        <v>n/a</v>
      </c>
      <c r="L354" s="229" t="str">
        <f>IF(NOT(ISNUMBER($F354)),"n/a",SUMPRODUCT($H$330:$H$341,$AF$330:$AF$341)/$B354)</f>
        <v>n/a</v>
      </c>
      <c r="M354" s="23" t="str">
        <f>IF($D$303=0,"",TRIM(IF(AND(ISNUMBER($H354),OR($H354&lt;0.5,$H354&gt;1.5)),"MOD-BOUND ","")&amp;IF(AND(ISNUMBER($F354),ABS($F354)&gt;nr_SolvMaxRate),"RATE-BOUND ","")&amp;IF(AND(ISNUMBER($L354),$L354&lt;nr_SolvMinShare),"THIN-SHARE ","")&amp;IF($W$303&gt;1,"MULTI-PLANNED ","")&amp;IF($F$303=0,"RATE-ONLY","")))</f>
        <v/>
      </c>
      <c r="N354" s="229" t="str">
        <f>IF(OR($D$303=0,NOT(ISNUMBER($F354))),"n/a",INDEX(calc_lrcur,$C$303)*INDEX(calc_crl,$C$303)/(SUMPRODUCT($H$306:$H$353,$Q$306:$Q$353,$AE$306:$AE$353)/SUMPRODUCT($H$306:$H$353,$Q$306:$Q$353))*INDEX(calc_aother,$C$303))</f>
        <v>n/a</v>
      </c>
      <c r="O354" s="229" t="str">
        <f>IF($D$303=0,"n/a",INDEX(calc_cylr_p,$C$303))</f>
        <v>n/a</v>
      </c>
      <c r="P354" s="282">
        <f>IF(NOT(ISNUMBER($E354)),0,ABS(($C354+$D354*$E354)/$B354-(1+$E$303)))</f>
        <v>0</v>
      </c>
    </row>
    <row r="359" spans="1:31" x14ac:dyDescent="0.3">
      <c r="A359" s="23" t="str">
        <f>_lists!$B$5</f>
        <v>DE</v>
      </c>
      <c r="B359" s="23" t="str">
        <f>IF(OR($A359="",nd_BU="All"),"",nd_BU&amp;"|"&amp;$A359)</f>
        <v>SBA|DE</v>
      </c>
      <c r="C359" s="43">
        <f>IF($B359="",0,IF(COUNTIF(lr_key,$B359)=0,0,MATCH($B359,lr_key,0)))</f>
        <v>45</v>
      </c>
      <c r="D359" s="43">
        <f>IF($C359=0,0,IF(ISBLANK(INDEX(lr_netp,$C359)),0,1))</f>
        <v>0</v>
      </c>
      <c r="E359" s="229">
        <f>IF($D359=0,0,N(INDEX(lr_netp,$C359)))</f>
        <v>0</v>
      </c>
      <c r="F359" s="43">
        <f>IF($C359=0,0,IF(AND(nr_ModAdjMaster="ON",INDEX(lr_modadj,$C359)="ON"),1,0))</f>
        <v>1</v>
      </c>
      <c r="G359" s="220">
        <f>IF($C359=0,1,IF(N(INDEX(lr_mind,$C359))=0,1,INDEX(lr_mind,$C359)))</f>
        <v>0.92</v>
      </c>
      <c r="H359" s="220">
        <f>IF($C359=0,1,IF(N(INDEX(lr_m0,$C359))=0,1,INDEX(lr_m0,$C359)))</f>
        <v>0.91</v>
      </c>
      <c r="I359" s="278">
        <f>IF($C359=0,DATE(nr_PlanYear-1,10,1),IF(N(INDEX(lr_m0asof,$C359))=0,DATE(nr_PlanYear-1,10,1),INDEX(lr_m0asof,$C359)))</f>
        <v>46295</v>
      </c>
      <c r="J359" s="220">
        <f>IF($C359=0,1,IF(N(INDEX(lr_m1,$C359))=0,1,INDEX(lr_m1,$C359)))</f>
        <v>0.93</v>
      </c>
      <c r="K359" s="220">
        <f>IF($C359=0,0,N(INDEX(lr_mprior,$C359)))</f>
        <v>0</v>
      </c>
      <c r="L359" s="220">
        <f>IF($C359=0,0,N(INDEX(lr_m2,$C359)))</f>
        <v>0</v>
      </c>
      <c r="M359" s="43">
        <f>IF(OR($A359="",COUNTIF(se_state,$A359)=0),0,MATCH($A359,se_state,0))</f>
        <v>0</v>
      </c>
      <c r="N359" s="279">
        <f>IF($M359=0,0,INDEX(se_sum,$M359))</f>
        <v>0</v>
      </c>
      <c r="O359" s="278">
        <f>IF('Net Delivery'!$D$11="",$X359,'Net Delivery'!$D$11)</f>
        <v>46478</v>
      </c>
      <c r="P359" s="43">
        <f>IF(AND($O359&gt;=DATE(nr_PlanYear,1,1),$O359&lt;=DATE(nr_PlanYear,12,31)),1,0)</f>
        <v>1</v>
      </c>
      <c r="Q359" s="43">
        <f>YEAR($O359)*12+MONTH($O359)-1</f>
        <v>24327</v>
      </c>
      <c r="R359" s="43">
        <f>DAY(EOMONTH($O359,0))</f>
        <v>30</v>
      </c>
      <c r="S359" s="43">
        <f>EOMONTH($O359,0)-$O359+1</f>
        <v>30</v>
      </c>
      <c r="T359" s="43">
        <f>SUMIFS(ndl_days,rl_key,$B359,ndl_effmonth,DATE(YEAR($O359),MONTH($O359),1),ndl_first,1)</f>
        <v>0</v>
      </c>
      <c r="U359" s="220">
        <f>IF($P359=1,MIN(1,MAX($S359,$T359)/$R359),1)</f>
        <v>1</v>
      </c>
      <c r="V359" s="280" t="str">
        <f>IF(ISBLANK('Net Delivery'!$E$11),$Y359,'Net Delivery'!$E$11)</f>
        <v/>
      </c>
      <c r="W359" s="43">
        <f>IF($B359="",0,COUNTIFS(rl_key,$B359,rl_status,"planned",rl_eff,"&gt;="&amp;DATE(nr_PlanYear,1,1),rl_eff,"&lt;="&amp;DATE(nr_PlanYear,12,31)))</f>
        <v>0</v>
      </c>
      <c r="X359" s="278">
        <f>IF($W359=0,nd_DefaultDate,SUMIFS(rl_eff,rl_key,$B359,rl_firstplanned,1))</f>
        <v>46478</v>
      </c>
      <c r="Y359" s="280" t="str">
        <f>IF($W359=0,"",SUMIFS(rl_reff,rl_key,$B359,rl_firstplanned,1))</f>
        <v/>
      </c>
      <c r="Z359" s="280" t="str">
        <f>IF($W359=0,"",SUMIFS(rl_filed,rl_key,$B359,rl_firstplanned,1))</f>
        <v/>
      </c>
    </row>
    <row r="360" spans="1:31" x14ac:dyDescent="0.3">
      <c r="A360" s="6">
        <f>EDATE($I$359,-12)+1</f>
        <v>45931</v>
      </c>
      <c r="B360" s="6">
        <f>$I$359+1</f>
        <v>46296</v>
      </c>
      <c r="C360" s="6">
        <f>DATE(nr_PlanYear,12,31)+1</f>
        <v>46753</v>
      </c>
      <c r="D360" s="6">
        <f>DATE(nr_PlanYear+1,12,31)+1</f>
        <v>47119</v>
      </c>
      <c r="E360" s="6">
        <f>IF(N($K$359)=0,$F$360-($G$360-$F$360)/($C$360-$B$360)*($B$360-$A$360),$K$359)</f>
        <v>0.89402625820568926</v>
      </c>
      <c r="F360" s="6">
        <f>$H$359</f>
        <v>0.91</v>
      </c>
      <c r="G360" s="6">
        <f>$J$359</f>
        <v>0.93</v>
      </c>
      <c r="H360" s="6">
        <f>IF(N($L$359)=0,$J$359,$L$359)</f>
        <v>0.93</v>
      </c>
      <c r="I360" s="6">
        <f>($F$360-$E$360)/($B$360-$A$360)</f>
        <v>4.3763676148796628E-5</v>
      </c>
      <c r="J360" s="6">
        <f>($G$360-$F$360)/($C$360-$B$360)</f>
        <v>4.376367614879654E-5</v>
      </c>
      <c r="K360" s="6">
        <f>($H$360-$G$360)/($D$360-$C$360)</f>
        <v>0</v>
      </c>
    </row>
    <row r="361" spans="1:31" ht="36" x14ac:dyDescent="0.3">
      <c r="A361" s="58" t="s">
        <v>390</v>
      </c>
      <c r="B361" s="58" t="s">
        <v>449</v>
      </c>
      <c r="C361" s="58" t="s">
        <v>685</v>
      </c>
      <c r="D361" s="58" t="s">
        <v>686</v>
      </c>
      <c r="E361" s="58" t="s">
        <v>687</v>
      </c>
      <c r="F361" s="58" t="s">
        <v>688</v>
      </c>
      <c r="G361" s="58" t="s">
        <v>689</v>
      </c>
      <c r="H361" s="58" t="s">
        <v>452</v>
      </c>
      <c r="I361" s="58" t="s">
        <v>690</v>
      </c>
      <c r="J361" s="58" t="s">
        <v>691</v>
      </c>
      <c r="K361" s="58" t="s">
        <v>692</v>
      </c>
      <c r="L361" s="58" t="s">
        <v>693</v>
      </c>
      <c r="M361" s="58" t="s">
        <v>694</v>
      </c>
      <c r="N361" s="58" t="s">
        <v>695</v>
      </c>
      <c r="O361" s="58" t="s">
        <v>696</v>
      </c>
      <c r="P361" s="58" t="s">
        <v>697</v>
      </c>
      <c r="Q361" s="58" t="s">
        <v>698</v>
      </c>
      <c r="R361" s="58" t="s">
        <v>699</v>
      </c>
      <c r="S361" s="58" t="s">
        <v>700</v>
      </c>
      <c r="T361" s="58" t="s">
        <v>701</v>
      </c>
      <c r="U361" s="58" t="s">
        <v>702</v>
      </c>
    </row>
    <row r="362" spans="1:31" x14ac:dyDescent="0.3">
      <c r="A362" s="187">
        <v>1</v>
      </c>
      <c r="B362" s="242">
        <f>DATE(nr_PlanYear-2,1,1)</f>
        <v>45658</v>
      </c>
      <c r="C362" s="243">
        <f t="shared" ref="C362:C409" si="64">EOMONTH($B362,0)</f>
        <v>45688</v>
      </c>
      <c r="D362" s="120">
        <f t="shared" ref="D362:D409" si="65">$C362-$B362+1</f>
        <v>31</v>
      </c>
      <c r="E362" s="120">
        <f t="shared" ref="E362:E409" si="66">MONTH($B362)</f>
        <v>1</v>
      </c>
      <c r="F362" s="275">
        <f t="shared" ref="F362:F409" si="67">($B362+$C362+1)/2</f>
        <v>45673.5</v>
      </c>
      <c r="G362" s="120">
        <f t="shared" ref="G362:G409" si="68">YEAR($B362)*12+MONTH($B362)-1</f>
        <v>24300</v>
      </c>
      <c r="H362" s="245">
        <f t="shared" ref="H362:H409" si="69">IF(OR(nr_SeasonOn="OFF",$M$359=0,$N$359=0),1,12*INDEX(se_block,$M$359,$E362)/$N$359)</f>
        <v>1</v>
      </c>
      <c r="I362" s="121">
        <f t="shared" ref="I362:I409" si="70">EXP(SUMPRODUCT((ndl_eff&lt;$B362)*(rl_key=$B$359)*ndl_ln))</f>
        <v>1</v>
      </c>
      <c r="J362" s="121">
        <f t="shared" ref="J362:J409" si="71">EXP(SUMPRODUCT((ndl_eff&lt;=$C362)*(rl_key=$B$359)*ndl_ln))</f>
        <v>1</v>
      </c>
      <c r="K362" s="120">
        <f t="shared" ref="K362:K409" si="72">COUNTIFS(rl_key,$B$359,ndl_eff,"&gt;="&amp;$B362,ndl_eff,"&lt;="&amp;$C362)</f>
        <v>0</v>
      </c>
      <c r="L362" s="120">
        <f t="shared" ref="L362:L409" si="73">SUMIFS(ndl_days,rl_key,$B$359,ndl_effmonth,$B362,ndl_first,1)</f>
        <v>0</v>
      </c>
      <c r="M362" s="246">
        <f t="shared" ref="M362:M409" si="74">IF($K362=0,0,MIN(1,$L362/$D362))</f>
        <v>0</v>
      </c>
      <c r="N362" s="121">
        <f t="shared" ref="N362:N409" si="75">IF($K362=0,$J362,(1-$M362)*$I362+$M362*$J362)</f>
        <v>1</v>
      </c>
      <c r="O362" s="246">
        <f t="shared" ref="O362:O409" si="76">IF($F362&lt;$B$360,$E$360+$I$360*($F362-$A$360),IF($F362&lt;$C$360,$F$360+$J$360*($F362-$B$360),$G$360+$K$360*($F362-$C$360)))</f>
        <v>0.88275711159737413</v>
      </c>
      <c r="P362" s="121">
        <f t="shared" ref="P362:P409" si="77">MIN(1,MAX(0,(nr_MEndPm1-$G362+0.5)/nr_TermMonths))-MIN(1,MAX(0,(nr_MStartPm1-1-$G362+0.5)/nr_TermMonths))</f>
        <v>0</v>
      </c>
      <c r="Q362" s="121">
        <f t="shared" ref="Q362:Q409" si="78">MIN(1,MAX(0,(nr_MEndP-$G362+0.5)/nr_TermMonths))-MIN(1,MAX(0,(nr_MStartP-1-$G362+0.5)/nr_TermMonths))</f>
        <v>0</v>
      </c>
      <c r="R362" s="121">
        <f t="shared" ref="R362:R409" si="79">MIN(1,MAX(0,(nr_MEndP1-$G362+0.5)/nr_TermMonths))-MIN(1,MAX(0,(nr_MStartP1-1-$G362+0.5)/nr_TermMonths))</f>
        <v>0</v>
      </c>
      <c r="AE362" s="160">
        <f t="shared" ref="AE362:AE409" si="80">IF(OR($G362&lt;nr_MStartP,$G362&gt;=nr_MStartP1),IF($F$359=1,$N362*$O362/$G$359,$N362),($W362+$X362*IF(ISNUMBER($F$410),$F$410,0))*IF($F$359=1,($AC362+$AB362*IF(ISNUMBER($H$410),$H$410,$J$359))/$G$359,1))</f>
        <v>0.95951859956236318</v>
      </c>
    </row>
    <row r="363" spans="1:31" x14ac:dyDescent="0.3">
      <c r="A363" s="187">
        <v>2</v>
      </c>
      <c r="B363" s="242">
        <f t="shared" ref="B363:B409" si="81">EDATE($B362,1)</f>
        <v>45689</v>
      </c>
      <c r="C363" s="243">
        <f t="shared" si="64"/>
        <v>45716</v>
      </c>
      <c r="D363" s="120">
        <f t="shared" si="65"/>
        <v>28</v>
      </c>
      <c r="E363" s="120">
        <f t="shared" si="66"/>
        <v>2</v>
      </c>
      <c r="F363" s="275">
        <f t="shared" si="67"/>
        <v>45703</v>
      </c>
      <c r="G363" s="120">
        <f t="shared" si="68"/>
        <v>24301</v>
      </c>
      <c r="H363" s="245">
        <f t="shared" si="69"/>
        <v>1</v>
      </c>
      <c r="I363" s="121">
        <f t="shared" si="70"/>
        <v>1</v>
      </c>
      <c r="J363" s="121">
        <f t="shared" si="71"/>
        <v>1</v>
      </c>
      <c r="K363" s="120">
        <f t="shared" si="72"/>
        <v>0</v>
      </c>
      <c r="L363" s="120">
        <f t="shared" si="73"/>
        <v>0</v>
      </c>
      <c r="M363" s="246">
        <f t="shared" si="74"/>
        <v>0</v>
      </c>
      <c r="N363" s="121">
        <f t="shared" si="75"/>
        <v>1</v>
      </c>
      <c r="O363" s="246">
        <f t="shared" si="76"/>
        <v>0.88404814004376364</v>
      </c>
      <c r="P363" s="121">
        <f t="shared" si="77"/>
        <v>0</v>
      </c>
      <c r="Q363" s="121">
        <f t="shared" si="78"/>
        <v>0</v>
      </c>
      <c r="R363" s="121">
        <f t="shared" si="79"/>
        <v>0</v>
      </c>
      <c r="AE363" s="160">
        <f t="shared" si="80"/>
        <v>0.96092189135191697</v>
      </c>
    </row>
    <row r="364" spans="1:31" x14ac:dyDescent="0.3">
      <c r="A364" s="187">
        <v>3</v>
      </c>
      <c r="B364" s="242">
        <f t="shared" si="81"/>
        <v>45717</v>
      </c>
      <c r="C364" s="243">
        <f t="shared" si="64"/>
        <v>45747</v>
      </c>
      <c r="D364" s="120">
        <f t="shared" si="65"/>
        <v>31</v>
      </c>
      <c r="E364" s="120">
        <f t="shared" si="66"/>
        <v>3</v>
      </c>
      <c r="F364" s="275">
        <f t="shared" si="67"/>
        <v>45732.5</v>
      </c>
      <c r="G364" s="120">
        <f t="shared" si="68"/>
        <v>24302</v>
      </c>
      <c r="H364" s="245">
        <f t="shared" si="69"/>
        <v>1</v>
      </c>
      <c r="I364" s="121">
        <f t="shared" si="70"/>
        <v>1</v>
      </c>
      <c r="J364" s="121">
        <f t="shared" si="71"/>
        <v>1</v>
      </c>
      <c r="K364" s="120">
        <f t="shared" si="72"/>
        <v>0</v>
      </c>
      <c r="L364" s="120">
        <f t="shared" si="73"/>
        <v>0</v>
      </c>
      <c r="M364" s="246">
        <f t="shared" si="74"/>
        <v>0</v>
      </c>
      <c r="N364" s="121">
        <f t="shared" si="75"/>
        <v>1</v>
      </c>
      <c r="O364" s="246">
        <f t="shared" si="76"/>
        <v>0.88533916849015315</v>
      </c>
      <c r="P364" s="121">
        <f t="shared" si="77"/>
        <v>0</v>
      </c>
      <c r="Q364" s="121">
        <f t="shared" si="78"/>
        <v>0</v>
      </c>
      <c r="R364" s="121">
        <f t="shared" si="79"/>
        <v>0</v>
      </c>
      <c r="AE364" s="160">
        <f t="shared" si="80"/>
        <v>0.96232518314147075</v>
      </c>
    </row>
    <row r="365" spans="1:31" x14ac:dyDescent="0.3">
      <c r="A365" s="187">
        <v>4</v>
      </c>
      <c r="B365" s="242">
        <f t="shared" si="81"/>
        <v>45748</v>
      </c>
      <c r="C365" s="243">
        <f t="shared" si="64"/>
        <v>45777</v>
      </c>
      <c r="D365" s="120">
        <f t="shared" si="65"/>
        <v>30</v>
      </c>
      <c r="E365" s="120">
        <f t="shared" si="66"/>
        <v>4</v>
      </c>
      <c r="F365" s="275">
        <f t="shared" si="67"/>
        <v>45763</v>
      </c>
      <c r="G365" s="120">
        <f t="shared" si="68"/>
        <v>24303</v>
      </c>
      <c r="H365" s="245">
        <f t="shared" si="69"/>
        <v>1</v>
      </c>
      <c r="I365" s="121">
        <f t="shared" si="70"/>
        <v>1</v>
      </c>
      <c r="J365" s="121">
        <f t="shared" si="71"/>
        <v>1</v>
      </c>
      <c r="K365" s="120">
        <f t="shared" si="72"/>
        <v>0</v>
      </c>
      <c r="L365" s="120">
        <f t="shared" si="73"/>
        <v>0</v>
      </c>
      <c r="M365" s="246">
        <f t="shared" si="74"/>
        <v>0</v>
      </c>
      <c r="N365" s="121">
        <f t="shared" si="75"/>
        <v>1</v>
      </c>
      <c r="O365" s="246">
        <f t="shared" si="76"/>
        <v>0.88667396061269144</v>
      </c>
      <c r="P365" s="121">
        <f t="shared" si="77"/>
        <v>0</v>
      </c>
      <c r="Q365" s="121">
        <f t="shared" si="78"/>
        <v>0</v>
      </c>
      <c r="R365" s="121">
        <f t="shared" si="79"/>
        <v>0</v>
      </c>
      <c r="AE365" s="160">
        <f t="shared" si="80"/>
        <v>0.96377604414422979</v>
      </c>
    </row>
    <row r="366" spans="1:31" x14ac:dyDescent="0.3">
      <c r="A366" s="187">
        <v>5</v>
      </c>
      <c r="B366" s="242">
        <f t="shared" si="81"/>
        <v>45778</v>
      </c>
      <c r="C366" s="243">
        <f t="shared" si="64"/>
        <v>45808</v>
      </c>
      <c r="D366" s="120">
        <f t="shared" si="65"/>
        <v>31</v>
      </c>
      <c r="E366" s="120">
        <f t="shared" si="66"/>
        <v>5</v>
      </c>
      <c r="F366" s="275">
        <f t="shared" si="67"/>
        <v>45793.5</v>
      </c>
      <c r="G366" s="120">
        <f t="shared" si="68"/>
        <v>24304</v>
      </c>
      <c r="H366" s="245">
        <f t="shared" si="69"/>
        <v>1</v>
      </c>
      <c r="I366" s="121">
        <f t="shared" si="70"/>
        <v>1</v>
      </c>
      <c r="J366" s="121">
        <f t="shared" si="71"/>
        <v>1</v>
      </c>
      <c r="K366" s="120">
        <f t="shared" si="72"/>
        <v>0</v>
      </c>
      <c r="L366" s="120">
        <f t="shared" si="73"/>
        <v>0</v>
      </c>
      <c r="M366" s="246">
        <f t="shared" si="74"/>
        <v>0</v>
      </c>
      <c r="N366" s="121">
        <f t="shared" si="75"/>
        <v>1</v>
      </c>
      <c r="O366" s="246">
        <f t="shared" si="76"/>
        <v>0.88800875273522972</v>
      </c>
      <c r="P366" s="121">
        <f t="shared" si="77"/>
        <v>0</v>
      </c>
      <c r="Q366" s="121">
        <f t="shared" si="78"/>
        <v>0</v>
      </c>
      <c r="R366" s="121">
        <f t="shared" si="79"/>
        <v>0</v>
      </c>
      <c r="AE366" s="160">
        <f t="shared" si="80"/>
        <v>0.96522690514698883</v>
      </c>
    </row>
    <row r="367" spans="1:31" x14ac:dyDescent="0.3">
      <c r="A367" s="187">
        <v>6</v>
      </c>
      <c r="B367" s="242">
        <f t="shared" si="81"/>
        <v>45809</v>
      </c>
      <c r="C367" s="243">
        <f t="shared" si="64"/>
        <v>45838</v>
      </c>
      <c r="D367" s="120">
        <f t="shared" si="65"/>
        <v>30</v>
      </c>
      <c r="E367" s="120">
        <f t="shared" si="66"/>
        <v>6</v>
      </c>
      <c r="F367" s="275">
        <f t="shared" si="67"/>
        <v>45824</v>
      </c>
      <c r="G367" s="120">
        <f t="shared" si="68"/>
        <v>24305</v>
      </c>
      <c r="H367" s="245">
        <f t="shared" si="69"/>
        <v>1</v>
      </c>
      <c r="I367" s="121">
        <f t="shared" si="70"/>
        <v>1</v>
      </c>
      <c r="J367" s="121">
        <f t="shared" si="71"/>
        <v>1</v>
      </c>
      <c r="K367" s="120">
        <f t="shared" si="72"/>
        <v>0</v>
      </c>
      <c r="L367" s="120">
        <f t="shared" si="73"/>
        <v>0</v>
      </c>
      <c r="M367" s="246">
        <f t="shared" si="74"/>
        <v>0</v>
      </c>
      <c r="N367" s="121">
        <f t="shared" si="75"/>
        <v>1</v>
      </c>
      <c r="O367" s="246">
        <f t="shared" si="76"/>
        <v>0.88934354485776801</v>
      </c>
      <c r="P367" s="121">
        <f t="shared" si="77"/>
        <v>0</v>
      </c>
      <c r="Q367" s="121">
        <f t="shared" si="78"/>
        <v>0</v>
      </c>
      <c r="R367" s="121">
        <f t="shared" si="79"/>
        <v>0</v>
      </c>
      <c r="AE367" s="160">
        <f t="shared" si="80"/>
        <v>0.96667776614974776</v>
      </c>
    </row>
    <row r="368" spans="1:31" x14ac:dyDescent="0.3">
      <c r="A368" s="187">
        <v>7</v>
      </c>
      <c r="B368" s="242">
        <f t="shared" si="81"/>
        <v>45839</v>
      </c>
      <c r="C368" s="243">
        <f t="shared" si="64"/>
        <v>45869</v>
      </c>
      <c r="D368" s="120">
        <f t="shared" si="65"/>
        <v>31</v>
      </c>
      <c r="E368" s="120">
        <f t="shared" si="66"/>
        <v>7</v>
      </c>
      <c r="F368" s="275">
        <f t="shared" si="67"/>
        <v>45854.5</v>
      </c>
      <c r="G368" s="120">
        <f t="shared" si="68"/>
        <v>24306</v>
      </c>
      <c r="H368" s="245">
        <f t="shared" si="69"/>
        <v>1</v>
      </c>
      <c r="I368" s="121">
        <f t="shared" si="70"/>
        <v>1</v>
      </c>
      <c r="J368" s="121">
        <f t="shared" si="71"/>
        <v>1</v>
      </c>
      <c r="K368" s="120">
        <f t="shared" si="72"/>
        <v>0</v>
      </c>
      <c r="L368" s="120">
        <f t="shared" si="73"/>
        <v>0</v>
      </c>
      <c r="M368" s="246">
        <f t="shared" si="74"/>
        <v>0</v>
      </c>
      <c r="N368" s="121">
        <f t="shared" si="75"/>
        <v>1</v>
      </c>
      <c r="O368" s="246">
        <f t="shared" si="76"/>
        <v>0.8906783369803063</v>
      </c>
      <c r="P368" s="121">
        <f t="shared" si="77"/>
        <v>8.333333333333337E-2</v>
      </c>
      <c r="Q368" s="121">
        <f t="shared" si="78"/>
        <v>0</v>
      </c>
      <c r="R368" s="121">
        <f t="shared" si="79"/>
        <v>0</v>
      </c>
      <c r="AE368" s="160">
        <f t="shared" si="80"/>
        <v>0.9681286271525068</v>
      </c>
    </row>
    <row r="369" spans="1:31" x14ac:dyDescent="0.3">
      <c r="A369" s="187">
        <v>8</v>
      </c>
      <c r="B369" s="242">
        <f t="shared" si="81"/>
        <v>45870</v>
      </c>
      <c r="C369" s="243">
        <f t="shared" si="64"/>
        <v>45900</v>
      </c>
      <c r="D369" s="120">
        <f t="shared" si="65"/>
        <v>31</v>
      </c>
      <c r="E369" s="120">
        <f t="shared" si="66"/>
        <v>8</v>
      </c>
      <c r="F369" s="275">
        <f t="shared" si="67"/>
        <v>45885.5</v>
      </c>
      <c r="G369" s="120">
        <f t="shared" si="68"/>
        <v>24307</v>
      </c>
      <c r="H369" s="245">
        <f t="shared" si="69"/>
        <v>1</v>
      </c>
      <c r="I369" s="121">
        <f t="shared" si="70"/>
        <v>1</v>
      </c>
      <c r="J369" s="121">
        <f t="shared" si="71"/>
        <v>1</v>
      </c>
      <c r="K369" s="120">
        <f t="shared" si="72"/>
        <v>0</v>
      </c>
      <c r="L369" s="120">
        <f t="shared" si="73"/>
        <v>0</v>
      </c>
      <c r="M369" s="246">
        <f t="shared" si="74"/>
        <v>0</v>
      </c>
      <c r="N369" s="121">
        <f t="shared" si="75"/>
        <v>1</v>
      </c>
      <c r="O369" s="246">
        <f t="shared" si="76"/>
        <v>0.89203501094091897</v>
      </c>
      <c r="P369" s="121">
        <f t="shared" si="77"/>
        <v>0.25</v>
      </c>
      <c r="Q369" s="121">
        <f t="shared" si="78"/>
        <v>0</v>
      </c>
      <c r="R369" s="121">
        <f t="shared" si="79"/>
        <v>0</v>
      </c>
      <c r="AE369" s="160">
        <f t="shared" si="80"/>
        <v>0.96960327276186842</v>
      </c>
    </row>
    <row r="370" spans="1:31" x14ac:dyDescent="0.3">
      <c r="A370" s="187">
        <v>9</v>
      </c>
      <c r="B370" s="242">
        <f t="shared" si="81"/>
        <v>45901</v>
      </c>
      <c r="C370" s="243">
        <f t="shared" si="64"/>
        <v>45930</v>
      </c>
      <c r="D370" s="120">
        <f t="shared" si="65"/>
        <v>30</v>
      </c>
      <c r="E370" s="120">
        <f t="shared" si="66"/>
        <v>9</v>
      </c>
      <c r="F370" s="275">
        <f t="shared" si="67"/>
        <v>45916</v>
      </c>
      <c r="G370" s="120">
        <f t="shared" si="68"/>
        <v>24308</v>
      </c>
      <c r="H370" s="245">
        <f t="shared" si="69"/>
        <v>1</v>
      </c>
      <c r="I370" s="121">
        <f t="shared" si="70"/>
        <v>1</v>
      </c>
      <c r="J370" s="121">
        <f t="shared" si="71"/>
        <v>1</v>
      </c>
      <c r="K370" s="120">
        <f t="shared" si="72"/>
        <v>0</v>
      </c>
      <c r="L370" s="120">
        <f t="shared" si="73"/>
        <v>0</v>
      </c>
      <c r="M370" s="246">
        <f t="shared" si="74"/>
        <v>0</v>
      </c>
      <c r="N370" s="121">
        <f t="shared" si="75"/>
        <v>1</v>
      </c>
      <c r="O370" s="246">
        <f t="shared" si="76"/>
        <v>0.89336980306345726</v>
      </c>
      <c r="P370" s="121">
        <f t="shared" si="77"/>
        <v>0.41666666666666663</v>
      </c>
      <c r="Q370" s="121">
        <f t="shared" si="78"/>
        <v>0</v>
      </c>
      <c r="R370" s="121">
        <f t="shared" si="79"/>
        <v>0</v>
      </c>
      <c r="AE370" s="160">
        <f t="shared" si="80"/>
        <v>0.97105413376462746</v>
      </c>
    </row>
    <row r="371" spans="1:31" x14ac:dyDescent="0.3">
      <c r="A371" s="187">
        <v>10</v>
      </c>
      <c r="B371" s="242">
        <f t="shared" si="81"/>
        <v>45931</v>
      </c>
      <c r="C371" s="243">
        <f t="shared" si="64"/>
        <v>45961</v>
      </c>
      <c r="D371" s="120">
        <f t="shared" si="65"/>
        <v>31</v>
      </c>
      <c r="E371" s="120">
        <f t="shared" si="66"/>
        <v>10</v>
      </c>
      <c r="F371" s="275">
        <f t="shared" si="67"/>
        <v>45946.5</v>
      </c>
      <c r="G371" s="120">
        <f t="shared" si="68"/>
        <v>24309</v>
      </c>
      <c r="H371" s="245">
        <f t="shared" si="69"/>
        <v>1</v>
      </c>
      <c r="I371" s="121">
        <f t="shared" si="70"/>
        <v>1</v>
      </c>
      <c r="J371" s="121">
        <f t="shared" si="71"/>
        <v>1</v>
      </c>
      <c r="K371" s="120">
        <f t="shared" si="72"/>
        <v>0</v>
      </c>
      <c r="L371" s="120">
        <f t="shared" si="73"/>
        <v>0</v>
      </c>
      <c r="M371" s="246">
        <f t="shared" si="74"/>
        <v>0</v>
      </c>
      <c r="N371" s="121">
        <f t="shared" si="75"/>
        <v>1</v>
      </c>
      <c r="O371" s="246">
        <f t="shared" si="76"/>
        <v>0.89470459518599565</v>
      </c>
      <c r="P371" s="121">
        <f t="shared" si="77"/>
        <v>0.58333333333333326</v>
      </c>
      <c r="Q371" s="121">
        <f t="shared" si="78"/>
        <v>0</v>
      </c>
      <c r="R371" s="121">
        <f t="shared" si="79"/>
        <v>0</v>
      </c>
      <c r="AE371" s="160">
        <f t="shared" si="80"/>
        <v>0.9725049947673865</v>
      </c>
    </row>
    <row r="372" spans="1:31" x14ac:dyDescent="0.3">
      <c r="A372" s="187">
        <v>11</v>
      </c>
      <c r="B372" s="242">
        <f t="shared" si="81"/>
        <v>45962</v>
      </c>
      <c r="C372" s="243">
        <f t="shared" si="64"/>
        <v>45991</v>
      </c>
      <c r="D372" s="120">
        <f t="shared" si="65"/>
        <v>30</v>
      </c>
      <c r="E372" s="120">
        <f t="shared" si="66"/>
        <v>11</v>
      </c>
      <c r="F372" s="275">
        <f t="shared" si="67"/>
        <v>45977</v>
      </c>
      <c r="G372" s="120">
        <f t="shared" si="68"/>
        <v>24310</v>
      </c>
      <c r="H372" s="245">
        <f t="shared" si="69"/>
        <v>1</v>
      </c>
      <c r="I372" s="121">
        <f t="shared" si="70"/>
        <v>1</v>
      </c>
      <c r="J372" s="121">
        <f t="shared" si="71"/>
        <v>1</v>
      </c>
      <c r="K372" s="120">
        <f t="shared" si="72"/>
        <v>0</v>
      </c>
      <c r="L372" s="120">
        <f t="shared" si="73"/>
        <v>0</v>
      </c>
      <c r="M372" s="246">
        <f t="shared" si="74"/>
        <v>0</v>
      </c>
      <c r="N372" s="121">
        <f t="shared" si="75"/>
        <v>1</v>
      </c>
      <c r="O372" s="246">
        <f t="shared" si="76"/>
        <v>0.89603938730853394</v>
      </c>
      <c r="P372" s="121">
        <f t="shared" si="77"/>
        <v>0.75</v>
      </c>
      <c r="Q372" s="121">
        <f t="shared" si="78"/>
        <v>0</v>
      </c>
      <c r="R372" s="121">
        <f t="shared" si="79"/>
        <v>0</v>
      </c>
      <c r="AE372" s="160">
        <f t="shared" si="80"/>
        <v>0.97395585577014554</v>
      </c>
    </row>
    <row r="373" spans="1:31" x14ac:dyDescent="0.3">
      <c r="A373" s="187">
        <v>12</v>
      </c>
      <c r="B373" s="242">
        <f t="shared" si="81"/>
        <v>45992</v>
      </c>
      <c r="C373" s="243">
        <f t="shared" si="64"/>
        <v>46022</v>
      </c>
      <c r="D373" s="120">
        <f t="shared" si="65"/>
        <v>31</v>
      </c>
      <c r="E373" s="120">
        <f t="shared" si="66"/>
        <v>12</v>
      </c>
      <c r="F373" s="275">
        <f t="shared" si="67"/>
        <v>46007.5</v>
      </c>
      <c r="G373" s="120">
        <f t="shared" si="68"/>
        <v>24311</v>
      </c>
      <c r="H373" s="245">
        <f t="shared" si="69"/>
        <v>1</v>
      </c>
      <c r="I373" s="121">
        <f t="shared" si="70"/>
        <v>1</v>
      </c>
      <c r="J373" s="121">
        <f t="shared" si="71"/>
        <v>1</v>
      </c>
      <c r="K373" s="120">
        <f t="shared" si="72"/>
        <v>0</v>
      </c>
      <c r="L373" s="120">
        <f t="shared" si="73"/>
        <v>0</v>
      </c>
      <c r="M373" s="246">
        <f t="shared" si="74"/>
        <v>0</v>
      </c>
      <c r="N373" s="121">
        <f t="shared" si="75"/>
        <v>1</v>
      </c>
      <c r="O373" s="246">
        <f t="shared" si="76"/>
        <v>0.89737417943107223</v>
      </c>
      <c r="P373" s="121">
        <f t="shared" si="77"/>
        <v>0.91666666666666663</v>
      </c>
      <c r="Q373" s="121">
        <f t="shared" si="78"/>
        <v>0</v>
      </c>
      <c r="R373" s="121">
        <f t="shared" si="79"/>
        <v>0</v>
      </c>
      <c r="AE373" s="160">
        <f t="shared" si="80"/>
        <v>0.97540671677290458</v>
      </c>
    </row>
    <row r="374" spans="1:31" x14ac:dyDescent="0.3">
      <c r="A374" s="187">
        <v>13</v>
      </c>
      <c r="B374" s="242">
        <f t="shared" si="81"/>
        <v>46023</v>
      </c>
      <c r="C374" s="243">
        <f t="shared" si="64"/>
        <v>46053</v>
      </c>
      <c r="D374" s="120">
        <f t="shared" si="65"/>
        <v>31</v>
      </c>
      <c r="E374" s="120">
        <f t="shared" si="66"/>
        <v>1</v>
      </c>
      <c r="F374" s="275">
        <f t="shared" si="67"/>
        <v>46038.5</v>
      </c>
      <c r="G374" s="120">
        <f t="shared" si="68"/>
        <v>24312</v>
      </c>
      <c r="H374" s="245">
        <f t="shared" si="69"/>
        <v>1</v>
      </c>
      <c r="I374" s="121">
        <f t="shared" si="70"/>
        <v>1</v>
      </c>
      <c r="J374" s="121">
        <f t="shared" si="71"/>
        <v>1</v>
      </c>
      <c r="K374" s="120">
        <f t="shared" si="72"/>
        <v>0</v>
      </c>
      <c r="L374" s="120">
        <f t="shared" si="73"/>
        <v>0</v>
      </c>
      <c r="M374" s="246">
        <f t="shared" si="74"/>
        <v>0</v>
      </c>
      <c r="N374" s="121">
        <f t="shared" si="75"/>
        <v>1</v>
      </c>
      <c r="O374" s="246">
        <f t="shared" si="76"/>
        <v>0.8987308533916849</v>
      </c>
      <c r="P374" s="121">
        <f t="shared" si="77"/>
        <v>1</v>
      </c>
      <c r="Q374" s="121">
        <f t="shared" si="78"/>
        <v>0</v>
      </c>
      <c r="R374" s="121">
        <f t="shared" si="79"/>
        <v>0</v>
      </c>
      <c r="AE374" s="160">
        <f t="shared" si="80"/>
        <v>0.97688136238226619</v>
      </c>
    </row>
    <row r="375" spans="1:31" x14ac:dyDescent="0.3">
      <c r="A375" s="187">
        <v>14</v>
      </c>
      <c r="B375" s="242">
        <f t="shared" si="81"/>
        <v>46054</v>
      </c>
      <c r="C375" s="243">
        <f t="shared" si="64"/>
        <v>46081</v>
      </c>
      <c r="D375" s="120">
        <f t="shared" si="65"/>
        <v>28</v>
      </c>
      <c r="E375" s="120">
        <f t="shared" si="66"/>
        <v>2</v>
      </c>
      <c r="F375" s="275">
        <f t="shared" si="67"/>
        <v>46068</v>
      </c>
      <c r="G375" s="120">
        <f t="shared" si="68"/>
        <v>24313</v>
      </c>
      <c r="H375" s="245">
        <f t="shared" si="69"/>
        <v>1</v>
      </c>
      <c r="I375" s="121">
        <f t="shared" si="70"/>
        <v>1</v>
      </c>
      <c r="J375" s="121">
        <f t="shared" si="71"/>
        <v>1</v>
      </c>
      <c r="K375" s="120">
        <f t="shared" si="72"/>
        <v>0</v>
      </c>
      <c r="L375" s="120">
        <f t="shared" si="73"/>
        <v>0</v>
      </c>
      <c r="M375" s="246">
        <f t="shared" si="74"/>
        <v>0</v>
      </c>
      <c r="N375" s="121">
        <f t="shared" si="75"/>
        <v>1</v>
      </c>
      <c r="O375" s="246">
        <f t="shared" si="76"/>
        <v>0.90002188183807441</v>
      </c>
      <c r="P375" s="121">
        <f t="shared" si="77"/>
        <v>1</v>
      </c>
      <c r="Q375" s="121">
        <f t="shared" si="78"/>
        <v>0</v>
      </c>
      <c r="R375" s="121">
        <f t="shared" si="79"/>
        <v>0</v>
      </c>
      <c r="AE375" s="160">
        <f t="shared" si="80"/>
        <v>0.97828465417181998</v>
      </c>
    </row>
    <row r="376" spans="1:31" x14ac:dyDescent="0.3">
      <c r="A376" s="187">
        <v>15</v>
      </c>
      <c r="B376" s="242">
        <f t="shared" si="81"/>
        <v>46082</v>
      </c>
      <c r="C376" s="243">
        <f t="shared" si="64"/>
        <v>46112</v>
      </c>
      <c r="D376" s="120">
        <f t="shared" si="65"/>
        <v>31</v>
      </c>
      <c r="E376" s="120">
        <f t="shared" si="66"/>
        <v>3</v>
      </c>
      <c r="F376" s="275">
        <f t="shared" si="67"/>
        <v>46097.5</v>
      </c>
      <c r="G376" s="120">
        <f t="shared" si="68"/>
        <v>24314</v>
      </c>
      <c r="H376" s="245">
        <f t="shared" si="69"/>
        <v>1</v>
      </c>
      <c r="I376" s="121">
        <f t="shared" si="70"/>
        <v>1</v>
      </c>
      <c r="J376" s="121">
        <f t="shared" si="71"/>
        <v>1</v>
      </c>
      <c r="K376" s="120">
        <f t="shared" si="72"/>
        <v>0</v>
      </c>
      <c r="L376" s="120">
        <f t="shared" si="73"/>
        <v>0</v>
      </c>
      <c r="M376" s="246">
        <f t="shared" si="74"/>
        <v>0</v>
      </c>
      <c r="N376" s="121">
        <f t="shared" si="75"/>
        <v>1</v>
      </c>
      <c r="O376" s="246">
        <f t="shared" si="76"/>
        <v>0.90131291028446392</v>
      </c>
      <c r="P376" s="121">
        <f t="shared" si="77"/>
        <v>1</v>
      </c>
      <c r="Q376" s="121">
        <f t="shared" si="78"/>
        <v>0</v>
      </c>
      <c r="R376" s="121">
        <f t="shared" si="79"/>
        <v>0</v>
      </c>
      <c r="AE376" s="160">
        <f t="shared" si="80"/>
        <v>0.97968794596137376</v>
      </c>
    </row>
    <row r="377" spans="1:31" x14ac:dyDescent="0.3">
      <c r="A377" s="187">
        <v>16</v>
      </c>
      <c r="B377" s="242">
        <f t="shared" si="81"/>
        <v>46113</v>
      </c>
      <c r="C377" s="243">
        <f t="shared" si="64"/>
        <v>46142</v>
      </c>
      <c r="D377" s="120">
        <f t="shared" si="65"/>
        <v>30</v>
      </c>
      <c r="E377" s="120">
        <f t="shared" si="66"/>
        <v>4</v>
      </c>
      <c r="F377" s="275">
        <f t="shared" si="67"/>
        <v>46128</v>
      </c>
      <c r="G377" s="120">
        <f t="shared" si="68"/>
        <v>24315</v>
      </c>
      <c r="H377" s="245">
        <f t="shared" si="69"/>
        <v>1</v>
      </c>
      <c r="I377" s="121">
        <f t="shared" si="70"/>
        <v>1</v>
      </c>
      <c r="J377" s="121">
        <f t="shared" si="71"/>
        <v>1</v>
      </c>
      <c r="K377" s="120">
        <f t="shared" si="72"/>
        <v>0</v>
      </c>
      <c r="L377" s="120">
        <f t="shared" si="73"/>
        <v>0</v>
      </c>
      <c r="M377" s="246">
        <f t="shared" si="74"/>
        <v>0</v>
      </c>
      <c r="N377" s="121">
        <f t="shared" si="75"/>
        <v>1</v>
      </c>
      <c r="O377" s="246">
        <f t="shared" si="76"/>
        <v>0.90264770240700221</v>
      </c>
      <c r="P377" s="121">
        <f t="shared" si="77"/>
        <v>1</v>
      </c>
      <c r="Q377" s="121">
        <f t="shared" si="78"/>
        <v>0</v>
      </c>
      <c r="R377" s="121">
        <f t="shared" si="79"/>
        <v>0</v>
      </c>
      <c r="AE377" s="160">
        <f t="shared" si="80"/>
        <v>0.9811388069641328</v>
      </c>
    </row>
    <row r="378" spans="1:31" x14ac:dyDescent="0.3">
      <c r="A378" s="187">
        <v>17</v>
      </c>
      <c r="B378" s="242">
        <f t="shared" si="81"/>
        <v>46143</v>
      </c>
      <c r="C378" s="243">
        <f t="shared" si="64"/>
        <v>46173</v>
      </c>
      <c r="D378" s="120">
        <f t="shared" si="65"/>
        <v>31</v>
      </c>
      <c r="E378" s="120">
        <f t="shared" si="66"/>
        <v>5</v>
      </c>
      <c r="F378" s="275">
        <f t="shared" si="67"/>
        <v>46158.5</v>
      </c>
      <c r="G378" s="120">
        <f t="shared" si="68"/>
        <v>24316</v>
      </c>
      <c r="H378" s="245">
        <f t="shared" si="69"/>
        <v>1</v>
      </c>
      <c r="I378" s="121">
        <f t="shared" si="70"/>
        <v>1</v>
      </c>
      <c r="J378" s="121">
        <f t="shared" si="71"/>
        <v>1</v>
      </c>
      <c r="K378" s="120">
        <f t="shared" si="72"/>
        <v>0</v>
      </c>
      <c r="L378" s="120">
        <f t="shared" si="73"/>
        <v>0</v>
      </c>
      <c r="M378" s="246">
        <f t="shared" si="74"/>
        <v>0</v>
      </c>
      <c r="N378" s="121">
        <f t="shared" si="75"/>
        <v>1</v>
      </c>
      <c r="O378" s="246">
        <f t="shared" si="76"/>
        <v>0.90398249452954049</v>
      </c>
      <c r="P378" s="121">
        <f t="shared" si="77"/>
        <v>1</v>
      </c>
      <c r="Q378" s="121">
        <f t="shared" si="78"/>
        <v>0</v>
      </c>
      <c r="R378" s="121">
        <f t="shared" si="79"/>
        <v>0</v>
      </c>
      <c r="AE378" s="160">
        <f t="shared" si="80"/>
        <v>0.98258966796689184</v>
      </c>
    </row>
    <row r="379" spans="1:31" x14ac:dyDescent="0.3">
      <c r="A379" s="187">
        <v>18</v>
      </c>
      <c r="B379" s="242">
        <f t="shared" si="81"/>
        <v>46174</v>
      </c>
      <c r="C379" s="243">
        <f t="shared" si="64"/>
        <v>46203</v>
      </c>
      <c r="D379" s="120">
        <f t="shared" si="65"/>
        <v>30</v>
      </c>
      <c r="E379" s="120">
        <f t="shared" si="66"/>
        <v>6</v>
      </c>
      <c r="F379" s="275">
        <f t="shared" si="67"/>
        <v>46189</v>
      </c>
      <c r="G379" s="120">
        <f t="shared" si="68"/>
        <v>24317</v>
      </c>
      <c r="H379" s="245">
        <f t="shared" si="69"/>
        <v>1</v>
      </c>
      <c r="I379" s="121">
        <f t="shared" si="70"/>
        <v>1</v>
      </c>
      <c r="J379" s="121">
        <f t="shared" si="71"/>
        <v>1</v>
      </c>
      <c r="K379" s="120">
        <f t="shared" si="72"/>
        <v>0</v>
      </c>
      <c r="L379" s="120">
        <f t="shared" si="73"/>
        <v>0</v>
      </c>
      <c r="M379" s="246">
        <f t="shared" si="74"/>
        <v>0</v>
      </c>
      <c r="N379" s="121">
        <f t="shared" si="75"/>
        <v>1</v>
      </c>
      <c r="O379" s="246">
        <f t="shared" si="76"/>
        <v>0.90531728665207878</v>
      </c>
      <c r="P379" s="121">
        <f t="shared" si="77"/>
        <v>1</v>
      </c>
      <c r="Q379" s="121">
        <f t="shared" si="78"/>
        <v>0</v>
      </c>
      <c r="R379" s="121">
        <f t="shared" si="79"/>
        <v>0</v>
      </c>
      <c r="AE379" s="160">
        <f t="shared" si="80"/>
        <v>0.98404052896965077</v>
      </c>
    </row>
    <row r="380" spans="1:31" x14ac:dyDescent="0.3">
      <c r="A380" s="187">
        <v>19</v>
      </c>
      <c r="B380" s="242">
        <f t="shared" si="81"/>
        <v>46204</v>
      </c>
      <c r="C380" s="243">
        <f t="shared" si="64"/>
        <v>46234</v>
      </c>
      <c r="D380" s="120">
        <f t="shared" si="65"/>
        <v>31</v>
      </c>
      <c r="E380" s="120">
        <f t="shared" si="66"/>
        <v>7</v>
      </c>
      <c r="F380" s="275">
        <f t="shared" si="67"/>
        <v>46219.5</v>
      </c>
      <c r="G380" s="120">
        <f t="shared" si="68"/>
        <v>24318</v>
      </c>
      <c r="H380" s="245">
        <f t="shared" si="69"/>
        <v>1</v>
      </c>
      <c r="I380" s="121">
        <f t="shared" si="70"/>
        <v>1</v>
      </c>
      <c r="J380" s="121">
        <f t="shared" si="71"/>
        <v>1</v>
      </c>
      <c r="K380" s="120">
        <f t="shared" si="72"/>
        <v>0</v>
      </c>
      <c r="L380" s="120">
        <f t="shared" si="73"/>
        <v>0</v>
      </c>
      <c r="M380" s="246">
        <f t="shared" si="74"/>
        <v>0</v>
      </c>
      <c r="N380" s="121">
        <f t="shared" si="75"/>
        <v>1</v>
      </c>
      <c r="O380" s="246">
        <f t="shared" si="76"/>
        <v>0.90665207877461707</v>
      </c>
      <c r="P380" s="121">
        <f t="shared" si="77"/>
        <v>0.91666666666666663</v>
      </c>
      <c r="Q380" s="121">
        <f t="shared" si="78"/>
        <v>8.333333333333337E-2</v>
      </c>
      <c r="R380" s="121">
        <f t="shared" si="79"/>
        <v>0</v>
      </c>
      <c r="AE380" s="160">
        <f t="shared" si="80"/>
        <v>0.98549138997240981</v>
      </c>
    </row>
    <row r="381" spans="1:31" x14ac:dyDescent="0.3">
      <c r="A381" s="187">
        <v>20</v>
      </c>
      <c r="B381" s="242">
        <f t="shared" si="81"/>
        <v>46235</v>
      </c>
      <c r="C381" s="243">
        <f t="shared" si="64"/>
        <v>46265</v>
      </c>
      <c r="D381" s="120">
        <f t="shared" si="65"/>
        <v>31</v>
      </c>
      <c r="E381" s="120">
        <f t="shared" si="66"/>
        <v>8</v>
      </c>
      <c r="F381" s="275">
        <f t="shared" si="67"/>
        <v>46250.5</v>
      </c>
      <c r="G381" s="120">
        <f t="shared" si="68"/>
        <v>24319</v>
      </c>
      <c r="H381" s="245">
        <f t="shared" si="69"/>
        <v>1</v>
      </c>
      <c r="I381" s="121">
        <f t="shared" si="70"/>
        <v>1</v>
      </c>
      <c r="J381" s="121">
        <f t="shared" si="71"/>
        <v>1</v>
      </c>
      <c r="K381" s="120">
        <f t="shared" si="72"/>
        <v>0</v>
      </c>
      <c r="L381" s="120">
        <f t="shared" si="73"/>
        <v>0</v>
      </c>
      <c r="M381" s="246">
        <f t="shared" si="74"/>
        <v>0</v>
      </c>
      <c r="N381" s="121">
        <f t="shared" si="75"/>
        <v>1</v>
      </c>
      <c r="O381" s="246">
        <f t="shared" si="76"/>
        <v>0.90800875273522974</v>
      </c>
      <c r="P381" s="121">
        <f t="shared" si="77"/>
        <v>0.75</v>
      </c>
      <c r="Q381" s="121">
        <f t="shared" si="78"/>
        <v>0.25</v>
      </c>
      <c r="R381" s="121">
        <f t="shared" si="79"/>
        <v>0</v>
      </c>
      <c r="AE381" s="160">
        <f t="shared" si="80"/>
        <v>0.98696603558177143</v>
      </c>
    </row>
    <row r="382" spans="1:31" x14ac:dyDescent="0.3">
      <c r="A382" s="187">
        <v>21</v>
      </c>
      <c r="B382" s="242">
        <f t="shared" si="81"/>
        <v>46266</v>
      </c>
      <c r="C382" s="243">
        <f t="shared" si="64"/>
        <v>46295</v>
      </c>
      <c r="D382" s="120">
        <f t="shared" si="65"/>
        <v>30</v>
      </c>
      <c r="E382" s="120">
        <f t="shared" si="66"/>
        <v>9</v>
      </c>
      <c r="F382" s="275">
        <f t="shared" si="67"/>
        <v>46281</v>
      </c>
      <c r="G382" s="120">
        <f t="shared" si="68"/>
        <v>24320</v>
      </c>
      <c r="H382" s="245">
        <f t="shared" si="69"/>
        <v>1</v>
      </c>
      <c r="I382" s="121">
        <f t="shared" si="70"/>
        <v>1</v>
      </c>
      <c r="J382" s="121">
        <f t="shared" si="71"/>
        <v>1</v>
      </c>
      <c r="K382" s="120">
        <f t="shared" si="72"/>
        <v>0</v>
      </c>
      <c r="L382" s="120">
        <f t="shared" si="73"/>
        <v>0</v>
      </c>
      <c r="M382" s="246">
        <f t="shared" si="74"/>
        <v>0</v>
      </c>
      <c r="N382" s="121">
        <f t="shared" si="75"/>
        <v>1</v>
      </c>
      <c r="O382" s="246">
        <f t="shared" si="76"/>
        <v>0.90934354485776803</v>
      </c>
      <c r="P382" s="121">
        <f t="shared" si="77"/>
        <v>0.58333333333333337</v>
      </c>
      <c r="Q382" s="121">
        <f t="shared" si="78"/>
        <v>0.41666666666666663</v>
      </c>
      <c r="R382" s="121">
        <f t="shared" si="79"/>
        <v>0</v>
      </c>
      <c r="AE382" s="160">
        <f t="shared" si="80"/>
        <v>0.98841689658453047</v>
      </c>
    </row>
    <row r="383" spans="1:31" x14ac:dyDescent="0.3">
      <c r="A383" s="187">
        <v>22</v>
      </c>
      <c r="B383" s="242">
        <f t="shared" si="81"/>
        <v>46296</v>
      </c>
      <c r="C383" s="243">
        <f t="shared" si="64"/>
        <v>46326</v>
      </c>
      <c r="D383" s="120">
        <f t="shared" si="65"/>
        <v>31</v>
      </c>
      <c r="E383" s="120">
        <f t="shared" si="66"/>
        <v>10</v>
      </c>
      <c r="F383" s="275">
        <f t="shared" si="67"/>
        <v>46311.5</v>
      </c>
      <c r="G383" s="120">
        <f t="shared" si="68"/>
        <v>24321</v>
      </c>
      <c r="H383" s="245">
        <f t="shared" si="69"/>
        <v>1</v>
      </c>
      <c r="I383" s="121">
        <f t="shared" si="70"/>
        <v>1</v>
      </c>
      <c r="J383" s="121">
        <f t="shared" si="71"/>
        <v>1</v>
      </c>
      <c r="K383" s="120">
        <f t="shared" si="72"/>
        <v>0</v>
      </c>
      <c r="L383" s="120">
        <f t="shared" si="73"/>
        <v>0</v>
      </c>
      <c r="M383" s="246">
        <f t="shared" si="74"/>
        <v>0</v>
      </c>
      <c r="N383" s="121">
        <f t="shared" si="75"/>
        <v>1</v>
      </c>
      <c r="O383" s="246">
        <f t="shared" si="76"/>
        <v>0.91067833698030642</v>
      </c>
      <c r="P383" s="121">
        <f t="shared" si="77"/>
        <v>0.41666666666666669</v>
      </c>
      <c r="Q383" s="121">
        <f t="shared" si="78"/>
        <v>0.58333333333333326</v>
      </c>
      <c r="R383" s="121">
        <f t="shared" si="79"/>
        <v>0</v>
      </c>
      <c r="AE383" s="160">
        <f t="shared" si="80"/>
        <v>0.98986775758728951</v>
      </c>
    </row>
    <row r="384" spans="1:31" x14ac:dyDescent="0.3">
      <c r="A384" s="187">
        <v>23</v>
      </c>
      <c r="B384" s="242">
        <f t="shared" si="81"/>
        <v>46327</v>
      </c>
      <c r="C384" s="243">
        <f t="shared" si="64"/>
        <v>46356</v>
      </c>
      <c r="D384" s="120">
        <f t="shared" si="65"/>
        <v>30</v>
      </c>
      <c r="E384" s="120">
        <f t="shared" si="66"/>
        <v>11</v>
      </c>
      <c r="F384" s="275">
        <f t="shared" si="67"/>
        <v>46342</v>
      </c>
      <c r="G384" s="120">
        <f t="shared" si="68"/>
        <v>24322</v>
      </c>
      <c r="H384" s="245">
        <f t="shared" si="69"/>
        <v>1</v>
      </c>
      <c r="I384" s="121">
        <f t="shared" si="70"/>
        <v>1</v>
      </c>
      <c r="J384" s="121">
        <f t="shared" si="71"/>
        <v>1</v>
      </c>
      <c r="K384" s="120">
        <f t="shared" si="72"/>
        <v>0</v>
      </c>
      <c r="L384" s="120">
        <f t="shared" si="73"/>
        <v>0</v>
      </c>
      <c r="M384" s="246">
        <f t="shared" si="74"/>
        <v>0</v>
      </c>
      <c r="N384" s="121">
        <f t="shared" si="75"/>
        <v>1</v>
      </c>
      <c r="O384" s="246">
        <f t="shared" si="76"/>
        <v>0.91201312910284471</v>
      </c>
      <c r="P384" s="121">
        <f t="shared" si="77"/>
        <v>0.25</v>
      </c>
      <c r="Q384" s="121">
        <f t="shared" si="78"/>
        <v>0.75</v>
      </c>
      <c r="R384" s="121">
        <f t="shared" si="79"/>
        <v>0</v>
      </c>
      <c r="AE384" s="160">
        <f t="shared" si="80"/>
        <v>0.99131861859004855</v>
      </c>
    </row>
    <row r="385" spans="1:35" x14ac:dyDescent="0.3">
      <c r="A385" s="187">
        <v>24</v>
      </c>
      <c r="B385" s="242">
        <f t="shared" si="81"/>
        <v>46357</v>
      </c>
      <c r="C385" s="243">
        <f t="shared" si="64"/>
        <v>46387</v>
      </c>
      <c r="D385" s="120">
        <f t="shared" si="65"/>
        <v>31</v>
      </c>
      <c r="E385" s="120">
        <f t="shared" si="66"/>
        <v>12</v>
      </c>
      <c r="F385" s="275">
        <f t="shared" si="67"/>
        <v>46372.5</v>
      </c>
      <c r="G385" s="120">
        <f t="shared" si="68"/>
        <v>24323</v>
      </c>
      <c r="H385" s="245">
        <f t="shared" si="69"/>
        <v>1</v>
      </c>
      <c r="I385" s="121">
        <f t="shared" si="70"/>
        <v>1</v>
      </c>
      <c r="J385" s="121">
        <f t="shared" si="71"/>
        <v>1</v>
      </c>
      <c r="K385" s="120">
        <f t="shared" si="72"/>
        <v>0</v>
      </c>
      <c r="L385" s="120">
        <f t="shared" si="73"/>
        <v>0</v>
      </c>
      <c r="M385" s="246">
        <f t="shared" si="74"/>
        <v>0</v>
      </c>
      <c r="N385" s="121">
        <f t="shared" si="75"/>
        <v>1</v>
      </c>
      <c r="O385" s="246">
        <f t="shared" si="76"/>
        <v>0.913347921225383</v>
      </c>
      <c r="P385" s="121">
        <f t="shared" si="77"/>
        <v>8.3333333333333329E-2</v>
      </c>
      <c r="Q385" s="121">
        <f t="shared" si="78"/>
        <v>0.91666666666666663</v>
      </c>
      <c r="R385" s="121">
        <f t="shared" si="79"/>
        <v>0</v>
      </c>
      <c r="AE385" s="160">
        <f t="shared" si="80"/>
        <v>0.99276947959280759</v>
      </c>
    </row>
    <row r="386" spans="1:35" x14ac:dyDescent="0.3">
      <c r="A386" s="187">
        <v>25</v>
      </c>
      <c r="B386" s="242">
        <f t="shared" si="81"/>
        <v>46388</v>
      </c>
      <c r="C386" s="243">
        <f t="shared" si="64"/>
        <v>46418</v>
      </c>
      <c r="D386" s="120">
        <f t="shared" si="65"/>
        <v>31</v>
      </c>
      <c r="E386" s="120">
        <f t="shared" si="66"/>
        <v>1</v>
      </c>
      <c r="F386" s="275">
        <f t="shared" si="67"/>
        <v>46403.5</v>
      </c>
      <c r="G386" s="120">
        <f t="shared" si="68"/>
        <v>24324</v>
      </c>
      <c r="H386" s="245">
        <f t="shared" si="69"/>
        <v>1</v>
      </c>
      <c r="I386" s="121">
        <f t="shared" si="70"/>
        <v>1</v>
      </c>
      <c r="J386" s="121">
        <f t="shared" si="71"/>
        <v>1</v>
      </c>
      <c r="K386" s="120">
        <f t="shared" si="72"/>
        <v>0</v>
      </c>
      <c r="L386" s="120">
        <f t="shared" si="73"/>
        <v>0</v>
      </c>
      <c r="M386" s="246">
        <f t="shared" si="74"/>
        <v>0</v>
      </c>
      <c r="N386" s="121">
        <f t="shared" si="75"/>
        <v>1</v>
      </c>
      <c r="O386" s="246">
        <f t="shared" si="76"/>
        <v>0.91470459518599567</v>
      </c>
      <c r="P386" s="121">
        <f t="shared" si="77"/>
        <v>0</v>
      </c>
      <c r="Q386" s="121">
        <f t="shared" si="78"/>
        <v>1</v>
      </c>
      <c r="R386" s="121">
        <f t="shared" si="79"/>
        <v>0</v>
      </c>
      <c r="W386" s="160">
        <f t="shared" ref="W386:W397" si="82">IF($G386&lt;&gt;$Q$359,$N386,(1-$U$359)*$I386+$U$359*$J386)</f>
        <v>1</v>
      </c>
      <c r="X386" s="160">
        <f t="shared" ref="X386:X397" si="83">IF($G386&lt;$Q$359,0,IF($G386&gt;$Q$359,$N386,$U$359*$J386))</f>
        <v>0</v>
      </c>
      <c r="Y386" s="160">
        <f t="shared" ref="Y386:Y397" si="84">IF($F$359=1,$O386/$O374,1)</f>
        <v>1.0177736657576939</v>
      </c>
      <c r="AB386" s="160">
        <f t="shared" ref="AB386:AB397" si="85">IF(AND(N($K$359)&lt;&gt;0,$F386&lt;=$B$360),0,($F386-$B$360)/($C$360-$B$360))</f>
        <v>0.23522975929978118</v>
      </c>
      <c r="AC386" s="220">
        <f t="shared" ref="AC386:AC397" si="86">IF(AND(N($K$359)&lt;&gt;0,$F386&lt;=$B$360),$O386,$F$360*(1-$AB386))</f>
        <v>0.69594091903719912</v>
      </c>
      <c r="AD386" s="160">
        <f t="shared" ref="AD386:AD397" si="87">$H386*($W386+$X386*IF(ISNUMBER($F$410),$F$410,0))/($N374*$O374)</f>
        <v>1.1126801714063108</v>
      </c>
      <c r="AE386" s="160">
        <f t="shared" si="80"/>
        <v>0.9942441252021692</v>
      </c>
      <c r="AF386" s="220">
        <f t="shared" ref="AF386:AF397" si="88">IF($G386&lt;$Q$359,0,IF($G386&gt;$Q$359,1,$U$359))</f>
        <v>0</v>
      </c>
      <c r="AG386" s="183" t="str">
        <f t="shared" ref="AG386:AG397" si="89">IF(OR($D$359=0,$P$359=0),"",($W386+$X386*IF(ISNUMBER($F$410),$F$410,0))/$N374-1)</f>
        <v/>
      </c>
      <c r="AH386" s="183" t="str">
        <f t="shared" ref="AH386:AH397" si="90">IF(OR($AG386="",$F$359=0),"",(1+$E$359)/(1+$AG386)-1)</f>
        <v/>
      </c>
      <c r="AI386" s="220" t="str">
        <f t="shared" ref="AI386:AI397" si="91">IF($AH386="","",$O374*(1+$E$359)/(1+$AG386))</f>
        <v/>
      </c>
    </row>
    <row r="387" spans="1:35" x14ac:dyDescent="0.3">
      <c r="A387" s="187">
        <v>26</v>
      </c>
      <c r="B387" s="242">
        <f t="shared" si="81"/>
        <v>46419</v>
      </c>
      <c r="C387" s="243">
        <f t="shared" si="64"/>
        <v>46446</v>
      </c>
      <c r="D387" s="120">
        <f t="shared" si="65"/>
        <v>28</v>
      </c>
      <c r="E387" s="120">
        <f t="shared" si="66"/>
        <v>2</v>
      </c>
      <c r="F387" s="275">
        <f t="shared" si="67"/>
        <v>46433</v>
      </c>
      <c r="G387" s="120">
        <f t="shared" si="68"/>
        <v>24325</v>
      </c>
      <c r="H387" s="245">
        <f t="shared" si="69"/>
        <v>1</v>
      </c>
      <c r="I387" s="121">
        <f t="shared" si="70"/>
        <v>1</v>
      </c>
      <c r="J387" s="121">
        <f t="shared" si="71"/>
        <v>1</v>
      </c>
      <c r="K387" s="120">
        <f t="shared" si="72"/>
        <v>0</v>
      </c>
      <c r="L387" s="120">
        <f t="shared" si="73"/>
        <v>0</v>
      </c>
      <c r="M387" s="246">
        <f t="shared" si="74"/>
        <v>0</v>
      </c>
      <c r="N387" s="121">
        <f t="shared" si="75"/>
        <v>1</v>
      </c>
      <c r="O387" s="246">
        <f t="shared" si="76"/>
        <v>0.91599562363238518</v>
      </c>
      <c r="P387" s="121">
        <f t="shared" si="77"/>
        <v>0</v>
      </c>
      <c r="Q387" s="121">
        <f t="shared" si="78"/>
        <v>1</v>
      </c>
      <c r="R387" s="121">
        <f t="shared" si="79"/>
        <v>0</v>
      </c>
      <c r="W387" s="160">
        <f t="shared" si="82"/>
        <v>1</v>
      </c>
      <c r="X387" s="160">
        <f t="shared" si="83"/>
        <v>0</v>
      </c>
      <c r="Y387" s="160">
        <f t="shared" si="84"/>
        <v>1.0177481704796869</v>
      </c>
      <c r="AB387" s="160">
        <f t="shared" si="85"/>
        <v>0.29978118161925604</v>
      </c>
      <c r="AC387" s="220">
        <f t="shared" si="86"/>
        <v>0.637199124726477</v>
      </c>
      <c r="AD387" s="160">
        <f t="shared" si="87"/>
        <v>1.1110840971529989</v>
      </c>
      <c r="AE387" s="160">
        <f t="shared" si="80"/>
        <v>0.99564741699172299</v>
      </c>
      <c r="AF387" s="220">
        <f t="shared" si="88"/>
        <v>0</v>
      </c>
      <c r="AG387" s="183" t="str">
        <f t="shared" si="89"/>
        <v/>
      </c>
      <c r="AH387" s="183" t="str">
        <f t="shared" si="90"/>
        <v/>
      </c>
      <c r="AI387" s="220" t="str">
        <f t="shared" si="91"/>
        <v/>
      </c>
    </row>
    <row r="388" spans="1:35" x14ac:dyDescent="0.3">
      <c r="A388" s="187">
        <v>27</v>
      </c>
      <c r="B388" s="242">
        <f t="shared" si="81"/>
        <v>46447</v>
      </c>
      <c r="C388" s="243">
        <f t="shared" si="64"/>
        <v>46477</v>
      </c>
      <c r="D388" s="120">
        <f t="shared" si="65"/>
        <v>31</v>
      </c>
      <c r="E388" s="120">
        <f t="shared" si="66"/>
        <v>3</v>
      </c>
      <c r="F388" s="275">
        <f t="shared" si="67"/>
        <v>46462.5</v>
      </c>
      <c r="G388" s="120">
        <f t="shared" si="68"/>
        <v>24326</v>
      </c>
      <c r="H388" s="245">
        <f t="shared" si="69"/>
        <v>1</v>
      </c>
      <c r="I388" s="121">
        <f t="shared" si="70"/>
        <v>1</v>
      </c>
      <c r="J388" s="121">
        <f t="shared" si="71"/>
        <v>1</v>
      </c>
      <c r="K388" s="120">
        <f t="shared" si="72"/>
        <v>0</v>
      </c>
      <c r="L388" s="120">
        <f t="shared" si="73"/>
        <v>0</v>
      </c>
      <c r="M388" s="246">
        <f t="shared" si="74"/>
        <v>0</v>
      </c>
      <c r="N388" s="121">
        <f t="shared" si="75"/>
        <v>1</v>
      </c>
      <c r="O388" s="246">
        <f t="shared" si="76"/>
        <v>0.91728665207877469</v>
      </c>
      <c r="P388" s="121">
        <f t="shared" si="77"/>
        <v>0</v>
      </c>
      <c r="Q388" s="121">
        <f t="shared" si="78"/>
        <v>1</v>
      </c>
      <c r="R388" s="121">
        <f t="shared" si="79"/>
        <v>0</v>
      </c>
      <c r="W388" s="160">
        <f t="shared" si="82"/>
        <v>1</v>
      </c>
      <c r="X388" s="160">
        <f t="shared" si="83"/>
        <v>0</v>
      </c>
      <c r="Y388" s="160">
        <f t="shared" si="84"/>
        <v>1.0177227482398641</v>
      </c>
      <c r="AB388" s="160">
        <f t="shared" si="85"/>
        <v>0.36433260393873085</v>
      </c>
      <c r="AC388" s="220">
        <f t="shared" si="86"/>
        <v>0.57845733041575487</v>
      </c>
      <c r="AD388" s="160">
        <f t="shared" si="87"/>
        <v>1.1094925952901189</v>
      </c>
      <c r="AE388" s="160">
        <f t="shared" si="80"/>
        <v>0.99705070878127666</v>
      </c>
      <c r="AF388" s="220">
        <f t="shared" si="88"/>
        <v>0</v>
      </c>
      <c r="AG388" s="183" t="str">
        <f t="shared" si="89"/>
        <v/>
      </c>
      <c r="AH388" s="183" t="str">
        <f t="shared" si="90"/>
        <v/>
      </c>
      <c r="AI388" s="220" t="str">
        <f t="shared" si="91"/>
        <v/>
      </c>
    </row>
    <row r="389" spans="1:35" x14ac:dyDescent="0.3">
      <c r="A389" s="187">
        <v>28</v>
      </c>
      <c r="B389" s="242">
        <f t="shared" si="81"/>
        <v>46478</v>
      </c>
      <c r="C389" s="243">
        <f t="shared" si="64"/>
        <v>46507</v>
      </c>
      <c r="D389" s="120">
        <f t="shared" si="65"/>
        <v>30</v>
      </c>
      <c r="E389" s="120">
        <f t="shared" si="66"/>
        <v>4</v>
      </c>
      <c r="F389" s="275">
        <f t="shared" si="67"/>
        <v>46493</v>
      </c>
      <c r="G389" s="120">
        <f t="shared" si="68"/>
        <v>24327</v>
      </c>
      <c r="H389" s="245">
        <f t="shared" si="69"/>
        <v>1</v>
      </c>
      <c r="I389" s="121">
        <f t="shared" si="70"/>
        <v>1</v>
      </c>
      <c r="J389" s="121">
        <f t="shared" si="71"/>
        <v>1</v>
      </c>
      <c r="K389" s="120">
        <f t="shared" si="72"/>
        <v>0</v>
      </c>
      <c r="L389" s="120">
        <f t="shared" si="73"/>
        <v>0</v>
      </c>
      <c r="M389" s="246">
        <f t="shared" si="74"/>
        <v>0</v>
      </c>
      <c r="N389" s="121">
        <f t="shared" si="75"/>
        <v>1</v>
      </c>
      <c r="O389" s="246">
        <f t="shared" si="76"/>
        <v>0.91862144420131298</v>
      </c>
      <c r="P389" s="121">
        <f t="shared" si="77"/>
        <v>0</v>
      </c>
      <c r="Q389" s="121">
        <f t="shared" si="78"/>
        <v>1</v>
      </c>
      <c r="R389" s="121">
        <f t="shared" si="79"/>
        <v>0</v>
      </c>
      <c r="W389" s="160">
        <f t="shared" si="82"/>
        <v>1</v>
      </c>
      <c r="X389" s="160">
        <f t="shared" si="83"/>
        <v>1</v>
      </c>
      <c r="Y389" s="160">
        <f t="shared" si="84"/>
        <v>1.0176965406899228</v>
      </c>
      <c r="AB389" s="160">
        <f t="shared" si="85"/>
        <v>0.4310722100656455</v>
      </c>
      <c r="AC389" s="220">
        <f t="shared" si="86"/>
        <v>0.51772428884026267</v>
      </c>
      <c r="AD389" s="160">
        <f t="shared" si="87"/>
        <v>1.1078519308622821</v>
      </c>
      <c r="AE389" s="160">
        <f t="shared" si="80"/>
        <v>0.99850156978403581</v>
      </c>
      <c r="AF389" s="220">
        <f t="shared" si="88"/>
        <v>1</v>
      </c>
      <c r="AG389" s="183" t="str">
        <f t="shared" si="89"/>
        <v/>
      </c>
      <c r="AH389" s="183" t="str">
        <f t="shared" si="90"/>
        <v/>
      </c>
      <c r="AI389" s="220" t="str">
        <f t="shared" si="91"/>
        <v/>
      </c>
    </row>
    <row r="390" spans="1:35" x14ac:dyDescent="0.3">
      <c r="A390" s="187">
        <v>29</v>
      </c>
      <c r="B390" s="242">
        <f t="shared" si="81"/>
        <v>46508</v>
      </c>
      <c r="C390" s="243">
        <f t="shared" si="64"/>
        <v>46538</v>
      </c>
      <c r="D390" s="120">
        <f t="shared" si="65"/>
        <v>31</v>
      </c>
      <c r="E390" s="120">
        <f t="shared" si="66"/>
        <v>5</v>
      </c>
      <c r="F390" s="275">
        <f t="shared" si="67"/>
        <v>46523.5</v>
      </c>
      <c r="G390" s="120">
        <f t="shared" si="68"/>
        <v>24328</v>
      </c>
      <c r="H390" s="245">
        <f t="shared" si="69"/>
        <v>1</v>
      </c>
      <c r="I390" s="121">
        <f t="shared" si="70"/>
        <v>1</v>
      </c>
      <c r="J390" s="121">
        <f t="shared" si="71"/>
        <v>1</v>
      </c>
      <c r="K390" s="120">
        <f t="shared" si="72"/>
        <v>0</v>
      </c>
      <c r="L390" s="120">
        <f t="shared" si="73"/>
        <v>0</v>
      </c>
      <c r="M390" s="246">
        <f t="shared" si="74"/>
        <v>0</v>
      </c>
      <c r="N390" s="121">
        <f t="shared" si="75"/>
        <v>1</v>
      </c>
      <c r="O390" s="246">
        <f t="shared" si="76"/>
        <v>0.91995623632385126</v>
      </c>
      <c r="P390" s="121">
        <f t="shared" si="77"/>
        <v>0</v>
      </c>
      <c r="Q390" s="121">
        <f t="shared" si="78"/>
        <v>1</v>
      </c>
      <c r="R390" s="121">
        <f t="shared" si="79"/>
        <v>0</v>
      </c>
      <c r="W390" s="160">
        <f t="shared" si="82"/>
        <v>1</v>
      </c>
      <c r="X390" s="160">
        <f t="shared" si="83"/>
        <v>1</v>
      </c>
      <c r="Y390" s="160">
        <f t="shared" si="84"/>
        <v>1.0176704105344694</v>
      </c>
      <c r="AB390" s="160">
        <f t="shared" si="85"/>
        <v>0.49781181619256015</v>
      </c>
      <c r="AC390" s="220">
        <f t="shared" si="86"/>
        <v>0.45699124726477025</v>
      </c>
      <c r="AD390" s="160">
        <f t="shared" si="87"/>
        <v>1.1062161115414408</v>
      </c>
      <c r="AE390" s="160">
        <f t="shared" si="80"/>
        <v>0.99995243078679463</v>
      </c>
      <c r="AF390" s="220">
        <f t="shared" si="88"/>
        <v>1</v>
      </c>
      <c r="AG390" s="183" t="str">
        <f t="shared" si="89"/>
        <v/>
      </c>
      <c r="AH390" s="183" t="str">
        <f t="shared" si="90"/>
        <v/>
      </c>
      <c r="AI390" s="220" t="str">
        <f t="shared" si="91"/>
        <v/>
      </c>
    </row>
    <row r="391" spans="1:35" x14ac:dyDescent="0.3">
      <c r="A391" s="187">
        <v>30</v>
      </c>
      <c r="B391" s="242">
        <f t="shared" si="81"/>
        <v>46539</v>
      </c>
      <c r="C391" s="243">
        <f t="shared" si="64"/>
        <v>46568</v>
      </c>
      <c r="D391" s="120">
        <f t="shared" si="65"/>
        <v>30</v>
      </c>
      <c r="E391" s="120">
        <f t="shared" si="66"/>
        <v>6</v>
      </c>
      <c r="F391" s="275">
        <f t="shared" si="67"/>
        <v>46554</v>
      </c>
      <c r="G391" s="120">
        <f t="shared" si="68"/>
        <v>24329</v>
      </c>
      <c r="H391" s="245">
        <f t="shared" si="69"/>
        <v>1</v>
      </c>
      <c r="I391" s="121">
        <f t="shared" si="70"/>
        <v>1</v>
      </c>
      <c r="J391" s="121">
        <f t="shared" si="71"/>
        <v>1</v>
      </c>
      <c r="K391" s="120">
        <f t="shared" si="72"/>
        <v>0</v>
      </c>
      <c r="L391" s="120">
        <f t="shared" si="73"/>
        <v>0</v>
      </c>
      <c r="M391" s="246">
        <f t="shared" si="74"/>
        <v>0</v>
      </c>
      <c r="N391" s="121">
        <f t="shared" si="75"/>
        <v>1</v>
      </c>
      <c r="O391" s="246">
        <f t="shared" si="76"/>
        <v>0.92129102844638955</v>
      </c>
      <c r="P391" s="121">
        <f t="shared" si="77"/>
        <v>0</v>
      </c>
      <c r="Q391" s="121">
        <f t="shared" si="78"/>
        <v>1</v>
      </c>
      <c r="R391" s="121">
        <f t="shared" si="79"/>
        <v>0</v>
      </c>
      <c r="W391" s="160">
        <f t="shared" si="82"/>
        <v>1</v>
      </c>
      <c r="X391" s="160">
        <f t="shared" si="83"/>
        <v>1</v>
      </c>
      <c r="Y391" s="160">
        <f t="shared" si="84"/>
        <v>1.0176443574311749</v>
      </c>
      <c r="AB391" s="160">
        <f t="shared" si="85"/>
        <v>0.56455142231947486</v>
      </c>
      <c r="AC391" s="220">
        <f t="shared" si="86"/>
        <v>0.39625820568927789</v>
      </c>
      <c r="AD391" s="160">
        <f t="shared" si="87"/>
        <v>1.1045851158968409</v>
      </c>
      <c r="AE391" s="160">
        <f t="shared" si="80"/>
        <v>1.0014032917895539</v>
      </c>
      <c r="AF391" s="220">
        <f t="shared" si="88"/>
        <v>1</v>
      </c>
      <c r="AG391" s="183" t="str">
        <f t="shared" si="89"/>
        <v/>
      </c>
      <c r="AH391" s="183" t="str">
        <f t="shared" si="90"/>
        <v/>
      </c>
      <c r="AI391" s="220" t="str">
        <f t="shared" si="91"/>
        <v/>
      </c>
    </row>
    <row r="392" spans="1:35" x14ac:dyDescent="0.3">
      <c r="A392" s="187">
        <v>31</v>
      </c>
      <c r="B392" s="242">
        <f t="shared" si="81"/>
        <v>46569</v>
      </c>
      <c r="C392" s="243">
        <f t="shared" si="64"/>
        <v>46599</v>
      </c>
      <c r="D392" s="120">
        <f t="shared" si="65"/>
        <v>31</v>
      </c>
      <c r="E392" s="120">
        <f t="shared" si="66"/>
        <v>7</v>
      </c>
      <c r="F392" s="275">
        <f t="shared" si="67"/>
        <v>46584.5</v>
      </c>
      <c r="G392" s="120">
        <f t="shared" si="68"/>
        <v>24330</v>
      </c>
      <c r="H392" s="245">
        <f t="shared" si="69"/>
        <v>1</v>
      </c>
      <c r="I392" s="121">
        <f t="shared" si="70"/>
        <v>1</v>
      </c>
      <c r="J392" s="121">
        <f t="shared" si="71"/>
        <v>1</v>
      </c>
      <c r="K392" s="120">
        <f t="shared" si="72"/>
        <v>0</v>
      </c>
      <c r="L392" s="120">
        <f t="shared" si="73"/>
        <v>0</v>
      </c>
      <c r="M392" s="246">
        <f t="shared" si="74"/>
        <v>0</v>
      </c>
      <c r="N392" s="121">
        <f t="shared" si="75"/>
        <v>1</v>
      </c>
      <c r="O392" s="246">
        <f t="shared" si="76"/>
        <v>0.92262582056892783</v>
      </c>
      <c r="P392" s="121">
        <f t="shared" si="77"/>
        <v>0</v>
      </c>
      <c r="Q392" s="121">
        <f t="shared" si="78"/>
        <v>0.91666666666666663</v>
      </c>
      <c r="R392" s="121">
        <f t="shared" si="79"/>
        <v>8.333333333333337E-2</v>
      </c>
      <c r="W392" s="160">
        <f t="shared" si="82"/>
        <v>1</v>
      </c>
      <c r="X392" s="160">
        <f t="shared" si="83"/>
        <v>1</v>
      </c>
      <c r="Y392" s="160">
        <f t="shared" si="84"/>
        <v>1.0176183810397259</v>
      </c>
      <c r="AB392" s="160">
        <f t="shared" si="85"/>
        <v>0.63129102844638951</v>
      </c>
      <c r="AC392" s="220">
        <f t="shared" si="86"/>
        <v>0.33552516411378558</v>
      </c>
      <c r="AD392" s="160">
        <f t="shared" si="87"/>
        <v>1.102958922623932</v>
      </c>
      <c r="AE392" s="160">
        <f t="shared" si="80"/>
        <v>1.0028541527923129</v>
      </c>
      <c r="AF392" s="220">
        <f t="shared" si="88"/>
        <v>1</v>
      </c>
      <c r="AG392" s="183" t="str">
        <f t="shared" si="89"/>
        <v/>
      </c>
      <c r="AH392" s="183" t="str">
        <f t="shared" si="90"/>
        <v/>
      </c>
      <c r="AI392" s="220" t="str">
        <f t="shared" si="91"/>
        <v/>
      </c>
    </row>
    <row r="393" spans="1:35" x14ac:dyDescent="0.3">
      <c r="A393" s="187">
        <v>32</v>
      </c>
      <c r="B393" s="242">
        <f t="shared" si="81"/>
        <v>46600</v>
      </c>
      <c r="C393" s="243">
        <f t="shared" si="64"/>
        <v>46630</v>
      </c>
      <c r="D393" s="120">
        <f t="shared" si="65"/>
        <v>31</v>
      </c>
      <c r="E393" s="120">
        <f t="shared" si="66"/>
        <v>8</v>
      </c>
      <c r="F393" s="275">
        <f t="shared" si="67"/>
        <v>46615.5</v>
      </c>
      <c r="G393" s="120">
        <f t="shared" si="68"/>
        <v>24331</v>
      </c>
      <c r="H393" s="245">
        <f t="shared" si="69"/>
        <v>1</v>
      </c>
      <c r="I393" s="121">
        <f t="shared" si="70"/>
        <v>1</v>
      </c>
      <c r="J393" s="121">
        <f t="shared" si="71"/>
        <v>1</v>
      </c>
      <c r="K393" s="120">
        <f t="shared" si="72"/>
        <v>0</v>
      </c>
      <c r="L393" s="120">
        <f t="shared" si="73"/>
        <v>0</v>
      </c>
      <c r="M393" s="246">
        <f t="shared" si="74"/>
        <v>0</v>
      </c>
      <c r="N393" s="121">
        <f t="shared" si="75"/>
        <v>1</v>
      </c>
      <c r="O393" s="246">
        <f t="shared" si="76"/>
        <v>0.92398249452954051</v>
      </c>
      <c r="P393" s="121">
        <f t="shared" si="77"/>
        <v>0</v>
      </c>
      <c r="Q393" s="121">
        <f t="shared" si="78"/>
        <v>0.75</v>
      </c>
      <c r="R393" s="121">
        <f t="shared" si="79"/>
        <v>0.25</v>
      </c>
      <c r="W393" s="160">
        <f t="shared" si="82"/>
        <v>1</v>
      </c>
      <c r="X393" s="160">
        <f t="shared" si="83"/>
        <v>1</v>
      </c>
      <c r="Y393" s="160">
        <f t="shared" si="84"/>
        <v>1.0175920570657413</v>
      </c>
      <c r="AB393" s="160">
        <f t="shared" si="85"/>
        <v>0.69912472647702406</v>
      </c>
      <c r="AC393" s="220">
        <f t="shared" si="86"/>
        <v>0.27379649890590813</v>
      </c>
      <c r="AD393" s="160">
        <f t="shared" si="87"/>
        <v>1.1013109697320225</v>
      </c>
      <c r="AE393" s="160">
        <f t="shared" si="80"/>
        <v>1.0043287984016744</v>
      </c>
      <c r="AF393" s="220">
        <f t="shared" si="88"/>
        <v>1</v>
      </c>
      <c r="AG393" s="183" t="str">
        <f t="shared" si="89"/>
        <v/>
      </c>
      <c r="AH393" s="183" t="str">
        <f t="shared" si="90"/>
        <v/>
      </c>
      <c r="AI393" s="220" t="str">
        <f t="shared" si="91"/>
        <v/>
      </c>
    </row>
    <row r="394" spans="1:35" x14ac:dyDescent="0.3">
      <c r="A394" s="187">
        <v>33</v>
      </c>
      <c r="B394" s="242">
        <f t="shared" si="81"/>
        <v>46631</v>
      </c>
      <c r="C394" s="243">
        <f t="shared" si="64"/>
        <v>46660</v>
      </c>
      <c r="D394" s="120">
        <f t="shared" si="65"/>
        <v>30</v>
      </c>
      <c r="E394" s="120">
        <f t="shared" si="66"/>
        <v>9</v>
      </c>
      <c r="F394" s="275">
        <f t="shared" si="67"/>
        <v>46646</v>
      </c>
      <c r="G394" s="120">
        <f t="shared" si="68"/>
        <v>24332</v>
      </c>
      <c r="H394" s="245">
        <f t="shared" si="69"/>
        <v>1</v>
      </c>
      <c r="I394" s="121">
        <f t="shared" si="70"/>
        <v>1</v>
      </c>
      <c r="J394" s="121">
        <f t="shared" si="71"/>
        <v>1</v>
      </c>
      <c r="K394" s="120">
        <f t="shared" si="72"/>
        <v>0</v>
      </c>
      <c r="L394" s="120">
        <f t="shared" si="73"/>
        <v>0</v>
      </c>
      <c r="M394" s="246">
        <f t="shared" si="74"/>
        <v>0</v>
      </c>
      <c r="N394" s="121">
        <f t="shared" si="75"/>
        <v>1</v>
      </c>
      <c r="O394" s="246">
        <f t="shared" si="76"/>
        <v>0.9253172866520788</v>
      </c>
      <c r="P394" s="121">
        <f t="shared" si="77"/>
        <v>0</v>
      </c>
      <c r="Q394" s="121">
        <f t="shared" si="78"/>
        <v>0.58333333333333337</v>
      </c>
      <c r="R394" s="121">
        <f t="shared" si="79"/>
        <v>0.41666666666666663</v>
      </c>
      <c r="W394" s="160">
        <f t="shared" si="82"/>
        <v>1</v>
      </c>
      <c r="X394" s="160">
        <f t="shared" si="83"/>
        <v>1</v>
      </c>
      <c r="Y394" s="160">
        <f t="shared" si="84"/>
        <v>1.0175662343287533</v>
      </c>
      <c r="AB394" s="160">
        <f t="shared" si="85"/>
        <v>0.76586433260393871</v>
      </c>
      <c r="AC394" s="220">
        <f t="shared" si="86"/>
        <v>0.21306345733041579</v>
      </c>
      <c r="AD394" s="160">
        <f t="shared" si="87"/>
        <v>1.099694395649349</v>
      </c>
      <c r="AE394" s="160">
        <f t="shared" si="80"/>
        <v>1.0057796594044335</v>
      </c>
      <c r="AF394" s="220">
        <f t="shared" si="88"/>
        <v>1</v>
      </c>
      <c r="AG394" s="183" t="str">
        <f t="shared" si="89"/>
        <v/>
      </c>
      <c r="AH394" s="183" t="str">
        <f t="shared" si="90"/>
        <v/>
      </c>
      <c r="AI394" s="220" t="str">
        <f t="shared" si="91"/>
        <v/>
      </c>
    </row>
    <row r="395" spans="1:35" x14ac:dyDescent="0.3">
      <c r="A395" s="187">
        <v>34</v>
      </c>
      <c r="B395" s="242">
        <f t="shared" si="81"/>
        <v>46661</v>
      </c>
      <c r="C395" s="243">
        <f t="shared" si="64"/>
        <v>46691</v>
      </c>
      <c r="D395" s="120">
        <f t="shared" si="65"/>
        <v>31</v>
      </c>
      <c r="E395" s="120">
        <f t="shared" si="66"/>
        <v>10</v>
      </c>
      <c r="F395" s="275">
        <f t="shared" si="67"/>
        <v>46676.5</v>
      </c>
      <c r="G395" s="120">
        <f t="shared" si="68"/>
        <v>24333</v>
      </c>
      <c r="H395" s="245">
        <f t="shared" si="69"/>
        <v>1</v>
      </c>
      <c r="I395" s="121">
        <f t="shared" si="70"/>
        <v>1</v>
      </c>
      <c r="J395" s="121">
        <f t="shared" si="71"/>
        <v>1</v>
      </c>
      <c r="K395" s="120">
        <f t="shared" si="72"/>
        <v>0</v>
      </c>
      <c r="L395" s="120">
        <f t="shared" si="73"/>
        <v>0</v>
      </c>
      <c r="M395" s="246">
        <f t="shared" si="74"/>
        <v>0</v>
      </c>
      <c r="N395" s="121">
        <f t="shared" si="75"/>
        <v>1</v>
      </c>
      <c r="O395" s="246">
        <f t="shared" si="76"/>
        <v>0.92665207877461708</v>
      </c>
      <c r="P395" s="121">
        <f t="shared" si="77"/>
        <v>0</v>
      </c>
      <c r="Q395" s="121">
        <f t="shared" si="78"/>
        <v>0.41666666666666669</v>
      </c>
      <c r="R395" s="121">
        <f t="shared" si="79"/>
        <v>0.58333333333333326</v>
      </c>
      <c r="W395" s="160">
        <f t="shared" si="82"/>
        <v>1</v>
      </c>
      <c r="X395" s="160">
        <f t="shared" si="83"/>
        <v>1</v>
      </c>
      <c r="Y395" s="160">
        <f t="shared" si="84"/>
        <v>1.0175404872891536</v>
      </c>
      <c r="AB395" s="160">
        <f t="shared" si="85"/>
        <v>0.83260393873085337</v>
      </c>
      <c r="AC395" s="220">
        <f t="shared" si="86"/>
        <v>0.15233041575492345</v>
      </c>
      <c r="AD395" s="160">
        <f t="shared" si="87"/>
        <v>1.0980825604305828</v>
      </c>
      <c r="AE395" s="160">
        <f t="shared" si="80"/>
        <v>1.0072305204071925</v>
      </c>
      <c r="AF395" s="220">
        <f t="shared" si="88"/>
        <v>1</v>
      </c>
      <c r="AG395" s="183" t="str">
        <f t="shared" si="89"/>
        <v/>
      </c>
      <c r="AH395" s="183" t="str">
        <f t="shared" si="90"/>
        <v/>
      </c>
      <c r="AI395" s="220" t="str">
        <f t="shared" si="91"/>
        <v/>
      </c>
    </row>
    <row r="396" spans="1:35" x14ac:dyDescent="0.3">
      <c r="A396" s="187">
        <v>35</v>
      </c>
      <c r="B396" s="242">
        <f t="shared" si="81"/>
        <v>46692</v>
      </c>
      <c r="C396" s="243">
        <f t="shared" si="64"/>
        <v>46721</v>
      </c>
      <c r="D396" s="120">
        <f t="shared" si="65"/>
        <v>30</v>
      </c>
      <c r="E396" s="120">
        <f t="shared" si="66"/>
        <v>11</v>
      </c>
      <c r="F396" s="275">
        <f t="shared" si="67"/>
        <v>46707</v>
      </c>
      <c r="G396" s="120">
        <f t="shared" si="68"/>
        <v>24334</v>
      </c>
      <c r="H396" s="245">
        <f t="shared" si="69"/>
        <v>1</v>
      </c>
      <c r="I396" s="121">
        <f t="shared" si="70"/>
        <v>1</v>
      </c>
      <c r="J396" s="121">
        <f t="shared" si="71"/>
        <v>1</v>
      </c>
      <c r="K396" s="120">
        <f t="shared" si="72"/>
        <v>0</v>
      </c>
      <c r="L396" s="120">
        <f t="shared" si="73"/>
        <v>0</v>
      </c>
      <c r="M396" s="246">
        <f t="shared" si="74"/>
        <v>0</v>
      </c>
      <c r="N396" s="121">
        <f t="shared" si="75"/>
        <v>1</v>
      </c>
      <c r="O396" s="246">
        <f t="shared" si="76"/>
        <v>0.92798687089715537</v>
      </c>
      <c r="P396" s="121">
        <f t="shared" si="77"/>
        <v>0</v>
      </c>
      <c r="Q396" s="121">
        <f t="shared" si="78"/>
        <v>0.25</v>
      </c>
      <c r="R396" s="121">
        <f t="shared" si="79"/>
        <v>0.75</v>
      </c>
      <c r="W396" s="160">
        <f t="shared" si="82"/>
        <v>1</v>
      </c>
      <c r="X396" s="160">
        <f t="shared" si="83"/>
        <v>1</v>
      </c>
      <c r="Y396" s="160">
        <f t="shared" si="84"/>
        <v>1.0175148156145779</v>
      </c>
      <c r="AB396" s="160">
        <f t="shared" si="85"/>
        <v>0.89934354485776802</v>
      </c>
      <c r="AC396" s="220">
        <f t="shared" si="86"/>
        <v>9.1597374179431104E-2</v>
      </c>
      <c r="AD396" s="160">
        <f t="shared" si="87"/>
        <v>1.0964754432687924</v>
      </c>
      <c r="AE396" s="160">
        <f t="shared" si="80"/>
        <v>1.0086813814099516</v>
      </c>
      <c r="AF396" s="220">
        <f t="shared" si="88"/>
        <v>1</v>
      </c>
      <c r="AG396" s="183" t="str">
        <f t="shared" si="89"/>
        <v/>
      </c>
      <c r="AH396" s="183" t="str">
        <f t="shared" si="90"/>
        <v/>
      </c>
      <c r="AI396" s="220" t="str">
        <f t="shared" si="91"/>
        <v/>
      </c>
    </row>
    <row r="397" spans="1:35" x14ac:dyDescent="0.3">
      <c r="A397" s="187">
        <v>36</v>
      </c>
      <c r="B397" s="242">
        <f t="shared" si="81"/>
        <v>46722</v>
      </c>
      <c r="C397" s="243">
        <f t="shared" si="64"/>
        <v>46752</v>
      </c>
      <c r="D397" s="120">
        <f t="shared" si="65"/>
        <v>31</v>
      </c>
      <c r="E397" s="120">
        <f t="shared" si="66"/>
        <v>12</v>
      </c>
      <c r="F397" s="275">
        <f t="shared" si="67"/>
        <v>46737.5</v>
      </c>
      <c r="G397" s="120">
        <f t="shared" si="68"/>
        <v>24335</v>
      </c>
      <c r="H397" s="245">
        <f t="shared" si="69"/>
        <v>1</v>
      </c>
      <c r="I397" s="121">
        <f t="shared" si="70"/>
        <v>1</v>
      </c>
      <c r="J397" s="121">
        <f t="shared" si="71"/>
        <v>1</v>
      </c>
      <c r="K397" s="120">
        <f t="shared" si="72"/>
        <v>0</v>
      </c>
      <c r="L397" s="120">
        <f t="shared" si="73"/>
        <v>0</v>
      </c>
      <c r="M397" s="246">
        <f t="shared" si="74"/>
        <v>0</v>
      </c>
      <c r="N397" s="121">
        <f t="shared" si="75"/>
        <v>1</v>
      </c>
      <c r="O397" s="246">
        <f t="shared" si="76"/>
        <v>0.92932166301969366</v>
      </c>
      <c r="P397" s="121">
        <f t="shared" si="77"/>
        <v>0</v>
      </c>
      <c r="Q397" s="121">
        <f t="shared" si="78"/>
        <v>8.3333333333333329E-2</v>
      </c>
      <c r="R397" s="121">
        <f t="shared" si="79"/>
        <v>0.91666666666666663</v>
      </c>
      <c r="W397" s="160">
        <f t="shared" si="82"/>
        <v>1</v>
      </c>
      <c r="X397" s="160">
        <f t="shared" si="83"/>
        <v>1</v>
      </c>
      <c r="Y397" s="160">
        <f t="shared" si="84"/>
        <v>1.0174892189746045</v>
      </c>
      <c r="AB397" s="160">
        <f t="shared" si="85"/>
        <v>0.96608315098468267</v>
      </c>
      <c r="AC397" s="220">
        <f t="shared" si="86"/>
        <v>3.0864332603938772E-2</v>
      </c>
      <c r="AD397" s="160">
        <f t="shared" si="87"/>
        <v>1.0948730234786774</v>
      </c>
      <c r="AE397" s="160">
        <f t="shared" si="80"/>
        <v>1.0101322424127104</v>
      </c>
      <c r="AF397" s="220">
        <f t="shared" si="88"/>
        <v>1</v>
      </c>
      <c r="AG397" s="183" t="str">
        <f t="shared" si="89"/>
        <v/>
      </c>
      <c r="AH397" s="183" t="str">
        <f t="shared" si="90"/>
        <v/>
      </c>
      <c r="AI397" s="220" t="str">
        <f t="shared" si="91"/>
        <v/>
      </c>
    </row>
    <row r="398" spans="1:35" x14ac:dyDescent="0.3">
      <c r="A398" s="187">
        <v>37</v>
      </c>
      <c r="B398" s="242">
        <f t="shared" si="81"/>
        <v>46753</v>
      </c>
      <c r="C398" s="243">
        <f t="shared" si="64"/>
        <v>46783</v>
      </c>
      <c r="D398" s="120">
        <f t="shared" si="65"/>
        <v>31</v>
      </c>
      <c r="E398" s="120">
        <f t="shared" si="66"/>
        <v>1</v>
      </c>
      <c r="F398" s="275">
        <f t="shared" si="67"/>
        <v>46768.5</v>
      </c>
      <c r="G398" s="120">
        <f t="shared" si="68"/>
        <v>24336</v>
      </c>
      <c r="H398" s="245">
        <f t="shared" si="69"/>
        <v>1</v>
      </c>
      <c r="I398" s="121">
        <f t="shared" si="70"/>
        <v>1</v>
      </c>
      <c r="J398" s="121">
        <f t="shared" si="71"/>
        <v>1</v>
      </c>
      <c r="K398" s="120">
        <f t="shared" si="72"/>
        <v>0</v>
      </c>
      <c r="L398" s="120">
        <f t="shared" si="73"/>
        <v>0</v>
      </c>
      <c r="M398" s="246">
        <f t="shared" si="74"/>
        <v>0</v>
      </c>
      <c r="N398" s="121">
        <f t="shared" si="75"/>
        <v>1</v>
      </c>
      <c r="O398" s="246">
        <f t="shared" si="76"/>
        <v>0.93</v>
      </c>
      <c r="P398" s="121">
        <f t="shared" si="77"/>
        <v>0</v>
      </c>
      <c r="Q398" s="121">
        <f t="shared" si="78"/>
        <v>0</v>
      </c>
      <c r="R398" s="121">
        <f t="shared" si="79"/>
        <v>1</v>
      </c>
      <c r="AE398" s="160">
        <f t="shared" si="80"/>
        <v>1.0108695652173914</v>
      </c>
    </row>
    <row r="399" spans="1:35" x14ac:dyDescent="0.3">
      <c r="A399" s="187">
        <v>38</v>
      </c>
      <c r="B399" s="242">
        <f t="shared" si="81"/>
        <v>46784</v>
      </c>
      <c r="C399" s="243">
        <f t="shared" si="64"/>
        <v>46812</v>
      </c>
      <c r="D399" s="120">
        <f t="shared" si="65"/>
        <v>29</v>
      </c>
      <c r="E399" s="120">
        <f t="shared" si="66"/>
        <v>2</v>
      </c>
      <c r="F399" s="275">
        <f t="shared" si="67"/>
        <v>46798.5</v>
      </c>
      <c r="G399" s="120">
        <f t="shared" si="68"/>
        <v>24337</v>
      </c>
      <c r="H399" s="245">
        <f t="shared" si="69"/>
        <v>1</v>
      </c>
      <c r="I399" s="121">
        <f t="shared" si="70"/>
        <v>1</v>
      </c>
      <c r="J399" s="121">
        <f t="shared" si="71"/>
        <v>1</v>
      </c>
      <c r="K399" s="120">
        <f t="shared" si="72"/>
        <v>0</v>
      </c>
      <c r="L399" s="120">
        <f t="shared" si="73"/>
        <v>0</v>
      </c>
      <c r="M399" s="246">
        <f t="shared" si="74"/>
        <v>0</v>
      </c>
      <c r="N399" s="121">
        <f t="shared" si="75"/>
        <v>1</v>
      </c>
      <c r="O399" s="246">
        <f t="shared" si="76"/>
        <v>0.93</v>
      </c>
      <c r="P399" s="121">
        <f t="shared" si="77"/>
        <v>0</v>
      </c>
      <c r="Q399" s="121">
        <f t="shared" si="78"/>
        <v>0</v>
      </c>
      <c r="R399" s="121">
        <f t="shared" si="79"/>
        <v>1</v>
      </c>
      <c r="AE399" s="160">
        <f t="shared" si="80"/>
        <v>1.0108695652173914</v>
      </c>
    </row>
    <row r="400" spans="1:35" x14ac:dyDescent="0.3">
      <c r="A400" s="187">
        <v>39</v>
      </c>
      <c r="B400" s="242">
        <f t="shared" si="81"/>
        <v>46813</v>
      </c>
      <c r="C400" s="243">
        <f t="shared" si="64"/>
        <v>46843</v>
      </c>
      <c r="D400" s="120">
        <f t="shared" si="65"/>
        <v>31</v>
      </c>
      <c r="E400" s="120">
        <f t="shared" si="66"/>
        <v>3</v>
      </c>
      <c r="F400" s="275">
        <f t="shared" si="67"/>
        <v>46828.5</v>
      </c>
      <c r="G400" s="120">
        <f t="shared" si="68"/>
        <v>24338</v>
      </c>
      <c r="H400" s="245">
        <f t="shared" si="69"/>
        <v>1</v>
      </c>
      <c r="I400" s="121">
        <f t="shared" si="70"/>
        <v>1</v>
      </c>
      <c r="J400" s="121">
        <f t="shared" si="71"/>
        <v>1</v>
      </c>
      <c r="K400" s="120">
        <f t="shared" si="72"/>
        <v>0</v>
      </c>
      <c r="L400" s="120">
        <f t="shared" si="73"/>
        <v>0</v>
      </c>
      <c r="M400" s="246">
        <f t="shared" si="74"/>
        <v>0</v>
      </c>
      <c r="N400" s="121">
        <f t="shared" si="75"/>
        <v>1</v>
      </c>
      <c r="O400" s="246">
        <f t="shared" si="76"/>
        <v>0.93</v>
      </c>
      <c r="P400" s="121">
        <f t="shared" si="77"/>
        <v>0</v>
      </c>
      <c r="Q400" s="121">
        <f t="shared" si="78"/>
        <v>0</v>
      </c>
      <c r="R400" s="121">
        <f t="shared" si="79"/>
        <v>1</v>
      </c>
      <c r="AE400" s="160">
        <f t="shared" si="80"/>
        <v>1.0108695652173914</v>
      </c>
    </row>
    <row r="401" spans="1:31" x14ac:dyDescent="0.3">
      <c r="A401" s="187">
        <v>40</v>
      </c>
      <c r="B401" s="242">
        <f t="shared" si="81"/>
        <v>46844</v>
      </c>
      <c r="C401" s="243">
        <f t="shared" si="64"/>
        <v>46873</v>
      </c>
      <c r="D401" s="120">
        <f t="shared" si="65"/>
        <v>30</v>
      </c>
      <c r="E401" s="120">
        <f t="shared" si="66"/>
        <v>4</v>
      </c>
      <c r="F401" s="275">
        <f t="shared" si="67"/>
        <v>46859</v>
      </c>
      <c r="G401" s="120">
        <f t="shared" si="68"/>
        <v>24339</v>
      </c>
      <c r="H401" s="245">
        <f t="shared" si="69"/>
        <v>1</v>
      </c>
      <c r="I401" s="121">
        <f t="shared" si="70"/>
        <v>1</v>
      </c>
      <c r="J401" s="121">
        <f t="shared" si="71"/>
        <v>1</v>
      </c>
      <c r="K401" s="120">
        <f t="shared" si="72"/>
        <v>0</v>
      </c>
      <c r="L401" s="120">
        <f t="shared" si="73"/>
        <v>0</v>
      </c>
      <c r="M401" s="246">
        <f t="shared" si="74"/>
        <v>0</v>
      </c>
      <c r="N401" s="121">
        <f t="shared" si="75"/>
        <v>1</v>
      </c>
      <c r="O401" s="246">
        <f t="shared" si="76"/>
        <v>0.93</v>
      </c>
      <c r="P401" s="121">
        <f t="shared" si="77"/>
        <v>0</v>
      </c>
      <c r="Q401" s="121">
        <f t="shared" si="78"/>
        <v>0</v>
      </c>
      <c r="R401" s="121">
        <f t="shared" si="79"/>
        <v>1</v>
      </c>
      <c r="AE401" s="160">
        <f t="shared" si="80"/>
        <v>1.0108695652173914</v>
      </c>
    </row>
    <row r="402" spans="1:31" x14ac:dyDescent="0.3">
      <c r="A402" s="187">
        <v>41</v>
      </c>
      <c r="B402" s="242">
        <f t="shared" si="81"/>
        <v>46874</v>
      </c>
      <c r="C402" s="243">
        <f t="shared" si="64"/>
        <v>46904</v>
      </c>
      <c r="D402" s="120">
        <f t="shared" si="65"/>
        <v>31</v>
      </c>
      <c r="E402" s="120">
        <f t="shared" si="66"/>
        <v>5</v>
      </c>
      <c r="F402" s="275">
        <f t="shared" si="67"/>
        <v>46889.5</v>
      </c>
      <c r="G402" s="120">
        <f t="shared" si="68"/>
        <v>24340</v>
      </c>
      <c r="H402" s="245">
        <f t="shared" si="69"/>
        <v>1</v>
      </c>
      <c r="I402" s="121">
        <f t="shared" si="70"/>
        <v>1</v>
      </c>
      <c r="J402" s="121">
        <f t="shared" si="71"/>
        <v>1</v>
      </c>
      <c r="K402" s="120">
        <f t="shared" si="72"/>
        <v>0</v>
      </c>
      <c r="L402" s="120">
        <f t="shared" si="73"/>
        <v>0</v>
      </c>
      <c r="M402" s="246">
        <f t="shared" si="74"/>
        <v>0</v>
      </c>
      <c r="N402" s="121">
        <f t="shared" si="75"/>
        <v>1</v>
      </c>
      <c r="O402" s="246">
        <f t="shared" si="76"/>
        <v>0.93</v>
      </c>
      <c r="P402" s="121">
        <f t="shared" si="77"/>
        <v>0</v>
      </c>
      <c r="Q402" s="121">
        <f t="shared" si="78"/>
        <v>0</v>
      </c>
      <c r="R402" s="121">
        <f t="shared" si="79"/>
        <v>1</v>
      </c>
      <c r="AE402" s="160">
        <f t="shared" si="80"/>
        <v>1.0108695652173914</v>
      </c>
    </row>
    <row r="403" spans="1:31" x14ac:dyDescent="0.3">
      <c r="A403" s="187">
        <v>42</v>
      </c>
      <c r="B403" s="242">
        <f t="shared" si="81"/>
        <v>46905</v>
      </c>
      <c r="C403" s="243">
        <f t="shared" si="64"/>
        <v>46934</v>
      </c>
      <c r="D403" s="120">
        <f t="shared" si="65"/>
        <v>30</v>
      </c>
      <c r="E403" s="120">
        <f t="shared" si="66"/>
        <v>6</v>
      </c>
      <c r="F403" s="275">
        <f t="shared" si="67"/>
        <v>46920</v>
      </c>
      <c r="G403" s="120">
        <f t="shared" si="68"/>
        <v>24341</v>
      </c>
      <c r="H403" s="245">
        <f t="shared" si="69"/>
        <v>1</v>
      </c>
      <c r="I403" s="121">
        <f t="shared" si="70"/>
        <v>1</v>
      </c>
      <c r="J403" s="121">
        <f t="shared" si="71"/>
        <v>1</v>
      </c>
      <c r="K403" s="120">
        <f t="shared" si="72"/>
        <v>0</v>
      </c>
      <c r="L403" s="120">
        <f t="shared" si="73"/>
        <v>0</v>
      </c>
      <c r="M403" s="246">
        <f t="shared" si="74"/>
        <v>0</v>
      </c>
      <c r="N403" s="121">
        <f t="shared" si="75"/>
        <v>1</v>
      </c>
      <c r="O403" s="246">
        <f t="shared" si="76"/>
        <v>0.93</v>
      </c>
      <c r="P403" s="121">
        <f t="shared" si="77"/>
        <v>0</v>
      </c>
      <c r="Q403" s="121">
        <f t="shared" si="78"/>
        <v>0</v>
      </c>
      <c r="R403" s="121">
        <f t="shared" si="79"/>
        <v>1</v>
      </c>
      <c r="AE403" s="160">
        <f t="shared" si="80"/>
        <v>1.0108695652173914</v>
      </c>
    </row>
    <row r="404" spans="1:31" x14ac:dyDescent="0.3">
      <c r="A404" s="187">
        <v>43</v>
      </c>
      <c r="B404" s="242">
        <f t="shared" si="81"/>
        <v>46935</v>
      </c>
      <c r="C404" s="243">
        <f t="shared" si="64"/>
        <v>46965</v>
      </c>
      <c r="D404" s="120">
        <f t="shared" si="65"/>
        <v>31</v>
      </c>
      <c r="E404" s="120">
        <f t="shared" si="66"/>
        <v>7</v>
      </c>
      <c r="F404" s="275">
        <f t="shared" si="67"/>
        <v>46950.5</v>
      </c>
      <c r="G404" s="120">
        <f t="shared" si="68"/>
        <v>24342</v>
      </c>
      <c r="H404" s="245">
        <f t="shared" si="69"/>
        <v>1</v>
      </c>
      <c r="I404" s="121">
        <f t="shared" si="70"/>
        <v>1</v>
      </c>
      <c r="J404" s="121">
        <f t="shared" si="71"/>
        <v>1</v>
      </c>
      <c r="K404" s="120">
        <f t="shared" si="72"/>
        <v>0</v>
      </c>
      <c r="L404" s="120">
        <f t="shared" si="73"/>
        <v>0</v>
      </c>
      <c r="M404" s="246">
        <f t="shared" si="74"/>
        <v>0</v>
      </c>
      <c r="N404" s="121">
        <f t="shared" si="75"/>
        <v>1</v>
      </c>
      <c r="O404" s="246">
        <f t="shared" si="76"/>
        <v>0.93</v>
      </c>
      <c r="P404" s="121">
        <f t="shared" si="77"/>
        <v>0</v>
      </c>
      <c r="Q404" s="121">
        <f t="shared" si="78"/>
        <v>0</v>
      </c>
      <c r="R404" s="121">
        <f t="shared" si="79"/>
        <v>0.91666666666666663</v>
      </c>
      <c r="AE404" s="160">
        <f t="shared" si="80"/>
        <v>1.0108695652173914</v>
      </c>
    </row>
    <row r="405" spans="1:31" x14ac:dyDescent="0.3">
      <c r="A405" s="187">
        <v>44</v>
      </c>
      <c r="B405" s="242">
        <f t="shared" si="81"/>
        <v>46966</v>
      </c>
      <c r="C405" s="243">
        <f t="shared" si="64"/>
        <v>46996</v>
      </c>
      <c r="D405" s="120">
        <f t="shared" si="65"/>
        <v>31</v>
      </c>
      <c r="E405" s="120">
        <f t="shared" si="66"/>
        <v>8</v>
      </c>
      <c r="F405" s="275">
        <f t="shared" si="67"/>
        <v>46981.5</v>
      </c>
      <c r="G405" s="120">
        <f t="shared" si="68"/>
        <v>24343</v>
      </c>
      <c r="H405" s="245">
        <f t="shared" si="69"/>
        <v>1</v>
      </c>
      <c r="I405" s="121">
        <f t="shared" si="70"/>
        <v>1</v>
      </c>
      <c r="J405" s="121">
        <f t="shared" si="71"/>
        <v>1</v>
      </c>
      <c r="K405" s="120">
        <f t="shared" si="72"/>
        <v>0</v>
      </c>
      <c r="L405" s="120">
        <f t="shared" si="73"/>
        <v>0</v>
      </c>
      <c r="M405" s="246">
        <f t="shared" si="74"/>
        <v>0</v>
      </c>
      <c r="N405" s="121">
        <f t="shared" si="75"/>
        <v>1</v>
      </c>
      <c r="O405" s="246">
        <f t="shared" si="76"/>
        <v>0.93</v>
      </c>
      <c r="P405" s="121">
        <f t="shared" si="77"/>
        <v>0</v>
      </c>
      <c r="Q405" s="121">
        <f t="shared" si="78"/>
        <v>0</v>
      </c>
      <c r="R405" s="121">
        <f t="shared" si="79"/>
        <v>0.75</v>
      </c>
      <c r="AE405" s="160">
        <f t="shared" si="80"/>
        <v>1.0108695652173914</v>
      </c>
    </row>
    <row r="406" spans="1:31" x14ac:dyDescent="0.3">
      <c r="A406" s="187">
        <v>45</v>
      </c>
      <c r="B406" s="242">
        <f t="shared" si="81"/>
        <v>46997</v>
      </c>
      <c r="C406" s="243">
        <f t="shared" si="64"/>
        <v>47026</v>
      </c>
      <c r="D406" s="120">
        <f t="shared" si="65"/>
        <v>30</v>
      </c>
      <c r="E406" s="120">
        <f t="shared" si="66"/>
        <v>9</v>
      </c>
      <c r="F406" s="275">
        <f t="shared" si="67"/>
        <v>47012</v>
      </c>
      <c r="G406" s="120">
        <f t="shared" si="68"/>
        <v>24344</v>
      </c>
      <c r="H406" s="245">
        <f t="shared" si="69"/>
        <v>1</v>
      </c>
      <c r="I406" s="121">
        <f t="shared" si="70"/>
        <v>1</v>
      </c>
      <c r="J406" s="121">
        <f t="shared" si="71"/>
        <v>1</v>
      </c>
      <c r="K406" s="120">
        <f t="shared" si="72"/>
        <v>0</v>
      </c>
      <c r="L406" s="120">
        <f t="shared" si="73"/>
        <v>0</v>
      </c>
      <c r="M406" s="246">
        <f t="shared" si="74"/>
        <v>0</v>
      </c>
      <c r="N406" s="121">
        <f t="shared" si="75"/>
        <v>1</v>
      </c>
      <c r="O406" s="246">
        <f t="shared" si="76"/>
        <v>0.93</v>
      </c>
      <c r="P406" s="121">
        <f t="shared" si="77"/>
        <v>0</v>
      </c>
      <c r="Q406" s="121">
        <f t="shared" si="78"/>
        <v>0</v>
      </c>
      <c r="R406" s="121">
        <f t="shared" si="79"/>
        <v>0.58333333333333337</v>
      </c>
      <c r="AE406" s="160">
        <f t="shared" si="80"/>
        <v>1.0108695652173914</v>
      </c>
    </row>
    <row r="407" spans="1:31" x14ac:dyDescent="0.3">
      <c r="A407" s="187">
        <v>46</v>
      </c>
      <c r="B407" s="242">
        <f t="shared" si="81"/>
        <v>47027</v>
      </c>
      <c r="C407" s="243">
        <f t="shared" si="64"/>
        <v>47057</v>
      </c>
      <c r="D407" s="120">
        <f t="shared" si="65"/>
        <v>31</v>
      </c>
      <c r="E407" s="120">
        <f t="shared" si="66"/>
        <v>10</v>
      </c>
      <c r="F407" s="275">
        <f t="shared" si="67"/>
        <v>47042.5</v>
      </c>
      <c r="G407" s="120">
        <f t="shared" si="68"/>
        <v>24345</v>
      </c>
      <c r="H407" s="245">
        <f t="shared" si="69"/>
        <v>1</v>
      </c>
      <c r="I407" s="121">
        <f t="shared" si="70"/>
        <v>1</v>
      </c>
      <c r="J407" s="121">
        <f t="shared" si="71"/>
        <v>1</v>
      </c>
      <c r="K407" s="120">
        <f t="shared" si="72"/>
        <v>0</v>
      </c>
      <c r="L407" s="120">
        <f t="shared" si="73"/>
        <v>0</v>
      </c>
      <c r="M407" s="246">
        <f t="shared" si="74"/>
        <v>0</v>
      </c>
      <c r="N407" s="121">
        <f t="shared" si="75"/>
        <v>1</v>
      </c>
      <c r="O407" s="246">
        <f t="shared" si="76"/>
        <v>0.93</v>
      </c>
      <c r="P407" s="121">
        <f t="shared" si="77"/>
        <v>0</v>
      </c>
      <c r="Q407" s="121">
        <f t="shared" si="78"/>
        <v>0</v>
      </c>
      <c r="R407" s="121">
        <f t="shared" si="79"/>
        <v>0.41666666666666669</v>
      </c>
      <c r="AE407" s="160">
        <f t="shared" si="80"/>
        <v>1.0108695652173914</v>
      </c>
    </row>
    <row r="408" spans="1:31" x14ac:dyDescent="0.3">
      <c r="A408" s="187">
        <v>47</v>
      </c>
      <c r="B408" s="242">
        <f t="shared" si="81"/>
        <v>47058</v>
      </c>
      <c r="C408" s="243">
        <f t="shared" si="64"/>
        <v>47087</v>
      </c>
      <c r="D408" s="120">
        <f t="shared" si="65"/>
        <v>30</v>
      </c>
      <c r="E408" s="120">
        <f t="shared" si="66"/>
        <v>11</v>
      </c>
      <c r="F408" s="275">
        <f t="shared" si="67"/>
        <v>47073</v>
      </c>
      <c r="G408" s="120">
        <f t="shared" si="68"/>
        <v>24346</v>
      </c>
      <c r="H408" s="245">
        <f t="shared" si="69"/>
        <v>1</v>
      </c>
      <c r="I408" s="121">
        <f t="shared" si="70"/>
        <v>1</v>
      </c>
      <c r="J408" s="121">
        <f t="shared" si="71"/>
        <v>1</v>
      </c>
      <c r="K408" s="120">
        <f t="shared" si="72"/>
        <v>0</v>
      </c>
      <c r="L408" s="120">
        <f t="shared" si="73"/>
        <v>0</v>
      </c>
      <c r="M408" s="246">
        <f t="shared" si="74"/>
        <v>0</v>
      </c>
      <c r="N408" s="121">
        <f t="shared" si="75"/>
        <v>1</v>
      </c>
      <c r="O408" s="246">
        <f t="shared" si="76"/>
        <v>0.93</v>
      </c>
      <c r="P408" s="121">
        <f t="shared" si="77"/>
        <v>0</v>
      </c>
      <c r="Q408" s="121">
        <f t="shared" si="78"/>
        <v>0</v>
      </c>
      <c r="R408" s="121">
        <f t="shared" si="79"/>
        <v>0.25</v>
      </c>
      <c r="AE408" s="160">
        <f t="shared" si="80"/>
        <v>1.0108695652173914</v>
      </c>
    </row>
    <row r="409" spans="1:31" x14ac:dyDescent="0.3">
      <c r="A409" s="187">
        <v>48</v>
      </c>
      <c r="B409" s="242">
        <f t="shared" si="81"/>
        <v>47088</v>
      </c>
      <c r="C409" s="243">
        <f t="shared" si="64"/>
        <v>47118</v>
      </c>
      <c r="D409" s="120">
        <f t="shared" si="65"/>
        <v>31</v>
      </c>
      <c r="E409" s="120">
        <f t="shared" si="66"/>
        <v>12</v>
      </c>
      <c r="F409" s="275">
        <f t="shared" si="67"/>
        <v>47103.5</v>
      </c>
      <c r="G409" s="120">
        <f t="shared" si="68"/>
        <v>24347</v>
      </c>
      <c r="H409" s="245">
        <f t="shared" si="69"/>
        <v>1</v>
      </c>
      <c r="I409" s="121">
        <f t="shared" si="70"/>
        <v>1</v>
      </c>
      <c r="J409" s="121">
        <f t="shared" si="71"/>
        <v>1</v>
      </c>
      <c r="K409" s="120">
        <f t="shared" si="72"/>
        <v>0</v>
      </c>
      <c r="L409" s="120">
        <f t="shared" si="73"/>
        <v>0</v>
      </c>
      <c r="M409" s="246">
        <f t="shared" si="74"/>
        <v>0</v>
      </c>
      <c r="N409" s="121">
        <f t="shared" si="75"/>
        <v>1</v>
      </c>
      <c r="O409" s="246">
        <f t="shared" si="76"/>
        <v>0.93</v>
      </c>
      <c r="P409" s="121">
        <f t="shared" si="77"/>
        <v>0</v>
      </c>
      <c r="Q409" s="121">
        <f t="shared" si="78"/>
        <v>0</v>
      </c>
      <c r="R409" s="121">
        <f t="shared" si="79"/>
        <v>8.3333333333333329E-2</v>
      </c>
      <c r="AE409" s="160">
        <f t="shared" si="80"/>
        <v>1.0108695652173914</v>
      </c>
    </row>
    <row r="410" spans="1:31" x14ac:dyDescent="0.3">
      <c r="A410" s="23" t="s">
        <v>1723</v>
      </c>
      <c r="B410" s="279">
        <f>SUM($H$386:$H$397)</f>
        <v>12</v>
      </c>
      <c r="C410" s="160">
        <f>SUMPRODUCT($H$386:$H$397,$W$386:$W$397/$N$374:$N$385,$Y$386:$Y$397)</f>
        <v>12.211577087445368</v>
      </c>
      <c r="D410" s="160">
        <f>SUMPRODUCT($H$386:$H$397,$X$386:$X$397/$N$374:$N$385,$Y$386:$Y$397)</f>
        <v>9.1583325029681237</v>
      </c>
      <c r="E410" s="281" t="str">
        <f>IF(OR($D$359=0,$P$359=0,$D410=0),"n/a",((1+$E$359)*$B410-$C410)/$D410)</f>
        <v>n/a</v>
      </c>
      <c r="F410" s="281" t="str">
        <f>IF($V$359&lt;&gt;"",$V$359,$E410)</f>
        <v>n/a</v>
      </c>
      <c r="G410" s="281" t="str">
        <f>IF(OR(NOT(ISNUMBER($F410)),nd_Ach=0),"n/a",$F410/nd_Ach)</f>
        <v>n/a</v>
      </c>
      <c r="H410" s="220" t="str">
        <f>IF(OR(NOT(ISNUMBER($F410)),$F$359=0,SUMPRODUCT($AD$386:$AD$397,$AB$386:$AB$397)=0),"n/a",((1+$E$359)*$B410-SUMPRODUCT($AD$386:$AD$397,$AC$386:$AC$397))/SUMPRODUCT($AD$386:$AD$397,$AB$386:$AB$397))</f>
        <v>n/a</v>
      </c>
      <c r="I410" s="183" t="str">
        <f>IF(NOT(ISNUMBER($F410)),"n/a",SUMPRODUCT($H$386:$H$397,($W$386:$W$397+$X$386:$X$397*$F410)/$N$374:$N$385)/$B410-1)</f>
        <v>n/a</v>
      </c>
      <c r="J410" s="183" t="str">
        <f>IF(OR(NOT(ISNUMBER($I410)),$F$359=0),"n/a",(1+$E$359)/(1+$I410)-1)</f>
        <v>n/a</v>
      </c>
      <c r="K410" s="183" t="str">
        <f>IF(NOT(ISNUMBER($F410)),"n/a",($C410+$D410*$F410)/$B410-1)</f>
        <v>n/a</v>
      </c>
      <c r="L410" s="229" t="str">
        <f>IF(NOT(ISNUMBER($F410)),"n/a",SUMPRODUCT($H$386:$H$397,$AF$386:$AF$397)/$B410)</f>
        <v>n/a</v>
      </c>
      <c r="M410" s="23" t="str">
        <f>IF($D$359=0,"",TRIM(IF(AND(ISNUMBER($H410),OR($H410&lt;0.5,$H410&gt;1.5)),"MOD-BOUND ","")&amp;IF(AND(ISNUMBER($F410),ABS($F410)&gt;nr_SolvMaxRate),"RATE-BOUND ","")&amp;IF(AND(ISNUMBER($L410),$L410&lt;nr_SolvMinShare),"THIN-SHARE ","")&amp;IF($W$359&gt;1,"MULTI-PLANNED ","")&amp;IF($F$359=0,"RATE-ONLY","")))</f>
        <v/>
      </c>
      <c r="N410" s="229" t="str">
        <f>IF(OR($D$359=0,NOT(ISNUMBER($F410))),"n/a",INDEX(calc_lrcur,$C$359)*INDEX(calc_crl,$C$359)/(SUMPRODUCT($H$362:$H$409,$Q$362:$Q$409,$AE$362:$AE$409)/SUMPRODUCT($H$362:$H$409,$Q$362:$Q$409))*INDEX(calc_aother,$C$359))</f>
        <v>n/a</v>
      </c>
      <c r="O410" s="229" t="str">
        <f>IF($D$359=0,"n/a",INDEX(calc_cylr_p,$C$359))</f>
        <v>n/a</v>
      </c>
      <c r="P410" s="282">
        <f>IF(NOT(ISNUMBER($E410)),0,ABS(($C410+$D410*$E410)/$B410-(1+$E$359)))</f>
        <v>0</v>
      </c>
    </row>
    <row r="415" spans="1:31" x14ac:dyDescent="0.3">
      <c r="A415" s="23" t="str">
        <f>_lists!$B$6</f>
        <v>FL</v>
      </c>
      <c r="B415" s="23" t="str">
        <f>IF(OR($A415="",nd_BU="All"),"",nd_BU&amp;"|"&amp;$A415)</f>
        <v>SBA|FL</v>
      </c>
      <c r="C415" s="43">
        <f>IF($B415="",0,IF(COUNTIF(lr_key,$B415)=0,0,MATCH($B415,lr_key,0)))</f>
        <v>46</v>
      </c>
      <c r="D415" s="43">
        <f>IF($C415=0,0,IF(ISBLANK(INDEX(lr_netp,$C415)),0,1))</f>
        <v>0</v>
      </c>
      <c r="E415" s="229">
        <f>IF($D415=0,0,N(INDEX(lr_netp,$C415)))</f>
        <v>0</v>
      </c>
      <c r="F415" s="43">
        <f>IF($C415=0,0,IF(AND(nr_ModAdjMaster="ON",INDEX(lr_modadj,$C415)="ON"),1,0))</f>
        <v>1</v>
      </c>
      <c r="G415" s="220">
        <f>IF($C415=0,1,IF(N(INDEX(lr_mind,$C415))=0,1,INDEX(lr_mind,$C415)))</f>
        <v>0.92</v>
      </c>
      <c r="H415" s="220">
        <f>IF($C415=0,1,IF(N(INDEX(lr_m0,$C415))=0,1,INDEX(lr_m0,$C415)))</f>
        <v>0.91</v>
      </c>
      <c r="I415" s="278">
        <f>IF($C415=0,DATE(nr_PlanYear-1,10,1),IF(N(INDEX(lr_m0asof,$C415))=0,DATE(nr_PlanYear-1,10,1),INDEX(lr_m0asof,$C415)))</f>
        <v>46295</v>
      </c>
      <c r="J415" s="220">
        <f>IF($C415=0,1,IF(N(INDEX(lr_m1,$C415))=0,1,INDEX(lr_m1,$C415)))</f>
        <v>0.91</v>
      </c>
      <c r="K415" s="220">
        <f>IF($C415=0,0,N(INDEX(lr_mprior,$C415)))</f>
        <v>0</v>
      </c>
      <c r="L415" s="220">
        <f>IF($C415=0,0,N(INDEX(lr_m2,$C415)))</f>
        <v>0</v>
      </c>
      <c r="M415" s="43">
        <f>IF(OR($A415="",COUNTIF(se_state,$A415)=0),0,MATCH($A415,se_state,0))</f>
        <v>0</v>
      </c>
      <c r="N415" s="279">
        <f>IF($M415=0,0,INDEX(se_sum,$M415))</f>
        <v>0</v>
      </c>
      <c r="O415" s="278">
        <f>IF('Net Delivery'!$D$12="",$X415,'Net Delivery'!$D$12)</f>
        <v>46539</v>
      </c>
      <c r="P415" s="43">
        <f>IF(AND($O415&gt;=DATE(nr_PlanYear,1,1),$O415&lt;=DATE(nr_PlanYear,12,31)),1,0)</f>
        <v>1</v>
      </c>
      <c r="Q415" s="43">
        <f>YEAR($O415)*12+MONTH($O415)-1</f>
        <v>24329</v>
      </c>
      <c r="R415" s="43">
        <f>DAY(EOMONTH($O415,0))</f>
        <v>30</v>
      </c>
      <c r="S415" s="43">
        <f>EOMONTH($O415,0)-$O415+1</f>
        <v>30</v>
      </c>
      <c r="T415" s="43">
        <f>SUMIFS(ndl_days,rl_key,$B415,ndl_effmonth,DATE(YEAR($O415),MONTH($O415),1),ndl_first,1)</f>
        <v>0</v>
      </c>
      <c r="U415" s="220">
        <f>IF($P415=1,MIN(1,MAX($S415,$T415)/$R415),1)</f>
        <v>1</v>
      </c>
      <c r="V415" s="280">
        <f>IF(ISBLANK('Net Delivery'!$E$12),$Y415,'Net Delivery'!$E$12)</f>
        <v>0.04</v>
      </c>
      <c r="W415" s="43">
        <f>IF($B415="",0,COUNTIFS(rl_key,$B415,rl_status,"planned",rl_eff,"&gt;="&amp;DATE(nr_PlanYear,1,1),rl_eff,"&lt;="&amp;DATE(nr_PlanYear,12,31)))</f>
        <v>1</v>
      </c>
      <c r="X415" s="278">
        <f>IF($W415=0,nd_DefaultDate,SUMIFS(rl_eff,rl_key,$B415,rl_firstplanned,1))</f>
        <v>46539</v>
      </c>
      <c r="Y415" s="280">
        <f>IF($W415=0,"",SUMIFS(rl_reff,rl_key,$B415,rl_firstplanned,1))</f>
        <v>0.04</v>
      </c>
      <c r="Z415" s="280">
        <f>IF($W415=0,"",SUMIFS(rl_filed,rl_key,$B415,rl_firstplanned,1))</f>
        <v>0.04</v>
      </c>
    </row>
    <row r="416" spans="1:31" x14ac:dyDescent="0.3">
      <c r="A416" s="6">
        <f>EDATE($I$415,-12)+1</f>
        <v>45931</v>
      </c>
      <c r="B416" s="6">
        <f>$I$415+1</f>
        <v>46296</v>
      </c>
      <c r="C416" s="6">
        <f>DATE(nr_PlanYear,12,31)+1</f>
        <v>46753</v>
      </c>
      <c r="D416" s="6">
        <f>DATE(nr_PlanYear+1,12,31)+1</f>
        <v>47119</v>
      </c>
      <c r="E416" s="6">
        <f>IF(N($K$415)=0,$F$416-($G$416-$F$416)/($C$416-$B$416)*($B$416-$A$416),$K$415)</f>
        <v>0.91</v>
      </c>
      <c r="F416" s="6">
        <f>$H$415</f>
        <v>0.91</v>
      </c>
      <c r="G416" s="6">
        <f>$J$415</f>
        <v>0.91</v>
      </c>
      <c r="H416" s="6">
        <f>IF(N($L$415)=0,$J$415,$L$415)</f>
        <v>0.91</v>
      </c>
      <c r="I416" s="6">
        <f>($F$416-$E$416)/($B$416-$A$416)</f>
        <v>0</v>
      </c>
      <c r="J416" s="6">
        <f>($G$416-$F$416)/($C$416-$B$416)</f>
        <v>0</v>
      </c>
      <c r="K416" s="6">
        <f>($H$416-$G$416)/($D$416-$C$416)</f>
        <v>0</v>
      </c>
    </row>
    <row r="417" spans="1:31" ht="36" x14ac:dyDescent="0.3">
      <c r="A417" s="58" t="s">
        <v>390</v>
      </c>
      <c r="B417" s="58" t="s">
        <v>449</v>
      </c>
      <c r="C417" s="58" t="s">
        <v>685</v>
      </c>
      <c r="D417" s="58" t="s">
        <v>686</v>
      </c>
      <c r="E417" s="58" t="s">
        <v>687</v>
      </c>
      <c r="F417" s="58" t="s">
        <v>688</v>
      </c>
      <c r="G417" s="58" t="s">
        <v>689</v>
      </c>
      <c r="H417" s="58" t="s">
        <v>452</v>
      </c>
      <c r="I417" s="58" t="s">
        <v>690</v>
      </c>
      <c r="J417" s="58" t="s">
        <v>691</v>
      </c>
      <c r="K417" s="58" t="s">
        <v>692</v>
      </c>
      <c r="L417" s="58" t="s">
        <v>693</v>
      </c>
      <c r="M417" s="58" t="s">
        <v>694</v>
      </c>
      <c r="N417" s="58" t="s">
        <v>695</v>
      </c>
      <c r="O417" s="58" t="s">
        <v>696</v>
      </c>
      <c r="P417" s="58" t="s">
        <v>697</v>
      </c>
      <c r="Q417" s="58" t="s">
        <v>698</v>
      </c>
      <c r="R417" s="58" t="s">
        <v>699</v>
      </c>
      <c r="S417" s="58" t="s">
        <v>700</v>
      </c>
      <c r="T417" s="58" t="s">
        <v>701</v>
      </c>
      <c r="U417" s="58" t="s">
        <v>702</v>
      </c>
    </row>
    <row r="418" spans="1:31" x14ac:dyDescent="0.3">
      <c r="A418" s="187">
        <v>1</v>
      </c>
      <c r="B418" s="242">
        <f>DATE(nr_PlanYear-2,1,1)</f>
        <v>45658</v>
      </c>
      <c r="C418" s="243">
        <f t="shared" ref="C418:C465" si="92">EOMONTH($B418,0)</f>
        <v>45688</v>
      </c>
      <c r="D418" s="120">
        <f t="shared" ref="D418:D465" si="93">$C418-$B418+1</f>
        <v>31</v>
      </c>
      <c r="E418" s="120">
        <f t="shared" ref="E418:E465" si="94">MONTH($B418)</f>
        <v>1</v>
      </c>
      <c r="F418" s="275">
        <f t="shared" ref="F418:F465" si="95">($B418+$C418+1)/2</f>
        <v>45673.5</v>
      </c>
      <c r="G418" s="120">
        <f t="shared" ref="G418:G465" si="96">YEAR($B418)*12+MONTH($B418)-1</f>
        <v>24300</v>
      </c>
      <c r="H418" s="245">
        <f t="shared" ref="H418:H465" si="97">IF(OR(nr_SeasonOn="OFF",$M$415=0,$N$415=0),1,12*INDEX(se_block,$M$415,$E418)/$N$415)</f>
        <v>1</v>
      </c>
      <c r="I418" s="121">
        <f t="shared" ref="I418:I465" si="98">EXP(SUMPRODUCT((ndl_eff&lt;$B418)*(rl_key=$B$415)*ndl_ln))</f>
        <v>1</v>
      </c>
      <c r="J418" s="121">
        <f t="shared" ref="J418:J465" si="99">EXP(SUMPRODUCT((ndl_eff&lt;=$C418)*(rl_key=$B$415)*ndl_ln))</f>
        <v>1</v>
      </c>
      <c r="K418" s="120">
        <f t="shared" ref="K418:K465" si="100">COUNTIFS(rl_key,$B$415,ndl_eff,"&gt;="&amp;$B418,ndl_eff,"&lt;="&amp;$C418)</f>
        <v>0</v>
      </c>
      <c r="L418" s="120">
        <f t="shared" ref="L418:L465" si="101">SUMIFS(ndl_days,rl_key,$B$415,ndl_effmonth,$B418,ndl_first,1)</f>
        <v>0</v>
      </c>
      <c r="M418" s="246">
        <f t="shared" ref="M418:M465" si="102">IF($K418=0,0,MIN(1,$L418/$D418))</f>
        <v>0</v>
      </c>
      <c r="N418" s="121">
        <f t="shared" ref="N418:N465" si="103">IF($K418=0,$J418,(1-$M418)*$I418+$M418*$J418)</f>
        <v>1</v>
      </c>
      <c r="O418" s="246">
        <f t="shared" ref="O418:O465" si="104">IF($F418&lt;$B$416,$E$416+$I$416*($F418-$A$416),IF($F418&lt;$C$416,$F$416+$J$416*($F418-$B$416),$G$416+$K$416*($F418-$C$416)))</f>
        <v>0.91</v>
      </c>
      <c r="P418" s="121">
        <f t="shared" ref="P418:P465" si="105">MIN(1,MAX(0,(nr_MEndPm1-$G418+0.5)/nr_TermMonths))-MIN(1,MAX(0,(nr_MStartPm1-1-$G418+0.5)/nr_TermMonths))</f>
        <v>0</v>
      </c>
      <c r="Q418" s="121">
        <f t="shared" ref="Q418:Q465" si="106">MIN(1,MAX(0,(nr_MEndP-$G418+0.5)/nr_TermMonths))-MIN(1,MAX(0,(nr_MStartP-1-$G418+0.5)/nr_TermMonths))</f>
        <v>0</v>
      </c>
      <c r="R418" s="121">
        <f t="shared" ref="R418:R465" si="107">MIN(1,MAX(0,(nr_MEndP1-$G418+0.5)/nr_TermMonths))-MIN(1,MAX(0,(nr_MStartP1-1-$G418+0.5)/nr_TermMonths))</f>
        <v>0</v>
      </c>
      <c r="AE418" s="160">
        <f t="shared" ref="AE418:AE465" si="108">IF(OR($G418&lt;nr_MStartP,$G418&gt;=nr_MStartP1),IF($F$415=1,$N418*$O418/$G$415,$N418),($W418+$X418*IF(ISNUMBER($F$466),$F$466,0))*IF($F$415=1,($AC418+$AB418*IF(ISNUMBER($H$466),$H$466,$J$415))/$G$415,1))</f>
        <v>0.98913043478260865</v>
      </c>
    </row>
    <row r="419" spans="1:31" x14ac:dyDescent="0.3">
      <c r="A419" s="187">
        <v>2</v>
      </c>
      <c r="B419" s="242">
        <f t="shared" ref="B419:B465" si="109">EDATE($B418,1)</f>
        <v>45689</v>
      </c>
      <c r="C419" s="243">
        <f t="shared" si="92"/>
        <v>45716</v>
      </c>
      <c r="D419" s="120">
        <f t="shared" si="93"/>
        <v>28</v>
      </c>
      <c r="E419" s="120">
        <f t="shared" si="94"/>
        <v>2</v>
      </c>
      <c r="F419" s="275">
        <f t="shared" si="95"/>
        <v>45703</v>
      </c>
      <c r="G419" s="120">
        <f t="shared" si="96"/>
        <v>24301</v>
      </c>
      <c r="H419" s="245">
        <f t="shared" si="97"/>
        <v>1</v>
      </c>
      <c r="I419" s="121">
        <f t="shared" si="98"/>
        <v>1</v>
      </c>
      <c r="J419" s="121">
        <f t="shared" si="99"/>
        <v>1</v>
      </c>
      <c r="K419" s="120">
        <f t="shared" si="100"/>
        <v>0</v>
      </c>
      <c r="L419" s="120">
        <f t="shared" si="101"/>
        <v>0</v>
      </c>
      <c r="M419" s="246">
        <f t="shared" si="102"/>
        <v>0</v>
      </c>
      <c r="N419" s="121">
        <f t="shared" si="103"/>
        <v>1</v>
      </c>
      <c r="O419" s="246">
        <f t="shared" si="104"/>
        <v>0.91</v>
      </c>
      <c r="P419" s="121">
        <f t="shared" si="105"/>
        <v>0</v>
      </c>
      <c r="Q419" s="121">
        <f t="shared" si="106"/>
        <v>0</v>
      </c>
      <c r="R419" s="121">
        <f t="shared" si="107"/>
        <v>0</v>
      </c>
      <c r="AE419" s="160">
        <f t="shared" si="108"/>
        <v>0.98913043478260865</v>
      </c>
    </row>
    <row r="420" spans="1:31" x14ac:dyDescent="0.3">
      <c r="A420" s="187">
        <v>3</v>
      </c>
      <c r="B420" s="242">
        <f t="shared" si="109"/>
        <v>45717</v>
      </c>
      <c r="C420" s="243">
        <f t="shared" si="92"/>
        <v>45747</v>
      </c>
      <c r="D420" s="120">
        <f t="shared" si="93"/>
        <v>31</v>
      </c>
      <c r="E420" s="120">
        <f t="shared" si="94"/>
        <v>3</v>
      </c>
      <c r="F420" s="275">
        <f t="shared" si="95"/>
        <v>45732.5</v>
      </c>
      <c r="G420" s="120">
        <f t="shared" si="96"/>
        <v>24302</v>
      </c>
      <c r="H420" s="245">
        <f t="shared" si="97"/>
        <v>1</v>
      </c>
      <c r="I420" s="121">
        <f t="shared" si="98"/>
        <v>1</v>
      </c>
      <c r="J420" s="121">
        <f t="shared" si="99"/>
        <v>1</v>
      </c>
      <c r="K420" s="120">
        <f t="shared" si="100"/>
        <v>0</v>
      </c>
      <c r="L420" s="120">
        <f t="shared" si="101"/>
        <v>0</v>
      </c>
      <c r="M420" s="246">
        <f t="shared" si="102"/>
        <v>0</v>
      </c>
      <c r="N420" s="121">
        <f t="shared" si="103"/>
        <v>1</v>
      </c>
      <c r="O420" s="246">
        <f t="shared" si="104"/>
        <v>0.91</v>
      </c>
      <c r="P420" s="121">
        <f t="shared" si="105"/>
        <v>0</v>
      </c>
      <c r="Q420" s="121">
        <f t="shared" si="106"/>
        <v>0</v>
      </c>
      <c r="R420" s="121">
        <f t="shared" si="107"/>
        <v>0</v>
      </c>
      <c r="AE420" s="160">
        <f t="shared" si="108"/>
        <v>0.98913043478260865</v>
      </c>
    </row>
    <row r="421" spans="1:31" x14ac:dyDescent="0.3">
      <c r="A421" s="187">
        <v>4</v>
      </c>
      <c r="B421" s="242">
        <f t="shared" si="109"/>
        <v>45748</v>
      </c>
      <c r="C421" s="243">
        <f t="shared" si="92"/>
        <v>45777</v>
      </c>
      <c r="D421" s="120">
        <f t="shared" si="93"/>
        <v>30</v>
      </c>
      <c r="E421" s="120">
        <f t="shared" si="94"/>
        <v>4</v>
      </c>
      <c r="F421" s="275">
        <f t="shared" si="95"/>
        <v>45763</v>
      </c>
      <c r="G421" s="120">
        <f t="shared" si="96"/>
        <v>24303</v>
      </c>
      <c r="H421" s="245">
        <f t="shared" si="97"/>
        <v>1</v>
      </c>
      <c r="I421" s="121">
        <f t="shared" si="98"/>
        <v>1</v>
      </c>
      <c r="J421" s="121">
        <f t="shared" si="99"/>
        <v>1</v>
      </c>
      <c r="K421" s="120">
        <f t="shared" si="100"/>
        <v>0</v>
      </c>
      <c r="L421" s="120">
        <f t="shared" si="101"/>
        <v>0</v>
      </c>
      <c r="M421" s="246">
        <f t="shared" si="102"/>
        <v>0</v>
      </c>
      <c r="N421" s="121">
        <f t="shared" si="103"/>
        <v>1</v>
      </c>
      <c r="O421" s="246">
        <f t="shared" si="104"/>
        <v>0.91</v>
      </c>
      <c r="P421" s="121">
        <f t="shared" si="105"/>
        <v>0</v>
      </c>
      <c r="Q421" s="121">
        <f t="shared" si="106"/>
        <v>0</v>
      </c>
      <c r="R421" s="121">
        <f t="shared" si="107"/>
        <v>0</v>
      </c>
      <c r="AE421" s="160">
        <f t="shared" si="108"/>
        <v>0.98913043478260865</v>
      </c>
    </row>
    <row r="422" spans="1:31" x14ac:dyDescent="0.3">
      <c r="A422" s="187">
        <v>5</v>
      </c>
      <c r="B422" s="242">
        <f t="shared" si="109"/>
        <v>45778</v>
      </c>
      <c r="C422" s="243">
        <f t="shared" si="92"/>
        <v>45808</v>
      </c>
      <c r="D422" s="120">
        <f t="shared" si="93"/>
        <v>31</v>
      </c>
      <c r="E422" s="120">
        <f t="shared" si="94"/>
        <v>5</v>
      </c>
      <c r="F422" s="275">
        <f t="shared" si="95"/>
        <v>45793.5</v>
      </c>
      <c r="G422" s="120">
        <f t="shared" si="96"/>
        <v>24304</v>
      </c>
      <c r="H422" s="245">
        <f t="shared" si="97"/>
        <v>1</v>
      </c>
      <c r="I422" s="121">
        <f t="shared" si="98"/>
        <v>1</v>
      </c>
      <c r="J422" s="121">
        <f t="shared" si="99"/>
        <v>1</v>
      </c>
      <c r="K422" s="120">
        <f t="shared" si="100"/>
        <v>0</v>
      </c>
      <c r="L422" s="120">
        <f t="shared" si="101"/>
        <v>0</v>
      </c>
      <c r="M422" s="246">
        <f t="shared" si="102"/>
        <v>0</v>
      </c>
      <c r="N422" s="121">
        <f t="shared" si="103"/>
        <v>1</v>
      </c>
      <c r="O422" s="246">
        <f t="shared" si="104"/>
        <v>0.91</v>
      </c>
      <c r="P422" s="121">
        <f t="shared" si="105"/>
        <v>0</v>
      </c>
      <c r="Q422" s="121">
        <f t="shared" si="106"/>
        <v>0</v>
      </c>
      <c r="R422" s="121">
        <f t="shared" si="107"/>
        <v>0</v>
      </c>
      <c r="AE422" s="160">
        <f t="shared" si="108"/>
        <v>0.98913043478260865</v>
      </c>
    </row>
    <row r="423" spans="1:31" x14ac:dyDescent="0.3">
      <c r="A423" s="187">
        <v>6</v>
      </c>
      <c r="B423" s="242">
        <f t="shared" si="109"/>
        <v>45809</v>
      </c>
      <c r="C423" s="243">
        <f t="shared" si="92"/>
        <v>45838</v>
      </c>
      <c r="D423" s="120">
        <f t="shared" si="93"/>
        <v>30</v>
      </c>
      <c r="E423" s="120">
        <f t="shared" si="94"/>
        <v>6</v>
      </c>
      <c r="F423" s="275">
        <f t="shared" si="95"/>
        <v>45824</v>
      </c>
      <c r="G423" s="120">
        <f t="shared" si="96"/>
        <v>24305</v>
      </c>
      <c r="H423" s="245">
        <f t="shared" si="97"/>
        <v>1</v>
      </c>
      <c r="I423" s="121">
        <f t="shared" si="98"/>
        <v>1</v>
      </c>
      <c r="J423" s="121">
        <f t="shared" si="99"/>
        <v>1</v>
      </c>
      <c r="K423" s="120">
        <f t="shared" si="100"/>
        <v>0</v>
      </c>
      <c r="L423" s="120">
        <f t="shared" si="101"/>
        <v>0</v>
      </c>
      <c r="M423" s="246">
        <f t="shared" si="102"/>
        <v>0</v>
      </c>
      <c r="N423" s="121">
        <f t="shared" si="103"/>
        <v>1</v>
      </c>
      <c r="O423" s="246">
        <f t="shared" si="104"/>
        <v>0.91</v>
      </c>
      <c r="P423" s="121">
        <f t="shared" si="105"/>
        <v>0</v>
      </c>
      <c r="Q423" s="121">
        <f t="shared" si="106"/>
        <v>0</v>
      </c>
      <c r="R423" s="121">
        <f t="shared" si="107"/>
        <v>0</v>
      </c>
      <c r="AE423" s="160">
        <f t="shared" si="108"/>
        <v>0.98913043478260865</v>
      </c>
    </row>
    <row r="424" spans="1:31" x14ac:dyDescent="0.3">
      <c r="A424" s="187">
        <v>7</v>
      </c>
      <c r="B424" s="242">
        <f t="shared" si="109"/>
        <v>45839</v>
      </c>
      <c r="C424" s="243">
        <f t="shared" si="92"/>
        <v>45869</v>
      </c>
      <c r="D424" s="120">
        <f t="shared" si="93"/>
        <v>31</v>
      </c>
      <c r="E424" s="120">
        <f t="shared" si="94"/>
        <v>7</v>
      </c>
      <c r="F424" s="275">
        <f t="shared" si="95"/>
        <v>45854.5</v>
      </c>
      <c r="G424" s="120">
        <f t="shared" si="96"/>
        <v>24306</v>
      </c>
      <c r="H424" s="245">
        <f t="shared" si="97"/>
        <v>1</v>
      </c>
      <c r="I424" s="121">
        <f t="shared" si="98"/>
        <v>1</v>
      </c>
      <c r="J424" s="121">
        <f t="shared" si="99"/>
        <v>1</v>
      </c>
      <c r="K424" s="120">
        <f t="shared" si="100"/>
        <v>0</v>
      </c>
      <c r="L424" s="120">
        <f t="shared" si="101"/>
        <v>0</v>
      </c>
      <c r="M424" s="246">
        <f t="shared" si="102"/>
        <v>0</v>
      </c>
      <c r="N424" s="121">
        <f t="shared" si="103"/>
        <v>1</v>
      </c>
      <c r="O424" s="246">
        <f t="shared" si="104"/>
        <v>0.91</v>
      </c>
      <c r="P424" s="121">
        <f t="shared" si="105"/>
        <v>8.333333333333337E-2</v>
      </c>
      <c r="Q424" s="121">
        <f t="shared" si="106"/>
        <v>0</v>
      </c>
      <c r="R424" s="121">
        <f t="shared" si="107"/>
        <v>0</v>
      </c>
      <c r="AE424" s="160">
        <f t="shared" si="108"/>
        <v>0.98913043478260865</v>
      </c>
    </row>
    <row r="425" spans="1:31" x14ac:dyDescent="0.3">
      <c r="A425" s="187">
        <v>8</v>
      </c>
      <c r="B425" s="242">
        <f t="shared" si="109"/>
        <v>45870</v>
      </c>
      <c r="C425" s="243">
        <f t="shared" si="92"/>
        <v>45900</v>
      </c>
      <c r="D425" s="120">
        <f t="shared" si="93"/>
        <v>31</v>
      </c>
      <c r="E425" s="120">
        <f t="shared" si="94"/>
        <v>8</v>
      </c>
      <c r="F425" s="275">
        <f t="shared" si="95"/>
        <v>45885.5</v>
      </c>
      <c r="G425" s="120">
        <f t="shared" si="96"/>
        <v>24307</v>
      </c>
      <c r="H425" s="245">
        <f t="shared" si="97"/>
        <v>1</v>
      </c>
      <c r="I425" s="121">
        <f t="shared" si="98"/>
        <v>1</v>
      </c>
      <c r="J425" s="121">
        <f t="shared" si="99"/>
        <v>1</v>
      </c>
      <c r="K425" s="120">
        <f t="shared" si="100"/>
        <v>0</v>
      </c>
      <c r="L425" s="120">
        <f t="shared" si="101"/>
        <v>0</v>
      </c>
      <c r="M425" s="246">
        <f t="shared" si="102"/>
        <v>0</v>
      </c>
      <c r="N425" s="121">
        <f t="shared" si="103"/>
        <v>1</v>
      </c>
      <c r="O425" s="246">
        <f t="shared" si="104"/>
        <v>0.91</v>
      </c>
      <c r="P425" s="121">
        <f t="shared" si="105"/>
        <v>0.25</v>
      </c>
      <c r="Q425" s="121">
        <f t="shared" si="106"/>
        <v>0</v>
      </c>
      <c r="R425" s="121">
        <f t="shared" si="107"/>
        <v>0</v>
      </c>
      <c r="AE425" s="160">
        <f t="shared" si="108"/>
        <v>0.98913043478260865</v>
      </c>
    </row>
    <row r="426" spans="1:31" x14ac:dyDescent="0.3">
      <c r="A426" s="187">
        <v>9</v>
      </c>
      <c r="B426" s="242">
        <f t="shared" si="109"/>
        <v>45901</v>
      </c>
      <c r="C426" s="243">
        <f t="shared" si="92"/>
        <v>45930</v>
      </c>
      <c r="D426" s="120">
        <f t="shared" si="93"/>
        <v>30</v>
      </c>
      <c r="E426" s="120">
        <f t="shared" si="94"/>
        <v>9</v>
      </c>
      <c r="F426" s="275">
        <f t="shared" si="95"/>
        <v>45916</v>
      </c>
      <c r="G426" s="120">
        <f t="shared" si="96"/>
        <v>24308</v>
      </c>
      <c r="H426" s="245">
        <f t="shared" si="97"/>
        <v>1</v>
      </c>
      <c r="I426" s="121">
        <f t="shared" si="98"/>
        <v>1</v>
      </c>
      <c r="J426" s="121">
        <f t="shared" si="99"/>
        <v>1</v>
      </c>
      <c r="K426" s="120">
        <f t="shared" si="100"/>
        <v>0</v>
      </c>
      <c r="L426" s="120">
        <f t="shared" si="101"/>
        <v>0</v>
      </c>
      <c r="M426" s="246">
        <f t="shared" si="102"/>
        <v>0</v>
      </c>
      <c r="N426" s="121">
        <f t="shared" si="103"/>
        <v>1</v>
      </c>
      <c r="O426" s="246">
        <f t="shared" si="104"/>
        <v>0.91</v>
      </c>
      <c r="P426" s="121">
        <f t="shared" si="105"/>
        <v>0.41666666666666663</v>
      </c>
      <c r="Q426" s="121">
        <f t="shared" si="106"/>
        <v>0</v>
      </c>
      <c r="R426" s="121">
        <f t="shared" si="107"/>
        <v>0</v>
      </c>
      <c r="AE426" s="160">
        <f t="shared" si="108"/>
        <v>0.98913043478260865</v>
      </c>
    </row>
    <row r="427" spans="1:31" x14ac:dyDescent="0.3">
      <c r="A427" s="187">
        <v>10</v>
      </c>
      <c r="B427" s="242">
        <f t="shared" si="109"/>
        <v>45931</v>
      </c>
      <c r="C427" s="243">
        <f t="shared" si="92"/>
        <v>45961</v>
      </c>
      <c r="D427" s="120">
        <f t="shared" si="93"/>
        <v>31</v>
      </c>
      <c r="E427" s="120">
        <f t="shared" si="94"/>
        <v>10</v>
      </c>
      <c r="F427" s="275">
        <f t="shared" si="95"/>
        <v>45946.5</v>
      </c>
      <c r="G427" s="120">
        <f t="shared" si="96"/>
        <v>24309</v>
      </c>
      <c r="H427" s="245">
        <f t="shared" si="97"/>
        <v>1</v>
      </c>
      <c r="I427" s="121">
        <f t="shared" si="98"/>
        <v>1</v>
      </c>
      <c r="J427" s="121">
        <f t="shared" si="99"/>
        <v>1</v>
      </c>
      <c r="K427" s="120">
        <f t="shared" si="100"/>
        <v>0</v>
      </c>
      <c r="L427" s="120">
        <f t="shared" si="101"/>
        <v>0</v>
      </c>
      <c r="M427" s="246">
        <f t="shared" si="102"/>
        <v>0</v>
      </c>
      <c r="N427" s="121">
        <f t="shared" si="103"/>
        <v>1</v>
      </c>
      <c r="O427" s="246">
        <f t="shared" si="104"/>
        <v>0.91</v>
      </c>
      <c r="P427" s="121">
        <f t="shared" si="105"/>
        <v>0.58333333333333326</v>
      </c>
      <c r="Q427" s="121">
        <f t="shared" si="106"/>
        <v>0</v>
      </c>
      <c r="R427" s="121">
        <f t="shared" si="107"/>
        <v>0</v>
      </c>
      <c r="AE427" s="160">
        <f t="shared" si="108"/>
        <v>0.98913043478260865</v>
      </c>
    </row>
    <row r="428" spans="1:31" x14ac:dyDescent="0.3">
      <c r="A428" s="187">
        <v>11</v>
      </c>
      <c r="B428" s="242">
        <f t="shared" si="109"/>
        <v>45962</v>
      </c>
      <c r="C428" s="243">
        <f t="shared" si="92"/>
        <v>45991</v>
      </c>
      <c r="D428" s="120">
        <f t="shared" si="93"/>
        <v>30</v>
      </c>
      <c r="E428" s="120">
        <f t="shared" si="94"/>
        <v>11</v>
      </c>
      <c r="F428" s="275">
        <f t="shared" si="95"/>
        <v>45977</v>
      </c>
      <c r="G428" s="120">
        <f t="shared" si="96"/>
        <v>24310</v>
      </c>
      <c r="H428" s="245">
        <f t="shared" si="97"/>
        <v>1</v>
      </c>
      <c r="I428" s="121">
        <f t="shared" si="98"/>
        <v>1</v>
      </c>
      <c r="J428" s="121">
        <f t="shared" si="99"/>
        <v>1</v>
      </c>
      <c r="K428" s="120">
        <f t="shared" si="100"/>
        <v>0</v>
      </c>
      <c r="L428" s="120">
        <f t="shared" si="101"/>
        <v>0</v>
      </c>
      <c r="M428" s="246">
        <f t="shared" si="102"/>
        <v>0</v>
      </c>
      <c r="N428" s="121">
        <f t="shared" si="103"/>
        <v>1</v>
      </c>
      <c r="O428" s="246">
        <f t="shared" si="104"/>
        <v>0.91</v>
      </c>
      <c r="P428" s="121">
        <f t="shared" si="105"/>
        <v>0.75</v>
      </c>
      <c r="Q428" s="121">
        <f t="shared" si="106"/>
        <v>0</v>
      </c>
      <c r="R428" s="121">
        <f t="shared" si="107"/>
        <v>0</v>
      </c>
      <c r="AE428" s="160">
        <f t="shared" si="108"/>
        <v>0.98913043478260865</v>
      </c>
    </row>
    <row r="429" spans="1:31" x14ac:dyDescent="0.3">
      <c r="A429" s="187">
        <v>12</v>
      </c>
      <c r="B429" s="242">
        <f t="shared" si="109"/>
        <v>45992</v>
      </c>
      <c r="C429" s="243">
        <f t="shared" si="92"/>
        <v>46022</v>
      </c>
      <c r="D429" s="120">
        <f t="shared" si="93"/>
        <v>31</v>
      </c>
      <c r="E429" s="120">
        <f t="shared" si="94"/>
        <v>12</v>
      </c>
      <c r="F429" s="275">
        <f t="shared" si="95"/>
        <v>46007.5</v>
      </c>
      <c r="G429" s="120">
        <f t="shared" si="96"/>
        <v>24311</v>
      </c>
      <c r="H429" s="245">
        <f t="shared" si="97"/>
        <v>1</v>
      </c>
      <c r="I429" s="121">
        <f t="shared" si="98"/>
        <v>1</v>
      </c>
      <c r="J429" s="121">
        <f t="shared" si="99"/>
        <v>1</v>
      </c>
      <c r="K429" s="120">
        <f t="shared" si="100"/>
        <v>0</v>
      </c>
      <c r="L429" s="120">
        <f t="shared" si="101"/>
        <v>0</v>
      </c>
      <c r="M429" s="246">
        <f t="shared" si="102"/>
        <v>0</v>
      </c>
      <c r="N429" s="121">
        <f t="shared" si="103"/>
        <v>1</v>
      </c>
      <c r="O429" s="246">
        <f t="shared" si="104"/>
        <v>0.91</v>
      </c>
      <c r="P429" s="121">
        <f t="shared" si="105"/>
        <v>0.91666666666666663</v>
      </c>
      <c r="Q429" s="121">
        <f t="shared" si="106"/>
        <v>0</v>
      </c>
      <c r="R429" s="121">
        <f t="shared" si="107"/>
        <v>0</v>
      </c>
      <c r="AE429" s="160">
        <f t="shared" si="108"/>
        <v>0.98913043478260865</v>
      </c>
    </row>
    <row r="430" spans="1:31" x14ac:dyDescent="0.3">
      <c r="A430" s="187">
        <v>13</v>
      </c>
      <c r="B430" s="242">
        <f t="shared" si="109"/>
        <v>46023</v>
      </c>
      <c r="C430" s="243">
        <f t="shared" si="92"/>
        <v>46053</v>
      </c>
      <c r="D430" s="120">
        <f t="shared" si="93"/>
        <v>31</v>
      </c>
      <c r="E430" s="120">
        <f t="shared" si="94"/>
        <v>1</v>
      </c>
      <c r="F430" s="275">
        <f t="shared" si="95"/>
        <v>46038.5</v>
      </c>
      <c r="G430" s="120">
        <f t="shared" si="96"/>
        <v>24312</v>
      </c>
      <c r="H430" s="245">
        <f t="shared" si="97"/>
        <v>1</v>
      </c>
      <c r="I430" s="121">
        <f t="shared" si="98"/>
        <v>1</v>
      </c>
      <c r="J430" s="121">
        <f t="shared" si="99"/>
        <v>1</v>
      </c>
      <c r="K430" s="120">
        <f t="shared" si="100"/>
        <v>0</v>
      </c>
      <c r="L430" s="120">
        <f t="shared" si="101"/>
        <v>0</v>
      </c>
      <c r="M430" s="246">
        <f t="shared" si="102"/>
        <v>0</v>
      </c>
      <c r="N430" s="121">
        <f t="shared" si="103"/>
        <v>1</v>
      </c>
      <c r="O430" s="246">
        <f t="shared" si="104"/>
        <v>0.91</v>
      </c>
      <c r="P430" s="121">
        <f t="shared" si="105"/>
        <v>1</v>
      </c>
      <c r="Q430" s="121">
        <f t="shared" si="106"/>
        <v>0</v>
      </c>
      <c r="R430" s="121">
        <f t="shared" si="107"/>
        <v>0</v>
      </c>
      <c r="AE430" s="160">
        <f t="shared" si="108"/>
        <v>0.98913043478260865</v>
      </c>
    </row>
    <row r="431" spans="1:31" x14ac:dyDescent="0.3">
      <c r="A431" s="187">
        <v>14</v>
      </c>
      <c r="B431" s="242">
        <f t="shared" si="109"/>
        <v>46054</v>
      </c>
      <c r="C431" s="243">
        <f t="shared" si="92"/>
        <v>46081</v>
      </c>
      <c r="D431" s="120">
        <f t="shared" si="93"/>
        <v>28</v>
      </c>
      <c r="E431" s="120">
        <f t="shared" si="94"/>
        <v>2</v>
      </c>
      <c r="F431" s="275">
        <f t="shared" si="95"/>
        <v>46068</v>
      </c>
      <c r="G431" s="120">
        <f t="shared" si="96"/>
        <v>24313</v>
      </c>
      <c r="H431" s="245">
        <f t="shared" si="97"/>
        <v>1</v>
      </c>
      <c r="I431" s="121">
        <f t="shared" si="98"/>
        <v>1</v>
      </c>
      <c r="J431" s="121">
        <f t="shared" si="99"/>
        <v>1</v>
      </c>
      <c r="K431" s="120">
        <f t="shared" si="100"/>
        <v>0</v>
      </c>
      <c r="L431" s="120">
        <f t="shared" si="101"/>
        <v>0</v>
      </c>
      <c r="M431" s="246">
        <f t="shared" si="102"/>
        <v>0</v>
      </c>
      <c r="N431" s="121">
        <f t="shared" si="103"/>
        <v>1</v>
      </c>
      <c r="O431" s="246">
        <f t="shared" si="104"/>
        <v>0.91</v>
      </c>
      <c r="P431" s="121">
        <f t="shared" si="105"/>
        <v>1</v>
      </c>
      <c r="Q431" s="121">
        <f t="shared" si="106"/>
        <v>0</v>
      </c>
      <c r="R431" s="121">
        <f t="shared" si="107"/>
        <v>0</v>
      </c>
      <c r="AE431" s="160">
        <f t="shared" si="108"/>
        <v>0.98913043478260865</v>
      </c>
    </row>
    <row r="432" spans="1:31" x14ac:dyDescent="0.3">
      <c r="A432" s="187">
        <v>15</v>
      </c>
      <c r="B432" s="242">
        <f t="shared" si="109"/>
        <v>46082</v>
      </c>
      <c r="C432" s="243">
        <f t="shared" si="92"/>
        <v>46112</v>
      </c>
      <c r="D432" s="120">
        <f t="shared" si="93"/>
        <v>31</v>
      </c>
      <c r="E432" s="120">
        <f t="shared" si="94"/>
        <v>3</v>
      </c>
      <c r="F432" s="275">
        <f t="shared" si="95"/>
        <v>46097.5</v>
      </c>
      <c r="G432" s="120">
        <f t="shared" si="96"/>
        <v>24314</v>
      </c>
      <c r="H432" s="245">
        <f t="shared" si="97"/>
        <v>1</v>
      </c>
      <c r="I432" s="121">
        <f t="shared" si="98"/>
        <v>1</v>
      </c>
      <c r="J432" s="121">
        <f t="shared" si="99"/>
        <v>1</v>
      </c>
      <c r="K432" s="120">
        <f t="shared" si="100"/>
        <v>0</v>
      </c>
      <c r="L432" s="120">
        <f t="shared" si="101"/>
        <v>0</v>
      </c>
      <c r="M432" s="246">
        <f t="shared" si="102"/>
        <v>0</v>
      </c>
      <c r="N432" s="121">
        <f t="shared" si="103"/>
        <v>1</v>
      </c>
      <c r="O432" s="246">
        <f t="shared" si="104"/>
        <v>0.91</v>
      </c>
      <c r="P432" s="121">
        <f t="shared" si="105"/>
        <v>1</v>
      </c>
      <c r="Q432" s="121">
        <f t="shared" si="106"/>
        <v>0</v>
      </c>
      <c r="R432" s="121">
        <f t="shared" si="107"/>
        <v>0</v>
      </c>
      <c r="AE432" s="160">
        <f t="shared" si="108"/>
        <v>0.98913043478260865</v>
      </c>
    </row>
    <row r="433" spans="1:35" x14ac:dyDescent="0.3">
      <c r="A433" s="187">
        <v>16</v>
      </c>
      <c r="B433" s="242">
        <f t="shared" si="109"/>
        <v>46113</v>
      </c>
      <c r="C433" s="243">
        <f t="shared" si="92"/>
        <v>46142</v>
      </c>
      <c r="D433" s="120">
        <f t="shared" si="93"/>
        <v>30</v>
      </c>
      <c r="E433" s="120">
        <f t="shared" si="94"/>
        <v>4</v>
      </c>
      <c r="F433" s="275">
        <f t="shared" si="95"/>
        <v>46128</v>
      </c>
      <c r="G433" s="120">
        <f t="shared" si="96"/>
        <v>24315</v>
      </c>
      <c r="H433" s="245">
        <f t="shared" si="97"/>
        <v>1</v>
      </c>
      <c r="I433" s="121">
        <f t="shared" si="98"/>
        <v>1</v>
      </c>
      <c r="J433" s="121">
        <f t="shared" si="99"/>
        <v>1</v>
      </c>
      <c r="K433" s="120">
        <f t="shared" si="100"/>
        <v>0</v>
      </c>
      <c r="L433" s="120">
        <f t="shared" si="101"/>
        <v>0</v>
      </c>
      <c r="M433" s="246">
        <f t="shared" si="102"/>
        <v>0</v>
      </c>
      <c r="N433" s="121">
        <f t="shared" si="103"/>
        <v>1</v>
      </c>
      <c r="O433" s="246">
        <f t="shared" si="104"/>
        <v>0.91</v>
      </c>
      <c r="P433" s="121">
        <f t="shared" si="105"/>
        <v>1</v>
      </c>
      <c r="Q433" s="121">
        <f t="shared" si="106"/>
        <v>0</v>
      </c>
      <c r="R433" s="121">
        <f t="shared" si="107"/>
        <v>0</v>
      </c>
      <c r="AE433" s="160">
        <f t="shared" si="108"/>
        <v>0.98913043478260865</v>
      </c>
    </row>
    <row r="434" spans="1:35" x14ac:dyDescent="0.3">
      <c r="A434" s="187">
        <v>17</v>
      </c>
      <c r="B434" s="242">
        <f t="shared" si="109"/>
        <v>46143</v>
      </c>
      <c r="C434" s="243">
        <f t="shared" si="92"/>
        <v>46173</v>
      </c>
      <c r="D434" s="120">
        <f t="shared" si="93"/>
        <v>31</v>
      </c>
      <c r="E434" s="120">
        <f t="shared" si="94"/>
        <v>5</v>
      </c>
      <c r="F434" s="275">
        <f t="shared" si="95"/>
        <v>46158.5</v>
      </c>
      <c r="G434" s="120">
        <f t="shared" si="96"/>
        <v>24316</v>
      </c>
      <c r="H434" s="245">
        <f t="shared" si="97"/>
        <v>1</v>
      </c>
      <c r="I434" s="121">
        <f t="shared" si="98"/>
        <v>1</v>
      </c>
      <c r="J434" s="121">
        <f t="shared" si="99"/>
        <v>1</v>
      </c>
      <c r="K434" s="120">
        <f t="shared" si="100"/>
        <v>0</v>
      </c>
      <c r="L434" s="120">
        <f t="shared" si="101"/>
        <v>0</v>
      </c>
      <c r="M434" s="246">
        <f t="shared" si="102"/>
        <v>0</v>
      </c>
      <c r="N434" s="121">
        <f t="shared" si="103"/>
        <v>1</v>
      </c>
      <c r="O434" s="246">
        <f t="shared" si="104"/>
        <v>0.91</v>
      </c>
      <c r="P434" s="121">
        <f t="shared" si="105"/>
        <v>1</v>
      </c>
      <c r="Q434" s="121">
        <f t="shared" si="106"/>
        <v>0</v>
      </c>
      <c r="R434" s="121">
        <f t="shared" si="107"/>
        <v>0</v>
      </c>
      <c r="AE434" s="160">
        <f t="shared" si="108"/>
        <v>0.98913043478260865</v>
      </c>
    </row>
    <row r="435" spans="1:35" x14ac:dyDescent="0.3">
      <c r="A435" s="187">
        <v>18</v>
      </c>
      <c r="B435" s="242">
        <f t="shared" si="109"/>
        <v>46174</v>
      </c>
      <c r="C435" s="243">
        <f t="shared" si="92"/>
        <v>46203</v>
      </c>
      <c r="D435" s="120">
        <f t="shared" si="93"/>
        <v>30</v>
      </c>
      <c r="E435" s="120">
        <f t="shared" si="94"/>
        <v>6</v>
      </c>
      <c r="F435" s="275">
        <f t="shared" si="95"/>
        <v>46189</v>
      </c>
      <c r="G435" s="120">
        <f t="shared" si="96"/>
        <v>24317</v>
      </c>
      <c r="H435" s="245">
        <f t="shared" si="97"/>
        <v>1</v>
      </c>
      <c r="I435" s="121">
        <f t="shared" si="98"/>
        <v>1</v>
      </c>
      <c r="J435" s="121">
        <f t="shared" si="99"/>
        <v>1</v>
      </c>
      <c r="K435" s="120">
        <f t="shared" si="100"/>
        <v>0</v>
      </c>
      <c r="L435" s="120">
        <f t="shared" si="101"/>
        <v>0</v>
      </c>
      <c r="M435" s="246">
        <f t="shared" si="102"/>
        <v>0</v>
      </c>
      <c r="N435" s="121">
        <f t="shared" si="103"/>
        <v>1</v>
      </c>
      <c r="O435" s="246">
        <f t="shared" si="104"/>
        <v>0.91</v>
      </c>
      <c r="P435" s="121">
        <f t="shared" si="105"/>
        <v>1</v>
      </c>
      <c r="Q435" s="121">
        <f t="shared" si="106"/>
        <v>0</v>
      </c>
      <c r="R435" s="121">
        <f t="shared" si="107"/>
        <v>0</v>
      </c>
      <c r="AE435" s="160">
        <f t="shared" si="108"/>
        <v>0.98913043478260865</v>
      </c>
    </row>
    <row r="436" spans="1:35" x14ac:dyDescent="0.3">
      <c r="A436" s="187">
        <v>19</v>
      </c>
      <c r="B436" s="242">
        <f t="shared" si="109"/>
        <v>46204</v>
      </c>
      <c r="C436" s="243">
        <f t="shared" si="92"/>
        <v>46234</v>
      </c>
      <c r="D436" s="120">
        <f t="shared" si="93"/>
        <v>31</v>
      </c>
      <c r="E436" s="120">
        <f t="shared" si="94"/>
        <v>7</v>
      </c>
      <c r="F436" s="275">
        <f t="shared" si="95"/>
        <v>46219.5</v>
      </c>
      <c r="G436" s="120">
        <f t="shared" si="96"/>
        <v>24318</v>
      </c>
      <c r="H436" s="245">
        <f t="shared" si="97"/>
        <v>1</v>
      </c>
      <c r="I436" s="121">
        <f t="shared" si="98"/>
        <v>1</v>
      </c>
      <c r="J436" s="121">
        <f t="shared" si="99"/>
        <v>1</v>
      </c>
      <c r="K436" s="120">
        <f t="shared" si="100"/>
        <v>0</v>
      </c>
      <c r="L436" s="120">
        <f t="shared" si="101"/>
        <v>0</v>
      </c>
      <c r="M436" s="246">
        <f t="shared" si="102"/>
        <v>0</v>
      </c>
      <c r="N436" s="121">
        <f t="shared" si="103"/>
        <v>1</v>
      </c>
      <c r="O436" s="246">
        <f t="shared" si="104"/>
        <v>0.91</v>
      </c>
      <c r="P436" s="121">
        <f t="shared" si="105"/>
        <v>0.91666666666666663</v>
      </c>
      <c r="Q436" s="121">
        <f t="shared" si="106"/>
        <v>8.333333333333337E-2</v>
      </c>
      <c r="R436" s="121">
        <f t="shared" si="107"/>
        <v>0</v>
      </c>
      <c r="AE436" s="160">
        <f t="shared" si="108"/>
        <v>0.98913043478260865</v>
      </c>
    </row>
    <row r="437" spans="1:35" x14ac:dyDescent="0.3">
      <c r="A437" s="187">
        <v>20</v>
      </c>
      <c r="B437" s="242">
        <f t="shared" si="109"/>
        <v>46235</v>
      </c>
      <c r="C437" s="243">
        <f t="shared" si="92"/>
        <v>46265</v>
      </c>
      <c r="D437" s="120">
        <f t="shared" si="93"/>
        <v>31</v>
      </c>
      <c r="E437" s="120">
        <f t="shared" si="94"/>
        <v>8</v>
      </c>
      <c r="F437" s="275">
        <f t="shared" si="95"/>
        <v>46250.5</v>
      </c>
      <c r="G437" s="120">
        <f t="shared" si="96"/>
        <v>24319</v>
      </c>
      <c r="H437" s="245">
        <f t="shared" si="97"/>
        <v>1</v>
      </c>
      <c r="I437" s="121">
        <f t="shared" si="98"/>
        <v>1</v>
      </c>
      <c r="J437" s="121">
        <f t="shared" si="99"/>
        <v>1</v>
      </c>
      <c r="K437" s="120">
        <f t="shared" si="100"/>
        <v>0</v>
      </c>
      <c r="L437" s="120">
        <f t="shared" si="101"/>
        <v>0</v>
      </c>
      <c r="M437" s="246">
        <f t="shared" si="102"/>
        <v>0</v>
      </c>
      <c r="N437" s="121">
        <f t="shared" si="103"/>
        <v>1</v>
      </c>
      <c r="O437" s="246">
        <f t="shared" si="104"/>
        <v>0.91</v>
      </c>
      <c r="P437" s="121">
        <f t="shared" si="105"/>
        <v>0.75</v>
      </c>
      <c r="Q437" s="121">
        <f t="shared" si="106"/>
        <v>0.25</v>
      </c>
      <c r="R437" s="121">
        <f t="shared" si="107"/>
        <v>0</v>
      </c>
      <c r="AE437" s="160">
        <f t="shared" si="108"/>
        <v>0.98913043478260865</v>
      </c>
    </row>
    <row r="438" spans="1:35" x14ac:dyDescent="0.3">
      <c r="A438" s="187">
        <v>21</v>
      </c>
      <c r="B438" s="242">
        <f t="shared" si="109"/>
        <v>46266</v>
      </c>
      <c r="C438" s="243">
        <f t="shared" si="92"/>
        <v>46295</v>
      </c>
      <c r="D438" s="120">
        <f t="shared" si="93"/>
        <v>30</v>
      </c>
      <c r="E438" s="120">
        <f t="shared" si="94"/>
        <v>9</v>
      </c>
      <c r="F438" s="275">
        <f t="shared" si="95"/>
        <v>46281</v>
      </c>
      <c r="G438" s="120">
        <f t="shared" si="96"/>
        <v>24320</v>
      </c>
      <c r="H438" s="245">
        <f t="shared" si="97"/>
        <v>1</v>
      </c>
      <c r="I438" s="121">
        <f t="shared" si="98"/>
        <v>1</v>
      </c>
      <c r="J438" s="121">
        <f t="shared" si="99"/>
        <v>1</v>
      </c>
      <c r="K438" s="120">
        <f t="shared" si="100"/>
        <v>0</v>
      </c>
      <c r="L438" s="120">
        <f t="shared" si="101"/>
        <v>0</v>
      </c>
      <c r="M438" s="246">
        <f t="shared" si="102"/>
        <v>0</v>
      </c>
      <c r="N438" s="121">
        <f t="shared" si="103"/>
        <v>1</v>
      </c>
      <c r="O438" s="246">
        <f t="shared" si="104"/>
        <v>0.91</v>
      </c>
      <c r="P438" s="121">
        <f t="shared" si="105"/>
        <v>0.58333333333333337</v>
      </c>
      <c r="Q438" s="121">
        <f t="shared" si="106"/>
        <v>0.41666666666666663</v>
      </c>
      <c r="R438" s="121">
        <f t="shared" si="107"/>
        <v>0</v>
      </c>
      <c r="AE438" s="160">
        <f t="shared" si="108"/>
        <v>0.98913043478260865</v>
      </c>
    </row>
    <row r="439" spans="1:35" x14ac:dyDescent="0.3">
      <c r="A439" s="187">
        <v>22</v>
      </c>
      <c r="B439" s="242">
        <f t="shared" si="109"/>
        <v>46296</v>
      </c>
      <c r="C439" s="243">
        <f t="shared" si="92"/>
        <v>46326</v>
      </c>
      <c r="D439" s="120">
        <f t="shared" si="93"/>
        <v>31</v>
      </c>
      <c r="E439" s="120">
        <f t="shared" si="94"/>
        <v>10</v>
      </c>
      <c r="F439" s="275">
        <f t="shared" si="95"/>
        <v>46311.5</v>
      </c>
      <c r="G439" s="120">
        <f t="shared" si="96"/>
        <v>24321</v>
      </c>
      <c r="H439" s="245">
        <f t="shared" si="97"/>
        <v>1</v>
      </c>
      <c r="I439" s="121">
        <f t="shared" si="98"/>
        <v>1</v>
      </c>
      <c r="J439" s="121">
        <f t="shared" si="99"/>
        <v>1.02</v>
      </c>
      <c r="K439" s="120">
        <f t="shared" si="100"/>
        <v>1</v>
      </c>
      <c r="L439" s="120">
        <f t="shared" si="101"/>
        <v>31</v>
      </c>
      <c r="M439" s="246">
        <f t="shared" si="102"/>
        <v>1</v>
      </c>
      <c r="N439" s="121">
        <f t="shared" si="103"/>
        <v>1.02</v>
      </c>
      <c r="O439" s="246">
        <f t="shared" si="104"/>
        <v>0.91</v>
      </c>
      <c r="P439" s="121">
        <f t="shared" si="105"/>
        <v>0.41666666666666669</v>
      </c>
      <c r="Q439" s="121">
        <f t="shared" si="106"/>
        <v>0.58333333333333326</v>
      </c>
      <c r="R439" s="121">
        <f t="shared" si="107"/>
        <v>0</v>
      </c>
      <c r="AE439" s="160">
        <f t="shared" si="108"/>
        <v>1.0089130434782609</v>
      </c>
    </row>
    <row r="440" spans="1:35" x14ac:dyDescent="0.3">
      <c r="A440" s="187">
        <v>23</v>
      </c>
      <c r="B440" s="242">
        <f t="shared" si="109"/>
        <v>46327</v>
      </c>
      <c r="C440" s="243">
        <f t="shared" si="92"/>
        <v>46356</v>
      </c>
      <c r="D440" s="120">
        <f t="shared" si="93"/>
        <v>30</v>
      </c>
      <c r="E440" s="120">
        <f t="shared" si="94"/>
        <v>11</v>
      </c>
      <c r="F440" s="275">
        <f t="shared" si="95"/>
        <v>46342</v>
      </c>
      <c r="G440" s="120">
        <f t="shared" si="96"/>
        <v>24322</v>
      </c>
      <c r="H440" s="245">
        <f t="shared" si="97"/>
        <v>1</v>
      </c>
      <c r="I440" s="121">
        <f t="shared" si="98"/>
        <v>1.02</v>
      </c>
      <c r="J440" s="121">
        <f t="shared" si="99"/>
        <v>1.02</v>
      </c>
      <c r="K440" s="120">
        <f t="shared" si="100"/>
        <v>0</v>
      </c>
      <c r="L440" s="120">
        <f t="shared" si="101"/>
        <v>0</v>
      </c>
      <c r="M440" s="246">
        <f t="shared" si="102"/>
        <v>0</v>
      </c>
      <c r="N440" s="121">
        <f t="shared" si="103"/>
        <v>1.02</v>
      </c>
      <c r="O440" s="246">
        <f t="shared" si="104"/>
        <v>0.91</v>
      </c>
      <c r="P440" s="121">
        <f t="shared" si="105"/>
        <v>0.25</v>
      </c>
      <c r="Q440" s="121">
        <f t="shared" si="106"/>
        <v>0.75</v>
      </c>
      <c r="R440" s="121">
        <f t="shared" si="107"/>
        <v>0</v>
      </c>
      <c r="AE440" s="160">
        <f t="shared" si="108"/>
        <v>1.0089130434782609</v>
      </c>
    </row>
    <row r="441" spans="1:35" x14ac:dyDescent="0.3">
      <c r="A441" s="187">
        <v>24</v>
      </c>
      <c r="B441" s="242">
        <f t="shared" si="109"/>
        <v>46357</v>
      </c>
      <c r="C441" s="243">
        <f t="shared" si="92"/>
        <v>46387</v>
      </c>
      <c r="D441" s="120">
        <f t="shared" si="93"/>
        <v>31</v>
      </c>
      <c r="E441" s="120">
        <f t="shared" si="94"/>
        <v>12</v>
      </c>
      <c r="F441" s="275">
        <f t="shared" si="95"/>
        <v>46372.5</v>
      </c>
      <c r="G441" s="120">
        <f t="shared" si="96"/>
        <v>24323</v>
      </c>
      <c r="H441" s="245">
        <f t="shared" si="97"/>
        <v>1</v>
      </c>
      <c r="I441" s="121">
        <f t="shared" si="98"/>
        <v>1.02</v>
      </c>
      <c r="J441" s="121">
        <f t="shared" si="99"/>
        <v>1.02</v>
      </c>
      <c r="K441" s="120">
        <f t="shared" si="100"/>
        <v>0</v>
      </c>
      <c r="L441" s="120">
        <f t="shared" si="101"/>
        <v>0</v>
      </c>
      <c r="M441" s="246">
        <f t="shared" si="102"/>
        <v>0</v>
      </c>
      <c r="N441" s="121">
        <f t="shared" si="103"/>
        <v>1.02</v>
      </c>
      <c r="O441" s="246">
        <f t="shared" si="104"/>
        <v>0.91</v>
      </c>
      <c r="P441" s="121">
        <f t="shared" si="105"/>
        <v>8.3333333333333329E-2</v>
      </c>
      <c r="Q441" s="121">
        <f t="shared" si="106"/>
        <v>0.91666666666666663</v>
      </c>
      <c r="R441" s="121">
        <f t="shared" si="107"/>
        <v>0</v>
      </c>
      <c r="AE441" s="160">
        <f t="shared" si="108"/>
        <v>1.0089130434782609</v>
      </c>
    </row>
    <row r="442" spans="1:35" x14ac:dyDescent="0.3">
      <c r="A442" s="187">
        <v>25</v>
      </c>
      <c r="B442" s="242">
        <f t="shared" si="109"/>
        <v>46388</v>
      </c>
      <c r="C442" s="243">
        <f t="shared" si="92"/>
        <v>46418</v>
      </c>
      <c r="D442" s="120">
        <f t="shared" si="93"/>
        <v>31</v>
      </c>
      <c r="E442" s="120">
        <f t="shared" si="94"/>
        <v>1</v>
      </c>
      <c r="F442" s="275">
        <f t="shared" si="95"/>
        <v>46403.5</v>
      </c>
      <c r="G442" s="120">
        <f t="shared" si="96"/>
        <v>24324</v>
      </c>
      <c r="H442" s="245">
        <f t="shared" si="97"/>
        <v>1</v>
      </c>
      <c r="I442" s="121">
        <f t="shared" si="98"/>
        <v>1.02</v>
      </c>
      <c r="J442" s="121">
        <f t="shared" si="99"/>
        <v>1.02</v>
      </c>
      <c r="K442" s="120">
        <f t="shared" si="100"/>
        <v>0</v>
      </c>
      <c r="L442" s="120">
        <f t="shared" si="101"/>
        <v>0</v>
      </c>
      <c r="M442" s="246">
        <f t="shared" si="102"/>
        <v>0</v>
      </c>
      <c r="N442" s="121">
        <f t="shared" si="103"/>
        <v>1.02</v>
      </c>
      <c r="O442" s="246">
        <f t="shared" si="104"/>
        <v>0.91</v>
      </c>
      <c r="P442" s="121">
        <f t="shared" si="105"/>
        <v>0</v>
      </c>
      <c r="Q442" s="121">
        <f t="shared" si="106"/>
        <v>1</v>
      </c>
      <c r="R442" s="121">
        <f t="shared" si="107"/>
        <v>0</v>
      </c>
      <c r="W442" s="160">
        <f t="shared" ref="W442:W453" si="110">IF($G442&lt;&gt;$Q$415,$N442,(1-$U$415)*$I442+$U$415*$J442)</f>
        <v>1.02</v>
      </c>
      <c r="X442" s="160">
        <f t="shared" ref="X442:X453" si="111">IF($G442&lt;$Q$415,0,IF($G442&gt;$Q$415,$N442,$U$415*$J442))</f>
        <v>0</v>
      </c>
      <c r="Y442" s="160">
        <f t="shared" ref="Y442:Y453" si="112">IF($F$415=1,$O442/$O430,1)</f>
        <v>1</v>
      </c>
      <c r="AB442" s="160">
        <f t="shared" ref="AB442:AB453" si="113">IF(AND(N($K$415)&lt;&gt;0,$F442&lt;=$B$416),0,($F442-$B$416)/($C$416-$B$416))</f>
        <v>0.23522975929978118</v>
      </c>
      <c r="AC442" s="220">
        <f t="shared" ref="AC442:AC453" si="114">IF(AND(N($K$415)&lt;&gt;0,$F442&lt;=$B$416),$O442,$F$416*(1-$AB442))</f>
        <v>0.69594091903719912</v>
      </c>
      <c r="AD442" s="160">
        <f t="shared" ref="AD442:AD453" si="115">$H442*($W442+$X442*IF(ISNUMBER($F$466),$F$466,0))/($N430*$O430)</f>
        <v>1.1208791208791209</v>
      </c>
      <c r="AE442" s="160">
        <f t="shared" si="108"/>
        <v>0.99424276699373992</v>
      </c>
      <c r="AF442" s="220">
        <f t="shared" ref="AF442:AF453" si="116">IF($G442&lt;$Q$415,0,IF($G442&gt;$Q$415,1,$U$415))</f>
        <v>0</v>
      </c>
      <c r="AG442" s="183" t="str">
        <f t="shared" ref="AG442:AG453" si="117">IF(OR($D$415=0,$P$415=0),"",($W442+$X442*IF(ISNUMBER($F$466),$F$466,0))/$N430-1)</f>
        <v/>
      </c>
      <c r="AH442" s="183" t="str">
        <f t="shared" ref="AH442:AH453" si="118">IF(OR($AG442="",$F$415=0),"",(1+$E$415)/(1+$AG442)-1)</f>
        <v/>
      </c>
      <c r="AI442" s="220" t="str">
        <f t="shared" ref="AI442:AI453" si="119">IF($AH442="","",$O430*(1+$E$415)/(1+$AG442))</f>
        <v/>
      </c>
    </row>
    <row r="443" spans="1:35" x14ac:dyDescent="0.3">
      <c r="A443" s="187">
        <v>26</v>
      </c>
      <c r="B443" s="242">
        <f t="shared" si="109"/>
        <v>46419</v>
      </c>
      <c r="C443" s="243">
        <f t="shared" si="92"/>
        <v>46446</v>
      </c>
      <c r="D443" s="120">
        <f t="shared" si="93"/>
        <v>28</v>
      </c>
      <c r="E443" s="120">
        <f t="shared" si="94"/>
        <v>2</v>
      </c>
      <c r="F443" s="275">
        <f t="shared" si="95"/>
        <v>46433</v>
      </c>
      <c r="G443" s="120">
        <f t="shared" si="96"/>
        <v>24325</v>
      </c>
      <c r="H443" s="245">
        <f t="shared" si="97"/>
        <v>1</v>
      </c>
      <c r="I443" s="121">
        <f t="shared" si="98"/>
        <v>1.02</v>
      </c>
      <c r="J443" s="121">
        <f t="shared" si="99"/>
        <v>1.02</v>
      </c>
      <c r="K443" s="120">
        <f t="shared" si="100"/>
        <v>0</v>
      </c>
      <c r="L443" s="120">
        <f t="shared" si="101"/>
        <v>0</v>
      </c>
      <c r="M443" s="246">
        <f t="shared" si="102"/>
        <v>0</v>
      </c>
      <c r="N443" s="121">
        <f t="shared" si="103"/>
        <v>1.02</v>
      </c>
      <c r="O443" s="246">
        <f t="shared" si="104"/>
        <v>0.91</v>
      </c>
      <c r="P443" s="121">
        <f t="shared" si="105"/>
        <v>0</v>
      </c>
      <c r="Q443" s="121">
        <f t="shared" si="106"/>
        <v>1</v>
      </c>
      <c r="R443" s="121">
        <f t="shared" si="107"/>
        <v>0</v>
      </c>
      <c r="W443" s="160">
        <f t="shared" si="110"/>
        <v>1.02</v>
      </c>
      <c r="X443" s="160">
        <f t="shared" si="111"/>
        <v>0</v>
      </c>
      <c r="Y443" s="160">
        <f t="shared" si="112"/>
        <v>1</v>
      </c>
      <c r="AB443" s="160">
        <f t="shared" si="113"/>
        <v>0.29978118161925604</v>
      </c>
      <c r="AC443" s="220">
        <f t="shared" si="114"/>
        <v>0.637199124726477</v>
      </c>
      <c r="AD443" s="160">
        <f t="shared" si="115"/>
        <v>1.1208791208791209</v>
      </c>
      <c r="AE443" s="160">
        <f t="shared" si="108"/>
        <v>0.99021697019101107</v>
      </c>
      <c r="AF443" s="220">
        <f t="shared" si="116"/>
        <v>0</v>
      </c>
      <c r="AG443" s="183" t="str">
        <f t="shared" si="117"/>
        <v/>
      </c>
      <c r="AH443" s="183" t="str">
        <f t="shared" si="118"/>
        <v/>
      </c>
      <c r="AI443" s="220" t="str">
        <f t="shared" si="119"/>
        <v/>
      </c>
    </row>
    <row r="444" spans="1:35" x14ac:dyDescent="0.3">
      <c r="A444" s="187">
        <v>27</v>
      </c>
      <c r="B444" s="242">
        <f t="shared" si="109"/>
        <v>46447</v>
      </c>
      <c r="C444" s="243">
        <f t="shared" si="92"/>
        <v>46477</v>
      </c>
      <c r="D444" s="120">
        <f t="shared" si="93"/>
        <v>31</v>
      </c>
      <c r="E444" s="120">
        <f t="shared" si="94"/>
        <v>3</v>
      </c>
      <c r="F444" s="275">
        <f t="shared" si="95"/>
        <v>46462.5</v>
      </c>
      <c r="G444" s="120">
        <f t="shared" si="96"/>
        <v>24326</v>
      </c>
      <c r="H444" s="245">
        <f t="shared" si="97"/>
        <v>1</v>
      </c>
      <c r="I444" s="121">
        <f t="shared" si="98"/>
        <v>1.02</v>
      </c>
      <c r="J444" s="121">
        <f t="shared" si="99"/>
        <v>1.02</v>
      </c>
      <c r="K444" s="120">
        <f t="shared" si="100"/>
        <v>0</v>
      </c>
      <c r="L444" s="120">
        <f t="shared" si="101"/>
        <v>0</v>
      </c>
      <c r="M444" s="246">
        <f t="shared" si="102"/>
        <v>0</v>
      </c>
      <c r="N444" s="121">
        <f t="shared" si="103"/>
        <v>1.02</v>
      </c>
      <c r="O444" s="246">
        <f t="shared" si="104"/>
        <v>0.91</v>
      </c>
      <c r="P444" s="121">
        <f t="shared" si="105"/>
        <v>0</v>
      </c>
      <c r="Q444" s="121">
        <f t="shared" si="106"/>
        <v>1</v>
      </c>
      <c r="R444" s="121">
        <f t="shared" si="107"/>
        <v>0</v>
      </c>
      <c r="W444" s="160">
        <f t="shared" si="110"/>
        <v>1.02</v>
      </c>
      <c r="X444" s="160">
        <f t="shared" si="111"/>
        <v>0</v>
      </c>
      <c r="Y444" s="160">
        <f t="shared" si="112"/>
        <v>1</v>
      </c>
      <c r="AB444" s="160">
        <f t="shared" si="113"/>
        <v>0.36433260393873085</v>
      </c>
      <c r="AC444" s="220">
        <f t="shared" si="114"/>
        <v>0.57845733041575487</v>
      </c>
      <c r="AD444" s="160">
        <f t="shared" si="115"/>
        <v>1.1208791208791209</v>
      </c>
      <c r="AE444" s="160">
        <f t="shared" si="108"/>
        <v>0.98619117338828188</v>
      </c>
      <c r="AF444" s="220">
        <f t="shared" si="116"/>
        <v>0</v>
      </c>
      <c r="AG444" s="183" t="str">
        <f t="shared" si="117"/>
        <v/>
      </c>
      <c r="AH444" s="183" t="str">
        <f t="shared" si="118"/>
        <v/>
      </c>
      <c r="AI444" s="220" t="str">
        <f t="shared" si="119"/>
        <v/>
      </c>
    </row>
    <row r="445" spans="1:35" x14ac:dyDescent="0.3">
      <c r="A445" s="187">
        <v>28</v>
      </c>
      <c r="B445" s="242">
        <f t="shared" si="109"/>
        <v>46478</v>
      </c>
      <c r="C445" s="243">
        <f t="shared" si="92"/>
        <v>46507</v>
      </c>
      <c r="D445" s="120">
        <f t="shared" si="93"/>
        <v>30</v>
      </c>
      <c r="E445" s="120">
        <f t="shared" si="94"/>
        <v>4</v>
      </c>
      <c r="F445" s="275">
        <f t="shared" si="95"/>
        <v>46493</v>
      </c>
      <c r="G445" s="120">
        <f t="shared" si="96"/>
        <v>24327</v>
      </c>
      <c r="H445" s="245">
        <f t="shared" si="97"/>
        <v>1</v>
      </c>
      <c r="I445" s="121">
        <f t="shared" si="98"/>
        <v>1.02</v>
      </c>
      <c r="J445" s="121">
        <f t="shared" si="99"/>
        <v>1.02</v>
      </c>
      <c r="K445" s="120">
        <f t="shared" si="100"/>
        <v>0</v>
      </c>
      <c r="L445" s="120">
        <f t="shared" si="101"/>
        <v>0</v>
      </c>
      <c r="M445" s="246">
        <f t="shared" si="102"/>
        <v>0</v>
      </c>
      <c r="N445" s="121">
        <f t="shared" si="103"/>
        <v>1.02</v>
      </c>
      <c r="O445" s="246">
        <f t="shared" si="104"/>
        <v>0.91</v>
      </c>
      <c r="P445" s="121">
        <f t="shared" si="105"/>
        <v>0</v>
      </c>
      <c r="Q445" s="121">
        <f t="shared" si="106"/>
        <v>1</v>
      </c>
      <c r="R445" s="121">
        <f t="shared" si="107"/>
        <v>0</v>
      </c>
      <c r="W445" s="160">
        <f t="shared" si="110"/>
        <v>1.02</v>
      </c>
      <c r="X445" s="160">
        <f t="shared" si="111"/>
        <v>0</v>
      </c>
      <c r="Y445" s="160">
        <f t="shared" si="112"/>
        <v>1</v>
      </c>
      <c r="AB445" s="160">
        <f t="shared" si="113"/>
        <v>0.4310722100656455</v>
      </c>
      <c r="AC445" s="220">
        <f t="shared" si="114"/>
        <v>0.51772428884026267</v>
      </c>
      <c r="AD445" s="160">
        <f t="shared" si="115"/>
        <v>1.1208791208791209</v>
      </c>
      <c r="AE445" s="160">
        <f t="shared" si="108"/>
        <v>0.98202890889732486</v>
      </c>
      <c r="AF445" s="220">
        <f t="shared" si="116"/>
        <v>0</v>
      </c>
      <c r="AG445" s="183" t="str">
        <f t="shared" si="117"/>
        <v/>
      </c>
      <c r="AH445" s="183" t="str">
        <f t="shared" si="118"/>
        <v/>
      </c>
      <c r="AI445" s="220" t="str">
        <f t="shared" si="119"/>
        <v/>
      </c>
    </row>
    <row r="446" spans="1:35" x14ac:dyDescent="0.3">
      <c r="A446" s="187">
        <v>29</v>
      </c>
      <c r="B446" s="242">
        <f t="shared" si="109"/>
        <v>46508</v>
      </c>
      <c r="C446" s="243">
        <f t="shared" si="92"/>
        <v>46538</v>
      </c>
      <c r="D446" s="120">
        <f t="shared" si="93"/>
        <v>31</v>
      </c>
      <c r="E446" s="120">
        <f t="shared" si="94"/>
        <v>5</v>
      </c>
      <c r="F446" s="275">
        <f t="shared" si="95"/>
        <v>46523.5</v>
      </c>
      <c r="G446" s="120">
        <f t="shared" si="96"/>
        <v>24328</v>
      </c>
      <c r="H446" s="245">
        <f t="shared" si="97"/>
        <v>1</v>
      </c>
      <c r="I446" s="121">
        <f t="shared" si="98"/>
        <v>1.02</v>
      </c>
      <c r="J446" s="121">
        <f t="shared" si="99"/>
        <v>1.02</v>
      </c>
      <c r="K446" s="120">
        <f t="shared" si="100"/>
        <v>0</v>
      </c>
      <c r="L446" s="120">
        <f t="shared" si="101"/>
        <v>0</v>
      </c>
      <c r="M446" s="246">
        <f t="shared" si="102"/>
        <v>0</v>
      </c>
      <c r="N446" s="121">
        <f t="shared" si="103"/>
        <v>1.02</v>
      </c>
      <c r="O446" s="246">
        <f t="shared" si="104"/>
        <v>0.91</v>
      </c>
      <c r="P446" s="121">
        <f t="shared" si="105"/>
        <v>0</v>
      </c>
      <c r="Q446" s="121">
        <f t="shared" si="106"/>
        <v>1</v>
      </c>
      <c r="R446" s="121">
        <f t="shared" si="107"/>
        <v>0</v>
      </c>
      <c r="W446" s="160">
        <f t="shared" si="110"/>
        <v>1.02</v>
      </c>
      <c r="X446" s="160">
        <f t="shared" si="111"/>
        <v>0</v>
      </c>
      <c r="Y446" s="160">
        <f t="shared" si="112"/>
        <v>1</v>
      </c>
      <c r="AB446" s="160">
        <f t="shared" si="113"/>
        <v>0.49781181619256015</v>
      </c>
      <c r="AC446" s="220">
        <f t="shared" si="114"/>
        <v>0.45699124726477025</v>
      </c>
      <c r="AD446" s="160">
        <f t="shared" si="115"/>
        <v>1.1208791208791209</v>
      </c>
      <c r="AE446" s="160">
        <f t="shared" si="108"/>
        <v>0.97786664440636772</v>
      </c>
      <c r="AF446" s="220">
        <f t="shared" si="116"/>
        <v>0</v>
      </c>
      <c r="AG446" s="183" t="str">
        <f t="shared" si="117"/>
        <v/>
      </c>
      <c r="AH446" s="183" t="str">
        <f t="shared" si="118"/>
        <v/>
      </c>
      <c r="AI446" s="220" t="str">
        <f t="shared" si="119"/>
        <v/>
      </c>
    </row>
    <row r="447" spans="1:35" x14ac:dyDescent="0.3">
      <c r="A447" s="187">
        <v>30</v>
      </c>
      <c r="B447" s="242">
        <f t="shared" si="109"/>
        <v>46539</v>
      </c>
      <c r="C447" s="243">
        <f t="shared" si="92"/>
        <v>46568</v>
      </c>
      <c r="D447" s="120">
        <f t="shared" si="93"/>
        <v>30</v>
      </c>
      <c r="E447" s="120">
        <f t="shared" si="94"/>
        <v>6</v>
      </c>
      <c r="F447" s="275">
        <f t="shared" si="95"/>
        <v>46554</v>
      </c>
      <c r="G447" s="120">
        <f t="shared" si="96"/>
        <v>24329</v>
      </c>
      <c r="H447" s="245">
        <f t="shared" si="97"/>
        <v>1</v>
      </c>
      <c r="I447" s="121">
        <f t="shared" si="98"/>
        <v>1.02</v>
      </c>
      <c r="J447" s="121">
        <f t="shared" si="99"/>
        <v>1.02</v>
      </c>
      <c r="K447" s="120">
        <f t="shared" si="100"/>
        <v>0</v>
      </c>
      <c r="L447" s="120">
        <f t="shared" si="101"/>
        <v>0</v>
      </c>
      <c r="M447" s="246">
        <f t="shared" si="102"/>
        <v>0</v>
      </c>
      <c r="N447" s="121">
        <f t="shared" si="103"/>
        <v>1.02</v>
      </c>
      <c r="O447" s="246">
        <f t="shared" si="104"/>
        <v>0.91</v>
      </c>
      <c r="P447" s="121">
        <f t="shared" si="105"/>
        <v>0</v>
      </c>
      <c r="Q447" s="121">
        <f t="shared" si="106"/>
        <v>1</v>
      </c>
      <c r="R447" s="121">
        <f t="shared" si="107"/>
        <v>0</v>
      </c>
      <c r="W447" s="160">
        <f t="shared" si="110"/>
        <v>1.02</v>
      </c>
      <c r="X447" s="160">
        <f t="shared" si="111"/>
        <v>1.02</v>
      </c>
      <c r="Y447" s="160">
        <f t="shared" si="112"/>
        <v>1</v>
      </c>
      <c r="AB447" s="160">
        <f t="shared" si="113"/>
        <v>0.56455142231947486</v>
      </c>
      <c r="AC447" s="220">
        <f t="shared" si="114"/>
        <v>0.39625820568927789</v>
      </c>
      <c r="AD447" s="160">
        <f t="shared" si="115"/>
        <v>1.1657142857142857</v>
      </c>
      <c r="AE447" s="160">
        <f t="shared" si="108"/>
        <v>1.0126525551120269</v>
      </c>
      <c r="AF447" s="220">
        <f t="shared" si="116"/>
        <v>1</v>
      </c>
      <c r="AG447" s="183" t="str">
        <f t="shared" si="117"/>
        <v/>
      </c>
      <c r="AH447" s="183" t="str">
        <f t="shared" si="118"/>
        <v/>
      </c>
      <c r="AI447" s="220" t="str">
        <f t="shared" si="119"/>
        <v/>
      </c>
    </row>
    <row r="448" spans="1:35" x14ac:dyDescent="0.3">
      <c r="A448" s="187">
        <v>31</v>
      </c>
      <c r="B448" s="242">
        <f t="shared" si="109"/>
        <v>46569</v>
      </c>
      <c r="C448" s="243">
        <f t="shared" si="92"/>
        <v>46599</v>
      </c>
      <c r="D448" s="120">
        <f t="shared" si="93"/>
        <v>31</v>
      </c>
      <c r="E448" s="120">
        <f t="shared" si="94"/>
        <v>7</v>
      </c>
      <c r="F448" s="275">
        <f t="shared" si="95"/>
        <v>46584.5</v>
      </c>
      <c r="G448" s="120">
        <f t="shared" si="96"/>
        <v>24330</v>
      </c>
      <c r="H448" s="245">
        <f t="shared" si="97"/>
        <v>1</v>
      </c>
      <c r="I448" s="121">
        <f t="shared" si="98"/>
        <v>1.02</v>
      </c>
      <c r="J448" s="121">
        <f t="shared" si="99"/>
        <v>1.02</v>
      </c>
      <c r="K448" s="120">
        <f t="shared" si="100"/>
        <v>0</v>
      </c>
      <c r="L448" s="120">
        <f t="shared" si="101"/>
        <v>0</v>
      </c>
      <c r="M448" s="246">
        <f t="shared" si="102"/>
        <v>0</v>
      </c>
      <c r="N448" s="121">
        <f t="shared" si="103"/>
        <v>1.02</v>
      </c>
      <c r="O448" s="246">
        <f t="shared" si="104"/>
        <v>0.91</v>
      </c>
      <c r="P448" s="121">
        <f t="shared" si="105"/>
        <v>0</v>
      </c>
      <c r="Q448" s="121">
        <f t="shared" si="106"/>
        <v>0.91666666666666663</v>
      </c>
      <c r="R448" s="121">
        <f t="shared" si="107"/>
        <v>8.333333333333337E-2</v>
      </c>
      <c r="W448" s="160">
        <f t="shared" si="110"/>
        <v>1.02</v>
      </c>
      <c r="X448" s="160">
        <f t="shared" si="111"/>
        <v>1.02</v>
      </c>
      <c r="Y448" s="160">
        <f t="shared" si="112"/>
        <v>1</v>
      </c>
      <c r="AB448" s="160">
        <f t="shared" si="113"/>
        <v>0.63129102844638951</v>
      </c>
      <c r="AC448" s="220">
        <f t="shared" si="114"/>
        <v>0.33552516411378558</v>
      </c>
      <c r="AD448" s="160">
        <f t="shared" si="115"/>
        <v>1.1657142857142857</v>
      </c>
      <c r="AE448" s="160">
        <f t="shared" si="108"/>
        <v>1.0083238000414319</v>
      </c>
      <c r="AF448" s="220">
        <f t="shared" si="116"/>
        <v>1</v>
      </c>
      <c r="AG448" s="183" t="str">
        <f t="shared" si="117"/>
        <v/>
      </c>
      <c r="AH448" s="183" t="str">
        <f t="shared" si="118"/>
        <v/>
      </c>
      <c r="AI448" s="220" t="str">
        <f t="shared" si="119"/>
        <v/>
      </c>
    </row>
    <row r="449" spans="1:35" x14ac:dyDescent="0.3">
      <c r="A449" s="187">
        <v>32</v>
      </c>
      <c r="B449" s="242">
        <f t="shared" si="109"/>
        <v>46600</v>
      </c>
      <c r="C449" s="243">
        <f t="shared" si="92"/>
        <v>46630</v>
      </c>
      <c r="D449" s="120">
        <f t="shared" si="93"/>
        <v>31</v>
      </c>
      <c r="E449" s="120">
        <f t="shared" si="94"/>
        <v>8</v>
      </c>
      <c r="F449" s="275">
        <f t="shared" si="95"/>
        <v>46615.5</v>
      </c>
      <c r="G449" s="120">
        <f t="shared" si="96"/>
        <v>24331</v>
      </c>
      <c r="H449" s="245">
        <f t="shared" si="97"/>
        <v>1</v>
      </c>
      <c r="I449" s="121">
        <f t="shared" si="98"/>
        <v>1.02</v>
      </c>
      <c r="J449" s="121">
        <f t="shared" si="99"/>
        <v>1.02</v>
      </c>
      <c r="K449" s="120">
        <f t="shared" si="100"/>
        <v>0</v>
      </c>
      <c r="L449" s="120">
        <f t="shared" si="101"/>
        <v>0</v>
      </c>
      <c r="M449" s="246">
        <f t="shared" si="102"/>
        <v>0</v>
      </c>
      <c r="N449" s="121">
        <f t="shared" si="103"/>
        <v>1.02</v>
      </c>
      <c r="O449" s="246">
        <f t="shared" si="104"/>
        <v>0.91</v>
      </c>
      <c r="P449" s="121">
        <f t="shared" si="105"/>
        <v>0</v>
      </c>
      <c r="Q449" s="121">
        <f t="shared" si="106"/>
        <v>0.75</v>
      </c>
      <c r="R449" s="121">
        <f t="shared" si="107"/>
        <v>0.25</v>
      </c>
      <c r="W449" s="160">
        <f t="shared" si="110"/>
        <v>1.02</v>
      </c>
      <c r="X449" s="160">
        <f t="shared" si="111"/>
        <v>1.02</v>
      </c>
      <c r="Y449" s="160">
        <f t="shared" si="112"/>
        <v>1</v>
      </c>
      <c r="AB449" s="160">
        <f t="shared" si="113"/>
        <v>0.69912472647702406</v>
      </c>
      <c r="AC449" s="220">
        <f t="shared" si="114"/>
        <v>0.27379649890590813</v>
      </c>
      <c r="AD449" s="160">
        <f t="shared" si="115"/>
        <v>1.1657142857142857</v>
      </c>
      <c r="AE449" s="160">
        <f t="shared" si="108"/>
        <v>1.0039240817729576</v>
      </c>
      <c r="AF449" s="220">
        <f t="shared" si="116"/>
        <v>1</v>
      </c>
      <c r="AG449" s="183" t="str">
        <f t="shared" si="117"/>
        <v/>
      </c>
      <c r="AH449" s="183" t="str">
        <f t="shared" si="118"/>
        <v/>
      </c>
      <c r="AI449" s="220" t="str">
        <f t="shared" si="119"/>
        <v/>
      </c>
    </row>
    <row r="450" spans="1:35" x14ac:dyDescent="0.3">
      <c r="A450" s="187">
        <v>33</v>
      </c>
      <c r="B450" s="242">
        <f t="shared" si="109"/>
        <v>46631</v>
      </c>
      <c r="C450" s="243">
        <f t="shared" si="92"/>
        <v>46660</v>
      </c>
      <c r="D450" s="120">
        <f t="shared" si="93"/>
        <v>30</v>
      </c>
      <c r="E450" s="120">
        <f t="shared" si="94"/>
        <v>9</v>
      </c>
      <c r="F450" s="275">
        <f t="shared" si="95"/>
        <v>46646</v>
      </c>
      <c r="G450" s="120">
        <f t="shared" si="96"/>
        <v>24332</v>
      </c>
      <c r="H450" s="245">
        <f t="shared" si="97"/>
        <v>1</v>
      </c>
      <c r="I450" s="121">
        <f t="shared" si="98"/>
        <v>1.02</v>
      </c>
      <c r="J450" s="121">
        <f t="shared" si="99"/>
        <v>1.02</v>
      </c>
      <c r="K450" s="120">
        <f t="shared" si="100"/>
        <v>0</v>
      </c>
      <c r="L450" s="120">
        <f t="shared" si="101"/>
        <v>0</v>
      </c>
      <c r="M450" s="246">
        <f t="shared" si="102"/>
        <v>0</v>
      </c>
      <c r="N450" s="121">
        <f t="shared" si="103"/>
        <v>1.02</v>
      </c>
      <c r="O450" s="246">
        <f t="shared" si="104"/>
        <v>0.91</v>
      </c>
      <c r="P450" s="121">
        <f t="shared" si="105"/>
        <v>0</v>
      </c>
      <c r="Q450" s="121">
        <f t="shared" si="106"/>
        <v>0.58333333333333337</v>
      </c>
      <c r="R450" s="121">
        <f t="shared" si="107"/>
        <v>0.41666666666666663</v>
      </c>
      <c r="W450" s="160">
        <f t="shared" si="110"/>
        <v>1.02</v>
      </c>
      <c r="X450" s="160">
        <f t="shared" si="111"/>
        <v>1.02</v>
      </c>
      <c r="Y450" s="160">
        <f t="shared" si="112"/>
        <v>1</v>
      </c>
      <c r="AB450" s="160">
        <f t="shared" si="113"/>
        <v>0.76586433260393871</v>
      </c>
      <c r="AC450" s="220">
        <f t="shared" si="114"/>
        <v>0.21306345733041579</v>
      </c>
      <c r="AD450" s="160">
        <f t="shared" si="115"/>
        <v>1.1657142857142857</v>
      </c>
      <c r="AE450" s="160">
        <f t="shared" si="108"/>
        <v>0.99959532670236229</v>
      </c>
      <c r="AF450" s="220">
        <f t="shared" si="116"/>
        <v>1</v>
      </c>
      <c r="AG450" s="183" t="str">
        <f t="shared" si="117"/>
        <v/>
      </c>
      <c r="AH450" s="183" t="str">
        <f t="shared" si="118"/>
        <v/>
      </c>
      <c r="AI450" s="220" t="str">
        <f t="shared" si="119"/>
        <v/>
      </c>
    </row>
    <row r="451" spans="1:35" x14ac:dyDescent="0.3">
      <c r="A451" s="187">
        <v>34</v>
      </c>
      <c r="B451" s="242">
        <f t="shared" si="109"/>
        <v>46661</v>
      </c>
      <c r="C451" s="243">
        <f t="shared" si="92"/>
        <v>46691</v>
      </c>
      <c r="D451" s="120">
        <f t="shared" si="93"/>
        <v>31</v>
      </c>
      <c r="E451" s="120">
        <f t="shared" si="94"/>
        <v>10</v>
      </c>
      <c r="F451" s="275">
        <f t="shared" si="95"/>
        <v>46676.5</v>
      </c>
      <c r="G451" s="120">
        <f t="shared" si="96"/>
        <v>24333</v>
      </c>
      <c r="H451" s="245">
        <f t="shared" si="97"/>
        <v>1</v>
      </c>
      <c r="I451" s="121">
        <f t="shared" si="98"/>
        <v>1.02</v>
      </c>
      <c r="J451" s="121">
        <f t="shared" si="99"/>
        <v>1.02</v>
      </c>
      <c r="K451" s="120">
        <f t="shared" si="100"/>
        <v>0</v>
      </c>
      <c r="L451" s="120">
        <f t="shared" si="101"/>
        <v>0</v>
      </c>
      <c r="M451" s="246">
        <f t="shared" si="102"/>
        <v>0</v>
      </c>
      <c r="N451" s="121">
        <f t="shared" si="103"/>
        <v>1.02</v>
      </c>
      <c r="O451" s="246">
        <f t="shared" si="104"/>
        <v>0.91</v>
      </c>
      <c r="P451" s="121">
        <f t="shared" si="105"/>
        <v>0</v>
      </c>
      <c r="Q451" s="121">
        <f t="shared" si="106"/>
        <v>0.41666666666666669</v>
      </c>
      <c r="R451" s="121">
        <f t="shared" si="107"/>
        <v>0.58333333333333326</v>
      </c>
      <c r="W451" s="160">
        <f t="shared" si="110"/>
        <v>1.02</v>
      </c>
      <c r="X451" s="160">
        <f t="shared" si="111"/>
        <v>1.02</v>
      </c>
      <c r="Y451" s="160">
        <f t="shared" si="112"/>
        <v>1</v>
      </c>
      <c r="AB451" s="160">
        <f t="shared" si="113"/>
        <v>0.83260393873085337</v>
      </c>
      <c r="AC451" s="220">
        <f t="shared" si="114"/>
        <v>0.15233041575492345</v>
      </c>
      <c r="AD451" s="160">
        <f t="shared" si="115"/>
        <v>1.1428571428571428</v>
      </c>
      <c r="AE451" s="160">
        <f t="shared" si="108"/>
        <v>0.99526657163176702</v>
      </c>
      <c r="AF451" s="220">
        <f t="shared" si="116"/>
        <v>1</v>
      </c>
      <c r="AG451" s="183" t="str">
        <f t="shared" si="117"/>
        <v/>
      </c>
      <c r="AH451" s="183" t="str">
        <f t="shared" si="118"/>
        <v/>
      </c>
      <c r="AI451" s="220" t="str">
        <f t="shared" si="119"/>
        <v/>
      </c>
    </row>
    <row r="452" spans="1:35" x14ac:dyDescent="0.3">
      <c r="A452" s="187">
        <v>35</v>
      </c>
      <c r="B452" s="242">
        <f t="shared" si="109"/>
        <v>46692</v>
      </c>
      <c r="C452" s="243">
        <f t="shared" si="92"/>
        <v>46721</v>
      </c>
      <c r="D452" s="120">
        <f t="shared" si="93"/>
        <v>30</v>
      </c>
      <c r="E452" s="120">
        <f t="shared" si="94"/>
        <v>11</v>
      </c>
      <c r="F452" s="275">
        <f t="shared" si="95"/>
        <v>46707</v>
      </c>
      <c r="G452" s="120">
        <f t="shared" si="96"/>
        <v>24334</v>
      </c>
      <c r="H452" s="245">
        <f t="shared" si="97"/>
        <v>1</v>
      </c>
      <c r="I452" s="121">
        <f t="shared" si="98"/>
        <v>1.02</v>
      </c>
      <c r="J452" s="121">
        <f t="shared" si="99"/>
        <v>1.02</v>
      </c>
      <c r="K452" s="120">
        <f t="shared" si="100"/>
        <v>0</v>
      </c>
      <c r="L452" s="120">
        <f t="shared" si="101"/>
        <v>0</v>
      </c>
      <c r="M452" s="246">
        <f t="shared" si="102"/>
        <v>0</v>
      </c>
      <c r="N452" s="121">
        <f t="shared" si="103"/>
        <v>1.02</v>
      </c>
      <c r="O452" s="246">
        <f t="shared" si="104"/>
        <v>0.91</v>
      </c>
      <c r="P452" s="121">
        <f t="shared" si="105"/>
        <v>0</v>
      </c>
      <c r="Q452" s="121">
        <f t="shared" si="106"/>
        <v>0.25</v>
      </c>
      <c r="R452" s="121">
        <f t="shared" si="107"/>
        <v>0.75</v>
      </c>
      <c r="W452" s="160">
        <f t="shared" si="110"/>
        <v>1.02</v>
      </c>
      <c r="X452" s="160">
        <f t="shared" si="111"/>
        <v>1.02</v>
      </c>
      <c r="Y452" s="160">
        <f t="shared" si="112"/>
        <v>1</v>
      </c>
      <c r="AB452" s="160">
        <f t="shared" si="113"/>
        <v>0.89934354485776802</v>
      </c>
      <c r="AC452" s="220">
        <f t="shared" si="114"/>
        <v>9.1597374179431104E-2</v>
      </c>
      <c r="AD452" s="160">
        <f t="shared" si="115"/>
        <v>1.1428571428571428</v>
      </c>
      <c r="AE452" s="160">
        <f t="shared" si="108"/>
        <v>0.99093781656117164</v>
      </c>
      <c r="AF452" s="220">
        <f t="shared" si="116"/>
        <v>1</v>
      </c>
      <c r="AG452" s="183" t="str">
        <f t="shared" si="117"/>
        <v/>
      </c>
      <c r="AH452" s="183" t="str">
        <f t="shared" si="118"/>
        <v/>
      </c>
      <c r="AI452" s="220" t="str">
        <f t="shared" si="119"/>
        <v/>
      </c>
    </row>
    <row r="453" spans="1:35" x14ac:dyDescent="0.3">
      <c r="A453" s="187">
        <v>36</v>
      </c>
      <c r="B453" s="242">
        <f t="shared" si="109"/>
        <v>46722</v>
      </c>
      <c r="C453" s="243">
        <f t="shared" si="92"/>
        <v>46752</v>
      </c>
      <c r="D453" s="120">
        <f t="shared" si="93"/>
        <v>31</v>
      </c>
      <c r="E453" s="120">
        <f t="shared" si="94"/>
        <v>12</v>
      </c>
      <c r="F453" s="275">
        <f t="shared" si="95"/>
        <v>46737.5</v>
      </c>
      <c r="G453" s="120">
        <f t="shared" si="96"/>
        <v>24335</v>
      </c>
      <c r="H453" s="245">
        <f t="shared" si="97"/>
        <v>1</v>
      </c>
      <c r="I453" s="121">
        <f t="shared" si="98"/>
        <v>1.02</v>
      </c>
      <c r="J453" s="121">
        <f t="shared" si="99"/>
        <v>1.02</v>
      </c>
      <c r="K453" s="120">
        <f t="shared" si="100"/>
        <v>0</v>
      </c>
      <c r="L453" s="120">
        <f t="shared" si="101"/>
        <v>0</v>
      </c>
      <c r="M453" s="246">
        <f t="shared" si="102"/>
        <v>0</v>
      </c>
      <c r="N453" s="121">
        <f t="shared" si="103"/>
        <v>1.02</v>
      </c>
      <c r="O453" s="246">
        <f t="shared" si="104"/>
        <v>0.91</v>
      </c>
      <c r="P453" s="121">
        <f t="shared" si="105"/>
        <v>0</v>
      </c>
      <c r="Q453" s="121">
        <f t="shared" si="106"/>
        <v>8.3333333333333329E-2</v>
      </c>
      <c r="R453" s="121">
        <f t="shared" si="107"/>
        <v>0.91666666666666663</v>
      </c>
      <c r="W453" s="160">
        <f t="shared" si="110"/>
        <v>1.02</v>
      </c>
      <c r="X453" s="160">
        <f t="shared" si="111"/>
        <v>1.02</v>
      </c>
      <c r="Y453" s="160">
        <f t="shared" si="112"/>
        <v>1</v>
      </c>
      <c r="AB453" s="160">
        <f t="shared" si="113"/>
        <v>0.96608315098468267</v>
      </c>
      <c r="AC453" s="220">
        <f t="shared" si="114"/>
        <v>3.0864332603938772E-2</v>
      </c>
      <c r="AD453" s="160">
        <f t="shared" si="115"/>
        <v>1.1428571428571428</v>
      </c>
      <c r="AE453" s="160">
        <f t="shared" si="108"/>
        <v>0.98660906149057603</v>
      </c>
      <c r="AF453" s="220">
        <f t="shared" si="116"/>
        <v>1</v>
      </c>
      <c r="AG453" s="183" t="str">
        <f t="shared" si="117"/>
        <v/>
      </c>
      <c r="AH453" s="183" t="str">
        <f t="shared" si="118"/>
        <v/>
      </c>
      <c r="AI453" s="220" t="str">
        <f t="shared" si="119"/>
        <v/>
      </c>
    </row>
    <row r="454" spans="1:35" x14ac:dyDescent="0.3">
      <c r="A454" s="187">
        <v>37</v>
      </c>
      <c r="B454" s="242">
        <f t="shared" si="109"/>
        <v>46753</v>
      </c>
      <c r="C454" s="243">
        <f t="shared" si="92"/>
        <v>46783</v>
      </c>
      <c r="D454" s="120">
        <f t="shared" si="93"/>
        <v>31</v>
      </c>
      <c r="E454" s="120">
        <f t="shared" si="94"/>
        <v>1</v>
      </c>
      <c r="F454" s="275">
        <f t="shared" si="95"/>
        <v>46768.5</v>
      </c>
      <c r="G454" s="120">
        <f t="shared" si="96"/>
        <v>24336</v>
      </c>
      <c r="H454" s="245">
        <f t="shared" si="97"/>
        <v>1</v>
      </c>
      <c r="I454" s="121">
        <f t="shared" si="98"/>
        <v>1.02</v>
      </c>
      <c r="J454" s="121">
        <f t="shared" si="99"/>
        <v>1.02</v>
      </c>
      <c r="K454" s="120">
        <f t="shared" si="100"/>
        <v>0</v>
      </c>
      <c r="L454" s="120">
        <f t="shared" si="101"/>
        <v>0</v>
      </c>
      <c r="M454" s="246">
        <f t="shared" si="102"/>
        <v>0</v>
      </c>
      <c r="N454" s="121">
        <f t="shared" si="103"/>
        <v>1.02</v>
      </c>
      <c r="O454" s="246">
        <f t="shared" si="104"/>
        <v>0.91</v>
      </c>
      <c r="P454" s="121">
        <f t="shared" si="105"/>
        <v>0</v>
      </c>
      <c r="Q454" s="121">
        <f t="shared" si="106"/>
        <v>0</v>
      </c>
      <c r="R454" s="121">
        <f t="shared" si="107"/>
        <v>1</v>
      </c>
      <c r="AE454" s="160">
        <f t="shared" si="108"/>
        <v>1.0089130434782609</v>
      </c>
    </row>
    <row r="455" spans="1:35" x14ac:dyDescent="0.3">
      <c r="A455" s="187">
        <v>38</v>
      </c>
      <c r="B455" s="242">
        <f t="shared" si="109"/>
        <v>46784</v>
      </c>
      <c r="C455" s="243">
        <f t="shared" si="92"/>
        <v>46812</v>
      </c>
      <c r="D455" s="120">
        <f t="shared" si="93"/>
        <v>29</v>
      </c>
      <c r="E455" s="120">
        <f t="shared" si="94"/>
        <v>2</v>
      </c>
      <c r="F455" s="275">
        <f t="shared" si="95"/>
        <v>46798.5</v>
      </c>
      <c r="G455" s="120">
        <f t="shared" si="96"/>
        <v>24337</v>
      </c>
      <c r="H455" s="245">
        <f t="shared" si="97"/>
        <v>1</v>
      </c>
      <c r="I455" s="121">
        <f t="shared" si="98"/>
        <v>1.02</v>
      </c>
      <c r="J455" s="121">
        <f t="shared" si="99"/>
        <v>1.02</v>
      </c>
      <c r="K455" s="120">
        <f t="shared" si="100"/>
        <v>0</v>
      </c>
      <c r="L455" s="120">
        <f t="shared" si="101"/>
        <v>0</v>
      </c>
      <c r="M455" s="246">
        <f t="shared" si="102"/>
        <v>0</v>
      </c>
      <c r="N455" s="121">
        <f t="shared" si="103"/>
        <v>1.02</v>
      </c>
      <c r="O455" s="246">
        <f t="shared" si="104"/>
        <v>0.91</v>
      </c>
      <c r="P455" s="121">
        <f t="shared" si="105"/>
        <v>0</v>
      </c>
      <c r="Q455" s="121">
        <f t="shared" si="106"/>
        <v>0</v>
      </c>
      <c r="R455" s="121">
        <f t="shared" si="107"/>
        <v>1</v>
      </c>
      <c r="AE455" s="160">
        <f t="shared" si="108"/>
        <v>1.0089130434782609</v>
      </c>
    </row>
    <row r="456" spans="1:35" x14ac:dyDescent="0.3">
      <c r="A456" s="187">
        <v>39</v>
      </c>
      <c r="B456" s="242">
        <f t="shared" si="109"/>
        <v>46813</v>
      </c>
      <c r="C456" s="243">
        <f t="shared" si="92"/>
        <v>46843</v>
      </c>
      <c r="D456" s="120">
        <f t="shared" si="93"/>
        <v>31</v>
      </c>
      <c r="E456" s="120">
        <f t="shared" si="94"/>
        <v>3</v>
      </c>
      <c r="F456" s="275">
        <f t="shared" si="95"/>
        <v>46828.5</v>
      </c>
      <c r="G456" s="120">
        <f t="shared" si="96"/>
        <v>24338</v>
      </c>
      <c r="H456" s="245">
        <f t="shared" si="97"/>
        <v>1</v>
      </c>
      <c r="I456" s="121">
        <f t="shared" si="98"/>
        <v>1.02</v>
      </c>
      <c r="J456" s="121">
        <f t="shared" si="99"/>
        <v>1.02</v>
      </c>
      <c r="K456" s="120">
        <f t="shared" si="100"/>
        <v>0</v>
      </c>
      <c r="L456" s="120">
        <f t="shared" si="101"/>
        <v>0</v>
      </c>
      <c r="M456" s="246">
        <f t="shared" si="102"/>
        <v>0</v>
      </c>
      <c r="N456" s="121">
        <f t="shared" si="103"/>
        <v>1.02</v>
      </c>
      <c r="O456" s="246">
        <f t="shared" si="104"/>
        <v>0.91</v>
      </c>
      <c r="P456" s="121">
        <f t="shared" si="105"/>
        <v>0</v>
      </c>
      <c r="Q456" s="121">
        <f t="shared" si="106"/>
        <v>0</v>
      </c>
      <c r="R456" s="121">
        <f t="shared" si="107"/>
        <v>1</v>
      </c>
      <c r="AE456" s="160">
        <f t="shared" si="108"/>
        <v>1.0089130434782609</v>
      </c>
    </row>
    <row r="457" spans="1:35" x14ac:dyDescent="0.3">
      <c r="A457" s="187">
        <v>40</v>
      </c>
      <c r="B457" s="242">
        <f t="shared" si="109"/>
        <v>46844</v>
      </c>
      <c r="C457" s="243">
        <f t="shared" si="92"/>
        <v>46873</v>
      </c>
      <c r="D457" s="120">
        <f t="shared" si="93"/>
        <v>30</v>
      </c>
      <c r="E457" s="120">
        <f t="shared" si="94"/>
        <v>4</v>
      </c>
      <c r="F457" s="275">
        <f t="shared" si="95"/>
        <v>46859</v>
      </c>
      <c r="G457" s="120">
        <f t="shared" si="96"/>
        <v>24339</v>
      </c>
      <c r="H457" s="245">
        <f t="shared" si="97"/>
        <v>1</v>
      </c>
      <c r="I457" s="121">
        <f t="shared" si="98"/>
        <v>1.02</v>
      </c>
      <c r="J457" s="121">
        <f t="shared" si="99"/>
        <v>1.02</v>
      </c>
      <c r="K457" s="120">
        <f t="shared" si="100"/>
        <v>0</v>
      </c>
      <c r="L457" s="120">
        <f t="shared" si="101"/>
        <v>0</v>
      </c>
      <c r="M457" s="246">
        <f t="shared" si="102"/>
        <v>0</v>
      </c>
      <c r="N457" s="121">
        <f t="shared" si="103"/>
        <v>1.02</v>
      </c>
      <c r="O457" s="246">
        <f t="shared" si="104"/>
        <v>0.91</v>
      </c>
      <c r="P457" s="121">
        <f t="shared" si="105"/>
        <v>0</v>
      </c>
      <c r="Q457" s="121">
        <f t="shared" si="106"/>
        <v>0</v>
      </c>
      <c r="R457" s="121">
        <f t="shared" si="107"/>
        <v>1</v>
      </c>
      <c r="AE457" s="160">
        <f t="shared" si="108"/>
        <v>1.0089130434782609</v>
      </c>
    </row>
    <row r="458" spans="1:35" x14ac:dyDescent="0.3">
      <c r="A458" s="187">
        <v>41</v>
      </c>
      <c r="B458" s="242">
        <f t="shared" si="109"/>
        <v>46874</v>
      </c>
      <c r="C458" s="243">
        <f t="shared" si="92"/>
        <v>46904</v>
      </c>
      <c r="D458" s="120">
        <f t="shared" si="93"/>
        <v>31</v>
      </c>
      <c r="E458" s="120">
        <f t="shared" si="94"/>
        <v>5</v>
      </c>
      <c r="F458" s="275">
        <f t="shared" si="95"/>
        <v>46889.5</v>
      </c>
      <c r="G458" s="120">
        <f t="shared" si="96"/>
        <v>24340</v>
      </c>
      <c r="H458" s="245">
        <f t="shared" si="97"/>
        <v>1</v>
      </c>
      <c r="I458" s="121">
        <f t="shared" si="98"/>
        <v>1.02</v>
      </c>
      <c r="J458" s="121">
        <f t="shared" si="99"/>
        <v>1.02</v>
      </c>
      <c r="K458" s="120">
        <f t="shared" si="100"/>
        <v>0</v>
      </c>
      <c r="L458" s="120">
        <f t="shared" si="101"/>
        <v>0</v>
      </c>
      <c r="M458" s="246">
        <f t="shared" si="102"/>
        <v>0</v>
      </c>
      <c r="N458" s="121">
        <f t="shared" si="103"/>
        <v>1.02</v>
      </c>
      <c r="O458" s="246">
        <f t="shared" si="104"/>
        <v>0.91</v>
      </c>
      <c r="P458" s="121">
        <f t="shared" si="105"/>
        <v>0</v>
      </c>
      <c r="Q458" s="121">
        <f t="shared" si="106"/>
        <v>0</v>
      </c>
      <c r="R458" s="121">
        <f t="shared" si="107"/>
        <v>1</v>
      </c>
      <c r="AE458" s="160">
        <f t="shared" si="108"/>
        <v>1.0089130434782609</v>
      </c>
    </row>
    <row r="459" spans="1:35" x14ac:dyDescent="0.3">
      <c r="A459" s="187">
        <v>42</v>
      </c>
      <c r="B459" s="242">
        <f t="shared" si="109"/>
        <v>46905</v>
      </c>
      <c r="C459" s="243">
        <f t="shared" si="92"/>
        <v>46934</v>
      </c>
      <c r="D459" s="120">
        <f t="shared" si="93"/>
        <v>30</v>
      </c>
      <c r="E459" s="120">
        <f t="shared" si="94"/>
        <v>6</v>
      </c>
      <c r="F459" s="275">
        <f t="shared" si="95"/>
        <v>46920</v>
      </c>
      <c r="G459" s="120">
        <f t="shared" si="96"/>
        <v>24341</v>
      </c>
      <c r="H459" s="245">
        <f t="shared" si="97"/>
        <v>1</v>
      </c>
      <c r="I459" s="121">
        <f t="shared" si="98"/>
        <v>1.02</v>
      </c>
      <c r="J459" s="121">
        <f t="shared" si="99"/>
        <v>1.02</v>
      </c>
      <c r="K459" s="120">
        <f t="shared" si="100"/>
        <v>0</v>
      </c>
      <c r="L459" s="120">
        <f t="shared" si="101"/>
        <v>0</v>
      </c>
      <c r="M459" s="246">
        <f t="shared" si="102"/>
        <v>0</v>
      </c>
      <c r="N459" s="121">
        <f t="shared" si="103"/>
        <v>1.02</v>
      </c>
      <c r="O459" s="246">
        <f t="shared" si="104"/>
        <v>0.91</v>
      </c>
      <c r="P459" s="121">
        <f t="shared" si="105"/>
        <v>0</v>
      </c>
      <c r="Q459" s="121">
        <f t="shared" si="106"/>
        <v>0</v>
      </c>
      <c r="R459" s="121">
        <f t="shared" si="107"/>
        <v>1</v>
      </c>
      <c r="AE459" s="160">
        <f t="shared" si="108"/>
        <v>1.0089130434782609</v>
      </c>
    </row>
    <row r="460" spans="1:35" x14ac:dyDescent="0.3">
      <c r="A460" s="187">
        <v>43</v>
      </c>
      <c r="B460" s="242">
        <f t="shared" si="109"/>
        <v>46935</v>
      </c>
      <c r="C460" s="243">
        <f t="shared" si="92"/>
        <v>46965</v>
      </c>
      <c r="D460" s="120">
        <f t="shared" si="93"/>
        <v>31</v>
      </c>
      <c r="E460" s="120">
        <f t="shared" si="94"/>
        <v>7</v>
      </c>
      <c r="F460" s="275">
        <f t="shared" si="95"/>
        <v>46950.5</v>
      </c>
      <c r="G460" s="120">
        <f t="shared" si="96"/>
        <v>24342</v>
      </c>
      <c r="H460" s="245">
        <f t="shared" si="97"/>
        <v>1</v>
      </c>
      <c r="I460" s="121">
        <f t="shared" si="98"/>
        <v>1.02</v>
      </c>
      <c r="J460" s="121">
        <f t="shared" si="99"/>
        <v>1.02</v>
      </c>
      <c r="K460" s="120">
        <f t="shared" si="100"/>
        <v>0</v>
      </c>
      <c r="L460" s="120">
        <f t="shared" si="101"/>
        <v>0</v>
      </c>
      <c r="M460" s="246">
        <f t="shared" si="102"/>
        <v>0</v>
      </c>
      <c r="N460" s="121">
        <f t="shared" si="103"/>
        <v>1.02</v>
      </c>
      <c r="O460" s="246">
        <f t="shared" si="104"/>
        <v>0.91</v>
      </c>
      <c r="P460" s="121">
        <f t="shared" si="105"/>
        <v>0</v>
      </c>
      <c r="Q460" s="121">
        <f t="shared" si="106"/>
        <v>0</v>
      </c>
      <c r="R460" s="121">
        <f t="shared" si="107"/>
        <v>0.91666666666666663</v>
      </c>
      <c r="AE460" s="160">
        <f t="shared" si="108"/>
        <v>1.0089130434782609</v>
      </c>
    </row>
    <row r="461" spans="1:35" x14ac:dyDescent="0.3">
      <c r="A461" s="187">
        <v>44</v>
      </c>
      <c r="B461" s="242">
        <f t="shared" si="109"/>
        <v>46966</v>
      </c>
      <c r="C461" s="243">
        <f t="shared" si="92"/>
        <v>46996</v>
      </c>
      <c r="D461" s="120">
        <f t="shared" si="93"/>
        <v>31</v>
      </c>
      <c r="E461" s="120">
        <f t="shared" si="94"/>
        <v>8</v>
      </c>
      <c r="F461" s="275">
        <f t="shared" si="95"/>
        <v>46981.5</v>
      </c>
      <c r="G461" s="120">
        <f t="shared" si="96"/>
        <v>24343</v>
      </c>
      <c r="H461" s="245">
        <f t="shared" si="97"/>
        <v>1</v>
      </c>
      <c r="I461" s="121">
        <f t="shared" si="98"/>
        <v>1.02</v>
      </c>
      <c r="J461" s="121">
        <f t="shared" si="99"/>
        <v>1.02</v>
      </c>
      <c r="K461" s="120">
        <f t="shared" si="100"/>
        <v>0</v>
      </c>
      <c r="L461" s="120">
        <f t="shared" si="101"/>
        <v>0</v>
      </c>
      <c r="M461" s="246">
        <f t="shared" si="102"/>
        <v>0</v>
      </c>
      <c r="N461" s="121">
        <f t="shared" si="103"/>
        <v>1.02</v>
      </c>
      <c r="O461" s="246">
        <f t="shared" si="104"/>
        <v>0.91</v>
      </c>
      <c r="P461" s="121">
        <f t="shared" si="105"/>
        <v>0</v>
      </c>
      <c r="Q461" s="121">
        <f t="shared" si="106"/>
        <v>0</v>
      </c>
      <c r="R461" s="121">
        <f t="shared" si="107"/>
        <v>0.75</v>
      </c>
      <c r="AE461" s="160">
        <f t="shared" si="108"/>
        <v>1.0089130434782609</v>
      </c>
    </row>
    <row r="462" spans="1:35" x14ac:dyDescent="0.3">
      <c r="A462" s="187">
        <v>45</v>
      </c>
      <c r="B462" s="242">
        <f t="shared" si="109"/>
        <v>46997</v>
      </c>
      <c r="C462" s="243">
        <f t="shared" si="92"/>
        <v>47026</v>
      </c>
      <c r="D462" s="120">
        <f t="shared" si="93"/>
        <v>30</v>
      </c>
      <c r="E462" s="120">
        <f t="shared" si="94"/>
        <v>9</v>
      </c>
      <c r="F462" s="275">
        <f t="shared" si="95"/>
        <v>47012</v>
      </c>
      <c r="G462" s="120">
        <f t="shared" si="96"/>
        <v>24344</v>
      </c>
      <c r="H462" s="245">
        <f t="shared" si="97"/>
        <v>1</v>
      </c>
      <c r="I462" s="121">
        <f t="shared" si="98"/>
        <v>1.02</v>
      </c>
      <c r="J462" s="121">
        <f t="shared" si="99"/>
        <v>1.02</v>
      </c>
      <c r="K462" s="120">
        <f t="shared" si="100"/>
        <v>0</v>
      </c>
      <c r="L462" s="120">
        <f t="shared" si="101"/>
        <v>0</v>
      </c>
      <c r="M462" s="246">
        <f t="shared" si="102"/>
        <v>0</v>
      </c>
      <c r="N462" s="121">
        <f t="shared" si="103"/>
        <v>1.02</v>
      </c>
      <c r="O462" s="246">
        <f t="shared" si="104"/>
        <v>0.91</v>
      </c>
      <c r="P462" s="121">
        <f t="shared" si="105"/>
        <v>0</v>
      </c>
      <c r="Q462" s="121">
        <f t="shared" si="106"/>
        <v>0</v>
      </c>
      <c r="R462" s="121">
        <f t="shared" si="107"/>
        <v>0.58333333333333337</v>
      </c>
      <c r="AE462" s="160">
        <f t="shared" si="108"/>
        <v>1.0089130434782609</v>
      </c>
    </row>
    <row r="463" spans="1:35" x14ac:dyDescent="0.3">
      <c r="A463" s="187">
        <v>46</v>
      </c>
      <c r="B463" s="242">
        <f t="shared" si="109"/>
        <v>47027</v>
      </c>
      <c r="C463" s="243">
        <f t="shared" si="92"/>
        <v>47057</v>
      </c>
      <c r="D463" s="120">
        <f t="shared" si="93"/>
        <v>31</v>
      </c>
      <c r="E463" s="120">
        <f t="shared" si="94"/>
        <v>10</v>
      </c>
      <c r="F463" s="275">
        <f t="shared" si="95"/>
        <v>47042.5</v>
      </c>
      <c r="G463" s="120">
        <f t="shared" si="96"/>
        <v>24345</v>
      </c>
      <c r="H463" s="245">
        <f t="shared" si="97"/>
        <v>1</v>
      </c>
      <c r="I463" s="121">
        <f t="shared" si="98"/>
        <v>1.02</v>
      </c>
      <c r="J463" s="121">
        <f t="shared" si="99"/>
        <v>1.02</v>
      </c>
      <c r="K463" s="120">
        <f t="shared" si="100"/>
        <v>0</v>
      </c>
      <c r="L463" s="120">
        <f t="shared" si="101"/>
        <v>0</v>
      </c>
      <c r="M463" s="246">
        <f t="shared" si="102"/>
        <v>0</v>
      </c>
      <c r="N463" s="121">
        <f t="shared" si="103"/>
        <v>1.02</v>
      </c>
      <c r="O463" s="246">
        <f t="shared" si="104"/>
        <v>0.91</v>
      </c>
      <c r="P463" s="121">
        <f t="shared" si="105"/>
        <v>0</v>
      </c>
      <c r="Q463" s="121">
        <f t="shared" si="106"/>
        <v>0</v>
      </c>
      <c r="R463" s="121">
        <f t="shared" si="107"/>
        <v>0.41666666666666669</v>
      </c>
      <c r="AE463" s="160">
        <f t="shared" si="108"/>
        <v>1.0089130434782609</v>
      </c>
    </row>
    <row r="464" spans="1:35" x14ac:dyDescent="0.3">
      <c r="A464" s="187">
        <v>47</v>
      </c>
      <c r="B464" s="242">
        <f t="shared" si="109"/>
        <v>47058</v>
      </c>
      <c r="C464" s="243">
        <f t="shared" si="92"/>
        <v>47087</v>
      </c>
      <c r="D464" s="120">
        <f t="shared" si="93"/>
        <v>30</v>
      </c>
      <c r="E464" s="120">
        <f t="shared" si="94"/>
        <v>11</v>
      </c>
      <c r="F464" s="275">
        <f t="shared" si="95"/>
        <v>47073</v>
      </c>
      <c r="G464" s="120">
        <f t="shared" si="96"/>
        <v>24346</v>
      </c>
      <c r="H464" s="245">
        <f t="shared" si="97"/>
        <v>1</v>
      </c>
      <c r="I464" s="121">
        <f t="shared" si="98"/>
        <v>1.02</v>
      </c>
      <c r="J464" s="121">
        <f t="shared" si="99"/>
        <v>1.02</v>
      </c>
      <c r="K464" s="120">
        <f t="shared" si="100"/>
        <v>0</v>
      </c>
      <c r="L464" s="120">
        <f t="shared" si="101"/>
        <v>0</v>
      </c>
      <c r="M464" s="246">
        <f t="shared" si="102"/>
        <v>0</v>
      </c>
      <c r="N464" s="121">
        <f t="shared" si="103"/>
        <v>1.02</v>
      </c>
      <c r="O464" s="246">
        <f t="shared" si="104"/>
        <v>0.91</v>
      </c>
      <c r="P464" s="121">
        <f t="shared" si="105"/>
        <v>0</v>
      </c>
      <c r="Q464" s="121">
        <f t="shared" si="106"/>
        <v>0</v>
      </c>
      <c r="R464" s="121">
        <f t="shared" si="107"/>
        <v>0.25</v>
      </c>
      <c r="AE464" s="160">
        <f t="shared" si="108"/>
        <v>1.0089130434782609</v>
      </c>
    </row>
    <row r="465" spans="1:31" x14ac:dyDescent="0.3">
      <c r="A465" s="187">
        <v>48</v>
      </c>
      <c r="B465" s="242">
        <f t="shared" si="109"/>
        <v>47088</v>
      </c>
      <c r="C465" s="243">
        <f t="shared" si="92"/>
        <v>47118</v>
      </c>
      <c r="D465" s="120">
        <f t="shared" si="93"/>
        <v>31</v>
      </c>
      <c r="E465" s="120">
        <f t="shared" si="94"/>
        <v>12</v>
      </c>
      <c r="F465" s="275">
        <f t="shared" si="95"/>
        <v>47103.5</v>
      </c>
      <c r="G465" s="120">
        <f t="shared" si="96"/>
        <v>24347</v>
      </c>
      <c r="H465" s="245">
        <f t="shared" si="97"/>
        <v>1</v>
      </c>
      <c r="I465" s="121">
        <f t="shared" si="98"/>
        <v>1.02</v>
      </c>
      <c r="J465" s="121">
        <f t="shared" si="99"/>
        <v>1.02</v>
      </c>
      <c r="K465" s="120">
        <f t="shared" si="100"/>
        <v>0</v>
      </c>
      <c r="L465" s="120">
        <f t="shared" si="101"/>
        <v>0</v>
      </c>
      <c r="M465" s="246">
        <f t="shared" si="102"/>
        <v>0</v>
      </c>
      <c r="N465" s="121">
        <f t="shared" si="103"/>
        <v>1.02</v>
      </c>
      <c r="O465" s="246">
        <f t="shared" si="104"/>
        <v>0.91</v>
      </c>
      <c r="P465" s="121">
        <f t="shared" si="105"/>
        <v>0</v>
      </c>
      <c r="Q465" s="121">
        <f t="shared" si="106"/>
        <v>0</v>
      </c>
      <c r="R465" s="121">
        <f t="shared" si="107"/>
        <v>8.3333333333333329E-2</v>
      </c>
      <c r="AE465" s="160">
        <f t="shared" si="108"/>
        <v>1.0089130434782609</v>
      </c>
    </row>
    <row r="466" spans="1:31" x14ac:dyDescent="0.3">
      <c r="A466" s="23" t="s">
        <v>1723</v>
      </c>
      <c r="B466" s="279">
        <f>SUM($H$442:$H$453)</f>
        <v>12</v>
      </c>
      <c r="C466" s="160">
        <f>SUMPRODUCT($H$442:$H$453,$W$442:$W$453/$N$430:$N$441,$Y$442:$Y$453)</f>
        <v>12.179999999999998</v>
      </c>
      <c r="D466" s="160">
        <f>SUMPRODUCT($H$442:$H$453,$X$442:$X$453/$N$430:$N$441,$Y$442:$Y$453)</f>
        <v>7.08</v>
      </c>
      <c r="E466" s="281" t="str">
        <f>IF(OR($D$415=0,$P$415=0,$D466=0),"n/a",((1+$E$415)*$B466-$C466)/$D466)</f>
        <v>n/a</v>
      </c>
      <c r="F466" s="281">
        <f>IF($V$415&lt;&gt;"",$V$415,$E466)</f>
        <v>0.04</v>
      </c>
      <c r="G466" s="281">
        <f>IF(OR(NOT(ISNUMBER($F466)),nd_Ach=0),"n/a",$F466/nd_Ach)</f>
        <v>0.04</v>
      </c>
      <c r="H466" s="220">
        <f>IF(OR(NOT(ISNUMBER($F466)),$F$415=0,SUMPRODUCT($AD$442:$AD$453,$AB$442:$AB$453)=0),"n/a",((1+$E$415)*$B466-SUMPRODUCT($AD$442:$AD$453,$AC$442:$AC$453))/SUMPRODUCT($AD$442:$AD$453,$AB$442:$AB$453))</f>
        <v>0.85374855407978134</v>
      </c>
      <c r="I466" s="183">
        <f>IF(NOT(ISNUMBER($F466)),"n/a",SUMPRODUCT($H$442:$H$453,($W$442:$W$453+$X$442:$X$453*$F466)/$N$430:$N$441)/$B466-1)</f>
        <v>3.8599999999999968E-2</v>
      </c>
      <c r="J466" s="183">
        <f>IF(OR(NOT(ISNUMBER($I466)),$F$415=0),"n/a",(1+$E$415)/(1+$I466)-1)</f>
        <v>-3.7165414981706113E-2</v>
      </c>
      <c r="K466" s="183">
        <f>IF(NOT(ISNUMBER($F466)),"n/a",($C466+$D466*$F466)/$B466-1)</f>
        <v>3.8599999999999968E-2</v>
      </c>
      <c r="L466" s="229">
        <f>IF(NOT(ISNUMBER($F466)),"n/a",SUMPRODUCT($H$442:$H$453,$AF$442:$AF$453)/$B466)</f>
        <v>0.58333333333333337</v>
      </c>
      <c r="M466" s="23" t="str">
        <f>IF($D$415=0,"",TRIM(IF(AND(ISNUMBER($H466),OR($H466&lt;0.5,$H466&gt;1.5)),"MOD-BOUND ","")&amp;IF(AND(ISNUMBER($F466),ABS($F466)&gt;nr_SolvMaxRate),"RATE-BOUND ","")&amp;IF(AND(ISNUMBER($L466),$L466&lt;nr_SolvMinShare),"THIN-SHARE ","")&amp;IF($W$415&gt;1,"MULTI-PLANNED ","")&amp;IF($F$415=0,"RATE-ONLY","")))</f>
        <v/>
      </c>
      <c r="N466" s="229" t="str">
        <f>IF(OR($D$415=0,NOT(ISNUMBER($F466))),"n/a",INDEX(calc_lrcur,$C$415)*INDEX(calc_crl,$C$415)/(SUMPRODUCT($H$418:$H$465,$Q$418:$Q$465,$AE$418:$AE$465)/SUMPRODUCT($H$418:$H$465,$Q$418:$Q$465))*INDEX(calc_aother,$C$415))</f>
        <v>n/a</v>
      </c>
      <c r="O466" s="229" t="str">
        <f>IF($D$415=0,"n/a",INDEX(calc_cylr_p,$C$415))</f>
        <v>n/a</v>
      </c>
      <c r="P466" s="282">
        <f>IF(NOT(ISNUMBER($E466)),0,ABS(($C466+$D466*$E466)/$B466-(1+$E$415)))</f>
        <v>0</v>
      </c>
    </row>
    <row r="471" spans="1:31" x14ac:dyDescent="0.3">
      <c r="A471" s="23" t="str">
        <f>_lists!$B$7</f>
        <v>GA</v>
      </c>
      <c r="B471" s="23" t="str">
        <f>IF(OR($A471="",nd_BU="All"),"",nd_BU&amp;"|"&amp;$A471)</f>
        <v>SBA|GA</v>
      </c>
      <c r="C471" s="43">
        <f>IF($B471="",0,IF(COUNTIF(lr_key,$B471)=0,0,MATCH($B471,lr_key,0)))</f>
        <v>47</v>
      </c>
      <c r="D471" s="43">
        <f>IF($C471=0,0,IF(ISBLANK(INDEX(lr_netp,$C471)),0,1))</f>
        <v>0</v>
      </c>
      <c r="E471" s="229">
        <f>IF($D471=0,0,N(INDEX(lr_netp,$C471)))</f>
        <v>0</v>
      </c>
      <c r="F471" s="43">
        <f>IF($C471=0,0,IF(AND(nr_ModAdjMaster="ON",INDEX(lr_modadj,$C471)="ON"),1,0))</f>
        <v>1</v>
      </c>
      <c r="G471" s="220">
        <f>IF($C471=0,1,IF(N(INDEX(lr_mind,$C471))=0,1,INDEX(lr_mind,$C471)))</f>
        <v>0.92</v>
      </c>
      <c r="H471" s="220">
        <f>IF($C471=0,1,IF(N(INDEX(lr_m0,$C471))=0,1,INDEX(lr_m0,$C471)))</f>
        <v>0.91</v>
      </c>
      <c r="I471" s="278">
        <f>IF($C471=0,DATE(nr_PlanYear-1,10,1),IF(N(INDEX(lr_m0asof,$C471))=0,DATE(nr_PlanYear-1,10,1),INDEX(lr_m0asof,$C471)))</f>
        <v>46295</v>
      </c>
      <c r="J471" s="220">
        <f>IF($C471=0,1,IF(N(INDEX(lr_m1,$C471))=0,1,INDEX(lr_m1,$C471)))</f>
        <v>0.92500000000000004</v>
      </c>
      <c r="K471" s="220">
        <f>IF($C471=0,0,N(INDEX(lr_mprior,$C471)))</f>
        <v>0</v>
      </c>
      <c r="L471" s="220">
        <f>IF($C471=0,0,N(INDEX(lr_m2,$C471)))</f>
        <v>0</v>
      </c>
      <c r="M471" s="43">
        <f>IF(OR($A471="",COUNTIF(se_state,$A471)=0),0,MATCH($A471,se_state,0))</f>
        <v>0</v>
      </c>
      <c r="N471" s="279">
        <f>IF($M471=0,0,INDEX(se_sum,$M471))</f>
        <v>0</v>
      </c>
      <c r="O471" s="278">
        <f>IF('Net Delivery'!$D$13="",$X471,'Net Delivery'!$D$13)</f>
        <v>46478</v>
      </c>
      <c r="P471" s="43">
        <f>IF(AND($O471&gt;=DATE(nr_PlanYear,1,1),$O471&lt;=DATE(nr_PlanYear,12,31)),1,0)</f>
        <v>1</v>
      </c>
      <c r="Q471" s="43">
        <f>YEAR($O471)*12+MONTH($O471)-1</f>
        <v>24327</v>
      </c>
      <c r="R471" s="43">
        <f>DAY(EOMONTH($O471,0))</f>
        <v>30</v>
      </c>
      <c r="S471" s="43">
        <f>EOMONTH($O471,0)-$O471+1</f>
        <v>30</v>
      </c>
      <c r="T471" s="43">
        <f>SUMIFS(ndl_days,rl_key,$B471,ndl_effmonth,DATE(YEAR($O471),MONTH($O471),1),ndl_first,1)</f>
        <v>0</v>
      </c>
      <c r="U471" s="220">
        <f>IF($P471=1,MIN(1,MAX($S471,$T471)/$R471),1)</f>
        <v>1</v>
      </c>
      <c r="V471" s="280" t="str">
        <f>IF(ISBLANK('Net Delivery'!$E$13),$Y471,'Net Delivery'!$E$13)</f>
        <v/>
      </c>
      <c r="W471" s="43">
        <f>IF($B471="",0,COUNTIFS(rl_key,$B471,rl_status,"planned",rl_eff,"&gt;="&amp;DATE(nr_PlanYear,1,1),rl_eff,"&lt;="&amp;DATE(nr_PlanYear,12,31)))</f>
        <v>0</v>
      </c>
      <c r="X471" s="278">
        <f>IF($W471=0,nd_DefaultDate,SUMIFS(rl_eff,rl_key,$B471,rl_firstplanned,1))</f>
        <v>46478</v>
      </c>
      <c r="Y471" s="280" t="str">
        <f>IF($W471=0,"",SUMIFS(rl_reff,rl_key,$B471,rl_firstplanned,1))</f>
        <v/>
      </c>
      <c r="Z471" s="280" t="str">
        <f>IF($W471=0,"",SUMIFS(rl_filed,rl_key,$B471,rl_firstplanned,1))</f>
        <v/>
      </c>
    </row>
    <row r="472" spans="1:31" x14ac:dyDescent="0.3">
      <c r="A472" s="6">
        <f>EDATE($I$471,-12)+1</f>
        <v>45931</v>
      </c>
      <c r="B472" s="6">
        <f>$I$471+1</f>
        <v>46296</v>
      </c>
      <c r="C472" s="6">
        <f>DATE(nr_PlanYear,12,31)+1</f>
        <v>46753</v>
      </c>
      <c r="D472" s="6">
        <f>DATE(nr_PlanYear+1,12,31)+1</f>
        <v>47119</v>
      </c>
      <c r="E472" s="6">
        <f>IF(N($K$471)=0,$F$472-($G$472-$F$472)/($C$472-$B$472)*($B$472-$A$472),$K$471)</f>
        <v>0.89801969365426693</v>
      </c>
      <c r="F472" s="6">
        <f>$H$471</f>
        <v>0.91</v>
      </c>
      <c r="G472" s="6">
        <f>$J$471</f>
        <v>0.92500000000000004</v>
      </c>
      <c r="H472" s="6">
        <f>IF(N($L$471)=0,$J$471,$L$471)</f>
        <v>0.92500000000000004</v>
      </c>
      <c r="I472" s="6">
        <f>($F$472-$E$472)/($B$472-$A$472)</f>
        <v>3.2822757111597549E-5</v>
      </c>
      <c r="J472" s="6">
        <f>($G$472-$F$472)/($C$472-$B$472)</f>
        <v>3.2822757111597407E-5</v>
      </c>
      <c r="K472" s="6">
        <f>($H$472-$G$472)/($D$472-$C$472)</f>
        <v>0</v>
      </c>
    </row>
    <row r="473" spans="1:31" ht="36" x14ac:dyDescent="0.3">
      <c r="A473" s="58" t="s">
        <v>390</v>
      </c>
      <c r="B473" s="58" t="s">
        <v>449</v>
      </c>
      <c r="C473" s="58" t="s">
        <v>685</v>
      </c>
      <c r="D473" s="58" t="s">
        <v>686</v>
      </c>
      <c r="E473" s="58" t="s">
        <v>687</v>
      </c>
      <c r="F473" s="58" t="s">
        <v>688</v>
      </c>
      <c r="G473" s="58" t="s">
        <v>689</v>
      </c>
      <c r="H473" s="58" t="s">
        <v>452</v>
      </c>
      <c r="I473" s="58" t="s">
        <v>690</v>
      </c>
      <c r="J473" s="58" t="s">
        <v>691</v>
      </c>
      <c r="K473" s="58" t="s">
        <v>692</v>
      </c>
      <c r="L473" s="58" t="s">
        <v>693</v>
      </c>
      <c r="M473" s="58" t="s">
        <v>694</v>
      </c>
      <c r="N473" s="58" t="s">
        <v>695</v>
      </c>
      <c r="O473" s="58" t="s">
        <v>696</v>
      </c>
      <c r="P473" s="58" t="s">
        <v>697</v>
      </c>
      <c r="Q473" s="58" t="s">
        <v>698</v>
      </c>
      <c r="R473" s="58" t="s">
        <v>699</v>
      </c>
      <c r="S473" s="58" t="s">
        <v>700</v>
      </c>
      <c r="T473" s="58" t="s">
        <v>701</v>
      </c>
      <c r="U473" s="58" t="s">
        <v>702</v>
      </c>
    </row>
    <row r="474" spans="1:31" x14ac:dyDescent="0.3">
      <c r="A474" s="187">
        <v>1</v>
      </c>
      <c r="B474" s="242">
        <f>DATE(nr_PlanYear-2,1,1)</f>
        <v>45658</v>
      </c>
      <c r="C474" s="243">
        <f t="shared" ref="C474:C521" si="120">EOMONTH($B474,0)</f>
        <v>45688</v>
      </c>
      <c r="D474" s="120">
        <f t="shared" ref="D474:D521" si="121">$C474-$B474+1</f>
        <v>31</v>
      </c>
      <c r="E474" s="120">
        <f t="shared" ref="E474:E521" si="122">MONTH($B474)</f>
        <v>1</v>
      </c>
      <c r="F474" s="275">
        <f t="shared" ref="F474:F521" si="123">($B474+$C474+1)/2</f>
        <v>45673.5</v>
      </c>
      <c r="G474" s="120">
        <f t="shared" ref="G474:G521" si="124">YEAR($B474)*12+MONTH($B474)-1</f>
        <v>24300</v>
      </c>
      <c r="H474" s="245">
        <f t="shared" ref="H474:H521" si="125">IF(OR(nr_SeasonOn="OFF",$M$471=0,$N$471=0),1,12*INDEX(se_block,$M$471,$E474)/$N$471)</f>
        <v>1</v>
      </c>
      <c r="I474" s="121">
        <f t="shared" ref="I474:I521" si="126">EXP(SUMPRODUCT((ndl_eff&lt;$B474)*(rl_key=$B$471)*ndl_ln))</f>
        <v>1</v>
      </c>
      <c r="J474" s="121">
        <f t="shared" ref="J474:J521" si="127">EXP(SUMPRODUCT((ndl_eff&lt;=$C474)*(rl_key=$B$471)*ndl_ln))</f>
        <v>1</v>
      </c>
      <c r="K474" s="120">
        <f t="shared" ref="K474:K521" si="128">COUNTIFS(rl_key,$B$471,ndl_eff,"&gt;="&amp;$B474,ndl_eff,"&lt;="&amp;$C474)</f>
        <v>0</v>
      </c>
      <c r="L474" s="120">
        <f t="shared" ref="L474:L521" si="129">SUMIFS(ndl_days,rl_key,$B$471,ndl_effmonth,$B474,ndl_first,1)</f>
        <v>0</v>
      </c>
      <c r="M474" s="246">
        <f t="shared" ref="M474:M521" si="130">IF($K474=0,0,MIN(1,$L474/$D474))</f>
        <v>0</v>
      </c>
      <c r="N474" s="121">
        <f t="shared" ref="N474:N521" si="131">IF($K474=0,$J474,(1-$M474)*$I474+$M474*$J474)</f>
        <v>1</v>
      </c>
      <c r="O474" s="246">
        <f t="shared" ref="O474:O521" si="132">IF($F474&lt;$B$472,$E$472+$I$472*($F474-$A$472),IF($F474&lt;$C$472,$F$472+$J$472*($F474-$B$472),$G$472+$K$472*($F474-$C$472)))</f>
        <v>0.88956783369803061</v>
      </c>
      <c r="P474" s="121">
        <f t="shared" ref="P474:P521" si="133">MIN(1,MAX(0,(nr_MEndPm1-$G474+0.5)/nr_TermMonths))-MIN(1,MAX(0,(nr_MStartPm1-1-$G474+0.5)/nr_TermMonths))</f>
        <v>0</v>
      </c>
      <c r="Q474" s="121">
        <f t="shared" ref="Q474:Q521" si="134">MIN(1,MAX(0,(nr_MEndP-$G474+0.5)/nr_TermMonths))-MIN(1,MAX(0,(nr_MStartP-1-$G474+0.5)/nr_TermMonths))</f>
        <v>0</v>
      </c>
      <c r="R474" s="121">
        <f t="shared" ref="R474:R521" si="135">MIN(1,MAX(0,(nr_MEndP1-$G474+0.5)/nr_TermMonths))-MIN(1,MAX(0,(nr_MStartP1-1-$G474+0.5)/nr_TermMonths))</f>
        <v>0</v>
      </c>
      <c r="AE474" s="160">
        <f t="shared" ref="AE474:AE521" si="136">IF(OR($G474&lt;nr_MStartP,$G474&gt;=nr_MStartP1),IF($F$471=1,$N474*$O474/$G$471,$N474),($W474+$X474*IF(ISNUMBER($F$522),$F$522,0))*IF($F$471=1,($AC474+$AB474*IF(ISNUMBER($H$522),$H$522,$J$471))/$G$471,1))</f>
        <v>0.96692155836742455</v>
      </c>
    </row>
    <row r="475" spans="1:31" x14ac:dyDescent="0.3">
      <c r="A475" s="187">
        <v>2</v>
      </c>
      <c r="B475" s="242">
        <f t="shared" ref="B475:B521" si="137">EDATE($B474,1)</f>
        <v>45689</v>
      </c>
      <c r="C475" s="243">
        <f t="shared" si="120"/>
        <v>45716</v>
      </c>
      <c r="D475" s="120">
        <f t="shared" si="121"/>
        <v>28</v>
      </c>
      <c r="E475" s="120">
        <f t="shared" si="122"/>
        <v>2</v>
      </c>
      <c r="F475" s="275">
        <f t="shared" si="123"/>
        <v>45703</v>
      </c>
      <c r="G475" s="120">
        <f t="shared" si="124"/>
        <v>24301</v>
      </c>
      <c r="H475" s="245">
        <f t="shared" si="125"/>
        <v>1</v>
      </c>
      <c r="I475" s="121">
        <f t="shared" si="126"/>
        <v>1</v>
      </c>
      <c r="J475" s="121">
        <f t="shared" si="127"/>
        <v>1</v>
      </c>
      <c r="K475" s="120">
        <f t="shared" si="128"/>
        <v>0</v>
      </c>
      <c r="L475" s="120">
        <f t="shared" si="129"/>
        <v>0</v>
      </c>
      <c r="M475" s="246">
        <f t="shared" si="130"/>
        <v>0</v>
      </c>
      <c r="N475" s="121">
        <f t="shared" si="131"/>
        <v>1</v>
      </c>
      <c r="O475" s="246">
        <f t="shared" si="132"/>
        <v>0.89053610503282266</v>
      </c>
      <c r="P475" s="121">
        <f t="shared" si="133"/>
        <v>0</v>
      </c>
      <c r="Q475" s="121">
        <f t="shared" si="134"/>
        <v>0</v>
      </c>
      <c r="R475" s="121">
        <f t="shared" si="135"/>
        <v>0</v>
      </c>
      <c r="AE475" s="160">
        <f t="shared" si="136"/>
        <v>0.9679740272095898</v>
      </c>
    </row>
    <row r="476" spans="1:31" x14ac:dyDescent="0.3">
      <c r="A476" s="187">
        <v>3</v>
      </c>
      <c r="B476" s="242">
        <f t="shared" si="137"/>
        <v>45717</v>
      </c>
      <c r="C476" s="243">
        <f t="shared" si="120"/>
        <v>45747</v>
      </c>
      <c r="D476" s="120">
        <f t="shared" si="121"/>
        <v>31</v>
      </c>
      <c r="E476" s="120">
        <f t="shared" si="122"/>
        <v>3</v>
      </c>
      <c r="F476" s="275">
        <f t="shared" si="123"/>
        <v>45732.5</v>
      </c>
      <c r="G476" s="120">
        <f t="shared" si="124"/>
        <v>24302</v>
      </c>
      <c r="H476" s="245">
        <f t="shared" si="125"/>
        <v>1</v>
      </c>
      <c r="I476" s="121">
        <f t="shared" si="126"/>
        <v>1</v>
      </c>
      <c r="J476" s="121">
        <f t="shared" si="127"/>
        <v>1</v>
      </c>
      <c r="K476" s="120">
        <f t="shared" si="128"/>
        <v>0</v>
      </c>
      <c r="L476" s="120">
        <f t="shared" si="129"/>
        <v>0</v>
      </c>
      <c r="M476" s="246">
        <f t="shared" si="130"/>
        <v>0</v>
      </c>
      <c r="N476" s="121">
        <f t="shared" si="131"/>
        <v>1</v>
      </c>
      <c r="O476" s="246">
        <f t="shared" si="132"/>
        <v>0.89150437636761481</v>
      </c>
      <c r="P476" s="121">
        <f t="shared" si="133"/>
        <v>0</v>
      </c>
      <c r="Q476" s="121">
        <f t="shared" si="134"/>
        <v>0</v>
      </c>
      <c r="R476" s="121">
        <f t="shared" si="135"/>
        <v>0</v>
      </c>
      <c r="AE476" s="160">
        <f t="shared" si="136"/>
        <v>0.96902649605175517</v>
      </c>
    </row>
    <row r="477" spans="1:31" x14ac:dyDescent="0.3">
      <c r="A477" s="187">
        <v>4</v>
      </c>
      <c r="B477" s="242">
        <f t="shared" si="137"/>
        <v>45748</v>
      </c>
      <c r="C477" s="243">
        <f t="shared" si="120"/>
        <v>45777</v>
      </c>
      <c r="D477" s="120">
        <f t="shared" si="121"/>
        <v>30</v>
      </c>
      <c r="E477" s="120">
        <f t="shared" si="122"/>
        <v>4</v>
      </c>
      <c r="F477" s="275">
        <f t="shared" si="123"/>
        <v>45763</v>
      </c>
      <c r="G477" s="120">
        <f t="shared" si="124"/>
        <v>24303</v>
      </c>
      <c r="H477" s="245">
        <f t="shared" si="125"/>
        <v>1</v>
      </c>
      <c r="I477" s="121">
        <f t="shared" si="126"/>
        <v>1</v>
      </c>
      <c r="J477" s="121">
        <f t="shared" si="127"/>
        <v>1</v>
      </c>
      <c r="K477" s="120">
        <f t="shared" si="128"/>
        <v>0</v>
      </c>
      <c r="L477" s="120">
        <f t="shared" si="129"/>
        <v>0</v>
      </c>
      <c r="M477" s="246">
        <f t="shared" si="130"/>
        <v>0</v>
      </c>
      <c r="N477" s="121">
        <f t="shared" si="131"/>
        <v>1</v>
      </c>
      <c r="O477" s="246">
        <f t="shared" si="132"/>
        <v>0.89250547045951856</v>
      </c>
      <c r="P477" s="121">
        <f t="shared" si="133"/>
        <v>0</v>
      </c>
      <c r="Q477" s="121">
        <f t="shared" si="134"/>
        <v>0</v>
      </c>
      <c r="R477" s="121">
        <f t="shared" si="135"/>
        <v>0</v>
      </c>
      <c r="AE477" s="160">
        <f t="shared" si="136"/>
        <v>0.97011464180382445</v>
      </c>
    </row>
    <row r="478" spans="1:31" x14ac:dyDescent="0.3">
      <c r="A478" s="187">
        <v>5</v>
      </c>
      <c r="B478" s="242">
        <f t="shared" si="137"/>
        <v>45778</v>
      </c>
      <c r="C478" s="243">
        <f t="shared" si="120"/>
        <v>45808</v>
      </c>
      <c r="D478" s="120">
        <f t="shared" si="121"/>
        <v>31</v>
      </c>
      <c r="E478" s="120">
        <f t="shared" si="122"/>
        <v>5</v>
      </c>
      <c r="F478" s="275">
        <f t="shared" si="123"/>
        <v>45793.5</v>
      </c>
      <c r="G478" s="120">
        <f t="shared" si="124"/>
        <v>24304</v>
      </c>
      <c r="H478" s="245">
        <f t="shared" si="125"/>
        <v>1</v>
      </c>
      <c r="I478" s="121">
        <f t="shared" si="126"/>
        <v>1</v>
      </c>
      <c r="J478" s="121">
        <f t="shared" si="127"/>
        <v>1</v>
      </c>
      <c r="K478" s="120">
        <f t="shared" si="128"/>
        <v>0</v>
      </c>
      <c r="L478" s="120">
        <f t="shared" si="129"/>
        <v>0</v>
      </c>
      <c r="M478" s="246">
        <f t="shared" si="130"/>
        <v>0</v>
      </c>
      <c r="N478" s="121">
        <f t="shared" si="131"/>
        <v>1</v>
      </c>
      <c r="O478" s="246">
        <f t="shared" si="132"/>
        <v>0.8935065645514223</v>
      </c>
      <c r="P478" s="121">
        <f t="shared" si="133"/>
        <v>0</v>
      </c>
      <c r="Q478" s="121">
        <f t="shared" si="134"/>
        <v>0</v>
      </c>
      <c r="R478" s="121">
        <f t="shared" si="135"/>
        <v>0</v>
      </c>
      <c r="AE478" s="160">
        <f t="shared" si="136"/>
        <v>0.97120278755589373</v>
      </c>
    </row>
    <row r="479" spans="1:31" x14ac:dyDescent="0.3">
      <c r="A479" s="187">
        <v>6</v>
      </c>
      <c r="B479" s="242">
        <f t="shared" si="137"/>
        <v>45809</v>
      </c>
      <c r="C479" s="243">
        <f t="shared" si="120"/>
        <v>45838</v>
      </c>
      <c r="D479" s="120">
        <f t="shared" si="121"/>
        <v>30</v>
      </c>
      <c r="E479" s="120">
        <f t="shared" si="122"/>
        <v>6</v>
      </c>
      <c r="F479" s="275">
        <f t="shared" si="123"/>
        <v>45824</v>
      </c>
      <c r="G479" s="120">
        <f t="shared" si="124"/>
        <v>24305</v>
      </c>
      <c r="H479" s="245">
        <f t="shared" si="125"/>
        <v>1</v>
      </c>
      <c r="I479" s="121">
        <f t="shared" si="126"/>
        <v>1</v>
      </c>
      <c r="J479" s="121">
        <f t="shared" si="127"/>
        <v>1</v>
      </c>
      <c r="K479" s="120">
        <f t="shared" si="128"/>
        <v>0</v>
      </c>
      <c r="L479" s="120">
        <f t="shared" si="129"/>
        <v>0</v>
      </c>
      <c r="M479" s="246">
        <f t="shared" si="130"/>
        <v>0</v>
      </c>
      <c r="N479" s="121">
        <f t="shared" si="131"/>
        <v>1</v>
      </c>
      <c r="O479" s="246">
        <f t="shared" si="132"/>
        <v>0.89450765864332604</v>
      </c>
      <c r="P479" s="121">
        <f t="shared" si="133"/>
        <v>0</v>
      </c>
      <c r="Q479" s="121">
        <f t="shared" si="134"/>
        <v>0</v>
      </c>
      <c r="R479" s="121">
        <f t="shared" si="135"/>
        <v>0</v>
      </c>
      <c r="AE479" s="160">
        <f t="shared" si="136"/>
        <v>0.97229093330796301</v>
      </c>
    </row>
    <row r="480" spans="1:31" x14ac:dyDescent="0.3">
      <c r="A480" s="187">
        <v>7</v>
      </c>
      <c r="B480" s="242">
        <f t="shared" si="137"/>
        <v>45839</v>
      </c>
      <c r="C480" s="243">
        <f t="shared" si="120"/>
        <v>45869</v>
      </c>
      <c r="D480" s="120">
        <f t="shared" si="121"/>
        <v>31</v>
      </c>
      <c r="E480" s="120">
        <f t="shared" si="122"/>
        <v>7</v>
      </c>
      <c r="F480" s="275">
        <f t="shared" si="123"/>
        <v>45854.5</v>
      </c>
      <c r="G480" s="120">
        <f t="shared" si="124"/>
        <v>24306</v>
      </c>
      <c r="H480" s="245">
        <f t="shared" si="125"/>
        <v>1</v>
      </c>
      <c r="I480" s="121">
        <f t="shared" si="126"/>
        <v>1</v>
      </c>
      <c r="J480" s="121">
        <f t="shared" si="127"/>
        <v>1</v>
      </c>
      <c r="K480" s="120">
        <f t="shared" si="128"/>
        <v>0</v>
      </c>
      <c r="L480" s="120">
        <f t="shared" si="129"/>
        <v>0</v>
      </c>
      <c r="M480" s="246">
        <f t="shared" si="130"/>
        <v>0</v>
      </c>
      <c r="N480" s="121">
        <f t="shared" si="131"/>
        <v>1</v>
      </c>
      <c r="O480" s="246">
        <f t="shared" si="132"/>
        <v>0.89550875273522967</v>
      </c>
      <c r="P480" s="121">
        <f t="shared" si="133"/>
        <v>8.333333333333337E-2</v>
      </c>
      <c r="Q480" s="121">
        <f t="shared" si="134"/>
        <v>0</v>
      </c>
      <c r="R480" s="121">
        <f t="shared" si="135"/>
        <v>0</v>
      </c>
      <c r="AE480" s="160">
        <f t="shared" si="136"/>
        <v>0.97337907906003218</v>
      </c>
    </row>
    <row r="481" spans="1:31" x14ac:dyDescent="0.3">
      <c r="A481" s="187">
        <v>8</v>
      </c>
      <c r="B481" s="242">
        <f t="shared" si="137"/>
        <v>45870</v>
      </c>
      <c r="C481" s="243">
        <f t="shared" si="120"/>
        <v>45900</v>
      </c>
      <c r="D481" s="120">
        <f t="shared" si="121"/>
        <v>31</v>
      </c>
      <c r="E481" s="120">
        <f t="shared" si="122"/>
        <v>8</v>
      </c>
      <c r="F481" s="275">
        <f t="shared" si="123"/>
        <v>45885.5</v>
      </c>
      <c r="G481" s="120">
        <f t="shared" si="124"/>
        <v>24307</v>
      </c>
      <c r="H481" s="245">
        <f t="shared" si="125"/>
        <v>1</v>
      </c>
      <c r="I481" s="121">
        <f t="shared" si="126"/>
        <v>1</v>
      </c>
      <c r="J481" s="121">
        <f t="shared" si="127"/>
        <v>1</v>
      </c>
      <c r="K481" s="120">
        <f t="shared" si="128"/>
        <v>0</v>
      </c>
      <c r="L481" s="120">
        <f t="shared" si="129"/>
        <v>0</v>
      </c>
      <c r="M481" s="246">
        <f t="shared" si="130"/>
        <v>0</v>
      </c>
      <c r="N481" s="121">
        <f t="shared" si="131"/>
        <v>1</v>
      </c>
      <c r="O481" s="246">
        <f t="shared" si="132"/>
        <v>0.89652625820568921</v>
      </c>
      <c r="P481" s="121">
        <f t="shared" si="133"/>
        <v>0.25</v>
      </c>
      <c r="Q481" s="121">
        <f t="shared" si="134"/>
        <v>0</v>
      </c>
      <c r="R481" s="121">
        <f t="shared" si="135"/>
        <v>0</v>
      </c>
      <c r="AE481" s="160">
        <f t="shared" si="136"/>
        <v>0.97448506326705342</v>
      </c>
    </row>
    <row r="482" spans="1:31" x14ac:dyDescent="0.3">
      <c r="A482" s="187">
        <v>9</v>
      </c>
      <c r="B482" s="242">
        <f t="shared" si="137"/>
        <v>45901</v>
      </c>
      <c r="C482" s="243">
        <f t="shared" si="120"/>
        <v>45930</v>
      </c>
      <c r="D482" s="120">
        <f t="shared" si="121"/>
        <v>30</v>
      </c>
      <c r="E482" s="120">
        <f t="shared" si="122"/>
        <v>9</v>
      </c>
      <c r="F482" s="275">
        <f t="shared" si="123"/>
        <v>45916</v>
      </c>
      <c r="G482" s="120">
        <f t="shared" si="124"/>
        <v>24308</v>
      </c>
      <c r="H482" s="245">
        <f t="shared" si="125"/>
        <v>1</v>
      </c>
      <c r="I482" s="121">
        <f t="shared" si="126"/>
        <v>1</v>
      </c>
      <c r="J482" s="121">
        <f t="shared" si="127"/>
        <v>1</v>
      </c>
      <c r="K482" s="120">
        <f t="shared" si="128"/>
        <v>0</v>
      </c>
      <c r="L482" s="120">
        <f t="shared" si="129"/>
        <v>0</v>
      </c>
      <c r="M482" s="246">
        <f t="shared" si="130"/>
        <v>0</v>
      </c>
      <c r="N482" s="121">
        <f t="shared" si="131"/>
        <v>1</v>
      </c>
      <c r="O482" s="246">
        <f t="shared" si="132"/>
        <v>0.89752735229759295</v>
      </c>
      <c r="P482" s="121">
        <f t="shared" si="133"/>
        <v>0.41666666666666663</v>
      </c>
      <c r="Q482" s="121">
        <f t="shared" si="134"/>
        <v>0</v>
      </c>
      <c r="R482" s="121">
        <f t="shared" si="135"/>
        <v>0</v>
      </c>
      <c r="AE482" s="160">
        <f t="shared" si="136"/>
        <v>0.9755732090191227</v>
      </c>
    </row>
    <row r="483" spans="1:31" x14ac:dyDescent="0.3">
      <c r="A483" s="187">
        <v>10</v>
      </c>
      <c r="B483" s="242">
        <f t="shared" si="137"/>
        <v>45931</v>
      </c>
      <c r="C483" s="243">
        <f t="shared" si="120"/>
        <v>45961</v>
      </c>
      <c r="D483" s="120">
        <f t="shared" si="121"/>
        <v>31</v>
      </c>
      <c r="E483" s="120">
        <f t="shared" si="122"/>
        <v>10</v>
      </c>
      <c r="F483" s="275">
        <f t="shared" si="123"/>
        <v>45946.5</v>
      </c>
      <c r="G483" s="120">
        <f t="shared" si="124"/>
        <v>24309</v>
      </c>
      <c r="H483" s="245">
        <f t="shared" si="125"/>
        <v>1</v>
      </c>
      <c r="I483" s="121">
        <f t="shared" si="126"/>
        <v>1</v>
      </c>
      <c r="J483" s="121">
        <f t="shared" si="127"/>
        <v>1</v>
      </c>
      <c r="K483" s="120">
        <f t="shared" si="128"/>
        <v>0</v>
      </c>
      <c r="L483" s="120">
        <f t="shared" si="129"/>
        <v>0</v>
      </c>
      <c r="M483" s="246">
        <f t="shared" si="130"/>
        <v>0</v>
      </c>
      <c r="N483" s="121">
        <f t="shared" si="131"/>
        <v>1</v>
      </c>
      <c r="O483" s="246">
        <f t="shared" si="132"/>
        <v>0.89852844638949669</v>
      </c>
      <c r="P483" s="121">
        <f t="shared" si="133"/>
        <v>0.58333333333333326</v>
      </c>
      <c r="Q483" s="121">
        <f t="shared" si="134"/>
        <v>0</v>
      </c>
      <c r="R483" s="121">
        <f t="shared" si="135"/>
        <v>0</v>
      </c>
      <c r="AE483" s="160">
        <f t="shared" si="136"/>
        <v>0.97666135477119198</v>
      </c>
    </row>
    <row r="484" spans="1:31" x14ac:dyDescent="0.3">
      <c r="A484" s="187">
        <v>11</v>
      </c>
      <c r="B484" s="242">
        <f t="shared" si="137"/>
        <v>45962</v>
      </c>
      <c r="C484" s="243">
        <f t="shared" si="120"/>
        <v>45991</v>
      </c>
      <c r="D484" s="120">
        <f t="shared" si="121"/>
        <v>30</v>
      </c>
      <c r="E484" s="120">
        <f t="shared" si="122"/>
        <v>11</v>
      </c>
      <c r="F484" s="275">
        <f t="shared" si="123"/>
        <v>45977</v>
      </c>
      <c r="G484" s="120">
        <f t="shared" si="124"/>
        <v>24310</v>
      </c>
      <c r="H484" s="245">
        <f t="shared" si="125"/>
        <v>1</v>
      </c>
      <c r="I484" s="121">
        <f t="shared" si="126"/>
        <v>1</v>
      </c>
      <c r="J484" s="121">
        <f t="shared" si="127"/>
        <v>1</v>
      </c>
      <c r="K484" s="120">
        <f t="shared" si="128"/>
        <v>0</v>
      </c>
      <c r="L484" s="120">
        <f t="shared" si="129"/>
        <v>0</v>
      </c>
      <c r="M484" s="246">
        <f t="shared" si="130"/>
        <v>0</v>
      </c>
      <c r="N484" s="121">
        <f t="shared" si="131"/>
        <v>1</v>
      </c>
      <c r="O484" s="246">
        <f t="shared" si="132"/>
        <v>0.89952954048140044</v>
      </c>
      <c r="P484" s="121">
        <f t="shared" si="133"/>
        <v>0.75</v>
      </c>
      <c r="Q484" s="121">
        <f t="shared" si="134"/>
        <v>0</v>
      </c>
      <c r="R484" s="121">
        <f t="shared" si="135"/>
        <v>0</v>
      </c>
      <c r="AE484" s="160">
        <f t="shared" si="136"/>
        <v>0.97774950052326126</v>
      </c>
    </row>
    <row r="485" spans="1:31" x14ac:dyDescent="0.3">
      <c r="A485" s="187">
        <v>12</v>
      </c>
      <c r="B485" s="242">
        <f t="shared" si="137"/>
        <v>45992</v>
      </c>
      <c r="C485" s="243">
        <f t="shared" si="120"/>
        <v>46022</v>
      </c>
      <c r="D485" s="120">
        <f t="shared" si="121"/>
        <v>31</v>
      </c>
      <c r="E485" s="120">
        <f t="shared" si="122"/>
        <v>12</v>
      </c>
      <c r="F485" s="275">
        <f t="shared" si="123"/>
        <v>46007.5</v>
      </c>
      <c r="G485" s="120">
        <f t="shared" si="124"/>
        <v>24311</v>
      </c>
      <c r="H485" s="245">
        <f t="shared" si="125"/>
        <v>1</v>
      </c>
      <c r="I485" s="121">
        <f t="shared" si="126"/>
        <v>1</v>
      </c>
      <c r="J485" s="121">
        <f t="shared" si="127"/>
        <v>1</v>
      </c>
      <c r="K485" s="120">
        <f t="shared" si="128"/>
        <v>0</v>
      </c>
      <c r="L485" s="120">
        <f t="shared" si="129"/>
        <v>0</v>
      </c>
      <c r="M485" s="246">
        <f t="shared" si="130"/>
        <v>0</v>
      </c>
      <c r="N485" s="121">
        <f t="shared" si="131"/>
        <v>1</v>
      </c>
      <c r="O485" s="246">
        <f t="shared" si="132"/>
        <v>0.90053063457330418</v>
      </c>
      <c r="P485" s="121">
        <f t="shared" si="133"/>
        <v>0.91666666666666663</v>
      </c>
      <c r="Q485" s="121">
        <f t="shared" si="134"/>
        <v>0</v>
      </c>
      <c r="R485" s="121">
        <f t="shared" si="135"/>
        <v>0</v>
      </c>
      <c r="AE485" s="160">
        <f t="shared" si="136"/>
        <v>0.97883764627533054</v>
      </c>
    </row>
    <row r="486" spans="1:31" x14ac:dyDescent="0.3">
      <c r="A486" s="187">
        <v>13</v>
      </c>
      <c r="B486" s="242">
        <f t="shared" si="137"/>
        <v>46023</v>
      </c>
      <c r="C486" s="243">
        <f t="shared" si="120"/>
        <v>46053</v>
      </c>
      <c r="D486" s="120">
        <f t="shared" si="121"/>
        <v>31</v>
      </c>
      <c r="E486" s="120">
        <f t="shared" si="122"/>
        <v>1</v>
      </c>
      <c r="F486" s="275">
        <f t="shared" si="123"/>
        <v>46038.5</v>
      </c>
      <c r="G486" s="120">
        <f t="shared" si="124"/>
        <v>24312</v>
      </c>
      <c r="H486" s="245">
        <f t="shared" si="125"/>
        <v>1</v>
      </c>
      <c r="I486" s="121">
        <f t="shared" si="126"/>
        <v>1</v>
      </c>
      <c r="J486" s="121">
        <f t="shared" si="127"/>
        <v>1</v>
      </c>
      <c r="K486" s="120">
        <f t="shared" si="128"/>
        <v>0</v>
      </c>
      <c r="L486" s="120">
        <f t="shared" si="129"/>
        <v>0</v>
      </c>
      <c r="M486" s="246">
        <f t="shared" si="130"/>
        <v>0</v>
      </c>
      <c r="N486" s="121">
        <f t="shared" si="131"/>
        <v>1</v>
      </c>
      <c r="O486" s="246">
        <f t="shared" si="132"/>
        <v>0.90154814004376371</v>
      </c>
      <c r="P486" s="121">
        <f t="shared" si="133"/>
        <v>1</v>
      </c>
      <c r="Q486" s="121">
        <f t="shared" si="134"/>
        <v>0</v>
      </c>
      <c r="R486" s="121">
        <f t="shared" si="135"/>
        <v>0</v>
      </c>
      <c r="AE486" s="160">
        <f t="shared" si="136"/>
        <v>0.97994363048235178</v>
      </c>
    </row>
    <row r="487" spans="1:31" x14ac:dyDescent="0.3">
      <c r="A487" s="187">
        <v>14</v>
      </c>
      <c r="B487" s="242">
        <f t="shared" si="137"/>
        <v>46054</v>
      </c>
      <c r="C487" s="243">
        <f t="shared" si="120"/>
        <v>46081</v>
      </c>
      <c r="D487" s="120">
        <f t="shared" si="121"/>
        <v>28</v>
      </c>
      <c r="E487" s="120">
        <f t="shared" si="122"/>
        <v>2</v>
      </c>
      <c r="F487" s="275">
        <f t="shared" si="123"/>
        <v>46068</v>
      </c>
      <c r="G487" s="120">
        <f t="shared" si="124"/>
        <v>24313</v>
      </c>
      <c r="H487" s="245">
        <f t="shared" si="125"/>
        <v>1</v>
      </c>
      <c r="I487" s="121">
        <f t="shared" si="126"/>
        <v>1</v>
      </c>
      <c r="J487" s="121">
        <f t="shared" si="127"/>
        <v>1</v>
      </c>
      <c r="K487" s="120">
        <f t="shared" si="128"/>
        <v>0</v>
      </c>
      <c r="L487" s="120">
        <f t="shared" si="129"/>
        <v>0</v>
      </c>
      <c r="M487" s="246">
        <f t="shared" si="130"/>
        <v>0</v>
      </c>
      <c r="N487" s="121">
        <f t="shared" si="131"/>
        <v>1</v>
      </c>
      <c r="O487" s="246">
        <f t="shared" si="132"/>
        <v>0.90251641137855576</v>
      </c>
      <c r="P487" s="121">
        <f t="shared" si="133"/>
        <v>1</v>
      </c>
      <c r="Q487" s="121">
        <f t="shared" si="134"/>
        <v>0</v>
      </c>
      <c r="R487" s="121">
        <f t="shared" si="135"/>
        <v>0</v>
      </c>
      <c r="AE487" s="160">
        <f t="shared" si="136"/>
        <v>0.98099609932451703</v>
      </c>
    </row>
    <row r="488" spans="1:31" x14ac:dyDescent="0.3">
      <c r="A488" s="187">
        <v>15</v>
      </c>
      <c r="B488" s="242">
        <f t="shared" si="137"/>
        <v>46082</v>
      </c>
      <c r="C488" s="243">
        <f t="shared" si="120"/>
        <v>46112</v>
      </c>
      <c r="D488" s="120">
        <f t="shared" si="121"/>
        <v>31</v>
      </c>
      <c r="E488" s="120">
        <f t="shared" si="122"/>
        <v>3</v>
      </c>
      <c r="F488" s="275">
        <f t="shared" si="123"/>
        <v>46097.5</v>
      </c>
      <c r="G488" s="120">
        <f t="shared" si="124"/>
        <v>24314</v>
      </c>
      <c r="H488" s="245">
        <f t="shared" si="125"/>
        <v>1</v>
      </c>
      <c r="I488" s="121">
        <f t="shared" si="126"/>
        <v>1</v>
      </c>
      <c r="J488" s="121">
        <f t="shared" si="127"/>
        <v>1</v>
      </c>
      <c r="K488" s="120">
        <f t="shared" si="128"/>
        <v>0</v>
      </c>
      <c r="L488" s="120">
        <f t="shared" si="129"/>
        <v>0</v>
      </c>
      <c r="M488" s="246">
        <f t="shared" si="130"/>
        <v>0</v>
      </c>
      <c r="N488" s="121">
        <f t="shared" si="131"/>
        <v>1</v>
      </c>
      <c r="O488" s="246">
        <f t="shared" si="132"/>
        <v>0.90348468271334792</v>
      </c>
      <c r="P488" s="121">
        <f t="shared" si="133"/>
        <v>1</v>
      </c>
      <c r="Q488" s="121">
        <f t="shared" si="134"/>
        <v>0</v>
      </c>
      <c r="R488" s="121">
        <f t="shared" si="135"/>
        <v>0</v>
      </c>
      <c r="AE488" s="160">
        <f t="shared" si="136"/>
        <v>0.98204856816668251</v>
      </c>
    </row>
    <row r="489" spans="1:31" x14ac:dyDescent="0.3">
      <c r="A489" s="187">
        <v>16</v>
      </c>
      <c r="B489" s="242">
        <f t="shared" si="137"/>
        <v>46113</v>
      </c>
      <c r="C489" s="243">
        <f t="shared" si="120"/>
        <v>46142</v>
      </c>
      <c r="D489" s="120">
        <f t="shared" si="121"/>
        <v>30</v>
      </c>
      <c r="E489" s="120">
        <f t="shared" si="122"/>
        <v>4</v>
      </c>
      <c r="F489" s="275">
        <f t="shared" si="123"/>
        <v>46128</v>
      </c>
      <c r="G489" s="120">
        <f t="shared" si="124"/>
        <v>24315</v>
      </c>
      <c r="H489" s="245">
        <f t="shared" si="125"/>
        <v>1</v>
      </c>
      <c r="I489" s="121">
        <f t="shared" si="126"/>
        <v>1</v>
      </c>
      <c r="J489" s="121">
        <f t="shared" si="127"/>
        <v>1</v>
      </c>
      <c r="K489" s="120">
        <f t="shared" si="128"/>
        <v>0</v>
      </c>
      <c r="L489" s="120">
        <f t="shared" si="129"/>
        <v>0</v>
      </c>
      <c r="M489" s="246">
        <f t="shared" si="130"/>
        <v>0</v>
      </c>
      <c r="N489" s="121">
        <f t="shared" si="131"/>
        <v>1</v>
      </c>
      <c r="O489" s="246">
        <f t="shared" si="132"/>
        <v>0.90448577680525166</v>
      </c>
      <c r="P489" s="121">
        <f t="shared" si="133"/>
        <v>1</v>
      </c>
      <c r="Q489" s="121">
        <f t="shared" si="134"/>
        <v>0</v>
      </c>
      <c r="R489" s="121">
        <f t="shared" si="135"/>
        <v>0</v>
      </c>
      <c r="AE489" s="160">
        <f t="shared" si="136"/>
        <v>0.98313671391875179</v>
      </c>
    </row>
    <row r="490" spans="1:31" x14ac:dyDescent="0.3">
      <c r="A490" s="187">
        <v>17</v>
      </c>
      <c r="B490" s="242">
        <f t="shared" si="137"/>
        <v>46143</v>
      </c>
      <c r="C490" s="243">
        <f t="shared" si="120"/>
        <v>46173</v>
      </c>
      <c r="D490" s="120">
        <f t="shared" si="121"/>
        <v>31</v>
      </c>
      <c r="E490" s="120">
        <f t="shared" si="122"/>
        <v>5</v>
      </c>
      <c r="F490" s="275">
        <f t="shared" si="123"/>
        <v>46158.5</v>
      </c>
      <c r="G490" s="120">
        <f t="shared" si="124"/>
        <v>24316</v>
      </c>
      <c r="H490" s="245">
        <f t="shared" si="125"/>
        <v>1</v>
      </c>
      <c r="I490" s="121">
        <f t="shared" si="126"/>
        <v>1</v>
      </c>
      <c r="J490" s="121">
        <f t="shared" si="127"/>
        <v>1</v>
      </c>
      <c r="K490" s="120">
        <f t="shared" si="128"/>
        <v>0</v>
      </c>
      <c r="L490" s="120">
        <f t="shared" si="129"/>
        <v>0</v>
      </c>
      <c r="M490" s="246">
        <f t="shared" si="130"/>
        <v>0</v>
      </c>
      <c r="N490" s="121">
        <f t="shared" si="131"/>
        <v>1</v>
      </c>
      <c r="O490" s="246">
        <f t="shared" si="132"/>
        <v>0.9054868708971554</v>
      </c>
      <c r="P490" s="121">
        <f t="shared" si="133"/>
        <v>1</v>
      </c>
      <c r="Q490" s="121">
        <f t="shared" si="134"/>
        <v>0</v>
      </c>
      <c r="R490" s="121">
        <f t="shared" si="135"/>
        <v>0</v>
      </c>
      <c r="AE490" s="160">
        <f t="shared" si="136"/>
        <v>0.98422485967082107</v>
      </c>
    </row>
    <row r="491" spans="1:31" x14ac:dyDescent="0.3">
      <c r="A491" s="187">
        <v>18</v>
      </c>
      <c r="B491" s="242">
        <f t="shared" si="137"/>
        <v>46174</v>
      </c>
      <c r="C491" s="243">
        <f t="shared" si="120"/>
        <v>46203</v>
      </c>
      <c r="D491" s="120">
        <f t="shared" si="121"/>
        <v>30</v>
      </c>
      <c r="E491" s="120">
        <f t="shared" si="122"/>
        <v>6</v>
      </c>
      <c r="F491" s="275">
        <f t="shared" si="123"/>
        <v>46189</v>
      </c>
      <c r="G491" s="120">
        <f t="shared" si="124"/>
        <v>24317</v>
      </c>
      <c r="H491" s="245">
        <f t="shared" si="125"/>
        <v>1</v>
      </c>
      <c r="I491" s="121">
        <f t="shared" si="126"/>
        <v>1</v>
      </c>
      <c r="J491" s="121">
        <f t="shared" si="127"/>
        <v>1</v>
      </c>
      <c r="K491" s="120">
        <f t="shared" si="128"/>
        <v>0</v>
      </c>
      <c r="L491" s="120">
        <f t="shared" si="129"/>
        <v>0</v>
      </c>
      <c r="M491" s="246">
        <f t="shared" si="130"/>
        <v>0</v>
      </c>
      <c r="N491" s="121">
        <f t="shared" si="131"/>
        <v>1</v>
      </c>
      <c r="O491" s="246">
        <f t="shared" si="132"/>
        <v>0.90648796498905915</v>
      </c>
      <c r="P491" s="121">
        <f t="shared" si="133"/>
        <v>1</v>
      </c>
      <c r="Q491" s="121">
        <f t="shared" si="134"/>
        <v>0</v>
      </c>
      <c r="R491" s="121">
        <f t="shared" si="135"/>
        <v>0</v>
      </c>
      <c r="AE491" s="160">
        <f t="shared" si="136"/>
        <v>0.98531300542289035</v>
      </c>
    </row>
    <row r="492" spans="1:31" x14ac:dyDescent="0.3">
      <c r="A492" s="187">
        <v>19</v>
      </c>
      <c r="B492" s="242">
        <f t="shared" si="137"/>
        <v>46204</v>
      </c>
      <c r="C492" s="243">
        <f t="shared" si="120"/>
        <v>46234</v>
      </c>
      <c r="D492" s="120">
        <f t="shared" si="121"/>
        <v>31</v>
      </c>
      <c r="E492" s="120">
        <f t="shared" si="122"/>
        <v>7</v>
      </c>
      <c r="F492" s="275">
        <f t="shared" si="123"/>
        <v>46219.5</v>
      </c>
      <c r="G492" s="120">
        <f t="shared" si="124"/>
        <v>24318</v>
      </c>
      <c r="H492" s="245">
        <f t="shared" si="125"/>
        <v>1</v>
      </c>
      <c r="I492" s="121">
        <f t="shared" si="126"/>
        <v>1</v>
      </c>
      <c r="J492" s="121">
        <f t="shared" si="127"/>
        <v>1</v>
      </c>
      <c r="K492" s="120">
        <f t="shared" si="128"/>
        <v>0</v>
      </c>
      <c r="L492" s="120">
        <f t="shared" si="129"/>
        <v>0</v>
      </c>
      <c r="M492" s="246">
        <f t="shared" si="130"/>
        <v>0</v>
      </c>
      <c r="N492" s="121">
        <f t="shared" si="131"/>
        <v>1</v>
      </c>
      <c r="O492" s="246">
        <f t="shared" si="132"/>
        <v>0.90748905908096278</v>
      </c>
      <c r="P492" s="121">
        <f t="shared" si="133"/>
        <v>0.91666666666666663</v>
      </c>
      <c r="Q492" s="121">
        <f t="shared" si="134"/>
        <v>8.333333333333337E-2</v>
      </c>
      <c r="R492" s="121">
        <f t="shared" si="135"/>
        <v>0</v>
      </c>
      <c r="AE492" s="160">
        <f t="shared" si="136"/>
        <v>0.98640115117495952</v>
      </c>
    </row>
    <row r="493" spans="1:31" x14ac:dyDescent="0.3">
      <c r="A493" s="187">
        <v>20</v>
      </c>
      <c r="B493" s="242">
        <f t="shared" si="137"/>
        <v>46235</v>
      </c>
      <c r="C493" s="243">
        <f t="shared" si="120"/>
        <v>46265</v>
      </c>
      <c r="D493" s="120">
        <f t="shared" si="121"/>
        <v>31</v>
      </c>
      <c r="E493" s="120">
        <f t="shared" si="122"/>
        <v>8</v>
      </c>
      <c r="F493" s="275">
        <f t="shared" si="123"/>
        <v>46250.5</v>
      </c>
      <c r="G493" s="120">
        <f t="shared" si="124"/>
        <v>24319</v>
      </c>
      <c r="H493" s="245">
        <f t="shared" si="125"/>
        <v>1</v>
      </c>
      <c r="I493" s="121">
        <f t="shared" si="126"/>
        <v>1</v>
      </c>
      <c r="J493" s="121">
        <f t="shared" si="127"/>
        <v>1</v>
      </c>
      <c r="K493" s="120">
        <f t="shared" si="128"/>
        <v>0</v>
      </c>
      <c r="L493" s="120">
        <f t="shared" si="129"/>
        <v>0</v>
      </c>
      <c r="M493" s="246">
        <f t="shared" si="130"/>
        <v>0</v>
      </c>
      <c r="N493" s="121">
        <f t="shared" si="131"/>
        <v>1</v>
      </c>
      <c r="O493" s="246">
        <f t="shared" si="132"/>
        <v>0.90850656455142231</v>
      </c>
      <c r="P493" s="121">
        <f t="shared" si="133"/>
        <v>0.75</v>
      </c>
      <c r="Q493" s="121">
        <f t="shared" si="134"/>
        <v>0.25</v>
      </c>
      <c r="R493" s="121">
        <f t="shared" si="135"/>
        <v>0</v>
      </c>
      <c r="AE493" s="160">
        <f t="shared" si="136"/>
        <v>0.98750713538198076</v>
      </c>
    </row>
    <row r="494" spans="1:31" x14ac:dyDescent="0.3">
      <c r="A494" s="187">
        <v>21</v>
      </c>
      <c r="B494" s="242">
        <f t="shared" si="137"/>
        <v>46266</v>
      </c>
      <c r="C494" s="243">
        <f t="shared" si="120"/>
        <v>46295</v>
      </c>
      <c r="D494" s="120">
        <f t="shared" si="121"/>
        <v>30</v>
      </c>
      <c r="E494" s="120">
        <f t="shared" si="122"/>
        <v>9</v>
      </c>
      <c r="F494" s="275">
        <f t="shared" si="123"/>
        <v>46281</v>
      </c>
      <c r="G494" s="120">
        <f t="shared" si="124"/>
        <v>24320</v>
      </c>
      <c r="H494" s="245">
        <f t="shared" si="125"/>
        <v>1</v>
      </c>
      <c r="I494" s="121">
        <f t="shared" si="126"/>
        <v>1</v>
      </c>
      <c r="J494" s="121">
        <f t="shared" si="127"/>
        <v>1</v>
      </c>
      <c r="K494" s="120">
        <f t="shared" si="128"/>
        <v>0</v>
      </c>
      <c r="L494" s="120">
        <f t="shared" si="129"/>
        <v>0</v>
      </c>
      <c r="M494" s="246">
        <f t="shared" si="130"/>
        <v>0</v>
      </c>
      <c r="N494" s="121">
        <f t="shared" si="131"/>
        <v>1</v>
      </c>
      <c r="O494" s="246">
        <f t="shared" si="132"/>
        <v>0.90950765864332606</v>
      </c>
      <c r="P494" s="121">
        <f t="shared" si="133"/>
        <v>0.58333333333333337</v>
      </c>
      <c r="Q494" s="121">
        <f t="shared" si="134"/>
        <v>0.41666666666666663</v>
      </c>
      <c r="R494" s="121">
        <f t="shared" si="135"/>
        <v>0</v>
      </c>
      <c r="AE494" s="160">
        <f t="shared" si="136"/>
        <v>0.98859528113405004</v>
      </c>
    </row>
    <row r="495" spans="1:31" x14ac:dyDescent="0.3">
      <c r="A495" s="187">
        <v>22</v>
      </c>
      <c r="B495" s="242">
        <f t="shared" si="137"/>
        <v>46296</v>
      </c>
      <c r="C495" s="243">
        <f t="shared" si="120"/>
        <v>46326</v>
      </c>
      <c r="D495" s="120">
        <f t="shared" si="121"/>
        <v>31</v>
      </c>
      <c r="E495" s="120">
        <f t="shared" si="122"/>
        <v>10</v>
      </c>
      <c r="F495" s="275">
        <f t="shared" si="123"/>
        <v>46311.5</v>
      </c>
      <c r="G495" s="120">
        <f t="shared" si="124"/>
        <v>24321</v>
      </c>
      <c r="H495" s="245">
        <f t="shared" si="125"/>
        <v>1</v>
      </c>
      <c r="I495" s="121">
        <f t="shared" si="126"/>
        <v>1</v>
      </c>
      <c r="J495" s="121">
        <f t="shared" si="127"/>
        <v>1</v>
      </c>
      <c r="K495" s="120">
        <f t="shared" si="128"/>
        <v>0</v>
      </c>
      <c r="L495" s="120">
        <f t="shared" si="129"/>
        <v>0</v>
      </c>
      <c r="M495" s="246">
        <f t="shared" si="130"/>
        <v>0</v>
      </c>
      <c r="N495" s="121">
        <f t="shared" si="131"/>
        <v>1</v>
      </c>
      <c r="O495" s="246">
        <f t="shared" si="132"/>
        <v>0.9105087527352298</v>
      </c>
      <c r="P495" s="121">
        <f t="shared" si="133"/>
        <v>0.41666666666666669</v>
      </c>
      <c r="Q495" s="121">
        <f t="shared" si="134"/>
        <v>0.58333333333333326</v>
      </c>
      <c r="R495" s="121">
        <f t="shared" si="135"/>
        <v>0</v>
      </c>
      <c r="AE495" s="160">
        <f t="shared" si="136"/>
        <v>0.98968342688611932</v>
      </c>
    </row>
    <row r="496" spans="1:31" x14ac:dyDescent="0.3">
      <c r="A496" s="187">
        <v>23</v>
      </c>
      <c r="B496" s="242">
        <f t="shared" si="137"/>
        <v>46327</v>
      </c>
      <c r="C496" s="243">
        <f t="shared" si="120"/>
        <v>46356</v>
      </c>
      <c r="D496" s="120">
        <f t="shared" si="121"/>
        <v>30</v>
      </c>
      <c r="E496" s="120">
        <f t="shared" si="122"/>
        <v>11</v>
      </c>
      <c r="F496" s="275">
        <f t="shared" si="123"/>
        <v>46342</v>
      </c>
      <c r="G496" s="120">
        <f t="shared" si="124"/>
        <v>24322</v>
      </c>
      <c r="H496" s="245">
        <f t="shared" si="125"/>
        <v>1</v>
      </c>
      <c r="I496" s="121">
        <f t="shared" si="126"/>
        <v>1</v>
      </c>
      <c r="J496" s="121">
        <f t="shared" si="127"/>
        <v>1</v>
      </c>
      <c r="K496" s="120">
        <f t="shared" si="128"/>
        <v>0</v>
      </c>
      <c r="L496" s="120">
        <f t="shared" si="129"/>
        <v>0</v>
      </c>
      <c r="M496" s="246">
        <f t="shared" si="130"/>
        <v>0</v>
      </c>
      <c r="N496" s="121">
        <f t="shared" si="131"/>
        <v>1</v>
      </c>
      <c r="O496" s="246">
        <f t="shared" si="132"/>
        <v>0.91150984682713354</v>
      </c>
      <c r="P496" s="121">
        <f t="shared" si="133"/>
        <v>0.25</v>
      </c>
      <c r="Q496" s="121">
        <f t="shared" si="134"/>
        <v>0.75</v>
      </c>
      <c r="R496" s="121">
        <f t="shared" si="135"/>
        <v>0</v>
      </c>
      <c r="AE496" s="160">
        <f t="shared" si="136"/>
        <v>0.9907715726381886</v>
      </c>
    </row>
    <row r="497" spans="1:35" x14ac:dyDescent="0.3">
      <c r="A497" s="187">
        <v>24</v>
      </c>
      <c r="B497" s="242">
        <f t="shared" si="137"/>
        <v>46357</v>
      </c>
      <c r="C497" s="243">
        <f t="shared" si="120"/>
        <v>46387</v>
      </c>
      <c r="D497" s="120">
        <f t="shared" si="121"/>
        <v>31</v>
      </c>
      <c r="E497" s="120">
        <f t="shared" si="122"/>
        <v>12</v>
      </c>
      <c r="F497" s="275">
        <f t="shared" si="123"/>
        <v>46372.5</v>
      </c>
      <c r="G497" s="120">
        <f t="shared" si="124"/>
        <v>24323</v>
      </c>
      <c r="H497" s="245">
        <f t="shared" si="125"/>
        <v>1</v>
      </c>
      <c r="I497" s="121">
        <f t="shared" si="126"/>
        <v>1</v>
      </c>
      <c r="J497" s="121">
        <f t="shared" si="127"/>
        <v>1</v>
      </c>
      <c r="K497" s="120">
        <f t="shared" si="128"/>
        <v>0</v>
      </c>
      <c r="L497" s="120">
        <f t="shared" si="129"/>
        <v>0</v>
      </c>
      <c r="M497" s="246">
        <f t="shared" si="130"/>
        <v>0</v>
      </c>
      <c r="N497" s="121">
        <f t="shared" si="131"/>
        <v>1</v>
      </c>
      <c r="O497" s="246">
        <f t="shared" si="132"/>
        <v>0.91251094091903728</v>
      </c>
      <c r="P497" s="121">
        <f t="shared" si="133"/>
        <v>8.3333333333333329E-2</v>
      </c>
      <c r="Q497" s="121">
        <f t="shared" si="134"/>
        <v>0.91666666666666663</v>
      </c>
      <c r="R497" s="121">
        <f t="shared" si="135"/>
        <v>0</v>
      </c>
      <c r="AE497" s="160">
        <f t="shared" si="136"/>
        <v>0.99185971839025788</v>
      </c>
    </row>
    <row r="498" spans="1:35" x14ac:dyDescent="0.3">
      <c r="A498" s="187">
        <v>25</v>
      </c>
      <c r="B498" s="242">
        <f t="shared" si="137"/>
        <v>46388</v>
      </c>
      <c r="C498" s="243">
        <f t="shared" si="120"/>
        <v>46418</v>
      </c>
      <c r="D498" s="120">
        <f t="shared" si="121"/>
        <v>31</v>
      </c>
      <c r="E498" s="120">
        <f t="shared" si="122"/>
        <v>1</v>
      </c>
      <c r="F498" s="275">
        <f t="shared" si="123"/>
        <v>46403.5</v>
      </c>
      <c r="G498" s="120">
        <f t="shared" si="124"/>
        <v>24324</v>
      </c>
      <c r="H498" s="245">
        <f t="shared" si="125"/>
        <v>1</v>
      </c>
      <c r="I498" s="121">
        <f t="shared" si="126"/>
        <v>1</v>
      </c>
      <c r="J498" s="121">
        <f t="shared" si="127"/>
        <v>1</v>
      </c>
      <c r="K498" s="120">
        <f t="shared" si="128"/>
        <v>0</v>
      </c>
      <c r="L498" s="120">
        <f t="shared" si="129"/>
        <v>0</v>
      </c>
      <c r="M498" s="246">
        <f t="shared" si="130"/>
        <v>0</v>
      </c>
      <c r="N498" s="121">
        <f t="shared" si="131"/>
        <v>1</v>
      </c>
      <c r="O498" s="246">
        <f t="shared" si="132"/>
        <v>0.91352844638949671</v>
      </c>
      <c r="P498" s="121">
        <f t="shared" si="133"/>
        <v>0</v>
      </c>
      <c r="Q498" s="121">
        <f t="shared" si="134"/>
        <v>1</v>
      </c>
      <c r="R498" s="121">
        <f t="shared" si="135"/>
        <v>0</v>
      </c>
      <c r="W498" s="160">
        <f t="shared" ref="W498:W509" si="138">IF($G498&lt;&gt;$Q$471,$N498,(1-$U$471)*$I498+$U$471*$J498)</f>
        <v>1</v>
      </c>
      <c r="X498" s="160">
        <f t="shared" ref="X498:X509" si="139">IF($G498&lt;$Q$471,0,IF($G498&gt;$Q$471,$N498,$U$471*$J498))</f>
        <v>0</v>
      </c>
      <c r="Y498" s="160">
        <f t="shared" ref="Y498:Y509" si="140">IF($F$471=1,$O498/$O486,1)</f>
        <v>1.0132885930474567</v>
      </c>
      <c r="AB498" s="160">
        <f t="shared" ref="AB498:AB509" si="141">IF(AND(N($K$471)&lt;&gt;0,$F498&lt;=$B$472),0,($F498-$B$472)/($C$472-$B$472))</f>
        <v>0.23522975929978118</v>
      </c>
      <c r="AC498" s="220">
        <f t="shared" ref="AC498:AC509" si="142">IF(AND(N($K$471)&lt;&gt;0,$F498&lt;=$B$472),$O498,$F$472*(1-$AB498))</f>
        <v>0.69594091903719912</v>
      </c>
      <c r="AD498" s="160">
        <f t="shared" ref="AD498:AD509" si="143">$H498*($W498+$X498*IF(ISNUMBER($F$522),$F$522,0))/($N486*$O486)</f>
        <v>1.1092031091667021</v>
      </c>
      <c r="AE498" s="160">
        <f t="shared" si="136"/>
        <v>0.99296570259727901</v>
      </c>
      <c r="AF498" s="220">
        <f t="shared" ref="AF498:AF509" si="144">IF($G498&lt;$Q$471,0,IF($G498&gt;$Q$471,1,$U$471))</f>
        <v>0</v>
      </c>
      <c r="AG498" s="183" t="str">
        <f t="shared" ref="AG498:AG509" si="145">IF(OR($D$471=0,$P$471=0),"",($W498+$X498*IF(ISNUMBER($F$522),$F$522,0))/$N486-1)</f>
        <v/>
      </c>
      <c r="AH498" s="183" t="str">
        <f t="shared" ref="AH498:AH509" si="146">IF(OR($AG498="",$F$471=0),"",(1+$E$471)/(1+$AG498)-1)</f>
        <v/>
      </c>
      <c r="AI498" s="220" t="str">
        <f t="shared" ref="AI498:AI509" si="147">IF($AH498="","",$O486*(1+$E$471)/(1+$AG498))</f>
        <v/>
      </c>
    </row>
    <row r="499" spans="1:35" x14ac:dyDescent="0.3">
      <c r="A499" s="187">
        <v>26</v>
      </c>
      <c r="B499" s="242">
        <f t="shared" si="137"/>
        <v>46419</v>
      </c>
      <c r="C499" s="243">
        <f t="shared" si="120"/>
        <v>46446</v>
      </c>
      <c r="D499" s="120">
        <f t="shared" si="121"/>
        <v>28</v>
      </c>
      <c r="E499" s="120">
        <f t="shared" si="122"/>
        <v>2</v>
      </c>
      <c r="F499" s="275">
        <f t="shared" si="123"/>
        <v>46433</v>
      </c>
      <c r="G499" s="120">
        <f t="shared" si="124"/>
        <v>24325</v>
      </c>
      <c r="H499" s="245">
        <f t="shared" si="125"/>
        <v>1</v>
      </c>
      <c r="I499" s="121">
        <f t="shared" si="126"/>
        <v>1</v>
      </c>
      <c r="J499" s="121">
        <f t="shared" si="127"/>
        <v>1</v>
      </c>
      <c r="K499" s="120">
        <f t="shared" si="128"/>
        <v>0</v>
      </c>
      <c r="L499" s="120">
        <f t="shared" si="129"/>
        <v>0</v>
      </c>
      <c r="M499" s="246">
        <f t="shared" si="130"/>
        <v>0</v>
      </c>
      <c r="N499" s="121">
        <f t="shared" si="131"/>
        <v>1</v>
      </c>
      <c r="O499" s="246">
        <f t="shared" si="132"/>
        <v>0.91449671772428887</v>
      </c>
      <c r="P499" s="121">
        <f t="shared" si="133"/>
        <v>0</v>
      </c>
      <c r="Q499" s="121">
        <f t="shared" si="134"/>
        <v>1</v>
      </c>
      <c r="R499" s="121">
        <f t="shared" si="135"/>
        <v>0</v>
      </c>
      <c r="W499" s="160">
        <f t="shared" si="138"/>
        <v>1</v>
      </c>
      <c r="X499" s="160">
        <f t="shared" si="139"/>
        <v>0</v>
      </c>
      <c r="Y499" s="160">
        <f t="shared" si="140"/>
        <v>1.013274336283186</v>
      </c>
      <c r="AB499" s="160">
        <f t="shared" si="141"/>
        <v>0.29978118161925604</v>
      </c>
      <c r="AC499" s="220">
        <f t="shared" si="142"/>
        <v>0.637199124726477</v>
      </c>
      <c r="AD499" s="160">
        <f t="shared" si="143"/>
        <v>1.1080130924960603</v>
      </c>
      <c r="AE499" s="160">
        <f t="shared" si="136"/>
        <v>0.99401817143944438</v>
      </c>
      <c r="AF499" s="220">
        <f t="shared" si="144"/>
        <v>0</v>
      </c>
      <c r="AG499" s="183" t="str">
        <f t="shared" si="145"/>
        <v/>
      </c>
      <c r="AH499" s="183" t="str">
        <f t="shared" si="146"/>
        <v/>
      </c>
      <c r="AI499" s="220" t="str">
        <f t="shared" si="147"/>
        <v/>
      </c>
    </row>
    <row r="500" spans="1:35" x14ac:dyDescent="0.3">
      <c r="A500" s="187">
        <v>27</v>
      </c>
      <c r="B500" s="242">
        <f t="shared" si="137"/>
        <v>46447</v>
      </c>
      <c r="C500" s="243">
        <f t="shared" si="120"/>
        <v>46477</v>
      </c>
      <c r="D500" s="120">
        <f t="shared" si="121"/>
        <v>31</v>
      </c>
      <c r="E500" s="120">
        <f t="shared" si="122"/>
        <v>3</v>
      </c>
      <c r="F500" s="275">
        <f t="shared" si="123"/>
        <v>46462.5</v>
      </c>
      <c r="G500" s="120">
        <f t="shared" si="124"/>
        <v>24326</v>
      </c>
      <c r="H500" s="245">
        <f t="shared" si="125"/>
        <v>1</v>
      </c>
      <c r="I500" s="121">
        <f t="shared" si="126"/>
        <v>1</v>
      </c>
      <c r="J500" s="121">
        <f t="shared" si="127"/>
        <v>1</v>
      </c>
      <c r="K500" s="120">
        <f t="shared" si="128"/>
        <v>0</v>
      </c>
      <c r="L500" s="120">
        <f t="shared" si="129"/>
        <v>0</v>
      </c>
      <c r="M500" s="246">
        <f t="shared" si="130"/>
        <v>0</v>
      </c>
      <c r="N500" s="121">
        <f t="shared" si="131"/>
        <v>1</v>
      </c>
      <c r="O500" s="246">
        <f t="shared" si="132"/>
        <v>0.91546498905908102</v>
      </c>
      <c r="P500" s="121">
        <f t="shared" si="133"/>
        <v>0</v>
      </c>
      <c r="Q500" s="121">
        <f t="shared" si="134"/>
        <v>1</v>
      </c>
      <c r="R500" s="121">
        <f t="shared" si="135"/>
        <v>0</v>
      </c>
      <c r="W500" s="160">
        <f t="shared" si="138"/>
        <v>1</v>
      </c>
      <c r="X500" s="160">
        <f t="shared" si="139"/>
        <v>0</v>
      </c>
      <c r="Y500" s="160">
        <f t="shared" si="140"/>
        <v>1.0132601100770782</v>
      </c>
      <c r="AB500" s="160">
        <f t="shared" si="141"/>
        <v>0.36433260393873085</v>
      </c>
      <c r="AC500" s="220">
        <f t="shared" si="142"/>
        <v>0.57845733041575487</v>
      </c>
      <c r="AD500" s="160">
        <f t="shared" si="143"/>
        <v>1.106825626525064</v>
      </c>
      <c r="AE500" s="160">
        <f t="shared" si="136"/>
        <v>0.99507064028160963</v>
      </c>
      <c r="AF500" s="220">
        <f t="shared" si="144"/>
        <v>0</v>
      </c>
      <c r="AG500" s="183" t="str">
        <f t="shared" si="145"/>
        <v/>
      </c>
      <c r="AH500" s="183" t="str">
        <f t="shared" si="146"/>
        <v/>
      </c>
      <c r="AI500" s="220" t="str">
        <f t="shared" si="147"/>
        <v/>
      </c>
    </row>
    <row r="501" spans="1:35" x14ac:dyDescent="0.3">
      <c r="A501" s="187">
        <v>28</v>
      </c>
      <c r="B501" s="242">
        <f t="shared" si="137"/>
        <v>46478</v>
      </c>
      <c r="C501" s="243">
        <f t="shared" si="120"/>
        <v>46507</v>
      </c>
      <c r="D501" s="120">
        <f t="shared" si="121"/>
        <v>30</v>
      </c>
      <c r="E501" s="120">
        <f t="shared" si="122"/>
        <v>4</v>
      </c>
      <c r="F501" s="275">
        <f t="shared" si="123"/>
        <v>46493</v>
      </c>
      <c r="G501" s="120">
        <f t="shared" si="124"/>
        <v>24327</v>
      </c>
      <c r="H501" s="245">
        <f t="shared" si="125"/>
        <v>1</v>
      </c>
      <c r="I501" s="121">
        <f t="shared" si="126"/>
        <v>1</v>
      </c>
      <c r="J501" s="121">
        <f t="shared" si="127"/>
        <v>1</v>
      </c>
      <c r="K501" s="120">
        <f t="shared" si="128"/>
        <v>0</v>
      </c>
      <c r="L501" s="120">
        <f t="shared" si="129"/>
        <v>0</v>
      </c>
      <c r="M501" s="246">
        <f t="shared" si="130"/>
        <v>0</v>
      </c>
      <c r="N501" s="121">
        <f t="shared" si="131"/>
        <v>1</v>
      </c>
      <c r="O501" s="246">
        <f t="shared" si="132"/>
        <v>0.91646608315098477</v>
      </c>
      <c r="P501" s="121">
        <f t="shared" si="133"/>
        <v>0</v>
      </c>
      <c r="Q501" s="121">
        <f t="shared" si="134"/>
        <v>1</v>
      </c>
      <c r="R501" s="121">
        <f t="shared" si="135"/>
        <v>0</v>
      </c>
      <c r="W501" s="160">
        <f t="shared" si="138"/>
        <v>1</v>
      </c>
      <c r="X501" s="160">
        <f t="shared" si="139"/>
        <v>1</v>
      </c>
      <c r="Y501" s="160">
        <f t="shared" si="140"/>
        <v>1.013245433651869</v>
      </c>
      <c r="AB501" s="160">
        <f t="shared" si="141"/>
        <v>0.4310722100656455</v>
      </c>
      <c r="AC501" s="220">
        <f t="shared" si="142"/>
        <v>0.51772428884026267</v>
      </c>
      <c r="AD501" s="160">
        <f t="shared" si="143"/>
        <v>1.105600580621749</v>
      </c>
      <c r="AE501" s="160">
        <f t="shared" si="136"/>
        <v>0.99615878603367902</v>
      </c>
      <c r="AF501" s="220">
        <f t="shared" si="144"/>
        <v>1</v>
      </c>
      <c r="AG501" s="183" t="str">
        <f t="shared" si="145"/>
        <v/>
      </c>
      <c r="AH501" s="183" t="str">
        <f t="shared" si="146"/>
        <v/>
      </c>
      <c r="AI501" s="220" t="str">
        <f t="shared" si="147"/>
        <v/>
      </c>
    </row>
    <row r="502" spans="1:35" x14ac:dyDescent="0.3">
      <c r="A502" s="187">
        <v>29</v>
      </c>
      <c r="B502" s="242">
        <f t="shared" si="137"/>
        <v>46508</v>
      </c>
      <c r="C502" s="243">
        <f t="shared" si="120"/>
        <v>46538</v>
      </c>
      <c r="D502" s="120">
        <f t="shared" si="121"/>
        <v>31</v>
      </c>
      <c r="E502" s="120">
        <f t="shared" si="122"/>
        <v>5</v>
      </c>
      <c r="F502" s="275">
        <f t="shared" si="123"/>
        <v>46523.5</v>
      </c>
      <c r="G502" s="120">
        <f t="shared" si="124"/>
        <v>24328</v>
      </c>
      <c r="H502" s="245">
        <f t="shared" si="125"/>
        <v>1</v>
      </c>
      <c r="I502" s="121">
        <f t="shared" si="126"/>
        <v>1</v>
      </c>
      <c r="J502" s="121">
        <f t="shared" si="127"/>
        <v>1</v>
      </c>
      <c r="K502" s="120">
        <f t="shared" si="128"/>
        <v>0</v>
      </c>
      <c r="L502" s="120">
        <f t="shared" si="129"/>
        <v>0</v>
      </c>
      <c r="M502" s="246">
        <f t="shared" si="130"/>
        <v>0</v>
      </c>
      <c r="N502" s="121">
        <f t="shared" si="131"/>
        <v>1</v>
      </c>
      <c r="O502" s="246">
        <f t="shared" si="132"/>
        <v>0.9174671772428884</v>
      </c>
      <c r="P502" s="121">
        <f t="shared" si="133"/>
        <v>0</v>
      </c>
      <c r="Q502" s="121">
        <f t="shared" si="134"/>
        <v>1</v>
      </c>
      <c r="R502" s="121">
        <f t="shared" si="135"/>
        <v>0</v>
      </c>
      <c r="W502" s="160">
        <f t="shared" si="138"/>
        <v>1</v>
      </c>
      <c r="X502" s="160">
        <f t="shared" si="139"/>
        <v>1</v>
      </c>
      <c r="Y502" s="160">
        <f t="shared" si="140"/>
        <v>1.0132307896787758</v>
      </c>
      <c r="AB502" s="160">
        <f t="shared" si="141"/>
        <v>0.49781181619256015</v>
      </c>
      <c r="AC502" s="220">
        <f t="shared" si="142"/>
        <v>0.45699124726477025</v>
      </c>
      <c r="AD502" s="160">
        <f t="shared" si="143"/>
        <v>1.1043782435069447</v>
      </c>
      <c r="AE502" s="160">
        <f t="shared" si="136"/>
        <v>0.99724693178574819</v>
      </c>
      <c r="AF502" s="220">
        <f t="shared" si="144"/>
        <v>1</v>
      </c>
      <c r="AG502" s="183" t="str">
        <f t="shared" si="145"/>
        <v/>
      </c>
      <c r="AH502" s="183" t="str">
        <f t="shared" si="146"/>
        <v/>
      </c>
      <c r="AI502" s="220" t="str">
        <f t="shared" si="147"/>
        <v/>
      </c>
    </row>
    <row r="503" spans="1:35" x14ac:dyDescent="0.3">
      <c r="A503" s="187">
        <v>30</v>
      </c>
      <c r="B503" s="242">
        <f t="shared" si="137"/>
        <v>46539</v>
      </c>
      <c r="C503" s="243">
        <f t="shared" si="120"/>
        <v>46568</v>
      </c>
      <c r="D503" s="120">
        <f t="shared" si="121"/>
        <v>30</v>
      </c>
      <c r="E503" s="120">
        <f t="shared" si="122"/>
        <v>6</v>
      </c>
      <c r="F503" s="275">
        <f t="shared" si="123"/>
        <v>46554</v>
      </c>
      <c r="G503" s="120">
        <f t="shared" si="124"/>
        <v>24329</v>
      </c>
      <c r="H503" s="245">
        <f t="shared" si="125"/>
        <v>1</v>
      </c>
      <c r="I503" s="121">
        <f t="shared" si="126"/>
        <v>1</v>
      </c>
      <c r="J503" s="121">
        <f t="shared" si="127"/>
        <v>1</v>
      </c>
      <c r="K503" s="120">
        <f t="shared" si="128"/>
        <v>0</v>
      </c>
      <c r="L503" s="120">
        <f t="shared" si="129"/>
        <v>0</v>
      </c>
      <c r="M503" s="246">
        <f t="shared" si="130"/>
        <v>0</v>
      </c>
      <c r="N503" s="121">
        <f t="shared" si="131"/>
        <v>1</v>
      </c>
      <c r="O503" s="246">
        <f t="shared" si="132"/>
        <v>0.91846827133479214</v>
      </c>
      <c r="P503" s="121">
        <f t="shared" si="133"/>
        <v>0</v>
      </c>
      <c r="Q503" s="121">
        <f t="shared" si="134"/>
        <v>1</v>
      </c>
      <c r="R503" s="121">
        <f t="shared" si="135"/>
        <v>0</v>
      </c>
      <c r="W503" s="160">
        <f t="shared" si="138"/>
        <v>1</v>
      </c>
      <c r="X503" s="160">
        <f t="shared" si="139"/>
        <v>1</v>
      </c>
      <c r="Y503" s="160">
        <f t="shared" si="140"/>
        <v>1.0132161780502817</v>
      </c>
      <c r="AB503" s="160">
        <f t="shared" si="141"/>
        <v>0.56455142231947486</v>
      </c>
      <c r="AC503" s="220">
        <f t="shared" si="142"/>
        <v>0.39625820568927789</v>
      </c>
      <c r="AD503" s="160">
        <f t="shared" si="143"/>
        <v>1.1031586062061722</v>
      </c>
      <c r="AE503" s="160">
        <f t="shared" si="136"/>
        <v>0.99833507753781758</v>
      </c>
      <c r="AF503" s="220">
        <f t="shared" si="144"/>
        <v>1</v>
      </c>
      <c r="AG503" s="183" t="str">
        <f t="shared" si="145"/>
        <v/>
      </c>
      <c r="AH503" s="183" t="str">
        <f t="shared" si="146"/>
        <v/>
      </c>
      <c r="AI503" s="220" t="str">
        <f t="shared" si="147"/>
        <v/>
      </c>
    </row>
    <row r="504" spans="1:35" x14ac:dyDescent="0.3">
      <c r="A504" s="187">
        <v>31</v>
      </c>
      <c r="B504" s="242">
        <f t="shared" si="137"/>
        <v>46569</v>
      </c>
      <c r="C504" s="243">
        <f t="shared" si="120"/>
        <v>46599</v>
      </c>
      <c r="D504" s="120">
        <f t="shared" si="121"/>
        <v>31</v>
      </c>
      <c r="E504" s="120">
        <f t="shared" si="122"/>
        <v>7</v>
      </c>
      <c r="F504" s="275">
        <f t="shared" si="123"/>
        <v>46584.5</v>
      </c>
      <c r="G504" s="120">
        <f t="shared" si="124"/>
        <v>24330</v>
      </c>
      <c r="H504" s="245">
        <f t="shared" si="125"/>
        <v>1</v>
      </c>
      <c r="I504" s="121">
        <f t="shared" si="126"/>
        <v>1</v>
      </c>
      <c r="J504" s="121">
        <f t="shared" si="127"/>
        <v>1</v>
      </c>
      <c r="K504" s="120">
        <f t="shared" si="128"/>
        <v>0</v>
      </c>
      <c r="L504" s="120">
        <f t="shared" si="129"/>
        <v>0</v>
      </c>
      <c r="M504" s="246">
        <f t="shared" si="130"/>
        <v>0</v>
      </c>
      <c r="N504" s="121">
        <f t="shared" si="131"/>
        <v>1</v>
      </c>
      <c r="O504" s="246">
        <f t="shared" si="132"/>
        <v>0.91946936542669588</v>
      </c>
      <c r="P504" s="121">
        <f t="shared" si="133"/>
        <v>0</v>
      </c>
      <c r="Q504" s="121">
        <f t="shared" si="134"/>
        <v>0.91666666666666663</v>
      </c>
      <c r="R504" s="121">
        <f t="shared" si="135"/>
        <v>8.333333333333337E-2</v>
      </c>
      <c r="W504" s="160">
        <f t="shared" si="138"/>
        <v>1</v>
      </c>
      <c r="X504" s="160">
        <f t="shared" si="139"/>
        <v>1</v>
      </c>
      <c r="Y504" s="160">
        <f t="shared" si="140"/>
        <v>1.0132015986593446</v>
      </c>
      <c r="AB504" s="160">
        <f t="shared" si="141"/>
        <v>0.63129102844638951</v>
      </c>
      <c r="AC504" s="220">
        <f t="shared" si="142"/>
        <v>0.33552516411378558</v>
      </c>
      <c r="AD504" s="160">
        <f t="shared" si="143"/>
        <v>1.1019416597845548</v>
      </c>
      <c r="AE504" s="160">
        <f t="shared" si="136"/>
        <v>0.99942322328988675</v>
      </c>
      <c r="AF504" s="220">
        <f t="shared" si="144"/>
        <v>1</v>
      </c>
      <c r="AG504" s="183" t="str">
        <f t="shared" si="145"/>
        <v/>
      </c>
      <c r="AH504" s="183" t="str">
        <f t="shared" si="146"/>
        <v/>
      </c>
      <c r="AI504" s="220" t="str">
        <f t="shared" si="147"/>
        <v/>
      </c>
    </row>
    <row r="505" spans="1:35" x14ac:dyDescent="0.3">
      <c r="A505" s="187">
        <v>32</v>
      </c>
      <c r="B505" s="242">
        <f t="shared" si="137"/>
        <v>46600</v>
      </c>
      <c r="C505" s="243">
        <f t="shared" si="120"/>
        <v>46630</v>
      </c>
      <c r="D505" s="120">
        <f t="shared" si="121"/>
        <v>31</v>
      </c>
      <c r="E505" s="120">
        <f t="shared" si="122"/>
        <v>8</v>
      </c>
      <c r="F505" s="275">
        <f t="shared" si="123"/>
        <v>46615.5</v>
      </c>
      <c r="G505" s="120">
        <f t="shared" si="124"/>
        <v>24331</v>
      </c>
      <c r="H505" s="245">
        <f t="shared" si="125"/>
        <v>1</v>
      </c>
      <c r="I505" s="121">
        <f t="shared" si="126"/>
        <v>1</v>
      </c>
      <c r="J505" s="121">
        <f t="shared" si="127"/>
        <v>1</v>
      </c>
      <c r="K505" s="120">
        <f t="shared" si="128"/>
        <v>0</v>
      </c>
      <c r="L505" s="120">
        <f t="shared" si="129"/>
        <v>0</v>
      </c>
      <c r="M505" s="246">
        <f t="shared" si="130"/>
        <v>0</v>
      </c>
      <c r="N505" s="121">
        <f t="shared" si="131"/>
        <v>1</v>
      </c>
      <c r="O505" s="246">
        <f t="shared" si="132"/>
        <v>0.92048687089715542</v>
      </c>
      <c r="P505" s="121">
        <f t="shared" si="133"/>
        <v>0</v>
      </c>
      <c r="Q505" s="121">
        <f t="shared" si="134"/>
        <v>0.75</v>
      </c>
      <c r="R505" s="121">
        <f t="shared" si="135"/>
        <v>0.25</v>
      </c>
      <c r="W505" s="160">
        <f t="shared" si="138"/>
        <v>1</v>
      </c>
      <c r="X505" s="160">
        <f t="shared" si="139"/>
        <v>1</v>
      </c>
      <c r="Y505" s="160">
        <f t="shared" si="140"/>
        <v>1.0131868131868134</v>
      </c>
      <c r="AB505" s="160">
        <f t="shared" si="141"/>
        <v>0.69912472647702406</v>
      </c>
      <c r="AC505" s="220">
        <f t="shared" si="142"/>
        <v>0.27379649890590813</v>
      </c>
      <c r="AD505" s="160">
        <f t="shared" si="143"/>
        <v>1.1007075116664158</v>
      </c>
      <c r="AE505" s="160">
        <f t="shared" si="136"/>
        <v>1.0005292074969081</v>
      </c>
      <c r="AF505" s="220">
        <f t="shared" si="144"/>
        <v>1</v>
      </c>
      <c r="AG505" s="183" t="str">
        <f t="shared" si="145"/>
        <v/>
      </c>
      <c r="AH505" s="183" t="str">
        <f t="shared" si="146"/>
        <v/>
      </c>
      <c r="AI505" s="220" t="str">
        <f t="shared" si="147"/>
        <v/>
      </c>
    </row>
    <row r="506" spans="1:35" x14ac:dyDescent="0.3">
      <c r="A506" s="187">
        <v>33</v>
      </c>
      <c r="B506" s="242">
        <f t="shared" si="137"/>
        <v>46631</v>
      </c>
      <c r="C506" s="243">
        <f t="shared" si="120"/>
        <v>46660</v>
      </c>
      <c r="D506" s="120">
        <f t="shared" si="121"/>
        <v>30</v>
      </c>
      <c r="E506" s="120">
        <f t="shared" si="122"/>
        <v>9</v>
      </c>
      <c r="F506" s="275">
        <f t="shared" si="123"/>
        <v>46646</v>
      </c>
      <c r="G506" s="120">
        <f t="shared" si="124"/>
        <v>24332</v>
      </c>
      <c r="H506" s="245">
        <f t="shared" si="125"/>
        <v>1</v>
      </c>
      <c r="I506" s="121">
        <f t="shared" si="126"/>
        <v>1</v>
      </c>
      <c r="J506" s="121">
        <f t="shared" si="127"/>
        <v>1</v>
      </c>
      <c r="K506" s="120">
        <f t="shared" si="128"/>
        <v>0</v>
      </c>
      <c r="L506" s="120">
        <f t="shared" si="129"/>
        <v>0</v>
      </c>
      <c r="M506" s="246">
        <f t="shared" si="130"/>
        <v>0</v>
      </c>
      <c r="N506" s="121">
        <f t="shared" si="131"/>
        <v>1</v>
      </c>
      <c r="O506" s="246">
        <f t="shared" si="132"/>
        <v>0.92148796498905916</v>
      </c>
      <c r="P506" s="121">
        <f t="shared" si="133"/>
        <v>0</v>
      </c>
      <c r="Q506" s="121">
        <f t="shared" si="134"/>
        <v>0.58333333333333337</v>
      </c>
      <c r="R506" s="121">
        <f t="shared" si="135"/>
        <v>0.41666666666666663</v>
      </c>
      <c r="W506" s="160">
        <f t="shared" si="138"/>
        <v>1</v>
      </c>
      <c r="X506" s="160">
        <f t="shared" si="139"/>
        <v>1</v>
      </c>
      <c r="Y506" s="160">
        <f t="shared" si="140"/>
        <v>1.0131722984758629</v>
      </c>
      <c r="AB506" s="160">
        <f t="shared" si="141"/>
        <v>0.76586433260393871</v>
      </c>
      <c r="AC506" s="220">
        <f t="shared" si="142"/>
        <v>0.21306345733041579</v>
      </c>
      <c r="AD506" s="160">
        <f t="shared" si="143"/>
        <v>1.099495964103983</v>
      </c>
      <c r="AE506" s="160">
        <f t="shared" si="136"/>
        <v>1.0016173532489774</v>
      </c>
      <c r="AF506" s="220">
        <f t="shared" si="144"/>
        <v>1</v>
      </c>
      <c r="AG506" s="183" t="str">
        <f t="shared" si="145"/>
        <v/>
      </c>
      <c r="AH506" s="183" t="str">
        <f t="shared" si="146"/>
        <v/>
      </c>
      <c r="AI506" s="220" t="str">
        <f t="shared" si="147"/>
        <v/>
      </c>
    </row>
    <row r="507" spans="1:35" x14ac:dyDescent="0.3">
      <c r="A507" s="187">
        <v>34</v>
      </c>
      <c r="B507" s="242">
        <f t="shared" si="137"/>
        <v>46661</v>
      </c>
      <c r="C507" s="243">
        <f t="shared" si="120"/>
        <v>46691</v>
      </c>
      <c r="D507" s="120">
        <f t="shared" si="121"/>
        <v>31</v>
      </c>
      <c r="E507" s="120">
        <f t="shared" si="122"/>
        <v>10</v>
      </c>
      <c r="F507" s="275">
        <f t="shared" si="123"/>
        <v>46676.5</v>
      </c>
      <c r="G507" s="120">
        <f t="shared" si="124"/>
        <v>24333</v>
      </c>
      <c r="H507" s="245">
        <f t="shared" si="125"/>
        <v>1</v>
      </c>
      <c r="I507" s="121">
        <f t="shared" si="126"/>
        <v>1</v>
      </c>
      <c r="J507" s="121">
        <f t="shared" si="127"/>
        <v>1</v>
      </c>
      <c r="K507" s="120">
        <f t="shared" si="128"/>
        <v>0</v>
      </c>
      <c r="L507" s="120">
        <f t="shared" si="129"/>
        <v>0</v>
      </c>
      <c r="M507" s="246">
        <f t="shared" si="130"/>
        <v>0</v>
      </c>
      <c r="N507" s="121">
        <f t="shared" si="131"/>
        <v>1</v>
      </c>
      <c r="O507" s="246">
        <f t="shared" si="132"/>
        <v>0.92248905908096279</v>
      </c>
      <c r="P507" s="121">
        <f t="shared" si="133"/>
        <v>0</v>
      </c>
      <c r="Q507" s="121">
        <f t="shared" si="134"/>
        <v>0.41666666666666669</v>
      </c>
      <c r="R507" s="121">
        <f t="shared" si="135"/>
        <v>0.58333333333333326</v>
      </c>
      <c r="W507" s="160">
        <f t="shared" si="138"/>
        <v>1</v>
      </c>
      <c r="X507" s="160">
        <f t="shared" si="139"/>
        <v>1</v>
      </c>
      <c r="Y507" s="160">
        <f t="shared" si="140"/>
        <v>1.0131578156824339</v>
      </c>
      <c r="AB507" s="160">
        <f t="shared" si="141"/>
        <v>0.83260393873085337</v>
      </c>
      <c r="AC507" s="220">
        <f t="shared" si="142"/>
        <v>0.15233041575492345</v>
      </c>
      <c r="AD507" s="160">
        <f t="shared" si="143"/>
        <v>1.0982870807072775</v>
      </c>
      <c r="AE507" s="160">
        <f t="shared" si="136"/>
        <v>1.0027054990010467</v>
      </c>
      <c r="AF507" s="220">
        <f t="shared" si="144"/>
        <v>1</v>
      </c>
      <c r="AG507" s="183" t="str">
        <f t="shared" si="145"/>
        <v/>
      </c>
      <c r="AH507" s="183" t="str">
        <f t="shared" si="146"/>
        <v/>
      </c>
      <c r="AI507" s="220" t="str">
        <f t="shared" si="147"/>
        <v/>
      </c>
    </row>
    <row r="508" spans="1:35" x14ac:dyDescent="0.3">
      <c r="A508" s="187">
        <v>35</v>
      </c>
      <c r="B508" s="242">
        <f t="shared" si="137"/>
        <v>46692</v>
      </c>
      <c r="C508" s="243">
        <f t="shared" si="120"/>
        <v>46721</v>
      </c>
      <c r="D508" s="120">
        <f t="shared" si="121"/>
        <v>30</v>
      </c>
      <c r="E508" s="120">
        <f t="shared" si="122"/>
        <v>11</v>
      </c>
      <c r="F508" s="275">
        <f t="shared" si="123"/>
        <v>46707</v>
      </c>
      <c r="G508" s="120">
        <f t="shared" si="124"/>
        <v>24334</v>
      </c>
      <c r="H508" s="245">
        <f t="shared" si="125"/>
        <v>1</v>
      </c>
      <c r="I508" s="121">
        <f t="shared" si="126"/>
        <v>1</v>
      </c>
      <c r="J508" s="121">
        <f t="shared" si="127"/>
        <v>1</v>
      </c>
      <c r="K508" s="120">
        <f t="shared" si="128"/>
        <v>0</v>
      </c>
      <c r="L508" s="120">
        <f t="shared" si="129"/>
        <v>0</v>
      </c>
      <c r="M508" s="246">
        <f t="shared" si="130"/>
        <v>0</v>
      </c>
      <c r="N508" s="121">
        <f t="shared" si="131"/>
        <v>1</v>
      </c>
      <c r="O508" s="246">
        <f t="shared" si="132"/>
        <v>0.92349015317286653</v>
      </c>
      <c r="P508" s="121">
        <f t="shared" si="133"/>
        <v>0</v>
      </c>
      <c r="Q508" s="121">
        <f t="shared" si="134"/>
        <v>0.25</v>
      </c>
      <c r="R508" s="121">
        <f t="shared" si="135"/>
        <v>0.75</v>
      </c>
      <c r="W508" s="160">
        <f t="shared" si="138"/>
        <v>1</v>
      </c>
      <c r="X508" s="160">
        <f t="shared" si="139"/>
        <v>1</v>
      </c>
      <c r="Y508" s="160">
        <f t="shared" si="140"/>
        <v>1.0131433647013635</v>
      </c>
      <c r="AB508" s="160">
        <f t="shared" si="141"/>
        <v>0.89934354485776802</v>
      </c>
      <c r="AC508" s="220">
        <f t="shared" si="142"/>
        <v>9.1597374179431104E-2</v>
      </c>
      <c r="AD508" s="160">
        <f t="shared" si="143"/>
        <v>1.0970808526982907</v>
      </c>
      <c r="AE508" s="160">
        <f t="shared" si="136"/>
        <v>1.0037936447531159</v>
      </c>
      <c r="AF508" s="220">
        <f t="shared" si="144"/>
        <v>1</v>
      </c>
      <c r="AG508" s="183" t="str">
        <f t="shared" si="145"/>
        <v/>
      </c>
      <c r="AH508" s="183" t="str">
        <f t="shared" si="146"/>
        <v/>
      </c>
      <c r="AI508" s="220" t="str">
        <f t="shared" si="147"/>
        <v/>
      </c>
    </row>
    <row r="509" spans="1:35" x14ac:dyDescent="0.3">
      <c r="A509" s="187">
        <v>36</v>
      </c>
      <c r="B509" s="242">
        <f t="shared" si="137"/>
        <v>46722</v>
      </c>
      <c r="C509" s="243">
        <f t="shared" si="120"/>
        <v>46752</v>
      </c>
      <c r="D509" s="120">
        <f t="shared" si="121"/>
        <v>31</v>
      </c>
      <c r="E509" s="120">
        <f t="shared" si="122"/>
        <v>12</v>
      </c>
      <c r="F509" s="275">
        <f t="shared" si="123"/>
        <v>46737.5</v>
      </c>
      <c r="G509" s="120">
        <f t="shared" si="124"/>
        <v>24335</v>
      </c>
      <c r="H509" s="245">
        <f t="shared" si="125"/>
        <v>1</v>
      </c>
      <c r="I509" s="121">
        <f t="shared" si="126"/>
        <v>1</v>
      </c>
      <c r="J509" s="121">
        <f t="shared" si="127"/>
        <v>1</v>
      </c>
      <c r="K509" s="120">
        <f t="shared" si="128"/>
        <v>0</v>
      </c>
      <c r="L509" s="120">
        <f t="shared" si="129"/>
        <v>0</v>
      </c>
      <c r="M509" s="246">
        <f t="shared" si="130"/>
        <v>0</v>
      </c>
      <c r="N509" s="121">
        <f t="shared" si="131"/>
        <v>1</v>
      </c>
      <c r="O509" s="246">
        <f t="shared" si="132"/>
        <v>0.92449124726477028</v>
      </c>
      <c r="P509" s="121">
        <f t="shared" si="133"/>
        <v>0</v>
      </c>
      <c r="Q509" s="121">
        <f t="shared" si="134"/>
        <v>8.3333333333333329E-2</v>
      </c>
      <c r="R509" s="121">
        <f t="shared" si="135"/>
        <v>0.91666666666666663</v>
      </c>
      <c r="W509" s="160">
        <f t="shared" si="138"/>
        <v>1</v>
      </c>
      <c r="X509" s="160">
        <f t="shared" si="139"/>
        <v>1</v>
      </c>
      <c r="Y509" s="160">
        <f t="shared" si="140"/>
        <v>1.0131289454279495</v>
      </c>
      <c r="AB509" s="160">
        <f t="shared" si="141"/>
        <v>0.96608315098468267</v>
      </c>
      <c r="AC509" s="220">
        <f t="shared" si="142"/>
        <v>3.0864332603938772E-2</v>
      </c>
      <c r="AD509" s="160">
        <f t="shared" si="143"/>
        <v>1.0958772713375338</v>
      </c>
      <c r="AE509" s="160">
        <f t="shared" si="136"/>
        <v>1.004881790505185</v>
      </c>
      <c r="AF509" s="220">
        <f t="shared" si="144"/>
        <v>1</v>
      </c>
      <c r="AG509" s="183" t="str">
        <f t="shared" si="145"/>
        <v/>
      </c>
      <c r="AH509" s="183" t="str">
        <f t="shared" si="146"/>
        <v/>
      </c>
      <c r="AI509" s="220" t="str">
        <f t="shared" si="147"/>
        <v/>
      </c>
    </row>
    <row r="510" spans="1:35" x14ac:dyDescent="0.3">
      <c r="A510" s="187">
        <v>37</v>
      </c>
      <c r="B510" s="242">
        <f t="shared" si="137"/>
        <v>46753</v>
      </c>
      <c r="C510" s="243">
        <f t="shared" si="120"/>
        <v>46783</v>
      </c>
      <c r="D510" s="120">
        <f t="shared" si="121"/>
        <v>31</v>
      </c>
      <c r="E510" s="120">
        <f t="shared" si="122"/>
        <v>1</v>
      </c>
      <c r="F510" s="275">
        <f t="shared" si="123"/>
        <v>46768.5</v>
      </c>
      <c r="G510" s="120">
        <f t="shared" si="124"/>
        <v>24336</v>
      </c>
      <c r="H510" s="245">
        <f t="shared" si="125"/>
        <v>1</v>
      </c>
      <c r="I510" s="121">
        <f t="shared" si="126"/>
        <v>1</v>
      </c>
      <c r="J510" s="121">
        <f t="shared" si="127"/>
        <v>1</v>
      </c>
      <c r="K510" s="120">
        <f t="shared" si="128"/>
        <v>0</v>
      </c>
      <c r="L510" s="120">
        <f t="shared" si="129"/>
        <v>0</v>
      </c>
      <c r="M510" s="246">
        <f t="shared" si="130"/>
        <v>0</v>
      </c>
      <c r="N510" s="121">
        <f t="shared" si="131"/>
        <v>1</v>
      </c>
      <c r="O510" s="246">
        <f t="shared" si="132"/>
        <v>0.92500000000000004</v>
      </c>
      <c r="P510" s="121">
        <f t="shared" si="133"/>
        <v>0</v>
      </c>
      <c r="Q510" s="121">
        <f t="shared" si="134"/>
        <v>0</v>
      </c>
      <c r="R510" s="121">
        <f t="shared" si="135"/>
        <v>1</v>
      </c>
      <c r="AE510" s="160">
        <f t="shared" si="136"/>
        <v>1.0054347826086956</v>
      </c>
    </row>
    <row r="511" spans="1:35" x14ac:dyDescent="0.3">
      <c r="A511" s="187">
        <v>38</v>
      </c>
      <c r="B511" s="242">
        <f t="shared" si="137"/>
        <v>46784</v>
      </c>
      <c r="C511" s="243">
        <f t="shared" si="120"/>
        <v>46812</v>
      </c>
      <c r="D511" s="120">
        <f t="shared" si="121"/>
        <v>29</v>
      </c>
      <c r="E511" s="120">
        <f t="shared" si="122"/>
        <v>2</v>
      </c>
      <c r="F511" s="275">
        <f t="shared" si="123"/>
        <v>46798.5</v>
      </c>
      <c r="G511" s="120">
        <f t="shared" si="124"/>
        <v>24337</v>
      </c>
      <c r="H511" s="245">
        <f t="shared" si="125"/>
        <v>1</v>
      </c>
      <c r="I511" s="121">
        <f t="shared" si="126"/>
        <v>1</v>
      </c>
      <c r="J511" s="121">
        <f t="shared" si="127"/>
        <v>1</v>
      </c>
      <c r="K511" s="120">
        <f t="shared" si="128"/>
        <v>0</v>
      </c>
      <c r="L511" s="120">
        <f t="shared" si="129"/>
        <v>0</v>
      </c>
      <c r="M511" s="246">
        <f t="shared" si="130"/>
        <v>0</v>
      </c>
      <c r="N511" s="121">
        <f t="shared" si="131"/>
        <v>1</v>
      </c>
      <c r="O511" s="246">
        <f t="shared" si="132"/>
        <v>0.92500000000000004</v>
      </c>
      <c r="P511" s="121">
        <f t="shared" si="133"/>
        <v>0</v>
      </c>
      <c r="Q511" s="121">
        <f t="shared" si="134"/>
        <v>0</v>
      </c>
      <c r="R511" s="121">
        <f t="shared" si="135"/>
        <v>1</v>
      </c>
      <c r="AE511" s="160">
        <f t="shared" si="136"/>
        <v>1.0054347826086956</v>
      </c>
    </row>
    <row r="512" spans="1:35" x14ac:dyDescent="0.3">
      <c r="A512" s="187">
        <v>39</v>
      </c>
      <c r="B512" s="242">
        <f t="shared" si="137"/>
        <v>46813</v>
      </c>
      <c r="C512" s="243">
        <f t="shared" si="120"/>
        <v>46843</v>
      </c>
      <c r="D512" s="120">
        <f t="shared" si="121"/>
        <v>31</v>
      </c>
      <c r="E512" s="120">
        <f t="shared" si="122"/>
        <v>3</v>
      </c>
      <c r="F512" s="275">
        <f t="shared" si="123"/>
        <v>46828.5</v>
      </c>
      <c r="G512" s="120">
        <f t="shared" si="124"/>
        <v>24338</v>
      </c>
      <c r="H512" s="245">
        <f t="shared" si="125"/>
        <v>1</v>
      </c>
      <c r="I512" s="121">
        <f t="shared" si="126"/>
        <v>1</v>
      </c>
      <c r="J512" s="121">
        <f t="shared" si="127"/>
        <v>1</v>
      </c>
      <c r="K512" s="120">
        <f t="shared" si="128"/>
        <v>0</v>
      </c>
      <c r="L512" s="120">
        <f t="shared" si="129"/>
        <v>0</v>
      </c>
      <c r="M512" s="246">
        <f t="shared" si="130"/>
        <v>0</v>
      </c>
      <c r="N512" s="121">
        <f t="shared" si="131"/>
        <v>1</v>
      </c>
      <c r="O512" s="246">
        <f t="shared" si="132"/>
        <v>0.92500000000000004</v>
      </c>
      <c r="P512" s="121">
        <f t="shared" si="133"/>
        <v>0</v>
      </c>
      <c r="Q512" s="121">
        <f t="shared" si="134"/>
        <v>0</v>
      </c>
      <c r="R512" s="121">
        <f t="shared" si="135"/>
        <v>1</v>
      </c>
      <c r="AE512" s="160">
        <f t="shared" si="136"/>
        <v>1.0054347826086956</v>
      </c>
    </row>
    <row r="513" spans="1:31" x14ac:dyDescent="0.3">
      <c r="A513" s="187">
        <v>40</v>
      </c>
      <c r="B513" s="242">
        <f t="shared" si="137"/>
        <v>46844</v>
      </c>
      <c r="C513" s="243">
        <f t="shared" si="120"/>
        <v>46873</v>
      </c>
      <c r="D513" s="120">
        <f t="shared" si="121"/>
        <v>30</v>
      </c>
      <c r="E513" s="120">
        <f t="shared" si="122"/>
        <v>4</v>
      </c>
      <c r="F513" s="275">
        <f t="shared" si="123"/>
        <v>46859</v>
      </c>
      <c r="G513" s="120">
        <f t="shared" si="124"/>
        <v>24339</v>
      </c>
      <c r="H513" s="245">
        <f t="shared" si="125"/>
        <v>1</v>
      </c>
      <c r="I513" s="121">
        <f t="shared" si="126"/>
        <v>1</v>
      </c>
      <c r="J513" s="121">
        <f t="shared" si="127"/>
        <v>1</v>
      </c>
      <c r="K513" s="120">
        <f t="shared" si="128"/>
        <v>0</v>
      </c>
      <c r="L513" s="120">
        <f t="shared" si="129"/>
        <v>0</v>
      </c>
      <c r="M513" s="246">
        <f t="shared" si="130"/>
        <v>0</v>
      </c>
      <c r="N513" s="121">
        <f t="shared" si="131"/>
        <v>1</v>
      </c>
      <c r="O513" s="246">
        <f t="shared" si="132"/>
        <v>0.92500000000000004</v>
      </c>
      <c r="P513" s="121">
        <f t="shared" si="133"/>
        <v>0</v>
      </c>
      <c r="Q513" s="121">
        <f t="shared" si="134"/>
        <v>0</v>
      </c>
      <c r="R513" s="121">
        <f t="shared" si="135"/>
        <v>1</v>
      </c>
      <c r="AE513" s="160">
        <f t="shared" si="136"/>
        <v>1.0054347826086956</v>
      </c>
    </row>
    <row r="514" spans="1:31" x14ac:dyDescent="0.3">
      <c r="A514" s="187">
        <v>41</v>
      </c>
      <c r="B514" s="242">
        <f t="shared" si="137"/>
        <v>46874</v>
      </c>
      <c r="C514" s="243">
        <f t="shared" si="120"/>
        <v>46904</v>
      </c>
      <c r="D514" s="120">
        <f t="shared" si="121"/>
        <v>31</v>
      </c>
      <c r="E514" s="120">
        <f t="shared" si="122"/>
        <v>5</v>
      </c>
      <c r="F514" s="275">
        <f t="shared" si="123"/>
        <v>46889.5</v>
      </c>
      <c r="G514" s="120">
        <f t="shared" si="124"/>
        <v>24340</v>
      </c>
      <c r="H514" s="245">
        <f t="shared" si="125"/>
        <v>1</v>
      </c>
      <c r="I514" s="121">
        <f t="shared" si="126"/>
        <v>1</v>
      </c>
      <c r="J514" s="121">
        <f t="shared" si="127"/>
        <v>1</v>
      </c>
      <c r="K514" s="120">
        <f t="shared" si="128"/>
        <v>0</v>
      </c>
      <c r="L514" s="120">
        <f t="shared" si="129"/>
        <v>0</v>
      </c>
      <c r="M514" s="246">
        <f t="shared" si="130"/>
        <v>0</v>
      </c>
      <c r="N514" s="121">
        <f t="shared" si="131"/>
        <v>1</v>
      </c>
      <c r="O514" s="246">
        <f t="shared" si="132"/>
        <v>0.92500000000000004</v>
      </c>
      <c r="P514" s="121">
        <f t="shared" si="133"/>
        <v>0</v>
      </c>
      <c r="Q514" s="121">
        <f t="shared" si="134"/>
        <v>0</v>
      </c>
      <c r="R514" s="121">
        <f t="shared" si="135"/>
        <v>1</v>
      </c>
      <c r="AE514" s="160">
        <f t="shared" si="136"/>
        <v>1.0054347826086956</v>
      </c>
    </row>
    <row r="515" spans="1:31" x14ac:dyDescent="0.3">
      <c r="A515" s="187">
        <v>42</v>
      </c>
      <c r="B515" s="242">
        <f t="shared" si="137"/>
        <v>46905</v>
      </c>
      <c r="C515" s="243">
        <f t="shared" si="120"/>
        <v>46934</v>
      </c>
      <c r="D515" s="120">
        <f t="shared" si="121"/>
        <v>30</v>
      </c>
      <c r="E515" s="120">
        <f t="shared" si="122"/>
        <v>6</v>
      </c>
      <c r="F515" s="275">
        <f t="shared" si="123"/>
        <v>46920</v>
      </c>
      <c r="G515" s="120">
        <f t="shared" si="124"/>
        <v>24341</v>
      </c>
      <c r="H515" s="245">
        <f t="shared" si="125"/>
        <v>1</v>
      </c>
      <c r="I515" s="121">
        <f t="shared" si="126"/>
        <v>1</v>
      </c>
      <c r="J515" s="121">
        <f t="shared" si="127"/>
        <v>1</v>
      </c>
      <c r="K515" s="120">
        <f t="shared" si="128"/>
        <v>0</v>
      </c>
      <c r="L515" s="120">
        <f t="shared" si="129"/>
        <v>0</v>
      </c>
      <c r="M515" s="246">
        <f t="shared" si="130"/>
        <v>0</v>
      </c>
      <c r="N515" s="121">
        <f t="shared" si="131"/>
        <v>1</v>
      </c>
      <c r="O515" s="246">
        <f t="shared" si="132"/>
        <v>0.92500000000000004</v>
      </c>
      <c r="P515" s="121">
        <f t="shared" si="133"/>
        <v>0</v>
      </c>
      <c r="Q515" s="121">
        <f t="shared" si="134"/>
        <v>0</v>
      </c>
      <c r="R515" s="121">
        <f t="shared" si="135"/>
        <v>1</v>
      </c>
      <c r="AE515" s="160">
        <f t="shared" si="136"/>
        <v>1.0054347826086956</v>
      </c>
    </row>
    <row r="516" spans="1:31" x14ac:dyDescent="0.3">
      <c r="A516" s="187">
        <v>43</v>
      </c>
      <c r="B516" s="242">
        <f t="shared" si="137"/>
        <v>46935</v>
      </c>
      <c r="C516" s="243">
        <f t="shared" si="120"/>
        <v>46965</v>
      </c>
      <c r="D516" s="120">
        <f t="shared" si="121"/>
        <v>31</v>
      </c>
      <c r="E516" s="120">
        <f t="shared" si="122"/>
        <v>7</v>
      </c>
      <c r="F516" s="275">
        <f t="shared" si="123"/>
        <v>46950.5</v>
      </c>
      <c r="G516" s="120">
        <f t="shared" si="124"/>
        <v>24342</v>
      </c>
      <c r="H516" s="245">
        <f t="shared" si="125"/>
        <v>1</v>
      </c>
      <c r="I516" s="121">
        <f t="shared" si="126"/>
        <v>1</v>
      </c>
      <c r="J516" s="121">
        <f t="shared" si="127"/>
        <v>1</v>
      </c>
      <c r="K516" s="120">
        <f t="shared" si="128"/>
        <v>0</v>
      </c>
      <c r="L516" s="120">
        <f t="shared" si="129"/>
        <v>0</v>
      </c>
      <c r="M516" s="246">
        <f t="shared" si="130"/>
        <v>0</v>
      </c>
      <c r="N516" s="121">
        <f t="shared" si="131"/>
        <v>1</v>
      </c>
      <c r="O516" s="246">
        <f t="shared" si="132"/>
        <v>0.92500000000000004</v>
      </c>
      <c r="P516" s="121">
        <f t="shared" si="133"/>
        <v>0</v>
      </c>
      <c r="Q516" s="121">
        <f t="shared" si="134"/>
        <v>0</v>
      </c>
      <c r="R516" s="121">
        <f t="shared" si="135"/>
        <v>0.91666666666666663</v>
      </c>
      <c r="AE516" s="160">
        <f t="shared" si="136"/>
        <v>1.0054347826086956</v>
      </c>
    </row>
    <row r="517" spans="1:31" x14ac:dyDescent="0.3">
      <c r="A517" s="187">
        <v>44</v>
      </c>
      <c r="B517" s="242">
        <f t="shared" si="137"/>
        <v>46966</v>
      </c>
      <c r="C517" s="243">
        <f t="shared" si="120"/>
        <v>46996</v>
      </c>
      <c r="D517" s="120">
        <f t="shared" si="121"/>
        <v>31</v>
      </c>
      <c r="E517" s="120">
        <f t="shared" si="122"/>
        <v>8</v>
      </c>
      <c r="F517" s="275">
        <f t="shared" si="123"/>
        <v>46981.5</v>
      </c>
      <c r="G517" s="120">
        <f t="shared" si="124"/>
        <v>24343</v>
      </c>
      <c r="H517" s="245">
        <f t="shared" si="125"/>
        <v>1</v>
      </c>
      <c r="I517" s="121">
        <f t="shared" si="126"/>
        <v>1</v>
      </c>
      <c r="J517" s="121">
        <f t="shared" si="127"/>
        <v>1</v>
      </c>
      <c r="K517" s="120">
        <f t="shared" si="128"/>
        <v>0</v>
      </c>
      <c r="L517" s="120">
        <f t="shared" si="129"/>
        <v>0</v>
      </c>
      <c r="M517" s="246">
        <f t="shared" si="130"/>
        <v>0</v>
      </c>
      <c r="N517" s="121">
        <f t="shared" si="131"/>
        <v>1</v>
      </c>
      <c r="O517" s="246">
        <f t="shared" si="132"/>
        <v>0.92500000000000004</v>
      </c>
      <c r="P517" s="121">
        <f t="shared" si="133"/>
        <v>0</v>
      </c>
      <c r="Q517" s="121">
        <f t="shared" si="134"/>
        <v>0</v>
      </c>
      <c r="R517" s="121">
        <f t="shared" si="135"/>
        <v>0.75</v>
      </c>
      <c r="AE517" s="160">
        <f t="shared" si="136"/>
        <v>1.0054347826086956</v>
      </c>
    </row>
    <row r="518" spans="1:31" x14ac:dyDescent="0.3">
      <c r="A518" s="187">
        <v>45</v>
      </c>
      <c r="B518" s="242">
        <f t="shared" si="137"/>
        <v>46997</v>
      </c>
      <c r="C518" s="243">
        <f t="shared" si="120"/>
        <v>47026</v>
      </c>
      <c r="D518" s="120">
        <f t="shared" si="121"/>
        <v>30</v>
      </c>
      <c r="E518" s="120">
        <f t="shared" si="122"/>
        <v>9</v>
      </c>
      <c r="F518" s="275">
        <f t="shared" si="123"/>
        <v>47012</v>
      </c>
      <c r="G518" s="120">
        <f t="shared" si="124"/>
        <v>24344</v>
      </c>
      <c r="H518" s="245">
        <f t="shared" si="125"/>
        <v>1</v>
      </c>
      <c r="I518" s="121">
        <f t="shared" si="126"/>
        <v>1</v>
      </c>
      <c r="J518" s="121">
        <f t="shared" si="127"/>
        <v>1</v>
      </c>
      <c r="K518" s="120">
        <f t="shared" si="128"/>
        <v>0</v>
      </c>
      <c r="L518" s="120">
        <f t="shared" si="129"/>
        <v>0</v>
      </c>
      <c r="M518" s="246">
        <f t="shared" si="130"/>
        <v>0</v>
      </c>
      <c r="N518" s="121">
        <f t="shared" si="131"/>
        <v>1</v>
      </c>
      <c r="O518" s="246">
        <f t="shared" si="132"/>
        <v>0.92500000000000004</v>
      </c>
      <c r="P518" s="121">
        <f t="shared" si="133"/>
        <v>0</v>
      </c>
      <c r="Q518" s="121">
        <f t="shared" si="134"/>
        <v>0</v>
      </c>
      <c r="R518" s="121">
        <f t="shared" si="135"/>
        <v>0.58333333333333337</v>
      </c>
      <c r="AE518" s="160">
        <f t="shared" si="136"/>
        <v>1.0054347826086956</v>
      </c>
    </row>
    <row r="519" spans="1:31" x14ac:dyDescent="0.3">
      <c r="A519" s="187">
        <v>46</v>
      </c>
      <c r="B519" s="242">
        <f t="shared" si="137"/>
        <v>47027</v>
      </c>
      <c r="C519" s="243">
        <f t="shared" si="120"/>
        <v>47057</v>
      </c>
      <c r="D519" s="120">
        <f t="shared" si="121"/>
        <v>31</v>
      </c>
      <c r="E519" s="120">
        <f t="shared" si="122"/>
        <v>10</v>
      </c>
      <c r="F519" s="275">
        <f t="shared" si="123"/>
        <v>47042.5</v>
      </c>
      <c r="G519" s="120">
        <f t="shared" si="124"/>
        <v>24345</v>
      </c>
      <c r="H519" s="245">
        <f t="shared" si="125"/>
        <v>1</v>
      </c>
      <c r="I519" s="121">
        <f t="shared" si="126"/>
        <v>1</v>
      </c>
      <c r="J519" s="121">
        <f t="shared" si="127"/>
        <v>1</v>
      </c>
      <c r="K519" s="120">
        <f t="shared" si="128"/>
        <v>0</v>
      </c>
      <c r="L519" s="120">
        <f t="shared" si="129"/>
        <v>0</v>
      </c>
      <c r="M519" s="246">
        <f t="shared" si="130"/>
        <v>0</v>
      </c>
      <c r="N519" s="121">
        <f t="shared" si="131"/>
        <v>1</v>
      </c>
      <c r="O519" s="246">
        <f t="shared" si="132"/>
        <v>0.92500000000000004</v>
      </c>
      <c r="P519" s="121">
        <f t="shared" si="133"/>
        <v>0</v>
      </c>
      <c r="Q519" s="121">
        <f t="shared" si="134"/>
        <v>0</v>
      </c>
      <c r="R519" s="121">
        <f t="shared" si="135"/>
        <v>0.41666666666666669</v>
      </c>
      <c r="AE519" s="160">
        <f t="shared" si="136"/>
        <v>1.0054347826086956</v>
      </c>
    </row>
    <row r="520" spans="1:31" x14ac:dyDescent="0.3">
      <c r="A520" s="187">
        <v>47</v>
      </c>
      <c r="B520" s="242">
        <f t="shared" si="137"/>
        <v>47058</v>
      </c>
      <c r="C520" s="243">
        <f t="shared" si="120"/>
        <v>47087</v>
      </c>
      <c r="D520" s="120">
        <f t="shared" si="121"/>
        <v>30</v>
      </c>
      <c r="E520" s="120">
        <f t="shared" si="122"/>
        <v>11</v>
      </c>
      <c r="F520" s="275">
        <f t="shared" si="123"/>
        <v>47073</v>
      </c>
      <c r="G520" s="120">
        <f t="shared" si="124"/>
        <v>24346</v>
      </c>
      <c r="H520" s="245">
        <f t="shared" si="125"/>
        <v>1</v>
      </c>
      <c r="I520" s="121">
        <f t="shared" si="126"/>
        <v>1</v>
      </c>
      <c r="J520" s="121">
        <f t="shared" si="127"/>
        <v>1</v>
      </c>
      <c r="K520" s="120">
        <f t="shared" si="128"/>
        <v>0</v>
      </c>
      <c r="L520" s="120">
        <f t="shared" si="129"/>
        <v>0</v>
      </c>
      <c r="M520" s="246">
        <f t="shared" si="130"/>
        <v>0</v>
      </c>
      <c r="N520" s="121">
        <f t="shared" si="131"/>
        <v>1</v>
      </c>
      <c r="O520" s="246">
        <f t="shared" si="132"/>
        <v>0.92500000000000004</v>
      </c>
      <c r="P520" s="121">
        <f t="shared" si="133"/>
        <v>0</v>
      </c>
      <c r="Q520" s="121">
        <f t="shared" si="134"/>
        <v>0</v>
      </c>
      <c r="R520" s="121">
        <f t="shared" si="135"/>
        <v>0.25</v>
      </c>
      <c r="AE520" s="160">
        <f t="shared" si="136"/>
        <v>1.0054347826086956</v>
      </c>
    </row>
    <row r="521" spans="1:31" x14ac:dyDescent="0.3">
      <c r="A521" s="187">
        <v>48</v>
      </c>
      <c r="B521" s="242">
        <f t="shared" si="137"/>
        <v>47088</v>
      </c>
      <c r="C521" s="243">
        <f t="shared" si="120"/>
        <v>47118</v>
      </c>
      <c r="D521" s="120">
        <f t="shared" si="121"/>
        <v>31</v>
      </c>
      <c r="E521" s="120">
        <f t="shared" si="122"/>
        <v>12</v>
      </c>
      <c r="F521" s="275">
        <f t="shared" si="123"/>
        <v>47103.5</v>
      </c>
      <c r="G521" s="120">
        <f t="shared" si="124"/>
        <v>24347</v>
      </c>
      <c r="H521" s="245">
        <f t="shared" si="125"/>
        <v>1</v>
      </c>
      <c r="I521" s="121">
        <f t="shared" si="126"/>
        <v>1</v>
      </c>
      <c r="J521" s="121">
        <f t="shared" si="127"/>
        <v>1</v>
      </c>
      <c r="K521" s="120">
        <f t="shared" si="128"/>
        <v>0</v>
      </c>
      <c r="L521" s="120">
        <f t="shared" si="129"/>
        <v>0</v>
      </c>
      <c r="M521" s="246">
        <f t="shared" si="130"/>
        <v>0</v>
      </c>
      <c r="N521" s="121">
        <f t="shared" si="131"/>
        <v>1</v>
      </c>
      <c r="O521" s="246">
        <f t="shared" si="132"/>
        <v>0.92500000000000004</v>
      </c>
      <c r="P521" s="121">
        <f t="shared" si="133"/>
        <v>0</v>
      </c>
      <c r="Q521" s="121">
        <f t="shared" si="134"/>
        <v>0</v>
      </c>
      <c r="R521" s="121">
        <f t="shared" si="135"/>
        <v>8.3333333333333329E-2</v>
      </c>
      <c r="AE521" s="160">
        <f t="shared" si="136"/>
        <v>1.0054347826086956</v>
      </c>
    </row>
    <row r="522" spans="1:31" x14ac:dyDescent="0.3">
      <c r="A522" s="23" t="s">
        <v>1723</v>
      </c>
      <c r="B522" s="279">
        <f>SUM($H$498:$H$509)</f>
        <v>12</v>
      </c>
      <c r="C522" s="160">
        <f>SUMPRODUCT($H$498:$H$509,$W$498:$W$509/$N$486:$N$497,$Y$498:$Y$509)</f>
        <v>12.158506276922415</v>
      </c>
      <c r="D522" s="160">
        <f>SUMPRODUCT($H$498:$H$509,$X$498:$X$509/$N$486:$N$497,$Y$498:$Y$509)</f>
        <v>9.1186832375146931</v>
      </c>
      <c r="E522" s="281" t="str">
        <f>IF(OR($D$471=0,$P$471=0,$D522=0),"n/a",((1+$E$471)*$B522-$C522)/$D522)</f>
        <v>n/a</v>
      </c>
      <c r="F522" s="281" t="str">
        <f>IF($V$471&lt;&gt;"",$V$471,$E522)</f>
        <v>n/a</v>
      </c>
      <c r="G522" s="281" t="str">
        <f>IF(OR(NOT(ISNUMBER($F522)),nd_Ach=0),"n/a",$F522/nd_Ach)</f>
        <v>n/a</v>
      </c>
      <c r="H522" s="220" t="str">
        <f>IF(OR(NOT(ISNUMBER($F522)),$F$471=0,SUMPRODUCT($AD$498:$AD$509,$AB$498:$AB$509)=0),"n/a",((1+$E$471)*$B522-SUMPRODUCT($AD$498:$AD$509,$AC$498:$AC$509))/SUMPRODUCT($AD$498:$AD$509,$AB$498:$AB$509))</f>
        <v>n/a</v>
      </c>
      <c r="I522" s="183" t="str">
        <f>IF(NOT(ISNUMBER($F522)),"n/a",SUMPRODUCT($H$498:$H$509,($W$498:$W$509+$X$498:$X$509*$F522)/$N$486:$N$497)/$B522-1)</f>
        <v>n/a</v>
      </c>
      <c r="J522" s="183" t="str">
        <f>IF(OR(NOT(ISNUMBER($I522)),$F$471=0),"n/a",(1+$E$471)/(1+$I522)-1)</f>
        <v>n/a</v>
      </c>
      <c r="K522" s="183" t="str">
        <f>IF(NOT(ISNUMBER($F522)),"n/a",($C522+$D522*$F522)/$B522-1)</f>
        <v>n/a</v>
      </c>
      <c r="L522" s="229" t="str">
        <f>IF(NOT(ISNUMBER($F522)),"n/a",SUMPRODUCT($H$498:$H$509,$AF$498:$AF$509)/$B522)</f>
        <v>n/a</v>
      </c>
      <c r="M522" s="23" t="str">
        <f>IF($D$471=0,"",TRIM(IF(AND(ISNUMBER($H522),OR($H522&lt;0.5,$H522&gt;1.5)),"MOD-BOUND ","")&amp;IF(AND(ISNUMBER($F522),ABS($F522)&gt;nr_SolvMaxRate),"RATE-BOUND ","")&amp;IF(AND(ISNUMBER($L522),$L522&lt;nr_SolvMinShare),"THIN-SHARE ","")&amp;IF($W$471&gt;1,"MULTI-PLANNED ","")&amp;IF($F$471=0,"RATE-ONLY","")))</f>
        <v/>
      </c>
      <c r="N522" s="229" t="str">
        <f>IF(OR($D$471=0,NOT(ISNUMBER($F522))),"n/a",INDEX(calc_lrcur,$C$471)*INDEX(calc_crl,$C$471)/(SUMPRODUCT($H$474:$H$521,$Q$474:$Q$521,$AE$474:$AE$521)/SUMPRODUCT($H$474:$H$521,$Q$474:$Q$521))*INDEX(calc_aother,$C$471))</f>
        <v>n/a</v>
      </c>
      <c r="O522" s="229" t="str">
        <f>IF($D$471=0,"n/a",INDEX(calc_cylr_p,$C$471))</f>
        <v>n/a</v>
      </c>
      <c r="P522" s="282">
        <f>IF(NOT(ISNUMBER($E522)),0,ABS(($C522+$D522*$E522)/$B522-(1+$E$471)))</f>
        <v>0</v>
      </c>
    </row>
    <row r="527" spans="1:31" x14ac:dyDescent="0.3">
      <c r="A527" s="23" t="str">
        <f>_lists!$B$8</f>
        <v>IA</v>
      </c>
      <c r="B527" s="23" t="str">
        <f>IF(OR($A527="",nd_BU="All"),"",nd_BU&amp;"|"&amp;$A527)</f>
        <v>SBA|IA</v>
      </c>
      <c r="C527" s="43">
        <f>IF($B527="",0,IF(COUNTIF(lr_key,$B527)=0,0,MATCH($B527,lr_key,0)))</f>
        <v>48</v>
      </c>
      <c r="D527" s="43">
        <f>IF($C527=0,0,IF(ISBLANK(INDEX(lr_netp,$C527)),0,1))</f>
        <v>0</v>
      </c>
      <c r="E527" s="229">
        <f>IF($D527=0,0,N(INDEX(lr_netp,$C527)))</f>
        <v>0</v>
      </c>
      <c r="F527" s="43">
        <f>IF($C527=0,0,IF(AND(nr_ModAdjMaster="ON",INDEX(lr_modadj,$C527)="ON"),1,0))</f>
        <v>1</v>
      </c>
      <c r="G527" s="220">
        <f>IF($C527=0,1,IF(N(INDEX(lr_mind,$C527))=0,1,INDEX(lr_mind,$C527)))</f>
        <v>0.92</v>
      </c>
      <c r="H527" s="220">
        <f>IF($C527=0,1,IF(N(INDEX(lr_m0,$C527))=0,1,INDEX(lr_m0,$C527)))</f>
        <v>0.91</v>
      </c>
      <c r="I527" s="278">
        <f>IF($C527=0,DATE(nr_PlanYear-1,10,1),IF(N(INDEX(lr_m0asof,$C527))=0,DATE(nr_PlanYear-1,10,1),INDEX(lr_m0asof,$C527)))</f>
        <v>46295</v>
      </c>
      <c r="J527" s="220">
        <f>IF($C527=0,1,IF(N(INDEX(lr_m1,$C527))=0,1,INDEX(lr_m1,$C527)))</f>
        <v>0.90500000000000003</v>
      </c>
      <c r="K527" s="220">
        <f>IF($C527=0,0,N(INDEX(lr_mprior,$C527)))</f>
        <v>0</v>
      </c>
      <c r="L527" s="220">
        <f>IF($C527=0,0,N(INDEX(lr_m2,$C527)))</f>
        <v>0</v>
      </c>
      <c r="M527" s="43">
        <f>IF(OR($A527="",COUNTIF(se_state,$A527)=0),0,MATCH($A527,se_state,0))</f>
        <v>0</v>
      </c>
      <c r="N527" s="279">
        <f>IF($M527=0,0,INDEX(se_sum,$M527))</f>
        <v>0</v>
      </c>
      <c r="O527" s="278">
        <f>IF('Net Delivery'!$D$14="",$X527,'Net Delivery'!$D$14)</f>
        <v>46478</v>
      </c>
      <c r="P527" s="43">
        <f>IF(AND($O527&gt;=DATE(nr_PlanYear,1,1),$O527&lt;=DATE(nr_PlanYear,12,31)),1,0)</f>
        <v>1</v>
      </c>
      <c r="Q527" s="43">
        <f>YEAR($O527)*12+MONTH($O527)-1</f>
        <v>24327</v>
      </c>
      <c r="R527" s="43">
        <f>DAY(EOMONTH($O527,0))</f>
        <v>30</v>
      </c>
      <c r="S527" s="43">
        <f>EOMONTH($O527,0)-$O527+1</f>
        <v>30</v>
      </c>
      <c r="T527" s="43">
        <f>SUMIFS(ndl_days,rl_key,$B527,ndl_effmonth,DATE(YEAR($O527),MONTH($O527),1),ndl_first,1)</f>
        <v>0</v>
      </c>
      <c r="U527" s="220">
        <f>IF($P527=1,MIN(1,MAX($S527,$T527)/$R527),1)</f>
        <v>1</v>
      </c>
      <c r="V527" s="280" t="str">
        <f>IF(ISBLANK('Net Delivery'!$E$14),$Y527,'Net Delivery'!$E$14)</f>
        <v/>
      </c>
      <c r="W527" s="43">
        <f>IF($B527="",0,COUNTIFS(rl_key,$B527,rl_status,"planned",rl_eff,"&gt;="&amp;DATE(nr_PlanYear,1,1),rl_eff,"&lt;="&amp;DATE(nr_PlanYear,12,31)))</f>
        <v>0</v>
      </c>
      <c r="X527" s="278">
        <f>IF($W527=0,nd_DefaultDate,SUMIFS(rl_eff,rl_key,$B527,rl_firstplanned,1))</f>
        <v>46478</v>
      </c>
      <c r="Y527" s="280" t="str">
        <f>IF($W527=0,"",SUMIFS(rl_reff,rl_key,$B527,rl_firstplanned,1))</f>
        <v/>
      </c>
      <c r="Z527" s="280" t="str">
        <f>IF($W527=0,"",SUMIFS(rl_filed,rl_key,$B527,rl_firstplanned,1))</f>
        <v/>
      </c>
    </row>
    <row r="528" spans="1:31" x14ac:dyDescent="0.3">
      <c r="A528" s="6">
        <f>EDATE($I$527,-12)+1</f>
        <v>45931</v>
      </c>
      <c r="B528" s="6">
        <f>$I$527+1</f>
        <v>46296</v>
      </c>
      <c r="C528" s="6">
        <f>DATE(nr_PlanYear,12,31)+1</f>
        <v>46753</v>
      </c>
      <c r="D528" s="6">
        <f>DATE(nr_PlanYear+1,12,31)+1</f>
        <v>47119</v>
      </c>
      <c r="E528" s="6">
        <f>IF(N($K$527)=0,$F$528-($G$528-$F$528)/($C$528-$B$528)*($B$528-$A$528),$K$527)</f>
        <v>0.9139934354485777</v>
      </c>
      <c r="F528" s="6">
        <f>$H$527</f>
        <v>0.91</v>
      </c>
      <c r="G528" s="6">
        <f>$J$527</f>
        <v>0.90500000000000003</v>
      </c>
      <c r="H528" s="6">
        <f>IF(N($L$527)=0,$J$527,$L$527)</f>
        <v>0.90500000000000003</v>
      </c>
      <c r="I528" s="6">
        <f>($F$528-$E$528)/($B$528-$A$528)</f>
        <v>-1.0940919037199081E-5</v>
      </c>
      <c r="J528" s="6">
        <f>($G$528-$F$528)/($C$528-$B$528)</f>
        <v>-1.0940919037199135E-5</v>
      </c>
      <c r="K528" s="6">
        <f>($H$528-$G$528)/($D$528-$C$528)</f>
        <v>0</v>
      </c>
    </row>
    <row r="529" spans="1:31" ht="36" x14ac:dyDescent="0.3">
      <c r="A529" s="58" t="s">
        <v>390</v>
      </c>
      <c r="B529" s="58" t="s">
        <v>449</v>
      </c>
      <c r="C529" s="58" t="s">
        <v>685</v>
      </c>
      <c r="D529" s="58" t="s">
        <v>686</v>
      </c>
      <c r="E529" s="58" t="s">
        <v>687</v>
      </c>
      <c r="F529" s="58" t="s">
        <v>688</v>
      </c>
      <c r="G529" s="58" t="s">
        <v>689</v>
      </c>
      <c r="H529" s="58" t="s">
        <v>452</v>
      </c>
      <c r="I529" s="58" t="s">
        <v>690</v>
      </c>
      <c r="J529" s="58" t="s">
        <v>691</v>
      </c>
      <c r="K529" s="58" t="s">
        <v>692</v>
      </c>
      <c r="L529" s="58" t="s">
        <v>693</v>
      </c>
      <c r="M529" s="58" t="s">
        <v>694</v>
      </c>
      <c r="N529" s="58" t="s">
        <v>695</v>
      </c>
      <c r="O529" s="58" t="s">
        <v>696</v>
      </c>
      <c r="P529" s="58" t="s">
        <v>697</v>
      </c>
      <c r="Q529" s="58" t="s">
        <v>698</v>
      </c>
      <c r="R529" s="58" t="s">
        <v>699</v>
      </c>
      <c r="S529" s="58" t="s">
        <v>700</v>
      </c>
      <c r="T529" s="58" t="s">
        <v>701</v>
      </c>
      <c r="U529" s="58" t="s">
        <v>702</v>
      </c>
    </row>
    <row r="530" spans="1:31" x14ac:dyDescent="0.3">
      <c r="A530" s="187">
        <v>1</v>
      </c>
      <c r="B530" s="242">
        <f>DATE(nr_PlanYear-2,1,1)</f>
        <v>45658</v>
      </c>
      <c r="C530" s="243">
        <f t="shared" ref="C530:C577" si="148">EOMONTH($B530,0)</f>
        <v>45688</v>
      </c>
      <c r="D530" s="120">
        <f t="shared" ref="D530:D577" si="149">$C530-$B530+1</f>
        <v>31</v>
      </c>
      <c r="E530" s="120">
        <f t="shared" ref="E530:E577" si="150">MONTH($B530)</f>
        <v>1</v>
      </c>
      <c r="F530" s="275">
        <f t="shared" ref="F530:F577" si="151">($B530+$C530+1)/2</f>
        <v>45673.5</v>
      </c>
      <c r="G530" s="120">
        <f t="shared" ref="G530:G577" si="152">YEAR($B530)*12+MONTH($B530)-1</f>
        <v>24300</v>
      </c>
      <c r="H530" s="245">
        <f t="shared" ref="H530:H577" si="153">IF(OR(nr_SeasonOn="OFF",$M$527=0,$N$527=0),1,12*INDEX(se_block,$M$527,$E530)/$N$527)</f>
        <v>1</v>
      </c>
      <c r="I530" s="121">
        <f t="shared" ref="I530:I577" si="154">EXP(SUMPRODUCT((ndl_eff&lt;$B530)*(rl_key=$B$527)*ndl_ln))</f>
        <v>1</v>
      </c>
      <c r="J530" s="121">
        <f t="shared" ref="J530:J577" si="155">EXP(SUMPRODUCT((ndl_eff&lt;=$C530)*(rl_key=$B$527)*ndl_ln))</f>
        <v>1</v>
      </c>
      <c r="K530" s="120">
        <f t="shared" ref="K530:K577" si="156">COUNTIFS(rl_key,$B$527,ndl_eff,"&gt;="&amp;$B530,ndl_eff,"&lt;="&amp;$C530)</f>
        <v>0</v>
      </c>
      <c r="L530" s="120">
        <f t="shared" ref="L530:L577" si="157">SUMIFS(ndl_days,rl_key,$B$527,ndl_effmonth,$B530,ndl_first,1)</f>
        <v>0</v>
      </c>
      <c r="M530" s="246">
        <f t="shared" ref="M530:M577" si="158">IF($K530=0,0,MIN(1,$L530/$D530))</f>
        <v>0</v>
      </c>
      <c r="N530" s="121">
        <f t="shared" ref="N530:N577" si="159">IF($K530=0,$J530,(1-$M530)*$I530+$M530*$J530)</f>
        <v>1</v>
      </c>
      <c r="O530" s="246">
        <f t="shared" ref="O530:O577" si="160">IF($F530&lt;$B$528,$E$528+$I$528*($F530-$A$528),IF($F530&lt;$C$528,$F$528+$J$528*($F530-$B$528),$G$528+$K$528*($F530-$C$528)))</f>
        <v>0.91681072210065651</v>
      </c>
      <c r="P530" s="121">
        <f t="shared" ref="P530:P577" si="161">MIN(1,MAX(0,(nr_MEndPm1-$G530+0.5)/nr_TermMonths))-MIN(1,MAX(0,(nr_MStartPm1-1-$G530+0.5)/nr_TermMonths))</f>
        <v>0</v>
      </c>
      <c r="Q530" s="121">
        <f t="shared" ref="Q530:Q577" si="162">MIN(1,MAX(0,(nr_MEndP-$G530+0.5)/nr_TermMonths))-MIN(1,MAX(0,(nr_MStartP-1-$G530+0.5)/nr_TermMonths))</f>
        <v>0</v>
      </c>
      <c r="R530" s="121">
        <f t="shared" ref="R530:R577" si="163">MIN(1,MAX(0,(nr_MEndP1-$G530+0.5)/nr_TermMonths))-MIN(1,MAX(0,(nr_MStartP1-1-$G530+0.5)/nr_TermMonths))</f>
        <v>0</v>
      </c>
      <c r="AE530" s="160">
        <f t="shared" ref="AE530:AE577" si="164">IF(OR($G530&lt;nr_MStartP,$G530&gt;=nr_MStartP1),IF($F$527=1,$N530*$O530/$G$527,$N530),($W530+$X530*IF(ISNUMBER($F$578),$F$578,0))*IF($F$527=1,($AC530+$AB530*IF(ISNUMBER($H$578),$H$578,$J$527))/$G$527,1))</f>
        <v>0.99653339358767012</v>
      </c>
    </row>
    <row r="531" spans="1:31" x14ac:dyDescent="0.3">
      <c r="A531" s="187">
        <v>2</v>
      </c>
      <c r="B531" s="242">
        <f t="shared" ref="B531:B577" si="165">EDATE($B530,1)</f>
        <v>45689</v>
      </c>
      <c r="C531" s="243">
        <f t="shared" si="148"/>
        <v>45716</v>
      </c>
      <c r="D531" s="120">
        <f t="shared" si="149"/>
        <v>28</v>
      </c>
      <c r="E531" s="120">
        <f t="shared" si="150"/>
        <v>2</v>
      </c>
      <c r="F531" s="275">
        <f t="shared" si="151"/>
        <v>45703</v>
      </c>
      <c r="G531" s="120">
        <f t="shared" si="152"/>
        <v>24301</v>
      </c>
      <c r="H531" s="245">
        <f t="shared" si="153"/>
        <v>1</v>
      </c>
      <c r="I531" s="121">
        <f t="shared" si="154"/>
        <v>1</v>
      </c>
      <c r="J531" s="121">
        <f t="shared" si="155"/>
        <v>1</v>
      </c>
      <c r="K531" s="120">
        <f t="shared" si="156"/>
        <v>0</v>
      </c>
      <c r="L531" s="120">
        <f t="shared" si="157"/>
        <v>0</v>
      </c>
      <c r="M531" s="246">
        <f t="shared" si="158"/>
        <v>0</v>
      </c>
      <c r="N531" s="121">
        <f t="shared" si="159"/>
        <v>1</v>
      </c>
      <c r="O531" s="246">
        <f t="shared" si="160"/>
        <v>0.91648796498905905</v>
      </c>
      <c r="P531" s="121">
        <f t="shared" si="161"/>
        <v>0</v>
      </c>
      <c r="Q531" s="121">
        <f t="shared" si="162"/>
        <v>0</v>
      </c>
      <c r="R531" s="121">
        <f t="shared" si="163"/>
        <v>0</v>
      </c>
      <c r="AE531" s="160">
        <f t="shared" si="164"/>
        <v>0.99618257064028148</v>
      </c>
    </row>
    <row r="532" spans="1:31" x14ac:dyDescent="0.3">
      <c r="A532" s="187">
        <v>3</v>
      </c>
      <c r="B532" s="242">
        <f t="shared" si="165"/>
        <v>45717</v>
      </c>
      <c r="C532" s="243">
        <f t="shared" si="148"/>
        <v>45747</v>
      </c>
      <c r="D532" s="120">
        <f t="shared" si="149"/>
        <v>31</v>
      </c>
      <c r="E532" s="120">
        <f t="shared" si="150"/>
        <v>3</v>
      </c>
      <c r="F532" s="275">
        <f t="shared" si="151"/>
        <v>45732.5</v>
      </c>
      <c r="G532" s="120">
        <f t="shared" si="152"/>
        <v>24302</v>
      </c>
      <c r="H532" s="245">
        <f t="shared" si="153"/>
        <v>1</v>
      </c>
      <c r="I532" s="121">
        <f t="shared" si="154"/>
        <v>1</v>
      </c>
      <c r="J532" s="121">
        <f t="shared" si="155"/>
        <v>1</v>
      </c>
      <c r="K532" s="120">
        <f t="shared" si="156"/>
        <v>0</v>
      </c>
      <c r="L532" s="120">
        <f t="shared" si="157"/>
        <v>0</v>
      </c>
      <c r="M532" s="246">
        <f t="shared" si="158"/>
        <v>0</v>
      </c>
      <c r="N532" s="121">
        <f t="shared" si="159"/>
        <v>1</v>
      </c>
      <c r="O532" s="246">
        <f t="shared" si="160"/>
        <v>0.9161652078774617</v>
      </c>
      <c r="P532" s="121">
        <f t="shared" si="161"/>
        <v>0</v>
      </c>
      <c r="Q532" s="121">
        <f t="shared" si="162"/>
        <v>0</v>
      </c>
      <c r="R532" s="121">
        <f t="shared" si="163"/>
        <v>0</v>
      </c>
      <c r="AE532" s="160">
        <f t="shared" si="164"/>
        <v>0.99583174769289307</v>
      </c>
    </row>
    <row r="533" spans="1:31" x14ac:dyDescent="0.3">
      <c r="A533" s="187">
        <v>4</v>
      </c>
      <c r="B533" s="242">
        <f t="shared" si="165"/>
        <v>45748</v>
      </c>
      <c r="C533" s="243">
        <f t="shared" si="148"/>
        <v>45777</v>
      </c>
      <c r="D533" s="120">
        <f t="shared" si="149"/>
        <v>30</v>
      </c>
      <c r="E533" s="120">
        <f t="shared" si="150"/>
        <v>4</v>
      </c>
      <c r="F533" s="275">
        <f t="shared" si="151"/>
        <v>45763</v>
      </c>
      <c r="G533" s="120">
        <f t="shared" si="152"/>
        <v>24303</v>
      </c>
      <c r="H533" s="245">
        <f t="shared" si="153"/>
        <v>1</v>
      </c>
      <c r="I533" s="121">
        <f t="shared" si="154"/>
        <v>1</v>
      </c>
      <c r="J533" s="121">
        <f t="shared" si="155"/>
        <v>1</v>
      </c>
      <c r="K533" s="120">
        <f t="shared" si="156"/>
        <v>0</v>
      </c>
      <c r="L533" s="120">
        <f t="shared" si="157"/>
        <v>0</v>
      </c>
      <c r="M533" s="246">
        <f t="shared" si="158"/>
        <v>0</v>
      </c>
      <c r="N533" s="121">
        <f t="shared" si="159"/>
        <v>1</v>
      </c>
      <c r="O533" s="246">
        <f t="shared" si="160"/>
        <v>0.91583150984682715</v>
      </c>
      <c r="P533" s="121">
        <f t="shared" si="161"/>
        <v>0</v>
      </c>
      <c r="Q533" s="121">
        <f t="shared" si="162"/>
        <v>0</v>
      </c>
      <c r="R533" s="121">
        <f t="shared" si="163"/>
        <v>0</v>
      </c>
      <c r="AE533" s="160">
        <f t="shared" si="164"/>
        <v>0.99546903244220342</v>
      </c>
    </row>
    <row r="534" spans="1:31" x14ac:dyDescent="0.3">
      <c r="A534" s="187">
        <v>5</v>
      </c>
      <c r="B534" s="242">
        <f t="shared" si="165"/>
        <v>45778</v>
      </c>
      <c r="C534" s="243">
        <f t="shared" si="148"/>
        <v>45808</v>
      </c>
      <c r="D534" s="120">
        <f t="shared" si="149"/>
        <v>31</v>
      </c>
      <c r="E534" s="120">
        <f t="shared" si="150"/>
        <v>5</v>
      </c>
      <c r="F534" s="275">
        <f t="shared" si="151"/>
        <v>45793.5</v>
      </c>
      <c r="G534" s="120">
        <f t="shared" si="152"/>
        <v>24304</v>
      </c>
      <c r="H534" s="245">
        <f t="shared" si="153"/>
        <v>1</v>
      </c>
      <c r="I534" s="121">
        <f t="shared" si="154"/>
        <v>1</v>
      </c>
      <c r="J534" s="121">
        <f t="shared" si="155"/>
        <v>1</v>
      </c>
      <c r="K534" s="120">
        <f t="shared" si="156"/>
        <v>0</v>
      </c>
      <c r="L534" s="120">
        <f t="shared" si="157"/>
        <v>0</v>
      </c>
      <c r="M534" s="246">
        <f t="shared" si="158"/>
        <v>0</v>
      </c>
      <c r="N534" s="121">
        <f t="shared" si="159"/>
        <v>1</v>
      </c>
      <c r="O534" s="246">
        <f t="shared" si="160"/>
        <v>0.91549781181619261</v>
      </c>
      <c r="P534" s="121">
        <f t="shared" si="161"/>
        <v>0</v>
      </c>
      <c r="Q534" s="121">
        <f t="shared" si="162"/>
        <v>0</v>
      </c>
      <c r="R534" s="121">
        <f t="shared" si="163"/>
        <v>0</v>
      </c>
      <c r="AE534" s="160">
        <f t="shared" si="164"/>
        <v>0.99510631719151366</v>
      </c>
    </row>
    <row r="535" spans="1:31" x14ac:dyDescent="0.3">
      <c r="A535" s="187">
        <v>6</v>
      </c>
      <c r="B535" s="242">
        <f t="shared" si="165"/>
        <v>45809</v>
      </c>
      <c r="C535" s="243">
        <f t="shared" si="148"/>
        <v>45838</v>
      </c>
      <c r="D535" s="120">
        <f t="shared" si="149"/>
        <v>30</v>
      </c>
      <c r="E535" s="120">
        <f t="shared" si="150"/>
        <v>6</v>
      </c>
      <c r="F535" s="275">
        <f t="shared" si="151"/>
        <v>45824</v>
      </c>
      <c r="G535" s="120">
        <f t="shared" si="152"/>
        <v>24305</v>
      </c>
      <c r="H535" s="245">
        <f t="shared" si="153"/>
        <v>1</v>
      </c>
      <c r="I535" s="121">
        <f t="shared" si="154"/>
        <v>1</v>
      </c>
      <c r="J535" s="121">
        <f t="shared" si="155"/>
        <v>1</v>
      </c>
      <c r="K535" s="120">
        <f t="shared" si="156"/>
        <v>0</v>
      </c>
      <c r="L535" s="120">
        <f t="shared" si="157"/>
        <v>0</v>
      </c>
      <c r="M535" s="246">
        <f t="shared" si="158"/>
        <v>0</v>
      </c>
      <c r="N535" s="121">
        <f t="shared" si="159"/>
        <v>1</v>
      </c>
      <c r="O535" s="246">
        <f t="shared" si="160"/>
        <v>0.91516411378555795</v>
      </c>
      <c r="P535" s="121">
        <f t="shared" si="161"/>
        <v>0</v>
      </c>
      <c r="Q535" s="121">
        <f t="shared" si="162"/>
        <v>0</v>
      </c>
      <c r="R535" s="121">
        <f t="shared" si="163"/>
        <v>0</v>
      </c>
      <c r="AE535" s="160">
        <f t="shared" si="164"/>
        <v>0.99474360194082379</v>
      </c>
    </row>
    <row r="536" spans="1:31" x14ac:dyDescent="0.3">
      <c r="A536" s="187">
        <v>7</v>
      </c>
      <c r="B536" s="242">
        <f t="shared" si="165"/>
        <v>45839</v>
      </c>
      <c r="C536" s="243">
        <f t="shared" si="148"/>
        <v>45869</v>
      </c>
      <c r="D536" s="120">
        <f t="shared" si="149"/>
        <v>31</v>
      </c>
      <c r="E536" s="120">
        <f t="shared" si="150"/>
        <v>7</v>
      </c>
      <c r="F536" s="275">
        <f t="shared" si="151"/>
        <v>45854.5</v>
      </c>
      <c r="G536" s="120">
        <f t="shared" si="152"/>
        <v>24306</v>
      </c>
      <c r="H536" s="245">
        <f t="shared" si="153"/>
        <v>1</v>
      </c>
      <c r="I536" s="121">
        <f t="shared" si="154"/>
        <v>1</v>
      </c>
      <c r="J536" s="121">
        <f t="shared" si="155"/>
        <v>1</v>
      </c>
      <c r="K536" s="120">
        <f t="shared" si="156"/>
        <v>0</v>
      </c>
      <c r="L536" s="120">
        <f t="shared" si="157"/>
        <v>0</v>
      </c>
      <c r="M536" s="246">
        <f t="shared" si="158"/>
        <v>0</v>
      </c>
      <c r="N536" s="121">
        <f t="shared" si="159"/>
        <v>1</v>
      </c>
      <c r="O536" s="246">
        <f t="shared" si="160"/>
        <v>0.91483041575492341</v>
      </c>
      <c r="P536" s="121">
        <f t="shared" si="161"/>
        <v>8.333333333333337E-2</v>
      </c>
      <c r="Q536" s="121">
        <f t="shared" si="162"/>
        <v>0</v>
      </c>
      <c r="R536" s="121">
        <f t="shared" si="163"/>
        <v>0</v>
      </c>
      <c r="AE536" s="160">
        <f t="shared" si="164"/>
        <v>0.99438088669013414</v>
      </c>
    </row>
    <row r="537" spans="1:31" x14ac:dyDescent="0.3">
      <c r="A537" s="187">
        <v>8</v>
      </c>
      <c r="B537" s="242">
        <f t="shared" si="165"/>
        <v>45870</v>
      </c>
      <c r="C537" s="243">
        <f t="shared" si="148"/>
        <v>45900</v>
      </c>
      <c r="D537" s="120">
        <f t="shared" si="149"/>
        <v>31</v>
      </c>
      <c r="E537" s="120">
        <f t="shared" si="150"/>
        <v>8</v>
      </c>
      <c r="F537" s="275">
        <f t="shared" si="151"/>
        <v>45885.5</v>
      </c>
      <c r="G537" s="120">
        <f t="shared" si="152"/>
        <v>24307</v>
      </c>
      <c r="H537" s="245">
        <f t="shared" si="153"/>
        <v>1</v>
      </c>
      <c r="I537" s="121">
        <f t="shared" si="154"/>
        <v>1</v>
      </c>
      <c r="J537" s="121">
        <f t="shared" si="155"/>
        <v>1</v>
      </c>
      <c r="K537" s="120">
        <f t="shared" si="156"/>
        <v>0</v>
      </c>
      <c r="L537" s="120">
        <f t="shared" si="157"/>
        <v>0</v>
      </c>
      <c r="M537" s="246">
        <f t="shared" si="158"/>
        <v>0</v>
      </c>
      <c r="N537" s="121">
        <f t="shared" si="159"/>
        <v>1</v>
      </c>
      <c r="O537" s="246">
        <f t="shared" si="160"/>
        <v>0.91449124726477027</v>
      </c>
      <c r="P537" s="121">
        <f t="shared" si="161"/>
        <v>0.25</v>
      </c>
      <c r="Q537" s="121">
        <f t="shared" si="162"/>
        <v>0</v>
      </c>
      <c r="R537" s="121">
        <f t="shared" si="163"/>
        <v>0</v>
      </c>
      <c r="AE537" s="160">
        <f t="shared" si="164"/>
        <v>0.99401222528779376</v>
      </c>
    </row>
    <row r="538" spans="1:31" x14ac:dyDescent="0.3">
      <c r="A538" s="187">
        <v>9</v>
      </c>
      <c r="B538" s="242">
        <f t="shared" si="165"/>
        <v>45901</v>
      </c>
      <c r="C538" s="243">
        <f t="shared" si="148"/>
        <v>45930</v>
      </c>
      <c r="D538" s="120">
        <f t="shared" si="149"/>
        <v>30</v>
      </c>
      <c r="E538" s="120">
        <f t="shared" si="150"/>
        <v>9</v>
      </c>
      <c r="F538" s="275">
        <f t="shared" si="151"/>
        <v>45916</v>
      </c>
      <c r="G538" s="120">
        <f t="shared" si="152"/>
        <v>24308</v>
      </c>
      <c r="H538" s="245">
        <f t="shared" si="153"/>
        <v>1</v>
      </c>
      <c r="I538" s="121">
        <f t="shared" si="154"/>
        <v>1</v>
      </c>
      <c r="J538" s="121">
        <f t="shared" si="155"/>
        <v>1</v>
      </c>
      <c r="K538" s="120">
        <f t="shared" si="156"/>
        <v>0</v>
      </c>
      <c r="L538" s="120">
        <f t="shared" si="157"/>
        <v>0</v>
      </c>
      <c r="M538" s="246">
        <f t="shared" si="158"/>
        <v>0</v>
      </c>
      <c r="N538" s="121">
        <f t="shared" si="159"/>
        <v>1</v>
      </c>
      <c r="O538" s="246">
        <f t="shared" si="160"/>
        <v>0.91415754923413572</v>
      </c>
      <c r="P538" s="121">
        <f t="shared" si="161"/>
        <v>0.41666666666666663</v>
      </c>
      <c r="Q538" s="121">
        <f t="shared" si="162"/>
        <v>0</v>
      </c>
      <c r="R538" s="121">
        <f t="shared" si="163"/>
        <v>0</v>
      </c>
      <c r="AE538" s="160">
        <f t="shared" si="164"/>
        <v>0.993649510037104</v>
      </c>
    </row>
    <row r="539" spans="1:31" x14ac:dyDescent="0.3">
      <c r="A539" s="187">
        <v>10</v>
      </c>
      <c r="B539" s="242">
        <f t="shared" si="165"/>
        <v>45931</v>
      </c>
      <c r="C539" s="243">
        <f t="shared" si="148"/>
        <v>45961</v>
      </c>
      <c r="D539" s="120">
        <f t="shared" si="149"/>
        <v>31</v>
      </c>
      <c r="E539" s="120">
        <f t="shared" si="150"/>
        <v>10</v>
      </c>
      <c r="F539" s="275">
        <f t="shared" si="151"/>
        <v>45946.5</v>
      </c>
      <c r="G539" s="120">
        <f t="shared" si="152"/>
        <v>24309</v>
      </c>
      <c r="H539" s="245">
        <f t="shared" si="153"/>
        <v>1</v>
      </c>
      <c r="I539" s="121">
        <f t="shared" si="154"/>
        <v>1</v>
      </c>
      <c r="J539" s="121">
        <f t="shared" si="155"/>
        <v>1</v>
      </c>
      <c r="K539" s="120">
        <f t="shared" si="156"/>
        <v>0</v>
      </c>
      <c r="L539" s="120">
        <f t="shared" si="157"/>
        <v>0</v>
      </c>
      <c r="M539" s="246">
        <f t="shared" si="158"/>
        <v>0</v>
      </c>
      <c r="N539" s="121">
        <f t="shared" si="159"/>
        <v>1</v>
      </c>
      <c r="O539" s="246">
        <f t="shared" si="160"/>
        <v>0.91382385120350107</v>
      </c>
      <c r="P539" s="121">
        <f t="shared" si="161"/>
        <v>0.58333333333333326</v>
      </c>
      <c r="Q539" s="121">
        <f t="shared" si="162"/>
        <v>0</v>
      </c>
      <c r="R539" s="121">
        <f t="shared" si="163"/>
        <v>0</v>
      </c>
      <c r="AE539" s="160">
        <f t="shared" si="164"/>
        <v>0.99328679478641413</v>
      </c>
    </row>
    <row r="540" spans="1:31" x14ac:dyDescent="0.3">
      <c r="A540" s="187">
        <v>11</v>
      </c>
      <c r="B540" s="242">
        <f t="shared" si="165"/>
        <v>45962</v>
      </c>
      <c r="C540" s="243">
        <f t="shared" si="148"/>
        <v>45991</v>
      </c>
      <c r="D540" s="120">
        <f t="shared" si="149"/>
        <v>30</v>
      </c>
      <c r="E540" s="120">
        <f t="shared" si="150"/>
        <v>11</v>
      </c>
      <c r="F540" s="275">
        <f t="shared" si="151"/>
        <v>45977</v>
      </c>
      <c r="G540" s="120">
        <f t="shared" si="152"/>
        <v>24310</v>
      </c>
      <c r="H540" s="245">
        <f t="shared" si="153"/>
        <v>1</v>
      </c>
      <c r="I540" s="121">
        <f t="shared" si="154"/>
        <v>1</v>
      </c>
      <c r="J540" s="121">
        <f t="shared" si="155"/>
        <v>1</v>
      </c>
      <c r="K540" s="120">
        <f t="shared" si="156"/>
        <v>0</v>
      </c>
      <c r="L540" s="120">
        <f t="shared" si="157"/>
        <v>0</v>
      </c>
      <c r="M540" s="246">
        <f t="shared" si="158"/>
        <v>0</v>
      </c>
      <c r="N540" s="121">
        <f t="shared" si="159"/>
        <v>1</v>
      </c>
      <c r="O540" s="246">
        <f t="shared" si="160"/>
        <v>0.91349015317286653</v>
      </c>
      <c r="P540" s="121">
        <f t="shared" si="161"/>
        <v>0.75</v>
      </c>
      <c r="Q540" s="121">
        <f t="shared" si="162"/>
        <v>0</v>
      </c>
      <c r="R540" s="121">
        <f t="shared" si="163"/>
        <v>0</v>
      </c>
      <c r="AE540" s="160">
        <f t="shared" si="164"/>
        <v>0.99292407953572448</v>
      </c>
    </row>
    <row r="541" spans="1:31" x14ac:dyDescent="0.3">
      <c r="A541" s="187">
        <v>12</v>
      </c>
      <c r="B541" s="242">
        <f t="shared" si="165"/>
        <v>45992</v>
      </c>
      <c r="C541" s="243">
        <f t="shared" si="148"/>
        <v>46022</v>
      </c>
      <c r="D541" s="120">
        <f t="shared" si="149"/>
        <v>31</v>
      </c>
      <c r="E541" s="120">
        <f t="shared" si="150"/>
        <v>12</v>
      </c>
      <c r="F541" s="275">
        <f t="shared" si="151"/>
        <v>46007.5</v>
      </c>
      <c r="G541" s="120">
        <f t="shared" si="152"/>
        <v>24311</v>
      </c>
      <c r="H541" s="245">
        <f t="shared" si="153"/>
        <v>1</v>
      </c>
      <c r="I541" s="121">
        <f t="shared" si="154"/>
        <v>1</v>
      </c>
      <c r="J541" s="121">
        <f t="shared" si="155"/>
        <v>1</v>
      </c>
      <c r="K541" s="120">
        <f t="shared" si="156"/>
        <v>0</v>
      </c>
      <c r="L541" s="120">
        <f t="shared" si="157"/>
        <v>0</v>
      </c>
      <c r="M541" s="246">
        <f t="shared" si="158"/>
        <v>0</v>
      </c>
      <c r="N541" s="121">
        <f t="shared" si="159"/>
        <v>1</v>
      </c>
      <c r="O541" s="246">
        <f t="shared" si="160"/>
        <v>0.91315645514223198</v>
      </c>
      <c r="P541" s="121">
        <f t="shared" si="161"/>
        <v>0.91666666666666663</v>
      </c>
      <c r="Q541" s="121">
        <f t="shared" si="162"/>
        <v>0</v>
      </c>
      <c r="R541" s="121">
        <f t="shared" si="163"/>
        <v>0</v>
      </c>
      <c r="AE541" s="160">
        <f t="shared" si="164"/>
        <v>0.99256136428503472</v>
      </c>
    </row>
    <row r="542" spans="1:31" x14ac:dyDescent="0.3">
      <c r="A542" s="187">
        <v>13</v>
      </c>
      <c r="B542" s="242">
        <f t="shared" si="165"/>
        <v>46023</v>
      </c>
      <c r="C542" s="243">
        <f t="shared" si="148"/>
        <v>46053</v>
      </c>
      <c r="D542" s="120">
        <f t="shared" si="149"/>
        <v>31</v>
      </c>
      <c r="E542" s="120">
        <f t="shared" si="150"/>
        <v>1</v>
      </c>
      <c r="F542" s="275">
        <f t="shared" si="151"/>
        <v>46038.5</v>
      </c>
      <c r="G542" s="120">
        <f t="shared" si="152"/>
        <v>24312</v>
      </c>
      <c r="H542" s="245">
        <f t="shared" si="153"/>
        <v>1</v>
      </c>
      <c r="I542" s="121">
        <f t="shared" si="154"/>
        <v>1</v>
      </c>
      <c r="J542" s="121">
        <f t="shared" si="155"/>
        <v>1</v>
      </c>
      <c r="K542" s="120">
        <f t="shared" si="156"/>
        <v>0</v>
      </c>
      <c r="L542" s="120">
        <f t="shared" si="157"/>
        <v>0</v>
      </c>
      <c r="M542" s="246">
        <f t="shared" si="158"/>
        <v>0</v>
      </c>
      <c r="N542" s="121">
        <f t="shared" si="159"/>
        <v>1</v>
      </c>
      <c r="O542" s="246">
        <f t="shared" si="160"/>
        <v>0.91281728665207884</v>
      </c>
      <c r="P542" s="121">
        <f t="shared" si="161"/>
        <v>1</v>
      </c>
      <c r="Q542" s="121">
        <f t="shared" si="162"/>
        <v>0</v>
      </c>
      <c r="R542" s="121">
        <f t="shared" si="163"/>
        <v>0</v>
      </c>
      <c r="AE542" s="160">
        <f t="shared" si="164"/>
        <v>0.99219270288269434</v>
      </c>
    </row>
    <row r="543" spans="1:31" x14ac:dyDescent="0.3">
      <c r="A543" s="187">
        <v>14</v>
      </c>
      <c r="B543" s="242">
        <f t="shared" si="165"/>
        <v>46054</v>
      </c>
      <c r="C543" s="243">
        <f t="shared" si="148"/>
        <v>46081</v>
      </c>
      <c r="D543" s="120">
        <f t="shared" si="149"/>
        <v>28</v>
      </c>
      <c r="E543" s="120">
        <f t="shared" si="150"/>
        <v>2</v>
      </c>
      <c r="F543" s="275">
        <f t="shared" si="151"/>
        <v>46068</v>
      </c>
      <c r="G543" s="120">
        <f t="shared" si="152"/>
        <v>24313</v>
      </c>
      <c r="H543" s="245">
        <f t="shared" si="153"/>
        <v>1</v>
      </c>
      <c r="I543" s="121">
        <f t="shared" si="154"/>
        <v>1</v>
      </c>
      <c r="J543" s="121">
        <f t="shared" si="155"/>
        <v>1</v>
      </c>
      <c r="K543" s="120">
        <f t="shared" si="156"/>
        <v>0</v>
      </c>
      <c r="L543" s="120">
        <f t="shared" si="157"/>
        <v>0</v>
      </c>
      <c r="M543" s="246">
        <f t="shared" si="158"/>
        <v>0</v>
      </c>
      <c r="N543" s="121">
        <f t="shared" si="159"/>
        <v>1</v>
      </c>
      <c r="O543" s="246">
        <f t="shared" si="160"/>
        <v>0.91249452954048138</v>
      </c>
      <c r="P543" s="121">
        <f t="shared" si="161"/>
        <v>1</v>
      </c>
      <c r="Q543" s="121">
        <f t="shared" si="162"/>
        <v>0</v>
      </c>
      <c r="R543" s="121">
        <f t="shared" si="163"/>
        <v>0</v>
      </c>
      <c r="AE543" s="160">
        <f t="shared" si="164"/>
        <v>0.99184187993530581</v>
      </c>
    </row>
    <row r="544" spans="1:31" x14ac:dyDescent="0.3">
      <c r="A544" s="187">
        <v>15</v>
      </c>
      <c r="B544" s="242">
        <f t="shared" si="165"/>
        <v>46082</v>
      </c>
      <c r="C544" s="243">
        <f t="shared" si="148"/>
        <v>46112</v>
      </c>
      <c r="D544" s="120">
        <f t="shared" si="149"/>
        <v>31</v>
      </c>
      <c r="E544" s="120">
        <f t="shared" si="150"/>
        <v>3</v>
      </c>
      <c r="F544" s="275">
        <f t="shared" si="151"/>
        <v>46097.5</v>
      </c>
      <c r="G544" s="120">
        <f t="shared" si="152"/>
        <v>24314</v>
      </c>
      <c r="H544" s="245">
        <f t="shared" si="153"/>
        <v>1</v>
      </c>
      <c r="I544" s="121">
        <f t="shared" si="154"/>
        <v>1</v>
      </c>
      <c r="J544" s="121">
        <f t="shared" si="155"/>
        <v>1</v>
      </c>
      <c r="K544" s="120">
        <f t="shared" si="156"/>
        <v>0</v>
      </c>
      <c r="L544" s="120">
        <f t="shared" si="157"/>
        <v>0</v>
      </c>
      <c r="M544" s="246">
        <f t="shared" si="158"/>
        <v>0</v>
      </c>
      <c r="N544" s="121">
        <f t="shared" si="159"/>
        <v>1</v>
      </c>
      <c r="O544" s="246">
        <f t="shared" si="160"/>
        <v>0.91217177242888403</v>
      </c>
      <c r="P544" s="121">
        <f t="shared" si="161"/>
        <v>1</v>
      </c>
      <c r="Q544" s="121">
        <f t="shared" si="162"/>
        <v>0</v>
      </c>
      <c r="R544" s="121">
        <f t="shared" si="163"/>
        <v>0</v>
      </c>
      <c r="AE544" s="160">
        <f t="shared" si="164"/>
        <v>0.9914910569879174</v>
      </c>
    </row>
    <row r="545" spans="1:35" x14ac:dyDescent="0.3">
      <c r="A545" s="187">
        <v>16</v>
      </c>
      <c r="B545" s="242">
        <f t="shared" si="165"/>
        <v>46113</v>
      </c>
      <c r="C545" s="243">
        <f t="shared" si="148"/>
        <v>46142</v>
      </c>
      <c r="D545" s="120">
        <f t="shared" si="149"/>
        <v>30</v>
      </c>
      <c r="E545" s="120">
        <f t="shared" si="150"/>
        <v>4</v>
      </c>
      <c r="F545" s="275">
        <f t="shared" si="151"/>
        <v>46128</v>
      </c>
      <c r="G545" s="120">
        <f t="shared" si="152"/>
        <v>24315</v>
      </c>
      <c r="H545" s="245">
        <f t="shared" si="153"/>
        <v>1</v>
      </c>
      <c r="I545" s="121">
        <f t="shared" si="154"/>
        <v>1</v>
      </c>
      <c r="J545" s="121">
        <f t="shared" si="155"/>
        <v>1</v>
      </c>
      <c r="K545" s="120">
        <f t="shared" si="156"/>
        <v>0</v>
      </c>
      <c r="L545" s="120">
        <f t="shared" si="157"/>
        <v>0</v>
      </c>
      <c r="M545" s="246">
        <f t="shared" si="158"/>
        <v>0</v>
      </c>
      <c r="N545" s="121">
        <f t="shared" si="159"/>
        <v>1</v>
      </c>
      <c r="O545" s="246">
        <f t="shared" si="160"/>
        <v>0.91183807439824949</v>
      </c>
      <c r="P545" s="121">
        <f t="shared" si="161"/>
        <v>1</v>
      </c>
      <c r="Q545" s="121">
        <f t="shared" si="162"/>
        <v>0</v>
      </c>
      <c r="R545" s="121">
        <f t="shared" si="163"/>
        <v>0</v>
      </c>
      <c r="AE545" s="160">
        <f t="shared" si="164"/>
        <v>0.99112834173722764</v>
      </c>
    </row>
    <row r="546" spans="1:35" x14ac:dyDescent="0.3">
      <c r="A546" s="187">
        <v>17</v>
      </c>
      <c r="B546" s="242">
        <f t="shared" si="165"/>
        <v>46143</v>
      </c>
      <c r="C546" s="243">
        <f t="shared" si="148"/>
        <v>46173</v>
      </c>
      <c r="D546" s="120">
        <f t="shared" si="149"/>
        <v>31</v>
      </c>
      <c r="E546" s="120">
        <f t="shared" si="150"/>
        <v>5</v>
      </c>
      <c r="F546" s="275">
        <f t="shared" si="151"/>
        <v>46158.5</v>
      </c>
      <c r="G546" s="120">
        <f t="shared" si="152"/>
        <v>24316</v>
      </c>
      <c r="H546" s="245">
        <f t="shared" si="153"/>
        <v>1</v>
      </c>
      <c r="I546" s="121">
        <f t="shared" si="154"/>
        <v>1</v>
      </c>
      <c r="J546" s="121">
        <f t="shared" si="155"/>
        <v>1</v>
      </c>
      <c r="K546" s="120">
        <f t="shared" si="156"/>
        <v>0</v>
      </c>
      <c r="L546" s="120">
        <f t="shared" si="157"/>
        <v>0</v>
      </c>
      <c r="M546" s="246">
        <f t="shared" si="158"/>
        <v>0</v>
      </c>
      <c r="N546" s="121">
        <f t="shared" si="159"/>
        <v>1</v>
      </c>
      <c r="O546" s="246">
        <f t="shared" si="160"/>
        <v>0.91150437636761494</v>
      </c>
      <c r="P546" s="121">
        <f t="shared" si="161"/>
        <v>1</v>
      </c>
      <c r="Q546" s="121">
        <f t="shared" si="162"/>
        <v>0</v>
      </c>
      <c r="R546" s="121">
        <f t="shared" si="163"/>
        <v>0</v>
      </c>
      <c r="AE546" s="160">
        <f t="shared" si="164"/>
        <v>0.99076562648653799</v>
      </c>
    </row>
    <row r="547" spans="1:35" x14ac:dyDescent="0.3">
      <c r="A547" s="187">
        <v>18</v>
      </c>
      <c r="B547" s="242">
        <f t="shared" si="165"/>
        <v>46174</v>
      </c>
      <c r="C547" s="243">
        <f t="shared" si="148"/>
        <v>46203</v>
      </c>
      <c r="D547" s="120">
        <f t="shared" si="149"/>
        <v>30</v>
      </c>
      <c r="E547" s="120">
        <f t="shared" si="150"/>
        <v>6</v>
      </c>
      <c r="F547" s="275">
        <f t="shared" si="151"/>
        <v>46189</v>
      </c>
      <c r="G547" s="120">
        <f t="shared" si="152"/>
        <v>24317</v>
      </c>
      <c r="H547" s="245">
        <f t="shared" si="153"/>
        <v>1</v>
      </c>
      <c r="I547" s="121">
        <f t="shared" si="154"/>
        <v>1</v>
      </c>
      <c r="J547" s="121">
        <f t="shared" si="155"/>
        <v>1</v>
      </c>
      <c r="K547" s="120">
        <f t="shared" si="156"/>
        <v>0</v>
      </c>
      <c r="L547" s="120">
        <f t="shared" si="157"/>
        <v>0</v>
      </c>
      <c r="M547" s="246">
        <f t="shared" si="158"/>
        <v>0</v>
      </c>
      <c r="N547" s="121">
        <f t="shared" si="159"/>
        <v>1</v>
      </c>
      <c r="O547" s="246">
        <f t="shared" si="160"/>
        <v>0.91117067833698029</v>
      </c>
      <c r="P547" s="121">
        <f t="shared" si="161"/>
        <v>1</v>
      </c>
      <c r="Q547" s="121">
        <f t="shared" si="162"/>
        <v>0</v>
      </c>
      <c r="R547" s="121">
        <f t="shared" si="163"/>
        <v>0</v>
      </c>
      <c r="AE547" s="160">
        <f t="shared" si="164"/>
        <v>0.99040291123584812</v>
      </c>
    </row>
    <row r="548" spans="1:35" x14ac:dyDescent="0.3">
      <c r="A548" s="187">
        <v>19</v>
      </c>
      <c r="B548" s="242">
        <f t="shared" si="165"/>
        <v>46204</v>
      </c>
      <c r="C548" s="243">
        <f t="shared" si="148"/>
        <v>46234</v>
      </c>
      <c r="D548" s="120">
        <f t="shared" si="149"/>
        <v>31</v>
      </c>
      <c r="E548" s="120">
        <f t="shared" si="150"/>
        <v>7</v>
      </c>
      <c r="F548" s="275">
        <f t="shared" si="151"/>
        <v>46219.5</v>
      </c>
      <c r="G548" s="120">
        <f t="shared" si="152"/>
        <v>24318</v>
      </c>
      <c r="H548" s="245">
        <f t="shared" si="153"/>
        <v>1</v>
      </c>
      <c r="I548" s="121">
        <f t="shared" si="154"/>
        <v>1</v>
      </c>
      <c r="J548" s="121">
        <f t="shared" si="155"/>
        <v>1</v>
      </c>
      <c r="K548" s="120">
        <f t="shared" si="156"/>
        <v>0</v>
      </c>
      <c r="L548" s="120">
        <f t="shared" si="157"/>
        <v>0</v>
      </c>
      <c r="M548" s="246">
        <f t="shared" si="158"/>
        <v>0</v>
      </c>
      <c r="N548" s="121">
        <f t="shared" si="159"/>
        <v>1</v>
      </c>
      <c r="O548" s="246">
        <f t="shared" si="160"/>
        <v>0.91083698030634574</v>
      </c>
      <c r="P548" s="121">
        <f t="shared" si="161"/>
        <v>0.91666666666666663</v>
      </c>
      <c r="Q548" s="121">
        <f t="shared" si="162"/>
        <v>8.333333333333337E-2</v>
      </c>
      <c r="R548" s="121">
        <f t="shared" si="163"/>
        <v>0</v>
      </c>
      <c r="AE548" s="160">
        <f t="shared" si="164"/>
        <v>0.99004019598515836</v>
      </c>
    </row>
    <row r="549" spans="1:35" x14ac:dyDescent="0.3">
      <c r="A549" s="187">
        <v>20</v>
      </c>
      <c r="B549" s="242">
        <f t="shared" si="165"/>
        <v>46235</v>
      </c>
      <c r="C549" s="243">
        <f t="shared" si="148"/>
        <v>46265</v>
      </c>
      <c r="D549" s="120">
        <f t="shared" si="149"/>
        <v>31</v>
      </c>
      <c r="E549" s="120">
        <f t="shared" si="150"/>
        <v>8</v>
      </c>
      <c r="F549" s="275">
        <f t="shared" si="151"/>
        <v>46250.5</v>
      </c>
      <c r="G549" s="120">
        <f t="shared" si="152"/>
        <v>24319</v>
      </c>
      <c r="H549" s="245">
        <f t="shared" si="153"/>
        <v>1</v>
      </c>
      <c r="I549" s="121">
        <f t="shared" si="154"/>
        <v>1</v>
      </c>
      <c r="J549" s="121">
        <f t="shared" si="155"/>
        <v>1</v>
      </c>
      <c r="K549" s="120">
        <f t="shared" si="156"/>
        <v>0</v>
      </c>
      <c r="L549" s="120">
        <f t="shared" si="157"/>
        <v>0</v>
      </c>
      <c r="M549" s="246">
        <f t="shared" si="158"/>
        <v>0</v>
      </c>
      <c r="N549" s="121">
        <f t="shared" si="159"/>
        <v>1</v>
      </c>
      <c r="O549" s="246">
        <f t="shared" si="160"/>
        <v>0.9104978118161926</v>
      </c>
      <c r="P549" s="121">
        <f t="shared" si="161"/>
        <v>0.75</v>
      </c>
      <c r="Q549" s="121">
        <f t="shared" si="162"/>
        <v>0.25</v>
      </c>
      <c r="R549" s="121">
        <f t="shared" si="163"/>
        <v>0</v>
      </c>
      <c r="AE549" s="160">
        <f t="shared" si="164"/>
        <v>0.98967153458281798</v>
      </c>
    </row>
    <row r="550" spans="1:35" x14ac:dyDescent="0.3">
      <c r="A550" s="187">
        <v>21</v>
      </c>
      <c r="B550" s="242">
        <f t="shared" si="165"/>
        <v>46266</v>
      </c>
      <c r="C550" s="243">
        <f t="shared" si="148"/>
        <v>46295</v>
      </c>
      <c r="D550" s="120">
        <f t="shared" si="149"/>
        <v>30</v>
      </c>
      <c r="E550" s="120">
        <f t="shared" si="150"/>
        <v>9</v>
      </c>
      <c r="F550" s="275">
        <f t="shared" si="151"/>
        <v>46281</v>
      </c>
      <c r="G550" s="120">
        <f t="shared" si="152"/>
        <v>24320</v>
      </c>
      <c r="H550" s="245">
        <f t="shared" si="153"/>
        <v>1</v>
      </c>
      <c r="I550" s="121">
        <f t="shared" si="154"/>
        <v>1</v>
      </c>
      <c r="J550" s="121">
        <f t="shared" si="155"/>
        <v>1</v>
      </c>
      <c r="K550" s="120">
        <f t="shared" si="156"/>
        <v>0</v>
      </c>
      <c r="L550" s="120">
        <f t="shared" si="157"/>
        <v>0</v>
      </c>
      <c r="M550" s="246">
        <f t="shared" si="158"/>
        <v>0</v>
      </c>
      <c r="N550" s="121">
        <f t="shared" si="159"/>
        <v>1</v>
      </c>
      <c r="O550" s="246">
        <f t="shared" si="160"/>
        <v>0.91016411378555806</v>
      </c>
      <c r="P550" s="121">
        <f t="shared" si="161"/>
        <v>0.58333333333333337</v>
      </c>
      <c r="Q550" s="121">
        <f t="shared" si="162"/>
        <v>0.41666666666666663</v>
      </c>
      <c r="R550" s="121">
        <f t="shared" si="163"/>
        <v>0</v>
      </c>
      <c r="AE550" s="160">
        <f t="shared" si="164"/>
        <v>0.98930881933212833</v>
      </c>
    </row>
    <row r="551" spans="1:35" x14ac:dyDescent="0.3">
      <c r="A551" s="187">
        <v>22</v>
      </c>
      <c r="B551" s="242">
        <f t="shared" si="165"/>
        <v>46296</v>
      </c>
      <c r="C551" s="243">
        <f t="shared" si="148"/>
        <v>46326</v>
      </c>
      <c r="D551" s="120">
        <f t="shared" si="149"/>
        <v>31</v>
      </c>
      <c r="E551" s="120">
        <f t="shared" si="150"/>
        <v>10</v>
      </c>
      <c r="F551" s="275">
        <f t="shared" si="151"/>
        <v>46311.5</v>
      </c>
      <c r="G551" s="120">
        <f t="shared" si="152"/>
        <v>24321</v>
      </c>
      <c r="H551" s="245">
        <f t="shared" si="153"/>
        <v>1</v>
      </c>
      <c r="I551" s="121">
        <f t="shared" si="154"/>
        <v>1</v>
      </c>
      <c r="J551" s="121">
        <f t="shared" si="155"/>
        <v>1</v>
      </c>
      <c r="K551" s="120">
        <f t="shared" si="156"/>
        <v>0</v>
      </c>
      <c r="L551" s="120">
        <f t="shared" si="157"/>
        <v>0</v>
      </c>
      <c r="M551" s="246">
        <f t="shared" si="158"/>
        <v>0</v>
      </c>
      <c r="N551" s="121">
        <f t="shared" si="159"/>
        <v>1</v>
      </c>
      <c r="O551" s="246">
        <f t="shared" si="160"/>
        <v>0.90983041575492341</v>
      </c>
      <c r="P551" s="121">
        <f t="shared" si="161"/>
        <v>0.41666666666666669</v>
      </c>
      <c r="Q551" s="121">
        <f t="shared" si="162"/>
        <v>0.58333333333333326</v>
      </c>
      <c r="R551" s="121">
        <f t="shared" si="163"/>
        <v>0</v>
      </c>
      <c r="AE551" s="160">
        <f t="shared" si="164"/>
        <v>0.98894610408143846</v>
      </c>
    </row>
    <row r="552" spans="1:35" x14ac:dyDescent="0.3">
      <c r="A552" s="187">
        <v>23</v>
      </c>
      <c r="B552" s="242">
        <f t="shared" si="165"/>
        <v>46327</v>
      </c>
      <c r="C552" s="243">
        <f t="shared" si="148"/>
        <v>46356</v>
      </c>
      <c r="D552" s="120">
        <f t="shared" si="149"/>
        <v>30</v>
      </c>
      <c r="E552" s="120">
        <f t="shared" si="150"/>
        <v>11</v>
      </c>
      <c r="F552" s="275">
        <f t="shared" si="151"/>
        <v>46342</v>
      </c>
      <c r="G552" s="120">
        <f t="shared" si="152"/>
        <v>24322</v>
      </c>
      <c r="H552" s="245">
        <f t="shared" si="153"/>
        <v>1</v>
      </c>
      <c r="I552" s="121">
        <f t="shared" si="154"/>
        <v>1</v>
      </c>
      <c r="J552" s="121">
        <f t="shared" si="155"/>
        <v>1</v>
      </c>
      <c r="K552" s="120">
        <f t="shared" si="156"/>
        <v>0</v>
      </c>
      <c r="L552" s="120">
        <f t="shared" si="157"/>
        <v>0</v>
      </c>
      <c r="M552" s="246">
        <f t="shared" si="158"/>
        <v>0</v>
      </c>
      <c r="N552" s="121">
        <f t="shared" si="159"/>
        <v>1</v>
      </c>
      <c r="O552" s="246">
        <f t="shared" si="160"/>
        <v>0.90949671772428886</v>
      </c>
      <c r="P552" s="121">
        <f t="shared" si="161"/>
        <v>0.25</v>
      </c>
      <c r="Q552" s="121">
        <f t="shared" si="162"/>
        <v>0.75</v>
      </c>
      <c r="R552" s="121">
        <f t="shared" si="163"/>
        <v>0</v>
      </c>
      <c r="AE552" s="160">
        <f t="shared" si="164"/>
        <v>0.9885833888307487</v>
      </c>
    </row>
    <row r="553" spans="1:35" x14ac:dyDescent="0.3">
      <c r="A553" s="187">
        <v>24</v>
      </c>
      <c r="B553" s="242">
        <f t="shared" si="165"/>
        <v>46357</v>
      </c>
      <c r="C553" s="243">
        <f t="shared" si="148"/>
        <v>46387</v>
      </c>
      <c r="D553" s="120">
        <f t="shared" si="149"/>
        <v>31</v>
      </c>
      <c r="E553" s="120">
        <f t="shared" si="150"/>
        <v>12</v>
      </c>
      <c r="F553" s="275">
        <f t="shared" si="151"/>
        <v>46372.5</v>
      </c>
      <c r="G553" s="120">
        <f t="shared" si="152"/>
        <v>24323</v>
      </c>
      <c r="H553" s="245">
        <f t="shared" si="153"/>
        <v>1</v>
      </c>
      <c r="I553" s="121">
        <f t="shared" si="154"/>
        <v>1</v>
      </c>
      <c r="J553" s="121">
        <f t="shared" si="155"/>
        <v>1</v>
      </c>
      <c r="K553" s="120">
        <f t="shared" si="156"/>
        <v>0</v>
      </c>
      <c r="L553" s="120">
        <f t="shared" si="157"/>
        <v>0</v>
      </c>
      <c r="M553" s="246">
        <f t="shared" si="158"/>
        <v>0</v>
      </c>
      <c r="N553" s="121">
        <f t="shared" si="159"/>
        <v>1</v>
      </c>
      <c r="O553" s="246">
        <f t="shared" si="160"/>
        <v>0.90916301969365432</v>
      </c>
      <c r="P553" s="121">
        <f t="shared" si="161"/>
        <v>8.3333333333333329E-2</v>
      </c>
      <c r="Q553" s="121">
        <f t="shared" si="162"/>
        <v>0.91666666666666663</v>
      </c>
      <c r="R553" s="121">
        <f t="shared" si="163"/>
        <v>0</v>
      </c>
      <c r="AE553" s="160">
        <f t="shared" si="164"/>
        <v>0.98822067358005905</v>
      </c>
    </row>
    <row r="554" spans="1:35" x14ac:dyDescent="0.3">
      <c r="A554" s="187">
        <v>25</v>
      </c>
      <c r="B554" s="242">
        <f t="shared" si="165"/>
        <v>46388</v>
      </c>
      <c r="C554" s="243">
        <f t="shared" si="148"/>
        <v>46418</v>
      </c>
      <c r="D554" s="120">
        <f t="shared" si="149"/>
        <v>31</v>
      </c>
      <c r="E554" s="120">
        <f t="shared" si="150"/>
        <v>1</v>
      </c>
      <c r="F554" s="275">
        <f t="shared" si="151"/>
        <v>46403.5</v>
      </c>
      <c r="G554" s="120">
        <f t="shared" si="152"/>
        <v>24324</v>
      </c>
      <c r="H554" s="245">
        <f t="shared" si="153"/>
        <v>1</v>
      </c>
      <c r="I554" s="121">
        <f t="shared" si="154"/>
        <v>1</v>
      </c>
      <c r="J554" s="121">
        <f t="shared" si="155"/>
        <v>1</v>
      </c>
      <c r="K554" s="120">
        <f t="shared" si="156"/>
        <v>0</v>
      </c>
      <c r="L554" s="120">
        <f t="shared" si="157"/>
        <v>0</v>
      </c>
      <c r="M554" s="246">
        <f t="shared" si="158"/>
        <v>0</v>
      </c>
      <c r="N554" s="121">
        <f t="shared" si="159"/>
        <v>1</v>
      </c>
      <c r="O554" s="246">
        <f t="shared" si="160"/>
        <v>0.90882385120350118</v>
      </c>
      <c r="P554" s="121">
        <f t="shared" si="161"/>
        <v>0</v>
      </c>
      <c r="Q554" s="121">
        <f t="shared" si="162"/>
        <v>1</v>
      </c>
      <c r="R554" s="121">
        <f t="shared" si="163"/>
        <v>0</v>
      </c>
      <c r="W554" s="160">
        <f t="shared" ref="W554:W565" si="166">IF($G554&lt;&gt;$Q$527,$N554,(1-$U$527)*$I554+$U$527*$J554)</f>
        <v>1</v>
      </c>
      <c r="X554" s="160">
        <f t="shared" ref="X554:X565" si="167">IF($G554&lt;$Q$527,0,IF($G554&gt;$Q$527,$N554,$U$527*$J554))</f>
        <v>0</v>
      </c>
      <c r="Y554" s="160">
        <f t="shared" ref="Y554:Y565" si="168">IF($F$527=1,$O554/$O542,1)</f>
        <v>0.99562515356909564</v>
      </c>
      <c r="AB554" s="160">
        <f t="shared" ref="AB554:AB565" si="169">IF(AND(N($K$527)&lt;&gt;0,$F554&lt;=$B$528),0,($F554-$B$528)/($C$528-$B$528))</f>
        <v>0.23522975929978118</v>
      </c>
      <c r="AC554" s="220">
        <f t="shared" ref="AC554:AC565" si="170">IF(AND(N($K$527)&lt;&gt;0,$F554&lt;=$B$528),$O554,$F$528*(1-$AB554))</f>
        <v>0.69594091903719912</v>
      </c>
      <c r="AD554" s="160">
        <f t="shared" ref="AD554:AD565" si="171">$H554*($W554+$X554*IF(ISNUMBER($F$578),$F$578,0))/($N542*$O542)</f>
        <v>1.0955094898209907</v>
      </c>
      <c r="AE554" s="160">
        <f t="shared" si="164"/>
        <v>0.98785201217771845</v>
      </c>
      <c r="AF554" s="220">
        <f t="shared" ref="AF554:AF565" si="172">IF($G554&lt;$Q$527,0,IF($G554&gt;$Q$527,1,$U$527))</f>
        <v>0</v>
      </c>
      <c r="AG554" s="183" t="str">
        <f t="shared" ref="AG554:AG565" si="173">IF(OR($D$527=0,$P$527=0),"",($W554+$X554*IF(ISNUMBER($F$578),$F$578,0))/$N542-1)</f>
        <v/>
      </c>
      <c r="AH554" s="183" t="str">
        <f t="shared" ref="AH554:AH565" si="174">IF(OR($AG554="",$F$527=0),"",(1+$E$527)/(1+$AG554)-1)</f>
        <v/>
      </c>
      <c r="AI554" s="220" t="str">
        <f t="shared" ref="AI554:AI565" si="175">IF($AH554="","",$O542*(1+$E$527)/(1+$AG554))</f>
        <v/>
      </c>
    </row>
    <row r="555" spans="1:35" x14ac:dyDescent="0.3">
      <c r="A555" s="187">
        <v>26</v>
      </c>
      <c r="B555" s="242">
        <f t="shared" si="165"/>
        <v>46419</v>
      </c>
      <c r="C555" s="243">
        <f t="shared" si="148"/>
        <v>46446</v>
      </c>
      <c r="D555" s="120">
        <f t="shared" si="149"/>
        <v>28</v>
      </c>
      <c r="E555" s="120">
        <f t="shared" si="150"/>
        <v>2</v>
      </c>
      <c r="F555" s="275">
        <f t="shared" si="151"/>
        <v>46433</v>
      </c>
      <c r="G555" s="120">
        <f t="shared" si="152"/>
        <v>24325</v>
      </c>
      <c r="H555" s="245">
        <f t="shared" si="153"/>
        <v>1</v>
      </c>
      <c r="I555" s="121">
        <f t="shared" si="154"/>
        <v>1</v>
      </c>
      <c r="J555" s="121">
        <f t="shared" si="155"/>
        <v>1</v>
      </c>
      <c r="K555" s="120">
        <f t="shared" si="156"/>
        <v>0</v>
      </c>
      <c r="L555" s="120">
        <f t="shared" si="157"/>
        <v>0</v>
      </c>
      <c r="M555" s="246">
        <f t="shared" si="158"/>
        <v>0</v>
      </c>
      <c r="N555" s="121">
        <f t="shared" si="159"/>
        <v>1</v>
      </c>
      <c r="O555" s="246">
        <f t="shared" si="160"/>
        <v>0.90850109409190372</v>
      </c>
      <c r="P555" s="121">
        <f t="shared" si="161"/>
        <v>0</v>
      </c>
      <c r="Q555" s="121">
        <f t="shared" si="162"/>
        <v>1</v>
      </c>
      <c r="R555" s="121">
        <f t="shared" si="163"/>
        <v>0</v>
      </c>
      <c r="W555" s="160">
        <f t="shared" si="166"/>
        <v>1</v>
      </c>
      <c r="X555" s="160">
        <f t="shared" si="167"/>
        <v>0</v>
      </c>
      <c r="Y555" s="160">
        <f t="shared" si="168"/>
        <v>0.99562360614853362</v>
      </c>
      <c r="AB555" s="160">
        <f t="shared" si="169"/>
        <v>0.29978118161925604</v>
      </c>
      <c r="AC555" s="220">
        <f t="shared" si="170"/>
        <v>0.637199124726477</v>
      </c>
      <c r="AD555" s="160">
        <f t="shared" si="171"/>
        <v>1.0958969808877486</v>
      </c>
      <c r="AE555" s="160">
        <f t="shared" si="164"/>
        <v>0.98750118923033003</v>
      </c>
      <c r="AF555" s="220">
        <f t="shared" si="172"/>
        <v>0</v>
      </c>
      <c r="AG555" s="183" t="str">
        <f t="shared" si="173"/>
        <v/>
      </c>
      <c r="AH555" s="183" t="str">
        <f t="shared" si="174"/>
        <v/>
      </c>
      <c r="AI555" s="220" t="str">
        <f t="shared" si="175"/>
        <v/>
      </c>
    </row>
    <row r="556" spans="1:35" x14ac:dyDescent="0.3">
      <c r="A556" s="187">
        <v>27</v>
      </c>
      <c r="B556" s="242">
        <f t="shared" si="165"/>
        <v>46447</v>
      </c>
      <c r="C556" s="243">
        <f t="shared" si="148"/>
        <v>46477</v>
      </c>
      <c r="D556" s="120">
        <f t="shared" si="149"/>
        <v>31</v>
      </c>
      <c r="E556" s="120">
        <f t="shared" si="150"/>
        <v>3</v>
      </c>
      <c r="F556" s="275">
        <f t="shared" si="151"/>
        <v>46462.5</v>
      </c>
      <c r="G556" s="120">
        <f t="shared" si="152"/>
        <v>24326</v>
      </c>
      <c r="H556" s="245">
        <f t="shared" si="153"/>
        <v>1</v>
      </c>
      <c r="I556" s="121">
        <f t="shared" si="154"/>
        <v>1</v>
      </c>
      <c r="J556" s="121">
        <f t="shared" si="155"/>
        <v>1</v>
      </c>
      <c r="K556" s="120">
        <f t="shared" si="156"/>
        <v>0</v>
      </c>
      <c r="L556" s="120">
        <f t="shared" si="157"/>
        <v>0</v>
      </c>
      <c r="M556" s="246">
        <f t="shared" si="158"/>
        <v>0</v>
      </c>
      <c r="N556" s="121">
        <f t="shared" si="159"/>
        <v>1</v>
      </c>
      <c r="O556" s="246">
        <f t="shared" si="160"/>
        <v>0.90817833698030637</v>
      </c>
      <c r="P556" s="121">
        <f t="shared" si="161"/>
        <v>0</v>
      </c>
      <c r="Q556" s="121">
        <f t="shared" si="162"/>
        <v>1</v>
      </c>
      <c r="R556" s="121">
        <f t="shared" si="163"/>
        <v>0</v>
      </c>
      <c r="W556" s="160">
        <f t="shared" si="166"/>
        <v>1</v>
      </c>
      <c r="X556" s="160">
        <f t="shared" si="167"/>
        <v>0</v>
      </c>
      <c r="Y556" s="160">
        <f t="shared" si="168"/>
        <v>0.99562205763291256</v>
      </c>
      <c r="AB556" s="160">
        <f t="shared" si="169"/>
        <v>0.36433260393873085</v>
      </c>
      <c r="AC556" s="220">
        <f t="shared" si="170"/>
        <v>0.57845733041575487</v>
      </c>
      <c r="AD556" s="160">
        <f t="shared" si="171"/>
        <v>1.0962847461693004</v>
      </c>
      <c r="AE556" s="160">
        <f t="shared" si="164"/>
        <v>0.9871503662829415</v>
      </c>
      <c r="AF556" s="220">
        <f t="shared" si="172"/>
        <v>0</v>
      </c>
      <c r="AG556" s="183" t="str">
        <f t="shared" si="173"/>
        <v/>
      </c>
      <c r="AH556" s="183" t="str">
        <f t="shared" si="174"/>
        <v/>
      </c>
      <c r="AI556" s="220" t="str">
        <f t="shared" si="175"/>
        <v/>
      </c>
    </row>
    <row r="557" spans="1:35" x14ac:dyDescent="0.3">
      <c r="A557" s="187">
        <v>28</v>
      </c>
      <c r="B557" s="242">
        <f t="shared" si="165"/>
        <v>46478</v>
      </c>
      <c r="C557" s="243">
        <f t="shared" si="148"/>
        <v>46507</v>
      </c>
      <c r="D557" s="120">
        <f t="shared" si="149"/>
        <v>30</v>
      </c>
      <c r="E557" s="120">
        <f t="shared" si="150"/>
        <v>4</v>
      </c>
      <c r="F557" s="275">
        <f t="shared" si="151"/>
        <v>46493</v>
      </c>
      <c r="G557" s="120">
        <f t="shared" si="152"/>
        <v>24327</v>
      </c>
      <c r="H557" s="245">
        <f t="shared" si="153"/>
        <v>1</v>
      </c>
      <c r="I557" s="121">
        <f t="shared" si="154"/>
        <v>1</v>
      </c>
      <c r="J557" s="121">
        <f t="shared" si="155"/>
        <v>1</v>
      </c>
      <c r="K557" s="120">
        <f t="shared" si="156"/>
        <v>0</v>
      </c>
      <c r="L557" s="120">
        <f t="shared" si="157"/>
        <v>0</v>
      </c>
      <c r="M557" s="246">
        <f t="shared" si="158"/>
        <v>0</v>
      </c>
      <c r="N557" s="121">
        <f t="shared" si="159"/>
        <v>1</v>
      </c>
      <c r="O557" s="246">
        <f t="shared" si="160"/>
        <v>0.90784463894967182</v>
      </c>
      <c r="P557" s="121">
        <f t="shared" si="161"/>
        <v>0</v>
      </c>
      <c r="Q557" s="121">
        <f t="shared" si="162"/>
        <v>1</v>
      </c>
      <c r="R557" s="121">
        <f t="shared" si="163"/>
        <v>0</v>
      </c>
      <c r="W557" s="160">
        <f t="shared" si="166"/>
        <v>1</v>
      </c>
      <c r="X557" s="160">
        <f t="shared" si="167"/>
        <v>1</v>
      </c>
      <c r="Y557" s="160">
        <f t="shared" si="168"/>
        <v>0.99562045547263089</v>
      </c>
      <c r="AB557" s="160">
        <f t="shared" si="169"/>
        <v>0.4310722100656455</v>
      </c>
      <c r="AC557" s="220">
        <f t="shared" si="170"/>
        <v>0.51772428884026267</v>
      </c>
      <c r="AD557" s="160">
        <f t="shared" si="171"/>
        <v>1.0966859446617552</v>
      </c>
      <c r="AE557" s="160">
        <f t="shared" si="164"/>
        <v>0.98678765103225208</v>
      </c>
      <c r="AF557" s="220">
        <f t="shared" si="172"/>
        <v>1</v>
      </c>
      <c r="AG557" s="183" t="str">
        <f t="shared" si="173"/>
        <v/>
      </c>
      <c r="AH557" s="183" t="str">
        <f t="shared" si="174"/>
        <v/>
      </c>
      <c r="AI557" s="220" t="str">
        <f t="shared" si="175"/>
        <v/>
      </c>
    </row>
    <row r="558" spans="1:35" x14ac:dyDescent="0.3">
      <c r="A558" s="187">
        <v>29</v>
      </c>
      <c r="B558" s="242">
        <f t="shared" si="165"/>
        <v>46508</v>
      </c>
      <c r="C558" s="243">
        <f t="shared" si="148"/>
        <v>46538</v>
      </c>
      <c r="D558" s="120">
        <f t="shared" si="149"/>
        <v>31</v>
      </c>
      <c r="E558" s="120">
        <f t="shared" si="150"/>
        <v>5</v>
      </c>
      <c r="F558" s="275">
        <f t="shared" si="151"/>
        <v>46523.5</v>
      </c>
      <c r="G558" s="120">
        <f t="shared" si="152"/>
        <v>24328</v>
      </c>
      <c r="H558" s="245">
        <f t="shared" si="153"/>
        <v>1</v>
      </c>
      <c r="I558" s="121">
        <f t="shared" si="154"/>
        <v>1</v>
      </c>
      <c r="J558" s="121">
        <f t="shared" si="155"/>
        <v>1</v>
      </c>
      <c r="K558" s="120">
        <f t="shared" si="156"/>
        <v>0</v>
      </c>
      <c r="L558" s="120">
        <f t="shared" si="157"/>
        <v>0</v>
      </c>
      <c r="M558" s="246">
        <f t="shared" si="158"/>
        <v>0</v>
      </c>
      <c r="N558" s="121">
        <f t="shared" si="159"/>
        <v>1</v>
      </c>
      <c r="O558" s="246">
        <f t="shared" si="160"/>
        <v>0.90751094091903728</v>
      </c>
      <c r="P558" s="121">
        <f t="shared" si="161"/>
        <v>0</v>
      </c>
      <c r="Q558" s="121">
        <f t="shared" si="162"/>
        <v>1</v>
      </c>
      <c r="R558" s="121">
        <f t="shared" si="163"/>
        <v>0</v>
      </c>
      <c r="W558" s="160">
        <f t="shared" si="166"/>
        <v>1</v>
      </c>
      <c r="X558" s="160">
        <f t="shared" si="167"/>
        <v>1</v>
      </c>
      <c r="Y558" s="160">
        <f t="shared" si="168"/>
        <v>0.99561885213926049</v>
      </c>
      <c r="AB558" s="160">
        <f t="shared" si="169"/>
        <v>0.49781181619256015</v>
      </c>
      <c r="AC558" s="220">
        <f t="shared" si="170"/>
        <v>0.45699124726477025</v>
      </c>
      <c r="AD558" s="160">
        <f t="shared" si="171"/>
        <v>1.09708743690847</v>
      </c>
      <c r="AE558" s="160">
        <f t="shared" si="164"/>
        <v>0.9864249357815621</v>
      </c>
      <c r="AF558" s="220">
        <f t="shared" si="172"/>
        <v>1</v>
      </c>
      <c r="AG558" s="183" t="str">
        <f t="shared" si="173"/>
        <v/>
      </c>
      <c r="AH558" s="183" t="str">
        <f t="shared" si="174"/>
        <v/>
      </c>
      <c r="AI558" s="220" t="str">
        <f t="shared" si="175"/>
        <v/>
      </c>
    </row>
    <row r="559" spans="1:35" x14ac:dyDescent="0.3">
      <c r="A559" s="187">
        <v>30</v>
      </c>
      <c r="B559" s="242">
        <f t="shared" si="165"/>
        <v>46539</v>
      </c>
      <c r="C559" s="243">
        <f t="shared" si="148"/>
        <v>46568</v>
      </c>
      <c r="D559" s="120">
        <f t="shared" si="149"/>
        <v>30</v>
      </c>
      <c r="E559" s="120">
        <f t="shared" si="150"/>
        <v>6</v>
      </c>
      <c r="F559" s="275">
        <f t="shared" si="151"/>
        <v>46554</v>
      </c>
      <c r="G559" s="120">
        <f t="shared" si="152"/>
        <v>24329</v>
      </c>
      <c r="H559" s="245">
        <f t="shared" si="153"/>
        <v>1</v>
      </c>
      <c r="I559" s="121">
        <f t="shared" si="154"/>
        <v>1</v>
      </c>
      <c r="J559" s="121">
        <f t="shared" si="155"/>
        <v>1</v>
      </c>
      <c r="K559" s="120">
        <f t="shared" si="156"/>
        <v>0</v>
      </c>
      <c r="L559" s="120">
        <f t="shared" si="157"/>
        <v>0</v>
      </c>
      <c r="M559" s="246">
        <f t="shared" si="158"/>
        <v>0</v>
      </c>
      <c r="N559" s="121">
        <f t="shared" si="159"/>
        <v>1</v>
      </c>
      <c r="O559" s="246">
        <f t="shared" si="160"/>
        <v>0.90717724288840262</v>
      </c>
      <c r="P559" s="121">
        <f t="shared" si="161"/>
        <v>0</v>
      </c>
      <c r="Q559" s="121">
        <f t="shared" si="162"/>
        <v>1</v>
      </c>
      <c r="R559" s="121">
        <f t="shared" si="163"/>
        <v>0</v>
      </c>
      <c r="W559" s="160">
        <f t="shared" si="166"/>
        <v>1</v>
      </c>
      <c r="X559" s="160">
        <f t="shared" si="167"/>
        <v>1</v>
      </c>
      <c r="Y559" s="160">
        <f t="shared" si="168"/>
        <v>0.9956172476315126</v>
      </c>
      <c r="AB559" s="160">
        <f t="shared" si="169"/>
        <v>0.56455142231947486</v>
      </c>
      <c r="AC559" s="220">
        <f t="shared" si="170"/>
        <v>0.39625820568927789</v>
      </c>
      <c r="AD559" s="160">
        <f t="shared" si="171"/>
        <v>1.0974892232321898</v>
      </c>
      <c r="AE559" s="160">
        <f t="shared" si="164"/>
        <v>0.98606222053087234</v>
      </c>
      <c r="AF559" s="220">
        <f t="shared" si="172"/>
        <v>1</v>
      </c>
      <c r="AG559" s="183" t="str">
        <f t="shared" si="173"/>
        <v/>
      </c>
      <c r="AH559" s="183" t="str">
        <f t="shared" si="174"/>
        <v/>
      </c>
      <c r="AI559" s="220" t="str">
        <f t="shared" si="175"/>
        <v/>
      </c>
    </row>
    <row r="560" spans="1:35" x14ac:dyDescent="0.3">
      <c r="A560" s="187">
        <v>31</v>
      </c>
      <c r="B560" s="242">
        <f t="shared" si="165"/>
        <v>46569</v>
      </c>
      <c r="C560" s="243">
        <f t="shared" si="148"/>
        <v>46599</v>
      </c>
      <c r="D560" s="120">
        <f t="shared" si="149"/>
        <v>31</v>
      </c>
      <c r="E560" s="120">
        <f t="shared" si="150"/>
        <v>7</v>
      </c>
      <c r="F560" s="275">
        <f t="shared" si="151"/>
        <v>46584.5</v>
      </c>
      <c r="G560" s="120">
        <f t="shared" si="152"/>
        <v>24330</v>
      </c>
      <c r="H560" s="245">
        <f t="shared" si="153"/>
        <v>1</v>
      </c>
      <c r="I560" s="121">
        <f t="shared" si="154"/>
        <v>1</v>
      </c>
      <c r="J560" s="121">
        <f t="shared" si="155"/>
        <v>1</v>
      </c>
      <c r="K560" s="120">
        <f t="shared" si="156"/>
        <v>0</v>
      </c>
      <c r="L560" s="120">
        <f t="shared" si="157"/>
        <v>0</v>
      </c>
      <c r="M560" s="246">
        <f t="shared" si="158"/>
        <v>0</v>
      </c>
      <c r="N560" s="121">
        <f t="shared" si="159"/>
        <v>1</v>
      </c>
      <c r="O560" s="246">
        <f t="shared" si="160"/>
        <v>0.90684354485776808</v>
      </c>
      <c r="P560" s="121">
        <f t="shared" si="161"/>
        <v>0</v>
      </c>
      <c r="Q560" s="121">
        <f t="shared" si="162"/>
        <v>0.91666666666666663</v>
      </c>
      <c r="R560" s="121">
        <f t="shared" si="163"/>
        <v>8.333333333333337E-2</v>
      </c>
      <c r="W560" s="160">
        <f t="shared" si="166"/>
        <v>1</v>
      </c>
      <c r="X560" s="160">
        <f t="shared" si="167"/>
        <v>1</v>
      </c>
      <c r="Y560" s="160">
        <f t="shared" si="168"/>
        <v>0.99561564194809637</v>
      </c>
      <c r="AB560" s="160">
        <f t="shared" si="169"/>
        <v>0.63129102844638951</v>
      </c>
      <c r="AC560" s="220">
        <f t="shared" si="170"/>
        <v>0.33552516411378558</v>
      </c>
      <c r="AD560" s="160">
        <f t="shared" si="171"/>
        <v>1.0978913039561324</v>
      </c>
      <c r="AE560" s="160">
        <f t="shared" si="164"/>
        <v>0.98569950528018269</v>
      </c>
      <c r="AF560" s="220">
        <f t="shared" si="172"/>
        <v>1</v>
      </c>
      <c r="AG560" s="183" t="str">
        <f t="shared" si="173"/>
        <v/>
      </c>
      <c r="AH560" s="183" t="str">
        <f t="shared" si="174"/>
        <v/>
      </c>
      <c r="AI560" s="220" t="str">
        <f t="shared" si="175"/>
        <v/>
      </c>
    </row>
    <row r="561" spans="1:35" x14ac:dyDescent="0.3">
      <c r="A561" s="187">
        <v>32</v>
      </c>
      <c r="B561" s="242">
        <f t="shared" si="165"/>
        <v>46600</v>
      </c>
      <c r="C561" s="243">
        <f t="shared" si="148"/>
        <v>46630</v>
      </c>
      <c r="D561" s="120">
        <f t="shared" si="149"/>
        <v>31</v>
      </c>
      <c r="E561" s="120">
        <f t="shared" si="150"/>
        <v>8</v>
      </c>
      <c r="F561" s="275">
        <f t="shared" si="151"/>
        <v>46615.5</v>
      </c>
      <c r="G561" s="120">
        <f t="shared" si="152"/>
        <v>24331</v>
      </c>
      <c r="H561" s="245">
        <f t="shared" si="153"/>
        <v>1</v>
      </c>
      <c r="I561" s="121">
        <f t="shared" si="154"/>
        <v>1</v>
      </c>
      <c r="J561" s="121">
        <f t="shared" si="155"/>
        <v>1</v>
      </c>
      <c r="K561" s="120">
        <f t="shared" si="156"/>
        <v>0</v>
      </c>
      <c r="L561" s="120">
        <f t="shared" si="157"/>
        <v>0</v>
      </c>
      <c r="M561" s="246">
        <f t="shared" si="158"/>
        <v>0</v>
      </c>
      <c r="N561" s="121">
        <f t="shared" si="159"/>
        <v>1</v>
      </c>
      <c r="O561" s="246">
        <f t="shared" si="160"/>
        <v>0.90650437636761494</v>
      </c>
      <c r="P561" s="121">
        <f t="shared" si="161"/>
        <v>0</v>
      </c>
      <c r="Q561" s="121">
        <f t="shared" si="162"/>
        <v>0.75</v>
      </c>
      <c r="R561" s="121">
        <f t="shared" si="163"/>
        <v>0.25</v>
      </c>
      <c r="W561" s="160">
        <f t="shared" si="166"/>
        <v>1</v>
      </c>
      <c r="X561" s="160">
        <f t="shared" si="167"/>
        <v>1</v>
      </c>
      <c r="Y561" s="160">
        <f t="shared" si="168"/>
        <v>0.99561400873593331</v>
      </c>
      <c r="AB561" s="160">
        <f t="shared" si="169"/>
        <v>0.69912472647702406</v>
      </c>
      <c r="AC561" s="220">
        <f t="shared" si="170"/>
        <v>0.27379649890590813</v>
      </c>
      <c r="AD561" s="160">
        <f t="shared" si="171"/>
        <v>1.0983002781799938</v>
      </c>
      <c r="AE561" s="160">
        <f t="shared" si="164"/>
        <v>0.9853308438778422</v>
      </c>
      <c r="AF561" s="220">
        <f t="shared" si="172"/>
        <v>1</v>
      </c>
      <c r="AG561" s="183" t="str">
        <f t="shared" si="173"/>
        <v/>
      </c>
      <c r="AH561" s="183" t="str">
        <f t="shared" si="174"/>
        <v/>
      </c>
      <c r="AI561" s="220" t="str">
        <f t="shared" si="175"/>
        <v/>
      </c>
    </row>
    <row r="562" spans="1:35" x14ac:dyDescent="0.3">
      <c r="A562" s="187">
        <v>33</v>
      </c>
      <c r="B562" s="242">
        <f t="shared" si="165"/>
        <v>46631</v>
      </c>
      <c r="C562" s="243">
        <f t="shared" si="148"/>
        <v>46660</v>
      </c>
      <c r="D562" s="120">
        <f t="shared" si="149"/>
        <v>30</v>
      </c>
      <c r="E562" s="120">
        <f t="shared" si="150"/>
        <v>9</v>
      </c>
      <c r="F562" s="275">
        <f t="shared" si="151"/>
        <v>46646</v>
      </c>
      <c r="G562" s="120">
        <f t="shared" si="152"/>
        <v>24332</v>
      </c>
      <c r="H562" s="245">
        <f t="shared" si="153"/>
        <v>1</v>
      </c>
      <c r="I562" s="121">
        <f t="shared" si="154"/>
        <v>1</v>
      </c>
      <c r="J562" s="121">
        <f t="shared" si="155"/>
        <v>1</v>
      </c>
      <c r="K562" s="120">
        <f t="shared" si="156"/>
        <v>0</v>
      </c>
      <c r="L562" s="120">
        <f t="shared" si="157"/>
        <v>0</v>
      </c>
      <c r="M562" s="246">
        <f t="shared" si="158"/>
        <v>0</v>
      </c>
      <c r="N562" s="121">
        <f t="shared" si="159"/>
        <v>1</v>
      </c>
      <c r="O562" s="246">
        <f t="shared" si="160"/>
        <v>0.90617067833698028</v>
      </c>
      <c r="P562" s="121">
        <f t="shared" si="161"/>
        <v>0</v>
      </c>
      <c r="Q562" s="121">
        <f t="shared" si="162"/>
        <v>0.58333333333333337</v>
      </c>
      <c r="R562" s="121">
        <f t="shared" si="163"/>
        <v>0.41666666666666663</v>
      </c>
      <c r="W562" s="160">
        <f t="shared" si="166"/>
        <v>1</v>
      </c>
      <c r="X562" s="160">
        <f t="shared" si="167"/>
        <v>1</v>
      </c>
      <c r="Y562" s="160">
        <f t="shared" si="168"/>
        <v>0.99561240067797419</v>
      </c>
      <c r="AB562" s="160">
        <f t="shared" si="169"/>
        <v>0.76586433260393871</v>
      </c>
      <c r="AC562" s="220">
        <f t="shared" si="170"/>
        <v>0.21306345733041579</v>
      </c>
      <c r="AD562" s="160">
        <f t="shared" si="171"/>
        <v>1.0987029535154886</v>
      </c>
      <c r="AE562" s="160">
        <f t="shared" si="164"/>
        <v>0.98496812862715244</v>
      </c>
      <c r="AF562" s="220">
        <f t="shared" si="172"/>
        <v>1</v>
      </c>
      <c r="AG562" s="183" t="str">
        <f t="shared" si="173"/>
        <v/>
      </c>
      <c r="AH562" s="183" t="str">
        <f t="shared" si="174"/>
        <v/>
      </c>
      <c r="AI562" s="220" t="str">
        <f t="shared" si="175"/>
        <v/>
      </c>
    </row>
    <row r="563" spans="1:35" x14ac:dyDescent="0.3">
      <c r="A563" s="187">
        <v>34</v>
      </c>
      <c r="B563" s="242">
        <f t="shared" si="165"/>
        <v>46661</v>
      </c>
      <c r="C563" s="243">
        <f t="shared" si="148"/>
        <v>46691</v>
      </c>
      <c r="D563" s="120">
        <f t="shared" si="149"/>
        <v>31</v>
      </c>
      <c r="E563" s="120">
        <f t="shared" si="150"/>
        <v>10</v>
      </c>
      <c r="F563" s="275">
        <f t="shared" si="151"/>
        <v>46676.5</v>
      </c>
      <c r="G563" s="120">
        <f t="shared" si="152"/>
        <v>24333</v>
      </c>
      <c r="H563" s="245">
        <f t="shared" si="153"/>
        <v>1</v>
      </c>
      <c r="I563" s="121">
        <f t="shared" si="154"/>
        <v>1</v>
      </c>
      <c r="J563" s="121">
        <f t="shared" si="155"/>
        <v>1</v>
      </c>
      <c r="K563" s="120">
        <f t="shared" si="156"/>
        <v>0</v>
      </c>
      <c r="L563" s="120">
        <f t="shared" si="157"/>
        <v>0</v>
      </c>
      <c r="M563" s="246">
        <f t="shared" si="158"/>
        <v>0</v>
      </c>
      <c r="N563" s="121">
        <f t="shared" si="159"/>
        <v>1</v>
      </c>
      <c r="O563" s="246">
        <f t="shared" si="160"/>
        <v>0.90583698030634574</v>
      </c>
      <c r="P563" s="121">
        <f t="shared" si="161"/>
        <v>0</v>
      </c>
      <c r="Q563" s="121">
        <f t="shared" si="162"/>
        <v>0.41666666666666669</v>
      </c>
      <c r="R563" s="121">
        <f t="shared" si="163"/>
        <v>0.58333333333333326</v>
      </c>
      <c r="W563" s="160">
        <f t="shared" si="166"/>
        <v>1</v>
      </c>
      <c r="X563" s="160">
        <f t="shared" si="167"/>
        <v>1</v>
      </c>
      <c r="Y563" s="160">
        <f t="shared" si="168"/>
        <v>0.99561079144044207</v>
      </c>
      <c r="AB563" s="160">
        <f t="shared" si="169"/>
        <v>0.83260393873085337</v>
      </c>
      <c r="AC563" s="220">
        <f t="shared" si="170"/>
        <v>0.15233041575492345</v>
      </c>
      <c r="AD563" s="160">
        <f t="shared" si="171"/>
        <v>1.0991059242290324</v>
      </c>
      <c r="AE563" s="160">
        <f t="shared" si="164"/>
        <v>0.98460541337646268</v>
      </c>
      <c r="AF563" s="220">
        <f t="shared" si="172"/>
        <v>1</v>
      </c>
      <c r="AG563" s="183" t="str">
        <f t="shared" si="173"/>
        <v/>
      </c>
      <c r="AH563" s="183" t="str">
        <f t="shared" si="174"/>
        <v/>
      </c>
      <c r="AI563" s="220" t="str">
        <f t="shared" si="175"/>
        <v/>
      </c>
    </row>
    <row r="564" spans="1:35" x14ac:dyDescent="0.3">
      <c r="A564" s="187">
        <v>35</v>
      </c>
      <c r="B564" s="242">
        <f t="shared" si="165"/>
        <v>46692</v>
      </c>
      <c r="C564" s="243">
        <f t="shared" si="148"/>
        <v>46721</v>
      </c>
      <c r="D564" s="120">
        <f t="shared" si="149"/>
        <v>30</v>
      </c>
      <c r="E564" s="120">
        <f t="shared" si="150"/>
        <v>11</v>
      </c>
      <c r="F564" s="275">
        <f t="shared" si="151"/>
        <v>46707</v>
      </c>
      <c r="G564" s="120">
        <f t="shared" si="152"/>
        <v>24334</v>
      </c>
      <c r="H564" s="245">
        <f t="shared" si="153"/>
        <v>1</v>
      </c>
      <c r="I564" s="121">
        <f t="shared" si="154"/>
        <v>1</v>
      </c>
      <c r="J564" s="121">
        <f t="shared" si="155"/>
        <v>1</v>
      </c>
      <c r="K564" s="120">
        <f t="shared" si="156"/>
        <v>0</v>
      </c>
      <c r="L564" s="120">
        <f t="shared" si="157"/>
        <v>0</v>
      </c>
      <c r="M564" s="246">
        <f t="shared" si="158"/>
        <v>0</v>
      </c>
      <c r="N564" s="121">
        <f t="shared" si="159"/>
        <v>1</v>
      </c>
      <c r="O564" s="246">
        <f t="shared" si="160"/>
        <v>0.9055032822757112</v>
      </c>
      <c r="P564" s="121">
        <f t="shared" si="161"/>
        <v>0</v>
      </c>
      <c r="Q564" s="121">
        <f t="shared" si="162"/>
        <v>0.25</v>
      </c>
      <c r="R564" s="121">
        <f t="shared" si="163"/>
        <v>0.75</v>
      </c>
      <c r="W564" s="160">
        <f t="shared" si="166"/>
        <v>1</v>
      </c>
      <c r="X564" s="160">
        <f t="shared" si="167"/>
        <v>1</v>
      </c>
      <c r="Y564" s="160">
        <f t="shared" si="168"/>
        <v>0.99560918102203833</v>
      </c>
      <c r="AB564" s="160">
        <f t="shared" si="169"/>
        <v>0.89934354485776802</v>
      </c>
      <c r="AC564" s="220">
        <f t="shared" si="170"/>
        <v>9.1597374179431104E-2</v>
      </c>
      <c r="AD564" s="160">
        <f t="shared" si="171"/>
        <v>1.099509190645751</v>
      </c>
      <c r="AE564" s="160">
        <f t="shared" si="164"/>
        <v>0.98424269812577303</v>
      </c>
      <c r="AF564" s="220">
        <f t="shared" si="172"/>
        <v>1</v>
      </c>
      <c r="AG564" s="183" t="str">
        <f t="shared" si="173"/>
        <v/>
      </c>
      <c r="AH564" s="183" t="str">
        <f t="shared" si="174"/>
        <v/>
      </c>
      <c r="AI564" s="220" t="str">
        <f t="shared" si="175"/>
        <v/>
      </c>
    </row>
    <row r="565" spans="1:35" x14ac:dyDescent="0.3">
      <c r="A565" s="187">
        <v>36</v>
      </c>
      <c r="B565" s="242">
        <f t="shared" si="165"/>
        <v>46722</v>
      </c>
      <c r="C565" s="243">
        <f t="shared" si="148"/>
        <v>46752</v>
      </c>
      <c r="D565" s="120">
        <f t="shared" si="149"/>
        <v>31</v>
      </c>
      <c r="E565" s="120">
        <f t="shared" si="150"/>
        <v>12</v>
      </c>
      <c r="F565" s="275">
        <f t="shared" si="151"/>
        <v>46737.5</v>
      </c>
      <c r="G565" s="120">
        <f t="shared" si="152"/>
        <v>24335</v>
      </c>
      <c r="H565" s="245">
        <f t="shared" si="153"/>
        <v>1</v>
      </c>
      <c r="I565" s="121">
        <f t="shared" si="154"/>
        <v>1</v>
      </c>
      <c r="J565" s="121">
        <f t="shared" si="155"/>
        <v>1</v>
      </c>
      <c r="K565" s="120">
        <f t="shared" si="156"/>
        <v>0</v>
      </c>
      <c r="L565" s="120">
        <f t="shared" si="157"/>
        <v>0</v>
      </c>
      <c r="M565" s="246">
        <f t="shared" si="158"/>
        <v>0</v>
      </c>
      <c r="N565" s="121">
        <f t="shared" si="159"/>
        <v>1</v>
      </c>
      <c r="O565" s="246">
        <f t="shared" si="160"/>
        <v>0.90516958424507665</v>
      </c>
      <c r="P565" s="121">
        <f t="shared" si="161"/>
        <v>0</v>
      </c>
      <c r="Q565" s="121">
        <f t="shared" si="162"/>
        <v>8.3333333333333329E-2</v>
      </c>
      <c r="R565" s="121">
        <f t="shared" si="163"/>
        <v>0.91666666666666663</v>
      </c>
      <c r="W565" s="160">
        <f t="shared" si="166"/>
        <v>1</v>
      </c>
      <c r="X565" s="160">
        <f t="shared" si="167"/>
        <v>1</v>
      </c>
      <c r="Y565" s="160">
        <f t="shared" si="168"/>
        <v>0.99560756942146278</v>
      </c>
      <c r="AB565" s="160">
        <f t="shared" si="169"/>
        <v>0.96608315098468267</v>
      </c>
      <c r="AC565" s="220">
        <f t="shared" si="170"/>
        <v>3.0864332603938772E-2</v>
      </c>
      <c r="AD565" s="160">
        <f t="shared" si="171"/>
        <v>1.0999127530912483</v>
      </c>
      <c r="AE565" s="160">
        <f t="shared" si="164"/>
        <v>0.98387998287508316</v>
      </c>
      <c r="AF565" s="220">
        <f t="shared" si="172"/>
        <v>1</v>
      </c>
      <c r="AG565" s="183" t="str">
        <f t="shared" si="173"/>
        <v/>
      </c>
      <c r="AH565" s="183" t="str">
        <f t="shared" si="174"/>
        <v/>
      </c>
      <c r="AI565" s="220" t="str">
        <f t="shared" si="175"/>
        <v/>
      </c>
    </row>
    <row r="566" spans="1:35" x14ac:dyDescent="0.3">
      <c r="A566" s="187">
        <v>37</v>
      </c>
      <c r="B566" s="242">
        <f t="shared" si="165"/>
        <v>46753</v>
      </c>
      <c r="C566" s="243">
        <f t="shared" si="148"/>
        <v>46783</v>
      </c>
      <c r="D566" s="120">
        <f t="shared" si="149"/>
        <v>31</v>
      </c>
      <c r="E566" s="120">
        <f t="shared" si="150"/>
        <v>1</v>
      </c>
      <c r="F566" s="275">
        <f t="shared" si="151"/>
        <v>46768.5</v>
      </c>
      <c r="G566" s="120">
        <f t="shared" si="152"/>
        <v>24336</v>
      </c>
      <c r="H566" s="245">
        <f t="shared" si="153"/>
        <v>1</v>
      </c>
      <c r="I566" s="121">
        <f t="shared" si="154"/>
        <v>1</v>
      </c>
      <c r="J566" s="121">
        <f t="shared" si="155"/>
        <v>1</v>
      </c>
      <c r="K566" s="120">
        <f t="shared" si="156"/>
        <v>0</v>
      </c>
      <c r="L566" s="120">
        <f t="shared" si="157"/>
        <v>0</v>
      </c>
      <c r="M566" s="246">
        <f t="shared" si="158"/>
        <v>0</v>
      </c>
      <c r="N566" s="121">
        <f t="shared" si="159"/>
        <v>1</v>
      </c>
      <c r="O566" s="246">
        <f t="shared" si="160"/>
        <v>0.90500000000000003</v>
      </c>
      <c r="P566" s="121">
        <f t="shared" si="161"/>
        <v>0</v>
      </c>
      <c r="Q566" s="121">
        <f t="shared" si="162"/>
        <v>0</v>
      </c>
      <c r="R566" s="121">
        <f t="shared" si="163"/>
        <v>1</v>
      </c>
      <c r="AE566" s="160">
        <f t="shared" si="164"/>
        <v>0.98369565217391308</v>
      </c>
    </row>
    <row r="567" spans="1:35" x14ac:dyDescent="0.3">
      <c r="A567" s="187">
        <v>38</v>
      </c>
      <c r="B567" s="242">
        <f t="shared" si="165"/>
        <v>46784</v>
      </c>
      <c r="C567" s="243">
        <f t="shared" si="148"/>
        <v>46812</v>
      </c>
      <c r="D567" s="120">
        <f t="shared" si="149"/>
        <v>29</v>
      </c>
      <c r="E567" s="120">
        <f t="shared" si="150"/>
        <v>2</v>
      </c>
      <c r="F567" s="275">
        <f t="shared" si="151"/>
        <v>46798.5</v>
      </c>
      <c r="G567" s="120">
        <f t="shared" si="152"/>
        <v>24337</v>
      </c>
      <c r="H567" s="245">
        <f t="shared" si="153"/>
        <v>1</v>
      </c>
      <c r="I567" s="121">
        <f t="shared" si="154"/>
        <v>1</v>
      </c>
      <c r="J567" s="121">
        <f t="shared" si="155"/>
        <v>1</v>
      </c>
      <c r="K567" s="120">
        <f t="shared" si="156"/>
        <v>0</v>
      </c>
      <c r="L567" s="120">
        <f t="shared" si="157"/>
        <v>0</v>
      </c>
      <c r="M567" s="246">
        <f t="shared" si="158"/>
        <v>0</v>
      </c>
      <c r="N567" s="121">
        <f t="shared" si="159"/>
        <v>1</v>
      </c>
      <c r="O567" s="246">
        <f t="shared" si="160"/>
        <v>0.90500000000000003</v>
      </c>
      <c r="P567" s="121">
        <f t="shared" si="161"/>
        <v>0</v>
      </c>
      <c r="Q567" s="121">
        <f t="shared" si="162"/>
        <v>0</v>
      </c>
      <c r="R567" s="121">
        <f t="shared" si="163"/>
        <v>1</v>
      </c>
      <c r="AE567" s="160">
        <f t="shared" si="164"/>
        <v>0.98369565217391308</v>
      </c>
    </row>
    <row r="568" spans="1:35" x14ac:dyDescent="0.3">
      <c r="A568" s="187">
        <v>39</v>
      </c>
      <c r="B568" s="242">
        <f t="shared" si="165"/>
        <v>46813</v>
      </c>
      <c r="C568" s="243">
        <f t="shared" si="148"/>
        <v>46843</v>
      </c>
      <c r="D568" s="120">
        <f t="shared" si="149"/>
        <v>31</v>
      </c>
      <c r="E568" s="120">
        <f t="shared" si="150"/>
        <v>3</v>
      </c>
      <c r="F568" s="275">
        <f t="shared" si="151"/>
        <v>46828.5</v>
      </c>
      <c r="G568" s="120">
        <f t="shared" si="152"/>
        <v>24338</v>
      </c>
      <c r="H568" s="245">
        <f t="shared" si="153"/>
        <v>1</v>
      </c>
      <c r="I568" s="121">
        <f t="shared" si="154"/>
        <v>1</v>
      </c>
      <c r="J568" s="121">
        <f t="shared" si="155"/>
        <v>1</v>
      </c>
      <c r="K568" s="120">
        <f t="shared" si="156"/>
        <v>0</v>
      </c>
      <c r="L568" s="120">
        <f t="shared" si="157"/>
        <v>0</v>
      </c>
      <c r="M568" s="246">
        <f t="shared" si="158"/>
        <v>0</v>
      </c>
      <c r="N568" s="121">
        <f t="shared" si="159"/>
        <v>1</v>
      </c>
      <c r="O568" s="246">
        <f t="shared" si="160"/>
        <v>0.90500000000000003</v>
      </c>
      <c r="P568" s="121">
        <f t="shared" si="161"/>
        <v>0</v>
      </c>
      <c r="Q568" s="121">
        <f t="shared" si="162"/>
        <v>0</v>
      </c>
      <c r="R568" s="121">
        <f t="shared" si="163"/>
        <v>1</v>
      </c>
      <c r="AE568" s="160">
        <f t="shared" si="164"/>
        <v>0.98369565217391308</v>
      </c>
    </row>
    <row r="569" spans="1:35" x14ac:dyDescent="0.3">
      <c r="A569" s="187">
        <v>40</v>
      </c>
      <c r="B569" s="242">
        <f t="shared" si="165"/>
        <v>46844</v>
      </c>
      <c r="C569" s="243">
        <f t="shared" si="148"/>
        <v>46873</v>
      </c>
      <c r="D569" s="120">
        <f t="shared" si="149"/>
        <v>30</v>
      </c>
      <c r="E569" s="120">
        <f t="shared" si="150"/>
        <v>4</v>
      </c>
      <c r="F569" s="275">
        <f t="shared" si="151"/>
        <v>46859</v>
      </c>
      <c r="G569" s="120">
        <f t="shared" si="152"/>
        <v>24339</v>
      </c>
      <c r="H569" s="245">
        <f t="shared" si="153"/>
        <v>1</v>
      </c>
      <c r="I569" s="121">
        <f t="shared" si="154"/>
        <v>1</v>
      </c>
      <c r="J569" s="121">
        <f t="shared" si="155"/>
        <v>1</v>
      </c>
      <c r="K569" s="120">
        <f t="shared" si="156"/>
        <v>0</v>
      </c>
      <c r="L569" s="120">
        <f t="shared" si="157"/>
        <v>0</v>
      </c>
      <c r="M569" s="246">
        <f t="shared" si="158"/>
        <v>0</v>
      </c>
      <c r="N569" s="121">
        <f t="shared" si="159"/>
        <v>1</v>
      </c>
      <c r="O569" s="246">
        <f t="shared" si="160"/>
        <v>0.90500000000000003</v>
      </c>
      <c r="P569" s="121">
        <f t="shared" si="161"/>
        <v>0</v>
      </c>
      <c r="Q569" s="121">
        <f t="shared" si="162"/>
        <v>0</v>
      </c>
      <c r="R569" s="121">
        <f t="shared" si="163"/>
        <v>1</v>
      </c>
      <c r="AE569" s="160">
        <f t="shared" si="164"/>
        <v>0.98369565217391308</v>
      </c>
    </row>
    <row r="570" spans="1:35" x14ac:dyDescent="0.3">
      <c r="A570" s="187">
        <v>41</v>
      </c>
      <c r="B570" s="242">
        <f t="shared" si="165"/>
        <v>46874</v>
      </c>
      <c r="C570" s="243">
        <f t="shared" si="148"/>
        <v>46904</v>
      </c>
      <c r="D570" s="120">
        <f t="shared" si="149"/>
        <v>31</v>
      </c>
      <c r="E570" s="120">
        <f t="shared" si="150"/>
        <v>5</v>
      </c>
      <c r="F570" s="275">
        <f t="shared" si="151"/>
        <v>46889.5</v>
      </c>
      <c r="G570" s="120">
        <f t="shared" si="152"/>
        <v>24340</v>
      </c>
      <c r="H570" s="245">
        <f t="shared" si="153"/>
        <v>1</v>
      </c>
      <c r="I570" s="121">
        <f t="shared" si="154"/>
        <v>1</v>
      </c>
      <c r="J570" s="121">
        <f t="shared" si="155"/>
        <v>1</v>
      </c>
      <c r="K570" s="120">
        <f t="shared" si="156"/>
        <v>0</v>
      </c>
      <c r="L570" s="120">
        <f t="shared" si="157"/>
        <v>0</v>
      </c>
      <c r="M570" s="246">
        <f t="shared" si="158"/>
        <v>0</v>
      </c>
      <c r="N570" s="121">
        <f t="shared" si="159"/>
        <v>1</v>
      </c>
      <c r="O570" s="246">
        <f t="shared" si="160"/>
        <v>0.90500000000000003</v>
      </c>
      <c r="P570" s="121">
        <f t="shared" si="161"/>
        <v>0</v>
      </c>
      <c r="Q570" s="121">
        <f t="shared" si="162"/>
        <v>0</v>
      </c>
      <c r="R570" s="121">
        <f t="shared" si="163"/>
        <v>1</v>
      </c>
      <c r="AE570" s="160">
        <f t="shared" si="164"/>
        <v>0.98369565217391308</v>
      </c>
    </row>
    <row r="571" spans="1:35" x14ac:dyDescent="0.3">
      <c r="A571" s="187">
        <v>42</v>
      </c>
      <c r="B571" s="242">
        <f t="shared" si="165"/>
        <v>46905</v>
      </c>
      <c r="C571" s="243">
        <f t="shared" si="148"/>
        <v>46934</v>
      </c>
      <c r="D571" s="120">
        <f t="shared" si="149"/>
        <v>30</v>
      </c>
      <c r="E571" s="120">
        <f t="shared" si="150"/>
        <v>6</v>
      </c>
      <c r="F571" s="275">
        <f t="shared" si="151"/>
        <v>46920</v>
      </c>
      <c r="G571" s="120">
        <f t="shared" si="152"/>
        <v>24341</v>
      </c>
      <c r="H571" s="245">
        <f t="shared" si="153"/>
        <v>1</v>
      </c>
      <c r="I571" s="121">
        <f t="shared" si="154"/>
        <v>1</v>
      </c>
      <c r="J571" s="121">
        <f t="shared" si="155"/>
        <v>1</v>
      </c>
      <c r="K571" s="120">
        <f t="shared" si="156"/>
        <v>0</v>
      </c>
      <c r="L571" s="120">
        <f t="shared" si="157"/>
        <v>0</v>
      </c>
      <c r="M571" s="246">
        <f t="shared" si="158"/>
        <v>0</v>
      </c>
      <c r="N571" s="121">
        <f t="shared" si="159"/>
        <v>1</v>
      </c>
      <c r="O571" s="246">
        <f t="shared" si="160"/>
        <v>0.90500000000000003</v>
      </c>
      <c r="P571" s="121">
        <f t="shared" si="161"/>
        <v>0</v>
      </c>
      <c r="Q571" s="121">
        <f t="shared" si="162"/>
        <v>0</v>
      </c>
      <c r="R571" s="121">
        <f t="shared" si="163"/>
        <v>1</v>
      </c>
      <c r="AE571" s="160">
        <f t="shared" si="164"/>
        <v>0.98369565217391308</v>
      </c>
    </row>
    <row r="572" spans="1:35" x14ac:dyDescent="0.3">
      <c r="A572" s="187">
        <v>43</v>
      </c>
      <c r="B572" s="242">
        <f t="shared" si="165"/>
        <v>46935</v>
      </c>
      <c r="C572" s="243">
        <f t="shared" si="148"/>
        <v>46965</v>
      </c>
      <c r="D572" s="120">
        <f t="shared" si="149"/>
        <v>31</v>
      </c>
      <c r="E572" s="120">
        <f t="shared" si="150"/>
        <v>7</v>
      </c>
      <c r="F572" s="275">
        <f t="shared" si="151"/>
        <v>46950.5</v>
      </c>
      <c r="G572" s="120">
        <f t="shared" si="152"/>
        <v>24342</v>
      </c>
      <c r="H572" s="245">
        <f t="shared" si="153"/>
        <v>1</v>
      </c>
      <c r="I572" s="121">
        <f t="shared" si="154"/>
        <v>1</v>
      </c>
      <c r="J572" s="121">
        <f t="shared" si="155"/>
        <v>1</v>
      </c>
      <c r="K572" s="120">
        <f t="shared" si="156"/>
        <v>0</v>
      </c>
      <c r="L572" s="120">
        <f t="shared" si="157"/>
        <v>0</v>
      </c>
      <c r="M572" s="246">
        <f t="shared" si="158"/>
        <v>0</v>
      </c>
      <c r="N572" s="121">
        <f t="shared" si="159"/>
        <v>1</v>
      </c>
      <c r="O572" s="246">
        <f t="shared" si="160"/>
        <v>0.90500000000000003</v>
      </c>
      <c r="P572" s="121">
        <f t="shared" si="161"/>
        <v>0</v>
      </c>
      <c r="Q572" s="121">
        <f t="shared" si="162"/>
        <v>0</v>
      </c>
      <c r="R572" s="121">
        <f t="shared" si="163"/>
        <v>0.91666666666666663</v>
      </c>
      <c r="AE572" s="160">
        <f t="shared" si="164"/>
        <v>0.98369565217391308</v>
      </c>
    </row>
    <row r="573" spans="1:35" x14ac:dyDescent="0.3">
      <c r="A573" s="187">
        <v>44</v>
      </c>
      <c r="B573" s="242">
        <f t="shared" si="165"/>
        <v>46966</v>
      </c>
      <c r="C573" s="243">
        <f t="shared" si="148"/>
        <v>46996</v>
      </c>
      <c r="D573" s="120">
        <f t="shared" si="149"/>
        <v>31</v>
      </c>
      <c r="E573" s="120">
        <f t="shared" si="150"/>
        <v>8</v>
      </c>
      <c r="F573" s="275">
        <f t="shared" si="151"/>
        <v>46981.5</v>
      </c>
      <c r="G573" s="120">
        <f t="shared" si="152"/>
        <v>24343</v>
      </c>
      <c r="H573" s="245">
        <f t="shared" si="153"/>
        <v>1</v>
      </c>
      <c r="I573" s="121">
        <f t="shared" si="154"/>
        <v>1</v>
      </c>
      <c r="J573" s="121">
        <f t="shared" si="155"/>
        <v>1</v>
      </c>
      <c r="K573" s="120">
        <f t="shared" si="156"/>
        <v>0</v>
      </c>
      <c r="L573" s="120">
        <f t="shared" si="157"/>
        <v>0</v>
      </c>
      <c r="M573" s="246">
        <f t="shared" si="158"/>
        <v>0</v>
      </c>
      <c r="N573" s="121">
        <f t="shared" si="159"/>
        <v>1</v>
      </c>
      <c r="O573" s="246">
        <f t="shared" si="160"/>
        <v>0.90500000000000003</v>
      </c>
      <c r="P573" s="121">
        <f t="shared" si="161"/>
        <v>0</v>
      </c>
      <c r="Q573" s="121">
        <f t="shared" si="162"/>
        <v>0</v>
      </c>
      <c r="R573" s="121">
        <f t="shared" si="163"/>
        <v>0.75</v>
      </c>
      <c r="AE573" s="160">
        <f t="shared" si="164"/>
        <v>0.98369565217391308</v>
      </c>
    </row>
    <row r="574" spans="1:35" x14ac:dyDescent="0.3">
      <c r="A574" s="187">
        <v>45</v>
      </c>
      <c r="B574" s="242">
        <f t="shared" si="165"/>
        <v>46997</v>
      </c>
      <c r="C574" s="243">
        <f t="shared" si="148"/>
        <v>47026</v>
      </c>
      <c r="D574" s="120">
        <f t="shared" si="149"/>
        <v>30</v>
      </c>
      <c r="E574" s="120">
        <f t="shared" si="150"/>
        <v>9</v>
      </c>
      <c r="F574" s="275">
        <f t="shared" si="151"/>
        <v>47012</v>
      </c>
      <c r="G574" s="120">
        <f t="shared" si="152"/>
        <v>24344</v>
      </c>
      <c r="H574" s="245">
        <f t="shared" si="153"/>
        <v>1</v>
      </c>
      <c r="I574" s="121">
        <f t="shared" si="154"/>
        <v>1</v>
      </c>
      <c r="J574" s="121">
        <f t="shared" si="155"/>
        <v>1</v>
      </c>
      <c r="K574" s="120">
        <f t="shared" si="156"/>
        <v>0</v>
      </c>
      <c r="L574" s="120">
        <f t="shared" si="157"/>
        <v>0</v>
      </c>
      <c r="M574" s="246">
        <f t="shared" si="158"/>
        <v>0</v>
      </c>
      <c r="N574" s="121">
        <f t="shared" si="159"/>
        <v>1</v>
      </c>
      <c r="O574" s="246">
        <f t="shared" si="160"/>
        <v>0.90500000000000003</v>
      </c>
      <c r="P574" s="121">
        <f t="shared" si="161"/>
        <v>0</v>
      </c>
      <c r="Q574" s="121">
        <f t="shared" si="162"/>
        <v>0</v>
      </c>
      <c r="R574" s="121">
        <f t="shared" si="163"/>
        <v>0.58333333333333337</v>
      </c>
      <c r="AE574" s="160">
        <f t="shared" si="164"/>
        <v>0.98369565217391308</v>
      </c>
    </row>
    <row r="575" spans="1:35" x14ac:dyDescent="0.3">
      <c r="A575" s="187">
        <v>46</v>
      </c>
      <c r="B575" s="242">
        <f t="shared" si="165"/>
        <v>47027</v>
      </c>
      <c r="C575" s="243">
        <f t="shared" si="148"/>
        <v>47057</v>
      </c>
      <c r="D575" s="120">
        <f t="shared" si="149"/>
        <v>31</v>
      </c>
      <c r="E575" s="120">
        <f t="shared" si="150"/>
        <v>10</v>
      </c>
      <c r="F575" s="275">
        <f t="shared" si="151"/>
        <v>47042.5</v>
      </c>
      <c r="G575" s="120">
        <f t="shared" si="152"/>
        <v>24345</v>
      </c>
      <c r="H575" s="245">
        <f t="shared" si="153"/>
        <v>1</v>
      </c>
      <c r="I575" s="121">
        <f t="shared" si="154"/>
        <v>1</v>
      </c>
      <c r="J575" s="121">
        <f t="shared" si="155"/>
        <v>1</v>
      </c>
      <c r="K575" s="120">
        <f t="shared" si="156"/>
        <v>0</v>
      </c>
      <c r="L575" s="120">
        <f t="shared" si="157"/>
        <v>0</v>
      </c>
      <c r="M575" s="246">
        <f t="shared" si="158"/>
        <v>0</v>
      </c>
      <c r="N575" s="121">
        <f t="shared" si="159"/>
        <v>1</v>
      </c>
      <c r="O575" s="246">
        <f t="shared" si="160"/>
        <v>0.90500000000000003</v>
      </c>
      <c r="P575" s="121">
        <f t="shared" si="161"/>
        <v>0</v>
      </c>
      <c r="Q575" s="121">
        <f t="shared" si="162"/>
        <v>0</v>
      </c>
      <c r="R575" s="121">
        <f t="shared" si="163"/>
        <v>0.41666666666666669</v>
      </c>
      <c r="AE575" s="160">
        <f t="shared" si="164"/>
        <v>0.98369565217391308</v>
      </c>
    </row>
    <row r="576" spans="1:35" x14ac:dyDescent="0.3">
      <c r="A576" s="187">
        <v>47</v>
      </c>
      <c r="B576" s="242">
        <f t="shared" si="165"/>
        <v>47058</v>
      </c>
      <c r="C576" s="243">
        <f t="shared" si="148"/>
        <v>47087</v>
      </c>
      <c r="D576" s="120">
        <f t="shared" si="149"/>
        <v>30</v>
      </c>
      <c r="E576" s="120">
        <f t="shared" si="150"/>
        <v>11</v>
      </c>
      <c r="F576" s="275">
        <f t="shared" si="151"/>
        <v>47073</v>
      </c>
      <c r="G576" s="120">
        <f t="shared" si="152"/>
        <v>24346</v>
      </c>
      <c r="H576" s="245">
        <f t="shared" si="153"/>
        <v>1</v>
      </c>
      <c r="I576" s="121">
        <f t="shared" si="154"/>
        <v>1</v>
      </c>
      <c r="J576" s="121">
        <f t="shared" si="155"/>
        <v>1</v>
      </c>
      <c r="K576" s="120">
        <f t="shared" si="156"/>
        <v>0</v>
      </c>
      <c r="L576" s="120">
        <f t="shared" si="157"/>
        <v>0</v>
      </c>
      <c r="M576" s="246">
        <f t="shared" si="158"/>
        <v>0</v>
      </c>
      <c r="N576" s="121">
        <f t="shared" si="159"/>
        <v>1</v>
      </c>
      <c r="O576" s="246">
        <f t="shared" si="160"/>
        <v>0.90500000000000003</v>
      </c>
      <c r="P576" s="121">
        <f t="shared" si="161"/>
        <v>0</v>
      </c>
      <c r="Q576" s="121">
        <f t="shared" si="162"/>
        <v>0</v>
      </c>
      <c r="R576" s="121">
        <f t="shared" si="163"/>
        <v>0.25</v>
      </c>
      <c r="AE576" s="160">
        <f t="shared" si="164"/>
        <v>0.98369565217391308</v>
      </c>
    </row>
    <row r="577" spans="1:31" x14ac:dyDescent="0.3">
      <c r="A577" s="187">
        <v>48</v>
      </c>
      <c r="B577" s="242">
        <f t="shared" si="165"/>
        <v>47088</v>
      </c>
      <c r="C577" s="243">
        <f t="shared" si="148"/>
        <v>47118</v>
      </c>
      <c r="D577" s="120">
        <f t="shared" si="149"/>
        <v>31</v>
      </c>
      <c r="E577" s="120">
        <f t="shared" si="150"/>
        <v>12</v>
      </c>
      <c r="F577" s="275">
        <f t="shared" si="151"/>
        <v>47103.5</v>
      </c>
      <c r="G577" s="120">
        <f t="shared" si="152"/>
        <v>24347</v>
      </c>
      <c r="H577" s="245">
        <f t="shared" si="153"/>
        <v>1</v>
      </c>
      <c r="I577" s="121">
        <f t="shared" si="154"/>
        <v>1</v>
      </c>
      <c r="J577" s="121">
        <f t="shared" si="155"/>
        <v>1</v>
      </c>
      <c r="K577" s="120">
        <f t="shared" si="156"/>
        <v>0</v>
      </c>
      <c r="L577" s="120">
        <f t="shared" si="157"/>
        <v>0</v>
      </c>
      <c r="M577" s="246">
        <f t="shared" si="158"/>
        <v>0</v>
      </c>
      <c r="N577" s="121">
        <f t="shared" si="159"/>
        <v>1</v>
      </c>
      <c r="O577" s="246">
        <f t="shared" si="160"/>
        <v>0.90500000000000003</v>
      </c>
      <c r="P577" s="121">
        <f t="shared" si="161"/>
        <v>0</v>
      </c>
      <c r="Q577" s="121">
        <f t="shared" si="162"/>
        <v>0</v>
      </c>
      <c r="R577" s="121">
        <f t="shared" si="163"/>
        <v>8.3333333333333329E-2</v>
      </c>
      <c r="AE577" s="160">
        <f t="shared" si="164"/>
        <v>0.98369565217391308</v>
      </c>
    </row>
    <row r="578" spans="1:31" x14ac:dyDescent="0.3">
      <c r="A578" s="23" t="s">
        <v>1723</v>
      </c>
      <c r="B578" s="279">
        <f>SUM($H$554:$H$565)</f>
        <v>12</v>
      </c>
      <c r="C578" s="160">
        <f>SUMPRODUCT($H$554:$H$565,$W$554:$W$565/$N$542:$N$553,$Y$554:$Y$565)</f>
        <v>11.947396965839893</v>
      </c>
      <c r="D578" s="160">
        <f>SUMPRODUCT($H$554:$H$565,$X$554:$X$565/$N$542:$N$553,$Y$554:$Y$565)</f>
        <v>8.9605261484893504</v>
      </c>
      <c r="E578" s="281" t="str">
        <f>IF(OR($D$527=0,$P$527=0,$D578=0),"n/a",((1+$E$527)*$B578-$C578)/$D578)</f>
        <v>n/a</v>
      </c>
      <c r="F578" s="281" t="str">
        <f>IF($V$527&lt;&gt;"",$V$527,$E578)</f>
        <v>n/a</v>
      </c>
      <c r="G578" s="281" t="str">
        <f>IF(OR(NOT(ISNUMBER($F578)),nd_Ach=0),"n/a",$F578/nd_Ach)</f>
        <v>n/a</v>
      </c>
      <c r="H578" s="220" t="str">
        <f>IF(OR(NOT(ISNUMBER($F578)),$F$527=0,SUMPRODUCT($AD$554:$AD$565,$AB$554:$AB$565)=0),"n/a",((1+$E$527)*$B578-SUMPRODUCT($AD$554:$AD$565,$AC$554:$AC$565))/SUMPRODUCT($AD$554:$AD$565,$AB$554:$AB$565))</f>
        <v>n/a</v>
      </c>
      <c r="I578" s="183" t="str">
        <f>IF(NOT(ISNUMBER($F578)),"n/a",SUMPRODUCT($H$554:$H$565,($W$554:$W$565+$X$554:$X$565*$F578)/$N$542:$N$553)/$B578-1)</f>
        <v>n/a</v>
      </c>
      <c r="J578" s="183" t="str">
        <f>IF(OR(NOT(ISNUMBER($I578)),$F$527=0),"n/a",(1+$E$527)/(1+$I578)-1)</f>
        <v>n/a</v>
      </c>
      <c r="K578" s="183" t="str">
        <f>IF(NOT(ISNUMBER($F578)),"n/a",($C578+$D578*$F578)/$B578-1)</f>
        <v>n/a</v>
      </c>
      <c r="L578" s="229" t="str">
        <f>IF(NOT(ISNUMBER($F578)),"n/a",SUMPRODUCT($H$554:$H$565,$AF$554:$AF$565)/$B578)</f>
        <v>n/a</v>
      </c>
      <c r="M578" s="23" t="str">
        <f>IF($D$527=0,"",TRIM(IF(AND(ISNUMBER($H578),OR($H578&lt;0.5,$H578&gt;1.5)),"MOD-BOUND ","")&amp;IF(AND(ISNUMBER($F578),ABS($F578)&gt;nr_SolvMaxRate),"RATE-BOUND ","")&amp;IF(AND(ISNUMBER($L578),$L578&lt;nr_SolvMinShare),"THIN-SHARE ","")&amp;IF($W$527&gt;1,"MULTI-PLANNED ","")&amp;IF($F$527=0,"RATE-ONLY","")))</f>
        <v/>
      </c>
      <c r="N578" s="229" t="str">
        <f>IF(OR($D$527=0,NOT(ISNUMBER($F578))),"n/a",INDEX(calc_lrcur,$C$527)*INDEX(calc_crl,$C$527)/(SUMPRODUCT($H$530:$H$577,$Q$530:$Q$577,$AE$530:$AE$577)/SUMPRODUCT($H$530:$H$577,$Q$530:$Q$577))*INDEX(calc_aother,$C$527))</f>
        <v>n/a</v>
      </c>
      <c r="O578" s="229" t="str">
        <f>IF($D$527=0,"n/a",INDEX(calc_cylr_p,$C$527))</f>
        <v>n/a</v>
      </c>
      <c r="P578" s="282">
        <f>IF(NOT(ISNUMBER($E578)),0,ABS(($C578+$D578*$E578)/$B578-(1+$E$527)))</f>
        <v>0</v>
      </c>
    </row>
    <row r="583" spans="1:31" x14ac:dyDescent="0.3">
      <c r="A583" s="23" t="str">
        <f>_lists!$B$9</f>
        <v>IL</v>
      </c>
      <c r="B583" s="23" t="str">
        <f>IF(OR($A583="",nd_BU="All"),"",nd_BU&amp;"|"&amp;$A583)</f>
        <v>SBA|IL</v>
      </c>
      <c r="C583" s="43">
        <f>IF($B583="",0,IF(COUNTIF(lr_key,$B583)=0,0,MATCH($B583,lr_key,0)))</f>
        <v>49</v>
      </c>
      <c r="D583" s="43">
        <f>IF($C583=0,0,IF(ISBLANK(INDEX(lr_netp,$C583)),0,1))</f>
        <v>0</v>
      </c>
      <c r="E583" s="229">
        <f>IF($D583=0,0,N(INDEX(lr_netp,$C583)))</f>
        <v>0</v>
      </c>
      <c r="F583" s="43">
        <f>IF($C583=0,0,IF(AND(nr_ModAdjMaster="ON",INDEX(lr_modadj,$C583)="ON"),1,0))</f>
        <v>1</v>
      </c>
      <c r="G583" s="220">
        <f>IF($C583=0,1,IF(N(INDEX(lr_mind,$C583))=0,1,INDEX(lr_mind,$C583)))</f>
        <v>0.92</v>
      </c>
      <c r="H583" s="220">
        <f>IF($C583=0,1,IF(N(INDEX(lr_m0,$C583))=0,1,INDEX(lr_m0,$C583)))</f>
        <v>0.91</v>
      </c>
      <c r="I583" s="278">
        <f>IF($C583=0,DATE(nr_PlanYear-1,10,1),IF(N(INDEX(lr_m0asof,$C583))=0,DATE(nr_PlanYear-1,10,1),INDEX(lr_m0asof,$C583)))</f>
        <v>46295</v>
      </c>
      <c r="J583" s="220">
        <f>IF($C583=0,1,IF(N(INDEX(lr_m1,$C583))=0,1,INDEX(lr_m1,$C583)))</f>
        <v>0.92</v>
      </c>
      <c r="K583" s="220">
        <f>IF($C583=0,0,N(INDEX(lr_mprior,$C583)))</f>
        <v>0</v>
      </c>
      <c r="L583" s="220">
        <f>IF($C583=0,0,N(INDEX(lr_m2,$C583)))</f>
        <v>0</v>
      </c>
      <c r="M583" s="43">
        <f>IF(OR($A583="",COUNTIF(se_state,$A583)=0),0,MATCH($A583,se_state,0))</f>
        <v>1</v>
      </c>
      <c r="N583" s="279">
        <f>IF($M583=0,0,INDEX(se_sum,$M583))</f>
        <v>11.999999999999998</v>
      </c>
      <c r="O583" s="278">
        <f>IF('Net Delivery'!$D$15="",$X583,'Net Delivery'!$D$15)</f>
        <v>46478</v>
      </c>
      <c r="P583" s="43">
        <f>IF(AND($O583&gt;=DATE(nr_PlanYear,1,1),$O583&lt;=DATE(nr_PlanYear,12,31)),1,0)</f>
        <v>1</v>
      </c>
      <c r="Q583" s="43">
        <f>YEAR($O583)*12+MONTH($O583)-1</f>
        <v>24327</v>
      </c>
      <c r="R583" s="43">
        <f>DAY(EOMONTH($O583,0))</f>
        <v>30</v>
      </c>
      <c r="S583" s="43">
        <f>EOMONTH($O583,0)-$O583+1</f>
        <v>30</v>
      </c>
      <c r="T583" s="43">
        <f>SUMIFS(ndl_days,rl_key,$B583,ndl_effmonth,DATE(YEAR($O583),MONTH($O583),1),ndl_first,1)</f>
        <v>0</v>
      </c>
      <c r="U583" s="220">
        <f>IF($P583=1,MIN(1,MAX($S583,$T583)/$R583),1)</f>
        <v>1</v>
      </c>
      <c r="V583" s="280" t="str">
        <f>IF(ISBLANK('Net Delivery'!$E$15),$Y583,'Net Delivery'!$E$15)</f>
        <v/>
      </c>
      <c r="W583" s="43">
        <f>IF($B583="",0,COUNTIFS(rl_key,$B583,rl_status,"planned",rl_eff,"&gt;="&amp;DATE(nr_PlanYear,1,1),rl_eff,"&lt;="&amp;DATE(nr_PlanYear,12,31)))</f>
        <v>0</v>
      </c>
      <c r="X583" s="278">
        <f>IF($W583=0,nd_DefaultDate,SUMIFS(rl_eff,rl_key,$B583,rl_firstplanned,1))</f>
        <v>46478</v>
      </c>
      <c r="Y583" s="280" t="str">
        <f>IF($W583=0,"",SUMIFS(rl_reff,rl_key,$B583,rl_firstplanned,1))</f>
        <v/>
      </c>
      <c r="Z583" s="280" t="str">
        <f>IF($W583=0,"",SUMIFS(rl_filed,rl_key,$B583,rl_firstplanned,1))</f>
        <v/>
      </c>
    </row>
    <row r="584" spans="1:31" x14ac:dyDescent="0.3">
      <c r="A584" s="6">
        <f>EDATE($I$583,-12)+1</f>
        <v>45931</v>
      </c>
      <c r="B584" s="6">
        <f>$I$583+1</f>
        <v>46296</v>
      </c>
      <c r="C584" s="6">
        <f>DATE(nr_PlanYear,12,31)+1</f>
        <v>46753</v>
      </c>
      <c r="D584" s="6">
        <f>DATE(nr_PlanYear+1,12,31)+1</f>
        <v>47119</v>
      </c>
      <c r="E584" s="6">
        <f>IF(N($K$583)=0,$F$584-($G$584-$F$584)/($C$584-$B$584)*($B$584-$A$584),$K$583)</f>
        <v>0.9020131291028447</v>
      </c>
      <c r="F584" s="6">
        <f>$H$583</f>
        <v>0.91</v>
      </c>
      <c r="G584" s="6">
        <f>$J$583</f>
        <v>0.92</v>
      </c>
      <c r="H584" s="6">
        <f>IF(N($L$583)=0,$J$583,$L$583)</f>
        <v>0.92</v>
      </c>
      <c r="I584" s="6">
        <f>($F$584-$E$584)/($B$584-$A$584)</f>
        <v>2.1881838074398162E-5</v>
      </c>
      <c r="J584" s="6">
        <f>($G$584-$F$584)/($C$584-$B$584)</f>
        <v>2.188183807439827E-5</v>
      </c>
      <c r="K584" s="6">
        <f>($H$584-$G$584)/($D$584-$C$584)</f>
        <v>0</v>
      </c>
    </row>
    <row r="585" spans="1:31" ht="36" x14ac:dyDescent="0.3">
      <c r="A585" s="58" t="s">
        <v>390</v>
      </c>
      <c r="B585" s="58" t="s">
        <v>449</v>
      </c>
      <c r="C585" s="58" t="s">
        <v>685</v>
      </c>
      <c r="D585" s="58" t="s">
        <v>686</v>
      </c>
      <c r="E585" s="58" t="s">
        <v>687</v>
      </c>
      <c r="F585" s="58" t="s">
        <v>688</v>
      </c>
      <c r="G585" s="58" t="s">
        <v>689</v>
      </c>
      <c r="H585" s="58" t="s">
        <v>452</v>
      </c>
      <c r="I585" s="58" t="s">
        <v>690</v>
      </c>
      <c r="J585" s="58" t="s">
        <v>691</v>
      </c>
      <c r="K585" s="58" t="s">
        <v>692</v>
      </c>
      <c r="L585" s="58" t="s">
        <v>693</v>
      </c>
      <c r="M585" s="58" t="s">
        <v>694</v>
      </c>
      <c r="N585" s="58" t="s">
        <v>695</v>
      </c>
      <c r="O585" s="58" t="s">
        <v>696</v>
      </c>
      <c r="P585" s="58" t="s">
        <v>697</v>
      </c>
      <c r="Q585" s="58" t="s">
        <v>698</v>
      </c>
      <c r="R585" s="58" t="s">
        <v>699</v>
      </c>
      <c r="S585" s="58" t="s">
        <v>700</v>
      </c>
      <c r="T585" s="58" t="s">
        <v>701</v>
      </c>
      <c r="U585" s="58" t="s">
        <v>702</v>
      </c>
    </row>
    <row r="586" spans="1:31" x14ac:dyDescent="0.3">
      <c r="A586" s="187">
        <v>1</v>
      </c>
      <c r="B586" s="242">
        <f>DATE(nr_PlanYear-2,1,1)</f>
        <v>45658</v>
      </c>
      <c r="C586" s="243">
        <f t="shared" ref="C586:C633" si="176">EOMONTH($B586,0)</f>
        <v>45688</v>
      </c>
      <c r="D586" s="120">
        <f t="shared" ref="D586:D633" si="177">$C586-$B586+1</f>
        <v>31</v>
      </c>
      <c r="E586" s="120">
        <f t="shared" ref="E586:E633" si="178">MONTH($B586)</f>
        <v>1</v>
      </c>
      <c r="F586" s="275">
        <f t="shared" ref="F586:F633" si="179">($B586+$C586+1)/2</f>
        <v>45673.5</v>
      </c>
      <c r="G586" s="120">
        <f t="shared" ref="G586:G633" si="180">YEAR($B586)*12+MONTH($B586)-1</f>
        <v>24300</v>
      </c>
      <c r="H586" s="245">
        <f t="shared" ref="H586:H633" si="181">IF(OR(nr_SeasonOn="OFF",$M$583=0,$N$583=0),1,12*INDEX(se_block,$M$583,$E586)/$N$583)</f>
        <v>1</v>
      </c>
      <c r="I586" s="121">
        <f t="shared" ref="I586:I633" si="182">EXP(SUMPRODUCT((ndl_eff&lt;$B586)*(rl_key=$B$583)*ndl_ln))</f>
        <v>1</v>
      </c>
      <c r="J586" s="121">
        <f t="shared" ref="J586:J633" si="183">EXP(SUMPRODUCT((ndl_eff&lt;=$C586)*(rl_key=$B$583)*ndl_ln))</f>
        <v>1</v>
      </c>
      <c r="K586" s="120">
        <f t="shared" ref="K586:K633" si="184">COUNTIFS(rl_key,$B$583,ndl_eff,"&gt;="&amp;$B586,ndl_eff,"&lt;="&amp;$C586)</f>
        <v>0</v>
      </c>
      <c r="L586" s="120">
        <f t="shared" ref="L586:L633" si="185">SUMIFS(ndl_days,rl_key,$B$583,ndl_effmonth,$B586,ndl_first,1)</f>
        <v>0</v>
      </c>
      <c r="M586" s="246">
        <f t="shared" ref="M586:M633" si="186">IF($K586=0,0,MIN(1,$L586/$D586))</f>
        <v>0</v>
      </c>
      <c r="N586" s="121">
        <f t="shared" ref="N586:N633" si="187">IF($K586=0,$J586,(1-$M586)*$I586+$M586*$J586)</f>
        <v>1</v>
      </c>
      <c r="O586" s="246">
        <f t="shared" ref="O586:O633" si="188">IF($F586&lt;$B$584,$E$584+$I$584*($F586-$A$584),IF($F586&lt;$C$584,$F$584+$J$584*($F586-$B$584),$G$584+$K$584*($F586-$C$584)))</f>
        <v>0.89637855579868719</v>
      </c>
      <c r="P586" s="121">
        <f t="shared" ref="P586:P633" si="189">MIN(1,MAX(0,(nr_MEndPm1-$G586+0.5)/nr_TermMonths))-MIN(1,MAX(0,(nr_MStartPm1-1-$G586+0.5)/nr_TermMonths))</f>
        <v>0</v>
      </c>
      <c r="Q586" s="121">
        <f t="shared" ref="Q586:Q633" si="190">MIN(1,MAX(0,(nr_MEndP-$G586+0.5)/nr_TermMonths))-MIN(1,MAX(0,(nr_MStartP-1-$G586+0.5)/nr_TermMonths))</f>
        <v>0</v>
      </c>
      <c r="R586" s="121">
        <f t="shared" ref="R586:R633" si="191">MIN(1,MAX(0,(nr_MEndP1-$G586+0.5)/nr_TermMonths))-MIN(1,MAX(0,(nr_MStartP1-1-$G586+0.5)/nr_TermMonths))</f>
        <v>0</v>
      </c>
      <c r="AE586" s="160">
        <f t="shared" ref="AE586:AE633" si="192">IF(OR($G586&lt;nr_MStartP,$G586&gt;=nr_MStartP1),IF($F$583=1,$N586*$O586/$G$583,$N586),($W586+$X586*IF(ISNUMBER($F$634),$F$634,0))*IF($F$583=1,($AC586+$AB586*IF(ISNUMBER($H$634),$H$634,$J$583))/$G$583,1))</f>
        <v>0.97432451717248603</v>
      </c>
    </row>
    <row r="587" spans="1:31" x14ac:dyDescent="0.3">
      <c r="A587" s="187">
        <v>2</v>
      </c>
      <c r="B587" s="242">
        <f t="shared" ref="B587:B633" si="193">EDATE($B586,1)</f>
        <v>45689</v>
      </c>
      <c r="C587" s="243">
        <f t="shared" si="176"/>
        <v>45716</v>
      </c>
      <c r="D587" s="120">
        <f t="shared" si="177"/>
        <v>28</v>
      </c>
      <c r="E587" s="120">
        <f t="shared" si="178"/>
        <v>2</v>
      </c>
      <c r="F587" s="275">
        <f t="shared" si="179"/>
        <v>45703</v>
      </c>
      <c r="G587" s="120">
        <f t="shared" si="180"/>
        <v>24301</v>
      </c>
      <c r="H587" s="245">
        <f t="shared" si="181"/>
        <v>1</v>
      </c>
      <c r="I587" s="121">
        <f t="shared" si="182"/>
        <v>1</v>
      </c>
      <c r="J587" s="121">
        <f t="shared" si="183"/>
        <v>1</v>
      </c>
      <c r="K587" s="120">
        <f t="shared" si="184"/>
        <v>0</v>
      </c>
      <c r="L587" s="120">
        <f t="shared" si="185"/>
        <v>0</v>
      </c>
      <c r="M587" s="246">
        <f t="shared" si="186"/>
        <v>0</v>
      </c>
      <c r="N587" s="121">
        <f t="shared" si="187"/>
        <v>1</v>
      </c>
      <c r="O587" s="246">
        <f t="shared" si="188"/>
        <v>0.89702407002188189</v>
      </c>
      <c r="P587" s="121">
        <f t="shared" si="189"/>
        <v>0</v>
      </c>
      <c r="Q587" s="121">
        <f t="shared" si="190"/>
        <v>0</v>
      </c>
      <c r="R587" s="121">
        <f t="shared" si="191"/>
        <v>0</v>
      </c>
      <c r="AE587" s="160">
        <f t="shared" si="192"/>
        <v>0.97502616306726286</v>
      </c>
    </row>
    <row r="588" spans="1:31" x14ac:dyDescent="0.3">
      <c r="A588" s="187">
        <v>3</v>
      </c>
      <c r="B588" s="242">
        <f t="shared" si="193"/>
        <v>45717</v>
      </c>
      <c r="C588" s="243">
        <f t="shared" si="176"/>
        <v>45747</v>
      </c>
      <c r="D588" s="120">
        <f t="shared" si="177"/>
        <v>31</v>
      </c>
      <c r="E588" s="120">
        <f t="shared" si="178"/>
        <v>3</v>
      </c>
      <c r="F588" s="275">
        <f t="shared" si="179"/>
        <v>45732.5</v>
      </c>
      <c r="G588" s="120">
        <f t="shared" si="180"/>
        <v>24302</v>
      </c>
      <c r="H588" s="245">
        <f t="shared" si="181"/>
        <v>1</v>
      </c>
      <c r="I588" s="121">
        <f t="shared" si="182"/>
        <v>1</v>
      </c>
      <c r="J588" s="121">
        <f t="shared" si="183"/>
        <v>1</v>
      </c>
      <c r="K588" s="120">
        <f t="shared" si="184"/>
        <v>0</v>
      </c>
      <c r="L588" s="120">
        <f t="shared" si="185"/>
        <v>0</v>
      </c>
      <c r="M588" s="246">
        <f t="shared" si="186"/>
        <v>0</v>
      </c>
      <c r="N588" s="121">
        <f t="shared" si="187"/>
        <v>1</v>
      </c>
      <c r="O588" s="246">
        <f t="shared" si="188"/>
        <v>0.8976695842450767</v>
      </c>
      <c r="P588" s="121">
        <f t="shared" si="189"/>
        <v>0</v>
      </c>
      <c r="Q588" s="121">
        <f t="shared" si="190"/>
        <v>0</v>
      </c>
      <c r="R588" s="121">
        <f t="shared" si="191"/>
        <v>0</v>
      </c>
      <c r="AE588" s="160">
        <f t="shared" si="192"/>
        <v>0.97572780896203981</v>
      </c>
    </row>
    <row r="589" spans="1:31" x14ac:dyDescent="0.3">
      <c r="A589" s="187">
        <v>4</v>
      </c>
      <c r="B589" s="242">
        <f t="shared" si="193"/>
        <v>45748</v>
      </c>
      <c r="C589" s="243">
        <f t="shared" si="176"/>
        <v>45777</v>
      </c>
      <c r="D589" s="120">
        <f t="shared" si="177"/>
        <v>30</v>
      </c>
      <c r="E589" s="120">
        <f t="shared" si="178"/>
        <v>4</v>
      </c>
      <c r="F589" s="275">
        <f t="shared" si="179"/>
        <v>45763</v>
      </c>
      <c r="G589" s="120">
        <f t="shared" si="180"/>
        <v>24303</v>
      </c>
      <c r="H589" s="245">
        <f t="shared" si="181"/>
        <v>1</v>
      </c>
      <c r="I589" s="121">
        <f t="shared" si="182"/>
        <v>1</v>
      </c>
      <c r="J589" s="121">
        <f t="shared" si="183"/>
        <v>1</v>
      </c>
      <c r="K589" s="120">
        <f t="shared" si="184"/>
        <v>0</v>
      </c>
      <c r="L589" s="120">
        <f t="shared" si="185"/>
        <v>0</v>
      </c>
      <c r="M589" s="246">
        <f t="shared" si="186"/>
        <v>0</v>
      </c>
      <c r="N589" s="121">
        <f t="shared" si="187"/>
        <v>1</v>
      </c>
      <c r="O589" s="246">
        <f t="shared" si="188"/>
        <v>0.89833698030634579</v>
      </c>
      <c r="P589" s="121">
        <f t="shared" si="189"/>
        <v>0</v>
      </c>
      <c r="Q589" s="121">
        <f t="shared" si="190"/>
        <v>0</v>
      </c>
      <c r="R589" s="121">
        <f t="shared" si="191"/>
        <v>0</v>
      </c>
      <c r="AE589" s="160">
        <f t="shared" si="192"/>
        <v>0.97645323946341933</v>
      </c>
    </row>
    <row r="590" spans="1:31" x14ac:dyDescent="0.3">
      <c r="A590" s="187">
        <v>5</v>
      </c>
      <c r="B590" s="242">
        <f t="shared" si="193"/>
        <v>45778</v>
      </c>
      <c r="C590" s="243">
        <f t="shared" si="176"/>
        <v>45808</v>
      </c>
      <c r="D590" s="120">
        <f t="shared" si="177"/>
        <v>31</v>
      </c>
      <c r="E590" s="120">
        <f t="shared" si="178"/>
        <v>5</v>
      </c>
      <c r="F590" s="275">
        <f t="shared" si="179"/>
        <v>45793.5</v>
      </c>
      <c r="G590" s="120">
        <f t="shared" si="180"/>
        <v>24304</v>
      </c>
      <c r="H590" s="245">
        <f t="shared" si="181"/>
        <v>1</v>
      </c>
      <c r="I590" s="121">
        <f t="shared" si="182"/>
        <v>1</v>
      </c>
      <c r="J590" s="121">
        <f t="shared" si="183"/>
        <v>1</v>
      </c>
      <c r="K590" s="120">
        <f t="shared" si="184"/>
        <v>0</v>
      </c>
      <c r="L590" s="120">
        <f t="shared" si="185"/>
        <v>0</v>
      </c>
      <c r="M590" s="246">
        <f t="shared" si="186"/>
        <v>0</v>
      </c>
      <c r="N590" s="121">
        <f t="shared" si="187"/>
        <v>1</v>
      </c>
      <c r="O590" s="246">
        <f t="shared" si="188"/>
        <v>0.89900437636761499</v>
      </c>
      <c r="P590" s="121">
        <f t="shared" si="189"/>
        <v>0</v>
      </c>
      <c r="Q590" s="121">
        <f t="shared" si="190"/>
        <v>0</v>
      </c>
      <c r="R590" s="121">
        <f t="shared" si="191"/>
        <v>0</v>
      </c>
      <c r="AE590" s="160">
        <f t="shared" si="192"/>
        <v>0.97717866996479885</v>
      </c>
    </row>
    <row r="591" spans="1:31" x14ac:dyDescent="0.3">
      <c r="A591" s="187">
        <v>6</v>
      </c>
      <c r="B591" s="242">
        <f t="shared" si="193"/>
        <v>45809</v>
      </c>
      <c r="C591" s="243">
        <f t="shared" si="176"/>
        <v>45838</v>
      </c>
      <c r="D591" s="120">
        <f t="shared" si="177"/>
        <v>30</v>
      </c>
      <c r="E591" s="120">
        <f t="shared" si="178"/>
        <v>6</v>
      </c>
      <c r="F591" s="275">
        <f t="shared" si="179"/>
        <v>45824</v>
      </c>
      <c r="G591" s="120">
        <f t="shared" si="180"/>
        <v>24305</v>
      </c>
      <c r="H591" s="245">
        <f t="shared" si="181"/>
        <v>1</v>
      </c>
      <c r="I591" s="121">
        <f t="shared" si="182"/>
        <v>1</v>
      </c>
      <c r="J591" s="121">
        <f t="shared" si="183"/>
        <v>1</v>
      </c>
      <c r="K591" s="120">
        <f t="shared" si="184"/>
        <v>0</v>
      </c>
      <c r="L591" s="120">
        <f t="shared" si="185"/>
        <v>0</v>
      </c>
      <c r="M591" s="246">
        <f t="shared" si="186"/>
        <v>0</v>
      </c>
      <c r="N591" s="121">
        <f t="shared" si="187"/>
        <v>1</v>
      </c>
      <c r="O591" s="246">
        <f t="shared" si="188"/>
        <v>0.89967177242888408</v>
      </c>
      <c r="P591" s="121">
        <f t="shared" si="189"/>
        <v>0</v>
      </c>
      <c r="Q591" s="121">
        <f t="shared" si="190"/>
        <v>0</v>
      </c>
      <c r="R591" s="121">
        <f t="shared" si="191"/>
        <v>0</v>
      </c>
      <c r="AE591" s="160">
        <f t="shared" si="192"/>
        <v>0.97790410046617826</v>
      </c>
    </row>
    <row r="592" spans="1:31" x14ac:dyDescent="0.3">
      <c r="A592" s="187">
        <v>7</v>
      </c>
      <c r="B592" s="242">
        <f t="shared" si="193"/>
        <v>45839</v>
      </c>
      <c r="C592" s="243">
        <f t="shared" si="176"/>
        <v>45869</v>
      </c>
      <c r="D592" s="120">
        <f t="shared" si="177"/>
        <v>31</v>
      </c>
      <c r="E592" s="120">
        <f t="shared" si="178"/>
        <v>7</v>
      </c>
      <c r="F592" s="275">
        <f t="shared" si="179"/>
        <v>45854.5</v>
      </c>
      <c r="G592" s="120">
        <f t="shared" si="180"/>
        <v>24306</v>
      </c>
      <c r="H592" s="245">
        <f t="shared" si="181"/>
        <v>1</v>
      </c>
      <c r="I592" s="121">
        <f t="shared" si="182"/>
        <v>1</v>
      </c>
      <c r="J592" s="121">
        <f t="shared" si="183"/>
        <v>1</v>
      </c>
      <c r="K592" s="120">
        <f t="shared" si="184"/>
        <v>0</v>
      </c>
      <c r="L592" s="120">
        <f t="shared" si="185"/>
        <v>0</v>
      </c>
      <c r="M592" s="246">
        <f t="shared" si="186"/>
        <v>0</v>
      </c>
      <c r="N592" s="121">
        <f t="shared" si="187"/>
        <v>1</v>
      </c>
      <c r="O592" s="246">
        <f t="shared" si="188"/>
        <v>0.90033916849015327</v>
      </c>
      <c r="P592" s="121">
        <f t="shared" si="189"/>
        <v>8.333333333333337E-2</v>
      </c>
      <c r="Q592" s="121">
        <f t="shared" si="190"/>
        <v>0</v>
      </c>
      <c r="R592" s="121">
        <f t="shared" si="191"/>
        <v>0</v>
      </c>
      <c r="AE592" s="160">
        <f t="shared" si="192"/>
        <v>0.97862953096755789</v>
      </c>
    </row>
    <row r="593" spans="1:31" x14ac:dyDescent="0.3">
      <c r="A593" s="187">
        <v>8</v>
      </c>
      <c r="B593" s="242">
        <f t="shared" si="193"/>
        <v>45870</v>
      </c>
      <c r="C593" s="243">
        <f t="shared" si="176"/>
        <v>45900</v>
      </c>
      <c r="D593" s="120">
        <f t="shared" si="177"/>
        <v>31</v>
      </c>
      <c r="E593" s="120">
        <f t="shared" si="178"/>
        <v>8</v>
      </c>
      <c r="F593" s="275">
        <f t="shared" si="179"/>
        <v>45885.5</v>
      </c>
      <c r="G593" s="120">
        <f t="shared" si="180"/>
        <v>24307</v>
      </c>
      <c r="H593" s="245">
        <f t="shared" si="181"/>
        <v>1</v>
      </c>
      <c r="I593" s="121">
        <f t="shared" si="182"/>
        <v>1</v>
      </c>
      <c r="J593" s="121">
        <f t="shared" si="183"/>
        <v>1</v>
      </c>
      <c r="K593" s="120">
        <f t="shared" si="184"/>
        <v>0</v>
      </c>
      <c r="L593" s="120">
        <f t="shared" si="185"/>
        <v>0</v>
      </c>
      <c r="M593" s="246">
        <f t="shared" si="186"/>
        <v>0</v>
      </c>
      <c r="N593" s="121">
        <f t="shared" si="187"/>
        <v>1</v>
      </c>
      <c r="O593" s="246">
        <f t="shared" si="188"/>
        <v>0.90101750547045956</v>
      </c>
      <c r="P593" s="121">
        <f t="shared" si="189"/>
        <v>0.25</v>
      </c>
      <c r="Q593" s="121">
        <f t="shared" si="190"/>
        <v>0</v>
      </c>
      <c r="R593" s="121">
        <f t="shared" si="191"/>
        <v>0</v>
      </c>
      <c r="AE593" s="160">
        <f t="shared" si="192"/>
        <v>0.97936685377223864</v>
      </c>
    </row>
    <row r="594" spans="1:31" x14ac:dyDescent="0.3">
      <c r="A594" s="187">
        <v>9</v>
      </c>
      <c r="B594" s="242">
        <f t="shared" si="193"/>
        <v>45901</v>
      </c>
      <c r="C594" s="243">
        <f t="shared" si="176"/>
        <v>45930</v>
      </c>
      <c r="D594" s="120">
        <f t="shared" si="177"/>
        <v>30</v>
      </c>
      <c r="E594" s="120">
        <f t="shared" si="178"/>
        <v>9</v>
      </c>
      <c r="F594" s="275">
        <f t="shared" si="179"/>
        <v>45916</v>
      </c>
      <c r="G594" s="120">
        <f t="shared" si="180"/>
        <v>24308</v>
      </c>
      <c r="H594" s="245">
        <f t="shared" si="181"/>
        <v>1</v>
      </c>
      <c r="I594" s="121">
        <f t="shared" si="182"/>
        <v>1</v>
      </c>
      <c r="J594" s="121">
        <f t="shared" si="183"/>
        <v>1</v>
      </c>
      <c r="K594" s="120">
        <f t="shared" si="184"/>
        <v>0</v>
      </c>
      <c r="L594" s="120">
        <f t="shared" si="185"/>
        <v>0</v>
      </c>
      <c r="M594" s="246">
        <f t="shared" si="186"/>
        <v>0</v>
      </c>
      <c r="N594" s="121">
        <f t="shared" si="187"/>
        <v>1</v>
      </c>
      <c r="O594" s="246">
        <f t="shared" si="188"/>
        <v>0.90168490153172876</v>
      </c>
      <c r="P594" s="121">
        <f t="shared" si="189"/>
        <v>0.41666666666666663</v>
      </c>
      <c r="Q594" s="121">
        <f t="shared" si="190"/>
        <v>0</v>
      </c>
      <c r="R594" s="121">
        <f t="shared" si="191"/>
        <v>0</v>
      </c>
      <c r="AE594" s="160">
        <f t="shared" si="192"/>
        <v>0.98009228427361816</v>
      </c>
    </row>
    <row r="595" spans="1:31" x14ac:dyDescent="0.3">
      <c r="A595" s="187">
        <v>10</v>
      </c>
      <c r="B595" s="242">
        <f t="shared" si="193"/>
        <v>45931</v>
      </c>
      <c r="C595" s="243">
        <f t="shared" si="176"/>
        <v>45961</v>
      </c>
      <c r="D595" s="120">
        <f t="shared" si="177"/>
        <v>31</v>
      </c>
      <c r="E595" s="120">
        <f t="shared" si="178"/>
        <v>10</v>
      </c>
      <c r="F595" s="275">
        <f t="shared" si="179"/>
        <v>45946.5</v>
      </c>
      <c r="G595" s="120">
        <f t="shared" si="180"/>
        <v>24309</v>
      </c>
      <c r="H595" s="245">
        <f t="shared" si="181"/>
        <v>1</v>
      </c>
      <c r="I595" s="121">
        <f t="shared" si="182"/>
        <v>1</v>
      </c>
      <c r="J595" s="121">
        <f t="shared" si="183"/>
        <v>1</v>
      </c>
      <c r="K595" s="120">
        <f t="shared" si="184"/>
        <v>0</v>
      </c>
      <c r="L595" s="120">
        <f t="shared" si="185"/>
        <v>0</v>
      </c>
      <c r="M595" s="246">
        <f t="shared" si="186"/>
        <v>0</v>
      </c>
      <c r="N595" s="121">
        <f t="shared" si="187"/>
        <v>1</v>
      </c>
      <c r="O595" s="246">
        <f t="shared" si="188"/>
        <v>0.90235229759299784</v>
      </c>
      <c r="P595" s="121">
        <f t="shared" si="189"/>
        <v>0.58333333333333326</v>
      </c>
      <c r="Q595" s="121">
        <f t="shared" si="190"/>
        <v>0</v>
      </c>
      <c r="R595" s="121">
        <f t="shared" si="191"/>
        <v>0</v>
      </c>
      <c r="AE595" s="160">
        <f t="shared" si="192"/>
        <v>0.98081771477499757</v>
      </c>
    </row>
    <row r="596" spans="1:31" x14ac:dyDescent="0.3">
      <c r="A596" s="187">
        <v>11</v>
      </c>
      <c r="B596" s="242">
        <f t="shared" si="193"/>
        <v>45962</v>
      </c>
      <c r="C596" s="243">
        <f t="shared" si="176"/>
        <v>45991</v>
      </c>
      <c r="D596" s="120">
        <f t="shared" si="177"/>
        <v>30</v>
      </c>
      <c r="E596" s="120">
        <f t="shared" si="178"/>
        <v>11</v>
      </c>
      <c r="F596" s="275">
        <f t="shared" si="179"/>
        <v>45977</v>
      </c>
      <c r="G596" s="120">
        <f t="shared" si="180"/>
        <v>24310</v>
      </c>
      <c r="H596" s="245">
        <f t="shared" si="181"/>
        <v>1</v>
      </c>
      <c r="I596" s="121">
        <f t="shared" si="182"/>
        <v>1</v>
      </c>
      <c r="J596" s="121">
        <f t="shared" si="183"/>
        <v>1</v>
      </c>
      <c r="K596" s="120">
        <f t="shared" si="184"/>
        <v>0</v>
      </c>
      <c r="L596" s="120">
        <f t="shared" si="185"/>
        <v>0</v>
      </c>
      <c r="M596" s="246">
        <f t="shared" si="186"/>
        <v>0</v>
      </c>
      <c r="N596" s="121">
        <f t="shared" si="187"/>
        <v>1</v>
      </c>
      <c r="O596" s="246">
        <f t="shared" si="188"/>
        <v>0.90301969365426704</v>
      </c>
      <c r="P596" s="121">
        <f t="shared" si="189"/>
        <v>0.75</v>
      </c>
      <c r="Q596" s="121">
        <f t="shared" si="190"/>
        <v>0</v>
      </c>
      <c r="R596" s="121">
        <f t="shared" si="191"/>
        <v>0</v>
      </c>
      <c r="AE596" s="160">
        <f t="shared" si="192"/>
        <v>0.9815431452763772</v>
      </c>
    </row>
    <row r="597" spans="1:31" x14ac:dyDescent="0.3">
      <c r="A597" s="187">
        <v>12</v>
      </c>
      <c r="B597" s="242">
        <f t="shared" si="193"/>
        <v>45992</v>
      </c>
      <c r="C597" s="243">
        <f t="shared" si="176"/>
        <v>46022</v>
      </c>
      <c r="D597" s="120">
        <f t="shared" si="177"/>
        <v>31</v>
      </c>
      <c r="E597" s="120">
        <f t="shared" si="178"/>
        <v>12</v>
      </c>
      <c r="F597" s="275">
        <f t="shared" si="179"/>
        <v>46007.5</v>
      </c>
      <c r="G597" s="120">
        <f t="shared" si="180"/>
        <v>24311</v>
      </c>
      <c r="H597" s="245">
        <f t="shared" si="181"/>
        <v>1</v>
      </c>
      <c r="I597" s="121">
        <f t="shared" si="182"/>
        <v>1</v>
      </c>
      <c r="J597" s="121">
        <f t="shared" si="183"/>
        <v>1</v>
      </c>
      <c r="K597" s="120">
        <f t="shared" si="184"/>
        <v>0</v>
      </c>
      <c r="L597" s="120">
        <f t="shared" si="185"/>
        <v>0</v>
      </c>
      <c r="M597" s="246">
        <f t="shared" si="186"/>
        <v>0</v>
      </c>
      <c r="N597" s="121">
        <f t="shared" si="187"/>
        <v>1</v>
      </c>
      <c r="O597" s="246">
        <f t="shared" si="188"/>
        <v>0.90368708971553613</v>
      </c>
      <c r="P597" s="121">
        <f t="shared" si="189"/>
        <v>0.91666666666666663</v>
      </c>
      <c r="Q597" s="121">
        <f t="shared" si="190"/>
        <v>0</v>
      </c>
      <c r="R597" s="121">
        <f t="shared" si="191"/>
        <v>0</v>
      </c>
      <c r="AE597" s="160">
        <f t="shared" si="192"/>
        <v>0.98226857577775661</v>
      </c>
    </row>
    <row r="598" spans="1:31" x14ac:dyDescent="0.3">
      <c r="A598" s="187">
        <v>13</v>
      </c>
      <c r="B598" s="242">
        <f t="shared" si="193"/>
        <v>46023</v>
      </c>
      <c r="C598" s="243">
        <f t="shared" si="176"/>
        <v>46053</v>
      </c>
      <c r="D598" s="120">
        <f t="shared" si="177"/>
        <v>31</v>
      </c>
      <c r="E598" s="120">
        <f t="shared" si="178"/>
        <v>1</v>
      </c>
      <c r="F598" s="275">
        <f t="shared" si="179"/>
        <v>46038.5</v>
      </c>
      <c r="G598" s="120">
        <f t="shared" si="180"/>
        <v>24312</v>
      </c>
      <c r="H598" s="245">
        <f t="shared" si="181"/>
        <v>1</v>
      </c>
      <c r="I598" s="121">
        <f t="shared" si="182"/>
        <v>1</v>
      </c>
      <c r="J598" s="121">
        <f t="shared" si="183"/>
        <v>1</v>
      </c>
      <c r="K598" s="120">
        <f t="shared" si="184"/>
        <v>0</v>
      </c>
      <c r="L598" s="120">
        <f t="shared" si="185"/>
        <v>0</v>
      </c>
      <c r="M598" s="246">
        <f t="shared" si="186"/>
        <v>0</v>
      </c>
      <c r="N598" s="121">
        <f t="shared" si="187"/>
        <v>1</v>
      </c>
      <c r="O598" s="246">
        <f t="shared" si="188"/>
        <v>0.90436542669584252</v>
      </c>
      <c r="P598" s="121">
        <f t="shared" si="189"/>
        <v>1</v>
      </c>
      <c r="Q598" s="121">
        <f t="shared" si="190"/>
        <v>0</v>
      </c>
      <c r="R598" s="121">
        <f t="shared" si="191"/>
        <v>0</v>
      </c>
      <c r="AE598" s="160">
        <f t="shared" si="192"/>
        <v>0.98300589858243748</v>
      </c>
    </row>
    <row r="599" spans="1:31" x14ac:dyDescent="0.3">
      <c r="A599" s="187">
        <v>14</v>
      </c>
      <c r="B599" s="242">
        <f t="shared" si="193"/>
        <v>46054</v>
      </c>
      <c r="C599" s="243">
        <f t="shared" si="176"/>
        <v>46081</v>
      </c>
      <c r="D599" s="120">
        <f t="shared" si="177"/>
        <v>28</v>
      </c>
      <c r="E599" s="120">
        <f t="shared" si="178"/>
        <v>2</v>
      </c>
      <c r="F599" s="275">
        <f t="shared" si="179"/>
        <v>46068</v>
      </c>
      <c r="G599" s="120">
        <f t="shared" si="180"/>
        <v>24313</v>
      </c>
      <c r="H599" s="245">
        <f t="shared" si="181"/>
        <v>1</v>
      </c>
      <c r="I599" s="121">
        <f t="shared" si="182"/>
        <v>1</v>
      </c>
      <c r="J599" s="121">
        <f t="shared" si="183"/>
        <v>1</v>
      </c>
      <c r="K599" s="120">
        <f t="shared" si="184"/>
        <v>0</v>
      </c>
      <c r="L599" s="120">
        <f t="shared" si="185"/>
        <v>0</v>
      </c>
      <c r="M599" s="246">
        <f t="shared" si="186"/>
        <v>0</v>
      </c>
      <c r="N599" s="121">
        <f t="shared" si="187"/>
        <v>1</v>
      </c>
      <c r="O599" s="246">
        <f t="shared" si="188"/>
        <v>0.90501094091903722</v>
      </c>
      <c r="P599" s="121">
        <f t="shared" si="189"/>
        <v>1</v>
      </c>
      <c r="Q599" s="121">
        <f t="shared" si="190"/>
        <v>0</v>
      </c>
      <c r="R599" s="121">
        <f t="shared" si="191"/>
        <v>0</v>
      </c>
      <c r="AE599" s="160">
        <f t="shared" si="192"/>
        <v>0.98370754447721431</v>
      </c>
    </row>
    <row r="600" spans="1:31" x14ac:dyDescent="0.3">
      <c r="A600" s="187">
        <v>15</v>
      </c>
      <c r="B600" s="242">
        <f t="shared" si="193"/>
        <v>46082</v>
      </c>
      <c r="C600" s="243">
        <f t="shared" si="176"/>
        <v>46112</v>
      </c>
      <c r="D600" s="120">
        <f t="shared" si="177"/>
        <v>31</v>
      </c>
      <c r="E600" s="120">
        <f t="shared" si="178"/>
        <v>3</v>
      </c>
      <c r="F600" s="275">
        <f t="shared" si="179"/>
        <v>46097.5</v>
      </c>
      <c r="G600" s="120">
        <f t="shared" si="180"/>
        <v>24314</v>
      </c>
      <c r="H600" s="245">
        <f t="shared" si="181"/>
        <v>1</v>
      </c>
      <c r="I600" s="121">
        <f t="shared" si="182"/>
        <v>1</v>
      </c>
      <c r="J600" s="121">
        <f t="shared" si="183"/>
        <v>1</v>
      </c>
      <c r="K600" s="120">
        <f t="shared" si="184"/>
        <v>0</v>
      </c>
      <c r="L600" s="120">
        <f t="shared" si="185"/>
        <v>0</v>
      </c>
      <c r="M600" s="246">
        <f t="shared" si="186"/>
        <v>0</v>
      </c>
      <c r="N600" s="121">
        <f t="shared" si="187"/>
        <v>1</v>
      </c>
      <c r="O600" s="246">
        <f t="shared" si="188"/>
        <v>0.90565645514223203</v>
      </c>
      <c r="P600" s="121">
        <f t="shared" si="189"/>
        <v>1</v>
      </c>
      <c r="Q600" s="121">
        <f t="shared" si="190"/>
        <v>0</v>
      </c>
      <c r="R600" s="121">
        <f t="shared" si="191"/>
        <v>0</v>
      </c>
      <c r="AE600" s="160">
        <f t="shared" si="192"/>
        <v>0.98440919037199126</v>
      </c>
    </row>
    <row r="601" spans="1:31" x14ac:dyDescent="0.3">
      <c r="A601" s="187">
        <v>16</v>
      </c>
      <c r="B601" s="242">
        <f t="shared" si="193"/>
        <v>46113</v>
      </c>
      <c r="C601" s="243">
        <f t="shared" si="176"/>
        <v>46142</v>
      </c>
      <c r="D601" s="120">
        <f t="shared" si="177"/>
        <v>30</v>
      </c>
      <c r="E601" s="120">
        <f t="shared" si="178"/>
        <v>4</v>
      </c>
      <c r="F601" s="275">
        <f t="shared" si="179"/>
        <v>46128</v>
      </c>
      <c r="G601" s="120">
        <f t="shared" si="180"/>
        <v>24315</v>
      </c>
      <c r="H601" s="245">
        <f t="shared" si="181"/>
        <v>1</v>
      </c>
      <c r="I601" s="121">
        <f t="shared" si="182"/>
        <v>1</v>
      </c>
      <c r="J601" s="121">
        <f t="shared" si="183"/>
        <v>1</v>
      </c>
      <c r="K601" s="120">
        <f t="shared" si="184"/>
        <v>0</v>
      </c>
      <c r="L601" s="120">
        <f t="shared" si="185"/>
        <v>0</v>
      </c>
      <c r="M601" s="246">
        <f t="shared" si="186"/>
        <v>0</v>
      </c>
      <c r="N601" s="121">
        <f t="shared" si="187"/>
        <v>1</v>
      </c>
      <c r="O601" s="246">
        <f t="shared" si="188"/>
        <v>0.90632385120350112</v>
      </c>
      <c r="P601" s="121">
        <f t="shared" si="189"/>
        <v>1</v>
      </c>
      <c r="Q601" s="121">
        <f t="shared" si="190"/>
        <v>0</v>
      </c>
      <c r="R601" s="121">
        <f t="shared" si="191"/>
        <v>0</v>
      </c>
      <c r="AE601" s="160">
        <f t="shared" si="192"/>
        <v>0.98513462087337078</v>
      </c>
    </row>
    <row r="602" spans="1:31" x14ac:dyDescent="0.3">
      <c r="A602" s="187">
        <v>17</v>
      </c>
      <c r="B602" s="242">
        <f t="shared" si="193"/>
        <v>46143</v>
      </c>
      <c r="C602" s="243">
        <f t="shared" si="176"/>
        <v>46173</v>
      </c>
      <c r="D602" s="120">
        <f t="shared" si="177"/>
        <v>31</v>
      </c>
      <c r="E602" s="120">
        <f t="shared" si="178"/>
        <v>5</v>
      </c>
      <c r="F602" s="275">
        <f t="shared" si="179"/>
        <v>46158.5</v>
      </c>
      <c r="G602" s="120">
        <f t="shared" si="180"/>
        <v>24316</v>
      </c>
      <c r="H602" s="245">
        <f t="shared" si="181"/>
        <v>1</v>
      </c>
      <c r="I602" s="121">
        <f t="shared" si="182"/>
        <v>1</v>
      </c>
      <c r="J602" s="121">
        <f t="shared" si="183"/>
        <v>1</v>
      </c>
      <c r="K602" s="120">
        <f t="shared" si="184"/>
        <v>0</v>
      </c>
      <c r="L602" s="120">
        <f t="shared" si="185"/>
        <v>0</v>
      </c>
      <c r="M602" s="246">
        <f t="shared" si="186"/>
        <v>0</v>
      </c>
      <c r="N602" s="121">
        <f t="shared" si="187"/>
        <v>1</v>
      </c>
      <c r="O602" s="246">
        <f t="shared" si="188"/>
        <v>0.90699124726477032</v>
      </c>
      <c r="P602" s="121">
        <f t="shared" si="189"/>
        <v>1</v>
      </c>
      <c r="Q602" s="121">
        <f t="shared" si="190"/>
        <v>0</v>
      </c>
      <c r="R602" s="121">
        <f t="shared" si="191"/>
        <v>0</v>
      </c>
      <c r="AE602" s="160">
        <f t="shared" si="192"/>
        <v>0.9858600513747503</v>
      </c>
    </row>
    <row r="603" spans="1:31" x14ac:dyDescent="0.3">
      <c r="A603" s="187">
        <v>18</v>
      </c>
      <c r="B603" s="242">
        <f t="shared" si="193"/>
        <v>46174</v>
      </c>
      <c r="C603" s="243">
        <f t="shared" si="176"/>
        <v>46203</v>
      </c>
      <c r="D603" s="120">
        <f t="shared" si="177"/>
        <v>30</v>
      </c>
      <c r="E603" s="120">
        <f t="shared" si="178"/>
        <v>6</v>
      </c>
      <c r="F603" s="275">
        <f t="shared" si="179"/>
        <v>46189</v>
      </c>
      <c r="G603" s="120">
        <f t="shared" si="180"/>
        <v>24317</v>
      </c>
      <c r="H603" s="245">
        <f t="shared" si="181"/>
        <v>1</v>
      </c>
      <c r="I603" s="121">
        <f t="shared" si="182"/>
        <v>1</v>
      </c>
      <c r="J603" s="121">
        <f t="shared" si="183"/>
        <v>1</v>
      </c>
      <c r="K603" s="120">
        <f t="shared" si="184"/>
        <v>0</v>
      </c>
      <c r="L603" s="120">
        <f t="shared" si="185"/>
        <v>0</v>
      </c>
      <c r="M603" s="246">
        <f t="shared" si="186"/>
        <v>0</v>
      </c>
      <c r="N603" s="121">
        <f t="shared" si="187"/>
        <v>1</v>
      </c>
      <c r="O603" s="246">
        <f t="shared" si="188"/>
        <v>0.9076586433260394</v>
      </c>
      <c r="P603" s="121">
        <f t="shared" si="189"/>
        <v>1</v>
      </c>
      <c r="Q603" s="121">
        <f t="shared" si="190"/>
        <v>0</v>
      </c>
      <c r="R603" s="121">
        <f t="shared" si="191"/>
        <v>0</v>
      </c>
      <c r="AE603" s="160">
        <f t="shared" si="192"/>
        <v>0.98658548187612971</v>
      </c>
    </row>
    <row r="604" spans="1:31" x14ac:dyDescent="0.3">
      <c r="A604" s="187">
        <v>19</v>
      </c>
      <c r="B604" s="242">
        <f t="shared" si="193"/>
        <v>46204</v>
      </c>
      <c r="C604" s="243">
        <f t="shared" si="176"/>
        <v>46234</v>
      </c>
      <c r="D604" s="120">
        <f t="shared" si="177"/>
        <v>31</v>
      </c>
      <c r="E604" s="120">
        <f t="shared" si="178"/>
        <v>7</v>
      </c>
      <c r="F604" s="275">
        <f t="shared" si="179"/>
        <v>46219.5</v>
      </c>
      <c r="G604" s="120">
        <f t="shared" si="180"/>
        <v>24318</v>
      </c>
      <c r="H604" s="245">
        <f t="shared" si="181"/>
        <v>1</v>
      </c>
      <c r="I604" s="121">
        <f t="shared" si="182"/>
        <v>1</v>
      </c>
      <c r="J604" s="121">
        <f t="shared" si="183"/>
        <v>1.0649999999999999</v>
      </c>
      <c r="K604" s="120">
        <f t="shared" si="184"/>
        <v>1</v>
      </c>
      <c r="L604" s="120">
        <f t="shared" si="185"/>
        <v>31</v>
      </c>
      <c r="M604" s="246">
        <f t="shared" si="186"/>
        <v>1</v>
      </c>
      <c r="N604" s="121">
        <f t="shared" si="187"/>
        <v>1.0649999999999999</v>
      </c>
      <c r="O604" s="246">
        <f t="shared" si="188"/>
        <v>0.9083260393873086</v>
      </c>
      <c r="P604" s="121">
        <f t="shared" si="189"/>
        <v>0.91666666666666663</v>
      </c>
      <c r="Q604" s="121">
        <f t="shared" si="190"/>
        <v>8.333333333333337E-2</v>
      </c>
      <c r="R604" s="121">
        <f t="shared" si="191"/>
        <v>0</v>
      </c>
      <c r="AE604" s="160">
        <f t="shared" si="192"/>
        <v>1.0514861216820475</v>
      </c>
    </row>
    <row r="605" spans="1:31" x14ac:dyDescent="0.3">
      <c r="A605" s="187">
        <v>20</v>
      </c>
      <c r="B605" s="242">
        <f t="shared" si="193"/>
        <v>46235</v>
      </c>
      <c r="C605" s="243">
        <f t="shared" si="176"/>
        <v>46265</v>
      </c>
      <c r="D605" s="120">
        <f t="shared" si="177"/>
        <v>31</v>
      </c>
      <c r="E605" s="120">
        <f t="shared" si="178"/>
        <v>8</v>
      </c>
      <c r="F605" s="275">
        <f t="shared" si="179"/>
        <v>46250.5</v>
      </c>
      <c r="G605" s="120">
        <f t="shared" si="180"/>
        <v>24319</v>
      </c>
      <c r="H605" s="245">
        <f t="shared" si="181"/>
        <v>1</v>
      </c>
      <c r="I605" s="121">
        <f t="shared" si="182"/>
        <v>1.0649999999999999</v>
      </c>
      <c r="J605" s="121">
        <f t="shared" si="183"/>
        <v>1.0649999999999999</v>
      </c>
      <c r="K605" s="120">
        <f t="shared" si="184"/>
        <v>0</v>
      </c>
      <c r="L605" s="120">
        <f t="shared" si="185"/>
        <v>0</v>
      </c>
      <c r="M605" s="246">
        <f t="shared" si="186"/>
        <v>0</v>
      </c>
      <c r="N605" s="121">
        <f t="shared" si="187"/>
        <v>1.0649999999999999</v>
      </c>
      <c r="O605" s="246">
        <f t="shared" si="188"/>
        <v>0.90900437636761489</v>
      </c>
      <c r="P605" s="121">
        <f t="shared" si="189"/>
        <v>0.75</v>
      </c>
      <c r="Q605" s="121">
        <f t="shared" si="190"/>
        <v>0.25</v>
      </c>
      <c r="R605" s="121">
        <f t="shared" si="191"/>
        <v>0</v>
      </c>
      <c r="AE605" s="160">
        <f t="shared" si="192"/>
        <v>1.0522713704690323</v>
      </c>
    </row>
    <row r="606" spans="1:31" x14ac:dyDescent="0.3">
      <c r="A606" s="187">
        <v>21</v>
      </c>
      <c r="B606" s="242">
        <f t="shared" si="193"/>
        <v>46266</v>
      </c>
      <c r="C606" s="243">
        <f t="shared" si="176"/>
        <v>46295</v>
      </c>
      <c r="D606" s="120">
        <f t="shared" si="177"/>
        <v>30</v>
      </c>
      <c r="E606" s="120">
        <f t="shared" si="178"/>
        <v>9</v>
      </c>
      <c r="F606" s="275">
        <f t="shared" si="179"/>
        <v>46281</v>
      </c>
      <c r="G606" s="120">
        <f t="shared" si="180"/>
        <v>24320</v>
      </c>
      <c r="H606" s="245">
        <f t="shared" si="181"/>
        <v>1</v>
      </c>
      <c r="I606" s="121">
        <f t="shared" si="182"/>
        <v>1.0649999999999999</v>
      </c>
      <c r="J606" s="121">
        <f t="shared" si="183"/>
        <v>1.0649999999999999</v>
      </c>
      <c r="K606" s="120">
        <f t="shared" si="184"/>
        <v>0</v>
      </c>
      <c r="L606" s="120">
        <f t="shared" si="185"/>
        <v>0</v>
      </c>
      <c r="M606" s="246">
        <f t="shared" si="186"/>
        <v>0</v>
      </c>
      <c r="N606" s="121">
        <f t="shared" si="187"/>
        <v>1.0649999999999999</v>
      </c>
      <c r="O606" s="246">
        <f t="shared" si="188"/>
        <v>0.90967177242888408</v>
      </c>
      <c r="P606" s="121">
        <f t="shared" si="189"/>
        <v>0.58333333333333337</v>
      </c>
      <c r="Q606" s="121">
        <f t="shared" si="190"/>
        <v>0.41666666666666663</v>
      </c>
      <c r="R606" s="121">
        <f t="shared" si="191"/>
        <v>0</v>
      </c>
      <c r="AE606" s="160">
        <f t="shared" si="192"/>
        <v>1.0530439539530017</v>
      </c>
    </row>
    <row r="607" spans="1:31" x14ac:dyDescent="0.3">
      <c r="A607" s="187">
        <v>22</v>
      </c>
      <c r="B607" s="242">
        <f t="shared" si="193"/>
        <v>46296</v>
      </c>
      <c r="C607" s="243">
        <f t="shared" si="176"/>
        <v>46326</v>
      </c>
      <c r="D607" s="120">
        <f t="shared" si="177"/>
        <v>31</v>
      </c>
      <c r="E607" s="120">
        <f t="shared" si="178"/>
        <v>10</v>
      </c>
      <c r="F607" s="275">
        <f t="shared" si="179"/>
        <v>46311.5</v>
      </c>
      <c r="G607" s="120">
        <f t="shared" si="180"/>
        <v>24321</v>
      </c>
      <c r="H607" s="245">
        <f t="shared" si="181"/>
        <v>1</v>
      </c>
      <c r="I607" s="121">
        <f t="shared" si="182"/>
        <v>1.0649999999999999</v>
      </c>
      <c r="J607" s="121">
        <f t="shared" si="183"/>
        <v>1.0649999999999999</v>
      </c>
      <c r="K607" s="120">
        <f t="shared" si="184"/>
        <v>0</v>
      </c>
      <c r="L607" s="120">
        <f t="shared" si="185"/>
        <v>0</v>
      </c>
      <c r="M607" s="246">
        <f t="shared" si="186"/>
        <v>0</v>
      </c>
      <c r="N607" s="121">
        <f t="shared" si="187"/>
        <v>1.0649999999999999</v>
      </c>
      <c r="O607" s="246">
        <f t="shared" si="188"/>
        <v>0.91033916849015317</v>
      </c>
      <c r="P607" s="121">
        <f t="shared" si="189"/>
        <v>0.41666666666666669</v>
      </c>
      <c r="Q607" s="121">
        <f t="shared" si="190"/>
        <v>0.58333333333333326</v>
      </c>
      <c r="R607" s="121">
        <f t="shared" si="191"/>
        <v>0</v>
      </c>
      <c r="AE607" s="160">
        <f t="shared" si="192"/>
        <v>1.0538165374369706</v>
      </c>
    </row>
    <row r="608" spans="1:31" x14ac:dyDescent="0.3">
      <c r="A608" s="187">
        <v>23</v>
      </c>
      <c r="B608" s="242">
        <f t="shared" si="193"/>
        <v>46327</v>
      </c>
      <c r="C608" s="243">
        <f t="shared" si="176"/>
        <v>46356</v>
      </c>
      <c r="D608" s="120">
        <f t="shared" si="177"/>
        <v>30</v>
      </c>
      <c r="E608" s="120">
        <f t="shared" si="178"/>
        <v>11</v>
      </c>
      <c r="F608" s="275">
        <f t="shared" si="179"/>
        <v>46342</v>
      </c>
      <c r="G608" s="120">
        <f t="shared" si="180"/>
        <v>24322</v>
      </c>
      <c r="H608" s="245">
        <f t="shared" si="181"/>
        <v>1</v>
      </c>
      <c r="I608" s="121">
        <f t="shared" si="182"/>
        <v>1.0649999999999999</v>
      </c>
      <c r="J608" s="121">
        <f t="shared" si="183"/>
        <v>1.0649999999999999</v>
      </c>
      <c r="K608" s="120">
        <f t="shared" si="184"/>
        <v>0</v>
      </c>
      <c r="L608" s="120">
        <f t="shared" si="185"/>
        <v>0</v>
      </c>
      <c r="M608" s="246">
        <f t="shared" si="186"/>
        <v>0</v>
      </c>
      <c r="N608" s="121">
        <f t="shared" si="187"/>
        <v>1.0649999999999999</v>
      </c>
      <c r="O608" s="246">
        <f t="shared" si="188"/>
        <v>0.91100656455142237</v>
      </c>
      <c r="P608" s="121">
        <f t="shared" si="189"/>
        <v>0.25</v>
      </c>
      <c r="Q608" s="121">
        <f t="shared" si="190"/>
        <v>0.75</v>
      </c>
      <c r="R608" s="121">
        <f t="shared" si="191"/>
        <v>0</v>
      </c>
      <c r="AE608" s="160">
        <f t="shared" si="192"/>
        <v>1.0545891209209399</v>
      </c>
    </row>
    <row r="609" spans="1:35" x14ac:dyDescent="0.3">
      <c r="A609" s="187">
        <v>24</v>
      </c>
      <c r="B609" s="242">
        <f t="shared" si="193"/>
        <v>46357</v>
      </c>
      <c r="C609" s="243">
        <f t="shared" si="176"/>
        <v>46387</v>
      </c>
      <c r="D609" s="120">
        <f t="shared" si="177"/>
        <v>31</v>
      </c>
      <c r="E609" s="120">
        <f t="shared" si="178"/>
        <v>12</v>
      </c>
      <c r="F609" s="275">
        <f t="shared" si="179"/>
        <v>46372.5</v>
      </c>
      <c r="G609" s="120">
        <f t="shared" si="180"/>
        <v>24323</v>
      </c>
      <c r="H609" s="245">
        <f t="shared" si="181"/>
        <v>1</v>
      </c>
      <c r="I609" s="121">
        <f t="shared" si="182"/>
        <v>1.0649999999999999</v>
      </c>
      <c r="J609" s="121">
        <f t="shared" si="183"/>
        <v>1.0649999999999999</v>
      </c>
      <c r="K609" s="120">
        <f t="shared" si="184"/>
        <v>0</v>
      </c>
      <c r="L609" s="120">
        <f t="shared" si="185"/>
        <v>0</v>
      </c>
      <c r="M609" s="246">
        <f t="shared" si="186"/>
        <v>0</v>
      </c>
      <c r="N609" s="121">
        <f t="shared" si="187"/>
        <v>1.0649999999999999</v>
      </c>
      <c r="O609" s="246">
        <f t="shared" si="188"/>
        <v>0.91167396061269146</v>
      </c>
      <c r="P609" s="121">
        <f t="shared" si="189"/>
        <v>8.3333333333333329E-2</v>
      </c>
      <c r="Q609" s="121">
        <f t="shared" si="190"/>
        <v>0.91666666666666663</v>
      </c>
      <c r="R609" s="121">
        <f t="shared" si="191"/>
        <v>0</v>
      </c>
      <c r="AE609" s="160">
        <f t="shared" si="192"/>
        <v>1.0553617044049091</v>
      </c>
    </row>
    <row r="610" spans="1:35" x14ac:dyDescent="0.3">
      <c r="A610" s="187">
        <v>25</v>
      </c>
      <c r="B610" s="242">
        <f t="shared" si="193"/>
        <v>46388</v>
      </c>
      <c r="C610" s="243">
        <f t="shared" si="176"/>
        <v>46418</v>
      </c>
      <c r="D610" s="120">
        <f t="shared" si="177"/>
        <v>31</v>
      </c>
      <c r="E610" s="120">
        <f t="shared" si="178"/>
        <v>1</v>
      </c>
      <c r="F610" s="275">
        <f t="shared" si="179"/>
        <v>46403.5</v>
      </c>
      <c r="G610" s="120">
        <f t="shared" si="180"/>
        <v>24324</v>
      </c>
      <c r="H610" s="245">
        <f t="shared" si="181"/>
        <v>1</v>
      </c>
      <c r="I610" s="121">
        <f t="shared" si="182"/>
        <v>1.0649999999999999</v>
      </c>
      <c r="J610" s="121">
        <f t="shared" si="183"/>
        <v>1.0649999999999999</v>
      </c>
      <c r="K610" s="120">
        <f t="shared" si="184"/>
        <v>0</v>
      </c>
      <c r="L610" s="120">
        <f t="shared" si="185"/>
        <v>0</v>
      </c>
      <c r="M610" s="246">
        <f t="shared" si="186"/>
        <v>0</v>
      </c>
      <c r="N610" s="121">
        <f t="shared" si="187"/>
        <v>1.0649999999999999</v>
      </c>
      <c r="O610" s="246">
        <f t="shared" si="188"/>
        <v>0.91235229759299785</v>
      </c>
      <c r="P610" s="121">
        <f t="shared" si="189"/>
        <v>0</v>
      </c>
      <c r="Q610" s="121">
        <f t="shared" si="190"/>
        <v>1</v>
      </c>
      <c r="R610" s="121">
        <f t="shared" si="191"/>
        <v>0</v>
      </c>
      <c r="W610" s="160">
        <f t="shared" ref="W610:W621" si="194">IF($G610&lt;&gt;$Q$583,$N610,(1-$U$583)*$I610+$U$583*$J610)</f>
        <v>1.0649999999999999</v>
      </c>
      <c r="X610" s="160">
        <f t="shared" ref="X610:X621" si="195">IF($G610&lt;$Q$583,0,IF($G610&gt;$Q$583,$N610,$U$583*$J610))</f>
        <v>0</v>
      </c>
      <c r="Y610" s="160">
        <f t="shared" ref="Y610:Y621" si="196">IF($F$583=1,$O610/$O598,1)</f>
        <v>1.0088314642083742</v>
      </c>
      <c r="AB610" s="160">
        <f t="shared" ref="AB610:AB621" si="197">IF(AND(N($K$583)&lt;&gt;0,$F610&lt;=$B$584),0,($F610-$B$584)/($C$584-$B$584))</f>
        <v>0.23522975929978118</v>
      </c>
      <c r="AC610" s="220">
        <f t="shared" ref="AC610:AC621" si="198">IF(AND(N($K$583)&lt;&gt;0,$F610&lt;=$B$584),$O610,$F$584*(1-$AB610))</f>
        <v>0.69594091903719912</v>
      </c>
      <c r="AD610" s="160">
        <f t="shared" ref="AD610:AD621" si="199">$H610*($W610+$X610*IF(ISNUMBER($F$634),$F$634,0))/($N598*$O598)</f>
        <v>1.1776213116539032</v>
      </c>
      <c r="AE610" s="160">
        <f t="shared" si="192"/>
        <v>1.0561469531918941</v>
      </c>
      <c r="AF610" s="220">
        <f t="shared" ref="AF610:AF621" si="200">IF($G610&lt;$Q$583,0,IF($G610&gt;$Q$583,1,$U$583))</f>
        <v>0</v>
      </c>
      <c r="AG610" s="183" t="str">
        <f t="shared" ref="AG610:AG621" si="201">IF(OR($D$583=0,$P$583=0),"",($W610+$X610*IF(ISNUMBER($F$634),$F$634,0))/$N598-1)</f>
        <v/>
      </c>
      <c r="AH610" s="183" t="str">
        <f t="shared" ref="AH610:AH621" si="202">IF(OR($AG610="",$F$583=0),"",(1+$E$583)/(1+$AG610)-1)</f>
        <v/>
      </c>
      <c r="AI610" s="220" t="str">
        <f t="shared" ref="AI610:AI621" si="203">IF($AH610="","",$O598*(1+$E$583)/(1+$AG610))</f>
        <v/>
      </c>
    </row>
    <row r="611" spans="1:35" x14ac:dyDescent="0.3">
      <c r="A611" s="187">
        <v>26</v>
      </c>
      <c r="B611" s="242">
        <f t="shared" si="193"/>
        <v>46419</v>
      </c>
      <c r="C611" s="243">
        <f t="shared" si="176"/>
        <v>46446</v>
      </c>
      <c r="D611" s="120">
        <f t="shared" si="177"/>
        <v>28</v>
      </c>
      <c r="E611" s="120">
        <f t="shared" si="178"/>
        <v>2</v>
      </c>
      <c r="F611" s="275">
        <f t="shared" si="179"/>
        <v>46433</v>
      </c>
      <c r="G611" s="120">
        <f t="shared" si="180"/>
        <v>24325</v>
      </c>
      <c r="H611" s="245">
        <f t="shared" si="181"/>
        <v>1</v>
      </c>
      <c r="I611" s="121">
        <f t="shared" si="182"/>
        <v>1.0649999999999999</v>
      </c>
      <c r="J611" s="121">
        <f t="shared" si="183"/>
        <v>1.0649999999999999</v>
      </c>
      <c r="K611" s="120">
        <f t="shared" si="184"/>
        <v>0</v>
      </c>
      <c r="L611" s="120">
        <f t="shared" si="185"/>
        <v>0</v>
      </c>
      <c r="M611" s="246">
        <f t="shared" si="186"/>
        <v>0</v>
      </c>
      <c r="N611" s="121">
        <f t="shared" si="187"/>
        <v>1.0649999999999999</v>
      </c>
      <c r="O611" s="246">
        <f t="shared" si="188"/>
        <v>0.91299781181619255</v>
      </c>
      <c r="P611" s="121">
        <f t="shared" si="189"/>
        <v>0</v>
      </c>
      <c r="Q611" s="121">
        <f t="shared" si="190"/>
        <v>1</v>
      </c>
      <c r="R611" s="121">
        <f t="shared" si="191"/>
        <v>0</v>
      </c>
      <c r="W611" s="160">
        <f t="shared" si="194"/>
        <v>1.0649999999999999</v>
      </c>
      <c r="X611" s="160">
        <f t="shared" si="195"/>
        <v>0</v>
      </c>
      <c r="Y611" s="160">
        <f t="shared" si="196"/>
        <v>1.0088251650184965</v>
      </c>
      <c r="AB611" s="160">
        <f t="shared" si="197"/>
        <v>0.29978118161925604</v>
      </c>
      <c r="AC611" s="220">
        <f t="shared" si="198"/>
        <v>0.637199124726477</v>
      </c>
      <c r="AD611" s="160">
        <f t="shared" si="199"/>
        <v>1.1767813535143499</v>
      </c>
      <c r="AE611" s="160">
        <f t="shared" si="192"/>
        <v>1.0568942060698314</v>
      </c>
      <c r="AF611" s="220">
        <f t="shared" si="200"/>
        <v>0</v>
      </c>
      <c r="AG611" s="183" t="str">
        <f t="shared" si="201"/>
        <v/>
      </c>
      <c r="AH611" s="183" t="str">
        <f t="shared" si="202"/>
        <v/>
      </c>
      <c r="AI611" s="220" t="str">
        <f t="shared" si="203"/>
        <v/>
      </c>
    </row>
    <row r="612" spans="1:35" x14ac:dyDescent="0.3">
      <c r="A612" s="187">
        <v>27</v>
      </c>
      <c r="B612" s="242">
        <f t="shared" si="193"/>
        <v>46447</v>
      </c>
      <c r="C612" s="243">
        <f t="shared" si="176"/>
        <v>46477</v>
      </c>
      <c r="D612" s="120">
        <f t="shared" si="177"/>
        <v>31</v>
      </c>
      <c r="E612" s="120">
        <f t="shared" si="178"/>
        <v>3</v>
      </c>
      <c r="F612" s="275">
        <f t="shared" si="179"/>
        <v>46462.5</v>
      </c>
      <c r="G612" s="120">
        <f t="shared" si="180"/>
        <v>24326</v>
      </c>
      <c r="H612" s="245">
        <f t="shared" si="181"/>
        <v>1</v>
      </c>
      <c r="I612" s="121">
        <f t="shared" si="182"/>
        <v>1.0649999999999999</v>
      </c>
      <c r="J612" s="121">
        <f t="shared" si="183"/>
        <v>1.0649999999999999</v>
      </c>
      <c r="K612" s="120">
        <f t="shared" si="184"/>
        <v>0</v>
      </c>
      <c r="L612" s="120">
        <f t="shared" si="185"/>
        <v>0</v>
      </c>
      <c r="M612" s="246">
        <f t="shared" si="186"/>
        <v>0</v>
      </c>
      <c r="N612" s="121">
        <f t="shared" si="187"/>
        <v>1.0649999999999999</v>
      </c>
      <c r="O612" s="246">
        <f t="shared" si="188"/>
        <v>0.91364332603938736</v>
      </c>
      <c r="P612" s="121">
        <f t="shared" si="189"/>
        <v>0</v>
      </c>
      <c r="Q612" s="121">
        <f t="shared" si="190"/>
        <v>1</v>
      </c>
      <c r="R612" s="121">
        <f t="shared" si="191"/>
        <v>0</v>
      </c>
      <c r="W612" s="160">
        <f t="shared" si="194"/>
        <v>1.0649999999999999</v>
      </c>
      <c r="X612" s="160">
        <f t="shared" si="195"/>
        <v>0</v>
      </c>
      <c r="Y612" s="160">
        <f t="shared" si="196"/>
        <v>1.0088188748082196</v>
      </c>
      <c r="AB612" s="160">
        <f t="shared" si="197"/>
        <v>0.36433260393873085</v>
      </c>
      <c r="AC612" s="220">
        <f t="shared" si="198"/>
        <v>0.57845733041575487</v>
      </c>
      <c r="AD612" s="160">
        <f t="shared" si="199"/>
        <v>1.1759425927491935</v>
      </c>
      <c r="AE612" s="160">
        <f t="shared" si="192"/>
        <v>1.0576414589477687</v>
      </c>
      <c r="AF612" s="220">
        <f t="shared" si="200"/>
        <v>0</v>
      </c>
      <c r="AG612" s="183" t="str">
        <f t="shared" si="201"/>
        <v/>
      </c>
      <c r="AH612" s="183" t="str">
        <f t="shared" si="202"/>
        <v/>
      </c>
      <c r="AI612" s="220" t="str">
        <f t="shared" si="203"/>
        <v/>
      </c>
    </row>
    <row r="613" spans="1:35" x14ac:dyDescent="0.3">
      <c r="A613" s="187">
        <v>28</v>
      </c>
      <c r="B613" s="242">
        <f t="shared" si="193"/>
        <v>46478</v>
      </c>
      <c r="C613" s="243">
        <f t="shared" si="176"/>
        <v>46507</v>
      </c>
      <c r="D613" s="120">
        <f t="shared" si="177"/>
        <v>30</v>
      </c>
      <c r="E613" s="120">
        <f t="shared" si="178"/>
        <v>4</v>
      </c>
      <c r="F613" s="275">
        <f t="shared" si="179"/>
        <v>46493</v>
      </c>
      <c r="G613" s="120">
        <f t="shared" si="180"/>
        <v>24327</v>
      </c>
      <c r="H613" s="245">
        <f t="shared" si="181"/>
        <v>1</v>
      </c>
      <c r="I613" s="121">
        <f t="shared" si="182"/>
        <v>1.0649999999999999</v>
      </c>
      <c r="J613" s="121">
        <f t="shared" si="183"/>
        <v>1.0649999999999999</v>
      </c>
      <c r="K613" s="120">
        <f t="shared" si="184"/>
        <v>0</v>
      </c>
      <c r="L613" s="120">
        <f t="shared" si="185"/>
        <v>0</v>
      </c>
      <c r="M613" s="246">
        <f t="shared" si="186"/>
        <v>0</v>
      </c>
      <c r="N613" s="121">
        <f t="shared" si="187"/>
        <v>1.0649999999999999</v>
      </c>
      <c r="O613" s="246">
        <f t="shared" si="188"/>
        <v>0.91431072210065645</v>
      </c>
      <c r="P613" s="121">
        <f t="shared" si="189"/>
        <v>0</v>
      </c>
      <c r="Q613" s="121">
        <f t="shared" si="190"/>
        <v>1</v>
      </c>
      <c r="R613" s="121">
        <f t="shared" si="191"/>
        <v>0</v>
      </c>
      <c r="W613" s="160">
        <f t="shared" si="194"/>
        <v>1.0649999999999999</v>
      </c>
      <c r="X613" s="160">
        <f t="shared" si="195"/>
        <v>1.0649999999999999</v>
      </c>
      <c r="Y613" s="160">
        <f t="shared" si="196"/>
        <v>1.0088123807914242</v>
      </c>
      <c r="AB613" s="160">
        <f t="shared" si="197"/>
        <v>0.4310722100656455</v>
      </c>
      <c r="AC613" s="220">
        <f t="shared" si="198"/>
        <v>0.51772428884026267</v>
      </c>
      <c r="AD613" s="160">
        <f t="shared" si="199"/>
        <v>1.1750766556411307</v>
      </c>
      <c r="AE613" s="160">
        <f t="shared" si="192"/>
        <v>1.0584140424317383</v>
      </c>
      <c r="AF613" s="220">
        <f t="shared" si="200"/>
        <v>1</v>
      </c>
      <c r="AG613" s="183" t="str">
        <f t="shared" si="201"/>
        <v/>
      </c>
      <c r="AH613" s="183" t="str">
        <f t="shared" si="202"/>
        <v/>
      </c>
      <c r="AI613" s="220" t="str">
        <f t="shared" si="203"/>
        <v/>
      </c>
    </row>
    <row r="614" spans="1:35" x14ac:dyDescent="0.3">
      <c r="A614" s="187">
        <v>29</v>
      </c>
      <c r="B614" s="242">
        <f t="shared" si="193"/>
        <v>46508</v>
      </c>
      <c r="C614" s="243">
        <f t="shared" si="176"/>
        <v>46538</v>
      </c>
      <c r="D614" s="120">
        <f t="shared" si="177"/>
        <v>31</v>
      </c>
      <c r="E614" s="120">
        <f t="shared" si="178"/>
        <v>5</v>
      </c>
      <c r="F614" s="275">
        <f t="shared" si="179"/>
        <v>46523.5</v>
      </c>
      <c r="G614" s="120">
        <f t="shared" si="180"/>
        <v>24328</v>
      </c>
      <c r="H614" s="245">
        <f t="shared" si="181"/>
        <v>1</v>
      </c>
      <c r="I614" s="121">
        <f t="shared" si="182"/>
        <v>1.0649999999999999</v>
      </c>
      <c r="J614" s="121">
        <f t="shared" si="183"/>
        <v>1.0649999999999999</v>
      </c>
      <c r="K614" s="120">
        <f t="shared" si="184"/>
        <v>0</v>
      </c>
      <c r="L614" s="120">
        <f t="shared" si="185"/>
        <v>0</v>
      </c>
      <c r="M614" s="246">
        <f t="shared" si="186"/>
        <v>0</v>
      </c>
      <c r="N614" s="121">
        <f t="shared" si="187"/>
        <v>1.0649999999999999</v>
      </c>
      <c r="O614" s="246">
        <f t="shared" si="188"/>
        <v>0.91497811816192565</v>
      </c>
      <c r="P614" s="121">
        <f t="shared" si="189"/>
        <v>0</v>
      </c>
      <c r="Q614" s="121">
        <f t="shared" si="190"/>
        <v>1</v>
      </c>
      <c r="R614" s="121">
        <f t="shared" si="191"/>
        <v>0</v>
      </c>
      <c r="W614" s="160">
        <f t="shared" si="194"/>
        <v>1.0649999999999999</v>
      </c>
      <c r="X614" s="160">
        <f t="shared" si="195"/>
        <v>1.0649999999999999</v>
      </c>
      <c r="Y614" s="160">
        <f t="shared" si="196"/>
        <v>1.0088058963316806</v>
      </c>
      <c r="AB614" s="160">
        <f t="shared" si="197"/>
        <v>0.49781181619256015</v>
      </c>
      <c r="AC614" s="220">
        <f t="shared" si="198"/>
        <v>0.45699124726477025</v>
      </c>
      <c r="AD614" s="160">
        <f t="shared" si="199"/>
        <v>1.1742119929070314</v>
      </c>
      <c r="AE614" s="160">
        <f t="shared" si="192"/>
        <v>1.0591866259157072</v>
      </c>
      <c r="AF614" s="220">
        <f t="shared" si="200"/>
        <v>1</v>
      </c>
      <c r="AG614" s="183" t="str">
        <f t="shared" si="201"/>
        <v/>
      </c>
      <c r="AH614" s="183" t="str">
        <f t="shared" si="202"/>
        <v/>
      </c>
      <c r="AI614" s="220" t="str">
        <f t="shared" si="203"/>
        <v/>
      </c>
    </row>
    <row r="615" spans="1:35" x14ac:dyDescent="0.3">
      <c r="A615" s="187">
        <v>30</v>
      </c>
      <c r="B615" s="242">
        <f t="shared" si="193"/>
        <v>46539</v>
      </c>
      <c r="C615" s="243">
        <f t="shared" si="176"/>
        <v>46568</v>
      </c>
      <c r="D615" s="120">
        <f t="shared" si="177"/>
        <v>30</v>
      </c>
      <c r="E615" s="120">
        <f t="shared" si="178"/>
        <v>6</v>
      </c>
      <c r="F615" s="275">
        <f t="shared" si="179"/>
        <v>46554</v>
      </c>
      <c r="G615" s="120">
        <f t="shared" si="180"/>
        <v>24329</v>
      </c>
      <c r="H615" s="245">
        <f t="shared" si="181"/>
        <v>1</v>
      </c>
      <c r="I615" s="121">
        <f t="shared" si="182"/>
        <v>1.0649999999999999</v>
      </c>
      <c r="J615" s="121">
        <f t="shared" si="183"/>
        <v>1.0649999999999999</v>
      </c>
      <c r="K615" s="120">
        <f t="shared" si="184"/>
        <v>0</v>
      </c>
      <c r="L615" s="120">
        <f t="shared" si="185"/>
        <v>0</v>
      </c>
      <c r="M615" s="246">
        <f t="shared" si="186"/>
        <v>0</v>
      </c>
      <c r="N615" s="121">
        <f t="shared" si="187"/>
        <v>1.0649999999999999</v>
      </c>
      <c r="O615" s="246">
        <f t="shared" si="188"/>
        <v>0.91564551422319473</v>
      </c>
      <c r="P615" s="121">
        <f t="shared" si="189"/>
        <v>0</v>
      </c>
      <c r="Q615" s="121">
        <f t="shared" si="190"/>
        <v>1</v>
      </c>
      <c r="R615" s="121">
        <f t="shared" si="191"/>
        <v>0</v>
      </c>
      <c r="W615" s="160">
        <f t="shared" si="194"/>
        <v>1.0649999999999999</v>
      </c>
      <c r="X615" s="160">
        <f t="shared" si="195"/>
        <v>1.0649999999999999</v>
      </c>
      <c r="Y615" s="160">
        <f t="shared" si="196"/>
        <v>1.0087994214079075</v>
      </c>
      <c r="AB615" s="160">
        <f t="shared" si="197"/>
        <v>0.56455142231947486</v>
      </c>
      <c r="AC615" s="220">
        <f t="shared" si="198"/>
        <v>0.39625820568927789</v>
      </c>
      <c r="AD615" s="160">
        <f t="shared" si="199"/>
        <v>1.1733486017357762</v>
      </c>
      <c r="AE615" s="160">
        <f t="shared" si="192"/>
        <v>1.0599592093996764</v>
      </c>
      <c r="AF615" s="220">
        <f t="shared" si="200"/>
        <v>1</v>
      </c>
      <c r="AG615" s="183" t="str">
        <f t="shared" si="201"/>
        <v/>
      </c>
      <c r="AH615" s="183" t="str">
        <f t="shared" si="202"/>
        <v/>
      </c>
      <c r="AI615" s="220" t="str">
        <f t="shared" si="203"/>
        <v/>
      </c>
    </row>
    <row r="616" spans="1:35" x14ac:dyDescent="0.3">
      <c r="A616" s="187">
        <v>31</v>
      </c>
      <c r="B616" s="242">
        <f t="shared" si="193"/>
        <v>46569</v>
      </c>
      <c r="C616" s="243">
        <f t="shared" si="176"/>
        <v>46599</v>
      </c>
      <c r="D616" s="120">
        <f t="shared" si="177"/>
        <v>31</v>
      </c>
      <c r="E616" s="120">
        <f t="shared" si="178"/>
        <v>7</v>
      </c>
      <c r="F616" s="275">
        <f t="shared" si="179"/>
        <v>46584.5</v>
      </c>
      <c r="G616" s="120">
        <f t="shared" si="180"/>
        <v>24330</v>
      </c>
      <c r="H616" s="245">
        <f t="shared" si="181"/>
        <v>1</v>
      </c>
      <c r="I616" s="121">
        <f t="shared" si="182"/>
        <v>1.0649999999999999</v>
      </c>
      <c r="J616" s="121">
        <f t="shared" si="183"/>
        <v>1.0649999999999999</v>
      </c>
      <c r="K616" s="120">
        <f t="shared" si="184"/>
        <v>0</v>
      </c>
      <c r="L616" s="120">
        <f t="shared" si="185"/>
        <v>0</v>
      </c>
      <c r="M616" s="246">
        <f t="shared" si="186"/>
        <v>0</v>
      </c>
      <c r="N616" s="121">
        <f t="shared" si="187"/>
        <v>1.0649999999999999</v>
      </c>
      <c r="O616" s="246">
        <f t="shared" si="188"/>
        <v>0.91631291028446393</v>
      </c>
      <c r="P616" s="121">
        <f t="shared" si="189"/>
        <v>0</v>
      </c>
      <c r="Q616" s="121">
        <f t="shared" si="190"/>
        <v>0.91666666666666663</v>
      </c>
      <c r="R616" s="121">
        <f t="shared" si="191"/>
        <v>8.333333333333337E-2</v>
      </c>
      <c r="W616" s="160">
        <f t="shared" si="194"/>
        <v>1.0649999999999999</v>
      </c>
      <c r="X616" s="160">
        <f t="shared" si="195"/>
        <v>1.0649999999999999</v>
      </c>
      <c r="Y616" s="160">
        <f t="shared" si="196"/>
        <v>1.0087929559990845</v>
      </c>
      <c r="AB616" s="160">
        <f t="shared" si="197"/>
        <v>0.63129102844638951</v>
      </c>
      <c r="AC616" s="220">
        <f t="shared" si="198"/>
        <v>0.33552516411378558</v>
      </c>
      <c r="AD616" s="160">
        <f t="shared" si="199"/>
        <v>1.1009262716662047</v>
      </c>
      <c r="AE616" s="160">
        <f t="shared" si="192"/>
        <v>1.0607317928836457</v>
      </c>
      <c r="AF616" s="220">
        <f t="shared" si="200"/>
        <v>1</v>
      </c>
      <c r="AG616" s="183" t="str">
        <f t="shared" si="201"/>
        <v/>
      </c>
      <c r="AH616" s="183" t="str">
        <f t="shared" si="202"/>
        <v/>
      </c>
      <c r="AI616" s="220" t="str">
        <f t="shared" si="203"/>
        <v/>
      </c>
    </row>
    <row r="617" spans="1:35" x14ac:dyDescent="0.3">
      <c r="A617" s="187">
        <v>32</v>
      </c>
      <c r="B617" s="242">
        <f t="shared" si="193"/>
        <v>46600</v>
      </c>
      <c r="C617" s="243">
        <f t="shared" si="176"/>
        <v>46630</v>
      </c>
      <c r="D617" s="120">
        <f t="shared" si="177"/>
        <v>31</v>
      </c>
      <c r="E617" s="120">
        <f t="shared" si="178"/>
        <v>8</v>
      </c>
      <c r="F617" s="275">
        <f t="shared" si="179"/>
        <v>46615.5</v>
      </c>
      <c r="G617" s="120">
        <f t="shared" si="180"/>
        <v>24331</v>
      </c>
      <c r="H617" s="245">
        <f t="shared" si="181"/>
        <v>1</v>
      </c>
      <c r="I617" s="121">
        <f t="shared" si="182"/>
        <v>1.0649999999999999</v>
      </c>
      <c r="J617" s="121">
        <f t="shared" si="183"/>
        <v>1.0649999999999999</v>
      </c>
      <c r="K617" s="120">
        <f t="shared" si="184"/>
        <v>0</v>
      </c>
      <c r="L617" s="120">
        <f t="shared" si="185"/>
        <v>0</v>
      </c>
      <c r="M617" s="246">
        <f t="shared" si="186"/>
        <v>0</v>
      </c>
      <c r="N617" s="121">
        <f t="shared" si="187"/>
        <v>1.0649999999999999</v>
      </c>
      <c r="O617" s="246">
        <f t="shared" si="188"/>
        <v>0.91699124726477033</v>
      </c>
      <c r="P617" s="121">
        <f t="shared" si="189"/>
        <v>0</v>
      </c>
      <c r="Q617" s="121">
        <f t="shared" si="190"/>
        <v>0.75</v>
      </c>
      <c r="R617" s="121">
        <f t="shared" si="191"/>
        <v>0.25</v>
      </c>
      <c r="W617" s="160">
        <f t="shared" si="194"/>
        <v>1.0649999999999999</v>
      </c>
      <c r="X617" s="160">
        <f t="shared" si="195"/>
        <v>1.0649999999999999</v>
      </c>
      <c r="Y617" s="160">
        <f t="shared" si="196"/>
        <v>1.0087863943285631</v>
      </c>
      <c r="AB617" s="160">
        <f t="shared" si="197"/>
        <v>0.69912472647702406</v>
      </c>
      <c r="AC617" s="220">
        <f t="shared" si="198"/>
        <v>0.27379649890590813</v>
      </c>
      <c r="AD617" s="160">
        <f t="shared" si="199"/>
        <v>1.1001047145625458</v>
      </c>
      <c r="AE617" s="160">
        <f t="shared" si="192"/>
        <v>1.0615170416706308</v>
      </c>
      <c r="AF617" s="220">
        <f t="shared" si="200"/>
        <v>1</v>
      </c>
      <c r="AG617" s="183" t="str">
        <f t="shared" si="201"/>
        <v/>
      </c>
      <c r="AH617" s="183" t="str">
        <f t="shared" si="202"/>
        <v/>
      </c>
      <c r="AI617" s="220" t="str">
        <f t="shared" si="203"/>
        <v/>
      </c>
    </row>
    <row r="618" spans="1:35" x14ac:dyDescent="0.3">
      <c r="A618" s="187">
        <v>33</v>
      </c>
      <c r="B618" s="242">
        <f t="shared" si="193"/>
        <v>46631</v>
      </c>
      <c r="C618" s="243">
        <f t="shared" si="176"/>
        <v>46660</v>
      </c>
      <c r="D618" s="120">
        <f t="shared" si="177"/>
        <v>30</v>
      </c>
      <c r="E618" s="120">
        <f t="shared" si="178"/>
        <v>9</v>
      </c>
      <c r="F618" s="275">
        <f t="shared" si="179"/>
        <v>46646</v>
      </c>
      <c r="G618" s="120">
        <f t="shared" si="180"/>
        <v>24332</v>
      </c>
      <c r="H618" s="245">
        <f t="shared" si="181"/>
        <v>1</v>
      </c>
      <c r="I618" s="121">
        <f t="shared" si="182"/>
        <v>1.0649999999999999</v>
      </c>
      <c r="J618" s="121">
        <f t="shared" si="183"/>
        <v>1.0649999999999999</v>
      </c>
      <c r="K618" s="120">
        <f t="shared" si="184"/>
        <v>0</v>
      </c>
      <c r="L618" s="120">
        <f t="shared" si="185"/>
        <v>0</v>
      </c>
      <c r="M618" s="246">
        <f t="shared" si="186"/>
        <v>0</v>
      </c>
      <c r="N618" s="121">
        <f t="shared" si="187"/>
        <v>1.0649999999999999</v>
      </c>
      <c r="O618" s="246">
        <f t="shared" si="188"/>
        <v>0.91765864332603941</v>
      </c>
      <c r="P618" s="121">
        <f t="shared" si="189"/>
        <v>0</v>
      </c>
      <c r="Q618" s="121">
        <f t="shared" si="190"/>
        <v>0.58333333333333337</v>
      </c>
      <c r="R618" s="121">
        <f t="shared" si="191"/>
        <v>0.41666666666666663</v>
      </c>
      <c r="W618" s="160">
        <f t="shared" si="194"/>
        <v>1.0649999999999999</v>
      </c>
      <c r="X618" s="160">
        <f t="shared" si="195"/>
        <v>1.0649999999999999</v>
      </c>
      <c r="Y618" s="160">
        <f t="shared" si="196"/>
        <v>1.0087799480419513</v>
      </c>
      <c r="AB618" s="160">
        <f t="shared" si="197"/>
        <v>0.76586433260393871</v>
      </c>
      <c r="AC618" s="220">
        <f t="shared" si="198"/>
        <v>0.21306345733041579</v>
      </c>
      <c r="AD618" s="160">
        <f t="shared" si="199"/>
        <v>1.0992976041566438</v>
      </c>
      <c r="AE618" s="160">
        <f t="shared" si="192"/>
        <v>1.0622896251545999</v>
      </c>
      <c r="AF618" s="220">
        <f t="shared" si="200"/>
        <v>1</v>
      </c>
      <c r="AG618" s="183" t="str">
        <f t="shared" si="201"/>
        <v/>
      </c>
      <c r="AH618" s="183" t="str">
        <f t="shared" si="202"/>
        <v/>
      </c>
      <c r="AI618" s="220" t="str">
        <f t="shared" si="203"/>
        <v/>
      </c>
    </row>
    <row r="619" spans="1:35" x14ac:dyDescent="0.3">
      <c r="A619" s="187">
        <v>34</v>
      </c>
      <c r="B619" s="242">
        <f t="shared" si="193"/>
        <v>46661</v>
      </c>
      <c r="C619" s="243">
        <f t="shared" si="176"/>
        <v>46691</v>
      </c>
      <c r="D619" s="120">
        <f t="shared" si="177"/>
        <v>31</v>
      </c>
      <c r="E619" s="120">
        <f t="shared" si="178"/>
        <v>10</v>
      </c>
      <c r="F619" s="275">
        <f t="shared" si="179"/>
        <v>46676.5</v>
      </c>
      <c r="G619" s="120">
        <f t="shared" si="180"/>
        <v>24333</v>
      </c>
      <c r="H619" s="245">
        <f t="shared" si="181"/>
        <v>1</v>
      </c>
      <c r="I619" s="121">
        <f t="shared" si="182"/>
        <v>1.0649999999999999</v>
      </c>
      <c r="J619" s="121">
        <f t="shared" si="183"/>
        <v>1.0649999999999999</v>
      </c>
      <c r="K619" s="120">
        <f t="shared" si="184"/>
        <v>0</v>
      </c>
      <c r="L619" s="120">
        <f t="shared" si="185"/>
        <v>0</v>
      </c>
      <c r="M619" s="246">
        <f t="shared" si="186"/>
        <v>0</v>
      </c>
      <c r="N619" s="121">
        <f t="shared" si="187"/>
        <v>1.0649999999999999</v>
      </c>
      <c r="O619" s="246">
        <f t="shared" si="188"/>
        <v>0.91832603938730861</v>
      </c>
      <c r="P619" s="121">
        <f t="shared" si="189"/>
        <v>0</v>
      </c>
      <c r="Q619" s="121">
        <f t="shared" si="190"/>
        <v>0.41666666666666669</v>
      </c>
      <c r="R619" s="121">
        <f t="shared" si="191"/>
        <v>0.58333333333333326</v>
      </c>
      <c r="W619" s="160">
        <f t="shared" si="194"/>
        <v>1.0649999999999999</v>
      </c>
      <c r="X619" s="160">
        <f t="shared" si="195"/>
        <v>1.0649999999999999</v>
      </c>
      <c r="Y619" s="160">
        <f t="shared" si="196"/>
        <v>1.0087735112072593</v>
      </c>
      <c r="AB619" s="160">
        <f t="shared" si="197"/>
        <v>0.83260393873085337</v>
      </c>
      <c r="AC619" s="220">
        <f t="shared" si="198"/>
        <v>0.15233041575492345</v>
      </c>
      <c r="AD619" s="160">
        <f t="shared" si="199"/>
        <v>1.0984916771828617</v>
      </c>
      <c r="AE619" s="160">
        <f t="shared" si="192"/>
        <v>1.063062208638569</v>
      </c>
      <c r="AF619" s="220">
        <f t="shared" si="200"/>
        <v>1</v>
      </c>
      <c r="AG619" s="183" t="str">
        <f t="shared" si="201"/>
        <v/>
      </c>
      <c r="AH619" s="183" t="str">
        <f t="shared" si="202"/>
        <v/>
      </c>
      <c r="AI619" s="220" t="str">
        <f t="shared" si="203"/>
        <v/>
      </c>
    </row>
    <row r="620" spans="1:35" x14ac:dyDescent="0.3">
      <c r="A620" s="187">
        <v>35</v>
      </c>
      <c r="B620" s="242">
        <f t="shared" si="193"/>
        <v>46692</v>
      </c>
      <c r="C620" s="243">
        <f t="shared" si="176"/>
        <v>46721</v>
      </c>
      <c r="D620" s="120">
        <f t="shared" si="177"/>
        <v>30</v>
      </c>
      <c r="E620" s="120">
        <f t="shared" si="178"/>
        <v>11</v>
      </c>
      <c r="F620" s="275">
        <f t="shared" si="179"/>
        <v>46707</v>
      </c>
      <c r="G620" s="120">
        <f t="shared" si="180"/>
        <v>24334</v>
      </c>
      <c r="H620" s="245">
        <f t="shared" si="181"/>
        <v>1</v>
      </c>
      <c r="I620" s="121">
        <f t="shared" si="182"/>
        <v>1.0649999999999999</v>
      </c>
      <c r="J620" s="121">
        <f t="shared" si="183"/>
        <v>1.0649999999999999</v>
      </c>
      <c r="K620" s="120">
        <f t="shared" si="184"/>
        <v>0</v>
      </c>
      <c r="L620" s="120">
        <f t="shared" si="185"/>
        <v>0</v>
      </c>
      <c r="M620" s="246">
        <f t="shared" si="186"/>
        <v>0</v>
      </c>
      <c r="N620" s="121">
        <f t="shared" si="187"/>
        <v>1.0649999999999999</v>
      </c>
      <c r="O620" s="246">
        <f t="shared" si="188"/>
        <v>0.9189934354485777</v>
      </c>
      <c r="P620" s="121">
        <f t="shared" si="189"/>
        <v>0</v>
      </c>
      <c r="Q620" s="121">
        <f t="shared" si="190"/>
        <v>0.25</v>
      </c>
      <c r="R620" s="121">
        <f t="shared" si="191"/>
        <v>0.75</v>
      </c>
      <c r="W620" s="160">
        <f t="shared" si="194"/>
        <v>1.0649999999999999</v>
      </c>
      <c r="X620" s="160">
        <f t="shared" si="195"/>
        <v>1.0649999999999999</v>
      </c>
      <c r="Y620" s="160">
        <f t="shared" si="196"/>
        <v>1.0087670838037133</v>
      </c>
      <c r="AB620" s="160">
        <f t="shared" si="197"/>
        <v>0.89934354485776802</v>
      </c>
      <c r="AC620" s="220">
        <f t="shared" si="198"/>
        <v>9.1597374179431104E-2</v>
      </c>
      <c r="AD620" s="160">
        <f t="shared" si="199"/>
        <v>1.0976869310402804</v>
      </c>
      <c r="AE620" s="160">
        <f t="shared" si="192"/>
        <v>1.0638347921225384</v>
      </c>
      <c r="AF620" s="220">
        <f t="shared" si="200"/>
        <v>1</v>
      </c>
      <c r="AG620" s="183" t="str">
        <f t="shared" si="201"/>
        <v/>
      </c>
      <c r="AH620" s="183" t="str">
        <f t="shared" si="202"/>
        <v/>
      </c>
      <c r="AI620" s="220" t="str">
        <f t="shared" si="203"/>
        <v/>
      </c>
    </row>
    <row r="621" spans="1:35" x14ac:dyDescent="0.3">
      <c r="A621" s="187">
        <v>36</v>
      </c>
      <c r="B621" s="242">
        <f t="shared" si="193"/>
        <v>46722</v>
      </c>
      <c r="C621" s="243">
        <f t="shared" si="176"/>
        <v>46752</v>
      </c>
      <c r="D621" s="120">
        <f t="shared" si="177"/>
        <v>31</v>
      </c>
      <c r="E621" s="120">
        <f t="shared" si="178"/>
        <v>12</v>
      </c>
      <c r="F621" s="275">
        <f t="shared" si="179"/>
        <v>46737.5</v>
      </c>
      <c r="G621" s="120">
        <f t="shared" si="180"/>
        <v>24335</v>
      </c>
      <c r="H621" s="245">
        <f t="shared" si="181"/>
        <v>1</v>
      </c>
      <c r="I621" s="121">
        <f t="shared" si="182"/>
        <v>1.0649999999999999</v>
      </c>
      <c r="J621" s="121">
        <f t="shared" si="183"/>
        <v>1.0649999999999999</v>
      </c>
      <c r="K621" s="120">
        <f t="shared" si="184"/>
        <v>0</v>
      </c>
      <c r="L621" s="120">
        <f t="shared" si="185"/>
        <v>0</v>
      </c>
      <c r="M621" s="246">
        <f t="shared" si="186"/>
        <v>0</v>
      </c>
      <c r="N621" s="121">
        <f t="shared" si="187"/>
        <v>1.0649999999999999</v>
      </c>
      <c r="O621" s="246">
        <f t="shared" si="188"/>
        <v>0.9196608315098469</v>
      </c>
      <c r="P621" s="121">
        <f t="shared" si="189"/>
        <v>0</v>
      </c>
      <c r="Q621" s="121">
        <f t="shared" si="190"/>
        <v>8.3333333333333329E-2</v>
      </c>
      <c r="R621" s="121">
        <f t="shared" si="191"/>
        <v>0.91666666666666663</v>
      </c>
      <c r="W621" s="160">
        <f t="shared" si="194"/>
        <v>1.0649999999999999</v>
      </c>
      <c r="X621" s="160">
        <f t="shared" si="195"/>
        <v>1.0649999999999999</v>
      </c>
      <c r="Y621" s="160">
        <f t="shared" si="196"/>
        <v>1.0087606658106016</v>
      </c>
      <c r="AB621" s="160">
        <f t="shared" si="197"/>
        <v>0.96608315098468267</v>
      </c>
      <c r="AC621" s="220">
        <f t="shared" si="198"/>
        <v>3.0864332603938772E-2</v>
      </c>
      <c r="AD621" s="160">
        <f t="shared" si="199"/>
        <v>1.0968833631355983</v>
      </c>
      <c r="AE621" s="160">
        <f t="shared" si="192"/>
        <v>1.0646073756065073</v>
      </c>
      <c r="AF621" s="220">
        <f t="shared" si="200"/>
        <v>1</v>
      </c>
      <c r="AG621" s="183" t="str">
        <f t="shared" si="201"/>
        <v/>
      </c>
      <c r="AH621" s="183" t="str">
        <f t="shared" si="202"/>
        <v/>
      </c>
      <c r="AI621" s="220" t="str">
        <f t="shared" si="203"/>
        <v/>
      </c>
    </row>
    <row r="622" spans="1:35" x14ac:dyDescent="0.3">
      <c r="A622" s="187">
        <v>37</v>
      </c>
      <c r="B622" s="242">
        <f t="shared" si="193"/>
        <v>46753</v>
      </c>
      <c r="C622" s="243">
        <f t="shared" si="176"/>
        <v>46783</v>
      </c>
      <c r="D622" s="120">
        <f t="shared" si="177"/>
        <v>31</v>
      </c>
      <c r="E622" s="120">
        <f t="shared" si="178"/>
        <v>1</v>
      </c>
      <c r="F622" s="275">
        <f t="shared" si="179"/>
        <v>46768.5</v>
      </c>
      <c r="G622" s="120">
        <f t="shared" si="180"/>
        <v>24336</v>
      </c>
      <c r="H622" s="245">
        <f t="shared" si="181"/>
        <v>1</v>
      </c>
      <c r="I622" s="121">
        <f t="shared" si="182"/>
        <v>1.0649999999999999</v>
      </c>
      <c r="J622" s="121">
        <f t="shared" si="183"/>
        <v>1.0649999999999999</v>
      </c>
      <c r="K622" s="120">
        <f t="shared" si="184"/>
        <v>0</v>
      </c>
      <c r="L622" s="120">
        <f t="shared" si="185"/>
        <v>0</v>
      </c>
      <c r="M622" s="246">
        <f t="shared" si="186"/>
        <v>0</v>
      </c>
      <c r="N622" s="121">
        <f t="shared" si="187"/>
        <v>1.0649999999999999</v>
      </c>
      <c r="O622" s="246">
        <f t="shared" si="188"/>
        <v>0.92</v>
      </c>
      <c r="P622" s="121">
        <f t="shared" si="189"/>
        <v>0</v>
      </c>
      <c r="Q622" s="121">
        <f t="shared" si="190"/>
        <v>0</v>
      </c>
      <c r="R622" s="121">
        <f t="shared" si="191"/>
        <v>1</v>
      </c>
      <c r="AE622" s="160">
        <f t="shared" si="192"/>
        <v>1.0649999999999999</v>
      </c>
    </row>
    <row r="623" spans="1:35" x14ac:dyDescent="0.3">
      <c r="A623" s="187">
        <v>38</v>
      </c>
      <c r="B623" s="242">
        <f t="shared" si="193"/>
        <v>46784</v>
      </c>
      <c r="C623" s="243">
        <f t="shared" si="176"/>
        <v>46812</v>
      </c>
      <c r="D623" s="120">
        <f t="shared" si="177"/>
        <v>29</v>
      </c>
      <c r="E623" s="120">
        <f t="shared" si="178"/>
        <v>2</v>
      </c>
      <c r="F623" s="275">
        <f t="shared" si="179"/>
        <v>46798.5</v>
      </c>
      <c r="G623" s="120">
        <f t="shared" si="180"/>
        <v>24337</v>
      </c>
      <c r="H623" s="245">
        <f t="shared" si="181"/>
        <v>1</v>
      </c>
      <c r="I623" s="121">
        <f t="shared" si="182"/>
        <v>1.0649999999999999</v>
      </c>
      <c r="J623" s="121">
        <f t="shared" si="183"/>
        <v>1.0649999999999999</v>
      </c>
      <c r="K623" s="120">
        <f t="shared" si="184"/>
        <v>0</v>
      </c>
      <c r="L623" s="120">
        <f t="shared" si="185"/>
        <v>0</v>
      </c>
      <c r="M623" s="246">
        <f t="shared" si="186"/>
        <v>0</v>
      </c>
      <c r="N623" s="121">
        <f t="shared" si="187"/>
        <v>1.0649999999999999</v>
      </c>
      <c r="O623" s="246">
        <f t="shared" si="188"/>
        <v>0.92</v>
      </c>
      <c r="P623" s="121">
        <f t="shared" si="189"/>
        <v>0</v>
      </c>
      <c r="Q623" s="121">
        <f t="shared" si="190"/>
        <v>0</v>
      </c>
      <c r="R623" s="121">
        <f t="shared" si="191"/>
        <v>1</v>
      </c>
      <c r="AE623" s="160">
        <f t="shared" si="192"/>
        <v>1.0649999999999999</v>
      </c>
    </row>
    <row r="624" spans="1:35" x14ac:dyDescent="0.3">
      <c r="A624" s="187">
        <v>39</v>
      </c>
      <c r="B624" s="242">
        <f t="shared" si="193"/>
        <v>46813</v>
      </c>
      <c r="C624" s="243">
        <f t="shared" si="176"/>
        <v>46843</v>
      </c>
      <c r="D624" s="120">
        <f t="shared" si="177"/>
        <v>31</v>
      </c>
      <c r="E624" s="120">
        <f t="shared" si="178"/>
        <v>3</v>
      </c>
      <c r="F624" s="275">
        <f t="shared" si="179"/>
        <v>46828.5</v>
      </c>
      <c r="G624" s="120">
        <f t="shared" si="180"/>
        <v>24338</v>
      </c>
      <c r="H624" s="245">
        <f t="shared" si="181"/>
        <v>1</v>
      </c>
      <c r="I624" s="121">
        <f t="shared" si="182"/>
        <v>1.0649999999999999</v>
      </c>
      <c r="J624" s="121">
        <f t="shared" si="183"/>
        <v>1.0649999999999999</v>
      </c>
      <c r="K624" s="120">
        <f t="shared" si="184"/>
        <v>0</v>
      </c>
      <c r="L624" s="120">
        <f t="shared" si="185"/>
        <v>0</v>
      </c>
      <c r="M624" s="246">
        <f t="shared" si="186"/>
        <v>0</v>
      </c>
      <c r="N624" s="121">
        <f t="shared" si="187"/>
        <v>1.0649999999999999</v>
      </c>
      <c r="O624" s="246">
        <f t="shared" si="188"/>
        <v>0.92</v>
      </c>
      <c r="P624" s="121">
        <f t="shared" si="189"/>
        <v>0</v>
      </c>
      <c r="Q624" s="121">
        <f t="shared" si="190"/>
        <v>0</v>
      </c>
      <c r="R624" s="121">
        <f t="shared" si="191"/>
        <v>1</v>
      </c>
      <c r="AE624" s="160">
        <f t="shared" si="192"/>
        <v>1.0649999999999999</v>
      </c>
    </row>
    <row r="625" spans="1:31" x14ac:dyDescent="0.3">
      <c r="A625" s="187">
        <v>40</v>
      </c>
      <c r="B625" s="242">
        <f t="shared" si="193"/>
        <v>46844</v>
      </c>
      <c r="C625" s="243">
        <f t="shared" si="176"/>
        <v>46873</v>
      </c>
      <c r="D625" s="120">
        <f t="shared" si="177"/>
        <v>30</v>
      </c>
      <c r="E625" s="120">
        <f t="shared" si="178"/>
        <v>4</v>
      </c>
      <c r="F625" s="275">
        <f t="shared" si="179"/>
        <v>46859</v>
      </c>
      <c r="G625" s="120">
        <f t="shared" si="180"/>
        <v>24339</v>
      </c>
      <c r="H625" s="245">
        <f t="shared" si="181"/>
        <v>1</v>
      </c>
      <c r="I625" s="121">
        <f t="shared" si="182"/>
        <v>1.0649999999999999</v>
      </c>
      <c r="J625" s="121">
        <f t="shared" si="183"/>
        <v>1.0649999999999999</v>
      </c>
      <c r="K625" s="120">
        <f t="shared" si="184"/>
        <v>0</v>
      </c>
      <c r="L625" s="120">
        <f t="shared" si="185"/>
        <v>0</v>
      </c>
      <c r="M625" s="246">
        <f t="shared" si="186"/>
        <v>0</v>
      </c>
      <c r="N625" s="121">
        <f t="shared" si="187"/>
        <v>1.0649999999999999</v>
      </c>
      <c r="O625" s="246">
        <f t="shared" si="188"/>
        <v>0.92</v>
      </c>
      <c r="P625" s="121">
        <f t="shared" si="189"/>
        <v>0</v>
      </c>
      <c r="Q625" s="121">
        <f t="shared" si="190"/>
        <v>0</v>
      </c>
      <c r="R625" s="121">
        <f t="shared" si="191"/>
        <v>1</v>
      </c>
      <c r="AE625" s="160">
        <f t="shared" si="192"/>
        <v>1.0649999999999999</v>
      </c>
    </row>
    <row r="626" spans="1:31" x14ac:dyDescent="0.3">
      <c r="A626" s="187">
        <v>41</v>
      </c>
      <c r="B626" s="242">
        <f t="shared" si="193"/>
        <v>46874</v>
      </c>
      <c r="C626" s="243">
        <f t="shared" si="176"/>
        <v>46904</v>
      </c>
      <c r="D626" s="120">
        <f t="shared" si="177"/>
        <v>31</v>
      </c>
      <c r="E626" s="120">
        <f t="shared" si="178"/>
        <v>5</v>
      </c>
      <c r="F626" s="275">
        <f t="shared" si="179"/>
        <v>46889.5</v>
      </c>
      <c r="G626" s="120">
        <f t="shared" si="180"/>
        <v>24340</v>
      </c>
      <c r="H626" s="245">
        <f t="shared" si="181"/>
        <v>1</v>
      </c>
      <c r="I626" s="121">
        <f t="shared" si="182"/>
        <v>1.0649999999999999</v>
      </c>
      <c r="J626" s="121">
        <f t="shared" si="183"/>
        <v>1.0649999999999999</v>
      </c>
      <c r="K626" s="120">
        <f t="shared" si="184"/>
        <v>0</v>
      </c>
      <c r="L626" s="120">
        <f t="shared" si="185"/>
        <v>0</v>
      </c>
      <c r="M626" s="246">
        <f t="shared" si="186"/>
        <v>0</v>
      </c>
      <c r="N626" s="121">
        <f t="shared" si="187"/>
        <v>1.0649999999999999</v>
      </c>
      <c r="O626" s="246">
        <f t="shared" si="188"/>
        <v>0.92</v>
      </c>
      <c r="P626" s="121">
        <f t="shared" si="189"/>
        <v>0</v>
      </c>
      <c r="Q626" s="121">
        <f t="shared" si="190"/>
        <v>0</v>
      </c>
      <c r="R626" s="121">
        <f t="shared" si="191"/>
        <v>1</v>
      </c>
      <c r="AE626" s="160">
        <f t="shared" si="192"/>
        <v>1.0649999999999999</v>
      </c>
    </row>
    <row r="627" spans="1:31" x14ac:dyDescent="0.3">
      <c r="A627" s="187">
        <v>42</v>
      </c>
      <c r="B627" s="242">
        <f t="shared" si="193"/>
        <v>46905</v>
      </c>
      <c r="C627" s="243">
        <f t="shared" si="176"/>
        <v>46934</v>
      </c>
      <c r="D627" s="120">
        <f t="shared" si="177"/>
        <v>30</v>
      </c>
      <c r="E627" s="120">
        <f t="shared" si="178"/>
        <v>6</v>
      </c>
      <c r="F627" s="275">
        <f t="shared" si="179"/>
        <v>46920</v>
      </c>
      <c r="G627" s="120">
        <f t="shared" si="180"/>
        <v>24341</v>
      </c>
      <c r="H627" s="245">
        <f t="shared" si="181"/>
        <v>1</v>
      </c>
      <c r="I627" s="121">
        <f t="shared" si="182"/>
        <v>1.0649999999999999</v>
      </c>
      <c r="J627" s="121">
        <f t="shared" si="183"/>
        <v>1.0649999999999999</v>
      </c>
      <c r="K627" s="120">
        <f t="shared" si="184"/>
        <v>0</v>
      </c>
      <c r="L627" s="120">
        <f t="shared" si="185"/>
        <v>0</v>
      </c>
      <c r="M627" s="246">
        <f t="shared" si="186"/>
        <v>0</v>
      </c>
      <c r="N627" s="121">
        <f t="shared" si="187"/>
        <v>1.0649999999999999</v>
      </c>
      <c r="O627" s="246">
        <f t="shared" si="188"/>
        <v>0.92</v>
      </c>
      <c r="P627" s="121">
        <f t="shared" si="189"/>
        <v>0</v>
      </c>
      <c r="Q627" s="121">
        <f t="shared" si="190"/>
        <v>0</v>
      </c>
      <c r="R627" s="121">
        <f t="shared" si="191"/>
        <v>1</v>
      </c>
      <c r="AE627" s="160">
        <f t="shared" si="192"/>
        <v>1.0649999999999999</v>
      </c>
    </row>
    <row r="628" spans="1:31" x14ac:dyDescent="0.3">
      <c r="A628" s="187">
        <v>43</v>
      </c>
      <c r="B628" s="242">
        <f t="shared" si="193"/>
        <v>46935</v>
      </c>
      <c r="C628" s="243">
        <f t="shared" si="176"/>
        <v>46965</v>
      </c>
      <c r="D628" s="120">
        <f t="shared" si="177"/>
        <v>31</v>
      </c>
      <c r="E628" s="120">
        <f t="shared" si="178"/>
        <v>7</v>
      </c>
      <c r="F628" s="275">
        <f t="shared" si="179"/>
        <v>46950.5</v>
      </c>
      <c r="G628" s="120">
        <f t="shared" si="180"/>
        <v>24342</v>
      </c>
      <c r="H628" s="245">
        <f t="shared" si="181"/>
        <v>1</v>
      </c>
      <c r="I628" s="121">
        <f t="shared" si="182"/>
        <v>1.0649999999999999</v>
      </c>
      <c r="J628" s="121">
        <f t="shared" si="183"/>
        <v>1.0649999999999999</v>
      </c>
      <c r="K628" s="120">
        <f t="shared" si="184"/>
        <v>0</v>
      </c>
      <c r="L628" s="120">
        <f t="shared" si="185"/>
        <v>0</v>
      </c>
      <c r="M628" s="246">
        <f t="shared" si="186"/>
        <v>0</v>
      </c>
      <c r="N628" s="121">
        <f t="shared" si="187"/>
        <v>1.0649999999999999</v>
      </c>
      <c r="O628" s="246">
        <f t="shared" si="188"/>
        <v>0.92</v>
      </c>
      <c r="P628" s="121">
        <f t="shared" si="189"/>
        <v>0</v>
      </c>
      <c r="Q628" s="121">
        <f t="shared" si="190"/>
        <v>0</v>
      </c>
      <c r="R628" s="121">
        <f t="shared" si="191"/>
        <v>0.91666666666666663</v>
      </c>
      <c r="AE628" s="160">
        <f t="shared" si="192"/>
        <v>1.0649999999999999</v>
      </c>
    </row>
    <row r="629" spans="1:31" x14ac:dyDescent="0.3">
      <c r="A629" s="187">
        <v>44</v>
      </c>
      <c r="B629" s="242">
        <f t="shared" si="193"/>
        <v>46966</v>
      </c>
      <c r="C629" s="243">
        <f t="shared" si="176"/>
        <v>46996</v>
      </c>
      <c r="D629" s="120">
        <f t="shared" si="177"/>
        <v>31</v>
      </c>
      <c r="E629" s="120">
        <f t="shared" si="178"/>
        <v>8</v>
      </c>
      <c r="F629" s="275">
        <f t="shared" si="179"/>
        <v>46981.5</v>
      </c>
      <c r="G629" s="120">
        <f t="shared" si="180"/>
        <v>24343</v>
      </c>
      <c r="H629" s="245">
        <f t="shared" si="181"/>
        <v>1</v>
      </c>
      <c r="I629" s="121">
        <f t="shared" si="182"/>
        <v>1.0649999999999999</v>
      </c>
      <c r="J629" s="121">
        <f t="shared" si="183"/>
        <v>1.0649999999999999</v>
      </c>
      <c r="K629" s="120">
        <f t="shared" si="184"/>
        <v>0</v>
      </c>
      <c r="L629" s="120">
        <f t="shared" si="185"/>
        <v>0</v>
      </c>
      <c r="M629" s="246">
        <f t="shared" si="186"/>
        <v>0</v>
      </c>
      <c r="N629" s="121">
        <f t="shared" si="187"/>
        <v>1.0649999999999999</v>
      </c>
      <c r="O629" s="246">
        <f t="shared" si="188"/>
        <v>0.92</v>
      </c>
      <c r="P629" s="121">
        <f t="shared" si="189"/>
        <v>0</v>
      </c>
      <c r="Q629" s="121">
        <f t="shared" si="190"/>
        <v>0</v>
      </c>
      <c r="R629" s="121">
        <f t="shared" si="191"/>
        <v>0.75</v>
      </c>
      <c r="AE629" s="160">
        <f t="shared" si="192"/>
        <v>1.0649999999999999</v>
      </c>
    </row>
    <row r="630" spans="1:31" x14ac:dyDescent="0.3">
      <c r="A630" s="187">
        <v>45</v>
      </c>
      <c r="B630" s="242">
        <f t="shared" si="193"/>
        <v>46997</v>
      </c>
      <c r="C630" s="243">
        <f t="shared" si="176"/>
        <v>47026</v>
      </c>
      <c r="D630" s="120">
        <f t="shared" si="177"/>
        <v>30</v>
      </c>
      <c r="E630" s="120">
        <f t="shared" si="178"/>
        <v>9</v>
      </c>
      <c r="F630" s="275">
        <f t="shared" si="179"/>
        <v>47012</v>
      </c>
      <c r="G630" s="120">
        <f t="shared" si="180"/>
        <v>24344</v>
      </c>
      <c r="H630" s="245">
        <f t="shared" si="181"/>
        <v>1</v>
      </c>
      <c r="I630" s="121">
        <f t="shared" si="182"/>
        <v>1.0649999999999999</v>
      </c>
      <c r="J630" s="121">
        <f t="shared" si="183"/>
        <v>1.0649999999999999</v>
      </c>
      <c r="K630" s="120">
        <f t="shared" si="184"/>
        <v>0</v>
      </c>
      <c r="L630" s="120">
        <f t="shared" si="185"/>
        <v>0</v>
      </c>
      <c r="M630" s="246">
        <f t="shared" si="186"/>
        <v>0</v>
      </c>
      <c r="N630" s="121">
        <f t="shared" si="187"/>
        <v>1.0649999999999999</v>
      </c>
      <c r="O630" s="246">
        <f t="shared" si="188"/>
        <v>0.92</v>
      </c>
      <c r="P630" s="121">
        <f t="shared" si="189"/>
        <v>0</v>
      </c>
      <c r="Q630" s="121">
        <f t="shared" si="190"/>
        <v>0</v>
      </c>
      <c r="R630" s="121">
        <f t="shared" si="191"/>
        <v>0.58333333333333337</v>
      </c>
      <c r="AE630" s="160">
        <f t="shared" si="192"/>
        <v>1.0649999999999999</v>
      </c>
    </row>
    <row r="631" spans="1:31" x14ac:dyDescent="0.3">
      <c r="A631" s="187">
        <v>46</v>
      </c>
      <c r="B631" s="242">
        <f t="shared" si="193"/>
        <v>47027</v>
      </c>
      <c r="C631" s="243">
        <f t="shared" si="176"/>
        <v>47057</v>
      </c>
      <c r="D631" s="120">
        <f t="shared" si="177"/>
        <v>31</v>
      </c>
      <c r="E631" s="120">
        <f t="shared" si="178"/>
        <v>10</v>
      </c>
      <c r="F631" s="275">
        <f t="shared" si="179"/>
        <v>47042.5</v>
      </c>
      <c r="G631" s="120">
        <f t="shared" si="180"/>
        <v>24345</v>
      </c>
      <c r="H631" s="245">
        <f t="shared" si="181"/>
        <v>1</v>
      </c>
      <c r="I631" s="121">
        <f t="shared" si="182"/>
        <v>1.0649999999999999</v>
      </c>
      <c r="J631" s="121">
        <f t="shared" si="183"/>
        <v>1.0649999999999999</v>
      </c>
      <c r="K631" s="120">
        <f t="shared" si="184"/>
        <v>0</v>
      </c>
      <c r="L631" s="120">
        <f t="shared" si="185"/>
        <v>0</v>
      </c>
      <c r="M631" s="246">
        <f t="shared" si="186"/>
        <v>0</v>
      </c>
      <c r="N631" s="121">
        <f t="shared" si="187"/>
        <v>1.0649999999999999</v>
      </c>
      <c r="O631" s="246">
        <f t="shared" si="188"/>
        <v>0.92</v>
      </c>
      <c r="P631" s="121">
        <f t="shared" si="189"/>
        <v>0</v>
      </c>
      <c r="Q631" s="121">
        <f t="shared" si="190"/>
        <v>0</v>
      </c>
      <c r="R631" s="121">
        <f t="shared" si="191"/>
        <v>0.41666666666666669</v>
      </c>
      <c r="AE631" s="160">
        <f t="shared" si="192"/>
        <v>1.0649999999999999</v>
      </c>
    </row>
    <row r="632" spans="1:31" x14ac:dyDescent="0.3">
      <c r="A632" s="187">
        <v>47</v>
      </c>
      <c r="B632" s="242">
        <f t="shared" si="193"/>
        <v>47058</v>
      </c>
      <c r="C632" s="243">
        <f t="shared" si="176"/>
        <v>47087</v>
      </c>
      <c r="D632" s="120">
        <f t="shared" si="177"/>
        <v>30</v>
      </c>
      <c r="E632" s="120">
        <f t="shared" si="178"/>
        <v>11</v>
      </c>
      <c r="F632" s="275">
        <f t="shared" si="179"/>
        <v>47073</v>
      </c>
      <c r="G632" s="120">
        <f t="shared" si="180"/>
        <v>24346</v>
      </c>
      <c r="H632" s="245">
        <f t="shared" si="181"/>
        <v>1</v>
      </c>
      <c r="I632" s="121">
        <f t="shared" si="182"/>
        <v>1.0649999999999999</v>
      </c>
      <c r="J632" s="121">
        <f t="shared" si="183"/>
        <v>1.0649999999999999</v>
      </c>
      <c r="K632" s="120">
        <f t="shared" si="184"/>
        <v>0</v>
      </c>
      <c r="L632" s="120">
        <f t="shared" si="185"/>
        <v>0</v>
      </c>
      <c r="M632" s="246">
        <f t="shared" si="186"/>
        <v>0</v>
      </c>
      <c r="N632" s="121">
        <f t="shared" si="187"/>
        <v>1.0649999999999999</v>
      </c>
      <c r="O632" s="246">
        <f t="shared" si="188"/>
        <v>0.92</v>
      </c>
      <c r="P632" s="121">
        <f t="shared" si="189"/>
        <v>0</v>
      </c>
      <c r="Q632" s="121">
        <f t="shared" si="190"/>
        <v>0</v>
      </c>
      <c r="R632" s="121">
        <f t="shared" si="191"/>
        <v>0.25</v>
      </c>
      <c r="AE632" s="160">
        <f t="shared" si="192"/>
        <v>1.0649999999999999</v>
      </c>
    </row>
    <row r="633" spans="1:31" x14ac:dyDescent="0.3">
      <c r="A633" s="187">
        <v>48</v>
      </c>
      <c r="B633" s="242">
        <f t="shared" si="193"/>
        <v>47088</v>
      </c>
      <c r="C633" s="243">
        <f t="shared" si="176"/>
        <v>47118</v>
      </c>
      <c r="D633" s="120">
        <f t="shared" si="177"/>
        <v>31</v>
      </c>
      <c r="E633" s="120">
        <f t="shared" si="178"/>
        <v>12</v>
      </c>
      <c r="F633" s="275">
        <f t="shared" si="179"/>
        <v>47103.5</v>
      </c>
      <c r="G633" s="120">
        <f t="shared" si="180"/>
        <v>24347</v>
      </c>
      <c r="H633" s="245">
        <f t="shared" si="181"/>
        <v>1</v>
      </c>
      <c r="I633" s="121">
        <f t="shared" si="182"/>
        <v>1.0649999999999999</v>
      </c>
      <c r="J633" s="121">
        <f t="shared" si="183"/>
        <v>1.0649999999999999</v>
      </c>
      <c r="K633" s="120">
        <f t="shared" si="184"/>
        <v>0</v>
      </c>
      <c r="L633" s="120">
        <f t="shared" si="185"/>
        <v>0</v>
      </c>
      <c r="M633" s="246">
        <f t="shared" si="186"/>
        <v>0</v>
      </c>
      <c r="N633" s="121">
        <f t="shared" si="187"/>
        <v>1.0649999999999999</v>
      </c>
      <c r="O633" s="246">
        <f t="shared" si="188"/>
        <v>0.92</v>
      </c>
      <c r="P633" s="121">
        <f t="shared" si="189"/>
        <v>0</v>
      </c>
      <c r="Q633" s="121">
        <f t="shared" si="190"/>
        <v>0</v>
      </c>
      <c r="R633" s="121">
        <f t="shared" si="191"/>
        <v>8.3333333333333329E-2</v>
      </c>
      <c r="AE633" s="160">
        <f t="shared" si="192"/>
        <v>1.0649999999999999</v>
      </c>
    </row>
    <row r="634" spans="1:31" x14ac:dyDescent="0.3">
      <c r="A634" s="23" t="s">
        <v>1723</v>
      </c>
      <c r="B634" s="279">
        <f>SUM($H$610:$H$621)</f>
        <v>12</v>
      </c>
      <c r="C634" s="160">
        <f>SUMPRODUCT($H$610:$H$621,$W$610:$W$621/$N$598:$N$609,$Y$610:$Y$621)</f>
        <v>12.498991819924072</v>
      </c>
      <c r="D634" s="160">
        <f>SUMPRODUCT($H$610:$H$621,$X$610:$X$621/$N$598:$N$609,$Y$610:$Y$621)</f>
        <v>9.2757954081267009</v>
      </c>
      <c r="E634" s="281" t="str">
        <f>IF(OR($D$583=0,$P$583=0,$D634=0),"n/a",((1+$E$583)*$B634-$C634)/$D634)</f>
        <v>n/a</v>
      </c>
      <c r="F634" s="281" t="str">
        <f>IF($V$583&lt;&gt;"",$V$583,$E634)</f>
        <v>n/a</v>
      </c>
      <c r="G634" s="281" t="str">
        <f>IF(OR(NOT(ISNUMBER($F634)),nd_Ach=0),"n/a",$F634/nd_Ach)</f>
        <v>n/a</v>
      </c>
      <c r="H634" s="220" t="str">
        <f>IF(OR(NOT(ISNUMBER($F634)),$F$583=0,SUMPRODUCT($AD$610:$AD$621,$AB$610:$AB$621)=0),"n/a",((1+$E$583)*$B634-SUMPRODUCT($AD$610:$AD$621,$AC$610:$AC$621))/SUMPRODUCT($AD$610:$AD$621,$AB$610:$AB$621))</f>
        <v>n/a</v>
      </c>
      <c r="I634" s="183" t="str">
        <f>IF(NOT(ISNUMBER($F634)),"n/a",SUMPRODUCT($H$610:$H$621,($W$610:$W$621+$X$610:$X$621*$F634)/$N$598:$N$609)/$B634-1)</f>
        <v>n/a</v>
      </c>
      <c r="J634" s="183" t="str">
        <f>IF(OR(NOT(ISNUMBER($I634)),$F$583=0),"n/a",(1+$E$583)/(1+$I634)-1)</f>
        <v>n/a</v>
      </c>
      <c r="K634" s="183" t="str">
        <f>IF(NOT(ISNUMBER($F634)),"n/a",($C634+$D634*$F634)/$B634-1)</f>
        <v>n/a</v>
      </c>
      <c r="L634" s="229" t="str">
        <f>IF(NOT(ISNUMBER($F634)),"n/a",SUMPRODUCT($H$610:$H$621,$AF$610:$AF$621)/$B634)</f>
        <v>n/a</v>
      </c>
      <c r="M634" s="23" t="str">
        <f>IF($D$583=0,"",TRIM(IF(AND(ISNUMBER($H634),OR($H634&lt;0.5,$H634&gt;1.5)),"MOD-BOUND ","")&amp;IF(AND(ISNUMBER($F634),ABS($F634)&gt;nr_SolvMaxRate),"RATE-BOUND ","")&amp;IF(AND(ISNUMBER($L634),$L634&lt;nr_SolvMinShare),"THIN-SHARE ","")&amp;IF($W$583&gt;1,"MULTI-PLANNED ","")&amp;IF($F$583=0,"RATE-ONLY","")))</f>
        <v/>
      </c>
      <c r="N634" s="229" t="str">
        <f>IF(OR($D$583=0,NOT(ISNUMBER($F634))),"n/a",INDEX(calc_lrcur,$C$583)*INDEX(calc_crl,$C$583)/(SUMPRODUCT($H$586:$H$633,$Q$586:$Q$633,$AE$586:$AE$633)/SUMPRODUCT($H$586:$H$633,$Q$586:$Q$633))*INDEX(calc_aother,$C$583))</f>
        <v>n/a</v>
      </c>
      <c r="O634" s="229" t="str">
        <f>IF($D$583=0,"n/a",INDEX(calc_cylr_p,$C$583))</f>
        <v>n/a</v>
      </c>
      <c r="P634" s="282">
        <f>IF(NOT(ISNUMBER($E634)),0,ABS(($C634+$D634*$E634)/$B634-(1+$E$583)))</f>
        <v>0</v>
      </c>
    </row>
    <row r="639" spans="1:31" x14ac:dyDescent="0.3">
      <c r="A639" s="23" t="str">
        <f>_lists!$B$10</f>
        <v>IN</v>
      </c>
      <c r="B639" s="23" t="str">
        <f>IF(OR($A639="",nd_BU="All"),"",nd_BU&amp;"|"&amp;$A639)</f>
        <v>SBA|IN</v>
      </c>
      <c r="C639" s="43">
        <f>IF($B639="",0,IF(COUNTIF(lr_key,$B639)=0,0,MATCH($B639,lr_key,0)))</f>
        <v>50</v>
      </c>
      <c r="D639" s="43">
        <f>IF($C639=0,0,IF(ISBLANK(INDEX(lr_netp,$C639)),0,1))</f>
        <v>0</v>
      </c>
      <c r="E639" s="229">
        <f>IF($D639=0,0,N(INDEX(lr_netp,$C639)))</f>
        <v>0</v>
      </c>
      <c r="F639" s="43">
        <f>IF($C639=0,0,IF(AND(nr_ModAdjMaster="ON",INDEX(lr_modadj,$C639)="ON"),1,0))</f>
        <v>1</v>
      </c>
      <c r="G639" s="220">
        <f>IF($C639=0,1,IF(N(INDEX(lr_mind,$C639))=0,1,INDEX(lr_mind,$C639)))</f>
        <v>0.92</v>
      </c>
      <c r="H639" s="220">
        <f>IF($C639=0,1,IF(N(INDEX(lr_m0,$C639))=0,1,INDEX(lr_m0,$C639)))</f>
        <v>0.91</v>
      </c>
      <c r="I639" s="278">
        <f>IF($C639=0,DATE(nr_PlanYear-1,10,1),IF(N(INDEX(lr_m0asof,$C639))=0,DATE(nr_PlanYear-1,10,1),INDEX(lr_m0asof,$C639)))</f>
        <v>46295</v>
      </c>
      <c r="J639" s="220">
        <f>IF($C639=0,1,IF(N(INDEX(lr_m1,$C639))=0,1,INDEX(lr_m1,$C639)))</f>
        <v>0.9</v>
      </c>
      <c r="K639" s="220">
        <f>IF($C639=0,0,N(INDEX(lr_mprior,$C639)))</f>
        <v>0</v>
      </c>
      <c r="L639" s="220">
        <f>IF($C639=0,0,N(INDEX(lr_m2,$C639)))</f>
        <v>0</v>
      </c>
      <c r="M639" s="43">
        <f>IF(OR($A639="",COUNTIF(se_state,$A639)=0),0,MATCH($A639,se_state,0))</f>
        <v>2</v>
      </c>
      <c r="N639" s="279">
        <f>IF($M639=0,0,INDEX(se_sum,$M639))</f>
        <v>11.999999999999998</v>
      </c>
      <c r="O639" s="278">
        <f>IF('Net Delivery'!$D$16="",$X639,'Net Delivery'!$D$16)</f>
        <v>46661</v>
      </c>
      <c r="P639" s="43">
        <f>IF(AND($O639&gt;=DATE(nr_PlanYear,1,1),$O639&lt;=DATE(nr_PlanYear,12,31)),1,0)</f>
        <v>1</v>
      </c>
      <c r="Q639" s="43">
        <f>YEAR($O639)*12+MONTH($O639)-1</f>
        <v>24333</v>
      </c>
      <c r="R639" s="43">
        <f>DAY(EOMONTH($O639,0))</f>
        <v>31</v>
      </c>
      <c r="S639" s="43">
        <f>EOMONTH($O639,0)-$O639+1</f>
        <v>31</v>
      </c>
      <c r="T639" s="43">
        <f>SUMIFS(ndl_days,rl_key,$B639,ndl_effmonth,DATE(YEAR($O639),MONTH($O639),1),ndl_first,1)</f>
        <v>0</v>
      </c>
      <c r="U639" s="220">
        <f>IF($P639=1,MIN(1,MAX($S639,$T639)/$R639),1)</f>
        <v>1</v>
      </c>
      <c r="V639" s="280">
        <f>IF(ISBLANK('Net Delivery'!$E$16),$Y639,'Net Delivery'!$E$16)</f>
        <v>0.04</v>
      </c>
      <c r="W639" s="43">
        <f>IF($B639="",0,COUNTIFS(rl_key,$B639,rl_status,"planned",rl_eff,"&gt;="&amp;DATE(nr_PlanYear,1,1),rl_eff,"&lt;="&amp;DATE(nr_PlanYear,12,31)))</f>
        <v>1</v>
      </c>
      <c r="X639" s="278">
        <f>IF($W639=0,nd_DefaultDate,SUMIFS(rl_eff,rl_key,$B639,rl_firstplanned,1))</f>
        <v>46661</v>
      </c>
      <c r="Y639" s="280">
        <f>IF($W639=0,"",SUMIFS(rl_reff,rl_key,$B639,rl_firstplanned,1))</f>
        <v>0.04</v>
      </c>
      <c r="Z639" s="280">
        <f>IF($W639=0,"",SUMIFS(rl_filed,rl_key,$B639,rl_firstplanned,1))</f>
        <v>0.04</v>
      </c>
    </row>
    <row r="640" spans="1:31" x14ac:dyDescent="0.3">
      <c r="A640" s="6">
        <f>EDATE($I$639,-12)+1</f>
        <v>45931</v>
      </c>
      <c r="B640" s="6">
        <f>$I$639+1</f>
        <v>46296</v>
      </c>
      <c r="C640" s="6">
        <f>DATE(nr_PlanYear,12,31)+1</f>
        <v>46753</v>
      </c>
      <c r="D640" s="6">
        <f>DATE(nr_PlanYear+1,12,31)+1</f>
        <v>47119</v>
      </c>
      <c r="E640" s="6">
        <f>IF(N($K$639)=0,$F$640-($G$640-$F$640)/($C$640-$B$640)*($B$640-$A$640),$K$639)</f>
        <v>0.91798687089715536</v>
      </c>
      <c r="F640" s="6">
        <f>$H$639</f>
        <v>0.91</v>
      </c>
      <c r="G640" s="6">
        <f>$J$639</f>
        <v>0.9</v>
      </c>
      <c r="H640" s="6">
        <f>IF(N($L$639)=0,$J$639,$L$639)</f>
        <v>0.9</v>
      </c>
      <c r="I640" s="6">
        <f>($F$640-$E$640)/($B$640-$A$640)</f>
        <v>-2.1881838074398162E-5</v>
      </c>
      <c r="J640" s="6">
        <f>($G$640-$F$640)/($C$640-$B$640)</f>
        <v>-2.188183807439827E-5</v>
      </c>
      <c r="K640" s="6">
        <f>($H$640-$G$640)/($D$640-$C$640)</f>
        <v>0</v>
      </c>
    </row>
    <row r="641" spans="1:31" ht="36" x14ac:dyDescent="0.3">
      <c r="A641" s="58" t="s">
        <v>390</v>
      </c>
      <c r="B641" s="58" t="s">
        <v>449</v>
      </c>
      <c r="C641" s="58" t="s">
        <v>685</v>
      </c>
      <c r="D641" s="58" t="s">
        <v>686</v>
      </c>
      <c r="E641" s="58" t="s">
        <v>687</v>
      </c>
      <c r="F641" s="58" t="s">
        <v>688</v>
      </c>
      <c r="G641" s="58" t="s">
        <v>689</v>
      </c>
      <c r="H641" s="58" t="s">
        <v>452</v>
      </c>
      <c r="I641" s="58" t="s">
        <v>690</v>
      </c>
      <c r="J641" s="58" t="s">
        <v>691</v>
      </c>
      <c r="K641" s="58" t="s">
        <v>692</v>
      </c>
      <c r="L641" s="58" t="s">
        <v>693</v>
      </c>
      <c r="M641" s="58" t="s">
        <v>694</v>
      </c>
      <c r="N641" s="58" t="s">
        <v>695</v>
      </c>
      <c r="O641" s="58" t="s">
        <v>696</v>
      </c>
      <c r="P641" s="58" t="s">
        <v>697</v>
      </c>
      <c r="Q641" s="58" t="s">
        <v>698</v>
      </c>
      <c r="R641" s="58" t="s">
        <v>699</v>
      </c>
      <c r="S641" s="58" t="s">
        <v>700</v>
      </c>
      <c r="T641" s="58" t="s">
        <v>701</v>
      </c>
      <c r="U641" s="58" t="s">
        <v>702</v>
      </c>
    </row>
    <row r="642" spans="1:31" x14ac:dyDescent="0.3">
      <c r="A642" s="187">
        <v>1</v>
      </c>
      <c r="B642" s="242">
        <f>DATE(nr_PlanYear-2,1,1)</f>
        <v>45658</v>
      </c>
      <c r="C642" s="243">
        <f t="shared" ref="C642:C689" si="204">EOMONTH($B642,0)</f>
        <v>45688</v>
      </c>
      <c r="D642" s="120">
        <f t="shared" ref="D642:D689" si="205">$C642-$B642+1</f>
        <v>31</v>
      </c>
      <c r="E642" s="120">
        <f t="shared" ref="E642:E689" si="206">MONTH($B642)</f>
        <v>1</v>
      </c>
      <c r="F642" s="275">
        <f t="shared" ref="F642:F689" si="207">($B642+$C642+1)/2</f>
        <v>45673.5</v>
      </c>
      <c r="G642" s="120">
        <f t="shared" ref="G642:G689" si="208">YEAR($B642)*12+MONTH($B642)-1</f>
        <v>24300</v>
      </c>
      <c r="H642" s="245">
        <f t="shared" ref="H642:H689" si="209">IF(OR(nr_SeasonOn="OFF",$M$639=0,$N$639=0),1,12*INDEX(se_block,$M$639,$E642)/$N$639)</f>
        <v>1</v>
      </c>
      <c r="I642" s="121">
        <f t="shared" ref="I642:I689" si="210">EXP(SUMPRODUCT((ndl_eff&lt;$B642)*(rl_key=$B$639)*ndl_ln))</f>
        <v>1</v>
      </c>
      <c r="J642" s="121">
        <f t="shared" ref="J642:J689" si="211">EXP(SUMPRODUCT((ndl_eff&lt;=$C642)*(rl_key=$B$639)*ndl_ln))</f>
        <v>1</v>
      </c>
      <c r="K642" s="120">
        <f t="shared" ref="K642:K689" si="212">COUNTIFS(rl_key,$B$639,ndl_eff,"&gt;="&amp;$B642,ndl_eff,"&lt;="&amp;$C642)</f>
        <v>0</v>
      </c>
      <c r="L642" s="120">
        <f t="shared" ref="L642:L689" si="213">SUMIFS(ndl_days,rl_key,$B$639,ndl_effmonth,$B642,ndl_first,1)</f>
        <v>0</v>
      </c>
      <c r="M642" s="246">
        <f t="shared" ref="M642:M689" si="214">IF($K642=0,0,MIN(1,$L642/$D642))</f>
        <v>0</v>
      </c>
      <c r="N642" s="121">
        <f t="shared" ref="N642:N689" si="215">IF($K642=0,$J642,(1-$M642)*$I642+$M642*$J642)</f>
        <v>1</v>
      </c>
      <c r="O642" s="246">
        <f t="shared" ref="O642:O689" si="216">IF($F642&lt;$B$640,$E$640+$I$640*($F642-$A$640),IF($F642&lt;$C$640,$F$640+$J$640*($F642-$B$640),$G$640+$K$640*($F642-$C$640)))</f>
        <v>0.92362144420131287</v>
      </c>
      <c r="P642" s="121">
        <f t="shared" ref="P642:P689" si="217">MIN(1,MAX(0,(nr_MEndPm1-$G642+0.5)/nr_TermMonths))-MIN(1,MAX(0,(nr_MStartPm1-1-$G642+0.5)/nr_TermMonths))</f>
        <v>0</v>
      </c>
      <c r="Q642" s="121">
        <f t="shared" ref="Q642:Q689" si="218">MIN(1,MAX(0,(nr_MEndP-$G642+0.5)/nr_TermMonths))-MIN(1,MAX(0,(nr_MStartP-1-$G642+0.5)/nr_TermMonths))</f>
        <v>0</v>
      </c>
      <c r="R642" s="121">
        <f t="shared" ref="R642:R689" si="219">MIN(1,MAX(0,(nr_MEndP1-$G642+0.5)/nr_TermMonths))-MIN(1,MAX(0,(nr_MStartP1-1-$G642+0.5)/nr_TermMonths))</f>
        <v>0</v>
      </c>
      <c r="AE642" s="160">
        <f t="shared" ref="AE642:AE689" si="220">IF(OR($G642&lt;nr_MStartP,$G642&gt;=nr_MStartP1),IF($F$639=1,$N642*$O642/$G$639,$N642),($W642+$X642*IF(ISNUMBER($F$690),$F$690,0))*IF($F$639=1,($AC642+$AB642*IF(ISNUMBER($H$690),$H$690,$J$639))/$G$639,1))</f>
        <v>1.0039363523927314</v>
      </c>
    </row>
    <row r="643" spans="1:31" x14ac:dyDescent="0.3">
      <c r="A643" s="187">
        <v>2</v>
      </c>
      <c r="B643" s="242">
        <f t="shared" ref="B643:B689" si="221">EDATE($B642,1)</f>
        <v>45689</v>
      </c>
      <c r="C643" s="243">
        <f t="shared" si="204"/>
        <v>45716</v>
      </c>
      <c r="D643" s="120">
        <f t="shared" si="205"/>
        <v>28</v>
      </c>
      <c r="E643" s="120">
        <f t="shared" si="206"/>
        <v>2</v>
      </c>
      <c r="F643" s="275">
        <f t="shared" si="207"/>
        <v>45703</v>
      </c>
      <c r="G643" s="120">
        <f t="shared" si="208"/>
        <v>24301</v>
      </c>
      <c r="H643" s="245">
        <f t="shared" si="209"/>
        <v>1</v>
      </c>
      <c r="I643" s="121">
        <f t="shared" si="210"/>
        <v>1</v>
      </c>
      <c r="J643" s="121">
        <f t="shared" si="211"/>
        <v>1</v>
      </c>
      <c r="K643" s="120">
        <f t="shared" si="212"/>
        <v>0</v>
      </c>
      <c r="L643" s="120">
        <f t="shared" si="213"/>
        <v>0</v>
      </c>
      <c r="M643" s="246">
        <f t="shared" si="214"/>
        <v>0</v>
      </c>
      <c r="N643" s="121">
        <f t="shared" si="215"/>
        <v>1</v>
      </c>
      <c r="O643" s="246">
        <f t="shared" si="216"/>
        <v>0.92297592997811817</v>
      </c>
      <c r="P643" s="121">
        <f t="shared" si="217"/>
        <v>0</v>
      </c>
      <c r="Q643" s="121">
        <f t="shared" si="218"/>
        <v>0</v>
      </c>
      <c r="R643" s="121">
        <f t="shared" si="219"/>
        <v>0</v>
      </c>
      <c r="AE643" s="160">
        <f t="shared" si="220"/>
        <v>1.0032347064979545</v>
      </c>
    </row>
    <row r="644" spans="1:31" x14ac:dyDescent="0.3">
      <c r="A644" s="187">
        <v>3</v>
      </c>
      <c r="B644" s="242">
        <f t="shared" si="221"/>
        <v>45717</v>
      </c>
      <c r="C644" s="243">
        <f t="shared" si="204"/>
        <v>45747</v>
      </c>
      <c r="D644" s="120">
        <f t="shared" si="205"/>
        <v>31</v>
      </c>
      <c r="E644" s="120">
        <f t="shared" si="206"/>
        <v>3</v>
      </c>
      <c r="F644" s="275">
        <f t="shared" si="207"/>
        <v>45732.5</v>
      </c>
      <c r="G644" s="120">
        <f t="shared" si="208"/>
        <v>24302</v>
      </c>
      <c r="H644" s="245">
        <f t="shared" si="209"/>
        <v>1</v>
      </c>
      <c r="I644" s="121">
        <f t="shared" si="210"/>
        <v>1</v>
      </c>
      <c r="J644" s="121">
        <f t="shared" si="211"/>
        <v>1</v>
      </c>
      <c r="K644" s="120">
        <f t="shared" si="212"/>
        <v>0</v>
      </c>
      <c r="L644" s="120">
        <f t="shared" si="213"/>
        <v>0</v>
      </c>
      <c r="M644" s="246">
        <f t="shared" si="214"/>
        <v>0</v>
      </c>
      <c r="N644" s="121">
        <f t="shared" si="215"/>
        <v>1</v>
      </c>
      <c r="O644" s="246">
        <f t="shared" si="216"/>
        <v>0.92233041575492336</v>
      </c>
      <c r="P644" s="121">
        <f t="shared" si="217"/>
        <v>0</v>
      </c>
      <c r="Q644" s="121">
        <f t="shared" si="218"/>
        <v>0</v>
      </c>
      <c r="R644" s="121">
        <f t="shared" si="219"/>
        <v>0</v>
      </c>
      <c r="AE644" s="160">
        <f t="shared" si="220"/>
        <v>1.0025330606031775</v>
      </c>
    </row>
    <row r="645" spans="1:31" x14ac:dyDescent="0.3">
      <c r="A645" s="187">
        <v>4</v>
      </c>
      <c r="B645" s="242">
        <f t="shared" si="221"/>
        <v>45748</v>
      </c>
      <c r="C645" s="243">
        <f t="shared" si="204"/>
        <v>45777</v>
      </c>
      <c r="D645" s="120">
        <f t="shared" si="205"/>
        <v>30</v>
      </c>
      <c r="E645" s="120">
        <f t="shared" si="206"/>
        <v>4</v>
      </c>
      <c r="F645" s="275">
        <f t="shared" si="207"/>
        <v>45763</v>
      </c>
      <c r="G645" s="120">
        <f t="shared" si="208"/>
        <v>24303</v>
      </c>
      <c r="H645" s="245">
        <f t="shared" si="209"/>
        <v>1</v>
      </c>
      <c r="I645" s="121">
        <f t="shared" si="210"/>
        <v>1</v>
      </c>
      <c r="J645" s="121">
        <f t="shared" si="211"/>
        <v>1</v>
      </c>
      <c r="K645" s="120">
        <f t="shared" si="212"/>
        <v>0</v>
      </c>
      <c r="L645" s="120">
        <f t="shared" si="213"/>
        <v>0</v>
      </c>
      <c r="M645" s="246">
        <f t="shared" si="214"/>
        <v>0</v>
      </c>
      <c r="N645" s="121">
        <f t="shared" si="215"/>
        <v>1</v>
      </c>
      <c r="O645" s="246">
        <f t="shared" si="216"/>
        <v>0.92166301969365427</v>
      </c>
      <c r="P645" s="121">
        <f t="shared" si="217"/>
        <v>0</v>
      </c>
      <c r="Q645" s="121">
        <f t="shared" si="218"/>
        <v>0</v>
      </c>
      <c r="R645" s="121">
        <f t="shared" si="219"/>
        <v>0</v>
      </c>
      <c r="AE645" s="160">
        <f t="shared" si="220"/>
        <v>1.0018076301017982</v>
      </c>
    </row>
    <row r="646" spans="1:31" x14ac:dyDescent="0.3">
      <c r="A646" s="187">
        <v>5</v>
      </c>
      <c r="B646" s="242">
        <f t="shared" si="221"/>
        <v>45778</v>
      </c>
      <c r="C646" s="243">
        <f t="shared" si="204"/>
        <v>45808</v>
      </c>
      <c r="D646" s="120">
        <f t="shared" si="205"/>
        <v>31</v>
      </c>
      <c r="E646" s="120">
        <f t="shared" si="206"/>
        <v>5</v>
      </c>
      <c r="F646" s="275">
        <f t="shared" si="207"/>
        <v>45793.5</v>
      </c>
      <c r="G646" s="120">
        <f t="shared" si="208"/>
        <v>24304</v>
      </c>
      <c r="H646" s="245">
        <f t="shared" si="209"/>
        <v>1</v>
      </c>
      <c r="I646" s="121">
        <f t="shared" si="210"/>
        <v>1</v>
      </c>
      <c r="J646" s="121">
        <f t="shared" si="211"/>
        <v>1</v>
      </c>
      <c r="K646" s="120">
        <f t="shared" si="212"/>
        <v>0</v>
      </c>
      <c r="L646" s="120">
        <f t="shared" si="213"/>
        <v>0</v>
      </c>
      <c r="M646" s="246">
        <f t="shared" si="214"/>
        <v>0</v>
      </c>
      <c r="N646" s="121">
        <f t="shared" si="215"/>
        <v>1</v>
      </c>
      <c r="O646" s="246">
        <f t="shared" si="216"/>
        <v>0.92099562363238507</v>
      </c>
      <c r="P646" s="121">
        <f t="shared" si="217"/>
        <v>0</v>
      </c>
      <c r="Q646" s="121">
        <f t="shared" si="218"/>
        <v>0</v>
      </c>
      <c r="R646" s="121">
        <f t="shared" si="219"/>
        <v>0</v>
      </c>
      <c r="AE646" s="160">
        <f t="shared" si="220"/>
        <v>1.0010821996004184</v>
      </c>
    </row>
    <row r="647" spans="1:31" x14ac:dyDescent="0.3">
      <c r="A647" s="187">
        <v>6</v>
      </c>
      <c r="B647" s="242">
        <f t="shared" si="221"/>
        <v>45809</v>
      </c>
      <c r="C647" s="243">
        <f t="shared" si="204"/>
        <v>45838</v>
      </c>
      <c r="D647" s="120">
        <f t="shared" si="205"/>
        <v>30</v>
      </c>
      <c r="E647" s="120">
        <f t="shared" si="206"/>
        <v>6</v>
      </c>
      <c r="F647" s="275">
        <f t="shared" si="207"/>
        <v>45824</v>
      </c>
      <c r="G647" s="120">
        <f t="shared" si="208"/>
        <v>24305</v>
      </c>
      <c r="H647" s="245">
        <f t="shared" si="209"/>
        <v>1</v>
      </c>
      <c r="I647" s="121">
        <f t="shared" si="210"/>
        <v>1</v>
      </c>
      <c r="J647" s="121">
        <f t="shared" si="211"/>
        <v>1</v>
      </c>
      <c r="K647" s="120">
        <f t="shared" si="212"/>
        <v>0</v>
      </c>
      <c r="L647" s="120">
        <f t="shared" si="213"/>
        <v>0</v>
      </c>
      <c r="M647" s="246">
        <f t="shared" si="214"/>
        <v>0</v>
      </c>
      <c r="N647" s="121">
        <f t="shared" si="215"/>
        <v>1</v>
      </c>
      <c r="O647" s="246">
        <f t="shared" si="216"/>
        <v>0.92032822757111599</v>
      </c>
      <c r="P647" s="121">
        <f t="shared" si="217"/>
        <v>0</v>
      </c>
      <c r="Q647" s="121">
        <f t="shared" si="218"/>
        <v>0</v>
      </c>
      <c r="R647" s="121">
        <f t="shared" si="219"/>
        <v>0</v>
      </c>
      <c r="AE647" s="160">
        <f t="shared" si="220"/>
        <v>1.0003567690990391</v>
      </c>
    </row>
    <row r="648" spans="1:31" x14ac:dyDescent="0.3">
      <c r="A648" s="187">
        <v>7</v>
      </c>
      <c r="B648" s="242">
        <f t="shared" si="221"/>
        <v>45839</v>
      </c>
      <c r="C648" s="243">
        <f t="shared" si="204"/>
        <v>45869</v>
      </c>
      <c r="D648" s="120">
        <f t="shared" si="205"/>
        <v>31</v>
      </c>
      <c r="E648" s="120">
        <f t="shared" si="206"/>
        <v>7</v>
      </c>
      <c r="F648" s="275">
        <f t="shared" si="207"/>
        <v>45854.5</v>
      </c>
      <c r="G648" s="120">
        <f t="shared" si="208"/>
        <v>24306</v>
      </c>
      <c r="H648" s="245">
        <f t="shared" si="209"/>
        <v>1</v>
      </c>
      <c r="I648" s="121">
        <f t="shared" si="210"/>
        <v>1</v>
      </c>
      <c r="J648" s="121">
        <f t="shared" si="211"/>
        <v>1</v>
      </c>
      <c r="K648" s="120">
        <f t="shared" si="212"/>
        <v>0</v>
      </c>
      <c r="L648" s="120">
        <f t="shared" si="213"/>
        <v>0</v>
      </c>
      <c r="M648" s="246">
        <f t="shared" si="214"/>
        <v>0</v>
      </c>
      <c r="N648" s="121">
        <f t="shared" si="215"/>
        <v>1</v>
      </c>
      <c r="O648" s="246">
        <f t="shared" si="216"/>
        <v>0.91966083150984679</v>
      </c>
      <c r="P648" s="121">
        <f t="shared" si="217"/>
        <v>8.333333333333337E-2</v>
      </c>
      <c r="Q648" s="121">
        <f t="shared" si="218"/>
        <v>0</v>
      </c>
      <c r="R648" s="121">
        <f t="shared" si="219"/>
        <v>0</v>
      </c>
      <c r="AE648" s="160">
        <f t="shared" si="220"/>
        <v>0.99963133859765951</v>
      </c>
    </row>
    <row r="649" spans="1:31" x14ac:dyDescent="0.3">
      <c r="A649" s="187">
        <v>8</v>
      </c>
      <c r="B649" s="242">
        <f t="shared" si="221"/>
        <v>45870</v>
      </c>
      <c r="C649" s="243">
        <f t="shared" si="204"/>
        <v>45900</v>
      </c>
      <c r="D649" s="120">
        <f t="shared" si="205"/>
        <v>31</v>
      </c>
      <c r="E649" s="120">
        <f t="shared" si="206"/>
        <v>8</v>
      </c>
      <c r="F649" s="275">
        <f t="shared" si="207"/>
        <v>45885.5</v>
      </c>
      <c r="G649" s="120">
        <f t="shared" si="208"/>
        <v>24307</v>
      </c>
      <c r="H649" s="245">
        <f t="shared" si="209"/>
        <v>1</v>
      </c>
      <c r="I649" s="121">
        <f t="shared" si="210"/>
        <v>1</v>
      </c>
      <c r="J649" s="121">
        <f t="shared" si="211"/>
        <v>1</v>
      </c>
      <c r="K649" s="120">
        <f t="shared" si="212"/>
        <v>0</v>
      </c>
      <c r="L649" s="120">
        <f t="shared" si="213"/>
        <v>0</v>
      </c>
      <c r="M649" s="246">
        <f t="shared" si="214"/>
        <v>0</v>
      </c>
      <c r="N649" s="121">
        <f t="shared" si="215"/>
        <v>1</v>
      </c>
      <c r="O649" s="246">
        <f t="shared" si="216"/>
        <v>0.91898249452954051</v>
      </c>
      <c r="P649" s="121">
        <f t="shared" si="217"/>
        <v>0.25</v>
      </c>
      <c r="Q649" s="121">
        <f t="shared" si="218"/>
        <v>0</v>
      </c>
      <c r="R649" s="121">
        <f t="shared" si="219"/>
        <v>0</v>
      </c>
      <c r="AE649" s="160">
        <f t="shared" si="220"/>
        <v>0.99889401579297876</v>
      </c>
    </row>
    <row r="650" spans="1:31" x14ac:dyDescent="0.3">
      <c r="A650" s="187">
        <v>9</v>
      </c>
      <c r="B650" s="242">
        <f t="shared" si="221"/>
        <v>45901</v>
      </c>
      <c r="C650" s="243">
        <f t="shared" si="204"/>
        <v>45930</v>
      </c>
      <c r="D650" s="120">
        <f t="shared" si="205"/>
        <v>30</v>
      </c>
      <c r="E650" s="120">
        <f t="shared" si="206"/>
        <v>9</v>
      </c>
      <c r="F650" s="275">
        <f t="shared" si="207"/>
        <v>45916</v>
      </c>
      <c r="G650" s="120">
        <f t="shared" si="208"/>
        <v>24308</v>
      </c>
      <c r="H650" s="245">
        <f t="shared" si="209"/>
        <v>1</v>
      </c>
      <c r="I650" s="121">
        <f t="shared" si="210"/>
        <v>1</v>
      </c>
      <c r="J650" s="121">
        <f t="shared" si="211"/>
        <v>1</v>
      </c>
      <c r="K650" s="120">
        <f t="shared" si="212"/>
        <v>0</v>
      </c>
      <c r="L650" s="120">
        <f t="shared" si="213"/>
        <v>0</v>
      </c>
      <c r="M650" s="246">
        <f t="shared" si="214"/>
        <v>0</v>
      </c>
      <c r="N650" s="121">
        <f t="shared" si="215"/>
        <v>1</v>
      </c>
      <c r="O650" s="246">
        <f t="shared" si="216"/>
        <v>0.91831509846827131</v>
      </c>
      <c r="P650" s="121">
        <f t="shared" si="217"/>
        <v>0.41666666666666663</v>
      </c>
      <c r="Q650" s="121">
        <f t="shared" si="218"/>
        <v>0</v>
      </c>
      <c r="R650" s="121">
        <f t="shared" si="219"/>
        <v>0</v>
      </c>
      <c r="AE650" s="160">
        <f t="shared" si="220"/>
        <v>0.99816858529159924</v>
      </c>
    </row>
    <row r="651" spans="1:31" x14ac:dyDescent="0.3">
      <c r="A651" s="187">
        <v>10</v>
      </c>
      <c r="B651" s="242">
        <f t="shared" si="221"/>
        <v>45931</v>
      </c>
      <c r="C651" s="243">
        <f t="shared" si="204"/>
        <v>45961</v>
      </c>
      <c r="D651" s="120">
        <f t="shared" si="205"/>
        <v>31</v>
      </c>
      <c r="E651" s="120">
        <f t="shared" si="206"/>
        <v>10</v>
      </c>
      <c r="F651" s="275">
        <f t="shared" si="207"/>
        <v>45946.5</v>
      </c>
      <c r="G651" s="120">
        <f t="shared" si="208"/>
        <v>24309</v>
      </c>
      <c r="H651" s="245">
        <f t="shared" si="209"/>
        <v>1</v>
      </c>
      <c r="I651" s="121">
        <f t="shared" si="210"/>
        <v>1</v>
      </c>
      <c r="J651" s="121">
        <f t="shared" si="211"/>
        <v>1</v>
      </c>
      <c r="K651" s="120">
        <f t="shared" si="212"/>
        <v>0</v>
      </c>
      <c r="L651" s="120">
        <f t="shared" si="213"/>
        <v>0</v>
      </c>
      <c r="M651" s="246">
        <f t="shared" si="214"/>
        <v>0</v>
      </c>
      <c r="N651" s="121">
        <f t="shared" si="215"/>
        <v>1</v>
      </c>
      <c r="O651" s="246">
        <f t="shared" si="216"/>
        <v>0.91764770240700222</v>
      </c>
      <c r="P651" s="121">
        <f t="shared" si="217"/>
        <v>0.58333333333333326</v>
      </c>
      <c r="Q651" s="121">
        <f t="shared" si="218"/>
        <v>0</v>
      </c>
      <c r="R651" s="121">
        <f t="shared" si="219"/>
        <v>0</v>
      </c>
      <c r="AE651" s="160">
        <f t="shared" si="220"/>
        <v>0.99744315479021972</v>
      </c>
    </row>
    <row r="652" spans="1:31" x14ac:dyDescent="0.3">
      <c r="A652" s="187">
        <v>11</v>
      </c>
      <c r="B652" s="242">
        <f t="shared" si="221"/>
        <v>45962</v>
      </c>
      <c r="C652" s="243">
        <f t="shared" si="204"/>
        <v>45991</v>
      </c>
      <c r="D652" s="120">
        <f t="shared" si="205"/>
        <v>30</v>
      </c>
      <c r="E652" s="120">
        <f t="shared" si="206"/>
        <v>11</v>
      </c>
      <c r="F652" s="275">
        <f t="shared" si="207"/>
        <v>45977</v>
      </c>
      <c r="G652" s="120">
        <f t="shared" si="208"/>
        <v>24310</v>
      </c>
      <c r="H652" s="245">
        <f t="shared" si="209"/>
        <v>1</v>
      </c>
      <c r="I652" s="121">
        <f t="shared" si="210"/>
        <v>1</v>
      </c>
      <c r="J652" s="121">
        <f t="shared" si="211"/>
        <v>1</v>
      </c>
      <c r="K652" s="120">
        <f t="shared" si="212"/>
        <v>0</v>
      </c>
      <c r="L652" s="120">
        <f t="shared" si="213"/>
        <v>0</v>
      </c>
      <c r="M652" s="246">
        <f t="shared" si="214"/>
        <v>0</v>
      </c>
      <c r="N652" s="121">
        <f t="shared" si="215"/>
        <v>1</v>
      </c>
      <c r="O652" s="246">
        <f t="shared" si="216"/>
        <v>0.91698030634573302</v>
      </c>
      <c r="P652" s="121">
        <f t="shared" si="217"/>
        <v>0.75</v>
      </c>
      <c r="Q652" s="121">
        <f t="shared" si="218"/>
        <v>0</v>
      </c>
      <c r="R652" s="121">
        <f t="shared" si="219"/>
        <v>0</v>
      </c>
      <c r="AE652" s="160">
        <f t="shared" si="220"/>
        <v>0.9967177242888402</v>
      </c>
    </row>
    <row r="653" spans="1:31" x14ac:dyDescent="0.3">
      <c r="A653" s="187">
        <v>12</v>
      </c>
      <c r="B653" s="242">
        <f t="shared" si="221"/>
        <v>45992</v>
      </c>
      <c r="C653" s="243">
        <f t="shared" si="204"/>
        <v>46022</v>
      </c>
      <c r="D653" s="120">
        <f t="shared" si="205"/>
        <v>31</v>
      </c>
      <c r="E653" s="120">
        <f t="shared" si="206"/>
        <v>12</v>
      </c>
      <c r="F653" s="275">
        <f t="shared" si="207"/>
        <v>46007.5</v>
      </c>
      <c r="G653" s="120">
        <f t="shared" si="208"/>
        <v>24311</v>
      </c>
      <c r="H653" s="245">
        <f t="shared" si="209"/>
        <v>1</v>
      </c>
      <c r="I653" s="121">
        <f t="shared" si="210"/>
        <v>1</v>
      </c>
      <c r="J653" s="121">
        <f t="shared" si="211"/>
        <v>1</v>
      </c>
      <c r="K653" s="120">
        <f t="shared" si="212"/>
        <v>0</v>
      </c>
      <c r="L653" s="120">
        <f t="shared" si="213"/>
        <v>0</v>
      </c>
      <c r="M653" s="246">
        <f t="shared" si="214"/>
        <v>0</v>
      </c>
      <c r="N653" s="121">
        <f t="shared" si="215"/>
        <v>1</v>
      </c>
      <c r="O653" s="246">
        <f t="shared" si="216"/>
        <v>0.91631291028446393</v>
      </c>
      <c r="P653" s="121">
        <f t="shared" si="217"/>
        <v>0.91666666666666663</v>
      </c>
      <c r="Q653" s="121">
        <f t="shared" si="218"/>
        <v>0</v>
      </c>
      <c r="R653" s="121">
        <f t="shared" si="219"/>
        <v>0</v>
      </c>
      <c r="AE653" s="160">
        <f t="shared" si="220"/>
        <v>0.99599229378746079</v>
      </c>
    </row>
    <row r="654" spans="1:31" x14ac:dyDescent="0.3">
      <c r="A654" s="187">
        <v>13</v>
      </c>
      <c r="B654" s="242">
        <f t="shared" si="221"/>
        <v>46023</v>
      </c>
      <c r="C654" s="243">
        <f t="shared" si="204"/>
        <v>46053</v>
      </c>
      <c r="D654" s="120">
        <f t="shared" si="205"/>
        <v>31</v>
      </c>
      <c r="E654" s="120">
        <f t="shared" si="206"/>
        <v>1</v>
      </c>
      <c r="F654" s="275">
        <f t="shared" si="207"/>
        <v>46038.5</v>
      </c>
      <c r="G654" s="120">
        <f t="shared" si="208"/>
        <v>24312</v>
      </c>
      <c r="H654" s="245">
        <f t="shared" si="209"/>
        <v>1</v>
      </c>
      <c r="I654" s="121">
        <f t="shared" si="210"/>
        <v>1</v>
      </c>
      <c r="J654" s="121">
        <f t="shared" si="211"/>
        <v>1</v>
      </c>
      <c r="K654" s="120">
        <f t="shared" si="212"/>
        <v>0</v>
      </c>
      <c r="L654" s="120">
        <f t="shared" si="213"/>
        <v>0</v>
      </c>
      <c r="M654" s="246">
        <f t="shared" si="214"/>
        <v>0</v>
      </c>
      <c r="N654" s="121">
        <f t="shared" si="215"/>
        <v>1</v>
      </c>
      <c r="O654" s="246">
        <f t="shared" si="216"/>
        <v>0.91563457330415754</v>
      </c>
      <c r="P654" s="121">
        <f t="shared" si="217"/>
        <v>1</v>
      </c>
      <c r="Q654" s="121">
        <f t="shared" si="218"/>
        <v>0</v>
      </c>
      <c r="R654" s="121">
        <f t="shared" si="219"/>
        <v>0</v>
      </c>
      <c r="AE654" s="160">
        <f t="shared" si="220"/>
        <v>0.99525497098277993</v>
      </c>
    </row>
    <row r="655" spans="1:31" x14ac:dyDescent="0.3">
      <c r="A655" s="187">
        <v>14</v>
      </c>
      <c r="B655" s="242">
        <f t="shared" si="221"/>
        <v>46054</v>
      </c>
      <c r="C655" s="243">
        <f t="shared" si="204"/>
        <v>46081</v>
      </c>
      <c r="D655" s="120">
        <f t="shared" si="205"/>
        <v>28</v>
      </c>
      <c r="E655" s="120">
        <f t="shared" si="206"/>
        <v>2</v>
      </c>
      <c r="F655" s="275">
        <f t="shared" si="207"/>
        <v>46068</v>
      </c>
      <c r="G655" s="120">
        <f t="shared" si="208"/>
        <v>24313</v>
      </c>
      <c r="H655" s="245">
        <f t="shared" si="209"/>
        <v>1</v>
      </c>
      <c r="I655" s="121">
        <f t="shared" si="210"/>
        <v>1</v>
      </c>
      <c r="J655" s="121">
        <f t="shared" si="211"/>
        <v>1.06</v>
      </c>
      <c r="K655" s="120">
        <f t="shared" si="212"/>
        <v>1</v>
      </c>
      <c r="L655" s="120">
        <f t="shared" si="213"/>
        <v>28</v>
      </c>
      <c r="M655" s="246">
        <f t="shared" si="214"/>
        <v>1</v>
      </c>
      <c r="N655" s="121">
        <f t="shared" si="215"/>
        <v>1.06</v>
      </c>
      <c r="O655" s="246">
        <f t="shared" si="216"/>
        <v>0.91498905908096284</v>
      </c>
      <c r="P655" s="121">
        <f t="shared" si="217"/>
        <v>1</v>
      </c>
      <c r="Q655" s="121">
        <f t="shared" si="218"/>
        <v>0</v>
      </c>
      <c r="R655" s="121">
        <f t="shared" si="219"/>
        <v>0</v>
      </c>
      <c r="AE655" s="160">
        <f t="shared" si="220"/>
        <v>1.0542265245932834</v>
      </c>
    </row>
    <row r="656" spans="1:31" x14ac:dyDescent="0.3">
      <c r="A656" s="187">
        <v>15</v>
      </c>
      <c r="B656" s="242">
        <f t="shared" si="221"/>
        <v>46082</v>
      </c>
      <c r="C656" s="243">
        <f t="shared" si="204"/>
        <v>46112</v>
      </c>
      <c r="D656" s="120">
        <f t="shared" si="205"/>
        <v>31</v>
      </c>
      <c r="E656" s="120">
        <f t="shared" si="206"/>
        <v>3</v>
      </c>
      <c r="F656" s="275">
        <f t="shared" si="207"/>
        <v>46097.5</v>
      </c>
      <c r="G656" s="120">
        <f t="shared" si="208"/>
        <v>24314</v>
      </c>
      <c r="H656" s="245">
        <f t="shared" si="209"/>
        <v>1</v>
      </c>
      <c r="I656" s="121">
        <f t="shared" si="210"/>
        <v>1.06</v>
      </c>
      <c r="J656" s="121">
        <f t="shared" si="211"/>
        <v>1.06</v>
      </c>
      <c r="K656" s="120">
        <f t="shared" si="212"/>
        <v>0</v>
      </c>
      <c r="L656" s="120">
        <f t="shared" si="213"/>
        <v>0</v>
      </c>
      <c r="M656" s="246">
        <f t="shared" si="214"/>
        <v>0</v>
      </c>
      <c r="N656" s="121">
        <f t="shared" si="215"/>
        <v>1.06</v>
      </c>
      <c r="O656" s="246">
        <f t="shared" si="216"/>
        <v>0.91434354485776803</v>
      </c>
      <c r="P656" s="121">
        <f t="shared" si="217"/>
        <v>1</v>
      </c>
      <c r="Q656" s="121">
        <f t="shared" si="218"/>
        <v>0</v>
      </c>
      <c r="R656" s="121">
        <f t="shared" si="219"/>
        <v>0</v>
      </c>
      <c r="AE656" s="160">
        <f t="shared" si="220"/>
        <v>1.0534827799448196</v>
      </c>
    </row>
    <row r="657" spans="1:35" x14ac:dyDescent="0.3">
      <c r="A657" s="187">
        <v>16</v>
      </c>
      <c r="B657" s="242">
        <f t="shared" si="221"/>
        <v>46113</v>
      </c>
      <c r="C657" s="243">
        <f t="shared" si="204"/>
        <v>46142</v>
      </c>
      <c r="D657" s="120">
        <f t="shared" si="205"/>
        <v>30</v>
      </c>
      <c r="E657" s="120">
        <f t="shared" si="206"/>
        <v>4</v>
      </c>
      <c r="F657" s="275">
        <f t="shared" si="207"/>
        <v>46128</v>
      </c>
      <c r="G657" s="120">
        <f t="shared" si="208"/>
        <v>24315</v>
      </c>
      <c r="H657" s="245">
        <f t="shared" si="209"/>
        <v>1</v>
      </c>
      <c r="I657" s="121">
        <f t="shared" si="210"/>
        <v>1.06</v>
      </c>
      <c r="J657" s="121">
        <f t="shared" si="211"/>
        <v>1.06</v>
      </c>
      <c r="K657" s="120">
        <f t="shared" si="212"/>
        <v>0</v>
      </c>
      <c r="L657" s="120">
        <f t="shared" si="213"/>
        <v>0</v>
      </c>
      <c r="M657" s="246">
        <f t="shared" si="214"/>
        <v>0</v>
      </c>
      <c r="N657" s="121">
        <f t="shared" si="215"/>
        <v>1.06</v>
      </c>
      <c r="O657" s="246">
        <f t="shared" si="216"/>
        <v>0.91367614879649894</v>
      </c>
      <c r="P657" s="121">
        <f t="shared" si="217"/>
        <v>1</v>
      </c>
      <c r="Q657" s="121">
        <f t="shared" si="218"/>
        <v>0</v>
      </c>
      <c r="R657" s="121">
        <f t="shared" si="219"/>
        <v>0</v>
      </c>
      <c r="AE657" s="160">
        <f t="shared" si="220"/>
        <v>1.0527138236133575</v>
      </c>
    </row>
    <row r="658" spans="1:35" x14ac:dyDescent="0.3">
      <c r="A658" s="187">
        <v>17</v>
      </c>
      <c r="B658" s="242">
        <f t="shared" si="221"/>
        <v>46143</v>
      </c>
      <c r="C658" s="243">
        <f t="shared" si="204"/>
        <v>46173</v>
      </c>
      <c r="D658" s="120">
        <f t="shared" si="205"/>
        <v>31</v>
      </c>
      <c r="E658" s="120">
        <f t="shared" si="206"/>
        <v>5</v>
      </c>
      <c r="F658" s="275">
        <f t="shared" si="207"/>
        <v>46158.5</v>
      </c>
      <c r="G658" s="120">
        <f t="shared" si="208"/>
        <v>24316</v>
      </c>
      <c r="H658" s="245">
        <f t="shared" si="209"/>
        <v>1</v>
      </c>
      <c r="I658" s="121">
        <f t="shared" si="210"/>
        <v>1.06</v>
      </c>
      <c r="J658" s="121">
        <f t="shared" si="211"/>
        <v>1.06</v>
      </c>
      <c r="K658" s="120">
        <f t="shared" si="212"/>
        <v>0</v>
      </c>
      <c r="L658" s="120">
        <f t="shared" si="213"/>
        <v>0</v>
      </c>
      <c r="M658" s="246">
        <f t="shared" si="214"/>
        <v>0</v>
      </c>
      <c r="N658" s="121">
        <f t="shared" si="215"/>
        <v>1.06</v>
      </c>
      <c r="O658" s="246">
        <f t="shared" si="216"/>
        <v>0.91300875273522974</v>
      </c>
      <c r="P658" s="121">
        <f t="shared" si="217"/>
        <v>1</v>
      </c>
      <c r="Q658" s="121">
        <f t="shared" si="218"/>
        <v>0</v>
      </c>
      <c r="R658" s="121">
        <f t="shared" si="219"/>
        <v>0</v>
      </c>
      <c r="AE658" s="160">
        <f t="shared" si="220"/>
        <v>1.0519448672818952</v>
      </c>
    </row>
    <row r="659" spans="1:35" x14ac:dyDescent="0.3">
      <c r="A659" s="187">
        <v>18</v>
      </c>
      <c r="B659" s="242">
        <f t="shared" si="221"/>
        <v>46174</v>
      </c>
      <c r="C659" s="243">
        <f t="shared" si="204"/>
        <v>46203</v>
      </c>
      <c r="D659" s="120">
        <f t="shared" si="205"/>
        <v>30</v>
      </c>
      <c r="E659" s="120">
        <f t="shared" si="206"/>
        <v>6</v>
      </c>
      <c r="F659" s="275">
        <f t="shared" si="207"/>
        <v>46189</v>
      </c>
      <c r="G659" s="120">
        <f t="shared" si="208"/>
        <v>24317</v>
      </c>
      <c r="H659" s="245">
        <f t="shared" si="209"/>
        <v>1</v>
      </c>
      <c r="I659" s="121">
        <f t="shared" si="210"/>
        <v>1.06</v>
      </c>
      <c r="J659" s="121">
        <f t="shared" si="211"/>
        <v>1.06</v>
      </c>
      <c r="K659" s="120">
        <f t="shared" si="212"/>
        <v>0</v>
      </c>
      <c r="L659" s="120">
        <f t="shared" si="213"/>
        <v>0</v>
      </c>
      <c r="M659" s="246">
        <f t="shared" si="214"/>
        <v>0</v>
      </c>
      <c r="N659" s="121">
        <f t="shared" si="215"/>
        <v>1.06</v>
      </c>
      <c r="O659" s="246">
        <f t="shared" si="216"/>
        <v>0.91234135667396066</v>
      </c>
      <c r="P659" s="121">
        <f t="shared" si="217"/>
        <v>1</v>
      </c>
      <c r="Q659" s="121">
        <f t="shared" si="218"/>
        <v>0</v>
      </c>
      <c r="R659" s="121">
        <f t="shared" si="219"/>
        <v>0</v>
      </c>
      <c r="AE659" s="160">
        <f t="shared" si="220"/>
        <v>1.0511759109504328</v>
      </c>
    </row>
    <row r="660" spans="1:35" x14ac:dyDescent="0.3">
      <c r="A660" s="187">
        <v>19</v>
      </c>
      <c r="B660" s="242">
        <f t="shared" si="221"/>
        <v>46204</v>
      </c>
      <c r="C660" s="243">
        <f t="shared" si="204"/>
        <v>46234</v>
      </c>
      <c r="D660" s="120">
        <f t="shared" si="205"/>
        <v>31</v>
      </c>
      <c r="E660" s="120">
        <f t="shared" si="206"/>
        <v>7</v>
      </c>
      <c r="F660" s="275">
        <f t="shared" si="207"/>
        <v>46219.5</v>
      </c>
      <c r="G660" s="120">
        <f t="shared" si="208"/>
        <v>24318</v>
      </c>
      <c r="H660" s="245">
        <f t="shared" si="209"/>
        <v>1</v>
      </c>
      <c r="I660" s="121">
        <f t="shared" si="210"/>
        <v>1.06</v>
      </c>
      <c r="J660" s="121">
        <f t="shared" si="211"/>
        <v>1.06</v>
      </c>
      <c r="K660" s="120">
        <f t="shared" si="212"/>
        <v>0</v>
      </c>
      <c r="L660" s="120">
        <f t="shared" si="213"/>
        <v>0</v>
      </c>
      <c r="M660" s="246">
        <f t="shared" si="214"/>
        <v>0</v>
      </c>
      <c r="N660" s="121">
        <f t="shared" si="215"/>
        <v>1.06</v>
      </c>
      <c r="O660" s="246">
        <f t="shared" si="216"/>
        <v>0.91167396061269146</v>
      </c>
      <c r="P660" s="121">
        <f t="shared" si="217"/>
        <v>0.91666666666666663</v>
      </c>
      <c r="Q660" s="121">
        <f t="shared" si="218"/>
        <v>8.333333333333337E-2</v>
      </c>
      <c r="R660" s="121">
        <f t="shared" si="219"/>
        <v>0</v>
      </c>
      <c r="AE660" s="160">
        <f t="shared" si="220"/>
        <v>1.0504069546189707</v>
      </c>
    </row>
    <row r="661" spans="1:35" x14ac:dyDescent="0.3">
      <c r="A661" s="187">
        <v>20</v>
      </c>
      <c r="B661" s="242">
        <f t="shared" si="221"/>
        <v>46235</v>
      </c>
      <c r="C661" s="243">
        <f t="shared" si="204"/>
        <v>46265</v>
      </c>
      <c r="D661" s="120">
        <f t="shared" si="205"/>
        <v>31</v>
      </c>
      <c r="E661" s="120">
        <f t="shared" si="206"/>
        <v>8</v>
      </c>
      <c r="F661" s="275">
        <f t="shared" si="207"/>
        <v>46250.5</v>
      </c>
      <c r="G661" s="120">
        <f t="shared" si="208"/>
        <v>24319</v>
      </c>
      <c r="H661" s="245">
        <f t="shared" si="209"/>
        <v>1</v>
      </c>
      <c r="I661" s="121">
        <f t="shared" si="210"/>
        <v>1.06</v>
      </c>
      <c r="J661" s="121">
        <f t="shared" si="211"/>
        <v>1.06</v>
      </c>
      <c r="K661" s="120">
        <f t="shared" si="212"/>
        <v>0</v>
      </c>
      <c r="L661" s="120">
        <f t="shared" si="213"/>
        <v>0</v>
      </c>
      <c r="M661" s="246">
        <f t="shared" si="214"/>
        <v>0</v>
      </c>
      <c r="N661" s="121">
        <f t="shared" si="215"/>
        <v>1.06</v>
      </c>
      <c r="O661" s="246">
        <f t="shared" si="216"/>
        <v>0.91099562363238518</v>
      </c>
      <c r="P661" s="121">
        <f t="shared" si="217"/>
        <v>0.75</v>
      </c>
      <c r="Q661" s="121">
        <f t="shared" si="218"/>
        <v>0.25</v>
      </c>
      <c r="R661" s="121">
        <f t="shared" si="219"/>
        <v>0</v>
      </c>
      <c r="AE661" s="160">
        <f t="shared" si="220"/>
        <v>1.0496253924460091</v>
      </c>
    </row>
    <row r="662" spans="1:35" x14ac:dyDescent="0.3">
      <c r="A662" s="187">
        <v>21</v>
      </c>
      <c r="B662" s="242">
        <f t="shared" si="221"/>
        <v>46266</v>
      </c>
      <c r="C662" s="243">
        <f t="shared" si="204"/>
        <v>46295</v>
      </c>
      <c r="D662" s="120">
        <f t="shared" si="205"/>
        <v>30</v>
      </c>
      <c r="E662" s="120">
        <f t="shared" si="206"/>
        <v>9</v>
      </c>
      <c r="F662" s="275">
        <f t="shared" si="207"/>
        <v>46281</v>
      </c>
      <c r="G662" s="120">
        <f t="shared" si="208"/>
        <v>24320</v>
      </c>
      <c r="H662" s="245">
        <f t="shared" si="209"/>
        <v>1</v>
      </c>
      <c r="I662" s="121">
        <f t="shared" si="210"/>
        <v>1.06</v>
      </c>
      <c r="J662" s="121">
        <f t="shared" si="211"/>
        <v>1.06</v>
      </c>
      <c r="K662" s="120">
        <f t="shared" si="212"/>
        <v>0</v>
      </c>
      <c r="L662" s="120">
        <f t="shared" si="213"/>
        <v>0</v>
      </c>
      <c r="M662" s="246">
        <f t="shared" si="214"/>
        <v>0</v>
      </c>
      <c r="N662" s="121">
        <f t="shared" si="215"/>
        <v>1.06</v>
      </c>
      <c r="O662" s="246">
        <f t="shared" si="216"/>
        <v>0.91032822757111598</v>
      </c>
      <c r="P662" s="121">
        <f t="shared" si="217"/>
        <v>0.58333333333333337</v>
      </c>
      <c r="Q662" s="121">
        <f t="shared" si="218"/>
        <v>0.41666666666666663</v>
      </c>
      <c r="R662" s="121">
        <f t="shared" si="219"/>
        <v>0</v>
      </c>
      <c r="AE662" s="160">
        <f t="shared" si="220"/>
        <v>1.0488564361145467</v>
      </c>
    </row>
    <row r="663" spans="1:35" x14ac:dyDescent="0.3">
      <c r="A663" s="187">
        <v>22</v>
      </c>
      <c r="B663" s="242">
        <f t="shared" si="221"/>
        <v>46296</v>
      </c>
      <c r="C663" s="243">
        <f t="shared" si="204"/>
        <v>46326</v>
      </c>
      <c r="D663" s="120">
        <f t="shared" si="205"/>
        <v>31</v>
      </c>
      <c r="E663" s="120">
        <f t="shared" si="206"/>
        <v>10</v>
      </c>
      <c r="F663" s="275">
        <f t="shared" si="207"/>
        <v>46311.5</v>
      </c>
      <c r="G663" s="120">
        <f t="shared" si="208"/>
        <v>24321</v>
      </c>
      <c r="H663" s="245">
        <f t="shared" si="209"/>
        <v>1</v>
      </c>
      <c r="I663" s="121">
        <f t="shared" si="210"/>
        <v>1.06</v>
      </c>
      <c r="J663" s="121">
        <f t="shared" si="211"/>
        <v>1.06</v>
      </c>
      <c r="K663" s="120">
        <f t="shared" si="212"/>
        <v>0</v>
      </c>
      <c r="L663" s="120">
        <f t="shared" si="213"/>
        <v>0</v>
      </c>
      <c r="M663" s="246">
        <f t="shared" si="214"/>
        <v>0</v>
      </c>
      <c r="N663" s="121">
        <f t="shared" si="215"/>
        <v>1.06</v>
      </c>
      <c r="O663" s="246">
        <f t="shared" si="216"/>
        <v>0.90966083150984689</v>
      </c>
      <c r="P663" s="121">
        <f t="shared" si="217"/>
        <v>0.41666666666666669</v>
      </c>
      <c r="Q663" s="121">
        <f t="shared" si="218"/>
        <v>0.58333333333333326</v>
      </c>
      <c r="R663" s="121">
        <f t="shared" si="219"/>
        <v>0</v>
      </c>
      <c r="AE663" s="160">
        <f t="shared" si="220"/>
        <v>1.0480874797830844</v>
      </c>
    </row>
    <row r="664" spans="1:35" x14ac:dyDescent="0.3">
      <c r="A664" s="187">
        <v>23</v>
      </c>
      <c r="B664" s="242">
        <f t="shared" si="221"/>
        <v>46327</v>
      </c>
      <c r="C664" s="243">
        <f t="shared" si="204"/>
        <v>46356</v>
      </c>
      <c r="D664" s="120">
        <f t="shared" si="205"/>
        <v>30</v>
      </c>
      <c r="E664" s="120">
        <f t="shared" si="206"/>
        <v>11</v>
      </c>
      <c r="F664" s="275">
        <f t="shared" si="207"/>
        <v>46342</v>
      </c>
      <c r="G664" s="120">
        <f t="shared" si="208"/>
        <v>24322</v>
      </c>
      <c r="H664" s="245">
        <f t="shared" si="209"/>
        <v>1</v>
      </c>
      <c r="I664" s="121">
        <f t="shared" si="210"/>
        <v>1.06</v>
      </c>
      <c r="J664" s="121">
        <f t="shared" si="211"/>
        <v>1.06</v>
      </c>
      <c r="K664" s="120">
        <f t="shared" si="212"/>
        <v>0</v>
      </c>
      <c r="L664" s="120">
        <f t="shared" si="213"/>
        <v>0</v>
      </c>
      <c r="M664" s="246">
        <f t="shared" si="214"/>
        <v>0</v>
      </c>
      <c r="N664" s="121">
        <f t="shared" si="215"/>
        <v>1.06</v>
      </c>
      <c r="O664" s="246">
        <f t="shared" si="216"/>
        <v>0.90899343544857769</v>
      </c>
      <c r="P664" s="121">
        <f t="shared" si="217"/>
        <v>0.25</v>
      </c>
      <c r="Q664" s="121">
        <f t="shared" si="218"/>
        <v>0.75</v>
      </c>
      <c r="R664" s="121">
        <f t="shared" si="219"/>
        <v>0</v>
      </c>
      <c r="AE664" s="160">
        <f t="shared" si="220"/>
        <v>1.047318523451622</v>
      </c>
    </row>
    <row r="665" spans="1:35" x14ac:dyDescent="0.3">
      <c r="A665" s="187">
        <v>24</v>
      </c>
      <c r="B665" s="242">
        <f t="shared" si="221"/>
        <v>46357</v>
      </c>
      <c r="C665" s="243">
        <f t="shared" si="204"/>
        <v>46387</v>
      </c>
      <c r="D665" s="120">
        <f t="shared" si="205"/>
        <v>31</v>
      </c>
      <c r="E665" s="120">
        <f t="shared" si="206"/>
        <v>12</v>
      </c>
      <c r="F665" s="275">
        <f t="shared" si="207"/>
        <v>46372.5</v>
      </c>
      <c r="G665" s="120">
        <f t="shared" si="208"/>
        <v>24323</v>
      </c>
      <c r="H665" s="245">
        <f t="shared" si="209"/>
        <v>1</v>
      </c>
      <c r="I665" s="121">
        <f t="shared" si="210"/>
        <v>1.06</v>
      </c>
      <c r="J665" s="121">
        <f t="shared" si="211"/>
        <v>1.06</v>
      </c>
      <c r="K665" s="120">
        <f t="shared" si="212"/>
        <v>0</v>
      </c>
      <c r="L665" s="120">
        <f t="shared" si="213"/>
        <v>0</v>
      </c>
      <c r="M665" s="246">
        <f t="shared" si="214"/>
        <v>0</v>
      </c>
      <c r="N665" s="121">
        <f t="shared" si="215"/>
        <v>1.06</v>
      </c>
      <c r="O665" s="246">
        <f t="shared" si="216"/>
        <v>0.9083260393873086</v>
      </c>
      <c r="P665" s="121">
        <f t="shared" si="217"/>
        <v>8.3333333333333329E-2</v>
      </c>
      <c r="Q665" s="121">
        <f t="shared" si="218"/>
        <v>0.91666666666666663</v>
      </c>
      <c r="R665" s="121">
        <f t="shared" si="219"/>
        <v>0</v>
      </c>
      <c r="AE665" s="160">
        <f t="shared" si="220"/>
        <v>1.0465495671201599</v>
      </c>
    </row>
    <row r="666" spans="1:35" x14ac:dyDescent="0.3">
      <c r="A666" s="187">
        <v>25</v>
      </c>
      <c r="B666" s="242">
        <f t="shared" si="221"/>
        <v>46388</v>
      </c>
      <c r="C666" s="243">
        <f t="shared" si="204"/>
        <v>46418</v>
      </c>
      <c r="D666" s="120">
        <f t="shared" si="205"/>
        <v>31</v>
      </c>
      <c r="E666" s="120">
        <f t="shared" si="206"/>
        <v>1</v>
      </c>
      <c r="F666" s="275">
        <f t="shared" si="207"/>
        <v>46403.5</v>
      </c>
      <c r="G666" s="120">
        <f t="shared" si="208"/>
        <v>24324</v>
      </c>
      <c r="H666" s="245">
        <f t="shared" si="209"/>
        <v>1</v>
      </c>
      <c r="I666" s="121">
        <f t="shared" si="210"/>
        <v>1.06</v>
      </c>
      <c r="J666" s="121">
        <f t="shared" si="211"/>
        <v>1.06</v>
      </c>
      <c r="K666" s="120">
        <f t="shared" si="212"/>
        <v>0</v>
      </c>
      <c r="L666" s="120">
        <f t="shared" si="213"/>
        <v>0</v>
      </c>
      <c r="M666" s="246">
        <f t="shared" si="214"/>
        <v>0</v>
      </c>
      <c r="N666" s="121">
        <f t="shared" si="215"/>
        <v>1.06</v>
      </c>
      <c r="O666" s="246">
        <f t="shared" si="216"/>
        <v>0.90764770240700221</v>
      </c>
      <c r="P666" s="121">
        <f t="shared" si="217"/>
        <v>0</v>
      </c>
      <c r="Q666" s="121">
        <f t="shared" si="218"/>
        <v>1</v>
      </c>
      <c r="R666" s="121">
        <f t="shared" si="219"/>
        <v>0</v>
      </c>
      <c r="W666" s="160">
        <f t="shared" ref="W666:W677" si="222">IF($G666&lt;&gt;$Q$639,$N666,(1-$U$639)*$I666+$U$639*$J666)</f>
        <v>1.06</v>
      </c>
      <c r="X666" s="160">
        <f t="shared" ref="X666:X677" si="223">IF($G666&lt;$Q$639,0,IF($G666&gt;$Q$639,$N666,$U$639*$J666))</f>
        <v>0</v>
      </c>
      <c r="Y666" s="160">
        <f t="shared" ref="Y666:Y677" si="224">IF($F$639=1,$O666/$O654,1)</f>
        <v>0.99127722878753488</v>
      </c>
      <c r="AB666" s="160">
        <f t="shared" ref="AB666:AB677" si="225">IF(AND(N($K$639)&lt;&gt;0,$F666&lt;=$B$640),0,($F666-$B$640)/($C$640-$B$640))</f>
        <v>0.23522975929978118</v>
      </c>
      <c r="AC666" s="220">
        <f t="shared" ref="AC666:AC677" si="226">IF(AND(N($K$639)&lt;&gt;0,$F666&lt;=$B$640),$O666,$F$640*(1-$AB666))</f>
        <v>0.69594091903719912</v>
      </c>
      <c r="AD666" s="160">
        <f t="shared" ref="AD666:AD677" si="227">$H666*($W666+$X666*IF(ISNUMBER($F$690),$F$690,0))/($N654*$O654)</f>
        <v>1.1576670769157238</v>
      </c>
      <c r="AE666" s="160">
        <f t="shared" si="220"/>
        <v>1.0432906321638102</v>
      </c>
      <c r="AF666" s="220">
        <f t="shared" ref="AF666:AF677" si="228">IF($G666&lt;$Q$639,0,IF($G666&gt;$Q$639,1,$U$639))</f>
        <v>0</v>
      </c>
      <c r="AG666" s="183" t="str">
        <f t="shared" ref="AG666:AG677" si="229">IF(OR($D$639=0,$P$639=0),"",($W666+$X666*IF(ISNUMBER($F$690),$F$690,0))/$N654-1)</f>
        <v/>
      </c>
      <c r="AH666" s="183" t="str">
        <f t="shared" ref="AH666:AH677" si="230">IF(OR($AG666="",$F$639=0),"",(1+$E$639)/(1+$AG666)-1)</f>
        <v/>
      </c>
      <c r="AI666" s="220" t="str">
        <f t="shared" ref="AI666:AI677" si="231">IF($AH666="","",$O654*(1+$E$639)/(1+$AG666))</f>
        <v/>
      </c>
    </row>
    <row r="667" spans="1:35" x14ac:dyDescent="0.3">
      <c r="A667" s="187">
        <v>26</v>
      </c>
      <c r="B667" s="242">
        <f t="shared" si="221"/>
        <v>46419</v>
      </c>
      <c r="C667" s="243">
        <f t="shared" si="204"/>
        <v>46446</v>
      </c>
      <c r="D667" s="120">
        <f t="shared" si="205"/>
        <v>28</v>
      </c>
      <c r="E667" s="120">
        <f t="shared" si="206"/>
        <v>2</v>
      </c>
      <c r="F667" s="275">
        <f t="shared" si="207"/>
        <v>46433</v>
      </c>
      <c r="G667" s="120">
        <f t="shared" si="208"/>
        <v>24325</v>
      </c>
      <c r="H667" s="245">
        <f t="shared" si="209"/>
        <v>1</v>
      </c>
      <c r="I667" s="121">
        <f t="shared" si="210"/>
        <v>1.06</v>
      </c>
      <c r="J667" s="121">
        <f t="shared" si="211"/>
        <v>1.06</v>
      </c>
      <c r="K667" s="120">
        <f t="shared" si="212"/>
        <v>0</v>
      </c>
      <c r="L667" s="120">
        <f t="shared" si="213"/>
        <v>0</v>
      </c>
      <c r="M667" s="246">
        <f t="shared" si="214"/>
        <v>0</v>
      </c>
      <c r="N667" s="121">
        <f t="shared" si="215"/>
        <v>1.06</v>
      </c>
      <c r="O667" s="246">
        <f t="shared" si="216"/>
        <v>0.90700218818380751</v>
      </c>
      <c r="P667" s="121">
        <f t="shared" si="217"/>
        <v>0</v>
      </c>
      <c r="Q667" s="121">
        <f t="shared" si="218"/>
        <v>1</v>
      </c>
      <c r="R667" s="121">
        <f t="shared" si="219"/>
        <v>0</v>
      </c>
      <c r="W667" s="160">
        <f t="shared" si="222"/>
        <v>1.06</v>
      </c>
      <c r="X667" s="160">
        <f t="shared" si="223"/>
        <v>0</v>
      </c>
      <c r="Y667" s="160">
        <f t="shared" si="224"/>
        <v>0.99127107497309586</v>
      </c>
      <c r="AB667" s="160">
        <f t="shared" si="225"/>
        <v>0.29978118161925604</v>
      </c>
      <c r="AC667" s="220">
        <f t="shared" si="226"/>
        <v>0.637199124726477</v>
      </c>
      <c r="AD667" s="160">
        <f t="shared" si="227"/>
        <v>1.0929092430945833</v>
      </c>
      <c r="AE667" s="160">
        <f t="shared" si="220"/>
        <v>1.0418670503329288</v>
      </c>
      <c r="AF667" s="220">
        <f t="shared" si="228"/>
        <v>0</v>
      </c>
      <c r="AG667" s="183" t="str">
        <f t="shared" si="229"/>
        <v/>
      </c>
      <c r="AH667" s="183" t="str">
        <f t="shared" si="230"/>
        <v/>
      </c>
      <c r="AI667" s="220" t="str">
        <f t="shared" si="231"/>
        <v/>
      </c>
    </row>
    <row r="668" spans="1:35" x14ac:dyDescent="0.3">
      <c r="A668" s="187">
        <v>27</v>
      </c>
      <c r="B668" s="242">
        <f t="shared" si="221"/>
        <v>46447</v>
      </c>
      <c r="C668" s="243">
        <f t="shared" si="204"/>
        <v>46477</v>
      </c>
      <c r="D668" s="120">
        <f t="shared" si="205"/>
        <v>31</v>
      </c>
      <c r="E668" s="120">
        <f t="shared" si="206"/>
        <v>3</v>
      </c>
      <c r="F668" s="275">
        <f t="shared" si="207"/>
        <v>46462.5</v>
      </c>
      <c r="G668" s="120">
        <f t="shared" si="208"/>
        <v>24326</v>
      </c>
      <c r="H668" s="245">
        <f t="shared" si="209"/>
        <v>1</v>
      </c>
      <c r="I668" s="121">
        <f t="shared" si="210"/>
        <v>1.06</v>
      </c>
      <c r="J668" s="121">
        <f t="shared" si="211"/>
        <v>1.06</v>
      </c>
      <c r="K668" s="120">
        <f t="shared" si="212"/>
        <v>0</v>
      </c>
      <c r="L668" s="120">
        <f t="shared" si="213"/>
        <v>0</v>
      </c>
      <c r="M668" s="246">
        <f t="shared" si="214"/>
        <v>0</v>
      </c>
      <c r="N668" s="121">
        <f t="shared" si="215"/>
        <v>1.06</v>
      </c>
      <c r="O668" s="246">
        <f t="shared" si="216"/>
        <v>0.9063566739606127</v>
      </c>
      <c r="P668" s="121">
        <f t="shared" si="217"/>
        <v>0</v>
      </c>
      <c r="Q668" s="121">
        <f t="shared" si="218"/>
        <v>1</v>
      </c>
      <c r="R668" s="121">
        <f t="shared" si="219"/>
        <v>0</v>
      </c>
      <c r="W668" s="160">
        <f t="shared" si="222"/>
        <v>1.06</v>
      </c>
      <c r="X668" s="160">
        <f t="shared" si="223"/>
        <v>0</v>
      </c>
      <c r="Y668" s="160">
        <f t="shared" si="224"/>
        <v>0.99126491246963666</v>
      </c>
      <c r="AB668" s="160">
        <f t="shared" si="225"/>
        <v>0.36433260393873085</v>
      </c>
      <c r="AC668" s="220">
        <f t="shared" si="226"/>
        <v>0.57845733041575487</v>
      </c>
      <c r="AD668" s="160">
        <f t="shared" si="227"/>
        <v>1.0936808222948151</v>
      </c>
      <c r="AE668" s="160">
        <f t="shared" si="220"/>
        <v>1.0404434685020469</v>
      </c>
      <c r="AF668" s="220">
        <f t="shared" si="228"/>
        <v>0</v>
      </c>
      <c r="AG668" s="183" t="str">
        <f t="shared" si="229"/>
        <v/>
      </c>
      <c r="AH668" s="183" t="str">
        <f t="shared" si="230"/>
        <v/>
      </c>
      <c r="AI668" s="220" t="str">
        <f t="shared" si="231"/>
        <v/>
      </c>
    </row>
    <row r="669" spans="1:35" x14ac:dyDescent="0.3">
      <c r="A669" s="187">
        <v>28</v>
      </c>
      <c r="B669" s="242">
        <f t="shared" si="221"/>
        <v>46478</v>
      </c>
      <c r="C669" s="243">
        <f t="shared" si="204"/>
        <v>46507</v>
      </c>
      <c r="D669" s="120">
        <f t="shared" si="205"/>
        <v>30</v>
      </c>
      <c r="E669" s="120">
        <f t="shared" si="206"/>
        <v>4</v>
      </c>
      <c r="F669" s="275">
        <f t="shared" si="207"/>
        <v>46493</v>
      </c>
      <c r="G669" s="120">
        <f t="shared" si="208"/>
        <v>24327</v>
      </c>
      <c r="H669" s="245">
        <f t="shared" si="209"/>
        <v>1</v>
      </c>
      <c r="I669" s="121">
        <f t="shared" si="210"/>
        <v>1.06</v>
      </c>
      <c r="J669" s="121">
        <f t="shared" si="211"/>
        <v>1.06</v>
      </c>
      <c r="K669" s="120">
        <f t="shared" si="212"/>
        <v>0</v>
      </c>
      <c r="L669" s="120">
        <f t="shared" si="213"/>
        <v>0</v>
      </c>
      <c r="M669" s="246">
        <f t="shared" si="214"/>
        <v>0</v>
      </c>
      <c r="N669" s="121">
        <f t="shared" si="215"/>
        <v>1.06</v>
      </c>
      <c r="O669" s="246">
        <f t="shared" si="216"/>
        <v>0.90568927789934361</v>
      </c>
      <c r="P669" s="121">
        <f t="shared" si="217"/>
        <v>0</v>
      </c>
      <c r="Q669" s="121">
        <f t="shared" si="218"/>
        <v>1</v>
      </c>
      <c r="R669" s="121">
        <f t="shared" si="219"/>
        <v>0</v>
      </c>
      <c r="W669" s="160">
        <f t="shared" si="222"/>
        <v>1.06</v>
      </c>
      <c r="X669" s="160">
        <f t="shared" si="223"/>
        <v>0</v>
      </c>
      <c r="Y669" s="160">
        <f t="shared" si="224"/>
        <v>0.99125853191234581</v>
      </c>
      <c r="AB669" s="160">
        <f t="shared" si="225"/>
        <v>0.4310722100656455</v>
      </c>
      <c r="AC669" s="220">
        <f t="shared" si="226"/>
        <v>0.51772428884026267</v>
      </c>
      <c r="AD669" s="160">
        <f t="shared" si="227"/>
        <v>1.0944797030295772</v>
      </c>
      <c r="AE669" s="160">
        <f t="shared" si="220"/>
        <v>1.0389716296599492</v>
      </c>
      <c r="AF669" s="220">
        <f t="shared" si="228"/>
        <v>0</v>
      </c>
      <c r="AG669" s="183" t="str">
        <f t="shared" si="229"/>
        <v/>
      </c>
      <c r="AH669" s="183" t="str">
        <f t="shared" si="230"/>
        <v/>
      </c>
      <c r="AI669" s="220" t="str">
        <f t="shared" si="231"/>
        <v/>
      </c>
    </row>
    <row r="670" spans="1:35" x14ac:dyDescent="0.3">
      <c r="A670" s="187">
        <v>29</v>
      </c>
      <c r="B670" s="242">
        <f t="shared" si="221"/>
        <v>46508</v>
      </c>
      <c r="C670" s="243">
        <f t="shared" si="204"/>
        <v>46538</v>
      </c>
      <c r="D670" s="120">
        <f t="shared" si="205"/>
        <v>31</v>
      </c>
      <c r="E670" s="120">
        <f t="shared" si="206"/>
        <v>5</v>
      </c>
      <c r="F670" s="275">
        <f t="shared" si="207"/>
        <v>46523.5</v>
      </c>
      <c r="G670" s="120">
        <f t="shared" si="208"/>
        <v>24328</v>
      </c>
      <c r="H670" s="245">
        <f t="shared" si="209"/>
        <v>1</v>
      </c>
      <c r="I670" s="121">
        <f t="shared" si="210"/>
        <v>1.06</v>
      </c>
      <c r="J670" s="121">
        <f t="shared" si="211"/>
        <v>1.06</v>
      </c>
      <c r="K670" s="120">
        <f t="shared" si="212"/>
        <v>0</v>
      </c>
      <c r="L670" s="120">
        <f t="shared" si="213"/>
        <v>0</v>
      </c>
      <c r="M670" s="246">
        <f t="shared" si="214"/>
        <v>0</v>
      </c>
      <c r="N670" s="121">
        <f t="shared" si="215"/>
        <v>1.06</v>
      </c>
      <c r="O670" s="246">
        <f t="shared" si="216"/>
        <v>0.90502188183807442</v>
      </c>
      <c r="P670" s="121">
        <f t="shared" si="217"/>
        <v>0</v>
      </c>
      <c r="Q670" s="121">
        <f t="shared" si="218"/>
        <v>1</v>
      </c>
      <c r="R670" s="121">
        <f t="shared" si="219"/>
        <v>0</v>
      </c>
      <c r="W670" s="160">
        <f t="shared" si="222"/>
        <v>1.06</v>
      </c>
      <c r="X670" s="160">
        <f t="shared" si="223"/>
        <v>0</v>
      </c>
      <c r="Y670" s="160">
        <f t="shared" si="224"/>
        <v>0.99125214202686673</v>
      </c>
      <c r="AB670" s="160">
        <f t="shared" si="225"/>
        <v>0.49781181619256015</v>
      </c>
      <c r="AC670" s="220">
        <f t="shared" si="226"/>
        <v>0.45699124726477025</v>
      </c>
      <c r="AD670" s="160">
        <f t="shared" si="227"/>
        <v>1.095279751704634</v>
      </c>
      <c r="AE670" s="160">
        <f t="shared" si="220"/>
        <v>1.0374997908178512</v>
      </c>
      <c r="AF670" s="220">
        <f t="shared" si="228"/>
        <v>0</v>
      </c>
      <c r="AG670" s="183" t="str">
        <f t="shared" si="229"/>
        <v/>
      </c>
      <c r="AH670" s="183" t="str">
        <f t="shared" si="230"/>
        <v/>
      </c>
      <c r="AI670" s="220" t="str">
        <f t="shared" si="231"/>
        <v/>
      </c>
    </row>
    <row r="671" spans="1:35" x14ac:dyDescent="0.3">
      <c r="A671" s="187">
        <v>30</v>
      </c>
      <c r="B671" s="242">
        <f t="shared" si="221"/>
        <v>46539</v>
      </c>
      <c r="C671" s="243">
        <f t="shared" si="204"/>
        <v>46568</v>
      </c>
      <c r="D671" s="120">
        <f t="shared" si="205"/>
        <v>30</v>
      </c>
      <c r="E671" s="120">
        <f t="shared" si="206"/>
        <v>6</v>
      </c>
      <c r="F671" s="275">
        <f t="shared" si="207"/>
        <v>46554</v>
      </c>
      <c r="G671" s="120">
        <f t="shared" si="208"/>
        <v>24329</v>
      </c>
      <c r="H671" s="245">
        <f t="shared" si="209"/>
        <v>1</v>
      </c>
      <c r="I671" s="121">
        <f t="shared" si="210"/>
        <v>1.06</v>
      </c>
      <c r="J671" s="121">
        <f t="shared" si="211"/>
        <v>1.06</v>
      </c>
      <c r="K671" s="120">
        <f t="shared" si="212"/>
        <v>0</v>
      </c>
      <c r="L671" s="120">
        <f t="shared" si="213"/>
        <v>0</v>
      </c>
      <c r="M671" s="246">
        <f t="shared" si="214"/>
        <v>0</v>
      </c>
      <c r="N671" s="121">
        <f t="shared" si="215"/>
        <v>1.06</v>
      </c>
      <c r="O671" s="246">
        <f t="shared" si="216"/>
        <v>0.90435448577680533</v>
      </c>
      <c r="P671" s="121">
        <f t="shared" si="217"/>
        <v>0</v>
      </c>
      <c r="Q671" s="121">
        <f t="shared" si="218"/>
        <v>1</v>
      </c>
      <c r="R671" s="121">
        <f t="shared" si="219"/>
        <v>0</v>
      </c>
      <c r="W671" s="160">
        <f t="shared" si="222"/>
        <v>1.06</v>
      </c>
      <c r="X671" s="160">
        <f t="shared" si="223"/>
        <v>0</v>
      </c>
      <c r="Y671" s="160">
        <f t="shared" si="224"/>
        <v>0.99124574279272804</v>
      </c>
      <c r="AB671" s="160">
        <f t="shared" si="225"/>
        <v>0.56455142231947486</v>
      </c>
      <c r="AC671" s="220">
        <f t="shared" si="226"/>
        <v>0.39625820568927789</v>
      </c>
      <c r="AD671" s="160">
        <f t="shared" si="227"/>
        <v>1.0960809708831007</v>
      </c>
      <c r="AE671" s="160">
        <f t="shared" si="220"/>
        <v>1.0360279519757534</v>
      </c>
      <c r="AF671" s="220">
        <f t="shared" si="228"/>
        <v>0</v>
      </c>
      <c r="AG671" s="183" t="str">
        <f t="shared" si="229"/>
        <v/>
      </c>
      <c r="AH671" s="183" t="str">
        <f t="shared" si="230"/>
        <v/>
      </c>
      <c r="AI671" s="220" t="str">
        <f t="shared" si="231"/>
        <v/>
      </c>
    </row>
    <row r="672" spans="1:35" x14ac:dyDescent="0.3">
      <c r="A672" s="187">
        <v>31</v>
      </c>
      <c r="B672" s="242">
        <f t="shared" si="221"/>
        <v>46569</v>
      </c>
      <c r="C672" s="243">
        <f t="shared" si="204"/>
        <v>46599</v>
      </c>
      <c r="D672" s="120">
        <f t="shared" si="205"/>
        <v>31</v>
      </c>
      <c r="E672" s="120">
        <f t="shared" si="206"/>
        <v>7</v>
      </c>
      <c r="F672" s="275">
        <f t="shared" si="207"/>
        <v>46584.5</v>
      </c>
      <c r="G672" s="120">
        <f t="shared" si="208"/>
        <v>24330</v>
      </c>
      <c r="H672" s="245">
        <f t="shared" si="209"/>
        <v>1</v>
      </c>
      <c r="I672" s="121">
        <f t="shared" si="210"/>
        <v>1.06</v>
      </c>
      <c r="J672" s="121">
        <f t="shared" si="211"/>
        <v>1.06</v>
      </c>
      <c r="K672" s="120">
        <f t="shared" si="212"/>
        <v>0</v>
      </c>
      <c r="L672" s="120">
        <f t="shared" si="213"/>
        <v>0</v>
      </c>
      <c r="M672" s="246">
        <f t="shared" si="214"/>
        <v>0</v>
      </c>
      <c r="N672" s="121">
        <f t="shared" si="215"/>
        <v>1.06</v>
      </c>
      <c r="O672" s="246">
        <f t="shared" si="216"/>
        <v>0.90368708971553613</v>
      </c>
      <c r="P672" s="121">
        <f t="shared" si="217"/>
        <v>0</v>
      </c>
      <c r="Q672" s="121">
        <f t="shared" si="218"/>
        <v>0.91666666666666663</v>
      </c>
      <c r="R672" s="121">
        <f t="shared" si="219"/>
        <v>8.333333333333337E-2</v>
      </c>
      <c r="W672" s="160">
        <f t="shared" si="222"/>
        <v>1.06</v>
      </c>
      <c r="X672" s="160">
        <f t="shared" si="223"/>
        <v>0</v>
      </c>
      <c r="Y672" s="160">
        <f t="shared" si="224"/>
        <v>0.99123933418939847</v>
      </c>
      <c r="AB672" s="160">
        <f t="shared" si="225"/>
        <v>0.63129102844638951</v>
      </c>
      <c r="AC672" s="220">
        <f t="shared" si="226"/>
        <v>0.33552516411378558</v>
      </c>
      <c r="AD672" s="160">
        <f t="shared" si="227"/>
        <v>1.0968833631355983</v>
      </c>
      <c r="AE672" s="160">
        <f t="shared" si="220"/>
        <v>1.0345561131336554</v>
      </c>
      <c r="AF672" s="220">
        <f t="shared" si="228"/>
        <v>0</v>
      </c>
      <c r="AG672" s="183" t="str">
        <f t="shared" si="229"/>
        <v/>
      </c>
      <c r="AH672" s="183" t="str">
        <f t="shared" si="230"/>
        <v/>
      </c>
      <c r="AI672" s="220" t="str">
        <f t="shared" si="231"/>
        <v/>
      </c>
    </row>
    <row r="673" spans="1:35" x14ac:dyDescent="0.3">
      <c r="A673" s="187">
        <v>32</v>
      </c>
      <c r="B673" s="242">
        <f t="shared" si="221"/>
        <v>46600</v>
      </c>
      <c r="C673" s="243">
        <f t="shared" si="204"/>
        <v>46630</v>
      </c>
      <c r="D673" s="120">
        <f t="shared" si="205"/>
        <v>31</v>
      </c>
      <c r="E673" s="120">
        <f t="shared" si="206"/>
        <v>8</v>
      </c>
      <c r="F673" s="275">
        <f t="shared" si="207"/>
        <v>46615.5</v>
      </c>
      <c r="G673" s="120">
        <f t="shared" si="208"/>
        <v>24331</v>
      </c>
      <c r="H673" s="245">
        <f t="shared" si="209"/>
        <v>1</v>
      </c>
      <c r="I673" s="121">
        <f t="shared" si="210"/>
        <v>1.06</v>
      </c>
      <c r="J673" s="121">
        <f t="shared" si="211"/>
        <v>1.06</v>
      </c>
      <c r="K673" s="120">
        <f t="shared" si="212"/>
        <v>0</v>
      </c>
      <c r="L673" s="120">
        <f t="shared" si="213"/>
        <v>0</v>
      </c>
      <c r="M673" s="246">
        <f t="shared" si="214"/>
        <v>0</v>
      </c>
      <c r="N673" s="121">
        <f t="shared" si="215"/>
        <v>1.06</v>
      </c>
      <c r="O673" s="246">
        <f t="shared" si="216"/>
        <v>0.90300875273522974</v>
      </c>
      <c r="P673" s="121">
        <f t="shared" si="217"/>
        <v>0</v>
      </c>
      <c r="Q673" s="121">
        <f t="shared" si="218"/>
        <v>0.75</v>
      </c>
      <c r="R673" s="121">
        <f t="shared" si="219"/>
        <v>0.25</v>
      </c>
      <c r="W673" s="160">
        <f t="shared" si="222"/>
        <v>1.06</v>
      </c>
      <c r="X673" s="160">
        <f t="shared" si="223"/>
        <v>0</v>
      </c>
      <c r="Y673" s="160">
        <f t="shared" si="224"/>
        <v>0.99123281090494197</v>
      </c>
      <c r="AB673" s="160">
        <f t="shared" si="225"/>
        <v>0.69912472647702406</v>
      </c>
      <c r="AC673" s="220">
        <f t="shared" si="226"/>
        <v>0.27379649890590813</v>
      </c>
      <c r="AD673" s="160">
        <f t="shared" si="227"/>
        <v>1.0977001140935567</v>
      </c>
      <c r="AE673" s="160">
        <f t="shared" si="220"/>
        <v>1.0330601457859494</v>
      </c>
      <c r="AF673" s="220">
        <f t="shared" si="228"/>
        <v>0</v>
      </c>
      <c r="AG673" s="183" t="str">
        <f t="shared" si="229"/>
        <v/>
      </c>
      <c r="AH673" s="183" t="str">
        <f t="shared" si="230"/>
        <v/>
      </c>
      <c r="AI673" s="220" t="str">
        <f t="shared" si="231"/>
        <v/>
      </c>
    </row>
    <row r="674" spans="1:35" x14ac:dyDescent="0.3">
      <c r="A674" s="187">
        <v>33</v>
      </c>
      <c r="B674" s="242">
        <f t="shared" si="221"/>
        <v>46631</v>
      </c>
      <c r="C674" s="243">
        <f t="shared" si="204"/>
        <v>46660</v>
      </c>
      <c r="D674" s="120">
        <f t="shared" si="205"/>
        <v>30</v>
      </c>
      <c r="E674" s="120">
        <f t="shared" si="206"/>
        <v>9</v>
      </c>
      <c r="F674" s="275">
        <f t="shared" si="207"/>
        <v>46646</v>
      </c>
      <c r="G674" s="120">
        <f t="shared" si="208"/>
        <v>24332</v>
      </c>
      <c r="H674" s="245">
        <f t="shared" si="209"/>
        <v>1</v>
      </c>
      <c r="I674" s="121">
        <f t="shared" si="210"/>
        <v>1.06</v>
      </c>
      <c r="J674" s="121">
        <f t="shared" si="211"/>
        <v>1.06</v>
      </c>
      <c r="K674" s="120">
        <f t="shared" si="212"/>
        <v>0</v>
      </c>
      <c r="L674" s="120">
        <f t="shared" si="213"/>
        <v>0</v>
      </c>
      <c r="M674" s="246">
        <f t="shared" si="214"/>
        <v>0</v>
      </c>
      <c r="N674" s="121">
        <f t="shared" si="215"/>
        <v>1.06</v>
      </c>
      <c r="O674" s="246">
        <f t="shared" si="216"/>
        <v>0.90234135667396065</v>
      </c>
      <c r="P674" s="121">
        <f t="shared" si="217"/>
        <v>0</v>
      </c>
      <c r="Q674" s="121">
        <f t="shared" si="218"/>
        <v>0.58333333333333337</v>
      </c>
      <c r="R674" s="121">
        <f t="shared" si="219"/>
        <v>0.41666666666666663</v>
      </c>
      <c r="W674" s="160">
        <f t="shared" si="222"/>
        <v>1.06</v>
      </c>
      <c r="X674" s="160">
        <f t="shared" si="223"/>
        <v>0</v>
      </c>
      <c r="Y674" s="160">
        <f t="shared" si="224"/>
        <v>0.99122638334695445</v>
      </c>
      <c r="AB674" s="160">
        <f t="shared" si="225"/>
        <v>0.76586433260393871</v>
      </c>
      <c r="AC674" s="220">
        <f t="shared" si="226"/>
        <v>0.21306345733041579</v>
      </c>
      <c r="AD674" s="160">
        <f t="shared" si="227"/>
        <v>1.0985048795730974</v>
      </c>
      <c r="AE674" s="160">
        <f t="shared" si="220"/>
        <v>1.0315883069438514</v>
      </c>
      <c r="AF674" s="220">
        <f t="shared" si="228"/>
        <v>0</v>
      </c>
      <c r="AG674" s="183" t="str">
        <f t="shared" si="229"/>
        <v/>
      </c>
      <c r="AH674" s="183" t="str">
        <f t="shared" si="230"/>
        <v/>
      </c>
      <c r="AI674" s="220" t="str">
        <f t="shared" si="231"/>
        <v/>
      </c>
    </row>
    <row r="675" spans="1:35" x14ac:dyDescent="0.3">
      <c r="A675" s="187">
        <v>34</v>
      </c>
      <c r="B675" s="242">
        <f t="shared" si="221"/>
        <v>46661</v>
      </c>
      <c r="C675" s="243">
        <f t="shared" si="204"/>
        <v>46691</v>
      </c>
      <c r="D675" s="120">
        <f t="shared" si="205"/>
        <v>31</v>
      </c>
      <c r="E675" s="120">
        <f t="shared" si="206"/>
        <v>10</v>
      </c>
      <c r="F675" s="275">
        <f t="shared" si="207"/>
        <v>46676.5</v>
      </c>
      <c r="G675" s="120">
        <f t="shared" si="208"/>
        <v>24333</v>
      </c>
      <c r="H675" s="245">
        <f t="shared" si="209"/>
        <v>1</v>
      </c>
      <c r="I675" s="121">
        <f t="shared" si="210"/>
        <v>1.06</v>
      </c>
      <c r="J675" s="121">
        <f t="shared" si="211"/>
        <v>1.06</v>
      </c>
      <c r="K675" s="120">
        <f t="shared" si="212"/>
        <v>0</v>
      </c>
      <c r="L675" s="120">
        <f t="shared" si="213"/>
        <v>0</v>
      </c>
      <c r="M675" s="246">
        <f t="shared" si="214"/>
        <v>0</v>
      </c>
      <c r="N675" s="121">
        <f t="shared" si="215"/>
        <v>1.06</v>
      </c>
      <c r="O675" s="246">
        <f t="shared" si="216"/>
        <v>0.90167396061269145</v>
      </c>
      <c r="P675" s="121">
        <f t="shared" si="217"/>
        <v>0</v>
      </c>
      <c r="Q675" s="121">
        <f t="shared" si="218"/>
        <v>0.41666666666666669</v>
      </c>
      <c r="R675" s="121">
        <f t="shared" si="219"/>
        <v>0.58333333333333326</v>
      </c>
      <c r="W675" s="160">
        <f t="shared" si="222"/>
        <v>1.06</v>
      </c>
      <c r="X675" s="160">
        <f t="shared" si="223"/>
        <v>1.06</v>
      </c>
      <c r="Y675" s="160">
        <f t="shared" si="224"/>
        <v>0.99121994635748045</v>
      </c>
      <c r="AB675" s="160">
        <f t="shared" si="225"/>
        <v>0.83260393873085337</v>
      </c>
      <c r="AC675" s="220">
        <f t="shared" si="226"/>
        <v>0.15233041575492345</v>
      </c>
      <c r="AD675" s="160">
        <f t="shared" si="227"/>
        <v>1.1432832589634725</v>
      </c>
      <c r="AE675" s="160">
        <f t="shared" si="220"/>
        <v>1.0713211268258236</v>
      </c>
      <c r="AF675" s="220">
        <f t="shared" si="228"/>
        <v>1</v>
      </c>
      <c r="AG675" s="183" t="str">
        <f t="shared" si="229"/>
        <v/>
      </c>
      <c r="AH675" s="183" t="str">
        <f t="shared" si="230"/>
        <v/>
      </c>
      <c r="AI675" s="220" t="str">
        <f t="shared" si="231"/>
        <v/>
      </c>
    </row>
    <row r="676" spans="1:35" x14ac:dyDescent="0.3">
      <c r="A676" s="187">
        <v>35</v>
      </c>
      <c r="B676" s="242">
        <f t="shared" si="221"/>
        <v>46692</v>
      </c>
      <c r="C676" s="243">
        <f t="shared" si="204"/>
        <v>46721</v>
      </c>
      <c r="D676" s="120">
        <f t="shared" si="205"/>
        <v>30</v>
      </c>
      <c r="E676" s="120">
        <f t="shared" si="206"/>
        <v>11</v>
      </c>
      <c r="F676" s="275">
        <f t="shared" si="207"/>
        <v>46707</v>
      </c>
      <c r="G676" s="120">
        <f t="shared" si="208"/>
        <v>24334</v>
      </c>
      <c r="H676" s="245">
        <f t="shared" si="209"/>
        <v>1</v>
      </c>
      <c r="I676" s="121">
        <f t="shared" si="210"/>
        <v>1.06</v>
      </c>
      <c r="J676" s="121">
        <f t="shared" si="211"/>
        <v>1.06</v>
      </c>
      <c r="K676" s="120">
        <f t="shared" si="212"/>
        <v>0</v>
      </c>
      <c r="L676" s="120">
        <f t="shared" si="213"/>
        <v>0</v>
      </c>
      <c r="M676" s="246">
        <f t="shared" si="214"/>
        <v>0</v>
      </c>
      <c r="N676" s="121">
        <f t="shared" si="215"/>
        <v>1.06</v>
      </c>
      <c r="O676" s="246">
        <f t="shared" si="216"/>
        <v>0.90100656455142236</v>
      </c>
      <c r="P676" s="121">
        <f t="shared" si="217"/>
        <v>0</v>
      </c>
      <c r="Q676" s="121">
        <f t="shared" si="218"/>
        <v>0.25</v>
      </c>
      <c r="R676" s="121">
        <f t="shared" si="219"/>
        <v>0.75</v>
      </c>
      <c r="W676" s="160">
        <f t="shared" si="222"/>
        <v>1.06</v>
      </c>
      <c r="X676" s="160">
        <f t="shared" si="223"/>
        <v>1.06</v>
      </c>
      <c r="Y676" s="160">
        <f t="shared" si="224"/>
        <v>0.99121349991574592</v>
      </c>
      <c r="AB676" s="160">
        <f t="shared" si="225"/>
        <v>0.89934354485776802</v>
      </c>
      <c r="AC676" s="220">
        <f t="shared" si="226"/>
        <v>9.1597374179431104E-2</v>
      </c>
      <c r="AD676" s="160">
        <f t="shared" si="227"/>
        <v>1.1441226739847381</v>
      </c>
      <c r="AE676" s="160">
        <f t="shared" si="220"/>
        <v>1.0697904144300419</v>
      </c>
      <c r="AF676" s="220">
        <f t="shared" si="228"/>
        <v>1</v>
      </c>
      <c r="AG676" s="183" t="str">
        <f t="shared" si="229"/>
        <v/>
      </c>
      <c r="AH676" s="183" t="str">
        <f t="shared" si="230"/>
        <v/>
      </c>
      <c r="AI676" s="220" t="str">
        <f t="shared" si="231"/>
        <v/>
      </c>
    </row>
    <row r="677" spans="1:35" x14ac:dyDescent="0.3">
      <c r="A677" s="187">
        <v>36</v>
      </c>
      <c r="B677" s="242">
        <f t="shared" si="221"/>
        <v>46722</v>
      </c>
      <c r="C677" s="243">
        <f t="shared" si="204"/>
        <v>46752</v>
      </c>
      <c r="D677" s="120">
        <f t="shared" si="205"/>
        <v>31</v>
      </c>
      <c r="E677" s="120">
        <f t="shared" si="206"/>
        <v>12</v>
      </c>
      <c r="F677" s="275">
        <f t="shared" si="207"/>
        <v>46737.5</v>
      </c>
      <c r="G677" s="120">
        <f t="shared" si="208"/>
        <v>24335</v>
      </c>
      <c r="H677" s="245">
        <f t="shared" si="209"/>
        <v>1</v>
      </c>
      <c r="I677" s="121">
        <f t="shared" si="210"/>
        <v>1.06</v>
      </c>
      <c r="J677" s="121">
        <f t="shared" si="211"/>
        <v>1.06</v>
      </c>
      <c r="K677" s="120">
        <f t="shared" si="212"/>
        <v>0</v>
      </c>
      <c r="L677" s="120">
        <f t="shared" si="213"/>
        <v>0</v>
      </c>
      <c r="M677" s="246">
        <f t="shared" si="214"/>
        <v>0</v>
      </c>
      <c r="N677" s="121">
        <f t="shared" si="215"/>
        <v>1.06</v>
      </c>
      <c r="O677" s="246">
        <f t="shared" si="216"/>
        <v>0.90033916849015316</v>
      </c>
      <c r="P677" s="121">
        <f t="shared" si="217"/>
        <v>0</v>
      </c>
      <c r="Q677" s="121">
        <f t="shared" si="218"/>
        <v>8.3333333333333329E-2</v>
      </c>
      <c r="R677" s="121">
        <f t="shared" si="219"/>
        <v>0.91666666666666663</v>
      </c>
      <c r="W677" s="160">
        <f t="shared" si="222"/>
        <v>1.06</v>
      </c>
      <c r="X677" s="160">
        <f t="shared" si="223"/>
        <v>1.06</v>
      </c>
      <c r="Y677" s="160">
        <f t="shared" si="224"/>
        <v>0.9912070440009153</v>
      </c>
      <c r="AB677" s="160">
        <f t="shared" si="225"/>
        <v>0.96608315098468267</v>
      </c>
      <c r="AC677" s="220">
        <f t="shared" si="226"/>
        <v>3.0864332603938772E-2</v>
      </c>
      <c r="AD677" s="160">
        <f t="shared" si="227"/>
        <v>1.144963322532853</v>
      </c>
      <c r="AE677" s="160">
        <f t="shared" si="220"/>
        <v>1.0682597020342599</v>
      </c>
      <c r="AF677" s="220">
        <f t="shared" si="228"/>
        <v>1</v>
      </c>
      <c r="AG677" s="183" t="str">
        <f t="shared" si="229"/>
        <v/>
      </c>
      <c r="AH677" s="183" t="str">
        <f t="shared" si="230"/>
        <v/>
      </c>
      <c r="AI677" s="220" t="str">
        <f t="shared" si="231"/>
        <v/>
      </c>
    </row>
    <row r="678" spans="1:35" x14ac:dyDescent="0.3">
      <c r="A678" s="187">
        <v>37</v>
      </c>
      <c r="B678" s="242">
        <f t="shared" si="221"/>
        <v>46753</v>
      </c>
      <c r="C678" s="243">
        <f t="shared" si="204"/>
        <v>46783</v>
      </c>
      <c r="D678" s="120">
        <f t="shared" si="205"/>
        <v>31</v>
      </c>
      <c r="E678" s="120">
        <f t="shared" si="206"/>
        <v>1</v>
      </c>
      <c r="F678" s="275">
        <f t="shared" si="207"/>
        <v>46768.5</v>
      </c>
      <c r="G678" s="120">
        <f t="shared" si="208"/>
        <v>24336</v>
      </c>
      <c r="H678" s="245">
        <f t="shared" si="209"/>
        <v>1</v>
      </c>
      <c r="I678" s="121">
        <f t="shared" si="210"/>
        <v>1.06</v>
      </c>
      <c r="J678" s="121">
        <f t="shared" si="211"/>
        <v>1.06</v>
      </c>
      <c r="K678" s="120">
        <f t="shared" si="212"/>
        <v>0</v>
      </c>
      <c r="L678" s="120">
        <f t="shared" si="213"/>
        <v>0</v>
      </c>
      <c r="M678" s="246">
        <f t="shared" si="214"/>
        <v>0</v>
      </c>
      <c r="N678" s="121">
        <f t="shared" si="215"/>
        <v>1.06</v>
      </c>
      <c r="O678" s="246">
        <f t="shared" si="216"/>
        <v>0.9</v>
      </c>
      <c r="P678" s="121">
        <f t="shared" si="217"/>
        <v>0</v>
      </c>
      <c r="Q678" s="121">
        <f t="shared" si="218"/>
        <v>0</v>
      </c>
      <c r="R678" s="121">
        <f t="shared" si="219"/>
        <v>1</v>
      </c>
      <c r="AE678" s="160">
        <f t="shared" si="220"/>
        <v>1.0369565217391306</v>
      </c>
    </row>
    <row r="679" spans="1:35" x14ac:dyDescent="0.3">
      <c r="A679" s="187">
        <v>38</v>
      </c>
      <c r="B679" s="242">
        <f t="shared" si="221"/>
        <v>46784</v>
      </c>
      <c r="C679" s="243">
        <f t="shared" si="204"/>
        <v>46812</v>
      </c>
      <c r="D679" s="120">
        <f t="shared" si="205"/>
        <v>29</v>
      </c>
      <c r="E679" s="120">
        <f t="shared" si="206"/>
        <v>2</v>
      </c>
      <c r="F679" s="275">
        <f t="shared" si="207"/>
        <v>46798.5</v>
      </c>
      <c r="G679" s="120">
        <f t="shared" si="208"/>
        <v>24337</v>
      </c>
      <c r="H679" s="245">
        <f t="shared" si="209"/>
        <v>1</v>
      </c>
      <c r="I679" s="121">
        <f t="shared" si="210"/>
        <v>1.06</v>
      </c>
      <c r="J679" s="121">
        <f t="shared" si="211"/>
        <v>1.06</v>
      </c>
      <c r="K679" s="120">
        <f t="shared" si="212"/>
        <v>0</v>
      </c>
      <c r="L679" s="120">
        <f t="shared" si="213"/>
        <v>0</v>
      </c>
      <c r="M679" s="246">
        <f t="shared" si="214"/>
        <v>0</v>
      </c>
      <c r="N679" s="121">
        <f t="shared" si="215"/>
        <v>1.06</v>
      </c>
      <c r="O679" s="246">
        <f t="shared" si="216"/>
        <v>0.9</v>
      </c>
      <c r="P679" s="121">
        <f t="shared" si="217"/>
        <v>0</v>
      </c>
      <c r="Q679" s="121">
        <f t="shared" si="218"/>
        <v>0</v>
      </c>
      <c r="R679" s="121">
        <f t="shared" si="219"/>
        <v>1</v>
      </c>
      <c r="AE679" s="160">
        <f t="shared" si="220"/>
        <v>1.0369565217391306</v>
      </c>
    </row>
    <row r="680" spans="1:35" x14ac:dyDescent="0.3">
      <c r="A680" s="187">
        <v>39</v>
      </c>
      <c r="B680" s="242">
        <f t="shared" si="221"/>
        <v>46813</v>
      </c>
      <c r="C680" s="243">
        <f t="shared" si="204"/>
        <v>46843</v>
      </c>
      <c r="D680" s="120">
        <f t="shared" si="205"/>
        <v>31</v>
      </c>
      <c r="E680" s="120">
        <f t="shared" si="206"/>
        <v>3</v>
      </c>
      <c r="F680" s="275">
        <f t="shared" si="207"/>
        <v>46828.5</v>
      </c>
      <c r="G680" s="120">
        <f t="shared" si="208"/>
        <v>24338</v>
      </c>
      <c r="H680" s="245">
        <f t="shared" si="209"/>
        <v>1</v>
      </c>
      <c r="I680" s="121">
        <f t="shared" si="210"/>
        <v>1.06</v>
      </c>
      <c r="J680" s="121">
        <f t="shared" si="211"/>
        <v>1.06</v>
      </c>
      <c r="K680" s="120">
        <f t="shared" si="212"/>
        <v>0</v>
      </c>
      <c r="L680" s="120">
        <f t="shared" si="213"/>
        <v>0</v>
      </c>
      <c r="M680" s="246">
        <f t="shared" si="214"/>
        <v>0</v>
      </c>
      <c r="N680" s="121">
        <f t="shared" si="215"/>
        <v>1.06</v>
      </c>
      <c r="O680" s="246">
        <f t="shared" si="216"/>
        <v>0.9</v>
      </c>
      <c r="P680" s="121">
        <f t="shared" si="217"/>
        <v>0</v>
      </c>
      <c r="Q680" s="121">
        <f t="shared" si="218"/>
        <v>0</v>
      </c>
      <c r="R680" s="121">
        <f t="shared" si="219"/>
        <v>1</v>
      </c>
      <c r="AE680" s="160">
        <f t="shared" si="220"/>
        <v>1.0369565217391306</v>
      </c>
    </row>
    <row r="681" spans="1:35" x14ac:dyDescent="0.3">
      <c r="A681" s="187">
        <v>40</v>
      </c>
      <c r="B681" s="242">
        <f t="shared" si="221"/>
        <v>46844</v>
      </c>
      <c r="C681" s="243">
        <f t="shared" si="204"/>
        <v>46873</v>
      </c>
      <c r="D681" s="120">
        <f t="shared" si="205"/>
        <v>30</v>
      </c>
      <c r="E681" s="120">
        <f t="shared" si="206"/>
        <v>4</v>
      </c>
      <c r="F681" s="275">
        <f t="shared" si="207"/>
        <v>46859</v>
      </c>
      <c r="G681" s="120">
        <f t="shared" si="208"/>
        <v>24339</v>
      </c>
      <c r="H681" s="245">
        <f t="shared" si="209"/>
        <v>1</v>
      </c>
      <c r="I681" s="121">
        <f t="shared" si="210"/>
        <v>1.06</v>
      </c>
      <c r="J681" s="121">
        <f t="shared" si="211"/>
        <v>1.06</v>
      </c>
      <c r="K681" s="120">
        <f t="shared" si="212"/>
        <v>0</v>
      </c>
      <c r="L681" s="120">
        <f t="shared" si="213"/>
        <v>0</v>
      </c>
      <c r="M681" s="246">
        <f t="shared" si="214"/>
        <v>0</v>
      </c>
      <c r="N681" s="121">
        <f t="shared" si="215"/>
        <v>1.06</v>
      </c>
      <c r="O681" s="246">
        <f t="shared" si="216"/>
        <v>0.9</v>
      </c>
      <c r="P681" s="121">
        <f t="shared" si="217"/>
        <v>0</v>
      </c>
      <c r="Q681" s="121">
        <f t="shared" si="218"/>
        <v>0</v>
      </c>
      <c r="R681" s="121">
        <f t="shared" si="219"/>
        <v>1</v>
      </c>
      <c r="AE681" s="160">
        <f t="shared" si="220"/>
        <v>1.0369565217391306</v>
      </c>
    </row>
    <row r="682" spans="1:35" x14ac:dyDescent="0.3">
      <c r="A682" s="187">
        <v>41</v>
      </c>
      <c r="B682" s="242">
        <f t="shared" si="221"/>
        <v>46874</v>
      </c>
      <c r="C682" s="243">
        <f t="shared" si="204"/>
        <v>46904</v>
      </c>
      <c r="D682" s="120">
        <f t="shared" si="205"/>
        <v>31</v>
      </c>
      <c r="E682" s="120">
        <f t="shared" si="206"/>
        <v>5</v>
      </c>
      <c r="F682" s="275">
        <f t="shared" si="207"/>
        <v>46889.5</v>
      </c>
      <c r="G682" s="120">
        <f t="shared" si="208"/>
        <v>24340</v>
      </c>
      <c r="H682" s="245">
        <f t="shared" si="209"/>
        <v>1</v>
      </c>
      <c r="I682" s="121">
        <f t="shared" si="210"/>
        <v>1.06</v>
      </c>
      <c r="J682" s="121">
        <f t="shared" si="211"/>
        <v>1.06</v>
      </c>
      <c r="K682" s="120">
        <f t="shared" si="212"/>
        <v>0</v>
      </c>
      <c r="L682" s="120">
        <f t="shared" si="213"/>
        <v>0</v>
      </c>
      <c r="M682" s="246">
        <f t="shared" si="214"/>
        <v>0</v>
      </c>
      <c r="N682" s="121">
        <f t="shared" si="215"/>
        <v>1.06</v>
      </c>
      <c r="O682" s="246">
        <f t="shared" si="216"/>
        <v>0.9</v>
      </c>
      <c r="P682" s="121">
        <f t="shared" si="217"/>
        <v>0</v>
      </c>
      <c r="Q682" s="121">
        <f t="shared" si="218"/>
        <v>0</v>
      </c>
      <c r="R682" s="121">
        <f t="shared" si="219"/>
        <v>1</v>
      </c>
      <c r="AE682" s="160">
        <f t="shared" si="220"/>
        <v>1.0369565217391306</v>
      </c>
    </row>
    <row r="683" spans="1:35" x14ac:dyDescent="0.3">
      <c r="A683" s="187">
        <v>42</v>
      </c>
      <c r="B683" s="242">
        <f t="shared" si="221"/>
        <v>46905</v>
      </c>
      <c r="C683" s="243">
        <f t="shared" si="204"/>
        <v>46934</v>
      </c>
      <c r="D683" s="120">
        <f t="shared" si="205"/>
        <v>30</v>
      </c>
      <c r="E683" s="120">
        <f t="shared" si="206"/>
        <v>6</v>
      </c>
      <c r="F683" s="275">
        <f t="shared" si="207"/>
        <v>46920</v>
      </c>
      <c r="G683" s="120">
        <f t="shared" si="208"/>
        <v>24341</v>
      </c>
      <c r="H683" s="245">
        <f t="shared" si="209"/>
        <v>1</v>
      </c>
      <c r="I683" s="121">
        <f t="shared" si="210"/>
        <v>1.06</v>
      </c>
      <c r="J683" s="121">
        <f t="shared" si="211"/>
        <v>1.06</v>
      </c>
      <c r="K683" s="120">
        <f t="shared" si="212"/>
        <v>0</v>
      </c>
      <c r="L683" s="120">
        <f t="shared" si="213"/>
        <v>0</v>
      </c>
      <c r="M683" s="246">
        <f t="shared" si="214"/>
        <v>0</v>
      </c>
      <c r="N683" s="121">
        <f t="shared" si="215"/>
        <v>1.06</v>
      </c>
      <c r="O683" s="246">
        <f t="shared" si="216"/>
        <v>0.9</v>
      </c>
      <c r="P683" s="121">
        <f t="shared" si="217"/>
        <v>0</v>
      </c>
      <c r="Q683" s="121">
        <f t="shared" si="218"/>
        <v>0</v>
      </c>
      <c r="R683" s="121">
        <f t="shared" si="219"/>
        <v>1</v>
      </c>
      <c r="AE683" s="160">
        <f t="shared" si="220"/>
        <v>1.0369565217391306</v>
      </c>
    </row>
    <row r="684" spans="1:35" x14ac:dyDescent="0.3">
      <c r="A684" s="187">
        <v>43</v>
      </c>
      <c r="B684" s="242">
        <f t="shared" si="221"/>
        <v>46935</v>
      </c>
      <c r="C684" s="243">
        <f t="shared" si="204"/>
        <v>46965</v>
      </c>
      <c r="D684" s="120">
        <f t="shared" si="205"/>
        <v>31</v>
      </c>
      <c r="E684" s="120">
        <f t="shared" si="206"/>
        <v>7</v>
      </c>
      <c r="F684" s="275">
        <f t="shared" si="207"/>
        <v>46950.5</v>
      </c>
      <c r="G684" s="120">
        <f t="shared" si="208"/>
        <v>24342</v>
      </c>
      <c r="H684" s="245">
        <f t="shared" si="209"/>
        <v>1</v>
      </c>
      <c r="I684" s="121">
        <f t="shared" si="210"/>
        <v>1.06</v>
      </c>
      <c r="J684" s="121">
        <f t="shared" si="211"/>
        <v>1.06</v>
      </c>
      <c r="K684" s="120">
        <f t="shared" si="212"/>
        <v>0</v>
      </c>
      <c r="L684" s="120">
        <f t="shared" si="213"/>
        <v>0</v>
      </c>
      <c r="M684" s="246">
        <f t="shared" si="214"/>
        <v>0</v>
      </c>
      <c r="N684" s="121">
        <f t="shared" si="215"/>
        <v>1.06</v>
      </c>
      <c r="O684" s="246">
        <f t="shared" si="216"/>
        <v>0.9</v>
      </c>
      <c r="P684" s="121">
        <f t="shared" si="217"/>
        <v>0</v>
      </c>
      <c r="Q684" s="121">
        <f t="shared" si="218"/>
        <v>0</v>
      </c>
      <c r="R684" s="121">
        <f t="shared" si="219"/>
        <v>0.91666666666666663</v>
      </c>
      <c r="AE684" s="160">
        <f t="shared" si="220"/>
        <v>1.0369565217391306</v>
      </c>
    </row>
    <row r="685" spans="1:35" x14ac:dyDescent="0.3">
      <c r="A685" s="187">
        <v>44</v>
      </c>
      <c r="B685" s="242">
        <f t="shared" si="221"/>
        <v>46966</v>
      </c>
      <c r="C685" s="243">
        <f t="shared" si="204"/>
        <v>46996</v>
      </c>
      <c r="D685" s="120">
        <f t="shared" si="205"/>
        <v>31</v>
      </c>
      <c r="E685" s="120">
        <f t="shared" si="206"/>
        <v>8</v>
      </c>
      <c r="F685" s="275">
        <f t="shared" si="207"/>
        <v>46981.5</v>
      </c>
      <c r="G685" s="120">
        <f t="shared" si="208"/>
        <v>24343</v>
      </c>
      <c r="H685" s="245">
        <f t="shared" si="209"/>
        <v>1</v>
      </c>
      <c r="I685" s="121">
        <f t="shared" si="210"/>
        <v>1.06</v>
      </c>
      <c r="J685" s="121">
        <f t="shared" si="211"/>
        <v>1.06</v>
      </c>
      <c r="K685" s="120">
        <f t="shared" si="212"/>
        <v>0</v>
      </c>
      <c r="L685" s="120">
        <f t="shared" si="213"/>
        <v>0</v>
      </c>
      <c r="M685" s="246">
        <f t="shared" si="214"/>
        <v>0</v>
      </c>
      <c r="N685" s="121">
        <f t="shared" si="215"/>
        <v>1.06</v>
      </c>
      <c r="O685" s="246">
        <f t="shared" si="216"/>
        <v>0.9</v>
      </c>
      <c r="P685" s="121">
        <f t="shared" si="217"/>
        <v>0</v>
      </c>
      <c r="Q685" s="121">
        <f t="shared" si="218"/>
        <v>0</v>
      </c>
      <c r="R685" s="121">
        <f t="shared" si="219"/>
        <v>0.75</v>
      </c>
      <c r="AE685" s="160">
        <f t="shared" si="220"/>
        <v>1.0369565217391306</v>
      </c>
    </row>
    <row r="686" spans="1:35" x14ac:dyDescent="0.3">
      <c r="A686" s="187">
        <v>45</v>
      </c>
      <c r="B686" s="242">
        <f t="shared" si="221"/>
        <v>46997</v>
      </c>
      <c r="C686" s="243">
        <f t="shared" si="204"/>
        <v>47026</v>
      </c>
      <c r="D686" s="120">
        <f t="shared" si="205"/>
        <v>30</v>
      </c>
      <c r="E686" s="120">
        <f t="shared" si="206"/>
        <v>9</v>
      </c>
      <c r="F686" s="275">
        <f t="shared" si="207"/>
        <v>47012</v>
      </c>
      <c r="G686" s="120">
        <f t="shared" si="208"/>
        <v>24344</v>
      </c>
      <c r="H686" s="245">
        <f t="shared" si="209"/>
        <v>1</v>
      </c>
      <c r="I686" s="121">
        <f t="shared" si="210"/>
        <v>1.06</v>
      </c>
      <c r="J686" s="121">
        <f t="shared" si="211"/>
        <v>1.06</v>
      </c>
      <c r="K686" s="120">
        <f t="shared" si="212"/>
        <v>0</v>
      </c>
      <c r="L686" s="120">
        <f t="shared" si="213"/>
        <v>0</v>
      </c>
      <c r="M686" s="246">
        <f t="shared" si="214"/>
        <v>0</v>
      </c>
      <c r="N686" s="121">
        <f t="shared" si="215"/>
        <v>1.06</v>
      </c>
      <c r="O686" s="246">
        <f t="shared" si="216"/>
        <v>0.9</v>
      </c>
      <c r="P686" s="121">
        <f t="shared" si="217"/>
        <v>0</v>
      </c>
      <c r="Q686" s="121">
        <f t="shared" si="218"/>
        <v>0</v>
      </c>
      <c r="R686" s="121">
        <f t="shared" si="219"/>
        <v>0.58333333333333337</v>
      </c>
      <c r="AE686" s="160">
        <f t="shared" si="220"/>
        <v>1.0369565217391306</v>
      </c>
    </row>
    <row r="687" spans="1:35" x14ac:dyDescent="0.3">
      <c r="A687" s="187">
        <v>46</v>
      </c>
      <c r="B687" s="242">
        <f t="shared" si="221"/>
        <v>47027</v>
      </c>
      <c r="C687" s="243">
        <f t="shared" si="204"/>
        <v>47057</v>
      </c>
      <c r="D687" s="120">
        <f t="shared" si="205"/>
        <v>31</v>
      </c>
      <c r="E687" s="120">
        <f t="shared" si="206"/>
        <v>10</v>
      </c>
      <c r="F687" s="275">
        <f t="shared" si="207"/>
        <v>47042.5</v>
      </c>
      <c r="G687" s="120">
        <f t="shared" si="208"/>
        <v>24345</v>
      </c>
      <c r="H687" s="245">
        <f t="shared" si="209"/>
        <v>1</v>
      </c>
      <c r="I687" s="121">
        <f t="shared" si="210"/>
        <v>1.06</v>
      </c>
      <c r="J687" s="121">
        <f t="shared" si="211"/>
        <v>1.06</v>
      </c>
      <c r="K687" s="120">
        <f t="shared" si="212"/>
        <v>0</v>
      </c>
      <c r="L687" s="120">
        <f t="shared" si="213"/>
        <v>0</v>
      </c>
      <c r="M687" s="246">
        <f t="shared" si="214"/>
        <v>0</v>
      </c>
      <c r="N687" s="121">
        <f t="shared" si="215"/>
        <v>1.06</v>
      </c>
      <c r="O687" s="246">
        <f t="shared" si="216"/>
        <v>0.9</v>
      </c>
      <c r="P687" s="121">
        <f t="shared" si="217"/>
        <v>0</v>
      </c>
      <c r="Q687" s="121">
        <f t="shared" si="218"/>
        <v>0</v>
      </c>
      <c r="R687" s="121">
        <f t="shared" si="219"/>
        <v>0.41666666666666669</v>
      </c>
      <c r="AE687" s="160">
        <f t="shared" si="220"/>
        <v>1.0369565217391306</v>
      </c>
    </row>
    <row r="688" spans="1:35" x14ac:dyDescent="0.3">
      <c r="A688" s="187">
        <v>47</v>
      </c>
      <c r="B688" s="242">
        <f t="shared" si="221"/>
        <v>47058</v>
      </c>
      <c r="C688" s="243">
        <f t="shared" si="204"/>
        <v>47087</v>
      </c>
      <c r="D688" s="120">
        <f t="shared" si="205"/>
        <v>30</v>
      </c>
      <c r="E688" s="120">
        <f t="shared" si="206"/>
        <v>11</v>
      </c>
      <c r="F688" s="275">
        <f t="shared" si="207"/>
        <v>47073</v>
      </c>
      <c r="G688" s="120">
        <f t="shared" si="208"/>
        <v>24346</v>
      </c>
      <c r="H688" s="245">
        <f t="shared" si="209"/>
        <v>1</v>
      </c>
      <c r="I688" s="121">
        <f t="shared" si="210"/>
        <v>1.06</v>
      </c>
      <c r="J688" s="121">
        <f t="shared" si="211"/>
        <v>1.06</v>
      </c>
      <c r="K688" s="120">
        <f t="shared" si="212"/>
        <v>0</v>
      </c>
      <c r="L688" s="120">
        <f t="shared" si="213"/>
        <v>0</v>
      </c>
      <c r="M688" s="246">
        <f t="shared" si="214"/>
        <v>0</v>
      </c>
      <c r="N688" s="121">
        <f t="shared" si="215"/>
        <v>1.06</v>
      </c>
      <c r="O688" s="246">
        <f t="shared" si="216"/>
        <v>0.9</v>
      </c>
      <c r="P688" s="121">
        <f t="shared" si="217"/>
        <v>0</v>
      </c>
      <c r="Q688" s="121">
        <f t="shared" si="218"/>
        <v>0</v>
      </c>
      <c r="R688" s="121">
        <f t="shared" si="219"/>
        <v>0.25</v>
      </c>
      <c r="AE688" s="160">
        <f t="shared" si="220"/>
        <v>1.0369565217391306</v>
      </c>
    </row>
    <row r="689" spans="1:31" x14ac:dyDescent="0.3">
      <c r="A689" s="187">
        <v>48</v>
      </c>
      <c r="B689" s="242">
        <f t="shared" si="221"/>
        <v>47088</v>
      </c>
      <c r="C689" s="243">
        <f t="shared" si="204"/>
        <v>47118</v>
      </c>
      <c r="D689" s="120">
        <f t="shared" si="205"/>
        <v>31</v>
      </c>
      <c r="E689" s="120">
        <f t="shared" si="206"/>
        <v>12</v>
      </c>
      <c r="F689" s="275">
        <f t="shared" si="207"/>
        <v>47103.5</v>
      </c>
      <c r="G689" s="120">
        <f t="shared" si="208"/>
        <v>24347</v>
      </c>
      <c r="H689" s="245">
        <f t="shared" si="209"/>
        <v>1</v>
      </c>
      <c r="I689" s="121">
        <f t="shared" si="210"/>
        <v>1.06</v>
      </c>
      <c r="J689" s="121">
        <f t="shared" si="211"/>
        <v>1.06</v>
      </c>
      <c r="K689" s="120">
        <f t="shared" si="212"/>
        <v>0</v>
      </c>
      <c r="L689" s="120">
        <f t="shared" si="213"/>
        <v>0</v>
      </c>
      <c r="M689" s="246">
        <f t="shared" si="214"/>
        <v>0</v>
      </c>
      <c r="N689" s="121">
        <f t="shared" si="215"/>
        <v>1.06</v>
      </c>
      <c r="O689" s="246">
        <f t="shared" si="216"/>
        <v>0.9</v>
      </c>
      <c r="P689" s="121">
        <f t="shared" si="217"/>
        <v>0</v>
      </c>
      <c r="Q689" s="121">
        <f t="shared" si="218"/>
        <v>0</v>
      </c>
      <c r="R689" s="121">
        <f t="shared" si="219"/>
        <v>8.3333333333333329E-2</v>
      </c>
      <c r="AE689" s="160">
        <f t="shared" si="220"/>
        <v>1.0369565217391306</v>
      </c>
    </row>
    <row r="690" spans="1:31" x14ac:dyDescent="0.3">
      <c r="A690" s="23" t="s">
        <v>1723</v>
      </c>
      <c r="B690" s="279">
        <f>SUM($H$666:$H$677)</f>
        <v>12</v>
      </c>
      <c r="C690" s="160">
        <f>SUMPRODUCT($H$666:$H$677,$W$666:$W$677/$N$654:$N$665,$Y$666:$Y$677)</f>
        <v>11.954385285404898</v>
      </c>
      <c r="D690" s="160">
        <f>SUMPRODUCT($H$666:$H$677,$X$666:$X$677/$N$654:$N$665,$Y$666:$Y$677)</f>
        <v>2.9736404902741418</v>
      </c>
      <c r="E690" s="281" t="str">
        <f>IF(OR($D$639=0,$P$639=0,$D690=0),"n/a",((1+$E$639)*$B690-$C690)/$D690)</f>
        <v>n/a</v>
      </c>
      <c r="F690" s="281">
        <f>IF($V$639&lt;&gt;"",$V$639,$E690)</f>
        <v>0.04</v>
      </c>
      <c r="G690" s="281">
        <f>IF(OR(NOT(ISNUMBER($F690)),nd_Ach=0),"n/a",$F690/nd_Ach)</f>
        <v>0.04</v>
      </c>
      <c r="H690" s="220">
        <f>IF(OR(NOT(ISNUMBER($F690)),$F$639=0,SUMPRODUCT($AD$666:$AD$677,$AB$666:$AB$677)=0),"n/a",((1+$E$639)*$B690-SUMPRODUCT($AD$666:$AD$677,$AC$666:$AC$677))/SUMPRODUCT($AD$666:$AD$677,$AB$666:$AB$677))</f>
        <v>0.89085926623038514</v>
      </c>
      <c r="I690" s="183">
        <f>IF(NOT(ISNUMBER($F690)),"n/a",SUMPRODUCT($H$666:$H$677,($W$666:$W$677+$X$666:$X$677*$F690)/$N$654:$N$665)/$B690-1)</f>
        <v>1.4999999999999902E-2</v>
      </c>
      <c r="J690" s="183">
        <f>IF(OR(NOT(ISNUMBER($I690)),$F$639=0),"n/a",(1+$E$639)/(1+$I690)-1)</f>
        <v>-1.477832512315258E-2</v>
      </c>
      <c r="K690" s="183">
        <f>IF(NOT(ISNUMBER($F690)),"n/a",($C690+$D690*$F690)/$B690-1)</f>
        <v>6.1109087513220306E-3</v>
      </c>
      <c r="L690" s="229">
        <f>IF(NOT(ISNUMBER($F690)),"n/a",SUMPRODUCT($H$666:$H$677,$AF$666:$AF$677)/$B690)</f>
        <v>0.25</v>
      </c>
      <c r="M690" s="23" t="str">
        <f>IF($D$639=0,"",TRIM(IF(AND(ISNUMBER($H690),OR($H690&lt;0.5,$H690&gt;1.5)),"MOD-BOUND ","")&amp;IF(AND(ISNUMBER($F690),ABS($F690)&gt;nr_SolvMaxRate),"RATE-BOUND ","")&amp;IF(AND(ISNUMBER($L690),$L690&lt;nr_SolvMinShare),"THIN-SHARE ","")&amp;IF($W$639&gt;1,"MULTI-PLANNED ","")&amp;IF($F$639=0,"RATE-ONLY","")))</f>
        <v/>
      </c>
      <c r="N690" s="229" t="str">
        <f>IF(OR($D$639=0,NOT(ISNUMBER($F690))),"n/a",INDEX(calc_lrcur,$C$639)*INDEX(calc_crl,$C$639)/(SUMPRODUCT($H$642:$H$689,$Q$642:$Q$689,$AE$642:$AE$689)/SUMPRODUCT($H$642:$H$689,$Q$642:$Q$689))*INDEX(calc_aother,$C$639))</f>
        <v>n/a</v>
      </c>
      <c r="O690" s="229" t="str">
        <f>IF($D$639=0,"n/a",INDEX(calc_cylr_p,$C$639))</f>
        <v>n/a</v>
      </c>
      <c r="P690" s="282">
        <f>IF(NOT(ISNUMBER($E690)),0,ABS(($C690+$D690*$E690)/$B690-(1+$E$639)))</f>
        <v>0</v>
      </c>
    </row>
    <row r="695" spans="1:31" x14ac:dyDescent="0.3">
      <c r="A695" s="23" t="str">
        <f>_lists!$B$11</f>
        <v>KY</v>
      </c>
      <c r="B695" s="23" t="str">
        <f>IF(OR($A695="",nd_BU="All"),"",nd_BU&amp;"|"&amp;$A695)</f>
        <v>SBA|KY</v>
      </c>
      <c r="C695" s="43">
        <f>IF($B695="",0,IF(COUNTIF(lr_key,$B695)=0,0,MATCH($B695,lr_key,0)))</f>
        <v>51</v>
      </c>
      <c r="D695" s="43">
        <f>IF($C695=0,0,IF(ISBLANK(INDEX(lr_netp,$C695)),0,1))</f>
        <v>1</v>
      </c>
      <c r="E695" s="229">
        <f>IF($D695=0,0,N(INDEX(lr_netp,$C695)))</f>
        <v>0.1</v>
      </c>
      <c r="F695" s="43">
        <f>IF($C695=0,0,IF(AND(nr_ModAdjMaster="ON",INDEX(lr_modadj,$C695)="ON"),1,0))</f>
        <v>1</v>
      </c>
      <c r="G695" s="220">
        <f>IF($C695=0,1,IF(N(INDEX(lr_mind,$C695))=0,1,INDEX(lr_mind,$C695)))</f>
        <v>0.92</v>
      </c>
      <c r="H695" s="220">
        <f>IF($C695=0,1,IF(N(INDEX(lr_m0,$C695))=0,1,INDEX(lr_m0,$C695)))</f>
        <v>0.91</v>
      </c>
      <c r="I695" s="278">
        <f>IF($C695=0,DATE(nr_PlanYear-1,10,1),IF(N(INDEX(lr_m0asof,$C695))=0,DATE(nr_PlanYear-1,10,1),INDEX(lr_m0asof,$C695)))</f>
        <v>46295</v>
      </c>
      <c r="J695" s="220">
        <f>IF($C695=0,1,IF(N(INDEX(lr_m1,$C695))=0,1,INDEX(lr_m1,$C695)))</f>
        <v>0.91500000000000004</v>
      </c>
      <c r="K695" s="220">
        <f>IF($C695=0,0,N(INDEX(lr_mprior,$C695)))</f>
        <v>0</v>
      </c>
      <c r="L695" s="220">
        <f>IF($C695=0,0,N(INDEX(lr_m2,$C695)))</f>
        <v>0</v>
      </c>
      <c r="M695" s="43">
        <f>IF(OR($A695="",COUNTIF(se_state,$A695)=0),0,MATCH($A695,se_state,0))</f>
        <v>0</v>
      </c>
      <c r="N695" s="279">
        <f>IF($M695=0,0,INDEX(se_sum,$M695))</f>
        <v>0</v>
      </c>
      <c r="O695" s="278">
        <f>IF('Net Delivery'!$D$17="",$X695,'Net Delivery'!$D$17)</f>
        <v>46478</v>
      </c>
      <c r="P695" s="43">
        <f>IF(AND($O695&gt;=DATE(nr_PlanYear,1,1),$O695&lt;=DATE(nr_PlanYear,12,31)),1,0)</f>
        <v>1</v>
      </c>
      <c r="Q695" s="43">
        <f>YEAR($O695)*12+MONTH($O695)-1</f>
        <v>24327</v>
      </c>
      <c r="R695" s="43">
        <f>DAY(EOMONTH($O695,0))</f>
        <v>30</v>
      </c>
      <c r="S695" s="43">
        <f>EOMONTH($O695,0)-$O695+1</f>
        <v>30</v>
      </c>
      <c r="T695" s="43">
        <f>SUMIFS(ndl_days,rl_key,$B695,ndl_effmonth,DATE(YEAR($O695),MONTH($O695),1),ndl_first,1)</f>
        <v>0</v>
      </c>
      <c r="U695" s="220">
        <f>IF($P695=1,MIN(1,MAX($S695,$T695)/$R695),1)</f>
        <v>1</v>
      </c>
      <c r="V695" s="280">
        <f>IF(ISBLANK('Net Delivery'!$E$17),$Y695,'Net Delivery'!$E$17)</f>
        <v>0.04</v>
      </c>
      <c r="W695" s="43">
        <f>IF($B695="",0,COUNTIFS(rl_key,$B695,rl_status,"planned",rl_eff,"&gt;="&amp;DATE(nr_PlanYear,1,1),rl_eff,"&lt;="&amp;DATE(nr_PlanYear,12,31)))</f>
        <v>1</v>
      </c>
      <c r="X695" s="278">
        <f>IF($W695=0,nd_DefaultDate,SUMIFS(rl_eff,rl_key,$B695,rl_firstplanned,1))</f>
        <v>46478</v>
      </c>
      <c r="Y695" s="280">
        <f>IF($W695=0,"",SUMIFS(rl_reff,rl_key,$B695,rl_firstplanned,1))</f>
        <v>0.04</v>
      </c>
      <c r="Z695" s="280">
        <f>IF($W695=0,"",SUMIFS(rl_filed,rl_key,$B695,rl_firstplanned,1))</f>
        <v>0.04</v>
      </c>
    </row>
    <row r="696" spans="1:31" x14ac:dyDescent="0.3">
      <c r="A696" s="6">
        <f>EDATE($I$695,-12)+1</f>
        <v>45931</v>
      </c>
      <c r="B696" s="6">
        <f>$I$695+1</f>
        <v>46296</v>
      </c>
      <c r="C696" s="6">
        <f>DATE(nr_PlanYear,12,31)+1</f>
        <v>46753</v>
      </c>
      <c r="D696" s="6">
        <f>DATE(nr_PlanYear+1,12,31)+1</f>
        <v>47119</v>
      </c>
      <c r="E696" s="6">
        <f>IF(N($K$695)=0,$F$696-($G$696-$F$696)/($C$696-$B$696)*($B$696-$A$696),$K$695)</f>
        <v>0.90600656455142237</v>
      </c>
      <c r="F696" s="6">
        <f>$H$695</f>
        <v>0.91</v>
      </c>
      <c r="G696" s="6">
        <f>$J$695</f>
        <v>0.91500000000000004</v>
      </c>
      <c r="H696" s="6">
        <f>IF(N($L$695)=0,$J$695,$L$695)</f>
        <v>0.91500000000000004</v>
      </c>
      <c r="I696" s="6">
        <f>($F$696-$E$696)/($B$696-$A$696)</f>
        <v>1.0940919037199081E-5</v>
      </c>
      <c r="J696" s="6">
        <f>($G$696-$F$696)/($C$696-$B$696)</f>
        <v>1.0940919037199135E-5</v>
      </c>
      <c r="K696" s="6">
        <f>($H$696-$G$696)/($D$696-$C$696)</f>
        <v>0</v>
      </c>
    </row>
    <row r="697" spans="1:31" ht="36" x14ac:dyDescent="0.3">
      <c r="A697" s="58" t="s">
        <v>390</v>
      </c>
      <c r="B697" s="58" t="s">
        <v>449</v>
      </c>
      <c r="C697" s="58" t="s">
        <v>685</v>
      </c>
      <c r="D697" s="58" t="s">
        <v>686</v>
      </c>
      <c r="E697" s="58" t="s">
        <v>687</v>
      </c>
      <c r="F697" s="58" t="s">
        <v>688</v>
      </c>
      <c r="G697" s="58" t="s">
        <v>689</v>
      </c>
      <c r="H697" s="58" t="s">
        <v>452</v>
      </c>
      <c r="I697" s="58" t="s">
        <v>690</v>
      </c>
      <c r="J697" s="58" t="s">
        <v>691</v>
      </c>
      <c r="K697" s="58" t="s">
        <v>692</v>
      </c>
      <c r="L697" s="58" t="s">
        <v>693</v>
      </c>
      <c r="M697" s="58" t="s">
        <v>694</v>
      </c>
      <c r="N697" s="58" t="s">
        <v>695</v>
      </c>
      <c r="O697" s="58" t="s">
        <v>696</v>
      </c>
      <c r="P697" s="58" t="s">
        <v>697</v>
      </c>
      <c r="Q697" s="58" t="s">
        <v>698</v>
      </c>
      <c r="R697" s="58" t="s">
        <v>699</v>
      </c>
      <c r="S697" s="58" t="s">
        <v>700</v>
      </c>
      <c r="T697" s="58" t="s">
        <v>701</v>
      </c>
      <c r="U697" s="58" t="s">
        <v>702</v>
      </c>
    </row>
    <row r="698" spans="1:31" x14ac:dyDescent="0.3">
      <c r="A698" s="187">
        <v>1</v>
      </c>
      <c r="B698" s="242">
        <f>DATE(nr_PlanYear-2,1,1)</f>
        <v>45658</v>
      </c>
      <c r="C698" s="243">
        <f t="shared" ref="C698:C745" si="232">EOMONTH($B698,0)</f>
        <v>45688</v>
      </c>
      <c r="D698" s="120">
        <f t="shared" ref="D698:D745" si="233">$C698-$B698+1</f>
        <v>31</v>
      </c>
      <c r="E698" s="120">
        <f t="shared" ref="E698:E745" si="234">MONTH($B698)</f>
        <v>1</v>
      </c>
      <c r="F698" s="275">
        <f t="shared" ref="F698:F745" si="235">($B698+$C698+1)/2</f>
        <v>45673.5</v>
      </c>
      <c r="G698" s="120">
        <f t="shared" ref="G698:G745" si="236">YEAR($B698)*12+MONTH($B698)-1</f>
        <v>24300</v>
      </c>
      <c r="H698" s="245">
        <f t="shared" ref="H698:H745" si="237">IF(OR(nr_SeasonOn="OFF",$M$695=0,$N$695=0),1,12*INDEX(se_block,$M$695,$E698)/$N$695)</f>
        <v>1</v>
      </c>
      <c r="I698" s="121">
        <f t="shared" ref="I698:I745" si="238">EXP(SUMPRODUCT((ndl_eff&lt;$B698)*(rl_key=$B$695)*ndl_ln))</f>
        <v>1</v>
      </c>
      <c r="J698" s="121">
        <f t="shared" ref="J698:J745" si="239">EXP(SUMPRODUCT((ndl_eff&lt;=$C698)*(rl_key=$B$695)*ndl_ln))</f>
        <v>1</v>
      </c>
      <c r="K698" s="120">
        <f t="shared" ref="K698:K745" si="240">COUNTIFS(rl_key,$B$695,ndl_eff,"&gt;="&amp;$B698,ndl_eff,"&lt;="&amp;$C698)</f>
        <v>0</v>
      </c>
      <c r="L698" s="120">
        <f t="shared" ref="L698:L745" si="241">SUMIFS(ndl_days,rl_key,$B$695,ndl_effmonth,$B698,ndl_first,1)</f>
        <v>0</v>
      </c>
      <c r="M698" s="246">
        <f t="shared" ref="M698:M745" si="242">IF($K698=0,0,MIN(1,$L698/$D698))</f>
        <v>0</v>
      </c>
      <c r="N698" s="121">
        <f t="shared" ref="N698:N745" si="243">IF($K698=0,$J698,(1-$M698)*$I698+$M698*$J698)</f>
        <v>1</v>
      </c>
      <c r="O698" s="246">
        <f t="shared" ref="O698:O745" si="244">IF($F698&lt;$B$696,$E$696+$I$696*($F698-$A$696),IF($F698&lt;$C$696,$F$696+$J$696*($F698-$B$696),$G$696+$K$696*($F698-$C$696)))</f>
        <v>0.90318927789934356</v>
      </c>
      <c r="P698" s="121">
        <f t="shared" ref="P698:P745" si="245">MIN(1,MAX(0,(nr_MEndPm1-$G698+0.5)/nr_TermMonths))-MIN(1,MAX(0,(nr_MStartPm1-1-$G698+0.5)/nr_TermMonths))</f>
        <v>0</v>
      </c>
      <c r="Q698" s="121">
        <f t="shared" ref="Q698:Q745" si="246">MIN(1,MAX(0,(nr_MEndP-$G698+0.5)/nr_TermMonths))-MIN(1,MAX(0,(nr_MStartP-1-$G698+0.5)/nr_TermMonths))</f>
        <v>0</v>
      </c>
      <c r="R698" s="121">
        <f t="shared" ref="R698:R745" si="247">MIN(1,MAX(0,(nr_MEndP1-$G698+0.5)/nr_TermMonths))-MIN(1,MAX(0,(nr_MStartP1-1-$G698+0.5)/nr_TermMonths))</f>
        <v>0</v>
      </c>
      <c r="AE698" s="160">
        <f t="shared" ref="AE698:AE745" si="248">IF(OR($G698&lt;nr_MStartP,$G698&gt;=nr_MStartP1),IF($F$695=1,$N698*$O698/$G$695,$N698),($W698+$X698*IF(ISNUMBER($F$746),$F$746,0))*IF($F$695=1,($AC698+$AB698*IF(ISNUMBER($H$746),$H$746,$J$695))/$G$695,1))</f>
        <v>0.98172747597754728</v>
      </c>
    </row>
    <row r="699" spans="1:31" x14ac:dyDescent="0.3">
      <c r="A699" s="187">
        <v>2</v>
      </c>
      <c r="B699" s="242">
        <f t="shared" ref="B699:B745" si="249">EDATE($B698,1)</f>
        <v>45689</v>
      </c>
      <c r="C699" s="243">
        <f t="shared" si="232"/>
        <v>45716</v>
      </c>
      <c r="D699" s="120">
        <f t="shared" si="233"/>
        <v>28</v>
      </c>
      <c r="E699" s="120">
        <f t="shared" si="234"/>
        <v>2</v>
      </c>
      <c r="F699" s="275">
        <f t="shared" si="235"/>
        <v>45703</v>
      </c>
      <c r="G699" s="120">
        <f t="shared" si="236"/>
        <v>24301</v>
      </c>
      <c r="H699" s="245">
        <f t="shared" si="237"/>
        <v>1</v>
      </c>
      <c r="I699" s="121">
        <f t="shared" si="238"/>
        <v>1</v>
      </c>
      <c r="J699" s="121">
        <f t="shared" si="239"/>
        <v>1</v>
      </c>
      <c r="K699" s="120">
        <f t="shared" si="240"/>
        <v>0</v>
      </c>
      <c r="L699" s="120">
        <f t="shared" si="241"/>
        <v>0</v>
      </c>
      <c r="M699" s="246">
        <f t="shared" si="242"/>
        <v>0</v>
      </c>
      <c r="N699" s="121">
        <f t="shared" si="243"/>
        <v>1</v>
      </c>
      <c r="O699" s="246">
        <f t="shared" si="244"/>
        <v>0.90351203501094102</v>
      </c>
      <c r="P699" s="121">
        <f t="shared" si="245"/>
        <v>0</v>
      </c>
      <c r="Q699" s="121">
        <f t="shared" si="246"/>
        <v>0</v>
      </c>
      <c r="R699" s="121">
        <f t="shared" si="247"/>
        <v>0</v>
      </c>
      <c r="AE699" s="160">
        <f t="shared" si="248"/>
        <v>0.98207829892493581</v>
      </c>
    </row>
    <row r="700" spans="1:31" x14ac:dyDescent="0.3">
      <c r="A700" s="187">
        <v>3</v>
      </c>
      <c r="B700" s="242">
        <f t="shared" si="249"/>
        <v>45717</v>
      </c>
      <c r="C700" s="243">
        <f t="shared" si="232"/>
        <v>45747</v>
      </c>
      <c r="D700" s="120">
        <f t="shared" si="233"/>
        <v>31</v>
      </c>
      <c r="E700" s="120">
        <f t="shared" si="234"/>
        <v>3</v>
      </c>
      <c r="F700" s="275">
        <f t="shared" si="235"/>
        <v>45732.5</v>
      </c>
      <c r="G700" s="120">
        <f t="shared" si="236"/>
        <v>24302</v>
      </c>
      <c r="H700" s="245">
        <f t="shared" si="237"/>
        <v>1</v>
      </c>
      <c r="I700" s="121">
        <f t="shared" si="238"/>
        <v>1</v>
      </c>
      <c r="J700" s="121">
        <f t="shared" si="239"/>
        <v>1</v>
      </c>
      <c r="K700" s="120">
        <f t="shared" si="240"/>
        <v>0</v>
      </c>
      <c r="L700" s="120">
        <f t="shared" si="241"/>
        <v>0</v>
      </c>
      <c r="M700" s="246">
        <f t="shared" si="242"/>
        <v>0</v>
      </c>
      <c r="N700" s="121">
        <f t="shared" si="243"/>
        <v>1</v>
      </c>
      <c r="O700" s="246">
        <f t="shared" si="244"/>
        <v>0.90383479212253837</v>
      </c>
      <c r="P700" s="121">
        <f t="shared" si="245"/>
        <v>0</v>
      </c>
      <c r="Q700" s="121">
        <f t="shared" si="246"/>
        <v>0</v>
      </c>
      <c r="R700" s="121">
        <f t="shared" si="247"/>
        <v>0</v>
      </c>
      <c r="AE700" s="160">
        <f t="shared" si="248"/>
        <v>0.98242912187232423</v>
      </c>
    </row>
    <row r="701" spans="1:31" x14ac:dyDescent="0.3">
      <c r="A701" s="187">
        <v>4</v>
      </c>
      <c r="B701" s="242">
        <f t="shared" si="249"/>
        <v>45748</v>
      </c>
      <c r="C701" s="243">
        <f t="shared" si="232"/>
        <v>45777</v>
      </c>
      <c r="D701" s="120">
        <f t="shared" si="233"/>
        <v>30</v>
      </c>
      <c r="E701" s="120">
        <f t="shared" si="234"/>
        <v>4</v>
      </c>
      <c r="F701" s="275">
        <f t="shared" si="235"/>
        <v>45763</v>
      </c>
      <c r="G701" s="120">
        <f t="shared" si="236"/>
        <v>24303</v>
      </c>
      <c r="H701" s="245">
        <f t="shared" si="237"/>
        <v>1</v>
      </c>
      <c r="I701" s="121">
        <f t="shared" si="238"/>
        <v>1</v>
      </c>
      <c r="J701" s="121">
        <f t="shared" si="239"/>
        <v>1</v>
      </c>
      <c r="K701" s="120">
        <f t="shared" si="240"/>
        <v>0</v>
      </c>
      <c r="L701" s="120">
        <f t="shared" si="241"/>
        <v>0</v>
      </c>
      <c r="M701" s="246">
        <f t="shared" si="242"/>
        <v>0</v>
      </c>
      <c r="N701" s="121">
        <f t="shared" si="243"/>
        <v>1</v>
      </c>
      <c r="O701" s="246">
        <f t="shared" si="244"/>
        <v>0.90416849015317291</v>
      </c>
      <c r="P701" s="121">
        <f t="shared" si="245"/>
        <v>0</v>
      </c>
      <c r="Q701" s="121">
        <f t="shared" si="246"/>
        <v>0</v>
      </c>
      <c r="R701" s="121">
        <f t="shared" si="247"/>
        <v>0</v>
      </c>
      <c r="AE701" s="160">
        <f t="shared" si="248"/>
        <v>0.98279183712301399</v>
      </c>
    </row>
    <row r="702" spans="1:31" x14ac:dyDescent="0.3">
      <c r="A702" s="187">
        <v>5</v>
      </c>
      <c r="B702" s="242">
        <f t="shared" si="249"/>
        <v>45778</v>
      </c>
      <c r="C702" s="243">
        <f t="shared" si="232"/>
        <v>45808</v>
      </c>
      <c r="D702" s="120">
        <f t="shared" si="233"/>
        <v>31</v>
      </c>
      <c r="E702" s="120">
        <f t="shared" si="234"/>
        <v>5</v>
      </c>
      <c r="F702" s="275">
        <f t="shared" si="235"/>
        <v>45793.5</v>
      </c>
      <c r="G702" s="120">
        <f t="shared" si="236"/>
        <v>24304</v>
      </c>
      <c r="H702" s="245">
        <f t="shared" si="237"/>
        <v>1</v>
      </c>
      <c r="I702" s="121">
        <f t="shared" si="238"/>
        <v>1</v>
      </c>
      <c r="J702" s="121">
        <f t="shared" si="239"/>
        <v>1</v>
      </c>
      <c r="K702" s="120">
        <f t="shared" si="240"/>
        <v>0</v>
      </c>
      <c r="L702" s="120">
        <f t="shared" si="241"/>
        <v>0</v>
      </c>
      <c r="M702" s="246">
        <f t="shared" si="242"/>
        <v>0</v>
      </c>
      <c r="N702" s="121">
        <f t="shared" si="243"/>
        <v>1</v>
      </c>
      <c r="O702" s="246">
        <f t="shared" si="244"/>
        <v>0.90450218818380745</v>
      </c>
      <c r="P702" s="121">
        <f t="shared" si="245"/>
        <v>0</v>
      </c>
      <c r="Q702" s="121">
        <f t="shared" si="246"/>
        <v>0</v>
      </c>
      <c r="R702" s="121">
        <f t="shared" si="247"/>
        <v>0</v>
      </c>
      <c r="AE702" s="160">
        <f t="shared" si="248"/>
        <v>0.98315455237370375</v>
      </c>
    </row>
    <row r="703" spans="1:31" x14ac:dyDescent="0.3">
      <c r="A703" s="187">
        <v>6</v>
      </c>
      <c r="B703" s="242">
        <f t="shared" si="249"/>
        <v>45809</v>
      </c>
      <c r="C703" s="243">
        <f t="shared" si="232"/>
        <v>45838</v>
      </c>
      <c r="D703" s="120">
        <f t="shared" si="233"/>
        <v>30</v>
      </c>
      <c r="E703" s="120">
        <f t="shared" si="234"/>
        <v>6</v>
      </c>
      <c r="F703" s="275">
        <f t="shared" si="235"/>
        <v>45824</v>
      </c>
      <c r="G703" s="120">
        <f t="shared" si="236"/>
        <v>24305</v>
      </c>
      <c r="H703" s="245">
        <f t="shared" si="237"/>
        <v>1</v>
      </c>
      <c r="I703" s="121">
        <f t="shared" si="238"/>
        <v>1</v>
      </c>
      <c r="J703" s="121">
        <f t="shared" si="239"/>
        <v>1</v>
      </c>
      <c r="K703" s="120">
        <f t="shared" si="240"/>
        <v>0</v>
      </c>
      <c r="L703" s="120">
        <f t="shared" si="241"/>
        <v>0</v>
      </c>
      <c r="M703" s="246">
        <f t="shared" si="242"/>
        <v>0</v>
      </c>
      <c r="N703" s="121">
        <f t="shared" si="243"/>
        <v>1</v>
      </c>
      <c r="O703" s="246">
        <f t="shared" si="244"/>
        <v>0.90483588621444211</v>
      </c>
      <c r="P703" s="121">
        <f t="shared" si="245"/>
        <v>0</v>
      </c>
      <c r="Q703" s="121">
        <f t="shared" si="246"/>
        <v>0</v>
      </c>
      <c r="R703" s="121">
        <f t="shared" si="247"/>
        <v>0</v>
      </c>
      <c r="AE703" s="160">
        <f t="shared" si="248"/>
        <v>0.98351726762439351</v>
      </c>
    </row>
    <row r="704" spans="1:31" x14ac:dyDescent="0.3">
      <c r="A704" s="187">
        <v>7</v>
      </c>
      <c r="B704" s="242">
        <f t="shared" si="249"/>
        <v>45839</v>
      </c>
      <c r="C704" s="243">
        <f t="shared" si="232"/>
        <v>45869</v>
      </c>
      <c r="D704" s="120">
        <f t="shared" si="233"/>
        <v>31</v>
      </c>
      <c r="E704" s="120">
        <f t="shared" si="234"/>
        <v>7</v>
      </c>
      <c r="F704" s="275">
        <f t="shared" si="235"/>
        <v>45854.5</v>
      </c>
      <c r="G704" s="120">
        <f t="shared" si="236"/>
        <v>24306</v>
      </c>
      <c r="H704" s="245">
        <f t="shared" si="237"/>
        <v>1</v>
      </c>
      <c r="I704" s="121">
        <f t="shared" si="238"/>
        <v>1</v>
      </c>
      <c r="J704" s="121">
        <f t="shared" si="239"/>
        <v>1</v>
      </c>
      <c r="K704" s="120">
        <f t="shared" si="240"/>
        <v>0</v>
      </c>
      <c r="L704" s="120">
        <f t="shared" si="241"/>
        <v>0</v>
      </c>
      <c r="M704" s="246">
        <f t="shared" si="242"/>
        <v>0</v>
      </c>
      <c r="N704" s="121">
        <f t="shared" si="243"/>
        <v>1</v>
      </c>
      <c r="O704" s="246">
        <f t="shared" si="244"/>
        <v>0.90516958424507665</v>
      </c>
      <c r="P704" s="121">
        <f t="shared" si="245"/>
        <v>8.333333333333337E-2</v>
      </c>
      <c r="Q704" s="121">
        <f t="shared" si="246"/>
        <v>0</v>
      </c>
      <c r="R704" s="121">
        <f t="shared" si="247"/>
        <v>0</v>
      </c>
      <c r="AE704" s="160">
        <f t="shared" si="248"/>
        <v>0.98387998287508327</v>
      </c>
    </row>
    <row r="705" spans="1:31" x14ac:dyDescent="0.3">
      <c r="A705" s="187">
        <v>8</v>
      </c>
      <c r="B705" s="242">
        <f t="shared" si="249"/>
        <v>45870</v>
      </c>
      <c r="C705" s="243">
        <f t="shared" si="232"/>
        <v>45900</v>
      </c>
      <c r="D705" s="120">
        <f t="shared" si="233"/>
        <v>31</v>
      </c>
      <c r="E705" s="120">
        <f t="shared" si="234"/>
        <v>8</v>
      </c>
      <c r="F705" s="275">
        <f t="shared" si="235"/>
        <v>45885.5</v>
      </c>
      <c r="G705" s="120">
        <f t="shared" si="236"/>
        <v>24307</v>
      </c>
      <c r="H705" s="245">
        <f t="shared" si="237"/>
        <v>1</v>
      </c>
      <c r="I705" s="121">
        <f t="shared" si="238"/>
        <v>1</v>
      </c>
      <c r="J705" s="121">
        <f t="shared" si="239"/>
        <v>1</v>
      </c>
      <c r="K705" s="120">
        <f t="shared" si="240"/>
        <v>0</v>
      </c>
      <c r="L705" s="120">
        <f t="shared" si="241"/>
        <v>0</v>
      </c>
      <c r="M705" s="246">
        <f t="shared" si="242"/>
        <v>0</v>
      </c>
      <c r="N705" s="121">
        <f t="shared" si="243"/>
        <v>1</v>
      </c>
      <c r="O705" s="246">
        <f t="shared" si="244"/>
        <v>0.90550875273522979</v>
      </c>
      <c r="P705" s="121">
        <f t="shared" si="245"/>
        <v>0.25</v>
      </c>
      <c r="Q705" s="121">
        <f t="shared" si="246"/>
        <v>0</v>
      </c>
      <c r="R705" s="121">
        <f t="shared" si="247"/>
        <v>0</v>
      </c>
      <c r="AE705" s="160">
        <f t="shared" si="248"/>
        <v>0.98424864427742365</v>
      </c>
    </row>
    <row r="706" spans="1:31" x14ac:dyDescent="0.3">
      <c r="A706" s="187">
        <v>9</v>
      </c>
      <c r="B706" s="242">
        <f t="shared" si="249"/>
        <v>45901</v>
      </c>
      <c r="C706" s="243">
        <f t="shared" si="232"/>
        <v>45930</v>
      </c>
      <c r="D706" s="120">
        <f t="shared" si="233"/>
        <v>30</v>
      </c>
      <c r="E706" s="120">
        <f t="shared" si="234"/>
        <v>9</v>
      </c>
      <c r="F706" s="275">
        <f t="shared" si="235"/>
        <v>45916</v>
      </c>
      <c r="G706" s="120">
        <f t="shared" si="236"/>
        <v>24308</v>
      </c>
      <c r="H706" s="245">
        <f t="shared" si="237"/>
        <v>1</v>
      </c>
      <c r="I706" s="121">
        <f t="shared" si="238"/>
        <v>1</v>
      </c>
      <c r="J706" s="121">
        <f t="shared" si="239"/>
        <v>1</v>
      </c>
      <c r="K706" s="120">
        <f t="shared" si="240"/>
        <v>0</v>
      </c>
      <c r="L706" s="120">
        <f t="shared" si="241"/>
        <v>0</v>
      </c>
      <c r="M706" s="246">
        <f t="shared" si="242"/>
        <v>0</v>
      </c>
      <c r="N706" s="121">
        <f t="shared" si="243"/>
        <v>1</v>
      </c>
      <c r="O706" s="246">
        <f t="shared" si="244"/>
        <v>0.90584245076586434</v>
      </c>
      <c r="P706" s="121">
        <f t="shared" si="245"/>
        <v>0.41666666666666663</v>
      </c>
      <c r="Q706" s="121">
        <f t="shared" si="246"/>
        <v>0</v>
      </c>
      <c r="R706" s="121">
        <f t="shared" si="247"/>
        <v>0</v>
      </c>
      <c r="AE706" s="160">
        <f t="shared" si="248"/>
        <v>0.98461135952811341</v>
      </c>
    </row>
    <row r="707" spans="1:31" x14ac:dyDescent="0.3">
      <c r="A707" s="187">
        <v>10</v>
      </c>
      <c r="B707" s="242">
        <f t="shared" si="249"/>
        <v>45931</v>
      </c>
      <c r="C707" s="243">
        <f t="shared" si="232"/>
        <v>45961</v>
      </c>
      <c r="D707" s="120">
        <f t="shared" si="233"/>
        <v>31</v>
      </c>
      <c r="E707" s="120">
        <f t="shared" si="234"/>
        <v>10</v>
      </c>
      <c r="F707" s="275">
        <f t="shared" si="235"/>
        <v>45946.5</v>
      </c>
      <c r="G707" s="120">
        <f t="shared" si="236"/>
        <v>24309</v>
      </c>
      <c r="H707" s="245">
        <f t="shared" si="237"/>
        <v>1</v>
      </c>
      <c r="I707" s="121">
        <f t="shared" si="238"/>
        <v>1</v>
      </c>
      <c r="J707" s="121">
        <f t="shared" si="239"/>
        <v>1</v>
      </c>
      <c r="K707" s="120">
        <f t="shared" si="240"/>
        <v>0</v>
      </c>
      <c r="L707" s="120">
        <f t="shared" si="241"/>
        <v>0</v>
      </c>
      <c r="M707" s="246">
        <f t="shared" si="242"/>
        <v>0</v>
      </c>
      <c r="N707" s="121">
        <f t="shared" si="243"/>
        <v>1</v>
      </c>
      <c r="O707" s="246">
        <f t="shared" si="244"/>
        <v>0.90617614879649899</v>
      </c>
      <c r="P707" s="121">
        <f t="shared" si="245"/>
        <v>0.58333333333333326</v>
      </c>
      <c r="Q707" s="121">
        <f t="shared" si="246"/>
        <v>0</v>
      </c>
      <c r="R707" s="121">
        <f t="shared" si="247"/>
        <v>0</v>
      </c>
      <c r="AE707" s="160">
        <f t="shared" si="248"/>
        <v>0.98497407477880317</v>
      </c>
    </row>
    <row r="708" spans="1:31" x14ac:dyDescent="0.3">
      <c r="A708" s="187">
        <v>11</v>
      </c>
      <c r="B708" s="242">
        <f t="shared" si="249"/>
        <v>45962</v>
      </c>
      <c r="C708" s="243">
        <f t="shared" si="232"/>
        <v>45991</v>
      </c>
      <c r="D708" s="120">
        <f t="shared" si="233"/>
        <v>30</v>
      </c>
      <c r="E708" s="120">
        <f t="shared" si="234"/>
        <v>11</v>
      </c>
      <c r="F708" s="275">
        <f t="shared" si="235"/>
        <v>45977</v>
      </c>
      <c r="G708" s="120">
        <f t="shared" si="236"/>
        <v>24310</v>
      </c>
      <c r="H708" s="245">
        <f t="shared" si="237"/>
        <v>1</v>
      </c>
      <c r="I708" s="121">
        <f t="shared" si="238"/>
        <v>1</v>
      </c>
      <c r="J708" s="121">
        <f t="shared" si="239"/>
        <v>1</v>
      </c>
      <c r="K708" s="120">
        <f t="shared" si="240"/>
        <v>0</v>
      </c>
      <c r="L708" s="120">
        <f t="shared" si="241"/>
        <v>0</v>
      </c>
      <c r="M708" s="246">
        <f t="shared" si="242"/>
        <v>0</v>
      </c>
      <c r="N708" s="121">
        <f t="shared" si="243"/>
        <v>1</v>
      </c>
      <c r="O708" s="246">
        <f t="shared" si="244"/>
        <v>0.90650984682713354</v>
      </c>
      <c r="P708" s="121">
        <f t="shared" si="245"/>
        <v>0.75</v>
      </c>
      <c r="Q708" s="121">
        <f t="shared" si="246"/>
        <v>0</v>
      </c>
      <c r="R708" s="121">
        <f t="shared" si="247"/>
        <v>0</v>
      </c>
      <c r="AE708" s="160">
        <f t="shared" si="248"/>
        <v>0.98533679002949293</v>
      </c>
    </row>
    <row r="709" spans="1:31" x14ac:dyDescent="0.3">
      <c r="A709" s="187">
        <v>12</v>
      </c>
      <c r="B709" s="242">
        <f t="shared" si="249"/>
        <v>45992</v>
      </c>
      <c r="C709" s="243">
        <f t="shared" si="232"/>
        <v>46022</v>
      </c>
      <c r="D709" s="120">
        <f t="shared" si="233"/>
        <v>31</v>
      </c>
      <c r="E709" s="120">
        <f t="shared" si="234"/>
        <v>12</v>
      </c>
      <c r="F709" s="275">
        <f t="shared" si="235"/>
        <v>46007.5</v>
      </c>
      <c r="G709" s="120">
        <f t="shared" si="236"/>
        <v>24311</v>
      </c>
      <c r="H709" s="245">
        <f t="shared" si="237"/>
        <v>1</v>
      </c>
      <c r="I709" s="121">
        <f t="shared" si="238"/>
        <v>1</v>
      </c>
      <c r="J709" s="121">
        <f t="shared" si="239"/>
        <v>1</v>
      </c>
      <c r="K709" s="120">
        <f t="shared" si="240"/>
        <v>0</v>
      </c>
      <c r="L709" s="120">
        <f t="shared" si="241"/>
        <v>0</v>
      </c>
      <c r="M709" s="246">
        <f t="shared" si="242"/>
        <v>0</v>
      </c>
      <c r="N709" s="121">
        <f t="shared" si="243"/>
        <v>1</v>
      </c>
      <c r="O709" s="246">
        <f t="shared" si="244"/>
        <v>0.90684354485776808</v>
      </c>
      <c r="P709" s="121">
        <f t="shared" si="245"/>
        <v>0.91666666666666663</v>
      </c>
      <c r="Q709" s="121">
        <f t="shared" si="246"/>
        <v>0</v>
      </c>
      <c r="R709" s="121">
        <f t="shared" si="247"/>
        <v>0</v>
      </c>
      <c r="AE709" s="160">
        <f t="shared" si="248"/>
        <v>0.98569950528018269</v>
      </c>
    </row>
    <row r="710" spans="1:31" x14ac:dyDescent="0.3">
      <c r="A710" s="187">
        <v>13</v>
      </c>
      <c r="B710" s="242">
        <f t="shared" si="249"/>
        <v>46023</v>
      </c>
      <c r="C710" s="243">
        <f t="shared" si="232"/>
        <v>46053</v>
      </c>
      <c r="D710" s="120">
        <f t="shared" si="233"/>
        <v>31</v>
      </c>
      <c r="E710" s="120">
        <f t="shared" si="234"/>
        <v>1</v>
      </c>
      <c r="F710" s="275">
        <f t="shared" si="235"/>
        <v>46038.5</v>
      </c>
      <c r="G710" s="120">
        <f t="shared" si="236"/>
        <v>24312</v>
      </c>
      <c r="H710" s="245">
        <f t="shared" si="237"/>
        <v>1</v>
      </c>
      <c r="I710" s="121">
        <f t="shared" si="238"/>
        <v>1</v>
      </c>
      <c r="J710" s="121">
        <f t="shared" si="239"/>
        <v>1</v>
      </c>
      <c r="K710" s="120">
        <f t="shared" si="240"/>
        <v>0</v>
      </c>
      <c r="L710" s="120">
        <f t="shared" si="241"/>
        <v>0</v>
      </c>
      <c r="M710" s="246">
        <f t="shared" si="242"/>
        <v>0</v>
      </c>
      <c r="N710" s="121">
        <f t="shared" si="243"/>
        <v>1</v>
      </c>
      <c r="O710" s="246">
        <f t="shared" si="244"/>
        <v>0.90718271334792122</v>
      </c>
      <c r="P710" s="121">
        <f t="shared" si="245"/>
        <v>1</v>
      </c>
      <c r="Q710" s="121">
        <f t="shared" si="246"/>
        <v>0</v>
      </c>
      <c r="R710" s="121">
        <f t="shared" si="247"/>
        <v>0</v>
      </c>
      <c r="AE710" s="160">
        <f t="shared" si="248"/>
        <v>0.98606816668252306</v>
      </c>
    </row>
    <row r="711" spans="1:31" x14ac:dyDescent="0.3">
      <c r="A711" s="187">
        <v>14</v>
      </c>
      <c r="B711" s="242">
        <f t="shared" si="249"/>
        <v>46054</v>
      </c>
      <c r="C711" s="243">
        <f t="shared" si="232"/>
        <v>46081</v>
      </c>
      <c r="D711" s="120">
        <f t="shared" si="233"/>
        <v>28</v>
      </c>
      <c r="E711" s="120">
        <f t="shared" si="234"/>
        <v>2</v>
      </c>
      <c r="F711" s="275">
        <f t="shared" si="235"/>
        <v>46068</v>
      </c>
      <c r="G711" s="120">
        <f t="shared" si="236"/>
        <v>24313</v>
      </c>
      <c r="H711" s="245">
        <f t="shared" si="237"/>
        <v>1</v>
      </c>
      <c r="I711" s="121">
        <f t="shared" si="238"/>
        <v>1</v>
      </c>
      <c r="J711" s="121">
        <f t="shared" si="239"/>
        <v>1</v>
      </c>
      <c r="K711" s="120">
        <f t="shared" si="240"/>
        <v>0</v>
      </c>
      <c r="L711" s="120">
        <f t="shared" si="241"/>
        <v>0</v>
      </c>
      <c r="M711" s="246">
        <f t="shared" si="242"/>
        <v>0</v>
      </c>
      <c r="N711" s="121">
        <f t="shared" si="243"/>
        <v>1</v>
      </c>
      <c r="O711" s="246">
        <f t="shared" si="244"/>
        <v>0.90750547045951868</v>
      </c>
      <c r="P711" s="121">
        <f t="shared" si="245"/>
        <v>1</v>
      </c>
      <c r="Q711" s="121">
        <f t="shared" si="246"/>
        <v>0</v>
      </c>
      <c r="R711" s="121">
        <f t="shared" si="247"/>
        <v>0</v>
      </c>
      <c r="AE711" s="160">
        <f t="shared" si="248"/>
        <v>0.98641898962991159</v>
      </c>
    </row>
    <row r="712" spans="1:31" x14ac:dyDescent="0.3">
      <c r="A712" s="187">
        <v>15</v>
      </c>
      <c r="B712" s="242">
        <f t="shared" si="249"/>
        <v>46082</v>
      </c>
      <c r="C712" s="243">
        <f t="shared" si="232"/>
        <v>46112</v>
      </c>
      <c r="D712" s="120">
        <f t="shared" si="233"/>
        <v>31</v>
      </c>
      <c r="E712" s="120">
        <f t="shared" si="234"/>
        <v>3</v>
      </c>
      <c r="F712" s="275">
        <f t="shared" si="235"/>
        <v>46097.5</v>
      </c>
      <c r="G712" s="120">
        <f t="shared" si="236"/>
        <v>24314</v>
      </c>
      <c r="H712" s="245">
        <f t="shared" si="237"/>
        <v>1</v>
      </c>
      <c r="I712" s="121">
        <f t="shared" si="238"/>
        <v>1</v>
      </c>
      <c r="J712" s="121">
        <f t="shared" si="239"/>
        <v>1</v>
      </c>
      <c r="K712" s="120">
        <f t="shared" si="240"/>
        <v>0</v>
      </c>
      <c r="L712" s="120">
        <f t="shared" si="241"/>
        <v>0</v>
      </c>
      <c r="M712" s="246">
        <f t="shared" si="242"/>
        <v>0</v>
      </c>
      <c r="N712" s="121">
        <f t="shared" si="243"/>
        <v>1</v>
      </c>
      <c r="O712" s="246">
        <f t="shared" si="244"/>
        <v>0.90782822757111603</v>
      </c>
      <c r="P712" s="121">
        <f t="shared" si="245"/>
        <v>1</v>
      </c>
      <c r="Q712" s="121">
        <f t="shared" si="246"/>
        <v>0</v>
      </c>
      <c r="R712" s="121">
        <f t="shared" si="247"/>
        <v>0</v>
      </c>
      <c r="AE712" s="160">
        <f t="shared" si="248"/>
        <v>0.98676981257730001</v>
      </c>
    </row>
    <row r="713" spans="1:31" x14ac:dyDescent="0.3">
      <c r="A713" s="187">
        <v>16</v>
      </c>
      <c r="B713" s="242">
        <f t="shared" si="249"/>
        <v>46113</v>
      </c>
      <c r="C713" s="243">
        <f t="shared" si="232"/>
        <v>46142</v>
      </c>
      <c r="D713" s="120">
        <f t="shared" si="233"/>
        <v>30</v>
      </c>
      <c r="E713" s="120">
        <f t="shared" si="234"/>
        <v>4</v>
      </c>
      <c r="F713" s="275">
        <f t="shared" si="235"/>
        <v>46128</v>
      </c>
      <c r="G713" s="120">
        <f t="shared" si="236"/>
        <v>24315</v>
      </c>
      <c r="H713" s="245">
        <f t="shared" si="237"/>
        <v>1</v>
      </c>
      <c r="I713" s="121">
        <f t="shared" si="238"/>
        <v>1</v>
      </c>
      <c r="J713" s="121">
        <f t="shared" si="239"/>
        <v>1</v>
      </c>
      <c r="K713" s="120">
        <f t="shared" si="240"/>
        <v>0</v>
      </c>
      <c r="L713" s="120">
        <f t="shared" si="241"/>
        <v>0</v>
      </c>
      <c r="M713" s="246">
        <f t="shared" si="242"/>
        <v>0</v>
      </c>
      <c r="N713" s="121">
        <f t="shared" si="243"/>
        <v>1</v>
      </c>
      <c r="O713" s="246">
        <f t="shared" si="244"/>
        <v>0.90816192560175057</v>
      </c>
      <c r="P713" s="121">
        <f t="shared" si="245"/>
        <v>1</v>
      </c>
      <c r="Q713" s="121">
        <f t="shared" si="246"/>
        <v>0</v>
      </c>
      <c r="R713" s="121">
        <f t="shared" si="247"/>
        <v>0</v>
      </c>
      <c r="AE713" s="160">
        <f t="shared" si="248"/>
        <v>0.98713252782798966</v>
      </c>
    </row>
    <row r="714" spans="1:31" x14ac:dyDescent="0.3">
      <c r="A714" s="187">
        <v>17</v>
      </c>
      <c r="B714" s="242">
        <f t="shared" si="249"/>
        <v>46143</v>
      </c>
      <c r="C714" s="243">
        <f t="shared" si="232"/>
        <v>46173</v>
      </c>
      <c r="D714" s="120">
        <f t="shared" si="233"/>
        <v>31</v>
      </c>
      <c r="E714" s="120">
        <f t="shared" si="234"/>
        <v>5</v>
      </c>
      <c r="F714" s="275">
        <f t="shared" si="235"/>
        <v>46158.5</v>
      </c>
      <c r="G714" s="120">
        <f t="shared" si="236"/>
        <v>24316</v>
      </c>
      <c r="H714" s="245">
        <f t="shared" si="237"/>
        <v>1</v>
      </c>
      <c r="I714" s="121">
        <f t="shared" si="238"/>
        <v>1</v>
      </c>
      <c r="J714" s="121">
        <f t="shared" si="239"/>
        <v>1</v>
      </c>
      <c r="K714" s="120">
        <f t="shared" si="240"/>
        <v>0</v>
      </c>
      <c r="L714" s="120">
        <f t="shared" si="241"/>
        <v>0</v>
      </c>
      <c r="M714" s="246">
        <f t="shared" si="242"/>
        <v>0</v>
      </c>
      <c r="N714" s="121">
        <f t="shared" si="243"/>
        <v>1</v>
      </c>
      <c r="O714" s="246">
        <f t="shared" si="244"/>
        <v>0.90849562363238512</v>
      </c>
      <c r="P714" s="121">
        <f t="shared" si="245"/>
        <v>1</v>
      </c>
      <c r="Q714" s="121">
        <f t="shared" si="246"/>
        <v>0</v>
      </c>
      <c r="R714" s="121">
        <f t="shared" si="247"/>
        <v>0</v>
      </c>
      <c r="AE714" s="160">
        <f t="shared" si="248"/>
        <v>0.98749524307867942</v>
      </c>
    </row>
    <row r="715" spans="1:31" x14ac:dyDescent="0.3">
      <c r="A715" s="187">
        <v>18</v>
      </c>
      <c r="B715" s="242">
        <f t="shared" si="249"/>
        <v>46174</v>
      </c>
      <c r="C715" s="243">
        <f t="shared" si="232"/>
        <v>46203</v>
      </c>
      <c r="D715" s="120">
        <f t="shared" si="233"/>
        <v>30</v>
      </c>
      <c r="E715" s="120">
        <f t="shared" si="234"/>
        <v>6</v>
      </c>
      <c r="F715" s="275">
        <f t="shared" si="235"/>
        <v>46189</v>
      </c>
      <c r="G715" s="120">
        <f t="shared" si="236"/>
        <v>24317</v>
      </c>
      <c r="H715" s="245">
        <f t="shared" si="237"/>
        <v>1</v>
      </c>
      <c r="I715" s="121">
        <f t="shared" si="238"/>
        <v>1</v>
      </c>
      <c r="J715" s="121">
        <f t="shared" si="239"/>
        <v>1</v>
      </c>
      <c r="K715" s="120">
        <f t="shared" si="240"/>
        <v>0</v>
      </c>
      <c r="L715" s="120">
        <f t="shared" si="241"/>
        <v>0</v>
      </c>
      <c r="M715" s="246">
        <f t="shared" si="242"/>
        <v>0</v>
      </c>
      <c r="N715" s="121">
        <f t="shared" si="243"/>
        <v>1</v>
      </c>
      <c r="O715" s="246">
        <f t="shared" si="244"/>
        <v>0.90882932166301977</v>
      </c>
      <c r="P715" s="121">
        <f t="shared" si="245"/>
        <v>1</v>
      </c>
      <c r="Q715" s="121">
        <f t="shared" si="246"/>
        <v>0</v>
      </c>
      <c r="R715" s="121">
        <f t="shared" si="247"/>
        <v>0</v>
      </c>
      <c r="AE715" s="160">
        <f t="shared" si="248"/>
        <v>0.98785795832936929</v>
      </c>
    </row>
    <row r="716" spans="1:31" x14ac:dyDescent="0.3">
      <c r="A716" s="187">
        <v>19</v>
      </c>
      <c r="B716" s="242">
        <f t="shared" si="249"/>
        <v>46204</v>
      </c>
      <c r="C716" s="243">
        <f t="shared" si="232"/>
        <v>46234</v>
      </c>
      <c r="D716" s="120">
        <f t="shared" si="233"/>
        <v>31</v>
      </c>
      <c r="E716" s="120">
        <f t="shared" si="234"/>
        <v>7</v>
      </c>
      <c r="F716" s="275">
        <f t="shared" si="235"/>
        <v>46219.5</v>
      </c>
      <c r="G716" s="120">
        <f t="shared" si="236"/>
        <v>24318</v>
      </c>
      <c r="H716" s="245">
        <f t="shared" si="237"/>
        <v>1</v>
      </c>
      <c r="I716" s="121">
        <f t="shared" si="238"/>
        <v>1</v>
      </c>
      <c r="J716" s="121">
        <f t="shared" si="239"/>
        <v>1</v>
      </c>
      <c r="K716" s="120">
        <f t="shared" si="240"/>
        <v>0</v>
      </c>
      <c r="L716" s="120">
        <f t="shared" si="241"/>
        <v>0</v>
      </c>
      <c r="M716" s="246">
        <f t="shared" si="242"/>
        <v>0</v>
      </c>
      <c r="N716" s="121">
        <f t="shared" si="243"/>
        <v>1</v>
      </c>
      <c r="O716" s="246">
        <f t="shared" si="244"/>
        <v>0.90916301969365432</v>
      </c>
      <c r="P716" s="121">
        <f t="shared" si="245"/>
        <v>0.91666666666666663</v>
      </c>
      <c r="Q716" s="121">
        <f t="shared" si="246"/>
        <v>8.333333333333337E-2</v>
      </c>
      <c r="R716" s="121">
        <f t="shared" si="247"/>
        <v>0</v>
      </c>
      <c r="AE716" s="160">
        <f t="shared" si="248"/>
        <v>0.98822067358005905</v>
      </c>
    </row>
    <row r="717" spans="1:31" x14ac:dyDescent="0.3">
      <c r="A717" s="187">
        <v>20</v>
      </c>
      <c r="B717" s="242">
        <f t="shared" si="249"/>
        <v>46235</v>
      </c>
      <c r="C717" s="243">
        <f t="shared" si="232"/>
        <v>46265</v>
      </c>
      <c r="D717" s="120">
        <f t="shared" si="233"/>
        <v>31</v>
      </c>
      <c r="E717" s="120">
        <f t="shared" si="234"/>
        <v>8</v>
      </c>
      <c r="F717" s="275">
        <f t="shared" si="235"/>
        <v>46250.5</v>
      </c>
      <c r="G717" s="120">
        <f t="shared" si="236"/>
        <v>24319</v>
      </c>
      <c r="H717" s="245">
        <f t="shared" si="237"/>
        <v>1</v>
      </c>
      <c r="I717" s="121">
        <f t="shared" si="238"/>
        <v>1</v>
      </c>
      <c r="J717" s="121">
        <f t="shared" si="239"/>
        <v>1</v>
      </c>
      <c r="K717" s="120">
        <f t="shared" si="240"/>
        <v>0</v>
      </c>
      <c r="L717" s="120">
        <f t="shared" si="241"/>
        <v>0</v>
      </c>
      <c r="M717" s="246">
        <f t="shared" si="242"/>
        <v>0</v>
      </c>
      <c r="N717" s="121">
        <f t="shared" si="243"/>
        <v>1</v>
      </c>
      <c r="O717" s="246">
        <f t="shared" si="244"/>
        <v>0.90950218818380746</v>
      </c>
      <c r="P717" s="121">
        <f t="shared" si="245"/>
        <v>0.75</v>
      </c>
      <c r="Q717" s="121">
        <f t="shared" si="246"/>
        <v>0.25</v>
      </c>
      <c r="R717" s="121">
        <f t="shared" si="247"/>
        <v>0</v>
      </c>
      <c r="AE717" s="160">
        <f t="shared" si="248"/>
        <v>0.98858933498239931</v>
      </c>
    </row>
    <row r="718" spans="1:31" x14ac:dyDescent="0.3">
      <c r="A718" s="187">
        <v>21</v>
      </c>
      <c r="B718" s="242">
        <f t="shared" si="249"/>
        <v>46266</v>
      </c>
      <c r="C718" s="243">
        <f t="shared" si="232"/>
        <v>46295</v>
      </c>
      <c r="D718" s="120">
        <f t="shared" si="233"/>
        <v>30</v>
      </c>
      <c r="E718" s="120">
        <f t="shared" si="234"/>
        <v>9</v>
      </c>
      <c r="F718" s="275">
        <f t="shared" si="235"/>
        <v>46281</v>
      </c>
      <c r="G718" s="120">
        <f t="shared" si="236"/>
        <v>24320</v>
      </c>
      <c r="H718" s="245">
        <f t="shared" si="237"/>
        <v>1</v>
      </c>
      <c r="I718" s="121">
        <f t="shared" si="238"/>
        <v>1</v>
      </c>
      <c r="J718" s="121">
        <f t="shared" si="239"/>
        <v>1</v>
      </c>
      <c r="K718" s="120">
        <f t="shared" si="240"/>
        <v>0</v>
      </c>
      <c r="L718" s="120">
        <f t="shared" si="241"/>
        <v>0</v>
      </c>
      <c r="M718" s="246">
        <f t="shared" si="242"/>
        <v>0</v>
      </c>
      <c r="N718" s="121">
        <f t="shared" si="243"/>
        <v>1</v>
      </c>
      <c r="O718" s="246">
        <f t="shared" si="244"/>
        <v>0.909835886214442</v>
      </c>
      <c r="P718" s="121">
        <f t="shared" si="245"/>
        <v>0.58333333333333337</v>
      </c>
      <c r="Q718" s="121">
        <f t="shared" si="246"/>
        <v>0.41666666666666663</v>
      </c>
      <c r="R718" s="121">
        <f t="shared" si="247"/>
        <v>0</v>
      </c>
      <c r="AE718" s="160">
        <f t="shared" si="248"/>
        <v>0.98895205023308907</v>
      </c>
    </row>
    <row r="719" spans="1:31" x14ac:dyDescent="0.3">
      <c r="A719" s="187">
        <v>22</v>
      </c>
      <c r="B719" s="242">
        <f t="shared" si="249"/>
        <v>46296</v>
      </c>
      <c r="C719" s="243">
        <f t="shared" si="232"/>
        <v>46326</v>
      </c>
      <c r="D719" s="120">
        <f t="shared" si="233"/>
        <v>31</v>
      </c>
      <c r="E719" s="120">
        <f t="shared" si="234"/>
        <v>10</v>
      </c>
      <c r="F719" s="275">
        <f t="shared" si="235"/>
        <v>46311.5</v>
      </c>
      <c r="G719" s="120">
        <f t="shared" si="236"/>
        <v>24321</v>
      </c>
      <c r="H719" s="245">
        <f t="shared" si="237"/>
        <v>1</v>
      </c>
      <c r="I719" s="121">
        <f t="shared" si="238"/>
        <v>1</v>
      </c>
      <c r="J719" s="121">
        <f t="shared" si="239"/>
        <v>1.1000000000000001</v>
      </c>
      <c r="K719" s="120">
        <f t="shared" si="240"/>
        <v>1</v>
      </c>
      <c r="L719" s="120">
        <f t="shared" si="241"/>
        <v>31</v>
      </c>
      <c r="M719" s="246">
        <f t="shared" si="242"/>
        <v>1</v>
      </c>
      <c r="N719" s="121">
        <f t="shared" si="243"/>
        <v>1.1000000000000001</v>
      </c>
      <c r="O719" s="246">
        <f t="shared" si="244"/>
        <v>0.91016958424507666</v>
      </c>
      <c r="P719" s="121">
        <f t="shared" si="245"/>
        <v>0.41666666666666669</v>
      </c>
      <c r="Q719" s="121">
        <f t="shared" si="246"/>
        <v>0.58333333333333326</v>
      </c>
      <c r="R719" s="121">
        <f t="shared" si="247"/>
        <v>0</v>
      </c>
      <c r="AE719" s="160">
        <f t="shared" si="248"/>
        <v>1.088246242032157</v>
      </c>
    </row>
    <row r="720" spans="1:31" x14ac:dyDescent="0.3">
      <c r="A720" s="187">
        <v>23</v>
      </c>
      <c r="B720" s="242">
        <f t="shared" si="249"/>
        <v>46327</v>
      </c>
      <c r="C720" s="243">
        <f t="shared" si="232"/>
        <v>46356</v>
      </c>
      <c r="D720" s="120">
        <f t="shared" si="233"/>
        <v>30</v>
      </c>
      <c r="E720" s="120">
        <f t="shared" si="234"/>
        <v>11</v>
      </c>
      <c r="F720" s="275">
        <f t="shared" si="235"/>
        <v>46342</v>
      </c>
      <c r="G720" s="120">
        <f t="shared" si="236"/>
        <v>24322</v>
      </c>
      <c r="H720" s="245">
        <f t="shared" si="237"/>
        <v>1</v>
      </c>
      <c r="I720" s="121">
        <f t="shared" si="238"/>
        <v>1.1000000000000001</v>
      </c>
      <c r="J720" s="121">
        <f t="shared" si="239"/>
        <v>1.1000000000000001</v>
      </c>
      <c r="K720" s="120">
        <f t="shared" si="240"/>
        <v>0</v>
      </c>
      <c r="L720" s="120">
        <f t="shared" si="241"/>
        <v>0</v>
      </c>
      <c r="M720" s="246">
        <f t="shared" si="242"/>
        <v>0</v>
      </c>
      <c r="N720" s="121">
        <f t="shared" si="243"/>
        <v>1.1000000000000001</v>
      </c>
      <c r="O720" s="246">
        <f t="shared" si="244"/>
        <v>0.9105032822757112</v>
      </c>
      <c r="P720" s="121">
        <f t="shared" si="245"/>
        <v>0.25</v>
      </c>
      <c r="Q720" s="121">
        <f t="shared" si="246"/>
        <v>0.75</v>
      </c>
      <c r="R720" s="121">
        <f t="shared" si="247"/>
        <v>0</v>
      </c>
      <c r="AE720" s="160">
        <f t="shared" si="248"/>
        <v>1.0886452288079158</v>
      </c>
    </row>
    <row r="721" spans="1:35" x14ac:dyDescent="0.3">
      <c r="A721" s="187">
        <v>24</v>
      </c>
      <c r="B721" s="242">
        <f t="shared" si="249"/>
        <v>46357</v>
      </c>
      <c r="C721" s="243">
        <f t="shared" si="232"/>
        <v>46387</v>
      </c>
      <c r="D721" s="120">
        <f t="shared" si="233"/>
        <v>31</v>
      </c>
      <c r="E721" s="120">
        <f t="shared" si="234"/>
        <v>12</v>
      </c>
      <c r="F721" s="275">
        <f t="shared" si="235"/>
        <v>46372.5</v>
      </c>
      <c r="G721" s="120">
        <f t="shared" si="236"/>
        <v>24323</v>
      </c>
      <c r="H721" s="245">
        <f t="shared" si="237"/>
        <v>1</v>
      </c>
      <c r="I721" s="121">
        <f t="shared" si="238"/>
        <v>1.1000000000000001</v>
      </c>
      <c r="J721" s="121">
        <f t="shared" si="239"/>
        <v>1.1000000000000001</v>
      </c>
      <c r="K721" s="120">
        <f t="shared" si="240"/>
        <v>0</v>
      </c>
      <c r="L721" s="120">
        <f t="shared" si="241"/>
        <v>0</v>
      </c>
      <c r="M721" s="246">
        <f t="shared" si="242"/>
        <v>0</v>
      </c>
      <c r="N721" s="121">
        <f t="shared" si="243"/>
        <v>1.1000000000000001</v>
      </c>
      <c r="O721" s="246">
        <f t="shared" si="244"/>
        <v>0.91083698030634574</v>
      </c>
      <c r="P721" s="121">
        <f t="shared" si="245"/>
        <v>8.3333333333333329E-2</v>
      </c>
      <c r="Q721" s="121">
        <f t="shared" si="246"/>
        <v>0.91666666666666663</v>
      </c>
      <c r="R721" s="121">
        <f t="shared" si="247"/>
        <v>0</v>
      </c>
      <c r="AE721" s="160">
        <f t="shared" si="248"/>
        <v>1.0890442155836744</v>
      </c>
    </row>
    <row r="722" spans="1:35" x14ac:dyDescent="0.3">
      <c r="A722" s="187">
        <v>25</v>
      </c>
      <c r="B722" s="242">
        <f t="shared" si="249"/>
        <v>46388</v>
      </c>
      <c r="C722" s="243">
        <f t="shared" si="232"/>
        <v>46418</v>
      </c>
      <c r="D722" s="120">
        <f t="shared" si="233"/>
        <v>31</v>
      </c>
      <c r="E722" s="120">
        <f t="shared" si="234"/>
        <v>1</v>
      </c>
      <c r="F722" s="275">
        <f t="shared" si="235"/>
        <v>46403.5</v>
      </c>
      <c r="G722" s="120">
        <f t="shared" si="236"/>
        <v>24324</v>
      </c>
      <c r="H722" s="245">
        <f t="shared" si="237"/>
        <v>1</v>
      </c>
      <c r="I722" s="121">
        <f t="shared" si="238"/>
        <v>1.1000000000000001</v>
      </c>
      <c r="J722" s="121">
        <f t="shared" si="239"/>
        <v>1.1000000000000001</v>
      </c>
      <c r="K722" s="120">
        <f t="shared" si="240"/>
        <v>0</v>
      </c>
      <c r="L722" s="120">
        <f t="shared" si="241"/>
        <v>0</v>
      </c>
      <c r="M722" s="246">
        <f t="shared" si="242"/>
        <v>0</v>
      </c>
      <c r="N722" s="121">
        <f t="shared" si="243"/>
        <v>1.1000000000000001</v>
      </c>
      <c r="O722" s="246">
        <f t="shared" si="244"/>
        <v>0.91117614879649889</v>
      </c>
      <c r="P722" s="121">
        <f t="shared" si="245"/>
        <v>0</v>
      </c>
      <c r="Q722" s="121">
        <f t="shared" si="246"/>
        <v>1</v>
      </c>
      <c r="R722" s="121">
        <f t="shared" si="247"/>
        <v>0</v>
      </c>
      <c r="W722" s="160">
        <f t="shared" ref="W722:W733" si="250">IF($G722&lt;&gt;$Q$695,$N722,(1-$U$695)*$I722+$U$695*$J722)</f>
        <v>1.1000000000000001</v>
      </c>
      <c r="X722" s="160">
        <f t="shared" ref="X722:X733" si="251">IF($G722&lt;$Q$695,0,IF($G722&gt;$Q$695,$N722,$U$695*$J722))</f>
        <v>0</v>
      </c>
      <c r="Y722" s="160">
        <f t="shared" ref="Y722:Y733" si="252">IF($F$695=1,$O722/$O710,1)</f>
        <v>1.0044020188985305</v>
      </c>
      <c r="AB722" s="160">
        <f t="shared" ref="AB722:AB733" si="253">IF(AND(N($K$695)&lt;&gt;0,$F722&lt;=$B$696),0,($F722-$B$696)/($C$696-$B$696))</f>
        <v>0.23522975929978118</v>
      </c>
      <c r="AC722" s="220">
        <f t="shared" ref="AC722:AC733" si="254">IF(AND(N($K$695)&lt;&gt;0,$F722&lt;=$B$696),$O722,$F$696*(1-$AB722))</f>
        <v>0.69594091903719912</v>
      </c>
      <c r="AD722" s="160">
        <f t="shared" ref="AD722:AD733" si="255">$H722*($W722+$X722*IF(ISNUMBER($F$746),$F$746,0))/($N710*$O710)</f>
        <v>1.2125451508445244</v>
      </c>
      <c r="AE722" s="160">
        <f t="shared" si="248"/>
        <v>1.0848416714865508</v>
      </c>
      <c r="AF722" s="220">
        <f t="shared" ref="AF722:AF733" si="256">IF($G722&lt;$Q$695,0,IF($G722&gt;$Q$695,1,$U$695))</f>
        <v>0</v>
      </c>
      <c r="AG722" s="183">
        <f t="shared" ref="AG722:AG733" si="257">IF(OR($D$695=0,$P$695=0),"",($W722+$X722*IF(ISNUMBER($F$746),$F$746,0))/$N710-1)</f>
        <v>0.10000000000000009</v>
      </c>
      <c r="AH722" s="183">
        <f t="shared" ref="AH722:AH733" si="258">IF(OR($AG722="",$F$695=0),"",(1+$E$695)/(1+$AG722)-1)</f>
        <v>0</v>
      </c>
      <c r="AI722" s="220">
        <f t="shared" ref="AI722:AI733" si="259">IF($AH722="","",$O710*(1+$E$695)/(1+$AG722))</f>
        <v>0.90718271334792122</v>
      </c>
    </row>
    <row r="723" spans="1:35" x14ac:dyDescent="0.3">
      <c r="A723" s="187">
        <v>26</v>
      </c>
      <c r="B723" s="242">
        <f t="shared" si="249"/>
        <v>46419</v>
      </c>
      <c r="C723" s="243">
        <f t="shared" si="232"/>
        <v>46446</v>
      </c>
      <c r="D723" s="120">
        <f t="shared" si="233"/>
        <v>28</v>
      </c>
      <c r="E723" s="120">
        <f t="shared" si="234"/>
        <v>2</v>
      </c>
      <c r="F723" s="275">
        <f t="shared" si="235"/>
        <v>46433</v>
      </c>
      <c r="G723" s="120">
        <f t="shared" si="236"/>
        <v>24325</v>
      </c>
      <c r="H723" s="245">
        <f t="shared" si="237"/>
        <v>1</v>
      </c>
      <c r="I723" s="121">
        <f t="shared" si="238"/>
        <v>1.1000000000000001</v>
      </c>
      <c r="J723" s="121">
        <f t="shared" si="239"/>
        <v>1.1000000000000001</v>
      </c>
      <c r="K723" s="120">
        <f t="shared" si="240"/>
        <v>0</v>
      </c>
      <c r="L723" s="120">
        <f t="shared" si="241"/>
        <v>0</v>
      </c>
      <c r="M723" s="246">
        <f t="shared" si="242"/>
        <v>0</v>
      </c>
      <c r="N723" s="121">
        <f t="shared" si="243"/>
        <v>1.1000000000000001</v>
      </c>
      <c r="O723" s="246">
        <f t="shared" si="244"/>
        <v>0.91149890590809635</v>
      </c>
      <c r="P723" s="121">
        <f t="shared" si="245"/>
        <v>0</v>
      </c>
      <c r="Q723" s="121">
        <f t="shared" si="246"/>
        <v>1</v>
      </c>
      <c r="R723" s="121">
        <f t="shared" si="247"/>
        <v>0</v>
      </c>
      <c r="W723" s="160">
        <f t="shared" si="250"/>
        <v>1.1000000000000001</v>
      </c>
      <c r="X723" s="160">
        <f t="shared" si="251"/>
        <v>0</v>
      </c>
      <c r="Y723" s="160">
        <f t="shared" si="252"/>
        <v>1.0044004533069708</v>
      </c>
      <c r="AB723" s="160">
        <f t="shared" si="253"/>
        <v>0.29978118161925604</v>
      </c>
      <c r="AC723" s="220">
        <f t="shared" si="254"/>
        <v>0.637199124726477</v>
      </c>
      <c r="AD723" s="160">
        <f t="shared" si="255"/>
        <v>1.2121139054324501</v>
      </c>
      <c r="AE723" s="160">
        <f t="shared" si="248"/>
        <v>1.0839630361391797</v>
      </c>
      <c r="AF723" s="220">
        <f t="shared" si="256"/>
        <v>0</v>
      </c>
      <c r="AG723" s="183">
        <f t="shared" si="257"/>
        <v>0.10000000000000009</v>
      </c>
      <c r="AH723" s="183">
        <f t="shared" si="258"/>
        <v>0</v>
      </c>
      <c r="AI723" s="220">
        <f t="shared" si="259"/>
        <v>0.90750547045951868</v>
      </c>
    </row>
    <row r="724" spans="1:35" x14ac:dyDescent="0.3">
      <c r="A724" s="187">
        <v>27</v>
      </c>
      <c r="B724" s="242">
        <f t="shared" si="249"/>
        <v>46447</v>
      </c>
      <c r="C724" s="243">
        <f t="shared" si="232"/>
        <v>46477</v>
      </c>
      <c r="D724" s="120">
        <f t="shared" si="233"/>
        <v>31</v>
      </c>
      <c r="E724" s="120">
        <f t="shared" si="234"/>
        <v>3</v>
      </c>
      <c r="F724" s="275">
        <f t="shared" si="235"/>
        <v>46462.5</v>
      </c>
      <c r="G724" s="120">
        <f t="shared" si="236"/>
        <v>24326</v>
      </c>
      <c r="H724" s="245">
        <f t="shared" si="237"/>
        <v>1</v>
      </c>
      <c r="I724" s="121">
        <f t="shared" si="238"/>
        <v>1.1000000000000001</v>
      </c>
      <c r="J724" s="121">
        <f t="shared" si="239"/>
        <v>1.1000000000000001</v>
      </c>
      <c r="K724" s="120">
        <f t="shared" si="240"/>
        <v>0</v>
      </c>
      <c r="L724" s="120">
        <f t="shared" si="241"/>
        <v>0</v>
      </c>
      <c r="M724" s="246">
        <f t="shared" si="242"/>
        <v>0</v>
      </c>
      <c r="N724" s="121">
        <f t="shared" si="243"/>
        <v>1.1000000000000001</v>
      </c>
      <c r="O724" s="246">
        <f t="shared" si="244"/>
        <v>0.9118216630196937</v>
      </c>
      <c r="P724" s="121">
        <f t="shared" si="245"/>
        <v>0</v>
      </c>
      <c r="Q724" s="121">
        <f t="shared" si="246"/>
        <v>1</v>
      </c>
      <c r="R724" s="121">
        <f t="shared" si="247"/>
        <v>0</v>
      </c>
      <c r="W724" s="160">
        <f t="shared" si="250"/>
        <v>1.1000000000000001</v>
      </c>
      <c r="X724" s="160">
        <f t="shared" si="251"/>
        <v>0</v>
      </c>
      <c r="Y724" s="160">
        <f t="shared" si="252"/>
        <v>1.0043988888286302</v>
      </c>
      <c r="AB724" s="160">
        <f t="shared" si="253"/>
        <v>0.36433260393873085</v>
      </c>
      <c r="AC724" s="220">
        <f t="shared" si="254"/>
        <v>0.57845733041575487</v>
      </c>
      <c r="AD724" s="160">
        <f t="shared" si="255"/>
        <v>1.2116829666588331</v>
      </c>
      <c r="AE724" s="160">
        <f t="shared" si="248"/>
        <v>1.0830844007918083</v>
      </c>
      <c r="AF724" s="220">
        <f t="shared" si="256"/>
        <v>0</v>
      </c>
      <c r="AG724" s="183">
        <f t="shared" si="257"/>
        <v>0.10000000000000009</v>
      </c>
      <c r="AH724" s="183">
        <f t="shared" si="258"/>
        <v>0</v>
      </c>
      <c r="AI724" s="220">
        <f t="shared" si="259"/>
        <v>0.90782822757111603</v>
      </c>
    </row>
    <row r="725" spans="1:35" x14ac:dyDescent="0.3">
      <c r="A725" s="187">
        <v>28</v>
      </c>
      <c r="B725" s="242">
        <f t="shared" si="249"/>
        <v>46478</v>
      </c>
      <c r="C725" s="243">
        <f t="shared" si="232"/>
        <v>46507</v>
      </c>
      <c r="D725" s="120">
        <f t="shared" si="233"/>
        <v>30</v>
      </c>
      <c r="E725" s="120">
        <f t="shared" si="234"/>
        <v>4</v>
      </c>
      <c r="F725" s="275">
        <f t="shared" si="235"/>
        <v>46493</v>
      </c>
      <c r="G725" s="120">
        <f t="shared" si="236"/>
        <v>24327</v>
      </c>
      <c r="H725" s="245">
        <f t="shared" si="237"/>
        <v>1</v>
      </c>
      <c r="I725" s="121">
        <f t="shared" si="238"/>
        <v>1.1000000000000001</v>
      </c>
      <c r="J725" s="121">
        <f t="shared" si="239"/>
        <v>1.1000000000000001</v>
      </c>
      <c r="K725" s="120">
        <f t="shared" si="240"/>
        <v>0</v>
      </c>
      <c r="L725" s="120">
        <f t="shared" si="241"/>
        <v>0</v>
      </c>
      <c r="M725" s="246">
        <f t="shared" si="242"/>
        <v>0</v>
      </c>
      <c r="N725" s="121">
        <f t="shared" si="243"/>
        <v>1.1000000000000001</v>
      </c>
      <c r="O725" s="246">
        <f t="shared" si="244"/>
        <v>0.91215536105032824</v>
      </c>
      <c r="P725" s="121">
        <f t="shared" si="245"/>
        <v>0</v>
      </c>
      <c r="Q725" s="121">
        <f t="shared" si="246"/>
        <v>1</v>
      </c>
      <c r="R725" s="121">
        <f t="shared" si="247"/>
        <v>0</v>
      </c>
      <c r="W725" s="160">
        <f t="shared" si="250"/>
        <v>1.1000000000000001</v>
      </c>
      <c r="X725" s="160">
        <f t="shared" si="251"/>
        <v>1.1000000000000001</v>
      </c>
      <c r="Y725" s="160">
        <f t="shared" si="252"/>
        <v>1.0043972724863264</v>
      </c>
      <c r="AB725" s="160">
        <f t="shared" si="253"/>
        <v>0.4310722100656455</v>
      </c>
      <c r="AC725" s="220">
        <f t="shared" si="254"/>
        <v>0.51772428884026267</v>
      </c>
      <c r="AD725" s="160">
        <f t="shared" si="255"/>
        <v>1.2596872515239863</v>
      </c>
      <c r="AE725" s="160">
        <f t="shared" si="248"/>
        <v>1.125463020443189</v>
      </c>
      <c r="AF725" s="220">
        <f t="shared" si="256"/>
        <v>1</v>
      </c>
      <c r="AG725" s="183">
        <f t="shared" si="257"/>
        <v>0.14400000000000013</v>
      </c>
      <c r="AH725" s="183">
        <f t="shared" si="258"/>
        <v>-3.8461538461538436E-2</v>
      </c>
      <c r="AI725" s="220">
        <f t="shared" si="259"/>
        <v>0.87323262077091401</v>
      </c>
    </row>
    <row r="726" spans="1:35" x14ac:dyDescent="0.3">
      <c r="A726" s="187">
        <v>29</v>
      </c>
      <c r="B726" s="242">
        <f t="shared" si="249"/>
        <v>46508</v>
      </c>
      <c r="C726" s="243">
        <f t="shared" si="232"/>
        <v>46538</v>
      </c>
      <c r="D726" s="120">
        <f t="shared" si="233"/>
        <v>31</v>
      </c>
      <c r="E726" s="120">
        <f t="shared" si="234"/>
        <v>5</v>
      </c>
      <c r="F726" s="275">
        <f t="shared" si="235"/>
        <v>46523.5</v>
      </c>
      <c r="G726" s="120">
        <f t="shared" si="236"/>
        <v>24328</v>
      </c>
      <c r="H726" s="245">
        <f t="shared" si="237"/>
        <v>1</v>
      </c>
      <c r="I726" s="121">
        <f t="shared" si="238"/>
        <v>1.1000000000000001</v>
      </c>
      <c r="J726" s="121">
        <f t="shared" si="239"/>
        <v>1.1000000000000001</v>
      </c>
      <c r="K726" s="120">
        <f t="shared" si="240"/>
        <v>0</v>
      </c>
      <c r="L726" s="120">
        <f t="shared" si="241"/>
        <v>0</v>
      </c>
      <c r="M726" s="246">
        <f t="shared" si="242"/>
        <v>0</v>
      </c>
      <c r="N726" s="121">
        <f t="shared" si="243"/>
        <v>1.1000000000000001</v>
      </c>
      <c r="O726" s="246">
        <f t="shared" si="244"/>
        <v>0.91248905908096278</v>
      </c>
      <c r="P726" s="121">
        <f t="shared" si="245"/>
        <v>0</v>
      </c>
      <c r="Q726" s="121">
        <f t="shared" si="246"/>
        <v>1</v>
      </c>
      <c r="R726" s="121">
        <f t="shared" si="247"/>
        <v>0</v>
      </c>
      <c r="W726" s="160">
        <f t="shared" si="250"/>
        <v>1.1000000000000001</v>
      </c>
      <c r="X726" s="160">
        <f t="shared" si="251"/>
        <v>1.1000000000000001</v>
      </c>
      <c r="Y726" s="160">
        <f t="shared" si="252"/>
        <v>1.0043956573314146</v>
      </c>
      <c r="AB726" s="160">
        <f t="shared" si="253"/>
        <v>0.49781181619256015</v>
      </c>
      <c r="AC726" s="220">
        <f t="shared" si="254"/>
        <v>0.45699124726477025</v>
      </c>
      <c r="AD726" s="160">
        <f t="shared" si="255"/>
        <v>1.2592245578751515</v>
      </c>
      <c r="AE726" s="160">
        <f t="shared" si="248"/>
        <v>1.1245182640628968</v>
      </c>
      <c r="AF726" s="220">
        <f t="shared" si="256"/>
        <v>1</v>
      </c>
      <c r="AG726" s="183">
        <f t="shared" si="257"/>
        <v>0.14400000000000013</v>
      </c>
      <c r="AH726" s="183">
        <f t="shared" si="258"/>
        <v>-3.8461538461538436E-2</v>
      </c>
      <c r="AI726" s="220">
        <f t="shared" si="259"/>
        <v>0.87355348426190871</v>
      </c>
    </row>
    <row r="727" spans="1:35" x14ac:dyDescent="0.3">
      <c r="A727" s="187">
        <v>30</v>
      </c>
      <c r="B727" s="242">
        <f t="shared" si="249"/>
        <v>46539</v>
      </c>
      <c r="C727" s="243">
        <f t="shared" si="232"/>
        <v>46568</v>
      </c>
      <c r="D727" s="120">
        <f t="shared" si="233"/>
        <v>30</v>
      </c>
      <c r="E727" s="120">
        <f t="shared" si="234"/>
        <v>6</v>
      </c>
      <c r="F727" s="275">
        <f t="shared" si="235"/>
        <v>46554</v>
      </c>
      <c r="G727" s="120">
        <f t="shared" si="236"/>
        <v>24329</v>
      </c>
      <c r="H727" s="245">
        <f t="shared" si="237"/>
        <v>1</v>
      </c>
      <c r="I727" s="121">
        <f t="shared" si="238"/>
        <v>1.1000000000000001</v>
      </c>
      <c r="J727" s="121">
        <f t="shared" si="239"/>
        <v>1.1000000000000001</v>
      </c>
      <c r="K727" s="120">
        <f t="shared" si="240"/>
        <v>0</v>
      </c>
      <c r="L727" s="120">
        <f t="shared" si="241"/>
        <v>0</v>
      </c>
      <c r="M727" s="246">
        <f t="shared" si="242"/>
        <v>0</v>
      </c>
      <c r="N727" s="121">
        <f t="shared" si="243"/>
        <v>1.1000000000000001</v>
      </c>
      <c r="O727" s="246">
        <f t="shared" si="244"/>
        <v>0.91282275711159744</v>
      </c>
      <c r="P727" s="121">
        <f t="shared" si="245"/>
        <v>0</v>
      </c>
      <c r="Q727" s="121">
        <f t="shared" si="246"/>
        <v>1</v>
      </c>
      <c r="R727" s="121">
        <f t="shared" si="247"/>
        <v>0</v>
      </c>
      <c r="W727" s="160">
        <f t="shared" si="250"/>
        <v>1.1000000000000001</v>
      </c>
      <c r="X727" s="160">
        <f t="shared" si="251"/>
        <v>1.1000000000000001</v>
      </c>
      <c r="Y727" s="160">
        <f t="shared" si="252"/>
        <v>1.0043940433625869</v>
      </c>
      <c r="AB727" s="160">
        <f t="shared" si="253"/>
        <v>0.56455142231947486</v>
      </c>
      <c r="AC727" s="220">
        <f t="shared" si="254"/>
        <v>0.39625820568927789</v>
      </c>
      <c r="AD727" s="160">
        <f t="shared" si="255"/>
        <v>1.2587622040039967</v>
      </c>
      <c r="AE727" s="160">
        <f t="shared" si="248"/>
        <v>1.1235735076826048</v>
      </c>
      <c r="AF727" s="220">
        <f t="shared" si="256"/>
        <v>1</v>
      </c>
      <c r="AG727" s="183">
        <f t="shared" si="257"/>
        <v>0.14400000000000013</v>
      </c>
      <c r="AH727" s="183">
        <f t="shared" si="258"/>
        <v>-3.8461538461538436E-2</v>
      </c>
      <c r="AI727" s="220">
        <f t="shared" si="259"/>
        <v>0.87387434775290362</v>
      </c>
    </row>
    <row r="728" spans="1:35" x14ac:dyDescent="0.3">
      <c r="A728" s="187">
        <v>31</v>
      </c>
      <c r="B728" s="242">
        <f t="shared" si="249"/>
        <v>46569</v>
      </c>
      <c r="C728" s="243">
        <f t="shared" si="232"/>
        <v>46599</v>
      </c>
      <c r="D728" s="120">
        <f t="shared" si="233"/>
        <v>31</v>
      </c>
      <c r="E728" s="120">
        <f t="shared" si="234"/>
        <v>7</v>
      </c>
      <c r="F728" s="275">
        <f t="shared" si="235"/>
        <v>46584.5</v>
      </c>
      <c r="G728" s="120">
        <f t="shared" si="236"/>
        <v>24330</v>
      </c>
      <c r="H728" s="245">
        <f t="shared" si="237"/>
        <v>1</v>
      </c>
      <c r="I728" s="121">
        <f t="shared" si="238"/>
        <v>1.1000000000000001</v>
      </c>
      <c r="J728" s="121">
        <f t="shared" si="239"/>
        <v>1.1000000000000001</v>
      </c>
      <c r="K728" s="120">
        <f t="shared" si="240"/>
        <v>0</v>
      </c>
      <c r="L728" s="120">
        <f t="shared" si="241"/>
        <v>0</v>
      </c>
      <c r="M728" s="246">
        <f t="shared" si="242"/>
        <v>0</v>
      </c>
      <c r="N728" s="121">
        <f t="shared" si="243"/>
        <v>1.1000000000000001</v>
      </c>
      <c r="O728" s="246">
        <f t="shared" si="244"/>
        <v>0.91315645514223198</v>
      </c>
      <c r="P728" s="121">
        <f t="shared" si="245"/>
        <v>0</v>
      </c>
      <c r="Q728" s="121">
        <f t="shared" si="246"/>
        <v>0.91666666666666663</v>
      </c>
      <c r="R728" s="121">
        <f t="shared" si="247"/>
        <v>8.333333333333337E-2</v>
      </c>
      <c r="W728" s="160">
        <f t="shared" si="250"/>
        <v>1.1000000000000001</v>
      </c>
      <c r="X728" s="160">
        <f t="shared" si="251"/>
        <v>1.1000000000000001</v>
      </c>
      <c r="Y728" s="160">
        <f t="shared" si="252"/>
        <v>1.0043924305785372</v>
      </c>
      <c r="AB728" s="160">
        <f t="shared" si="253"/>
        <v>0.63129102844638951</v>
      </c>
      <c r="AC728" s="220">
        <f t="shared" si="254"/>
        <v>0.33552516411378558</v>
      </c>
      <c r="AD728" s="160">
        <f t="shared" si="255"/>
        <v>1.2583001895363881</v>
      </c>
      <c r="AE728" s="160">
        <f t="shared" si="248"/>
        <v>1.1226287513023128</v>
      </c>
      <c r="AF728" s="220">
        <f t="shared" si="256"/>
        <v>1</v>
      </c>
      <c r="AG728" s="183">
        <f t="shared" si="257"/>
        <v>0.14400000000000013</v>
      </c>
      <c r="AH728" s="183">
        <f t="shared" si="258"/>
        <v>-3.8461538461538436E-2</v>
      </c>
      <c r="AI728" s="220">
        <f t="shared" si="259"/>
        <v>0.87419521124389843</v>
      </c>
    </row>
    <row r="729" spans="1:35" x14ac:dyDescent="0.3">
      <c r="A729" s="187">
        <v>32</v>
      </c>
      <c r="B729" s="242">
        <f t="shared" si="249"/>
        <v>46600</v>
      </c>
      <c r="C729" s="243">
        <f t="shared" si="232"/>
        <v>46630</v>
      </c>
      <c r="D729" s="120">
        <f t="shared" si="233"/>
        <v>31</v>
      </c>
      <c r="E729" s="120">
        <f t="shared" si="234"/>
        <v>8</v>
      </c>
      <c r="F729" s="275">
        <f t="shared" si="235"/>
        <v>46615.5</v>
      </c>
      <c r="G729" s="120">
        <f t="shared" si="236"/>
        <v>24331</v>
      </c>
      <c r="H729" s="245">
        <f t="shared" si="237"/>
        <v>1</v>
      </c>
      <c r="I729" s="121">
        <f t="shared" si="238"/>
        <v>1.1000000000000001</v>
      </c>
      <c r="J729" s="121">
        <f t="shared" si="239"/>
        <v>1.1000000000000001</v>
      </c>
      <c r="K729" s="120">
        <f t="shared" si="240"/>
        <v>0</v>
      </c>
      <c r="L729" s="120">
        <f t="shared" si="241"/>
        <v>0</v>
      </c>
      <c r="M729" s="246">
        <f t="shared" si="242"/>
        <v>0</v>
      </c>
      <c r="N729" s="121">
        <f t="shared" si="243"/>
        <v>1.1000000000000001</v>
      </c>
      <c r="O729" s="246">
        <f t="shared" si="244"/>
        <v>0.91349562363238512</v>
      </c>
      <c r="P729" s="121">
        <f t="shared" si="245"/>
        <v>0</v>
      </c>
      <c r="Q729" s="121">
        <f t="shared" si="246"/>
        <v>0.75</v>
      </c>
      <c r="R729" s="121">
        <f t="shared" si="247"/>
        <v>0.25</v>
      </c>
      <c r="W729" s="160">
        <f t="shared" si="250"/>
        <v>1.1000000000000001</v>
      </c>
      <c r="X729" s="160">
        <f t="shared" si="251"/>
        <v>1.1000000000000001</v>
      </c>
      <c r="Y729" s="160">
        <f t="shared" si="252"/>
        <v>1.0043907925681324</v>
      </c>
      <c r="AB729" s="160">
        <f t="shared" si="253"/>
        <v>0.69912472647702406</v>
      </c>
      <c r="AC729" s="220">
        <f t="shared" si="254"/>
        <v>0.27379649890590813</v>
      </c>
      <c r="AD729" s="160">
        <f t="shared" si="255"/>
        <v>1.2578309484713426</v>
      </c>
      <c r="AE729" s="160">
        <f t="shared" si="248"/>
        <v>1.1216685071125081</v>
      </c>
      <c r="AF729" s="220">
        <f t="shared" si="256"/>
        <v>1</v>
      </c>
      <c r="AG729" s="183">
        <f t="shared" si="257"/>
        <v>0.14400000000000013</v>
      </c>
      <c r="AH729" s="183">
        <f t="shared" si="258"/>
        <v>-3.8461538461538436E-2</v>
      </c>
      <c r="AI729" s="220">
        <f t="shared" si="259"/>
        <v>0.87452133479212257</v>
      </c>
    </row>
    <row r="730" spans="1:35" x14ac:dyDescent="0.3">
      <c r="A730" s="187">
        <v>33</v>
      </c>
      <c r="B730" s="242">
        <f t="shared" si="249"/>
        <v>46631</v>
      </c>
      <c r="C730" s="243">
        <f t="shared" si="232"/>
        <v>46660</v>
      </c>
      <c r="D730" s="120">
        <f t="shared" si="233"/>
        <v>30</v>
      </c>
      <c r="E730" s="120">
        <f t="shared" si="234"/>
        <v>9</v>
      </c>
      <c r="F730" s="275">
        <f t="shared" si="235"/>
        <v>46646</v>
      </c>
      <c r="G730" s="120">
        <f t="shared" si="236"/>
        <v>24332</v>
      </c>
      <c r="H730" s="245">
        <f t="shared" si="237"/>
        <v>1</v>
      </c>
      <c r="I730" s="121">
        <f t="shared" si="238"/>
        <v>1.1000000000000001</v>
      </c>
      <c r="J730" s="121">
        <f t="shared" si="239"/>
        <v>1.1000000000000001</v>
      </c>
      <c r="K730" s="120">
        <f t="shared" si="240"/>
        <v>0</v>
      </c>
      <c r="L730" s="120">
        <f t="shared" si="241"/>
        <v>0</v>
      </c>
      <c r="M730" s="246">
        <f t="shared" si="242"/>
        <v>0</v>
      </c>
      <c r="N730" s="121">
        <f t="shared" si="243"/>
        <v>1.1000000000000001</v>
      </c>
      <c r="O730" s="246">
        <f t="shared" si="244"/>
        <v>0.91382932166301978</v>
      </c>
      <c r="P730" s="121">
        <f t="shared" si="245"/>
        <v>0</v>
      </c>
      <c r="Q730" s="121">
        <f t="shared" si="246"/>
        <v>0.58333333333333337</v>
      </c>
      <c r="R730" s="121">
        <f t="shared" si="247"/>
        <v>0.41666666666666663</v>
      </c>
      <c r="W730" s="160">
        <f t="shared" si="250"/>
        <v>1.1000000000000001</v>
      </c>
      <c r="X730" s="160">
        <f t="shared" si="251"/>
        <v>1.1000000000000001</v>
      </c>
      <c r="Y730" s="160">
        <f t="shared" si="252"/>
        <v>1.0043891821690978</v>
      </c>
      <c r="AB730" s="160">
        <f t="shared" si="253"/>
        <v>0.76586433260393871</v>
      </c>
      <c r="AC730" s="220">
        <f t="shared" si="254"/>
        <v>0.21306345733041579</v>
      </c>
      <c r="AD730" s="160">
        <f t="shared" si="255"/>
        <v>1.2573696172392648</v>
      </c>
      <c r="AE730" s="160">
        <f t="shared" si="248"/>
        <v>1.1207237507322159</v>
      </c>
      <c r="AF730" s="220">
        <f t="shared" si="256"/>
        <v>1</v>
      </c>
      <c r="AG730" s="183">
        <f t="shared" si="257"/>
        <v>0.14400000000000013</v>
      </c>
      <c r="AH730" s="183">
        <f t="shared" si="258"/>
        <v>-3.8461538461538436E-2</v>
      </c>
      <c r="AI730" s="220">
        <f t="shared" si="259"/>
        <v>0.87484219828311727</v>
      </c>
    </row>
    <row r="731" spans="1:35" x14ac:dyDescent="0.3">
      <c r="A731" s="187">
        <v>34</v>
      </c>
      <c r="B731" s="242">
        <f t="shared" si="249"/>
        <v>46661</v>
      </c>
      <c r="C731" s="243">
        <f t="shared" si="232"/>
        <v>46691</v>
      </c>
      <c r="D731" s="120">
        <f t="shared" si="233"/>
        <v>31</v>
      </c>
      <c r="E731" s="120">
        <f t="shared" si="234"/>
        <v>10</v>
      </c>
      <c r="F731" s="275">
        <f t="shared" si="235"/>
        <v>46676.5</v>
      </c>
      <c r="G731" s="120">
        <f t="shared" si="236"/>
        <v>24333</v>
      </c>
      <c r="H731" s="245">
        <f t="shared" si="237"/>
        <v>1</v>
      </c>
      <c r="I731" s="121">
        <f t="shared" si="238"/>
        <v>1.1000000000000001</v>
      </c>
      <c r="J731" s="121">
        <f t="shared" si="239"/>
        <v>1.1000000000000001</v>
      </c>
      <c r="K731" s="120">
        <f t="shared" si="240"/>
        <v>0</v>
      </c>
      <c r="L731" s="120">
        <f t="shared" si="241"/>
        <v>0</v>
      </c>
      <c r="M731" s="246">
        <f t="shared" si="242"/>
        <v>0</v>
      </c>
      <c r="N731" s="121">
        <f t="shared" si="243"/>
        <v>1.1000000000000001</v>
      </c>
      <c r="O731" s="246">
        <f t="shared" si="244"/>
        <v>0.91416301969365432</v>
      </c>
      <c r="P731" s="121">
        <f t="shared" si="245"/>
        <v>0</v>
      </c>
      <c r="Q731" s="121">
        <f t="shared" si="246"/>
        <v>0.41666666666666669</v>
      </c>
      <c r="R731" s="121">
        <f t="shared" si="247"/>
        <v>0.58333333333333326</v>
      </c>
      <c r="W731" s="160">
        <f t="shared" si="250"/>
        <v>1.1000000000000001</v>
      </c>
      <c r="X731" s="160">
        <f t="shared" si="251"/>
        <v>1.1000000000000001</v>
      </c>
      <c r="Y731" s="160">
        <f t="shared" si="252"/>
        <v>1.0043875729509133</v>
      </c>
      <c r="AB731" s="160">
        <f t="shared" si="253"/>
        <v>0.83260393873085337</v>
      </c>
      <c r="AC731" s="220">
        <f t="shared" si="254"/>
        <v>0.15233041575492345</v>
      </c>
      <c r="AD731" s="160">
        <f t="shared" si="255"/>
        <v>1.1426442038959241</v>
      </c>
      <c r="AE731" s="160">
        <f t="shared" si="248"/>
        <v>1.1197789943519239</v>
      </c>
      <c r="AF731" s="220">
        <f t="shared" si="256"/>
        <v>1</v>
      </c>
      <c r="AG731" s="183">
        <f t="shared" si="257"/>
        <v>4.0000000000000036E-2</v>
      </c>
      <c r="AH731" s="183">
        <f t="shared" si="258"/>
        <v>5.7692307692307709E-2</v>
      </c>
      <c r="AI731" s="220">
        <f t="shared" si="259"/>
        <v>0.96267936795152353</v>
      </c>
    </row>
    <row r="732" spans="1:35" x14ac:dyDescent="0.3">
      <c r="A732" s="187">
        <v>35</v>
      </c>
      <c r="B732" s="242">
        <f t="shared" si="249"/>
        <v>46692</v>
      </c>
      <c r="C732" s="243">
        <f t="shared" si="232"/>
        <v>46721</v>
      </c>
      <c r="D732" s="120">
        <f t="shared" si="233"/>
        <v>30</v>
      </c>
      <c r="E732" s="120">
        <f t="shared" si="234"/>
        <v>11</v>
      </c>
      <c r="F732" s="275">
        <f t="shared" si="235"/>
        <v>46707</v>
      </c>
      <c r="G732" s="120">
        <f t="shared" si="236"/>
        <v>24334</v>
      </c>
      <c r="H732" s="245">
        <f t="shared" si="237"/>
        <v>1</v>
      </c>
      <c r="I732" s="121">
        <f t="shared" si="238"/>
        <v>1.1000000000000001</v>
      </c>
      <c r="J732" s="121">
        <f t="shared" si="239"/>
        <v>1.1000000000000001</v>
      </c>
      <c r="K732" s="120">
        <f t="shared" si="240"/>
        <v>0</v>
      </c>
      <c r="L732" s="120">
        <f t="shared" si="241"/>
        <v>0</v>
      </c>
      <c r="M732" s="246">
        <f t="shared" si="242"/>
        <v>0</v>
      </c>
      <c r="N732" s="121">
        <f t="shared" si="243"/>
        <v>1.1000000000000001</v>
      </c>
      <c r="O732" s="246">
        <f t="shared" si="244"/>
        <v>0.91449671772428887</v>
      </c>
      <c r="P732" s="121">
        <f t="shared" si="245"/>
        <v>0</v>
      </c>
      <c r="Q732" s="121">
        <f t="shared" si="246"/>
        <v>0.25</v>
      </c>
      <c r="R732" s="121">
        <f t="shared" si="247"/>
        <v>0.75</v>
      </c>
      <c r="W732" s="160">
        <f t="shared" si="250"/>
        <v>1.1000000000000001</v>
      </c>
      <c r="X732" s="160">
        <f t="shared" si="251"/>
        <v>1.1000000000000001</v>
      </c>
      <c r="Y732" s="160">
        <f t="shared" si="252"/>
        <v>1.0043859649122806</v>
      </c>
      <c r="AB732" s="160">
        <f t="shared" si="253"/>
        <v>0.89934354485776802</v>
      </c>
      <c r="AC732" s="220">
        <f t="shared" si="254"/>
        <v>9.1597374179431104E-2</v>
      </c>
      <c r="AD732" s="160">
        <f t="shared" si="255"/>
        <v>1.1422254265801488</v>
      </c>
      <c r="AE732" s="160">
        <f t="shared" si="248"/>
        <v>1.1188342379716321</v>
      </c>
      <c r="AF732" s="220">
        <f t="shared" si="256"/>
        <v>1</v>
      </c>
      <c r="AG732" s="183">
        <f t="shared" si="257"/>
        <v>4.0000000000000036E-2</v>
      </c>
      <c r="AH732" s="183">
        <f t="shared" si="258"/>
        <v>5.7692307692307709E-2</v>
      </c>
      <c r="AI732" s="220">
        <f t="shared" si="259"/>
        <v>0.9630323177916178</v>
      </c>
    </row>
    <row r="733" spans="1:35" x14ac:dyDescent="0.3">
      <c r="A733" s="187">
        <v>36</v>
      </c>
      <c r="B733" s="242">
        <f t="shared" si="249"/>
        <v>46722</v>
      </c>
      <c r="C733" s="243">
        <f t="shared" si="232"/>
        <v>46752</v>
      </c>
      <c r="D733" s="120">
        <f t="shared" si="233"/>
        <v>31</v>
      </c>
      <c r="E733" s="120">
        <f t="shared" si="234"/>
        <v>12</v>
      </c>
      <c r="F733" s="275">
        <f t="shared" si="235"/>
        <v>46737.5</v>
      </c>
      <c r="G733" s="120">
        <f t="shared" si="236"/>
        <v>24335</v>
      </c>
      <c r="H733" s="245">
        <f t="shared" si="237"/>
        <v>1</v>
      </c>
      <c r="I733" s="121">
        <f t="shared" si="238"/>
        <v>1.1000000000000001</v>
      </c>
      <c r="J733" s="121">
        <f t="shared" si="239"/>
        <v>1.1000000000000001</v>
      </c>
      <c r="K733" s="120">
        <f t="shared" si="240"/>
        <v>0</v>
      </c>
      <c r="L733" s="120">
        <f t="shared" si="241"/>
        <v>0</v>
      </c>
      <c r="M733" s="246">
        <f t="shared" si="242"/>
        <v>0</v>
      </c>
      <c r="N733" s="121">
        <f t="shared" si="243"/>
        <v>1.1000000000000001</v>
      </c>
      <c r="O733" s="246">
        <f t="shared" si="244"/>
        <v>0.91483041575492341</v>
      </c>
      <c r="P733" s="121">
        <f t="shared" si="245"/>
        <v>0</v>
      </c>
      <c r="Q733" s="121">
        <f t="shared" si="246"/>
        <v>8.3333333333333329E-2</v>
      </c>
      <c r="R733" s="121">
        <f t="shared" si="247"/>
        <v>0.91666666666666663</v>
      </c>
      <c r="W733" s="160">
        <f t="shared" si="250"/>
        <v>1.1000000000000001</v>
      </c>
      <c r="X733" s="160">
        <f t="shared" si="251"/>
        <v>1.1000000000000001</v>
      </c>
      <c r="Y733" s="160">
        <f t="shared" si="252"/>
        <v>1.0043843580519036</v>
      </c>
      <c r="AB733" s="160">
        <f t="shared" si="253"/>
        <v>0.96608315098468267</v>
      </c>
      <c r="AC733" s="220">
        <f t="shared" si="254"/>
        <v>3.0864332603938772E-2</v>
      </c>
      <c r="AD733" s="160">
        <f t="shared" si="255"/>
        <v>1.1418069561143775</v>
      </c>
      <c r="AE733" s="160">
        <f t="shared" si="248"/>
        <v>1.1178894815913398</v>
      </c>
      <c r="AF733" s="220">
        <f t="shared" si="256"/>
        <v>1</v>
      </c>
      <c r="AG733" s="183">
        <f t="shared" si="257"/>
        <v>4.0000000000000036E-2</v>
      </c>
      <c r="AH733" s="183">
        <f t="shared" si="258"/>
        <v>5.7692307692307709E-2</v>
      </c>
      <c r="AI733" s="220">
        <f t="shared" si="259"/>
        <v>0.96338526763171195</v>
      </c>
    </row>
    <row r="734" spans="1:35" x14ac:dyDescent="0.3">
      <c r="A734" s="187">
        <v>37</v>
      </c>
      <c r="B734" s="242">
        <f t="shared" si="249"/>
        <v>46753</v>
      </c>
      <c r="C734" s="243">
        <f t="shared" si="232"/>
        <v>46783</v>
      </c>
      <c r="D734" s="120">
        <f t="shared" si="233"/>
        <v>31</v>
      </c>
      <c r="E734" s="120">
        <f t="shared" si="234"/>
        <v>1</v>
      </c>
      <c r="F734" s="275">
        <f t="shared" si="235"/>
        <v>46768.5</v>
      </c>
      <c r="G734" s="120">
        <f t="shared" si="236"/>
        <v>24336</v>
      </c>
      <c r="H734" s="245">
        <f t="shared" si="237"/>
        <v>1</v>
      </c>
      <c r="I734" s="121">
        <f t="shared" si="238"/>
        <v>1.1000000000000001</v>
      </c>
      <c r="J734" s="121">
        <f t="shared" si="239"/>
        <v>1.1000000000000001</v>
      </c>
      <c r="K734" s="120">
        <f t="shared" si="240"/>
        <v>0</v>
      </c>
      <c r="L734" s="120">
        <f t="shared" si="241"/>
        <v>0</v>
      </c>
      <c r="M734" s="246">
        <f t="shared" si="242"/>
        <v>0</v>
      </c>
      <c r="N734" s="121">
        <f t="shared" si="243"/>
        <v>1.1000000000000001</v>
      </c>
      <c r="O734" s="246">
        <f t="shared" si="244"/>
        <v>0.91500000000000004</v>
      </c>
      <c r="P734" s="121">
        <f t="shared" si="245"/>
        <v>0</v>
      </c>
      <c r="Q734" s="121">
        <f t="shared" si="246"/>
        <v>0</v>
      </c>
      <c r="R734" s="121">
        <f t="shared" si="247"/>
        <v>1</v>
      </c>
      <c r="AE734" s="160">
        <f t="shared" si="248"/>
        <v>1.094021739130435</v>
      </c>
    </row>
    <row r="735" spans="1:35" x14ac:dyDescent="0.3">
      <c r="A735" s="187">
        <v>38</v>
      </c>
      <c r="B735" s="242">
        <f t="shared" si="249"/>
        <v>46784</v>
      </c>
      <c r="C735" s="243">
        <f t="shared" si="232"/>
        <v>46812</v>
      </c>
      <c r="D735" s="120">
        <f t="shared" si="233"/>
        <v>29</v>
      </c>
      <c r="E735" s="120">
        <f t="shared" si="234"/>
        <v>2</v>
      </c>
      <c r="F735" s="275">
        <f t="shared" si="235"/>
        <v>46798.5</v>
      </c>
      <c r="G735" s="120">
        <f t="shared" si="236"/>
        <v>24337</v>
      </c>
      <c r="H735" s="245">
        <f t="shared" si="237"/>
        <v>1</v>
      </c>
      <c r="I735" s="121">
        <f t="shared" si="238"/>
        <v>1.1000000000000001</v>
      </c>
      <c r="J735" s="121">
        <f t="shared" si="239"/>
        <v>1.1000000000000001</v>
      </c>
      <c r="K735" s="120">
        <f t="shared" si="240"/>
        <v>0</v>
      </c>
      <c r="L735" s="120">
        <f t="shared" si="241"/>
        <v>0</v>
      </c>
      <c r="M735" s="246">
        <f t="shared" si="242"/>
        <v>0</v>
      </c>
      <c r="N735" s="121">
        <f t="shared" si="243"/>
        <v>1.1000000000000001</v>
      </c>
      <c r="O735" s="246">
        <f t="shared" si="244"/>
        <v>0.91500000000000004</v>
      </c>
      <c r="P735" s="121">
        <f t="shared" si="245"/>
        <v>0</v>
      </c>
      <c r="Q735" s="121">
        <f t="shared" si="246"/>
        <v>0</v>
      </c>
      <c r="R735" s="121">
        <f t="shared" si="247"/>
        <v>1</v>
      </c>
      <c r="AE735" s="160">
        <f t="shared" si="248"/>
        <v>1.094021739130435</v>
      </c>
    </row>
    <row r="736" spans="1:35" x14ac:dyDescent="0.3">
      <c r="A736" s="187">
        <v>39</v>
      </c>
      <c r="B736" s="242">
        <f t="shared" si="249"/>
        <v>46813</v>
      </c>
      <c r="C736" s="243">
        <f t="shared" si="232"/>
        <v>46843</v>
      </c>
      <c r="D736" s="120">
        <f t="shared" si="233"/>
        <v>31</v>
      </c>
      <c r="E736" s="120">
        <f t="shared" si="234"/>
        <v>3</v>
      </c>
      <c r="F736" s="275">
        <f t="shared" si="235"/>
        <v>46828.5</v>
      </c>
      <c r="G736" s="120">
        <f t="shared" si="236"/>
        <v>24338</v>
      </c>
      <c r="H736" s="245">
        <f t="shared" si="237"/>
        <v>1</v>
      </c>
      <c r="I736" s="121">
        <f t="shared" si="238"/>
        <v>1.1000000000000001</v>
      </c>
      <c r="J736" s="121">
        <f t="shared" si="239"/>
        <v>1.1000000000000001</v>
      </c>
      <c r="K736" s="120">
        <f t="shared" si="240"/>
        <v>0</v>
      </c>
      <c r="L736" s="120">
        <f t="shared" si="241"/>
        <v>0</v>
      </c>
      <c r="M736" s="246">
        <f t="shared" si="242"/>
        <v>0</v>
      </c>
      <c r="N736" s="121">
        <f t="shared" si="243"/>
        <v>1.1000000000000001</v>
      </c>
      <c r="O736" s="246">
        <f t="shared" si="244"/>
        <v>0.91500000000000004</v>
      </c>
      <c r="P736" s="121">
        <f t="shared" si="245"/>
        <v>0</v>
      </c>
      <c r="Q736" s="121">
        <f t="shared" si="246"/>
        <v>0</v>
      </c>
      <c r="R736" s="121">
        <f t="shared" si="247"/>
        <v>1</v>
      </c>
      <c r="AE736" s="160">
        <f t="shared" si="248"/>
        <v>1.094021739130435</v>
      </c>
    </row>
    <row r="737" spans="1:31" x14ac:dyDescent="0.3">
      <c r="A737" s="187">
        <v>40</v>
      </c>
      <c r="B737" s="242">
        <f t="shared" si="249"/>
        <v>46844</v>
      </c>
      <c r="C737" s="243">
        <f t="shared" si="232"/>
        <v>46873</v>
      </c>
      <c r="D737" s="120">
        <f t="shared" si="233"/>
        <v>30</v>
      </c>
      <c r="E737" s="120">
        <f t="shared" si="234"/>
        <v>4</v>
      </c>
      <c r="F737" s="275">
        <f t="shared" si="235"/>
        <v>46859</v>
      </c>
      <c r="G737" s="120">
        <f t="shared" si="236"/>
        <v>24339</v>
      </c>
      <c r="H737" s="245">
        <f t="shared" si="237"/>
        <v>1</v>
      </c>
      <c r="I737" s="121">
        <f t="shared" si="238"/>
        <v>1.1000000000000001</v>
      </c>
      <c r="J737" s="121">
        <f t="shared" si="239"/>
        <v>1.1000000000000001</v>
      </c>
      <c r="K737" s="120">
        <f t="shared" si="240"/>
        <v>0</v>
      </c>
      <c r="L737" s="120">
        <f t="shared" si="241"/>
        <v>0</v>
      </c>
      <c r="M737" s="246">
        <f t="shared" si="242"/>
        <v>0</v>
      </c>
      <c r="N737" s="121">
        <f t="shared" si="243"/>
        <v>1.1000000000000001</v>
      </c>
      <c r="O737" s="246">
        <f t="shared" si="244"/>
        <v>0.91500000000000004</v>
      </c>
      <c r="P737" s="121">
        <f t="shared" si="245"/>
        <v>0</v>
      </c>
      <c r="Q737" s="121">
        <f t="shared" si="246"/>
        <v>0</v>
      </c>
      <c r="R737" s="121">
        <f t="shared" si="247"/>
        <v>1</v>
      </c>
      <c r="AE737" s="160">
        <f t="shared" si="248"/>
        <v>1.094021739130435</v>
      </c>
    </row>
    <row r="738" spans="1:31" x14ac:dyDescent="0.3">
      <c r="A738" s="187">
        <v>41</v>
      </c>
      <c r="B738" s="242">
        <f t="shared" si="249"/>
        <v>46874</v>
      </c>
      <c r="C738" s="243">
        <f t="shared" si="232"/>
        <v>46904</v>
      </c>
      <c r="D738" s="120">
        <f t="shared" si="233"/>
        <v>31</v>
      </c>
      <c r="E738" s="120">
        <f t="shared" si="234"/>
        <v>5</v>
      </c>
      <c r="F738" s="275">
        <f t="shared" si="235"/>
        <v>46889.5</v>
      </c>
      <c r="G738" s="120">
        <f t="shared" si="236"/>
        <v>24340</v>
      </c>
      <c r="H738" s="245">
        <f t="shared" si="237"/>
        <v>1</v>
      </c>
      <c r="I738" s="121">
        <f t="shared" si="238"/>
        <v>1.1000000000000001</v>
      </c>
      <c r="J738" s="121">
        <f t="shared" si="239"/>
        <v>1.1000000000000001</v>
      </c>
      <c r="K738" s="120">
        <f t="shared" si="240"/>
        <v>0</v>
      </c>
      <c r="L738" s="120">
        <f t="shared" si="241"/>
        <v>0</v>
      </c>
      <c r="M738" s="246">
        <f t="shared" si="242"/>
        <v>0</v>
      </c>
      <c r="N738" s="121">
        <f t="shared" si="243"/>
        <v>1.1000000000000001</v>
      </c>
      <c r="O738" s="246">
        <f t="shared" si="244"/>
        <v>0.91500000000000004</v>
      </c>
      <c r="P738" s="121">
        <f t="shared" si="245"/>
        <v>0</v>
      </c>
      <c r="Q738" s="121">
        <f t="shared" si="246"/>
        <v>0</v>
      </c>
      <c r="R738" s="121">
        <f t="shared" si="247"/>
        <v>1</v>
      </c>
      <c r="AE738" s="160">
        <f t="shared" si="248"/>
        <v>1.094021739130435</v>
      </c>
    </row>
    <row r="739" spans="1:31" x14ac:dyDescent="0.3">
      <c r="A739" s="187">
        <v>42</v>
      </c>
      <c r="B739" s="242">
        <f t="shared" si="249"/>
        <v>46905</v>
      </c>
      <c r="C739" s="243">
        <f t="shared" si="232"/>
        <v>46934</v>
      </c>
      <c r="D739" s="120">
        <f t="shared" si="233"/>
        <v>30</v>
      </c>
      <c r="E739" s="120">
        <f t="shared" si="234"/>
        <v>6</v>
      </c>
      <c r="F739" s="275">
        <f t="shared" si="235"/>
        <v>46920</v>
      </c>
      <c r="G739" s="120">
        <f t="shared" si="236"/>
        <v>24341</v>
      </c>
      <c r="H739" s="245">
        <f t="shared" si="237"/>
        <v>1</v>
      </c>
      <c r="I739" s="121">
        <f t="shared" si="238"/>
        <v>1.1000000000000001</v>
      </c>
      <c r="J739" s="121">
        <f t="shared" si="239"/>
        <v>1.1000000000000001</v>
      </c>
      <c r="K739" s="120">
        <f t="shared" si="240"/>
        <v>0</v>
      </c>
      <c r="L739" s="120">
        <f t="shared" si="241"/>
        <v>0</v>
      </c>
      <c r="M739" s="246">
        <f t="shared" si="242"/>
        <v>0</v>
      </c>
      <c r="N739" s="121">
        <f t="shared" si="243"/>
        <v>1.1000000000000001</v>
      </c>
      <c r="O739" s="246">
        <f t="shared" si="244"/>
        <v>0.91500000000000004</v>
      </c>
      <c r="P739" s="121">
        <f t="shared" si="245"/>
        <v>0</v>
      </c>
      <c r="Q739" s="121">
        <f t="shared" si="246"/>
        <v>0</v>
      </c>
      <c r="R739" s="121">
        <f t="shared" si="247"/>
        <v>1</v>
      </c>
      <c r="AE739" s="160">
        <f t="shared" si="248"/>
        <v>1.094021739130435</v>
      </c>
    </row>
    <row r="740" spans="1:31" x14ac:dyDescent="0.3">
      <c r="A740" s="187">
        <v>43</v>
      </c>
      <c r="B740" s="242">
        <f t="shared" si="249"/>
        <v>46935</v>
      </c>
      <c r="C740" s="243">
        <f t="shared" si="232"/>
        <v>46965</v>
      </c>
      <c r="D740" s="120">
        <f t="shared" si="233"/>
        <v>31</v>
      </c>
      <c r="E740" s="120">
        <f t="shared" si="234"/>
        <v>7</v>
      </c>
      <c r="F740" s="275">
        <f t="shared" si="235"/>
        <v>46950.5</v>
      </c>
      <c r="G740" s="120">
        <f t="shared" si="236"/>
        <v>24342</v>
      </c>
      <c r="H740" s="245">
        <f t="shared" si="237"/>
        <v>1</v>
      </c>
      <c r="I740" s="121">
        <f t="shared" si="238"/>
        <v>1.1000000000000001</v>
      </c>
      <c r="J740" s="121">
        <f t="shared" si="239"/>
        <v>1.1000000000000001</v>
      </c>
      <c r="K740" s="120">
        <f t="shared" si="240"/>
        <v>0</v>
      </c>
      <c r="L740" s="120">
        <f t="shared" si="241"/>
        <v>0</v>
      </c>
      <c r="M740" s="246">
        <f t="shared" si="242"/>
        <v>0</v>
      </c>
      <c r="N740" s="121">
        <f t="shared" si="243"/>
        <v>1.1000000000000001</v>
      </c>
      <c r="O740" s="246">
        <f t="shared" si="244"/>
        <v>0.91500000000000004</v>
      </c>
      <c r="P740" s="121">
        <f t="shared" si="245"/>
        <v>0</v>
      </c>
      <c r="Q740" s="121">
        <f t="shared" si="246"/>
        <v>0</v>
      </c>
      <c r="R740" s="121">
        <f t="shared" si="247"/>
        <v>0.91666666666666663</v>
      </c>
      <c r="AE740" s="160">
        <f t="shared" si="248"/>
        <v>1.094021739130435</v>
      </c>
    </row>
    <row r="741" spans="1:31" x14ac:dyDescent="0.3">
      <c r="A741" s="187">
        <v>44</v>
      </c>
      <c r="B741" s="242">
        <f t="shared" si="249"/>
        <v>46966</v>
      </c>
      <c r="C741" s="243">
        <f t="shared" si="232"/>
        <v>46996</v>
      </c>
      <c r="D741" s="120">
        <f t="shared" si="233"/>
        <v>31</v>
      </c>
      <c r="E741" s="120">
        <f t="shared" si="234"/>
        <v>8</v>
      </c>
      <c r="F741" s="275">
        <f t="shared" si="235"/>
        <v>46981.5</v>
      </c>
      <c r="G741" s="120">
        <f t="shared" si="236"/>
        <v>24343</v>
      </c>
      <c r="H741" s="245">
        <f t="shared" si="237"/>
        <v>1</v>
      </c>
      <c r="I741" s="121">
        <f t="shared" si="238"/>
        <v>1.1000000000000001</v>
      </c>
      <c r="J741" s="121">
        <f t="shared" si="239"/>
        <v>1.1000000000000001</v>
      </c>
      <c r="K741" s="120">
        <f t="shared" si="240"/>
        <v>0</v>
      </c>
      <c r="L741" s="120">
        <f t="shared" si="241"/>
        <v>0</v>
      </c>
      <c r="M741" s="246">
        <f t="shared" si="242"/>
        <v>0</v>
      </c>
      <c r="N741" s="121">
        <f t="shared" si="243"/>
        <v>1.1000000000000001</v>
      </c>
      <c r="O741" s="246">
        <f t="shared" si="244"/>
        <v>0.91500000000000004</v>
      </c>
      <c r="P741" s="121">
        <f t="shared" si="245"/>
        <v>0</v>
      </c>
      <c r="Q741" s="121">
        <f t="shared" si="246"/>
        <v>0</v>
      </c>
      <c r="R741" s="121">
        <f t="shared" si="247"/>
        <v>0.75</v>
      </c>
      <c r="AE741" s="160">
        <f t="shared" si="248"/>
        <v>1.094021739130435</v>
      </c>
    </row>
    <row r="742" spans="1:31" x14ac:dyDescent="0.3">
      <c r="A742" s="187">
        <v>45</v>
      </c>
      <c r="B742" s="242">
        <f t="shared" si="249"/>
        <v>46997</v>
      </c>
      <c r="C742" s="243">
        <f t="shared" si="232"/>
        <v>47026</v>
      </c>
      <c r="D742" s="120">
        <f t="shared" si="233"/>
        <v>30</v>
      </c>
      <c r="E742" s="120">
        <f t="shared" si="234"/>
        <v>9</v>
      </c>
      <c r="F742" s="275">
        <f t="shared" si="235"/>
        <v>47012</v>
      </c>
      <c r="G742" s="120">
        <f t="shared" si="236"/>
        <v>24344</v>
      </c>
      <c r="H742" s="245">
        <f t="shared" si="237"/>
        <v>1</v>
      </c>
      <c r="I742" s="121">
        <f t="shared" si="238"/>
        <v>1.1000000000000001</v>
      </c>
      <c r="J742" s="121">
        <f t="shared" si="239"/>
        <v>1.1000000000000001</v>
      </c>
      <c r="K742" s="120">
        <f t="shared" si="240"/>
        <v>0</v>
      </c>
      <c r="L742" s="120">
        <f t="shared" si="241"/>
        <v>0</v>
      </c>
      <c r="M742" s="246">
        <f t="shared" si="242"/>
        <v>0</v>
      </c>
      <c r="N742" s="121">
        <f t="shared" si="243"/>
        <v>1.1000000000000001</v>
      </c>
      <c r="O742" s="246">
        <f t="shared" si="244"/>
        <v>0.91500000000000004</v>
      </c>
      <c r="P742" s="121">
        <f t="shared" si="245"/>
        <v>0</v>
      </c>
      <c r="Q742" s="121">
        <f t="shared" si="246"/>
        <v>0</v>
      </c>
      <c r="R742" s="121">
        <f t="shared" si="247"/>
        <v>0.58333333333333337</v>
      </c>
      <c r="AE742" s="160">
        <f t="shared" si="248"/>
        <v>1.094021739130435</v>
      </c>
    </row>
    <row r="743" spans="1:31" x14ac:dyDescent="0.3">
      <c r="A743" s="187">
        <v>46</v>
      </c>
      <c r="B743" s="242">
        <f t="shared" si="249"/>
        <v>47027</v>
      </c>
      <c r="C743" s="243">
        <f t="shared" si="232"/>
        <v>47057</v>
      </c>
      <c r="D743" s="120">
        <f t="shared" si="233"/>
        <v>31</v>
      </c>
      <c r="E743" s="120">
        <f t="shared" si="234"/>
        <v>10</v>
      </c>
      <c r="F743" s="275">
        <f t="shared" si="235"/>
        <v>47042.5</v>
      </c>
      <c r="G743" s="120">
        <f t="shared" si="236"/>
        <v>24345</v>
      </c>
      <c r="H743" s="245">
        <f t="shared" si="237"/>
        <v>1</v>
      </c>
      <c r="I743" s="121">
        <f t="shared" si="238"/>
        <v>1.1000000000000001</v>
      </c>
      <c r="J743" s="121">
        <f t="shared" si="239"/>
        <v>1.1000000000000001</v>
      </c>
      <c r="K743" s="120">
        <f t="shared" si="240"/>
        <v>0</v>
      </c>
      <c r="L743" s="120">
        <f t="shared" si="241"/>
        <v>0</v>
      </c>
      <c r="M743" s="246">
        <f t="shared" si="242"/>
        <v>0</v>
      </c>
      <c r="N743" s="121">
        <f t="shared" si="243"/>
        <v>1.1000000000000001</v>
      </c>
      <c r="O743" s="246">
        <f t="shared" si="244"/>
        <v>0.91500000000000004</v>
      </c>
      <c r="P743" s="121">
        <f t="shared" si="245"/>
        <v>0</v>
      </c>
      <c r="Q743" s="121">
        <f t="shared" si="246"/>
        <v>0</v>
      </c>
      <c r="R743" s="121">
        <f t="shared" si="247"/>
        <v>0.41666666666666669</v>
      </c>
      <c r="AE743" s="160">
        <f t="shared" si="248"/>
        <v>1.094021739130435</v>
      </c>
    </row>
    <row r="744" spans="1:31" x14ac:dyDescent="0.3">
      <c r="A744" s="187">
        <v>47</v>
      </c>
      <c r="B744" s="242">
        <f t="shared" si="249"/>
        <v>47058</v>
      </c>
      <c r="C744" s="243">
        <f t="shared" si="232"/>
        <v>47087</v>
      </c>
      <c r="D744" s="120">
        <f t="shared" si="233"/>
        <v>30</v>
      </c>
      <c r="E744" s="120">
        <f t="shared" si="234"/>
        <v>11</v>
      </c>
      <c r="F744" s="275">
        <f t="shared" si="235"/>
        <v>47073</v>
      </c>
      <c r="G744" s="120">
        <f t="shared" si="236"/>
        <v>24346</v>
      </c>
      <c r="H744" s="245">
        <f t="shared" si="237"/>
        <v>1</v>
      </c>
      <c r="I744" s="121">
        <f t="shared" si="238"/>
        <v>1.1000000000000001</v>
      </c>
      <c r="J744" s="121">
        <f t="shared" si="239"/>
        <v>1.1000000000000001</v>
      </c>
      <c r="K744" s="120">
        <f t="shared" si="240"/>
        <v>0</v>
      </c>
      <c r="L744" s="120">
        <f t="shared" si="241"/>
        <v>0</v>
      </c>
      <c r="M744" s="246">
        <f t="shared" si="242"/>
        <v>0</v>
      </c>
      <c r="N744" s="121">
        <f t="shared" si="243"/>
        <v>1.1000000000000001</v>
      </c>
      <c r="O744" s="246">
        <f t="shared" si="244"/>
        <v>0.91500000000000004</v>
      </c>
      <c r="P744" s="121">
        <f t="shared" si="245"/>
        <v>0</v>
      </c>
      <c r="Q744" s="121">
        <f t="shared" si="246"/>
        <v>0</v>
      </c>
      <c r="R744" s="121">
        <f t="shared" si="247"/>
        <v>0.25</v>
      </c>
      <c r="AE744" s="160">
        <f t="shared" si="248"/>
        <v>1.094021739130435</v>
      </c>
    </row>
    <row r="745" spans="1:31" x14ac:dyDescent="0.3">
      <c r="A745" s="187">
        <v>48</v>
      </c>
      <c r="B745" s="242">
        <f t="shared" si="249"/>
        <v>47088</v>
      </c>
      <c r="C745" s="243">
        <f t="shared" si="232"/>
        <v>47118</v>
      </c>
      <c r="D745" s="120">
        <f t="shared" si="233"/>
        <v>31</v>
      </c>
      <c r="E745" s="120">
        <f t="shared" si="234"/>
        <v>12</v>
      </c>
      <c r="F745" s="275">
        <f t="shared" si="235"/>
        <v>47103.5</v>
      </c>
      <c r="G745" s="120">
        <f t="shared" si="236"/>
        <v>24347</v>
      </c>
      <c r="H745" s="245">
        <f t="shared" si="237"/>
        <v>1</v>
      </c>
      <c r="I745" s="121">
        <f t="shared" si="238"/>
        <v>1.1000000000000001</v>
      </c>
      <c r="J745" s="121">
        <f t="shared" si="239"/>
        <v>1.1000000000000001</v>
      </c>
      <c r="K745" s="120">
        <f t="shared" si="240"/>
        <v>0</v>
      </c>
      <c r="L745" s="120">
        <f t="shared" si="241"/>
        <v>0</v>
      </c>
      <c r="M745" s="246">
        <f t="shared" si="242"/>
        <v>0</v>
      </c>
      <c r="N745" s="121">
        <f t="shared" si="243"/>
        <v>1.1000000000000001</v>
      </c>
      <c r="O745" s="246">
        <f t="shared" si="244"/>
        <v>0.91500000000000004</v>
      </c>
      <c r="P745" s="121">
        <f t="shared" si="245"/>
        <v>0</v>
      </c>
      <c r="Q745" s="121">
        <f t="shared" si="246"/>
        <v>0</v>
      </c>
      <c r="R745" s="121">
        <f t="shared" si="247"/>
        <v>8.3333333333333329E-2</v>
      </c>
      <c r="AE745" s="160">
        <f t="shared" si="248"/>
        <v>1.094021739130435</v>
      </c>
    </row>
    <row r="746" spans="1:31" x14ac:dyDescent="0.3">
      <c r="A746" s="23" t="s">
        <v>1723</v>
      </c>
      <c r="B746" s="279">
        <f>SUM($H$722:$H$733)</f>
        <v>12</v>
      </c>
      <c r="C746" s="160">
        <f>SUMPRODUCT($H$722:$H$733,$W$722:$W$733/$N$710:$N$721,$Y$722:$Y$733)</f>
        <v>12.956674709398349</v>
      </c>
      <c r="D746" s="160">
        <f>SUMPRODUCT($H$722:$H$733,$X$722:$X$733/$N$710:$N$721,$Y$722:$Y$733)</f>
        <v>9.6421532122608014</v>
      </c>
      <c r="E746" s="281">
        <f>IF(OR($D$695=0,$P$695=0,$D746=0),"n/a",((1+$E$695)*$B746-$C746)/$D746)</f>
        <v>2.5235576042521628E-2</v>
      </c>
      <c r="F746" s="281">
        <f>IF($V$695&lt;&gt;"",$V$695,$E746)</f>
        <v>0.04</v>
      </c>
      <c r="G746" s="281">
        <f>IF(OR(NOT(ISNUMBER($F746)),nd_Ach=0),"n/a",$F746/nd_Ach)</f>
        <v>0.04</v>
      </c>
      <c r="H746" s="220">
        <f>IF(OR(NOT(ISNUMBER($F746)),$F$695=0,SUMPRODUCT($AD$722:$AD$733,$AB$722:$AB$733)=0),"n/a",((1+$E$695)*$B746-SUMPRODUCT($AD$722:$AD$733,$AC$722:$AC$733))/SUMPRODUCT($AD$722:$AD$733,$AB$722:$AB$733))</f>
        <v>0.89861591847615585</v>
      </c>
      <c r="I746" s="183">
        <f>IF(NOT(ISNUMBER($F746)),"n/a",SUMPRODUCT($H$722:$H$733,($W$722:$W$733+$X$722:$X$733*$F746)/$N$710:$N$721)/$B746-1)</f>
        <v>0.10699999999999998</v>
      </c>
      <c r="J746" s="183">
        <f>IF(OR(NOT(ISNUMBER($I746)),$F$695=0),"n/a",(1+$E$695)/(1+$I746)-1)</f>
        <v>-6.3233965672989667E-3</v>
      </c>
      <c r="K746" s="183">
        <f>IF(NOT(ISNUMBER($F746)),"n/a",($C746+$D746*$F746)/$B746-1)</f>
        <v>0.1118634031573984</v>
      </c>
      <c r="L746" s="229">
        <f>IF(NOT(ISNUMBER($F746)),"n/a",SUMPRODUCT($H$722:$H$733,$AF$722:$AF$733)/$B746)</f>
        <v>0.75</v>
      </c>
      <c r="M746" s="23" t="str">
        <f>IF($D$695=0,"",TRIM(IF(AND(ISNUMBER($H746),OR($H746&lt;0.5,$H746&gt;1.5)),"MOD-BOUND ","")&amp;IF(AND(ISNUMBER($F746),ABS($F746)&gt;nr_SolvMaxRate),"RATE-BOUND ","")&amp;IF(AND(ISNUMBER($L746),$L746&lt;nr_SolvMinShare),"THIN-SHARE ","")&amp;IF($W$695&gt;1,"MULTI-PLANNED ","")&amp;IF($F$695=0,"RATE-ONLY","")))</f>
        <v/>
      </c>
      <c r="N746" s="229">
        <f>IF(OR($D$695=0,NOT(ISNUMBER($F746))),"n/a",INDEX(calc_lrcur,$C$695)*INDEX(calc_crl,$C$695)/(SUMPRODUCT($H$698:$H$745,$Q$698:$Q$745,$AE$698:$AE$745)/SUMPRODUCT($H$698:$H$745,$Q$698:$Q$745))*INDEX(calc_aother,$C$695))</f>
        <v>0.54263563255155889</v>
      </c>
      <c r="O746" s="229">
        <f>IF($D$695=0,"n/a",INDEX(calc_cylr_p,$C$695))</f>
        <v>0.54805984563196153</v>
      </c>
      <c r="P746" s="282">
        <f>IF(NOT(ISNUMBER($E746)),0,ABS(($C746+$D746*$E746)/$B746-(1+$E$695)))</f>
        <v>0</v>
      </c>
    </row>
    <row r="751" spans="1:31" x14ac:dyDescent="0.3">
      <c r="A751" s="23" t="str">
        <f>_lists!$B$12</f>
        <v>MD</v>
      </c>
      <c r="B751" s="23" t="str">
        <f>IF(OR($A751="",nd_BU="All"),"",nd_BU&amp;"|"&amp;$A751)</f>
        <v>SBA|MD</v>
      </c>
      <c r="C751" s="43">
        <f>IF($B751="",0,IF(COUNTIF(lr_key,$B751)=0,0,MATCH($B751,lr_key,0)))</f>
        <v>52</v>
      </c>
      <c r="D751" s="43">
        <f>IF($C751=0,0,IF(ISBLANK(INDEX(lr_netp,$C751)),0,1))</f>
        <v>0</v>
      </c>
      <c r="E751" s="229">
        <f>IF($D751=0,0,N(INDEX(lr_netp,$C751)))</f>
        <v>0</v>
      </c>
      <c r="F751" s="43">
        <f>IF($C751=0,0,IF(AND(nr_ModAdjMaster="ON",INDEX(lr_modadj,$C751)="ON"),1,0))</f>
        <v>1</v>
      </c>
      <c r="G751" s="220">
        <f>IF($C751=0,1,IF(N(INDEX(lr_mind,$C751))=0,1,INDEX(lr_mind,$C751)))</f>
        <v>0.92</v>
      </c>
      <c r="H751" s="220">
        <f>IF($C751=0,1,IF(N(INDEX(lr_m0,$C751))=0,1,INDEX(lr_m0,$C751)))</f>
        <v>0.91</v>
      </c>
      <c r="I751" s="278">
        <f>IF($C751=0,DATE(nr_PlanYear-1,10,1),IF(N(INDEX(lr_m0asof,$C751))=0,DATE(nr_PlanYear-1,10,1),INDEX(lr_m0asof,$C751)))</f>
        <v>46295</v>
      </c>
      <c r="J751" s="220">
        <f>IF($C751=0,1,IF(N(INDEX(lr_m1,$C751))=0,1,INDEX(lr_m1,$C751)))</f>
        <v>0.93</v>
      </c>
      <c r="K751" s="220">
        <f>IF($C751=0,0,N(INDEX(lr_mprior,$C751)))</f>
        <v>0</v>
      </c>
      <c r="L751" s="220">
        <f>IF($C751=0,0,N(INDEX(lr_m2,$C751)))</f>
        <v>0</v>
      </c>
      <c r="M751" s="43">
        <f>IF(OR($A751="",COUNTIF(se_state,$A751)=0),0,MATCH($A751,se_state,0))</f>
        <v>0</v>
      </c>
      <c r="N751" s="279">
        <f>IF($M751=0,0,INDEX(se_sum,$M751))</f>
        <v>0</v>
      </c>
      <c r="O751" s="278">
        <f>IF('Net Delivery'!$D$18="",$X751,'Net Delivery'!$D$18)</f>
        <v>46478</v>
      </c>
      <c r="P751" s="43">
        <f>IF(AND($O751&gt;=DATE(nr_PlanYear,1,1),$O751&lt;=DATE(nr_PlanYear,12,31)),1,0)</f>
        <v>1</v>
      </c>
      <c r="Q751" s="43">
        <f>YEAR($O751)*12+MONTH($O751)-1</f>
        <v>24327</v>
      </c>
      <c r="R751" s="43">
        <f>DAY(EOMONTH($O751,0))</f>
        <v>30</v>
      </c>
      <c r="S751" s="43">
        <f>EOMONTH($O751,0)-$O751+1</f>
        <v>30</v>
      </c>
      <c r="T751" s="43">
        <f>SUMIFS(ndl_days,rl_key,$B751,ndl_effmonth,DATE(YEAR($O751),MONTH($O751),1),ndl_first,1)</f>
        <v>0</v>
      </c>
      <c r="U751" s="220">
        <f>IF($P751=1,MIN(1,MAX($S751,$T751)/$R751),1)</f>
        <v>1</v>
      </c>
      <c r="V751" s="280" t="str">
        <f>IF(ISBLANK('Net Delivery'!$E$18),$Y751,'Net Delivery'!$E$18)</f>
        <v/>
      </c>
      <c r="W751" s="43">
        <f>IF($B751="",0,COUNTIFS(rl_key,$B751,rl_status,"planned",rl_eff,"&gt;="&amp;DATE(nr_PlanYear,1,1),rl_eff,"&lt;="&amp;DATE(nr_PlanYear,12,31)))</f>
        <v>0</v>
      </c>
      <c r="X751" s="278">
        <f>IF($W751=0,nd_DefaultDate,SUMIFS(rl_eff,rl_key,$B751,rl_firstplanned,1))</f>
        <v>46478</v>
      </c>
      <c r="Y751" s="280" t="str">
        <f>IF($W751=0,"",SUMIFS(rl_reff,rl_key,$B751,rl_firstplanned,1))</f>
        <v/>
      </c>
      <c r="Z751" s="280" t="str">
        <f>IF($W751=0,"",SUMIFS(rl_filed,rl_key,$B751,rl_firstplanned,1))</f>
        <v/>
      </c>
    </row>
    <row r="752" spans="1:31" x14ac:dyDescent="0.3">
      <c r="A752" s="6">
        <f>EDATE($I$751,-12)+1</f>
        <v>45931</v>
      </c>
      <c r="B752" s="6">
        <f>$I$751+1</f>
        <v>46296</v>
      </c>
      <c r="C752" s="6">
        <f>DATE(nr_PlanYear,12,31)+1</f>
        <v>46753</v>
      </c>
      <c r="D752" s="6">
        <f>DATE(nr_PlanYear+1,12,31)+1</f>
        <v>47119</v>
      </c>
      <c r="E752" s="6">
        <f>IF(N($K$751)=0,$F$752-($G$752-$F$752)/($C$752-$B$752)*($B$752-$A$752),$K$751)</f>
        <v>0.89402625820568926</v>
      </c>
      <c r="F752" s="6">
        <f>$H$751</f>
        <v>0.91</v>
      </c>
      <c r="G752" s="6">
        <f>$J$751</f>
        <v>0.93</v>
      </c>
      <c r="H752" s="6">
        <f>IF(N($L$751)=0,$J$751,$L$751)</f>
        <v>0.93</v>
      </c>
      <c r="I752" s="6">
        <f>($F$752-$E$752)/($B$752-$A$752)</f>
        <v>4.3763676148796628E-5</v>
      </c>
      <c r="J752" s="6">
        <f>($G$752-$F$752)/($C$752-$B$752)</f>
        <v>4.376367614879654E-5</v>
      </c>
      <c r="K752" s="6">
        <f>($H$752-$G$752)/($D$752-$C$752)</f>
        <v>0</v>
      </c>
    </row>
    <row r="753" spans="1:31" ht="36" x14ac:dyDescent="0.3">
      <c r="A753" s="58" t="s">
        <v>390</v>
      </c>
      <c r="B753" s="58" t="s">
        <v>449</v>
      </c>
      <c r="C753" s="58" t="s">
        <v>685</v>
      </c>
      <c r="D753" s="58" t="s">
        <v>686</v>
      </c>
      <c r="E753" s="58" t="s">
        <v>687</v>
      </c>
      <c r="F753" s="58" t="s">
        <v>688</v>
      </c>
      <c r="G753" s="58" t="s">
        <v>689</v>
      </c>
      <c r="H753" s="58" t="s">
        <v>452</v>
      </c>
      <c r="I753" s="58" t="s">
        <v>690</v>
      </c>
      <c r="J753" s="58" t="s">
        <v>691</v>
      </c>
      <c r="K753" s="58" t="s">
        <v>692</v>
      </c>
      <c r="L753" s="58" t="s">
        <v>693</v>
      </c>
      <c r="M753" s="58" t="s">
        <v>694</v>
      </c>
      <c r="N753" s="58" t="s">
        <v>695</v>
      </c>
      <c r="O753" s="58" t="s">
        <v>696</v>
      </c>
      <c r="P753" s="58" t="s">
        <v>697</v>
      </c>
      <c r="Q753" s="58" t="s">
        <v>698</v>
      </c>
      <c r="R753" s="58" t="s">
        <v>699</v>
      </c>
      <c r="S753" s="58" t="s">
        <v>700</v>
      </c>
      <c r="T753" s="58" t="s">
        <v>701</v>
      </c>
      <c r="U753" s="58" t="s">
        <v>702</v>
      </c>
    </row>
    <row r="754" spans="1:31" x14ac:dyDescent="0.3">
      <c r="A754" s="187">
        <v>1</v>
      </c>
      <c r="B754" s="242">
        <f>DATE(nr_PlanYear-2,1,1)</f>
        <v>45658</v>
      </c>
      <c r="C754" s="243">
        <f t="shared" ref="C754:C801" si="260">EOMONTH($B754,0)</f>
        <v>45688</v>
      </c>
      <c r="D754" s="120">
        <f t="shared" ref="D754:D801" si="261">$C754-$B754+1</f>
        <v>31</v>
      </c>
      <c r="E754" s="120">
        <f t="shared" ref="E754:E801" si="262">MONTH($B754)</f>
        <v>1</v>
      </c>
      <c r="F754" s="275">
        <f t="shared" ref="F754:F801" si="263">($B754+$C754+1)/2</f>
        <v>45673.5</v>
      </c>
      <c r="G754" s="120">
        <f t="shared" ref="G754:G801" si="264">YEAR($B754)*12+MONTH($B754)-1</f>
        <v>24300</v>
      </c>
      <c r="H754" s="245">
        <f t="shared" ref="H754:H801" si="265">IF(OR(nr_SeasonOn="OFF",$M$751=0,$N$751=0),1,12*INDEX(se_block,$M$751,$E754)/$N$751)</f>
        <v>1</v>
      </c>
      <c r="I754" s="121">
        <f t="shared" ref="I754:I801" si="266">EXP(SUMPRODUCT((ndl_eff&lt;$B754)*(rl_key=$B$751)*ndl_ln))</f>
        <v>1</v>
      </c>
      <c r="J754" s="121">
        <f t="shared" ref="J754:J801" si="267">EXP(SUMPRODUCT((ndl_eff&lt;=$C754)*(rl_key=$B$751)*ndl_ln))</f>
        <v>1</v>
      </c>
      <c r="K754" s="120">
        <f t="shared" ref="K754:K801" si="268">COUNTIFS(rl_key,$B$751,ndl_eff,"&gt;="&amp;$B754,ndl_eff,"&lt;="&amp;$C754)</f>
        <v>0</v>
      </c>
      <c r="L754" s="120">
        <f t="shared" ref="L754:L801" si="269">SUMIFS(ndl_days,rl_key,$B$751,ndl_effmonth,$B754,ndl_first,1)</f>
        <v>0</v>
      </c>
      <c r="M754" s="246">
        <f t="shared" ref="M754:M801" si="270">IF($K754=0,0,MIN(1,$L754/$D754))</f>
        <v>0</v>
      </c>
      <c r="N754" s="121">
        <f t="shared" ref="N754:N801" si="271">IF($K754=0,$J754,(1-$M754)*$I754+$M754*$J754)</f>
        <v>1</v>
      </c>
      <c r="O754" s="246">
        <f t="shared" ref="O754:O801" si="272">IF($F754&lt;$B$752,$E$752+$I$752*($F754-$A$752),IF($F754&lt;$C$752,$F$752+$J$752*($F754-$B$752),$G$752+$K$752*($F754-$C$752)))</f>
        <v>0.88275711159737413</v>
      </c>
      <c r="P754" s="121">
        <f t="shared" ref="P754:P801" si="273">MIN(1,MAX(0,(nr_MEndPm1-$G754+0.5)/nr_TermMonths))-MIN(1,MAX(0,(nr_MStartPm1-1-$G754+0.5)/nr_TermMonths))</f>
        <v>0</v>
      </c>
      <c r="Q754" s="121">
        <f t="shared" ref="Q754:Q801" si="274">MIN(1,MAX(0,(nr_MEndP-$G754+0.5)/nr_TermMonths))-MIN(1,MAX(0,(nr_MStartP-1-$G754+0.5)/nr_TermMonths))</f>
        <v>0</v>
      </c>
      <c r="R754" s="121">
        <f t="shared" ref="R754:R801" si="275">MIN(1,MAX(0,(nr_MEndP1-$G754+0.5)/nr_TermMonths))-MIN(1,MAX(0,(nr_MStartP1-1-$G754+0.5)/nr_TermMonths))</f>
        <v>0</v>
      </c>
      <c r="AE754" s="160">
        <f t="shared" ref="AE754:AE801" si="276">IF(OR($G754&lt;nr_MStartP,$G754&gt;=nr_MStartP1),IF($F$751=1,$N754*$O754/$G$751,$N754),($W754+$X754*IF(ISNUMBER($F$802),$F$802,0))*IF($F$751=1,($AC754+$AB754*IF(ISNUMBER($H$802),$H$802,$J$751))/$G$751,1))</f>
        <v>0.95951859956236318</v>
      </c>
    </row>
    <row r="755" spans="1:31" x14ac:dyDescent="0.3">
      <c r="A755" s="187">
        <v>2</v>
      </c>
      <c r="B755" s="242">
        <f t="shared" ref="B755:B801" si="277">EDATE($B754,1)</f>
        <v>45689</v>
      </c>
      <c r="C755" s="243">
        <f t="shared" si="260"/>
        <v>45716</v>
      </c>
      <c r="D755" s="120">
        <f t="shared" si="261"/>
        <v>28</v>
      </c>
      <c r="E755" s="120">
        <f t="shared" si="262"/>
        <v>2</v>
      </c>
      <c r="F755" s="275">
        <f t="shared" si="263"/>
        <v>45703</v>
      </c>
      <c r="G755" s="120">
        <f t="shared" si="264"/>
        <v>24301</v>
      </c>
      <c r="H755" s="245">
        <f t="shared" si="265"/>
        <v>1</v>
      </c>
      <c r="I755" s="121">
        <f t="shared" si="266"/>
        <v>1</v>
      </c>
      <c r="J755" s="121">
        <f t="shared" si="267"/>
        <v>1</v>
      </c>
      <c r="K755" s="120">
        <f t="shared" si="268"/>
        <v>0</v>
      </c>
      <c r="L755" s="120">
        <f t="shared" si="269"/>
        <v>0</v>
      </c>
      <c r="M755" s="246">
        <f t="shared" si="270"/>
        <v>0</v>
      </c>
      <c r="N755" s="121">
        <f t="shared" si="271"/>
        <v>1</v>
      </c>
      <c r="O755" s="246">
        <f t="shared" si="272"/>
        <v>0.88404814004376364</v>
      </c>
      <c r="P755" s="121">
        <f t="shared" si="273"/>
        <v>0</v>
      </c>
      <c r="Q755" s="121">
        <f t="shared" si="274"/>
        <v>0</v>
      </c>
      <c r="R755" s="121">
        <f t="shared" si="275"/>
        <v>0</v>
      </c>
      <c r="AE755" s="160">
        <f t="shared" si="276"/>
        <v>0.96092189135191697</v>
      </c>
    </row>
    <row r="756" spans="1:31" x14ac:dyDescent="0.3">
      <c r="A756" s="187">
        <v>3</v>
      </c>
      <c r="B756" s="242">
        <f t="shared" si="277"/>
        <v>45717</v>
      </c>
      <c r="C756" s="243">
        <f t="shared" si="260"/>
        <v>45747</v>
      </c>
      <c r="D756" s="120">
        <f t="shared" si="261"/>
        <v>31</v>
      </c>
      <c r="E756" s="120">
        <f t="shared" si="262"/>
        <v>3</v>
      </c>
      <c r="F756" s="275">
        <f t="shared" si="263"/>
        <v>45732.5</v>
      </c>
      <c r="G756" s="120">
        <f t="shared" si="264"/>
        <v>24302</v>
      </c>
      <c r="H756" s="245">
        <f t="shared" si="265"/>
        <v>1</v>
      </c>
      <c r="I756" s="121">
        <f t="shared" si="266"/>
        <v>1</v>
      </c>
      <c r="J756" s="121">
        <f t="shared" si="267"/>
        <v>1</v>
      </c>
      <c r="K756" s="120">
        <f t="shared" si="268"/>
        <v>0</v>
      </c>
      <c r="L756" s="120">
        <f t="shared" si="269"/>
        <v>0</v>
      </c>
      <c r="M756" s="246">
        <f t="shared" si="270"/>
        <v>0</v>
      </c>
      <c r="N756" s="121">
        <f t="shared" si="271"/>
        <v>1</v>
      </c>
      <c r="O756" s="246">
        <f t="shared" si="272"/>
        <v>0.88533916849015315</v>
      </c>
      <c r="P756" s="121">
        <f t="shared" si="273"/>
        <v>0</v>
      </c>
      <c r="Q756" s="121">
        <f t="shared" si="274"/>
        <v>0</v>
      </c>
      <c r="R756" s="121">
        <f t="shared" si="275"/>
        <v>0</v>
      </c>
      <c r="AE756" s="160">
        <f t="shared" si="276"/>
        <v>0.96232518314147075</v>
      </c>
    </row>
    <row r="757" spans="1:31" x14ac:dyDescent="0.3">
      <c r="A757" s="187">
        <v>4</v>
      </c>
      <c r="B757" s="242">
        <f t="shared" si="277"/>
        <v>45748</v>
      </c>
      <c r="C757" s="243">
        <f t="shared" si="260"/>
        <v>45777</v>
      </c>
      <c r="D757" s="120">
        <f t="shared" si="261"/>
        <v>30</v>
      </c>
      <c r="E757" s="120">
        <f t="shared" si="262"/>
        <v>4</v>
      </c>
      <c r="F757" s="275">
        <f t="shared" si="263"/>
        <v>45763</v>
      </c>
      <c r="G757" s="120">
        <f t="shared" si="264"/>
        <v>24303</v>
      </c>
      <c r="H757" s="245">
        <f t="shared" si="265"/>
        <v>1</v>
      </c>
      <c r="I757" s="121">
        <f t="shared" si="266"/>
        <v>1</v>
      </c>
      <c r="J757" s="121">
        <f t="shared" si="267"/>
        <v>1</v>
      </c>
      <c r="K757" s="120">
        <f t="shared" si="268"/>
        <v>0</v>
      </c>
      <c r="L757" s="120">
        <f t="shared" si="269"/>
        <v>0</v>
      </c>
      <c r="M757" s="246">
        <f t="shared" si="270"/>
        <v>0</v>
      </c>
      <c r="N757" s="121">
        <f t="shared" si="271"/>
        <v>1</v>
      </c>
      <c r="O757" s="246">
        <f t="shared" si="272"/>
        <v>0.88667396061269144</v>
      </c>
      <c r="P757" s="121">
        <f t="shared" si="273"/>
        <v>0</v>
      </c>
      <c r="Q757" s="121">
        <f t="shared" si="274"/>
        <v>0</v>
      </c>
      <c r="R757" s="121">
        <f t="shared" si="275"/>
        <v>0</v>
      </c>
      <c r="AE757" s="160">
        <f t="shared" si="276"/>
        <v>0.96377604414422979</v>
      </c>
    </row>
    <row r="758" spans="1:31" x14ac:dyDescent="0.3">
      <c r="A758" s="187">
        <v>5</v>
      </c>
      <c r="B758" s="242">
        <f t="shared" si="277"/>
        <v>45778</v>
      </c>
      <c r="C758" s="243">
        <f t="shared" si="260"/>
        <v>45808</v>
      </c>
      <c r="D758" s="120">
        <f t="shared" si="261"/>
        <v>31</v>
      </c>
      <c r="E758" s="120">
        <f t="shared" si="262"/>
        <v>5</v>
      </c>
      <c r="F758" s="275">
        <f t="shared" si="263"/>
        <v>45793.5</v>
      </c>
      <c r="G758" s="120">
        <f t="shared" si="264"/>
        <v>24304</v>
      </c>
      <c r="H758" s="245">
        <f t="shared" si="265"/>
        <v>1</v>
      </c>
      <c r="I758" s="121">
        <f t="shared" si="266"/>
        <v>1</v>
      </c>
      <c r="J758" s="121">
        <f t="shared" si="267"/>
        <v>1</v>
      </c>
      <c r="K758" s="120">
        <f t="shared" si="268"/>
        <v>0</v>
      </c>
      <c r="L758" s="120">
        <f t="shared" si="269"/>
        <v>0</v>
      </c>
      <c r="M758" s="246">
        <f t="shared" si="270"/>
        <v>0</v>
      </c>
      <c r="N758" s="121">
        <f t="shared" si="271"/>
        <v>1</v>
      </c>
      <c r="O758" s="246">
        <f t="shared" si="272"/>
        <v>0.88800875273522972</v>
      </c>
      <c r="P758" s="121">
        <f t="shared" si="273"/>
        <v>0</v>
      </c>
      <c r="Q758" s="121">
        <f t="shared" si="274"/>
        <v>0</v>
      </c>
      <c r="R758" s="121">
        <f t="shared" si="275"/>
        <v>0</v>
      </c>
      <c r="AE758" s="160">
        <f t="shared" si="276"/>
        <v>0.96522690514698883</v>
      </c>
    </row>
    <row r="759" spans="1:31" x14ac:dyDescent="0.3">
      <c r="A759" s="187">
        <v>6</v>
      </c>
      <c r="B759" s="242">
        <f t="shared" si="277"/>
        <v>45809</v>
      </c>
      <c r="C759" s="243">
        <f t="shared" si="260"/>
        <v>45838</v>
      </c>
      <c r="D759" s="120">
        <f t="shared" si="261"/>
        <v>30</v>
      </c>
      <c r="E759" s="120">
        <f t="shared" si="262"/>
        <v>6</v>
      </c>
      <c r="F759" s="275">
        <f t="shared" si="263"/>
        <v>45824</v>
      </c>
      <c r="G759" s="120">
        <f t="shared" si="264"/>
        <v>24305</v>
      </c>
      <c r="H759" s="245">
        <f t="shared" si="265"/>
        <v>1</v>
      </c>
      <c r="I759" s="121">
        <f t="shared" si="266"/>
        <v>1</v>
      </c>
      <c r="J759" s="121">
        <f t="shared" si="267"/>
        <v>1</v>
      </c>
      <c r="K759" s="120">
        <f t="shared" si="268"/>
        <v>0</v>
      </c>
      <c r="L759" s="120">
        <f t="shared" si="269"/>
        <v>0</v>
      </c>
      <c r="M759" s="246">
        <f t="shared" si="270"/>
        <v>0</v>
      </c>
      <c r="N759" s="121">
        <f t="shared" si="271"/>
        <v>1</v>
      </c>
      <c r="O759" s="246">
        <f t="shared" si="272"/>
        <v>0.88934354485776801</v>
      </c>
      <c r="P759" s="121">
        <f t="shared" si="273"/>
        <v>0</v>
      </c>
      <c r="Q759" s="121">
        <f t="shared" si="274"/>
        <v>0</v>
      </c>
      <c r="R759" s="121">
        <f t="shared" si="275"/>
        <v>0</v>
      </c>
      <c r="AE759" s="160">
        <f t="shared" si="276"/>
        <v>0.96667776614974776</v>
      </c>
    </row>
    <row r="760" spans="1:31" x14ac:dyDescent="0.3">
      <c r="A760" s="187">
        <v>7</v>
      </c>
      <c r="B760" s="242">
        <f t="shared" si="277"/>
        <v>45839</v>
      </c>
      <c r="C760" s="243">
        <f t="shared" si="260"/>
        <v>45869</v>
      </c>
      <c r="D760" s="120">
        <f t="shared" si="261"/>
        <v>31</v>
      </c>
      <c r="E760" s="120">
        <f t="shared" si="262"/>
        <v>7</v>
      </c>
      <c r="F760" s="275">
        <f t="shared" si="263"/>
        <v>45854.5</v>
      </c>
      <c r="G760" s="120">
        <f t="shared" si="264"/>
        <v>24306</v>
      </c>
      <c r="H760" s="245">
        <f t="shared" si="265"/>
        <v>1</v>
      </c>
      <c r="I760" s="121">
        <f t="shared" si="266"/>
        <v>1</v>
      </c>
      <c r="J760" s="121">
        <f t="shared" si="267"/>
        <v>1</v>
      </c>
      <c r="K760" s="120">
        <f t="shared" si="268"/>
        <v>0</v>
      </c>
      <c r="L760" s="120">
        <f t="shared" si="269"/>
        <v>0</v>
      </c>
      <c r="M760" s="246">
        <f t="shared" si="270"/>
        <v>0</v>
      </c>
      <c r="N760" s="121">
        <f t="shared" si="271"/>
        <v>1</v>
      </c>
      <c r="O760" s="246">
        <f t="shared" si="272"/>
        <v>0.8906783369803063</v>
      </c>
      <c r="P760" s="121">
        <f t="shared" si="273"/>
        <v>8.333333333333337E-2</v>
      </c>
      <c r="Q760" s="121">
        <f t="shared" si="274"/>
        <v>0</v>
      </c>
      <c r="R760" s="121">
        <f t="shared" si="275"/>
        <v>0</v>
      </c>
      <c r="AE760" s="160">
        <f t="shared" si="276"/>
        <v>0.9681286271525068</v>
      </c>
    </row>
    <row r="761" spans="1:31" x14ac:dyDescent="0.3">
      <c r="A761" s="187">
        <v>8</v>
      </c>
      <c r="B761" s="242">
        <f t="shared" si="277"/>
        <v>45870</v>
      </c>
      <c r="C761" s="243">
        <f t="shared" si="260"/>
        <v>45900</v>
      </c>
      <c r="D761" s="120">
        <f t="shared" si="261"/>
        <v>31</v>
      </c>
      <c r="E761" s="120">
        <f t="shared" si="262"/>
        <v>8</v>
      </c>
      <c r="F761" s="275">
        <f t="shared" si="263"/>
        <v>45885.5</v>
      </c>
      <c r="G761" s="120">
        <f t="shared" si="264"/>
        <v>24307</v>
      </c>
      <c r="H761" s="245">
        <f t="shared" si="265"/>
        <v>1</v>
      </c>
      <c r="I761" s="121">
        <f t="shared" si="266"/>
        <v>1</v>
      </c>
      <c r="J761" s="121">
        <f t="shared" si="267"/>
        <v>1</v>
      </c>
      <c r="K761" s="120">
        <f t="shared" si="268"/>
        <v>0</v>
      </c>
      <c r="L761" s="120">
        <f t="shared" si="269"/>
        <v>0</v>
      </c>
      <c r="M761" s="246">
        <f t="shared" si="270"/>
        <v>0</v>
      </c>
      <c r="N761" s="121">
        <f t="shared" si="271"/>
        <v>1</v>
      </c>
      <c r="O761" s="246">
        <f t="shared" si="272"/>
        <v>0.89203501094091897</v>
      </c>
      <c r="P761" s="121">
        <f t="shared" si="273"/>
        <v>0.25</v>
      </c>
      <c r="Q761" s="121">
        <f t="shared" si="274"/>
        <v>0</v>
      </c>
      <c r="R761" s="121">
        <f t="shared" si="275"/>
        <v>0</v>
      </c>
      <c r="AE761" s="160">
        <f t="shared" si="276"/>
        <v>0.96960327276186842</v>
      </c>
    </row>
    <row r="762" spans="1:31" x14ac:dyDescent="0.3">
      <c r="A762" s="187">
        <v>9</v>
      </c>
      <c r="B762" s="242">
        <f t="shared" si="277"/>
        <v>45901</v>
      </c>
      <c r="C762" s="243">
        <f t="shared" si="260"/>
        <v>45930</v>
      </c>
      <c r="D762" s="120">
        <f t="shared" si="261"/>
        <v>30</v>
      </c>
      <c r="E762" s="120">
        <f t="shared" si="262"/>
        <v>9</v>
      </c>
      <c r="F762" s="275">
        <f t="shared" si="263"/>
        <v>45916</v>
      </c>
      <c r="G762" s="120">
        <f t="shared" si="264"/>
        <v>24308</v>
      </c>
      <c r="H762" s="245">
        <f t="shared" si="265"/>
        <v>1</v>
      </c>
      <c r="I762" s="121">
        <f t="shared" si="266"/>
        <v>1</v>
      </c>
      <c r="J762" s="121">
        <f t="shared" si="267"/>
        <v>1</v>
      </c>
      <c r="K762" s="120">
        <f t="shared" si="268"/>
        <v>0</v>
      </c>
      <c r="L762" s="120">
        <f t="shared" si="269"/>
        <v>0</v>
      </c>
      <c r="M762" s="246">
        <f t="shared" si="270"/>
        <v>0</v>
      </c>
      <c r="N762" s="121">
        <f t="shared" si="271"/>
        <v>1</v>
      </c>
      <c r="O762" s="246">
        <f t="shared" si="272"/>
        <v>0.89336980306345726</v>
      </c>
      <c r="P762" s="121">
        <f t="shared" si="273"/>
        <v>0.41666666666666663</v>
      </c>
      <c r="Q762" s="121">
        <f t="shared" si="274"/>
        <v>0</v>
      </c>
      <c r="R762" s="121">
        <f t="shared" si="275"/>
        <v>0</v>
      </c>
      <c r="AE762" s="160">
        <f t="shared" si="276"/>
        <v>0.97105413376462746</v>
      </c>
    </row>
    <row r="763" spans="1:31" x14ac:dyDescent="0.3">
      <c r="A763" s="187">
        <v>10</v>
      </c>
      <c r="B763" s="242">
        <f t="shared" si="277"/>
        <v>45931</v>
      </c>
      <c r="C763" s="243">
        <f t="shared" si="260"/>
        <v>45961</v>
      </c>
      <c r="D763" s="120">
        <f t="shared" si="261"/>
        <v>31</v>
      </c>
      <c r="E763" s="120">
        <f t="shared" si="262"/>
        <v>10</v>
      </c>
      <c r="F763" s="275">
        <f t="shared" si="263"/>
        <v>45946.5</v>
      </c>
      <c r="G763" s="120">
        <f t="shared" si="264"/>
        <v>24309</v>
      </c>
      <c r="H763" s="245">
        <f t="shared" si="265"/>
        <v>1</v>
      </c>
      <c r="I763" s="121">
        <f t="shared" si="266"/>
        <v>1</v>
      </c>
      <c r="J763" s="121">
        <f t="shared" si="267"/>
        <v>1</v>
      </c>
      <c r="K763" s="120">
        <f t="shared" si="268"/>
        <v>0</v>
      </c>
      <c r="L763" s="120">
        <f t="shared" si="269"/>
        <v>0</v>
      </c>
      <c r="M763" s="246">
        <f t="shared" si="270"/>
        <v>0</v>
      </c>
      <c r="N763" s="121">
        <f t="shared" si="271"/>
        <v>1</v>
      </c>
      <c r="O763" s="246">
        <f t="shared" si="272"/>
        <v>0.89470459518599565</v>
      </c>
      <c r="P763" s="121">
        <f t="shared" si="273"/>
        <v>0.58333333333333326</v>
      </c>
      <c r="Q763" s="121">
        <f t="shared" si="274"/>
        <v>0</v>
      </c>
      <c r="R763" s="121">
        <f t="shared" si="275"/>
        <v>0</v>
      </c>
      <c r="AE763" s="160">
        <f t="shared" si="276"/>
        <v>0.9725049947673865</v>
      </c>
    </row>
    <row r="764" spans="1:31" x14ac:dyDescent="0.3">
      <c r="A764" s="187">
        <v>11</v>
      </c>
      <c r="B764" s="242">
        <f t="shared" si="277"/>
        <v>45962</v>
      </c>
      <c r="C764" s="243">
        <f t="shared" si="260"/>
        <v>45991</v>
      </c>
      <c r="D764" s="120">
        <f t="shared" si="261"/>
        <v>30</v>
      </c>
      <c r="E764" s="120">
        <f t="shared" si="262"/>
        <v>11</v>
      </c>
      <c r="F764" s="275">
        <f t="shared" si="263"/>
        <v>45977</v>
      </c>
      <c r="G764" s="120">
        <f t="shared" si="264"/>
        <v>24310</v>
      </c>
      <c r="H764" s="245">
        <f t="shared" si="265"/>
        <v>1</v>
      </c>
      <c r="I764" s="121">
        <f t="shared" si="266"/>
        <v>1</v>
      </c>
      <c r="J764" s="121">
        <f t="shared" si="267"/>
        <v>1</v>
      </c>
      <c r="K764" s="120">
        <f t="shared" si="268"/>
        <v>0</v>
      </c>
      <c r="L764" s="120">
        <f t="shared" si="269"/>
        <v>0</v>
      </c>
      <c r="M764" s="246">
        <f t="shared" si="270"/>
        <v>0</v>
      </c>
      <c r="N764" s="121">
        <f t="shared" si="271"/>
        <v>1</v>
      </c>
      <c r="O764" s="246">
        <f t="shared" si="272"/>
        <v>0.89603938730853394</v>
      </c>
      <c r="P764" s="121">
        <f t="shared" si="273"/>
        <v>0.75</v>
      </c>
      <c r="Q764" s="121">
        <f t="shared" si="274"/>
        <v>0</v>
      </c>
      <c r="R764" s="121">
        <f t="shared" si="275"/>
        <v>0</v>
      </c>
      <c r="AE764" s="160">
        <f t="shared" si="276"/>
        <v>0.97395585577014554</v>
      </c>
    </row>
    <row r="765" spans="1:31" x14ac:dyDescent="0.3">
      <c r="A765" s="187">
        <v>12</v>
      </c>
      <c r="B765" s="242">
        <f t="shared" si="277"/>
        <v>45992</v>
      </c>
      <c r="C765" s="243">
        <f t="shared" si="260"/>
        <v>46022</v>
      </c>
      <c r="D765" s="120">
        <f t="shared" si="261"/>
        <v>31</v>
      </c>
      <c r="E765" s="120">
        <f t="shared" si="262"/>
        <v>12</v>
      </c>
      <c r="F765" s="275">
        <f t="shared" si="263"/>
        <v>46007.5</v>
      </c>
      <c r="G765" s="120">
        <f t="shared" si="264"/>
        <v>24311</v>
      </c>
      <c r="H765" s="245">
        <f t="shared" si="265"/>
        <v>1</v>
      </c>
      <c r="I765" s="121">
        <f t="shared" si="266"/>
        <v>1</v>
      </c>
      <c r="J765" s="121">
        <f t="shared" si="267"/>
        <v>1</v>
      </c>
      <c r="K765" s="120">
        <f t="shared" si="268"/>
        <v>0</v>
      </c>
      <c r="L765" s="120">
        <f t="shared" si="269"/>
        <v>0</v>
      </c>
      <c r="M765" s="246">
        <f t="shared" si="270"/>
        <v>0</v>
      </c>
      <c r="N765" s="121">
        <f t="shared" si="271"/>
        <v>1</v>
      </c>
      <c r="O765" s="246">
        <f t="shared" si="272"/>
        <v>0.89737417943107223</v>
      </c>
      <c r="P765" s="121">
        <f t="shared" si="273"/>
        <v>0.91666666666666663</v>
      </c>
      <c r="Q765" s="121">
        <f t="shared" si="274"/>
        <v>0</v>
      </c>
      <c r="R765" s="121">
        <f t="shared" si="275"/>
        <v>0</v>
      </c>
      <c r="AE765" s="160">
        <f t="shared" si="276"/>
        <v>0.97540671677290458</v>
      </c>
    </row>
    <row r="766" spans="1:31" x14ac:dyDescent="0.3">
      <c r="A766" s="187">
        <v>13</v>
      </c>
      <c r="B766" s="242">
        <f t="shared" si="277"/>
        <v>46023</v>
      </c>
      <c r="C766" s="243">
        <f t="shared" si="260"/>
        <v>46053</v>
      </c>
      <c r="D766" s="120">
        <f t="shared" si="261"/>
        <v>31</v>
      </c>
      <c r="E766" s="120">
        <f t="shared" si="262"/>
        <v>1</v>
      </c>
      <c r="F766" s="275">
        <f t="shared" si="263"/>
        <v>46038.5</v>
      </c>
      <c r="G766" s="120">
        <f t="shared" si="264"/>
        <v>24312</v>
      </c>
      <c r="H766" s="245">
        <f t="shared" si="265"/>
        <v>1</v>
      </c>
      <c r="I766" s="121">
        <f t="shared" si="266"/>
        <v>1</v>
      </c>
      <c r="J766" s="121">
        <f t="shared" si="267"/>
        <v>1</v>
      </c>
      <c r="K766" s="120">
        <f t="shared" si="268"/>
        <v>0</v>
      </c>
      <c r="L766" s="120">
        <f t="shared" si="269"/>
        <v>0</v>
      </c>
      <c r="M766" s="246">
        <f t="shared" si="270"/>
        <v>0</v>
      </c>
      <c r="N766" s="121">
        <f t="shared" si="271"/>
        <v>1</v>
      </c>
      <c r="O766" s="246">
        <f t="shared" si="272"/>
        <v>0.8987308533916849</v>
      </c>
      <c r="P766" s="121">
        <f t="shared" si="273"/>
        <v>1</v>
      </c>
      <c r="Q766" s="121">
        <f t="shared" si="274"/>
        <v>0</v>
      </c>
      <c r="R766" s="121">
        <f t="shared" si="275"/>
        <v>0</v>
      </c>
      <c r="AE766" s="160">
        <f t="shared" si="276"/>
        <v>0.97688136238226619</v>
      </c>
    </row>
    <row r="767" spans="1:31" x14ac:dyDescent="0.3">
      <c r="A767" s="187">
        <v>14</v>
      </c>
      <c r="B767" s="242">
        <f t="shared" si="277"/>
        <v>46054</v>
      </c>
      <c r="C767" s="243">
        <f t="shared" si="260"/>
        <v>46081</v>
      </c>
      <c r="D767" s="120">
        <f t="shared" si="261"/>
        <v>28</v>
      </c>
      <c r="E767" s="120">
        <f t="shared" si="262"/>
        <v>2</v>
      </c>
      <c r="F767" s="275">
        <f t="shared" si="263"/>
        <v>46068</v>
      </c>
      <c r="G767" s="120">
        <f t="shared" si="264"/>
        <v>24313</v>
      </c>
      <c r="H767" s="245">
        <f t="shared" si="265"/>
        <v>1</v>
      </c>
      <c r="I767" s="121">
        <f t="shared" si="266"/>
        <v>1</v>
      </c>
      <c r="J767" s="121">
        <f t="shared" si="267"/>
        <v>1</v>
      </c>
      <c r="K767" s="120">
        <f t="shared" si="268"/>
        <v>0</v>
      </c>
      <c r="L767" s="120">
        <f t="shared" si="269"/>
        <v>0</v>
      </c>
      <c r="M767" s="246">
        <f t="shared" si="270"/>
        <v>0</v>
      </c>
      <c r="N767" s="121">
        <f t="shared" si="271"/>
        <v>1</v>
      </c>
      <c r="O767" s="246">
        <f t="shared" si="272"/>
        <v>0.90002188183807441</v>
      </c>
      <c r="P767" s="121">
        <f t="shared" si="273"/>
        <v>1</v>
      </c>
      <c r="Q767" s="121">
        <f t="shared" si="274"/>
        <v>0</v>
      </c>
      <c r="R767" s="121">
        <f t="shared" si="275"/>
        <v>0</v>
      </c>
      <c r="AE767" s="160">
        <f t="shared" si="276"/>
        <v>0.97828465417181998</v>
      </c>
    </row>
    <row r="768" spans="1:31" x14ac:dyDescent="0.3">
      <c r="A768" s="187">
        <v>15</v>
      </c>
      <c r="B768" s="242">
        <f t="shared" si="277"/>
        <v>46082</v>
      </c>
      <c r="C768" s="243">
        <f t="shared" si="260"/>
        <v>46112</v>
      </c>
      <c r="D768" s="120">
        <f t="shared" si="261"/>
        <v>31</v>
      </c>
      <c r="E768" s="120">
        <f t="shared" si="262"/>
        <v>3</v>
      </c>
      <c r="F768" s="275">
        <f t="shared" si="263"/>
        <v>46097.5</v>
      </c>
      <c r="G768" s="120">
        <f t="shared" si="264"/>
        <v>24314</v>
      </c>
      <c r="H768" s="245">
        <f t="shared" si="265"/>
        <v>1</v>
      </c>
      <c r="I768" s="121">
        <f t="shared" si="266"/>
        <v>1</v>
      </c>
      <c r="J768" s="121">
        <f t="shared" si="267"/>
        <v>1</v>
      </c>
      <c r="K768" s="120">
        <f t="shared" si="268"/>
        <v>0</v>
      </c>
      <c r="L768" s="120">
        <f t="shared" si="269"/>
        <v>0</v>
      </c>
      <c r="M768" s="246">
        <f t="shared" si="270"/>
        <v>0</v>
      </c>
      <c r="N768" s="121">
        <f t="shared" si="271"/>
        <v>1</v>
      </c>
      <c r="O768" s="246">
        <f t="shared" si="272"/>
        <v>0.90131291028446392</v>
      </c>
      <c r="P768" s="121">
        <f t="shared" si="273"/>
        <v>1</v>
      </c>
      <c r="Q768" s="121">
        <f t="shared" si="274"/>
        <v>0</v>
      </c>
      <c r="R768" s="121">
        <f t="shared" si="275"/>
        <v>0</v>
      </c>
      <c r="AE768" s="160">
        <f t="shared" si="276"/>
        <v>0.97968794596137376</v>
      </c>
    </row>
    <row r="769" spans="1:35" x14ac:dyDescent="0.3">
      <c r="A769" s="187">
        <v>16</v>
      </c>
      <c r="B769" s="242">
        <f t="shared" si="277"/>
        <v>46113</v>
      </c>
      <c r="C769" s="243">
        <f t="shared" si="260"/>
        <v>46142</v>
      </c>
      <c r="D769" s="120">
        <f t="shared" si="261"/>
        <v>30</v>
      </c>
      <c r="E769" s="120">
        <f t="shared" si="262"/>
        <v>4</v>
      </c>
      <c r="F769" s="275">
        <f t="shared" si="263"/>
        <v>46128</v>
      </c>
      <c r="G769" s="120">
        <f t="shared" si="264"/>
        <v>24315</v>
      </c>
      <c r="H769" s="245">
        <f t="shared" si="265"/>
        <v>1</v>
      </c>
      <c r="I769" s="121">
        <f t="shared" si="266"/>
        <v>1</v>
      </c>
      <c r="J769" s="121">
        <f t="shared" si="267"/>
        <v>1.03</v>
      </c>
      <c r="K769" s="120">
        <f t="shared" si="268"/>
        <v>1</v>
      </c>
      <c r="L769" s="120">
        <f t="shared" si="269"/>
        <v>30</v>
      </c>
      <c r="M769" s="246">
        <f t="shared" si="270"/>
        <v>1</v>
      </c>
      <c r="N769" s="121">
        <f t="shared" si="271"/>
        <v>1.03</v>
      </c>
      <c r="O769" s="246">
        <f t="shared" si="272"/>
        <v>0.90264770240700221</v>
      </c>
      <c r="P769" s="121">
        <f t="shared" si="273"/>
        <v>1</v>
      </c>
      <c r="Q769" s="121">
        <f t="shared" si="274"/>
        <v>0</v>
      </c>
      <c r="R769" s="121">
        <f t="shared" si="275"/>
        <v>0</v>
      </c>
      <c r="AE769" s="160">
        <f t="shared" si="276"/>
        <v>1.0105729711730569</v>
      </c>
    </row>
    <row r="770" spans="1:35" x14ac:dyDescent="0.3">
      <c r="A770" s="187">
        <v>17</v>
      </c>
      <c r="B770" s="242">
        <f t="shared" si="277"/>
        <v>46143</v>
      </c>
      <c r="C770" s="243">
        <f t="shared" si="260"/>
        <v>46173</v>
      </c>
      <c r="D770" s="120">
        <f t="shared" si="261"/>
        <v>31</v>
      </c>
      <c r="E770" s="120">
        <f t="shared" si="262"/>
        <v>5</v>
      </c>
      <c r="F770" s="275">
        <f t="shared" si="263"/>
        <v>46158.5</v>
      </c>
      <c r="G770" s="120">
        <f t="shared" si="264"/>
        <v>24316</v>
      </c>
      <c r="H770" s="245">
        <f t="shared" si="265"/>
        <v>1</v>
      </c>
      <c r="I770" s="121">
        <f t="shared" si="266"/>
        <v>1.03</v>
      </c>
      <c r="J770" s="121">
        <f t="shared" si="267"/>
        <v>1.03</v>
      </c>
      <c r="K770" s="120">
        <f t="shared" si="268"/>
        <v>0</v>
      </c>
      <c r="L770" s="120">
        <f t="shared" si="269"/>
        <v>0</v>
      </c>
      <c r="M770" s="246">
        <f t="shared" si="270"/>
        <v>0</v>
      </c>
      <c r="N770" s="121">
        <f t="shared" si="271"/>
        <v>1.03</v>
      </c>
      <c r="O770" s="246">
        <f t="shared" si="272"/>
        <v>0.90398249452954049</v>
      </c>
      <c r="P770" s="121">
        <f t="shared" si="273"/>
        <v>1</v>
      </c>
      <c r="Q770" s="121">
        <f t="shared" si="274"/>
        <v>0</v>
      </c>
      <c r="R770" s="121">
        <f t="shared" si="275"/>
        <v>0</v>
      </c>
      <c r="AE770" s="160">
        <f t="shared" si="276"/>
        <v>1.0120673580058985</v>
      </c>
    </row>
    <row r="771" spans="1:35" x14ac:dyDescent="0.3">
      <c r="A771" s="187">
        <v>18</v>
      </c>
      <c r="B771" s="242">
        <f t="shared" si="277"/>
        <v>46174</v>
      </c>
      <c r="C771" s="243">
        <f t="shared" si="260"/>
        <v>46203</v>
      </c>
      <c r="D771" s="120">
        <f t="shared" si="261"/>
        <v>30</v>
      </c>
      <c r="E771" s="120">
        <f t="shared" si="262"/>
        <v>6</v>
      </c>
      <c r="F771" s="275">
        <f t="shared" si="263"/>
        <v>46189</v>
      </c>
      <c r="G771" s="120">
        <f t="shared" si="264"/>
        <v>24317</v>
      </c>
      <c r="H771" s="245">
        <f t="shared" si="265"/>
        <v>1</v>
      </c>
      <c r="I771" s="121">
        <f t="shared" si="266"/>
        <v>1.03</v>
      </c>
      <c r="J771" s="121">
        <f t="shared" si="267"/>
        <v>1.03</v>
      </c>
      <c r="K771" s="120">
        <f t="shared" si="268"/>
        <v>0</v>
      </c>
      <c r="L771" s="120">
        <f t="shared" si="269"/>
        <v>0</v>
      </c>
      <c r="M771" s="246">
        <f t="shared" si="270"/>
        <v>0</v>
      </c>
      <c r="N771" s="121">
        <f t="shared" si="271"/>
        <v>1.03</v>
      </c>
      <c r="O771" s="246">
        <f t="shared" si="272"/>
        <v>0.90531728665207878</v>
      </c>
      <c r="P771" s="121">
        <f t="shared" si="273"/>
        <v>1</v>
      </c>
      <c r="Q771" s="121">
        <f t="shared" si="274"/>
        <v>0</v>
      </c>
      <c r="R771" s="121">
        <f t="shared" si="275"/>
        <v>0</v>
      </c>
      <c r="AE771" s="160">
        <f t="shared" si="276"/>
        <v>1.0135617448387404</v>
      </c>
    </row>
    <row r="772" spans="1:35" x14ac:dyDescent="0.3">
      <c r="A772" s="187">
        <v>19</v>
      </c>
      <c r="B772" s="242">
        <f t="shared" si="277"/>
        <v>46204</v>
      </c>
      <c r="C772" s="243">
        <f t="shared" si="260"/>
        <v>46234</v>
      </c>
      <c r="D772" s="120">
        <f t="shared" si="261"/>
        <v>31</v>
      </c>
      <c r="E772" s="120">
        <f t="shared" si="262"/>
        <v>7</v>
      </c>
      <c r="F772" s="275">
        <f t="shared" si="263"/>
        <v>46219.5</v>
      </c>
      <c r="G772" s="120">
        <f t="shared" si="264"/>
        <v>24318</v>
      </c>
      <c r="H772" s="245">
        <f t="shared" si="265"/>
        <v>1</v>
      </c>
      <c r="I772" s="121">
        <f t="shared" si="266"/>
        <v>1.03</v>
      </c>
      <c r="J772" s="121">
        <f t="shared" si="267"/>
        <v>1.03</v>
      </c>
      <c r="K772" s="120">
        <f t="shared" si="268"/>
        <v>0</v>
      </c>
      <c r="L772" s="120">
        <f t="shared" si="269"/>
        <v>0</v>
      </c>
      <c r="M772" s="246">
        <f t="shared" si="270"/>
        <v>0</v>
      </c>
      <c r="N772" s="121">
        <f t="shared" si="271"/>
        <v>1.03</v>
      </c>
      <c r="O772" s="246">
        <f t="shared" si="272"/>
        <v>0.90665207877461707</v>
      </c>
      <c r="P772" s="121">
        <f t="shared" si="273"/>
        <v>0.91666666666666663</v>
      </c>
      <c r="Q772" s="121">
        <f t="shared" si="274"/>
        <v>8.333333333333337E-2</v>
      </c>
      <c r="R772" s="121">
        <f t="shared" si="275"/>
        <v>0</v>
      </c>
      <c r="AE772" s="160">
        <f t="shared" si="276"/>
        <v>1.015056131671582</v>
      </c>
    </row>
    <row r="773" spans="1:35" x14ac:dyDescent="0.3">
      <c r="A773" s="187">
        <v>20</v>
      </c>
      <c r="B773" s="242">
        <f t="shared" si="277"/>
        <v>46235</v>
      </c>
      <c r="C773" s="243">
        <f t="shared" si="260"/>
        <v>46265</v>
      </c>
      <c r="D773" s="120">
        <f t="shared" si="261"/>
        <v>31</v>
      </c>
      <c r="E773" s="120">
        <f t="shared" si="262"/>
        <v>8</v>
      </c>
      <c r="F773" s="275">
        <f t="shared" si="263"/>
        <v>46250.5</v>
      </c>
      <c r="G773" s="120">
        <f t="shared" si="264"/>
        <v>24319</v>
      </c>
      <c r="H773" s="245">
        <f t="shared" si="265"/>
        <v>1</v>
      </c>
      <c r="I773" s="121">
        <f t="shared" si="266"/>
        <v>1.03</v>
      </c>
      <c r="J773" s="121">
        <f t="shared" si="267"/>
        <v>1.03</v>
      </c>
      <c r="K773" s="120">
        <f t="shared" si="268"/>
        <v>0</v>
      </c>
      <c r="L773" s="120">
        <f t="shared" si="269"/>
        <v>0</v>
      </c>
      <c r="M773" s="246">
        <f t="shared" si="270"/>
        <v>0</v>
      </c>
      <c r="N773" s="121">
        <f t="shared" si="271"/>
        <v>1.03</v>
      </c>
      <c r="O773" s="246">
        <f t="shared" si="272"/>
        <v>0.90800875273522974</v>
      </c>
      <c r="P773" s="121">
        <f t="shared" si="273"/>
        <v>0.75</v>
      </c>
      <c r="Q773" s="121">
        <f t="shared" si="274"/>
        <v>0.25</v>
      </c>
      <c r="R773" s="121">
        <f t="shared" si="275"/>
        <v>0</v>
      </c>
      <c r="AE773" s="160">
        <f t="shared" si="276"/>
        <v>1.0165750166492247</v>
      </c>
    </row>
    <row r="774" spans="1:35" x14ac:dyDescent="0.3">
      <c r="A774" s="187">
        <v>21</v>
      </c>
      <c r="B774" s="242">
        <f t="shared" si="277"/>
        <v>46266</v>
      </c>
      <c r="C774" s="243">
        <f t="shared" si="260"/>
        <v>46295</v>
      </c>
      <c r="D774" s="120">
        <f t="shared" si="261"/>
        <v>30</v>
      </c>
      <c r="E774" s="120">
        <f t="shared" si="262"/>
        <v>9</v>
      </c>
      <c r="F774" s="275">
        <f t="shared" si="263"/>
        <v>46281</v>
      </c>
      <c r="G774" s="120">
        <f t="shared" si="264"/>
        <v>24320</v>
      </c>
      <c r="H774" s="245">
        <f t="shared" si="265"/>
        <v>1</v>
      </c>
      <c r="I774" s="121">
        <f t="shared" si="266"/>
        <v>1.03</v>
      </c>
      <c r="J774" s="121">
        <f t="shared" si="267"/>
        <v>1.03</v>
      </c>
      <c r="K774" s="120">
        <f t="shared" si="268"/>
        <v>0</v>
      </c>
      <c r="L774" s="120">
        <f t="shared" si="269"/>
        <v>0</v>
      </c>
      <c r="M774" s="246">
        <f t="shared" si="270"/>
        <v>0</v>
      </c>
      <c r="N774" s="121">
        <f t="shared" si="271"/>
        <v>1.03</v>
      </c>
      <c r="O774" s="246">
        <f t="shared" si="272"/>
        <v>0.90934354485776803</v>
      </c>
      <c r="P774" s="121">
        <f t="shared" si="273"/>
        <v>0.58333333333333337</v>
      </c>
      <c r="Q774" s="121">
        <f t="shared" si="274"/>
        <v>0.41666666666666663</v>
      </c>
      <c r="R774" s="121">
        <f t="shared" si="275"/>
        <v>0</v>
      </c>
      <c r="AE774" s="160">
        <f t="shared" si="276"/>
        <v>1.0180694034820663</v>
      </c>
    </row>
    <row r="775" spans="1:35" x14ac:dyDescent="0.3">
      <c r="A775" s="187">
        <v>22</v>
      </c>
      <c r="B775" s="242">
        <f t="shared" si="277"/>
        <v>46296</v>
      </c>
      <c r="C775" s="243">
        <f t="shared" si="260"/>
        <v>46326</v>
      </c>
      <c r="D775" s="120">
        <f t="shared" si="261"/>
        <v>31</v>
      </c>
      <c r="E775" s="120">
        <f t="shared" si="262"/>
        <v>10</v>
      </c>
      <c r="F775" s="275">
        <f t="shared" si="263"/>
        <v>46311.5</v>
      </c>
      <c r="G775" s="120">
        <f t="shared" si="264"/>
        <v>24321</v>
      </c>
      <c r="H775" s="245">
        <f t="shared" si="265"/>
        <v>1</v>
      </c>
      <c r="I775" s="121">
        <f t="shared" si="266"/>
        <v>1.03</v>
      </c>
      <c r="J775" s="121">
        <f t="shared" si="267"/>
        <v>1.03</v>
      </c>
      <c r="K775" s="120">
        <f t="shared" si="268"/>
        <v>0</v>
      </c>
      <c r="L775" s="120">
        <f t="shared" si="269"/>
        <v>0</v>
      </c>
      <c r="M775" s="246">
        <f t="shared" si="270"/>
        <v>0</v>
      </c>
      <c r="N775" s="121">
        <f t="shared" si="271"/>
        <v>1.03</v>
      </c>
      <c r="O775" s="246">
        <f t="shared" si="272"/>
        <v>0.91067833698030642</v>
      </c>
      <c r="P775" s="121">
        <f t="shared" si="273"/>
        <v>0.41666666666666669</v>
      </c>
      <c r="Q775" s="121">
        <f t="shared" si="274"/>
        <v>0.58333333333333326</v>
      </c>
      <c r="R775" s="121">
        <f t="shared" si="275"/>
        <v>0</v>
      </c>
      <c r="AE775" s="160">
        <f t="shared" si="276"/>
        <v>1.0195637903149084</v>
      </c>
    </row>
    <row r="776" spans="1:35" x14ac:dyDescent="0.3">
      <c r="A776" s="187">
        <v>23</v>
      </c>
      <c r="B776" s="242">
        <f t="shared" si="277"/>
        <v>46327</v>
      </c>
      <c r="C776" s="243">
        <f t="shared" si="260"/>
        <v>46356</v>
      </c>
      <c r="D776" s="120">
        <f t="shared" si="261"/>
        <v>30</v>
      </c>
      <c r="E776" s="120">
        <f t="shared" si="262"/>
        <v>11</v>
      </c>
      <c r="F776" s="275">
        <f t="shared" si="263"/>
        <v>46342</v>
      </c>
      <c r="G776" s="120">
        <f t="shared" si="264"/>
        <v>24322</v>
      </c>
      <c r="H776" s="245">
        <f t="shared" si="265"/>
        <v>1</v>
      </c>
      <c r="I776" s="121">
        <f t="shared" si="266"/>
        <v>1.03</v>
      </c>
      <c r="J776" s="121">
        <f t="shared" si="267"/>
        <v>1.03</v>
      </c>
      <c r="K776" s="120">
        <f t="shared" si="268"/>
        <v>0</v>
      </c>
      <c r="L776" s="120">
        <f t="shared" si="269"/>
        <v>0</v>
      </c>
      <c r="M776" s="246">
        <f t="shared" si="270"/>
        <v>0</v>
      </c>
      <c r="N776" s="121">
        <f t="shared" si="271"/>
        <v>1.03</v>
      </c>
      <c r="O776" s="246">
        <f t="shared" si="272"/>
        <v>0.91201312910284471</v>
      </c>
      <c r="P776" s="121">
        <f t="shared" si="273"/>
        <v>0.25</v>
      </c>
      <c r="Q776" s="121">
        <f t="shared" si="274"/>
        <v>0.75</v>
      </c>
      <c r="R776" s="121">
        <f t="shared" si="275"/>
        <v>0</v>
      </c>
      <c r="AE776" s="160">
        <f t="shared" si="276"/>
        <v>1.02105817714775</v>
      </c>
    </row>
    <row r="777" spans="1:35" x14ac:dyDescent="0.3">
      <c r="A777" s="187">
        <v>24</v>
      </c>
      <c r="B777" s="242">
        <f t="shared" si="277"/>
        <v>46357</v>
      </c>
      <c r="C777" s="243">
        <f t="shared" si="260"/>
        <v>46387</v>
      </c>
      <c r="D777" s="120">
        <f t="shared" si="261"/>
        <v>31</v>
      </c>
      <c r="E777" s="120">
        <f t="shared" si="262"/>
        <v>12</v>
      </c>
      <c r="F777" s="275">
        <f t="shared" si="263"/>
        <v>46372.5</v>
      </c>
      <c r="G777" s="120">
        <f t="shared" si="264"/>
        <v>24323</v>
      </c>
      <c r="H777" s="245">
        <f t="shared" si="265"/>
        <v>1</v>
      </c>
      <c r="I777" s="121">
        <f t="shared" si="266"/>
        <v>1.03</v>
      </c>
      <c r="J777" s="121">
        <f t="shared" si="267"/>
        <v>1.03</v>
      </c>
      <c r="K777" s="120">
        <f t="shared" si="268"/>
        <v>0</v>
      </c>
      <c r="L777" s="120">
        <f t="shared" si="269"/>
        <v>0</v>
      </c>
      <c r="M777" s="246">
        <f t="shared" si="270"/>
        <v>0</v>
      </c>
      <c r="N777" s="121">
        <f t="shared" si="271"/>
        <v>1.03</v>
      </c>
      <c r="O777" s="246">
        <f t="shared" si="272"/>
        <v>0.913347921225383</v>
      </c>
      <c r="P777" s="121">
        <f t="shared" si="273"/>
        <v>8.3333333333333329E-2</v>
      </c>
      <c r="Q777" s="121">
        <f t="shared" si="274"/>
        <v>0.91666666666666663</v>
      </c>
      <c r="R777" s="121">
        <f t="shared" si="275"/>
        <v>0</v>
      </c>
      <c r="AE777" s="160">
        <f t="shared" si="276"/>
        <v>1.0225525639805917</v>
      </c>
    </row>
    <row r="778" spans="1:35" x14ac:dyDescent="0.3">
      <c r="A778" s="187">
        <v>25</v>
      </c>
      <c r="B778" s="242">
        <f t="shared" si="277"/>
        <v>46388</v>
      </c>
      <c r="C778" s="243">
        <f t="shared" si="260"/>
        <v>46418</v>
      </c>
      <c r="D778" s="120">
        <f t="shared" si="261"/>
        <v>31</v>
      </c>
      <c r="E778" s="120">
        <f t="shared" si="262"/>
        <v>1</v>
      </c>
      <c r="F778" s="275">
        <f t="shared" si="263"/>
        <v>46403.5</v>
      </c>
      <c r="G778" s="120">
        <f t="shared" si="264"/>
        <v>24324</v>
      </c>
      <c r="H778" s="245">
        <f t="shared" si="265"/>
        <v>1</v>
      </c>
      <c r="I778" s="121">
        <f t="shared" si="266"/>
        <v>1.03</v>
      </c>
      <c r="J778" s="121">
        <f t="shared" si="267"/>
        <v>1.03</v>
      </c>
      <c r="K778" s="120">
        <f t="shared" si="268"/>
        <v>0</v>
      </c>
      <c r="L778" s="120">
        <f t="shared" si="269"/>
        <v>0</v>
      </c>
      <c r="M778" s="246">
        <f t="shared" si="270"/>
        <v>0</v>
      </c>
      <c r="N778" s="121">
        <f t="shared" si="271"/>
        <v>1.03</v>
      </c>
      <c r="O778" s="246">
        <f t="shared" si="272"/>
        <v>0.91470459518599567</v>
      </c>
      <c r="P778" s="121">
        <f t="shared" si="273"/>
        <v>0</v>
      </c>
      <c r="Q778" s="121">
        <f t="shared" si="274"/>
        <v>1</v>
      </c>
      <c r="R778" s="121">
        <f t="shared" si="275"/>
        <v>0</v>
      </c>
      <c r="W778" s="160">
        <f t="shared" ref="W778:W789" si="278">IF($G778&lt;&gt;$Q$751,$N778,(1-$U$751)*$I778+$U$751*$J778)</f>
        <v>1.03</v>
      </c>
      <c r="X778" s="160">
        <f t="shared" ref="X778:X789" si="279">IF($G778&lt;$Q$751,0,IF($G778&gt;$Q$751,$N778,$U$751*$J778))</f>
        <v>0</v>
      </c>
      <c r="Y778" s="160">
        <f t="shared" ref="Y778:Y789" si="280">IF($F$751=1,$O778/$O766,1)</f>
        <v>1.0177736657576939</v>
      </c>
      <c r="AB778" s="160">
        <f t="shared" ref="AB778:AB789" si="281">IF(AND(N($K$751)&lt;&gt;0,$F778&lt;=$B$752),0,($F778-$B$752)/($C$752-$B$752))</f>
        <v>0.23522975929978118</v>
      </c>
      <c r="AC778" s="220">
        <f t="shared" ref="AC778:AC789" si="282">IF(AND(N($K$751)&lt;&gt;0,$F778&lt;=$B$752),$O778,$F$752*(1-$AB778))</f>
        <v>0.69594091903719912</v>
      </c>
      <c r="AD778" s="160">
        <f t="shared" ref="AD778:AD789" si="283">$H778*($W778+$X778*IF(ISNUMBER($F$802),$F$802,0))/($N766*$O766)</f>
        <v>1.1460605765485001</v>
      </c>
      <c r="AE778" s="160">
        <f t="shared" si="276"/>
        <v>1.0240714489582343</v>
      </c>
      <c r="AF778" s="220">
        <f t="shared" ref="AF778:AF789" si="284">IF($G778&lt;$Q$751,0,IF($G778&gt;$Q$751,1,$U$751))</f>
        <v>0</v>
      </c>
      <c r="AG778" s="183" t="str">
        <f t="shared" ref="AG778:AG789" si="285">IF(OR($D$751=0,$P$751=0),"",($W778+$X778*IF(ISNUMBER($F$802),$F$802,0))/$N766-1)</f>
        <v/>
      </c>
      <c r="AH778" s="183" t="str">
        <f t="shared" ref="AH778:AH789" si="286">IF(OR($AG778="",$F$751=0),"",(1+$E$751)/(1+$AG778)-1)</f>
        <v/>
      </c>
      <c r="AI778" s="220" t="str">
        <f t="shared" ref="AI778:AI789" si="287">IF($AH778="","",$O766*(1+$E$751)/(1+$AG778))</f>
        <v/>
      </c>
    </row>
    <row r="779" spans="1:35" x14ac:dyDescent="0.3">
      <c r="A779" s="187">
        <v>26</v>
      </c>
      <c r="B779" s="242">
        <f t="shared" si="277"/>
        <v>46419</v>
      </c>
      <c r="C779" s="243">
        <f t="shared" si="260"/>
        <v>46446</v>
      </c>
      <c r="D779" s="120">
        <f t="shared" si="261"/>
        <v>28</v>
      </c>
      <c r="E779" s="120">
        <f t="shared" si="262"/>
        <v>2</v>
      </c>
      <c r="F779" s="275">
        <f t="shared" si="263"/>
        <v>46433</v>
      </c>
      <c r="G779" s="120">
        <f t="shared" si="264"/>
        <v>24325</v>
      </c>
      <c r="H779" s="245">
        <f t="shared" si="265"/>
        <v>1</v>
      </c>
      <c r="I779" s="121">
        <f t="shared" si="266"/>
        <v>1.03</v>
      </c>
      <c r="J779" s="121">
        <f t="shared" si="267"/>
        <v>1.03</v>
      </c>
      <c r="K779" s="120">
        <f t="shared" si="268"/>
        <v>0</v>
      </c>
      <c r="L779" s="120">
        <f t="shared" si="269"/>
        <v>0</v>
      </c>
      <c r="M779" s="246">
        <f t="shared" si="270"/>
        <v>0</v>
      </c>
      <c r="N779" s="121">
        <f t="shared" si="271"/>
        <v>1.03</v>
      </c>
      <c r="O779" s="246">
        <f t="shared" si="272"/>
        <v>0.91599562363238518</v>
      </c>
      <c r="P779" s="121">
        <f t="shared" si="273"/>
        <v>0</v>
      </c>
      <c r="Q779" s="121">
        <f t="shared" si="274"/>
        <v>1</v>
      </c>
      <c r="R779" s="121">
        <f t="shared" si="275"/>
        <v>0</v>
      </c>
      <c r="W779" s="160">
        <f t="shared" si="278"/>
        <v>1.03</v>
      </c>
      <c r="X779" s="160">
        <f t="shared" si="279"/>
        <v>0</v>
      </c>
      <c r="Y779" s="160">
        <f t="shared" si="280"/>
        <v>1.0177481704796869</v>
      </c>
      <c r="AB779" s="160">
        <f t="shared" si="281"/>
        <v>0.29978118161925604</v>
      </c>
      <c r="AC779" s="220">
        <f t="shared" si="282"/>
        <v>0.637199124726477</v>
      </c>
      <c r="AD779" s="160">
        <f t="shared" si="283"/>
        <v>1.1444166200675889</v>
      </c>
      <c r="AE779" s="160">
        <f t="shared" si="276"/>
        <v>1.0255168395014747</v>
      </c>
      <c r="AF779" s="220">
        <f t="shared" si="284"/>
        <v>0</v>
      </c>
      <c r="AG779" s="183" t="str">
        <f t="shared" si="285"/>
        <v/>
      </c>
      <c r="AH779" s="183" t="str">
        <f t="shared" si="286"/>
        <v/>
      </c>
      <c r="AI779" s="220" t="str">
        <f t="shared" si="287"/>
        <v/>
      </c>
    </row>
    <row r="780" spans="1:35" x14ac:dyDescent="0.3">
      <c r="A780" s="187">
        <v>27</v>
      </c>
      <c r="B780" s="242">
        <f t="shared" si="277"/>
        <v>46447</v>
      </c>
      <c r="C780" s="243">
        <f t="shared" si="260"/>
        <v>46477</v>
      </c>
      <c r="D780" s="120">
        <f t="shared" si="261"/>
        <v>31</v>
      </c>
      <c r="E780" s="120">
        <f t="shared" si="262"/>
        <v>3</v>
      </c>
      <c r="F780" s="275">
        <f t="shared" si="263"/>
        <v>46462.5</v>
      </c>
      <c r="G780" s="120">
        <f t="shared" si="264"/>
        <v>24326</v>
      </c>
      <c r="H780" s="245">
        <f t="shared" si="265"/>
        <v>1</v>
      </c>
      <c r="I780" s="121">
        <f t="shared" si="266"/>
        <v>1.03</v>
      </c>
      <c r="J780" s="121">
        <f t="shared" si="267"/>
        <v>1.03</v>
      </c>
      <c r="K780" s="120">
        <f t="shared" si="268"/>
        <v>0</v>
      </c>
      <c r="L780" s="120">
        <f t="shared" si="269"/>
        <v>0</v>
      </c>
      <c r="M780" s="246">
        <f t="shared" si="270"/>
        <v>0</v>
      </c>
      <c r="N780" s="121">
        <f t="shared" si="271"/>
        <v>1.03</v>
      </c>
      <c r="O780" s="246">
        <f t="shared" si="272"/>
        <v>0.91728665207877469</v>
      </c>
      <c r="P780" s="121">
        <f t="shared" si="273"/>
        <v>0</v>
      </c>
      <c r="Q780" s="121">
        <f t="shared" si="274"/>
        <v>1</v>
      </c>
      <c r="R780" s="121">
        <f t="shared" si="275"/>
        <v>0</v>
      </c>
      <c r="W780" s="160">
        <f t="shared" si="278"/>
        <v>1.03</v>
      </c>
      <c r="X780" s="160">
        <f t="shared" si="279"/>
        <v>0</v>
      </c>
      <c r="Y780" s="160">
        <f t="shared" si="280"/>
        <v>1.0177227482398641</v>
      </c>
      <c r="AB780" s="160">
        <f t="shared" si="281"/>
        <v>0.36433260393873085</v>
      </c>
      <c r="AC780" s="220">
        <f t="shared" si="282"/>
        <v>0.57845733041575487</v>
      </c>
      <c r="AD780" s="160">
        <f t="shared" si="283"/>
        <v>1.1427773731488224</v>
      </c>
      <c r="AE780" s="160">
        <f t="shared" si="276"/>
        <v>1.026962230044715</v>
      </c>
      <c r="AF780" s="220">
        <f t="shared" si="284"/>
        <v>0</v>
      </c>
      <c r="AG780" s="183" t="str">
        <f t="shared" si="285"/>
        <v/>
      </c>
      <c r="AH780" s="183" t="str">
        <f t="shared" si="286"/>
        <v/>
      </c>
      <c r="AI780" s="220" t="str">
        <f t="shared" si="287"/>
        <v/>
      </c>
    </row>
    <row r="781" spans="1:35" x14ac:dyDescent="0.3">
      <c r="A781" s="187">
        <v>28</v>
      </c>
      <c r="B781" s="242">
        <f t="shared" si="277"/>
        <v>46478</v>
      </c>
      <c r="C781" s="243">
        <f t="shared" si="260"/>
        <v>46507</v>
      </c>
      <c r="D781" s="120">
        <f t="shared" si="261"/>
        <v>30</v>
      </c>
      <c r="E781" s="120">
        <f t="shared" si="262"/>
        <v>4</v>
      </c>
      <c r="F781" s="275">
        <f t="shared" si="263"/>
        <v>46493</v>
      </c>
      <c r="G781" s="120">
        <f t="shared" si="264"/>
        <v>24327</v>
      </c>
      <c r="H781" s="245">
        <f t="shared" si="265"/>
        <v>1</v>
      </c>
      <c r="I781" s="121">
        <f t="shared" si="266"/>
        <v>1.03</v>
      </c>
      <c r="J781" s="121">
        <f t="shared" si="267"/>
        <v>1.03</v>
      </c>
      <c r="K781" s="120">
        <f t="shared" si="268"/>
        <v>0</v>
      </c>
      <c r="L781" s="120">
        <f t="shared" si="269"/>
        <v>0</v>
      </c>
      <c r="M781" s="246">
        <f t="shared" si="270"/>
        <v>0</v>
      </c>
      <c r="N781" s="121">
        <f t="shared" si="271"/>
        <v>1.03</v>
      </c>
      <c r="O781" s="246">
        <f t="shared" si="272"/>
        <v>0.91862144420131298</v>
      </c>
      <c r="P781" s="121">
        <f t="shared" si="273"/>
        <v>0</v>
      </c>
      <c r="Q781" s="121">
        <f t="shared" si="274"/>
        <v>1</v>
      </c>
      <c r="R781" s="121">
        <f t="shared" si="275"/>
        <v>0</v>
      </c>
      <c r="W781" s="160">
        <f t="shared" si="278"/>
        <v>1.03</v>
      </c>
      <c r="X781" s="160">
        <f t="shared" si="279"/>
        <v>1.03</v>
      </c>
      <c r="Y781" s="160">
        <f t="shared" si="280"/>
        <v>1.0176965406899228</v>
      </c>
      <c r="AB781" s="160">
        <f t="shared" si="281"/>
        <v>0.4310722100656455</v>
      </c>
      <c r="AC781" s="220">
        <f t="shared" si="282"/>
        <v>0.51772428884026267</v>
      </c>
      <c r="AD781" s="160">
        <f t="shared" si="283"/>
        <v>1.1078519308622821</v>
      </c>
      <c r="AE781" s="160">
        <f t="shared" si="276"/>
        <v>1.0284566168775569</v>
      </c>
      <c r="AF781" s="220">
        <f t="shared" si="284"/>
        <v>1</v>
      </c>
      <c r="AG781" s="183" t="str">
        <f t="shared" si="285"/>
        <v/>
      </c>
      <c r="AH781" s="183" t="str">
        <f t="shared" si="286"/>
        <v/>
      </c>
      <c r="AI781" s="220" t="str">
        <f t="shared" si="287"/>
        <v/>
      </c>
    </row>
    <row r="782" spans="1:35" x14ac:dyDescent="0.3">
      <c r="A782" s="187">
        <v>29</v>
      </c>
      <c r="B782" s="242">
        <f t="shared" si="277"/>
        <v>46508</v>
      </c>
      <c r="C782" s="243">
        <f t="shared" si="260"/>
        <v>46538</v>
      </c>
      <c r="D782" s="120">
        <f t="shared" si="261"/>
        <v>31</v>
      </c>
      <c r="E782" s="120">
        <f t="shared" si="262"/>
        <v>5</v>
      </c>
      <c r="F782" s="275">
        <f t="shared" si="263"/>
        <v>46523.5</v>
      </c>
      <c r="G782" s="120">
        <f t="shared" si="264"/>
        <v>24328</v>
      </c>
      <c r="H782" s="245">
        <f t="shared" si="265"/>
        <v>1</v>
      </c>
      <c r="I782" s="121">
        <f t="shared" si="266"/>
        <v>1.03</v>
      </c>
      <c r="J782" s="121">
        <f t="shared" si="267"/>
        <v>1.03</v>
      </c>
      <c r="K782" s="120">
        <f t="shared" si="268"/>
        <v>0</v>
      </c>
      <c r="L782" s="120">
        <f t="shared" si="269"/>
        <v>0</v>
      </c>
      <c r="M782" s="246">
        <f t="shared" si="270"/>
        <v>0</v>
      </c>
      <c r="N782" s="121">
        <f t="shared" si="271"/>
        <v>1.03</v>
      </c>
      <c r="O782" s="246">
        <f t="shared" si="272"/>
        <v>0.91995623632385126</v>
      </c>
      <c r="P782" s="121">
        <f t="shared" si="273"/>
        <v>0</v>
      </c>
      <c r="Q782" s="121">
        <f t="shared" si="274"/>
        <v>1</v>
      </c>
      <c r="R782" s="121">
        <f t="shared" si="275"/>
        <v>0</v>
      </c>
      <c r="W782" s="160">
        <f t="shared" si="278"/>
        <v>1.03</v>
      </c>
      <c r="X782" s="160">
        <f t="shared" si="279"/>
        <v>1.03</v>
      </c>
      <c r="Y782" s="160">
        <f t="shared" si="280"/>
        <v>1.0176704105344694</v>
      </c>
      <c r="AB782" s="160">
        <f t="shared" si="281"/>
        <v>0.49781181619256015</v>
      </c>
      <c r="AC782" s="220">
        <f t="shared" si="282"/>
        <v>0.45699124726477025</v>
      </c>
      <c r="AD782" s="160">
        <f t="shared" si="283"/>
        <v>1.1062161115414406</v>
      </c>
      <c r="AE782" s="160">
        <f t="shared" si="276"/>
        <v>1.0299510037103985</v>
      </c>
      <c r="AF782" s="220">
        <f t="shared" si="284"/>
        <v>1</v>
      </c>
      <c r="AG782" s="183" t="str">
        <f t="shared" si="285"/>
        <v/>
      </c>
      <c r="AH782" s="183" t="str">
        <f t="shared" si="286"/>
        <v/>
      </c>
      <c r="AI782" s="220" t="str">
        <f t="shared" si="287"/>
        <v/>
      </c>
    </row>
    <row r="783" spans="1:35" x14ac:dyDescent="0.3">
      <c r="A783" s="187">
        <v>30</v>
      </c>
      <c r="B783" s="242">
        <f t="shared" si="277"/>
        <v>46539</v>
      </c>
      <c r="C783" s="243">
        <f t="shared" si="260"/>
        <v>46568</v>
      </c>
      <c r="D783" s="120">
        <f t="shared" si="261"/>
        <v>30</v>
      </c>
      <c r="E783" s="120">
        <f t="shared" si="262"/>
        <v>6</v>
      </c>
      <c r="F783" s="275">
        <f t="shared" si="263"/>
        <v>46554</v>
      </c>
      <c r="G783" s="120">
        <f t="shared" si="264"/>
        <v>24329</v>
      </c>
      <c r="H783" s="245">
        <f t="shared" si="265"/>
        <v>1</v>
      </c>
      <c r="I783" s="121">
        <f t="shared" si="266"/>
        <v>1.03</v>
      </c>
      <c r="J783" s="121">
        <f t="shared" si="267"/>
        <v>1.03</v>
      </c>
      <c r="K783" s="120">
        <f t="shared" si="268"/>
        <v>0</v>
      </c>
      <c r="L783" s="120">
        <f t="shared" si="269"/>
        <v>0</v>
      </c>
      <c r="M783" s="246">
        <f t="shared" si="270"/>
        <v>0</v>
      </c>
      <c r="N783" s="121">
        <f t="shared" si="271"/>
        <v>1.03</v>
      </c>
      <c r="O783" s="246">
        <f t="shared" si="272"/>
        <v>0.92129102844638955</v>
      </c>
      <c r="P783" s="121">
        <f t="shared" si="273"/>
        <v>0</v>
      </c>
      <c r="Q783" s="121">
        <f t="shared" si="274"/>
        <v>1</v>
      </c>
      <c r="R783" s="121">
        <f t="shared" si="275"/>
        <v>0</v>
      </c>
      <c r="W783" s="160">
        <f t="shared" si="278"/>
        <v>1.03</v>
      </c>
      <c r="X783" s="160">
        <f t="shared" si="279"/>
        <v>1.03</v>
      </c>
      <c r="Y783" s="160">
        <f t="shared" si="280"/>
        <v>1.0176443574311749</v>
      </c>
      <c r="AB783" s="160">
        <f t="shared" si="281"/>
        <v>0.56455142231947486</v>
      </c>
      <c r="AC783" s="220">
        <f t="shared" si="282"/>
        <v>0.39625820568927789</v>
      </c>
      <c r="AD783" s="160">
        <f t="shared" si="283"/>
        <v>1.1045851158968409</v>
      </c>
      <c r="AE783" s="160">
        <f t="shared" si="276"/>
        <v>1.0314453905432406</v>
      </c>
      <c r="AF783" s="220">
        <f t="shared" si="284"/>
        <v>1</v>
      </c>
      <c r="AG783" s="183" t="str">
        <f t="shared" si="285"/>
        <v/>
      </c>
      <c r="AH783" s="183" t="str">
        <f t="shared" si="286"/>
        <v/>
      </c>
      <c r="AI783" s="220" t="str">
        <f t="shared" si="287"/>
        <v/>
      </c>
    </row>
    <row r="784" spans="1:35" x14ac:dyDescent="0.3">
      <c r="A784" s="187">
        <v>31</v>
      </c>
      <c r="B784" s="242">
        <f t="shared" si="277"/>
        <v>46569</v>
      </c>
      <c r="C784" s="243">
        <f t="shared" si="260"/>
        <v>46599</v>
      </c>
      <c r="D784" s="120">
        <f t="shared" si="261"/>
        <v>31</v>
      </c>
      <c r="E784" s="120">
        <f t="shared" si="262"/>
        <v>7</v>
      </c>
      <c r="F784" s="275">
        <f t="shared" si="263"/>
        <v>46584.5</v>
      </c>
      <c r="G784" s="120">
        <f t="shared" si="264"/>
        <v>24330</v>
      </c>
      <c r="H784" s="245">
        <f t="shared" si="265"/>
        <v>1</v>
      </c>
      <c r="I784" s="121">
        <f t="shared" si="266"/>
        <v>1.03</v>
      </c>
      <c r="J784" s="121">
        <f t="shared" si="267"/>
        <v>1.03</v>
      </c>
      <c r="K784" s="120">
        <f t="shared" si="268"/>
        <v>0</v>
      </c>
      <c r="L784" s="120">
        <f t="shared" si="269"/>
        <v>0</v>
      </c>
      <c r="M784" s="246">
        <f t="shared" si="270"/>
        <v>0</v>
      </c>
      <c r="N784" s="121">
        <f t="shared" si="271"/>
        <v>1.03</v>
      </c>
      <c r="O784" s="246">
        <f t="shared" si="272"/>
        <v>0.92262582056892783</v>
      </c>
      <c r="P784" s="121">
        <f t="shared" si="273"/>
        <v>0</v>
      </c>
      <c r="Q784" s="121">
        <f t="shared" si="274"/>
        <v>0.91666666666666663</v>
      </c>
      <c r="R784" s="121">
        <f t="shared" si="275"/>
        <v>8.333333333333337E-2</v>
      </c>
      <c r="W784" s="160">
        <f t="shared" si="278"/>
        <v>1.03</v>
      </c>
      <c r="X784" s="160">
        <f t="shared" si="279"/>
        <v>1.03</v>
      </c>
      <c r="Y784" s="160">
        <f t="shared" si="280"/>
        <v>1.0176183810397259</v>
      </c>
      <c r="AB784" s="160">
        <f t="shared" si="281"/>
        <v>0.63129102844638951</v>
      </c>
      <c r="AC784" s="220">
        <f t="shared" si="282"/>
        <v>0.33552516411378558</v>
      </c>
      <c r="AD784" s="160">
        <f t="shared" si="283"/>
        <v>1.102958922623932</v>
      </c>
      <c r="AE784" s="160">
        <f t="shared" si="276"/>
        <v>1.0329397773760824</v>
      </c>
      <c r="AF784" s="220">
        <f t="shared" si="284"/>
        <v>1</v>
      </c>
      <c r="AG784" s="183" t="str">
        <f t="shared" si="285"/>
        <v/>
      </c>
      <c r="AH784" s="183" t="str">
        <f t="shared" si="286"/>
        <v/>
      </c>
      <c r="AI784" s="220" t="str">
        <f t="shared" si="287"/>
        <v/>
      </c>
    </row>
    <row r="785" spans="1:35" x14ac:dyDescent="0.3">
      <c r="A785" s="187">
        <v>32</v>
      </c>
      <c r="B785" s="242">
        <f t="shared" si="277"/>
        <v>46600</v>
      </c>
      <c r="C785" s="243">
        <f t="shared" si="260"/>
        <v>46630</v>
      </c>
      <c r="D785" s="120">
        <f t="shared" si="261"/>
        <v>31</v>
      </c>
      <c r="E785" s="120">
        <f t="shared" si="262"/>
        <v>8</v>
      </c>
      <c r="F785" s="275">
        <f t="shared" si="263"/>
        <v>46615.5</v>
      </c>
      <c r="G785" s="120">
        <f t="shared" si="264"/>
        <v>24331</v>
      </c>
      <c r="H785" s="245">
        <f t="shared" si="265"/>
        <v>1</v>
      </c>
      <c r="I785" s="121">
        <f t="shared" si="266"/>
        <v>1.03</v>
      </c>
      <c r="J785" s="121">
        <f t="shared" si="267"/>
        <v>1.03</v>
      </c>
      <c r="K785" s="120">
        <f t="shared" si="268"/>
        <v>0</v>
      </c>
      <c r="L785" s="120">
        <f t="shared" si="269"/>
        <v>0</v>
      </c>
      <c r="M785" s="246">
        <f t="shared" si="270"/>
        <v>0</v>
      </c>
      <c r="N785" s="121">
        <f t="shared" si="271"/>
        <v>1.03</v>
      </c>
      <c r="O785" s="246">
        <f t="shared" si="272"/>
        <v>0.92398249452954051</v>
      </c>
      <c r="P785" s="121">
        <f t="shared" si="273"/>
        <v>0</v>
      </c>
      <c r="Q785" s="121">
        <f t="shared" si="274"/>
        <v>0.75</v>
      </c>
      <c r="R785" s="121">
        <f t="shared" si="275"/>
        <v>0.25</v>
      </c>
      <c r="W785" s="160">
        <f t="shared" si="278"/>
        <v>1.03</v>
      </c>
      <c r="X785" s="160">
        <f t="shared" si="279"/>
        <v>1.03</v>
      </c>
      <c r="Y785" s="160">
        <f t="shared" si="280"/>
        <v>1.0175920570657413</v>
      </c>
      <c r="AB785" s="160">
        <f t="shared" si="281"/>
        <v>0.69912472647702406</v>
      </c>
      <c r="AC785" s="220">
        <f t="shared" si="282"/>
        <v>0.27379649890590813</v>
      </c>
      <c r="AD785" s="160">
        <f t="shared" si="283"/>
        <v>1.1013109697320225</v>
      </c>
      <c r="AE785" s="160">
        <f t="shared" si="276"/>
        <v>1.0344586623537246</v>
      </c>
      <c r="AF785" s="220">
        <f t="shared" si="284"/>
        <v>1</v>
      </c>
      <c r="AG785" s="183" t="str">
        <f t="shared" si="285"/>
        <v/>
      </c>
      <c r="AH785" s="183" t="str">
        <f t="shared" si="286"/>
        <v/>
      </c>
      <c r="AI785" s="220" t="str">
        <f t="shared" si="287"/>
        <v/>
      </c>
    </row>
    <row r="786" spans="1:35" x14ac:dyDescent="0.3">
      <c r="A786" s="187">
        <v>33</v>
      </c>
      <c r="B786" s="242">
        <f t="shared" si="277"/>
        <v>46631</v>
      </c>
      <c r="C786" s="243">
        <f t="shared" si="260"/>
        <v>46660</v>
      </c>
      <c r="D786" s="120">
        <f t="shared" si="261"/>
        <v>30</v>
      </c>
      <c r="E786" s="120">
        <f t="shared" si="262"/>
        <v>9</v>
      </c>
      <c r="F786" s="275">
        <f t="shared" si="263"/>
        <v>46646</v>
      </c>
      <c r="G786" s="120">
        <f t="shared" si="264"/>
        <v>24332</v>
      </c>
      <c r="H786" s="245">
        <f t="shared" si="265"/>
        <v>1</v>
      </c>
      <c r="I786" s="121">
        <f t="shared" si="266"/>
        <v>1.03</v>
      </c>
      <c r="J786" s="121">
        <f t="shared" si="267"/>
        <v>1.03</v>
      </c>
      <c r="K786" s="120">
        <f t="shared" si="268"/>
        <v>0</v>
      </c>
      <c r="L786" s="120">
        <f t="shared" si="269"/>
        <v>0</v>
      </c>
      <c r="M786" s="246">
        <f t="shared" si="270"/>
        <v>0</v>
      </c>
      <c r="N786" s="121">
        <f t="shared" si="271"/>
        <v>1.03</v>
      </c>
      <c r="O786" s="246">
        <f t="shared" si="272"/>
        <v>0.9253172866520788</v>
      </c>
      <c r="P786" s="121">
        <f t="shared" si="273"/>
        <v>0</v>
      </c>
      <c r="Q786" s="121">
        <f t="shared" si="274"/>
        <v>0.58333333333333337</v>
      </c>
      <c r="R786" s="121">
        <f t="shared" si="275"/>
        <v>0.41666666666666663</v>
      </c>
      <c r="W786" s="160">
        <f t="shared" si="278"/>
        <v>1.03</v>
      </c>
      <c r="X786" s="160">
        <f t="shared" si="279"/>
        <v>1.03</v>
      </c>
      <c r="Y786" s="160">
        <f t="shared" si="280"/>
        <v>1.0175662343287533</v>
      </c>
      <c r="AB786" s="160">
        <f t="shared" si="281"/>
        <v>0.76586433260393871</v>
      </c>
      <c r="AC786" s="220">
        <f t="shared" si="282"/>
        <v>0.21306345733041579</v>
      </c>
      <c r="AD786" s="160">
        <f t="shared" si="283"/>
        <v>1.099694395649349</v>
      </c>
      <c r="AE786" s="160">
        <f t="shared" si="276"/>
        <v>1.0359530491865665</v>
      </c>
      <c r="AF786" s="220">
        <f t="shared" si="284"/>
        <v>1</v>
      </c>
      <c r="AG786" s="183" t="str">
        <f t="shared" si="285"/>
        <v/>
      </c>
      <c r="AH786" s="183" t="str">
        <f t="shared" si="286"/>
        <v/>
      </c>
      <c r="AI786" s="220" t="str">
        <f t="shared" si="287"/>
        <v/>
      </c>
    </row>
    <row r="787" spans="1:35" x14ac:dyDescent="0.3">
      <c r="A787" s="187">
        <v>34</v>
      </c>
      <c r="B787" s="242">
        <f t="shared" si="277"/>
        <v>46661</v>
      </c>
      <c r="C787" s="243">
        <f t="shared" si="260"/>
        <v>46691</v>
      </c>
      <c r="D787" s="120">
        <f t="shared" si="261"/>
        <v>31</v>
      </c>
      <c r="E787" s="120">
        <f t="shared" si="262"/>
        <v>10</v>
      </c>
      <c r="F787" s="275">
        <f t="shared" si="263"/>
        <v>46676.5</v>
      </c>
      <c r="G787" s="120">
        <f t="shared" si="264"/>
        <v>24333</v>
      </c>
      <c r="H787" s="245">
        <f t="shared" si="265"/>
        <v>1</v>
      </c>
      <c r="I787" s="121">
        <f t="shared" si="266"/>
        <v>1.03</v>
      </c>
      <c r="J787" s="121">
        <f t="shared" si="267"/>
        <v>1.03</v>
      </c>
      <c r="K787" s="120">
        <f t="shared" si="268"/>
        <v>0</v>
      </c>
      <c r="L787" s="120">
        <f t="shared" si="269"/>
        <v>0</v>
      </c>
      <c r="M787" s="246">
        <f t="shared" si="270"/>
        <v>0</v>
      </c>
      <c r="N787" s="121">
        <f t="shared" si="271"/>
        <v>1.03</v>
      </c>
      <c r="O787" s="246">
        <f t="shared" si="272"/>
        <v>0.92665207877461708</v>
      </c>
      <c r="P787" s="121">
        <f t="shared" si="273"/>
        <v>0</v>
      </c>
      <c r="Q787" s="121">
        <f t="shared" si="274"/>
        <v>0.41666666666666669</v>
      </c>
      <c r="R787" s="121">
        <f t="shared" si="275"/>
        <v>0.58333333333333326</v>
      </c>
      <c r="W787" s="160">
        <f t="shared" si="278"/>
        <v>1.03</v>
      </c>
      <c r="X787" s="160">
        <f t="shared" si="279"/>
        <v>1.03</v>
      </c>
      <c r="Y787" s="160">
        <f t="shared" si="280"/>
        <v>1.0175404872891536</v>
      </c>
      <c r="AB787" s="160">
        <f t="shared" si="281"/>
        <v>0.83260393873085337</v>
      </c>
      <c r="AC787" s="220">
        <f t="shared" si="282"/>
        <v>0.15233041575492345</v>
      </c>
      <c r="AD787" s="160">
        <f t="shared" si="283"/>
        <v>1.0980825604305828</v>
      </c>
      <c r="AE787" s="160">
        <f t="shared" si="276"/>
        <v>1.0374474360194084</v>
      </c>
      <c r="AF787" s="220">
        <f t="shared" si="284"/>
        <v>1</v>
      </c>
      <c r="AG787" s="183" t="str">
        <f t="shared" si="285"/>
        <v/>
      </c>
      <c r="AH787" s="183" t="str">
        <f t="shared" si="286"/>
        <v/>
      </c>
      <c r="AI787" s="220" t="str">
        <f t="shared" si="287"/>
        <v/>
      </c>
    </row>
    <row r="788" spans="1:35" x14ac:dyDescent="0.3">
      <c r="A788" s="187">
        <v>35</v>
      </c>
      <c r="B788" s="242">
        <f t="shared" si="277"/>
        <v>46692</v>
      </c>
      <c r="C788" s="243">
        <f t="shared" si="260"/>
        <v>46721</v>
      </c>
      <c r="D788" s="120">
        <f t="shared" si="261"/>
        <v>30</v>
      </c>
      <c r="E788" s="120">
        <f t="shared" si="262"/>
        <v>11</v>
      </c>
      <c r="F788" s="275">
        <f t="shared" si="263"/>
        <v>46707</v>
      </c>
      <c r="G788" s="120">
        <f t="shared" si="264"/>
        <v>24334</v>
      </c>
      <c r="H788" s="245">
        <f t="shared" si="265"/>
        <v>1</v>
      </c>
      <c r="I788" s="121">
        <f t="shared" si="266"/>
        <v>1.03</v>
      </c>
      <c r="J788" s="121">
        <f t="shared" si="267"/>
        <v>1.03</v>
      </c>
      <c r="K788" s="120">
        <f t="shared" si="268"/>
        <v>0</v>
      </c>
      <c r="L788" s="120">
        <f t="shared" si="269"/>
        <v>0</v>
      </c>
      <c r="M788" s="246">
        <f t="shared" si="270"/>
        <v>0</v>
      </c>
      <c r="N788" s="121">
        <f t="shared" si="271"/>
        <v>1.03</v>
      </c>
      <c r="O788" s="246">
        <f t="shared" si="272"/>
        <v>0.92798687089715537</v>
      </c>
      <c r="P788" s="121">
        <f t="shared" si="273"/>
        <v>0</v>
      </c>
      <c r="Q788" s="121">
        <f t="shared" si="274"/>
        <v>0.25</v>
      </c>
      <c r="R788" s="121">
        <f t="shared" si="275"/>
        <v>0.75</v>
      </c>
      <c r="W788" s="160">
        <f t="shared" si="278"/>
        <v>1.03</v>
      </c>
      <c r="X788" s="160">
        <f t="shared" si="279"/>
        <v>1.03</v>
      </c>
      <c r="Y788" s="160">
        <f t="shared" si="280"/>
        <v>1.0175148156145779</v>
      </c>
      <c r="AB788" s="160">
        <f t="shared" si="281"/>
        <v>0.89934354485776802</v>
      </c>
      <c r="AC788" s="220">
        <f t="shared" si="282"/>
        <v>9.1597374179431104E-2</v>
      </c>
      <c r="AD788" s="160">
        <f t="shared" si="283"/>
        <v>1.0964754432687922</v>
      </c>
      <c r="AE788" s="160">
        <f t="shared" si="276"/>
        <v>1.0389418228522502</v>
      </c>
      <c r="AF788" s="220">
        <f t="shared" si="284"/>
        <v>1</v>
      </c>
      <c r="AG788" s="183" t="str">
        <f t="shared" si="285"/>
        <v/>
      </c>
      <c r="AH788" s="183" t="str">
        <f t="shared" si="286"/>
        <v/>
      </c>
      <c r="AI788" s="220" t="str">
        <f t="shared" si="287"/>
        <v/>
      </c>
    </row>
    <row r="789" spans="1:35" x14ac:dyDescent="0.3">
      <c r="A789" s="187">
        <v>36</v>
      </c>
      <c r="B789" s="242">
        <f t="shared" si="277"/>
        <v>46722</v>
      </c>
      <c r="C789" s="243">
        <f t="shared" si="260"/>
        <v>46752</v>
      </c>
      <c r="D789" s="120">
        <f t="shared" si="261"/>
        <v>31</v>
      </c>
      <c r="E789" s="120">
        <f t="shared" si="262"/>
        <v>12</v>
      </c>
      <c r="F789" s="275">
        <f t="shared" si="263"/>
        <v>46737.5</v>
      </c>
      <c r="G789" s="120">
        <f t="shared" si="264"/>
        <v>24335</v>
      </c>
      <c r="H789" s="245">
        <f t="shared" si="265"/>
        <v>1</v>
      </c>
      <c r="I789" s="121">
        <f t="shared" si="266"/>
        <v>1.03</v>
      </c>
      <c r="J789" s="121">
        <f t="shared" si="267"/>
        <v>1.03</v>
      </c>
      <c r="K789" s="120">
        <f t="shared" si="268"/>
        <v>0</v>
      </c>
      <c r="L789" s="120">
        <f t="shared" si="269"/>
        <v>0</v>
      </c>
      <c r="M789" s="246">
        <f t="shared" si="270"/>
        <v>0</v>
      </c>
      <c r="N789" s="121">
        <f t="shared" si="271"/>
        <v>1.03</v>
      </c>
      <c r="O789" s="246">
        <f t="shared" si="272"/>
        <v>0.92932166301969366</v>
      </c>
      <c r="P789" s="121">
        <f t="shared" si="273"/>
        <v>0</v>
      </c>
      <c r="Q789" s="121">
        <f t="shared" si="274"/>
        <v>8.3333333333333329E-2</v>
      </c>
      <c r="R789" s="121">
        <f t="shared" si="275"/>
        <v>0.91666666666666663</v>
      </c>
      <c r="W789" s="160">
        <f t="shared" si="278"/>
        <v>1.03</v>
      </c>
      <c r="X789" s="160">
        <f t="shared" si="279"/>
        <v>1.03</v>
      </c>
      <c r="Y789" s="160">
        <f t="shared" si="280"/>
        <v>1.0174892189746045</v>
      </c>
      <c r="AB789" s="160">
        <f t="shared" si="281"/>
        <v>0.96608315098468267</v>
      </c>
      <c r="AC789" s="220">
        <f t="shared" si="282"/>
        <v>3.0864332603938772E-2</v>
      </c>
      <c r="AD789" s="160">
        <f t="shared" si="283"/>
        <v>1.0948730234786774</v>
      </c>
      <c r="AE789" s="160">
        <f t="shared" si="276"/>
        <v>1.0404362096850917</v>
      </c>
      <c r="AF789" s="220">
        <f t="shared" si="284"/>
        <v>1</v>
      </c>
      <c r="AG789" s="183" t="str">
        <f t="shared" si="285"/>
        <v/>
      </c>
      <c r="AH789" s="183" t="str">
        <f t="shared" si="286"/>
        <v/>
      </c>
      <c r="AI789" s="220" t="str">
        <f t="shared" si="287"/>
        <v/>
      </c>
    </row>
    <row r="790" spans="1:35" x14ac:dyDescent="0.3">
      <c r="A790" s="187">
        <v>37</v>
      </c>
      <c r="B790" s="242">
        <f t="shared" si="277"/>
        <v>46753</v>
      </c>
      <c r="C790" s="243">
        <f t="shared" si="260"/>
        <v>46783</v>
      </c>
      <c r="D790" s="120">
        <f t="shared" si="261"/>
        <v>31</v>
      </c>
      <c r="E790" s="120">
        <f t="shared" si="262"/>
        <v>1</v>
      </c>
      <c r="F790" s="275">
        <f t="shared" si="263"/>
        <v>46768.5</v>
      </c>
      <c r="G790" s="120">
        <f t="shared" si="264"/>
        <v>24336</v>
      </c>
      <c r="H790" s="245">
        <f t="shared" si="265"/>
        <v>1</v>
      </c>
      <c r="I790" s="121">
        <f t="shared" si="266"/>
        <v>1.03</v>
      </c>
      <c r="J790" s="121">
        <f t="shared" si="267"/>
        <v>1.03</v>
      </c>
      <c r="K790" s="120">
        <f t="shared" si="268"/>
        <v>0</v>
      </c>
      <c r="L790" s="120">
        <f t="shared" si="269"/>
        <v>0</v>
      </c>
      <c r="M790" s="246">
        <f t="shared" si="270"/>
        <v>0</v>
      </c>
      <c r="N790" s="121">
        <f t="shared" si="271"/>
        <v>1.03</v>
      </c>
      <c r="O790" s="246">
        <f t="shared" si="272"/>
        <v>0.93</v>
      </c>
      <c r="P790" s="121">
        <f t="shared" si="273"/>
        <v>0</v>
      </c>
      <c r="Q790" s="121">
        <f t="shared" si="274"/>
        <v>0</v>
      </c>
      <c r="R790" s="121">
        <f t="shared" si="275"/>
        <v>1</v>
      </c>
      <c r="AE790" s="160">
        <f t="shared" si="276"/>
        <v>1.0411956521739132</v>
      </c>
    </row>
    <row r="791" spans="1:35" x14ac:dyDescent="0.3">
      <c r="A791" s="187">
        <v>38</v>
      </c>
      <c r="B791" s="242">
        <f t="shared" si="277"/>
        <v>46784</v>
      </c>
      <c r="C791" s="243">
        <f t="shared" si="260"/>
        <v>46812</v>
      </c>
      <c r="D791" s="120">
        <f t="shared" si="261"/>
        <v>29</v>
      </c>
      <c r="E791" s="120">
        <f t="shared" si="262"/>
        <v>2</v>
      </c>
      <c r="F791" s="275">
        <f t="shared" si="263"/>
        <v>46798.5</v>
      </c>
      <c r="G791" s="120">
        <f t="shared" si="264"/>
        <v>24337</v>
      </c>
      <c r="H791" s="245">
        <f t="shared" si="265"/>
        <v>1</v>
      </c>
      <c r="I791" s="121">
        <f t="shared" si="266"/>
        <v>1.03</v>
      </c>
      <c r="J791" s="121">
        <f t="shared" si="267"/>
        <v>1.03</v>
      </c>
      <c r="K791" s="120">
        <f t="shared" si="268"/>
        <v>0</v>
      </c>
      <c r="L791" s="120">
        <f t="shared" si="269"/>
        <v>0</v>
      </c>
      <c r="M791" s="246">
        <f t="shared" si="270"/>
        <v>0</v>
      </c>
      <c r="N791" s="121">
        <f t="shared" si="271"/>
        <v>1.03</v>
      </c>
      <c r="O791" s="246">
        <f t="shared" si="272"/>
        <v>0.93</v>
      </c>
      <c r="P791" s="121">
        <f t="shared" si="273"/>
        <v>0</v>
      </c>
      <c r="Q791" s="121">
        <f t="shared" si="274"/>
        <v>0</v>
      </c>
      <c r="R791" s="121">
        <f t="shared" si="275"/>
        <v>1</v>
      </c>
      <c r="AE791" s="160">
        <f t="shared" si="276"/>
        <v>1.0411956521739132</v>
      </c>
    </row>
    <row r="792" spans="1:35" x14ac:dyDescent="0.3">
      <c r="A792" s="187">
        <v>39</v>
      </c>
      <c r="B792" s="242">
        <f t="shared" si="277"/>
        <v>46813</v>
      </c>
      <c r="C792" s="243">
        <f t="shared" si="260"/>
        <v>46843</v>
      </c>
      <c r="D792" s="120">
        <f t="shared" si="261"/>
        <v>31</v>
      </c>
      <c r="E792" s="120">
        <f t="shared" si="262"/>
        <v>3</v>
      </c>
      <c r="F792" s="275">
        <f t="shared" si="263"/>
        <v>46828.5</v>
      </c>
      <c r="G792" s="120">
        <f t="shared" si="264"/>
        <v>24338</v>
      </c>
      <c r="H792" s="245">
        <f t="shared" si="265"/>
        <v>1</v>
      </c>
      <c r="I792" s="121">
        <f t="shared" si="266"/>
        <v>1.03</v>
      </c>
      <c r="J792" s="121">
        <f t="shared" si="267"/>
        <v>1.03</v>
      </c>
      <c r="K792" s="120">
        <f t="shared" si="268"/>
        <v>0</v>
      </c>
      <c r="L792" s="120">
        <f t="shared" si="269"/>
        <v>0</v>
      </c>
      <c r="M792" s="246">
        <f t="shared" si="270"/>
        <v>0</v>
      </c>
      <c r="N792" s="121">
        <f t="shared" si="271"/>
        <v>1.03</v>
      </c>
      <c r="O792" s="246">
        <f t="shared" si="272"/>
        <v>0.93</v>
      </c>
      <c r="P792" s="121">
        <f t="shared" si="273"/>
        <v>0</v>
      </c>
      <c r="Q792" s="121">
        <f t="shared" si="274"/>
        <v>0</v>
      </c>
      <c r="R792" s="121">
        <f t="shared" si="275"/>
        <v>1</v>
      </c>
      <c r="AE792" s="160">
        <f t="shared" si="276"/>
        <v>1.0411956521739132</v>
      </c>
    </row>
    <row r="793" spans="1:35" x14ac:dyDescent="0.3">
      <c r="A793" s="187">
        <v>40</v>
      </c>
      <c r="B793" s="242">
        <f t="shared" si="277"/>
        <v>46844</v>
      </c>
      <c r="C793" s="243">
        <f t="shared" si="260"/>
        <v>46873</v>
      </c>
      <c r="D793" s="120">
        <f t="shared" si="261"/>
        <v>30</v>
      </c>
      <c r="E793" s="120">
        <f t="shared" si="262"/>
        <v>4</v>
      </c>
      <c r="F793" s="275">
        <f t="shared" si="263"/>
        <v>46859</v>
      </c>
      <c r="G793" s="120">
        <f t="shared" si="264"/>
        <v>24339</v>
      </c>
      <c r="H793" s="245">
        <f t="shared" si="265"/>
        <v>1</v>
      </c>
      <c r="I793" s="121">
        <f t="shared" si="266"/>
        <v>1.03</v>
      </c>
      <c r="J793" s="121">
        <f t="shared" si="267"/>
        <v>1.03</v>
      </c>
      <c r="K793" s="120">
        <f t="shared" si="268"/>
        <v>0</v>
      </c>
      <c r="L793" s="120">
        <f t="shared" si="269"/>
        <v>0</v>
      </c>
      <c r="M793" s="246">
        <f t="shared" si="270"/>
        <v>0</v>
      </c>
      <c r="N793" s="121">
        <f t="shared" si="271"/>
        <v>1.03</v>
      </c>
      <c r="O793" s="246">
        <f t="shared" si="272"/>
        <v>0.93</v>
      </c>
      <c r="P793" s="121">
        <f t="shared" si="273"/>
        <v>0</v>
      </c>
      <c r="Q793" s="121">
        <f t="shared" si="274"/>
        <v>0</v>
      </c>
      <c r="R793" s="121">
        <f t="shared" si="275"/>
        <v>1</v>
      </c>
      <c r="AE793" s="160">
        <f t="shared" si="276"/>
        <v>1.0411956521739132</v>
      </c>
    </row>
    <row r="794" spans="1:35" x14ac:dyDescent="0.3">
      <c r="A794" s="187">
        <v>41</v>
      </c>
      <c r="B794" s="242">
        <f t="shared" si="277"/>
        <v>46874</v>
      </c>
      <c r="C794" s="243">
        <f t="shared" si="260"/>
        <v>46904</v>
      </c>
      <c r="D794" s="120">
        <f t="shared" si="261"/>
        <v>31</v>
      </c>
      <c r="E794" s="120">
        <f t="shared" si="262"/>
        <v>5</v>
      </c>
      <c r="F794" s="275">
        <f t="shared" si="263"/>
        <v>46889.5</v>
      </c>
      <c r="G794" s="120">
        <f t="shared" si="264"/>
        <v>24340</v>
      </c>
      <c r="H794" s="245">
        <f t="shared" si="265"/>
        <v>1</v>
      </c>
      <c r="I794" s="121">
        <f t="shared" si="266"/>
        <v>1.03</v>
      </c>
      <c r="J794" s="121">
        <f t="shared" si="267"/>
        <v>1.03</v>
      </c>
      <c r="K794" s="120">
        <f t="shared" si="268"/>
        <v>0</v>
      </c>
      <c r="L794" s="120">
        <f t="shared" si="269"/>
        <v>0</v>
      </c>
      <c r="M794" s="246">
        <f t="shared" si="270"/>
        <v>0</v>
      </c>
      <c r="N794" s="121">
        <f t="shared" si="271"/>
        <v>1.03</v>
      </c>
      <c r="O794" s="246">
        <f t="shared" si="272"/>
        <v>0.93</v>
      </c>
      <c r="P794" s="121">
        <f t="shared" si="273"/>
        <v>0</v>
      </c>
      <c r="Q794" s="121">
        <f t="shared" si="274"/>
        <v>0</v>
      </c>
      <c r="R794" s="121">
        <f t="shared" si="275"/>
        <v>1</v>
      </c>
      <c r="AE794" s="160">
        <f t="shared" si="276"/>
        <v>1.0411956521739132</v>
      </c>
    </row>
    <row r="795" spans="1:35" x14ac:dyDescent="0.3">
      <c r="A795" s="187">
        <v>42</v>
      </c>
      <c r="B795" s="242">
        <f t="shared" si="277"/>
        <v>46905</v>
      </c>
      <c r="C795" s="243">
        <f t="shared" si="260"/>
        <v>46934</v>
      </c>
      <c r="D795" s="120">
        <f t="shared" si="261"/>
        <v>30</v>
      </c>
      <c r="E795" s="120">
        <f t="shared" si="262"/>
        <v>6</v>
      </c>
      <c r="F795" s="275">
        <f t="shared" si="263"/>
        <v>46920</v>
      </c>
      <c r="G795" s="120">
        <f t="shared" si="264"/>
        <v>24341</v>
      </c>
      <c r="H795" s="245">
        <f t="shared" si="265"/>
        <v>1</v>
      </c>
      <c r="I795" s="121">
        <f t="shared" si="266"/>
        <v>1.03</v>
      </c>
      <c r="J795" s="121">
        <f t="shared" si="267"/>
        <v>1.03</v>
      </c>
      <c r="K795" s="120">
        <f t="shared" si="268"/>
        <v>0</v>
      </c>
      <c r="L795" s="120">
        <f t="shared" si="269"/>
        <v>0</v>
      </c>
      <c r="M795" s="246">
        <f t="shared" si="270"/>
        <v>0</v>
      </c>
      <c r="N795" s="121">
        <f t="shared" si="271"/>
        <v>1.03</v>
      </c>
      <c r="O795" s="246">
        <f t="shared" si="272"/>
        <v>0.93</v>
      </c>
      <c r="P795" s="121">
        <f t="shared" si="273"/>
        <v>0</v>
      </c>
      <c r="Q795" s="121">
        <f t="shared" si="274"/>
        <v>0</v>
      </c>
      <c r="R795" s="121">
        <f t="shared" si="275"/>
        <v>1</v>
      </c>
      <c r="AE795" s="160">
        <f t="shared" si="276"/>
        <v>1.0411956521739132</v>
      </c>
    </row>
    <row r="796" spans="1:35" x14ac:dyDescent="0.3">
      <c r="A796" s="187">
        <v>43</v>
      </c>
      <c r="B796" s="242">
        <f t="shared" si="277"/>
        <v>46935</v>
      </c>
      <c r="C796" s="243">
        <f t="shared" si="260"/>
        <v>46965</v>
      </c>
      <c r="D796" s="120">
        <f t="shared" si="261"/>
        <v>31</v>
      </c>
      <c r="E796" s="120">
        <f t="shared" si="262"/>
        <v>7</v>
      </c>
      <c r="F796" s="275">
        <f t="shared" si="263"/>
        <v>46950.5</v>
      </c>
      <c r="G796" s="120">
        <f t="shared" si="264"/>
        <v>24342</v>
      </c>
      <c r="H796" s="245">
        <f t="shared" si="265"/>
        <v>1</v>
      </c>
      <c r="I796" s="121">
        <f t="shared" si="266"/>
        <v>1.03</v>
      </c>
      <c r="J796" s="121">
        <f t="shared" si="267"/>
        <v>1.03</v>
      </c>
      <c r="K796" s="120">
        <f t="shared" si="268"/>
        <v>0</v>
      </c>
      <c r="L796" s="120">
        <f t="shared" si="269"/>
        <v>0</v>
      </c>
      <c r="M796" s="246">
        <f t="shared" si="270"/>
        <v>0</v>
      </c>
      <c r="N796" s="121">
        <f t="shared" si="271"/>
        <v>1.03</v>
      </c>
      <c r="O796" s="246">
        <f t="shared" si="272"/>
        <v>0.93</v>
      </c>
      <c r="P796" s="121">
        <f t="shared" si="273"/>
        <v>0</v>
      </c>
      <c r="Q796" s="121">
        <f t="shared" si="274"/>
        <v>0</v>
      </c>
      <c r="R796" s="121">
        <f t="shared" si="275"/>
        <v>0.91666666666666663</v>
      </c>
      <c r="AE796" s="160">
        <f t="shared" si="276"/>
        <v>1.0411956521739132</v>
      </c>
    </row>
    <row r="797" spans="1:35" x14ac:dyDescent="0.3">
      <c r="A797" s="187">
        <v>44</v>
      </c>
      <c r="B797" s="242">
        <f t="shared" si="277"/>
        <v>46966</v>
      </c>
      <c r="C797" s="243">
        <f t="shared" si="260"/>
        <v>46996</v>
      </c>
      <c r="D797" s="120">
        <f t="shared" si="261"/>
        <v>31</v>
      </c>
      <c r="E797" s="120">
        <f t="shared" si="262"/>
        <v>8</v>
      </c>
      <c r="F797" s="275">
        <f t="shared" si="263"/>
        <v>46981.5</v>
      </c>
      <c r="G797" s="120">
        <f t="shared" si="264"/>
        <v>24343</v>
      </c>
      <c r="H797" s="245">
        <f t="shared" si="265"/>
        <v>1</v>
      </c>
      <c r="I797" s="121">
        <f t="shared" si="266"/>
        <v>1.03</v>
      </c>
      <c r="J797" s="121">
        <f t="shared" si="267"/>
        <v>1.03</v>
      </c>
      <c r="K797" s="120">
        <f t="shared" si="268"/>
        <v>0</v>
      </c>
      <c r="L797" s="120">
        <f t="shared" si="269"/>
        <v>0</v>
      </c>
      <c r="M797" s="246">
        <f t="shared" si="270"/>
        <v>0</v>
      </c>
      <c r="N797" s="121">
        <f t="shared" si="271"/>
        <v>1.03</v>
      </c>
      <c r="O797" s="246">
        <f t="shared" si="272"/>
        <v>0.93</v>
      </c>
      <c r="P797" s="121">
        <f t="shared" si="273"/>
        <v>0</v>
      </c>
      <c r="Q797" s="121">
        <f t="shared" si="274"/>
        <v>0</v>
      </c>
      <c r="R797" s="121">
        <f t="shared" si="275"/>
        <v>0.75</v>
      </c>
      <c r="AE797" s="160">
        <f t="shared" si="276"/>
        <v>1.0411956521739132</v>
      </c>
    </row>
    <row r="798" spans="1:35" x14ac:dyDescent="0.3">
      <c r="A798" s="187">
        <v>45</v>
      </c>
      <c r="B798" s="242">
        <f t="shared" si="277"/>
        <v>46997</v>
      </c>
      <c r="C798" s="243">
        <f t="shared" si="260"/>
        <v>47026</v>
      </c>
      <c r="D798" s="120">
        <f t="shared" si="261"/>
        <v>30</v>
      </c>
      <c r="E798" s="120">
        <f t="shared" si="262"/>
        <v>9</v>
      </c>
      <c r="F798" s="275">
        <f t="shared" si="263"/>
        <v>47012</v>
      </c>
      <c r="G798" s="120">
        <f t="shared" si="264"/>
        <v>24344</v>
      </c>
      <c r="H798" s="245">
        <f t="shared" si="265"/>
        <v>1</v>
      </c>
      <c r="I798" s="121">
        <f t="shared" si="266"/>
        <v>1.03</v>
      </c>
      <c r="J798" s="121">
        <f t="shared" si="267"/>
        <v>1.03</v>
      </c>
      <c r="K798" s="120">
        <f t="shared" si="268"/>
        <v>0</v>
      </c>
      <c r="L798" s="120">
        <f t="shared" si="269"/>
        <v>0</v>
      </c>
      <c r="M798" s="246">
        <f t="shared" si="270"/>
        <v>0</v>
      </c>
      <c r="N798" s="121">
        <f t="shared" si="271"/>
        <v>1.03</v>
      </c>
      <c r="O798" s="246">
        <f t="shared" si="272"/>
        <v>0.93</v>
      </c>
      <c r="P798" s="121">
        <f t="shared" si="273"/>
        <v>0</v>
      </c>
      <c r="Q798" s="121">
        <f t="shared" si="274"/>
        <v>0</v>
      </c>
      <c r="R798" s="121">
        <f t="shared" si="275"/>
        <v>0.58333333333333337</v>
      </c>
      <c r="AE798" s="160">
        <f t="shared" si="276"/>
        <v>1.0411956521739132</v>
      </c>
    </row>
    <row r="799" spans="1:35" x14ac:dyDescent="0.3">
      <c r="A799" s="187">
        <v>46</v>
      </c>
      <c r="B799" s="242">
        <f t="shared" si="277"/>
        <v>47027</v>
      </c>
      <c r="C799" s="243">
        <f t="shared" si="260"/>
        <v>47057</v>
      </c>
      <c r="D799" s="120">
        <f t="shared" si="261"/>
        <v>31</v>
      </c>
      <c r="E799" s="120">
        <f t="shared" si="262"/>
        <v>10</v>
      </c>
      <c r="F799" s="275">
        <f t="shared" si="263"/>
        <v>47042.5</v>
      </c>
      <c r="G799" s="120">
        <f t="shared" si="264"/>
        <v>24345</v>
      </c>
      <c r="H799" s="245">
        <f t="shared" si="265"/>
        <v>1</v>
      </c>
      <c r="I799" s="121">
        <f t="shared" si="266"/>
        <v>1.03</v>
      </c>
      <c r="J799" s="121">
        <f t="shared" si="267"/>
        <v>1.03</v>
      </c>
      <c r="K799" s="120">
        <f t="shared" si="268"/>
        <v>0</v>
      </c>
      <c r="L799" s="120">
        <f t="shared" si="269"/>
        <v>0</v>
      </c>
      <c r="M799" s="246">
        <f t="shared" si="270"/>
        <v>0</v>
      </c>
      <c r="N799" s="121">
        <f t="shared" si="271"/>
        <v>1.03</v>
      </c>
      <c r="O799" s="246">
        <f t="shared" si="272"/>
        <v>0.93</v>
      </c>
      <c r="P799" s="121">
        <f t="shared" si="273"/>
        <v>0</v>
      </c>
      <c r="Q799" s="121">
        <f t="shared" si="274"/>
        <v>0</v>
      </c>
      <c r="R799" s="121">
        <f t="shared" si="275"/>
        <v>0.41666666666666669</v>
      </c>
      <c r="AE799" s="160">
        <f t="shared" si="276"/>
        <v>1.0411956521739132</v>
      </c>
    </row>
    <row r="800" spans="1:35" x14ac:dyDescent="0.3">
      <c r="A800" s="187">
        <v>47</v>
      </c>
      <c r="B800" s="242">
        <f t="shared" si="277"/>
        <v>47058</v>
      </c>
      <c r="C800" s="243">
        <f t="shared" si="260"/>
        <v>47087</v>
      </c>
      <c r="D800" s="120">
        <f t="shared" si="261"/>
        <v>30</v>
      </c>
      <c r="E800" s="120">
        <f t="shared" si="262"/>
        <v>11</v>
      </c>
      <c r="F800" s="275">
        <f t="shared" si="263"/>
        <v>47073</v>
      </c>
      <c r="G800" s="120">
        <f t="shared" si="264"/>
        <v>24346</v>
      </c>
      <c r="H800" s="245">
        <f t="shared" si="265"/>
        <v>1</v>
      </c>
      <c r="I800" s="121">
        <f t="shared" si="266"/>
        <v>1.03</v>
      </c>
      <c r="J800" s="121">
        <f t="shared" si="267"/>
        <v>1.03</v>
      </c>
      <c r="K800" s="120">
        <f t="shared" si="268"/>
        <v>0</v>
      </c>
      <c r="L800" s="120">
        <f t="shared" si="269"/>
        <v>0</v>
      </c>
      <c r="M800" s="246">
        <f t="shared" si="270"/>
        <v>0</v>
      </c>
      <c r="N800" s="121">
        <f t="shared" si="271"/>
        <v>1.03</v>
      </c>
      <c r="O800" s="246">
        <f t="shared" si="272"/>
        <v>0.93</v>
      </c>
      <c r="P800" s="121">
        <f t="shared" si="273"/>
        <v>0</v>
      </c>
      <c r="Q800" s="121">
        <f t="shared" si="274"/>
        <v>0</v>
      </c>
      <c r="R800" s="121">
        <f t="shared" si="275"/>
        <v>0.25</v>
      </c>
      <c r="AE800" s="160">
        <f t="shared" si="276"/>
        <v>1.0411956521739132</v>
      </c>
    </row>
    <row r="801" spans="1:31" x14ac:dyDescent="0.3">
      <c r="A801" s="187">
        <v>48</v>
      </c>
      <c r="B801" s="242">
        <f t="shared" si="277"/>
        <v>47088</v>
      </c>
      <c r="C801" s="243">
        <f t="shared" si="260"/>
        <v>47118</v>
      </c>
      <c r="D801" s="120">
        <f t="shared" si="261"/>
        <v>31</v>
      </c>
      <c r="E801" s="120">
        <f t="shared" si="262"/>
        <v>12</v>
      </c>
      <c r="F801" s="275">
        <f t="shared" si="263"/>
        <v>47103.5</v>
      </c>
      <c r="G801" s="120">
        <f t="shared" si="264"/>
        <v>24347</v>
      </c>
      <c r="H801" s="245">
        <f t="shared" si="265"/>
        <v>1</v>
      </c>
      <c r="I801" s="121">
        <f t="shared" si="266"/>
        <v>1.03</v>
      </c>
      <c r="J801" s="121">
        <f t="shared" si="267"/>
        <v>1.03</v>
      </c>
      <c r="K801" s="120">
        <f t="shared" si="268"/>
        <v>0</v>
      </c>
      <c r="L801" s="120">
        <f t="shared" si="269"/>
        <v>0</v>
      </c>
      <c r="M801" s="246">
        <f t="shared" si="270"/>
        <v>0</v>
      </c>
      <c r="N801" s="121">
        <f t="shared" si="271"/>
        <v>1.03</v>
      </c>
      <c r="O801" s="246">
        <f t="shared" si="272"/>
        <v>0.93</v>
      </c>
      <c r="P801" s="121">
        <f t="shared" si="273"/>
        <v>0</v>
      </c>
      <c r="Q801" s="121">
        <f t="shared" si="274"/>
        <v>0</v>
      </c>
      <c r="R801" s="121">
        <f t="shared" si="275"/>
        <v>8.3333333333333329E-2</v>
      </c>
      <c r="AE801" s="160">
        <f t="shared" si="276"/>
        <v>1.0411956521739132</v>
      </c>
    </row>
    <row r="802" spans="1:31" x14ac:dyDescent="0.3">
      <c r="A802" s="23" t="s">
        <v>1723</v>
      </c>
      <c r="B802" s="279">
        <f>SUM($H$778:$H$789)</f>
        <v>12</v>
      </c>
      <c r="C802" s="160">
        <f>SUMPRODUCT($H$778:$H$789,$W$778:$W$789/$N$766:$N$777,$Y$778:$Y$789)</f>
        <v>12.303174424979689</v>
      </c>
      <c r="D802" s="160">
        <f>SUMPRODUCT($H$778:$H$789,$X$778:$X$789/$N$766:$N$777,$Y$778:$Y$789)</f>
        <v>9.1583325029681237</v>
      </c>
      <c r="E802" s="281" t="str">
        <f>IF(OR($D$751=0,$P$751=0,$D802=0),"n/a",((1+$E$751)*$B802-$C802)/$D802)</f>
        <v>n/a</v>
      </c>
      <c r="F802" s="281" t="str">
        <f>IF($V$751&lt;&gt;"",$V$751,$E802)</f>
        <v>n/a</v>
      </c>
      <c r="G802" s="281" t="str">
        <f>IF(OR(NOT(ISNUMBER($F802)),nd_Ach=0),"n/a",$F802/nd_Ach)</f>
        <v>n/a</v>
      </c>
      <c r="H802" s="220" t="str">
        <f>IF(OR(NOT(ISNUMBER($F802)),$F$751=0,SUMPRODUCT($AD$778:$AD$789,$AB$778:$AB$789)=0),"n/a",((1+$E$751)*$B802-SUMPRODUCT($AD$778:$AD$789,$AC$778:$AC$789))/SUMPRODUCT($AD$778:$AD$789,$AB$778:$AB$789))</f>
        <v>n/a</v>
      </c>
      <c r="I802" s="183" t="str">
        <f>IF(NOT(ISNUMBER($F802)),"n/a",SUMPRODUCT($H$778:$H$789,($W$778:$W$789+$X$778:$X$789*$F802)/$N$766:$N$777)/$B802-1)</f>
        <v>n/a</v>
      </c>
      <c r="J802" s="183" t="str">
        <f>IF(OR(NOT(ISNUMBER($I802)),$F$751=0),"n/a",(1+$E$751)/(1+$I802)-1)</f>
        <v>n/a</v>
      </c>
      <c r="K802" s="183" t="str">
        <f>IF(NOT(ISNUMBER($F802)),"n/a",($C802+$D802*$F802)/$B802-1)</f>
        <v>n/a</v>
      </c>
      <c r="L802" s="229" t="str">
        <f>IF(NOT(ISNUMBER($F802)),"n/a",SUMPRODUCT($H$778:$H$789,$AF$778:$AF$789)/$B802)</f>
        <v>n/a</v>
      </c>
      <c r="M802" s="23" t="str">
        <f>IF($D$751=0,"",TRIM(IF(AND(ISNUMBER($H802),OR($H802&lt;0.5,$H802&gt;1.5)),"MOD-BOUND ","")&amp;IF(AND(ISNUMBER($F802),ABS($F802)&gt;nr_SolvMaxRate),"RATE-BOUND ","")&amp;IF(AND(ISNUMBER($L802),$L802&lt;nr_SolvMinShare),"THIN-SHARE ","")&amp;IF($W$751&gt;1,"MULTI-PLANNED ","")&amp;IF($F$751=0,"RATE-ONLY","")))</f>
        <v/>
      </c>
      <c r="N802" s="229" t="str">
        <f>IF(OR($D$751=0,NOT(ISNUMBER($F802))),"n/a",INDEX(calc_lrcur,$C$751)*INDEX(calc_crl,$C$751)/(SUMPRODUCT($H$754:$H$801,$Q$754:$Q$801,$AE$754:$AE$801)/SUMPRODUCT($H$754:$H$801,$Q$754:$Q$801))*INDEX(calc_aother,$C$751))</f>
        <v>n/a</v>
      </c>
      <c r="O802" s="229" t="str">
        <f>IF($D$751=0,"n/a",INDEX(calc_cylr_p,$C$751))</f>
        <v>n/a</v>
      </c>
      <c r="P802" s="282">
        <f>IF(NOT(ISNUMBER($E802)),0,ABS(($C802+$D802*$E802)/$B802-(1+$E$751)))</f>
        <v>0</v>
      </c>
    </row>
    <row r="807" spans="1:31" x14ac:dyDescent="0.3">
      <c r="A807" s="23" t="str">
        <f>_lists!$B$13</f>
        <v>MI</v>
      </c>
      <c r="B807" s="23" t="str">
        <f>IF(OR($A807="",nd_BU="All"),"",nd_BU&amp;"|"&amp;$A807)</f>
        <v>SBA|MI</v>
      </c>
      <c r="C807" s="43">
        <f>IF($B807="",0,IF(COUNTIF(lr_key,$B807)=0,0,MATCH($B807,lr_key,0)))</f>
        <v>53</v>
      </c>
      <c r="D807" s="43">
        <f>IF($C807=0,0,IF(ISBLANK(INDEX(lr_netp,$C807)),0,1))</f>
        <v>0</v>
      </c>
      <c r="E807" s="229">
        <f>IF($D807=0,0,N(INDEX(lr_netp,$C807)))</f>
        <v>0</v>
      </c>
      <c r="F807" s="43">
        <f>IF($C807=0,0,IF(AND(nr_ModAdjMaster="ON",INDEX(lr_modadj,$C807)="ON"),1,0))</f>
        <v>1</v>
      </c>
      <c r="G807" s="220">
        <f>IF($C807=0,1,IF(N(INDEX(lr_mind,$C807))=0,1,INDEX(lr_mind,$C807)))</f>
        <v>0.92</v>
      </c>
      <c r="H807" s="220">
        <f>IF($C807=0,1,IF(N(INDEX(lr_m0,$C807))=0,1,INDEX(lr_m0,$C807)))</f>
        <v>0.91</v>
      </c>
      <c r="I807" s="278">
        <f>IF($C807=0,DATE(nr_PlanYear-1,10,1),IF(N(INDEX(lr_m0asof,$C807))=0,DATE(nr_PlanYear-1,10,1),INDEX(lr_m0asof,$C807)))</f>
        <v>46295</v>
      </c>
      <c r="J807" s="220">
        <f>IF($C807=0,1,IF(N(INDEX(lr_m1,$C807))=0,1,INDEX(lr_m1,$C807)))</f>
        <v>0.91</v>
      </c>
      <c r="K807" s="220">
        <f>IF($C807=0,0,N(INDEX(lr_mprior,$C807)))</f>
        <v>0</v>
      </c>
      <c r="L807" s="220">
        <f>IF($C807=0,0,N(INDEX(lr_m2,$C807)))</f>
        <v>0</v>
      </c>
      <c r="M807" s="43">
        <f>IF(OR($A807="",COUNTIF(se_state,$A807)=0),0,MATCH($A807,se_state,0))</f>
        <v>0</v>
      </c>
      <c r="N807" s="279">
        <f>IF($M807=0,0,INDEX(se_sum,$M807))</f>
        <v>0</v>
      </c>
      <c r="O807" s="278">
        <f>IF('Net Delivery'!$D$19="",$X807,'Net Delivery'!$D$19)</f>
        <v>46478</v>
      </c>
      <c r="P807" s="43">
        <f>IF(AND($O807&gt;=DATE(nr_PlanYear,1,1),$O807&lt;=DATE(nr_PlanYear,12,31)),1,0)</f>
        <v>1</v>
      </c>
      <c r="Q807" s="43">
        <f>YEAR($O807)*12+MONTH($O807)-1</f>
        <v>24327</v>
      </c>
      <c r="R807" s="43">
        <f>DAY(EOMONTH($O807,0))</f>
        <v>30</v>
      </c>
      <c r="S807" s="43">
        <f>EOMONTH($O807,0)-$O807+1</f>
        <v>30</v>
      </c>
      <c r="T807" s="43">
        <f>SUMIFS(ndl_days,rl_key,$B807,ndl_effmonth,DATE(YEAR($O807),MONTH($O807),1),ndl_first,1)</f>
        <v>0</v>
      </c>
      <c r="U807" s="220">
        <f>IF($P807=1,MIN(1,MAX($S807,$T807)/$R807),1)</f>
        <v>1</v>
      </c>
      <c r="V807" s="280" t="str">
        <f>IF(ISBLANK('Net Delivery'!$E$19),$Y807,'Net Delivery'!$E$19)</f>
        <v/>
      </c>
      <c r="W807" s="43">
        <f>IF($B807="",0,COUNTIFS(rl_key,$B807,rl_status,"planned",rl_eff,"&gt;="&amp;DATE(nr_PlanYear,1,1),rl_eff,"&lt;="&amp;DATE(nr_PlanYear,12,31)))</f>
        <v>0</v>
      </c>
      <c r="X807" s="278">
        <f>IF($W807=0,nd_DefaultDate,SUMIFS(rl_eff,rl_key,$B807,rl_firstplanned,1))</f>
        <v>46478</v>
      </c>
      <c r="Y807" s="280" t="str">
        <f>IF($W807=0,"",SUMIFS(rl_reff,rl_key,$B807,rl_firstplanned,1))</f>
        <v/>
      </c>
      <c r="Z807" s="280" t="str">
        <f>IF($W807=0,"",SUMIFS(rl_filed,rl_key,$B807,rl_firstplanned,1))</f>
        <v/>
      </c>
    </row>
    <row r="808" spans="1:31" x14ac:dyDescent="0.3">
      <c r="A808" s="6">
        <f>EDATE($I$807,-12)+1</f>
        <v>45931</v>
      </c>
      <c r="B808" s="6">
        <f>$I$807+1</f>
        <v>46296</v>
      </c>
      <c r="C808" s="6">
        <f>DATE(nr_PlanYear,12,31)+1</f>
        <v>46753</v>
      </c>
      <c r="D808" s="6">
        <f>DATE(nr_PlanYear+1,12,31)+1</f>
        <v>47119</v>
      </c>
      <c r="E808" s="6">
        <f>IF(N($K$807)=0,$F$808-($G$808-$F$808)/($C$808-$B$808)*($B$808-$A$808),$K$807)</f>
        <v>0.91</v>
      </c>
      <c r="F808" s="6">
        <f>$H$807</f>
        <v>0.91</v>
      </c>
      <c r="G808" s="6">
        <f>$J$807</f>
        <v>0.91</v>
      </c>
      <c r="H808" s="6">
        <f>IF(N($L$807)=0,$J$807,$L$807)</f>
        <v>0.91</v>
      </c>
      <c r="I808" s="6">
        <f>($F$808-$E$808)/($B$808-$A$808)</f>
        <v>0</v>
      </c>
      <c r="J808" s="6">
        <f>($G$808-$F$808)/($C$808-$B$808)</f>
        <v>0</v>
      </c>
      <c r="K808" s="6">
        <f>($H$808-$G$808)/($D$808-$C$808)</f>
        <v>0</v>
      </c>
    </row>
    <row r="809" spans="1:31" ht="36" x14ac:dyDescent="0.3">
      <c r="A809" s="58" t="s">
        <v>390</v>
      </c>
      <c r="B809" s="58" t="s">
        <v>449</v>
      </c>
      <c r="C809" s="58" t="s">
        <v>685</v>
      </c>
      <c r="D809" s="58" t="s">
        <v>686</v>
      </c>
      <c r="E809" s="58" t="s">
        <v>687</v>
      </c>
      <c r="F809" s="58" t="s">
        <v>688</v>
      </c>
      <c r="G809" s="58" t="s">
        <v>689</v>
      </c>
      <c r="H809" s="58" t="s">
        <v>452</v>
      </c>
      <c r="I809" s="58" t="s">
        <v>690</v>
      </c>
      <c r="J809" s="58" t="s">
        <v>691</v>
      </c>
      <c r="K809" s="58" t="s">
        <v>692</v>
      </c>
      <c r="L809" s="58" t="s">
        <v>693</v>
      </c>
      <c r="M809" s="58" t="s">
        <v>694</v>
      </c>
      <c r="N809" s="58" t="s">
        <v>695</v>
      </c>
      <c r="O809" s="58" t="s">
        <v>696</v>
      </c>
      <c r="P809" s="58" t="s">
        <v>697</v>
      </c>
      <c r="Q809" s="58" t="s">
        <v>698</v>
      </c>
      <c r="R809" s="58" t="s">
        <v>699</v>
      </c>
      <c r="S809" s="58" t="s">
        <v>700</v>
      </c>
      <c r="T809" s="58" t="s">
        <v>701</v>
      </c>
      <c r="U809" s="58" t="s">
        <v>702</v>
      </c>
    </row>
    <row r="810" spans="1:31" x14ac:dyDescent="0.3">
      <c r="A810" s="187">
        <v>1</v>
      </c>
      <c r="B810" s="242">
        <f>DATE(nr_PlanYear-2,1,1)</f>
        <v>45658</v>
      </c>
      <c r="C810" s="243">
        <f t="shared" ref="C810:C857" si="288">EOMONTH($B810,0)</f>
        <v>45688</v>
      </c>
      <c r="D810" s="120">
        <f t="shared" ref="D810:D857" si="289">$C810-$B810+1</f>
        <v>31</v>
      </c>
      <c r="E810" s="120">
        <f t="shared" ref="E810:E857" si="290">MONTH($B810)</f>
        <v>1</v>
      </c>
      <c r="F810" s="275">
        <f t="shared" ref="F810:F857" si="291">($B810+$C810+1)/2</f>
        <v>45673.5</v>
      </c>
      <c r="G810" s="120">
        <f t="shared" ref="G810:G857" si="292">YEAR($B810)*12+MONTH($B810)-1</f>
        <v>24300</v>
      </c>
      <c r="H810" s="245">
        <f t="shared" ref="H810:H857" si="293">IF(OR(nr_SeasonOn="OFF",$M$807=0,$N$807=0),1,12*INDEX(se_block,$M$807,$E810)/$N$807)</f>
        <v>1</v>
      </c>
      <c r="I810" s="121">
        <f t="shared" ref="I810:I857" si="294">EXP(SUMPRODUCT((ndl_eff&lt;$B810)*(rl_key=$B$807)*ndl_ln))</f>
        <v>1</v>
      </c>
      <c r="J810" s="121">
        <f t="shared" ref="J810:J857" si="295">EXP(SUMPRODUCT((ndl_eff&lt;=$C810)*(rl_key=$B$807)*ndl_ln))</f>
        <v>1</v>
      </c>
      <c r="K810" s="120">
        <f t="shared" ref="K810:K857" si="296">COUNTIFS(rl_key,$B$807,ndl_eff,"&gt;="&amp;$B810,ndl_eff,"&lt;="&amp;$C810)</f>
        <v>0</v>
      </c>
      <c r="L810" s="120">
        <f t="shared" ref="L810:L857" si="297">SUMIFS(ndl_days,rl_key,$B$807,ndl_effmonth,$B810,ndl_first,1)</f>
        <v>0</v>
      </c>
      <c r="M810" s="246">
        <f t="shared" ref="M810:M857" si="298">IF($K810=0,0,MIN(1,$L810/$D810))</f>
        <v>0</v>
      </c>
      <c r="N810" s="121">
        <f t="shared" ref="N810:N857" si="299">IF($K810=0,$J810,(1-$M810)*$I810+$M810*$J810)</f>
        <v>1</v>
      </c>
      <c r="O810" s="246">
        <f t="shared" ref="O810:O857" si="300">IF($F810&lt;$B$808,$E$808+$I$808*($F810-$A$808),IF($F810&lt;$C$808,$F$808+$J$808*($F810-$B$808),$G$808+$K$808*($F810-$C$808)))</f>
        <v>0.91</v>
      </c>
      <c r="P810" s="121">
        <f t="shared" ref="P810:P857" si="301">MIN(1,MAX(0,(nr_MEndPm1-$G810+0.5)/nr_TermMonths))-MIN(1,MAX(0,(nr_MStartPm1-1-$G810+0.5)/nr_TermMonths))</f>
        <v>0</v>
      </c>
      <c r="Q810" s="121">
        <f t="shared" ref="Q810:Q857" si="302">MIN(1,MAX(0,(nr_MEndP-$G810+0.5)/nr_TermMonths))-MIN(1,MAX(0,(nr_MStartP-1-$G810+0.5)/nr_TermMonths))</f>
        <v>0</v>
      </c>
      <c r="R810" s="121">
        <f t="shared" ref="R810:R857" si="303">MIN(1,MAX(0,(nr_MEndP1-$G810+0.5)/nr_TermMonths))-MIN(1,MAX(0,(nr_MStartP1-1-$G810+0.5)/nr_TermMonths))</f>
        <v>0</v>
      </c>
      <c r="AE810" s="160">
        <f t="shared" ref="AE810:AE857" si="304">IF(OR($G810&lt;nr_MStartP,$G810&gt;=nr_MStartP1),IF($F$807=1,$N810*$O810/$G$807,$N810),($W810+$X810*IF(ISNUMBER($F$858),$F$858,0))*IF($F$807=1,($AC810+$AB810*IF(ISNUMBER($H$858),$H$858,$J$807))/$G$807,1))</f>
        <v>0.98913043478260865</v>
      </c>
    </row>
    <row r="811" spans="1:31" x14ac:dyDescent="0.3">
      <c r="A811" s="187">
        <v>2</v>
      </c>
      <c r="B811" s="242">
        <f t="shared" ref="B811:B857" si="305">EDATE($B810,1)</f>
        <v>45689</v>
      </c>
      <c r="C811" s="243">
        <f t="shared" si="288"/>
        <v>45716</v>
      </c>
      <c r="D811" s="120">
        <f t="shared" si="289"/>
        <v>28</v>
      </c>
      <c r="E811" s="120">
        <f t="shared" si="290"/>
        <v>2</v>
      </c>
      <c r="F811" s="275">
        <f t="shared" si="291"/>
        <v>45703</v>
      </c>
      <c r="G811" s="120">
        <f t="shared" si="292"/>
        <v>24301</v>
      </c>
      <c r="H811" s="245">
        <f t="shared" si="293"/>
        <v>1</v>
      </c>
      <c r="I811" s="121">
        <f t="shared" si="294"/>
        <v>1</v>
      </c>
      <c r="J811" s="121">
        <f t="shared" si="295"/>
        <v>1</v>
      </c>
      <c r="K811" s="120">
        <f t="shared" si="296"/>
        <v>0</v>
      </c>
      <c r="L811" s="120">
        <f t="shared" si="297"/>
        <v>0</v>
      </c>
      <c r="M811" s="246">
        <f t="shared" si="298"/>
        <v>0</v>
      </c>
      <c r="N811" s="121">
        <f t="shared" si="299"/>
        <v>1</v>
      </c>
      <c r="O811" s="246">
        <f t="shared" si="300"/>
        <v>0.91</v>
      </c>
      <c r="P811" s="121">
        <f t="shared" si="301"/>
        <v>0</v>
      </c>
      <c r="Q811" s="121">
        <f t="shared" si="302"/>
        <v>0</v>
      </c>
      <c r="R811" s="121">
        <f t="shared" si="303"/>
        <v>0</v>
      </c>
      <c r="AE811" s="160">
        <f t="shared" si="304"/>
        <v>0.98913043478260865</v>
      </c>
    </row>
    <row r="812" spans="1:31" x14ac:dyDescent="0.3">
      <c r="A812" s="187">
        <v>3</v>
      </c>
      <c r="B812" s="242">
        <f t="shared" si="305"/>
        <v>45717</v>
      </c>
      <c r="C812" s="243">
        <f t="shared" si="288"/>
        <v>45747</v>
      </c>
      <c r="D812" s="120">
        <f t="shared" si="289"/>
        <v>31</v>
      </c>
      <c r="E812" s="120">
        <f t="shared" si="290"/>
        <v>3</v>
      </c>
      <c r="F812" s="275">
        <f t="shared" si="291"/>
        <v>45732.5</v>
      </c>
      <c r="G812" s="120">
        <f t="shared" si="292"/>
        <v>24302</v>
      </c>
      <c r="H812" s="245">
        <f t="shared" si="293"/>
        <v>1</v>
      </c>
      <c r="I812" s="121">
        <f t="shared" si="294"/>
        <v>1</v>
      </c>
      <c r="J812" s="121">
        <f t="shared" si="295"/>
        <v>1</v>
      </c>
      <c r="K812" s="120">
        <f t="shared" si="296"/>
        <v>0</v>
      </c>
      <c r="L812" s="120">
        <f t="shared" si="297"/>
        <v>0</v>
      </c>
      <c r="M812" s="246">
        <f t="shared" si="298"/>
        <v>0</v>
      </c>
      <c r="N812" s="121">
        <f t="shared" si="299"/>
        <v>1</v>
      </c>
      <c r="O812" s="246">
        <f t="shared" si="300"/>
        <v>0.91</v>
      </c>
      <c r="P812" s="121">
        <f t="shared" si="301"/>
        <v>0</v>
      </c>
      <c r="Q812" s="121">
        <f t="shared" si="302"/>
        <v>0</v>
      </c>
      <c r="R812" s="121">
        <f t="shared" si="303"/>
        <v>0</v>
      </c>
      <c r="AE812" s="160">
        <f t="shared" si="304"/>
        <v>0.98913043478260865</v>
      </c>
    </row>
    <row r="813" spans="1:31" x14ac:dyDescent="0.3">
      <c r="A813" s="187">
        <v>4</v>
      </c>
      <c r="B813" s="242">
        <f t="shared" si="305"/>
        <v>45748</v>
      </c>
      <c r="C813" s="243">
        <f t="shared" si="288"/>
        <v>45777</v>
      </c>
      <c r="D813" s="120">
        <f t="shared" si="289"/>
        <v>30</v>
      </c>
      <c r="E813" s="120">
        <f t="shared" si="290"/>
        <v>4</v>
      </c>
      <c r="F813" s="275">
        <f t="shared" si="291"/>
        <v>45763</v>
      </c>
      <c r="G813" s="120">
        <f t="shared" si="292"/>
        <v>24303</v>
      </c>
      <c r="H813" s="245">
        <f t="shared" si="293"/>
        <v>1</v>
      </c>
      <c r="I813" s="121">
        <f t="shared" si="294"/>
        <v>1</v>
      </c>
      <c r="J813" s="121">
        <f t="shared" si="295"/>
        <v>1</v>
      </c>
      <c r="K813" s="120">
        <f t="shared" si="296"/>
        <v>0</v>
      </c>
      <c r="L813" s="120">
        <f t="shared" si="297"/>
        <v>0</v>
      </c>
      <c r="M813" s="246">
        <f t="shared" si="298"/>
        <v>0</v>
      </c>
      <c r="N813" s="121">
        <f t="shared" si="299"/>
        <v>1</v>
      </c>
      <c r="O813" s="246">
        <f t="shared" si="300"/>
        <v>0.91</v>
      </c>
      <c r="P813" s="121">
        <f t="shared" si="301"/>
        <v>0</v>
      </c>
      <c r="Q813" s="121">
        <f t="shared" si="302"/>
        <v>0</v>
      </c>
      <c r="R813" s="121">
        <f t="shared" si="303"/>
        <v>0</v>
      </c>
      <c r="AE813" s="160">
        <f t="shared" si="304"/>
        <v>0.98913043478260865</v>
      </c>
    </row>
    <row r="814" spans="1:31" x14ac:dyDescent="0.3">
      <c r="A814" s="187">
        <v>5</v>
      </c>
      <c r="B814" s="242">
        <f t="shared" si="305"/>
        <v>45778</v>
      </c>
      <c r="C814" s="243">
        <f t="shared" si="288"/>
        <v>45808</v>
      </c>
      <c r="D814" s="120">
        <f t="shared" si="289"/>
        <v>31</v>
      </c>
      <c r="E814" s="120">
        <f t="shared" si="290"/>
        <v>5</v>
      </c>
      <c r="F814" s="275">
        <f t="shared" si="291"/>
        <v>45793.5</v>
      </c>
      <c r="G814" s="120">
        <f t="shared" si="292"/>
        <v>24304</v>
      </c>
      <c r="H814" s="245">
        <f t="shared" si="293"/>
        <v>1</v>
      </c>
      <c r="I814" s="121">
        <f t="shared" si="294"/>
        <v>1</v>
      </c>
      <c r="J814" s="121">
        <f t="shared" si="295"/>
        <v>1</v>
      </c>
      <c r="K814" s="120">
        <f t="shared" si="296"/>
        <v>0</v>
      </c>
      <c r="L814" s="120">
        <f t="shared" si="297"/>
        <v>0</v>
      </c>
      <c r="M814" s="246">
        <f t="shared" si="298"/>
        <v>0</v>
      </c>
      <c r="N814" s="121">
        <f t="shared" si="299"/>
        <v>1</v>
      </c>
      <c r="O814" s="246">
        <f t="shared" si="300"/>
        <v>0.91</v>
      </c>
      <c r="P814" s="121">
        <f t="shared" si="301"/>
        <v>0</v>
      </c>
      <c r="Q814" s="121">
        <f t="shared" si="302"/>
        <v>0</v>
      </c>
      <c r="R814" s="121">
        <f t="shared" si="303"/>
        <v>0</v>
      </c>
      <c r="AE814" s="160">
        <f t="shared" si="304"/>
        <v>0.98913043478260865</v>
      </c>
    </row>
    <row r="815" spans="1:31" x14ac:dyDescent="0.3">
      <c r="A815" s="187">
        <v>6</v>
      </c>
      <c r="B815" s="242">
        <f t="shared" si="305"/>
        <v>45809</v>
      </c>
      <c r="C815" s="243">
        <f t="shared" si="288"/>
        <v>45838</v>
      </c>
      <c r="D815" s="120">
        <f t="shared" si="289"/>
        <v>30</v>
      </c>
      <c r="E815" s="120">
        <f t="shared" si="290"/>
        <v>6</v>
      </c>
      <c r="F815" s="275">
        <f t="shared" si="291"/>
        <v>45824</v>
      </c>
      <c r="G815" s="120">
        <f t="shared" si="292"/>
        <v>24305</v>
      </c>
      <c r="H815" s="245">
        <f t="shared" si="293"/>
        <v>1</v>
      </c>
      <c r="I815" s="121">
        <f t="shared" si="294"/>
        <v>1</v>
      </c>
      <c r="J815" s="121">
        <f t="shared" si="295"/>
        <v>1</v>
      </c>
      <c r="K815" s="120">
        <f t="shared" si="296"/>
        <v>0</v>
      </c>
      <c r="L815" s="120">
        <f t="shared" si="297"/>
        <v>0</v>
      </c>
      <c r="M815" s="246">
        <f t="shared" si="298"/>
        <v>0</v>
      </c>
      <c r="N815" s="121">
        <f t="shared" si="299"/>
        <v>1</v>
      </c>
      <c r="O815" s="246">
        <f t="shared" si="300"/>
        <v>0.91</v>
      </c>
      <c r="P815" s="121">
        <f t="shared" si="301"/>
        <v>0</v>
      </c>
      <c r="Q815" s="121">
        <f t="shared" si="302"/>
        <v>0</v>
      </c>
      <c r="R815" s="121">
        <f t="shared" si="303"/>
        <v>0</v>
      </c>
      <c r="AE815" s="160">
        <f t="shared" si="304"/>
        <v>0.98913043478260865</v>
      </c>
    </row>
    <row r="816" spans="1:31" x14ac:dyDescent="0.3">
      <c r="A816" s="187">
        <v>7</v>
      </c>
      <c r="B816" s="242">
        <f t="shared" si="305"/>
        <v>45839</v>
      </c>
      <c r="C816" s="243">
        <f t="shared" si="288"/>
        <v>45869</v>
      </c>
      <c r="D816" s="120">
        <f t="shared" si="289"/>
        <v>31</v>
      </c>
      <c r="E816" s="120">
        <f t="shared" si="290"/>
        <v>7</v>
      </c>
      <c r="F816" s="275">
        <f t="shared" si="291"/>
        <v>45854.5</v>
      </c>
      <c r="G816" s="120">
        <f t="shared" si="292"/>
        <v>24306</v>
      </c>
      <c r="H816" s="245">
        <f t="shared" si="293"/>
        <v>1</v>
      </c>
      <c r="I816" s="121">
        <f t="shared" si="294"/>
        <v>1</v>
      </c>
      <c r="J816" s="121">
        <f t="shared" si="295"/>
        <v>1</v>
      </c>
      <c r="K816" s="120">
        <f t="shared" si="296"/>
        <v>0</v>
      </c>
      <c r="L816" s="120">
        <f t="shared" si="297"/>
        <v>0</v>
      </c>
      <c r="M816" s="246">
        <f t="shared" si="298"/>
        <v>0</v>
      </c>
      <c r="N816" s="121">
        <f t="shared" si="299"/>
        <v>1</v>
      </c>
      <c r="O816" s="246">
        <f t="shared" si="300"/>
        <v>0.91</v>
      </c>
      <c r="P816" s="121">
        <f t="shared" si="301"/>
        <v>8.333333333333337E-2</v>
      </c>
      <c r="Q816" s="121">
        <f t="shared" si="302"/>
        <v>0</v>
      </c>
      <c r="R816" s="121">
        <f t="shared" si="303"/>
        <v>0</v>
      </c>
      <c r="AE816" s="160">
        <f t="shared" si="304"/>
        <v>0.98913043478260865</v>
      </c>
    </row>
    <row r="817" spans="1:31" x14ac:dyDescent="0.3">
      <c r="A817" s="187">
        <v>8</v>
      </c>
      <c r="B817" s="242">
        <f t="shared" si="305"/>
        <v>45870</v>
      </c>
      <c r="C817" s="243">
        <f t="shared" si="288"/>
        <v>45900</v>
      </c>
      <c r="D817" s="120">
        <f t="shared" si="289"/>
        <v>31</v>
      </c>
      <c r="E817" s="120">
        <f t="shared" si="290"/>
        <v>8</v>
      </c>
      <c r="F817" s="275">
        <f t="shared" si="291"/>
        <v>45885.5</v>
      </c>
      <c r="G817" s="120">
        <f t="shared" si="292"/>
        <v>24307</v>
      </c>
      <c r="H817" s="245">
        <f t="shared" si="293"/>
        <v>1</v>
      </c>
      <c r="I817" s="121">
        <f t="shared" si="294"/>
        <v>1</v>
      </c>
      <c r="J817" s="121">
        <f t="shared" si="295"/>
        <v>1</v>
      </c>
      <c r="K817" s="120">
        <f t="shared" si="296"/>
        <v>0</v>
      </c>
      <c r="L817" s="120">
        <f t="shared" si="297"/>
        <v>0</v>
      </c>
      <c r="M817" s="246">
        <f t="shared" si="298"/>
        <v>0</v>
      </c>
      <c r="N817" s="121">
        <f t="shared" si="299"/>
        <v>1</v>
      </c>
      <c r="O817" s="246">
        <f t="shared" si="300"/>
        <v>0.91</v>
      </c>
      <c r="P817" s="121">
        <f t="shared" si="301"/>
        <v>0.25</v>
      </c>
      <c r="Q817" s="121">
        <f t="shared" si="302"/>
        <v>0</v>
      </c>
      <c r="R817" s="121">
        <f t="shared" si="303"/>
        <v>0</v>
      </c>
      <c r="AE817" s="160">
        <f t="shared" si="304"/>
        <v>0.98913043478260865</v>
      </c>
    </row>
    <row r="818" spans="1:31" x14ac:dyDescent="0.3">
      <c r="A818" s="187">
        <v>9</v>
      </c>
      <c r="B818" s="242">
        <f t="shared" si="305"/>
        <v>45901</v>
      </c>
      <c r="C818" s="243">
        <f t="shared" si="288"/>
        <v>45930</v>
      </c>
      <c r="D818" s="120">
        <f t="shared" si="289"/>
        <v>30</v>
      </c>
      <c r="E818" s="120">
        <f t="shared" si="290"/>
        <v>9</v>
      </c>
      <c r="F818" s="275">
        <f t="shared" si="291"/>
        <v>45916</v>
      </c>
      <c r="G818" s="120">
        <f t="shared" si="292"/>
        <v>24308</v>
      </c>
      <c r="H818" s="245">
        <f t="shared" si="293"/>
        <v>1</v>
      </c>
      <c r="I818" s="121">
        <f t="shared" si="294"/>
        <v>1</v>
      </c>
      <c r="J818" s="121">
        <f t="shared" si="295"/>
        <v>1</v>
      </c>
      <c r="K818" s="120">
        <f t="shared" si="296"/>
        <v>0</v>
      </c>
      <c r="L818" s="120">
        <f t="shared" si="297"/>
        <v>0</v>
      </c>
      <c r="M818" s="246">
        <f t="shared" si="298"/>
        <v>0</v>
      </c>
      <c r="N818" s="121">
        <f t="shared" si="299"/>
        <v>1</v>
      </c>
      <c r="O818" s="246">
        <f t="shared" si="300"/>
        <v>0.91</v>
      </c>
      <c r="P818" s="121">
        <f t="shared" si="301"/>
        <v>0.41666666666666663</v>
      </c>
      <c r="Q818" s="121">
        <f t="shared" si="302"/>
        <v>0</v>
      </c>
      <c r="R818" s="121">
        <f t="shared" si="303"/>
        <v>0</v>
      </c>
      <c r="AE818" s="160">
        <f t="shared" si="304"/>
        <v>0.98913043478260865</v>
      </c>
    </row>
    <row r="819" spans="1:31" x14ac:dyDescent="0.3">
      <c r="A819" s="187">
        <v>10</v>
      </c>
      <c r="B819" s="242">
        <f t="shared" si="305"/>
        <v>45931</v>
      </c>
      <c r="C819" s="243">
        <f t="shared" si="288"/>
        <v>45961</v>
      </c>
      <c r="D819" s="120">
        <f t="shared" si="289"/>
        <v>31</v>
      </c>
      <c r="E819" s="120">
        <f t="shared" si="290"/>
        <v>10</v>
      </c>
      <c r="F819" s="275">
        <f t="shared" si="291"/>
        <v>45946.5</v>
      </c>
      <c r="G819" s="120">
        <f t="shared" si="292"/>
        <v>24309</v>
      </c>
      <c r="H819" s="245">
        <f t="shared" si="293"/>
        <v>1</v>
      </c>
      <c r="I819" s="121">
        <f t="shared" si="294"/>
        <v>1</v>
      </c>
      <c r="J819" s="121">
        <f t="shared" si="295"/>
        <v>1</v>
      </c>
      <c r="K819" s="120">
        <f t="shared" si="296"/>
        <v>0</v>
      </c>
      <c r="L819" s="120">
        <f t="shared" si="297"/>
        <v>0</v>
      </c>
      <c r="M819" s="246">
        <f t="shared" si="298"/>
        <v>0</v>
      </c>
      <c r="N819" s="121">
        <f t="shared" si="299"/>
        <v>1</v>
      </c>
      <c r="O819" s="246">
        <f t="shared" si="300"/>
        <v>0.91</v>
      </c>
      <c r="P819" s="121">
        <f t="shared" si="301"/>
        <v>0.58333333333333326</v>
      </c>
      <c r="Q819" s="121">
        <f t="shared" si="302"/>
        <v>0</v>
      </c>
      <c r="R819" s="121">
        <f t="shared" si="303"/>
        <v>0</v>
      </c>
      <c r="AE819" s="160">
        <f t="shared" si="304"/>
        <v>0.98913043478260865</v>
      </c>
    </row>
    <row r="820" spans="1:31" x14ac:dyDescent="0.3">
      <c r="A820" s="187">
        <v>11</v>
      </c>
      <c r="B820" s="242">
        <f t="shared" si="305"/>
        <v>45962</v>
      </c>
      <c r="C820" s="243">
        <f t="shared" si="288"/>
        <v>45991</v>
      </c>
      <c r="D820" s="120">
        <f t="shared" si="289"/>
        <v>30</v>
      </c>
      <c r="E820" s="120">
        <f t="shared" si="290"/>
        <v>11</v>
      </c>
      <c r="F820" s="275">
        <f t="shared" si="291"/>
        <v>45977</v>
      </c>
      <c r="G820" s="120">
        <f t="shared" si="292"/>
        <v>24310</v>
      </c>
      <c r="H820" s="245">
        <f t="shared" si="293"/>
        <v>1</v>
      </c>
      <c r="I820" s="121">
        <f t="shared" si="294"/>
        <v>1</v>
      </c>
      <c r="J820" s="121">
        <f t="shared" si="295"/>
        <v>1</v>
      </c>
      <c r="K820" s="120">
        <f t="shared" si="296"/>
        <v>0</v>
      </c>
      <c r="L820" s="120">
        <f t="shared" si="297"/>
        <v>0</v>
      </c>
      <c r="M820" s="246">
        <f t="shared" si="298"/>
        <v>0</v>
      </c>
      <c r="N820" s="121">
        <f t="shared" si="299"/>
        <v>1</v>
      </c>
      <c r="O820" s="246">
        <f t="shared" si="300"/>
        <v>0.91</v>
      </c>
      <c r="P820" s="121">
        <f t="shared" si="301"/>
        <v>0.75</v>
      </c>
      <c r="Q820" s="121">
        <f t="shared" si="302"/>
        <v>0</v>
      </c>
      <c r="R820" s="121">
        <f t="shared" si="303"/>
        <v>0</v>
      </c>
      <c r="AE820" s="160">
        <f t="shared" si="304"/>
        <v>0.98913043478260865</v>
      </c>
    </row>
    <row r="821" spans="1:31" x14ac:dyDescent="0.3">
      <c r="A821" s="187">
        <v>12</v>
      </c>
      <c r="B821" s="242">
        <f t="shared" si="305"/>
        <v>45992</v>
      </c>
      <c r="C821" s="243">
        <f t="shared" si="288"/>
        <v>46022</v>
      </c>
      <c r="D821" s="120">
        <f t="shared" si="289"/>
        <v>31</v>
      </c>
      <c r="E821" s="120">
        <f t="shared" si="290"/>
        <v>12</v>
      </c>
      <c r="F821" s="275">
        <f t="shared" si="291"/>
        <v>46007.5</v>
      </c>
      <c r="G821" s="120">
        <f t="shared" si="292"/>
        <v>24311</v>
      </c>
      <c r="H821" s="245">
        <f t="shared" si="293"/>
        <v>1</v>
      </c>
      <c r="I821" s="121">
        <f t="shared" si="294"/>
        <v>1</v>
      </c>
      <c r="J821" s="121">
        <f t="shared" si="295"/>
        <v>1</v>
      </c>
      <c r="K821" s="120">
        <f t="shared" si="296"/>
        <v>0</v>
      </c>
      <c r="L821" s="120">
        <f t="shared" si="297"/>
        <v>0</v>
      </c>
      <c r="M821" s="246">
        <f t="shared" si="298"/>
        <v>0</v>
      </c>
      <c r="N821" s="121">
        <f t="shared" si="299"/>
        <v>1</v>
      </c>
      <c r="O821" s="246">
        <f t="shared" si="300"/>
        <v>0.91</v>
      </c>
      <c r="P821" s="121">
        <f t="shared" si="301"/>
        <v>0.91666666666666663</v>
      </c>
      <c r="Q821" s="121">
        <f t="shared" si="302"/>
        <v>0</v>
      </c>
      <c r="R821" s="121">
        <f t="shared" si="303"/>
        <v>0</v>
      </c>
      <c r="AE821" s="160">
        <f t="shared" si="304"/>
        <v>0.98913043478260865</v>
      </c>
    </row>
    <row r="822" spans="1:31" x14ac:dyDescent="0.3">
      <c r="A822" s="187">
        <v>13</v>
      </c>
      <c r="B822" s="242">
        <f t="shared" si="305"/>
        <v>46023</v>
      </c>
      <c r="C822" s="243">
        <f t="shared" si="288"/>
        <v>46053</v>
      </c>
      <c r="D822" s="120">
        <f t="shared" si="289"/>
        <v>31</v>
      </c>
      <c r="E822" s="120">
        <f t="shared" si="290"/>
        <v>1</v>
      </c>
      <c r="F822" s="275">
        <f t="shared" si="291"/>
        <v>46038.5</v>
      </c>
      <c r="G822" s="120">
        <f t="shared" si="292"/>
        <v>24312</v>
      </c>
      <c r="H822" s="245">
        <f t="shared" si="293"/>
        <v>1</v>
      </c>
      <c r="I822" s="121">
        <f t="shared" si="294"/>
        <v>1</v>
      </c>
      <c r="J822" s="121">
        <f t="shared" si="295"/>
        <v>1</v>
      </c>
      <c r="K822" s="120">
        <f t="shared" si="296"/>
        <v>0</v>
      </c>
      <c r="L822" s="120">
        <f t="shared" si="297"/>
        <v>0</v>
      </c>
      <c r="M822" s="246">
        <f t="shared" si="298"/>
        <v>0</v>
      </c>
      <c r="N822" s="121">
        <f t="shared" si="299"/>
        <v>1</v>
      </c>
      <c r="O822" s="246">
        <f t="shared" si="300"/>
        <v>0.91</v>
      </c>
      <c r="P822" s="121">
        <f t="shared" si="301"/>
        <v>1</v>
      </c>
      <c r="Q822" s="121">
        <f t="shared" si="302"/>
        <v>0</v>
      </c>
      <c r="R822" s="121">
        <f t="shared" si="303"/>
        <v>0</v>
      </c>
      <c r="AE822" s="160">
        <f t="shared" si="304"/>
        <v>0.98913043478260865</v>
      </c>
    </row>
    <row r="823" spans="1:31" x14ac:dyDescent="0.3">
      <c r="A823" s="187">
        <v>14</v>
      </c>
      <c r="B823" s="242">
        <f t="shared" si="305"/>
        <v>46054</v>
      </c>
      <c r="C823" s="243">
        <f t="shared" si="288"/>
        <v>46081</v>
      </c>
      <c r="D823" s="120">
        <f t="shared" si="289"/>
        <v>28</v>
      </c>
      <c r="E823" s="120">
        <f t="shared" si="290"/>
        <v>2</v>
      </c>
      <c r="F823" s="275">
        <f t="shared" si="291"/>
        <v>46068</v>
      </c>
      <c r="G823" s="120">
        <f t="shared" si="292"/>
        <v>24313</v>
      </c>
      <c r="H823" s="245">
        <f t="shared" si="293"/>
        <v>1</v>
      </c>
      <c r="I823" s="121">
        <f t="shared" si="294"/>
        <v>1</v>
      </c>
      <c r="J823" s="121">
        <f t="shared" si="295"/>
        <v>1</v>
      </c>
      <c r="K823" s="120">
        <f t="shared" si="296"/>
        <v>0</v>
      </c>
      <c r="L823" s="120">
        <f t="shared" si="297"/>
        <v>0</v>
      </c>
      <c r="M823" s="246">
        <f t="shared" si="298"/>
        <v>0</v>
      </c>
      <c r="N823" s="121">
        <f t="shared" si="299"/>
        <v>1</v>
      </c>
      <c r="O823" s="246">
        <f t="shared" si="300"/>
        <v>0.91</v>
      </c>
      <c r="P823" s="121">
        <f t="shared" si="301"/>
        <v>1</v>
      </c>
      <c r="Q823" s="121">
        <f t="shared" si="302"/>
        <v>0</v>
      </c>
      <c r="R823" s="121">
        <f t="shared" si="303"/>
        <v>0</v>
      </c>
      <c r="AE823" s="160">
        <f t="shared" si="304"/>
        <v>0.98913043478260865</v>
      </c>
    </row>
    <row r="824" spans="1:31" x14ac:dyDescent="0.3">
      <c r="A824" s="187">
        <v>15</v>
      </c>
      <c r="B824" s="242">
        <f t="shared" si="305"/>
        <v>46082</v>
      </c>
      <c r="C824" s="243">
        <f t="shared" si="288"/>
        <v>46112</v>
      </c>
      <c r="D824" s="120">
        <f t="shared" si="289"/>
        <v>31</v>
      </c>
      <c r="E824" s="120">
        <f t="shared" si="290"/>
        <v>3</v>
      </c>
      <c r="F824" s="275">
        <f t="shared" si="291"/>
        <v>46097.5</v>
      </c>
      <c r="G824" s="120">
        <f t="shared" si="292"/>
        <v>24314</v>
      </c>
      <c r="H824" s="245">
        <f t="shared" si="293"/>
        <v>1</v>
      </c>
      <c r="I824" s="121">
        <f t="shared" si="294"/>
        <v>1</v>
      </c>
      <c r="J824" s="121">
        <f t="shared" si="295"/>
        <v>1</v>
      </c>
      <c r="K824" s="120">
        <f t="shared" si="296"/>
        <v>0</v>
      </c>
      <c r="L824" s="120">
        <f t="shared" si="297"/>
        <v>0</v>
      </c>
      <c r="M824" s="246">
        <f t="shared" si="298"/>
        <v>0</v>
      </c>
      <c r="N824" s="121">
        <f t="shared" si="299"/>
        <v>1</v>
      </c>
      <c r="O824" s="246">
        <f t="shared" si="300"/>
        <v>0.91</v>
      </c>
      <c r="P824" s="121">
        <f t="shared" si="301"/>
        <v>1</v>
      </c>
      <c r="Q824" s="121">
        <f t="shared" si="302"/>
        <v>0</v>
      </c>
      <c r="R824" s="121">
        <f t="shared" si="303"/>
        <v>0</v>
      </c>
      <c r="AE824" s="160">
        <f t="shared" si="304"/>
        <v>0.98913043478260865</v>
      </c>
    </row>
    <row r="825" spans="1:31" x14ac:dyDescent="0.3">
      <c r="A825" s="187">
        <v>16</v>
      </c>
      <c r="B825" s="242">
        <f t="shared" si="305"/>
        <v>46113</v>
      </c>
      <c r="C825" s="243">
        <f t="shared" si="288"/>
        <v>46142</v>
      </c>
      <c r="D825" s="120">
        <f t="shared" si="289"/>
        <v>30</v>
      </c>
      <c r="E825" s="120">
        <f t="shared" si="290"/>
        <v>4</v>
      </c>
      <c r="F825" s="275">
        <f t="shared" si="291"/>
        <v>46128</v>
      </c>
      <c r="G825" s="120">
        <f t="shared" si="292"/>
        <v>24315</v>
      </c>
      <c r="H825" s="245">
        <f t="shared" si="293"/>
        <v>1</v>
      </c>
      <c r="I825" s="121">
        <f t="shared" si="294"/>
        <v>1</v>
      </c>
      <c r="J825" s="121">
        <f t="shared" si="295"/>
        <v>1</v>
      </c>
      <c r="K825" s="120">
        <f t="shared" si="296"/>
        <v>0</v>
      </c>
      <c r="L825" s="120">
        <f t="shared" si="297"/>
        <v>0</v>
      </c>
      <c r="M825" s="246">
        <f t="shared" si="298"/>
        <v>0</v>
      </c>
      <c r="N825" s="121">
        <f t="shared" si="299"/>
        <v>1</v>
      </c>
      <c r="O825" s="246">
        <f t="shared" si="300"/>
        <v>0.91</v>
      </c>
      <c r="P825" s="121">
        <f t="shared" si="301"/>
        <v>1</v>
      </c>
      <c r="Q825" s="121">
        <f t="shared" si="302"/>
        <v>0</v>
      </c>
      <c r="R825" s="121">
        <f t="shared" si="303"/>
        <v>0</v>
      </c>
      <c r="AE825" s="160">
        <f t="shared" si="304"/>
        <v>0.98913043478260865</v>
      </c>
    </row>
    <row r="826" spans="1:31" x14ac:dyDescent="0.3">
      <c r="A826" s="187">
        <v>17</v>
      </c>
      <c r="B826" s="242">
        <f t="shared" si="305"/>
        <v>46143</v>
      </c>
      <c r="C826" s="243">
        <f t="shared" si="288"/>
        <v>46173</v>
      </c>
      <c r="D826" s="120">
        <f t="shared" si="289"/>
        <v>31</v>
      </c>
      <c r="E826" s="120">
        <f t="shared" si="290"/>
        <v>5</v>
      </c>
      <c r="F826" s="275">
        <f t="shared" si="291"/>
        <v>46158.5</v>
      </c>
      <c r="G826" s="120">
        <f t="shared" si="292"/>
        <v>24316</v>
      </c>
      <c r="H826" s="245">
        <f t="shared" si="293"/>
        <v>1</v>
      </c>
      <c r="I826" s="121">
        <f t="shared" si="294"/>
        <v>1</v>
      </c>
      <c r="J826" s="121">
        <f t="shared" si="295"/>
        <v>1.04</v>
      </c>
      <c r="K826" s="120">
        <f t="shared" si="296"/>
        <v>1</v>
      </c>
      <c r="L826" s="120">
        <f t="shared" si="297"/>
        <v>31</v>
      </c>
      <c r="M826" s="246">
        <f t="shared" si="298"/>
        <v>1</v>
      </c>
      <c r="N826" s="121">
        <f t="shared" si="299"/>
        <v>1.04</v>
      </c>
      <c r="O826" s="246">
        <f t="shared" si="300"/>
        <v>0.91</v>
      </c>
      <c r="P826" s="121">
        <f t="shared" si="301"/>
        <v>1</v>
      </c>
      <c r="Q826" s="121">
        <f t="shared" si="302"/>
        <v>0</v>
      </c>
      <c r="R826" s="121">
        <f t="shared" si="303"/>
        <v>0</v>
      </c>
      <c r="AE826" s="160">
        <f t="shared" si="304"/>
        <v>1.028695652173913</v>
      </c>
    </row>
    <row r="827" spans="1:31" x14ac:dyDescent="0.3">
      <c r="A827" s="187">
        <v>18</v>
      </c>
      <c r="B827" s="242">
        <f t="shared" si="305"/>
        <v>46174</v>
      </c>
      <c r="C827" s="243">
        <f t="shared" si="288"/>
        <v>46203</v>
      </c>
      <c r="D827" s="120">
        <f t="shared" si="289"/>
        <v>30</v>
      </c>
      <c r="E827" s="120">
        <f t="shared" si="290"/>
        <v>6</v>
      </c>
      <c r="F827" s="275">
        <f t="shared" si="291"/>
        <v>46189</v>
      </c>
      <c r="G827" s="120">
        <f t="shared" si="292"/>
        <v>24317</v>
      </c>
      <c r="H827" s="245">
        <f t="shared" si="293"/>
        <v>1</v>
      </c>
      <c r="I827" s="121">
        <f t="shared" si="294"/>
        <v>1.04</v>
      </c>
      <c r="J827" s="121">
        <f t="shared" si="295"/>
        <v>1.04</v>
      </c>
      <c r="K827" s="120">
        <f t="shared" si="296"/>
        <v>0</v>
      </c>
      <c r="L827" s="120">
        <f t="shared" si="297"/>
        <v>0</v>
      </c>
      <c r="M827" s="246">
        <f t="shared" si="298"/>
        <v>0</v>
      </c>
      <c r="N827" s="121">
        <f t="shared" si="299"/>
        <v>1.04</v>
      </c>
      <c r="O827" s="246">
        <f t="shared" si="300"/>
        <v>0.91</v>
      </c>
      <c r="P827" s="121">
        <f t="shared" si="301"/>
        <v>1</v>
      </c>
      <c r="Q827" s="121">
        <f t="shared" si="302"/>
        <v>0</v>
      </c>
      <c r="R827" s="121">
        <f t="shared" si="303"/>
        <v>0</v>
      </c>
      <c r="AE827" s="160">
        <f t="shared" si="304"/>
        <v>1.028695652173913</v>
      </c>
    </row>
    <row r="828" spans="1:31" x14ac:dyDescent="0.3">
      <c r="A828" s="187">
        <v>19</v>
      </c>
      <c r="B828" s="242">
        <f t="shared" si="305"/>
        <v>46204</v>
      </c>
      <c r="C828" s="243">
        <f t="shared" si="288"/>
        <v>46234</v>
      </c>
      <c r="D828" s="120">
        <f t="shared" si="289"/>
        <v>31</v>
      </c>
      <c r="E828" s="120">
        <f t="shared" si="290"/>
        <v>7</v>
      </c>
      <c r="F828" s="275">
        <f t="shared" si="291"/>
        <v>46219.5</v>
      </c>
      <c r="G828" s="120">
        <f t="shared" si="292"/>
        <v>24318</v>
      </c>
      <c r="H828" s="245">
        <f t="shared" si="293"/>
        <v>1</v>
      </c>
      <c r="I828" s="121">
        <f t="shared" si="294"/>
        <v>1.04</v>
      </c>
      <c r="J828" s="121">
        <f t="shared" si="295"/>
        <v>1.04</v>
      </c>
      <c r="K828" s="120">
        <f t="shared" si="296"/>
        <v>0</v>
      </c>
      <c r="L828" s="120">
        <f t="shared" si="297"/>
        <v>0</v>
      </c>
      <c r="M828" s="246">
        <f t="shared" si="298"/>
        <v>0</v>
      </c>
      <c r="N828" s="121">
        <f t="shared" si="299"/>
        <v>1.04</v>
      </c>
      <c r="O828" s="246">
        <f t="shared" si="300"/>
        <v>0.91</v>
      </c>
      <c r="P828" s="121">
        <f t="shared" si="301"/>
        <v>0.91666666666666663</v>
      </c>
      <c r="Q828" s="121">
        <f t="shared" si="302"/>
        <v>8.333333333333337E-2</v>
      </c>
      <c r="R828" s="121">
        <f t="shared" si="303"/>
        <v>0</v>
      </c>
      <c r="AE828" s="160">
        <f t="shared" si="304"/>
        <v>1.028695652173913</v>
      </c>
    </row>
    <row r="829" spans="1:31" x14ac:dyDescent="0.3">
      <c r="A829" s="187">
        <v>20</v>
      </c>
      <c r="B829" s="242">
        <f t="shared" si="305"/>
        <v>46235</v>
      </c>
      <c r="C829" s="243">
        <f t="shared" si="288"/>
        <v>46265</v>
      </c>
      <c r="D829" s="120">
        <f t="shared" si="289"/>
        <v>31</v>
      </c>
      <c r="E829" s="120">
        <f t="shared" si="290"/>
        <v>8</v>
      </c>
      <c r="F829" s="275">
        <f t="shared" si="291"/>
        <v>46250.5</v>
      </c>
      <c r="G829" s="120">
        <f t="shared" si="292"/>
        <v>24319</v>
      </c>
      <c r="H829" s="245">
        <f t="shared" si="293"/>
        <v>1</v>
      </c>
      <c r="I829" s="121">
        <f t="shared" si="294"/>
        <v>1.04</v>
      </c>
      <c r="J829" s="121">
        <f t="shared" si="295"/>
        <v>1.04</v>
      </c>
      <c r="K829" s="120">
        <f t="shared" si="296"/>
        <v>0</v>
      </c>
      <c r="L829" s="120">
        <f t="shared" si="297"/>
        <v>0</v>
      </c>
      <c r="M829" s="246">
        <f t="shared" si="298"/>
        <v>0</v>
      </c>
      <c r="N829" s="121">
        <f t="shared" si="299"/>
        <v>1.04</v>
      </c>
      <c r="O829" s="246">
        <f t="shared" si="300"/>
        <v>0.91</v>
      </c>
      <c r="P829" s="121">
        <f t="shared" si="301"/>
        <v>0.75</v>
      </c>
      <c r="Q829" s="121">
        <f t="shared" si="302"/>
        <v>0.25</v>
      </c>
      <c r="R829" s="121">
        <f t="shared" si="303"/>
        <v>0</v>
      </c>
      <c r="AE829" s="160">
        <f t="shared" si="304"/>
        <v>1.028695652173913</v>
      </c>
    </row>
    <row r="830" spans="1:31" x14ac:dyDescent="0.3">
      <c r="A830" s="187">
        <v>21</v>
      </c>
      <c r="B830" s="242">
        <f t="shared" si="305"/>
        <v>46266</v>
      </c>
      <c r="C830" s="243">
        <f t="shared" si="288"/>
        <v>46295</v>
      </c>
      <c r="D830" s="120">
        <f t="shared" si="289"/>
        <v>30</v>
      </c>
      <c r="E830" s="120">
        <f t="shared" si="290"/>
        <v>9</v>
      </c>
      <c r="F830" s="275">
        <f t="shared" si="291"/>
        <v>46281</v>
      </c>
      <c r="G830" s="120">
        <f t="shared" si="292"/>
        <v>24320</v>
      </c>
      <c r="H830" s="245">
        <f t="shared" si="293"/>
        <v>1</v>
      </c>
      <c r="I830" s="121">
        <f t="shared" si="294"/>
        <v>1.04</v>
      </c>
      <c r="J830" s="121">
        <f t="shared" si="295"/>
        <v>1.04</v>
      </c>
      <c r="K830" s="120">
        <f t="shared" si="296"/>
        <v>0</v>
      </c>
      <c r="L830" s="120">
        <f t="shared" si="297"/>
        <v>0</v>
      </c>
      <c r="M830" s="246">
        <f t="shared" si="298"/>
        <v>0</v>
      </c>
      <c r="N830" s="121">
        <f t="shared" si="299"/>
        <v>1.04</v>
      </c>
      <c r="O830" s="246">
        <f t="shared" si="300"/>
        <v>0.91</v>
      </c>
      <c r="P830" s="121">
        <f t="shared" si="301"/>
        <v>0.58333333333333337</v>
      </c>
      <c r="Q830" s="121">
        <f t="shared" si="302"/>
        <v>0.41666666666666663</v>
      </c>
      <c r="R830" s="121">
        <f t="shared" si="303"/>
        <v>0</v>
      </c>
      <c r="AE830" s="160">
        <f t="shared" si="304"/>
        <v>1.028695652173913</v>
      </c>
    </row>
    <row r="831" spans="1:31" x14ac:dyDescent="0.3">
      <c r="A831" s="187">
        <v>22</v>
      </c>
      <c r="B831" s="242">
        <f t="shared" si="305"/>
        <v>46296</v>
      </c>
      <c r="C831" s="243">
        <f t="shared" si="288"/>
        <v>46326</v>
      </c>
      <c r="D831" s="120">
        <f t="shared" si="289"/>
        <v>31</v>
      </c>
      <c r="E831" s="120">
        <f t="shared" si="290"/>
        <v>10</v>
      </c>
      <c r="F831" s="275">
        <f t="shared" si="291"/>
        <v>46311.5</v>
      </c>
      <c r="G831" s="120">
        <f t="shared" si="292"/>
        <v>24321</v>
      </c>
      <c r="H831" s="245">
        <f t="shared" si="293"/>
        <v>1</v>
      </c>
      <c r="I831" s="121">
        <f t="shared" si="294"/>
        <v>1.04</v>
      </c>
      <c r="J831" s="121">
        <f t="shared" si="295"/>
        <v>1.04</v>
      </c>
      <c r="K831" s="120">
        <f t="shared" si="296"/>
        <v>0</v>
      </c>
      <c r="L831" s="120">
        <f t="shared" si="297"/>
        <v>0</v>
      </c>
      <c r="M831" s="246">
        <f t="shared" si="298"/>
        <v>0</v>
      </c>
      <c r="N831" s="121">
        <f t="shared" si="299"/>
        <v>1.04</v>
      </c>
      <c r="O831" s="246">
        <f t="shared" si="300"/>
        <v>0.91</v>
      </c>
      <c r="P831" s="121">
        <f t="shared" si="301"/>
        <v>0.41666666666666669</v>
      </c>
      <c r="Q831" s="121">
        <f t="shared" si="302"/>
        <v>0.58333333333333326</v>
      </c>
      <c r="R831" s="121">
        <f t="shared" si="303"/>
        <v>0</v>
      </c>
      <c r="AE831" s="160">
        <f t="shared" si="304"/>
        <v>1.028695652173913</v>
      </c>
    </row>
    <row r="832" spans="1:31" x14ac:dyDescent="0.3">
      <c r="A832" s="187">
        <v>23</v>
      </c>
      <c r="B832" s="242">
        <f t="shared" si="305"/>
        <v>46327</v>
      </c>
      <c r="C832" s="243">
        <f t="shared" si="288"/>
        <v>46356</v>
      </c>
      <c r="D832" s="120">
        <f t="shared" si="289"/>
        <v>30</v>
      </c>
      <c r="E832" s="120">
        <f t="shared" si="290"/>
        <v>11</v>
      </c>
      <c r="F832" s="275">
        <f t="shared" si="291"/>
        <v>46342</v>
      </c>
      <c r="G832" s="120">
        <f t="shared" si="292"/>
        <v>24322</v>
      </c>
      <c r="H832" s="245">
        <f t="shared" si="293"/>
        <v>1</v>
      </c>
      <c r="I832" s="121">
        <f t="shared" si="294"/>
        <v>1.04</v>
      </c>
      <c r="J832" s="121">
        <f t="shared" si="295"/>
        <v>1.04</v>
      </c>
      <c r="K832" s="120">
        <f t="shared" si="296"/>
        <v>0</v>
      </c>
      <c r="L832" s="120">
        <f t="shared" si="297"/>
        <v>0</v>
      </c>
      <c r="M832" s="246">
        <f t="shared" si="298"/>
        <v>0</v>
      </c>
      <c r="N832" s="121">
        <f t="shared" si="299"/>
        <v>1.04</v>
      </c>
      <c r="O832" s="246">
        <f t="shared" si="300"/>
        <v>0.91</v>
      </c>
      <c r="P832" s="121">
        <f t="shared" si="301"/>
        <v>0.25</v>
      </c>
      <c r="Q832" s="121">
        <f t="shared" si="302"/>
        <v>0.75</v>
      </c>
      <c r="R832" s="121">
        <f t="shared" si="303"/>
        <v>0</v>
      </c>
      <c r="AE832" s="160">
        <f t="shared" si="304"/>
        <v>1.028695652173913</v>
      </c>
    </row>
    <row r="833" spans="1:35" x14ac:dyDescent="0.3">
      <c r="A833" s="187">
        <v>24</v>
      </c>
      <c r="B833" s="242">
        <f t="shared" si="305"/>
        <v>46357</v>
      </c>
      <c r="C833" s="243">
        <f t="shared" si="288"/>
        <v>46387</v>
      </c>
      <c r="D833" s="120">
        <f t="shared" si="289"/>
        <v>31</v>
      </c>
      <c r="E833" s="120">
        <f t="shared" si="290"/>
        <v>12</v>
      </c>
      <c r="F833" s="275">
        <f t="shared" si="291"/>
        <v>46372.5</v>
      </c>
      <c r="G833" s="120">
        <f t="shared" si="292"/>
        <v>24323</v>
      </c>
      <c r="H833" s="245">
        <f t="shared" si="293"/>
        <v>1</v>
      </c>
      <c r="I833" s="121">
        <f t="shared" si="294"/>
        <v>1.04</v>
      </c>
      <c r="J833" s="121">
        <f t="shared" si="295"/>
        <v>1.04</v>
      </c>
      <c r="K833" s="120">
        <f t="shared" si="296"/>
        <v>0</v>
      </c>
      <c r="L833" s="120">
        <f t="shared" si="297"/>
        <v>0</v>
      </c>
      <c r="M833" s="246">
        <f t="shared" si="298"/>
        <v>0</v>
      </c>
      <c r="N833" s="121">
        <f t="shared" si="299"/>
        <v>1.04</v>
      </c>
      <c r="O833" s="246">
        <f t="shared" si="300"/>
        <v>0.91</v>
      </c>
      <c r="P833" s="121">
        <f t="shared" si="301"/>
        <v>8.3333333333333329E-2</v>
      </c>
      <c r="Q833" s="121">
        <f t="shared" si="302"/>
        <v>0.91666666666666663</v>
      </c>
      <c r="R833" s="121">
        <f t="shared" si="303"/>
        <v>0</v>
      </c>
      <c r="AE833" s="160">
        <f t="shared" si="304"/>
        <v>1.028695652173913</v>
      </c>
    </row>
    <row r="834" spans="1:35" x14ac:dyDescent="0.3">
      <c r="A834" s="187">
        <v>25</v>
      </c>
      <c r="B834" s="242">
        <f t="shared" si="305"/>
        <v>46388</v>
      </c>
      <c r="C834" s="243">
        <f t="shared" si="288"/>
        <v>46418</v>
      </c>
      <c r="D834" s="120">
        <f t="shared" si="289"/>
        <v>31</v>
      </c>
      <c r="E834" s="120">
        <f t="shared" si="290"/>
        <v>1</v>
      </c>
      <c r="F834" s="275">
        <f t="shared" si="291"/>
        <v>46403.5</v>
      </c>
      <c r="G834" s="120">
        <f t="shared" si="292"/>
        <v>24324</v>
      </c>
      <c r="H834" s="245">
        <f t="shared" si="293"/>
        <v>1</v>
      </c>
      <c r="I834" s="121">
        <f t="shared" si="294"/>
        <v>1.04</v>
      </c>
      <c r="J834" s="121">
        <f t="shared" si="295"/>
        <v>1.04</v>
      </c>
      <c r="K834" s="120">
        <f t="shared" si="296"/>
        <v>0</v>
      </c>
      <c r="L834" s="120">
        <f t="shared" si="297"/>
        <v>0</v>
      </c>
      <c r="M834" s="246">
        <f t="shared" si="298"/>
        <v>0</v>
      </c>
      <c r="N834" s="121">
        <f t="shared" si="299"/>
        <v>1.04</v>
      </c>
      <c r="O834" s="246">
        <f t="shared" si="300"/>
        <v>0.91</v>
      </c>
      <c r="P834" s="121">
        <f t="shared" si="301"/>
        <v>0</v>
      </c>
      <c r="Q834" s="121">
        <f t="shared" si="302"/>
        <v>1</v>
      </c>
      <c r="R834" s="121">
        <f t="shared" si="303"/>
        <v>0</v>
      </c>
      <c r="W834" s="160">
        <f t="shared" ref="W834:W845" si="306">IF($G834&lt;&gt;$Q$807,$N834,(1-$U$807)*$I834+$U$807*$J834)</f>
        <v>1.04</v>
      </c>
      <c r="X834" s="160">
        <f t="shared" ref="X834:X845" si="307">IF($G834&lt;$Q$807,0,IF($G834&gt;$Q$807,$N834,$U$807*$J834))</f>
        <v>0</v>
      </c>
      <c r="Y834" s="160">
        <f t="shared" ref="Y834:Y845" si="308">IF($F$807=1,$O834/$O822,1)</f>
        <v>1</v>
      </c>
      <c r="AB834" s="160">
        <f t="shared" ref="AB834:AB845" si="309">IF(AND(N($K$807)&lt;&gt;0,$F834&lt;=$B$808),0,($F834-$B$808)/($C$808-$B$808))</f>
        <v>0.23522975929978118</v>
      </c>
      <c r="AC834" s="220">
        <f t="shared" ref="AC834:AC845" si="310">IF(AND(N($K$807)&lt;&gt;0,$F834&lt;=$B$808),$O834,$F$808*(1-$AB834))</f>
        <v>0.69594091903719912</v>
      </c>
      <c r="AD834" s="160">
        <f t="shared" ref="AD834:AD845" si="311">$H834*($W834+$X834*IF(ISNUMBER($F$858),$F$858,0))/($N822*$O822)</f>
        <v>1.1428571428571428</v>
      </c>
      <c r="AE834" s="160">
        <f t="shared" si="304"/>
        <v>1.028695652173913</v>
      </c>
      <c r="AF834" s="220">
        <f t="shared" ref="AF834:AF845" si="312">IF($G834&lt;$Q$807,0,IF($G834&gt;$Q$807,1,$U$807))</f>
        <v>0</v>
      </c>
      <c r="AG834" s="183" t="str">
        <f t="shared" ref="AG834:AG845" si="313">IF(OR($D$807=0,$P$807=0),"",($W834+$X834*IF(ISNUMBER($F$858),$F$858,0))/$N822-1)</f>
        <v/>
      </c>
      <c r="AH834" s="183" t="str">
        <f t="shared" ref="AH834:AH845" si="314">IF(OR($AG834="",$F$807=0),"",(1+$E$807)/(1+$AG834)-1)</f>
        <v/>
      </c>
      <c r="AI834" s="220" t="str">
        <f t="shared" ref="AI834:AI845" si="315">IF($AH834="","",$O822*(1+$E$807)/(1+$AG834))</f>
        <v/>
      </c>
    </row>
    <row r="835" spans="1:35" x14ac:dyDescent="0.3">
      <c r="A835" s="187">
        <v>26</v>
      </c>
      <c r="B835" s="242">
        <f t="shared" si="305"/>
        <v>46419</v>
      </c>
      <c r="C835" s="243">
        <f t="shared" si="288"/>
        <v>46446</v>
      </c>
      <c r="D835" s="120">
        <f t="shared" si="289"/>
        <v>28</v>
      </c>
      <c r="E835" s="120">
        <f t="shared" si="290"/>
        <v>2</v>
      </c>
      <c r="F835" s="275">
        <f t="shared" si="291"/>
        <v>46433</v>
      </c>
      <c r="G835" s="120">
        <f t="shared" si="292"/>
        <v>24325</v>
      </c>
      <c r="H835" s="245">
        <f t="shared" si="293"/>
        <v>1</v>
      </c>
      <c r="I835" s="121">
        <f t="shared" si="294"/>
        <v>1.04</v>
      </c>
      <c r="J835" s="121">
        <f t="shared" si="295"/>
        <v>1.04</v>
      </c>
      <c r="K835" s="120">
        <f t="shared" si="296"/>
        <v>0</v>
      </c>
      <c r="L835" s="120">
        <f t="shared" si="297"/>
        <v>0</v>
      </c>
      <c r="M835" s="246">
        <f t="shared" si="298"/>
        <v>0</v>
      </c>
      <c r="N835" s="121">
        <f t="shared" si="299"/>
        <v>1.04</v>
      </c>
      <c r="O835" s="246">
        <f t="shared" si="300"/>
        <v>0.91</v>
      </c>
      <c r="P835" s="121">
        <f t="shared" si="301"/>
        <v>0</v>
      </c>
      <c r="Q835" s="121">
        <f t="shared" si="302"/>
        <v>1</v>
      </c>
      <c r="R835" s="121">
        <f t="shared" si="303"/>
        <v>0</v>
      </c>
      <c r="W835" s="160">
        <f t="shared" si="306"/>
        <v>1.04</v>
      </c>
      <c r="X835" s="160">
        <f t="shared" si="307"/>
        <v>0</v>
      </c>
      <c r="Y835" s="160">
        <f t="shared" si="308"/>
        <v>1</v>
      </c>
      <c r="AB835" s="160">
        <f t="shared" si="309"/>
        <v>0.29978118161925604</v>
      </c>
      <c r="AC835" s="220">
        <f t="shared" si="310"/>
        <v>0.637199124726477</v>
      </c>
      <c r="AD835" s="160">
        <f t="shared" si="311"/>
        <v>1.1428571428571428</v>
      </c>
      <c r="AE835" s="160">
        <f t="shared" si="304"/>
        <v>1.028695652173913</v>
      </c>
      <c r="AF835" s="220">
        <f t="shared" si="312"/>
        <v>0</v>
      </c>
      <c r="AG835" s="183" t="str">
        <f t="shared" si="313"/>
        <v/>
      </c>
      <c r="AH835" s="183" t="str">
        <f t="shared" si="314"/>
        <v/>
      </c>
      <c r="AI835" s="220" t="str">
        <f t="shared" si="315"/>
        <v/>
      </c>
    </row>
    <row r="836" spans="1:35" x14ac:dyDescent="0.3">
      <c r="A836" s="187">
        <v>27</v>
      </c>
      <c r="B836" s="242">
        <f t="shared" si="305"/>
        <v>46447</v>
      </c>
      <c r="C836" s="243">
        <f t="shared" si="288"/>
        <v>46477</v>
      </c>
      <c r="D836" s="120">
        <f t="shared" si="289"/>
        <v>31</v>
      </c>
      <c r="E836" s="120">
        <f t="shared" si="290"/>
        <v>3</v>
      </c>
      <c r="F836" s="275">
        <f t="shared" si="291"/>
        <v>46462.5</v>
      </c>
      <c r="G836" s="120">
        <f t="shared" si="292"/>
        <v>24326</v>
      </c>
      <c r="H836" s="245">
        <f t="shared" si="293"/>
        <v>1</v>
      </c>
      <c r="I836" s="121">
        <f t="shared" si="294"/>
        <v>1.04</v>
      </c>
      <c r="J836" s="121">
        <f t="shared" si="295"/>
        <v>1.04</v>
      </c>
      <c r="K836" s="120">
        <f t="shared" si="296"/>
        <v>0</v>
      </c>
      <c r="L836" s="120">
        <f t="shared" si="297"/>
        <v>0</v>
      </c>
      <c r="M836" s="246">
        <f t="shared" si="298"/>
        <v>0</v>
      </c>
      <c r="N836" s="121">
        <f t="shared" si="299"/>
        <v>1.04</v>
      </c>
      <c r="O836" s="246">
        <f t="shared" si="300"/>
        <v>0.91</v>
      </c>
      <c r="P836" s="121">
        <f t="shared" si="301"/>
        <v>0</v>
      </c>
      <c r="Q836" s="121">
        <f t="shared" si="302"/>
        <v>1</v>
      </c>
      <c r="R836" s="121">
        <f t="shared" si="303"/>
        <v>0</v>
      </c>
      <c r="W836" s="160">
        <f t="shared" si="306"/>
        <v>1.04</v>
      </c>
      <c r="X836" s="160">
        <f t="shared" si="307"/>
        <v>0</v>
      </c>
      <c r="Y836" s="160">
        <f t="shared" si="308"/>
        <v>1</v>
      </c>
      <c r="AB836" s="160">
        <f t="shared" si="309"/>
        <v>0.36433260393873085</v>
      </c>
      <c r="AC836" s="220">
        <f t="shared" si="310"/>
        <v>0.57845733041575487</v>
      </c>
      <c r="AD836" s="160">
        <f t="shared" si="311"/>
        <v>1.1428571428571428</v>
      </c>
      <c r="AE836" s="160">
        <f t="shared" si="304"/>
        <v>1.028695652173913</v>
      </c>
      <c r="AF836" s="220">
        <f t="shared" si="312"/>
        <v>0</v>
      </c>
      <c r="AG836" s="183" t="str">
        <f t="shared" si="313"/>
        <v/>
      </c>
      <c r="AH836" s="183" t="str">
        <f t="shared" si="314"/>
        <v/>
      </c>
      <c r="AI836" s="220" t="str">
        <f t="shared" si="315"/>
        <v/>
      </c>
    </row>
    <row r="837" spans="1:35" x14ac:dyDescent="0.3">
      <c r="A837" s="187">
        <v>28</v>
      </c>
      <c r="B837" s="242">
        <f t="shared" si="305"/>
        <v>46478</v>
      </c>
      <c r="C837" s="243">
        <f t="shared" si="288"/>
        <v>46507</v>
      </c>
      <c r="D837" s="120">
        <f t="shared" si="289"/>
        <v>30</v>
      </c>
      <c r="E837" s="120">
        <f t="shared" si="290"/>
        <v>4</v>
      </c>
      <c r="F837" s="275">
        <f t="shared" si="291"/>
        <v>46493</v>
      </c>
      <c r="G837" s="120">
        <f t="shared" si="292"/>
        <v>24327</v>
      </c>
      <c r="H837" s="245">
        <f t="shared" si="293"/>
        <v>1</v>
      </c>
      <c r="I837" s="121">
        <f t="shared" si="294"/>
        <v>1.04</v>
      </c>
      <c r="J837" s="121">
        <f t="shared" si="295"/>
        <v>1.04</v>
      </c>
      <c r="K837" s="120">
        <f t="shared" si="296"/>
        <v>0</v>
      </c>
      <c r="L837" s="120">
        <f t="shared" si="297"/>
        <v>0</v>
      </c>
      <c r="M837" s="246">
        <f t="shared" si="298"/>
        <v>0</v>
      </c>
      <c r="N837" s="121">
        <f t="shared" si="299"/>
        <v>1.04</v>
      </c>
      <c r="O837" s="246">
        <f t="shared" si="300"/>
        <v>0.91</v>
      </c>
      <c r="P837" s="121">
        <f t="shared" si="301"/>
        <v>0</v>
      </c>
      <c r="Q837" s="121">
        <f t="shared" si="302"/>
        <v>1</v>
      </c>
      <c r="R837" s="121">
        <f t="shared" si="303"/>
        <v>0</v>
      </c>
      <c r="W837" s="160">
        <f t="shared" si="306"/>
        <v>1.04</v>
      </c>
      <c r="X837" s="160">
        <f t="shared" si="307"/>
        <v>1.04</v>
      </c>
      <c r="Y837" s="160">
        <f t="shared" si="308"/>
        <v>1</v>
      </c>
      <c r="AB837" s="160">
        <f t="shared" si="309"/>
        <v>0.4310722100656455</v>
      </c>
      <c r="AC837" s="220">
        <f t="shared" si="310"/>
        <v>0.51772428884026267</v>
      </c>
      <c r="AD837" s="160">
        <f t="shared" si="311"/>
        <v>1.1428571428571428</v>
      </c>
      <c r="AE837" s="160">
        <f t="shared" si="304"/>
        <v>1.0286956521739132</v>
      </c>
      <c r="AF837" s="220">
        <f t="shared" si="312"/>
        <v>1</v>
      </c>
      <c r="AG837" s="183" t="str">
        <f t="shared" si="313"/>
        <v/>
      </c>
      <c r="AH837" s="183" t="str">
        <f t="shared" si="314"/>
        <v/>
      </c>
      <c r="AI837" s="220" t="str">
        <f t="shared" si="315"/>
        <v/>
      </c>
    </row>
    <row r="838" spans="1:35" x14ac:dyDescent="0.3">
      <c r="A838" s="187">
        <v>29</v>
      </c>
      <c r="B838" s="242">
        <f t="shared" si="305"/>
        <v>46508</v>
      </c>
      <c r="C838" s="243">
        <f t="shared" si="288"/>
        <v>46538</v>
      </c>
      <c r="D838" s="120">
        <f t="shared" si="289"/>
        <v>31</v>
      </c>
      <c r="E838" s="120">
        <f t="shared" si="290"/>
        <v>5</v>
      </c>
      <c r="F838" s="275">
        <f t="shared" si="291"/>
        <v>46523.5</v>
      </c>
      <c r="G838" s="120">
        <f t="shared" si="292"/>
        <v>24328</v>
      </c>
      <c r="H838" s="245">
        <f t="shared" si="293"/>
        <v>1</v>
      </c>
      <c r="I838" s="121">
        <f t="shared" si="294"/>
        <v>1.04</v>
      </c>
      <c r="J838" s="121">
        <f t="shared" si="295"/>
        <v>1.04</v>
      </c>
      <c r="K838" s="120">
        <f t="shared" si="296"/>
        <v>0</v>
      </c>
      <c r="L838" s="120">
        <f t="shared" si="297"/>
        <v>0</v>
      </c>
      <c r="M838" s="246">
        <f t="shared" si="298"/>
        <v>0</v>
      </c>
      <c r="N838" s="121">
        <f t="shared" si="299"/>
        <v>1.04</v>
      </c>
      <c r="O838" s="246">
        <f t="shared" si="300"/>
        <v>0.91</v>
      </c>
      <c r="P838" s="121">
        <f t="shared" si="301"/>
        <v>0</v>
      </c>
      <c r="Q838" s="121">
        <f t="shared" si="302"/>
        <v>1</v>
      </c>
      <c r="R838" s="121">
        <f t="shared" si="303"/>
        <v>0</v>
      </c>
      <c r="W838" s="160">
        <f t="shared" si="306"/>
        <v>1.04</v>
      </c>
      <c r="X838" s="160">
        <f t="shared" si="307"/>
        <v>1.04</v>
      </c>
      <c r="Y838" s="160">
        <f t="shared" si="308"/>
        <v>1</v>
      </c>
      <c r="AB838" s="160">
        <f t="shared" si="309"/>
        <v>0.49781181619256015</v>
      </c>
      <c r="AC838" s="220">
        <f t="shared" si="310"/>
        <v>0.45699124726477025</v>
      </c>
      <c r="AD838" s="160">
        <f t="shared" si="311"/>
        <v>1.098901098901099</v>
      </c>
      <c r="AE838" s="160">
        <f t="shared" si="304"/>
        <v>1.028695652173913</v>
      </c>
      <c r="AF838" s="220">
        <f t="shared" si="312"/>
        <v>1</v>
      </c>
      <c r="AG838" s="183" t="str">
        <f t="shared" si="313"/>
        <v/>
      </c>
      <c r="AH838" s="183" t="str">
        <f t="shared" si="314"/>
        <v/>
      </c>
      <c r="AI838" s="220" t="str">
        <f t="shared" si="315"/>
        <v/>
      </c>
    </row>
    <row r="839" spans="1:35" x14ac:dyDescent="0.3">
      <c r="A839" s="187">
        <v>30</v>
      </c>
      <c r="B839" s="242">
        <f t="shared" si="305"/>
        <v>46539</v>
      </c>
      <c r="C839" s="243">
        <f t="shared" si="288"/>
        <v>46568</v>
      </c>
      <c r="D839" s="120">
        <f t="shared" si="289"/>
        <v>30</v>
      </c>
      <c r="E839" s="120">
        <f t="shared" si="290"/>
        <v>6</v>
      </c>
      <c r="F839" s="275">
        <f t="shared" si="291"/>
        <v>46554</v>
      </c>
      <c r="G839" s="120">
        <f t="shared" si="292"/>
        <v>24329</v>
      </c>
      <c r="H839" s="245">
        <f t="shared" si="293"/>
        <v>1</v>
      </c>
      <c r="I839" s="121">
        <f t="shared" si="294"/>
        <v>1.04</v>
      </c>
      <c r="J839" s="121">
        <f t="shared" si="295"/>
        <v>1.04</v>
      </c>
      <c r="K839" s="120">
        <f t="shared" si="296"/>
        <v>0</v>
      </c>
      <c r="L839" s="120">
        <f t="shared" si="297"/>
        <v>0</v>
      </c>
      <c r="M839" s="246">
        <f t="shared" si="298"/>
        <v>0</v>
      </c>
      <c r="N839" s="121">
        <f t="shared" si="299"/>
        <v>1.04</v>
      </c>
      <c r="O839" s="246">
        <f t="shared" si="300"/>
        <v>0.91</v>
      </c>
      <c r="P839" s="121">
        <f t="shared" si="301"/>
        <v>0</v>
      </c>
      <c r="Q839" s="121">
        <f t="shared" si="302"/>
        <v>1</v>
      </c>
      <c r="R839" s="121">
        <f t="shared" si="303"/>
        <v>0</v>
      </c>
      <c r="W839" s="160">
        <f t="shared" si="306"/>
        <v>1.04</v>
      </c>
      <c r="X839" s="160">
        <f t="shared" si="307"/>
        <v>1.04</v>
      </c>
      <c r="Y839" s="160">
        <f t="shared" si="308"/>
        <v>1</v>
      </c>
      <c r="AB839" s="160">
        <f t="shared" si="309"/>
        <v>0.56455142231947486</v>
      </c>
      <c r="AC839" s="220">
        <f t="shared" si="310"/>
        <v>0.39625820568927789</v>
      </c>
      <c r="AD839" s="160">
        <f t="shared" si="311"/>
        <v>1.098901098901099</v>
      </c>
      <c r="AE839" s="160">
        <f t="shared" si="304"/>
        <v>1.028695652173913</v>
      </c>
      <c r="AF839" s="220">
        <f t="shared" si="312"/>
        <v>1</v>
      </c>
      <c r="AG839" s="183" t="str">
        <f t="shared" si="313"/>
        <v/>
      </c>
      <c r="AH839" s="183" t="str">
        <f t="shared" si="314"/>
        <v/>
      </c>
      <c r="AI839" s="220" t="str">
        <f t="shared" si="315"/>
        <v/>
      </c>
    </row>
    <row r="840" spans="1:35" x14ac:dyDescent="0.3">
      <c r="A840" s="187">
        <v>31</v>
      </c>
      <c r="B840" s="242">
        <f t="shared" si="305"/>
        <v>46569</v>
      </c>
      <c r="C840" s="243">
        <f t="shared" si="288"/>
        <v>46599</v>
      </c>
      <c r="D840" s="120">
        <f t="shared" si="289"/>
        <v>31</v>
      </c>
      <c r="E840" s="120">
        <f t="shared" si="290"/>
        <v>7</v>
      </c>
      <c r="F840" s="275">
        <f t="shared" si="291"/>
        <v>46584.5</v>
      </c>
      <c r="G840" s="120">
        <f t="shared" si="292"/>
        <v>24330</v>
      </c>
      <c r="H840" s="245">
        <f t="shared" si="293"/>
        <v>1</v>
      </c>
      <c r="I840" s="121">
        <f t="shared" si="294"/>
        <v>1.04</v>
      </c>
      <c r="J840" s="121">
        <f t="shared" si="295"/>
        <v>1.04</v>
      </c>
      <c r="K840" s="120">
        <f t="shared" si="296"/>
        <v>0</v>
      </c>
      <c r="L840" s="120">
        <f t="shared" si="297"/>
        <v>0</v>
      </c>
      <c r="M840" s="246">
        <f t="shared" si="298"/>
        <v>0</v>
      </c>
      <c r="N840" s="121">
        <f t="shared" si="299"/>
        <v>1.04</v>
      </c>
      <c r="O840" s="246">
        <f t="shared" si="300"/>
        <v>0.91</v>
      </c>
      <c r="P840" s="121">
        <f t="shared" si="301"/>
        <v>0</v>
      </c>
      <c r="Q840" s="121">
        <f t="shared" si="302"/>
        <v>0.91666666666666663</v>
      </c>
      <c r="R840" s="121">
        <f t="shared" si="303"/>
        <v>8.333333333333337E-2</v>
      </c>
      <c r="W840" s="160">
        <f t="shared" si="306"/>
        <v>1.04</v>
      </c>
      <c r="X840" s="160">
        <f t="shared" si="307"/>
        <v>1.04</v>
      </c>
      <c r="Y840" s="160">
        <f t="shared" si="308"/>
        <v>1</v>
      </c>
      <c r="AB840" s="160">
        <f t="shared" si="309"/>
        <v>0.63129102844638951</v>
      </c>
      <c r="AC840" s="220">
        <f t="shared" si="310"/>
        <v>0.33552516411378558</v>
      </c>
      <c r="AD840" s="160">
        <f t="shared" si="311"/>
        <v>1.098901098901099</v>
      </c>
      <c r="AE840" s="160">
        <f t="shared" si="304"/>
        <v>1.0286956521739132</v>
      </c>
      <c r="AF840" s="220">
        <f t="shared" si="312"/>
        <v>1</v>
      </c>
      <c r="AG840" s="183" t="str">
        <f t="shared" si="313"/>
        <v/>
      </c>
      <c r="AH840" s="183" t="str">
        <f t="shared" si="314"/>
        <v/>
      </c>
      <c r="AI840" s="220" t="str">
        <f t="shared" si="315"/>
        <v/>
      </c>
    </row>
    <row r="841" spans="1:35" x14ac:dyDescent="0.3">
      <c r="A841" s="187">
        <v>32</v>
      </c>
      <c r="B841" s="242">
        <f t="shared" si="305"/>
        <v>46600</v>
      </c>
      <c r="C841" s="243">
        <f t="shared" si="288"/>
        <v>46630</v>
      </c>
      <c r="D841" s="120">
        <f t="shared" si="289"/>
        <v>31</v>
      </c>
      <c r="E841" s="120">
        <f t="shared" si="290"/>
        <v>8</v>
      </c>
      <c r="F841" s="275">
        <f t="shared" si="291"/>
        <v>46615.5</v>
      </c>
      <c r="G841" s="120">
        <f t="shared" si="292"/>
        <v>24331</v>
      </c>
      <c r="H841" s="245">
        <f t="shared" si="293"/>
        <v>1</v>
      </c>
      <c r="I841" s="121">
        <f t="shared" si="294"/>
        <v>1.04</v>
      </c>
      <c r="J841" s="121">
        <f t="shared" si="295"/>
        <v>1.04</v>
      </c>
      <c r="K841" s="120">
        <f t="shared" si="296"/>
        <v>0</v>
      </c>
      <c r="L841" s="120">
        <f t="shared" si="297"/>
        <v>0</v>
      </c>
      <c r="M841" s="246">
        <f t="shared" si="298"/>
        <v>0</v>
      </c>
      <c r="N841" s="121">
        <f t="shared" si="299"/>
        <v>1.04</v>
      </c>
      <c r="O841" s="246">
        <f t="shared" si="300"/>
        <v>0.91</v>
      </c>
      <c r="P841" s="121">
        <f t="shared" si="301"/>
        <v>0</v>
      </c>
      <c r="Q841" s="121">
        <f t="shared" si="302"/>
        <v>0.75</v>
      </c>
      <c r="R841" s="121">
        <f t="shared" si="303"/>
        <v>0.25</v>
      </c>
      <c r="W841" s="160">
        <f t="shared" si="306"/>
        <v>1.04</v>
      </c>
      <c r="X841" s="160">
        <f t="shared" si="307"/>
        <v>1.04</v>
      </c>
      <c r="Y841" s="160">
        <f t="shared" si="308"/>
        <v>1</v>
      </c>
      <c r="AB841" s="160">
        <f t="shared" si="309"/>
        <v>0.69912472647702406</v>
      </c>
      <c r="AC841" s="220">
        <f t="shared" si="310"/>
        <v>0.27379649890590813</v>
      </c>
      <c r="AD841" s="160">
        <f t="shared" si="311"/>
        <v>1.098901098901099</v>
      </c>
      <c r="AE841" s="160">
        <f t="shared" si="304"/>
        <v>1.0286956521739132</v>
      </c>
      <c r="AF841" s="220">
        <f t="shared" si="312"/>
        <v>1</v>
      </c>
      <c r="AG841" s="183" t="str">
        <f t="shared" si="313"/>
        <v/>
      </c>
      <c r="AH841" s="183" t="str">
        <f t="shared" si="314"/>
        <v/>
      </c>
      <c r="AI841" s="220" t="str">
        <f t="shared" si="315"/>
        <v/>
      </c>
    </row>
    <row r="842" spans="1:35" x14ac:dyDescent="0.3">
      <c r="A842" s="187">
        <v>33</v>
      </c>
      <c r="B842" s="242">
        <f t="shared" si="305"/>
        <v>46631</v>
      </c>
      <c r="C842" s="243">
        <f t="shared" si="288"/>
        <v>46660</v>
      </c>
      <c r="D842" s="120">
        <f t="shared" si="289"/>
        <v>30</v>
      </c>
      <c r="E842" s="120">
        <f t="shared" si="290"/>
        <v>9</v>
      </c>
      <c r="F842" s="275">
        <f t="shared" si="291"/>
        <v>46646</v>
      </c>
      <c r="G842" s="120">
        <f t="shared" si="292"/>
        <v>24332</v>
      </c>
      <c r="H842" s="245">
        <f t="shared" si="293"/>
        <v>1</v>
      </c>
      <c r="I842" s="121">
        <f t="shared" si="294"/>
        <v>1.04</v>
      </c>
      <c r="J842" s="121">
        <f t="shared" si="295"/>
        <v>1.04</v>
      </c>
      <c r="K842" s="120">
        <f t="shared" si="296"/>
        <v>0</v>
      </c>
      <c r="L842" s="120">
        <f t="shared" si="297"/>
        <v>0</v>
      </c>
      <c r="M842" s="246">
        <f t="shared" si="298"/>
        <v>0</v>
      </c>
      <c r="N842" s="121">
        <f t="shared" si="299"/>
        <v>1.04</v>
      </c>
      <c r="O842" s="246">
        <f t="shared" si="300"/>
        <v>0.91</v>
      </c>
      <c r="P842" s="121">
        <f t="shared" si="301"/>
        <v>0</v>
      </c>
      <c r="Q842" s="121">
        <f t="shared" si="302"/>
        <v>0.58333333333333337</v>
      </c>
      <c r="R842" s="121">
        <f t="shared" si="303"/>
        <v>0.41666666666666663</v>
      </c>
      <c r="W842" s="160">
        <f t="shared" si="306"/>
        <v>1.04</v>
      </c>
      <c r="X842" s="160">
        <f t="shared" si="307"/>
        <v>1.04</v>
      </c>
      <c r="Y842" s="160">
        <f t="shared" si="308"/>
        <v>1</v>
      </c>
      <c r="AB842" s="160">
        <f t="shared" si="309"/>
        <v>0.76586433260393871</v>
      </c>
      <c r="AC842" s="220">
        <f t="shared" si="310"/>
        <v>0.21306345733041579</v>
      </c>
      <c r="AD842" s="160">
        <f t="shared" si="311"/>
        <v>1.098901098901099</v>
      </c>
      <c r="AE842" s="160">
        <f t="shared" si="304"/>
        <v>1.028695652173913</v>
      </c>
      <c r="AF842" s="220">
        <f t="shared" si="312"/>
        <v>1</v>
      </c>
      <c r="AG842" s="183" t="str">
        <f t="shared" si="313"/>
        <v/>
      </c>
      <c r="AH842" s="183" t="str">
        <f t="shared" si="314"/>
        <v/>
      </c>
      <c r="AI842" s="220" t="str">
        <f t="shared" si="315"/>
        <v/>
      </c>
    </row>
    <row r="843" spans="1:35" x14ac:dyDescent="0.3">
      <c r="A843" s="187">
        <v>34</v>
      </c>
      <c r="B843" s="242">
        <f t="shared" si="305"/>
        <v>46661</v>
      </c>
      <c r="C843" s="243">
        <f t="shared" si="288"/>
        <v>46691</v>
      </c>
      <c r="D843" s="120">
        <f t="shared" si="289"/>
        <v>31</v>
      </c>
      <c r="E843" s="120">
        <f t="shared" si="290"/>
        <v>10</v>
      </c>
      <c r="F843" s="275">
        <f t="shared" si="291"/>
        <v>46676.5</v>
      </c>
      <c r="G843" s="120">
        <f t="shared" si="292"/>
        <v>24333</v>
      </c>
      <c r="H843" s="245">
        <f t="shared" si="293"/>
        <v>1</v>
      </c>
      <c r="I843" s="121">
        <f t="shared" si="294"/>
        <v>1.04</v>
      </c>
      <c r="J843" s="121">
        <f t="shared" si="295"/>
        <v>1.04</v>
      </c>
      <c r="K843" s="120">
        <f t="shared" si="296"/>
        <v>0</v>
      </c>
      <c r="L843" s="120">
        <f t="shared" si="297"/>
        <v>0</v>
      </c>
      <c r="M843" s="246">
        <f t="shared" si="298"/>
        <v>0</v>
      </c>
      <c r="N843" s="121">
        <f t="shared" si="299"/>
        <v>1.04</v>
      </c>
      <c r="O843" s="246">
        <f t="shared" si="300"/>
        <v>0.91</v>
      </c>
      <c r="P843" s="121">
        <f t="shared" si="301"/>
        <v>0</v>
      </c>
      <c r="Q843" s="121">
        <f t="shared" si="302"/>
        <v>0.41666666666666669</v>
      </c>
      <c r="R843" s="121">
        <f t="shared" si="303"/>
        <v>0.58333333333333326</v>
      </c>
      <c r="W843" s="160">
        <f t="shared" si="306"/>
        <v>1.04</v>
      </c>
      <c r="X843" s="160">
        <f t="shared" si="307"/>
        <v>1.04</v>
      </c>
      <c r="Y843" s="160">
        <f t="shared" si="308"/>
        <v>1</v>
      </c>
      <c r="AB843" s="160">
        <f t="shared" si="309"/>
        <v>0.83260393873085337</v>
      </c>
      <c r="AC843" s="220">
        <f t="shared" si="310"/>
        <v>0.15233041575492345</v>
      </c>
      <c r="AD843" s="160">
        <f t="shared" si="311"/>
        <v>1.098901098901099</v>
      </c>
      <c r="AE843" s="160">
        <f t="shared" si="304"/>
        <v>1.028695652173913</v>
      </c>
      <c r="AF843" s="220">
        <f t="shared" si="312"/>
        <v>1</v>
      </c>
      <c r="AG843" s="183" t="str">
        <f t="shared" si="313"/>
        <v/>
      </c>
      <c r="AH843" s="183" t="str">
        <f t="shared" si="314"/>
        <v/>
      </c>
      <c r="AI843" s="220" t="str">
        <f t="shared" si="315"/>
        <v/>
      </c>
    </row>
    <row r="844" spans="1:35" x14ac:dyDescent="0.3">
      <c r="A844" s="187">
        <v>35</v>
      </c>
      <c r="B844" s="242">
        <f t="shared" si="305"/>
        <v>46692</v>
      </c>
      <c r="C844" s="243">
        <f t="shared" si="288"/>
        <v>46721</v>
      </c>
      <c r="D844" s="120">
        <f t="shared" si="289"/>
        <v>30</v>
      </c>
      <c r="E844" s="120">
        <f t="shared" si="290"/>
        <v>11</v>
      </c>
      <c r="F844" s="275">
        <f t="shared" si="291"/>
        <v>46707</v>
      </c>
      <c r="G844" s="120">
        <f t="shared" si="292"/>
        <v>24334</v>
      </c>
      <c r="H844" s="245">
        <f t="shared" si="293"/>
        <v>1</v>
      </c>
      <c r="I844" s="121">
        <f t="shared" si="294"/>
        <v>1.04</v>
      </c>
      <c r="J844" s="121">
        <f t="shared" si="295"/>
        <v>1.04</v>
      </c>
      <c r="K844" s="120">
        <f t="shared" si="296"/>
        <v>0</v>
      </c>
      <c r="L844" s="120">
        <f t="shared" si="297"/>
        <v>0</v>
      </c>
      <c r="M844" s="246">
        <f t="shared" si="298"/>
        <v>0</v>
      </c>
      <c r="N844" s="121">
        <f t="shared" si="299"/>
        <v>1.04</v>
      </c>
      <c r="O844" s="246">
        <f t="shared" si="300"/>
        <v>0.91</v>
      </c>
      <c r="P844" s="121">
        <f t="shared" si="301"/>
        <v>0</v>
      </c>
      <c r="Q844" s="121">
        <f t="shared" si="302"/>
        <v>0.25</v>
      </c>
      <c r="R844" s="121">
        <f t="shared" si="303"/>
        <v>0.75</v>
      </c>
      <c r="W844" s="160">
        <f t="shared" si="306"/>
        <v>1.04</v>
      </c>
      <c r="X844" s="160">
        <f t="shared" si="307"/>
        <v>1.04</v>
      </c>
      <c r="Y844" s="160">
        <f t="shared" si="308"/>
        <v>1</v>
      </c>
      <c r="AB844" s="160">
        <f t="shared" si="309"/>
        <v>0.89934354485776802</v>
      </c>
      <c r="AC844" s="220">
        <f t="shared" si="310"/>
        <v>9.1597374179431104E-2</v>
      </c>
      <c r="AD844" s="160">
        <f t="shared" si="311"/>
        <v>1.098901098901099</v>
      </c>
      <c r="AE844" s="160">
        <f t="shared" si="304"/>
        <v>1.028695652173913</v>
      </c>
      <c r="AF844" s="220">
        <f t="shared" si="312"/>
        <v>1</v>
      </c>
      <c r="AG844" s="183" t="str">
        <f t="shared" si="313"/>
        <v/>
      </c>
      <c r="AH844" s="183" t="str">
        <f t="shared" si="314"/>
        <v/>
      </c>
      <c r="AI844" s="220" t="str">
        <f t="shared" si="315"/>
        <v/>
      </c>
    </row>
    <row r="845" spans="1:35" x14ac:dyDescent="0.3">
      <c r="A845" s="187">
        <v>36</v>
      </c>
      <c r="B845" s="242">
        <f t="shared" si="305"/>
        <v>46722</v>
      </c>
      <c r="C845" s="243">
        <f t="shared" si="288"/>
        <v>46752</v>
      </c>
      <c r="D845" s="120">
        <f t="shared" si="289"/>
        <v>31</v>
      </c>
      <c r="E845" s="120">
        <f t="shared" si="290"/>
        <v>12</v>
      </c>
      <c r="F845" s="275">
        <f t="shared" si="291"/>
        <v>46737.5</v>
      </c>
      <c r="G845" s="120">
        <f t="shared" si="292"/>
        <v>24335</v>
      </c>
      <c r="H845" s="245">
        <f t="shared" si="293"/>
        <v>1</v>
      </c>
      <c r="I845" s="121">
        <f t="shared" si="294"/>
        <v>1.04</v>
      </c>
      <c r="J845" s="121">
        <f t="shared" si="295"/>
        <v>1.04</v>
      </c>
      <c r="K845" s="120">
        <f t="shared" si="296"/>
        <v>0</v>
      </c>
      <c r="L845" s="120">
        <f t="shared" si="297"/>
        <v>0</v>
      </c>
      <c r="M845" s="246">
        <f t="shared" si="298"/>
        <v>0</v>
      </c>
      <c r="N845" s="121">
        <f t="shared" si="299"/>
        <v>1.04</v>
      </c>
      <c r="O845" s="246">
        <f t="shared" si="300"/>
        <v>0.91</v>
      </c>
      <c r="P845" s="121">
        <f t="shared" si="301"/>
        <v>0</v>
      </c>
      <c r="Q845" s="121">
        <f t="shared" si="302"/>
        <v>8.3333333333333329E-2</v>
      </c>
      <c r="R845" s="121">
        <f t="shared" si="303"/>
        <v>0.91666666666666663</v>
      </c>
      <c r="W845" s="160">
        <f t="shared" si="306"/>
        <v>1.04</v>
      </c>
      <c r="X845" s="160">
        <f t="shared" si="307"/>
        <v>1.04</v>
      </c>
      <c r="Y845" s="160">
        <f t="shared" si="308"/>
        <v>1</v>
      </c>
      <c r="AB845" s="160">
        <f t="shared" si="309"/>
        <v>0.96608315098468267</v>
      </c>
      <c r="AC845" s="220">
        <f t="shared" si="310"/>
        <v>3.0864332603938772E-2</v>
      </c>
      <c r="AD845" s="160">
        <f t="shared" si="311"/>
        <v>1.098901098901099</v>
      </c>
      <c r="AE845" s="160">
        <f t="shared" si="304"/>
        <v>1.028695652173913</v>
      </c>
      <c r="AF845" s="220">
        <f t="shared" si="312"/>
        <v>1</v>
      </c>
      <c r="AG845" s="183" t="str">
        <f t="shared" si="313"/>
        <v/>
      </c>
      <c r="AH845" s="183" t="str">
        <f t="shared" si="314"/>
        <v/>
      </c>
      <c r="AI845" s="220" t="str">
        <f t="shared" si="315"/>
        <v/>
      </c>
    </row>
    <row r="846" spans="1:35" x14ac:dyDescent="0.3">
      <c r="A846" s="187">
        <v>37</v>
      </c>
      <c r="B846" s="242">
        <f t="shared" si="305"/>
        <v>46753</v>
      </c>
      <c r="C846" s="243">
        <f t="shared" si="288"/>
        <v>46783</v>
      </c>
      <c r="D846" s="120">
        <f t="shared" si="289"/>
        <v>31</v>
      </c>
      <c r="E846" s="120">
        <f t="shared" si="290"/>
        <v>1</v>
      </c>
      <c r="F846" s="275">
        <f t="shared" si="291"/>
        <v>46768.5</v>
      </c>
      <c r="G846" s="120">
        <f t="shared" si="292"/>
        <v>24336</v>
      </c>
      <c r="H846" s="245">
        <f t="shared" si="293"/>
        <v>1</v>
      </c>
      <c r="I846" s="121">
        <f t="shared" si="294"/>
        <v>1.04</v>
      </c>
      <c r="J846" s="121">
        <f t="shared" si="295"/>
        <v>1.04</v>
      </c>
      <c r="K846" s="120">
        <f t="shared" si="296"/>
        <v>0</v>
      </c>
      <c r="L846" s="120">
        <f t="shared" si="297"/>
        <v>0</v>
      </c>
      <c r="M846" s="246">
        <f t="shared" si="298"/>
        <v>0</v>
      </c>
      <c r="N846" s="121">
        <f t="shared" si="299"/>
        <v>1.04</v>
      </c>
      <c r="O846" s="246">
        <f t="shared" si="300"/>
        <v>0.91</v>
      </c>
      <c r="P846" s="121">
        <f t="shared" si="301"/>
        <v>0</v>
      </c>
      <c r="Q846" s="121">
        <f t="shared" si="302"/>
        <v>0</v>
      </c>
      <c r="R846" s="121">
        <f t="shared" si="303"/>
        <v>1</v>
      </c>
      <c r="AE846" s="160">
        <f t="shared" si="304"/>
        <v>1.028695652173913</v>
      </c>
    </row>
    <row r="847" spans="1:35" x14ac:dyDescent="0.3">
      <c r="A847" s="187">
        <v>38</v>
      </c>
      <c r="B847" s="242">
        <f t="shared" si="305"/>
        <v>46784</v>
      </c>
      <c r="C847" s="243">
        <f t="shared" si="288"/>
        <v>46812</v>
      </c>
      <c r="D847" s="120">
        <f t="shared" si="289"/>
        <v>29</v>
      </c>
      <c r="E847" s="120">
        <f t="shared" si="290"/>
        <v>2</v>
      </c>
      <c r="F847" s="275">
        <f t="shared" si="291"/>
        <v>46798.5</v>
      </c>
      <c r="G847" s="120">
        <f t="shared" si="292"/>
        <v>24337</v>
      </c>
      <c r="H847" s="245">
        <f t="shared" si="293"/>
        <v>1</v>
      </c>
      <c r="I847" s="121">
        <f t="shared" si="294"/>
        <v>1.04</v>
      </c>
      <c r="J847" s="121">
        <f t="shared" si="295"/>
        <v>1.04</v>
      </c>
      <c r="K847" s="120">
        <f t="shared" si="296"/>
        <v>0</v>
      </c>
      <c r="L847" s="120">
        <f t="shared" si="297"/>
        <v>0</v>
      </c>
      <c r="M847" s="246">
        <f t="shared" si="298"/>
        <v>0</v>
      </c>
      <c r="N847" s="121">
        <f t="shared" si="299"/>
        <v>1.04</v>
      </c>
      <c r="O847" s="246">
        <f t="shared" si="300"/>
        <v>0.91</v>
      </c>
      <c r="P847" s="121">
        <f t="shared" si="301"/>
        <v>0</v>
      </c>
      <c r="Q847" s="121">
        <f t="shared" si="302"/>
        <v>0</v>
      </c>
      <c r="R847" s="121">
        <f t="shared" si="303"/>
        <v>1</v>
      </c>
      <c r="AE847" s="160">
        <f t="shared" si="304"/>
        <v>1.028695652173913</v>
      </c>
    </row>
    <row r="848" spans="1:35" x14ac:dyDescent="0.3">
      <c r="A848" s="187">
        <v>39</v>
      </c>
      <c r="B848" s="242">
        <f t="shared" si="305"/>
        <v>46813</v>
      </c>
      <c r="C848" s="243">
        <f t="shared" si="288"/>
        <v>46843</v>
      </c>
      <c r="D848" s="120">
        <f t="shared" si="289"/>
        <v>31</v>
      </c>
      <c r="E848" s="120">
        <f t="shared" si="290"/>
        <v>3</v>
      </c>
      <c r="F848" s="275">
        <f t="shared" si="291"/>
        <v>46828.5</v>
      </c>
      <c r="G848" s="120">
        <f t="shared" si="292"/>
        <v>24338</v>
      </c>
      <c r="H848" s="245">
        <f t="shared" si="293"/>
        <v>1</v>
      </c>
      <c r="I848" s="121">
        <f t="shared" si="294"/>
        <v>1.04</v>
      </c>
      <c r="J848" s="121">
        <f t="shared" si="295"/>
        <v>1.04</v>
      </c>
      <c r="K848" s="120">
        <f t="shared" si="296"/>
        <v>0</v>
      </c>
      <c r="L848" s="120">
        <f t="shared" si="297"/>
        <v>0</v>
      </c>
      <c r="M848" s="246">
        <f t="shared" si="298"/>
        <v>0</v>
      </c>
      <c r="N848" s="121">
        <f t="shared" si="299"/>
        <v>1.04</v>
      </c>
      <c r="O848" s="246">
        <f t="shared" si="300"/>
        <v>0.91</v>
      </c>
      <c r="P848" s="121">
        <f t="shared" si="301"/>
        <v>0</v>
      </c>
      <c r="Q848" s="121">
        <f t="shared" si="302"/>
        <v>0</v>
      </c>
      <c r="R848" s="121">
        <f t="shared" si="303"/>
        <v>1</v>
      </c>
      <c r="AE848" s="160">
        <f t="shared" si="304"/>
        <v>1.028695652173913</v>
      </c>
    </row>
    <row r="849" spans="1:31" x14ac:dyDescent="0.3">
      <c r="A849" s="187">
        <v>40</v>
      </c>
      <c r="B849" s="242">
        <f t="shared" si="305"/>
        <v>46844</v>
      </c>
      <c r="C849" s="243">
        <f t="shared" si="288"/>
        <v>46873</v>
      </c>
      <c r="D849" s="120">
        <f t="shared" si="289"/>
        <v>30</v>
      </c>
      <c r="E849" s="120">
        <f t="shared" si="290"/>
        <v>4</v>
      </c>
      <c r="F849" s="275">
        <f t="shared" si="291"/>
        <v>46859</v>
      </c>
      <c r="G849" s="120">
        <f t="shared" si="292"/>
        <v>24339</v>
      </c>
      <c r="H849" s="245">
        <f t="shared" si="293"/>
        <v>1</v>
      </c>
      <c r="I849" s="121">
        <f t="shared" si="294"/>
        <v>1.04</v>
      </c>
      <c r="J849" s="121">
        <f t="shared" si="295"/>
        <v>1.04</v>
      </c>
      <c r="K849" s="120">
        <f t="shared" si="296"/>
        <v>0</v>
      </c>
      <c r="L849" s="120">
        <f t="shared" si="297"/>
        <v>0</v>
      </c>
      <c r="M849" s="246">
        <f t="shared" si="298"/>
        <v>0</v>
      </c>
      <c r="N849" s="121">
        <f t="shared" si="299"/>
        <v>1.04</v>
      </c>
      <c r="O849" s="246">
        <f t="shared" si="300"/>
        <v>0.91</v>
      </c>
      <c r="P849" s="121">
        <f t="shared" si="301"/>
        <v>0</v>
      </c>
      <c r="Q849" s="121">
        <f t="shared" si="302"/>
        <v>0</v>
      </c>
      <c r="R849" s="121">
        <f t="shared" si="303"/>
        <v>1</v>
      </c>
      <c r="AE849" s="160">
        <f t="shared" si="304"/>
        <v>1.028695652173913</v>
      </c>
    </row>
    <row r="850" spans="1:31" x14ac:dyDescent="0.3">
      <c r="A850" s="187">
        <v>41</v>
      </c>
      <c r="B850" s="242">
        <f t="shared" si="305"/>
        <v>46874</v>
      </c>
      <c r="C850" s="243">
        <f t="shared" si="288"/>
        <v>46904</v>
      </c>
      <c r="D850" s="120">
        <f t="shared" si="289"/>
        <v>31</v>
      </c>
      <c r="E850" s="120">
        <f t="shared" si="290"/>
        <v>5</v>
      </c>
      <c r="F850" s="275">
        <f t="shared" si="291"/>
        <v>46889.5</v>
      </c>
      <c r="G850" s="120">
        <f t="shared" si="292"/>
        <v>24340</v>
      </c>
      <c r="H850" s="245">
        <f t="shared" si="293"/>
        <v>1</v>
      </c>
      <c r="I850" s="121">
        <f t="shared" si="294"/>
        <v>1.04</v>
      </c>
      <c r="J850" s="121">
        <f t="shared" si="295"/>
        <v>1.04</v>
      </c>
      <c r="K850" s="120">
        <f t="shared" si="296"/>
        <v>0</v>
      </c>
      <c r="L850" s="120">
        <f t="shared" si="297"/>
        <v>0</v>
      </c>
      <c r="M850" s="246">
        <f t="shared" si="298"/>
        <v>0</v>
      </c>
      <c r="N850" s="121">
        <f t="shared" si="299"/>
        <v>1.04</v>
      </c>
      <c r="O850" s="246">
        <f t="shared" si="300"/>
        <v>0.91</v>
      </c>
      <c r="P850" s="121">
        <f t="shared" si="301"/>
        <v>0</v>
      </c>
      <c r="Q850" s="121">
        <f t="shared" si="302"/>
        <v>0</v>
      </c>
      <c r="R850" s="121">
        <f t="shared" si="303"/>
        <v>1</v>
      </c>
      <c r="AE850" s="160">
        <f t="shared" si="304"/>
        <v>1.028695652173913</v>
      </c>
    </row>
    <row r="851" spans="1:31" x14ac:dyDescent="0.3">
      <c r="A851" s="187">
        <v>42</v>
      </c>
      <c r="B851" s="242">
        <f t="shared" si="305"/>
        <v>46905</v>
      </c>
      <c r="C851" s="243">
        <f t="shared" si="288"/>
        <v>46934</v>
      </c>
      <c r="D851" s="120">
        <f t="shared" si="289"/>
        <v>30</v>
      </c>
      <c r="E851" s="120">
        <f t="shared" si="290"/>
        <v>6</v>
      </c>
      <c r="F851" s="275">
        <f t="shared" si="291"/>
        <v>46920</v>
      </c>
      <c r="G851" s="120">
        <f t="shared" si="292"/>
        <v>24341</v>
      </c>
      <c r="H851" s="245">
        <f t="shared" si="293"/>
        <v>1</v>
      </c>
      <c r="I851" s="121">
        <f t="shared" si="294"/>
        <v>1.04</v>
      </c>
      <c r="J851" s="121">
        <f t="shared" si="295"/>
        <v>1.04</v>
      </c>
      <c r="K851" s="120">
        <f t="shared" si="296"/>
        <v>0</v>
      </c>
      <c r="L851" s="120">
        <f t="shared" si="297"/>
        <v>0</v>
      </c>
      <c r="M851" s="246">
        <f t="shared" si="298"/>
        <v>0</v>
      </c>
      <c r="N851" s="121">
        <f t="shared" si="299"/>
        <v>1.04</v>
      </c>
      <c r="O851" s="246">
        <f t="shared" si="300"/>
        <v>0.91</v>
      </c>
      <c r="P851" s="121">
        <f t="shared" si="301"/>
        <v>0</v>
      </c>
      <c r="Q851" s="121">
        <f t="shared" si="302"/>
        <v>0</v>
      </c>
      <c r="R851" s="121">
        <f t="shared" si="303"/>
        <v>1</v>
      </c>
      <c r="AE851" s="160">
        <f t="shared" si="304"/>
        <v>1.028695652173913</v>
      </c>
    </row>
    <row r="852" spans="1:31" x14ac:dyDescent="0.3">
      <c r="A852" s="187">
        <v>43</v>
      </c>
      <c r="B852" s="242">
        <f t="shared" si="305"/>
        <v>46935</v>
      </c>
      <c r="C852" s="243">
        <f t="shared" si="288"/>
        <v>46965</v>
      </c>
      <c r="D852" s="120">
        <f t="shared" si="289"/>
        <v>31</v>
      </c>
      <c r="E852" s="120">
        <f t="shared" si="290"/>
        <v>7</v>
      </c>
      <c r="F852" s="275">
        <f t="shared" si="291"/>
        <v>46950.5</v>
      </c>
      <c r="G852" s="120">
        <f t="shared" si="292"/>
        <v>24342</v>
      </c>
      <c r="H852" s="245">
        <f t="shared" si="293"/>
        <v>1</v>
      </c>
      <c r="I852" s="121">
        <f t="shared" si="294"/>
        <v>1.04</v>
      </c>
      <c r="J852" s="121">
        <f t="shared" si="295"/>
        <v>1.04</v>
      </c>
      <c r="K852" s="120">
        <f t="shared" si="296"/>
        <v>0</v>
      </c>
      <c r="L852" s="120">
        <f t="shared" si="297"/>
        <v>0</v>
      </c>
      <c r="M852" s="246">
        <f t="shared" si="298"/>
        <v>0</v>
      </c>
      <c r="N852" s="121">
        <f t="shared" si="299"/>
        <v>1.04</v>
      </c>
      <c r="O852" s="246">
        <f t="shared" si="300"/>
        <v>0.91</v>
      </c>
      <c r="P852" s="121">
        <f t="shared" si="301"/>
        <v>0</v>
      </c>
      <c r="Q852" s="121">
        <f t="shared" si="302"/>
        <v>0</v>
      </c>
      <c r="R852" s="121">
        <f t="shared" si="303"/>
        <v>0.91666666666666663</v>
      </c>
      <c r="AE852" s="160">
        <f t="shared" si="304"/>
        <v>1.028695652173913</v>
      </c>
    </row>
    <row r="853" spans="1:31" x14ac:dyDescent="0.3">
      <c r="A853" s="187">
        <v>44</v>
      </c>
      <c r="B853" s="242">
        <f t="shared" si="305"/>
        <v>46966</v>
      </c>
      <c r="C853" s="243">
        <f t="shared" si="288"/>
        <v>46996</v>
      </c>
      <c r="D853" s="120">
        <f t="shared" si="289"/>
        <v>31</v>
      </c>
      <c r="E853" s="120">
        <f t="shared" si="290"/>
        <v>8</v>
      </c>
      <c r="F853" s="275">
        <f t="shared" si="291"/>
        <v>46981.5</v>
      </c>
      <c r="G853" s="120">
        <f t="shared" si="292"/>
        <v>24343</v>
      </c>
      <c r="H853" s="245">
        <f t="shared" si="293"/>
        <v>1</v>
      </c>
      <c r="I853" s="121">
        <f t="shared" si="294"/>
        <v>1.04</v>
      </c>
      <c r="J853" s="121">
        <f t="shared" si="295"/>
        <v>1.04</v>
      </c>
      <c r="K853" s="120">
        <f t="shared" si="296"/>
        <v>0</v>
      </c>
      <c r="L853" s="120">
        <f t="shared" si="297"/>
        <v>0</v>
      </c>
      <c r="M853" s="246">
        <f t="shared" si="298"/>
        <v>0</v>
      </c>
      <c r="N853" s="121">
        <f t="shared" si="299"/>
        <v>1.04</v>
      </c>
      <c r="O853" s="246">
        <f t="shared" si="300"/>
        <v>0.91</v>
      </c>
      <c r="P853" s="121">
        <f t="shared" si="301"/>
        <v>0</v>
      </c>
      <c r="Q853" s="121">
        <f t="shared" si="302"/>
        <v>0</v>
      </c>
      <c r="R853" s="121">
        <f t="shared" si="303"/>
        <v>0.75</v>
      </c>
      <c r="AE853" s="160">
        <f t="shared" si="304"/>
        <v>1.028695652173913</v>
      </c>
    </row>
    <row r="854" spans="1:31" x14ac:dyDescent="0.3">
      <c r="A854" s="187">
        <v>45</v>
      </c>
      <c r="B854" s="242">
        <f t="shared" si="305"/>
        <v>46997</v>
      </c>
      <c r="C854" s="243">
        <f t="shared" si="288"/>
        <v>47026</v>
      </c>
      <c r="D854" s="120">
        <f t="shared" si="289"/>
        <v>30</v>
      </c>
      <c r="E854" s="120">
        <f t="shared" si="290"/>
        <v>9</v>
      </c>
      <c r="F854" s="275">
        <f t="shared" si="291"/>
        <v>47012</v>
      </c>
      <c r="G854" s="120">
        <f t="shared" si="292"/>
        <v>24344</v>
      </c>
      <c r="H854" s="245">
        <f t="shared" si="293"/>
        <v>1</v>
      </c>
      <c r="I854" s="121">
        <f t="shared" si="294"/>
        <v>1.04</v>
      </c>
      <c r="J854" s="121">
        <f t="shared" si="295"/>
        <v>1.04</v>
      </c>
      <c r="K854" s="120">
        <f t="shared" si="296"/>
        <v>0</v>
      </c>
      <c r="L854" s="120">
        <f t="shared" si="297"/>
        <v>0</v>
      </c>
      <c r="M854" s="246">
        <f t="shared" si="298"/>
        <v>0</v>
      </c>
      <c r="N854" s="121">
        <f t="shared" si="299"/>
        <v>1.04</v>
      </c>
      <c r="O854" s="246">
        <f t="shared" si="300"/>
        <v>0.91</v>
      </c>
      <c r="P854" s="121">
        <f t="shared" si="301"/>
        <v>0</v>
      </c>
      <c r="Q854" s="121">
        <f t="shared" si="302"/>
        <v>0</v>
      </c>
      <c r="R854" s="121">
        <f t="shared" si="303"/>
        <v>0.58333333333333337</v>
      </c>
      <c r="AE854" s="160">
        <f t="shared" si="304"/>
        <v>1.028695652173913</v>
      </c>
    </row>
    <row r="855" spans="1:31" x14ac:dyDescent="0.3">
      <c r="A855" s="187">
        <v>46</v>
      </c>
      <c r="B855" s="242">
        <f t="shared" si="305"/>
        <v>47027</v>
      </c>
      <c r="C855" s="243">
        <f t="shared" si="288"/>
        <v>47057</v>
      </c>
      <c r="D855" s="120">
        <f t="shared" si="289"/>
        <v>31</v>
      </c>
      <c r="E855" s="120">
        <f t="shared" si="290"/>
        <v>10</v>
      </c>
      <c r="F855" s="275">
        <f t="shared" si="291"/>
        <v>47042.5</v>
      </c>
      <c r="G855" s="120">
        <f t="shared" si="292"/>
        <v>24345</v>
      </c>
      <c r="H855" s="245">
        <f t="shared" si="293"/>
        <v>1</v>
      </c>
      <c r="I855" s="121">
        <f t="shared" si="294"/>
        <v>1.04</v>
      </c>
      <c r="J855" s="121">
        <f t="shared" si="295"/>
        <v>1.04</v>
      </c>
      <c r="K855" s="120">
        <f t="shared" si="296"/>
        <v>0</v>
      </c>
      <c r="L855" s="120">
        <f t="shared" si="297"/>
        <v>0</v>
      </c>
      <c r="M855" s="246">
        <f t="shared" si="298"/>
        <v>0</v>
      </c>
      <c r="N855" s="121">
        <f t="shared" si="299"/>
        <v>1.04</v>
      </c>
      <c r="O855" s="246">
        <f t="shared" si="300"/>
        <v>0.91</v>
      </c>
      <c r="P855" s="121">
        <f t="shared" si="301"/>
        <v>0</v>
      </c>
      <c r="Q855" s="121">
        <f t="shared" si="302"/>
        <v>0</v>
      </c>
      <c r="R855" s="121">
        <f t="shared" si="303"/>
        <v>0.41666666666666669</v>
      </c>
      <c r="AE855" s="160">
        <f t="shared" si="304"/>
        <v>1.028695652173913</v>
      </c>
    </row>
    <row r="856" spans="1:31" x14ac:dyDescent="0.3">
      <c r="A856" s="187">
        <v>47</v>
      </c>
      <c r="B856" s="242">
        <f t="shared" si="305"/>
        <v>47058</v>
      </c>
      <c r="C856" s="243">
        <f t="shared" si="288"/>
        <v>47087</v>
      </c>
      <c r="D856" s="120">
        <f t="shared" si="289"/>
        <v>30</v>
      </c>
      <c r="E856" s="120">
        <f t="shared" si="290"/>
        <v>11</v>
      </c>
      <c r="F856" s="275">
        <f t="shared" si="291"/>
        <v>47073</v>
      </c>
      <c r="G856" s="120">
        <f t="shared" si="292"/>
        <v>24346</v>
      </c>
      <c r="H856" s="245">
        <f t="shared" si="293"/>
        <v>1</v>
      </c>
      <c r="I856" s="121">
        <f t="shared" si="294"/>
        <v>1.04</v>
      </c>
      <c r="J856" s="121">
        <f t="shared" si="295"/>
        <v>1.04</v>
      </c>
      <c r="K856" s="120">
        <f t="shared" si="296"/>
        <v>0</v>
      </c>
      <c r="L856" s="120">
        <f t="shared" si="297"/>
        <v>0</v>
      </c>
      <c r="M856" s="246">
        <f t="shared" si="298"/>
        <v>0</v>
      </c>
      <c r="N856" s="121">
        <f t="shared" si="299"/>
        <v>1.04</v>
      </c>
      <c r="O856" s="246">
        <f t="shared" si="300"/>
        <v>0.91</v>
      </c>
      <c r="P856" s="121">
        <f t="shared" si="301"/>
        <v>0</v>
      </c>
      <c r="Q856" s="121">
        <f t="shared" si="302"/>
        <v>0</v>
      </c>
      <c r="R856" s="121">
        <f t="shared" si="303"/>
        <v>0.25</v>
      </c>
      <c r="AE856" s="160">
        <f t="shared" si="304"/>
        <v>1.028695652173913</v>
      </c>
    </row>
    <row r="857" spans="1:31" x14ac:dyDescent="0.3">
      <c r="A857" s="187">
        <v>48</v>
      </c>
      <c r="B857" s="242">
        <f t="shared" si="305"/>
        <v>47088</v>
      </c>
      <c r="C857" s="243">
        <f t="shared" si="288"/>
        <v>47118</v>
      </c>
      <c r="D857" s="120">
        <f t="shared" si="289"/>
        <v>31</v>
      </c>
      <c r="E857" s="120">
        <f t="shared" si="290"/>
        <v>12</v>
      </c>
      <c r="F857" s="275">
        <f t="shared" si="291"/>
        <v>47103.5</v>
      </c>
      <c r="G857" s="120">
        <f t="shared" si="292"/>
        <v>24347</v>
      </c>
      <c r="H857" s="245">
        <f t="shared" si="293"/>
        <v>1</v>
      </c>
      <c r="I857" s="121">
        <f t="shared" si="294"/>
        <v>1.04</v>
      </c>
      <c r="J857" s="121">
        <f t="shared" si="295"/>
        <v>1.04</v>
      </c>
      <c r="K857" s="120">
        <f t="shared" si="296"/>
        <v>0</v>
      </c>
      <c r="L857" s="120">
        <f t="shared" si="297"/>
        <v>0</v>
      </c>
      <c r="M857" s="246">
        <f t="shared" si="298"/>
        <v>0</v>
      </c>
      <c r="N857" s="121">
        <f t="shared" si="299"/>
        <v>1.04</v>
      </c>
      <c r="O857" s="246">
        <f t="shared" si="300"/>
        <v>0.91</v>
      </c>
      <c r="P857" s="121">
        <f t="shared" si="301"/>
        <v>0</v>
      </c>
      <c r="Q857" s="121">
        <f t="shared" si="302"/>
        <v>0</v>
      </c>
      <c r="R857" s="121">
        <f t="shared" si="303"/>
        <v>8.3333333333333329E-2</v>
      </c>
      <c r="AE857" s="160">
        <f t="shared" si="304"/>
        <v>1.028695652173913</v>
      </c>
    </row>
    <row r="858" spans="1:31" x14ac:dyDescent="0.3">
      <c r="A858" s="23" t="s">
        <v>1723</v>
      </c>
      <c r="B858" s="279">
        <f>SUM($H$834:$H$845)</f>
        <v>12</v>
      </c>
      <c r="C858" s="160">
        <f>SUMPRODUCT($H$834:$H$845,$W$834:$W$845/$N$822:$N$833,$Y$834:$Y$845)</f>
        <v>12.16</v>
      </c>
      <c r="D858" s="160">
        <f>SUMPRODUCT($H$834:$H$845,$X$834:$X$845/$N$822:$N$833,$Y$834:$Y$845)</f>
        <v>9.0399999999999991</v>
      </c>
      <c r="E858" s="281" t="str">
        <f>IF(OR($D$807=0,$P$807=0,$D858=0),"n/a",((1+$E$807)*$B858-$C858)/$D858)</f>
        <v>n/a</v>
      </c>
      <c r="F858" s="281" t="str">
        <f>IF($V$807&lt;&gt;"",$V$807,$E858)</f>
        <v>n/a</v>
      </c>
      <c r="G858" s="281" t="str">
        <f>IF(OR(NOT(ISNUMBER($F858)),nd_Ach=0),"n/a",$F858/nd_Ach)</f>
        <v>n/a</v>
      </c>
      <c r="H858" s="220" t="str">
        <f>IF(OR(NOT(ISNUMBER($F858)),$F$807=0,SUMPRODUCT($AD$834:$AD$845,$AB$834:$AB$845)=0),"n/a",((1+$E$807)*$B858-SUMPRODUCT($AD$834:$AD$845,$AC$834:$AC$845))/SUMPRODUCT($AD$834:$AD$845,$AB$834:$AB$845))</f>
        <v>n/a</v>
      </c>
      <c r="I858" s="183" t="str">
        <f>IF(NOT(ISNUMBER($F858)),"n/a",SUMPRODUCT($H$834:$H$845,($W$834:$W$845+$X$834:$X$845*$F858)/$N$822:$N$833)/$B858-1)</f>
        <v>n/a</v>
      </c>
      <c r="J858" s="183" t="str">
        <f>IF(OR(NOT(ISNUMBER($I858)),$F$807=0),"n/a",(1+$E$807)/(1+$I858)-1)</f>
        <v>n/a</v>
      </c>
      <c r="K858" s="183" t="str">
        <f>IF(NOT(ISNUMBER($F858)),"n/a",($C858+$D858*$F858)/$B858-1)</f>
        <v>n/a</v>
      </c>
      <c r="L858" s="229" t="str">
        <f>IF(NOT(ISNUMBER($F858)),"n/a",SUMPRODUCT($H$834:$H$845,$AF$834:$AF$845)/$B858)</f>
        <v>n/a</v>
      </c>
      <c r="M858" s="23" t="str">
        <f>IF($D$807=0,"",TRIM(IF(AND(ISNUMBER($H858),OR($H858&lt;0.5,$H858&gt;1.5)),"MOD-BOUND ","")&amp;IF(AND(ISNUMBER($F858),ABS($F858)&gt;nr_SolvMaxRate),"RATE-BOUND ","")&amp;IF(AND(ISNUMBER($L858),$L858&lt;nr_SolvMinShare),"THIN-SHARE ","")&amp;IF($W$807&gt;1,"MULTI-PLANNED ","")&amp;IF($F$807=0,"RATE-ONLY","")))</f>
        <v/>
      </c>
      <c r="N858" s="229" t="str">
        <f>IF(OR($D$807=0,NOT(ISNUMBER($F858))),"n/a",INDEX(calc_lrcur,$C$807)*INDEX(calc_crl,$C$807)/(SUMPRODUCT($H$810:$H$857,$Q$810:$Q$857,$AE$810:$AE$857)/SUMPRODUCT($H$810:$H$857,$Q$810:$Q$857))*INDEX(calc_aother,$C$807))</f>
        <v>n/a</v>
      </c>
      <c r="O858" s="229" t="str">
        <f>IF($D$807=0,"n/a",INDEX(calc_cylr_p,$C$807))</f>
        <v>n/a</v>
      </c>
      <c r="P858" s="282">
        <f>IF(NOT(ISNUMBER($E858)),0,ABS(($C858+$D858*$E858)/$B858-(1+$E$807)))</f>
        <v>0</v>
      </c>
    </row>
    <row r="863" spans="1:31" x14ac:dyDescent="0.3">
      <c r="A863" s="23" t="str">
        <f>_lists!$B$14</f>
        <v>MN</v>
      </c>
      <c r="B863" s="23" t="str">
        <f>IF(OR($A863="",nd_BU="All"),"",nd_BU&amp;"|"&amp;$A863)</f>
        <v>SBA|MN</v>
      </c>
      <c r="C863" s="43">
        <f>IF($B863="",0,IF(COUNTIF(lr_key,$B863)=0,0,MATCH($B863,lr_key,0)))</f>
        <v>54</v>
      </c>
      <c r="D863" s="43">
        <f>IF($C863=0,0,IF(ISBLANK(INDEX(lr_netp,$C863)),0,1))</f>
        <v>0</v>
      </c>
      <c r="E863" s="229">
        <f>IF($D863=0,0,N(INDEX(lr_netp,$C863)))</f>
        <v>0</v>
      </c>
      <c r="F863" s="43">
        <f>IF($C863=0,0,IF(AND(nr_ModAdjMaster="ON",INDEX(lr_modadj,$C863)="ON"),1,0))</f>
        <v>1</v>
      </c>
      <c r="G863" s="220">
        <f>IF($C863=0,1,IF(N(INDEX(lr_mind,$C863))=0,1,INDEX(lr_mind,$C863)))</f>
        <v>0.92</v>
      </c>
      <c r="H863" s="220">
        <f>IF($C863=0,1,IF(N(INDEX(lr_m0,$C863))=0,1,INDEX(lr_m0,$C863)))</f>
        <v>0.91</v>
      </c>
      <c r="I863" s="278">
        <f>IF($C863=0,DATE(nr_PlanYear-1,10,1),IF(N(INDEX(lr_m0asof,$C863))=0,DATE(nr_PlanYear-1,10,1),INDEX(lr_m0asof,$C863)))</f>
        <v>46295</v>
      </c>
      <c r="J863" s="220">
        <f>IF($C863=0,1,IF(N(INDEX(lr_m1,$C863))=0,1,INDEX(lr_m1,$C863)))</f>
        <v>0.92500000000000004</v>
      </c>
      <c r="K863" s="220">
        <f>IF($C863=0,0,N(INDEX(lr_mprior,$C863)))</f>
        <v>0</v>
      </c>
      <c r="L863" s="220">
        <f>IF($C863=0,0,N(INDEX(lr_m2,$C863)))</f>
        <v>0</v>
      </c>
      <c r="M863" s="43">
        <f>IF(OR($A863="",COUNTIF(se_state,$A863)=0),0,MATCH($A863,se_state,0))</f>
        <v>0</v>
      </c>
      <c r="N863" s="279">
        <f>IF($M863=0,0,INDEX(se_sum,$M863))</f>
        <v>0</v>
      </c>
      <c r="O863" s="278">
        <f>IF('Net Delivery'!$D$20="",$X863,'Net Delivery'!$D$20)</f>
        <v>46478</v>
      </c>
      <c r="P863" s="43">
        <f>IF(AND($O863&gt;=DATE(nr_PlanYear,1,1),$O863&lt;=DATE(nr_PlanYear,12,31)),1,0)</f>
        <v>1</v>
      </c>
      <c r="Q863" s="43">
        <f>YEAR($O863)*12+MONTH($O863)-1</f>
        <v>24327</v>
      </c>
      <c r="R863" s="43">
        <f>DAY(EOMONTH($O863,0))</f>
        <v>30</v>
      </c>
      <c r="S863" s="43">
        <f>EOMONTH($O863,0)-$O863+1</f>
        <v>30</v>
      </c>
      <c r="T863" s="43">
        <f>SUMIFS(ndl_days,rl_key,$B863,ndl_effmonth,DATE(YEAR($O863),MONTH($O863),1),ndl_first,1)</f>
        <v>0</v>
      </c>
      <c r="U863" s="220">
        <f>IF($P863=1,MIN(1,MAX($S863,$T863)/$R863),1)</f>
        <v>1</v>
      </c>
      <c r="V863" s="280">
        <f>IF(ISBLANK('Net Delivery'!$E$20),$Y863,'Net Delivery'!$E$20)</f>
        <v>0.04</v>
      </c>
      <c r="W863" s="43">
        <f>IF($B863="",0,COUNTIFS(rl_key,$B863,rl_status,"planned",rl_eff,"&gt;="&amp;DATE(nr_PlanYear,1,1),rl_eff,"&lt;="&amp;DATE(nr_PlanYear,12,31)))</f>
        <v>1</v>
      </c>
      <c r="X863" s="278">
        <f>IF($W863=0,nd_DefaultDate,SUMIFS(rl_eff,rl_key,$B863,rl_firstplanned,1))</f>
        <v>46478</v>
      </c>
      <c r="Y863" s="280">
        <f>IF($W863=0,"",SUMIFS(rl_reff,rl_key,$B863,rl_firstplanned,1))</f>
        <v>0.04</v>
      </c>
      <c r="Z863" s="280">
        <f>IF($W863=0,"",SUMIFS(rl_filed,rl_key,$B863,rl_firstplanned,1))</f>
        <v>0.04</v>
      </c>
    </row>
    <row r="864" spans="1:31" x14ac:dyDescent="0.3">
      <c r="A864" s="6">
        <f>EDATE($I$863,-12)+1</f>
        <v>45931</v>
      </c>
      <c r="B864" s="6">
        <f>$I$863+1</f>
        <v>46296</v>
      </c>
      <c r="C864" s="6">
        <f>DATE(nr_PlanYear,12,31)+1</f>
        <v>46753</v>
      </c>
      <c r="D864" s="6">
        <f>DATE(nr_PlanYear+1,12,31)+1</f>
        <v>47119</v>
      </c>
      <c r="E864" s="6">
        <f>IF(N($K$863)=0,$F$864-($G$864-$F$864)/($C$864-$B$864)*($B$864-$A$864),$K$863)</f>
        <v>0.89801969365426693</v>
      </c>
      <c r="F864" s="6">
        <f>$H$863</f>
        <v>0.91</v>
      </c>
      <c r="G864" s="6">
        <f>$J$863</f>
        <v>0.92500000000000004</v>
      </c>
      <c r="H864" s="6">
        <f>IF(N($L$863)=0,$J$863,$L$863)</f>
        <v>0.92500000000000004</v>
      </c>
      <c r="I864" s="6">
        <f>($F$864-$E$864)/($B$864-$A$864)</f>
        <v>3.2822757111597549E-5</v>
      </c>
      <c r="J864" s="6">
        <f>($G$864-$F$864)/($C$864-$B$864)</f>
        <v>3.2822757111597407E-5</v>
      </c>
      <c r="K864" s="6">
        <f>($H$864-$G$864)/($D$864-$C$864)</f>
        <v>0</v>
      </c>
    </row>
    <row r="865" spans="1:31" ht="36" x14ac:dyDescent="0.3">
      <c r="A865" s="58" t="s">
        <v>390</v>
      </c>
      <c r="B865" s="58" t="s">
        <v>449</v>
      </c>
      <c r="C865" s="58" t="s">
        <v>685</v>
      </c>
      <c r="D865" s="58" t="s">
        <v>686</v>
      </c>
      <c r="E865" s="58" t="s">
        <v>687</v>
      </c>
      <c r="F865" s="58" t="s">
        <v>688</v>
      </c>
      <c r="G865" s="58" t="s">
        <v>689</v>
      </c>
      <c r="H865" s="58" t="s">
        <v>452</v>
      </c>
      <c r="I865" s="58" t="s">
        <v>690</v>
      </c>
      <c r="J865" s="58" t="s">
        <v>691</v>
      </c>
      <c r="K865" s="58" t="s">
        <v>692</v>
      </c>
      <c r="L865" s="58" t="s">
        <v>693</v>
      </c>
      <c r="M865" s="58" t="s">
        <v>694</v>
      </c>
      <c r="N865" s="58" t="s">
        <v>695</v>
      </c>
      <c r="O865" s="58" t="s">
        <v>696</v>
      </c>
      <c r="P865" s="58" t="s">
        <v>697</v>
      </c>
      <c r="Q865" s="58" t="s">
        <v>698</v>
      </c>
      <c r="R865" s="58" t="s">
        <v>699</v>
      </c>
      <c r="S865" s="58" t="s">
        <v>700</v>
      </c>
      <c r="T865" s="58" t="s">
        <v>701</v>
      </c>
      <c r="U865" s="58" t="s">
        <v>702</v>
      </c>
    </row>
    <row r="866" spans="1:31" x14ac:dyDescent="0.3">
      <c r="A866" s="187">
        <v>1</v>
      </c>
      <c r="B866" s="242">
        <f>DATE(nr_PlanYear-2,1,1)</f>
        <v>45658</v>
      </c>
      <c r="C866" s="243">
        <f t="shared" ref="C866:C913" si="316">EOMONTH($B866,0)</f>
        <v>45688</v>
      </c>
      <c r="D866" s="120">
        <f t="shared" ref="D866:D913" si="317">$C866-$B866+1</f>
        <v>31</v>
      </c>
      <c r="E866" s="120">
        <f t="shared" ref="E866:E913" si="318">MONTH($B866)</f>
        <v>1</v>
      </c>
      <c r="F866" s="275">
        <f t="shared" ref="F866:F913" si="319">($B866+$C866+1)/2</f>
        <v>45673.5</v>
      </c>
      <c r="G866" s="120">
        <f t="shared" ref="G866:G913" si="320">YEAR($B866)*12+MONTH($B866)-1</f>
        <v>24300</v>
      </c>
      <c r="H866" s="245">
        <f t="shared" ref="H866:H913" si="321">IF(OR(nr_SeasonOn="OFF",$M$863=0,$N$863=0),1,12*INDEX(se_block,$M$863,$E866)/$N$863)</f>
        <v>1</v>
      </c>
      <c r="I866" s="121">
        <f t="shared" ref="I866:I913" si="322">EXP(SUMPRODUCT((ndl_eff&lt;$B866)*(rl_key=$B$863)*ndl_ln))</f>
        <v>1</v>
      </c>
      <c r="J866" s="121">
        <f t="shared" ref="J866:J913" si="323">EXP(SUMPRODUCT((ndl_eff&lt;=$C866)*(rl_key=$B$863)*ndl_ln))</f>
        <v>1</v>
      </c>
      <c r="K866" s="120">
        <f t="shared" ref="K866:K913" si="324">COUNTIFS(rl_key,$B$863,ndl_eff,"&gt;="&amp;$B866,ndl_eff,"&lt;="&amp;$C866)</f>
        <v>0</v>
      </c>
      <c r="L866" s="120">
        <f t="shared" ref="L866:L913" si="325">SUMIFS(ndl_days,rl_key,$B$863,ndl_effmonth,$B866,ndl_first,1)</f>
        <v>0</v>
      </c>
      <c r="M866" s="246">
        <f t="shared" ref="M866:M913" si="326">IF($K866=0,0,MIN(1,$L866/$D866))</f>
        <v>0</v>
      </c>
      <c r="N866" s="121">
        <f t="shared" ref="N866:N913" si="327">IF($K866=0,$J866,(1-$M866)*$I866+$M866*$J866)</f>
        <v>1</v>
      </c>
      <c r="O866" s="246">
        <f t="shared" ref="O866:O913" si="328">IF($F866&lt;$B$864,$E$864+$I$864*($F866-$A$864),IF($F866&lt;$C$864,$F$864+$J$864*($F866-$B$864),$G$864+$K$864*($F866-$C$864)))</f>
        <v>0.88956783369803061</v>
      </c>
      <c r="P866" s="121">
        <f t="shared" ref="P866:P913" si="329">MIN(1,MAX(0,(nr_MEndPm1-$G866+0.5)/nr_TermMonths))-MIN(1,MAX(0,(nr_MStartPm1-1-$G866+0.5)/nr_TermMonths))</f>
        <v>0</v>
      </c>
      <c r="Q866" s="121">
        <f t="shared" ref="Q866:Q913" si="330">MIN(1,MAX(0,(nr_MEndP-$G866+0.5)/nr_TermMonths))-MIN(1,MAX(0,(nr_MStartP-1-$G866+0.5)/nr_TermMonths))</f>
        <v>0</v>
      </c>
      <c r="R866" s="121">
        <f t="shared" ref="R866:R913" si="331">MIN(1,MAX(0,(nr_MEndP1-$G866+0.5)/nr_TermMonths))-MIN(1,MAX(0,(nr_MStartP1-1-$G866+0.5)/nr_TermMonths))</f>
        <v>0</v>
      </c>
      <c r="AE866" s="160">
        <f t="shared" ref="AE866:AE913" si="332">IF(OR($G866&lt;nr_MStartP,$G866&gt;=nr_MStartP1),IF($F$863=1,$N866*$O866/$G$863,$N866),($W866+$X866*IF(ISNUMBER($F$914),$F$914,0))*IF($F$863=1,($AC866+$AB866*IF(ISNUMBER($H$914),$H$914,$J$863))/$G$863,1))</f>
        <v>0.96692155836742455</v>
      </c>
    </row>
    <row r="867" spans="1:31" x14ac:dyDescent="0.3">
      <c r="A867" s="187">
        <v>2</v>
      </c>
      <c r="B867" s="242">
        <f t="shared" ref="B867:B913" si="333">EDATE($B866,1)</f>
        <v>45689</v>
      </c>
      <c r="C867" s="243">
        <f t="shared" si="316"/>
        <v>45716</v>
      </c>
      <c r="D867" s="120">
        <f t="shared" si="317"/>
        <v>28</v>
      </c>
      <c r="E867" s="120">
        <f t="shared" si="318"/>
        <v>2</v>
      </c>
      <c r="F867" s="275">
        <f t="shared" si="319"/>
        <v>45703</v>
      </c>
      <c r="G867" s="120">
        <f t="shared" si="320"/>
        <v>24301</v>
      </c>
      <c r="H867" s="245">
        <f t="shared" si="321"/>
        <v>1</v>
      </c>
      <c r="I867" s="121">
        <f t="shared" si="322"/>
        <v>1</v>
      </c>
      <c r="J867" s="121">
        <f t="shared" si="323"/>
        <v>1</v>
      </c>
      <c r="K867" s="120">
        <f t="shared" si="324"/>
        <v>0</v>
      </c>
      <c r="L867" s="120">
        <f t="shared" si="325"/>
        <v>0</v>
      </c>
      <c r="M867" s="246">
        <f t="shared" si="326"/>
        <v>0</v>
      </c>
      <c r="N867" s="121">
        <f t="shared" si="327"/>
        <v>1</v>
      </c>
      <c r="O867" s="246">
        <f t="shared" si="328"/>
        <v>0.89053610503282266</v>
      </c>
      <c r="P867" s="121">
        <f t="shared" si="329"/>
        <v>0</v>
      </c>
      <c r="Q867" s="121">
        <f t="shared" si="330"/>
        <v>0</v>
      </c>
      <c r="R867" s="121">
        <f t="shared" si="331"/>
        <v>0</v>
      </c>
      <c r="AE867" s="160">
        <f t="shared" si="332"/>
        <v>0.9679740272095898</v>
      </c>
    </row>
    <row r="868" spans="1:31" x14ac:dyDescent="0.3">
      <c r="A868" s="187">
        <v>3</v>
      </c>
      <c r="B868" s="242">
        <f t="shared" si="333"/>
        <v>45717</v>
      </c>
      <c r="C868" s="243">
        <f t="shared" si="316"/>
        <v>45747</v>
      </c>
      <c r="D868" s="120">
        <f t="shared" si="317"/>
        <v>31</v>
      </c>
      <c r="E868" s="120">
        <f t="shared" si="318"/>
        <v>3</v>
      </c>
      <c r="F868" s="275">
        <f t="shared" si="319"/>
        <v>45732.5</v>
      </c>
      <c r="G868" s="120">
        <f t="shared" si="320"/>
        <v>24302</v>
      </c>
      <c r="H868" s="245">
        <f t="shared" si="321"/>
        <v>1</v>
      </c>
      <c r="I868" s="121">
        <f t="shared" si="322"/>
        <v>1</v>
      </c>
      <c r="J868" s="121">
        <f t="shared" si="323"/>
        <v>1</v>
      </c>
      <c r="K868" s="120">
        <f t="shared" si="324"/>
        <v>0</v>
      </c>
      <c r="L868" s="120">
        <f t="shared" si="325"/>
        <v>0</v>
      </c>
      <c r="M868" s="246">
        <f t="shared" si="326"/>
        <v>0</v>
      </c>
      <c r="N868" s="121">
        <f t="shared" si="327"/>
        <v>1</v>
      </c>
      <c r="O868" s="246">
        <f t="shared" si="328"/>
        <v>0.89150437636761481</v>
      </c>
      <c r="P868" s="121">
        <f t="shared" si="329"/>
        <v>0</v>
      </c>
      <c r="Q868" s="121">
        <f t="shared" si="330"/>
        <v>0</v>
      </c>
      <c r="R868" s="121">
        <f t="shared" si="331"/>
        <v>0</v>
      </c>
      <c r="AE868" s="160">
        <f t="shared" si="332"/>
        <v>0.96902649605175517</v>
      </c>
    </row>
    <row r="869" spans="1:31" x14ac:dyDescent="0.3">
      <c r="A869" s="187">
        <v>4</v>
      </c>
      <c r="B869" s="242">
        <f t="shared" si="333"/>
        <v>45748</v>
      </c>
      <c r="C869" s="243">
        <f t="shared" si="316"/>
        <v>45777</v>
      </c>
      <c r="D869" s="120">
        <f t="shared" si="317"/>
        <v>30</v>
      </c>
      <c r="E869" s="120">
        <f t="shared" si="318"/>
        <v>4</v>
      </c>
      <c r="F869" s="275">
        <f t="shared" si="319"/>
        <v>45763</v>
      </c>
      <c r="G869" s="120">
        <f t="shared" si="320"/>
        <v>24303</v>
      </c>
      <c r="H869" s="245">
        <f t="shared" si="321"/>
        <v>1</v>
      </c>
      <c r="I869" s="121">
        <f t="shared" si="322"/>
        <v>1</v>
      </c>
      <c r="J869" s="121">
        <f t="shared" si="323"/>
        <v>1</v>
      </c>
      <c r="K869" s="120">
        <f t="shared" si="324"/>
        <v>0</v>
      </c>
      <c r="L869" s="120">
        <f t="shared" si="325"/>
        <v>0</v>
      </c>
      <c r="M869" s="246">
        <f t="shared" si="326"/>
        <v>0</v>
      </c>
      <c r="N869" s="121">
        <f t="shared" si="327"/>
        <v>1</v>
      </c>
      <c r="O869" s="246">
        <f t="shared" si="328"/>
        <v>0.89250547045951856</v>
      </c>
      <c r="P869" s="121">
        <f t="shared" si="329"/>
        <v>0</v>
      </c>
      <c r="Q869" s="121">
        <f t="shared" si="330"/>
        <v>0</v>
      </c>
      <c r="R869" s="121">
        <f t="shared" si="331"/>
        <v>0</v>
      </c>
      <c r="AE869" s="160">
        <f t="shared" si="332"/>
        <v>0.97011464180382445</v>
      </c>
    </row>
    <row r="870" spans="1:31" x14ac:dyDescent="0.3">
      <c r="A870" s="187">
        <v>5</v>
      </c>
      <c r="B870" s="242">
        <f t="shared" si="333"/>
        <v>45778</v>
      </c>
      <c r="C870" s="243">
        <f t="shared" si="316"/>
        <v>45808</v>
      </c>
      <c r="D870" s="120">
        <f t="shared" si="317"/>
        <v>31</v>
      </c>
      <c r="E870" s="120">
        <f t="shared" si="318"/>
        <v>5</v>
      </c>
      <c r="F870" s="275">
        <f t="shared" si="319"/>
        <v>45793.5</v>
      </c>
      <c r="G870" s="120">
        <f t="shared" si="320"/>
        <v>24304</v>
      </c>
      <c r="H870" s="245">
        <f t="shared" si="321"/>
        <v>1</v>
      </c>
      <c r="I870" s="121">
        <f t="shared" si="322"/>
        <v>1</v>
      </c>
      <c r="J870" s="121">
        <f t="shared" si="323"/>
        <v>1</v>
      </c>
      <c r="K870" s="120">
        <f t="shared" si="324"/>
        <v>0</v>
      </c>
      <c r="L870" s="120">
        <f t="shared" si="325"/>
        <v>0</v>
      </c>
      <c r="M870" s="246">
        <f t="shared" si="326"/>
        <v>0</v>
      </c>
      <c r="N870" s="121">
        <f t="shared" si="327"/>
        <v>1</v>
      </c>
      <c r="O870" s="246">
        <f t="shared" si="328"/>
        <v>0.8935065645514223</v>
      </c>
      <c r="P870" s="121">
        <f t="shared" si="329"/>
        <v>0</v>
      </c>
      <c r="Q870" s="121">
        <f t="shared" si="330"/>
        <v>0</v>
      </c>
      <c r="R870" s="121">
        <f t="shared" si="331"/>
        <v>0</v>
      </c>
      <c r="AE870" s="160">
        <f t="shared" si="332"/>
        <v>0.97120278755589373</v>
      </c>
    </row>
    <row r="871" spans="1:31" x14ac:dyDescent="0.3">
      <c r="A871" s="187">
        <v>6</v>
      </c>
      <c r="B871" s="242">
        <f t="shared" si="333"/>
        <v>45809</v>
      </c>
      <c r="C871" s="243">
        <f t="shared" si="316"/>
        <v>45838</v>
      </c>
      <c r="D871" s="120">
        <f t="shared" si="317"/>
        <v>30</v>
      </c>
      <c r="E871" s="120">
        <f t="shared" si="318"/>
        <v>6</v>
      </c>
      <c r="F871" s="275">
        <f t="shared" si="319"/>
        <v>45824</v>
      </c>
      <c r="G871" s="120">
        <f t="shared" si="320"/>
        <v>24305</v>
      </c>
      <c r="H871" s="245">
        <f t="shared" si="321"/>
        <v>1</v>
      </c>
      <c r="I871" s="121">
        <f t="shared" si="322"/>
        <v>1</v>
      </c>
      <c r="J871" s="121">
        <f t="shared" si="323"/>
        <v>1</v>
      </c>
      <c r="K871" s="120">
        <f t="shared" si="324"/>
        <v>0</v>
      </c>
      <c r="L871" s="120">
        <f t="shared" si="325"/>
        <v>0</v>
      </c>
      <c r="M871" s="246">
        <f t="shared" si="326"/>
        <v>0</v>
      </c>
      <c r="N871" s="121">
        <f t="shared" si="327"/>
        <v>1</v>
      </c>
      <c r="O871" s="246">
        <f t="shared" si="328"/>
        <v>0.89450765864332604</v>
      </c>
      <c r="P871" s="121">
        <f t="shared" si="329"/>
        <v>0</v>
      </c>
      <c r="Q871" s="121">
        <f t="shared" si="330"/>
        <v>0</v>
      </c>
      <c r="R871" s="121">
        <f t="shared" si="331"/>
        <v>0</v>
      </c>
      <c r="AE871" s="160">
        <f t="shared" si="332"/>
        <v>0.97229093330796301</v>
      </c>
    </row>
    <row r="872" spans="1:31" x14ac:dyDescent="0.3">
      <c r="A872" s="187">
        <v>7</v>
      </c>
      <c r="B872" s="242">
        <f t="shared" si="333"/>
        <v>45839</v>
      </c>
      <c r="C872" s="243">
        <f t="shared" si="316"/>
        <v>45869</v>
      </c>
      <c r="D872" s="120">
        <f t="shared" si="317"/>
        <v>31</v>
      </c>
      <c r="E872" s="120">
        <f t="shared" si="318"/>
        <v>7</v>
      </c>
      <c r="F872" s="275">
        <f t="shared" si="319"/>
        <v>45854.5</v>
      </c>
      <c r="G872" s="120">
        <f t="shared" si="320"/>
        <v>24306</v>
      </c>
      <c r="H872" s="245">
        <f t="shared" si="321"/>
        <v>1</v>
      </c>
      <c r="I872" s="121">
        <f t="shared" si="322"/>
        <v>1</v>
      </c>
      <c r="J872" s="121">
        <f t="shared" si="323"/>
        <v>1</v>
      </c>
      <c r="K872" s="120">
        <f t="shared" si="324"/>
        <v>0</v>
      </c>
      <c r="L872" s="120">
        <f t="shared" si="325"/>
        <v>0</v>
      </c>
      <c r="M872" s="246">
        <f t="shared" si="326"/>
        <v>0</v>
      </c>
      <c r="N872" s="121">
        <f t="shared" si="327"/>
        <v>1</v>
      </c>
      <c r="O872" s="246">
        <f t="shared" si="328"/>
        <v>0.89550875273522967</v>
      </c>
      <c r="P872" s="121">
        <f t="shared" si="329"/>
        <v>8.333333333333337E-2</v>
      </c>
      <c r="Q872" s="121">
        <f t="shared" si="330"/>
        <v>0</v>
      </c>
      <c r="R872" s="121">
        <f t="shared" si="331"/>
        <v>0</v>
      </c>
      <c r="AE872" s="160">
        <f t="shared" si="332"/>
        <v>0.97337907906003218</v>
      </c>
    </row>
    <row r="873" spans="1:31" x14ac:dyDescent="0.3">
      <c r="A873" s="187">
        <v>8</v>
      </c>
      <c r="B873" s="242">
        <f t="shared" si="333"/>
        <v>45870</v>
      </c>
      <c r="C873" s="243">
        <f t="shared" si="316"/>
        <v>45900</v>
      </c>
      <c r="D873" s="120">
        <f t="shared" si="317"/>
        <v>31</v>
      </c>
      <c r="E873" s="120">
        <f t="shared" si="318"/>
        <v>8</v>
      </c>
      <c r="F873" s="275">
        <f t="shared" si="319"/>
        <v>45885.5</v>
      </c>
      <c r="G873" s="120">
        <f t="shared" si="320"/>
        <v>24307</v>
      </c>
      <c r="H873" s="245">
        <f t="shared" si="321"/>
        <v>1</v>
      </c>
      <c r="I873" s="121">
        <f t="shared" si="322"/>
        <v>1</v>
      </c>
      <c r="J873" s="121">
        <f t="shared" si="323"/>
        <v>1</v>
      </c>
      <c r="K873" s="120">
        <f t="shared" si="324"/>
        <v>0</v>
      </c>
      <c r="L873" s="120">
        <f t="shared" si="325"/>
        <v>0</v>
      </c>
      <c r="M873" s="246">
        <f t="shared" si="326"/>
        <v>0</v>
      </c>
      <c r="N873" s="121">
        <f t="shared" si="327"/>
        <v>1</v>
      </c>
      <c r="O873" s="246">
        <f t="shared" si="328"/>
        <v>0.89652625820568921</v>
      </c>
      <c r="P873" s="121">
        <f t="shared" si="329"/>
        <v>0.25</v>
      </c>
      <c r="Q873" s="121">
        <f t="shared" si="330"/>
        <v>0</v>
      </c>
      <c r="R873" s="121">
        <f t="shared" si="331"/>
        <v>0</v>
      </c>
      <c r="AE873" s="160">
        <f t="shared" si="332"/>
        <v>0.97448506326705342</v>
      </c>
    </row>
    <row r="874" spans="1:31" x14ac:dyDescent="0.3">
      <c r="A874" s="187">
        <v>9</v>
      </c>
      <c r="B874" s="242">
        <f t="shared" si="333"/>
        <v>45901</v>
      </c>
      <c r="C874" s="243">
        <f t="shared" si="316"/>
        <v>45930</v>
      </c>
      <c r="D874" s="120">
        <f t="shared" si="317"/>
        <v>30</v>
      </c>
      <c r="E874" s="120">
        <f t="shared" si="318"/>
        <v>9</v>
      </c>
      <c r="F874" s="275">
        <f t="shared" si="319"/>
        <v>45916</v>
      </c>
      <c r="G874" s="120">
        <f t="shared" si="320"/>
        <v>24308</v>
      </c>
      <c r="H874" s="245">
        <f t="shared" si="321"/>
        <v>1</v>
      </c>
      <c r="I874" s="121">
        <f t="shared" si="322"/>
        <v>1</v>
      </c>
      <c r="J874" s="121">
        <f t="shared" si="323"/>
        <v>1</v>
      </c>
      <c r="K874" s="120">
        <f t="shared" si="324"/>
        <v>0</v>
      </c>
      <c r="L874" s="120">
        <f t="shared" si="325"/>
        <v>0</v>
      </c>
      <c r="M874" s="246">
        <f t="shared" si="326"/>
        <v>0</v>
      </c>
      <c r="N874" s="121">
        <f t="shared" si="327"/>
        <v>1</v>
      </c>
      <c r="O874" s="246">
        <f t="shared" si="328"/>
        <v>0.89752735229759295</v>
      </c>
      <c r="P874" s="121">
        <f t="shared" si="329"/>
        <v>0.41666666666666663</v>
      </c>
      <c r="Q874" s="121">
        <f t="shared" si="330"/>
        <v>0</v>
      </c>
      <c r="R874" s="121">
        <f t="shared" si="331"/>
        <v>0</v>
      </c>
      <c r="AE874" s="160">
        <f t="shared" si="332"/>
        <v>0.9755732090191227</v>
      </c>
    </row>
    <row r="875" spans="1:31" x14ac:dyDescent="0.3">
      <c r="A875" s="187">
        <v>10</v>
      </c>
      <c r="B875" s="242">
        <f t="shared" si="333"/>
        <v>45931</v>
      </c>
      <c r="C875" s="243">
        <f t="shared" si="316"/>
        <v>45961</v>
      </c>
      <c r="D875" s="120">
        <f t="shared" si="317"/>
        <v>31</v>
      </c>
      <c r="E875" s="120">
        <f t="shared" si="318"/>
        <v>10</v>
      </c>
      <c r="F875" s="275">
        <f t="shared" si="319"/>
        <v>45946.5</v>
      </c>
      <c r="G875" s="120">
        <f t="shared" si="320"/>
        <v>24309</v>
      </c>
      <c r="H875" s="245">
        <f t="shared" si="321"/>
        <v>1</v>
      </c>
      <c r="I875" s="121">
        <f t="shared" si="322"/>
        <v>1</v>
      </c>
      <c r="J875" s="121">
        <f t="shared" si="323"/>
        <v>1</v>
      </c>
      <c r="K875" s="120">
        <f t="shared" si="324"/>
        <v>0</v>
      </c>
      <c r="L875" s="120">
        <f t="shared" si="325"/>
        <v>0</v>
      </c>
      <c r="M875" s="246">
        <f t="shared" si="326"/>
        <v>0</v>
      </c>
      <c r="N875" s="121">
        <f t="shared" si="327"/>
        <v>1</v>
      </c>
      <c r="O875" s="246">
        <f t="shared" si="328"/>
        <v>0.89852844638949669</v>
      </c>
      <c r="P875" s="121">
        <f t="shared" si="329"/>
        <v>0.58333333333333326</v>
      </c>
      <c r="Q875" s="121">
        <f t="shared" si="330"/>
        <v>0</v>
      </c>
      <c r="R875" s="121">
        <f t="shared" si="331"/>
        <v>0</v>
      </c>
      <c r="AE875" s="160">
        <f t="shared" si="332"/>
        <v>0.97666135477119198</v>
      </c>
    </row>
    <row r="876" spans="1:31" x14ac:dyDescent="0.3">
      <c r="A876" s="187">
        <v>11</v>
      </c>
      <c r="B876" s="242">
        <f t="shared" si="333"/>
        <v>45962</v>
      </c>
      <c r="C876" s="243">
        <f t="shared" si="316"/>
        <v>45991</v>
      </c>
      <c r="D876" s="120">
        <f t="shared" si="317"/>
        <v>30</v>
      </c>
      <c r="E876" s="120">
        <f t="shared" si="318"/>
        <v>11</v>
      </c>
      <c r="F876" s="275">
        <f t="shared" si="319"/>
        <v>45977</v>
      </c>
      <c r="G876" s="120">
        <f t="shared" si="320"/>
        <v>24310</v>
      </c>
      <c r="H876" s="245">
        <f t="shared" si="321"/>
        <v>1</v>
      </c>
      <c r="I876" s="121">
        <f t="shared" si="322"/>
        <v>1</v>
      </c>
      <c r="J876" s="121">
        <f t="shared" si="323"/>
        <v>1</v>
      </c>
      <c r="K876" s="120">
        <f t="shared" si="324"/>
        <v>0</v>
      </c>
      <c r="L876" s="120">
        <f t="shared" si="325"/>
        <v>0</v>
      </c>
      <c r="M876" s="246">
        <f t="shared" si="326"/>
        <v>0</v>
      </c>
      <c r="N876" s="121">
        <f t="shared" si="327"/>
        <v>1</v>
      </c>
      <c r="O876" s="246">
        <f t="shared" si="328"/>
        <v>0.89952954048140044</v>
      </c>
      <c r="P876" s="121">
        <f t="shared" si="329"/>
        <v>0.75</v>
      </c>
      <c r="Q876" s="121">
        <f t="shared" si="330"/>
        <v>0</v>
      </c>
      <c r="R876" s="121">
        <f t="shared" si="331"/>
        <v>0</v>
      </c>
      <c r="AE876" s="160">
        <f t="shared" si="332"/>
        <v>0.97774950052326126</v>
      </c>
    </row>
    <row r="877" spans="1:31" x14ac:dyDescent="0.3">
      <c r="A877" s="187">
        <v>12</v>
      </c>
      <c r="B877" s="242">
        <f t="shared" si="333"/>
        <v>45992</v>
      </c>
      <c r="C877" s="243">
        <f t="shared" si="316"/>
        <v>46022</v>
      </c>
      <c r="D877" s="120">
        <f t="shared" si="317"/>
        <v>31</v>
      </c>
      <c r="E877" s="120">
        <f t="shared" si="318"/>
        <v>12</v>
      </c>
      <c r="F877" s="275">
        <f t="shared" si="319"/>
        <v>46007.5</v>
      </c>
      <c r="G877" s="120">
        <f t="shared" si="320"/>
        <v>24311</v>
      </c>
      <c r="H877" s="245">
        <f t="shared" si="321"/>
        <v>1</v>
      </c>
      <c r="I877" s="121">
        <f t="shared" si="322"/>
        <v>1</v>
      </c>
      <c r="J877" s="121">
        <f t="shared" si="323"/>
        <v>1</v>
      </c>
      <c r="K877" s="120">
        <f t="shared" si="324"/>
        <v>0</v>
      </c>
      <c r="L877" s="120">
        <f t="shared" si="325"/>
        <v>0</v>
      </c>
      <c r="M877" s="246">
        <f t="shared" si="326"/>
        <v>0</v>
      </c>
      <c r="N877" s="121">
        <f t="shared" si="327"/>
        <v>1</v>
      </c>
      <c r="O877" s="246">
        <f t="shared" si="328"/>
        <v>0.90053063457330418</v>
      </c>
      <c r="P877" s="121">
        <f t="shared" si="329"/>
        <v>0.91666666666666663</v>
      </c>
      <c r="Q877" s="121">
        <f t="shared" si="330"/>
        <v>0</v>
      </c>
      <c r="R877" s="121">
        <f t="shared" si="331"/>
        <v>0</v>
      </c>
      <c r="AE877" s="160">
        <f t="shared" si="332"/>
        <v>0.97883764627533054</v>
      </c>
    </row>
    <row r="878" spans="1:31" x14ac:dyDescent="0.3">
      <c r="A878" s="187">
        <v>13</v>
      </c>
      <c r="B878" s="242">
        <f t="shared" si="333"/>
        <v>46023</v>
      </c>
      <c r="C878" s="243">
        <f t="shared" si="316"/>
        <v>46053</v>
      </c>
      <c r="D878" s="120">
        <f t="shared" si="317"/>
        <v>31</v>
      </c>
      <c r="E878" s="120">
        <f t="shared" si="318"/>
        <v>1</v>
      </c>
      <c r="F878" s="275">
        <f t="shared" si="319"/>
        <v>46038.5</v>
      </c>
      <c r="G878" s="120">
        <f t="shared" si="320"/>
        <v>24312</v>
      </c>
      <c r="H878" s="245">
        <f t="shared" si="321"/>
        <v>1</v>
      </c>
      <c r="I878" s="121">
        <f t="shared" si="322"/>
        <v>1</v>
      </c>
      <c r="J878" s="121">
        <f t="shared" si="323"/>
        <v>1</v>
      </c>
      <c r="K878" s="120">
        <f t="shared" si="324"/>
        <v>0</v>
      </c>
      <c r="L878" s="120">
        <f t="shared" si="325"/>
        <v>0</v>
      </c>
      <c r="M878" s="246">
        <f t="shared" si="326"/>
        <v>0</v>
      </c>
      <c r="N878" s="121">
        <f t="shared" si="327"/>
        <v>1</v>
      </c>
      <c r="O878" s="246">
        <f t="shared" si="328"/>
        <v>0.90154814004376371</v>
      </c>
      <c r="P878" s="121">
        <f t="shared" si="329"/>
        <v>1</v>
      </c>
      <c r="Q878" s="121">
        <f t="shared" si="330"/>
        <v>0</v>
      </c>
      <c r="R878" s="121">
        <f t="shared" si="331"/>
        <v>0</v>
      </c>
      <c r="AE878" s="160">
        <f t="shared" si="332"/>
        <v>0.97994363048235178</v>
      </c>
    </row>
    <row r="879" spans="1:31" x14ac:dyDescent="0.3">
      <c r="A879" s="187">
        <v>14</v>
      </c>
      <c r="B879" s="242">
        <f t="shared" si="333"/>
        <v>46054</v>
      </c>
      <c r="C879" s="243">
        <f t="shared" si="316"/>
        <v>46081</v>
      </c>
      <c r="D879" s="120">
        <f t="shared" si="317"/>
        <v>28</v>
      </c>
      <c r="E879" s="120">
        <f t="shared" si="318"/>
        <v>2</v>
      </c>
      <c r="F879" s="275">
        <f t="shared" si="319"/>
        <v>46068</v>
      </c>
      <c r="G879" s="120">
        <f t="shared" si="320"/>
        <v>24313</v>
      </c>
      <c r="H879" s="245">
        <f t="shared" si="321"/>
        <v>1</v>
      </c>
      <c r="I879" s="121">
        <f t="shared" si="322"/>
        <v>1</v>
      </c>
      <c r="J879" s="121">
        <f t="shared" si="323"/>
        <v>1</v>
      </c>
      <c r="K879" s="120">
        <f t="shared" si="324"/>
        <v>0</v>
      </c>
      <c r="L879" s="120">
        <f t="shared" si="325"/>
        <v>0</v>
      </c>
      <c r="M879" s="246">
        <f t="shared" si="326"/>
        <v>0</v>
      </c>
      <c r="N879" s="121">
        <f t="shared" si="327"/>
        <v>1</v>
      </c>
      <c r="O879" s="246">
        <f t="shared" si="328"/>
        <v>0.90251641137855576</v>
      </c>
      <c r="P879" s="121">
        <f t="shared" si="329"/>
        <v>1</v>
      </c>
      <c r="Q879" s="121">
        <f t="shared" si="330"/>
        <v>0</v>
      </c>
      <c r="R879" s="121">
        <f t="shared" si="331"/>
        <v>0</v>
      </c>
      <c r="AE879" s="160">
        <f t="shared" si="332"/>
        <v>0.98099609932451703</v>
      </c>
    </row>
    <row r="880" spans="1:31" x14ac:dyDescent="0.3">
      <c r="A880" s="187">
        <v>15</v>
      </c>
      <c r="B880" s="242">
        <f t="shared" si="333"/>
        <v>46082</v>
      </c>
      <c r="C880" s="243">
        <f t="shared" si="316"/>
        <v>46112</v>
      </c>
      <c r="D880" s="120">
        <f t="shared" si="317"/>
        <v>31</v>
      </c>
      <c r="E880" s="120">
        <f t="shared" si="318"/>
        <v>3</v>
      </c>
      <c r="F880" s="275">
        <f t="shared" si="319"/>
        <v>46097.5</v>
      </c>
      <c r="G880" s="120">
        <f t="shared" si="320"/>
        <v>24314</v>
      </c>
      <c r="H880" s="245">
        <f t="shared" si="321"/>
        <v>1</v>
      </c>
      <c r="I880" s="121">
        <f t="shared" si="322"/>
        <v>1</v>
      </c>
      <c r="J880" s="121">
        <f t="shared" si="323"/>
        <v>1</v>
      </c>
      <c r="K880" s="120">
        <f t="shared" si="324"/>
        <v>0</v>
      </c>
      <c r="L880" s="120">
        <f t="shared" si="325"/>
        <v>0</v>
      </c>
      <c r="M880" s="246">
        <f t="shared" si="326"/>
        <v>0</v>
      </c>
      <c r="N880" s="121">
        <f t="shared" si="327"/>
        <v>1</v>
      </c>
      <c r="O880" s="246">
        <f t="shared" si="328"/>
        <v>0.90348468271334792</v>
      </c>
      <c r="P880" s="121">
        <f t="shared" si="329"/>
        <v>1</v>
      </c>
      <c r="Q880" s="121">
        <f t="shared" si="330"/>
        <v>0</v>
      </c>
      <c r="R880" s="121">
        <f t="shared" si="331"/>
        <v>0</v>
      </c>
      <c r="AE880" s="160">
        <f t="shared" si="332"/>
        <v>0.98204856816668251</v>
      </c>
    </row>
    <row r="881" spans="1:35" x14ac:dyDescent="0.3">
      <c r="A881" s="187">
        <v>16</v>
      </c>
      <c r="B881" s="242">
        <f t="shared" si="333"/>
        <v>46113</v>
      </c>
      <c r="C881" s="243">
        <f t="shared" si="316"/>
        <v>46142</v>
      </c>
      <c r="D881" s="120">
        <f t="shared" si="317"/>
        <v>30</v>
      </c>
      <c r="E881" s="120">
        <f t="shared" si="318"/>
        <v>4</v>
      </c>
      <c r="F881" s="275">
        <f t="shared" si="319"/>
        <v>46128</v>
      </c>
      <c r="G881" s="120">
        <f t="shared" si="320"/>
        <v>24315</v>
      </c>
      <c r="H881" s="245">
        <f t="shared" si="321"/>
        <v>1</v>
      </c>
      <c r="I881" s="121">
        <f t="shared" si="322"/>
        <v>1</v>
      </c>
      <c r="J881" s="121">
        <f t="shared" si="323"/>
        <v>1</v>
      </c>
      <c r="K881" s="120">
        <f t="shared" si="324"/>
        <v>0</v>
      </c>
      <c r="L881" s="120">
        <f t="shared" si="325"/>
        <v>0</v>
      </c>
      <c r="M881" s="246">
        <f t="shared" si="326"/>
        <v>0</v>
      </c>
      <c r="N881" s="121">
        <f t="shared" si="327"/>
        <v>1</v>
      </c>
      <c r="O881" s="246">
        <f t="shared" si="328"/>
        <v>0.90448577680525166</v>
      </c>
      <c r="P881" s="121">
        <f t="shared" si="329"/>
        <v>1</v>
      </c>
      <c r="Q881" s="121">
        <f t="shared" si="330"/>
        <v>0</v>
      </c>
      <c r="R881" s="121">
        <f t="shared" si="331"/>
        <v>0</v>
      </c>
      <c r="AE881" s="160">
        <f t="shared" si="332"/>
        <v>0.98313671391875179</v>
      </c>
    </row>
    <row r="882" spans="1:35" x14ac:dyDescent="0.3">
      <c r="A882" s="187">
        <v>17</v>
      </c>
      <c r="B882" s="242">
        <f t="shared" si="333"/>
        <v>46143</v>
      </c>
      <c r="C882" s="243">
        <f t="shared" si="316"/>
        <v>46173</v>
      </c>
      <c r="D882" s="120">
        <f t="shared" si="317"/>
        <v>31</v>
      </c>
      <c r="E882" s="120">
        <f t="shared" si="318"/>
        <v>5</v>
      </c>
      <c r="F882" s="275">
        <f t="shared" si="319"/>
        <v>46158.5</v>
      </c>
      <c r="G882" s="120">
        <f t="shared" si="320"/>
        <v>24316</v>
      </c>
      <c r="H882" s="245">
        <f t="shared" si="321"/>
        <v>1</v>
      </c>
      <c r="I882" s="121">
        <f t="shared" si="322"/>
        <v>1</v>
      </c>
      <c r="J882" s="121">
        <f t="shared" si="323"/>
        <v>1</v>
      </c>
      <c r="K882" s="120">
        <f t="shared" si="324"/>
        <v>0</v>
      </c>
      <c r="L882" s="120">
        <f t="shared" si="325"/>
        <v>0</v>
      </c>
      <c r="M882" s="246">
        <f t="shared" si="326"/>
        <v>0</v>
      </c>
      <c r="N882" s="121">
        <f t="shared" si="327"/>
        <v>1</v>
      </c>
      <c r="O882" s="246">
        <f t="shared" si="328"/>
        <v>0.9054868708971554</v>
      </c>
      <c r="P882" s="121">
        <f t="shared" si="329"/>
        <v>1</v>
      </c>
      <c r="Q882" s="121">
        <f t="shared" si="330"/>
        <v>0</v>
      </c>
      <c r="R882" s="121">
        <f t="shared" si="331"/>
        <v>0</v>
      </c>
      <c r="AE882" s="160">
        <f t="shared" si="332"/>
        <v>0.98422485967082107</v>
      </c>
    </row>
    <row r="883" spans="1:35" x14ac:dyDescent="0.3">
      <c r="A883" s="187">
        <v>18</v>
      </c>
      <c r="B883" s="242">
        <f t="shared" si="333"/>
        <v>46174</v>
      </c>
      <c r="C883" s="243">
        <f t="shared" si="316"/>
        <v>46203</v>
      </c>
      <c r="D883" s="120">
        <f t="shared" si="317"/>
        <v>30</v>
      </c>
      <c r="E883" s="120">
        <f t="shared" si="318"/>
        <v>6</v>
      </c>
      <c r="F883" s="275">
        <f t="shared" si="319"/>
        <v>46189</v>
      </c>
      <c r="G883" s="120">
        <f t="shared" si="320"/>
        <v>24317</v>
      </c>
      <c r="H883" s="245">
        <f t="shared" si="321"/>
        <v>1</v>
      </c>
      <c r="I883" s="121">
        <f t="shared" si="322"/>
        <v>1</v>
      </c>
      <c r="J883" s="121">
        <f t="shared" si="323"/>
        <v>1</v>
      </c>
      <c r="K883" s="120">
        <f t="shared" si="324"/>
        <v>0</v>
      </c>
      <c r="L883" s="120">
        <f t="shared" si="325"/>
        <v>0</v>
      </c>
      <c r="M883" s="246">
        <f t="shared" si="326"/>
        <v>0</v>
      </c>
      <c r="N883" s="121">
        <f t="shared" si="327"/>
        <v>1</v>
      </c>
      <c r="O883" s="246">
        <f t="shared" si="328"/>
        <v>0.90648796498905915</v>
      </c>
      <c r="P883" s="121">
        <f t="shared" si="329"/>
        <v>1</v>
      </c>
      <c r="Q883" s="121">
        <f t="shared" si="330"/>
        <v>0</v>
      </c>
      <c r="R883" s="121">
        <f t="shared" si="331"/>
        <v>0</v>
      </c>
      <c r="AE883" s="160">
        <f t="shared" si="332"/>
        <v>0.98531300542289035</v>
      </c>
    </row>
    <row r="884" spans="1:35" x14ac:dyDescent="0.3">
      <c r="A884" s="187">
        <v>19</v>
      </c>
      <c r="B884" s="242">
        <f t="shared" si="333"/>
        <v>46204</v>
      </c>
      <c r="C884" s="243">
        <f t="shared" si="316"/>
        <v>46234</v>
      </c>
      <c r="D884" s="120">
        <f t="shared" si="317"/>
        <v>31</v>
      </c>
      <c r="E884" s="120">
        <f t="shared" si="318"/>
        <v>7</v>
      </c>
      <c r="F884" s="275">
        <f t="shared" si="319"/>
        <v>46219.5</v>
      </c>
      <c r="G884" s="120">
        <f t="shared" si="320"/>
        <v>24318</v>
      </c>
      <c r="H884" s="245">
        <f t="shared" si="321"/>
        <v>1</v>
      </c>
      <c r="I884" s="121">
        <f t="shared" si="322"/>
        <v>1</v>
      </c>
      <c r="J884" s="121">
        <f t="shared" si="323"/>
        <v>1</v>
      </c>
      <c r="K884" s="120">
        <f t="shared" si="324"/>
        <v>0</v>
      </c>
      <c r="L884" s="120">
        <f t="shared" si="325"/>
        <v>0</v>
      </c>
      <c r="M884" s="246">
        <f t="shared" si="326"/>
        <v>0</v>
      </c>
      <c r="N884" s="121">
        <f t="shared" si="327"/>
        <v>1</v>
      </c>
      <c r="O884" s="246">
        <f t="shared" si="328"/>
        <v>0.90748905908096278</v>
      </c>
      <c r="P884" s="121">
        <f t="shared" si="329"/>
        <v>0.91666666666666663</v>
      </c>
      <c r="Q884" s="121">
        <f t="shared" si="330"/>
        <v>8.333333333333337E-2</v>
      </c>
      <c r="R884" s="121">
        <f t="shared" si="331"/>
        <v>0</v>
      </c>
      <c r="AE884" s="160">
        <f t="shared" si="332"/>
        <v>0.98640115117495952</v>
      </c>
    </row>
    <row r="885" spans="1:35" x14ac:dyDescent="0.3">
      <c r="A885" s="187">
        <v>20</v>
      </c>
      <c r="B885" s="242">
        <f t="shared" si="333"/>
        <v>46235</v>
      </c>
      <c r="C885" s="243">
        <f t="shared" si="316"/>
        <v>46265</v>
      </c>
      <c r="D885" s="120">
        <f t="shared" si="317"/>
        <v>31</v>
      </c>
      <c r="E885" s="120">
        <f t="shared" si="318"/>
        <v>8</v>
      </c>
      <c r="F885" s="275">
        <f t="shared" si="319"/>
        <v>46250.5</v>
      </c>
      <c r="G885" s="120">
        <f t="shared" si="320"/>
        <v>24319</v>
      </c>
      <c r="H885" s="245">
        <f t="shared" si="321"/>
        <v>1</v>
      </c>
      <c r="I885" s="121">
        <f t="shared" si="322"/>
        <v>1</v>
      </c>
      <c r="J885" s="121">
        <f t="shared" si="323"/>
        <v>1</v>
      </c>
      <c r="K885" s="120">
        <f t="shared" si="324"/>
        <v>0</v>
      </c>
      <c r="L885" s="120">
        <f t="shared" si="325"/>
        <v>0</v>
      </c>
      <c r="M885" s="246">
        <f t="shared" si="326"/>
        <v>0</v>
      </c>
      <c r="N885" s="121">
        <f t="shared" si="327"/>
        <v>1</v>
      </c>
      <c r="O885" s="246">
        <f t="shared" si="328"/>
        <v>0.90850656455142231</v>
      </c>
      <c r="P885" s="121">
        <f t="shared" si="329"/>
        <v>0.75</v>
      </c>
      <c r="Q885" s="121">
        <f t="shared" si="330"/>
        <v>0.25</v>
      </c>
      <c r="R885" s="121">
        <f t="shared" si="331"/>
        <v>0</v>
      </c>
      <c r="AE885" s="160">
        <f t="shared" si="332"/>
        <v>0.98750713538198076</v>
      </c>
    </row>
    <row r="886" spans="1:35" x14ac:dyDescent="0.3">
      <c r="A886" s="187">
        <v>21</v>
      </c>
      <c r="B886" s="242">
        <f t="shared" si="333"/>
        <v>46266</v>
      </c>
      <c r="C886" s="243">
        <f t="shared" si="316"/>
        <v>46295</v>
      </c>
      <c r="D886" s="120">
        <f t="shared" si="317"/>
        <v>30</v>
      </c>
      <c r="E886" s="120">
        <f t="shared" si="318"/>
        <v>9</v>
      </c>
      <c r="F886" s="275">
        <f t="shared" si="319"/>
        <v>46281</v>
      </c>
      <c r="G886" s="120">
        <f t="shared" si="320"/>
        <v>24320</v>
      </c>
      <c r="H886" s="245">
        <f t="shared" si="321"/>
        <v>1</v>
      </c>
      <c r="I886" s="121">
        <f t="shared" si="322"/>
        <v>1</v>
      </c>
      <c r="J886" s="121">
        <f t="shared" si="323"/>
        <v>1</v>
      </c>
      <c r="K886" s="120">
        <f t="shared" si="324"/>
        <v>0</v>
      </c>
      <c r="L886" s="120">
        <f t="shared" si="325"/>
        <v>0</v>
      </c>
      <c r="M886" s="246">
        <f t="shared" si="326"/>
        <v>0</v>
      </c>
      <c r="N886" s="121">
        <f t="shared" si="327"/>
        <v>1</v>
      </c>
      <c r="O886" s="246">
        <f t="shared" si="328"/>
        <v>0.90950765864332606</v>
      </c>
      <c r="P886" s="121">
        <f t="shared" si="329"/>
        <v>0.58333333333333337</v>
      </c>
      <c r="Q886" s="121">
        <f t="shared" si="330"/>
        <v>0.41666666666666663</v>
      </c>
      <c r="R886" s="121">
        <f t="shared" si="331"/>
        <v>0</v>
      </c>
      <c r="AE886" s="160">
        <f t="shared" si="332"/>
        <v>0.98859528113405004</v>
      </c>
    </row>
    <row r="887" spans="1:35" x14ac:dyDescent="0.3">
      <c r="A887" s="187">
        <v>22</v>
      </c>
      <c r="B887" s="242">
        <f t="shared" si="333"/>
        <v>46296</v>
      </c>
      <c r="C887" s="243">
        <f t="shared" si="316"/>
        <v>46326</v>
      </c>
      <c r="D887" s="120">
        <f t="shared" si="317"/>
        <v>31</v>
      </c>
      <c r="E887" s="120">
        <f t="shared" si="318"/>
        <v>10</v>
      </c>
      <c r="F887" s="275">
        <f t="shared" si="319"/>
        <v>46311.5</v>
      </c>
      <c r="G887" s="120">
        <f t="shared" si="320"/>
        <v>24321</v>
      </c>
      <c r="H887" s="245">
        <f t="shared" si="321"/>
        <v>1</v>
      </c>
      <c r="I887" s="121">
        <f t="shared" si="322"/>
        <v>1</v>
      </c>
      <c r="J887" s="121">
        <f t="shared" si="323"/>
        <v>1</v>
      </c>
      <c r="K887" s="120">
        <f t="shared" si="324"/>
        <v>0</v>
      </c>
      <c r="L887" s="120">
        <f t="shared" si="325"/>
        <v>0</v>
      </c>
      <c r="M887" s="246">
        <f t="shared" si="326"/>
        <v>0</v>
      </c>
      <c r="N887" s="121">
        <f t="shared" si="327"/>
        <v>1</v>
      </c>
      <c r="O887" s="246">
        <f t="shared" si="328"/>
        <v>0.9105087527352298</v>
      </c>
      <c r="P887" s="121">
        <f t="shared" si="329"/>
        <v>0.41666666666666669</v>
      </c>
      <c r="Q887" s="121">
        <f t="shared" si="330"/>
        <v>0.58333333333333326</v>
      </c>
      <c r="R887" s="121">
        <f t="shared" si="331"/>
        <v>0</v>
      </c>
      <c r="AE887" s="160">
        <f t="shared" si="332"/>
        <v>0.98968342688611932</v>
      </c>
    </row>
    <row r="888" spans="1:35" x14ac:dyDescent="0.3">
      <c r="A888" s="187">
        <v>23</v>
      </c>
      <c r="B888" s="242">
        <f t="shared" si="333"/>
        <v>46327</v>
      </c>
      <c r="C888" s="243">
        <f t="shared" si="316"/>
        <v>46356</v>
      </c>
      <c r="D888" s="120">
        <f t="shared" si="317"/>
        <v>30</v>
      </c>
      <c r="E888" s="120">
        <f t="shared" si="318"/>
        <v>11</v>
      </c>
      <c r="F888" s="275">
        <f t="shared" si="319"/>
        <v>46342</v>
      </c>
      <c r="G888" s="120">
        <f t="shared" si="320"/>
        <v>24322</v>
      </c>
      <c r="H888" s="245">
        <f t="shared" si="321"/>
        <v>1</v>
      </c>
      <c r="I888" s="121">
        <f t="shared" si="322"/>
        <v>1</v>
      </c>
      <c r="J888" s="121">
        <f t="shared" si="323"/>
        <v>1</v>
      </c>
      <c r="K888" s="120">
        <f t="shared" si="324"/>
        <v>0</v>
      </c>
      <c r="L888" s="120">
        <f t="shared" si="325"/>
        <v>0</v>
      </c>
      <c r="M888" s="246">
        <f t="shared" si="326"/>
        <v>0</v>
      </c>
      <c r="N888" s="121">
        <f t="shared" si="327"/>
        <v>1</v>
      </c>
      <c r="O888" s="246">
        <f t="shared" si="328"/>
        <v>0.91150984682713354</v>
      </c>
      <c r="P888" s="121">
        <f t="shared" si="329"/>
        <v>0.25</v>
      </c>
      <c r="Q888" s="121">
        <f t="shared" si="330"/>
        <v>0.75</v>
      </c>
      <c r="R888" s="121">
        <f t="shared" si="331"/>
        <v>0</v>
      </c>
      <c r="AE888" s="160">
        <f t="shared" si="332"/>
        <v>0.9907715726381886</v>
      </c>
    </row>
    <row r="889" spans="1:35" x14ac:dyDescent="0.3">
      <c r="A889" s="187">
        <v>24</v>
      </c>
      <c r="B889" s="242">
        <f t="shared" si="333"/>
        <v>46357</v>
      </c>
      <c r="C889" s="243">
        <f t="shared" si="316"/>
        <v>46387</v>
      </c>
      <c r="D889" s="120">
        <f t="shared" si="317"/>
        <v>31</v>
      </c>
      <c r="E889" s="120">
        <f t="shared" si="318"/>
        <v>12</v>
      </c>
      <c r="F889" s="275">
        <f t="shared" si="319"/>
        <v>46372.5</v>
      </c>
      <c r="G889" s="120">
        <f t="shared" si="320"/>
        <v>24323</v>
      </c>
      <c r="H889" s="245">
        <f t="shared" si="321"/>
        <v>1</v>
      </c>
      <c r="I889" s="121">
        <f t="shared" si="322"/>
        <v>1</v>
      </c>
      <c r="J889" s="121">
        <f t="shared" si="323"/>
        <v>1</v>
      </c>
      <c r="K889" s="120">
        <f t="shared" si="324"/>
        <v>0</v>
      </c>
      <c r="L889" s="120">
        <f t="shared" si="325"/>
        <v>0</v>
      </c>
      <c r="M889" s="246">
        <f t="shared" si="326"/>
        <v>0</v>
      </c>
      <c r="N889" s="121">
        <f t="shared" si="327"/>
        <v>1</v>
      </c>
      <c r="O889" s="246">
        <f t="shared" si="328"/>
        <v>0.91251094091903728</v>
      </c>
      <c r="P889" s="121">
        <f t="shared" si="329"/>
        <v>8.3333333333333329E-2</v>
      </c>
      <c r="Q889" s="121">
        <f t="shared" si="330"/>
        <v>0.91666666666666663</v>
      </c>
      <c r="R889" s="121">
        <f t="shared" si="331"/>
        <v>0</v>
      </c>
      <c r="AE889" s="160">
        <f t="shared" si="332"/>
        <v>0.99185971839025788</v>
      </c>
    </row>
    <row r="890" spans="1:35" x14ac:dyDescent="0.3">
      <c r="A890" s="187">
        <v>25</v>
      </c>
      <c r="B890" s="242">
        <f t="shared" si="333"/>
        <v>46388</v>
      </c>
      <c r="C890" s="243">
        <f t="shared" si="316"/>
        <v>46418</v>
      </c>
      <c r="D890" s="120">
        <f t="shared" si="317"/>
        <v>31</v>
      </c>
      <c r="E890" s="120">
        <f t="shared" si="318"/>
        <v>1</v>
      </c>
      <c r="F890" s="275">
        <f t="shared" si="319"/>
        <v>46403.5</v>
      </c>
      <c r="G890" s="120">
        <f t="shared" si="320"/>
        <v>24324</v>
      </c>
      <c r="H890" s="245">
        <f t="shared" si="321"/>
        <v>1</v>
      </c>
      <c r="I890" s="121">
        <f t="shared" si="322"/>
        <v>1</v>
      </c>
      <c r="J890" s="121">
        <f t="shared" si="323"/>
        <v>1</v>
      </c>
      <c r="K890" s="120">
        <f t="shared" si="324"/>
        <v>0</v>
      </c>
      <c r="L890" s="120">
        <f t="shared" si="325"/>
        <v>0</v>
      </c>
      <c r="M890" s="246">
        <f t="shared" si="326"/>
        <v>0</v>
      </c>
      <c r="N890" s="121">
        <f t="shared" si="327"/>
        <v>1</v>
      </c>
      <c r="O890" s="246">
        <f t="shared" si="328"/>
        <v>0.91352844638949671</v>
      </c>
      <c r="P890" s="121">
        <f t="shared" si="329"/>
        <v>0</v>
      </c>
      <c r="Q890" s="121">
        <f t="shared" si="330"/>
        <v>1</v>
      </c>
      <c r="R890" s="121">
        <f t="shared" si="331"/>
        <v>0</v>
      </c>
      <c r="W890" s="160">
        <f t="shared" ref="W890:W901" si="334">IF($G890&lt;&gt;$Q$863,$N890,(1-$U$863)*$I890+$U$863*$J890)</f>
        <v>1</v>
      </c>
      <c r="X890" s="160">
        <f t="shared" ref="X890:X901" si="335">IF($G890&lt;$Q$863,0,IF($G890&gt;$Q$863,$N890,$U$863*$J890))</f>
        <v>0</v>
      </c>
      <c r="Y890" s="160">
        <f t="shared" ref="Y890:Y901" si="336">IF($F$863=1,$O890/$O878,1)</f>
        <v>1.0132885930474567</v>
      </c>
      <c r="AB890" s="160">
        <f t="shared" ref="AB890:AB901" si="337">IF(AND(N($K$863)&lt;&gt;0,$F890&lt;=$B$864),0,($F890-$B$864)/($C$864-$B$864))</f>
        <v>0.23522975929978118</v>
      </c>
      <c r="AC890" s="220">
        <f t="shared" ref="AC890:AC901" si="338">IF(AND(N($K$863)&lt;&gt;0,$F890&lt;=$B$864),$O890,$F$864*(1-$AB890))</f>
        <v>0.69594091903719912</v>
      </c>
      <c r="AD890" s="160">
        <f t="shared" ref="AD890:AD901" si="339">$H890*($W890+$X890*IF(ISNUMBER($F$914),$F$914,0))/($N878*$O878)</f>
        <v>1.1092031091667021</v>
      </c>
      <c r="AE890" s="160">
        <f t="shared" si="332"/>
        <v>0.97662854911287122</v>
      </c>
      <c r="AF890" s="220">
        <f t="shared" ref="AF890:AF901" si="340">IF($G890&lt;$Q$863,0,IF($G890&gt;$Q$863,1,$U$863))</f>
        <v>0</v>
      </c>
      <c r="AG890" s="183" t="str">
        <f t="shared" ref="AG890:AG901" si="341">IF(OR($D$863=0,$P$863=0),"",($W890+$X890*IF(ISNUMBER($F$914),$F$914,0))/$N878-1)</f>
        <v/>
      </c>
      <c r="AH890" s="183" t="str">
        <f t="shared" ref="AH890:AH901" si="342">IF(OR($AG890="",$F$863=0),"",(1+$E$863)/(1+$AG890)-1)</f>
        <v/>
      </c>
      <c r="AI890" s="220" t="str">
        <f t="shared" ref="AI890:AI901" si="343">IF($AH890="","",$O878*(1+$E$863)/(1+$AG890))</f>
        <v/>
      </c>
    </row>
    <row r="891" spans="1:35" x14ac:dyDescent="0.3">
      <c r="A891" s="187">
        <v>26</v>
      </c>
      <c r="B891" s="242">
        <f t="shared" si="333"/>
        <v>46419</v>
      </c>
      <c r="C891" s="243">
        <f t="shared" si="316"/>
        <v>46446</v>
      </c>
      <c r="D891" s="120">
        <f t="shared" si="317"/>
        <v>28</v>
      </c>
      <c r="E891" s="120">
        <f t="shared" si="318"/>
        <v>2</v>
      </c>
      <c r="F891" s="275">
        <f t="shared" si="319"/>
        <v>46433</v>
      </c>
      <c r="G891" s="120">
        <f t="shared" si="320"/>
        <v>24325</v>
      </c>
      <c r="H891" s="245">
        <f t="shared" si="321"/>
        <v>1</v>
      </c>
      <c r="I891" s="121">
        <f t="shared" si="322"/>
        <v>1</v>
      </c>
      <c r="J891" s="121">
        <f t="shared" si="323"/>
        <v>1</v>
      </c>
      <c r="K891" s="120">
        <f t="shared" si="324"/>
        <v>0</v>
      </c>
      <c r="L891" s="120">
        <f t="shared" si="325"/>
        <v>0</v>
      </c>
      <c r="M891" s="246">
        <f t="shared" si="326"/>
        <v>0</v>
      </c>
      <c r="N891" s="121">
        <f t="shared" si="327"/>
        <v>1</v>
      </c>
      <c r="O891" s="246">
        <f t="shared" si="328"/>
        <v>0.91449671772428887</v>
      </c>
      <c r="P891" s="121">
        <f t="shared" si="329"/>
        <v>0</v>
      </c>
      <c r="Q891" s="121">
        <f t="shared" si="330"/>
        <v>1</v>
      </c>
      <c r="R891" s="121">
        <f t="shared" si="331"/>
        <v>0</v>
      </c>
      <c r="W891" s="160">
        <f t="shared" si="334"/>
        <v>1</v>
      </c>
      <c r="X891" s="160">
        <f t="shared" si="335"/>
        <v>0</v>
      </c>
      <c r="Y891" s="160">
        <f t="shared" si="336"/>
        <v>1.013274336283186</v>
      </c>
      <c r="AB891" s="160">
        <f t="shared" si="337"/>
        <v>0.29978118161925604</v>
      </c>
      <c r="AC891" s="220">
        <f t="shared" si="338"/>
        <v>0.637199124726477</v>
      </c>
      <c r="AD891" s="160">
        <f t="shared" si="339"/>
        <v>1.1080130924960603</v>
      </c>
      <c r="AE891" s="160">
        <f t="shared" si="332"/>
        <v>0.97319779909187354</v>
      </c>
      <c r="AF891" s="220">
        <f t="shared" si="340"/>
        <v>0</v>
      </c>
      <c r="AG891" s="183" t="str">
        <f t="shared" si="341"/>
        <v/>
      </c>
      <c r="AH891" s="183" t="str">
        <f t="shared" si="342"/>
        <v/>
      </c>
      <c r="AI891" s="220" t="str">
        <f t="shared" si="343"/>
        <v/>
      </c>
    </row>
    <row r="892" spans="1:35" x14ac:dyDescent="0.3">
      <c r="A892" s="187">
        <v>27</v>
      </c>
      <c r="B892" s="242">
        <f t="shared" si="333"/>
        <v>46447</v>
      </c>
      <c r="C892" s="243">
        <f t="shared" si="316"/>
        <v>46477</v>
      </c>
      <c r="D892" s="120">
        <f t="shared" si="317"/>
        <v>31</v>
      </c>
      <c r="E892" s="120">
        <f t="shared" si="318"/>
        <v>3</v>
      </c>
      <c r="F892" s="275">
        <f t="shared" si="319"/>
        <v>46462.5</v>
      </c>
      <c r="G892" s="120">
        <f t="shared" si="320"/>
        <v>24326</v>
      </c>
      <c r="H892" s="245">
        <f t="shared" si="321"/>
        <v>1</v>
      </c>
      <c r="I892" s="121">
        <f t="shared" si="322"/>
        <v>1</v>
      </c>
      <c r="J892" s="121">
        <f t="shared" si="323"/>
        <v>1</v>
      </c>
      <c r="K892" s="120">
        <f t="shared" si="324"/>
        <v>0</v>
      </c>
      <c r="L892" s="120">
        <f t="shared" si="325"/>
        <v>0</v>
      </c>
      <c r="M892" s="246">
        <f t="shared" si="326"/>
        <v>0</v>
      </c>
      <c r="N892" s="121">
        <f t="shared" si="327"/>
        <v>1</v>
      </c>
      <c r="O892" s="246">
        <f t="shared" si="328"/>
        <v>0.91546498905908102</v>
      </c>
      <c r="P892" s="121">
        <f t="shared" si="329"/>
        <v>0</v>
      </c>
      <c r="Q892" s="121">
        <f t="shared" si="330"/>
        <v>1</v>
      </c>
      <c r="R892" s="121">
        <f t="shared" si="331"/>
        <v>0</v>
      </c>
      <c r="W892" s="160">
        <f t="shared" si="334"/>
        <v>1</v>
      </c>
      <c r="X892" s="160">
        <f t="shared" si="335"/>
        <v>0</v>
      </c>
      <c r="Y892" s="160">
        <f t="shared" si="336"/>
        <v>1.0132601100770782</v>
      </c>
      <c r="AB892" s="160">
        <f t="shared" si="337"/>
        <v>0.36433260393873085</v>
      </c>
      <c r="AC892" s="220">
        <f t="shared" si="338"/>
        <v>0.57845733041575487</v>
      </c>
      <c r="AD892" s="160">
        <f t="shared" si="339"/>
        <v>1.106825626525064</v>
      </c>
      <c r="AE892" s="160">
        <f t="shared" si="332"/>
        <v>0.96976704907087574</v>
      </c>
      <c r="AF892" s="220">
        <f t="shared" si="340"/>
        <v>0</v>
      </c>
      <c r="AG892" s="183" t="str">
        <f t="shared" si="341"/>
        <v/>
      </c>
      <c r="AH892" s="183" t="str">
        <f t="shared" si="342"/>
        <v/>
      </c>
      <c r="AI892" s="220" t="str">
        <f t="shared" si="343"/>
        <v/>
      </c>
    </row>
    <row r="893" spans="1:35" x14ac:dyDescent="0.3">
      <c r="A893" s="187">
        <v>28</v>
      </c>
      <c r="B893" s="242">
        <f t="shared" si="333"/>
        <v>46478</v>
      </c>
      <c r="C893" s="243">
        <f t="shared" si="316"/>
        <v>46507</v>
      </c>
      <c r="D893" s="120">
        <f t="shared" si="317"/>
        <v>30</v>
      </c>
      <c r="E893" s="120">
        <f t="shared" si="318"/>
        <v>4</v>
      </c>
      <c r="F893" s="275">
        <f t="shared" si="319"/>
        <v>46493</v>
      </c>
      <c r="G893" s="120">
        <f t="shared" si="320"/>
        <v>24327</v>
      </c>
      <c r="H893" s="245">
        <f t="shared" si="321"/>
        <v>1</v>
      </c>
      <c r="I893" s="121">
        <f t="shared" si="322"/>
        <v>1</v>
      </c>
      <c r="J893" s="121">
        <f t="shared" si="323"/>
        <v>1</v>
      </c>
      <c r="K893" s="120">
        <f t="shared" si="324"/>
        <v>0</v>
      </c>
      <c r="L893" s="120">
        <f t="shared" si="325"/>
        <v>0</v>
      </c>
      <c r="M893" s="246">
        <f t="shared" si="326"/>
        <v>0</v>
      </c>
      <c r="N893" s="121">
        <f t="shared" si="327"/>
        <v>1</v>
      </c>
      <c r="O893" s="246">
        <f t="shared" si="328"/>
        <v>0.91646608315098477</v>
      </c>
      <c r="P893" s="121">
        <f t="shared" si="329"/>
        <v>0</v>
      </c>
      <c r="Q893" s="121">
        <f t="shared" si="330"/>
        <v>1</v>
      </c>
      <c r="R893" s="121">
        <f t="shared" si="331"/>
        <v>0</v>
      </c>
      <c r="W893" s="160">
        <f t="shared" si="334"/>
        <v>1</v>
      </c>
      <c r="X893" s="160">
        <f t="shared" si="335"/>
        <v>1</v>
      </c>
      <c r="Y893" s="160">
        <f t="shared" si="336"/>
        <v>1.013245433651869</v>
      </c>
      <c r="AB893" s="160">
        <f t="shared" si="337"/>
        <v>0.4310722100656455</v>
      </c>
      <c r="AC893" s="220">
        <f t="shared" si="338"/>
        <v>0.51772428884026267</v>
      </c>
      <c r="AD893" s="160">
        <f t="shared" si="339"/>
        <v>1.1498246038466191</v>
      </c>
      <c r="AE893" s="160">
        <f t="shared" si="332"/>
        <v>1.0048688025365569</v>
      </c>
      <c r="AF893" s="220">
        <f t="shared" si="340"/>
        <v>1</v>
      </c>
      <c r="AG893" s="183" t="str">
        <f t="shared" si="341"/>
        <v/>
      </c>
      <c r="AH893" s="183" t="str">
        <f t="shared" si="342"/>
        <v/>
      </c>
      <c r="AI893" s="220" t="str">
        <f t="shared" si="343"/>
        <v/>
      </c>
    </row>
    <row r="894" spans="1:35" x14ac:dyDescent="0.3">
      <c r="A894" s="187">
        <v>29</v>
      </c>
      <c r="B894" s="242">
        <f t="shared" si="333"/>
        <v>46508</v>
      </c>
      <c r="C894" s="243">
        <f t="shared" si="316"/>
        <v>46538</v>
      </c>
      <c r="D894" s="120">
        <f t="shared" si="317"/>
        <v>31</v>
      </c>
      <c r="E894" s="120">
        <f t="shared" si="318"/>
        <v>5</v>
      </c>
      <c r="F894" s="275">
        <f t="shared" si="319"/>
        <v>46523.5</v>
      </c>
      <c r="G894" s="120">
        <f t="shared" si="320"/>
        <v>24328</v>
      </c>
      <c r="H894" s="245">
        <f t="shared" si="321"/>
        <v>1</v>
      </c>
      <c r="I894" s="121">
        <f t="shared" si="322"/>
        <v>1</v>
      </c>
      <c r="J894" s="121">
        <f t="shared" si="323"/>
        <v>1</v>
      </c>
      <c r="K894" s="120">
        <f t="shared" si="324"/>
        <v>0</v>
      </c>
      <c r="L894" s="120">
        <f t="shared" si="325"/>
        <v>0</v>
      </c>
      <c r="M894" s="246">
        <f t="shared" si="326"/>
        <v>0</v>
      </c>
      <c r="N894" s="121">
        <f t="shared" si="327"/>
        <v>1</v>
      </c>
      <c r="O894" s="246">
        <f t="shared" si="328"/>
        <v>0.9174671772428884</v>
      </c>
      <c r="P894" s="121">
        <f t="shared" si="329"/>
        <v>0</v>
      </c>
      <c r="Q894" s="121">
        <f t="shared" si="330"/>
        <v>1</v>
      </c>
      <c r="R894" s="121">
        <f t="shared" si="331"/>
        <v>0</v>
      </c>
      <c r="W894" s="160">
        <f t="shared" si="334"/>
        <v>1</v>
      </c>
      <c r="X894" s="160">
        <f t="shared" si="335"/>
        <v>1</v>
      </c>
      <c r="Y894" s="160">
        <f t="shared" si="336"/>
        <v>1.0132307896787758</v>
      </c>
      <c r="AB894" s="160">
        <f t="shared" si="337"/>
        <v>0.49781181619256015</v>
      </c>
      <c r="AC894" s="220">
        <f t="shared" si="338"/>
        <v>0.45699124726477025</v>
      </c>
      <c r="AD894" s="160">
        <f t="shared" si="339"/>
        <v>1.1485533732472224</v>
      </c>
      <c r="AE894" s="160">
        <f t="shared" si="332"/>
        <v>1.0011798740394027</v>
      </c>
      <c r="AF894" s="220">
        <f t="shared" si="340"/>
        <v>1</v>
      </c>
      <c r="AG894" s="183" t="str">
        <f t="shared" si="341"/>
        <v/>
      </c>
      <c r="AH894" s="183" t="str">
        <f t="shared" si="342"/>
        <v/>
      </c>
      <c r="AI894" s="220" t="str">
        <f t="shared" si="343"/>
        <v/>
      </c>
    </row>
    <row r="895" spans="1:35" x14ac:dyDescent="0.3">
      <c r="A895" s="187">
        <v>30</v>
      </c>
      <c r="B895" s="242">
        <f t="shared" si="333"/>
        <v>46539</v>
      </c>
      <c r="C895" s="243">
        <f t="shared" si="316"/>
        <v>46568</v>
      </c>
      <c r="D895" s="120">
        <f t="shared" si="317"/>
        <v>30</v>
      </c>
      <c r="E895" s="120">
        <f t="shared" si="318"/>
        <v>6</v>
      </c>
      <c r="F895" s="275">
        <f t="shared" si="319"/>
        <v>46554</v>
      </c>
      <c r="G895" s="120">
        <f t="shared" si="320"/>
        <v>24329</v>
      </c>
      <c r="H895" s="245">
        <f t="shared" si="321"/>
        <v>1</v>
      </c>
      <c r="I895" s="121">
        <f t="shared" si="322"/>
        <v>1</v>
      </c>
      <c r="J895" s="121">
        <f t="shared" si="323"/>
        <v>1</v>
      </c>
      <c r="K895" s="120">
        <f t="shared" si="324"/>
        <v>0</v>
      </c>
      <c r="L895" s="120">
        <f t="shared" si="325"/>
        <v>0</v>
      </c>
      <c r="M895" s="246">
        <f t="shared" si="326"/>
        <v>0</v>
      </c>
      <c r="N895" s="121">
        <f t="shared" si="327"/>
        <v>1</v>
      </c>
      <c r="O895" s="246">
        <f t="shared" si="328"/>
        <v>0.91846827133479214</v>
      </c>
      <c r="P895" s="121">
        <f t="shared" si="329"/>
        <v>0</v>
      </c>
      <c r="Q895" s="121">
        <f t="shared" si="330"/>
        <v>1</v>
      </c>
      <c r="R895" s="121">
        <f t="shared" si="331"/>
        <v>0</v>
      </c>
      <c r="W895" s="160">
        <f t="shared" si="334"/>
        <v>1</v>
      </c>
      <c r="X895" s="160">
        <f t="shared" si="335"/>
        <v>1</v>
      </c>
      <c r="Y895" s="160">
        <f t="shared" si="336"/>
        <v>1.0132161780502817</v>
      </c>
      <c r="AB895" s="160">
        <f t="shared" si="337"/>
        <v>0.56455142231947486</v>
      </c>
      <c r="AC895" s="220">
        <f t="shared" si="338"/>
        <v>0.39625820568927789</v>
      </c>
      <c r="AD895" s="160">
        <f t="shared" si="339"/>
        <v>1.1472849504544191</v>
      </c>
      <c r="AE895" s="160">
        <f t="shared" si="332"/>
        <v>0.9974909455422486</v>
      </c>
      <c r="AF895" s="220">
        <f t="shared" si="340"/>
        <v>1</v>
      </c>
      <c r="AG895" s="183" t="str">
        <f t="shared" si="341"/>
        <v/>
      </c>
      <c r="AH895" s="183" t="str">
        <f t="shared" si="342"/>
        <v/>
      </c>
      <c r="AI895" s="220" t="str">
        <f t="shared" si="343"/>
        <v/>
      </c>
    </row>
    <row r="896" spans="1:35" x14ac:dyDescent="0.3">
      <c r="A896" s="187">
        <v>31</v>
      </c>
      <c r="B896" s="242">
        <f t="shared" si="333"/>
        <v>46569</v>
      </c>
      <c r="C896" s="243">
        <f t="shared" si="316"/>
        <v>46599</v>
      </c>
      <c r="D896" s="120">
        <f t="shared" si="317"/>
        <v>31</v>
      </c>
      <c r="E896" s="120">
        <f t="shared" si="318"/>
        <v>7</v>
      </c>
      <c r="F896" s="275">
        <f t="shared" si="319"/>
        <v>46584.5</v>
      </c>
      <c r="G896" s="120">
        <f t="shared" si="320"/>
        <v>24330</v>
      </c>
      <c r="H896" s="245">
        <f t="shared" si="321"/>
        <v>1</v>
      </c>
      <c r="I896" s="121">
        <f t="shared" si="322"/>
        <v>1</v>
      </c>
      <c r="J896" s="121">
        <f t="shared" si="323"/>
        <v>1</v>
      </c>
      <c r="K896" s="120">
        <f t="shared" si="324"/>
        <v>0</v>
      </c>
      <c r="L896" s="120">
        <f t="shared" si="325"/>
        <v>0</v>
      </c>
      <c r="M896" s="246">
        <f t="shared" si="326"/>
        <v>0</v>
      </c>
      <c r="N896" s="121">
        <f t="shared" si="327"/>
        <v>1</v>
      </c>
      <c r="O896" s="246">
        <f t="shared" si="328"/>
        <v>0.91946936542669588</v>
      </c>
      <c r="P896" s="121">
        <f t="shared" si="329"/>
        <v>0</v>
      </c>
      <c r="Q896" s="121">
        <f t="shared" si="330"/>
        <v>0.91666666666666663</v>
      </c>
      <c r="R896" s="121">
        <f t="shared" si="331"/>
        <v>8.333333333333337E-2</v>
      </c>
      <c r="W896" s="160">
        <f t="shared" si="334"/>
        <v>1</v>
      </c>
      <c r="X896" s="160">
        <f t="shared" si="335"/>
        <v>1</v>
      </c>
      <c r="Y896" s="160">
        <f t="shared" si="336"/>
        <v>1.0132015986593446</v>
      </c>
      <c r="AB896" s="160">
        <f t="shared" si="337"/>
        <v>0.63129102844638951</v>
      </c>
      <c r="AC896" s="220">
        <f t="shared" si="338"/>
        <v>0.33552516411378558</v>
      </c>
      <c r="AD896" s="160">
        <f t="shared" si="339"/>
        <v>1.146019326175937</v>
      </c>
      <c r="AE896" s="160">
        <f t="shared" si="332"/>
        <v>0.99380201704509441</v>
      </c>
      <c r="AF896" s="220">
        <f t="shared" si="340"/>
        <v>1</v>
      </c>
      <c r="AG896" s="183" t="str">
        <f t="shared" si="341"/>
        <v/>
      </c>
      <c r="AH896" s="183" t="str">
        <f t="shared" si="342"/>
        <v/>
      </c>
      <c r="AI896" s="220" t="str">
        <f t="shared" si="343"/>
        <v/>
      </c>
    </row>
    <row r="897" spans="1:35" x14ac:dyDescent="0.3">
      <c r="A897" s="187">
        <v>32</v>
      </c>
      <c r="B897" s="242">
        <f t="shared" si="333"/>
        <v>46600</v>
      </c>
      <c r="C897" s="243">
        <f t="shared" si="316"/>
        <v>46630</v>
      </c>
      <c r="D897" s="120">
        <f t="shared" si="317"/>
        <v>31</v>
      </c>
      <c r="E897" s="120">
        <f t="shared" si="318"/>
        <v>8</v>
      </c>
      <c r="F897" s="275">
        <f t="shared" si="319"/>
        <v>46615.5</v>
      </c>
      <c r="G897" s="120">
        <f t="shared" si="320"/>
        <v>24331</v>
      </c>
      <c r="H897" s="245">
        <f t="shared" si="321"/>
        <v>1</v>
      </c>
      <c r="I897" s="121">
        <f t="shared" si="322"/>
        <v>1</v>
      </c>
      <c r="J897" s="121">
        <f t="shared" si="323"/>
        <v>1</v>
      </c>
      <c r="K897" s="120">
        <f t="shared" si="324"/>
        <v>0</v>
      </c>
      <c r="L897" s="120">
        <f t="shared" si="325"/>
        <v>0</v>
      </c>
      <c r="M897" s="246">
        <f t="shared" si="326"/>
        <v>0</v>
      </c>
      <c r="N897" s="121">
        <f t="shared" si="327"/>
        <v>1</v>
      </c>
      <c r="O897" s="246">
        <f t="shared" si="328"/>
        <v>0.92048687089715542</v>
      </c>
      <c r="P897" s="121">
        <f t="shared" si="329"/>
        <v>0</v>
      </c>
      <c r="Q897" s="121">
        <f t="shared" si="330"/>
        <v>0.75</v>
      </c>
      <c r="R897" s="121">
        <f t="shared" si="331"/>
        <v>0.25</v>
      </c>
      <c r="W897" s="160">
        <f t="shared" si="334"/>
        <v>1</v>
      </c>
      <c r="X897" s="160">
        <f t="shared" si="335"/>
        <v>1</v>
      </c>
      <c r="Y897" s="160">
        <f t="shared" si="336"/>
        <v>1.0131868131868134</v>
      </c>
      <c r="AB897" s="160">
        <f t="shared" si="337"/>
        <v>0.69912472647702406</v>
      </c>
      <c r="AC897" s="220">
        <f t="shared" si="338"/>
        <v>0.27379649890590813</v>
      </c>
      <c r="AD897" s="160">
        <f t="shared" si="339"/>
        <v>1.1447358121330724</v>
      </c>
      <c r="AE897" s="160">
        <f t="shared" si="332"/>
        <v>0.99005261431028202</v>
      </c>
      <c r="AF897" s="220">
        <f t="shared" si="340"/>
        <v>1</v>
      </c>
      <c r="AG897" s="183" t="str">
        <f t="shared" si="341"/>
        <v/>
      </c>
      <c r="AH897" s="183" t="str">
        <f t="shared" si="342"/>
        <v/>
      </c>
      <c r="AI897" s="220" t="str">
        <f t="shared" si="343"/>
        <v/>
      </c>
    </row>
    <row r="898" spans="1:35" x14ac:dyDescent="0.3">
      <c r="A898" s="187">
        <v>33</v>
      </c>
      <c r="B898" s="242">
        <f t="shared" si="333"/>
        <v>46631</v>
      </c>
      <c r="C898" s="243">
        <f t="shared" si="316"/>
        <v>46660</v>
      </c>
      <c r="D898" s="120">
        <f t="shared" si="317"/>
        <v>30</v>
      </c>
      <c r="E898" s="120">
        <f t="shared" si="318"/>
        <v>9</v>
      </c>
      <c r="F898" s="275">
        <f t="shared" si="319"/>
        <v>46646</v>
      </c>
      <c r="G898" s="120">
        <f t="shared" si="320"/>
        <v>24332</v>
      </c>
      <c r="H898" s="245">
        <f t="shared" si="321"/>
        <v>1</v>
      </c>
      <c r="I898" s="121">
        <f t="shared" si="322"/>
        <v>1</v>
      </c>
      <c r="J898" s="121">
        <f t="shared" si="323"/>
        <v>1</v>
      </c>
      <c r="K898" s="120">
        <f t="shared" si="324"/>
        <v>0</v>
      </c>
      <c r="L898" s="120">
        <f t="shared" si="325"/>
        <v>0</v>
      </c>
      <c r="M898" s="246">
        <f t="shared" si="326"/>
        <v>0</v>
      </c>
      <c r="N898" s="121">
        <f t="shared" si="327"/>
        <v>1</v>
      </c>
      <c r="O898" s="246">
        <f t="shared" si="328"/>
        <v>0.92148796498905916</v>
      </c>
      <c r="P898" s="121">
        <f t="shared" si="329"/>
        <v>0</v>
      </c>
      <c r="Q898" s="121">
        <f t="shared" si="330"/>
        <v>0.58333333333333337</v>
      </c>
      <c r="R898" s="121">
        <f t="shared" si="331"/>
        <v>0.41666666666666663</v>
      </c>
      <c r="W898" s="160">
        <f t="shared" si="334"/>
        <v>1</v>
      </c>
      <c r="X898" s="160">
        <f t="shared" si="335"/>
        <v>1</v>
      </c>
      <c r="Y898" s="160">
        <f t="shared" si="336"/>
        <v>1.0131722984758629</v>
      </c>
      <c r="AB898" s="160">
        <f t="shared" si="337"/>
        <v>0.76586433260393871</v>
      </c>
      <c r="AC898" s="220">
        <f t="shared" si="338"/>
        <v>0.21306345733041579</v>
      </c>
      <c r="AD898" s="160">
        <f t="shared" si="339"/>
        <v>1.1434758026681422</v>
      </c>
      <c r="AE898" s="160">
        <f t="shared" si="332"/>
        <v>0.98636368581312772</v>
      </c>
      <c r="AF898" s="220">
        <f t="shared" si="340"/>
        <v>1</v>
      </c>
      <c r="AG898" s="183" t="str">
        <f t="shared" si="341"/>
        <v/>
      </c>
      <c r="AH898" s="183" t="str">
        <f t="shared" si="342"/>
        <v/>
      </c>
      <c r="AI898" s="220" t="str">
        <f t="shared" si="343"/>
        <v/>
      </c>
    </row>
    <row r="899" spans="1:35" x14ac:dyDescent="0.3">
      <c r="A899" s="187">
        <v>34</v>
      </c>
      <c r="B899" s="242">
        <f t="shared" si="333"/>
        <v>46661</v>
      </c>
      <c r="C899" s="243">
        <f t="shared" si="316"/>
        <v>46691</v>
      </c>
      <c r="D899" s="120">
        <f t="shared" si="317"/>
        <v>31</v>
      </c>
      <c r="E899" s="120">
        <f t="shared" si="318"/>
        <v>10</v>
      </c>
      <c r="F899" s="275">
        <f t="shared" si="319"/>
        <v>46676.5</v>
      </c>
      <c r="G899" s="120">
        <f t="shared" si="320"/>
        <v>24333</v>
      </c>
      <c r="H899" s="245">
        <f t="shared" si="321"/>
        <v>1</v>
      </c>
      <c r="I899" s="121">
        <f t="shared" si="322"/>
        <v>1</v>
      </c>
      <c r="J899" s="121">
        <f t="shared" si="323"/>
        <v>1</v>
      </c>
      <c r="K899" s="120">
        <f t="shared" si="324"/>
        <v>0</v>
      </c>
      <c r="L899" s="120">
        <f t="shared" si="325"/>
        <v>0</v>
      </c>
      <c r="M899" s="246">
        <f t="shared" si="326"/>
        <v>0</v>
      </c>
      <c r="N899" s="121">
        <f t="shared" si="327"/>
        <v>1</v>
      </c>
      <c r="O899" s="246">
        <f t="shared" si="328"/>
        <v>0.92248905908096279</v>
      </c>
      <c r="P899" s="121">
        <f t="shared" si="329"/>
        <v>0</v>
      </c>
      <c r="Q899" s="121">
        <f t="shared" si="330"/>
        <v>0.41666666666666669</v>
      </c>
      <c r="R899" s="121">
        <f t="shared" si="331"/>
        <v>0.58333333333333326</v>
      </c>
      <c r="W899" s="160">
        <f t="shared" si="334"/>
        <v>1</v>
      </c>
      <c r="X899" s="160">
        <f t="shared" si="335"/>
        <v>1</v>
      </c>
      <c r="Y899" s="160">
        <f t="shared" si="336"/>
        <v>1.0131578156824339</v>
      </c>
      <c r="AB899" s="160">
        <f t="shared" si="337"/>
        <v>0.83260393873085337</v>
      </c>
      <c r="AC899" s="220">
        <f t="shared" si="338"/>
        <v>0.15233041575492345</v>
      </c>
      <c r="AD899" s="160">
        <f t="shared" si="339"/>
        <v>1.1422185639355686</v>
      </c>
      <c r="AE899" s="160">
        <f t="shared" si="332"/>
        <v>0.98267475731597365</v>
      </c>
      <c r="AF899" s="220">
        <f t="shared" si="340"/>
        <v>1</v>
      </c>
      <c r="AG899" s="183" t="str">
        <f t="shared" si="341"/>
        <v/>
      </c>
      <c r="AH899" s="183" t="str">
        <f t="shared" si="342"/>
        <v/>
      </c>
      <c r="AI899" s="220" t="str">
        <f t="shared" si="343"/>
        <v/>
      </c>
    </row>
    <row r="900" spans="1:35" x14ac:dyDescent="0.3">
      <c r="A900" s="187">
        <v>35</v>
      </c>
      <c r="B900" s="242">
        <f t="shared" si="333"/>
        <v>46692</v>
      </c>
      <c r="C900" s="243">
        <f t="shared" si="316"/>
        <v>46721</v>
      </c>
      <c r="D900" s="120">
        <f t="shared" si="317"/>
        <v>30</v>
      </c>
      <c r="E900" s="120">
        <f t="shared" si="318"/>
        <v>11</v>
      </c>
      <c r="F900" s="275">
        <f t="shared" si="319"/>
        <v>46707</v>
      </c>
      <c r="G900" s="120">
        <f t="shared" si="320"/>
        <v>24334</v>
      </c>
      <c r="H900" s="245">
        <f t="shared" si="321"/>
        <v>1</v>
      </c>
      <c r="I900" s="121">
        <f t="shared" si="322"/>
        <v>1</v>
      </c>
      <c r="J900" s="121">
        <f t="shared" si="323"/>
        <v>1</v>
      </c>
      <c r="K900" s="120">
        <f t="shared" si="324"/>
        <v>0</v>
      </c>
      <c r="L900" s="120">
        <f t="shared" si="325"/>
        <v>0</v>
      </c>
      <c r="M900" s="246">
        <f t="shared" si="326"/>
        <v>0</v>
      </c>
      <c r="N900" s="121">
        <f t="shared" si="327"/>
        <v>1</v>
      </c>
      <c r="O900" s="246">
        <f t="shared" si="328"/>
        <v>0.92349015317286653</v>
      </c>
      <c r="P900" s="121">
        <f t="shared" si="329"/>
        <v>0</v>
      </c>
      <c r="Q900" s="121">
        <f t="shared" si="330"/>
        <v>0.25</v>
      </c>
      <c r="R900" s="121">
        <f t="shared" si="331"/>
        <v>0.75</v>
      </c>
      <c r="W900" s="160">
        <f t="shared" si="334"/>
        <v>1</v>
      </c>
      <c r="X900" s="160">
        <f t="shared" si="335"/>
        <v>1</v>
      </c>
      <c r="Y900" s="160">
        <f t="shared" si="336"/>
        <v>1.0131433647013635</v>
      </c>
      <c r="AB900" s="160">
        <f t="shared" si="337"/>
        <v>0.89934354485776802</v>
      </c>
      <c r="AC900" s="220">
        <f t="shared" si="338"/>
        <v>9.1597374179431104E-2</v>
      </c>
      <c r="AD900" s="160">
        <f t="shared" si="339"/>
        <v>1.1409640868062223</v>
      </c>
      <c r="AE900" s="160">
        <f t="shared" si="332"/>
        <v>0.97898582881881957</v>
      </c>
      <c r="AF900" s="220">
        <f t="shared" si="340"/>
        <v>1</v>
      </c>
      <c r="AG900" s="183" t="str">
        <f t="shared" si="341"/>
        <v/>
      </c>
      <c r="AH900" s="183" t="str">
        <f t="shared" si="342"/>
        <v/>
      </c>
      <c r="AI900" s="220" t="str">
        <f t="shared" si="343"/>
        <v/>
      </c>
    </row>
    <row r="901" spans="1:35" x14ac:dyDescent="0.3">
      <c r="A901" s="187">
        <v>36</v>
      </c>
      <c r="B901" s="242">
        <f t="shared" si="333"/>
        <v>46722</v>
      </c>
      <c r="C901" s="243">
        <f t="shared" si="316"/>
        <v>46752</v>
      </c>
      <c r="D901" s="120">
        <f t="shared" si="317"/>
        <v>31</v>
      </c>
      <c r="E901" s="120">
        <f t="shared" si="318"/>
        <v>12</v>
      </c>
      <c r="F901" s="275">
        <f t="shared" si="319"/>
        <v>46737.5</v>
      </c>
      <c r="G901" s="120">
        <f t="shared" si="320"/>
        <v>24335</v>
      </c>
      <c r="H901" s="245">
        <f t="shared" si="321"/>
        <v>1</v>
      </c>
      <c r="I901" s="121">
        <f t="shared" si="322"/>
        <v>1</v>
      </c>
      <c r="J901" s="121">
        <f t="shared" si="323"/>
        <v>1</v>
      </c>
      <c r="K901" s="120">
        <f t="shared" si="324"/>
        <v>0</v>
      </c>
      <c r="L901" s="120">
        <f t="shared" si="325"/>
        <v>0</v>
      </c>
      <c r="M901" s="246">
        <f t="shared" si="326"/>
        <v>0</v>
      </c>
      <c r="N901" s="121">
        <f t="shared" si="327"/>
        <v>1</v>
      </c>
      <c r="O901" s="246">
        <f t="shared" si="328"/>
        <v>0.92449124726477028</v>
      </c>
      <c r="P901" s="121">
        <f t="shared" si="329"/>
        <v>0</v>
      </c>
      <c r="Q901" s="121">
        <f t="shared" si="330"/>
        <v>8.3333333333333329E-2</v>
      </c>
      <c r="R901" s="121">
        <f t="shared" si="331"/>
        <v>0.91666666666666663</v>
      </c>
      <c r="W901" s="160">
        <f t="shared" si="334"/>
        <v>1</v>
      </c>
      <c r="X901" s="160">
        <f t="shared" si="335"/>
        <v>1</v>
      </c>
      <c r="Y901" s="160">
        <f t="shared" si="336"/>
        <v>1.0131289454279495</v>
      </c>
      <c r="AB901" s="160">
        <f t="shared" si="337"/>
        <v>0.96608315098468267</v>
      </c>
      <c r="AC901" s="220">
        <f t="shared" si="338"/>
        <v>3.0864332603938772E-2</v>
      </c>
      <c r="AD901" s="160">
        <f t="shared" si="339"/>
        <v>1.139712362191035</v>
      </c>
      <c r="AE901" s="160">
        <f t="shared" si="332"/>
        <v>0.97529690032166527</v>
      </c>
      <c r="AF901" s="220">
        <f t="shared" si="340"/>
        <v>1</v>
      </c>
      <c r="AG901" s="183" t="str">
        <f t="shared" si="341"/>
        <v/>
      </c>
      <c r="AH901" s="183" t="str">
        <f t="shared" si="342"/>
        <v/>
      </c>
      <c r="AI901" s="220" t="str">
        <f t="shared" si="343"/>
        <v/>
      </c>
    </row>
    <row r="902" spans="1:35" x14ac:dyDescent="0.3">
      <c r="A902" s="187">
        <v>37</v>
      </c>
      <c r="B902" s="242">
        <f t="shared" si="333"/>
        <v>46753</v>
      </c>
      <c r="C902" s="243">
        <f t="shared" si="316"/>
        <v>46783</v>
      </c>
      <c r="D902" s="120">
        <f t="shared" si="317"/>
        <v>31</v>
      </c>
      <c r="E902" s="120">
        <f t="shared" si="318"/>
        <v>1</v>
      </c>
      <c r="F902" s="275">
        <f t="shared" si="319"/>
        <v>46768.5</v>
      </c>
      <c r="G902" s="120">
        <f t="shared" si="320"/>
        <v>24336</v>
      </c>
      <c r="H902" s="245">
        <f t="shared" si="321"/>
        <v>1</v>
      </c>
      <c r="I902" s="121">
        <f t="shared" si="322"/>
        <v>1</v>
      </c>
      <c r="J902" s="121">
        <f t="shared" si="323"/>
        <v>1</v>
      </c>
      <c r="K902" s="120">
        <f t="shared" si="324"/>
        <v>0</v>
      </c>
      <c r="L902" s="120">
        <f t="shared" si="325"/>
        <v>0</v>
      </c>
      <c r="M902" s="246">
        <f t="shared" si="326"/>
        <v>0</v>
      </c>
      <c r="N902" s="121">
        <f t="shared" si="327"/>
        <v>1</v>
      </c>
      <c r="O902" s="246">
        <f t="shared" si="328"/>
        <v>0.92500000000000004</v>
      </c>
      <c r="P902" s="121">
        <f t="shared" si="329"/>
        <v>0</v>
      </c>
      <c r="Q902" s="121">
        <f t="shared" si="330"/>
        <v>0</v>
      </c>
      <c r="R902" s="121">
        <f t="shared" si="331"/>
        <v>1</v>
      </c>
      <c r="AE902" s="160">
        <f t="shared" si="332"/>
        <v>1.0054347826086956</v>
      </c>
    </row>
    <row r="903" spans="1:35" x14ac:dyDescent="0.3">
      <c r="A903" s="187">
        <v>38</v>
      </c>
      <c r="B903" s="242">
        <f t="shared" si="333"/>
        <v>46784</v>
      </c>
      <c r="C903" s="243">
        <f t="shared" si="316"/>
        <v>46812</v>
      </c>
      <c r="D903" s="120">
        <f t="shared" si="317"/>
        <v>29</v>
      </c>
      <c r="E903" s="120">
        <f t="shared" si="318"/>
        <v>2</v>
      </c>
      <c r="F903" s="275">
        <f t="shared" si="319"/>
        <v>46798.5</v>
      </c>
      <c r="G903" s="120">
        <f t="shared" si="320"/>
        <v>24337</v>
      </c>
      <c r="H903" s="245">
        <f t="shared" si="321"/>
        <v>1</v>
      </c>
      <c r="I903" s="121">
        <f t="shared" si="322"/>
        <v>1</v>
      </c>
      <c r="J903" s="121">
        <f t="shared" si="323"/>
        <v>1</v>
      </c>
      <c r="K903" s="120">
        <f t="shared" si="324"/>
        <v>0</v>
      </c>
      <c r="L903" s="120">
        <f t="shared" si="325"/>
        <v>0</v>
      </c>
      <c r="M903" s="246">
        <f t="shared" si="326"/>
        <v>0</v>
      </c>
      <c r="N903" s="121">
        <f t="shared" si="327"/>
        <v>1</v>
      </c>
      <c r="O903" s="246">
        <f t="shared" si="328"/>
        <v>0.92500000000000004</v>
      </c>
      <c r="P903" s="121">
        <f t="shared" si="329"/>
        <v>0</v>
      </c>
      <c r="Q903" s="121">
        <f t="shared" si="330"/>
        <v>0</v>
      </c>
      <c r="R903" s="121">
        <f t="shared" si="331"/>
        <v>1</v>
      </c>
      <c r="AE903" s="160">
        <f t="shared" si="332"/>
        <v>1.0054347826086956</v>
      </c>
    </row>
    <row r="904" spans="1:35" x14ac:dyDescent="0.3">
      <c r="A904" s="187">
        <v>39</v>
      </c>
      <c r="B904" s="242">
        <f t="shared" si="333"/>
        <v>46813</v>
      </c>
      <c r="C904" s="243">
        <f t="shared" si="316"/>
        <v>46843</v>
      </c>
      <c r="D904" s="120">
        <f t="shared" si="317"/>
        <v>31</v>
      </c>
      <c r="E904" s="120">
        <f t="shared" si="318"/>
        <v>3</v>
      </c>
      <c r="F904" s="275">
        <f t="shared" si="319"/>
        <v>46828.5</v>
      </c>
      <c r="G904" s="120">
        <f t="shared" si="320"/>
        <v>24338</v>
      </c>
      <c r="H904" s="245">
        <f t="shared" si="321"/>
        <v>1</v>
      </c>
      <c r="I904" s="121">
        <f t="shared" si="322"/>
        <v>1</v>
      </c>
      <c r="J904" s="121">
        <f t="shared" si="323"/>
        <v>1</v>
      </c>
      <c r="K904" s="120">
        <f t="shared" si="324"/>
        <v>0</v>
      </c>
      <c r="L904" s="120">
        <f t="shared" si="325"/>
        <v>0</v>
      </c>
      <c r="M904" s="246">
        <f t="shared" si="326"/>
        <v>0</v>
      </c>
      <c r="N904" s="121">
        <f t="shared" si="327"/>
        <v>1</v>
      </c>
      <c r="O904" s="246">
        <f t="shared" si="328"/>
        <v>0.92500000000000004</v>
      </c>
      <c r="P904" s="121">
        <f t="shared" si="329"/>
        <v>0</v>
      </c>
      <c r="Q904" s="121">
        <f t="shared" si="330"/>
        <v>0</v>
      </c>
      <c r="R904" s="121">
        <f t="shared" si="331"/>
        <v>1</v>
      </c>
      <c r="AE904" s="160">
        <f t="shared" si="332"/>
        <v>1.0054347826086956</v>
      </c>
    </row>
    <row r="905" spans="1:35" x14ac:dyDescent="0.3">
      <c r="A905" s="187">
        <v>40</v>
      </c>
      <c r="B905" s="242">
        <f t="shared" si="333"/>
        <v>46844</v>
      </c>
      <c r="C905" s="243">
        <f t="shared" si="316"/>
        <v>46873</v>
      </c>
      <c r="D905" s="120">
        <f t="shared" si="317"/>
        <v>30</v>
      </c>
      <c r="E905" s="120">
        <f t="shared" si="318"/>
        <v>4</v>
      </c>
      <c r="F905" s="275">
        <f t="shared" si="319"/>
        <v>46859</v>
      </c>
      <c r="G905" s="120">
        <f t="shared" si="320"/>
        <v>24339</v>
      </c>
      <c r="H905" s="245">
        <f t="shared" si="321"/>
        <v>1</v>
      </c>
      <c r="I905" s="121">
        <f t="shared" si="322"/>
        <v>1</v>
      </c>
      <c r="J905" s="121">
        <f t="shared" si="323"/>
        <v>1</v>
      </c>
      <c r="K905" s="120">
        <f t="shared" si="324"/>
        <v>0</v>
      </c>
      <c r="L905" s="120">
        <f t="shared" si="325"/>
        <v>0</v>
      </c>
      <c r="M905" s="246">
        <f t="shared" si="326"/>
        <v>0</v>
      </c>
      <c r="N905" s="121">
        <f t="shared" si="327"/>
        <v>1</v>
      </c>
      <c r="O905" s="246">
        <f t="shared" si="328"/>
        <v>0.92500000000000004</v>
      </c>
      <c r="P905" s="121">
        <f t="shared" si="329"/>
        <v>0</v>
      </c>
      <c r="Q905" s="121">
        <f t="shared" si="330"/>
        <v>0</v>
      </c>
      <c r="R905" s="121">
        <f t="shared" si="331"/>
        <v>1</v>
      </c>
      <c r="AE905" s="160">
        <f t="shared" si="332"/>
        <v>1.0054347826086956</v>
      </c>
    </row>
    <row r="906" spans="1:35" x14ac:dyDescent="0.3">
      <c r="A906" s="187">
        <v>41</v>
      </c>
      <c r="B906" s="242">
        <f t="shared" si="333"/>
        <v>46874</v>
      </c>
      <c r="C906" s="243">
        <f t="shared" si="316"/>
        <v>46904</v>
      </c>
      <c r="D906" s="120">
        <f t="shared" si="317"/>
        <v>31</v>
      </c>
      <c r="E906" s="120">
        <f t="shared" si="318"/>
        <v>5</v>
      </c>
      <c r="F906" s="275">
        <f t="shared" si="319"/>
        <v>46889.5</v>
      </c>
      <c r="G906" s="120">
        <f t="shared" si="320"/>
        <v>24340</v>
      </c>
      <c r="H906" s="245">
        <f t="shared" si="321"/>
        <v>1</v>
      </c>
      <c r="I906" s="121">
        <f t="shared" si="322"/>
        <v>1</v>
      </c>
      <c r="J906" s="121">
        <f t="shared" si="323"/>
        <v>1</v>
      </c>
      <c r="K906" s="120">
        <f t="shared" si="324"/>
        <v>0</v>
      </c>
      <c r="L906" s="120">
        <f t="shared" si="325"/>
        <v>0</v>
      </c>
      <c r="M906" s="246">
        <f t="shared" si="326"/>
        <v>0</v>
      </c>
      <c r="N906" s="121">
        <f t="shared" si="327"/>
        <v>1</v>
      </c>
      <c r="O906" s="246">
        <f t="shared" si="328"/>
        <v>0.92500000000000004</v>
      </c>
      <c r="P906" s="121">
        <f t="shared" si="329"/>
        <v>0</v>
      </c>
      <c r="Q906" s="121">
        <f t="shared" si="330"/>
        <v>0</v>
      </c>
      <c r="R906" s="121">
        <f t="shared" si="331"/>
        <v>1</v>
      </c>
      <c r="AE906" s="160">
        <f t="shared" si="332"/>
        <v>1.0054347826086956</v>
      </c>
    </row>
    <row r="907" spans="1:35" x14ac:dyDescent="0.3">
      <c r="A907" s="187">
        <v>42</v>
      </c>
      <c r="B907" s="242">
        <f t="shared" si="333"/>
        <v>46905</v>
      </c>
      <c r="C907" s="243">
        <f t="shared" si="316"/>
        <v>46934</v>
      </c>
      <c r="D907" s="120">
        <f t="shared" si="317"/>
        <v>30</v>
      </c>
      <c r="E907" s="120">
        <f t="shared" si="318"/>
        <v>6</v>
      </c>
      <c r="F907" s="275">
        <f t="shared" si="319"/>
        <v>46920</v>
      </c>
      <c r="G907" s="120">
        <f t="shared" si="320"/>
        <v>24341</v>
      </c>
      <c r="H907" s="245">
        <f t="shared" si="321"/>
        <v>1</v>
      </c>
      <c r="I907" s="121">
        <f t="shared" si="322"/>
        <v>1</v>
      </c>
      <c r="J907" s="121">
        <f t="shared" si="323"/>
        <v>1</v>
      </c>
      <c r="K907" s="120">
        <f t="shared" si="324"/>
        <v>0</v>
      </c>
      <c r="L907" s="120">
        <f t="shared" si="325"/>
        <v>0</v>
      </c>
      <c r="M907" s="246">
        <f t="shared" si="326"/>
        <v>0</v>
      </c>
      <c r="N907" s="121">
        <f t="shared" si="327"/>
        <v>1</v>
      </c>
      <c r="O907" s="246">
        <f t="shared" si="328"/>
        <v>0.92500000000000004</v>
      </c>
      <c r="P907" s="121">
        <f t="shared" si="329"/>
        <v>0</v>
      </c>
      <c r="Q907" s="121">
        <f t="shared" si="330"/>
        <v>0</v>
      </c>
      <c r="R907" s="121">
        <f t="shared" si="331"/>
        <v>1</v>
      </c>
      <c r="AE907" s="160">
        <f t="shared" si="332"/>
        <v>1.0054347826086956</v>
      </c>
    </row>
    <row r="908" spans="1:35" x14ac:dyDescent="0.3">
      <c r="A908" s="187">
        <v>43</v>
      </c>
      <c r="B908" s="242">
        <f t="shared" si="333"/>
        <v>46935</v>
      </c>
      <c r="C908" s="243">
        <f t="shared" si="316"/>
        <v>46965</v>
      </c>
      <c r="D908" s="120">
        <f t="shared" si="317"/>
        <v>31</v>
      </c>
      <c r="E908" s="120">
        <f t="shared" si="318"/>
        <v>7</v>
      </c>
      <c r="F908" s="275">
        <f t="shared" si="319"/>
        <v>46950.5</v>
      </c>
      <c r="G908" s="120">
        <f t="shared" si="320"/>
        <v>24342</v>
      </c>
      <c r="H908" s="245">
        <f t="shared" si="321"/>
        <v>1</v>
      </c>
      <c r="I908" s="121">
        <f t="shared" si="322"/>
        <v>1</v>
      </c>
      <c r="J908" s="121">
        <f t="shared" si="323"/>
        <v>1</v>
      </c>
      <c r="K908" s="120">
        <f t="shared" si="324"/>
        <v>0</v>
      </c>
      <c r="L908" s="120">
        <f t="shared" si="325"/>
        <v>0</v>
      </c>
      <c r="M908" s="246">
        <f t="shared" si="326"/>
        <v>0</v>
      </c>
      <c r="N908" s="121">
        <f t="shared" si="327"/>
        <v>1</v>
      </c>
      <c r="O908" s="246">
        <f t="shared" si="328"/>
        <v>0.92500000000000004</v>
      </c>
      <c r="P908" s="121">
        <f t="shared" si="329"/>
        <v>0</v>
      </c>
      <c r="Q908" s="121">
        <f t="shared" si="330"/>
        <v>0</v>
      </c>
      <c r="R908" s="121">
        <f t="shared" si="331"/>
        <v>0.91666666666666663</v>
      </c>
      <c r="AE908" s="160">
        <f t="shared" si="332"/>
        <v>1.0054347826086956</v>
      </c>
    </row>
    <row r="909" spans="1:35" x14ac:dyDescent="0.3">
      <c r="A909" s="187">
        <v>44</v>
      </c>
      <c r="B909" s="242">
        <f t="shared" si="333"/>
        <v>46966</v>
      </c>
      <c r="C909" s="243">
        <f t="shared" si="316"/>
        <v>46996</v>
      </c>
      <c r="D909" s="120">
        <f t="shared" si="317"/>
        <v>31</v>
      </c>
      <c r="E909" s="120">
        <f t="shared" si="318"/>
        <v>8</v>
      </c>
      <c r="F909" s="275">
        <f t="shared" si="319"/>
        <v>46981.5</v>
      </c>
      <c r="G909" s="120">
        <f t="shared" si="320"/>
        <v>24343</v>
      </c>
      <c r="H909" s="245">
        <f t="shared" si="321"/>
        <v>1</v>
      </c>
      <c r="I909" s="121">
        <f t="shared" si="322"/>
        <v>1</v>
      </c>
      <c r="J909" s="121">
        <f t="shared" si="323"/>
        <v>1</v>
      </c>
      <c r="K909" s="120">
        <f t="shared" si="324"/>
        <v>0</v>
      </c>
      <c r="L909" s="120">
        <f t="shared" si="325"/>
        <v>0</v>
      </c>
      <c r="M909" s="246">
        <f t="shared" si="326"/>
        <v>0</v>
      </c>
      <c r="N909" s="121">
        <f t="shared" si="327"/>
        <v>1</v>
      </c>
      <c r="O909" s="246">
        <f t="shared" si="328"/>
        <v>0.92500000000000004</v>
      </c>
      <c r="P909" s="121">
        <f t="shared" si="329"/>
        <v>0</v>
      </c>
      <c r="Q909" s="121">
        <f t="shared" si="330"/>
        <v>0</v>
      </c>
      <c r="R909" s="121">
        <f t="shared" si="331"/>
        <v>0.75</v>
      </c>
      <c r="AE909" s="160">
        <f t="shared" si="332"/>
        <v>1.0054347826086956</v>
      </c>
    </row>
    <row r="910" spans="1:35" x14ac:dyDescent="0.3">
      <c r="A910" s="187">
        <v>45</v>
      </c>
      <c r="B910" s="242">
        <f t="shared" si="333"/>
        <v>46997</v>
      </c>
      <c r="C910" s="243">
        <f t="shared" si="316"/>
        <v>47026</v>
      </c>
      <c r="D910" s="120">
        <f t="shared" si="317"/>
        <v>30</v>
      </c>
      <c r="E910" s="120">
        <f t="shared" si="318"/>
        <v>9</v>
      </c>
      <c r="F910" s="275">
        <f t="shared" si="319"/>
        <v>47012</v>
      </c>
      <c r="G910" s="120">
        <f t="shared" si="320"/>
        <v>24344</v>
      </c>
      <c r="H910" s="245">
        <f t="shared" si="321"/>
        <v>1</v>
      </c>
      <c r="I910" s="121">
        <f t="shared" si="322"/>
        <v>1</v>
      </c>
      <c r="J910" s="121">
        <f t="shared" si="323"/>
        <v>1</v>
      </c>
      <c r="K910" s="120">
        <f t="shared" si="324"/>
        <v>0</v>
      </c>
      <c r="L910" s="120">
        <f t="shared" si="325"/>
        <v>0</v>
      </c>
      <c r="M910" s="246">
        <f t="shared" si="326"/>
        <v>0</v>
      </c>
      <c r="N910" s="121">
        <f t="shared" si="327"/>
        <v>1</v>
      </c>
      <c r="O910" s="246">
        <f t="shared" si="328"/>
        <v>0.92500000000000004</v>
      </c>
      <c r="P910" s="121">
        <f t="shared" si="329"/>
        <v>0</v>
      </c>
      <c r="Q910" s="121">
        <f t="shared" si="330"/>
        <v>0</v>
      </c>
      <c r="R910" s="121">
        <f t="shared" si="331"/>
        <v>0.58333333333333337</v>
      </c>
      <c r="AE910" s="160">
        <f t="shared" si="332"/>
        <v>1.0054347826086956</v>
      </c>
    </row>
    <row r="911" spans="1:35" x14ac:dyDescent="0.3">
      <c r="A911" s="187">
        <v>46</v>
      </c>
      <c r="B911" s="242">
        <f t="shared" si="333"/>
        <v>47027</v>
      </c>
      <c r="C911" s="243">
        <f t="shared" si="316"/>
        <v>47057</v>
      </c>
      <c r="D911" s="120">
        <f t="shared" si="317"/>
        <v>31</v>
      </c>
      <c r="E911" s="120">
        <f t="shared" si="318"/>
        <v>10</v>
      </c>
      <c r="F911" s="275">
        <f t="shared" si="319"/>
        <v>47042.5</v>
      </c>
      <c r="G911" s="120">
        <f t="shared" si="320"/>
        <v>24345</v>
      </c>
      <c r="H911" s="245">
        <f t="shared" si="321"/>
        <v>1</v>
      </c>
      <c r="I911" s="121">
        <f t="shared" si="322"/>
        <v>1</v>
      </c>
      <c r="J911" s="121">
        <f t="shared" si="323"/>
        <v>1</v>
      </c>
      <c r="K911" s="120">
        <f t="shared" si="324"/>
        <v>0</v>
      </c>
      <c r="L911" s="120">
        <f t="shared" si="325"/>
        <v>0</v>
      </c>
      <c r="M911" s="246">
        <f t="shared" si="326"/>
        <v>0</v>
      </c>
      <c r="N911" s="121">
        <f t="shared" si="327"/>
        <v>1</v>
      </c>
      <c r="O911" s="246">
        <f t="shared" si="328"/>
        <v>0.92500000000000004</v>
      </c>
      <c r="P911" s="121">
        <f t="shared" si="329"/>
        <v>0</v>
      </c>
      <c r="Q911" s="121">
        <f t="shared" si="330"/>
        <v>0</v>
      </c>
      <c r="R911" s="121">
        <f t="shared" si="331"/>
        <v>0.41666666666666669</v>
      </c>
      <c r="AE911" s="160">
        <f t="shared" si="332"/>
        <v>1.0054347826086956</v>
      </c>
    </row>
    <row r="912" spans="1:35" x14ac:dyDescent="0.3">
      <c r="A912" s="187">
        <v>47</v>
      </c>
      <c r="B912" s="242">
        <f t="shared" si="333"/>
        <v>47058</v>
      </c>
      <c r="C912" s="243">
        <f t="shared" si="316"/>
        <v>47087</v>
      </c>
      <c r="D912" s="120">
        <f t="shared" si="317"/>
        <v>30</v>
      </c>
      <c r="E912" s="120">
        <f t="shared" si="318"/>
        <v>11</v>
      </c>
      <c r="F912" s="275">
        <f t="shared" si="319"/>
        <v>47073</v>
      </c>
      <c r="G912" s="120">
        <f t="shared" si="320"/>
        <v>24346</v>
      </c>
      <c r="H912" s="245">
        <f t="shared" si="321"/>
        <v>1</v>
      </c>
      <c r="I912" s="121">
        <f t="shared" si="322"/>
        <v>1</v>
      </c>
      <c r="J912" s="121">
        <f t="shared" si="323"/>
        <v>1</v>
      </c>
      <c r="K912" s="120">
        <f t="shared" si="324"/>
        <v>0</v>
      </c>
      <c r="L912" s="120">
        <f t="shared" si="325"/>
        <v>0</v>
      </c>
      <c r="M912" s="246">
        <f t="shared" si="326"/>
        <v>0</v>
      </c>
      <c r="N912" s="121">
        <f t="shared" si="327"/>
        <v>1</v>
      </c>
      <c r="O912" s="246">
        <f t="shared" si="328"/>
        <v>0.92500000000000004</v>
      </c>
      <c r="P912" s="121">
        <f t="shared" si="329"/>
        <v>0</v>
      </c>
      <c r="Q912" s="121">
        <f t="shared" si="330"/>
        <v>0</v>
      </c>
      <c r="R912" s="121">
        <f t="shared" si="331"/>
        <v>0.25</v>
      </c>
      <c r="AE912" s="160">
        <f t="shared" si="332"/>
        <v>1.0054347826086956</v>
      </c>
    </row>
    <row r="913" spans="1:31" x14ac:dyDescent="0.3">
      <c r="A913" s="187">
        <v>48</v>
      </c>
      <c r="B913" s="242">
        <f t="shared" si="333"/>
        <v>47088</v>
      </c>
      <c r="C913" s="243">
        <f t="shared" si="316"/>
        <v>47118</v>
      </c>
      <c r="D913" s="120">
        <f t="shared" si="317"/>
        <v>31</v>
      </c>
      <c r="E913" s="120">
        <f t="shared" si="318"/>
        <v>12</v>
      </c>
      <c r="F913" s="275">
        <f t="shared" si="319"/>
        <v>47103.5</v>
      </c>
      <c r="G913" s="120">
        <f t="shared" si="320"/>
        <v>24347</v>
      </c>
      <c r="H913" s="245">
        <f t="shared" si="321"/>
        <v>1</v>
      </c>
      <c r="I913" s="121">
        <f t="shared" si="322"/>
        <v>1</v>
      </c>
      <c r="J913" s="121">
        <f t="shared" si="323"/>
        <v>1</v>
      </c>
      <c r="K913" s="120">
        <f t="shared" si="324"/>
        <v>0</v>
      </c>
      <c r="L913" s="120">
        <f t="shared" si="325"/>
        <v>0</v>
      </c>
      <c r="M913" s="246">
        <f t="shared" si="326"/>
        <v>0</v>
      </c>
      <c r="N913" s="121">
        <f t="shared" si="327"/>
        <v>1</v>
      </c>
      <c r="O913" s="246">
        <f t="shared" si="328"/>
        <v>0.92500000000000004</v>
      </c>
      <c r="P913" s="121">
        <f t="shared" si="329"/>
        <v>0</v>
      </c>
      <c r="Q913" s="121">
        <f t="shared" si="330"/>
        <v>0</v>
      </c>
      <c r="R913" s="121">
        <f t="shared" si="331"/>
        <v>8.3333333333333329E-2</v>
      </c>
      <c r="AE913" s="160">
        <f t="shared" si="332"/>
        <v>1.0054347826086956</v>
      </c>
    </row>
    <row r="914" spans="1:31" x14ac:dyDescent="0.3">
      <c r="A914" s="23" t="s">
        <v>1723</v>
      </c>
      <c r="B914" s="279">
        <f>SUM($H$890:$H$901)</f>
        <v>12</v>
      </c>
      <c r="C914" s="160">
        <f>SUMPRODUCT($H$890:$H$901,$W$890:$W$901/$N$878:$N$889,$Y$890:$Y$901)</f>
        <v>12.158506276922415</v>
      </c>
      <c r="D914" s="160">
        <f>SUMPRODUCT($H$890:$H$901,$X$890:$X$901/$N$878:$N$889,$Y$890:$Y$901)</f>
        <v>9.1186832375146931</v>
      </c>
      <c r="E914" s="281" t="str">
        <f>IF(OR($D$863=0,$P$863=0,$D914=0),"n/a",((1+$E$863)*$B914-$C914)/$D914)</f>
        <v>n/a</v>
      </c>
      <c r="F914" s="281">
        <f>IF($V$863&lt;&gt;"",$V$863,$E914)</f>
        <v>0.04</v>
      </c>
      <c r="G914" s="281">
        <f>IF(OR(NOT(ISNUMBER($F914)),nd_Ach=0),"n/a",$F914/nd_Ach)</f>
        <v>0.04</v>
      </c>
      <c r="H914" s="220">
        <f>IF(OR(NOT(ISNUMBER($F914)),$F$863=0,SUMPRODUCT($AD$890:$AD$901,$AB$890:$AB$901)=0),"n/a",((1+$E$863)*$B914-SUMPRODUCT($AD$890:$AD$901,$AC$890:$AC$901))/SUMPRODUCT($AD$890:$AD$901,$AB$890:$AB$901))</f>
        <v>0.8611042529210754</v>
      </c>
      <c r="I914" s="183">
        <f>IF(NOT(ISNUMBER($F914)),"n/a",SUMPRODUCT($H$890:$H$901,($W$890:$W$901+$X$890:$X$901*$F914)/$N$878:$N$889)/$B914-1)</f>
        <v>2.9999999999999583E-2</v>
      </c>
      <c r="J914" s="183">
        <f>IF(OR(NOT(ISNUMBER($I914)),$F$863=0),"n/a",(1+$E$863)/(1+$I914)-1)</f>
        <v>-2.9126213592232664E-2</v>
      </c>
      <c r="K914" s="183">
        <f>IF(NOT(ISNUMBER($F914)),"n/a",($C914+$D914*$F914)/$B914-1)</f>
        <v>4.3604467201916908E-2</v>
      </c>
      <c r="L914" s="229">
        <f>IF(NOT(ISNUMBER($F914)),"n/a",SUMPRODUCT($H$890:$H$901,$AF$890:$AF$901)/$B914)</f>
        <v>0.75</v>
      </c>
      <c r="M914" s="23" t="str">
        <f>IF($D$863=0,"",TRIM(IF(AND(ISNUMBER($H914),OR($H914&lt;0.5,$H914&gt;1.5)),"MOD-BOUND ","")&amp;IF(AND(ISNUMBER($F914),ABS($F914)&gt;nr_SolvMaxRate),"RATE-BOUND ","")&amp;IF(AND(ISNUMBER($L914),$L914&lt;nr_SolvMinShare),"THIN-SHARE ","")&amp;IF($W$863&gt;1,"MULTI-PLANNED ","")&amp;IF($F$863=0,"RATE-ONLY","")))</f>
        <v/>
      </c>
      <c r="N914" s="229" t="str">
        <f>IF(OR($D$863=0,NOT(ISNUMBER($F914))),"n/a",INDEX(calc_lrcur,$C$863)*INDEX(calc_crl,$C$863)/(SUMPRODUCT($H$866:$H$913,$Q$866:$Q$913,$AE$866:$AE$913)/SUMPRODUCT($H$866:$H$913,$Q$866:$Q$913))*INDEX(calc_aother,$C$863))</f>
        <v>n/a</v>
      </c>
      <c r="O914" s="229" t="str">
        <f>IF($D$863=0,"n/a",INDEX(calc_cylr_p,$C$863))</f>
        <v>n/a</v>
      </c>
      <c r="P914" s="282">
        <f>IF(NOT(ISNUMBER($E914)),0,ABS(($C914+$D914*$E914)/$B914-(1+$E$863)))</f>
        <v>0</v>
      </c>
    </row>
    <row r="919" spans="1:31" x14ac:dyDescent="0.3">
      <c r="A919" s="23" t="str">
        <f>_lists!$B$15</f>
        <v>NM</v>
      </c>
      <c r="B919" s="23" t="str">
        <f>IF(OR($A919="",nd_BU="All"),"",nd_BU&amp;"|"&amp;$A919)</f>
        <v>SBA|NM</v>
      </c>
      <c r="C919" s="43">
        <f>IF($B919="",0,IF(COUNTIF(lr_key,$B919)=0,0,MATCH($B919,lr_key,0)))</f>
        <v>55</v>
      </c>
      <c r="D919" s="43">
        <f>IF($C919=0,0,IF(ISBLANK(INDEX(lr_netp,$C919)),0,1))</f>
        <v>0</v>
      </c>
      <c r="E919" s="229">
        <f>IF($D919=0,0,N(INDEX(lr_netp,$C919)))</f>
        <v>0</v>
      </c>
      <c r="F919" s="43">
        <f>IF($C919=0,0,IF(AND(nr_ModAdjMaster="ON",INDEX(lr_modadj,$C919)="ON"),1,0))</f>
        <v>1</v>
      </c>
      <c r="G919" s="220">
        <f>IF($C919=0,1,IF(N(INDEX(lr_mind,$C919))=0,1,INDEX(lr_mind,$C919)))</f>
        <v>0.92</v>
      </c>
      <c r="H919" s="220">
        <f>IF($C919=0,1,IF(N(INDEX(lr_m0,$C919))=0,1,INDEX(lr_m0,$C919)))</f>
        <v>0.91</v>
      </c>
      <c r="I919" s="278">
        <f>IF($C919=0,DATE(nr_PlanYear-1,10,1),IF(N(INDEX(lr_m0asof,$C919))=0,DATE(nr_PlanYear-1,10,1),INDEX(lr_m0asof,$C919)))</f>
        <v>46295</v>
      </c>
      <c r="J919" s="220">
        <f>IF($C919=0,1,IF(N(INDEX(lr_m1,$C919))=0,1,INDEX(lr_m1,$C919)))</f>
        <v>0.90500000000000003</v>
      </c>
      <c r="K919" s="220">
        <f>IF($C919=0,0,N(INDEX(lr_mprior,$C919)))</f>
        <v>0</v>
      </c>
      <c r="L919" s="220">
        <f>IF($C919=0,0,N(INDEX(lr_m2,$C919)))</f>
        <v>0</v>
      </c>
      <c r="M919" s="43">
        <f>IF(OR($A919="",COUNTIF(se_state,$A919)=0),0,MATCH($A919,se_state,0))</f>
        <v>0</v>
      </c>
      <c r="N919" s="279">
        <f>IF($M919=0,0,INDEX(se_sum,$M919))</f>
        <v>0</v>
      </c>
      <c r="O919" s="278">
        <f>IF('Net Delivery'!$D$21="",$X919,'Net Delivery'!$D$21)</f>
        <v>46478</v>
      </c>
      <c r="P919" s="43">
        <f>IF(AND($O919&gt;=DATE(nr_PlanYear,1,1),$O919&lt;=DATE(nr_PlanYear,12,31)),1,0)</f>
        <v>1</v>
      </c>
      <c r="Q919" s="43">
        <f>YEAR($O919)*12+MONTH($O919)-1</f>
        <v>24327</v>
      </c>
      <c r="R919" s="43">
        <f>DAY(EOMONTH($O919,0))</f>
        <v>30</v>
      </c>
      <c r="S919" s="43">
        <f>EOMONTH($O919,0)-$O919+1</f>
        <v>30</v>
      </c>
      <c r="T919" s="43">
        <f>SUMIFS(ndl_days,rl_key,$B919,ndl_effmonth,DATE(YEAR($O919),MONTH($O919),1),ndl_first,1)</f>
        <v>0</v>
      </c>
      <c r="U919" s="220">
        <f>IF($P919=1,MIN(1,MAX($S919,$T919)/$R919),1)</f>
        <v>1</v>
      </c>
      <c r="V919" s="280" t="str">
        <f>IF(ISBLANK('Net Delivery'!$E$21),$Y919,'Net Delivery'!$E$21)</f>
        <v/>
      </c>
      <c r="W919" s="43">
        <f>IF($B919="",0,COUNTIFS(rl_key,$B919,rl_status,"planned",rl_eff,"&gt;="&amp;DATE(nr_PlanYear,1,1),rl_eff,"&lt;="&amp;DATE(nr_PlanYear,12,31)))</f>
        <v>0</v>
      </c>
      <c r="X919" s="278">
        <f>IF($W919=0,nd_DefaultDate,SUMIFS(rl_eff,rl_key,$B919,rl_firstplanned,1))</f>
        <v>46478</v>
      </c>
      <c r="Y919" s="280" t="str">
        <f>IF($W919=0,"",SUMIFS(rl_reff,rl_key,$B919,rl_firstplanned,1))</f>
        <v/>
      </c>
      <c r="Z919" s="280" t="str">
        <f>IF($W919=0,"",SUMIFS(rl_filed,rl_key,$B919,rl_firstplanned,1))</f>
        <v/>
      </c>
    </row>
    <row r="920" spans="1:31" x14ac:dyDescent="0.3">
      <c r="A920" s="6">
        <f>EDATE($I$919,-12)+1</f>
        <v>45931</v>
      </c>
      <c r="B920" s="6">
        <f>$I$919+1</f>
        <v>46296</v>
      </c>
      <c r="C920" s="6">
        <f>DATE(nr_PlanYear,12,31)+1</f>
        <v>46753</v>
      </c>
      <c r="D920" s="6">
        <f>DATE(nr_PlanYear+1,12,31)+1</f>
        <v>47119</v>
      </c>
      <c r="E920" s="6">
        <f>IF(N($K$919)=0,$F$920-($G$920-$F$920)/($C$920-$B$920)*($B$920-$A$920),$K$919)</f>
        <v>0.9139934354485777</v>
      </c>
      <c r="F920" s="6">
        <f>$H$919</f>
        <v>0.91</v>
      </c>
      <c r="G920" s="6">
        <f>$J$919</f>
        <v>0.90500000000000003</v>
      </c>
      <c r="H920" s="6">
        <f>IF(N($L$919)=0,$J$919,$L$919)</f>
        <v>0.90500000000000003</v>
      </c>
      <c r="I920" s="6">
        <f>($F$920-$E$920)/($B$920-$A$920)</f>
        <v>-1.0940919037199081E-5</v>
      </c>
      <c r="J920" s="6">
        <f>($G$920-$F$920)/($C$920-$B$920)</f>
        <v>-1.0940919037199135E-5</v>
      </c>
      <c r="K920" s="6">
        <f>($H$920-$G$920)/($D$920-$C$920)</f>
        <v>0</v>
      </c>
    </row>
    <row r="921" spans="1:31" ht="36" x14ac:dyDescent="0.3">
      <c r="A921" s="58" t="s">
        <v>390</v>
      </c>
      <c r="B921" s="58" t="s">
        <v>449</v>
      </c>
      <c r="C921" s="58" t="s">
        <v>685</v>
      </c>
      <c r="D921" s="58" t="s">
        <v>686</v>
      </c>
      <c r="E921" s="58" t="s">
        <v>687</v>
      </c>
      <c r="F921" s="58" t="s">
        <v>688</v>
      </c>
      <c r="G921" s="58" t="s">
        <v>689</v>
      </c>
      <c r="H921" s="58" t="s">
        <v>452</v>
      </c>
      <c r="I921" s="58" t="s">
        <v>690</v>
      </c>
      <c r="J921" s="58" t="s">
        <v>691</v>
      </c>
      <c r="K921" s="58" t="s">
        <v>692</v>
      </c>
      <c r="L921" s="58" t="s">
        <v>693</v>
      </c>
      <c r="M921" s="58" t="s">
        <v>694</v>
      </c>
      <c r="N921" s="58" t="s">
        <v>695</v>
      </c>
      <c r="O921" s="58" t="s">
        <v>696</v>
      </c>
      <c r="P921" s="58" t="s">
        <v>697</v>
      </c>
      <c r="Q921" s="58" t="s">
        <v>698</v>
      </c>
      <c r="R921" s="58" t="s">
        <v>699</v>
      </c>
      <c r="S921" s="58" t="s">
        <v>700</v>
      </c>
      <c r="T921" s="58" t="s">
        <v>701</v>
      </c>
      <c r="U921" s="58" t="s">
        <v>702</v>
      </c>
    </row>
    <row r="922" spans="1:31" x14ac:dyDescent="0.3">
      <c r="A922" s="187">
        <v>1</v>
      </c>
      <c r="B922" s="242">
        <f>DATE(nr_PlanYear-2,1,1)</f>
        <v>45658</v>
      </c>
      <c r="C922" s="243">
        <f t="shared" ref="C922:C969" si="344">EOMONTH($B922,0)</f>
        <v>45688</v>
      </c>
      <c r="D922" s="120">
        <f t="shared" ref="D922:D969" si="345">$C922-$B922+1</f>
        <v>31</v>
      </c>
      <c r="E922" s="120">
        <f t="shared" ref="E922:E969" si="346">MONTH($B922)</f>
        <v>1</v>
      </c>
      <c r="F922" s="275">
        <f t="shared" ref="F922:F969" si="347">($B922+$C922+1)/2</f>
        <v>45673.5</v>
      </c>
      <c r="G922" s="120">
        <f t="shared" ref="G922:G969" si="348">YEAR($B922)*12+MONTH($B922)-1</f>
        <v>24300</v>
      </c>
      <c r="H922" s="245">
        <f t="shared" ref="H922:H969" si="349">IF(OR(nr_SeasonOn="OFF",$M$919=0,$N$919=0),1,12*INDEX(se_block,$M$919,$E922)/$N$919)</f>
        <v>1</v>
      </c>
      <c r="I922" s="121">
        <f t="shared" ref="I922:I969" si="350">EXP(SUMPRODUCT((ndl_eff&lt;$B922)*(rl_key=$B$919)*ndl_ln))</f>
        <v>1</v>
      </c>
      <c r="J922" s="121">
        <f t="shared" ref="J922:J969" si="351">EXP(SUMPRODUCT((ndl_eff&lt;=$C922)*(rl_key=$B$919)*ndl_ln))</f>
        <v>1</v>
      </c>
      <c r="K922" s="120">
        <f t="shared" ref="K922:K969" si="352">COUNTIFS(rl_key,$B$919,ndl_eff,"&gt;="&amp;$B922,ndl_eff,"&lt;="&amp;$C922)</f>
        <v>0</v>
      </c>
      <c r="L922" s="120">
        <f t="shared" ref="L922:L969" si="353">SUMIFS(ndl_days,rl_key,$B$919,ndl_effmonth,$B922,ndl_first,1)</f>
        <v>0</v>
      </c>
      <c r="M922" s="246">
        <f t="shared" ref="M922:M969" si="354">IF($K922=0,0,MIN(1,$L922/$D922))</f>
        <v>0</v>
      </c>
      <c r="N922" s="121">
        <f t="shared" ref="N922:N969" si="355">IF($K922=0,$J922,(1-$M922)*$I922+$M922*$J922)</f>
        <v>1</v>
      </c>
      <c r="O922" s="246">
        <f t="shared" ref="O922:O969" si="356">IF($F922&lt;$B$920,$E$920+$I$920*($F922-$A$920),IF($F922&lt;$C$920,$F$920+$J$920*($F922-$B$920),$G$920+$K$920*($F922-$C$920)))</f>
        <v>0.91681072210065651</v>
      </c>
      <c r="P922" s="121">
        <f t="shared" ref="P922:P969" si="357">MIN(1,MAX(0,(nr_MEndPm1-$G922+0.5)/nr_TermMonths))-MIN(1,MAX(0,(nr_MStartPm1-1-$G922+0.5)/nr_TermMonths))</f>
        <v>0</v>
      </c>
      <c r="Q922" s="121">
        <f t="shared" ref="Q922:Q969" si="358">MIN(1,MAX(0,(nr_MEndP-$G922+0.5)/nr_TermMonths))-MIN(1,MAX(0,(nr_MStartP-1-$G922+0.5)/nr_TermMonths))</f>
        <v>0</v>
      </c>
      <c r="R922" s="121">
        <f t="shared" ref="R922:R969" si="359">MIN(1,MAX(0,(nr_MEndP1-$G922+0.5)/nr_TermMonths))-MIN(1,MAX(0,(nr_MStartP1-1-$G922+0.5)/nr_TermMonths))</f>
        <v>0</v>
      </c>
      <c r="AE922" s="160">
        <f t="shared" ref="AE922:AE969" si="360">IF(OR($G922&lt;nr_MStartP,$G922&gt;=nr_MStartP1),IF($F$919=1,$N922*$O922/$G$919,$N922),($W922+$X922*IF(ISNUMBER($F$970),$F$970,0))*IF($F$919=1,($AC922+$AB922*IF(ISNUMBER($H$970),$H$970,$J$919))/$G$919,1))</f>
        <v>0.99653339358767012</v>
      </c>
    </row>
    <row r="923" spans="1:31" x14ac:dyDescent="0.3">
      <c r="A923" s="187">
        <v>2</v>
      </c>
      <c r="B923" s="242">
        <f t="shared" ref="B923:B969" si="361">EDATE($B922,1)</f>
        <v>45689</v>
      </c>
      <c r="C923" s="243">
        <f t="shared" si="344"/>
        <v>45716</v>
      </c>
      <c r="D923" s="120">
        <f t="shared" si="345"/>
        <v>28</v>
      </c>
      <c r="E923" s="120">
        <f t="shared" si="346"/>
        <v>2</v>
      </c>
      <c r="F923" s="275">
        <f t="shared" si="347"/>
        <v>45703</v>
      </c>
      <c r="G923" s="120">
        <f t="shared" si="348"/>
        <v>24301</v>
      </c>
      <c r="H923" s="245">
        <f t="shared" si="349"/>
        <v>1</v>
      </c>
      <c r="I923" s="121">
        <f t="shared" si="350"/>
        <v>1</v>
      </c>
      <c r="J923" s="121">
        <f t="shared" si="351"/>
        <v>1</v>
      </c>
      <c r="K923" s="120">
        <f t="shared" si="352"/>
        <v>0</v>
      </c>
      <c r="L923" s="120">
        <f t="shared" si="353"/>
        <v>0</v>
      </c>
      <c r="M923" s="246">
        <f t="shared" si="354"/>
        <v>0</v>
      </c>
      <c r="N923" s="121">
        <f t="shared" si="355"/>
        <v>1</v>
      </c>
      <c r="O923" s="246">
        <f t="shared" si="356"/>
        <v>0.91648796498905905</v>
      </c>
      <c r="P923" s="121">
        <f t="shared" si="357"/>
        <v>0</v>
      </c>
      <c r="Q923" s="121">
        <f t="shared" si="358"/>
        <v>0</v>
      </c>
      <c r="R923" s="121">
        <f t="shared" si="359"/>
        <v>0</v>
      </c>
      <c r="AE923" s="160">
        <f t="shared" si="360"/>
        <v>0.99618257064028148</v>
      </c>
    </row>
    <row r="924" spans="1:31" x14ac:dyDescent="0.3">
      <c r="A924" s="187">
        <v>3</v>
      </c>
      <c r="B924" s="242">
        <f t="shared" si="361"/>
        <v>45717</v>
      </c>
      <c r="C924" s="243">
        <f t="shared" si="344"/>
        <v>45747</v>
      </c>
      <c r="D924" s="120">
        <f t="shared" si="345"/>
        <v>31</v>
      </c>
      <c r="E924" s="120">
        <f t="shared" si="346"/>
        <v>3</v>
      </c>
      <c r="F924" s="275">
        <f t="shared" si="347"/>
        <v>45732.5</v>
      </c>
      <c r="G924" s="120">
        <f t="shared" si="348"/>
        <v>24302</v>
      </c>
      <c r="H924" s="245">
        <f t="shared" si="349"/>
        <v>1</v>
      </c>
      <c r="I924" s="121">
        <f t="shared" si="350"/>
        <v>1</v>
      </c>
      <c r="J924" s="121">
        <f t="shared" si="351"/>
        <v>1</v>
      </c>
      <c r="K924" s="120">
        <f t="shared" si="352"/>
        <v>0</v>
      </c>
      <c r="L924" s="120">
        <f t="shared" si="353"/>
        <v>0</v>
      </c>
      <c r="M924" s="246">
        <f t="shared" si="354"/>
        <v>0</v>
      </c>
      <c r="N924" s="121">
        <f t="shared" si="355"/>
        <v>1</v>
      </c>
      <c r="O924" s="246">
        <f t="shared" si="356"/>
        <v>0.9161652078774617</v>
      </c>
      <c r="P924" s="121">
        <f t="shared" si="357"/>
        <v>0</v>
      </c>
      <c r="Q924" s="121">
        <f t="shared" si="358"/>
        <v>0</v>
      </c>
      <c r="R924" s="121">
        <f t="shared" si="359"/>
        <v>0</v>
      </c>
      <c r="AE924" s="160">
        <f t="shared" si="360"/>
        <v>0.99583174769289307</v>
      </c>
    </row>
    <row r="925" spans="1:31" x14ac:dyDescent="0.3">
      <c r="A925" s="187">
        <v>4</v>
      </c>
      <c r="B925" s="242">
        <f t="shared" si="361"/>
        <v>45748</v>
      </c>
      <c r="C925" s="243">
        <f t="shared" si="344"/>
        <v>45777</v>
      </c>
      <c r="D925" s="120">
        <f t="shared" si="345"/>
        <v>30</v>
      </c>
      <c r="E925" s="120">
        <f t="shared" si="346"/>
        <v>4</v>
      </c>
      <c r="F925" s="275">
        <f t="shared" si="347"/>
        <v>45763</v>
      </c>
      <c r="G925" s="120">
        <f t="shared" si="348"/>
        <v>24303</v>
      </c>
      <c r="H925" s="245">
        <f t="shared" si="349"/>
        <v>1</v>
      </c>
      <c r="I925" s="121">
        <f t="shared" si="350"/>
        <v>1</v>
      </c>
      <c r="J925" s="121">
        <f t="shared" si="351"/>
        <v>1</v>
      </c>
      <c r="K925" s="120">
        <f t="shared" si="352"/>
        <v>0</v>
      </c>
      <c r="L925" s="120">
        <f t="shared" si="353"/>
        <v>0</v>
      </c>
      <c r="M925" s="246">
        <f t="shared" si="354"/>
        <v>0</v>
      </c>
      <c r="N925" s="121">
        <f t="shared" si="355"/>
        <v>1</v>
      </c>
      <c r="O925" s="246">
        <f t="shared" si="356"/>
        <v>0.91583150984682715</v>
      </c>
      <c r="P925" s="121">
        <f t="shared" si="357"/>
        <v>0</v>
      </c>
      <c r="Q925" s="121">
        <f t="shared" si="358"/>
        <v>0</v>
      </c>
      <c r="R925" s="121">
        <f t="shared" si="359"/>
        <v>0</v>
      </c>
      <c r="AE925" s="160">
        <f t="shared" si="360"/>
        <v>0.99546903244220342</v>
      </c>
    </row>
    <row r="926" spans="1:31" x14ac:dyDescent="0.3">
      <c r="A926" s="187">
        <v>5</v>
      </c>
      <c r="B926" s="242">
        <f t="shared" si="361"/>
        <v>45778</v>
      </c>
      <c r="C926" s="243">
        <f t="shared" si="344"/>
        <v>45808</v>
      </c>
      <c r="D926" s="120">
        <f t="shared" si="345"/>
        <v>31</v>
      </c>
      <c r="E926" s="120">
        <f t="shared" si="346"/>
        <v>5</v>
      </c>
      <c r="F926" s="275">
        <f t="shared" si="347"/>
        <v>45793.5</v>
      </c>
      <c r="G926" s="120">
        <f t="shared" si="348"/>
        <v>24304</v>
      </c>
      <c r="H926" s="245">
        <f t="shared" si="349"/>
        <v>1</v>
      </c>
      <c r="I926" s="121">
        <f t="shared" si="350"/>
        <v>1</v>
      </c>
      <c r="J926" s="121">
        <f t="shared" si="351"/>
        <v>1</v>
      </c>
      <c r="K926" s="120">
        <f t="shared" si="352"/>
        <v>0</v>
      </c>
      <c r="L926" s="120">
        <f t="shared" si="353"/>
        <v>0</v>
      </c>
      <c r="M926" s="246">
        <f t="shared" si="354"/>
        <v>0</v>
      </c>
      <c r="N926" s="121">
        <f t="shared" si="355"/>
        <v>1</v>
      </c>
      <c r="O926" s="246">
        <f t="shared" si="356"/>
        <v>0.91549781181619261</v>
      </c>
      <c r="P926" s="121">
        <f t="shared" si="357"/>
        <v>0</v>
      </c>
      <c r="Q926" s="121">
        <f t="shared" si="358"/>
        <v>0</v>
      </c>
      <c r="R926" s="121">
        <f t="shared" si="359"/>
        <v>0</v>
      </c>
      <c r="AE926" s="160">
        <f t="shared" si="360"/>
        <v>0.99510631719151366</v>
      </c>
    </row>
    <row r="927" spans="1:31" x14ac:dyDescent="0.3">
      <c r="A927" s="187">
        <v>6</v>
      </c>
      <c r="B927" s="242">
        <f t="shared" si="361"/>
        <v>45809</v>
      </c>
      <c r="C927" s="243">
        <f t="shared" si="344"/>
        <v>45838</v>
      </c>
      <c r="D927" s="120">
        <f t="shared" si="345"/>
        <v>30</v>
      </c>
      <c r="E927" s="120">
        <f t="shared" si="346"/>
        <v>6</v>
      </c>
      <c r="F927" s="275">
        <f t="shared" si="347"/>
        <v>45824</v>
      </c>
      <c r="G927" s="120">
        <f t="shared" si="348"/>
        <v>24305</v>
      </c>
      <c r="H927" s="245">
        <f t="shared" si="349"/>
        <v>1</v>
      </c>
      <c r="I927" s="121">
        <f t="shared" si="350"/>
        <v>1</v>
      </c>
      <c r="J927" s="121">
        <f t="shared" si="351"/>
        <v>1</v>
      </c>
      <c r="K927" s="120">
        <f t="shared" si="352"/>
        <v>0</v>
      </c>
      <c r="L927" s="120">
        <f t="shared" si="353"/>
        <v>0</v>
      </c>
      <c r="M927" s="246">
        <f t="shared" si="354"/>
        <v>0</v>
      </c>
      <c r="N927" s="121">
        <f t="shared" si="355"/>
        <v>1</v>
      </c>
      <c r="O927" s="246">
        <f t="shared" si="356"/>
        <v>0.91516411378555795</v>
      </c>
      <c r="P927" s="121">
        <f t="shared" si="357"/>
        <v>0</v>
      </c>
      <c r="Q927" s="121">
        <f t="shared" si="358"/>
        <v>0</v>
      </c>
      <c r="R927" s="121">
        <f t="shared" si="359"/>
        <v>0</v>
      </c>
      <c r="AE927" s="160">
        <f t="shared" si="360"/>
        <v>0.99474360194082379</v>
      </c>
    </row>
    <row r="928" spans="1:31" x14ac:dyDescent="0.3">
      <c r="A928" s="187">
        <v>7</v>
      </c>
      <c r="B928" s="242">
        <f t="shared" si="361"/>
        <v>45839</v>
      </c>
      <c r="C928" s="243">
        <f t="shared" si="344"/>
        <v>45869</v>
      </c>
      <c r="D928" s="120">
        <f t="shared" si="345"/>
        <v>31</v>
      </c>
      <c r="E928" s="120">
        <f t="shared" si="346"/>
        <v>7</v>
      </c>
      <c r="F928" s="275">
        <f t="shared" si="347"/>
        <v>45854.5</v>
      </c>
      <c r="G928" s="120">
        <f t="shared" si="348"/>
        <v>24306</v>
      </c>
      <c r="H928" s="245">
        <f t="shared" si="349"/>
        <v>1</v>
      </c>
      <c r="I928" s="121">
        <f t="shared" si="350"/>
        <v>1</v>
      </c>
      <c r="J928" s="121">
        <f t="shared" si="351"/>
        <v>1</v>
      </c>
      <c r="K928" s="120">
        <f t="shared" si="352"/>
        <v>0</v>
      </c>
      <c r="L928" s="120">
        <f t="shared" si="353"/>
        <v>0</v>
      </c>
      <c r="M928" s="246">
        <f t="shared" si="354"/>
        <v>0</v>
      </c>
      <c r="N928" s="121">
        <f t="shared" si="355"/>
        <v>1</v>
      </c>
      <c r="O928" s="246">
        <f t="shared" si="356"/>
        <v>0.91483041575492341</v>
      </c>
      <c r="P928" s="121">
        <f t="shared" si="357"/>
        <v>8.333333333333337E-2</v>
      </c>
      <c r="Q928" s="121">
        <f t="shared" si="358"/>
        <v>0</v>
      </c>
      <c r="R928" s="121">
        <f t="shared" si="359"/>
        <v>0</v>
      </c>
      <c r="AE928" s="160">
        <f t="shared" si="360"/>
        <v>0.99438088669013414</v>
      </c>
    </row>
    <row r="929" spans="1:31" x14ac:dyDescent="0.3">
      <c r="A929" s="187">
        <v>8</v>
      </c>
      <c r="B929" s="242">
        <f t="shared" si="361"/>
        <v>45870</v>
      </c>
      <c r="C929" s="243">
        <f t="shared" si="344"/>
        <v>45900</v>
      </c>
      <c r="D929" s="120">
        <f t="shared" si="345"/>
        <v>31</v>
      </c>
      <c r="E929" s="120">
        <f t="shared" si="346"/>
        <v>8</v>
      </c>
      <c r="F929" s="275">
        <f t="shared" si="347"/>
        <v>45885.5</v>
      </c>
      <c r="G929" s="120">
        <f t="shared" si="348"/>
        <v>24307</v>
      </c>
      <c r="H929" s="245">
        <f t="shared" si="349"/>
        <v>1</v>
      </c>
      <c r="I929" s="121">
        <f t="shared" si="350"/>
        <v>1</v>
      </c>
      <c r="J929" s="121">
        <f t="shared" si="351"/>
        <v>1</v>
      </c>
      <c r="K929" s="120">
        <f t="shared" si="352"/>
        <v>0</v>
      </c>
      <c r="L929" s="120">
        <f t="shared" si="353"/>
        <v>0</v>
      </c>
      <c r="M929" s="246">
        <f t="shared" si="354"/>
        <v>0</v>
      </c>
      <c r="N929" s="121">
        <f t="shared" si="355"/>
        <v>1</v>
      </c>
      <c r="O929" s="246">
        <f t="shared" si="356"/>
        <v>0.91449124726477027</v>
      </c>
      <c r="P929" s="121">
        <f t="shared" si="357"/>
        <v>0.25</v>
      </c>
      <c r="Q929" s="121">
        <f t="shared" si="358"/>
        <v>0</v>
      </c>
      <c r="R929" s="121">
        <f t="shared" si="359"/>
        <v>0</v>
      </c>
      <c r="AE929" s="160">
        <f t="shared" si="360"/>
        <v>0.99401222528779376</v>
      </c>
    </row>
    <row r="930" spans="1:31" x14ac:dyDescent="0.3">
      <c r="A930" s="187">
        <v>9</v>
      </c>
      <c r="B930" s="242">
        <f t="shared" si="361"/>
        <v>45901</v>
      </c>
      <c r="C930" s="243">
        <f t="shared" si="344"/>
        <v>45930</v>
      </c>
      <c r="D930" s="120">
        <f t="shared" si="345"/>
        <v>30</v>
      </c>
      <c r="E930" s="120">
        <f t="shared" si="346"/>
        <v>9</v>
      </c>
      <c r="F930" s="275">
        <f t="shared" si="347"/>
        <v>45916</v>
      </c>
      <c r="G930" s="120">
        <f t="shared" si="348"/>
        <v>24308</v>
      </c>
      <c r="H930" s="245">
        <f t="shared" si="349"/>
        <v>1</v>
      </c>
      <c r="I930" s="121">
        <f t="shared" si="350"/>
        <v>1</v>
      </c>
      <c r="J930" s="121">
        <f t="shared" si="351"/>
        <v>1</v>
      </c>
      <c r="K930" s="120">
        <f t="shared" si="352"/>
        <v>0</v>
      </c>
      <c r="L930" s="120">
        <f t="shared" si="353"/>
        <v>0</v>
      </c>
      <c r="M930" s="246">
        <f t="shared" si="354"/>
        <v>0</v>
      </c>
      <c r="N930" s="121">
        <f t="shared" si="355"/>
        <v>1</v>
      </c>
      <c r="O930" s="246">
        <f t="shared" si="356"/>
        <v>0.91415754923413572</v>
      </c>
      <c r="P930" s="121">
        <f t="shared" si="357"/>
        <v>0.41666666666666663</v>
      </c>
      <c r="Q930" s="121">
        <f t="shared" si="358"/>
        <v>0</v>
      </c>
      <c r="R930" s="121">
        <f t="shared" si="359"/>
        <v>0</v>
      </c>
      <c r="AE930" s="160">
        <f t="shared" si="360"/>
        <v>0.993649510037104</v>
      </c>
    </row>
    <row r="931" spans="1:31" x14ac:dyDescent="0.3">
      <c r="A931" s="187">
        <v>10</v>
      </c>
      <c r="B931" s="242">
        <f t="shared" si="361"/>
        <v>45931</v>
      </c>
      <c r="C931" s="243">
        <f t="shared" si="344"/>
        <v>45961</v>
      </c>
      <c r="D931" s="120">
        <f t="shared" si="345"/>
        <v>31</v>
      </c>
      <c r="E931" s="120">
        <f t="shared" si="346"/>
        <v>10</v>
      </c>
      <c r="F931" s="275">
        <f t="shared" si="347"/>
        <v>45946.5</v>
      </c>
      <c r="G931" s="120">
        <f t="shared" si="348"/>
        <v>24309</v>
      </c>
      <c r="H931" s="245">
        <f t="shared" si="349"/>
        <v>1</v>
      </c>
      <c r="I931" s="121">
        <f t="shared" si="350"/>
        <v>1</v>
      </c>
      <c r="J931" s="121">
        <f t="shared" si="351"/>
        <v>1</v>
      </c>
      <c r="K931" s="120">
        <f t="shared" si="352"/>
        <v>0</v>
      </c>
      <c r="L931" s="120">
        <f t="shared" si="353"/>
        <v>0</v>
      </c>
      <c r="M931" s="246">
        <f t="shared" si="354"/>
        <v>0</v>
      </c>
      <c r="N931" s="121">
        <f t="shared" si="355"/>
        <v>1</v>
      </c>
      <c r="O931" s="246">
        <f t="shared" si="356"/>
        <v>0.91382385120350107</v>
      </c>
      <c r="P931" s="121">
        <f t="shared" si="357"/>
        <v>0.58333333333333326</v>
      </c>
      <c r="Q931" s="121">
        <f t="shared" si="358"/>
        <v>0</v>
      </c>
      <c r="R931" s="121">
        <f t="shared" si="359"/>
        <v>0</v>
      </c>
      <c r="AE931" s="160">
        <f t="shared" si="360"/>
        <v>0.99328679478641413</v>
      </c>
    </row>
    <row r="932" spans="1:31" x14ac:dyDescent="0.3">
      <c r="A932" s="187">
        <v>11</v>
      </c>
      <c r="B932" s="242">
        <f t="shared" si="361"/>
        <v>45962</v>
      </c>
      <c r="C932" s="243">
        <f t="shared" si="344"/>
        <v>45991</v>
      </c>
      <c r="D932" s="120">
        <f t="shared" si="345"/>
        <v>30</v>
      </c>
      <c r="E932" s="120">
        <f t="shared" si="346"/>
        <v>11</v>
      </c>
      <c r="F932" s="275">
        <f t="shared" si="347"/>
        <v>45977</v>
      </c>
      <c r="G932" s="120">
        <f t="shared" si="348"/>
        <v>24310</v>
      </c>
      <c r="H932" s="245">
        <f t="shared" si="349"/>
        <v>1</v>
      </c>
      <c r="I932" s="121">
        <f t="shared" si="350"/>
        <v>1</v>
      </c>
      <c r="J932" s="121">
        <f t="shared" si="351"/>
        <v>1</v>
      </c>
      <c r="K932" s="120">
        <f t="shared" si="352"/>
        <v>0</v>
      </c>
      <c r="L932" s="120">
        <f t="shared" si="353"/>
        <v>0</v>
      </c>
      <c r="M932" s="246">
        <f t="shared" si="354"/>
        <v>0</v>
      </c>
      <c r="N932" s="121">
        <f t="shared" si="355"/>
        <v>1</v>
      </c>
      <c r="O932" s="246">
        <f t="shared" si="356"/>
        <v>0.91349015317286653</v>
      </c>
      <c r="P932" s="121">
        <f t="shared" si="357"/>
        <v>0.75</v>
      </c>
      <c r="Q932" s="121">
        <f t="shared" si="358"/>
        <v>0</v>
      </c>
      <c r="R932" s="121">
        <f t="shared" si="359"/>
        <v>0</v>
      </c>
      <c r="AE932" s="160">
        <f t="shared" si="360"/>
        <v>0.99292407953572448</v>
      </c>
    </row>
    <row r="933" spans="1:31" x14ac:dyDescent="0.3">
      <c r="A933" s="187">
        <v>12</v>
      </c>
      <c r="B933" s="242">
        <f t="shared" si="361"/>
        <v>45992</v>
      </c>
      <c r="C933" s="243">
        <f t="shared" si="344"/>
        <v>46022</v>
      </c>
      <c r="D933" s="120">
        <f t="shared" si="345"/>
        <v>31</v>
      </c>
      <c r="E933" s="120">
        <f t="shared" si="346"/>
        <v>12</v>
      </c>
      <c r="F933" s="275">
        <f t="shared" si="347"/>
        <v>46007.5</v>
      </c>
      <c r="G933" s="120">
        <f t="shared" si="348"/>
        <v>24311</v>
      </c>
      <c r="H933" s="245">
        <f t="shared" si="349"/>
        <v>1</v>
      </c>
      <c r="I933" s="121">
        <f t="shared" si="350"/>
        <v>1</v>
      </c>
      <c r="J933" s="121">
        <f t="shared" si="351"/>
        <v>1</v>
      </c>
      <c r="K933" s="120">
        <f t="shared" si="352"/>
        <v>0</v>
      </c>
      <c r="L933" s="120">
        <f t="shared" si="353"/>
        <v>0</v>
      </c>
      <c r="M933" s="246">
        <f t="shared" si="354"/>
        <v>0</v>
      </c>
      <c r="N933" s="121">
        <f t="shared" si="355"/>
        <v>1</v>
      </c>
      <c r="O933" s="246">
        <f t="shared" si="356"/>
        <v>0.91315645514223198</v>
      </c>
      <c r="P933" s="121">
        <f t="shared" si="357"/>
        <v>0.91666666666666663</v>
      </c>
      <c r="Q933" s="121">
        <f t="shared" si="358"/>
        <v>0</v>
      </c>
      <c r="R933" s="121">
        <f t="shared" si="359"/>
        <v>0</v>
      </c>
      <c r="AE933" s="160">
        <f t="shared" si="360"/>
        <v>0.99256136428503472</v>
      </c>
    </row>
    <row r="934" spans="1:31" x14ac:dyDescent="0.3">
      <c r="A934" s="187">
        <v>13</v>
      </c>
      <c r="B934" s="242">
        <f t="shared" si="361"/>
        <v>46023</v>
      </c>
      <c r="C934" s="243">
        <f t="shared" si="344"/>
        <v>46053</v>
      </c>
      <c r="D934" s="120">
        <f t="shared" si="345"/>
        <v>31</v>
      </c>
      <c r="E934" s="120">
        <f t="shared" si="346"/>
        <v>1</v>
      </c>
      <c r="F934" s="275">
        <f t="shared" si="347"/>
        <v>46038.5</v>
      </c>
      <c r="G934" s="120">
        <f t="shared" si="348"/>
        <v>24312</v>
      </c>
      <c r="H934" s="245">
        <f t="shared" si="349"/>
        <v>1</v>
      </c>
      <c r="I934" s="121">
        <f t="shared" si="350"/>
        <v>1</v>
      </c>
      <c r="J934" s="121">
        <f t="shared" si="351"/>
        <v>1</v>
      </c>
      <c r="K934" s="120">
        <f t="shared" si="352"/>
        <v>0</v>
      </c>
      <c r="L934" s="120">
        <f t="shared" si="353"/>
        <v>0</v>
      </c>
      <c r="M934" s="246">
        <f t="shared" si="354"/>
        <v>0</v>
      </c>
      <c r="N934" s="121">
        <f t="shared" si="355"/>
        <v>1</v>
      </c>
      <c r="O934" s="246">
        <f t="shared" si="356"/>
        <v>0.91281728665207884</v>
      </c>
      <c r="P934" s="121">
        <f t="shared" si="357"/>
        <v>1</v>
      </c>
      <c r="Q934" s="121">
        <f t="shared" si="358"/>
        <v>0</v>
      </c>
      <c r="R934" s="121">
        <f t="shared" si="359"/>
        <v>0</v>
      </c>
      <c r="AE934" s="160">
        <f t="shared" si="360"/>
        <v>0.99219270288269434</v>
      </c>
    </row>
    <row r="935" spans="1:31" x14ac:dyDescent="0.3">
      <c r="A935" s="187">
        <v>14</v>
      </c>
      <c r="B935" s="242">
        <f t="shared" si="361"/>
        <v>46054</v>
      </c>
      <c r="C935" s="243">
        <f t="shared" si="344"/>
        <v>46081</v>
      </c>
      <c r="D935" s="120">
        <f t="shared" si="345"/>
        <v>28</v>
      </c>
      <c r="E935" s="120">
        <f t="shared" si="346"/>
        <v>2</v>
      </c>
      <c r="F935" s="275">
        <f t="shared" si="347"/>
        <v>46068</v>
      </c>
      <c r="G935" s="120">
        <f t="shared" si="348"/>
        <v>24313</v>
      </c>
      <c r="H935" s="245">
        <f t="shared" si="349"/>
        <v>1</v>
      </c>
      <c r="I935" s="121">
        <f t="shared" si="350"/>
        <v>1</v>
      </c>
      <c r="J935" s="121">
        <f t="shared" si="351"/>
        <v>1</v>
      </c>
      <c r="K935" s="120">
        <f t="shared" si="352"/>
        <v>0</v>
      </c>
      <c r="L935" s="120">
        <f t="shared" si="353"/>
        <v>0</v>
      </c>
      <c r="M935" s="246">
        <f t="shared" si="354"/>
        <v>0</v>
      </c>
      <c r="N935" s="121">
        <f t="shared" si="355"/>
        <v>1</v>
      </c>
      <c r="O935" s="246">
        <f t="shared" si="356"/>
        <v>0.91249452954048138</v>
      </c>
      <c r="P935" s="121">
        <f t="shared" si="357"/>
        <v>1</v>
      </c>
      <c r="Q935" s="121">
        <f t="shared" si="358"/>
        <v>0</v>
      </c>
      <c r="R935" s="121">
        <f t="shared" si="359"/>
        <v>0</v>
      </c>
      <c r="AE935" s="160">
        <f t="shared" si="360"/>
        <v>0.99184187993530581</v>
      </c>
    </row>
    <row r="936" spans="1:31" x14ac:dyDescent="0.3">
      <c r="A936" s="187">
        <v>15</v>
      </c>
      <c r="B936" s="242">
        <f t="shared" si="361"/>
        <v>46082</v>
      </c>
      <c r="C936" s="243">
        <f t="shared" si="344"/>
        <v>46112</v>
      </c>
      <c r="D936" s="120">
        <f t="shared" si="345"/>
        <v>31</v>
      </c>
      <c r="E936" s="120">
        <f t="shared" si="346"/>
        <v>3</v>
      </c>
      <c r="F936" s="275">
        <f t="shared" si="347"/>
        <v>46097.5</v>
      </c>
      <c r="G936" s="120">
        <f t="shared" si="348"/>
        <v>24314</v>
      </c>
      <c r="H936" s="245">
        <f t="shared" si="349"/>
        <v>1</v>
      </c>
      <c r="I936" s="121">
        <f t="shared" si="350"/>
        <v>1</v>
      </c>
      <c r="J936" s="121">
        <f t="shared" si="351"/>
        <v>1</v>
      </c>
      <c r="K936" s="120">
        <f t="shared" si="352"/>
        <v>0</v>
      </c>
      <c r="L936" s="120">
        <f t="shared" si="353"/>
        <v>0</v>
      </c>
      <c r="M936" s="246">
        <f t="shared" si="354"/>
        <v>0</v>
      </c>
      <c r="N936" s="121">
        <f t="shared" si="355"/>
        <v>1</v>
      </c>
      <c r="O936" s="246">
        <f t="shared" si="356"/>
        <v>0.91217177242888403</v>
      </c>
      <c r="P936" s="121">
        <f t="shared" si="357"/>
        <v>1</v>
      </c>
      <c r="Q936" s="121">
        <f t="shared" si="358"/>
        <v>0</v>
      </c>
      <c r="R936" s="121">
        <f t="shared" si="359"/>
        <v>0</v>
      </c>
      <c r="AE936" s="160">
        <f t="shared" si="360"/>
        <v>0.9914910569879174</v>
      </c>
    </row>
    <row r="937" spans="1:31" x14ac:dyDescent="0.3">
      <c r="A937" s="187">
        <v>16</v>
      </c>
      <c r="B937" s="242">
        <f t="shared" si="361"/>
        <v>46113</v>
      </c>
      <c r="C937" s="243">
        <f t="shared" si="344"/>
        <v>46142</v>
      </c>
      <c r="D937" s="120">
        <f t="shared" si="345"/>
        <v>30</v>
      </c>
      <c r="E937" s="120">
        <f t="shared" si="346"/>
        <v>4</v>
      </c>
      <c r="F937" s="275">
        <f t="shared" si="347"/>
        <v>46128</v>
      </c>
      <c r="G937" s="120">
        <f t="shared" si="348"/>
        <v>24315</v>
      </c>
      <c r="H937" s="245">
        <f t="shared" si="349"/>
        <v>1</v>
      </c>
      <c r="I937" s="121">
        <f t="shared" si="350"/>
        <v>1</v>
      </c>
      <c r="J937" s="121">
        <f t="shared" si="351"/>
        <v>1</v>
      </c>
      <c r="K937" s="120">
        <f t="shared" si="352"/>
        <v>0</v>
      </c>
      <c r="L937" s="120">
        <f t="shared" si="353"/>
        <v>0</v>
      </c>
      <c r="M937" s="246">
        <f t="shared" si="354"/>
        <v>0</v>
      </c>
      <c r="N937" s="121">
        <f t="shared" si="355"/>
        <v>1</v>
      </c>
      <c r="O937" s="246">
        <f t="shared" si="356"/>
        <v>0.91183807439824949</v>
      </c>
      <c r="P937" s="121">
        <f t="shared" si="357"/>
        <v>1</v>
      </c>
      <c r="Q937" s="121">
        <f t="shared" si="358"/>
        <v>0</v>
      </c>
      <c r="R937" s="121">
        <f t="shared" si="359"/>
        <v>0</v>
      </c>
      <c r="AE937" s="160">
        <f t="shared" si="360"/>
        <v>0.99112834173722764</v>
      </c>
    </row>
    <row r="938" spans="1:31" x14ac:dyDescent="0.3">
      <c r="A938" s="187">
        <v>17</v>
      </c>
      <c r="B938" s="242">
        <f t="shared" si="361"/>
        <v>46143</v>
      </c>
      <c r="C938" s="243">
        <f t="shared" si="344"/>
        <v>46173</v>
      </c>
      <c r="D938" s="120">
        <f t="shared" si="345"/>
        <v>31</v>
      </c>
      <c r="E938" s="120">
        <f t="shared" si="346"/>
        <v>5</v>
      </c>
      <c r="F938" s="275">
        <f t="shared" si="347"/>
        <v>46158.5</v>
      </c>
      <c r="G938" s="120">
        <f t="shared" si="348"/>
        <v>24316</v>
      </c>
      <c r="H938" s="245">
        <f t="shared" si="349"/>
        <v>1</v>
      </c>
      <c r="I938" s="121">
        <f t="shared" si="350"/>
        <v>1</v>
      </c>
      <c r="J938" s="121">
        <f t="shared" si="351"/>
        <v>1</v>
      </c>
      <c r="K938" s="120">
        <f t="shared" si="352"/>
        <v>0</v>
      </c>
      <c r="L938" s="120">
        <f t="shared" si="353"/>
        <v>0</v>
      </c>
      <c r="M938" s="246">
        <f t="shared" si="354"/>
        <v>0</v>
      </c>
      <c r="N938" s="121">
        <f t="shared" si="355"/>
        <v>1</v>
      </c>
      <c r="O938" s="246">
        <f t="shared" si="356"/>
        <v>0.91150437636761494</v>
      </c>
      <c r="P938" s="121">
        <f t="shared" si="357"/>
        <v>1</v>
      </c>
      <c r="Q938" s="121">
        <f t="shared" si="358"/>
        <v>0</v>
      </c>
      <c r="R938" s="121">
        <f t="shared" si="359"/>
        <v>0</v>
      </c>
      <c r="AE938" s="160">
        <f t="shared" si="360"/>
        <v>0.99076562648653799</v>
      </c>
    </row>
    <row r="939" spans="1:31" x14ac:dyDescent="0.3">
      <c r="A939" s="187">
        <v>18</v>
      </c>
      <c r="B939" s="242">
        <f t="shared" si="361"/>
        <v>46174</v>
      </c>
      <c r="C939" s="243">
        <f t="shared" si="344"/>
        <v>46203</v>
      </c>
      <c r="D939" s="120">
        <f t="shared" si="345"/>
        <v>30</v>
      </c>
      <c r="E939" s="120">
        <f t="shared" si="346"/>
        <v>6</v>
      </c>
      <c r="F939" s="275">
        <f t="shared" si="347"/>
        <v>46189</v>
      </c>
      <c r="G939" s="120">
        <f t="shared" si="348"/>
        <v>24317</v>
      </c>
      <c r="H939" s="245">
        <f t="shared" si="349"/>
        <v>1</v>
      </c>
      <c r="I939" s="121">
        <f t="shared" si="350"/>
        <v>1</v>
      </c>
      <c r="J939" s="121">
        <f t="shared" si="351"/>
        <v>1</v>
      </c>
      <c r="K939" s="120">
        <f t="shared" si="352"/>
        <v>0</v>
      </c>
      <c r="L939" s="120">
        <f t="shared" si="353"/>
        <v>0</v>
      </c>
      <c r="M939" s="246">
        <f t="shared" si="354"/>
        <v>0</v>
      </c>
      <c r="N939" s="121">
        <f t="shared" si="355"/>
        <v>1</v>
      </c>
      <c r="O939" s="246">
        <f t="shared" si="356"/>
        <v>0.91117067833698029</v>
      </c>
      <c r="P939" s="121">
        <f t="shared" si="357"/>
        <v>1</v>
      </c>
      <c r="Q939" s="121">
        <f t="shared" si="358"/>
        <v>0</v>
      </c>
      <c r="R939" s="121">
        <f t="shared" si="359"/>
        <v>0</v>
      </c>
      <c r="AE939" s="160">
        <f t="shared" si="360"/>
        <v>0.99040291123584812</v>
      </c>
    </row>
    <row r="940" spans="1:31" x14ac:dyDescent="0.3">
      <c r="A940" s="187">
        <v>19</v>
      </c>
      <c r="B940" s="242">
        <f t="shared" si="361"/>
        <v>46204</v>
      </c>
      <c r="C940" s="243">
        <f t="shared" si="344"/>
        <v>46234</v>
      </c>
      <c r="D940" s="120">
        <f t="shared" si="345"/>
        <v>31</v>
      </c>
      <c r="E940" s="120">
        <f t="shared" si="346"/>
        <v>7</v>
      </c>
      <c r="F940" s="275">
        <f t="shared" si="347"/>
        <v>46219.5</v>
      </c>
      <c r="G940" s="120">
        <f t="shared" si="348"/>
        <v>24318</v>
      </c>
      <c r="H940" s="245">
        <f t="shared" si="349"/>
        <v>1</v>
      </c>
      <c r="I940" s="121">
        <f t="shared" si="350"/>
        <v>1</v>
      </c>
      <c r="J940" s="121">
        <f t="shared" si="351"/>
        <v>1.06</v>
      </c>
      <c r="K940" s="120">
        <f t="shared" si="352"/>
        <v>1</v>
      </c>
      <c r="L940" s="120">
        <f t="shared" si="353"/>
        <v>31</v>
      </c>
      <c r="M940" s="246">
        <f t="shared" si="354"/>
        <v>1</v>
      </c>
      <c r="N940" s="121">
        <f t="shared" si="355"/>
        <v>1.06</v>
      </c>
      <c r="O940" s="246">
        <f t="shared" si="356"/>
        <v>0.91083698030634574</v>
      </c>
      <c r="P940" s="121">
        <f t="shared" si="357"/>
        <v>0.91666666666666663</v>
      </c>
      <c r="Q940" s="121">
        <f t="shared" si="358"/>
        <v>8.333333333333337E-2</v>
      </c>
      <c r="R940" s="121">
        <f t="shared" si="359"/>
        <v>0</v>
      </c>
      <c r="AE940" s="160">
        <f t="shared" si="360"/>
        <v>1.049442607744268</v>
      </c>
    </row>
    <row r="941" spans="1:31" x14ac:dyDescent="0.3">
      <c r="A941" s="187">
        <v>20</v>
      </c>
      <c r="B941" s="242">
        <f t="shared" si="361"/>
        <v>46235</v>
      </c>
      <c r="C941" s="243">
        <f t="shared" si="344"/>
        <v>46265</v>
      </c>
      <c r="D941" s="120">
        <f t="shared" si="345"/>
        <v>31</v>
      </c>
      <c r="E941" s="120">
        <f t="shared" si="346"/>
        <v>8</v>
      </c>
      <c r="F941" s="275">
        <f t="shared" si="347"/>
        <v>46250.5</v>
      </c>
      <c r="G941" s="120">
        <f t="shared" si="348"/>
        <v>24319</v>
      </c>
      <c r="H941" s="245">
        <f t="shared" si="349"/>
        <v>1</v>
      </c>
      <c r="I941" s="121">
        <f t="shared" si="350"/>
        <v>1.06</v>
      </c>
      <c r="J941" s="121">
        <f t="shared" si="351"/>
        <v>1.06</v>
      </c>
      <c r="K941" s="120">
        <f t="shared" si="352"/>
        <v>0</v>
      </c>
      <c r="L941" s="120">
        <f t="shared" si="353"/>
        <v>0</v>
      </c>
      <c r="M941" s="246">
        <f t="shared" si="354"/>
        <v>0</v>
      </c>
      <c r="N941" s="121">
        <f t="shared" si="355"/>
        <v>1.06</v>
      </c>
      <c r="O941" s="246">
        <f t="shared" si="356"/>
        <v>0.9104978118161926</v>
      </c>
      <c r="P941" s="121">
        <f t="shared" si="357"/>
        <v>0.75</v>
      </c>
      <c r="Q941" s="121">
        <f t="shared" si="358"/>
        <v>0.25</v>
      </c>
      <c r="R941" s="121">
        <f t="shared" si="359"/>
        <v>0</v>
      </c>
      <c r="AE941" s="160">
        <f t="shared" si="360"/>
        <v>1.0490518266577871</v>
      </c>
    </row>
    <row r="942" spans="1:31" x14ac:dyDescent="0.3">
      <c r="A942" s="187">
        <v>21</v>
      </c>
      <c r="B942" s="242">
        <f t="shared" si="361"/>
        <v>46266</v>
      </c>
      <c r="C942" s="243">
        <f t="shared" si="344"/>
        <v>46295</v>
      </c>
      <c r="D942" s="120">
        <f t="shared" si="345"/>
        <v>30</v>
      </c>
      <c r="E942" s="120">
        <f t="shared" si="346"/>
        <v>9</v>
      </c>
      <c r="F942" s="275">
        <f t="shared" si="347"/>
        <v>46281</v>
      </c>
      <c r="G942" s="120">
        <f t="shared" si="348"/>
        <v>24320</v>
      </c>
      <c r="H942" s="245">
        <f t="shared" si="349"/>
        <v>1</v>
      </c>
      <c r="I942" s="121">
        <f t="shared" si="350"/>
        <v>1.06</v>
      </c>
      <c r="J942" s="121">
        <f t="shared" si="351"/>
        <v>1.06</v>
      </c>
      <c r="K942" s="120">
        <f t="shared" si="352"/>
        <v>0</v>
      </c>
      <c r="L942" s="120">
        <f t="shared" si="353"/>
        <v>0</v>
      </c>
      <c r="M942" s="246">
        <f t="shared" si="354"/>
        <v>0</v>
      </c>
      <c r="N942" s="121">
        <f t="shared" si="355"/>
        <v>1.06</v>
      </c>
      <c r="O942" s="246">
        <f t="shared" si="356"/>
        <v>0.91016411378555806</v>
      </c>
      <c r="P942" s="121">
        <f t="shared" si="357"/>
        <v>0.58333333333333337</v>
      </c>
      <c r="Q942" s="121">
        <f t="shared" si="358"/>
        <v>0.41666666666666663</v>
      </c>
      <c r="R942" s="121">
        <f t="shared" si="359"/>
        <v>0</v>
      </c>
      <c r="AE942" s="160">
        <f t="shared" si="360"/>
        <v>1.0486673484920561</v>
      </c>
    </row>
    <row r="943" spans="1:31" x14ac:dyDescent="0.3">
      <c r="A943" s="187">
        <v>22</v>
      </c>
      <c r="B943" s="242">
        <f t="shared" si="361"/>
        <v>46296</v>
      </c>
      <c r="C943" s="243">
        <f t="shared" si="344"/>
        <v>46326</v>
      </c>
      <c r="D943" s="120">
        <f t="shared" si="345"/>
        <v>31</v>
      </c>
      <c r="E943" s="120">
        <f t="shared" si="346"/>
        <v>10</v>
      </c>
      <c r="F943" s="275">
        <f t="shared" si="347"/>
        <v>46311.5</v>
      </c>
      <c r="G943" s="120">
        <f t="shared" si="348"/>
        <v>24321</v>
      </c>
      <c r="H943" s="245">
        <f t="shared" si="349"/>
        <v>1</v>
      </c>
      <c r="I943" s="121">
        <f t="shared" si="350"/>
        <v>1.06</v>
      </c>
      <c r="J943" s="121">
        <f t="shared" si="351"/>
        <v>1.06</v>
      </c>
      <c r="K943" s="120">
        <f t="shared" si="352"/>
        <v>0</v>
      </c>
      <c r="L943" s="120">
        <f t="shared" si="353"/>
        <v>0</v>
      </c>
      <c r="M943" s="246">
        <f t="shared" si="354"/>
        <v>0</v>
      </c>
      <c r="N943" s="121">
        <f t="shared" si="355"/>
        <v>1.06</v>
      </c>
      <c r="O943" s="246">
        <f t="shared" si="356"/>
        <v>0.90983041575492341</v>
      </c>
      <c r="P943" s="121">
        <f t="shared" si="357"/>
        <v>0.41666666666666669</v>
      </c>
      <c r="Q943" s="121">
        <f t="shared" si="358"/>
        <v>0.58333333333333326</v>
      </c>
      <c r="R943" s="121">
        <f t="shared" si="359"/>
        <v>0</v>
      </c>
      <c r="AE943" s="160">
        <f t="shared" si="360"/>
        <v>1.0482828703263247</v>
      </c>
    </row>
    <row r="944" spans="1:31" x14ac:dyDescent="0.3">
      <c r="A944" s="187">
        <v>23</v>
      </c>
      <c r="B944" s="242">
        <f t="shared" si="361"/>
        <v>46327</v>
      </c>
      <c r="C944" s="243">
        <f t="shared" si="344"/>
        <v>46356</v>
      </c>
      <c r="D944" s="120">
        <f t="shared" si="345"/>
        <v>30</v>
      </c>
      <c r="E944" s="120">
        <f t="shared" si="346"/>
        <v>11</v>
      </c>
      <c r="F944" s="275">
        <f t="shared" si="347"/>
        <v>46342</v>
      </c>
      <c r="G944" s="120">
        <f t="shared" si="348"/>
        <v>24322</v>
      </c>
      <c r="H944" s="245">
        <f t="shared" si="349"/>
        <v>1</v>
      </c>
      <c r="I944" s="121">
        <f t="shared" si="350"/>
        <v>1.06</v>
      </c>
      <c r="J944" s="121">
        <f t="shared" si="351"/>
        <v>1.06</v>
      </c>
      <c r="K944" s="120">
        <f t="shared" si="352"/>
        <v>0</v>
      </c>
      <c r="L944" s="120">
        <f t="shared" si="353"/>
        <v>0</v>
      </c>
      <c r="M944" s="246">
        <f t="shared" si="354"/>
        <v>0</v>
      </c>
      <c r="N944" s="121">
        <f t="shared" si="355"/>
        <v>1.06</v>
      </c>
      <c r="O944" s="246">
        <f t="shared" si="356"/>
        <v>0.90949671772428886</v>
      </c>
      <c r="P944" s="121">
        <f t="shared" si="357"/>
        <v>0.25</v>
      </c>
      <c r="Q944" s="121">
        <f t="shared" si="358"/>
        <v>0.75</v>
      </c>
      <c r="R944" s="121">
        <f t="shared" si="359"/>
        <v>0</v>
      </c>
      <c r="AE944" s="160">
        <f t="shared" si="360"/>
        <v>1.0478983921605938</v>
      </c>
    </row>
    <row r="945" spans="1:35" x14ac:dyDescent="0.3">
      <c r="A945" s="187">
        <v>24</v>
      </c>
      <c r="B945" s="242">
        <f t="shared" si="361"/>
        <v>46357</v>
      </c>
      <c r="C945" s="243">
        <f t="shared" si="344"/>
        <v>46387</v>
      </c>
      <c r="D945" s="120">
        <f t="shared" si="345"/>
        <v>31</v>
      </c>
      <c r="E945" s="120">
        <f t="shared" si="346"/>
        <v>12</v>
      </c>
      <c r="F945" s="275">
        <f t="shared" si="347"/>
        <v>46372.5</v>
      </c>
      <c r="G945" s="120">
        <f t="shared" si="348"/>
        <v>24323</v>
      </c>
      <c r="H945" s="245">
        <f t="shared" si="349"/>
        <v>1</v>
      </c>
      <c r="I945" s="121">
        <f t="shared" si="350"/>
        <v>1.06</v>
      </c>
      <c r="J945" s="121">
        <f t="shared" si="351"/>
        <v>1.06</v>
      </c>
      <c r="K945" s="120">
        <f t="shared" si="352"/>
        <v>0</v>
      </c>
      <c r="L945" s="120">
        <f t="shared" si="353"/>
        <v>0</v>
      </c>
      <c r="M945" s="246">
        <f t="shared" si="354"/>
        <v>0</v>
      </c>
      <c r="N945" s="121">
        <f t="shared" si="355"/>
        <v>1.06</v>
      </c>
      <c r="O945" s="246">
        <f t="shared" si="356"/>
        <v>0.90916301969365432</v>
      </c>
      <c r="P945" s="121">
        <f t="shared" si="357"/>
        <v>8.3333333333333329E-2</v>
      </c>
      <c r="Q945" s="121">
        <f t="shared" si="358"/>
        <v>0.91666666666666663</v>
      </c>
      <c r="R945" s="121">
        <f t="shared" si="359"/>
        <v>0</v>
      </c>
      <c r="AE945" s="160">
        <f t="shared" si="360"/>
        <v>1.0475139139948626</v>
      </c>
    </row>
    <row r="946" spans="1:35" x14ac:dyDescent="0.3">
      <c r="A946" s="187">
        <v>25</v>
      </c>
      <c r="B946" s="242">
        <f t="shared" si="361"/>
        <v>46388</v>
      </c>
      <c r="C946" s="243">
        <f t="shared" si="344"/>
        <v>46418</v>
      </c>
      <c r="D946" s="120">
        <f t="shared" si="345"/>
        <v>31</v>
      </c>
      <c r="E946" s="120">
        <f t="shared" si="346"/>
        <v>1</v>
      </c>
      <c r="F946" s="275">
        <f t="shared" si="347"/>
        <v>46403.5</v>
      </c>
      <c r="G946" s="120">
        <f t="shared" si="348"/>
        <v>24324</v>
      </c>
      <c r="H946" s="245">
        <f t="shared" si="349"/>
        <v>1</v>
      </c>
      <c r="I946" s="121">
        <f t="shared" si="350"/>
        <v>1.06</v>
      </c>
      <c r="J946" s="121">
        <f t="shared" si="351"/>
        <v>1.06</v>
      </c>
      <c r="K946" s="120">
        <f t="shared" si="352"/>
        <v>0</v>
      </c>
      <c r="L946" s="120">
        <f t="shared" si="353"/>
        <v>0</v>
      </c>
      <c r="M946" s="246">
        <f t="shared" si="354"/>
        <v>0</v>
      </c>
      <c r="N946" s="121">
        <f t="shared" si="355"/>
        <v>1.06</v>
      </c>
      <c r="O946" s="246">
        <f t="shared" si="356"/>
        <v>0.90882385120350118</v>
      </c>
      <c r="P946" s="121">
        <f t="shared" si="357"/>
        <v>0</v>
      </c>
      <c r="Q946" s="121">
        <f t="shared" si="358"/>
        <v>1</v>
      </c>
      <c r="R946" s="121">
        <f t="shared" si="359"/>
        <v>0</v>
      </c>
      <c r="W946" s="160">
        <f t="shared" ref="W946:W957" si="362">IF($G946&lt;&gt;$Q$919,$N946,(1-$U$919)*$I946+$U$919*$J946)</f>
        <v>1.06</v>
      </c>
      <c r="X946" s="160">
        <f t="shared" ref="X946:X957" si="363">IF($G946&lt;$Q$919,0,IF($G946&gt;$Q$919,$N946,$U$919*$J946))</f>
        <v>0</v>
      </c>
      <c r="Y946" s="160">
        <f t="shared" ref="Y946:Y957" si="364">IF($F$919=1,$O946/$O934,1)</f>
        <v>0.99562515356909564</v>
      </c>
      <c r="AB946" s="160">
        <f t="shared" ref="AB946:AB957" si="365">IF(AND(N($K$919)&lt;&gt;0,$F946&lt;=$B$920),0,($F946-$B$920)/($C$920-$B$920))</f>
        <v>0.23522975929978118</v>
      </c>
      <c r="AC946" s="220">
        <f t="shared" ref="AC946:AC957" si="366">IF(AND(N($K$919)&lt;&gt;0,$F946&lt;=$B$920),$O946,$F$920*(1-$AB946))</f>
        <v>0.69594091903719912</v>
      </c>
      <c r="AD946" s="160">
        <f t="shared" ref="AD946:AD957" si="367">$H946*($W946+$X946*IF(ISNUMBER($F$970),$F$970,0))/($N934*$O934)</f>
        <v>1.1612400592102503</v>
      </c>
      <c r="AE946" s="160">
        <f t="shared" si="360"/>
        <v>1.0471231329083817</v>
      </c>
      <c r="AF946" s="220">
        <f t="shared" ref="AF946:AF957" si="368">IF($G946&lt;$Q$919,0,IF($G946&gt;$Q$919,1,$U$919))</f>
        <v>0</v>
      </c>
      <c r="AG946" s="183" t="str">
        <f t="shared" ref="AG946:AG957" si="369">IF(OR($D$919=0,$P$919=0),"",($W946+$X946*IF(ISNUMBER($F$970),$F$970,0))/$N934-1)</f>
        <v/>
      </c>
      <c r="AH946" s="183" t="str">
        <f t="shared" ref="AH946:AH957" si="370">IF(OR($AG946="",$F$919=0),"",(1+$E$919)/(1+$AG946)-1)</f>
        <v/>
      </c>
      <c r="AI946" s="220" t="str">
        <f t="shared" ref="AI946:AI957" si="371">IF($AH946="","",$O934*(1+$E$919)/(1+$AG946))</f>
        <v/>
      </c>
    </row>
    <row r="947" spans="1:35" x14ac:dyDescent="0.3">
      <c r="A947" s="187">
        <v>26</v>
      </c>
      <c r="B947" s="242">
        <f t="shared" si="361"/>
        <v>46419</v>
      </c>
      <c r="C947" s="243">
        <f t="shared" si="344"/>
        <v>46446</v>
      </c>
      <c r="D947" s="120">
        <f t="shared" si="345"/>
        <v>28</v>
      </c>
      <c r="E947" s="120">
        <f t="shared" si="346"/>
        <v>2</v>
      </c>
      <c r="F947" s="275">
        <f t="shared" si="347"/>
        <v>46433</v>
      </c>
      <c r="G947" s="120">
        <f t="shared" si="348"/>
        <v>24325</v>
      </c>
      <c r="H947" s="245">
        <f t="shared" si="349"/>
        <v>1</v>
      </c>
      <c r="I947" s="121">
        <f t="shared" si="350"/>
        <v>1.06</v>
      </c>
      <c r="J947" s="121">
        <f t="shared" si="351"/>
        <v>1.06</v>
      </c>
      <c r="K947" s="120">
        <f t="shared" si="352"/>
        <v>0</v>
      </c>
      <c r="L947" s="120">
        <f t="shared" si="353"/>
        <v>0</v>
      </c>
      <c r="M947" s="246">
        <f t="shared" si="354"/>
        <v>0</v>
      </c>
      <c r="N947" s="121">
        <f t="shared" si="355"/>
        <v>1.06</v>
      </c>
      <c r="O947" s="246">
        <f t="shared" si="356"/>
        <v>0.90850109409190372</v>
      </c>
      <c r="P947" s="121">
        <f t="shared" si="357"/>
        <v>0</v>
      </c>
      <c r="Q947" s="121">
        <f t="shared" si="358"/>
        <v>1</v>
      </c>
      <c r="R947" s="121">
        <f t="shared" si="359"/>
        <v>0</v>
      </c>
      <c r="W947" s="160">
        <f t="shared" si="362"/>
        <v>1.06</v>
      </c>
      <c r="X947" s="160">
        <f t="shared" si="363"/>
        <v>0</v>
      </c>
      <c r="Y947" s="160">
        <f t="shared" si="364"/>
        <v>0.99562360614853362</v>
      </c>
      <c r="AB947" s="160">
        <f t="shared" si="365"/>
        <v>0.29978118161925604</v>
      </c>
      <c r="AC947" s="220">
        <f t="shared" si="366"/>
        <v>0.637199124726477</v>
      </c>
      <c r="AD947" s="160">
        <f t="shared" si="367"/>
        <v>1.1616507997410135</v>
      </c>
      <c r="AE947" s="160">
        <f t="shared" si="360"/>
        <v>1.0467512605841498</v>
      </c>
      <c r="AF947" s="220">
        <f t="shared" si="368"/>
        <v>0</v>
      </c>
      <c r="AG947" s="183" t="str">
        <f t="shared" si="369"/>
        <v/>
      </c>
      <c r="AH947" s="183" t="str">
        <f t="shared" si="370"/>
        <v/>
      </c>
      <c r="AI947" s="220" t="str">
        <f t="shared" si="371"/>
        <v/>
      </c>
    </row>
    <row r="948" spans="1:35" x14ac:dyDescent="0.3">
      <c r="A948" s="187">
        <v>27</v>
      </c>
      <c r="B948" s="242">
        <f t="shared" si="361"/>
        <v>46447</v>
      </c>
      <c r="C948" s="243">
        <f t="shared" si="344"/>
        <v>46477</v>
      </c>
      <c r="D948" s="120">
        <f t="shared" si="345"/>
        <v>31</v>
      </c>
      <c r="E948" s="120">
        <f t="shared" si="346"/>
        <v>3</v>
      </c>
      <c r="F948" s="275">
        <f t="shared" si="347"/>
        <v>46462.5</v>
      </c>
      <c r="G948" s="120">
        <f t="shared" si="348"/>
        <v>24326</v>
      </c>
      <c r="H948" s="245">
        <f t="shared" si="349"/>
        <v>1</v>
      </c>
      <c r="I948" s="121">
        <f t="shared" si="350"/>
        <v>1.06</v>
      </c>
      <c r="J948" s="121">
        <f t="shared" si="351"/>
        <v>1.06</v>
      </c>
      <c r="K948" s="120">
        <f t="shared" si="352"/>
        <v>0</v>
      </c>
      <c r="L948" s="120">
        <f t="shared" si="353"/>
        <v>0</v>
      </c>
      <c r="M948" s="246">
        <f t="shared" si="354"/>
        <v>0</v>
      </c>
      <c r="N948" s="121">
        <f t="shared" si="355"/>
        <v>1.06</v>
      </c>
      <c r="O948" s="246">
        <f t="shared" si="356"/>
        <v>0.90817833698030637</v>
      </c>
      <c r="P948" s="121">
        <f t="shared" si="357"/>
        <v>0</v>
      </c>
      <c r="Q948" s="121">
        <f t="shared" si="358"/>
        <v>1</v>
      </c>
      <c r="R948" s="121">
        <f t="shared" si="359"/>
        <v>0</v>
      </c>
      <c r="W948" s="160">
        <f t="shared" si="362"/>
        <v>1.06</v>
      </c>
      <c r="X948" s="160">
        <f t="shared" si="363"/>
        <v>0</v>
      </c>
      <c r="Y948" s="160">
        <f t="shared" si="364"/>
        <v>0.99562205763291256</v>
      </c>
      <c r="AB948" s="160">
        <f t="shared" si="365"/>
        <v>0.36433260393873085</v>
      </c>
      <c r="AC948" s="220">
        <f t="shared" si="366"/>
        <v>0.57845733041575487</v>
      </c>
      <c r="AD948" s="160">
        <f t="shared" si="367"/>
        <v>1.1620618309394586</v>
      </c>
      <c r="AE948" s="160">
        <f t="shared" si="360"/>
        <v>1.0463793882599179</v>
      </c>
      <c r="AF948" s="220">
        <f t="shared" si="368"/>
        <v>0</v>
      </c>
      <c r="AG948" s="183" t="str">
        <f t="shared" si="369"/>
        <v/>
      </c>
      <c r="AH948" s="183" t="str">
        <f t="shared" si="370"/>
        <v/>
      </c>
      <c r="AI948" s="220" t="str">
        <f t="shared" si="371"/>
        <v/>
      </c>
    </row>
    <row r="949" spans="1:35" x14ac:dyDescent="0.3">
      <c r="A949" s="187">
        <v>28</v>
      </c>
      <c r="B949" s="242">
        <f t="shared" si="361"/>
        <v>46478</v>
      </c>
      <c r="C949" s="243">
        <f t="shared" si="344"/>
        <v>46507</v>
      </c>
      <c r="D949" s="120">
        <f t="shared" si="345"/>
        <v>30</v>
      </c>
      <c r="E949" s="120">
        <f t="shared" si="346"/>
        <v>4</v>
      </c>
      <c r="F949" s="275">
        <f t="shared" si="347"/>
        <v>46493</v>
      </c>
      <c r="G949" s="120">
        <f t="shared" si="348"/>
        <v>24327</v>
      </c>
      <c r="H949" s="245">
        <f t="shared" si="349"/>
        <v>1</v>
      </c>
      <c r="I949" s="121">
        <f t="shared" si="350"/>
        <v>1.06</v>
      </c>
      <c r="J949" s="121">
        <f t="shared" si="351"/>
        <v>1.06</v>
      </c>
      <c r="K949" s="120">
        <f t="shared" si="352"/>
        <v>0</v>
      </c>
      <c r="L949" s="120">
        <f t="shared" si="353"/>
        <v>0</v>
      </c>
      <c r="M949" s="246">
        <f t="shared" si="354"/>
        <v>0</v>
      </c>
      <c r="N949" s="121">
        <f t="shared" si="355"/>
        <v>1.06</v>
      </c>
      <c r="O949" s="246">
        <f t="shared" si="356"/>
        <v>0.90784463894967182</v>
      </c>
      <c r="P949" s="121">
        <f t="shared" si="357"/>
        <v>0</v>
      </c>
      <c r="Q949" s="121">
        <f t="shared" si="358"/>
        <v>1</v>
      </c>
      <c r="R949" s="121">
        <f t="shared" si="359"/>
        <v>0</v>
      </c>
      <c r="W949" s="160">
        <f t="shared" si="362"/>
        <v>1.06</v>
      </c>
      <c r="X949" s="160">
        <f t="shared" si="363"/>
        <v>1.06</v>
      </c>
      <c r="Y949" s="160">
        <f t="shared" si="364"/>
        <v>0.99562045547263089</v>
      </c>
      <c r="AB949" s="160">
        <f t="shared" si="365"/>
        <v>0.4310722100656455</v>
      </c>
      <c r="AC949" s="220">
        <f t="shared" si="366"/>
        <v>0.51772428884026267</v>
      </c>
      <c r="AD949" s="160">
        <f t="shared" si="367"/>
        <v>1.1624871013414606</v>
      </c>
      <c r="AE949" s="160">
        <f t="shared" si="360"/>
        <v>1.0459949100941872</v>
      </c>
      <c r="AF949" s="220">
        <f t="shared" si="368"/>
        <v>1</v>
      </c>
      <c r="AG949" s="183" t="str">
        <f t="shared" si="369"/>
        <v/>
      </c>
      <c r="AH949" s="183" t="str">
        <f t="shared" si="370"/>
        <v/>
      </c>
      <c r="AI949" s="220" t="str">
        <f t="shared" si="371"/>
        <v/>
      </c>
    </row>
    <row r="950" spans="1:35" x14ac:dyDescent="0.3">
      <c r="A950" s="187">
        <v>29</v>
      </c>
      <c r="B950" s="242">
        <f t="shared" si="361"/>
        <v>46508</v>
      </c>
      <c r="C950" s="243">
        <f t="shared" si="344"/>
        <v>46538</v>
      </c>
      <c r="D950" s="120">
        <f t="shared" si="345"/>
        <v>31</v>
      </c>
      <c r="E950" s="120">
        <f t="shared" si="346"/>
        <v>5</v>
      </c>
      <c r="F950" s="275">
        <f t="shared" si="347"/>
        <v>46523.5</v>
      </c>
      <c r="G950" s="120">
        <f t="shared" si="348"/>
        <v>24328</v>
      </c>
      <c r="H950" s="245">
        <f t="shared" si="349"/>
        <v>1</v>
      </c>
      <c r="I950" s="121">
        <f t="shared" si="350"/>
        <v>1.06</v>
      </c>
      <c r="J950" s="121">
        <f t="shared" si="351"/>
        <v>1.06</v>
      </c>
      <c r="K950" s="120">
        <f t="shared" si="352"/>
        <v>0</v>
      </c>
      <c r="L950" s="120">
        <f t="shared" si="353"/>
        <v>0</v>
      </c>
      <c r="M950" s="246">
        <f t="shared" si="354"/>
        <v>0</v>
      </c>
      <c r="N950" s="121">
        <f t="shared" si="355"/>
        <v>1.06</v>
      </c>
      <c r="O950" s="246">
        <f t="shared" si="356"/>
        <v>0.90751094091903728</v>
      </c>
      <c r="P950" s="121">
        <f t="shared" si="357"/>
        <v>0</v>
      </c>
      <c r="Q950" s="121">
        <f t="shared" si="358"/>
        <v>1</v>
      </c>
      <c r="R950" s="121">
        <f t="shared" si="359"/>
        <v>0</v>
      </c>
      <c r="W950" s="160">
        <f t="shared" si="362"/>
        <v>1.06</v>
      </c>
      <c r="X950" s="160">
        <f t="shared" si="363"/>
        <v>1.06</v>
      </c>
      <c r="Y950" s="160">
        <f t="shared" si="364"/>
        <v>0.99561885213926049</v>
      </c>
      <c r="AB950" s="160">
        <f t="shared" si="365"/>
        <v>0.49781181619256015</v>
      </c>
      <c r="AC950" s="220">
        <f t="shared" si="366"/>
        <v>0.45699124726477025</v>
      </c>
      <c r="AD950" s="160">
        <f t="shared" si="367"/>
        <v>1.1629126831229781</v>
      </c>
      <c r="AE950" s="160">
        <f t="shared" si="360"/>
        <v>1.0456104319284558</v>
      </c>
      <c r="AF950" s="220">
        <f t="shared" si="368"/>
        <v>1</v>
      </c>
      <c r="AG950" s="183" t="str">
        <f t="shared" si="369"/>
        <v/>
      </c>
      <c r="AH950" s="183" t="str">
        <f t="shared" si="370"/>
        <v/>
      </c>
      <c r="AI950" s="220" t="str">
        <f t="shared" si="371"/>
        <v/>
      </c>
    </row>
    <row r="951" spans="1:35" x14ac:dyDescent="0.3">
      <c r="A951" s="187">
        <v>30</v>
      </c>
      <c r="B951" s="242">
        <f t="shared" si="361"/>
        <v>46539</v>
      </c>
      <c r="C951" s="243">
        <f t="shared" si="344"/>
        <v>46568</v>
      </c>
      <c r="D951" s="120">
        <f t="shared" si="345"/>
        <v>30</v>
      </c>
      <c r="E951" s="120">
        <f t="shared" si="346"/>
        <v>6</v>
      </c>
      <c r="F951" s="275">
        <f t="shared" si="347"/>
        <v>46554</v>
      </c>
      <c r="G951" s="120">
        <f t="shared" si="348"/>
        <v>24329</v>
      </c>
      <c r="H951" s="245">
        <f t="shared" si="349"/>
        <v>1</v>
      </c>
      <c r="I951" s="121">
        <f t="shared" si="350"/>
        <v>1.06</v>
      </c>
      <c r="J951" s="121">
        <f t="shared" si="351"/>
        <v>1.06</v>
      </c>
      <c r="K951" s="120">
        <f t="shared" si="352"/>
        <v>0</v>
      </c>
      <c r="L951" s="120">
        <f t="shared" si="353"/>
        <v>0</v>
      </c>
      <c r="M951" s="246">
        <f t="shared" si="354"/>
        <v>0</v>
      </c>
      <c r="N951" s="121">
        <f t="shared" si="355"/>
        <v>1.06</v>
      </c>
      <c r="O951" s="246">
        <f t="shared" si="356"/>
        <v>0.90717724288840262</v>
      </c>
      <c r="P951" s="121">
        <f t="shared" si="357"/>
        <v>0</v>
      </c>
      <c r="Q951" s="121">
        <f t="shared" si="358"/>
        <v>1</v>
      </c>
      <c r="R951" s="121">
        <f t="shared" si="359"/>
        <v>0</v>
      </c>
      <c r="W951" s="160">
        <f t="shared" si="362"/>
        <v>1.06</v>
      </c>
      <c r="X951" s="160">
        <f t="shared" si="363"/>
        <v>1.06</v>
      </c>
      <c r="Y951" s="160">
        <f t="shared" si="364"/>
        <v>0.9956172476315126</v>
      </c>
      <c r="AB951" s="160">
        <f t="shared" si="365"/>
        <v>0.56455142231947486</v>
      </c>
      <c r="AC951" s="220">
        <f t="shared" si="366"/>
        <v>0.39625820568927789</v>
      </c>
      <c r="AD951" s="160">
        <f t="shared" si="367"/>
        <v>1.1633385766261213</v>
      </c>
      <c r="AE951" s="160">
        <f t="shared" si="360"/>
        <v>1.0452259537627246</v>
      </c>
      <c r="AF951" s="220">
        <f t="shared" si="368"/>
        <v>1</v>
      </c>
      <c r="AG951" s="183" t="str">
        <f t="shared" si="369"/>
        <v/>
      </c>
      <c r="AH951" s="183" t="str">
        <f t="shared" si="370"/>
        <v/>
      </c>
      <c r="AI951" s="220" t="str">
        <f t="shared" si="371"/>
        <v/>
      </c>
    </row>
    <row r="952" spans="1:35" x14ac:dyDescent="0.3">
      <c r="A952" s="187">
        <v>31</v>
      </c>
      <c r="B952" s="242">
        <f t="shared" si="361"/>
        <v>46569</v>
      </c>
      <c r="C952" s="243">
        <f t="shared" si="344"/>
        <v>46599</v>
      </c>
      <c r="D952" s="120">
        <f t="shared" si="345"/>
        <v>31</v>
      </c>
      <c r="E952" s="120">
        <f t="shared" si="346"/>
        <v>7</v>
      </c>
      <c r="F952" s="275">
        <f t="shared" si="347"/>
        <v>46584.5</v>
      </c>
      <c r="G952" s="120">
        <f t="shared" si="348"/>
        <v>24330</v>
      </c>
      <c r="H952" s="245">
        <f t="shared" si="349"/>
        <v>1</v>
      </c>
      <c r="I952" s="121">
        <f t="shared" si="350"/>
        <v>1.06</v>
      </c>
      <c r="J952" s="121">
        <f t="shared" si="351"/>
        <v>1.06</v>
      </c>
      <c r="K952" s="120">
        <f t="shared" si="352"/>
        <v>0</v>
      </c>
      <c r="L952" s="120">
        <f t="shared" si="353"/>
        <v>0</v>
      </c>
      <c r="M952" s="246">
        <f t="shared" si="354"/>
        <v>0</v>
      </c>
      <c r="N952" s="121">
        <f t="shared" si="355"/>
        <v>1.06</v>
      </c>
      <c r="O952" s="246">
        <f t="shared" si="356"/>
        <v>0.90684354485776808</v>
      </c>
      <c r="P952" s="121">
        <f t="shared" si="357"/>
        <v>0</v>
      </c>
      <c r="Q952" s="121">
        <f t="shared" si="358"/>
        <v>0.91666666666666663</v>
      </c>
      <c r="R952" s="121">
        <f t="shared" si="359"/>
        <v>8.333333333333337E-2</v>
      </c>
      <c r="W952" s="160">
        <f t="shared" si="362"/>
        <v>1.06</v>
      </c>
      <c r="X952" s="160">
        <f t="shared" si="363"/>
        <v>1.06</v>
      </c>
      <c r="Y952" s="160">
        <f t="shared" si="364"/>
        <v>0.99561564194809637</v>
      </c>
      <c r="AB952" s="160">
        <f t="shared" si="365"/>
        <v>0.63129102844638951</v>
      </c>
      <c r="AC952" s="220">
        <f t="shared" si="366"/>
        <v>0.33552516411378558</v>
      </c>
      <c r="AD952" s="160">
        <f t="shared" si="367"/>
        <v>1.0978913039561324</v>
      </c>
      <c r="AE952" s="160">
        <f t="shared" si="360"/>
        <v>1.0448414755969937</v>
      </c>
      <c r="AF952" s="220">
        <f t="shared" si="368"/>
        <v>1</v>
      </c>
      <c r="AG952" s="183" t="str">
        <f t="shared" si="369"/>
        <v/>
      </c>
      <c r="AH952" s="183" t="str">
        <f t="shared" si="370"/>
        <v/>
      </c>
      <c r="AI952" s="220" t="str">
        <f t="shared" si="371"/>
        <v/>
      </c>
    </row>
    <row r="953" spans="1:35" x14ac:dyDescent="0.3">
      <c r="A953" s="187">
        <v>32</v>
      </c>
      <c r="B953" s="242">
        <f t="shared" si="361"/>
        <v>46600</v>
      </c>
      <c r="C953" s="243">
        <f t="shared" si="344"/>
        <v>46630</v>
      </c>
      <c r="D953" s="120">
        <f t="shared" si="345"/>
        <v>31</v>
      </c>
      <c r="E953" s="120">
        <f t="shared" si="346"/>
        <v>8</v>
      </c>
      <c r="F953" s="275">
        <f t="shared" si="347"/>
        <v>46615.5</v>
      </c>
      <c r="G953" s="120">
        <f t="shared" si="348"/>
        <v>24331</v>
      </c>
      <c r="H953" s="245">
        <f t="shared" si="349"/>
        <v>1</v>
      </c>
      <c r="I953" s="121">
        <f t="shared" si="350"/>
        <v>1.06</v>
      </c>
      <c r="J953" s="121">
        <f t="shared" si="351"/>
        <v>1.06</v>
      </c>
      <c r="K953" s="120">
        <f t="shared" si="352"/>
        <v>0</v>
      </c>
      <c r="L953" s="120">
        <f t="shared" si="353"/>
        <v>0</v>
      </c>
      <c r="M953" s="246">
        <f t="shared" si="354"/>
        <v>0</v>
      </c>
      <c r="N953" s="121">
        <f t="shared" si="355"/>
        <v>1.06</v>
      </c>
      <c r="O953" s="246">
        <f t="shared" si="356"/>
        <v>0.90650437636761494</v>
      </c>
      <c r="P953" s="121">
        <f t="shared" si="357"/>
        <v>0</v>
      </c>
      <c r="Q953" s="121">
        <f t="shared" si="358"/>
        <v>0.75</v>
      </c>
      <c r="R953" s="121">
        <f t="shared" si="359"/>
        <v>0.25</v>
      </c>
      <c r="W953" s="160">
        <f t="shared" si="362"/>
        <v>1.06</v>
      </c>
      <c r="X953" s="160">
        <f t="shared" si="363"/>
        <v>1.06</v>
      </c>
      <c r="Y953" s="160">
        <f t="shared" si="364"/>
        <v>0.99561400873593331</v>
      </c>
      <c r="AB953" s="160">
        <f t="shared" si="365"/>
        <v>0.69912472647702406</v>
      </c>
      <c r="AC953" s="220">
        <f t="shared" si="366"/>
        <v>0.27379649890590813</v>
      </c>
      <c r="AD953" s="160">
        <f t="shared" si="367"/>
        <v>1.0983002781799938</v>
      </c>
      <c r="AE953" s="160">
        <f t="shared" si="360"/>
        <v>1.0444506945105128</v>
      </c>
      <c r="AF953" s="220">
        <f t="shared" si="368"/>
        <v>1</v>
      </c>
      <c r="AG953" s="183" t="str">
        <f t="shared" si="369"/>
        <v/>
      </c>
      <c r="AH953" s="183" t="str">
        <f t="shared" si="370"/>
        <v/>
      </c>
      <c r="AI953" s="220" t="str">
        <f t="shared" si="371"/>
        <v/>
      </c>
    </row>
    <row r="954" spans="1:35" x14ac:dyDescent="0.3">
      <c r="A954" s="187">
        <v>33</v>
      </c>
      <c r="B954" s="242">
        <f t="shared" si="361"/>
        <v>46631</v>
      </c>
      <c r="C954" s="243">
        <f t="shared" si="344"/>
        <v>46660</v>
      </c>
      <c r="D954" s="120">
        <f t="shared" si="345"/>
        <v>30</v>
      </c>
      <c r="E954" s="120">
        <f t="shared" si="346"/>
        <v>9</v>
      </c>
      <c r="F954" s="275">
        <f t="shared" si="347"/>
        <v>46646</v>
      </c>
      <c r="G954" s="120">
        <f t="shared" si="348"/>
        <v>24332</v>
      </c>
      <c r="H954" s="245">
        <f t="shared" si="349"/>
        <v>1</v>
      </c>
      <c r="I954" s="121">
        <f t="shared" si="350"/>
        <v>1.06</v>
      </c>
      <c r="J954" s="121">
        <f t="shared" si="351"/>
        <v>1.06</v>
      </c>
      <c r="K954" s="120">
        <f t="shared" si="352"/>
        <v>0</v>
      </c>
      <c r="L954" s="120">
        <f t="shared" si="353"/>
        <v>0</v>
      </c>
      <c r="M954" s="246">
        <f t="shared" si="354"/>
        <v>0</v>
      </c>
      <c r="N954" s="121">
        <f t="shared" si="355"/>
        <v>1.06</v>
      </c>
      <c r="O954" s="246">
        <f t="shared" si="356"/>
        <v>0.90617067833698028</v>
      </c>
      <c r="P954" s="121">
        <f t="shared" si="357"/>
        <v>0</v>
      </c>
      <c r="Q954" s="121">
        <f t="shared" si="358"/>
        <v>0.58333333333333337</v>
      </c>
      <c r="R954" s="121">
        <f t="shared" si="359"/>
        <v>0.41666666666666663</v>
      </c>
      <c r="W954" s="160">
        <f t="shared" si="362"/>
        <v>1.06</v>
      </c>
      <c r="X954" s="160">
        <f t="shared" si="363"/>
        <v>1.06</v>
      </c>
      <c r="Y954" s="160">
        <f t="shared" si="364"/>
        <v>0.99561240067797419</v>
      </c>
      <c r="AB954" s="160">
        <f t="shared" si="365"/>
        <v>0.76586433260393871</v>
      </c>
      <c r="AC954" s="220">
        <f t="shared" si="366"/>
        <v>0.21306345733041579</v>
      </c>
      <c r="AD954" s="160">
        <f t="shared" si="367"/>
        <v>1.0987029535154886</v>
      </c>
      <c r="AE954" s="160">
        <f t="shared" si="360"/>
        <v>1.0440662163447816</v>
      </c>
      <c r="AF954" s="220">
        <f t="shared" si="368"/>
        <v>1</v>
      </c>
      <c r="AG954" s="183" t="str">
        <f t="shared" si="369"/>
        <v/>
      </c>
      <c r="AH954" s="183" t="str">
        <f t="shared" si="370"/>
        <v/>
      </c>
      <c r="AI954" s="220" t="str">
        <f t="shared" si="371"/>
        <v/>
      </c>
    </row>
    <row r="955" spans="1:35" x14ac:dyDescent="0.3">
      <c r="A955" s="187">
        <v>34</v>
      </c>
      <c r="B955" s="242">
        <f t="shared" si="361"/>
        <v>46661</v>
      </c>
      <c r="C955" s="243">
        <f t="shared" si="344"/>
        <v>46691</v>
      </c>
      <c r="D955" s="120">
        <f t="shared" si="345"/>
        <v>31</v>
      </c>
      <c r="E955" s="120">
        <f t="shared" si="346"/>
        <v>10</v>
      </c>
      <c r="F955" s="275">
        <f t="shared" si="347"/>
        <v>46676.5</v>
      </c>
      <c r="G955" s="120">
        <f t="shared" si="348"/>
        <v>24333</v>
      </c>
      <c r="H955" s="245">
        <f t="shared" si="349"/>
        <v>1</v>
      </c>
      <c r="I955" s="121">
        <f t="shared" si="350"/>
        <v>1.06</v>
      </c>
      <c r="J955" s="121">
        <f t="shared" si="351"/>
        <v>1.06</v>
      </c>
      <c r="K955" s="120">
        <f t="shared" si="352"/>
        <v>0</v>
      </c>
      <c r="L955" s="120">
        <f t="shared" si="353"/>
        <v>0</v>
      </c>
      <c r="M955" s="246">
        <f t="shared" si="354"/>
        <v>0</v>
      </c>
      <c r="N955" s="121">
        <f t="shared" si="355"/>
        <v>1.06</v>
      </c>
      <c r="O955" s="246">
        <f t="shared" si="356"/>
        <v>0.90583698030634574</v>
      </c>
      <c r="P955" s="121">
        <f t="shared" si="357"/>
        <v>0</v>
      </c>
      <c r="Q955" s="121">
        <f t="shared" si="358"/>
        <v>0.41666666666666669</v>
      </c>
      <c r="R955" s="121">
        <f t="shared" si="359"/>
        <v>0.58333333333333326</v>
      </c>
      <c r="W955" s="160">
        <f t="shared" si="362"/>
        <v>1.06</v>
      </c>
      <c r="X955" s="160">
        <f t="shared" si="363"/>
        <v>1.06</v>
      </c>
      <c r="Y955" s="160">
        <f t="shared" si="364"/>
        <v>0.99561079144044207</v>
      </c>
      <c r="AB955" s="160">
        <f t="shared" si="365"/>
        <v>0.83260393873085337</v>
      </c>
      <c r="AC955" s="220">
        <f t="shared" si="366"/>
        <v>0.15233041575492345</v>
      </c>
      <c r="AD955" s="160">
        <f t="shared" si="367"/>
        <v>1.0991059242290326</v>
      </c>
      <c r="AE955" s="160">
        <f t="shared" si="360"/>
        <v>1.0436817381790504</v>
      </c>
      <c r="AF955" s="220">
        <f t="shared" si="368"/>
        <v>1</v>
      </c>
      <c r="AG955" s="183" t="str">
        <f t="shared" si="369"/>
        <v/>
      </c>
      <c r="AH955" s="183" t="str">
        <f t="shared" si="370"/>
        <v/>
      </c>
      <c r="AI955" s="220" t="str">
        <f t="shared" si="371"/>
        <v/>
      </c>
    </row>
    <row r="956" spans="1:35" x14ac:dyDescent="0.3">
      <c r="A956" s="187">
        <v>35</v>
      </c>
      <c r="B956" s="242">
        <f t="shared" si="361"/>
        <v>46692</v>
      </c>
      <c r="C956" s="243">
        <f t="shared" si="344"/>
        <v>46721</v>
      </c>
      <c r="D956" s="120">
        <f t="shared" si="345"/>
        <v>30</v>
      </c>
      <c r="E956" s="120">
        <f t="shared" si="346"/>
        <v>11</v>
      </c>
      <c r="F956" s="275">
        <f t="shared" si="347"/>
        <v>46707</v>
      </c>
      <c r="G956" s="120">
        <f t="shared" si="348"/>
        <v>24334</v>
      </c>
      <c r="H956" s="245">
        <f t="shared" si="349"/>
        <v>1</v>
      </c>
      <c r="I956" s="121">
        <f t="shared" si="350"/>
        <v>1.06</v>
      </c>
      <c r="J956" s="121">
        <f t="shared" si="351"/>
        <v>1.06</v>
      </c>
      <c r="K956" s="120">
        <f t="shared" si="352"/>
        <v>0</v>
      </c>
      <c r="L956" s="120">
        <f t="shared" si="353"/>
        <v>0</v>
      </c>
      <c r="M956" s="246">
        <f t="shared" si="354"/>
        <v>0</v>
      </c>
      <c r="N956" s="121">
        <f t="shared" si="355"/>
        <v>1.06</v>
      </c>
      <c r="O956" s="246">
        <f t="shared" si="356"/>
        <v>0.9055032822757112</v>
      </c>
      <c r="P956" s="121">
        <f t="shared" si="357"/>
        <v>0</v>
      </c>
      <c r="Q956" s="121">
        <f t="shared" si="358"/>
        <v>0.25</v>
      </c>
      <c r="R956" s="121">
        <f t="shared" si="359"/>
        <v>0.75</v>
      </c>
      <c r="W956" s="160">
        <f t="shared" si="362"/>
        <v>1.06</v>
      </c>
      <c r="X956" s="160">
        <f t="shared" si="363"/>
        <v>1.06</v>
      </c>
      <c r="Y956" s="160">
        <f t="shared" si="364"/>
        <v>0.99560918102203833</v>
      </c>
      <c r="AB956" s="160">
        <f t="shared" si="365"/>
        <v>0.89934354485776802</v>
      </c>
      <c r="AC956" s="220">
        <f t="shared" si="366"/>
        <v>9.1597374179431104E-2</v>
      </c>
      <c r="AD956" s="160">
        <f t="shared" si="367"/>
        <v>1.099509190645751</v>
      </c>
      <c r="AE956" s="160">
        <f t="shared" si="360"/>
        <v>1.0432972600133195</v>
      </c>
      <c r="AF956" s="220">
        <f t="shared" si="368"/>
        <v>1</v>
      </c>
      <c r="AG956" s="183" t="str">
        <f t="shared" si="369"/>
        <v/>
      </c>
      <c r="AH956" s="183" t="str">
        <f t="shared" si="370"/>
        <v/>
      </c>
      <c r="AI956" s="220" t="str">
        <f t="shared" si="371"/>
        <v/>
      </c>
    </row>
    <row r="957" spans="1:35" x14ac:dyDescent="0.3">
      <c r="A957" s="187">
        <v>36</v>
      </c>
      <c r="B957" s="242">
        <f t="shared" si="361"/>
        <v>46722</v>
      </c>
      <c r="C957" s="243">
        <f t="shared" si="344"/>
        <v>46752</v>
      </c>
      <c r="D957" s="120">
        <f t="shared" si="345"/>
        <v>31</v>
      </c>
      <c r="E957" s="120">
        <f t="shared" si="346"/>
        <v>12</v>
      </c>
      <c r="F957" s="275">
        <f t="shared" si="347"/>
        <v>46737.5</v>
      </c>
      <c r="G957" s="120">
        <f t="shared" si="348"/>
        <v>24335</v>
      </c>
      <c r="H957" s="245">
        <f t="shared" si="349"/>
        <v>1</v>
      </c>
      <c r="I957" s="121">
        <f t="shared" si="350"/>
        <v>1.06</v>
      </c>
      <c r="J957" s="121">
        <f t="shared" si="351"/>
        <v>1.06</v>
      </c>
      <c r="K957" s="120">
        <f t="shared" si="352"/>
        <v>0</v>
      </c>
      <c r="L957" s="120">
        <f t="shared" si="353"/>
        <v>0</v>
      </c>
      <c r="M957" s="246">
        <f t="shared" si="354"/>
        <v>0</v>
      </c>
      <c r="N957" s="121">
        <f t="shared" si="355"/>
        <v>1.06</v>
      </c>
      <c r="O957" s="246">
        <f t="shared" si="356"/>
        <v>0.90516958424507665</v>
      </c>
      <c r="P957" s="121">
        <f t="shared" si="357"/>
        <v>0</v>
      </c>
      <c r="Q957" s="121">
        <f t="shared" si="358"/>
        <v>8.3333333333333329E-2</v>
      </c>
      <c r="R957" s="121">
        <f t="shared" si="359"/>
        <v>0.91666666666666663</v>
      </c>
      <c r="W957" s="160">
        <f t="shared" si="362"/>
        <v>1.06</v>
      </c>
      <c r="X957" s="160">
        <f t="shared" si="363"/>
        <v>1.06</v>
      </c>
      <c r="Y957" s="160">
        <f t="shared" si="364"/>
        <v>0.99560756942146278</v>
      </c>
      <c r="AB957" s="160">
        <f t="shared" si="365"/>
        <v>0.96608315098468267</v>
      </c>
      <c r="AC957" s="220">
        <f t="shared" si="366"/>
        <v>3.0864332603938772E-2</v>
      </c>
      <c r="AD957" s="160">
        <f t="shared" si="367"/>
        <v>1.099912753091248</v>
      </c>
      <c r="AE957" s="160">
        <f t="shared" si="360"/>
        <v>1.0429127818475883</v>
      </c>
      <c r="AF957" s="220">
        <f t="shared" si="368"/>
        <v>1</v>
      </c>
      <c r="AG957" s="183" t="str">
        <f t="shared" si="369"/>
        <v/>
      </c>
      <c r="AH957" s="183" t="str">
        <f t="shared" si="370"/>
        <v/>
      </c>
      <c r="AI957" s="220" t="str">
        <f t="shared" si="371"/>
        <v/>
      </c>
    </row>
    <row r="958" spans="1:35" x14ac:dyDescent="0.3">
      <c r="A958" s="187">
        <v>37</v>
      </c>
      <c r="B958" s="242">
        <f t="shared" si="361"/>
        <v>46753</v>
      </c>
      <c r="C958" s="243">
        <f t="shared" si="344"/>
        <v>46783</v>
      </c>
      <c r="D958" s="120">
        <f t="shared" si="345"/>
        <v>31</v>
      </c>
      <c r="E958" s="120">
        <f t="shared" si="346"/>
        <v>1</v>
      </c>
      <c r="F958" s="275">
        <f t="shared" si="347"/>
        <v>46768.5</v>
      </c>
      <c r="G958" s="120">
        <f t="shared" si="348"/>
        <v>24336</v>
      </c>
      <c r="H958" s="245">
        <f t="shared" si="349"/>
        <v>1</v>
      </c>
      <c r="I958" s="121">
        <f t="shared" si="350"/>
        <v>1.06</v>
      </c>
      <c r="J958" s="121">
        <f t="shared" si="351"/>
        <v>1.06</v>
      </c>
      <c r="K958" s="120">
        <f t="shared" si="352"/>
        <v>0</v>
      </c>
      <c r="L958" s="120">
        <f t="shared" si="353"/>
        <v>0</v>
      </c>
      <c r="M958" s="246">
        <f t="shared" si="354"/>
        <v>0</v>
      </c>
      <c r="N958" s="121">
        <f t="shared" si="355"/>
        <v>1.06</v>
      </c>
      <c r="O958" s="246">
        <f t="shared" si="356"/>
        <v>0.90500000000000003</v>
      </c>
      <c r="P958" s="121">
        <f t="shared" si="357"/>
        <v>0</v>
      </c>
      <c r="Q958" s="121">
        <f t="shared" si="358"/>
        <v>0</v>
      </c>
      <c r="R958" s="121">
        <f t="shared" si="359"/>
        <v>1</v>
      </c>
      <c r="AE958" s="160">
        <f t="shared" si="360"/>
        <v>1.0427173913043479</v>
      </c>
    </row>
    <row r="959" spans="1:35" x14ac:dyDescent="0.3">
      <c r="A959" s="187">
        <v>38</v>
      </c>
      <c r="B959" s="242">
        <f t="shared" si="361"/>
        <v>46784</v>
      </c>
      <c r="C959" s="243">
        <f t="shared" si="344"/>
        <v>46812</v>
      </c>
      <c r="D959" s="120">
        <f t="shared" si="345"/>
        <v>29</v>
      </c>
      <c r="E959" s="120">
        <f t="shared" si="346"/>
        <v>2</v>
      </c>
      <c r="F959" s="275">
        <f t="shared" si="347"/>
        <v>46798.5</v>
      </c>
      <c r="G959" s="120">
        <f t="shared" si="348"/>
        <v>24337</v>
      </c>
      <c r="H959" s="245">
        <f t="shared" si="349"/>
        <v>1</v>
      </c>
      <c r="I959" s="121">
        <f t="shared" si="350"/>
        <v>1.06</v>
      </c>
      <c r="J959" s="121">
        <f t="shared" si="351"/>
        <v>1.06</v>
      </c>
      <c r="K959" s="120">
        <f t="shared" si="352"/>
        <v>0</v>
      </c>
      <c r="L959" s="120">
        <f t="shared" si="353"/>
        <v>0</v>
      </c>
      <c r="M959" s="246">
        <f t="shared" si="354"/>
        <v>0</v>
      </c>
      <c r="N959" s="121">
        <f t="shared" si="355"/>
        <v>1.06</v>
      </c>
      <c r="O959" s="246">
        <f t="shared" si="356"/>
        <v>0.90500000000000003</v>
      </c>
      <c r="P959" s="121">
        <f t="shared" si="357"/>
        <v>0</v>
      </c>
      <c r="Q959" s="121">
        <f t="shared" si="358"/>
        <v>0</v>
      </c>
      <c r="R959" s="121">
        <f t="shared" si="359"/>
        <v>1</v>
      </c>
      <c r="AE959" s="160">
        <f t="shared" si="360"/>
        <v>1.0427173913043479</v>
      </c>
    </row>
    <row r="960" spans="1:35" x14ac:dyDescent="0.3">
      <c r="A960" s="187">
        <v>39</v>
      </c>
      <c r="B960" s="242">
        <f t="shared" si="361"/>
        <v>46813</v>
      </c>
      <c r="C960" s="243">
        <f t="shared" si="344"/>
        <v>46843</v>
      </c>
      <c r="D960" s="120">
        <f t="shared" si="345"/>
        <v>31</v>
      </c>
      <c r="E960" s="120">
        <f t="shared" si="346"/>
        <v>3</v>
      </c>
      <c r="F960" s="275">
        <f t="shared" si="347"/>
        <v>46828.5</v>
      </c>
      <c r="G960" s="120">
        <f t="shared" si="348"/>
        <v>24338</v>
      </c>
      <c r="H960" s="245">
        <f t="shared" si="349"/>
        <v>1</v>
      </c>
      <c r="I960" s="121">
        <f t="shared" si="350"/>
        <v>1.06</v>
      </c>
      <c r="J960" s="121">
        <f t="shared" si="351"/>
        <v>1.06</v>
      </c>
      <c r="K960" s="120">
        <f t="shared" si="352"/>
        <v>0</v>
      </c>
      <c r="L960" s="120">
        <f t="shared" si="353"/>
        <v>0</v>
      </c>
      <c r="M960" s="246">
        <f t="shared" si="354"/>
        <v>0</v>
      </c>
      <c r="N960" s="121">
        <f t="shared" si="355"/>
        <v>1.06</v>
      </c>
      <c r="O960" s="246">
        <f t="shared" si="356"/>
        <v>0.90500000000000003</v>
      </c>
      <c r="P960" s="121">
        <f t="shared" si="357"/>
        <v>0</v>
      </c>
      <c r="Q960" s="121">
        <f t="shared" si="358"/>
        <v>0</v>
      </c>
      <c r="R960" s="121">
        <f t="shared" si="359"/>
        <v>1</v>
      </c>
      <c r="AE960" s="160">
        <f t="shared" si="360"/>
        <v>1.0427173913043479</v>
      </c>
    </row>
    <row r="961" spans="1:31" x14ac:dyDescent="0.3">
      <c r="A961" s="187">
        <v>40</v>
      </c>
      <c r="B961" s="242">
        <f t="shared" si="361"/>
        <v>46844</v>
      </c>
      <c r="C961" s="243">
        <f t="shared" si="344"/>
        <v>46873</v>
      </c>
      <c r="D961" s="120">
        <f t="shared" si="345"/>
        <v>30</v>
      </c>
      <c r="E961" s="120">
        <f t="shared" si="346"/>
        <v>4</v>
      </c>
      <c r="F961" s="275">
        <f t="shared" si="347"/>
        <v>46859</v>
      </c>
      <c r="G961" s="120">
        <f t="shared" si="348"/>
        <v>24339</v>
      </c>
      <c r="H961" s="245">
        <f t="shared" si="349"/>
        <v>1</v>
      </c>
      <c r="I961" s="121">
        <f t="shared" si="350"/>
        <v>1.06</v>
      </c>
      <c r="J961" s="121">
        <f t="shared" si="351"/>
        <v>1.06</v>
      </c>
      <c r="K961" s="120">
        <f t="shared" si="352"/>
        <v>0</v>
      </c>
      <c r="L961" s="120">
        <f t="shared" si="353"/>
        <v>0</v>
      </c>
      <c r="M961" s="246">
        <f t="shared" si="354"/>
        <v>0</v>
      </c>
      <c r="N961" s="121">
        <f t="shared" si="355"/>
        <v>1.06</v>
      </c>
      <c r="O961" s="246">
        <f t="shared" si="356"/>
        <v>0.90500000000000003</v>
      </c>
      <c r="P961" s="121">
        <f t="shared" si="357"/>
        <v>0</v>
      </c>
      <c r="Q961" s="121">
        <f t="shared" si="358"/>
        <v>0</v>
      </c>
      <c r="R961" s="121">
        <f t="shared" si="359"/>
        <v>1</v>
      </c>
      <c r="AE961" s="160">
        <f t="shared" si="360"/>
        <v>1.0427173913043479</v>
      </c>
    </row>
    <row r="962" spans="1:31" x14ac:dyDescent="0.3">
      <c r="A962" s="187">
        <v>41</v>
      </c>
      <c r="B962" s="242">
        <f t="shared" si="361"/>
        <v>46874</v>
      </c>
      <c r="C962" s="243">
        <f t="shared" si="344"/>
        <v>46904</v>
      </c>
      <c r="D962" s="120">
        <f t="shared" si="345"/>
        <v>31</v>
      </c>
      <c r="E962" s="120">
        <f t="shared" si="346"/>
        <v>5</v>
      </c>
      <c r="F962" s="275">
        <f t="shared" si="347"/>
        <v>46889.5</v>
      </c>
      <c r="G962" s="120">
        <f t="shared" si="348"/>
        <v>24340</v>
      </c>
      <c r="H962" s="245">
        <f t="shared" si="349"/>
        <v>1</v>
      </c>
      <c r="I962" s="121">
        <f t="shared" si="350"/>
        <v>1.06</v>
      </c>
      <c r="J962" s="121">
        <f t="shared" si="351"/>
        <v>1.06</v>
      </c>
      <c r="K962" s="120">
        <f t="shared" si="352"/>
        <v>0</v>
      </c>
      <c r="L962" s="120">
        <f t="shared" si="353"/>
        <v>0</v>
      </c>
      <c r="M962" s="246">
        <f t="shared" si="354"/>
        <v>0</v>
      </c>
      <c r="N962" s="121">
        <f t="shared" si="355"/>
        <v>1.06</v>
      </c>
      <c r="O962" s="246">
        <f t="shared" si="356"/>
        <v>0.90500000000000003</v>
      </c>
      <c r="P962" s="121">
        <f t="shared" si="357"/>
        <v>0</v>
      </c>
      <c r="Q962" s="121">
        <f t="shared" si="358"/>
        <v>0</v>
      </c>
      <c r="R962" s="121">
        <f t="shared" si="359"/>
        <v>1</v>
      </c>
      <c r="AE962" s="160">
        <f t="shared" si="360"/>
        <v>1.0427173913043479</v>
      </c>
    </row>
    <row r="963" spans="1:31" x14ac:dyDescent="0.3">
      <c r="A963" s="187">
        <v>42</v>
      </c>
      <c r="B963" s="242">
        <f t="shared" si="361"/>
        <v>46905</v>
      </c>
      <c r="C963" s="243">
        <f t="shared" si="344"/>
        <v>46934</v>
      </c>
      <c r="D963" s="120">
        <f t="shared" si="345"/>
        <v>30</v>
      </c>
      <c r="E963" s="120">
        <f t="shared" si="346"/>
        <v>6</v>
      </c>
      <c r="F963" s="275">
        <f t="shared" si="347"/>
        <v>46920</v>
      </c>
      <c r="G963" s="120">
        <f t="shared" si="348"/>
        <v>24341</v>
      </c>
      <c r="H963" s="245">
        <f t="shared" si="349"/>
        <v>1</v>
      </c>
      <c r="I963" s="121">
        <f t="shared" si="350"/>
        <v>1.06</v>
      </c>
      <c r="J963" s="121">
        <f t="shared" si="351"/>
        <v>1.06</v>
      </c>
      <c r="K963" s="120">
        <f t="shared" si="352"/>
        <v>0</v>
      </c>
      <c r="L963" s="120">
        <f t="shared" si="353"/>
        <v>0</v>
      </c>
      <c r="M963" s="246">
        <f t="shared" si="354"/>
        <v>0</v>
      </c>
      <c r="N963" s="121">
        <f t="shared" si="355"/>
        <v>1.06</v>
      </c>
      <c r="O963" s="246">
        <f t="shared" si="356"/>
        <v>0.90500000000000003</v>
      </c>
      <c r="P963" s="121">
        <f t="shared" si="357"/>
        <v>0</v>
      </c>
      <c r="Q963" s="121">
        <f t="shared" si="358"/>
        <v>0</v>
      </c>
      <c r="R963" s="121">
        <f t="shared" si="359"/>
        <v>1</v>
      </c>
      <c r="AE963" s="160">
        <f t="shared" si="360"/>
        <v>1.0427173913043479</v>
      </c>
    </row>
    <row r="964" spans="1:31" x14ac:dyDescent="0.3">
      <c r="A964" s="187">
        <v>43</v>
      </c>
      <c r="B964" s="242">
        <f t="shared" si="361"/>
        <v>46935</v>
      </c>
      <c r="C964" s="243">
        <f t="shared" si="344"/>
        <v>46965</v>
      </c>
      <c r="D964" s="120">
        <f t="shared" si="345"/>
        <v>31</v>
      </c>
      <c r="E964" s="120">
        <f t="shared" si="346"/>
        <v>7</v>
      </c>
      <c r="F964" s="275">
        <f t="shared" si="347"/>
        <v>46950.5</v>
      </c>
      <c r="G964" s="120">
        <f t="shared" si="348"/>
        <v>24342</v>
      </c>
      <c r="H964" s="245">
        <f t="shared" si="349"/>
        <v>1</v>
      </c>
      <c r="I964" s="121">
        <f t="shared" si="350"/>
        <v>1.06</v>
      </c>
      <c r="J964" s="121">
        <f t="shared" si="351"/>
        <v>1.06</v>
      </c>
      <c r="K964" s="120">
        <f t="shared" si="352"/>
        <v>0</v>
      </c>
      <c r="L964" s="120">
        <f t="shared" si="353"/>
        <v>0</v>
      </c>
      <c r="M964" s="246">
        <f t="shared" si="354"/>
        <v>0</v>
      </c>
      <c r="N964" s="121">
        <f t="shared" si="355"/>
        <v>1.06</v>
      </c>
      <c r="O964" s="246">
        <f t="shared" si="356"/>
        <v>0.90500000000000003</v>
      </c>
      <c r="P964" s="121">
        <f t="shared" si="357"/>
        <v>0</v>
      </c>
      <c r="Q964" s="121">
        <f t="shared" si="358"/>
        <v>0</v>
      </c>
      <c r="R964" s="121">
        <f t="shared" si="359"/>
        <v>0.91666666666666663</v>
      </c>
      <c r="AE964" s="160">
        <f t="shared" si="360"/>
        <v>1.0427173913043479</v>
      </c>
    </row>
    <row r="965" spans="1:31" x14ac:dyDescent="0.3">
      <c r="A965" s="187">
        <v>44</v>
      </c>
      <c r="B965" s="242">
        <f t="shared" si="361"/>
        <v>46966</v>
      </c>
      <c r="C965" s="243">
        <f t="shared" si="344"/>
        <v>46996</v>
      </c>
      <c r="D965" s="120">
        <f t="shared" si="345"/>
        <v>31</v>
      </c>
      <c r="E965" s="120">
        <f t="shared" si="346"/>
        <v>8</v>
      </c>
      <c r="F965" s="275">
        <f t="shared" si="347"/>
        <v>46981.5</v>
      </c>
      <c r="G965" s="120">
        <f t="shared" si="348"/>
        <v>24343</v>
      </c>
      <c r="H965" s="245">
        <f t="shared" si="349"/>
        <v>1</v>
      </c>
      <c r="I965" s="121">
        <f t="shared" si="350"/>
        <v>1.06</v>
      </c>
      <c r="J965" s="121">
        <f t="shared" si="351"/>
        <v>1.06</v>
      </c>
      <c r="K965" s="120">
        <f t="shared" si="352"/>
        <v>0</v>
      </c>
      <c r="L965" s="120">
        <f t="shared" si="353"/>
        <v>0</v>
      </c>
      <c r="M965" s="246">
        <f t="shared" si="354"/>
        <v>0</v>
      </c>
      <c r="N965" s="121">
        <f t="shared" si="355"/>
        <v>1.06</v>
      </c>
      <c r="O965" s="246">
        <f t="shared" si="356"/>
        <v>0.90500000000000003</v>
      </c>
      <c r="P965" s="121">
        <f t="shared" si="357"/>
        <v>0</v>
      </c>
      <c r="Q965" s="121">
        <f t="shared" si="358"/>
        <v>0</v>
      </c>
      <c r="R965" s="121">
        <f t="shared" si="359"/>
        <v>0.75</v>
      </c>
      <c r="AE965" s="160">
        <f t="shared" si="360"/>
        <v>1.0427173913043479</v>
      </c>
    </row>
    <row r="966" spans="1:31" x14ac:dyDescent="0.3">
      <c r="A966" s="187">
        <v>45</v>
      </c>
      <c r="B966" s="242">
        <f t="shared" si="361"/>
        <v>46997</v>
      </c>
      <c r="C966" s="243">
        <f t="shared" si="344"/>
        <v>47026</v>
      </c>
      <c r="D966" s="120">
        <f t="shared" si="345"/>
        <v>30</v>
      </c>
      <c r="E966" s="120">
        <f t="shared" si="346"/>
        <v>9</v>
      </c>
      <c r="F966" s="275">
        <f t="shared" si="347"/>
        <v>47012</v>
      </c>
      <c r="G966" s="120">
        <f t="shared" si="348"/>
        <v>24344</v>
      </c>
      <c r="H966" s="245">
        <f t="shared" si="349"/>
        <v>1</v>
      </c>
      <c r="I966" s="121">
        <f t="shared" si="350"/>
        <v>1.06</v>
      </c>
      <c r="J966" s="121">
        <f t="shared" si="351"/>
        <v>1.06</v>
      </c>
      <c r="K966" s="120">
        <f t="shared" si="352"/>
        <v>0</v>
      </c>
      <c r="L966" s="120">
        <f t="shared" si="353"/>
        <v>0</v>
      </c>
      <c r="M966" s="246">
        <f t="shared" si="354"/>
        <v>0</v>
      </c>
      <c r="N966" s="121">
        <f t="shared" si="355"/>
        <v>1.06</v>
      </c>
      <c r="O966" s="246">
        <f t="shared" si="356"/>
        <v>0.90500000000000003</v>
      </c>
      <c r="P966" s="121">
        <f t="shared" si="357"/>
        <v>0</v>
      </c>
      <c r="Q966" s="121">
        <f t="shared" si="358"/>
        <v>0</v>
      </c>
      <c r="R966" s="121">
        <f t="shared" si="359"/>
        <v>0.58333333333333337</v>
      </c>
      <c r="AE966" s="160">
        <f t="shared" si="360"/>
        <v>1.0427173913043479</v>
      </c>
    </row>
    <row r="967" spans="1:31" x14ac:dyDescent="0.3">
      <c r="A967" s="187">
        <v>46</v>
      </c>
      <c r="B967" s="242">
        <f t="shared" si="361"/>
        <v>47027</v>
      </c>
      <c r="C967" s="243">
        <f t="shared" si="344"/>
        <v>47057</v>
      </c>
      <c r="D967" s="120">
        <f t="shared" si="345"/>
        <v>31</v>
      </c>
      <c r="E967" s="120">
        <f t="shared" si="346"/>
        <v>10</v>
      </c>
      <c r="F967" s="275">
        <f t="shared" si="347"/>
        <v>47042.5</v>
      </c>
      <c r="G967" s="120">
        <f t="shared" si="348"/>
        <v>24345</v>
      </c>
      <c r="H967" s="245">
        <f t="shared" si="349"/>
        <v>1</v>
      </c>
      <c r="I967" s="121">
        <f t="shared" si="350"/>
        <v>1.06</v>
      </c>
      <c r="J967" s="121">
        <f t="shared" si="351"/>
        <v>1.06</v>
      </c>
      <c r="K967" s="120">
        <f t="shared" si="352"/>
        <v>0</v>
      </c>
      <c r="L967" s="120">
        <f t="shared" si="353"/>
        <v>0</v>
      </c>
      <c r="M967" s="246">
        <f t="shared" si="354"/>
        <v>0</v>
      </c>
      <c r="N967" s="121">
        <f t="shared" si="355"/>
        <v>1.06</v>
      </c>
      <c r="O967" s="246">
        <f t="shared" si="356"/>
        <v>0.90500000000000003</v>
      </c>
      <c r="P967" s="121">
        <f t="shared" si="357"/>
        <v>0</v>
      </c>
      <c r="Q967" s="121">
        <f t="shared" si="358"/>
        <v>0</v>
      </c>
      <c r="R967" s="121">
        <f t="shared" si="359"/>
        <v>0.41666666666666669</v>
      </c>
      <c r="AE967" s="160">
        <f t="shared" si="360"/>
        <v>1.0427173913043479</v>
      </c>
    </row>
    <row r="968" spans="1:31" x14ac:dyDescent="0.3">
      <c r="A968" s="187">
        <v>47</v>
      </c>
      <c r="B968" s="242">
        <f t="shared" si="361"/>
        <v>47058</v>
      </c>
      <c r="C968" s="243">
        <f t="shared" si="344"/>
        <v>47087</v>
      </c>
      <c r="D968" s="120">
        <f t="shared" si="345"/>
        <v>30</v>
      </c>
      <c r="E968" s="120">
        <f t="shared" si="346"/>
        <v>11</v>
      </c>
      <c r="F968" s="275">
        <f t="shared" si="347"/>
        <v>47073</v>
      </c>
      <c r="G968" s="120">
        <f t="shared" si="348"/>
        <v>24346</v>
      </c>
      <c r="H968" s="245">
        <f t="shared" si="349"/>
        <v>1</v>
      </c>
      <c r="I968" s="121">
        <f t="shared" si="350"/>
        <v>1.06</v>
      </c>
      <c r="J968" s="121">
        <f t="shared" si="351"/>
        <v>1.06</v>
      </c>
      <c r="K968" s="120">
        <f t="shared" si="352"/>
        <v>0</v>
      </c>
      <c r="L968" s="120">
        <f t="shared" si="353"/>
        <v>0</v>
      </c>
      <c r="M968" s="246">
        <f t="shared" si="354"/>
        <v>0</v>
      </c>
      <c r="N968" s="121">
        <f t="shared" si="355"/>
        <v>1.06</v>
      </c>
      <c r="O968" s="246">
        <f t="shared" si="356"/>
        <v>0.90500000000000003</v>
      </c>
      <c r="P968" s="121">
        <f t="shared" si="357"/>
        <v>0</v>
      </c>
      <c r="Q968" s="121">
        <f t="shared" si="358"/>
        <v>0</v>
      </c>
      <c r="R968" s="121">
        <f t="shared" si="359"/>
        <v>0.25</v>
      </c>
      <c r="AE968" s="160">
        <f t="shared" si="360"/>
        <v>1.0427173913043479</v>
      </c>
    </row>
    <row r="969" spans="1:31" x14ac:dyDescent="0.3">
      <c r="A969" s="187">
        <v>48</v>
      </c>
      <c r="B969" s="242">
        <f t="shared" si="361"/>
        <v>47088</v>
      </c>
      <c r="C969" s="243">
        <f t="shared" si="344"/>
        <v>47118</v>
      </c>
      <c r="D969" s="120">
        <f t="shared" si="345"/>
        <v>31</v>
      </c>
      <c r="E969" s="120">
        <f t="shared" si="346"/>
        <v>12</v>
      </c>
      <c r="F969" s="275">
        <f t="shared" si="347"/>
        <v>47103.5</v>
      </c>
      <c r="G969" s="120">
        <f t="shared" si="348"/>
        <v>24347</v>
      </c>
      <c r="H969" s="245">
        <f t="shared" si="349"/>
        <v>1</v>
      </c>
      <c r="I969" s="121">
        <f t="shared" si="350"/>
        <v>1.06</v>
      </c>
      <c r="J969" s="121">
        <f t="shared" si="351"/>
        <v>1.06</v>
      </c>
      <c r="K969" s="120">
        <f t="shared" si="352"/>
        <v>0</v>
      </c>
      <c r="L969" s="120">
        <f t="shared" si="353"/>
        <v>0</v>
      </c>
      <c r="M969" s="246">
        <f t="shared" si="354"/>
        <v>0</v>
      </c>
      <c r="N969" s="121">
        <f t="shared" si="355"/>
        <v>1.06</v>
      </c>
      <c r="O969" s="246">
        <f t="shared" si="356"/>
        <v>0.90500000000000003</v>
      </c>
      <c r="P969" s="121">
        <f t="shared" si="357"/>
        <v>0</v>
      </c>
      <c r="Q969" s="121">
        <f t="shared" si="358"/>
        <v>0</v>
      </c>
      <c r="R969" s="121">
        <f t="shared" si="359"/>
        <v>8.3333333333333329E-2</v>
      </c>
      <c r="AE969" s="160">
        <f t="shared" si="360"/>
        <v>1.0427173913043479</v>
      </c>
    </row>
    <row r="970" spans="1:31" x14ac:dyDescent="0.3">
      <c r="A970" s="23" t="s">
        <v>1723</v>
      </c>
      <c r="B970" s="279">
        <f>SUM($H$946:$H$957)</f>
        <v>12</v>
      </c>
      <c r="C970" s="160">
        <f>SUMPRODUCT($H$946:$H$957,$W$946:$W$957/$N$934:$N$945,$Y$946:$Y$957)</f>
        <v>12.305820608195528</v>
      </c>
      <c r="D970" s="160">
        <f>SUMPRODUCT($H$946:$H$957,$X$946:$X$957/$N$934:$N$945,$Y$946:$Y$957)</f>
        <v>9.1397375418039548</v>
      </c>
      <c r="E970" s="281" t="str">
        <f>IF(OR($D$919=0,$P$919=0,$D970=0),"n/a",((1+$E$919)*$B970-$C970)/$D970)</f>
        <v>n/a</v>
      </c>
      <c r="F970" s="281" t="str">
        <f>IF($V$919&lt;&gt;"",$V$919,$E970)</f>
        <v>n/a</v>
      </c>
      <c r="G970" s="281" t="str">
        <f>IF(OR(NOT(ISNUMBER($F970)),nd_Ach=0),"n/a",$F970/nd_Ach)</f>
        <v>n/a</v>
      </c>
      <c r="H970" s="220" t="str">
        <f>IF(OR(NOT(ISNUMBER($F970)),$F$919=0,SUMPRODUCT($AD$946:$AD$957,$AB$946:$AB$957)=0),"n/a",((1+$E$919)*$B970-SUMPRODUCT($AD$946:$AD$957,$AC$946:$AC$957))/SUMPRODUCT($AD$946:$AD$957,$AB$946:$AB$957))</f>
        <v>n/a</v>
      </c>
      <c r="I970" s="183" t="str">
        <f>IF(NOT(ISNUMBER($F970)),"n/a",SUMPRODUCT($H$946:$H$957,($W$946:$W$957+$X$946:$X$957*$F970)/$N$934:$N$945)/$B970-1)</f>
        <v>n/a</v>
      </c>
      <c r="J970" s="183" t="str">
        <f>IF(OR(NOT(ISNUMBER($I970)),$F$919=0),"n/a",(1+$E$919)/(1+$I970)-1)</f>
        <v>n/a</v>
      </c>
      <c r="K970" s="183" t="str">
        <f>IF(NOT(ISNUMBER($F970)),"n/a",($C970+$D970*$F970)/$B970-1)</f>
        <v>n/a</v>
      </c>
      <c r="L970" s="229" t="str">
        <f>IF(NOT(ISNUMBER($F970)),"n/a",SUMPRODUCT($H$946:$H$957,$AF$946:$AF$957)/$B970)</f>
        <v>n/a</v>
      </c>
      <c r="M970" s="23" t="str">
        <f>IF($D$919=0,"",TRIM(IF(AND(ISNUMBER($H970),OR($H970&lt;0.5,$H970&gt;1.5)),"MOD-BOUND ","")&amp;IF(AND(ISNUMBER($F970),ABS($F970)&gt;nr_SolvMaxRate),"RATE-BOUND ","")&amp;IF(AND(ISNUMBER($L970),$L970&lt;nr_SolvMinShare),"THIN-SHARE ","")&amp;IF($W$919&gt;1,"MULTI-PLANNED ","")&amp;IF($F$919=0,"RATE-ONLY","")))</f>
        <v/>
      </c>
      <c r="N970" s="229" t="str">
        <f>IF(OR($D$919=0,NOT(ISNUMBER($F970))),"n/a",INDEX(calc_lrcur,$C$919)*INDEX(calc_crl,$C$919)/(SUMPRODUCT($H$922:$H$969,$Q$922:$Q$969,$AE$922:$AE$969)/SUMPRODUCT($H$922:$H$969,$Q$922:$Q$969))*INDEX(calc_aother,$C$919))</f>
        <v>n/a</v>
      </c>
      <c r="O970" s="229" t="str">
        <f>IF($D$919=0,"n/a",INDEX(calc_cylr_p,$C$919))</f>
        <v>n/a</v>
      </c>
      <c r="P970" s="282">
        <f>IF(NOT(ISNUMBER($E970)),0,ABS(($C970+$D970*$E970)/$B970-(1+$E$919)))</f>
        <v>0</v>
      </c>
    </row>
    <row r="975" spans="1:31" x14ac:dyDescent="0.3">
      <c r="A975" s="23" t="str">
        <f>_lists!$B$16</f>
        <v>NC</v>
      </c>
      <c r="B975" s="23" t="str">
        <f>IF(OR($A975="",nd_BU="All"),"",nd_BU&amp;"|"&amp;$A975)</f>
        <v>SBA|NC</v>
      </c>
      <c r="C975" s="43">
        <f>IF($B975="",0,IF(COUNTIF(lr_key,$B975)=0,0,MATCH($B975,lr_key,0)))</f>
        <v>56</v>
      </c>
      <c r="D975" s="43">
        <f>IF($C975=0,0,IF(ISBLANK(INDEX(lr_netp,$C975)),0,1))</f>
        <v>0</v>
      </c>
      <c r="E975" s="229">
        <f>IF($D975=0,0,N(INDEX(lr_netp,$C975)))</f>
        <v>0</v>
      </c>
      <c r="F975" s="43">
        <f>IF($C975=0,0,IF(AND(nr_ModAdjMaster="ON",INDEX(lr_modadj,$C975)="ON"),1,0))</f>
        <v>1</v>
      </c>
      <c r="G975" s="220">
        <f>IF($C975=0,1,IF(N(INDEX(lr_mind,$C975))=0,1,INDEX(lr_mind,$C975)))</f>
        <v>0.92</v>
      </c>
      <c r="H975" s="220">
        <f>IF($C975=0,1,IF(N(INDEX(lr_m0,$C975))=0,1,INDEX(lr_m0,$C975)))</f>
        <v>0.91</v>
      </c>
      <c r="I975" s="278">
        <f>IF($C975=0,DATE(nr_PlanYear-1,10,1),IF(N(INDEX(lr_m0asof,$C975))=0,DATE(nr_PlanYear-1,10,1),INDEX(lr_m0asof,$C975)))</f>
        <v>46295</v>
      </c>
      <c r="J975" s="220">
        <f>IF($C975=0,1,IF(N(INDEX(lr_m1,$C975))=0,1,INDEX(lr_m1,$C975)))</f>
        <v>0.92</v>
      </c>
      <c r="K975" s="220">
        <f>IF($C975=0,0,N(INDEX(lr_mprior,$C975)))</f>
        <v>0</v>
      </c>
      <c r="L975" s="220">
        <f>IF($C975=0,0,N(INDEX(lr_m2,$C975)))</f>
        <v>0</v>
      </c>
      <c r="M975" s="43">
        <f>IF(OR($A975="",COUNTIF(se_state,$A975)=0),0,MATCH($A975,se_state,0))</f>
        <v>0</v>
      </c>
      <c r="N975" s="279">
        <f>IF($M975=0,0,INDEX(se_sum,$M975))</f>
        <v>0</v>
      </c>
      <c r="O975" s="278">
        <f>IF('Net Delivery'!$D$22="",$X975,'Net Delivery'!$D$22)</f>
        <v>46478</v>
      </c>
      <c r="P975" s="43">
        <f>IF(AND($O975&gt;=DATE(nr_PlanYear,1,1),$O975&lt;=DATE(nr_PlanYear,12,31)),1,0)</f>
        <v>1</v>
      </c>
      <c r="Q975" s="43">
        <f>YEAR($O975)*12+MONTH($O975)-1</f>
        <v>24327</v>
      </c>
      <c r="R975" s="43">
        <f>DAY(EOMONTH($O975,0))</f>
        <v>30</v>
      </c>
      <c r="S975" s="43">
        <f>EOMONTH($O975,0)-$O975+1</f>
        <v>30</v>
      </c>
      <c r="T975" s="43">
        <f>SUMIFS(ndl_days,rl_key,$B975,ndl_effmonth,DATE(YEAR($O975),MONTH($O975),1),ndl_first,1)</f>
        <v>0</v>
      </c>
      <c r="U975" s="220">
        <f>IF($P975=1,MIN(1,MAX($S975,$T975)/$R975),1)</f>
        <v>1</v>
      </c>
      <c r="V975" s="280" t="str">
        <f>IF(ISBLANK('Net Delivery'!$E$22),$Y975,'Net Delivery'!$E$22)</f>
        <v/>
      </c>
      <c r="W975" s="43">
        <f>IF($B975="",0,COUNTIFS(rl_key,$B975,rl_status,"planned",rl_eff,"&gt;="&amp;DATE(nr_PlanYear,1,1),rl_eff,"&lt;="&amp;DATE(nr_PlanYear,12,31)))</f>
        <v>0</v>
      </c>
      <c r="X975" s="278">
        <f>IF($W975=0,nd_DefaultDate,SUMIFS(rl_eff,rl_key,$B975,rl_firstplanned,1))</f>
        <v>46478</v>
      </c>
      <c r="Y975" s="280" t="str">
        <f>IF($W975=0,"",SUMIFS(rl_reff,rl_key,$B975,rl_firstplanned,1))</f>
        <v/>
      </c>
      <c r="Z975" s="280" t="str">
        <f>IF($W975=0,"",SUMIFS(rl_filed,rl_key,$B975,rl_firstplanned,1))</f>
        <v/>
      </c>
    </row>
    <row r="976" spans="1:31" x14ac:dyDescent="0.3">
      <c r="A976" s="6">
        <f>EDATE($I$975,-12)+1</f>
        <v>45931</v>
      </c>
      <c r="B976" s="6">
        <f>$I$975+1</f>
        <v>46296</v>
      </c>
      <c r="C976" s="6">
        <f>DATE(nr_PlanYear,12,31)+1</f>
        <v>46753</v>
      </c>
      <c r="D976" s="6">
        <f>DATE(nr_PlanYear+1,12,31)+1</f>
        <v>47119</v>
      </c>
      <c r="E976" s="6">
        <f>IF(N($K$975)=0,$F$976-($G$976-$F$976)/($C$976-$B$976)*($B$976-$A$976),$K$975)</f>
        <v>0.9020131291028447</v>
      </c>
      <c r="F976" s="6">
        <f>$H$975</f>
        <v>0.91</v>
      </c>
      <c r="G976" s="6">
        <f>$J$975</f>
        <v>0.92</v>
      </c>
      <c r="H976" s="6">
        <f>IF(N($L$975)=0,$J$975,$L$975)</f>
        <v>0.92</v>
      </c>
      <c r="I976" s="6">
        <f>($F$976-$E$976)/($B$976-$A$976)</f>
        <v>2.1881838074398162E-5</v>
      </c>
      <c r="J976" s="6">
        <f>($G$976-$F$976)/($C$976-$B$976)</f>
        <v>2.188183807439827E-5</v>
      </c>
      <c r="K976" s="6">
        <f>($H$976-$G$976)/($D$976-$C$976)</f>
        <v>0</v>
      </c>
    </row>
    <row r="977" spans="1:31" ht="36" x14ac:dyDescent="0.3">
      <c r="A977" s="58" t="s">
        <v>390</v>
      </c>
      <c r="B977" s="58" t="s">
        <v>449</v>
      </c>
      <c r="C977" s="58" t="s">
        <v>685</v>
      </c>
      <c r="D977" s="58" t="s">
        <v>686</v>
      </c>
      <c r="E977" s="58" t="s">
        <v>687</v>
      </c>
      <c r="F977" s="58" t="s">
        <v>688</v>
      </c>
      <c r="G977" s="58" t="s">
        <v>689</v>
      </c>
      <c r="H977" s="58" t="s">
        <v>452</v>
      </c>
      <c r="I977" s="58" t="s">
        <v>690</v>
      </c>
      <c r="J977" s="58" t="s">
        <v>691</v>
      </c>
      <c r="K977" s="58" t="s">
        <v>692</v>
      </c>
      <c r="L977" s="58" t="s">
        <v>693</v>
      </c>
      <c r="M977" s="58" t="s">
        <v>694</v>
      </c>
      <c r="N977" s="58" t="s">
        <v>695</v>
      </c>
      <c r="O977" s="58" t="s">
        <v>696</v>
      </c>
      <c r="P977" s="58" t="s">
        <v>697</v>
      </c>
      <c r="Q977" s="58" t="s">
        <v>698</v>
      </c>
      <c r="R977" s="58" t="s">
        <v>699</v>
      </c>
      <c r="S977" s="58" t="s">
        <v>700</v>
      </c>
      <c r="T977" s="58" t="s">
        <v>701</v>
      </c>
      <c r="U977" s="58" t="s">
        <v>702</v>
      </c>
    </row>
    <row r="978" spans="1:31" x14ac:dyDescent="0.3">
      <c r="A978" s="187">
        <v>1</v>
      </c>
      <c r="B978" s="242">
        <f>DATE(nr_PlanYear-2,1,1)</f>
        <v>45658</v>
      </c>
      <c r="C978" s="243">
        <f t="shared" ref="C978:C1025" si="372">EOMONTH($B978,0)</f>
        <v>45688</v>
      </c>
      <c r="D978" s="120">
        <f t="shared" ref="D978:D1025" si="373">$C978-$B978+1</f>
        <v>31</v>
      </c>
      <c r="E978" s="120">
        <f t="shared" ref="E978:E1025" si="374">MONTH($B978)</f>
        <v>1</v>
      </c>
      <c r="F978" s="275">
        <f t="shared" ref="F978:F1025" si="375">($B978+$C978+1)/2</f>
        <v>45673.5</v>
      </c>
      <c r="G978" s="120">
        <f t="shared" ref="G978:G1025" si="376">YEAR($B978)*12+MONTH($B978)-1</f>
        <v>24300</v>
      </c>
      <c r="H978" s="245">
        <f t="shared" ref="H978:H1025" si="377">IF(OR(nr_SeasonOn="OFF",$M$975=0,$N$975=0),1,12*INDEX(se_block,$M$975,$E978)/$N$975)</f>
        <v>1</v>
      </c>
      <c r="I978" s="121">
        <f t="shared" ref="I978:I1025" si="378">EXP(SUMPRODUCT((ndl_eff&lt;$B978)*(rl_key=$B$975)*ndl_ln))</f>
        <v>1</v>
      </c>
      <c r="J978" s="121">
        <f t="shared" ref="J978:J1025" si="379">EXP(SUMPRODUCT((ndl_eff&lt;=$C978)*(rl_key=$B$975)*ndl_ln))</f>
        <v>1</v>
      </c>
      <c r="K978" s="120">
        <f t="shared" ref="K978:K1025" si="380">COUNTIFS(rl_key,$B$975,ndl_eff,"&gt;="&amp;$B978,ndl_eff,"&lt;="&amp;$C978)</f>
        <v>0</v>
      </c>
      <c r="L978" s="120">
        <f t="shared" ref="L978:L1025" si="381">SUMIFS(ndl_days,rl_key,$B$975,ndl_effmonth,$B978,ndl_first,1)</f>
        <v>0</v>
      </c>
      <c r="M978" s="246">
        <f t="shared" ref="M978:M1025" si="382">IF($K978=0,0,MIN(1,$L978/$D978))</f>
        <v>0</v>
      </c>
      <c r="N978" s="121">
        <f t="shared" ref="N978:N1025" si="383">IF($K978=0,$J978,(1-$M978)*$I978+$M978*$J978)</f>
        <v>1</v>
      </c>
      <c r="O978" s="246">
        <f t="shared" ref="O978:O1025" si="384">IF($F978&lt;$B$976,$E$976+$I$976*($F978-$A$976),IF($F978&lt;$C$976,$F$976+$J$976*($F978-$B$976),$G$976+$K$976*($F978-$C$976)))</f>
        <v>0.89637855579868719</v>
      </c>
      <c r="P978" s="121">
        <f t="shared" ref="P978:P1025" si="385">MIN(1,MAX(0,(nr_MEndPm1-$G978+0.5)/nr_TermMonths))-MIN(1,MAX(0,(nr_MStartPm1-1-$G978+0.5)/nr_TermMonths))</f>
        <v>0</v>
      </c>
      <c r="Q978" s="121">
        <f t="shared" ref="Q978:Q1025" si="386">MIN(1,MAX(0,(nr_MEndP-$G978+0.5)/nr_TermMonths))-MIN(1,MAX(0,(nr_MStartP-1-$G978+0.5)/nr_TermMonths))</f>
        <v>0</v>
      </c>
      <c r="R978" s="121">
        <f t="shared" ref="R978:R1025" si="387">MIN(1,MAX(0,(nr_MEndP1-$G978+0.5)/nr_TermMonths))-MIN(1,MAX(0,(nr_MStartP1-1-$G978+0.5)/nr_TermMonths))</f>
        <v>0</v>
      </c>
      <c r="AE978" s="160">
        <f t="shared" ref="AE978:AE1025" si="388">IF(OR($G978&lt;nr_MStartP,$G978&gt;=nr_MStartP1),IF($F$975=1,$N978*$O978/$G$975,$N978),($W978+$X978*IF(ISNUMBER($F$1026),$F$1026,0))*IF($F$975=1,($AC978+$AB978*IF(ISNUMBER($H$1026),$H$1026,$J$975))/$G$975,1))</f>
        <v>0.97432451717248603</v>
      </c>
    </row>
    <row r="979" spans="1:31" x14ac:dyDescent="0.3">
      <c r="A979" s="187">
        <v>2</v>
      </c>
      <c r="B979" s="242">
        <f t="shared" ref="B979:B1025" si="389">EDATE($B978,1)</f>
        <v>45689</v>
      </c>
      <c r="C979" s="243">
        <f t="shared" si="372"/>
        <v>45716</v>
      </c>
      <c r="D979" s="120">
        <f t="shared" si="373"/>
        <v>28</v>
      </c>
      <c r="E979" s="120">
        <f t="shared" si="374"/>
        <v>2</v>
      </c>
      <c r="F979" s="275">
        <f t="shared" si="375"/>
        <v>45703</v>
      </c>
      <c r="G979" s="120">
        <f t="shared" si="376"/>
        <v>24301</v>
      </c>
      <c r="H979" s="245">
        <f t="shared" si="377"/>
        <v>1</v>
      </c>
      <c r="I979" s="121">
        <f t="shared" si="378"/>
        <v>1</v>
      </c>
      <c r="J979" s="121">
        <f t="shared" si="379"/>
        <v>1</v>
      </c>
      <c r="K979" s="120">
        <f t="shared" si="380"/>
        <v>0</v>
      </c>
      <c r="L979" s="120">
        <f t="shared" si="381"/>
        <v>0</v>
      </c>
      <c r="M979" s="246">
        <f t="shared" si="382"/>
        <v>0</v>
      </c>
      <c r="N979" s="121">
        <f t="shared" si="383"/>
        <v>1</v>
      </c>
      <c r="O979" s="246">
        <f t="shared" si="384"/>
        <v>0.89702407002188189</v>
      </c>
      <c r="P979" s="121">
        <f t="shared" si="385"/>
        <v>0</v>
      </c>
      <c r="Q979" s="121">
        <f t="shared" si="386"/>
        <v>0</v>
      </c>
      <c r="R979" s="121">
        <f t="shared" si="387"/>
        <v>0</v>
      </c>
      <c r="AE979" s="160">
        <f t="shared" si="388"/>
        <v>0.97502616306726286</v>
      </c>
    </row>
    <row r="980" spans="1:31" x14ac:dyDescent="0.3">
      <c r="A980" s="187">
        <v>3</v>
      </c>
      <c r="B980" s="242">
        <f t="shared" si="389"/>
        <v>45717</v>
      </c>
      <c r="C980" s="243">
        <f t="shared" si="372"/>
        <v>45747</v>
      </c>
      <c r="D980" s="120">
        <f t="shared" si="373"/>
        <v>31</v>
      </c>
      <c r="E980" s="120">
        <f t="shared" si="374"/>
        <v>3</v>
      </c>
      <c r="F980" s="275">
        <f t="shared" si="375"/>
        <v>45732.5</v>
      </c>
      <c r="G980" s="120">
        <f t="shared" si="376"/>
        <v>24302</v>
      </c>
      <c r="H980" s="245">
        <f t="shared" si="377"/>
        <v>1</v>
      </c>
      <c r="I980" s="121">
        <f t="shared" si="378"/>
        <v>1</v>
      </c>
      <c r="J980" s="121">
        <f t="shared" si="379"/>
        <v>1</v>
      </c>
      <c r="K980" s="120">
        <f t="shared" si="380"/>
        <v>0</v>
      </c>
      <c r="L980" s="120">
        <f t="shared" si="381"/>
        <v>0</v>
      </c>
      <c r="M980" s="246">
        <f t="shared" si="382"/>
        <v>0</v>
      </c>
      <c r="N980" s="121">
        <f t="shared" si="383"/>
        <v>1</v>
      </c>
      <c r="O980" s="246">
        <f t="shared" si="384"/>
        <v>0.8976695842450767</v>
      </c>
      <c r="P980" s="121">
        <f t="shared" si="385"/>
        <v>0</v>
      </c>
      <c r="Q980" s="121">
        <f t="shared" si="386"/>
        <v>0</v>
      </c>
      <c r="R980" s="121">
        <f t="shared" si="387"/>
        <v>0</v>
      </c>
      <c r="AE980" s="160">
        <f t="shared" si="388"/>
        <v>0.97572780896203981</v>
      </c>
    </row>
    <row r="981" spans="1:31" x14ac:dyDescent="0.3">
      <c r="A981" s="187">
        <v>4</v>
      </c>
      <c r="B981" s="242">
        <f t="shared" si="389"/>
        <v>45748</v>
      </c>
      <c r="C981" s="243">
        <f t="shared" si="372"/>
        <v>45777</v>
      </c>
      <c r="D981" s="120">
        <f t="shared" si="373"/>
        <v>30</v>
      </c>
      <c r="E981" s="120">
        <f t="shared" si="374"/>
        <v>4</v>
      </c>
      <c r="F981" s="275">
        <f t="shared" si="375"/>
        <v>45763</v>
      </c>
      <c r="G981" s="120">
        <f t="shared" si="376"/>
        <v>24303</v>
      </c>
      <c r="H981" s="245">
        <f t="shared" si="377"/>
        <v>1</v>
      </c>
      <c r="I981" s="121">
        <f t="shared" si="378"/>
        <v>1</v>
      </c>
      <c r="J981" s="121">
        <f t="shared" si="379"/>
        <v>1</v>
      </c>
      <c r="K981" s="120">
        <f t="shared" si="380"/>
        <v>0</v>
      </c>
      <c r="L981" s="120">
        <f t="shared" si="381"/>
        <v>0</v>
      </c>
      <c r="M981" s="246">
        <f t="shared" si="382"/>
        <v>0</v>
      </c>
      <c r="N981" s="121">
        <f t="shared" si="383"/>
        <v>1</v>
      </c>
      <c r="O981" s="246">
        <f t="shared" si="384"/>
        <v>0.89833698030634579</v>
      </c>
      <c r="P981" s="121">
        <f t="shared" si="385"/>
        <v>0</v>
      </c>
      <c r="Q981" s="121">
        <f t="shared" si="386"/>
        <v>0</v>
      </c>
      <c r="R981" s="121">
        <f t="shared" si="387"/>
        <v>0</v>
      </c>
      <c r="AE981" s="160">
        <f t="shared" si="388"/>
        <v>0.97645323946341933</v>
      </c>
    </row>
    <row r="982" spans="1:31" x14ac:dyDescent="0.3">
      <c r="A982" s="187">
        <v>5</v>
      </c>
      <c r="B982" s="242">
        <f t="shared" si="389"/>
        <v>45778</v>
      </c>
      <c r="C982" s="243">
        <f t="shared" si="372"/>
        <v>45808</v>
      </c>
      <c r="D982" s="120">
        <f t="shared" si="373"/>
        <v>31</v>
      </c>
      <c r="E982" s="120">
        <f t="shared" si="374"/>
        <v>5</v>
      </c>
      <c r="F982" s="275">
        <f t="shared" si="375"/>
        <v>45793.5</v>
      </c>
      <c r="G982" s="120">
        <f t="shared" si="376"/>
        <v>24304</v>
      </c>
      <c r="H982" s="245">
        <f t="shared" si="377"/>
        <v>1</v>
      </c>
      <c r="I982" s="121">
        <f t="shared" si="378"/>
        <v>1</v>
      </c>
      <c r="J982" s="121">
        <f t="shared" si="379"/>
        <v>1</v>
      </c>
      <c r="K982" s="120">
        <f t="shared" si="380"/>
        <v>0</v>
      </c>
      <c r="L982" s="120">
        <f t="shared" si="381"/>
        <v>0</v>
      </c>
      <c r="M982" s="246">
        <f t="shared" si="382"/>
        <v>0</v>
      </c>
      <c r="N982" s="121">
        <f t="shared" si="383"/>
        <v>1</v>
      </c>
      <c r="O982" s="246">
        <f t="shared" si="384"/>
        <v>0.89900437636761499</v>
      </c>
      <c r="P982" s="121">
        <f t="shared" si="385"/>
        <v>0</v>
      </c>
      <c r="Q982" s="121">
        <f t="shared" si="386"/>
        <v>0</v>
      </c>
      <c r="R982" s="121">
        <f t="shared" si="387"/>
        <v>0</v>
      </c>
      <c r="AE982" s="160">
        <f t="shared" si="388"/>
        <v>0.97717866996479885</v>
      </c>
    </row>
    <row r="983" spans="1:31" x14ac:dyDescent="0.3">
      <c r="A983" s="187">
        <v>6</v>
      </c>
      <c r="B983" s="242">
        <f t="shared" si="389"/>
        <v>45809</v>
      </c>
      <c r="C983" s="243">
        <f t="shared" si="372"/>
        <v>45838</v>
      </c>
      <c r="D983" s="120">
        <f t="shared" si="373"/>
        <v>30</v>
      </c>
      <c r="E983" s="120">
        <f t="shared" si="374"/>
        <v>6</v>
      </c>
      <c r="F983" s="275">
        <f t="shared" si="375"/>
        <v>45824</v>
      </c>
      <c r="G983" s="120">
        <f t="shared" si="376"/>
        <v>24305</v>
      </c>
      <c r="H983" s="245">
        <f t="shared" si="377"/>
        <v>1</v>
      </c>
      <c r="I983" s="121">
        <f t="shared" si="378"/>
        <v>1</v>
      </c>
      <c r="J983" s="121">
        <f t="shared" si="379"/>
        <v>1</v>
      </c>
      <c r="K983" s="120">
        <f t="shared" si="380"/>
        <v>0</v>
      </c>
      <c r="L983" s="120">
        <f t="shared" si="381"/>
        <v>0</v>
      </c>
      <c r="M983" s="246">
        <f t="shared" si="382"/>
        <v>0</v>
      </c>
      <c r="N983" s="121">
        <f t="shared" si="383"/>
        <v>1</v>
      </c>
      <c r="O983" s="246">
        <f t="shared" si="384"/>
        <v>0.89967177242888408</v>
      </c>
      <c r="P983" s="121">
        <f t="shared" si="385"/>
        <v>0</v>
      </c>
      <c r="Q983" s="121">
        <f t="shared" si="386"/>
        <v>0</v>
      </c>
      <c r="R983" s="121">
        <f t="shared" si="387"/>
        <v>0</v>
      </c>
      <c r="AE983" s="160">
        <f t="shared" si="388"/>
        <v>0.97790410046617826</v>
      </c>
    </row>
    <row r="984" spans="1:31" x14ac:dyDescent="0.3">
      <c r="A984" s="187">
        <v>7</v>
      </c>
      <c r="B984" s="242">
        <f t="shared" si="389"/>
        <v>45839</v>
      </c>
      <c r="C984" s="243">
        <f t="shared" si="372"/>
        <v>45869</v>
      </c>
      <c r="D984" s="120">
        <f t="shared" si="373"/>
        <v>31</v>
      </c>
      <c r="E984" s="120">
        <f t="shared" si="374"/>
        <v>7</v>
      </c>
      <c r="F984" s="275">
        <f t="shared" si="375"/>
        <v>45854.5</v>
      </c>
      <c r="G984" s="120">
        <f t="shared" si="376"/>
        <v>24306</v>
      </c>
      <c r="H984" s="245">
        <f t="shared" si="377"/>
        <v>1</v>
      </c>
      <c r="I984" s="121">
        <f t="shared" si="378"/>
        <v>1</v>
      </c>
      <c r="J984" s="121">
        <f t="shared" si="379"/>
        <v>1</v>
      </c>
      <c r="K984" s="120">
        <f t="shared" si="380"/>
        <v>0</v>
      </c>
      <c r="L984" s="120">
        <f t="shared" si="381"/>
        <v>0</v>
      </c>
      <c r="M984" s="246">
        <f t="shared" si="382"/>
        <v>0</v>
      </c>
      <c r="N984" s="121">
        <f t="shared" si="383"/>
        <v>1</v>
      </c>
      <c r="O984" s="246">
        <f t="shared" si="384"/>
        <v>0.90033916849015327</v>
      </c>
      <c r="P984" s="121">
        <f t="shared" si="385"/>
        <v>8.333333333333337E-2</v>
      </c>
      <c r="Q984" s="121">
        <f t="shared" si="386"/>
        <v>0</v>
      </c>
      <c r="R984" s="121">
        <f t="shared" si="387"/>
        <v>0</v>
      </c>
      <c r="AE984" s="160">
        <f t="shared" si="388"/>
        <v>0.97862953096755789</v>
      </c>
    </row>
    <row r="985" spans="1:31" x14ac:dyDescent="0.3">
      <c r="A985" s="187">
        <v>8</v>
      </c>
      <c r="B985" s="242">
        <f t="shared" si="389"/>
        <v>45870</v>
      </c>
      <c r="C985" s="243">
        <f t="shared" si="372"/>
        <v>45900</v>
      </c>
      <c r="D985" s="120">
        <f t="shared" si="373"/>
        <v>31</v>
      </c>
      <c r="E985" s="120">
        <f t="shared" si="374"/>
        <v>8</v>
      </c>
      <c r="F985" s="275">
        <f t="shared" si="375"/>
        <v>45885.5</v>
      </c>
      <c r="G985" s="120">
        <f t="shared" si="376"/>
        <v>24307</v>
      </c>
      <c r="H985" s="245">
        <f t="shared" si="377"/>
        <v>1</v>
      </c>
      <c r="I985" s="121">
        <f t="shared" si="378"/>
        <v>1</v>
      </c>
      <c r="J985" s="121">
        <f t="shared" si="379"/>
        <v>1</v>
      </c>
      <c r="K985" s="120">
        <f t="shared" si="380"/>
        <v>0</v>
      </c>
      <c r="L985" s="120">
        <f t="shared" si="381"/>
        <v>0</v>
      </c>
      <c r="M985" s="246">
        <f t="shared" si="382"/>
        <v>0</v>
      </c>
      <c r="N985" s="121">
        <f t="shared" si="383"/>
        <v>1</v>
      </c>
      <c r="O985" s="246">
        <f t="shared" si="384"/>
        <v>0.90101750547045956</v>
      </c>
      <c r="P985" s="121">
        <f t="shared" si="385"/>
        <v>0.25</v>
      </c>
      <c r="Q985" s="121">
        <f t="shared" si="386"/>
        <v>0</v>
      </c>
      <c r="R985" s="121">
        <f t="shared" si="387"/>
        <v>0</v>
      </c>
      <c r="AE985" s="160">
        <f t="shared" si="388"/>
        <v>0.97936685377223864</v>
      </c>
    </row>
    <row r="986" spans="1:31" x14ac:dyDescent="0.3">
      <c r="A986" s="187">
        <v>9</v>
      </c>
      <c r="B986" s="242">
        <f t="shared" si="389"/>
        <v>45901</v>
      </c>
      <c r="C986" s="243">
        <f t="shared" si="372"/>
        <v>45930</v>
      </c>
      <c r="D986" s="120">
        <f t="shared" si="373"/>
        <v>30</v>
      </c>
      <c r="E986" s="120">
        <f t="shared" si="374"/>
        <v>9</v>
      </c>
      <c r="F986" s="275">
        <f t="shared" si="375"/>
        <v>45916</v>
      </c>
      <c r="G986" s="120">
        <f t="shared" si="376"/>
        <v>24308</v>
      </c>
      <c r="H986" s="245">
        <f t="shared" si="377"/>
        <v>1</v>
      </c>
      <c r="I986" s="121">
        <f t="shared" si="378"/>
        <v>1</v>
      </c>
      <c r="J986" s="121">
        <f t="shared" si="379"/>
        <v>1</v>
      </c>
      <c r="K986" s="120">
        <f t="shared" si="380"/>
        <v>0</v>
      </c>
      <c r="L986" s="120">
        <f t="shared" si="381"/>
        <v>0</v>
      </c>
      <c r="M986" s="246">
        <f t="shared" si="382"/>
        <v>0</v>
      </c>
      <c r="N986" s="121">
        <f t="shared" si="383"/>
        <v>1</v>
      </c>
      <c r="O986" s="246">
        <f t="shared" si="384"/>
        <v>0.90168490153172876</v>
      </c>
      <c r="P986" s="121">
        <f t="shared" si="385"/>
        <v>0.41666666666666663</v>
      </c>
      <c r="Q986" s="121">
        <f t="shared" si="386"/>
        <v>0</v>
      </c>
      <c r="R986" s="121">
        <f t="shared" si="387"/>
        <v>0</v>
      </c>
      <c r="AE986" s="160">
        <f t="shared" si="388"/>
        <v>0.98009228427361816</v>
      </c>
    </row>
    <row r="987" spans="1:31" x14ac:dyDescent="0.3">
      <c r="A987" s="187">
        <v>10</v>
      </c>
      <c r="B987" s="242">
        <f t="shared" si="389"/>
        <v>45931</v>
      </c>
      <c r="C987" s="243">
        <f t="shared" si="372"/>
        <v>45961</v>
      </c>
      <c r="D987" s="120">
        <f t="shared" si="373"/>
        <v>31</v>
      </c>
      <c r="E987" s="120">
        <f t="shared" si="374"/>
        <v>10</v>
      </c>
      <c r="F987" s="275">
        <f t="shared" si="375"/>
        <v>45946.5</v>
      </c>
      <c r="G987" s="120">
        <f t="shared" si="376"/>
        <v>24309</v>
      </c>
      <c r="H987" s="245">
        <f t="shared" si="377"/>
        <v>1</v>
      </c>
      <c r="I987" s="121">
        <f t="shared" si="378"/>
        <v>1</v>
      </c>
      <c r="J987" s="121">
        <f t="shared" si="379"/>
        <v>1</v>
      </c>
      <c r="K987" s="120">
        <f t="shared" si="380"/>
        <v>0</v>
      </c>
      <c r="L987" s="120">
        <f t="shared" si="381"/>
        <v>0</v>
      </c>
      <c r="M987" s="246">
        <f t="shared" si="382"/>
        <v>0</v>
      </c>
      <c r="N987" s="121">
        <f t="shared" si="383"/>
        <v>1</v>
      </c>
      <c r="O987" s="246">
        <f t="shared" si="384"/>
        <v>0.90235229759299784</v>
      </c>
      <c r="P987" s="121">
        <f t="shared" si="385"/>
        <v>0.58333333333333326</v>
      </c>
      <c r="Q987" s="121">
        <f t="shared" si="386"/>
        <v>0</v>
      </c>
      <c r="R987" s="121">
        <f t="shared" si="387"/>
        <v>0</v>
      </c>
      <c r="AE987" s="160">
        <f t="shared" si="388"/>
        <v>0.98081771477499757</v>
      </c>
    </row>
    <row r="988" spans="1:31" x14ac:dyDescent="0.3">
      <c r="A988" s="187">
        <v>11</v>
      </c>
      <c r="B988" s="242">
        <f t="shared" si="389"/>
        <v>45962</v>
      </c>
      <c r="C988" s="243">
        <f t="shared" si="372"/>
        <v>45991</v>
      </c>
      <c r="D988" s="120">
        <f t="shared" si="373"/>
        <v>30</v>
      </c>
      <c r="E988" s="120">
        <f t="shared" si="374"/>
        <v>11</v>
      </c>
      <c r="F988" s="275">
        <f t="shared" si="375"/>
        <v>45977</v>
      </c>
      <c r="G988" s="120">
        <f t="shared" si="376"/>
        <v>24310</v>
      </c>
      <c r="H988" s="245">
        <f t="shared" si="377"/>
        <v>1</v>
      </c>
      <c r="I988" s="121">
        <f t="shared" si="378"/>
        <v>1</v>
      </c>
      <c r="J988" s="121">
        <f t="shared" si="379"/>
        <v>1</v>
      </c>
      <c r="K988" s="120">
        <f t="shared" si="380"/>
        <v>0</v>
      </c>
      <c r="L988" s="120">
        <f t="shared" si="381"/>
        <v>0</v>
      </c>
      <c r="M988" s="246">
        <f t="shared" si="382"/>
        <v>0</v>
      </c>
      <c r="N988" s="121">
        <f t="shared" si="383"/>
        <v>1</v>
      </c>
      <c r="O988" s="246">
        <f t="shared" si="384"/>
        <v>0.90301969365426704</v>
      </c>
      <c r="P988" s="121">
        <f t="shared" si="385"/>
        <v>0.75</v>
      </c>
      <c r="Q988" s="121">
        <f t="shared" si="386"/>
        <v>0</v>
      </c>
      <c r="R988" s="121">
        <f t="shared" si="387"/>
        <v>0</v>
      </c>
      <c r="AE988" s="160">
        <f t="shared" si="388"/>
        <v>0.9815431452763772</v>
      </c>
    </row>
    <row r="989" spans="1:31" x14ac:dyDescent="0.3">
      <c r="A989" s="187">
        <v>12</v>
      </c>
      <c r="B989" s="242">
        <f t="shared" si="389"/>
        <v>45992</v>
      </c>
      <c r="C989" s="243">
        <f t="shared" si="372"/>
        <v>46022</v>
      </c>
      <c r="D989" s="120">
        <f t="shared" si="373"/>
        <v>31</v>
      </c>
      <c r="E989" s="120">
        <f t="shared" si="374"/>
        <v>12</v>
      </c>
      <c r="F989" s="275">
        <f t="shared" si="375"/>
        <v>46007.5</v>
      </c>
      <c r="G989" s="120">
        <f t="shared" si="376"/>
        <v>24311</v>
      </c>
      <c r="H989" s="245">
        <f t="shared" si="377"/>
        <v>1</v>
      </c>
      <c r="I989" s="121">
        <f t="shared" si="378"/>
        <v>1</v>
      </c>
      <c r="J989" s="121">
        <f t="shared" si="379"/>
        <v>1</v>
      </c>
      <c r="K989" s="120">
        <f t="shared" si="380"/>
        <v>0</v>
      </c>
      <c r="L989" s="120">
        <f t="shared" si="381"/>
        <v>0</v>
      </c>
      <c r="M989" s="246">
        <f t="shared" si="382"/>
        <v>0</v>
      </c>
      <c r="N989" s="121">
        <f t="shared" si="383"/>
        <v>1</v>
      </c>
      <c r="O989" s="246">
        <f t="shared" si="384"/>
        <v>0.90368708971553613</v>
      </c>
      <c r="P989" s="121">
        <f t="shared" si="385"/>
        <v>0.91666666666666663</v>
      </c>
      <c r="Q989" s="121">
        <f t="shared" si="386"/>
        <v>0</v>
      </c>
      <c r="R989" s="121">
        <f t="shared" si="387"/>
        <v>0</v>
      </c>
      <c r="AE989" s="160">
        <f t="shared" si="388"/>
        <v>0.98226857577775661</v>
      </c>
    </row>
    <row r="990" spans="1:31" x14ac:dyDescent="0.3">
      <c r="A990" s="187">
        <v>13</v>
      </c>
      <c r="B990" s="242">
        <f t="shared" si="389"/>
        <v>46023</v>
      </c>
      <c r="C990" s="243">
        <f t="shared" si="372"/>
        <v>46053</v>
      </c>
      <c r="D990" s="120">
        <f t="shared" si="373"/>
        <v>31</v>
      </c>
      <c r="E990" s="120">
        <f t="shared" si="374"/>
        <v>1</v>
      </c>
      <c r="F990" s="275">
        <f t="shared" si="375"/>
        <v>46038.5</v>
      </c>
      <c r="G990" s="120">
        <f t="shared" si="376"/>
        <v>24312</v>
      </c>
      <c r="H990" s="245">
        <f t="shared" si="377"/>
        <v>1</v>
      </c>
      <c r="I990" s="121">
        <f t="shared" si="378"/>
        <v>1</v>
      </c>
      <c r="J990" s="121">
        <f t="shared" si="379"/>
        <v>1</v>
      </c>
      <c r="K990" s="120">
        <f t="shared" si="380"/>
        <v>0</v>
      </c>
      <c r="L990" s="120">
        <f t="shared" si="381"/>
        <v>0</v>
      </c>
      <c r="M990" s="246">
        <f t="shared" si="382"/>
        <v>0</v>
      </c>
      <c r="N990" s="121">
        <f t="shared" si="383"/>
        <v>1</v>
      </c>
      <c r="O990" s="246">
        <f t="shared" si="384"/>
        <v>0.90436542669584252</v>
      </c>
      <c r="P990" s="121">
        <f t="shared" si="385"/>
        <v>1</v>
      </c>
      <c r="Q990" s="121">
        <f t="shared" si="386"/>
        <v>0</v>
      </c>
      <c r="R990" s="121">
        <f t="shared" si="387"/>
        <v>0</v>
      </c>
      <c r="AE990" s="160">
        <f t="shared" si="388"/>
        <v>0.98300589858243748</v>
      </c>
    </row>
    <row r="991" spans="1:31" x14ac:dyDescent="0.3">
      <c r="A991" s="187">
        <v>14</v>
      </c>
      <c r="B991" s="242">
        <f t="shared" si="389"/>
        <v>46054</v>
      </c>
      <c r="C991" s="243">
        <f t="shared" si="372"/>
        <v>46081</v>
      </c>
      <c r="D991" s="120">
        <f t="shared" si="373"/>
        <v>28</v>
      </c>
      <c r="E991" s="120">
        <f t="shared" si="374"/>
        <v>2</v>
      </c>
      <c r="F991" s="275">
        <f t="shared" si="375"/>
        <v>46068</v>
      </c>
      <c r="G991" s="120">
        <f t="shared" si="376"/>
        <v>24313</v>
      </c>
      <c r="H991" s="245">
        <f t="shared" si="377"/>
        <v>1</v>
      </c>
      <c r="I991" s="121">
        <f t="shared" si="378"/>
        <v>1</v>
      </c>
      <c r="J991" s="121">
        <f t="shared" si="379"/>
        <v>1</v>
      </c>
      <c r="K991" s="120">
        <f t="shared" si="380"/>
        <v>0</v>
      </c>
      <c r="L991" s="120">
        <f t="shared" si="381"/>
        <v>0</v>
      </c>
      <c r="M991" s="246">
        <f t="shared" si="382"/>
        <v>0</v>
      </c>
      <c r="N991" s="121">
        <f t="shared" si="383"/>
        <v>1</v>
      </c>
      <c r="O991" s="246">
        <f t="shared" si="384"/>
        <v>0.90501094091903722</v>
      </c>
      <c r="P991" s="121">
        <f t="shared" si="385"/>
        <v>1</v>
      </c>
      <c r="Q991" s="121">
        <f t="shared" si="386"/>
        <v>0</v>
      </c>
      <c r="R991" s="121">
        <f t="shared" si="387"/>
        <v>0</v>
      </c>
      <c r="AE991" s="160">
        <f t="shared" si="388"/>
        <v>0.98370754447721431</v>
      </c>
    </row>
    <row r="992" spans="1:31" x14ac:dyDescent="0.3">
      <c r="A992" s="187">
        <v>15</v>
      </c>
      <c r="B992" s="242">
        <f t="shared" si="389"/>
        <v>46082</v>
      </c>
      <c r="C992" s="243">
        <f t="shared" si="372"/>
        <v>46112</v>
      </c>
      <c r="D992" s="120">
        <f t="shared" si="373"/>
        <v>31</v>
      </c>
      <c r="E992" s="120">
        <f t="shared" si="374"/>
        <v>3</v>
      </c>
      <c r="F992" s="275">
        <f t="shared" si="375"/>
        <v>46097.5</v>
      </c>
      <c r="G992" s="120">
        <f t="shared" si="376"/>
        <v>24314</v>
      </c>
      <c r="H992" s="245">
        <f t="shared" si="377"/>
        <v>1</v>
      </c>
      <c r="I992" s="121">
        <f t="shared" si="378"/>
        <v>1</v>
      </c>
      <c r="J992" s="121">
        <f t="shared" si="379"/>
        <v>1</v>
      </c>
      <c r="K992" s="120">
        <f t="shared" si="380"/>
        <v>0</v>
      </c>
      <c r="L992" s="120">
        <f t="shared" si="381"/>
        <v>0</v>
      </c>
      <c r="M992" s="246">
        <f t="shared" si="382"/>
        <v>0</v>
      </c>
      <c r="N992" s="121">
        <f t="shared" si="383"/>
        <v>1</v>
      </c>
      <c r="O992" s="246">
        <f t="shared" si="384"/>
        <v>0.90565645514223203</v>
      </c>
      <c r="P992" s="121">
        <f t="shared" si="385"/>
        <v>1</v>
      </c>
      <c r="Q992" s="121">
        <f t="shared" si="386"/>
        <v>0</v>
      </c>
      <c r="R992" s="121">
        <f t="shared" si="387"/>
        <v>0</v>
      </c>
      <c r="AE992" s="160">
        <f t="shared" si="388"/>
        <v>0.98440919037199126</v>
      </c>
    </row>
    <row r="993" spans="1:35" x14ac:dyDescent="0.3">
      <c r="A993" s="187">
        <v>16</v>
      </c>
      <c r="B993" s="242">
        <f t="shared" si="389"/>
        <v>46113</v>
      </c>
      <c r="C993" s="243">
        <f t="shared" si="372"/>
        <v>46142</v>
      </c>
      <c r="D993" s="120">
        <f t="shared" si="373"/>
        <v>30</v>
      </c>
      <c r="E993" s="120">
        <f t="shared" si="374"/>
        <v>4</v>
      </c>
      <c r="F993" s="275">
        <f t="shared" si="375"/>
        <v>46128</v>
      </c>
      <c r="G993" s="120">
        <f t="shared" si="376"/>
        <v>24315</v>
      </c>
      <c r="H993" s="245">
        <f t="shared" si="377"/>
        <v>1</v>
      </c>
      <c r="I993" s="121">
        <f t="shared" si="378"/>
        <v>1</v>
      </c>
      <c r="J993" s="121">
        <f t="shared" si="379"/>
        <v>1</v>
      </c>
      <c r="K993" s="120">
        <f t="shared" si="380"/>
        <v>0</v>
      </c>
      <c r="L993" s="120">
        <f t="shared" si="381"/>
        <v>0</v>
      </c>
      <c r="M993" s="246">
        <f t="shared" si="382"/>
        <v>0</v>
      </c>
      <c r="N993" s="121">
        <f t="shared" si="383"/>
        <v>1</v>
      </c>
      <c r="O993" s="246">
        <f t="shared" si="384"/>
        <v>0.90632385120350112</v>
      </c>
      <c r="P993" s="121">
        <f t="shared" si="385"/>
        <v>1</v>
      </c>
      <c r="Q993" s="121">
        <f t="shared" si="386"/>
        <v>0</v>
      </c>
      <c r="R993" s="121">
        <f t="shared" si="387"/>
        <v>0</v>
      </c>
      <c r="AE993" s="160">
        <f t="shared" si="388"/>
        <v>0.98513462087337078</v>
      </c>
    </row>
    <row r="994" spans="1:35" x14ac:dyDescent="0.3">
      <c r="A994" s="187">
        <v>17</v>
      </c>
      <c r="B994" s="242">
        <f t="shared" si="389"/>
        <v>46143</v>
      </c>
      <c r="C994" s="243">
        <f t="shared" si="372"/>
        <v>46173</v>
      </c>
      <c r="D994" s="120">
        <f t="shared" si="373"/>
        <v>31</v>
      </c>
      <c r="E994" s="120">
        <f t="shared" si="374"/>
        <v>5</v>
      </c>
      <c r="F994" s="275">
        <f t="shared" si="375"/>
        <v>46158.5</v>
      </c>
      <c r="G994" s="120">
        <f t="shared" si="376"/>
        <v>24316</v>
      </c>
      <c r="H994" s="245">
        <f t="shared" si="377"/>
        <v>1</v>
      </c>
      <c r="I994" s="121">
        <f t="shared" si="378"/>
        <v>1</v>
      </c>
      <c r="J994" s="121">
        <f t="shared" si="379"/>
        <v>1</v>
      </c>
      <c r="K994" s="120">
        <f t="shared" si="380"/>
        <v>0</v>
      </c>
      <c r="L994" s="120">
        <f t="shared" si="381"/>
        <v>0</v>
      </c>
      <c r="M994" s="246">
        <f t="shared" si="382"/>
        <v>0</v>
      </c>
      <c r="N994" s="121">
        <f t="shared" si="383"/>
        <v>1</v>
      </c>
      <c r="O994" s="246">
        <f t="shared" si="384"/>
        <v>0.90699124726477032</v>
      </c>
      <c r="P994" s="121">
        <f t="shared" si="385"/>
        <v>1</v>
      </c>
      <c r="Q994" s="121">
        <f t="shared" si="386"/>
        <v>0</v>
      </c>
      <c r="R994" s="121">
        <f t="shared" si="387"/>
        <v>0</v>
      </c>
      <c r="AE994" s="160">
        <f t="shared" si="388"/>
        <v>0.9858600513747503</v>
      </c>
    </row>
    <row r="995" spans="1:35" x14ac:dyDescent="0.3">
      <c r="A995" s="187">
        <v>18</v>
      </c>
      <c r="B995" s="242">
        <f t="shared" si="389"/>
        <v>46174</v>
      </c>
      <c r="C995" s="243">
        <f t="shared" si="372"/>
        <v>46203</v>
      </c>
      <c r="D995" s="120">
        <f t="shared" si="373"/>
        <v>30</v>
      </c>
      <c r="E995" s="120">
        <f t="shared" si="374"/>
        <v>6</v>
      </c>
      <c r="F995" s="275">
        <f t="shared" si="375"/>
        <v>46189</v>
      </c>
      <c r="G995" s="120">
        <f t="shared" si="376"/>
        <v>24317</v>
      </c>
      <c r="H995" s="245">
        <f t="shared" si="377"/>
        <v>1</v>
      </c>
      <c r="I995" s="121">
        <f t="shared" si="378"/>
        <v>1</v>
      </c>
      <c r="J995" s="121">
        <f t="shared" si="379"/>
        <v>1</v>
      </c>
      <c r="K995" s="120">
        <f t="shared" si="380"/>
        <v>0</v>
      </c>
      <c r="L995" s="120">
        <f t="shared" si="381"/>
        <v>0</v>
      </c>
      <c r="M995" s="246">
        <f t="shared" si="382"/>
        <v>0</v>
      </c>
      <c r="N995" s="121">
        <f t="shared" si="383"/>
        <v>1</v>
      </c>
      <c r="O995" s="246">
        <f t="shared" si="384"/>
        <v>0.9076586433260394</v>
      </c>
      <c r="P995" s="121">
        <f t="shared" si="385"/>
        <v>1</v>
      </c>
      <c r="Q995" s="121">
        <f t="shared" si="386"/>
        <v>0</v>
      </c>
      <c r="R995" s="121">
        <f t="shared" si="387"/>
        <v>0</v>
      </c>
      <c r="AE995" s="160">
        <f t="shared" si="388"/>
        <v>0.98658548187612971</v>
      </c>
    </row>
    <row r="996" spans="1:35" x14ac:dyDescent="0.3">
      <c r="A996" s="187">
        <v>19</v>
      </c>
      <c r="B996" s="242">
        <f t="shared" si="389"/>
        <v>46204</v>
      </c>
      <c r="C996" s="243">
        <f t="shared" si="372"/>
        <v>46234</v>
      </c>
      <c r="D996" s="120">
        <f t="shared" si="373"/>
        <v>31</v>
      </c>
      <c r="E996" s="120">
        <f t="shared" si="374"/>
        <v>7</v>
      </c>
      <c r="F996" s="275">
        <f t="shared" si="375"/>
        <v>46219.5</v>
      </c>
      <c r="G996" s="120">
        <f t="shared" si="376"/>
        <v>24318</v>
      </c>
      <c r="H996" s="245">
        <f t="shared" si="377"/>
        <v>1</v>
      </c>
      <c r="I996" s="121">
        <f t="shared" si="378"/>
        <v>1</v>
      </c>
      <c r="J996" s="121">
        <f t="shared" si="379"/>
        <v>1</v>
      </c>
      <c r="K996" s="120">
        <f t="shared" si="380"/>
        <v>0</v>
      </c>
      <c r="L996" s="120">
        <f t="shared" si="381"/>
        <v>0</v>
      </c>
      <c r="M996" s="246">
        <f t="shared" si="382"/>
        <v>0</v>
      </c>
      <c r="N996" s="121">
        <f t="shared" si="383"/>
        <v>1</v>
      </c>
      <c r="O996" s="246">
        <f t="shared" si="384"/>
        <v>0.9083260393873086</v>
      </c>
      <c r="P996" s="121">
        <f t="shared" si="385"/>
        <v>0.91666666666666663</v>
      </c>
      <c r="Q996" s="121">
        <f t="shared" si="386"/>
        <v>8.333333333333337E-2</v>
      </c>
      <c r="R996" s="121">
        <f t="shared" si="387"/>
        <v>0</v>
      </c>
      <c r="AE996" s="160">
        <f t="shared" si="388"/>
        <v>0.98731091237750934</v>
      </c>
    </row>
    <row r="997" spans="1:35" x14ac:dyDescent="0.3">
      <c r="A997" s="187">
        <v>20</v>
      </c>
      <c r="B997" s="242">
        <f t="shared" si="389"/>
        <v>46235</v>
      </c>
      <c r="C997" s="243">
        <f t="shared" si="372"/>
        <v>46265</v>
      </c>
      <c r="D997" s="120">
        <f t="shared" si="373"/>
        <v>31</v>
      </c>
      <c r="E997" s="120">
        <f t="shared" si="374"/>
        <v>8</v>
      </c>
      <c r="F997" s="275">
        <f t="shared" si="375"/>
        <v>46250.5</v>
      </c>
      <c r="G997" s="120">
        <f t="shared" si="376"/>
        <v>24319</v>
      </c>
      <c r="H997" s="245">
        <f t="shared" si="377"/>
        <v>1</v>
      </c>
      <c r="I997" s="121">
        <f t="shared" si="378"/>
        <v>1</v>
      </c>
      <c r="J997" s="121">
        <f t="shared" si="379"/>
        <v>1.02</v>
      </c>
      <c r="K997" s="120">
        <f t="shared" si="380"/>
        <v>1</v>
      </c>
      <c r="L997" s="120">
        <f t="shared" si="381"/>
        <v>31</v>
      </c>
      <c r="M997" s="246">
        <f t="shared" si="382"/>
        <v>1</v>
      </c>
      <c r="N997" s="121">
        <f t="shared" si="383"/>
        <v>1.02</v>
      </c>
      <c r="O997" s="246">
        <f t="shared" si="384"/>
        <v>0.90900437636761489</v>
      </c>
      <c r="P997" s="121">
        <f t="shared" si="385"/>
        <v>0.75</v>
      </c>
      <c r="Q997" s="121">
        <f t="shared" si="386"/>
        <v>0.25</v>
      </c>
      <c r="R997" s="121">
        <f t="shared" si="387"/>
        <v>0</v>
      </c>
      <c r="AE997" s="160">
        <f t="shared" si="388"/>
        <v>1.0078091998858338</v>
      </c>
    </row>
    <row r="998" spans="1:35" x14ac:dyDescent="0.3">
      <c r="A998" s="187">
        <v>21</v>
      </c>
      <c r="B998" s="242">
        <f t="shared" si="389"/>
        <v>46266</v>
      </c>
      <c r="C998" s="243">
        <f t="shared" si="372"/>
        <v>46295</v>
      </c>
      <c r="D998" s="120">
        <f t="shared" si="373"/>
        <v>30</v>
      </c>
      <c r="E998" s="120">
        <f t="shared" si="374"/>
        <v>9</v>
      </c>
      <c r="F998" s="275">
        <f t="shared" si="375"/>
        <v>46281</v>
      </c>
      <c r="G998" s="120">
        <f t="shared" si="376"/>
        <v>24320</v>
      </c>
      <c r="H998" s="245">
        <f t="shared" si="377"/>
        <v>1</v>
      </c>
      <c r="I998" s="121">
        <f t="shared" si="378"/>
        <v>1.02</v>
      </c>
      <c r="J998" s="121">
        <f t="shared" si="379"/>
        <v>1.02</v>
      </c>
      <c r="K998" s="120">
        <f t="shared" si="380"/>
        <v>0</v>
      </c>
      <c r="L998" s="120">
        <f t="shared" si="381"/>
        <v>0</v>
      </c>
      <c r="M998" s="246">
        <f t="shared" si="382"/>
        <v>0</v>
      </c>
      <c r="N998" s="121">
        <f t="shared" si="383"/>
        <v>1.02</v>
      </c>
      <c r="O998" s="246">
        <f t="shared" si="384"/>
        <v>0.90967177242888408</v>
      </c>
      <c r="P998" s="121">
        <f t="shared" si="385"/>
        <v>0.58333333333333337</v>
      </c>
      <c r="Q998" s="121">
        <f t="shared" si="386"/>
        <v>0.41666666666666663</v>
      </c>
      <c r="R998" s="121">
        <f t="shared" si="387"/>
        <v>0</v>
      </c>
      <c r="AE998" s="160">
        <f t="shared" si="388"/>
        <v>1.008549138997241</v>
      </c>
    </row>
    <row r="999" spans="1:35" x14ac:dyDescent="0.3">
      <c r="A999" s="187">
        <v>22</v>
      </c>
      <c r="B999" s="242">
        <f t="shared" si="389"/>
        <v>46296</v>
      </c>
      <c r="C999" s="243">
        <f t="shared" si="372"/>
        <v>46326</v>
      </c>
      <c r="D999" s="120">
        <f t="shared" si="373"/>
        <v>31</v>
      </c>
      <c r="E999" s="120">
        <f t="shared" si="374"/>
        <v>10</v>
      </c>
      <c r="F999" s="275">
        <f t="shared" si="375"/>
        <v>46311.5</v>
      </c>
      <c r="G999" s="120">
        <f t="shared" si="376"/>
        <v>24321</v>
      </c>
      <c r="H999" s="245">
        <f t="shared" si="377"/>
        <v>1</v>
      </c>
      <c r="I999" s="121">
        <f t="shared" si="378"/>
        <v>1.02</v>
      </c>
      <c r="J999" s="121">
        <f t="shared" si="379"/>
        <v>1.02</v>
      </c>
      <c r="K999" s="120">
        <f t="shared" si="380"/>
        <v>0</v>
      </c>
      <c r="L999" s="120">
        <f t="shared" si="381"/>
        <v>0</v>
      </c>
      <c r="M999" s="246">
        <f t="shared" si="382"/>
        <v>0</v>
      </c>
      <c r="N999" s="121">
        <f t="shared" si="383"/>
        <v>1.02</v>
      </c>
      <c r="O999" s="246">
        <f t="shared" si="384"/>
        <v>0.91033916849015317</v>
      </c>
      <c r="P999" s="121">
        <f t="shared" si="385"/>
        <v>0.41666666666666669</v>
      </c>
      <c r="Q999" s="121">
        <f t="shared" si="386"/>
        <v>0.58333333333333326</v>
      </c>
      <c r="R999" s="121">
        <f t="shared" si="387"/>
        <v>0</v>
      </c>
      <c r="AE999" s="160">
        <f t="shared" si="388"/>
        <v>1.0092890781086481</v>
      </c>
    </row>
    <row r="1000" spans="1:35" x14ac:dyDescent="0.3">
      <c r="A1000" s="187">
        <v>23</v>
      </c>
      <c r="B1000" s="242">
        <f t="shared" si="389"/>
        <v>46327</v>
      </c>
      <c r="C1000" s="243">
        <f t="shared" si="372"/>
        <v>46356</v>
      </c>
      <c r="D1000" s="120">
        <f t="shared" si="373"/>
        <v>30</v>
      </c>
      <c r="E1000" s="120">
        <f t="shared" si="374"/>
        <v>11</v>
      </c>
      <c r="F1000" s="275">
        <f t="shared" si="375"/>
        <v>46342</v>
      </c>
      <c r="G1000" s="120">
        <f t="shared" si="376"/>
        <v>24322</v>
      </c>
      <c r="H1000" s="245">
        <f t="shared" si="377"/>
        <v>1</v>
      </c>
      <c r="I1000" s="121">
        <f t="shared" si="378"/>
        <v>1.02</v>
      </c>
      <c r="J1000" s="121">
        <f t="shared" si="379"/>
        <v>1.02</v>
      </c>
      <c r="K1000" s="120">
        <f t="shared" si="380"/>
        <v>0</v>
      </c>
      <c r="L1000" s="120">
        <f t="shared" si="381"/>
        <v>0</v>
      </c>
      <c r="M1000" s="246">
        <f t="shared" si="382"/>
        <v>0</v>
      </c>
      <c r="N1000" s="121">
        <f t="shared" si="383"/>
        <v>1.02</v>
      </c>
      <c r="O1000" s="246">
        <f t="shared" si="384"/>
        <v>0.91100656455142237</v>
      </c>
      <c r="P1000" s="121">
        <f t="shared" si="385"/>
        <v>0.25</v>
      </c>
      <c r="Q1000" s="121">
        <f t="shared" si="386"/>
        <v>0.75</v>
      </c>
      <c r="R1000" s="121">
        <f t="shared" si="387"/>
        <v>0</v>
      </c>
      <c r="AE1000" s="160">
        <f t="shared" si="388"/>
        <v>1.0100290172200552</v>
      </c>
    </row>
    <row r="1001" spans="1:35" x14ac:dyDescent="0.3">
      <c r="A1001" s="187">
        <v>24</v>
      </c>
      <c r="B1001" s="242">
        <f t="shared" si="389"/>
        <v>46357</v>
      </c>
      <c r="C1001" s="243">
        <f t="shared" si="372"/>
        <v>46387</v>
      </c>
      <c r="D1001" s="120">
        <f t="shared" si="373"/>
        <v>31</v>
      </c>
      <c r="E1001" s="120">
        <f t="shared" si="374"/>
        <v>12</v>
      </c>
      <c r="F1001" s="275">
        <f t="shared" si="375"/>
        <v>46372.5</v>
      </c>
      <c r="G1001" s="120">
        <f t="shared" si="376"/>
        <v>24323</v>
      </c>
      <c r="H1001" s="245">
        <f t="shared" si="377"/>
        <v>1</v>
      </c>
      <c r="I1001" s="121">
        <f t="shared" si="378"/>
        <v>1.02</v>
      </c>
      <c r="J1001" s="121">
        <f t="shared" si="379"/>
        <v>1.02</v>
      </c>
      <c r="K1001" s="120">
        <f t="shared" si="380"/>
        <v>0</v>
      </c>
      <c r="L1001" s="120">
        <f t="shared" si="381"/>
        <v>0</v>
      </c>
      <c r="M1001" s="246">
        <f t="shared" si="382"/>
        <v>0</v>
      </c>
      <c r="N1001" s="121">
        <f t="shared" si="383"/>
        <v>1.02</v>
      </c>
      <c r="O1001" s="246">
        <f t="shared" si="384"/>
        <v>0.91167396061269146</v>
      </c>
      <c r="P1001" s="121">
        <f t="shared" si="385"/>
        <v>8.3333333333333329E-2</v>
      </c>
      <c r="Q1001" s="121">
        <f t="shared" si="386"/>
        <v>0.91666666666666663</v>
      </c>
      <c r="R1001" s="121">
        <f t="shared" si="387"/>
        <v>0</v>
      </c>
      <c r="AE1001" s="160">
        <f t="shared" si="388"/>
        <v>1.0107689563314621</v>
      </c>
    </row>
    <row r="1002" spans="1:35" x14ac:dyDescent="0.3">
      <c r="A1002" s="187">
        <v>25</v>
      </c>
      <c r="B1002" s="242">
        <f t="shared" si="389"/>
        <v>46388</v>
      </c>
      <c r="C1002" s="243">
        <f t="shared" si="372"/>
        <v>46418</v>
      </c>
      <c r="D1002" s="120">
        <f t="shared" si="373"/>
        <v>31</v>
      </c>
      <c r="E1002" s="120">
        <f t="shared" si="374"/>
        <v>1</v>
      </c>
      <c r="F1002" s="275">
        <f t="shared" si="375"/>
        <v>46403.5</v>
      </c>
      <c r="G1002" s="120">
        <f t="shared" si="376"/>
        <v>24324</v>
      </c>
      <c r="H1002" s="245">
        <f t="shared" si="377"/>
        <v>1</v>
      </c>
      <c r="I1002" s="121">
        <f t="shared" si="378"/>
        <v>1.02</v>
      </c>
      <c r="J1002" s="121">
        <f t="shared" si="379"/>
        <v>1.02</v>
      </c>
      <c r="K1002" s="120">
        <f t="shared" si="380"/>
        <v>0</v>
      </c>
      <c r="L1002" s="120">
        <f t="shared" si="381"/>
        <v>0</v>
      </c>
      <c r="M1002" s="246">
        <f t="shared" si="382"/>
        <v>0</v>
      </c>
      <c r="N1002" s="121">
        <f t="shared" si="383"/>
        <v>1.02</v>
      </c>
      <c r="O1002" s="246">
        <f t="shared" si="384"/>
        <v>0.91235229759299785</v>
      </c>
      <c r="P1002" s="121">
        <f t="shared" si="385"/>
        <v>0</v>
      </c>
      <c r="Q1002" s="121">
        <f t="shared" si="386"/>
        <v>1</v>
      </c>
      <c r="R1002" s="121">
        <f t="shared" si="387"/>
        <v>0</v>
      </c>
      <c r="W1002" s="160">
        <f t="shared" ref="W1002:W1013" si="390">IF($G1002&lt;&gt;$Q$975,$N1002,(1-$U$975)*$I1002+$U$975*$J1002)</f>
        <v>1.02</v>
      </c>
      <c r="X1002" s="160">
        <f t="shared" ref="X1002:X1013" si="391">IF($G1002&lt;$Q$975,0,IF($G1002&gt;$Q$975,$N1002,$U$975*$J1002))</f>
        <v>0</v>
      </c>
      <c r="Y1002" s="160">
        <f t="shared" ref="Y1002:Y1013" si="392">IF($F$975=1,$O1002/$O990,1)</f>
        <v>1.0088314642083742</v>
      </c>
      <c r="AB1002" s="160">
        <f t="shared" ref="AB1002:AB1013" si="393">IF(AND(N($K$975)&lt;&gt;0,$F1002&lt;=$B$976),0,($F1002-$B$976)/($C$976-$B$976))</f>
        <v>0.23522975929978118</v>
      </c>
      <c r="AC1002" s="220">
        <f t="shared" ref="AC1002:AC1013" si="394">IF(AND(N($K$975)&lt;&gt;0,$F1002&lt;=$B$976),$O1002,$F$976*(1-$AB1002))</f>
        <v>0.69594091903719912</v>
      </c>
      <c r="AD1002" s="160">
        <f t="shared" ref="AD1002:AD1013" si="395">$H1002*($W1002+$X1002*IF(ISNUMBER($F$1026),$F$1026,0))/($N990*$O990)</f>
        <v>1.1278626646826115</v>
      </c>
      <c r="AE1002" s="160">
        <f t="shared" si="388"/>
        <v>1.0115210255922367</v>
      </c>
      <c r="AF1002" s="220">
        <f t="shared" ref="AF1002:AF1013" si="396">IF($G1002&lt;$Q$975,0,IF($G1002&gt;$Q$975,1,$U$975))</f>
        <v>0</v>
      </c>
      <c r="AG1002" s="183" t="str">
        <f t="shared" ref="AG1002:AG1013" si="397">IF(OR($D$975=0,$P$975=0),"",($W1002+$X1002*IF(ISNUMBER($F$1026),$F$1026,0))/$N990-1)</f>
        <v/>
      </c>
      <c r="AH1002" s="183" t="str">
        <f t="shared" ref="AH1002:AH1013" si="398">IF(OR($AG1002="",$F$975=0),"",(1+$E$975)/(1+$AG1002)-1)</f>
        <v/>
      </c>
      <c r="AI1002" s="220" t="str">
        <f t="shared" ref="AI1002:AI1013" si="399">IF($AH1002="","",$O990*(1+$E$975)/(1+$AG1002))</f>
        <v/>
      </c>
    </row>
    <row r="1003" spans="1:35" x14ac:dyDescent="0.3">
      <c r="A1003" s="187">
        <v>26</v>
      </c>
      <c r="B1003" s="242">
        <f t="shared" si="389"/>
        <v>46419</v>
      </c>
      <c r="C1003" s="243">
        <f t="shared" si="372"/>
        <v>46446</v>
      </c>
      <c r="D1003" s="120">
        <f t="shared" si="373"/>
        <v>28</v>
      </c>
      <c r="E1003" s="120">
        <f t="shared" si="374"/>
        <v>2</v>
      </c>
      <c r="F1003" s="275">
        <f t="shared" si="375"/>
        <v>46433</v>
      </c>
      <c r="G1003" s="120">
        <f t="shared" si="376"/>
        <v>24325</v>
      </c>
      <c r="H1003" s="245">
        <f t="shared" si="377"/>
        <v>1</v>
      </c>
      <c r="I1003" s="121">
        <f t="shared" si="378"/>
        <v>1.02</v>
      </c>
      <c r="J1003" s="121">
        <f t="shared" si="379"/>
        <v>1.02</v>
      </c>
      <c r="K1003" s="120">
        <f t="shared" si="380"/>
        <v>0</v>
      </c>
      <c r="L1003" s="120">
        <f t="shared" si="381"/>
        <v>0</v>
      </c>
      <c r="M1003" s="246">
        <f t="shared" si="382"/>
        <v>0</v>
      </c>
      <c r="N1003" s="121">
        <f t="shared" si="383"/>
        <v>1.02</v>
      </c>
      <c r="O1003" s="246">
        <f t="shared" si="384"/>
        <v>0.91299781181619255</v>
      </c>
      <c r="P1003" s="121">
        <f t="shared" si="385"/>
        <v>0</v>
      </c>
      <c r="Q1003" s="121">
        <f t="shared" si="386"/>
        <v>1</v>
      </c>
      <c r="R1003" s="121">
        <f t="shared" si="387"/>
        <v>0</v>
      </c>
      <c r="W1003" s="160">
        <f t="shared" si="390"/>
        <v>1.02</v>
      </c>
      <c r="X1003" s="160">
        <f t="shared" si="391"/>
        <v>0</v>
      </c>
      <c r="Y1003" s="160">
        <f t="shared" si="392"/>
        <v>1.0088251650184965</v>
      </c>
      <c r="AB1003" s="160">
        <f t="shared" si="393"/>
        <v>0.29978118161925604</v>
      </c>
      <c r="AC1003" s="220">
        <f t="shared" si="394"/>
        <v>0.637199124726477</v>
      </c>
      <c r="AD1003" s="160">
        <f t="shared" si="395"/>
        <v>1.1270581977320535</v>
      </c>
      <c r="AE1003" s="160">
        <f t="shared" si="388"/>
        <v>1.0122367044049092</v>
      </c>
      <c r="AF1003" s="220">
        <f t="shared" si="396"/>
        <v>0</v>
      </c>
      <c r="AG1003" s="183" t="str">
        <f t="shared" si="397"/>
        <v/>
      </c>
      <c r="AH1003" s="183" t="str">
        <f t="shared" si="398"/>
        <v/>
      </c>
      <c r="AI1003" s="220" t="str">
        <f t="shared" si="399"/>
        <v/>
      </c>
    </row>
    <row r="1004" spans="1:35" x14ac:dyDescent="0.3">
      <c r="A1004" s="187">
        <v>27</v>
      </c>
      <c r="B1004" s="242">
        <f t="shared" si="389"/>
        <v>46447</v>
      </c>
      <c r="C1004" s="243">
        <f t="shared" si="372"/>
        <v>46477</v>
      </c>
      <c r="D1004" s="120">
        <f t="shared" si="373"/>
        <v>31</v>
      </c>
      <c r="E1004" s="120">
        <f t="shared" si="374"/>
        <v>3</v>
      </c>
      <c r="F1004" s="275">
        <f t="shared" si="375"/>
        <v>46462.5</v>
      </c>
      <c r="G1004" s="120">
        <f t="shared" si="376"/>
        <v>24326</v>
      </c>
      <c r="H1004" s="245">
        <f t="shared" si="377"/>
        <v>1</v>
      </c>
      <c r="I1004" s="121">
        <f t="shared" si="378"/>
        <v>1.02</v>
      </c>
      <c r="J1004" s="121">
        <f t="shared" si="379"/>
        <v>1.02</v>
      </c>
      <c r="K1004" s="120">
        <f t="shared" si="380"/>
        <v>0</v>
      </c>
      <c r="L1004" s="120">
        <f t="shared" si="381"/>
        <v>0</v>
      </c>
      <c r="M1004" s="246">
        <f t="shared" si="382"/>
        <v>0</v>
      </c>
      <c r="N1004" s="121">
        <f t="shared" si="383"/>
        <v>1.02</v>
      </c>
      <c r="O1004" s="246">
        <f t="shared" si="384"/>
        <v>0.91364332603938736</v>
      </c>
      <c r="P1004" s="121">
        <f t="shared" si="385"/>
        <v>0</v>
      </c>
      <c r="Q1004" s="121">
        <f t="shared" si="386"/>
        <v>1</v>
      </c>
      <c r="R1004" s="121">
        <f t="shared" si="387"/>
        <v>0</v>
      </c>
      <c r="W1004" s="160">
        <f t="shared" si="390"/>
        <v>1.02</v>
      </c>
      <c r="X1004" s="160">
        <f t="shared" si="391"/>
        <v>0</v>
      </c>
      <c r="Y1004" s="160">
        <f t="shared" si="392"/>
        <v>1.0088188748082196</v>
      </c>
      <c r="AB1004" s="160">
        <f t="shared" si="393"/>
        <v>0.36433260393873085</v>
      </c>
      <c r="AC1004" s="220">
        <f t="shared" si="394"/>
        <v>0.57845733041575487</v>
      </c>
      <c r="AD1004" s="160">
        <f t="shared" si="395"/>
        <v>1.1262548775626078</v>
      </c>
      <c r="AE1004" s="160">
        <f t="shared" si="388"/>
        <v>1.0129523832175815</v>
      </c>
      <c r="AF1004" s="220">
        <f t="shared" si="396"/>
        <v>0</v>
      </c>
      <c r="AG1004" s="183" t="str">
        <f t="shared" si="397"/>
        <v/>
      </c>
      <c r="AH1004" s="183" t="str">
        <f t="shared" si="398"/>
        <v/>
      </c>
      <c r="AI1004" s="220" t="str">
        <f t="shared" si="399"/>
        <v/>
      </c>
    </row>
    <row r="1005" spans="1:35" x14ac:dyDescent="0.3">
      <c r="A1005" s="187">
        <v>28</v>
      </c>
      <c r="B1005" s="242">
        <f t="shared" si="389"/>
        <v>46478</v>
      </c>
      <c r="C1005" s="243">
        <f t="shared" si="372"/>
        <v>46507</v>
      </c>
      <c r="D1005" s="120">
        <f t="shared" si="373"/>
        <v>30</v>
      </c>
      <c r="E1005" s="120">
        <f t="shared" si="374"/>
        <v>4</v>
      </c>
      <c r="F1005" s="275">
        <f t="shared" si="375"/>
        <v>46493</v>
      </c>
      <c r="G1005" s="120">
        <f t="shared" si="376"/>
        <v>24327</v>
      </c>
      <c r="H1005" s="245">
        <f t="shared" si="377"/>
        <v>1</v>
      </c>
      <c r="I1005" s="121">
        <f t="shared" si="378"/>
        <v>1.02</v>
      </c>
      <c r="J1005" s="121">
        <f t="shared" si="379"/>
        <v>1.02</v>
      </c>
      <c r="K1005" s="120">
        <f t="shared" si="380"/>
        <v>0</v>
      </c>
      <c r="L1005" s="120">
        <f t="shared" si="381"/>
        <v>0</v>
      </c>
      <c r="M1005" s="246">
        <f t="shared" si="382"/>
        <v>0</v>
      </c>
      <c r="N1005" s="121">
        <f t="shared" si="383"/>
        <v>1.02</v>
      </c>
      <c r="O1005" s="246">
        <f t="shared" si="384"/>
        <v>0.91431072210065645</v>
      </c>
      <c r="P1005" s="121">
        <f t="shared" si="385"/>
        <v>0</v>
      </c>
      <c r="Q1005" s="121">
        <f t="shared" si="386"/>
        <v>1</v>
      </c>
      <c r="R1005" s="121">
        <f t="shared" si="387"/>
        <v>0</v>
      </c>
      <c r="W1005" s="160">
        <f t="shared" si="390"/>
        <v>1.02</v>
      </c>
      <c r="X1005" s="160">
        <f t="shared" si="391"/>
        <v>1.02</v>
      </c>
      <c r="Y1005" s="160">
        <f t="shared" si="392"/>
        <v>1.0088123807914242</v>
      </c>
      <c r="AB1005" s="160">
        <f t="shared" si="393"/>
        <v>0.4310722100656455</v>
      </c>
      <c r="AC1005" s="220">
        <f t="shared" si="394"/>
        <v>0.51772428884026267</v>
      </c>
      <c r="AD1005" s="160">
        <f t="shared" si="395"/>
        <v>1.1254255293464352</v>
      </c>
      <c r="AE1005" s="160">
        <f t="shared" si="388"/>
        <v>1.0136923223289889</v>
      </c>
      <c r="AF1005" s="220">
        <f t="shared" si="396"/>
        <v>1</v>
      </c>
      <c r="AG1005" s="183" t="str">
        <f t="shared" si="397"/>
        <v/>
      </c>
      <c r="AH1005" s="183" t="str">
        <f t="shared" si="398"/>
        <v/>
      </c>
      <c r="AI1005" s="220" t="str">
        <f t="shared" si="399"/>
        <v/>
      </c>
    </row>
    <row r="1006" spans="1:35" x14ac:dyDescent="0.3">
      <c r="A1006" s="187">
        <v>29</v>
      </c>
      <c r="B1006" s="242">
        <f t="shared" si="389"/>
        <v>46508</v>
      </c>
      <c r="C1006" s="243">
        <f t="shared" si="372"/>
        <v>46538</v>
      </c>
      <c r="D1006" s="120">
        <f t="shared" si="373"/>
        <v>31</v>
      </c>
      <c r="E1006" s="120">
        <f t="shared" si="374"/>
        <v>5</v>
      </c>
      <c r="F1006" s="275">
        <f t="shared" si="375"/>
        <v>46523.5</v>
      </c>
      <c r="G1006" s="120">
        <f t="shared" si="376"/>
        <v>24328</v>
      </c>
      <c r="H1006" s="245">
        <f t="shared" si="377"/>
        <v>1</v>
      </c>
      <c r="I1006" s="121">
        <f t="shared" si="378"/>
        <v>1.02</v>
      </c>
      <c r="J1006" s="121">
        <f t="shared" si="379"/>
        <v>1.02</v>
      </c>
      <c r="K1006" s="120">
        <f t="shared" si="380"/>
        <v>0</v>
      </c>
      <c r="L1006" s="120">
        <f t="shared" si="381"/>
        <v>0</v>
      </c>
      <c r="M1006" s="246">
        <f t="shared" si="382"/>
        <v>0</v>
      </c>
      <c r="N1006" s="121">
        <f t="shared" si="383"/>
        <v>1.02</v>
      </c>
      <c r="O1006" s="246">
        <f t="shared" si="384"/>
        <v>0.91497811816192565</v>
      </c>
      <c r="P1006" s="121">
        <f t="shared" si="385"/>
        <v>0</v>
      </c>
      <c r="Q1006" s="121">
        <f t="shared" si="386"/>
        <v>1</v>
      </c>
      <c r="R1006" s="121">
        <f t="shared" si="387"/>
        <v>0</v>
      </c>
      <c r="W1006" s="160">
        <f t="shared" si="390"/>
        <v>1.02</v>
      </c>
      <c r="X1006" s="160">
        <f t="shared" si="391"/>
        <v>1.02</v>
      </c>
      <c r="Y1006" s="160">
        <f t="shared" si="392"/>
        <v>1.0088058963316806</v>
      </c>
      <c r="AB1006" s="160">
        <f t="shared" si="393"/>
        <v>0.49781181619256015</v>
      </c>
      <c r="AC1006" s="220">
        <f t="shared" si="394"/>
        <v>0.45699124726477025</v>
      </c>
      <c r="AD1006" s="160">
        <f t="shared" si="395"/>
        <v>1.1245974016574385</v>
      </c>
      <c r="AE1006" s="160">
        <f t="shared" si="388"/>
        <v>1.0144322614403958</v>
      </c>
      <c r="AF1006" s="220">
        <f t="shared" si="396"/>
        <v>1</v>
      </c>
      <c r="AG1006" s="183" t="str">
        <f t="shared" si="397"/>
        <v/>
      </c>
      <c r="AH1006" s="183" t="str">
        <f t="shared" si="398"/>
        <v/>
      </c>
      <c r="AI1006" s="220" t="str">
        <f t="shared" si="399"/>
        <v/>
      </c>
    </row>
    <row r="1007" spans="1:35" x14ac:dyDescent="0.3">
      <c r="A1007" s="187">
        <v>30</v>
      </c>
      <c r="B1007" s="242">
        <f t="shared" si="389"/>
        <v>46539</v>
      </c>
      <c r="C1007" s="243">
        <f t="shared" si="372"/>
        <v>46568</v>
      </c>
      <c r="D1007" s="120">
        <f t="shared" si="373"/>
        <v>30</v>
      </c>
      <c r="E1007" s="120">
        <f t="shared" si="374"/>
        <v>6</v>
      </c>
      <c r="F1007" s="275">
        <f t="shared" si="375"/>
        <v>46554</v>
      </c>
      <c r="G1007" s="120">
        <f t="shared" si="376"/>
        <v>24329</v>
      </c>
      <c r="H1007" s="245">
        <f t="shared" si="377"/>
        <v>1</v>
      </c>
      <c r="I1007" s="121">
        <f t="shared" si="378"/>
        <v>1.02</v>
      </c>
      <c r="J1007" s="121">
        <f t="shared" si="379"/>
        <v>1.02</v>
      </c>
      <c r="K1007" s="120">
        <f t="shared" si="380"/>
        <v>0</v>
      </c>
      <c r="L1007" s="120">
        <f t="shared" si="381"/>
        <v>0</v>
      </c>
      <c r="M1007" s="246">
        <f t="shared" si="382"/>
        <v>0</v>
      </c>
      <c r="N1007" s="121">
        <f t="shared" si="383"/>
        <v>1.02</v>
      </c>
      <c r="O1007" s="246">
        <f t="shared" si="384"/>
        <v>0.91564551422319473</v>
      </c>
      <c r="P1007" s="121">
        <f t="shared" si="385"/>
        <v>0</v>
      </c>
      <c r="Q1007" s="121">
        <f t="shared" si="386"/>
        <v>1</v>
      </c>
      <c r="R1007" s="121">
        <f t="shared" si="387"/>
        <v>0</v>
      </c>
      <c r="W1007" s="160">
        <f t="shared" si="390"/>
        <v>1.02</v>
      </c>
      <c r="X1007" s="160">
        <f t="shared" si="391"/>
        <v>1.02</v>
      </c>
      <c r="Y1007" s="160">
        <f t="shared" si="392"/>
        <v>1.0087994214079075</v>
      </c>
      <c r="AB1007" s="160">
        <f t="shared" si="393"/>
        <v>0.56455142231947486</v>
      </c>
      <c r="AC1007" s="220">
        <f t="shared" si="394"/>
        <v>0.39625820568927789</v>
      </c>
      <c r="AD1007" s="160">
        <f t="shared" si="395"/>
        <v>1.1237704918032787</v>
      </c>
      <c r="AE1007" s="160">
        <f t="shared" si="388"/>
        <v>1.0151722005518029</v>
      </c>
      <c r="AF1007" s="220">
        <f t="shared" si="396"/>
        <v>1</v>
      </c>
      <c r="AG1007" s="183" t="str">
        <f t="shared" si="397"/>
        <v/>
      </c>
      <c r="AH1007" s="183" t="str">
        <f t="shared" si="398"/>
        <v/>
      </c>
      <c r="AI1007" s="220" t="str">
        <f t="shared" si="399"/>
        <v/>
      </c>
    </row>
    <row r="1008" spans="1:35" x14ac:dyDescent="0.3">
      <c r="A1008" s="187">
        <v>31</v>
      </c>
      <c r="B1008" s="242">
        <f t="shared" si="389"/>
        <v>46569</v>
      </c>
      <c r="C1008" s="243">
        <f t="shared" si="372"/>
        <v>46599</v>
      </c>
      <c r="D1008" s="120">
        <f t="shared" si="373"/>
        <v>31</v>
      </c>
      <c r="E1008" s="120">
        <f t="shared" si="374"/>
        <v>7</v>
      </c>
      <c r="F1008" s="275">
        <f t="shared" si="375"/>
        <v>46584.5</v>
      </c>
      <c r="G1008" s="120">
        <f t="shared" si="376"/>
        <v>24330</v>
      </c>
      <c r="H1008" s="245">
        <f t="shared" si="377"/>
        <v>1</v>
      </c>
      <c r="I1008" s="121">
        <f t="shared" si="378"/>
        <v>1.02</v>
      </c>
      <c r="J1008" s="121">
        <f t="shared" si="379"/>
        <v>1.02</v>
      </c>
      <c r="K1008" s="120">
        <f t="shared" si="380"/>
        <v>0</v>
      </c>
      <c r="L1008" s="120">
        <f t="shared" si="381"/>
        <v>0</v>
      </c>
      <c r="M1008" s="246">
        <f t="shared" si="382"/>
        <v>0</v>
      </c>
      <c r="N1008" s="121">
        <f t="shared" si="383"/>
        <v>1.02</v>
      </c>
      <c r="O1008" s="246">
        <f t="shared" si="384"/>
        <v>0.91631291028446393</v>
      </c>
      <c r="P1008" s="121">
        <f t="shared" si="385"/>
        <v>0</v>
      </c>
      <c r="Q1008" s="121">
        <f t="shared" si="386"/>
        <v>0.91666666666666663</v>
      </c>
      <c r="R1008" s="121">
        <f t="shared" si="387"/>
        <v>8.333333333333337E-2</v>
      </c>
      <c r="W1008" s="160">
        <f t="shared" si="390"/>
        <v>1.02</v>
      </c>
      <c r="X1008" s="160">
        <f t="shared" si="391"/>
        <v>1.02</v>
      </c>
      <c r="Y1008" s="160">
        <f t="shared" si="392"/>
        <v>1.0087929559990845</v>
      </c>
      <c r="AB1008" s="160">
        <f t="shared" si="393"/>
        <v>0.63129102844638951</v>
      </c>
      <c r="AC1008" s="220">
        <f t="shared" si="394"/>
        <v>0.33552516411378558</v>
      </c>
      <c r="AD1008" s="160">
        <f t="shared" si="395"/>
        <v>1.122944797099529</v>
      </c>
      <c r="AE1008" s="160">
        <f t="shared" si="388"/>
        <v>1.01591213966321</v>
      </c>
      <c r="AF1008" s="220">
        <f t="shared" si="396"/>
        <v>1</v>
      </c>
      <c r="AG1008" s="183" t="str">
        <f t="shared" si="397"/>
        <v/>
      </c>
      <c r="AH1008" s="183" t="str">
        <f t="shared" si="398"/>
        <v/>
      </c>
      <c r="AI1008" s="220" t="str">
        <f t="shared" si="399"/>
        <v/>
      </c>
    </row>
    <row r="1009" spans="1:35" x14ac:dyDescent="0.3">
      <c r="A1009" s="187">
        <v>32</v>
      </c>
      <c r="B1009" s="242">
        <f t="shared" si="389"/>
        <v>46600</v>
      </c>
      <c r="C1009" s="243">
        <f t="shared" si="372"/>
        <v>46630</v>
      </c>
      <c r="D1009" s="120">
        <f t="shared" si="373"/>
        <v>31</v>
      </c>
      <c r="E1009" s="120">
        <f t="shared" si="374"/>
        <v>8</v>
      </c>
      <c r="F1009" s="275">
        <f t="shared" si="375"/>
        <v>46615.5</v>
      </c>
      <c r="G1009" s="120">
        <f t="shared" si="376"/>
        <v>24331</v>
      </c>
      <c r="H1009" s="245">
        <f t="shared" si="377"/>
        <v>1</v>
      </c>
      <c r="I1009" s="121">
        <f t="shared" si="378"/>
        <v>1.02</v>
      </c>
      <c r="J1009" s="121">
        <f t="shared" si="379"/>
        <v>1.02</v>
      </c>
      <c r="K1009" s="120">
        <f t="shared" si="380"/>
        <v>0</v>
      </c>
      <c r="L1009" s="120">
        <f t="shared" si="381"/>
        <v>0</v>
      </c>
      <c r="M1009" s="246">
        <f t="shared" si="382"/>
        <v>0</v>
      </c>
      <c r="N1009" s="121">
        <f t="shared" si="383"/>
        <v>1.02</v>
      </c>
      <c r="O1009" s="246">
        <f t="shared" si="384"/>
        <v>0.91699124726477033</v>
      </c>
      <c r="P1009" s="121">
        <f t="shared" si="385"/>
        <v>0</v>
      </c>
      <c r="Q1009" s="121">
        <f t="shared" si="386"/>
        <v>0.75</v>
      </c>
      <c r="R1009" s="121">
        <f t="shared" si="387"/>
        <v>0.25</v>
      </c>
      <c r="W1009" s="160">
        <f t="shared" si="390"/>
        <v>1.02</v>
      </c>
      <c r="X1009" s="160">
        <f t="shared" si="391"/>
        <v>1.02</v>
      </c>
      <c r="Y1009" s="160">
        <f t="shared" si="392"/>
        <v>1.0087863943285631</v>
      </c>
      <c r="AB1009" s="160">
        <f t="shared" si="393"/>
        <v>0.69912472647702406</v>
      </c>
      <c r="AC1009" s="220">
        <f t="shared" si="394"/>
        <v>0.27379649890590813</v>
      </c>
      <c r="AD1009" s="160">
        <f t="shared" si="395"/>
        <v>1.1001047145625458</v>
      </c>
      <c r="AE1009" s="160">
        <f t="shared" si="388"/>
        <v>1.0166642089239846</v>
      </c>
      <c r="AF1009" s="220">
        <f t="shared" si="396"/>
        <v>1</v>
      </c>
      <c r="AG1009" s="183" t="str">
        <f t="shared" si="397"/>
        <v/>
      </c>
      <c r="AH1009" s="183" t="str">
        <f t="shared" si="398"/>
        <v/>
      </c>
      <c r="AI1009" s="220" t="str">
        <f t="shared" si="399"/>
        <v/>
      </c>
    </row>
    <row r="1010" spans="1:35" x14ac:dyDescent="0.3">
      <c r="A1010" s="187">
        <v>33</v>
      </c>
      <c r="B1010" s="242">
        <f t="shared" si="389"/>
        <v>46631</v>
      </c>
      <c r="C1010" s="243">
        <f t="shared" si="372"/>
        <v>46660</v>
      </c>
      <c r="D1010" s="120">
        <f t="shared" si="373"/>
        <v>30</v>
      </c>
      <c r="E1010" s="120">
        <f t="shared" si="374"/>
        <v>9</v>
      </c>
      <c r="F1010" s="275">
        <f t="shared" si="375"/>
        <v>46646</v>
      </c>
      <c r="G1010" s="120">
        <f t="shared" si="376"/>
        <v>24332</v>
      </c>
      <c r="H1010" s="245">
        <f t="shared" si="377"/>
        <v>1</v>
      </c>
      <c r="I1010" s="121">
        <f t="shared" si="378"/>
        <v>1.02</v>
      </c>
      <c r="J1010" s="121">
        <f t="shared" si="379"/>
        <v>1.02</v>
      </c>
      <c r="K1010" s="120">
        <f t="shared" si="380"/>
        <v>0</v>
      </c>
      <c r="L1010" s="120">
        <f t="shared" si="381"/>
        <v>0</v>
      </c>
      <c r="M1010" s="246">
        <f t="shared" si="382"/>
        <v>0</v>
      </c>
      <c r="N1010" s="121">
        <f t="shared" si="383"/>
        <v>1.02</v>
      </c>
      <c r="O1010" s="246">
        <f t="shared" si="384"/>
        <v>0.91765864332603941</v>
      </c>
      <c r="P1010" s="121">
        <f t="shared" si="385"/>
        <v>0</v>
      </c>
      <c r="Q1010" s="121">
        <f t="shared" si="386"/>
        <v>0.58333333333333337</v>
      </c>
      <c r="R1010" s="121">
        <f t="shared" si="387"/>
        <v>0.41666666666666663</v>
      </c>
      <c r="W1010" s="160">
        <f t="shared" si="390"/>
        <v>1.02</v>
      </c>
      <c r="X1010" s="160">
        <f t="shared" si="391"/>
        <v>1.02</v>
      </c>
      <c r="Y1010" s="160">
        <f t="shared" si="392"/>
        <v>1.0087799480419513</v>
      </c>
      <c r="AB1010" s="160">
        <f t="shared" si="393"/>
        <v>0.76586433260393871</v>
      </c>
      <c r="AC1010" s="220">
        <f t="shared" si="394"/>
        <v>0.21306345733041579</v>
      </c>
      <c r="AD1010" s="160">
        <f t="shared" si="395"/>
        <v>1.0992976041566438</v>
      </c>
      <c r="AE1010" s="160">
        <f t="shared" si="388"/>
        <v>1.0174041480353915</v>
      </c>
      <c r="AF1010" s="220">
        <f t="shared" si="396"/>
        <v>1</v>
      </c>
      <c r="AG1010" s="183" t="str">
        <f t="shared" si="397"/>
        <v/>
      </c>
      <c r="AH1010" s="183" t="str">
        <f t="shared" si="398"/>
        <v/>
      </c>
      <c r="AI1010" s="220" t="str">
        <f t="shared" si="399"/>
        <v/>
      </c>
    </row>
    <row r="1011" spans="1:35" x14ac:dyDescent="0.3">
      <c r="A1011" s="187">
        <v>34</v>
      </c>
      <c r="B1011" s="242">
        <f t="shared" si="389"/>
        <v>46661</v>
      </c>
      <c r="C1011" s="243">
        <f t="shared" si="372"/>
        <v>46691</v>
      </c>
      <c r="D1011" s="120">
        <f t="shared" si="373"/>
        <v>31</v>
      </c>
      <c r="E1011" s="120">
        <f t="shared" si="374"/>
        <v>10</v>
      </c>
      <c r="F1011" s="275">
        <f t="shared" si="375"/>
        <v>46676.5</v>
      </c>
      <c r="G1011" s="120">
        <f t="shared" si="376"/>
        <v>24333</v>
      </c>
      <c r="H1011" s="245">
        <f t="shared" si="377"/>
        <v>1</v>
      </c>
      <c r="I1011" s="121">
        <f t="shared" si="378"/>
        <v>1.02</v>
      </c>
      <c r="J1011" s="121">
        <f t="shared" si="379"/>
        <v>1.02</v>
      </c>
      <c r="K1011" s="120">
        <f t="shared" si="380"/>
        <v>0</v>
      </c>
      <c r="L1011" s="120">
        <f t="shared" si="381"/>
        <v>0</v>
      </c>
      <c r="M1011" s="246">
        <f t="shared" si="382"/>
        <v>0</v>
      </c>
      <c r="N1011" s="121">
        <f t="shared" si="383"/>
        <v>1.02</v>
      </c>
      <c r="O1011" s="246">
        <f t="shared" si="384"/>
        <v>0.91832603938730861</v>
      </c>
      <c r="P1011" s="121">
        <f t="shared" si="385"/>
        <v>0</v>
      </c>
      <c r="Q1011" s="121">
        <f t="shared" si="386"/>
        <v>0.41666666666666669</v>
      </c>
      <c r="R1011" s="121">
        <f t="shared" si="387"/>
        <v>0.58333333333333326</v>
      </c>
      <c r="W1011" s="160">
        <f t="shared" si="390"/>
        <v>1.02</v>
      </c>
      <c r="X1011" s="160">
        <f t="shared" si="391"/>
        <v>1.02</v>
      </c>
      <c r="Y1011" s="160">
        <f t="shared" si="392"/>
        <v>1.0087735112072593</v>
      </c>
      <c r="AB1011" s="160">
        <f t="shared" si="393"/>
        <v>0.83260393873085337</v>
      </c>
      <c r="AC1011" s="220">
        <f t="shared" si="394"/>
        <v>0.15233041575492345</v>
      </c>
      <c r="AD1011" s="160">
        <f t="shared" si="395"/>
        <v>1.0984916771828617</v>
      </c>
      <c r="AE1011" s="160">
        <f t="shared" si="388"/>
        <v>1.0181440871467986</v>
      </c>
      <c r="AF1011" s="220">
        <f t="shared" si="396"/>
        <v>1</v>
      </c>
      <c r="AG1011" s="183" t="str">
        <f t="shared" si="397"/>
        <v/>
      </c>
      <c r="AH1011" s="183" t="str">
        <f t="shared" si="398"/>
        <v/>
      </c>
      <c r="AI1011" s="220" t="str">
        <f t="shared" si="399"/>
        <v/>
      </c>
    </row>
    <row r="1012" spans="1:35" x14ac:dyDescent="0.3">
      <c r="A1012" s="187">
        <v>35</v>
      </c>
      <c r="B1012" s="242">
        <f t="shared" si="389"/>
        <v>46692</v>
      </c>
      <c r="C1012" s="243">
        <f t="shared" si="372"/>
        <v>46721</v>
      </c>
      <c r="D1012" s="120">
        <f t="shared" si="373"/>
        <v>30</v>
      </c>
      <c r="E1012" s="120">
        <f t="shared" si="374"/>
        <v>11</v>
      </c>
      <c r="F1012" s="275">
        <f t="shared" si="375"/>
        <v>46707</v>
      </c>
      <c r="G1012" s="120">
        <f t="shared" si="376"/>
        <v>24334</v>
      </c>
      <c r="H1012" s="245">
        <f t="shared" si="377"/>
        <v>1</v>
      </c>
      <c r="I1012" s="121">
        <f t="shared" si="378"/>
        <v>1.02</v>
      </c>
      <c r="J1012" s="121">
        <f t="shared" si="379"/>
        <v>1.02</v>
      </c>
      <c r="K1012" s="120">
        <f t="shared" si="380"/>
        <v>0</v>
      </c>
      <c r="L1012" s="120">
        <f t="shared" si="381"/>
        <v>0</v>
      </c>
      <c r="M1012" s="246">
        <f t="shared" si="382"/>
        <v>0</v>
      </c>
      <c r="N1012" s="121">
        <f t="shared" si="383"/>
        <v>1.02</v>
      </c>
      <c r="O1012" s="246">
        <f t="shared" si="384"/>
        <v>0.9189934354485777</v>
      </c>
      <c r="P1012" s="121">
        <f t="shared" si="385"/>
        <v>0</v>
      </c>
      <c r="Q1012" s="121">
        <f t="shared" si="386"/>
        <v>0.25</v>
      </c>
      <c r="R1012" s="121">
        <f t="shared" si="387"/>
        <v>0.75</v>
      </c>
      <c r="W1012" s="160">
        <f t="shared" si="390"/>
        <v>1.02</v>
      </c>
      <c r="X1012" s="160">
        <f t="shared" si="391"/>
        <v>1.02</v>
      </c>
      <c r="Y1012" s="160">
        <f t="shared" si="392"/>
        <v>1.0087670838037133</v>
      </c>
      <c r="AB1012" s="160">
        <f t="shared" si="393"/>
        <v>0.89934354485776802</v>
      </c>
      <c r="AC1012" s="220">
        <f t="shared" si="394"/>
        <v>9.1597374179431104E-2</v>
      </c>
      <c r="AD1012" s="160">
        <f t="shared" si="395"/>
        <v>1.0976869310402804</v>
      </c>
      <c r="AE1012" s="160">
        <f t="shared" si="388"/>
        <v>1.0188840262582057</v>
      </c>
      <c r="AF1012" s="220">
        <f t="shared" si="396"/>
        <v>1</v>
      </c>
      <c r="AG1012" s="183" t="str">
        <f t="shared" si="397"/>
        <v/>
      </c>
      <c r="AH1012" s="183" t="str">
        <f t="shared" si="398"/>
        <v/>
      </c>
      <c r="AI1012" s="220" t="str">
        <f t="shared" si="399"/>
        <v/>
      </c>
    </row>
    <row r="1013" spans="1:35" x14ac:dyDescent="0.3">
      <c r="A1013" s="187">
        <v>36</v>
      </c>
      <c r="B1013" s="242">
        <f t="shared" si="389"/>
        <v>46722</v>
      </c>
      <c r="C1013" s="243">
        <f t="shared" si="372"/>
        <v>46752</v>
      </c>
      <c r="D1013" s="120">
        <f t="shared" si="373"/>
        <v>31</v>
      </c>
      <c r="E1013" s="120">
        <f t="shared" si="374"/>
        <v>12</v>
      </c>
      <c r="F1013" s="275">
        <f t="shared" si="375"/>
        <v>46737.5</v>
      </c>
      <c r="G1013" s="120">
        <f t="shared" si="376"/>
        <v>24335</v>
      </c>
      <c r="H1013" s="245">
        <f t="shared" si="377"/>
        <v>1</v>
      </c>
      <c r="I1013" s="121">
        <f t="shared" si="378"/>
        <v>1.02</v>
      </c>
      <c r="J1013" s="121">
        <f t="shared" si="379"/>
        <v>1.02</v>
      </c>
      <c r="K1013" s="120">
        <f t="shared" si="380"/>
        <v>0</v>
      </c>
      <c r="L1013" s="120">
        <f t="shared" si="381"/>
        <v>0</v>
      </c>
      <c r="M1013" s="246">
        <f t="shared" si="382"/>
        <v>0</v>
      </c>
      <c r="N1013" s="121">
        <f t="shared" si="383"/>
        <v>1.02</v>
      </c>
      <c r="O1013" s="246">
        <f t="shared" si="384"/>
        <v>0.9196608315098469</v>
      </c>
      <c r="P1013" s="121">
        <f t="shared" si="385"/>
        <v>0</v>
      </c>
      <c r="Q1013" s="121">
        <f t="shared" si="386"/>
        <v>8.3333333333333329E-2</v>
      </c>
      <c r="R1013" s="121">
        <f t="shared" si="387"/>
        <v>0.91666666666666663</v>
      </c>
      <c r="W1013" s="160">
        <f t="shared" si="390"/>
        <v>1.02</v>
      </c>
      <c r="X1013" s="160">
        <f t="shared" si="391"/>
        <v>1.02</v>
      </c>
      <c r="Y1013" s="160">
        <f t="shared" si="392"/>
        <v>1.0087606658106016</v>
      </c>
      <c r="AB1013" s="160">
        <f t="shared" si="393"/>
        <v>0.96608315098468267</v>
      </c>
      <c r="AC1013" s="220">
        <f t="shared" si="394"/>
        <v>3.0864332603938772E-2</v>
      </c>
      <c r="AD1013" s="160">
        <f t="shared" si="395"/>
        <v>1.0968833631355983</v>
      </c>
      <c r="AE1013" s="160">
        <f t="shared" si="388"/>
        <v>1.0196239653696126</v>
      </c>
      <c r="AF1013" s="220">
        <f t="shared" si="396"/>
        <v>1</v>
      </c>
      <c r="AG1013" s="183" t="str">
        <f t="shared" si="397"/>
        <v/>
      </c>
      <c r="AH1013" s="183" t="str">
        <f t="shared" si="398"/>
        <v/>
      </c>
      <c r="AI1013" s="220" t="str">
        <f t="shared" si="399"/>
        <v/>
      </c>
    </row>
    <row r="1014" spans="1:35" x14ac:dyDescent="0.3">
      <c r="A1014" s="187">
        <v>37</v>
      </c>
      <c r="B1014" s="242">
        <f t="shared" si="389"/>
        <v>46753</v>
      </c>
      <c r="C1014" s="243">
        <f t="shared" si="372"/>
        <v>46783</v>
      </c>
      <c r="D1014" s="120">
        <f t="shared" si="373"/>
        <v>31</v>
      </c>
      <c r="E1014" s="120">
        <f t="shared" si="374"/>
        <v>1</v>
      </c>
      <c r="F1014" s="275">
        <f t="shared" si="375"/>
        <v>46768.5</v>
      </c>
      <c r="G1014" s="120">
        <f t="shared" si="376"/>
        <v>24336</v>
      </c>
      <c r="H1014" s="245">
        <f t="shared" si="377"/>
        <v>1</v>
      </c>
      <c r="I1014" s="121">
        <f t="shared" si="378"/>
        <v>1.02</v>
      </c>
      <c r="J1014" s="121">
        <f t="shared" si="379"/>
        <v>1.02</v>
      </c>
      <c r="K1014" s="120">
        <f t="shared" si="380"/>
        <v>0</v>
      </c>
      <c r="L1014" s="120">
        <f t="shared" si="381"/>
        <v>0</v>
      </c>
      <c r="M1014" s="246">
        <f t="shared" si="382"/>
        <v>0</v>
      </c>
      <c r="N1014" s="121">
        <f t="shared" si="383"/>
        <v>1.02</v>
      </c>
      <c r="O1014" s="246">
        <f t="shared" si="384"/>
        <v>0.92</v>
      </c>
      <c r="P1014" s="121">
        <f t="shared" si="385"/>
        <v>0</v>
      </c>
      <c r="Q1014" s="121">
        <f t="shared" si="386"/>
        <v>0</v>
      </c>
      <c r="R1014" s="121">
        <f t="shared" si="387"/>
        <v>1</v>
      </c>
      <c r="AE1014" s="160">
        <f t="shared" si="388"/>
        <v>1.02</v>
      </c>
    </row>
    <row r="1015" spans="1:35" x14ac:dyDescent="0.3">
      <c r="A1015" s="187">
        <v>38</v>
      </c>
      <c r="B1015" s="242">
        <f t="shared" si="389"/>
        <v>46784</v>
      </c>
      <c r="C1015" s="243">
        <f t="shared" si="372"/>
        <v>46812</v>
      </c>
      <c r="D1015" s="120">
        <f t="shared" si="373"/>
        <v>29</v>
      </c>
      <c r="E1015" s="120">
        <f t="shared" si="374"/>
        <v>2</v>
      </c>
      <c r="F1015" s="275">
        <f t="shared" si="375"/>
        <v>46798.5</v>
      </c>
      <c r="G1015" s="120">
        <f t="shared" si="376"/>
        <v>24337</v>
      </c>
      <c r="H1015" s="245">
        <f t="shared" si="377"/>
        <v>1</v>
      </c>
      <c r="I1015" s="121">
        <f t="shared" si="378"/>
        <v>1.02</v>
      </c>
      <c r="J1015" s="121">
        <f t="shared" si="379"/>
        <v>1.02</v>
      </c>
      <c r="K1015" s="120">
        <f t="shared" si="380"/>
        <v>0</v>
      </c>
      <c r="L1015" s="120">
        <f t="shared" si="381"/>
        <v>0</v>
      </c>
      <c r="M1015" s="246">
        <f t="shared" si="382"/>
        <v>0</v>
      </c>
      <c r="N1015" s="121">
        <f t="shared" si="383"/>
        <v>1.02</v>
      </c>
      <c r="O1015" s="246">
        <f t="shared" si="384"/>
        <v>0.92</v>
      </c>
      <c r="P1015" s="121">
        <f t="shared" si="385"/>
        <v>0</v>
      </c>
      <c r="Q1015" s="121">
        <f t="shared" si="386"/>
        <v>0</v>
      </c>
      <c r="R1015" s="121">
        <f t="shared" si="387"/>
        <v>1</v>
      </c>
      <c r="AE1015" s="160">
        <f t="shared" si="388"/>
        <v>1.02</v>
      </c>
    </row>
    <row r="1016" spans="1:35" x14ac:dyDescent="0.3">
      <c r="A1016" s="187">
        <v>39</v>
      </c>
      <c r="B1016" s="242">
        <f t="shared" si="389"/>
        <v>46813</v>
      </c>
      <c r="C1016" s="243">
        <f t="shared" si="372"/>
        <v>46843</v>
      </c>
      <c r="D1016" s="120">
        <f t="shared" si="373"/>
        <v>31</v>
      </c>
      <c r="E1016" s="120">
        <f t="shared" si="374"/>
        <v>3</v>
      </c>
      <c r="F1016" s="275">
        <f t="shared" si="375"/>
        <v>46828.5</v>
      </c>
      <c r="G1016" s="120">
        <f t="shared" si="376"/>
        <v>24338</v>
      </c>
      <c r="H1016" s="245">
        <f t="shared" si="377"/>
        <v>1</v>
      </c>
      <c r="I1016" s="121">
        <f t="shared" si="378"/>
        <v>1.02</v>
      </c>
      <c r="J1016" s="121">
        <f t="shared" si="379"/>
        <v>1.02</v>
      </c>
      <c r="K1016" s="120">
        <f t="shared" si="380"/>
        <v>0</v>
      </c>
      <c r="L1016" s="120">
        <f t="shared" si="381"/>
        <v>0</v>
      </c>
      <c r="M1016" s="246">
        <f t="shared" si="382"/>
        <v>0</v>
      </c>
      <c r="N1016" s="121">
        <f t="shared" si="383"/>
        <v>1.02</v>
      </c>
      <c r="O1016" s="246">
        <f t="shared" si="384"/>
        <v>0.92</v>
      </c>
      <c r="P1016" s="121">
        <f t="shared" si="385"/>
        <v>0</v>
      </c>
      <c r="Q1016" s="121">
        <f t="shared" si="386"/>
        <v>0</v>
      </c>
      <c r="R1016" s="121">
        <f t="shared" si="387"/>
        <v>1</v>
      </c>
      <c r="AE1016" s="160">
        <f t="shared" si="388"/>
        <v>1.02</v>
      </c>
    </row>
    <row r="1017" spans="1:35" x14ac:dyDescent="0.3">
      <c r="A1017" s="187">
        <v>40</v>
      </c>
      <c r="B1017" s="242">
        <f t="shared" si="389"/>
        <v>46844</v>
      </c>
      <c r="C1017" s="243">
        <f t="shared" si="372"/>
        <v>46873</v>
      </c>
      <c r="D1017" s="120">
        <f t="shared" si="373"/>
        <v>30</v>
      </c>
      <c r="E1017" s="120">
        <f t="shared" si="374"/>
        <v>4</v>
      </c>
      <c r="F1017" s="275">
        <f t="shared" si="375"/>
        <v>46859</v>
      </c>
      <c r="G1017" s="120">
        <f t="shared" si="376"/>
        <v>24339</v>
      </c>
      <c r="H1017" s="245">
        <f t="shared" si="377"/>
        <v>1</v>
      </c>
      <c r="I1017" s="121">
        <f t="shared" si="378"/>
        <v>1.02</v>
      </c>
      <c r="J1017" s="121">
        <f t="shared" si="379"/>
        <v>1.02</v>
      </c>
      <c r="K1017" s="120">
        <f t="shared" si="380"/>
        <v>0</v>
      </c>
      <c r="L1017" s="120">
        <f t="shared" si="381"/>
        <v>0</v>
      </c>
      <c r="M1017" s="246">
        <f t="shared" si="382"/>
        <v>0</v>
      </c>
      <c r="N1017" s="121">
        <f t="shared" si="383"/>
        <v>1.02</v>
      </c>
      <c r="O1017" s="246">
        <f t="shared" si="384"/>
        <v>0.92</v>
      </c>
      <c r="P1017" s="121">
        <f t="shared" si="385"/>
        <v>0</v>
      </c>
      <c r="Q1017" s="121">
        <f t="shared" si="386"/>
        <v>0</v>
      </c>
      <c r="R1017" s="121">
        <f t="shared" si="387"/>
        <v>1</v>
      </c>
      <c r="AE1017" s="160">
        <f t="shared" si="388"/>
        <v>1.02</v>
      </c>
    </row>
    <row r="1018" spans="1:35" x14ac:dyDescent="0.3">
      <c r="A1018" s="187">
        <v>41</v>
      </c>
      <c r="B1018" s="242">
        <f t="shared" si="389"/>
        <v>46874</v>
      </c>
      <c r="C1018" s="243">
        <f t="shared" si="372"/>
        <v>46904</v>
      </c>
      <c r="D1018" s="120">
        <f t="shared" si="373"/>
        <v>31</v>
      </c>
      <c r="E1018" s="120">
        <f t="shared" si="374"/>
        <v>5</v>
      </c>
      <c r="F1018" s="275">
        <f t="shared" si="375"/>
        <v>46889.5</v>
      </c>
      <c r="G1018" s="120">
        <f t="shared" si="376"/>
        <v>24340</v>
      </c>
      <c r="H1018" s="245">
        <f t="shared" si="377"/>
        <v>1</v>
      </c>
      <c r="I1018" s="121">
        <f t="shared" si="378"/>
        <v>1.02</v>
      </c>
      <c r="J1018" s="121">
        <f t="shared" si="379"/>
        <v>1.02</v>
      </c>
      <c r="K1018" s="120">
        <f t="shared" si="380"/>
        <v>0</v>
      </c>
      <c r="L1018" s="120">
        <f t="shared" si="381"/>
        <v>0</v>
      </c>
      <c r="M1018" s="246">
        <f t="shared" si="382"/>
        <v>0</v>
      </c>
      <c r="N1018" s="121">
        <f t="shared" si="383"/>
        <v>1.02</v>
      </c>
      <c r="O1018" s="246">
        <f t="shared" si="384"/>
        <v>0.92</v>
      </c>
      <c r="P1018" s="121">
        <f t="shared" si="385"/>
        <v>0</v>
      </c>
      <c r="Q1018" s="121">
        <f t="shared" si="386"/>
        <v>0</v>
      </c>
      <c r="R1018" s="121">
        <f t="shared" si="387"/>
        <v>1</v>
      </c>
      <c r="AE1018" s="160">
        <f t="shared" si="388"/>
        <v>1.02</v>
      </c>
    </row>
    <row r="1019" spans="1:35" x14ac:dyDescent="0.3">
      <c r="A1019" s="187">
        <v>42</v>
      </c>
      <c r="B1019" s="242">
        <f t="shared" si="389"/>
        <v>46905</v>
      </c>
      <c r="C1019" s="243">
        <f t="shared" si="372"/>
        <v>46934</v>
      </c>
      <c r="D1019" s="120">
        <f t="shared" si="373"/>
        <v>30</v>
      </c>
      <c r="E1019" s="120">
        <f t="shared" si="374"/>
        <v>6</v>
      </c>
      <c r="F1019" s="275">
        <f t="shared" si="375"/>
        <v>46920</v>
      </c>
      <c r="G1019" s="120">
        <f t="shared" si="376"/>
        <v>24341</v>
      </c>
      <c r="H1019" s="245">
        <f t="shared" si="377"/>
        <v>1</v>
      </c>
      <c r="I1019" s="121">
        <f t="shared" si="378"/>
        <v>1.02</v>
      </c>
      <c r="J1019" s="121">
        <f t="shared" si="379"/>
        <v>1.02</v>
      </c>
      <c r="K1019" s="120">
        <f t="shared" si="380"/>
        <v>0</v>
      </c>
      <c r="L1019" s="120">
        <f t="shared" si="381"/>
        <v>0</v>
      </c>
      <c r="M1019" s="246">
        <f t="shared" si="382"/>
        <v>0</v>
      </c>
      <c r="N1019" s="121">
        <f t="shared" si="383"/>
        <v>1.02</v>
      </c>
      <c r="O1019" s="246">
        <f t="shared" si="384"/>
        <v>0.92</v>
      </c>
      <c r="P1019" s="121">
        <f t="shared" si="385"/>
        <v>0</v>
      </c>
      <c r="Q1019" s="121">
        <f t="shared" si="386"/>
        <v>0</v>
      </c>
      <c r="R1019" s="121">
        <f t="shared" si="387"/>
        <v>1</v>
      </c>
      <c r="AE1019" s="160">
        <f t="shared" si="388"/>
        <v>1.02</v>
      </c>
    </row>
    <row r="1020" spans="1:35" x14ac:dyDescent="0.3">
      <c r="A1020" s="187">
        <v>43</v>
      </c>
      <c r="B1020" s="242">
        <f t="shared" si="389"/>
        <v>46935</v>
      </c>
      <c r="C1020" s="243">
        <f t="shared" si="372"/>
        <v>46965</v>
      </c>
      <c r="D1020" s="120">
        <f t="shared" si="373"/>
        <v>31</v>
      </c>
      <c r="E1020" s="120">
        <f t="shared" si="374"/>
        <v>7</v>
      </c>
      <c r="F1020" s="275">
        <f t="shared" si="375"/>
        <v>46950.5</v>
      </c>
      <c r="G1020" s="120">
        <f t="shared" si="376"/>
        <v>24342</v>
      </c>
      <c r="H1020" s="245">
        <f t="shared" si="377"/>
        <v>1</v>
      </c>
      <c r="I1020" s="121">
        <f t="shared" si="378"/>
        <v>1.02</v>
      </c>
      <c r="J1020" s="121">
        <f t="shared" si="379"/>
        <v>1.02</v>
      </c>
      <c r="K1020" s="120">
        <f t="shared" si="380"/>
        <v>0</v>
      </c>
      <c r="L1020" s="120">
        <f t="shared" si="381"/>
        <v>0</v>
      </c>
      <c r="M1020" s="246">
        <f t="shared" si="382"/>
        <v>0</v>
      </c>
      <c r="N1020" s="121">
        <f t="shared" si="383"/>
        <v>1.02</v>
      </c>
      <c r="O1020" s="246">
        <f t="shared" si="384"/>
        <v>0.92</v>
      </c>
      <c r="P1020" s="121">
        <f t="shared" si="385"/>
        <v>0</v>
      </c>
      <c r="Q1020" s="121">
        <f t="shared" si="386"/>
        <v>0</v>
      </c>
      <c r="R1020" s="121">
        <f t="shared" si="387"/>
        <v>0.91666666666666663</v>
      </c>
      <c r="AE1020" s="160">
        <f t="shared" si="388"/>
        <v>1.02</v>
      </c>
    </row>
    <row r="1021" spans="1:35" x14ac:dyDescent="0.3">
      <c r="A1021" s="187">
        <v>44</v>
      </c>
      <c r="B1021" s="242">
        <f t="shared" si="389"/>
        <v>46966</v>
      </c>
      <c r="C1021" s="243">
        <f t="shared" si="372"/>
        <v>46996</v>
      </c>
      <c r="D1021" s="120">
        <f t="shared" si="373"/>
        <v>31</v>
      </c>
      <c r="E1021" s="120">
        <f t="shared" si="374"/>
        <v>8</v>
      </c>
      <c r="F1021" s="275">
        <f t="shared" si="375"/>
        <v>46981.5</v>
      </c>
      <c r="G1021" s="120">
        <f t="shared" si="376"/>
        <v>24343</v>
      </c>
      <c r="H1021" s="245">
        <f t="shared" si="377"/>
        <v>1</v>
      </c>
      <c r="I1021" s="121">
        <f t="shared" si="378"/>
        <v>1.02</v>
      </c>
      <c r="J1021" s="121">
        <f t="shared" si="379"/>
        <v>1.02</v>
      </c>
      <c r="K1021" s="120">
        <f t="shared" si="380"/>
        <v>0</v>
      </c>
      <c r="L1021" s="120">
        <f t="shared" si="381"/>
        <v>0</v>
      </c>
      <c r="M1021" s="246">
        <f t="shared" si="382"/>
        <v>0</v>
      </c>
      <c r="N1021" s="121">
        <f t="shared" si="383"/>
        <v>1.02</v>
      </c>
      <c r="O1021" s="246">
        <f t="shared" si="384"/>
        <v>0.92</v>
      </c>
      <c r="P1021" s="121">
        <f t="shared" si="385"/>
        <v>0</v>
      </c>
      <c r="Q1021" s="121">
        <f t="shared" si="386"/>
        <v>0</v>
      </c>
      <c r="R1021" s="121">
        <f t="shared" si="387"/>
        <v>0.75</v>
      </c>
      <c r="AE1021" s="160">
        <f t="shared" si="388"/>
        <v>1.02</v>
      </c>
    </row>
    <row r="1022" spans="1:35" x14ac:dyDescent="0.3">
      <c r="A1022" s="187">
        <v>45</v>
      </c>
      <c r="B1022" s="242">
        <f t="shared" si="389"/>
        <v>46997</v>
      </c>
      <c r="C1022" s="243">
        <f t="shared" si="372"/>
        <v>47026</v>
      </c>
      <c r="D1022" s="120">
        <f t="shared" si="373"/>
        <v>30</v>
      </c>
      <c r="E1022" s="120">
        <f t="shared" si="374"/>
        <v>9</v>
      </c>
      <c r="F1022" s="275">
        <f t="shared" si="375"/>
        <v>47012</v>
      </c>
      <c r="G1022" s="120">
        <f t="shared" si="376"/>
        <v>24344</v>
      </c>
      <c r="H1022" s="245">
        <f t="shared" si="377"/>
        <v>1</v>
      </c>
      <c r="I1022" s="121">
        <f t="shared" si="378"/>
        <v>1.02</v>
      </c>
      <c r="J1022" s="121">
        <f t="shared" si="379"/>
        <v>1.02</v>
      </c>
      <c r="K1022" s="120">
        <f t="shared" si="380"/>
        <v>0</v>
      </c>
      <c r="L1022" s="120">
        <f t="shared" si="381"/>
        <v>0</v>
      </c>
      <c r="M1022" s="246">
        <f t="shared" si="382"/>
        <v>0</v>
      </c>
      <c r="N1022" s="121">
        <f t="shared" si="383"/>
        <v>1.02</v>
      </c>
      <c r="O1022" s="246">
        <f t="shared" si="384"/>
        <v>0.92</v>
      </c>
      <c r="P1022" s="121">
        <f t="shared" si="385"/>
        <v>0</v>
      </c>
      <c r="Q1022" s="121">
        <f t="shared" si="386"/>
        <v>0</v>
      </c>
      <c r="R1022" s="121">
        <f t="shared" si="387"/>
        <v>0.58333333333333337</v>
      </c>
      <c r="AE1022" s="160">
        <f t="shared" si="388"/>
        <v>1.02</v>
      </c>
    </row>
    <row r="1023" spans="1:35" x14ac:dyDescent="0.3">
      <c r="A1023" s="187">
        <v>46</v>
      </c>
      <c r="B1023" s="242">
        <f t="shared" si="389"/>
        <v>47027</v>
      </c>
      <c r="C1023" s="243">
        <f t="shared" si="372"/>
        <v>47057</v>
      </c>
      <c r="D1023" s="120">
        <f t="shared" si="373"/>
        <v>31</v>
      </c>
      <c r="E1023" s="120">
        <f t="shared" si="374"/>
        <v>10</v>
      </c>
      <c r="F1023" s="275">
        <f t="shared" si="375"/>
        <v>47042.5</v>
      </c>
      <c r="G1023" s="120">
        <f t="shared" si="376"/>
        <v>24345</v>
      </c>
      <c r="H1023" s="245">
        <f t="shared" si="377"/>
        <v>1</v>
      </c>
      <c r="I1023" s="121">
        <f t="shared" si="378"/>
        <v>1.02</v>
      </c>
      <c r="J1023" s="121">
        <f t="shared" si="379"/>
        <v>1.02</v>
      </c>
      <c r="K1023" s="120">
        <f t="shared" si="380"/>
        <v>0</v>
      </c>
      <c r="L1023" s="120">
        <f t="shared" si="381"/>
        <v>0</v>
      </c>
      <c r="M1023" s="246">
        <f t="shared" si="382"/>
        <v>0</v>
      </c>
      <c r="N1023" s="121">
        <f t="shared" si="383"/>
        <v>1.02</v>
      </c>
      <c r="O1023" s="246">
        <f t="shared" si="384"/>
        <v>0.92</v>
      </c>
      <c r="P1023" s="121">
        <f t="shared" si="385"/>
        <v>0</v>
      </c>
      <c r="Q1023" s="121">
        <f t="shared" si="386"/>
        <v>0</v>
      </c>
      <c r="R1023" s="121">
        <f t="shared" si="387"/>
        <v>0.41666666666666669</v>
      </c>
      <c r="AE1023" s="160">
        <f t="shared" si="388"/>
        <v>1.02</v>
      </c>
    </row>
    <row r="1024" spans="1:35" x14ac:dyDescent="0.3">
      <c r="A1024" s="187">
        <v>47</v>
      </c>
      <c r="B1024" s="242">
        <f t="shared" si="389"/>
        <v>47058</v>
      </c>
      <c r="C1024" s="243">
        <f t="shared" si="372"/>
        <v>47087</v>
      </c>
      <c r="D1024" s="120">
        <f t="shared" si="373"/>
        <v>30</v>
      </c>
      <c r="E1024" s="120">
        <f t="shared" si="374"/>
        <v>11</v>
      </c>
      <c r="F1024" s="275">
        <f t="shared" si="375"/>
        <v>47073</v>
      </c>
      <c r="G1024" s="120">
        <f t="shared" si="376"/>
        <v>24346</v>
      </c>
      <c r="H1024" s="245">
        <f t="shared" si="377"/>
        <v>1</v>
      </c>
      <c r="I1024" s="121">
        <f t="shared" si="378"/>
        <v>1.02</v>
      </c>
      <c r="J1024" s="121">
        <f t="shared" si="379"/>
        <v>1.02</v>
      </c>
      <c r="K1024" s="120">
        <f t="shared" si="380"/>
        <v>0</v>
      </c>
      <c r="L1024" s="120">
        <f t="shared" si="381"/>
        <v>0</v>
      </c>
      <c r="M1024" s="246">
        <f t="shared" si="382"/>
        <v>0</v>
      </c>
      <c r="N1024" s="121">
        <f t="shared" si="383"/>
        <v>1.02</v>
      </c>
      <c r="O1024" s="246">
        <f t="shared" si="384"/>
        <v>0.92</v>
      </c>
      <c r="P1024" s="121">
        <f t="shared" si="385"/>
        <v>0</v>
      </c>
      <c r="Q1024" s="121">
        <f t="shared" si="386"/>
        <v>0</v>
      </c>
      <c r="R1024" s="121">
        <f t="shared" si="387"/>
        <v>0.25</v>
      </c>
      <c r="AE1024" s="160">
        <f t="shared" si="388"/>
        <v>1.02</v>
      </c>
    </row>
    <row r="1025" spans="1:31" x14ac:dyDescent="0.3">
      <c r="A1025" s="187">
        <v>48</v>
      </c>
      <c r="B1025" s="242">
        <f t="shared" si="389"/>
        <v>47088</v>
      </c>
      <c r="C1025" s="243">
        <f t="shared" si="372"/>
        <v>47118</v>
      </c>
      <c r="D1025" s="120">
        <f t="shared" si="373"/>
        <v>31</v>
      </c>
      <c r="E1025" s="120">
        <f t="shared" si="374"/>
        <v>12</v>
      </c>
      <c r="F1025" s="275">
        <f t="shared" si="375"/>
        <v>47103.5</v>
      </c>
      <c r="G1025" s="120">
        <f t="shared" si="376"/>
        <v>24347</v>
      </c>
      <c r="H1025" s="245">
        <f t="shared" si="377"/>
        <v>1</v>
      </c>
      <c r="I1025" s="121">
        <f t="shared" si="378"/>
        <v>1.02</v>
      </c>
      <c r="J1025" s="121">
        <f t="shared" si="379"/>
        <v>1.02</v>
      </c>
      <c r="K1025" s="120">
        <f t="shared" si="380"/>
        <v>0</v>
      </c>
      <c r="L1025" s="120">
        <f t="shared" si="381"/>
        <v>0</v>
      </c>
      <c r="M1025" s="246">
        <f t="shared" si="382"/>
        <v>0</v>
      </c>
      <c r="N1025" s="121">
        <f t="shared" si="383"/>
        <v>1.02</v>
      </c>
      <c r="O1025" s="246">
        <f t="shared" si="384"/>
        <v>0.92</v>
      </c>
      <c r="P1025" s="121">
        <f t="shared" si="385"/>
        <v>0</v>
      </c>
      <c r="Q1025" s="121">
        <f t="shared" si="386"/>
        <v>0</v>
      </c>
      <c r="R1025" s="121">
        <f t="shared" si="387"/>
        <v>8.3333333333333329E-2</v>
      </c>
      <c r="AE1025" s="160">
        <f t="shared" si="388"/>
        <v>1.02</v>
      </c>
    </row>
    <row r="1026" spans="1:31" x14ac:dyDescent="0.3">
      <c r="A1026" s="23" t="s">
        <v>1723</v>
      </c>
      <c r="B1026" s="279">
        <f>SUM($H$1002:$H$1013)</f>
        <v>12</v>
      </c>
      <c r="C1026" s="160">
        <f>SUMPRODUCT($H$1002:$H$1013,$W$1002:$W$1013/$N$990:$N$1001,$Y$1002:$Y$1013)</f>
        <v>12.246787484928578</v>
      </c>
      <c r="D1026" s="160">
        <f>SUMPRODUCT($H$1002:$H$1013,$X$1002:$X$1013/$N$990:$N$1001,$Y$1002:$Y$1013)</f>
        <v>9.1597824708127877</v>
      </c>
      <c r="E1026" s="281" t="str">
        <f>IF(OR($D$975=0,$P$975=0,$D1026=0),"n/a",((1+$E$975)*$B1026-$C1026)/$D1026)</f>
        <v>n/a</v>
      </c>
      <c r="F1026" s="281" t="str">
        <f>IF($V$975&lt;&gt;"",$V$975,$E1026)</f>
        <v>n/a</v>
      </c>
      <c r="G1026" s="281" t="str">
        <f>IF(OR(NOT(ISNUMBER($F1026)),nd_Ach=0),"n/a",$F1026/nd_Ach)</f>
        <v>n/a</v>
      </c>
      <c r="H1026" s="220" t="str">
        <f>IF(OR(NOT(ISNUMBER($F1026)),$F$975=0,SUMPRODUCT($AD$1002:$AD$1013,$AB$1002:$AB$1013)=0),"n/a",((1+$E$975)*$B1026-SUMPRODUCT($AD$1002:$AD$1013,$AC$1002:$AC$1013))/SUMPRODUCT($AD$1002:$AD$1013,$AB$1002:$AB$1013))</f>
        <v>n/a</v>
      </c>
      <c r="I1026" s="183" t="str">
        <f>IF(NOT(ISNUMBER($F1026)),"n/a",SUMPRODUCT($H$1002:$H$1013,($W$1002:$W$1013+$X$1002:$X$1013*$F1026)/$N$990:$N$1001)/$B1026-1)</f>
        <v>n/a</v>
      </c>
      <c r="J1026" s="183" t="str">
        <f>IF(OR(NOT(ISNUMBER($I1026)),$F$975=0),"n/a",(1+$E$975)/(1+$I1026)-1)</f>
        <v>n/a</v>
      </c>
      <c r="K1026" s="183" t="str">
        <f>IF(NOT(ISNUMBER($F1026)),"n/a",($C1026+$D1026*$F1026)/$B1026-1)</f>
        <v>n/a</v>
      </c>
      <c r="L1026" s="229" t="str">
        <f>IF(NOT(ISNUMBER($F1026)),"n/a",SUMPRODUCT($H$1002:$H$1013,$AF$1002:$AF$1013)/$B1026)</f>
        <v>n/a</v>
      </c>
      <c r="M1026" s="23" t="str">
        <f>IF($D$975=0,"",TRIM(IF(AND(ISNUMBER($H1026),OR($H1026&lt;0.5,$H1026&gt;1.5)),"MOD-BOUND ","")&amp;IF(AND(ISNUMBER($F1026),ABS($F1026)&gt;nr_SolvMaxRate),"RATE-BOUND ","")&amp;IF(AND(ISNUMBER($L1026),$L1026&lt;nr_SolvMinShare),"THIN-SHARE ","")&amp;IF($W$975&gt;1,"MULTI-PLANNED ","")&amp;IF($F$975=0,"RATE-ONLY","")))</f>
        <v/>
      </c>
      <c r="N1026" s="229" t="str">
        <f>IF(OR($D$975=0,NOT(ISNUMBER($F1026))),"n/a",INDEX(calc_lrcur,$C$975)*INDEX(calc_crl,$C$975)/(SUMPRODUCT($H$978:$H$1025,$Q$978:$Q$1025,$AE$978:$AE$1025)/SUMPRODUCT($H$978:$H$1025,$Q$978:$Q$1025))*INDEX(calc_aother,$C$975))</f>
        <v>n/a</v>
      </c>
      <c r="O1026" s="229" t="str">
        <f>IF($D$975=0,"n/a",INDEX(calc_cylr_p,$C$975))</f>
        <v>n/a</v>
      </c>
      <c r="P1026" s="282">
        <f>IF(NOT(ISNUMBER($E1026)),0,ABS(($C1026+$D1026*$E1026)/$B1026-(1+$E$975)))</f>
        <v>0</v>
      </c>
    </row>
    <row r="1031" spans="1:31" x14ac:dyDescent="0.3">
      <c r="A1031" s="23" t="str">
        <f>_lists!$B$17</f>
        <v>OH</v>
      </c>
      <c r="B1031" s="23" t="str">
        <f>IF(OR($A1031="",nd_BU="All"),"",nd_BU&amp;"|"&amp;$A1031)</f>
        <v>SBA|OH</v>
      </c>
      <c r="C1031" s="43">
        <f>IF($B1031="",0,IF(COUNTIF(lr_key,$B1031)=0,0,MATCH($B1031,lr_key,0)))</f>
        <v>57</v>
      </c>
      <c r="D1031" s="43">
        <f>IF($C1031=0,0,IF(ISBLANK(INDEX(lr_netp,$C1031)),0,1))</f>
        <v>0</v>
      </c>
      <c r="E1031" s="229">
        <f>IF($D1031=0,0,N(INDEX(lr_netp,$C1031)))</f>
        <v>0</v>
      </c>
      <c r="F1031" s="43">
        <f>IF($C1031=0,0,IF(AND(nr_ModAdjMaster="ON",INDEX(lr_modadj,$C1031)="ON"),1,0))</f>
        <v>1</v>
      </c>
      <c r="G1031" s="220">
        <f>IF($C1031=0,1,IF(N(INDEX(lr_mind,$C1031))=0,1,INDEX(lr_mind,$C1031)))</f>
        <v>0.92</v>
      </c>
      <c r="H1031" s="220">
        <f>IF($C1031=0,1,IF(N(INDEX(lr_m0,$C1031))=0,1,INDEX(lr_m0,$C1031)))</f>
        <v>0.91</v>
      </c>
      <c r="I1031" s="278">
        <f>IF($C1031=0,DATE(nr_PlanYear-1,10,1),IF(N(INDEX(lr_m0asof,$C1031))=0,DATE(nr_PlanYear-1,10,1),INDEX(lr_m0asof,$C1031)))</f>
        <v>46295</v>
      </c>
      <c r="J1031" s="220">
        <f>IF($C1031=0,1,IF(N(INDEX(lr_m1,$C1031))=0,1,INDEX(lr_m1,$C1031)))</f>
        <v>0.9</v>
      </c>
      <c r="K1031" s="220">
        <f>IF($C1031=0,0,N(INDEX(lr_mprior,$C1031)))</f>
        <v>0</v>
      </c>
      <c r="L1031" s="220">
        <f>IF($C1031=0,0,N(INDEX(lr_m2,$C1031)))</f>
        <v>0</v>
      </c>
      <c r="M1031" s="43">
        <f>IF(OR($A1031="",COUNTIF(se_state,$A1031)=0),0,MATCH($A1031,se_state,0))</f>
        <v>0</v>
      </c>
      <c r="N1031" s="279">
        <f>IF($M1031=0,0,INDEX(se_sum,$M1031))</f>
        <v>0</v>
      </c>
      <c r="O1031" s="278">
        <f>IF('Net Delivery'!$D$23="",$X1031,'Net Delivery'!$D$23)</f>
        <v>46478</v>
      </c>
      <c r="P1031" s="43">
        <f>IF(AND($O1031&gt;=DATE(nr_PlanYear,1,1),$O1031&lt;=DATE(nr_PlanYear,12,31)),1,0)</f>
        <v>1</v>
      </c>
      <c r="Q1031" s="43">
        <f>YEAR($O1031)*12+MONTH($O1031)-1</f>
        <v>24327</v>
      </c>
      <c r="R1031" s="43">
        <f>DAY(EOMONTH($O1031,0))</f>
        <v>30</v>
      </c>
      <c r="S1031" s="43">
        <f>EOMONTH($O1031,0)-$O1031+1</f>
        <v>30</v>
      </c>
      <c r="T1031" s="43">
        <f>SUMIFS(ndl_days,rl_key,$B1031,ndl_effmonth,DATE(YEAR($O1031),MONTH($O1031),1),ndl_first,1)</f>
        <v>0</v>
      </c>
      <c r="U1031" s="220">
        <f>IF($P1031=1,MIN(1,MAX($S1031,$T1031)/$R1031),1)</f>
        <v>1</v>
      </c>
      <c r="V1031" s="280" t="str">
        <f>IF(ISBLANK('Net Delivery'!$E$23),$Y1031,'Net Delivery'!$E$23)</f>
        <v/>
      </c>
      <c r="W1031" s="43">
        <f>IF($B1031="",0,COUNTIFS(rl_key,$B1031,rl_status,"planned",rl_eff,"&gt;="&amp;DATE(nr_PlanYear,1,1),rl_eff,"&lt;="&amp;DATE(nr_PlanYear,12,31)))</f>
        <v>0</v>
      </c>
      <c r="X1031" s="278">
        <f>IF($W1031=0,nd_DefaultDate,SUMIFS(rl_eff,rl_key,$B1031,rl_firstplanned,1))</f>
        <v>46478</v>
      </c>
      <c r="Y1031" s="280" t="str">
        <f>IF($W1031=0,"",SUMIFS(rl_reff,rl_key,$B1031,rl_firstplanned,1))</f>
        <v/>
      </c>
      <c r="Z1031" s="280" t="str">
        <f>IF($W1031=0,"",SUMIFS(rl_filed,rl_key,$B1031,rl_firstplanned,1))</f>
        <v/>
      </c>
    </row>
    <row r="1032" spans="1:31" x14ac:dyDescent="0.3">
      <c r="A1032" s="6">
        <f>EDATE($I$1031,-12)+1</f>
        <v>45931</v>
      </c>
      <c r="B1032" s="6">
        <f>$I$1031+1</f>
        <v>46296</v>
      </c>
      <c r="C1032" s="6">
        <f>DATE(nr_PlanYear,12,31)+1</f>
        <v>46753</v>
      </c>
      <c r="D1032" s="6">
        <f>DATE(nr_PlanYear+1,12,31)+1</f>
        <v>47119</v>
      </c>
      <c r="E1032" s="6">
        <f>IF(N($K$1031)=0,$F$1032-($G$1032-$F$1032)/($C$1032-$B$1032)*($B$1032-$A$1032),$K$1031)</f>
        <v>0.91798687089715536</v>
      </c>
      <c r="F1032" s="6">
        <f>$H$1031</f>
        <v>0.91</v>
      </c>
      <c r="G1032" s="6">
        <f>$J$1031</f>
        <v>0.9</v>
      </c>
      <c r="H1032" s="6">
        <f>IF(N($L$1031)=0,$J$1031,$L$1031)</f>
        <v>0.9</v>
      </c>
      <c r="I1032" s="6">
        <f>($F$1032-$E$1032)/($B$1032-$A$1032)</f>
        <v>-2.1881838074398162E-5</v>
      </c>
      <c r="J1032" s="6">
        <f>($G$1032-$F$1032)/($C$1032-$B$1032)</f>
        <v>-2.188183807439827E-5</v>
      </c>
      <c r="K1032" s="6">
        <f>($H$1032-$G$1032)/($D$1032-$C$1032)</f>
        <v>0</v>
      </c>
    </row>
    <row r="1033" spans="1:31" ht="36" x14ac:dyDescent="0.3">
      <c r="A1033" s="58" t="s">
        <v>390</v>
      </c>
      <c r="B1033" s="58" t="s">
        <v>449</v>
      </c>
      <c r="C1033" s="58" t="s">
        <v>685</v>
      </c>
      <c r="D1033" s="58" t="s">
        <v>686</v>
      </c>
      <c r="E1033" s="58" t="s">
        <v>687</v>
      </c>
      <c r="F1033" s="58" t="s">
        <v>688</v>
      </c>
      <c r="G1033" s="58" t="s">
        <v>689</v>
      </c>
      <c r="H1033" s="58" t="s">
        <v>452</v>
      </c>
      <c r="I1033" s="58" t="s">
        <v>690</v>
      </c>
      <c r="J1033" s="58" t="s">
        <v>691</v>
      </c>
      <c r="K1033" s="58" t="s">
        <v>692</v>
      </c>
      <c r="L1033" s="58" t="s">
        <v>693</v>
      </c>
      <c r="M1033" s="58" t="s">
        <v>694</v>
      </c>
      <c r="N1033" s="58" t="s">
        <v>695</v>
      </c>
      <c r="O1033" s="58" t="s">
        <v>696</v>
      </c>
      <c r="P1033" s="58" t="s">
        <v>697</v>
      </c>
      <c r="Q1033" s="58" t="s">
        <v>698</v>
      </c>
      <c r="R1033" s="58" t="s">
        <v>699</v>
      </c>
      <c r="S1033" s="58" t="s">
        <v>700</v>
      </c>
      <c r="T1033" s="58" t="s">
        <v>701</v>
      </c>
      <c r="U1033" s="58" t="s">
        <v>702</v>
      </c>
    </row>
    <row r="1034" spans="1:31" x14ac:dyDescent="0.3">
      <c r="A1034" s="187">
        <v>1</v>
      </c>
      <c r="B1034" s="242">
        <f>DATE(nr_PlanYear-2,1,1)</f>
        <v>45658</v>
      </c>
      <c r="C1034" s="243">
        <f t="shared" ref="C1034:C1081" si="400">EOMONTH($B1034,0)</f>
        <v>45688</v>
      </c>
      <c r="D1034" s="120">
        <f t="shared" ref="D1034:D1081" si="401">$C1034-$B1034+1</f>
        <v>31</v>
      </c>
      <c r="E1034" s="120">
        <f t="shared" ref="E1034:E1081" si="402">MONTH($B1034)</f>
        <v>1</v>
      </c>
      <c r="F1034" s="275">
        <f t="shared" ref="F1034:F1081" si="403">($B1034+$C1034+1)/2</f>
        <v>45673.5</v>
      </c>
      <c r="G1034" s="120">
        <f t="shared" ref="G1034:G1081" si="404">YEAR($B1034)*12+MONTH($B1034)-1</f>
        <v>24300</v>
      </c>
      <c r="H1034" s="245">
        <f t="shared" ref="H1034:H1081" si="405">IF(OR(nr_SeasonOn="OFF",$M$1031=0,$N$1031=0),1,12*INDEX(se_block,$M$1031,$E1034)/$N$1031)</f>
        <v>1</v>
      </c>
      <c r="I1034" s="121">
        <f t="shared" ref="I1034:I1081" si="406">EXP(SUMPRODUCT((ndl_eff&lt;$B1034)*(rl_key=$B$1031)*ndl_ln))</f>
        <v>1</v>
      </c>
      <c r="J1034" s="121">
        <f t="shared" ref="J1034:J1081" si="407">EXP(SUMPRODUCT((ndl_eff&lt;=$C1034)*(rl_key=$B$1031)*ndl_ln))</f>
        <v>1</v>
      </c>
      <c r="K1034" s="120">
        <f t="shared" ref="K1034:K1081" si="408">COUNTIFS(rl_key,$B$1031,ndl_eff,"&gt;="&amp;$B1034,ndl_eff,"&lt;="&amp;$C1034)</f>
        <v>0</v>
      </c>
      <c r="L1034" s="120">
        <f t="shared" ref="L1034:L1081" si="409">SUMIFS(ndl_days,rl_key,$B$1031,ndl_effmonth,$B1034,ndl_first,1)</f>
        <v>0</v>
      </c>
      <c r="M1034" s="246">
        <f t="shared" ref="M1034:M1081" si="410">IF($K1034=0,0,MIN(1,$L1034/$D1034))</f>
        <v>0</v>
      </c>
      <c r="N1034" s="121">
        <f t="shared" ref="N1034:N1081" si="411">IF($K1034=0,$J1034,(1-$M1034)*$I1034+$M1034*$J1034)</f>
        <v>1</v>
      </c>
      <c r="O1034" s="246">
        <f t="shared" ref="O1034:O1081" si="412">IF($F1034&lt;$B$1032,$E$1032+$I$1032*($F1034-$A$1032),IF($F1034&lt;$C$1032,$F$1032+$J$1032*($F1034-$B$1032),$G$1032+$K$1032*($F1034-$C$1032)))</f>
        <v>0.92362144420131287</v>
      </c>
      <c r="P1034" s="121">
        <f t="shared" ref="P1034:P1081" si="413">MIN(1,MAX(0,(nr_MEndPm1-$G1034+0.5)/nr_TermMonths))-MIN(1,MAX(0,(nr_MStartPm1-1-$G1034+0.5)/nr_TermMonths))</f>
        <v>0</v>
      </c>
      <c r="Q1034" s="121">
        <f t="shared" ref="Q1034:Q1081" si="414">MIN(1,MAX(0,(nr_MEndP-$G1034+0.5)/nr_TermMonths))-MIN(1,MAX(0,(nr_MStartP-1-$G1034+0.5)/nr_TermMonths))</f>
        <v>0</v>
      </c>
      <c r="R1034" s="121">
        <f t="shared" ref="R1034:R1081" si="415">MIN(1,MAX(0,(nr_MEndP1-$G1034+0.5)/nr_TermMonths))-MIN(1,MAX(0,(nr_MStartP1-1-$G1034+0.5)/nr_TermMonths))</f>
        <v>0</v>
      </c>
      <c r="AE1034" s="160">
        <f t="shared" ref="AE1034:AE1081" si="416">IF(OR($G1034&lt;nr_MStartP,$G1034&gt;=nr_MStartP1),IF($F$1031=1,$N1034*$O1034/$G$1031,$N1034),($W1034+$X1034*IF(ISNUMBER($F$1082),$F$1082,0))*IF($F$1031=1,($AC1034+$AB1034*IF(ISNUMBER($H$1082),$H$1082,$J$1031))/$G$1031,1))</f>
        <v>1.0039363523927314</v>
      </c>
    </row>
    <row r="1035" spans="1:31" x14ac:dyDescent="0.3">
      <c r="A1035" s="187">
        <v>2</v>
      </c>
      <c r="B1035" s="242">
        <f t="shared" ref="B1035:B1081" si="417">EDATE($B1034,1)</f>
        <v>45689</v>
      </c>
      <c r="C1035" s="243">
        <f t="shared" si="400"/>
        <v>45716</v>
      </c>
      <c r="D1035" s="120">
        <f t="shared" si="401"/>
        <v>28</v>
      </c>
      <c r="E1035" s="120">
        <f t="shared" si="402"/>
        <v>2</v>
      </c>
      <c r="F1035" s="275">
        <f t="shared" si="403"/>
        <v>45703</v>
      </c>
      <c r="G1035" s="120">
        <f t="shared" si="404"/>
        <v>24301</v>
      </c>
      <c r="H1035" s="245">
        <f t="shared" si="405"/>
        <v>1</v>
      </c>
      <c r="I1035" s="121">
        <f t="shared" si="406"/>
        <v>1</v>
      </c>
      <c r="J1035" s="121">
        <f t="shared" si="407"/>
        <v>1</v>
      </c>
      <c r="K1035" s="120">
        <f t="shared" si="408"/>
        <v>0</v>
      </c>
      <c r="L1035" s="120">
        <f t="shared" si="409"/>
        <v>0</v>
      </c>
      <c r="M1035" s="246">
        <f t="shared" si="410"/>
        <v>0</v>
      </c>
      <c r="N1035" s="121">
        <f t="shared" si="411"/>
        <v>1</v>
      </c>
      <c r="O1035" s="246">
        <f t="shared" si="412"/>
        <v>0.92297592997811817</v>
      </c>
      <c r="P1035" s="121">
        <f t="shared" si="413"/>
        <v>0</v>
      </c>
      <c r="Q1035" s="121">
        <f t="shared" si="414"/>
        <v>0</v>
      </c>
      <c r="R1035" s="121">
        <f t="shared" si="415"/>
        <v>0</v>
      </c>
      <c r="AE1035" s="160">
        <f t="shared" si="416"/>
        <v>1.0032347064979545</v>
      </c>
    </row>
    <row r="1036" spans="1:31" x14ac:dyDescent="0.3">
      <c r="A1036" s="187">
        <v>3</v>
      </c>
      <c r="B1036" s="242">
        <f t="shared" si="417"/>
        <v>45717</v>
      </c>
      <c r="C1036" s="243">
        <f t="shared" si="400"/>
        <v>45747</v>
      </c>
      <c r="D1036" s="120">
        <f t="shared" si="401"/>
        <v>31</v>
      </c>
      <c r="E1036" s="120">
        <f t="shared" si="402"/>
        <v>3</v>
      </c>
      <c r="F1036" s="275">
        <f t="shared" si="403"/>
        <v>45732.5</v>
      </c>
      <c r="G1036" s="120">
        <f t="shared" si="404"/>
        <v>24302</v>
      </c>
      <c r="H1036" s="245">
        <f t="shared" si="405"/>
        <v>1</v>
      </c>
      <c r="I1036" s="121">
        <f t="shared" si="406"/>
        <v>1</v>
      </c>
      <c r="J1036" s="121">
        <f t="shared" si="407"/>
        <v>1</v>
      </c>
      <c r="K1036" s="120">
        <f t="shared" si="408"/>
        <v>0</v>
      </c>
      <c r="L1036" s="120">
        <f t="shared" si="409"/>
        <v>0</v>
      </c>
      <c r="M1036" s="246">
        <f t="shared" si="410"/>
        <v>0</v>
      </c>
      <c r="N1036" s="121">
        <f t="shared" si="411"/>
        <v>1</v>
      </c>
      <c r="O1036" s="246">
        <f t="shared" si="412"/>
        <v>0.92233041575492336</v>
      </c>
      <c r="P1036" s="121">
        <f t="shared" si="413"/>
        <v>0</v>
      </c>
      <c r="Q1036" s="121">
        <f t="shared" si="414"/>
        <v>0</v>
      </c>
      <c r="R1036" s="121">
        <f t="shared" si="415"/>
        <v>0</v>
      </c>
      <c r="AE1036" s="160">
        <f t="shared" si="416"/>
        <v>1.0025330606031775</v>
      </c>
    </row>
    <row r="1037" spans="1:31" x14ac:dyDescent="0.3">
      <c r="A1037" s="187">
        <v>4</v>
      </c>
      <c r="B1037" s="242">
        <f t="shared" si="417"/>
        <v>45748</v>
      </c>
      <c r="C1037" s="243">
        <f t="shared" si="400"/>
        <v>45777</v>
      </c>
      <c r="D1037" s="120">
        <f t="shared" si="401"/>
        <v>30</v>
      </c>
      <c r="E1037" s="120">
        <f t="shared" si="402"/>
        <v>4</v>
      </c>
      <c r="F1037" s="275">
        <f t="shared" si="403"/>
        <v>45763</v>
      </c>
      <c r="G1037" s="120">
        <f t="shared" si="404"/>
        <v>24303</v>
      </c>
      <c r="H1037" s="245">
        <f t="shared" si="405"/>
        <v>1</v>
      </c>
      <c r="I1037" s="121">
        <f t="shared" si="406"/>
        <v>1</v>
      </c>
      <c r="J1037" s="121">
        <f t="shared" si="407"/>
        <v>1</v>
      </c>
      <c r="K1037" s="120">
        <f t="shared" si="408"/>
        <v>0</v>
      </c>
      <c r="L1037" s="120">
        <f t="shared" si="409"/>
        <v>0</v>
      </c>
      <c r="M1037" s="246">
        <f t="shared" si="410"/>
        <v>0</v>
      </c>
      <c r="N1037" s="121">
        <f t="shared" si="411"/>
        <v>1</v>
      </c>
      <c r="O1037" s="246">
        <f t="shared" si="412"/>
        <v>0.92166301969365427</v>
      </c>
      <c r="P1037" s="121">
        <f t="shared" si="413"/>
        <v>0</v>
      </c>
      <c r="Q1037" s="121">
        <f t="shared" si="414"/>
        <v>0</v>
      </c>
      <c r="R1037" s="121">
        <f t="shared" si="415"/>
        <v>0</v>
      </c>
      <c r="AE1037" s="160">
        <f t="shared" si="416"/>
        <v>1.0018076301017982</v>
      </c>
    </row>
    <row r="1038" spans="1:31" x14ac:dyDescent="0.3">
      <c r="A1038" s="187">
        <v>5</v>
      </c>
      <c r="B1038" s="242">
        <f t="shared" si="417"/>
        <v>45778</v>
      </c>
      <c r="C1038" s="243">
        <f t="shared" si="400"/>
        <v>45808</v>
      </c>
      <c r="D1038" s="120">
        <f t="shared" si="401"/>
        <v>31</v>
      </c>
      <c r="E1038" s="120">
        <f t="shared" si="402"/>
        <v>5</v>
      </c>
      <c r="F1038" s="275">
        <f t="shared" si="403"/>
        <v>45793.5</v>
      </c>
      <c r="G1038" s="120">
        <f t="shared" si="404"/>
        <v>24304</v>
      </c>
      <c r="H1038" s="245">
        <f t="shared" si="405"/>
        <v>1</v>
      </c>
      <c r="I1038" s="121">
        <f t="shared" si="406"/>
        <v>1</v>
      </c>
      <c r="J1038" s="121">
        <f t="shared" si="407"/>
        <v>1</v>
      </c>
      <c r="K1038" s="120">
        <f t="shared" si="408"/>
        <v>0</v>
      </c>
      <c r="L1038" s="120">
        <f t="shared" si="409"/>
        <v>0</v>
      </c>
      <c r="M1038" s="246">
        <f t="shared" si="410"/>
        <v>0</v>
      </c>
      <c r="N1038" s="121">
        <f t="shared" si="411"/>
        <v>1</v>
      </c>
      <c r="O1038" s="246">
        <f t="shared" si="412"/>
        <v>0.92099562363238507</v>
      </c>
      <c r="P1038" s="121">
        <f t="shared" si="413"/>
        <v>0</v>
      </c>
      <c r="Q1038" s="121">
        <f t="shared" si="414"/>
        <v>0</v>
      </c>
      <c r="R1038" s="121">
        <f t="shared" si="415"/>
        <v>0</v>
      </c>
      <c r="AE1038" s="160">
        <f t="shared" si="416"/>
        <v>1.0010821996004184</v>
      </c>
    </row>
    <row r="1039" spans="1:31" x14ac:dyDescent="0.3">
      <c r="A1039" s="187">
        <v>6</v>
      </c>
      <c r="B1039" s="242">
        <f t="shared" si="417"/>
        <v>45809</v>
      </c>
      <c r="C1039" s="243">
        <f t="shared" si="400"/>
        <v>45838</v>
      </c>
      <c r="D1039" s="120">
        <f t="shared" si="401"/>
        <v>30</v>
      </c>
      <c r="E1039" s="120">
        <f t="shared" si="402"/>
        <v>6</v>
      </c>
      <c r="F1039" s="275">
        <f t="shared" si="403"/>
        <v>45824</v>
      </c>
      <c r="G1039" s="120">
        <f t="shared" si="404"/>
        <v>24305</v>
      </c>
      <c r="H1039" s="245">
        <f t="shared" si="405"/>
        <v>1</v>
      </c>
      <c r="I1039" s="121">
        <f t="shared" si="406"/>
        <v>1</v>
      </c>
      <c r="J1039" s="121">
        <f t="shared" si="407"/>
        <v>1</v>
      </c>
      <c r="K1039" s="120">
        <f t="shared" si="408"/>
        <v>0</v>
      </c>
      <c r="L1039" s="120">
        <f t="shared" si="409"/>
        <v>0</v>
      </c>
      <c r="M1039" s="246">
        <f t="shared" si="410"/>
        <v>0</v>
      </c>
      <c r="N1039" s="121">
        <f t="shared" si="411"/>
        <v>1</v>
      </c>
      <c r="O1039" s="246">
        <f t="shared" si="412"/>
        <v>0.92032822757111599</v>
      </c>
      <c r="P1039" s="121">
        <f t="shared" si="413"/>
        <v>0</v>
      </c>
      <c r="Q1039" s="121">
        <f t="shared" si="414"/>
        <v>0</v>
      </c>
      <c r="R1039" s="121">
        <f t="shared" si="415"/>
        <v>0</v>
      </c>
      <c r="AE1039" s="160">
        <f t="shared" si="416"/>
        <v>1.0003567690990391</v>
      </c>
    </row>
    <row r="1040" spans="1:31" x14ac:dyDescent="0.3">
      <c r="A1040" s="187">
        <v>7</v>
      </c>
      <c r="B1040" s="242">
        <f t="shared" si="417"/>
        <v>45839</v>
      </c>
      <c r="C1040" s="243">
        <f t="shared" si="400"/>
        <v>45869</v>
      </c>
      <c r="D1040" s="120">
        <f t="shared" si="401"/>
        <v>31</v>
      </c>
      <c r="E1040" s="120">
        <f t="shared" si="402"/>
        <v>7</v>
      </c>
      <c r="F1040" s="275">
        <f t="shared" si="403"/>
        <v>45854.5</v>
      </c>
      <c r="G1040" s="120">
        <f t="shared" si="404"/>
        <v>24306</v>
      </c>
      <c r="H1040" s="245">
        <f t="shared" si="405"/>
        <v>1</v>
      </c>
      <c r="I1040" s="121">
        <f t="shared" si="406"/>
        <v>1</v>
      </c>
      <c r="J1040" s="121">
        <f t="shared" si="407"/>
        <v>1</v>
      </c>
      <c r="K1040" s="120">
        <f t="shared" si="408"/>
        <v>0</v>
      </c>
      <c r="L1040" s="120">
        <f t="shared" si="409"/>
        <v>0</v>
      </c>
      <c r="M1040" s="246">
        <f t="shared" si="410"/>
        <v>0</v>
      </c>
      <c r="N1040" s="121">
        <f t="shared" si="411"/>
        <v>1</v>
      </c>
      <c r="O1040" s="246">
        <f t="shared" si="412"/>
        <v>0.91966083150984679</v>
      </c>
      <c r="P1040" s="121">
        <f t="shared" si="413"/>
        <v>8.333333333333337E-2</v>
      </c>
      <c r="Q1040" s="121">
        <f t="shared" si="414"/>
        <v>0</v>
      </c>
      <c r="R1040" s="121">
        <f t="shared" si="415"/>
        <v>0</v>
      </c>
      <c r="AE1040" s="160">
        <f t="shared" si="416"/>
        <v>0.99963133859765951</v>
      </c>
    </row>
    <row r="1041" spans="1:31" x14ac:dyDescent="0.3">
      <c r="A1041" s="187">
        <v>8</v>
      </c>
      <c r="B1041" s="242">
        <f t="shared" si="417"/>
        <v>45870</v>
      </c>
      <c r="C1041" s="243">
        <f t="shared" si="400"/>
        <v>45900</v>
      </c>
      <c r="D1041" s="120">
        <f t="shared" si="401"/>
        <v>31</v>
      </c>
      <c r="E1041" s="120">
        <f t="shared" si="402"/>
        <v>8</v>
      </c>
      <c r="F1041" s="275">
        <f t="shared" si="403"/>
        <v>45885.5</v>
      </c>
      <c r="G1041" s="120">
        <f t="shared" si="404"/>
        <v>24307</v>
      </c>
      <c r="H1041" s="245">
        <f t="shared" si="405"/>
        <v>1</v>
      </c>
      <c r="I1041" s="121">
        <f t="shared" si="406"/>
        <v>1</v>
      </c>
      <c r="J1041" s="121">
        <f t="shared" si="407"/>
        <v>1</v>
      </c>
      <c r="K1041" s="120">
        <f t="shared" si="408"/>
        <v>0</v>
      </c>
      <c r="L1041" s="120">
        <f t="shared" si="409"/>
        <v>0</v>
      </c>
      <c r="M1041" s="246">
        <f t="shared" si="410"/>
        <v>0</v>
      </c>
      <c r="N1041" s="121">
        <f t="shared" si="411"/>
        <v>1</v>
      </c>
      <c r="O1041" s="246">
        <f t="shared" si="412"/>
        <v>0.91898249452954051</v>
      </c>
      <c r="P1041" s="121">
        <f t="shared" si="413"/>
        <v>0.25</v>
      </c>
      <c r="Q1041" s="121">
        <f t="shared" si="414"/>
        <v>0</v>
      </c>
      <c r="R1041" s="121">
        <f t="shared" si="415"/>
        <v>0</v>
      </c>
      <c r="AE1041" s="160">
        <f t="shared" si="416"/>
        <v>0.99889401579297876</v>
      </c>
    </row>
    <row r="1042" spans="1:31" x14ac:dyDescent="0.3">
      <c r="A1042" s="187">
        <v>9</v>
      </c>
      <c r="B1042" s="242">
        <f t="shared" si="417"/>
        <v>45901</v>
      </c>
      <c r="C1042" s="243">
        <f t="shared" si="400"/>
        <v>45930</v>
      </c>
      <c r="D1042" s="120">
        <f t="shared" si="401"/>
        <v>30</v>
      </c>
      <c r="E1042" s="120">
        <f t="shared" si="402"/>
        <v>9</v>
      </c>
      <c r="F1042" s="275">
        <f t="shared" si="403"/>
        <v>45916</v>
      </c>
      <c r="G1042" s="120">
        <f t="shared" si="404"/>
        <v>24308</v>
      </c>
      <c r="H1042" s="245">
        <f t="shared" si="405"/>
        <v>1</v>
      </c>
      <c r="I1042" s="121">
        <f t="shared" si="406"/>
        <v>1</v>
      </c>
      <c r="J1042" s="121">
        <f t="shared" si="407"/>
        <v>1</v>
      </c>
      <c r="K1042" s="120">
        <f t="shared" si="408"/>
        <v>0</v>
      </c>
      <c r="L1042" s="120">
        <f t="shared" si="409"/>
        <v>0</v>
      </c>
      <c r="M1042" s="246">
        <f t="shared" si="410"/>
        <v>0</v>
      </c>
      <c r="N1042" s="121">
        <f t="shared" si="411"/>
        <v>1</v>
      </c>
      <c r="O1042" s="246">
        <f t="shared" si="412"/>
        <v>0.91831509846827131</v>
      </c>
      <c r="P1042" s="121">
        <f t="shared" si="413"/>
        <v>0.41666666666666663</v>
      </c>
      <c r="Q1042" s="121">
        <f t="shared" si="414"/>
        <v>0</v>
      </c>
      <c r="R1042" s="121">
        <f t="shared" si="415"/>
        <v>0</v>
      </c>
      <c r="AE1042" s="160">
        <f t="shared" si="416"/>
        <v>0.99816858529159924</v>
      </c>
    </row>
    <row r="1043" spans="1:31" x14ac:dyDescent="0.3">
      <c r="A1043" s="187">
        <v>10</v>
      </c>
      <c r="B1043" s="242">
        <f t="shared" si="417"/>
        <v>45931</v>
      </c>
      <c r="C1043" s="243">
        <f t="shared" si="400"/>
        <v>45961</v>
      </c>
      <c r="D1043" s="120">
        <f t="shared" si="401"/>
        <v>31</v>
      </c>
      <c r="E1043" s="120">
        <f t="shared" si="402"/>
        <v>10</v>
      </c>
      <c r="F1043" s="275">
        <f t="shared" si="403"/>
        <v>45946.5</v>
      </c>
      <c r="G1043" s="120">
        <f t="shared" si="404"/>
        <v>24309</v>
      </c>
      <c r="H1043" s="245">
        <f t="shared" si="405"/>
        <v>1</v>
      </c>
      <c r="I1043" s="121">
        <f t="shared" si="406"/>
        <v>1</v>
      </c>
      <c r="J1043" s="121">
        <f t="shared" si="407"/>
        <v>1</v>
      </c>
      <c r="K1043" s="120">
        <f t="shared" si="408"/>
        <v>0</v>
      </c>
      <c r="L1043" s="120">
        <f t="shared" si="409"/>
        <v>0</v>
      </c>
      <c r="M1043" s="246">
        <f t="shared" si="410"/>
        <v>0</v>
      </c>
      <c r="N1043" s="121">
        <f t="shared" si="411"/>
        <v>1</v>
      </c>
      <c r="O1043" s="246">
        <f t="shared" si="412"/>
        <v>0.91764770240700222</v>
      </c>
      <c r="P1043" s="121">
        <f t="shared" si="413"/>
        <v>0.58333333333333326</v>
      </c>
      <c r="Q1043" s="121">
        <f t="shared" si="414"/>
        <v>0</v>
      </c>
      <c r="R1043" s="121">
        <f t="shared" si="415"/>
        <v>0</v>
      </c>
      <c r="AE1043" s="160">
        <f t="shared" si="416"/>
        <v>0.99744315479021972</v>
      </c>
    </row>
    <row r="1044" spans="1:31" x14ac:dyDescent="0.3">
      <c r="A1044" s="187">
        <v>11</v>
      </c>
      <c r="B1044" s="242">
        <f t="shared" si="417"/>
        <v>45962</v>
      </c>
      <c r="C1044" s="243">
        <f t="shared" si="400"/>
        <v>45991</v>
      </c>
      <c r="D1044" s="120">
        <f t="shared" si="401"/>
        <v>30</v>
      </c>
      <c r="E1044" s="120">
        <f t="shared" si="402"/>
        <v>11</v>
      </c>
      <c r="F1044" s="275">
        <f t="shared" si="403"/>
        <v>45977</v>
      </c>
      <c r="G1044" s="120">
        <f t="shared" si="404"/>
        <v>24310</v>
      </c>
      <c r="H1044" s="245">
        <f t="shared" si="405"/>
        <v>1</v>
      </c>
      <c r="I1044" s="121">
        <f t="shared" si="406"/>
        <v>1</v>
      </c>
      <c r="J1044" s="121">
        <f t="shared" si="407"/>
        <v>1</v>
      </c>
      <c r="K1044" s="120">
        <f t="shared" si="408"/>
        <v>0</v>
      </c>
      <c r="L1044" s="120">
        <f t="shared" si="409"/>
        <v>0</v>
      </c>
      <c r="M1044" s="246">
        <f t="shared" si="410"/>
        <v>0</v>
      </c>
      <c r="N1044" s="121">
        <f t="shared" si="411"/>
        <v>1</v>
      </c>
      <c r="O1044" s="246">
        <f t="shared" si="412"/>
        <v>0.91698030634573302</v>
      </c>
      <c r="P1044" s="121">
        <f t="shared" si="413"/>
        <v>0.75</v>
      </c>
      <c r="Q1044" s="121">
        <f t="shared" si="414"/>
        <v>0</v>
      </c>
      <c r="R1044" s="121">
        <f t="shared" si="415"/>
        <v>0</v>
      </c>
      <c r="AE1044" s="160">
        <f t="shared" si="416"/>
        <v>0.9967177242888402</v>
      </c>
    </row>
    <row r="1045" spans="1:31" x14ac:dyDescent="0.3">
      <c r="A1045" s="187">
        <v>12</v>
      </c>
      <c r="B1045" s="242">
        <f t="shared" si="417"/>
        <v>45992</v>
      </c>
      <c r="C1045" s="243">
        <f t="shared" si="400"/>
        <v>46022</v>
      </c>
      <c r="D1045" s="120">
        <f t="shared" si="401"/>
        <v>31</v>
      </c>
      <c r="E1045" s="120">
        <f t="shared" si="402"/>
        <v>12</v>
      </c>
      <c r="F1045" s="275">
        <f t="shared" si="403"/>
        <v>46007.5</v>
      </c>
      <c r="G1045" s="120">
        <f t="shared" si="404"/>
        <v>24311</v>
      </c>
      <c r="H1045" s="245">
        <f t="shared" si="405"/>
        <v>1</v>
      </c>
      <c r="I1045" s="121">
        <f t="shared" si="406"/>
        <v>1</v>
      </c>
      <c r="J1045" s="121">
        <f t="shared" si="407"/>
        <v>1</v>
      </c>
      <c r="K1045" s="120">
        <f t="shared" si="408"/>
        <v>0</v>
      </c>
      <c r="L1045" s="120">
        <f t="shared" si="409"/>
        <v>0</v>
      </c>
      <c r="M1045" s="246">
        <f t="shared" si="410"/>
        <v>0</v>
      </c>
      <c r="N1045" s="121">
        <f t="shared" si="411"/>
        <v>1</v>
      </c>
      <c r="O1045" s="246">
        <f t="shared" si="412"/>
        <v>0.91631291028446393</v>
      </c>
      <c r="P1045" s="121">
        <f t="shared" si="413"/>
        <v>0.91666666666666663</v>
      </c>
      <c r="Q1045" s="121">
        <f t="shared" si="414"/>
        <v>0</v>
      </c>
      <c r="R1045" s="121">
        <f t="shared" si="415"/>
        <v>0</v>
      </c>
      <c r="AE1045" s="160">
        <f t="shared" si="416"/>
        <v>0.99599229378746079</v>
      </c>
    </row>
    <row r="1046" spans="1:31" x14ac:dyDescent="0.3">
      <c r="A1046" s="187">
        <v>13</v>
      </c>
      <c r="B1046" s="242">
        <f t="shared" si="417"/>
        <v>46023</v>
      </c>
      <c r="C1046" s="243">
        <f t="shared" si="400"/>
        <v>46053</v>
      </c>
      <c r="D1046" s="120">
        <f t="shared" si="401"/>
        <v>31</v>
      </c>
      <c r="E1046" s="120">
        <f t="shared" si="402"/>
        <v>1</v>
      </c>
      <c r="F1046" s="275">
        <f t="shared" si="403"/>
        <v>46038.5</v>
      </c>
      <c r="G1046" s="120">
        <f t="shared" si="404"/>
        <v>24312</v>
      </c>
      <c r="H1046" s="245">
        <f t="shared" si="405"/>
        <v>1</v>
      </c>
      <c r="I1046" s="121">
        <f t="shared" si="406"/>
        <v>1</v>
      </c>
      <c r="J1046" s="121">
        <f t="shared" si="407"/>
        <v>1</v>
      </c>
      <c r="K1046" s="120">
        <f t="shared" si="408"/>
        <v>0</v>
      </c>
      <c r="L1046" s="120">
        <f t="shared" si="409"/>
        <v>0</v>
      </c>
      <c r="M1046" s="246">
        <f t="shared" si="410"/>
        <v>0</v>
      </c>
      <c r="N1046" s="121">
        <f t="shared" si="411"/>
        <v>1</v>
      </c>
      <c r="O1046" s="246">
        <f t="shared" si="412"/>
        <v>0.91563457330415754</v>
      </c>
      <c r="P1046" s="121">
        <f t="shared" si="413"/>
        <v>1</v>
      </c>
      <c r="Q1046" s="121">
        <f t="shared" si="414"/>
        <v>0</v>
      </c>
      <c r="R1046" s="121">
        <f t="shared" si="415"/>
        <v>0</v>
      </c>
      <c r="AE1046" s="160">
        <f t="shared" si="416"/>
        <v>0.99525497098277993</v>
      </c>
    </row>
    <row r="1047" spans="1:31" x14ac:dyDescent="0.3">
      <c r="A1047" s="187">
        <v>14</v>
      </c>
      <c r="B1047" s="242">
        <f t="shared" si="417"/>
        <v>46054</v>
      </c>
      <c r="C1047" s="243">
        <f t="shared" si="400"/>
        <v>46081</v>
      </c>
      <c r="D1047" s="120">
        <f t="shared" si="401"/>
        <v>28</v>
      </c>
      <c r="E1047" s="120">
        <f t="shared" si="402"/>
        <v>2</v>
      </c>
      <c r="F1047" s="275">
        <f t="shared" si="403"/>
        <v>46068</v>
      </c>
      <c r="G1047" s="120">
        <f t="shared" si="404"/>
        <v>24313</v>
      </c>
      <c r="H1047" s="245">
        <f t="shared" si="405"/>
        <v>1</v>
      </c>
      <c r="I1047" s="121">
        <f t="shared" si="406"/>
        <v>1</v>
      </c>
      <c r="J1047" s="121">
        <f t="shared" si="407"/>
        <v>1</v>
      </c>
      <c r="K1047" s="120">
        <f t="shared" si="408"/>
        <v>0</v>
      </c>
      <c r="L1047" s="120">
        <f t="shared" si="409"/>
        <v>0</v>
      </c>
      <c r="M1047" s="246">
        <f t="shared" si="410"/>
        <v>0</v>
      </c>
      <c r="N1047" s="121">
        <f t="shared" si="411"/>
        <v>1</v>
      </c>
      <c r="O1047" s="246">
        <f t="shared" si="412"/>
        <v>0.91498905908096284</v>
      </c>
      <c r="P1047" s="121">
        <f t="shared" si="413"/>
        <v>1</v>
      </c>
      <c r="Q1047" s="121">
        <f t="shared" si="414"/>
        <v>0</v>
      </c>
      <c r="R1047" s="121">
        <f t="shared" si="415"/>
        <v>0</v>
      </c>
      <c r="AE1047" s="160">
        <f t="shared" si="416"/>
        <v>0.99455332508800309</v>
      </c>
    </row>
    <row r="1048" spans="1:31" x14ac:dyDescent="0.3">
      <c r="A1048" s="187">
        <v>15</v>
      </c>
      <c r="B1048" s="242">
        <f t="shared" si="417"/>
        <v>46082</v>
      </c>
      <c r="C1048" s="243">
        <f t="shared" si="400"/>
        <v>46112</v>
      </c>
      <c r="D1048" s="120">
        <f t="shared" si="401"/>
        <v>31</v>
      </c>
      <c r="E1048" s="120">
        <f t="shared" si="402"/>
        <v>3</v>
      </c>
      <c r="F1048" s="275">
        <f t="shared" si="403"/>
        <v>46097.5</v>
      </c>
      <c r="G1048" s="120">
        <f t="shared" si="404"/>
        <v>24314</v>
      </c>
      <c r="H1048" s="245">
        <f t="shared" si="405"/>
        <v>1</v>
      </c>
      <c r="I1048" s="121">
        <f t="shared" si="406"/>
        <v>1</v>
      </c>
      <c r="J1048" s="121">
        <f t="shared" si="407"/>
        <v>1</v>
      </c>
      <c r="K1048" s="120">
        <f t="shared" si="408"/>
        <v>0</v>
      </c>
      <c r="L1048" s="120">
        <f t="shared" si="409"/>
        <v>0</v>
      </c>
      <c r="M1048" s="246">
        <f t="shared" si="410"/>
        <v>0</v>
      </c>
      <c r="N1048" s="121">
        <f t="shared" si="411"/>
        <v>1</v>
      </c>
      <c r="O1048" s="246">
        <f t="shared" si="412"/>
        <v>0.91434354485776803</v>
      </c>
      <c r="P1048" s="121">
        <f t="shared" si="413"/>
        <v>1</v>
      </c>
      <c r="Q1048" s="121">
        <f t="shared" si="414"/>
        <v>0</v>
      </c>
      <c r="R1048" s="121">
        <f t="shared" si="415"/>
        <v>0</v>
      </c>
      <c r="AE1048" s="160">
        <f t="shared" si="416"/>
        <v>0.99385167919322603</v>
      </c>
    </row>
    <row r="1049" spans="1:31" x14ac:dyDescent="0.3">
      <c r="A1049" s="187">
        <v>16</v>
      </c>
      <c r="B1049" s="242">
        <f t="shared" si="417"/>
        <v>46113</v>
      </c>
      <c r="C1049" s="243">
        <f t="shared" si="400"/>
        <v>46142</v>
      </c>
      <c r="D1049" s="120">
        <f t="shared" si="401"/>
        <v>30</v>
      </c>
      <c r="E1049" s="120">
        <f t="shared" si="402"/>
        <v>4</v>
      </c>
      <c r="F1049" s="275">
        <f t="shared" si="403"/>
        <v>46128</v>
      </c>
      <c r="G1049" s="120">
        <f t="shared" si="404"/>
        <v>24315</v>
      </c>
      <c r="H1049" s="245">
        <f t="shared" si="405"/>
        <v>1</v>
      </c>
      <c r="I1049" s="121">
        <f t="shared" si="406"/>
        <v>1</v>
      </c>
      <c r="J1049" s="121">
        <f t="shared" si="407"/>
        <v>1</v>
      </c>
      <c r="K1049" s="120">
        <f t="shared" si="408"/>
        <v>0</v>
      </c>
      <c r="L1049" s="120">
        <f t="shared" si="409"/>
        <v>0</v>
      </c>
      <c r="M1049" s="246">
        <f t="shared" si="410"/>
        <v>0</v>
      </c>
      <c r="N1049" s="121">
        <f t="shared" si="411"/>
        <v>1</v>
      </c>
      <c r="O1049" s="246">
        <f t="shared" si="412"/>
        <v>0.91367614879649894</v>
      </c>
      <c r="P1049" s="121">
        <f t="shared" si="413"/>
        <v>1</v>
      </c>
      <c r="Q1049" s="121">
        <f t="shared" si="414"/>
        <v>0</v>
      </c>
      <c r="R1049" s="121">
        <f t="shared" si="415"/>
        <v>0</v>
      </c>
      <c r="AE1049" s="160">
        <f t="shared" si="416"/>
        <v>0.99312624869184662</v>
      </c>
    </row>
    <row r="1050" spans="1:31" x14ac:dyDescent="0.3">
      <c r="A1050" s="187">
        <v>17</v>
      </c>
      <c r="B1050" s="242">
        <f t="shared" si="417"/>
        <v>46143</v>
      </c>
      <c r="C1050" s="243">
        <f t="shared" si="400"/>
        <v>46173</v>
      </c>
      <c r="D1050" s="120">
        <f t="shared" si="401"/>
        <v>31</v>
      </c>
      <c r="E1050" s="120">
        <f t="shared" si="402"/>
        <v>5</v>
      </c>
      <c r="F1050" s="275">
        <f t="shared" si="403"/>
        <v>46158.5</v>
      </c>
      <c r="G1050" s="120">
        <f t="shared" si="404"/>
        <v>24316</v>
      </c>
      <c r="H1050" s="245">
        <f t="shared" si="405"/>
        <v>1</v>
      </c>
      <c r="I1050" s="121">
        <f t="shared" si="406"/>
        <v>1</v>
      </c>
      <c r="J1050" s="121">
        <f t="shared" si="407"/>
        <v>1</v>
      </c>
      <c r="K1050" s="120">
        <f t="shared" si="408"/>
        <v>0</v>
      </c>
      <c r="L1050" s="120">
        <f t="shared" si="409"/>
        <v>0</v>
      </c>
      <c r="M1050" s="246">
        <f t="shared" si="410"/>
        <v>0</v>
      </c>
      <c r="N1050" s="121">
        <f t="shared" si="411"/>
        <v>1</v>
      </c>
      <c r="O1050" s="246">
        <f t="shared" si="412"/>
        <v>0.91300875273522974</v>
      </c>
      <c r="P1050" s="121">
        <f t="shared" si="413"/>
        <v>1</v>
      </c>
      <c r="Q1050" s="121">
        <f t="shared" si="414"/>
        <v>0</v>
      </c>
      <c r="R1050" s="121">
        <f t="shared" si="415"/>
        <v>0</v>
      </c>
      <c r="AE1050" s="160">
        <f t="shared" si="416"/>
        <v>0.9924008181904671</v>
      </c>
    </row>
    <row r="1051" spans="1:31" x14ac:dyDescent="0.3">
      <c r="A1051" s="187">
        <v>18</v>
      </c>
      <c r="B1051" s="242">
        <f t="shared" si="417"/>
        <v>46174</v>
      </c>
      <c r="C1051" s="243">
        <f t="shared" si="400"/>
        <v>46203</v>
      </c>
      <c r="D1051" s="120">
        <f t="shared" si="401"/>
        <v>30</v>
      </c>
      <c r="E1051" s="120">
        <f t="shared" si="402"/>
        <v>6</v>
      </c>
      <c r="F1051" s="275">
        <f t="shared" si="403"/>
        <v>46189</v>
      </c>
      <c r="G1051" s="120">
        <f t="shared" si="404"/>
        <v>24317</v>
      </c>
      <c r="H1051" s="245">
        <f t="shared" si="405"/>
        <v>1</v>
      </c>
      <c r="I1051" s="121">
        <f t="shared" si="406"/>
        <v>1</v>
      </c>
      <c r="J1051" s="121">
        <f t="shared" si="407"/>
        <v>1</v>
      </c>
      <c r="K1051" s="120">
        <f t="shared" si="408"/>
        <v>0</v>
      </c>
      <c r="L1051" s="120">
        <f t="shared" si="409"/>
        <v>0</v>
      </c>
      <c r="M1051" s="246">
        <f t="shared" si="410"/>
        <v>0</v>
      </c>
      <c r="N1051" s="121">
        <f t="shared" si="411"/>
        <v>1</v>
      </c>
      <c r="O1051" s="246">
        <f t="shared" si="412"/>
        <v>0.91234135667396066</v>
      </c>
      <c r="P1051" s="121">
        <f t="shared" si="413"/>
        <v>1</v>
      </c>
      <c r="Q1051" s="121">
        <f t="shared" si="414"/>
        <v>0</v>
      </c>
      <c r="R1051" s="121">
        <f t="shared" si="415"/>
        <v>0</v>
      </c>
      <c r="AE1051" s="160">
        <f t="shared" si="416"/>
        <v>0.99167538768908758</v>
      </c>
    </row>
    <row r="1052" spans="1:31" x14ac:dyDescent="0.3">
      <c r="A1052" s="187">
        <v>19</v>
      </c>
      <c r="B1052" s="242">
        <f t="shared" si="417"/>
        <v>46204</v>
      </c>
      <c r="C1052" s="243">
        <f t="shared" si="400"/>
        <v>46234</v>
      </c>
      <c r="D1052" s="120">
        <f t="shared" si="401"/>
        <v>31</v>
      </c>
      <c r="E1052" s="120">
        <f t="shared" si="402"/>
        <v>7</v>
      </c>
      <c r="F1052" s="275">
        <f t="shared" si="403"/>
        <v>46219.5</v>
      </c>
      <c r="G1052" s="120">
        <f t="shared" si="404"/>
        <v>24318</v>
      </c>
      <c r="H1052" s="245">
        <f t="shared" si="405"/>
        <v>1</v>
      </c>
      <c r="I1052" s="121">
        <f t="shared" si="406"/>
        <v>1</v>
      </c>
      <c r="J1052" s="121">
        <f t="shared" si="407"/>
        <v>1</v>
      </c>
      <c r="K1052" s="120">
        <f t="shared" si="408"/>
        <v>0</v>
      </c>
      <c r="L1052" s="120">
        <f t="shared" si="409"/>
        <v>0</v>
      </c>
      <c r="M1052" s="246">
        <f t="shared" si="410"/>
        <v>0</v>
      </c>
      <c r="N1052" s="121">
        <f t="shared" si="411"/>
        <v>1</v>
      </c>
      <c r="O1052" s="246">
        <f t="shared" si="412"/>
        <v>0.91167396061269146</v>
      </c>
      <c r="P1052" s="121">
        <f t="shared" si="413"/>
        <v>0.91666666666666663</v>
      </c>
      <c r="Q1052" s="121">
        <f t="shared" si="414"/>
        <v>8.333333333333337E-2</v>
      </c>
      <c r="R1052" s="121">
        <f t="shared" si="415"/>
        <v>0</v>
      </c>
      <c r="AE1052" s="160">
        <f t="shared" si="416"/>
        <v>0.99094995718770806</v>
      </c>
    </row>
    <row r="1053" spans="1:31" x14ac:dyDescent="0.3">
      <c r="A1053" s="187">
        <v>20</v>
      </c>
      <c r="B1053" s="242">
        <f t="shared" si="417"/>
        <v>46235</v>
      </c>
      <c r="C1053" s="243">
        <f t="shared" si="400"/>
        <v>46265</v>
      </c>
      <c r="D1053" s="120">
        <f t="shared" si="401"/>
        <v>31</v>
      </c>
      <c r="E1053" s="120">
        <f t="shared" si="402"/>
        <v>8</v>
      </c>
      <c r="F1053" s="275">
        <f t="shared" si="403"/>
        <v>46250.5</v>
      </c>
      <c r="G1053" s="120">
        <f t="shared" si="404"/>
        <v>24319</v>
      </c>
      <c r="H1053" s="245">
        <f t="shared" si="405"/>
        <v>1</v>
      </c>
      <c r="I1053" s="121">
        <f t="shared" si="406"/>
        <v>1</v>
      </c>
      <c r="J1053" s="121">
        <f t="shared" si="407"/>
        <v>1</v>
      </c>
      <c r="K1053" s="120">
        <f t="shared" si="408"/>
        <v>0</v>
      </c>
      <c r="L1053" s="120">
        <f t="shared" si="409"/>
        <v>0</v>
      </c>
      <c r="M1053" s="246">
        <f t="shared" si="410"/>
        <v>0</v>
      </c>
      <c r="N1053" s="121">
        <f t="shared" si="411"/>
        <v>1</v>
      </c>
      <c r="O1053" s="246">
        <f t="shared" si="412"/>
        <v>0.91099562363238518</v>
      </c>
      <c r="P1053" s="121">
        <f t="shared" si="413"/>
        <v>0.75</v>
      </c>
      <c r="Q1053" s="121">
        <f t="shared" si="414"/>
        <v>0.25</v>
      </c>
      <c r="R1053" s="121">
        <f t="shared" si="415"/>
        <v>0</v>
      </c>
      <c r="AE1053" s="160">
        <f t="shared" si="416"/>
        <v>0.99021263438302731</v>
      </c>
    </row>
    <row r="1054" spans="1:31" x14ac:dyDescent="0.3">
      <c r="A1054" s="187">
        <v>21</v>
      </c>
      <c r="B1054" s="242">
        <f t="shared" si="417"/>
        <v>46266</v>
      </c>
      <c r="C1054" s="243">
        <f t="shared" si="400"/>
        <v>46295</v>
      </c>
      <c r="D1054" s="120">
        <f t="shared" si="401"/>
        <v>30</v>
      </c>
      <c r="E1054" s="120">
        <f t="shared" si="402"/>
        <v>9</v>
      </c>
      <c r="F1054" s="275">
        <f t="shared" si="403"/>
        <v>46281</v>
      </c>
      <c r="G1054" s="120">
        <f t="shared" si="404"/>
        <v>24320</v>
      </c>
      <c r="H1054" s="245">
        <f t="shared" si="405"/>
        <v>1</v>
      </c>
      <c r="I1054" s="121">
        <f t="shared" si="406"/>
        <v>1</v>
      </c>
      <c r="J1054" s="121">
        <f t="shared" si="407"/>
        <v>1</v>
      </c>
      <c r="K1054" s="120">
        <f t="shared" si="408"/>
        <v>0</v>
      </c>
      <c r="L1054" s="120">
        <f t="shared" si="409"/>
        <v>0</v>
      </c>
      <c r="M1054" s="246">
        <f t="shared" si="410"/>
        <v>0</v>
      </c>
      <c r="N1054" s="121">
        <f t="shared" si="411"/>
        <v>1</v>
      </c>
      <c r="O1054" s="246">
        <f t="shared" si="412"/>
        <v>0.91032822757111598</v>
      </c>
      <c r="P1054" s="121">
        <f t="shared" si="413"/>
        <v>0.58333333333333337</v>
      </c>
      <c r="Q1054" s="121">
        <f t="shared" si="414"/>
        <v>0.41666666666666663</v>
      </c>
      <c r="R1054" s="121">
        <f t="shared" si="415"/>
        <v>0</v>
      </c>
      <c r="AE1054" s="160">
        <f t="shared" si="416"/>
        <v>0.98948720388164779</v>
      </c>
    </row>
    <row r="1055" spans="1:31" x14ac:dyDescent="0.3">
      <c r="A1055" s="187">
        <v>22</v>
      </c>
      <c r="B1055" s="242">
        <f t="shared" si="417"/>
        <v>46296</v>
      </c>
      <c r="C1055" s="243">
        <f t="shared" si="400"/>
        <v>46326</v>
      </c>
      <c r="D1055" s="120">
        <f t="shared" si="401"/>
        <v>31</v>
      </c>
      <c r="E1055" s="120">
        <f t="shared" si="402"/>
        <v>10</v>
      </c>
      <c r="F1055" s="275">
        <f t="shared" si="403"/>
        <v>46311.5</v>
      </c>
      <c r="G1055" s="120">
        <f t="shared" si="404"/>
        <v>24321</v>
      </c>
      <c r="H1055" s="245">
        <f t="shared" si="405"/>
        <v>1</v>
      </c>
      <c r="I1055" s="121">
        <f t="shared" si="406"/>
        <v>1</v>
      </c>
      <c r="J1055" s="121">
        <f t="shared" si="407"/>
        <v>1</v>
      </c>
      <c r="K1055" s="120">
        <f t="shared" si="408"/>
        <v>0</v>
      </c>
      <c r="L1055" s="120">
        <f t="shared" si="409"/>
        <v>0</v>
      </c>
      <c r="M1055" s="246">
        <f t="shared" si="410"/>
        <v>0</v>
      </c>
      <c r="N1055" s="121">
        <f t="shared" si="411"/>
        <v>1</v>
      </c>
      <c r="O1055" s="246">
        <f t="shared" si="412"/>
        <v>0.90966083150984689</v>
      </c>
      <c r="P1055" s="121">
        <f t="shared" si="413"/>
        <v>0.41666666666666669</v>
      </c>
      <c r="Q1055" s="121">
        <f t="shared" si="414"/>
        <v>0.58333333333333326</v>
      </c>
      <c r="R1055" s="121">
        <f t="shared" si="415"/>
        <v>0</v>
      </c>
      <c r="AE1055" s="160">
        <f t="shared" si="416"/>
        <v>0.98876177338026827</v>
      </c>
    </row>
    <row r="1056" spans="1:31" x14ac:dyDescent="0.3">
      <c r="A1056" s="187">
        <v>23</v>
      </c>
      <c r="B1056" s="242">
        <f t="shared" si="417"/>
        <v>46327</v>
      </c>
      <c r="C1056" s="243">
        <f t="shared" si="400"/>
        <v>46356</v>
      </c>
      <c r="D1056" s="120">
        <f t="shared" si="401"/>
        <v>30</v>
      </c>
      <c r="E1056" s="120">
        <f t="shared" si="402"/>
        <v>11</v>
      </c>
      <c r="F1056" s="275">
        <f t="shared" si="403"/>
        <v>46342</v>
      </c>
      <c r="G1056" s="120">
        <f t="shared" si="404"/>
        <v>24322</v>
      </c>
      <c r="H1056" s="245">
        <f t="shared" si="405"/>
        <v>1</v>
      </c>
      <c r="I1056" s="121">
        <f t="shared" si="406"/>
        <v>1</v>
      </c>
      <c r="J1056" s="121">
        <f t="shared" si="407"/>
        <v>1</v>
      </c>
      <c r="K1056" s="120">
        <f t="shared" si="408"/>
        <v>0</v>
      </c>
      <c r="L1056" s="120">
        <f t="shared" si="409"/>
        <v>0</v>
      </c>
      <c r="M1056" s="246">
        <f t="shared" si="410"/>
        <v>0</v>
      </c>
      <c r="N1056" s="121">
        <f t="shared" si="411"/>
        <v>1</v>
      </c>
      <c r="O1056" s="246">
        <f t="shared" si="412"/>
        <v>0.90899343544857769</v>
      </c>
      <c r="P1056" s="121">
        <f t="shared" si="413"/>
        <v>0.25</v>
      </c>
      <c r="Q1056" s="121">
        <f t="shared" si="414"/>
        <v>0.75</v>
      </c>
      <c r="R1056" s="121">
        <f t="shared" si="415"/>
        <v>0</v>
      </c>
      <c r="AE1056" s="160">
        <f t="shared" si="416"/>
        <v>0.98803634287888875</v>
      </c>
    </row>
    <row r="1057" spans="1:35" x14ac:dyDescent="0.3">
      <c r="A1057" s="187">
        <v>24</v>
      </c>
      <c r="B1057" s="242">
        <f t="shared" si="417"/>
        <v>46357</v>
      </c>
      <c r="C1057" s="243">
        <f t="shared" si="400"/>
        <v>46387</v>
      </c>
      <c r="D1057" s="120">
        <f t="shared" si="401"/>
        <v>31</v>
      </c>
      <c r="E1057" s="120">
        <f t="shared" si="402"/>
        <v>12</v>
      </c>
      <c r="F1057" s="275">
        <f t="shared" si="403"/>
        <v>46372.5</v>
      </c>
      <c r="G1057" s="120">
        <f t="shared" si="404"/>
        <v>24323</v>
      </c>
      <c r="H1057" s="245">
        <f t="shared" si="405"/>
        <v>1</v>
      </c>
      <c r="I1057" s="121">
        <f t="shared" si="406"/>
        <v>1</v>
      </c>
      <c r="J1057" s="121">
        <f t="shared" si="407"/>
        <v>1</v>
      </c>
      <c r="K1057" s="120">
        <f t="shared" si="408"/>
        <v>0</v>
      </c>
      <c r="L1057" s="120">
        <f t="shared" si="409"/>
        <v>0</v>
      </c>
      <c r="M1057" s="246">
        <f t="shared" si="410"/>
        <v>0</v>
      </c>
      <c r="N1057" s="121">
        <f t="shared" si="411"/>
        <v>1</v>
      </c>
      <c r="O1057" s="246">
        <f t="shared" si="412"/>
        <v>0.9083260393873086</v>
      </c>
      <c r="P1057" s="121">
        <f t="shared" si="413"/>
        <v>8.3333333333333329E-2</v>
      </c>
      <c r="Q1057" s="121">
        <f t="shared" si="414"/>
        <v>0.91666666666666663</v>
      </c>
      <c r="R1057" s="121">
        <f t="shared" si="415"/>
        <v>0</v>
      </c>
      <c r="AE1057" s="160">
        <f t="shared" si="416"/>
        <v>0.98731091237750934</v>
      </c>
    </row>
    <row r="1058" spans="1:35" x14ac:dyDescent="0.3">
      <c r="A1058" s="187">
        <v>25</v>
      </c>
      <c r="B1058" s="242">
        <f t="shared" si="417"/>
        <v>46388</v>
      </c>
      <c r="C1058" s="243">
        <f t="shared" si="400"/>
        <v>46418</v>
      </c>
      <c r="D1058" s="120">
        <f t="shared" si="401"/>
        <v>31</v>
      </c>
      <c r="E1058" s="120">
        <f t="shared" si="402"/>
        <v>1</v>
      </c>
      <c r="F1058" s="275">
        <f t="shared" si="403"/>
        <v>46403.5</v>
      </c>
      <c r="G1058" s="120">
        <f t="shared" si="404"/>
        <v>24324</v>
      </c>
      <c r="H1058" s="245">
        <f t="shared" si="405"/>
        <v>1</v>
      </c>
      <c r="I1058" s="121">
        <f t="shared" si="406"/>
        <v>1</v>
      </c>
      <c r="J1058" s="121">
        <f t="shared" si="407"/>
        <v>1</v>
      </c>
      <c r="K1058" s="120">
        <f t="shared" si="408"/>
        <v>0</v>
      </c>
      <c r="L1058" s="120">
        <f t="shared" si="409"/>
        <v>0</v>
      </c>
      <c r="M1058" s="246">
        <f t="shared" si="410"/>
        <v>0</v>
      </c>
      <c r="N1058" s="121">
        <f t="shared" si="411"/>
        <v>1</v>
      </c>
      <c r="O1058" s="246">
        <f t="shared" si="412"/>
        <v>0.90764770240700221</v>
      </c>
      <c r="P1058" s="121">
        <f t="shared" si="413"/>
        <v>0</v>
      </c>
      <c r="Q1058" s="121">
        <f t="shared" si="414"/>
        <v>1</v>
      </c>
      <c r="R1058" s="121">
        <f t="shared" si="415"/>
        <v>0</v>
      </c>
      <c r="W1058" s="160">
        <f t="shared" ref="W1058:W1069" si="418">IF($G1058&lt;&gt;$Q$1031,$N1058,(1-$U$1031)*$I1058+$U$1031*$J1058)</f>
        <v>1</v>
      </c>
      <c r="X1058" s="160">
        <f t="shared" ref="X1058:X1069" si="419">IF($G1058&lt;$Q$1031,0,IF($G1058&gt;$Q$1031,$N1058,$U$1031*$J1058))</f>
        <v>0</v>
      </c>
      <c r="Y1058" s="160">
        <f t="shared" ref="Y1058:Y1069" si="420">IF($F$1031=1,$O1058/$O1046,1)</f>
        <v>0.99127722878753488</v>
      </c>
      <c r="AB1058" s="160">
        <f t="shared" ref="AB1058:AB1069" si="421">IF(AND(N($K$1031)&lt;&gt;0,$F1058&lt;=$B$1032),0,($F1058-$B$1032)/($C$1032-$B$1032))</f>
        <v>0.23522975929978118</v>
      </c>
      <c r="AC1058" s="220">
        <f t="shared" ref="AC1058:AC1069" si="422">IF(AND(N($K$1031)&lt;&gt;0,$F1058&lt;=$B$1032),$O1058,$F$1032*(1-$AB1058))</f>
        <v>0.69594091903719912</v>
      </c>
      <c r="AD1058" s="160">
        <f t="shared" ref="AD1058:AD1069" si="423">$H1058*($W1058+$X1058*IF(ISNUMBER($F$1082),$F$1082,0))/($N1046*$O1046)</f>
        <v>1.0921387518072865</v>
      </c>
      <c r="AE1058" s="160">
        <f t="shared" si="416"/>
        <v>0.98657358957282848</v>
      </c>
      <c r="AF1058" s="220">
        <f t="shared" ref="AF1058:AF1069" si="424">IF($G1058&lt;$Q$1031,0,IF($G1058&gt;$Q$1031,1,$U$1031))</f>
        <v>0</v>
      </c>
      <c r="AG1058" s="183" t="str">
        <f t="shared" ref="AG1058:AG1069" si="425">IF(OR($D$1031=0,$P$1031=0),"",($W1058+$X1058*IF(ISNUMBER($F$1082),$F$1082,0))/$N1046-1)</f>
        <v/>
      </c>
      <c r="AH1058" s="183" t="str">
        <f t="shared" ref="AH1058:AH1069" si="426">IF(OR($AG1058="",$F$1031=0),"",(1+$E$1031)/(1+$AG1058)-1)</f>
        <v/>
      </c>
      <c r="AI1058" s="220" t="str">
        <f t="shared" ref="AI1058:AI1069" si="427">IF($AH1058="","",$O1046*(1+$E$1031)/(1+$AG1058))</f>
        <v/>
      </c>
    </row>
    <row r="1059" spans="1:35" x14ac:dyDescent="0.3">
      <c r="A1059" s="187">
        <v>26</v>
      </c>
      <c r="B1059" s="242">
        <f t="shared" si="417"/>
        <v>46419</v>
      </c>
      <c r="C1059" s="243">
        <f t="shared" si="400"/>
        <v>46446</v>
      </c>
      <c r="D1059" s="120">
        <f t="shared" si="401"/>
        <v>28</v>
      </c>
      <c r="E1059" s="120">
        <f t="shared" si="402"/>
        <v>2</v>
      </c>
      <c r="F1059" s="275">
        <f t="shared" si="403"/>
        <v>46433</v>
      </c>
      <c r="G1059" s="120">
        <f t="shared" si="404"/>
        <v>24325</v>
      </c>
      <c r="H1059" s="245">
        <f t="shared" si="405"/>
        <v>1</v>
      </c>
      <c r="I1059" s="121">
        <f t="shared" si="406"/>
        <v>1</v>
      </c>
      <c r="J1059" s="121">
        <f t="shared" si="407"/>
        <v>1</v>
      </c>
      <c r="K1059" s="120">
        <f t="shared" si="408"/>
        <v>0</v>
      </c>
      <c r="L1059" s="120">
        <f t="shared" si="409"/>
        <v>0</v>
      </c>
      <c r="M1059" s="246">
        <f t="shared" si="410"/>
        <v>0</v>
      </c>
      <c r="N1059" s="121">
        <f t="shared" si="411"/>
        <v>1</v>
      </c>
      <c r="O1059" s="246">
        <f t="shared" si="412"/>
        <v>0.90700218818380751</v>
      </c>
      <c r="P1059" s="121">
        <f t="shared" si="413"/>
        <v>0</v>
      </c>
      <c r="Q1059" s="121">
        <f t="shared" si="414"/>
        <v>1</v>
      </c>
      <c r="R1059" s="121">
        <f t="shared" si="415"/>
        <v>0</v>
      </c>
      <c r="W1059" s="160">
        <f t="shared" si="418"/>
        <v>1</v>
      </c>
      <c r="X1059" s="160">
        <f t="shared" si="419"/>
        <v>0</v>
      </c>
      <c r="Y1059" s="160">
        <f t="shared" si="420"/>
        <v>0.99127107497309586</v>
      </c>
      <c r="AB1059" s="160">
        <f t="shared" si="421"/>
        <v>0.29978118161925604</v>
      </c>
      <c r="AC1059" s="220">
        <f t="shared" si="422"/>
        <v>0.637199124726477</v>
      </c>
      <c r="AD1059" s="160">
        <f t="shared" si="423"/>
        <v>1.0929092430945833</v>
      </c>
      <c r="AE1059" s="160">
        <f t="shared" si="416"/>
        <v>0.98587194367805164</v>
      </c>
      <c r="AF1059" s="220">
        <f t="shared" si="424"/>
        <v>0</v>
      </c>
      <c r="AG1059" s="183" t="str">
        <f t="shared" si="425"/>
        <v/>
      </c>
      <c r="AH1059" s="183" t="str">
        <f t="shared" si="426"/>
        <v/>
      </c>
      <c r="AI1059" s="220" t="str">
        <f t="shared" si="427"/>
        <v/>
      </c>
    </row>
    <row r="1060" spans="1:35" x14ac:dyDescent="0.3">
      <c r="A1060" s="187">
        <v>27</v>
      </c>
      <c r="B1060" s="242">
        <f t="shared" si="417"/>
        <v>46447</v>
      </c>
      <c r="C1060" s="243">
        <f t="shared" si="400"/>
        <v>46477</v>
      </c>
      <c r="D1060" s="120">
        <f t="shared" si="401"/>
        <v>31</v>
      </c>
      <c r="E1060" s="120">
        <f t="shared" si="402"/>
        <v>3</v>
      </c>
      <c r="F1060" s="275">
        <f t="shared" si="403"/>
        <v>46462.5</v>
      </c>
      <c r="G1060" s="120">
        <f t="shared" si="404"/>
        <v>24326</v>
      </c>
      <c r="H1060" s="245">
        <f t="shared" si="405"/>
        <v>1</v>
      </c>
      <c r="I1060" s="121">
        <f t="shared" si="406"/>
        <v>1</v>
      </c>
      <c r="J1060" s="121">
        <f t="shared" si="407"/>
        <v>1</v>
      </c>
      <c r="K1060" s="120">
        <f t="shared" si="408"/>
        <v>0</v>
      </c>
      <c r="L1060" s="120">
        <f t="shared" si="409"/>
        <v>0</v>
      </c>
      <c r="M1060" s="246">
        <f t="shared" si="410"/>
        <v>0</v>
      </c>
      <c r="N1060" s="121">
        <f t="shared" si="411"/>
        <v>1</v>
      </c>
      <c r="O1060" s="246">
        <f t="shared" si="412"/>
        <v>0.9063566739606127</v>
      </c>
      <c r="P1060" s="121">
        <f t="shared" si="413"/>
        <v>0</v>
      </c>
      <c r="Q1060" s="121">
        <f t="shared" si="414"/>
        <v>1</v>
      </c>
      <c r="R1060" s="121">
        <f t="shared" si="415"/>
        <v>0</v>
      </c>
      <c r="W1060" s="160">
        <f t="shared" si="418"/>
        <v>1</v>
      </c>
      <c r="X1060" s="160">
        <f t="shared" si="419"/>
        <v>0</v>
      </c>
      <c r="Y1060" s="160">
        <f t="shared" si="420"/>
        <v>0.99126491246963666</v>
      </c>
      <c r="AB1060" s="160">
        <f t="shared" si="421"/>
        <v>0.36433260393873085</v>
      </c>
      <c r="AC1060" s="220">
        <f t="shared" si="422"/>
        <v>0.57845733041575487</v>
      </c>
      <c r="AD1060" s="160">
        <f t="shared" si="423"/>
        <v>1.0936808222948151</v>
      </c>
      <c r="AE1060" s="160">
        <f t="shared" si="416"/>
        <v>0.98517029778327447</v>
      </c>
      <c r="AF1060" s="220">
        <f t="shared" si="424"/>
        <v>0</v>
      </c>
      <c r="AG1060" s="183" t="str">
        <f t="shared" si="425"/>
        <v/>
      </c>
      <c r="AH1060" s="183" t="str">
        <f t="shared" si="426"/>
        <v/>
      </c>
      <c r="AI1060" s="220" t="str">
        <f t="shared" si="427"/>
        <v/>
      </c>
    </row>
    <row r="1061" spans="1:35" x14ac:dyDescent="0.3">
      <c r="A1061" s="187">
        <v>28</v>
      </c>
      <c r="B1061" s="242">
        <f t="shared" si="417"/>
        <v>46478</v>
      </c>
      <c r="C1061" s="243">
        <f t="shared" si="400"/>
        <v>46507</v>
      </c>
      <c r="D1061" s="120">
        <f t="shared" si="401"/>
        <v>30</v>
      </c>
      <c r="E1061" s="120">
        <f t="shared" si="402"/>
        <v>4</v>
      </c>
      <c r="F1061" s="275">
        <f t="shared" si="403"/>
        <v>46493</v>
      </c>
      <c r="G1061" s="120">
        <f t="shared" si="404"/>
        <v>24327</v>
      </c>
      <c r="H1061" s="245">
        <f t="shared" si="405"/>
        <v>1</v>
      </c>
      <c r="I1061" s="121">
        <f t="shared" si="406"/>
        <v>1</v>
      </c>
      <c r="J1061" s="121">
        <f t="shared" si="407"/>
        <v>1</v>
      </c>
      <c r="K1061" s="120">
        <f t="shared" si="408"/>
        <v>0</v>
      </c>
      <c r="L1061" s="120">
        <f t="shared" si="409"/>
        <v>0</v>
      </c>
      <c r="M1061" s="246">
        <f t="shared" si="410"/>
        <v>0</v>
      </c>
      <c r="N1061" s="121">
        <f t="shared" si="411"/>
        <v>1</v>
      </c>
      <c r="O1061" s="246">
        <f t="shared" si="412"/>
        <v>0.90568927789934361</v>
      </c>
      <c r="P1061" s="121">
        <f t="shared" si="413"/>
        <v>0</v>
      </c>
      <c r="Q1061" s="121">
        <f t="shared" si="414"/>
        <v>1</v>
      </c>
      <c r="R1061" s="121">
        <f t="shared" si="415"/>
        <v>0</v>
      </c>
      <c r="W1061" s="160">
        <f t="shared" si="418"/>
        <v>1</v>
      </c>
      <c r="X1061" s="160">
        <f t="shared" si="419"/>
        <v>1</v>
      </c>
      <c r="Y1061" s="160">
        <f t="shared" si="420"/>
        <v>0.99125853191234581</v>
      </c>
      <c r="AB1061" s="160">
        <f t="shared" si="421"/>
        <v>0.4310722100656455</v>
      </c>
      <c r="AC1061" s="220">
        <f t="shared" si="422"/>
        <v>0.51772428884026267</v>
      </c>
      <c r="AD1061" s="160">
        <f t="shared" si="423"/>
        <v>1.0944797030295772</v>
      </c>
      <c r="AE1061" s="160">
        <f t="shared" si="416"/>
        <v>0.98444486728189518</v>
      </c>
      <c r="AF1061" s="220">
        <f t="shared" si="424"/>
        <v>1</v>
      </c>
      <c r="AG1061" s="183" t="str">
        <f t="shared" si="425"/>
        <v/>
      </c>
      <c r="AH1061" s="183" t="str">
        <f t="shared" si="426"/>
        <v/>
      </c>
      <c r="AI1061" s="220" t="str">
        <f t="shared" si="427"/>
        <v/>
      </c>
    </row>
    <row r="1062" spans="1:35" x14ac:dyDescent="0.3">
      <c r="A1062" s="187">
        <v>29</v>
      </c>
      <c r="B1062" s="242">
        <f t="shared" si="417"/>
        <v>46508</v>
      </c>
      <c r="C1062" s="243">
        <f t="shared" si="400"/>
        <v>46538</v>
      </c>
      <c r="D1062" s="120">
        <f t="shared" si="401"/>
        <v>31</v>
      </c>
      <c r="E1062" s="120">
        <f t="shared" si="402"/>
        <v>5</v>
      </c>
      <c r="F1062" s="275">
        <f t="shared" si="403"/>
        <v>46523.5</v>
      </c>
      <c r="G1062" s="120">
        <f t="shared" si="404"/>
        <v>24328</v>
      </c>
      <c r="H1062" s="245">
        <f t="shared" si="405"/>
        <v>1</v>
      </c>
      <c r="I1062" s="121">
        <f t="shared" si="406"/>
        <v>1</v>
      </c>
      <c r="J1062" s="121">
        <f t="shared" si="407"/>
        <v>1</v>
      </c>
      <c r="K1062" s="120">
        <f t="shared" si="408"/>
        <v>0</v>
      </c>
      <c r="L1062" s="120">
        <f t="shared" si="409"/>
        <v>0</v>
      </c>
      <c r="M1062" s="246">
        <f t="shared" si="410"/>
        <v>0</v>
      </c>
      <c r="N1062" s="121">
        <f t="shared" si="411"/>
        <v>1</v>
      </c>
      <c r="O1062" s="246">
        <f t="shared" si="412"/>
        <v>0.90502188183807442</v>
      </c>
      <c r="P1062" s="121">
        <f t="shared" si="413"/>
        <v>0</v>
      </c>
      <c r="Q1062" s="121">
        <f t="shared" si="414"/>
        <v>1</v>
      </c>
      <c r="R1062" s="121">
        <f t="shared" si="415"/>
        <v>0</v>
      </c>
      <c r="W1062" s="160">
        <f t="shared" si="418"/>
        <v>1</v>
      </c>
      <c r="X1062" s="160">
        <f t="shared" si="419"/>
        <v>1</v>
      </c>
      <c r="Y1062" s="160">
        <f t="shared" si="420"/>
        <v>0.99125214202686673</v>
      </c>
      <c r="AB1062" s="160">
        <f t="shared" si="421"/>
        <v>0.49781181619256015</v>
      </c>
      <c r="AC1062" s="220">
        <f t="shared" si="422"/>
        <v>0.45699124726477025</v>
      </c>
      <c r="AD1062" s="160">
        <f t="shared" si="423"/>
        <v>1.095279751704634</v>
      </c>
      <c r="AE1062" s="160">
        <f t="shared" si="416"/>
        <v>0.98371943678051565</v>
      </c>
      <c r="AF1062" s="220">
        <f t="shared" si="424"/>
        <v>1</v>
      </c>
      <c r="AG1062" s="183" t="str">
        <f t="shared" si="425"/>
        <v/>
      </c>
      <c r="AH1062" s="183" t="str">
        <f t="shared" si="426"/>
        <v/>
      </c>
      <c r="AI1062" s="220" t="str">
        <f t="shared" si="427"/>
        <v/>
      </c>
    </row>
    <row r="1063" spans="1:35" x14ac:dyDescent="0.3">
      <c r="A1063" s="187">
        <v>30</v>
      </c>
      <c r="B1063" s="242">
        <f t="shared" si="417"/>
        <v>46539</v>
      </c>
      <c r="C1063" s="243">
        <f t="shared" si="400"/>
        <v>46568</v>
      </c>
      <c r="D1063" s="120">
        <f t="shared" si="401"/>
        <v>30</v>
      </c>
      <c r="E1063" s="120">
        <f t="shared" si="402"/>
        <v>6</v>
      </c>
      <c r="F1063" s="275">
        <f t="shared" si="403"/>
        <v>46554</v>
      </c>
      <c r="G1063" s="120">
        <f t="shared" si="404"/>
        <v>24329</v>
      </c>
      <c r="H1063" s="245">
        <f t="shared" si="405"/>
        <v>1</v>
      </c>
      <c r="I1063" s="121">
        <f t="shared" si="406"/>
        <v>1</v>
      </c>
      <c r="J1063" s="121">
        <f t="shared" si="407"/>
        <v>1</v>
      </c>
      <c r="K1063" s="120">
        <f t="shared" si="408"/>
        <v>0</v>
      </c>
      <c r="L1063" s="120">
        <f t="shared" si="409"/>
        <v>0</v>
      </c>
      <c r="M1063" s="246">
        <f t="shared" si="410"/>
        <v>0</v>
      </c>
      <c r="N1063" s="121">
        <f t="shared" si="411"/>
        <v>1</v>
      </c>
      <c r="O1063" s="246">
        <f t="shared" si="412"/>
        <v>0.90435448577680533</v>
      </c>
      <c r="P1063" s="121">
        <f t="shared" si="413"/>
        <v>0</v>
      </c>
      <c r="Q1063" s="121">
        <f t="shared" si="414"/>
        <v>1</v>
      </c>
      <c r="R1063" s="121">
        <f t="shared" si="415"/>
        <v>0</v>
      </c>
      <c r="W1063" s="160">
        <f t="shared" si="418"/>
        <v>1</v>
      </c>
      <c r="X1063" s="160">
        <f t="shared" si="419"/>
        <v>1</v>
      </c>
      <c r="Y1063" s="160">
        <f t="shared" si="420"/>
        <v>0.99124574279272804</v>
      </c>
      <c r="AB1063" s="160">
        <f t="shared" si="421"/>
        <v>0.56455142231947486</v>
      </c>
      <c r="AC1063" s="220">
        <f t="shared" si="422"/>
        <v>0.39625820568927789</v>
      </c>
      <c r="AD1063" s="160">
        <f t="shared" si="423"/>
        <v>1.0960809708831005</v>
      </c>
      <c r="AE1063" s="160">
        <f t="shared" si="416"/>
        <v>0.98299400627913613</v>
      </c>
      <c r="AF1063" s="220">
        <f t="shared" si="424"/>
        <v>1</v>
      </c>
      <c r="AG1063" s="183" t="str">
        <f t="shared" si="425"/>
        <v/>
      </c>
      <c r="AH1063" s="183" t="str">
        <f t="shared" si="426"/>
        <v/>
      </c>
      <c r="AI1063" s="220" t="str">
        <f t="shared" si="427"/>
        <v/>
      </c>
    </row>
    <row r="1064" spans="1:35" x14ac:dyDescent="0.3">
      <c r="A1064" s="187">
        <v>31</v>
      </c>
      <c r="B1064" s="242">
        <f t="shared" si="417"/>
        <v>46569</v>
      </c>
      <c r="C1064" s="243">
        <f t="shared" si="400"/>
        <v>46599</v>
      </c>
      <c r="D1064" s="120">
        <f t="shared" si="401"/>
        <v>31</v>
      </c>
      <c r="E1064" s="120">
        <f t="shared" si="402"/>
        <v>7</v>
      </c>
      <c r="F1064" s="275">
        <f t="shared" si="403"/>
        <v>46584.5</v>
      </c>
      <c r="G1064" s="120">
        <f t="shared" si="404"/>
        <v>24330</v>
      </c>
      <c r="H1064" s="245">
        <f t="shared" si="405"/>
        <v>1</v>
      </c>
      <c r="I1064" s="121">
        <f t="shared" si="406"/>
        <v>1</v>
      </c>
      <c r="J1064" s="121">
        <f t="shared" si="407"/>
        <v>1</v>
      </c>
      <c r="K1064" s="120">
        <f t="shared" si="408"/>
        <v>0</v>
      </c>
      <c r="L1064" s="120">
        <f t="shared" si="409"/>
        <v>0</v>
      </c>
      <c r="M1064" s="246">
        <f t="shared" si="410"/>
        <v>0</v>
      </c>
      <c r="N1064" s="121">
        <f t="shared" si="411"/>
        <v>1</v>
      </c>
      <c r="O1064" s="246">
        <f t="shared" si="412"/>
        <v>0.90368708971553613</v>
      </c>
      <c r="P1064" s="121">
        <f t="shared" si="413"/>
        <v>0</v>
      </c>
      <c r="Q1064" s="121">
        <f t="shared" si="414"/>
        <v>0.91666666666666663</v>
      </c>
      <c r="R1064" s="121">
        <f t="shared" si="415"/>
        <v>8.333333333333337E-2</v>
      </c>
      <c r="W1064" s="160">
        <f t="shared" si="418"/>
        <v>1</v>
      </c>
      <c r="X1064" s="160">
        <f t="shared" si="419"/>
        <v>1</v>
      </c>
      <c r="Y1064" s="160">
        <f t="shared" si="420"/>
        <v>0.99123933418939847</v>
      </c>
      <c r="AB1064" s="160">
        <f t="shared" si="421"/>
        <v>0.63129102844638951</v>
      </c>
      <c r="AC1064" s="220">
        <f t="shared" si="422"/>
        <v>0.33552516411378558</v>
      </c>
      <c r="AD1064" s="160">
        <f t="shared" si="423"/>
        <v>1.0968833631355983</v>
      </c>
      <c r="AE1064" s="160">
        <f t="shared" si="416"/>
        <v>0.98226857577775673</v>
      </c>
      <c r="AF1064" s="220">
        <f t="shared" si="424"/>
        <v>1</v>
      </c>
      <c r="AG1064" s="183" t="str">
        <f t="shared" si="425"/>
        <v/>
      </c>
      <c r="AH1064" s="183" t="str">
        <f t="shared" si="426"/>
        <v/>
      </c>
      <c r="AI1064" s="220" t="str">
        <f t="shared" si="427"/>
        <v/>
      </c>
    </row>
    <row r="1065" spans="1:35" x14ac:dyDescent="0.3">
      <c r="A1065" s="187">
        <v>32</v>
      </c>
      <c r="B1065" s="242">
        <f t="shared" si="417"/>
        <v>46600</v>
      </c>
      <c r="C1065" s="243">
        <f t="shared" si="400"/>
        <v>46630</v>
      </c>
      <c r="D1065" s="120">
        <f t="shared" si="401"/>
        <v>31</v>
      </c>
      <c r="E1065" s="120">
        <f t="shared" si="402"/>
        <v>8</v>
      </c>
      <c r="F1065" s="275">
        <f t="shared" si="403"/>
        <v>46615.5</v>
      </c>
      <c r="G1065" s="120">
        <f t="shared" si="404"/>
        <v>24331</v>
      </c>
      <c r="H1065" s="245">
        <f t="shared" si="405"/>
        <v>1</v>
      </c>
      <c r="I1065" s="121">
        <f t="shared" si="406"/>
        <v>1</v>
      </c>
      <c r="J1065" s="121">
        <f t="shared" si="407"/>
        <v>1</v>
      </c>
      <c r="K1065" s="120">
        <f t="shared" si="408"/>
        <v>0</v>
      </c>
      <c r="L1065" s="120">
        <f t="shared" si="409"/>
        <v>0</v>
      </c>
      <c r="M1065" s="246">
        <f t="shared" si="410"/>
        <v>0</v>
      </c>
      <c r="N1065" s="121">
        <f t="shared" si="411"/>
        <v>1</v>
      </c>
      <c r="O1065" s="246">
        <f t="shared" si="412"/>
        <v>0.90300875273522974</v>
      </c>
      <c r="P1065" s="121">
        <f t="shared" si="413"/>
        <v>0</v>
      </c>
      <c r="Q1065" s="121">
        <f t="shared" si="414"/>
        <v>0.75</v>
      </c>
      <c r="R1065" s="121">
        <f t="shared" si="415"/>
        <v>0.25</v>
      </c>
      <c r="W1065" s="160">
        <f t="shared" si="418"/>
        <v>1</v>
      </c>
      <c r="X1065" s="160">
        <f t="shared" si="419"/>
        <v>1</v>
      </c>
      <c r="Y1065" s="160">
        <f t="shared" si="420"/>
        <v>0.99123281090494197</v>
      </c>
      <c r="AB1065" s="160">
        <f t="shared" si="421"/>
        <v>0.69912472647702406</v>
      </c>
      <c r="AC1065" s="220">
        <f t="shared" si="422"/>
        <v>0.27379649890590813</v>
      </c>
      <c r="AD1065" s="160">
        <f t="shared" si="423"/>
        <v>1.0977001140935567</v>
      </c>
      <c r="AE1065" s="160">
        <f t="shared" si="416"/>
        <v>0.98153125297307575</v>
      </c>
      <c r="AF1065" s="220">
        <f t="shared" si="424"/>
        <v>1</v>
      </c>
      <c r="AG1065" s="183" t="str">
        <f t="shared" si="425"/>
        <v/>
      </c>
      <c r="AH1065" s="183" t="str">
        <f t="shared" si="426"/>
        <v/>
      </c>
      <c r="AI1065" s="220" t="str">
        <f t="shared" si="427"/>
        <v/>
      </c>
    </row>
    <row r="1066" spans="1:35" x14ac:dyDescent="0.3">
      <c r="A1066" s="187">
        <v>33</v>
      </c>
      <c r="B1066" s="242">
        <f t="shared" si="417"/>
        <v>46631</v>
      </c>
      <c r="C1066" s="243">
        <f t="shared" si="400"/>
        <v>46660</v>
      </c>
      <c r="D1066" s="120">
        <f t="shared" si="401"/>
        <v>30</v>
      </c>
      <c r="E1066" s="120">
        <f t="shared" si="402"/>
        <v>9</v>
      </c>
      <c r="F1066" s="275">
        <f t="shared" si="403"/>
        <v>46646</v>
      </c>
      <c r="G1066" s="120">
        <f t="shared" si="404"/>
        <v>24332</v>
      </c>
      <c r="H1066" s="245">
        <f t="shared" si="405"/>
        <v>1</v>
      </c>
      <c r="I1066" s="121">
        <f t="shared" si="406"/>
        <v>1</v>
      </c>
      <c r="J1066" s="121">
        <f t="shared" si="407"/>
        <v>1</v>
      </c>
      <c r="K1066" s="120">
        <f t="shared" si="408"/>
        <v>0</v>
      </c>
      <c r="L1066" s="120">
        <f t="shared" si="409"/>
        <v>0</v>
      </c>
      <c r="M1066" s="246">
        <f t="shared" si="410"/>
        <v>0</v>
      </c>
      <c r="N1066" s="121">
        <f t="shared" si="411"/>
        <v>1</v>
      </c>
      <c r="O1066" s="246">
        <f t="shared" si="412"/>
        <v>0.90234135667396065</v>
      </c>
      <c r="P1066" s="121">
        <f t="shared" si="413"/>
        <v>0</v>
      </c>
      <c r="Q1066" s="121">
        <f t="shared" si="414"/>
        <v>0.58333333333333337</v>
      </c>
      <c r="R1066" s="121">
        <f t="shared" si="415"/>
        <v>0.41666666666666663</v>
      </c>
      <c r="W1066" s="160">
        <f t="shared" si="418"/>
        <v>1</v>
      </c>
      <c r="X1066" s="160">
        <f t="shared" si="419"/>
        <v>1</v>
      </c>
      <c r="Y1066" s="160">
        <f t="shared" si="420"/>
        <v>0.99122638334695445</v>
      </c>
      <c r="AB1066" s="160">
        <f t="shared" si="421"/>
        <v>0.76586433260393871</v>
      </c>
      <c r="AC1066" s="220">
        <f t="shared" si="422"/>
        <v>0.21306345733041579</v>
      </c>
      <c r="AD1066" s="160">
        <f t="shared" si="423"/>
        <v>1.0985048795730974</v>
      </c>
      <c r="AE1066" s="160">
        <f t="shared" si="416"/>
        <v>0.98080582247169634</v>
      </c>
      <c r="AF1066" s="220">
        <f t="shared" si="424"/>
        <v>1</v>
      </c>
      <c r="AG1066" s="183" t="str">
        <f t="shared" si="425"/>
        <v/>
      </c>
      <c r="AH1066" s="183" t="str">
        <f t="shared" si="426"/>
        <v/>
      </c>
      <c r="AI1066" s="220" t="str">
        <f t="shared" si="427"/>
        <v/>
      </c>
    </row>
    <row r="1067" spans="1:35" x14ac:dyDescent="0.3">
      <c r="A1067" s="187">
        <v>34</v>
      </c>
      <c r="B1067" s="242">
        <f t="shared" si="417"/>
        <v>46661</v>
      </c>
      <c r="C1067" s="243">
        <f t="shared" si="400"/>
        <v>46691</v>
      </c>
      <c r="D1067" s="120">
        <f t="shared" si="401"/>
        <v>31</v>
      </c>
      <c r="E1067" s="120">
        <f t="shared" si="402"/>
        <v>10</v>
      </c>
      <c r="F1067" s="275">
        <f t="shared" si="403"/>
        <v>46676.5</v>
      </c>
      <c r="G1067" s="120">
        <f t="shared" si="404"/>
        <v>24333</v>
      </c>
      <c r="H1067" s="245">
        <f t="shared" si="405"/>
        <v>1</v>
      </c>
      <c r="I1067" s="121">
        <f t="shared" si="406"/>
        <v>1</v>
      </c>
      <c r="J1067" s="121">
        <f t="shared" si="407"/>
        <v>1</v>
      </c>
      <c r="K1067" s="120">
        <f t="shared" si="408"/>
        <v>0</v>
      </c>
      <c r="L1067" s="120">
        <f t="shared" si="409"/>
        <v>0</v>
      </c>
      <c r="M1067" s="246">
        <f t="shared" si="410"/>
        <v>0</v>
      </c>
      <c r="N1067" s="121">
        <f t="shared" si="411"/>
        <v>1</v>
      </c>
      <c r="O1067" s="246">
        <f t="shared" si="412"/>
        <v>0.90167396061269145</v>
      </c>
      <c r="P1067" s="121">
        <f t="shared" si="413"/>
        <v>0</v>
      </c>
      <c r="Q1067" s="121">
        <f t="shared" si="414"/>
        <v>0.41666666666666669</v>
      </c>
      <c r="R1067" s="121">
        <f t="shared" si="415"/>
        <v>0.58333333333333326</v>
      </c>
      <c r="W1067" s="160">
        <f t="shared" si="418"/>
        <v>1</v>
      </c>
      <c r="X1067" s="160">
        <f t="shared" si="419"/>
        <v>1</v>
      </c>
      <c r="Y1067" s="160">
        <f t="shared" si="420"/>
        <v>0.99121994635748045</v>
      </c>
      <c r="AB1067" s="160">
        <f t="shared" si="421"/>
        <v>0.83260393873085337</v>
      </c>
      <c r="AC1067" s="220">
        <f t="shared" si="422"/>
        <v>0.15233041575492345</v>
      </c>
      <c r="AD1067" s="160">
        <f t="shared" si="423"/>
        <v>1.0993108259264159</v>
      </c>
      <c r="AE1067" s="160">
        <f t="shared" si="416"/>
        <v>0.98008039197031671</v>
      </c>
      <c r="AF1067" s="220">
        <f t="shared" si="424"/>
        <v>1</v>
      </c>
      <c r="AG1067" s="183" t="str">
        <f t="shared" si="425"/>
        <v/>
      </c>
      <c r="AH1067" s="183" t="str">
        <f t="shared" si="426"/>
        <v/>
      </c>
      <c r="AI1067" s="220" t="str">
        <f t="shared" si="427"/>
        <v/>
      </c>
    </row>
    <row r="1068" spans="1:35" x14ac:dyDescent="0.3">
      <c r="A1068" s="187">
        <v>35</v>
      </c>
      <c r="B1068" s="242">
        <f t="shared" si="417"/>
        <v>46692</v>
      </c>
      <c r="C1068" s="243">
        <f t="shared" si="400"/>
        <v>46721</v>
      </c>
      <c r="D1068" s="120">
        <f t="shared" si="401"/>
        <v>30</v>
      </c>
      <c r="E1068" s="120">
        <f t="shared" si="402"/>
        <v>11</v>
      </c>
      <c r="F1068" s="275">
        <f t="shared" si="403"/>
        <v>46707</v>
      </c>
      <c r="G1068" s="120">
        <f t="shared" si="404"/>
        <v>24334</v>
      </c>
      <c r="H1068" s="245">
        <f t="shared" si="405"/>
        <v>1</v>
      </c>
      <c r="I1068" s="121">
        <f t="shared" si="406"/>
        <v>1</v>
      </c>
      <c r="J1068" s="121">
        <f t="shared" si="407"/>
        <v>1</v>
      </c>
      <c r="K1068" s="120">
        <f t="shared" si="408"/>
        <v>0</v>
      </c>
      <c r="L1068" s="120">
        <f t="shared" si="409"/>
        <v>0</v>
      </c>
      <c r="M1068" s="246">
        <f t="shared" si="410"/>
        <v>0</v>
      </c>
      <c r="N1068" s="121">
        <f t="shared" si="411"/>
        <v>1</v>
      </c>
      <c r="O1068" s="246">
        <f t="shared" si="412"/>
        <v>0.90100656455142236</v>
      </c>
      <c r="P1068" s="121">
        <f t="shared" si="413"/>
        <v>0</v>
      </c>
      <c r="Q1068" s="121">
        <f t="shared" si="414"/>
        <v>0.25</v>
      </c>
      <c r="R1068" s="121">
        <f t="shared" si="415"/>
        <v>0.75</v>
      </c>
      <c r="W1068" s="160">
        <f t="shared" si="418"/>
        <v>1</v>
      </c>
      <c r="X1068" s="160">
        <f t="shared" si="419"/>
        <v>1</v>
      </c>
      <c r="Y1068" s="160">
        <f t="shared" si="420"/>
        <v>0.99121349991574592</v>
      </c>
      <c r="AB1068" s="160">
        <f t="shared" si="421"/>
        <v>0.89934354485776802</v>
      </c>
      <c r="AC1068" s="220">
        <f t="shared" si="422"/>
        <v>9.1597374179431104E-2</v>
      </c>
      <c r="AD1068" s="160">
        <f t="shared" si="423"/>
        <v>1.1001179557545557</v>
      </c>
      <c r="AE1068" s="160">
        <f t="shared" si="416"/>
        <v>0.9793549614689373</v>
      </c>
      <c r="AF1068" s="220">
        <f t="shared" si="424"/>
        <v>1</v>
      </c>
      <c r="AG1068" s="183" t="str">
        <f t="shared" si="425"/>
        <v/>
      </c>
      <c r="AH1068" s="183" t="str">
        <f t="shared" si="426"/>
        <v/>
      </c>
      <c r="AI1068" s="220" t="str">
        <f t="shared" si="427"/>
        <v/>
      </c>
    </row>
    <row r="1069" spans="1:35" x14ac:dyDescent="0.3">
      <c r="A1069" s="187">
        <v>36</v>
      </c>
      <c r="B1069" s="242">
        <f t="shared" si="417"/>
        <v>46722</v>
      </c>
      <c r="C1069" s="243">
        <f t="shared" si="400"/>
        <v>46752</v>
      </c>
      <c r="D1069" s="120">
        <f t="shared" si="401"/>
        <v>31</v>
      </c>
      <c r="E1069" s="120">
        <f t="shared" si="402"/>
        <v>12</v>
      </c>
      <c r="F1069" s="275">
        <f t="shared" si="403"/>
        <v>46737.5</v>
      </c>
      <c r="G1069" s="120">
        <f t="shared" si="404"/>
        <v>24335</v>
      </c>
      <c r="H1069" s="245">
        <f t="shared" si="405"/>
        <v>1</v>
      </c>
      <c r="I1069" s="121">
        <f t="shared" si="406"/>
        <v>1</v>
      </c>
      <c r="J1069" s="121">
        <f t="shared" si="407"/>
        <v>1</v>
      </c>
      <c r="K1069" s="120">
        <f t="shared" si="408"/>
        <v>0</v>
      </c>
      <c r="L1069" s="120">
        <f t="shared" si="409"/>
        <v>0</v>
      </c>
      <c r="M1069" s="246">
        <f t="shared" si="410"/>
        <v>0</v>
      </c>
      <c r="N1069" s="121">
        <f t="shared" si="411"/>
        <v>1</v>
      </c>
      <c r="O1069" s="246">
        <f t="shared" si="412"/>
        <v>0.90033916849015316</v>
      </c>
      <c r="P1069" s="121">
        <f t="shared" si="413"/>
        <v>0</v>
      </c>
      <c r="Q1069" s="121">
        <f t="shared" si="414"/>
        <v>8.3333333333333329E-2</v>
      </c>
      <c r="R1069" s="121">
        <f t="shared" si="415"/>
        <v>0.91666666666666663</v>
      </c>
      <c r="W1069" s="160">
        <f t="shared" si="418"/>
        <v>1</v>
      </c>
      <c r="X1069" s="160">
        <f t="shared" si="419"/>
        <v>1</v>
      </c>
      <c r="Y1069" s="160">
        <f t="shared" si="420"/>
        <v>0.9912070440009153</v>
      </c>
      <c r="AB1069" s="160">
        <f t="shared" si="421"/>
        <v>0.96608315098468267</v>
      </c>
      <c r="AC1069" s="220">
        <f t="shared" si="422"/>
        <v>3.0864332603938772E-2</v>
      </c>
      <c r="AD1069" s="160">
        <f t="shared" si="423"/>
        <v>1.1009262716662049</v>
      </c>
      <c r="AE1069" s="160">
        <f t="shared" si="416"/>
        <v>0.97862953096755778</v>
      </c>
      <c r="AF1069" s="220">
        <f t="shared" si="424"/>
        <v>1</v>
      </c>
      <c r="AG1069" s="183" t="str">
        <f t="shared" si="425"/>
        <v/>
      </c>
      <c r="AH1069" s="183" t="str">
        <f t="shared" si="426"/>
        <v/>
      </c>
      <c r="AI1069" s="220" t="str">
        <f t="shared" si="427"/>
        <v/>
      </c>
    </row>
    <row r="1070" spans="1:35" x14ac:dyDescent="0.3">
      <c r="A1070" s="187">
        <v>37</v>
      </c>
      <c r="B1070" s="242">
        <f t="shared" si="417"/>
        <v>46753</v>
      </c>
      <c r="C1070" s="243">
        <f t="shared" si="400"/>
        <v>46783</v>
      </c>
      <c r="D1070" s="120">
        <f t="shared" si="401"/>
        <v>31</v>
      </c>
      <c r="E1070" s="120">
        <f t="shared" si="402"/>
        <v>1</v>
      </c>
      <c r="F1070" s="275">
        <f t="shared" si="403"/>
        <v>46768.5</v>
      </c>
      <c r="G1070" s="120">
        <f t="shared" si="404"/>
        <v>24336</v>
      </c>
      <c r="H1070" s="245">
        <f t="shared" si="405"/>
        <v>1</v>
      </c>
      <c r="I1070" s="121">
        <f t="shared" si="406"/>
        <v>1</v>
      </c>
      <c r="J1070" s="121">
        <f t="shared" si="407"/>
        <v>1</v>
      </c>
      <c r="K1070" s="120">
        <f t="shared" si="408"/>
        <v>0</v>
      </c>
      <c r="L1070" s="120">
        <f t="shared" si="409"/>
        <v>0</v>
      </c>
      <c r="M1070" s="246">
        <f t="shared" si="410"/>
        <v>0</v>
      </c>
      <c r="N1070" s="121">
        <f t="shared" si="411"/>
        <v>1</v>
      </c>
      <c r="O1070" s="246">
        <f t="shared" si="412"/>
        <v>0.9</v>
      </c>
      <c r="P1070" s="121">
        <f t="shared" si="413"/>
        <v>0</v>
      </c>
      <c r="Q1070" s="121">
        <f t="shared" si="414"/>
        <v>0</v>
      </c>
      <c r="R1070" s="121">
        <f t="shared" si="415"/>
        <v>1</v>
      </c>
      <c r="AE1070" s="160">
        <f t="shared" si="416"/>
        <v>0.97826086956521741</v>
      </c>
    </row>
    <row r="1071" spans="1:35" x14ac:dyDescent="0.3">
      <c r="A1071" s="187">
        <v>38</v>
      </c>
      <c r="B1071" s="242">
        <f t="shared" si="417"/>
        <v>46784</v>
      </c>
      <c r="C1071" s="243">
        <f t="shared" si="400"/>
        <v>46812</v>
      </c>
      <c r="D1071" s="120">
        <f t="shared" si="401"/>
        <v>29</v>
      </c>
      <c r="E1071" s="120">
        <f t="shared" si="402"/>
        <v>2</v>
      </c>
      <c r="F1071" s="275">
        <f t="shared" si="403"/>
        <v>46798.5</v>
      </c>
      <c r="G1071" s="120">
        <f t="shared" si="404"/>
        <v>24337</v>
      </c>
      <c r="H1071" s="245">
        <f t="shared" si="405"/>
        <v>1</v>
      </c>
      <c r="I1071" s="121">
        <f t="shared" si="406"/>
        <v>1</v>
      </c>
      <c r="J1071" s="121">
        <f t="shared" si="407"/>
        <v>1</v>
      </c>
      <c r="K1071" s="120">
        <f t="shared" si="408"/>
        <v>0</v>
      </c>
      <c r="L1071" s="120">
        <f t="shared" si="409"/>
        <v>0</v>
      </c>
      <c r="M1071" s="246">
        <f t="shared" si="410"/>
        <v>0</v>
      </c>
      <c r="N1071" s="121">
        <f t="shared" si="411"/>
        <v>1</v>
      </c>
      <c r="O1071" s="246">
        <f t="shared" si="412"/>
        <v>0.9</v>
      </c>
      <c r="P1071" s="121">
        <f t="shared" si="413"/>
        <v>0</v>
      </c>
      <c r="Q1071" s="121">
        <f t="shared" si="414"/>
        <v>0</v>
      </c>
      <c r="R1071" s="121">
        <f t="shared" si="415"/>
        <v>1</v>
      </c>
      <c r="AE1071" s="160">
        <f t="shared" si="416"/>
        <v>0.97826086956521741</v>
      </c>
    </row>
    <row r="1072" spans="1:35" x14ac:dyDescent="0.3">
      <c r="A1072" s="187">
        <v>39</v>
      </c>
      <c r="B1072" s="242">
        <f t="shared" si="417"/>
        <v>46813</v>
      </c>
      <c r="C1072" s="243">
        <f t="shared" si="400"/>
        <v>46843</v>
      </c>
      <c r="D1072" s="120">
        <f t="shared" si="401"/>
        <v>31</v>
      </c>
      <c r="E1072" s="120">
        <f t="shared" si="402"/>
        <v>3</v>
      </c>
      <c r="F1072" s="275">
        <f t="shared" si="403"/>
        <v>46828.5</v>
      </c>
      <c r="G1072" s="120">
        <f t="shared" si="404"/>
        <v>24338</v>
      </c>
      <c r="H1072" s="245">
        <f t="shared" si="405"/>
        <v>1</v>
      </c>
      <c r="I1072" s="121">
        <f t="shared" si="406"/>
        <v>1</v>
      </c>
      <c r="J1072" s="121">
        <f t="shared" si="407"/>
        <v>1</v>
      </c>
      <c r="K1072" s="120">
        <f t="shared" si="408"/>
        <v>0</v>
      </c>
      <c r="L1072" s="120">
        <f t="shared" si="409"/>
        <v>0</v>
      </c>
      <c r="M1072" s="246">
        <f t="shared" si="410"/>
        <v>0</v>
      </c>
      <c r="N1072" s="121">
        <f t="shared" si="411"/>
        <v>1</v>
      </c>
      <c r="O1072" s="246">
        <f t="shared" si="412"/>
        <v>0.9</v>
      </c>
      <c r="P1072" s="121">
        <f t="shared" si="413"/>
        <v>0</v>
      </c>
      <c r="Q1072" s="121">
        <f t="shared" si="414"/>
        <v>0</v>
      </c>
      <c r="R1072" s="121">
        <f t="shared" si="415"/>
        <v>1</v>
      </c>
      <c r="AE1072" s="160">
        <f t="shared" si="416"/>
        <v>0.97826086956521741</v>
      </c>
    </row>
    <row r="1073" spans="1:31" x14ac:dyDescent="0.3">
      <c r="A1073" s="187">
        <v>40</v>
      </c>
      <c r="B1073" s="242">
        <f t="shared" si="417"/>
        <v>46844</v>
      </c>
      <c r="C1073" s="243">
        <f t="shared" si="400"/>
        <v>46873</v>
      </c>
      <c r="D1073" s="120">
        <f t="shared" si="401"/>
        <v>30</v>
      </c>
      <c r="E1073" s="120">
        <f t="shared" si="402"/>
        <v>4</v>
      </c>
      <c r="F1073" s="275">
        <f t="shared" si="403"/>
        <v>46859</v>
      </c>
      <c r="G1073" s="120">
        <f t="shared" si="404"/>
        <v>24339</v>
      </c>
      <c r="H1073" s="245">
        <f t="shared" si="405"/>
        <v>1</v>
      </c>
      <c r="I1073" s="121">
        <f t="shared" si="406"/>
        <v>1</v>
      </c>
      <c r="J1073" s="121">
        <f t="shared" si="407"/>
        <v>1</v>
      </c>
      <c r="K1073" s="120">
        <f t="shared" si="408"/>
        <v>0</v>
      </c>
      <c r="L1073" s="120">
        <f t="shared" si="409"/>
        <v>0</v>
      </c>
      <c r="M1073" s="246">
        <f t="shared" si="410"/>
        <v>0</v>
      </c>
      <c r="N1073" s="121">
        <f t="shared" si="411"/>
        <v>1</v>
      </c>
      <c r="O1073" s="246">
        <f t="shared" si="412"/>
        <v>0.9</v>
      </c>
      <c r="P1073" s="121">
        <f t="shared" si="413"/>
        <v>0</v>
      </c>
      <c r="Q1073" s="121">
        <f t="shared" si="414"/>
        <v>0</v>
      </c>
      <c r="R1073" s="121">
        <f t="shared" si="415"/>
        <v>1</v>
      </c>
      <c r="AE1073" s="160">
        <f t="shared" si="416"/>
        <v>0.97826086956521741</v>
      </c>
    </row>
    <row r="1074" spans="1:31" x14ac:dyDescent="0.3">
      <c r="A1074" s="187">
        <v>41</v>
      </c>
      <c r="B1074" s="242">
        <f t="shared" si="417"/>
        <v>46874</v>
      </c>
      <c r="C1074" s="243">
        <f t="shared" si="400"/>
        <v>46904</v>
      </c>
      <c r="D1074" s="120">
        <f t="shared" si="401"/>
        <v>31</v>
      </c>
      <c r="E1074" s="120">
        <f t="shared" si="402"/>
        <v>5</v>
      </c>
      <c r="F1074" s="275">
        <f t="shared" si="403"/>
        <v>46889.5</v>
      </c>
      <c r="G1074" s="120">
        <f t="shared" si="404"/>
        <v>24340</v>
      </c>
      <c r="H1074" s="245">
        <f t="shared" si="405"/>
        <v>1</v>
      </c>
      <c r="I1074" s="121">
        <f t="shared" si="406"/>
        <v>1</v>
      </c>
      <c r="J1074" s="121">
        <f t="shared" si="407"/>
        <v>1</v>
      </c>
      <c r="K1074" s="120">
        <f t="shared" si="408"/>
        <v>0</v>
      </c>
      <c r="L1074" s="120">
        <f t="shared" si="409"/>
        <v>0</v>
      </c>
      <c r="M1074" s="246">
        <f t="shared" si="410"/>
        <v>0</v>
      </c>
      <c r="N1074" s="121">
        <f t="shared" si="411"/>
        <v>1</v>
      </c>
      <c r="O1074" s="246">
        <f t="shared" si="412"/>
        <v>0.9</v>
      </c>
      <c r="P1074" s="121">
        <f t="shared" si="413"/>
        <v>0</v>
      </c>
      <c r="Q1074" s="121">
        <f t="shared" si="414"/>
        <v>0</v>
      </c>
      <c r="R1074" s="121">
        <f t="shared" si="415"/>
        <v>1</v>
      </c>
      <c r="AE1074" s="160">
        <f t="shared" si="416"/>
        <v>0.97826086956521741</v>
      </c>
    </row>
    <row r="1075" spans="1:31" x14ac:dyDescent="0.3">
      <c r="A1075" s="187">
        <v>42</v>
      </c>
      <c r="B1075" s="242">
        <f t="shared" si="417"/>
        <v>46905</v>
      </c>
      <c r="C1075" s="243">
        <f t="shared" si="400"/>
        <v>46934</v>
      </c>
      <c r="D1075" s="120">
        <f t="shared" si="401"/>
        <v>30</v>
      </c>
      <c r="E1075" s="120">
        <f t="shared" si="402"/>
        <v>6</v>
      </c>
      <c r="F1075" s="275">
        <f t="shared" si="403"/>
        <v>46920</v>
      </c>
      <c r="G1075" s="120">
        <f t="shared" si="404"/>
        <v>24341</v>
      </c>
      <c r="H1075" s="245">
        <f t="shared" si="405"/>
        <v>1</v>
      </c>
      <c r="I1075" s="121">
        <f t="shared" si="406"/>
        <v>1</v>
      </c>
      <c r="J1075" s="121">
        <f t="shared" si="407"/>
        <v>1</v>
      </c>
      <c r="K1075" s="120">
        <f t="shared" si="408"/>
        <v>0</v>
      </c>
      <c r="L1075" s="120">
        <f t="shared" si="409"/>
        <v>0</v>
      </c>
      <c r="M1075" s="246">
        <f t="shared" si="410"/>
        <v>0</v>
      </c>
      <c r="N1075" s="121">
        <f t="shared" si="411"/>
        <v>1</v>
      </c>
      <c r="O1075" s="246">
        <f t="shared" si="412"/>
        <v>0.9</v>
      </c>
      <c r="P1075" s="121">
        <f t="shared" si="413"/>
        <v>0</v>
      </c>
      <c r="Q1075" s="121">
        <f t="shared" si="414"/>
        <v>0</v>
      </c>
      <c r="R1075" s="121">
        <f t="shared" si="415"/>
        <v>1</v>
      </c>
      <c r="AE1075" s="160">
        <f t="shared" si="416"/>
        <v>0.97826086956521741</v>
      </c>
    </row>
    <row r="1076" spans="1:31" x14ac:dyDescent="0.3">
      <c r="A1076" s="187">
        <v>43</v>
      </c>
      <c r="B1076" s="242">
        <f t="shared" si="417"/>
        <v>46935</v>
      </c>
      <c r="C1076" s="243">
        <f t="shared" si="400"/>
        <v>46965</v>
      </c>
      <c r="D1076" s="120">
        <f t="shared" si="401"/>
        <v>31</v>
      </c>
      <c r="E1076" s="120">
        <f t="shared" si="402"/>
        <v>7</v>
      </c>
      <c r="F1076" s="275">
        <f t="shared" si="403"/>
        <v>46950.5</v>
      </c>
      <c r="G1076" s="120">
        <f t="shared" si="404"/>
        <v>24342</v>
      </c>
      <c r="H1076" s="245">
        <f t="shared" si="405"/>
        <v>1</v>
      </c>
      <c r="I1076" s="121">
        <f t="shared" si="406"/>
        <v>1</v>
      </c>
      <c r="J1076" s="121">
        <f t="shared" si="407"/>
        <v>1</v>
      </c>
      <c r="K1076" s="120">
        <f t="shared" si="408"/>
        <v>0</v>
      </c>
      <c r="L1076" s="120">
        <f t="shared" si="409"/>
        <v>0</v>
      </c>
      <c r="M1076" s="246">
        <f t="shared" si="410"/>
        <v>0</v>
      </c>
      <c r="N1076" s="121">
        <f t="shared" si="411"/>
        <v>1</v>
      </c>
      <c r="O1076" s="246">
        <f t="shared" si="412"/>
        <v>0.9</v>
      </c>
      <c r="P1076" s="121">
        <f t="shared" si="413"/>
        <v>0</v>
      </c>
      <c r="Q1076" s="121">
        <f t="shared" si="414"/>
        <v>0</v>
      </c>
      <c r="R1076" s="121">
        <f t="shared" si="415"/>
        <v>0.91666666666666663</v>
      </c>
      <c r="AE1076" s="160">
        <f t="shared" si="416"/>
        <v>0.97826086956521741</v>
      </c>
    </row>
    <row r="1077" spans="1:31" x14ac:dyDescent="0.3">
      <c r="A1077" s="187">
        <v>44</v>
      </c>
      <c r="B1077" s="242">
        <f t="shared" si="417"/>
        <v>46966</v>
      </c>
      <c r="C1077" s="243">
        <f t="shared" si="400"/>
        <v>46996</v>
      </c>
      <c r="D1077" s="120">
        <f t="shared" si="401"/>
        <v>31</v>
      </c>
      <c r="E1077" s="120">
        <f t="shared" si="402"/>
        <v>8</v>
      </c>
      <c r="F1077" s="275">
        <f t="shared" si="403"/>
        <v>46981.5</v>
      </c>
      <c r="G1077" s="120">
        <f t="shared" si="404"/>
        <v>24343</v>
      </c>
      <c r="H1077" s="245">
        <f t="shared" si="405"/>
        <v>1</v>
      </c>
      <c r="I1077" s="121">
        <f t="shared" si="406"/>
        <v>1</v>
      </c>
      <c r="J1077" s="121">
        <f t="shared" si="407"/>
        <v>1</v>
      </c>
      <c r="K1077" s="120">
        <f t="shared" si="408"/>
        <v>0</v>
      </c>
      <c r="L1077" s="120">
        <f t="shared" si="409"/>
        <v>0</v>
      </c>
      <c r="M1077" s="246">
        <f t="shared" si="410"/>
        <v>0</v>
      </c>
      <c r="N1077" s="121">
        <f t="shared" si="411"/>
        <v>1</v>
      </c>
      <c r="O1077" s="246">
        <f t="shared" si="412"/>
        <v>0.9</v>
      </c>
      <c r="P1077" s="121">
        <f t="shared" si="413"/>
        <v>0</v>
      </c>
      <c r="Q1077" s="121">
        <f t="shared" si="414"/>
        <v>0</v>
      </c>
      <c r="R1077" s="121">
        <f t="shared" si="415"/>
        <v>0.75</v>
      </c>
      <c r="AE1077" s="160">
        <f t="shared" si="416"/>
        <v>0.97826086956521741</v>
      </c>
    </row>
    <row r="1078" spans="1:31" x14ac:dyDescent="0.3">
      <c r="A1078" s="187">
        <v>45</v>
      </c>
      <c r="B1078" s="242">
        <f t="shared" si="417"/>
        <v>46997</v>
      </c>
      <c r="C1078" s="243">
        <f t="shared" si="400"/>
        <v>47026</v>
      </c>
      <c r="D1078" s="120">
        <f t="shared" si="401"/>
        <v>30</v>
      </c>
      <c r="E1078" s="120">
        <f t="shared" si="402"/>
        <v>9</v>
      </c>
      <c r="F1078" s="275">
        <f t="shared" si="403"/>
        <v>47012</v>
      </c>
      <c r="G1078" s="120">
        <f t="shared" si="404"/>
        <v>24344</v>
      </c>
      <c r="H1078" s="245">
        <f t="shared" si="405"/>
        <v>1</v>
      </c>
      <c r="I1078" s="121">
        <f t="shared" si="406"/>
        <v>1</v>
      </c>
      <c r="J1078" s="121">
        <f t="shared" si="407"/>
        <v>1</v>
      </c>
      <c r="K1078" s="120">
        <f t="shared" si="408"/>
        <v>0</v>
      </c>
      <c r="L1078" s="120">
        <f t="shared" si="409"/>
        <v>0</v>
      </c>
      <c r="M1078" s="246">
        <f t="shared" si="410"/>
        <v>0</v>
      </c>
      <c r="N1078" s="121">
        <f t="shared" si="411"/>
        <v>1</v>
      </c>
      <c r="O1078" s="246">
        <f t="shared" si="412"/>
        <v>0.9</v>
      </c>
      <c r="P1078" s="121">
        <f t="shared" si="413"/>
        <v>0</v>
      </c>
      <c r="Q1078" s="121">
        <f t="shared" si="414"/>
        <v>0</v>
      </c>
      <c r="R1078" s="121">
        <f t="shared" si="415"/>
        <v>0.58333333333333337</v>
      </c>
      <c r="AE1078" s="160">
        <f t="shared" si="416"/>
        <v>0.97826086956521741</v>
      </c>
    </row>
    <row r="1079" spans="1:31" x14ac:dyDescent="0.3">
      <c r="A1079" s="187">
        <v>46</v>
      </c>
      <c r="B1079" s="242">
        <f t="shared" si="417"/>
        <v>47027</v>
      </c>
      <c r="C1079" s="243">
        <f t="shared" si="400"/>
        <v>47057</v>
      </c>
      <c r="D1079" s="120">
        <f t="shared" si="401"/>
        <v>31</v>
      </c>
      <c r="E1079" s="120">
        <f t="shared" si="402"/>
        <v>10</v>
      </c>
      <c r="F1079" s="275">
        <f t="shared" si="403"/>
        <v>47042.5</v>
      </c>
      <c r="G1079" s="120">
        <f t="shared" si="404"/>
        <v>24345</v>
      </c>
      <c r="H1079" s="245">
        <f t="shared" si="405"/>
        <v>1</v>
      </c>
      <c r="I1079" s="121">
        <f t="shared" si="406"/>
        <v>1</v>
      </c>
      <c r="J1079" s="121">
        <f t="shared" si="407"/>
        <v>1</v>
      </c>
      <c r="K1079" s="120">
        <f t="shared" si="408"/>
        <v>0</v>
      </c>
      <c r="L1079" s="120">
        <f t="shared" si="409"/>
        <v>0</v>
      </c>
      <c r="M1079" s="246">
        <f t="shared" si="410"/>
        <v>0</v>
      </c>
      <c r="N1079" s="121">
        <f t="shared" si="411"/>
        <v>1</v>
      </c>
      <c r="O1079" s="246">
        <f t="shared" si="412"/>
        <v>0.9</v>
      </c>
      <c r="P1079" s="121">
        <f t="shared" si="413"/>
        <v>0</v>
      </c>
      <c r="Q1079" s="121">
        <f t="shared" si="414"/>
        <v>0</v>
      </c>
      <c r="R1079" s="121">
        <f t="shared" si="415"/>
        <v>0.41666666666666669</v>
      </c>
      <c r="AE1079" s="160">
        <f t="shared" si="416"/>
        <v>0.97826086956521741</v>
      </c>
    </row>
    <row r="1080" spans="1:31" x14ac:dyDescent="0.3">
      <c r="A1080" s="187">
        <v>47</v>
      </c>
      <c r="B1080" s="242">
        <f t="shared" si="417"/>
        <v>47058</v>
      </c>
      <c r="C1080" s="243">
        <f t="shared" si="400"/>
        <v>47087</v>
      </c>
      <c r="D1080" s="120">
        <f t="shared" si="401"/>
        <v>30</v>
      </c>
      <c r="E1080" s="120">
        <f t="shared" si="402"/>
        <v>11</v>
      </c>
      <c r="F1080" s="275">
        <f t="shared" si="403"/>
        <v>47073</v>
      </c>
      <c r="G1080" s="120">
        <f t="shared" si="404"/>
        <v>24346</v>
      </c>
      <c r="H1080" s="245">
        <f t="shared" si="405"/>
        <v>1</v>
      </c>
      <c r="I1080" s="121">
        <f t="shared" si="406"/>
        <v>1</v>
      </c>
      <c r="J1080" s="121">
        <f t="shared" si="407"/>
        <v>1</v>
      </c>
      <c r="K1080" s="120">
        <f t="shared" si="408"/>
        <v>0</v>
      </c>
      <c r="L1080" s="120">
        <f t="shared" si="409"/>
        <v>0</v>
      </c>
      <c r="M1080" s="246">
        <f t="shared" si="410"/>
        <v>0</v>
      </c>
      <c r="N1080" s="121">
        <f t="shared" si="411"/>
        <v>1</v>
      </c>
      <c r="O1080" s="246">
        <f t="shared" si="412"/>
        <v>0.9</v>
      </c>
      <c r="P1080" s="121">
        <f t="shared" si="413"/>
        <v>0</v>
      </c>
      <c r="Q1080" s="121">
        <f t="shared" si="414"/>
        <v>0</v>
      </c>
      <c r="R1080" s="121">
        <f t="shared" si="415"/>
        <v>0.25</v>
      </c>
      <c r="AE1080" s="160">
        <f t="shared" si="416"/>
        <v>0.97826086956521741</v>
      </c>
    </row>
    <row r="1081" spans="1:31" x14ac:dyDescent="0.3">
      <c r="A1081" s="187">
        <v>48</v>
      </c>
      <c r="B1081" s="242">
        <f t="shared" si="417"/>
        <v>47088</v>
      </c>
      <c r="C1081" s="243">
        <f t="shared" si="400"/>
        <v>47118</v>
      </c>
      <c r="D1081" s="120">
        <f t="shared" si="401"/>
        <v>31</v>
      </c>
      <c r="E1081" s="120">
        <f t="shared" si="402"/>
        <v>12</v>
      </c>
      <c r="F1081" s="275">
        <f t="shared" si="403"/>
        <v>47103.5</v>
      </c>
      <c r="G1081" s="120">
        <f t="shared" si="404"/>
        <v>24347</v>
      </c>
      <c r="H1081" s="245">
        <f t="shared" si="405"/>
        <v>1</v>
      </c>
      <c r="I1081" s="121">
        <f t="shared" si="406"/>
        <v>1</v>
      </c>
      <c r="J1081" s="121">
        <f t="shared" si="407"/>
        <v>1</v>
      </c>
      <c r="K1081" s="120">
        <f t="shared" si="408"/>
        <v>0</v>
      </c>
      <c r="L1081" s="120">
        <f t="shared" si="409"/>
        <v>0</v>
      </c>
      <c r="M1081" s="246">
        <f t="shared" si="410"/>
        <v>0</v>
      </c>
      <c r="N1081" s="121">
        <f t="shared" si="411"/>
        <v>1</v>
      </c>
      <c r="O1081" s="246">
        <f t="shared" si="412"/>
        <v>0.9</v>
      </c>
      <c r="P1081" s="121">
        <f t="shared" si="413"/>
        <v>0</v>
      </c>
      <c r="Q1081" s="121">
        <f t="shared" si="414"/>
        <v>0</v>
      </c>
      <c r="R1081" s="121">
        <f t="shared" si="415"/>
        <v>8.3333333333333329E-2</v>
      </c>
      <c r="AE1081" s="160">
        <f t="shared" si="416"/>
        <v>0.97826086956521741</v>
      </c>
    </row>
    <row r="1082" spans="1:31" x14ac:dyDescent="0.3">
      <c r="A1082" s="23" t="s">
        <v>1723</v>
      </c>
      <c r="B1082" s="279">
        <f>SUM($H$1058:$H$1069)</f>
        <v>12</v>
      </c>
      <c r="C1082" s="160">
        <f>SUMPRODUCT($H$1058:$H$1069,$W$1058:$W$1069/$N$1046:$N$1057,$Y$1058:$Y$1069)</f>
        <v>11.894908651677646</v>
      </c>
      <c r="D1082" s="160">
        <f>SUMPRODUCT($H$1058:$H$1069,$X$1058:$X$1069/$N$1046:$N$1057,$Y$1058:$Y$1069)</f>
        <v>8.921095435447377</v>
      </c>
      <c r="E1082" s="281" t="str">
        <f>IF(OR($D$1031=0,$P$1031=0,$D1082=0),"n/a",((1+$E$1031)*$B1082-$C1082)/$D1082)</f>
        <v>n/a</v>
      </c>
      <c r="F1082" s="281" t="str">
        <f>IF($V$1031&lt;&gt;"",$V$1031,$E1082)</f>
        <v>n/a</v>
      </c>
      <c r="G1082" s="281" t="str">
        <f>IF(OR(NOT(ISNUMBER($F1082)),nd_Ach=0),"n/a",$F1082/nd_Ach)</f>
        <v>n/a</v>
      </c>
      <c r="H1082" s="220" t="str">
        <f>IF(OR(NOT(ISNUMBER($F1082)),$F$1031=0,SUMPRODUCT($AD$1058:$AD$1069,$AB$1058:$AB$1069)=0),"n/a",((1+$E$1031)*$B1082-SUMPRODUCT($AD$1058:$AD$1069,$AC$1058:$AC$1069))/SUMPRODUCT($AD$1058:$AD$1069,$AB$1058:$AB$1069))</f>
        <v>n/a</v>
      </c>
      <c r="I1082" s="183" t="str">
        <f>IF(NOT(ISNUMBER($F1082)),"n/a",SUMPRODUCT($H$1058:$H$1069,($W$1058:$W$1069+$X$1058:$X$1069*$F1082)/$N$1046:$N$1057)/$B1082-1)</f>
        <v>n/a</v>
      </c>
      <c r="J1082" s="183" t="str">
        <f>IF(OR(NOT(ISNUMBER($I1082)),$F$1031=0),"n/a",(1+$E$1031)/(1+$I1082)-1)</f>
        <v>n/a</v>
      </c>
      <c r="K1082" s="183" t="str">
        <f>IF(NOT(ISNUMBER($F1082)),"n/a",($C1082+$D1082*$F1082)/$B1082-1)</f>
        <v>n/a</v>
      </c>
      <c r="L1082" s="229" t="str">
        <f>IF(NOT(ISNUMBER($F1082)),"n/a",SUMPRODUCT($H$1058:$H$1069,$AF$1058:$AF$1069)/$B1082)</f>
        <v>n/a</v>
      </c>
      <c r="M1082" s="23" t="str">
        <f>IF($D$1031=0,"",TRIM(IF(AND(ISNUMBER($H1082),OR($H1082&lt;0.5,$H1082&gt;1.5)),"MOD-BOUND ","")&amp;IF(AND(ISNUMBER($F1082),ABS($F1082)&gt;nr_SolvMaxRate),"RATE-BOUND ","")&amp;IF(AND(ISNUMBER($L1082),$L1082&lt;nr_SolvMinShare),"THIN-SHARE ","")&amp;IF($W$1031&gt;1,"MULTI-PLANNED ","")&amp;IF($F$1031=0,"RATE-ONLY","")))</f>
        <v/>
      </c>
      <c r="N1082" s="229" t="str">
        <f>IF(OR($D$1031=0,NOT(ISNUMBER($F1082))),"n/a",INDEX(calc_lrcur,$C$1031)*INDEX(calc_crl,$C$1031)/(SUMPRODUCT($H$1034:$H$1081,$Q$1034:$Q$1081,$AE$1034:$AE$1081)/SUMPRODUCT($H$1034:$H$1081,$Q$1034:$Q$1081))*INDEX(calc_aother,$C$1031))</f>
        <v>n/a</v>
      </c>
      <c r="O1082" s="229" t="str">
        <f>IF($D$1031=0,"n/a",INDEX(calc_cylr_p,$C$1031))</f>
        <v>n/a</v>
      </c>
      <c r="P1082" s="282">
        <f>IF(NOT(ISNUMBER($E1082)),0,ABS(($C1082+$D1082*$E1082)/$B1082-(1+$E$1031)))</f>
        <v>0</v>
      </c>
    </row>
    <row r="1087" spans="1:31" x14ac:dyDescent="0.3">
      <c r="A1087" s="23" t="str">
        <f>_lists!$B$18</f>
        <v>PA</v>
      </c>
      <c r="B1087" s="23" t="str">
        <f>IF(OR($A1087="",nd_BU="All"),"",nd_BU&amp;"|"&amp;$A1087)</f>
        <v>SBA|PA</v>
      </c>
      <c r="C1087" s="43">
        <f>IF($B1087="",0,IF(COUNTIF(lr_key,$B1087)=0,0,MATCH($B1087,lr_key,0)))</f>
        <v>58</v>
      </c>
      <c r="D1087" s="43">
        <f>IF($C1087=0,0,IF(ISBLANK(INDEX(lr_netp,$C1087)),0,1))</f>
        <v>0</v>
      </c>
      <c r="E1087" s="229">
        <f>IF($D1087=0,0,N(INDEX(lr_netp,$C1087)))</f>
        <v>0</v>
      </c>
      <c r="F1087" s="43">
        <f>IF($C1087=0,0,IF(AND(nr_ModAdjMaster="ON",INDEX(lr_modadj,$C1087)="ON"),1,0))</f>
        <v>1</v>
      </c>
      <c r="G1087" s="220">
        <f>IF($C1087=0,1,IF(N(INDEX(lr_mind,$C1087))=0,1,INDEX(lr_mind,$C1087)))</f>
        <v>0.92</v>
      </c>
      <c r="H1087" s="220">
        <f>IF($C1087=0,1,IF(N(INDEX(lr_m0,$C1087))=0,1,INDEX(lr_m0,$C1087)))</f>
        <v>0.91</v>
      </c>
      <c r="I1087" s="278">
        <f>IF($C1087=0,DATE(nr_PlanYear-1,10,1),IF(N(INDEX(lr_m0asof,$C1087))=0,DATE(nr_PlanYear-1,10,1),INDEX(lr_m0asof,$C1087)))</f>
        <v>46295</v>
      </c>
      <c r="J1087" s="220">
        <f>IF($C1087=0,1,IF(N(INDEX(lr_m1,$C1087))=0,1,INDEX(lr_m1,$C1087)))</f>
        <v>0.91500000000000004</v>
      </c>
      <c r="K1087" s="220">
        <f>IF($C1087=0,0,N(INDEX(lr_mprior,$C1087)))</f>
        <v>0</v>
      </c>
      <c r="L1087" s="220">
        <f>IF($C1087=0,0,N(INDEX(lr_m2,$C1087)))</f>
        <v>0</v>
      </c>
      <c r="M1087" s="43">
        <f>IF(OR($A1087="",COUNTIF(se_state,$A1087)=0),0,MATCH($A1087,se_state,0))</f>
        <v>0</v>
      </c>
      <c r="N1087" s="279">
        <f>IF($M1087=0,0,INDEX(se_sum,$M1087))</f>
        <v>0</v>
      </c>
      <c r="O1087" s="278">
        <f>IF('Net Delivery'!$D$24="",$X1087,'Net Delivery'!$D$24)</f>
        <v>46600</v>
      </c>
      <c r="P1087" s="43">
        <f>IF(AND($O1087&gt;=DATE(nr_PlanYear,1,1),$O1087&lt;=DATE(nr_PlanYear,12,31)),1,0)</f>
        <v>1</v>
      </c>
      <c r="Q1087" s="43">
        <f>YEAR($O1087)*12+MONTH($O1087)-1</f>
        <v>24331</v>
      </c>
      <c r="R1087" s="43">
        <f>DAY(EOMONTH($O1087,0))</f>
        <v>31</v>
      </c>
      <c r="S1087" s="43">
        <f>EOMONTH($O1087,0)-$O1087+1</f>
        <v>31</v>
      </c>
      <c r="T1087" s="43">
        <f>SUMIFS(ndl_days,rl_key,$B1087,ndl_effmonth,DATE(YEAR($O1087),MONTH($O1087),1),ndl_first,1)</f>
        <v>0</v>
      </c>
      <c r="U1087" s="220">
        <f>IF($P1087=1,MIN(1,MAX($S1087,$T1087)/$R1087),1)</f>
        <v>1</v>
      </c>
      <c r="V1087" s="280">
        <f>IF(ISBLANK('Net Delivery'!$E$24),$Y1087,'Net Delivery'!$E$24)</f>
        <v>0.04</v>
      </c>
      <c r="W1087" s="43">
        <f>IF($B1087="",0,COUNTIFS(rl_key,$B1087,rl_status,"planned",rl_eff,"&gt;="&amp;DATE(nr_PlanYear,1,1),rl_eff,"&lt;="&amp;DATE(nr_PlanYear,12,31)))</f>
        <v>1</v>
      </c>
      <c r="X1087" s="278">
        <f>IF($W1087=0,nd_DefaultDate,SUMIFS(rl_eff,rl_key,$B1087,rl_firstplanned,1))</f>
        <v>46600</v>
      </c>
      <c r="Y1087" s="280">
        <f>IF($W1087=0,"",SUMIFS(rl_reff,rl_key,$B1087,rl_firstplanned,1))</f>
        <v>0.04</v>
      </c>
      <c r="Z1087" s="280">
        <f>IF($W1087=0,"",SUMIFS(rl_filed,rl_key,$B1087,rl_firstplanned,1))</f>
        <v>0.04</v>
      </c>
    </row>
    <row r="1088" spans="1:31" x14ac:dyDescent="0.3">
      <c r="A1088" s="6">
        <f>EDATE($I$1087,-12)+1</f>
        <v>45931</v>
      </c>
      <c r="B1088" s="6">
        <f>$I$1087+1</f>
        <v>46296</v>
      </c>
      <c r="C1088" s="6">
        <f>DATE(nr_PlanYear,12,31)+1</f>
        <v>46753</v>
      </c>
      <c r="D1088" s="6">
        <f>DATE(nr_PlanYear+1,12,31)+1</f>
        <v>47119</v>
      </c>
      <c r="E1088" s="6">
        <f>IF(N($K$1087)=0,$F$1088-($G$1088-$F$1088)/($C$1088-$B$1088)*($B$1088-$A$1088),$K$1087)</f>
        <v>0.90600656455142237</v>
      </c>
      <c r="F1088" s="6">
        <f>$H$1087</f>
        <v>0.91</v>
      </c>
      <c r="G1088" s="6">
        <f>$J$1087</f>
        <v>0.91500000000000004</v>
      </c>
      <c r="H1088" s="6">
        <f>IF(N($L$1087)=0,$J$1087,$L$1087)</f>
        <v>0.91500000000000004</v>
      </c>
      <c r="I1088" s="6">
        <f>($F$1088-$E$1088)/($B$1088-$A$1088)</f>
        <v>1.0940919037199081E-5</v>
      </c>
      <c r="J1088" s="6">
        <f>($G$1088-$F$1088)/($C$1088-$B$1088)</f>
        <v>1.0940919037199135E-5</v>
      </c>
      <c r="K1088" s="6">
        <f>($H$1088-$G$1088)/($D$1088-$C$1088)</f>
        <v>0</v>
      </c>
    </row>
    <row r="1089" spans="1:31" ht="36" x14ac:dyDescent="0.3">
      <c r="A1089" s="58" t="s">
        <v>390</v>
      </c>
      <c r="B1089" s="58" t="s">
        <v>449</v>
      </c>
      <c r="C1089" s="58" t="s">
        <v>685</v>
      </c>
      <c r="D1089" s="58" t="s">
        <v>686</v>
      </c>
      <c r="E1089" s="58" t="s">
        <v>687</v>
      </c>
      <c r="F1089" s="58" t="s">
        <v>688</v>
      </c>
      <c r="G1089" s="58" t="s">
        <v>689</v>
      </c>
      <c r="H1089" s="58" t="s">
        <v>452</v>
      </c>
      <c r="I1089" s="58" t="s">
        <v>690</v>
      </c>
      <c r="J1089" s="58" t="s">
        <v>691</v>
      </c>
      <c r="K1089" s="58" t="s">
        <v>692</v>
      </c>
      <c r="L1089" s="58" t="s">
        <v>693</v>
      </c>
      <c r="M1089" s="58" t="s">
        <v>694</v>
      </c>
      <c r="N1089" s="58" t="s">
        <v>695</v>
      </c>
      <c r="O1089" s="58" t="s">
        <v>696</v>
      </c>
      <c r="P1089" s="58" t="s">
        <v>697</v>
      </c>
      <c r="Q1089" s="58" t="s">
        <v>698</v>
      </c>
      <c r="R1089" s="58" t="s">
        <v>699</v>
      </c>
      <c r="S1089" s="58" t="s">
        <v>700</v>
      </c>
      <c r="T1089" s="58" t="s">
        <v>701</v>
      </c>
      <c r="U1089" s="58" t="s">
        <v>702</v>
      </c>
    </row>
    <row r="1090" spans="1:31" x14ac:dyDescent="0.3">
      <c r="A1090" s="187">
        <v>1</v>
      </c>
      <c r="B1090" s="242">
        <f>DATE(nr_PlanYear-2,1,1)</f>
        <v>45658</v>
      </c>
      <c r="C1090" s="243">
        <f t="shared" ref="C1090:C1137" si="428">EOMONTH($B1090,0)</f>
        <v>45688</v>
      </c>
      <c r="D1090" s="120">
        <f t="shared" ref="D1090:D1137" si="429">$C1090-$B1090+1</f>
        <v>31</v>
      </c>
      <c r="E1090" s="120">
        <f t="shared" ref="E1090:E1137" si="430">MONTH($B1090)</f>
        <v>1</v>
      </c>
      <c r="F1090" s="275">
        <f t="shared" ref="F1090:F1137" si="431">($B1090+$C1090+1)/2</f>
        <v>45673.5</v>
      </c>
      <c r="G1090" s="120">
        <f t="shared" ref="G1090:G1137" si="432">YEAR($B1090)*12+MONTH($B1090)-1</f>
        <v>24300</v>
      </c>
      <c r="H1090" s="245">
        <f t="shared" ref="H1090:H1137" si="433">IF(OR(nr_SeasonOn="OFF",$M$1087=0,$N$1087=0),1,12*INDEX(se_block,$M$1087,$E1090)/$N$1087)</f>
        <v>1</v>
      </c>
      <c r="I1090" s="121">
        <f t="shared" ref="I1090:I1137" si="434">EXP(SUMPRODUCT((ndl_eff&lt;$B1090)*(rl_key=$B$1087)*ndl_ln))</f>
        <v>1</v>
      </c>
      <c r="J1090" s="121">
        <f t="shared" ref="J1090:J1137" si="435">EXP(SUMPRODUCT((ndl_eff&lt;=$C1090)*(rl_key=$B$1087)*ndl_ln))</f>
        <v>1</v>
      </c>
      <c r="K1090" s="120">
        <f t="shared" ref="K1090:K1137" si="436">COUNTIFS(rl_key,$B$1087,ndl_eff,"&gt;="&amp;$B1090,ndl_eff,"&lt;="&amp;$C1090)</f>
        <v>0</v>
      </c>
      <c r="L1090" s="120">
        <f t="shared" ref="L1090:L1137" si="437">SUMIFS(ndl_days,rl_key,$B$1087,ndl_effmonth,$B1090,ndl_first,1)</f>
        <v>0</v>
      </c>
      <c r="M1090" s="246">
        <f t="shared" ref="M1090:M1137" si="438">IF($K1090=0,0,MIN(1,$L1090/$D1090))</f>
        <v>0</v>
      </c>
      <c r="N1090" s="121">
        <f t="shared" ref="N1090:N1137" si="439">IF($K1090=0,$J1090,(1-$M1090)*$I1090+$M1090*$J1090)</f>
        <v>1</v>
      </c>
      <c r="O1090" s="246">
        <f t="shared" ref="O1090:O1137" si="440">IF($F1090&lt;$B$1088,$E$1088+$I$1088*($F1090-$A$1088),IF($F1090&lt;$C$1088,$F$1088+$J$1088*($F1090-$B$1088),$G$1088+$K$1088*($F1090-$C$1088)))</f>
        <v>0.90318927789934356</v>
      </c>
      <c r="P1090" s="121">
        <f t="shared" ref="P1090:P1137" si="441">MIN(1,MAX(0,(nr_MEndPm1-$G1090+0.5)/nr_TermMonths))-MIN(1,MAX(0,(nr_MStartPm1-1-$G1090+0.5)/nr_TermMonths))</f>
        <v>0</v>
      </c>
      <c r="Q1090" s="121">
        <f t="shared" ref="Q1090:Q1137" si="442">MIN(1,MAX(0,(nr_MEndP-$G1090+0.5)/nr_TermMonths))-MIN(1,MAX(0,(nr_MStartP-1-$G1090+0.5)/nr_TermMonths))</f>
        <v>0</v>
      </c>
      <c r="R1090" s="121">
        <f t="shared" ref="R1090:R1137" si="443">MIN(1,MAX(0,(nr_MEndP1-$G1090+0.5)/nr_TermMonths))-MIN(1,MAX(0,(nr_MStartP1-1-$G1090+0.5)/nr_TermMonths))</f>
        <v>0</v>
      </c>
      <c r="AE1090" s="160">
        <f t="shared" ref="AE1090:AE1137" si="444">IF(OR($G1090&lt;nr_MStartP,$G1090&gt;=nr_MStartP1),IF($F$1087=1,$N1090*$O1090/$G$1087,$N1090),($W1090+$X1090*IF(ISNUMBER($F$1138),$F$1138,0))*IF($F$1087=1,($AC1090+$AB1090*IF(ISNUMBER($H$1138),$H$1138,$J$1087))/$G$1087,1))</f>
        <v>0.98172747597754728</v>
      </c>
    </row>
    <row r="1091" spans="1:31" x14ac:dyDescent="0.3">
      <c r="A1091" s="187">
        <v>2</v>
      </c>
      <c r="B1091" s="242">
        <f t="shared" ref="B1091:B1137" si="445">EDATE($B1090,1)</f>
        <v>45689</v>
      </c>
      <c r="C1091" s="243">
        <f t="shared" si="428"/>
        <v>45716</v>
      </c>
      <c r="D1091" s="120">
        <f t="shared" si="429"/>
        <v>28</v>
      </c>
      <c r="E1091" s="120">
        <f t="shared" si="430"/>
        <v>2</v>
      </c>
      <c r="F1091" s="275">
        <f t="shared" si="431"/>
        <v>45703</v>
      </c>
      <c r="G1091" s="120">
        <f t="shared" si="432"/>
        <v>24301</v>
      </c>
      <c r="H1091" s="245">
        <f t="shared" si="433"/>
        <v>1</v>
      </c>
      <c r="I1091" s="121">
        <f t="shared" si="434"/>
        <v>1</v>
      </c>
      <c r="J1091" s="121">
        <f t="shared" si="435"/>
        <v>1</v>
      </c>
      <c r="K1091" s="120">
        <f t="shared" si="436"/>
        <v>0</v>
      </c>
      <c r="L1091" s="120">
        <f t="shared" si="437"/>
        <v>0</v>
      </c>
      <c r="M1091" s="246">
        <f t="shared" si="438"/>
        <v>0</v>
      </c>
      <c r="N1091" s="121">
        <f t="shared" si="439"/>
        <v>1</v>
      </c>
      <c r="O1091" s="246">
        <f t="shared" si="440"/>
        <v>0.90351203501094102</v>
      </c>
      <c r="P1091" s="121">
        <f t="shared" si="441"/>
        <v>0</v>
      </c>
      <c r="Q1091" s="121">
        <f t="shared" si="442"/>
        <v>0</v>
      </c>
      <c r="R1091" s="121">
        <f t="shared" si="443"/>
        <v>0</v>
      </c>
      <c r="AE1091" s="160">
        <f t="shared" si="444"/>
        <v>0.98207829892493581</v>
      </c>
    </row>
    <row r="1092" spans="1:31" x14ac:dyDescent="0.3">
      <c r="A1092" s="187">
        <v>3</v>
      </c>
      <c r="B1092" s="242">
        <f t="shared" si="445"/>
        <v>45717</v>
      </c>
      <c r="C1092" s="243">
        <f t="shared" si="428"/>
        <v>45747</v>
      </c>
      <c r="D1092" s="120">
        <f t="shared" si="429"/>
        <v>31</v>
      </c>
      <c r="E1092" s="120">
        <f t="shared" si="430"/>
        <v>3</v>
      </c>
      <c r="F1092" s="275">
        <f t="shared" si="431"/>
        <v>45732.5</v>
      </c>
      <c r="G1092" s="120">
        <f t="shared" si="432"/>
        <v>24302</v>
      </c>
      <c r="H1092" s="245">
        <f t="shared" si="433"/>
        <v>1</v>
      </c>
      <c r="I1092" s="121">
        <f t="shared" si="434"/>
        <v>1</v>
      </c>
      <c r="J1092" s="121">
        <f t="shared" si="435"/>
        <v>1</v>
      </c>
      <c r="K1092" s="120">
        <f t="shared" si="436"/>
        <v>0</v>
      </c>
      <c r="L1092" s="120">
        <f t="shared" si="437"/>
        <v>0</v>
      </c>
      <c r="M1092" s="246">
        <f t="shared" si="438"/>
        <v>0</v>
      </c>
      <c r="N1092" s="121">
        <f t="shared" si="439"/>
        <v>1</v>
      </c>
      <c r="O1092" s="246">
        <f t="shared" si="440"/>
        <v>0.90383479212253837</v>
      </c>
      <c r="P1092" s="121">
        <f t="shared" si="441"/>
        <v>0</v>
      </c>
      <c r="Q1092" s="121">
        <f t="shared" si="442"/>
        <v>0</v>
      </c>
      <c r="R1092" s="121">
        <f t="shared" si="443"/>
        <v>0</v>
      </c>
      <c r="AE1092" s="160">
        <f t="shared" si="444"/>
        <v>0.98242912187232423</v>
      </c>
    </row>
    <row r="1093" spans="1:31" x14ac:dyDescent="0.3">
      <c r="A1093" s="187">
        <v>4</v>
      </c>
      <c r="B1093" s="242">
        <f t="shared" si="445"/>
        <v>45748</v>
      </c>
      <c r="C1093" s="243">
        <f t="shared" si="428"/>
        <v>45777</v>
      </c>
      <c r="D1093" s="120">
        <f t="shared" si="429"/>
        <v>30</v>
      </c>
      <c r="E1093" s="120">
        <f t="shared" si="430"/>
        <v>4</v>
      </c>
      <c r="F1093" s="275">
        <f t="shared" si="431"/>
        <v>45763</v>
      </c>
      <c r="G1093" s="120">
        <f t="shared" si="432"/>
        <v>24303</v>
      </c>
      <c r="H1093" s="245">
        <f t="shared" si="433"/>
        <v>1</v>
      </c>
      <c r="I1093" s="121">
        <f t="shared" si="434"/>
        <v>1</v>
      </c>
      <c r="J1093" s="121">
        <f t="shared" si="435"/>
        <v>1</v>
      </c>
      <c r="K1093" s="120">
        <f t="shared" si="436"/>
        <v>0</v>
      </c>
      <c r="L1093" s="120">
        <f t="shared" si="437"/>
        <v>0</v>
      </c>
      <c r="M1093" s="246">
        <f t="shared" si="438"/>
        <v>0</v>
      </c>
      <c r="N1093" s="121">
        <f t="shared" si="439"/>
        <v>1</v>
      </c>
      <c r="O1093" s="246">
        <f t="shared" si="440"/>
        <v>0.90416849015317291</v>
      </c>
      <c r="P1093" s="121">
        <f t="shared" si="441"/>
        <v>0</v>
      </c>
      <c r="Q1093" s="121">
        <f t="shared" si="442"/>
        <v>0</v>
      </c>
      <c r="R1093" s="121">
        <f t="shared" si="443"/>
        <v>0</v>
      </c>
      <c r="AE1093" s="160">
        <f t="shared" si="444"/>
        <v>0.98279183712301399</v>
      </c>
    </row>
    <row r="1094" spans="1:31" x14ac:dyDescent="0.3">
      <c r="A1094" s="187">
        <v>5</v>
      </c>
      <c r="B1094" s="242">
        <f t="shared" si="445"/>
        <v>45778</v>
      </c>
      <c r="C1094" s="243">
        <f t="shared" si="428"/>
        <v>45808</v>
      </c>
      <c r="D1094" s="120">
        <f t="shared" si="429"/>
        <v>31</v>
      </c>
      <c r="E1094" s="120">
        <f t="shared" si="430"/>
        <v>5</v>
      </c>
      <c r="F1094" s="275">
        <f t="shared" si="431"/>
        <v>45793.5</v>
      </c>
      <c r="G1094" s="120">
        <f t="shared" si="432"/>
        <v>24304</v>
      </c>
      <c r="H1094" s="245">
        <f t="shared" si="433"/>
        <v>1</v>
      </c>
      <c r="I1094" s="121">
        <f t="shared" si="434"/>
        <v>1</v>
      </c>
      <c r="J1094" s="121">
        <f t="shared" si="435"/>
        <v>1</v>
      </c>
      <c r="K1094" s="120">
        <f t="shared" si="436"/>
        <v>0</v>
      </c>
      <c r="L1094" s="120">
        <f t="shared" si="437"/>
        <v>0</v>
      </c>
      <c r="M1094" s="246">
        <f t="shared" si="438"/>
        <v>0</v>
      </c>
      <c r="N1094" s="121">
        <f t="shared" si="439"/>
        <v>1</v>
      </c>
      <c r="O1094" s="246">
        <f t="shared" si="440"/>
        <v>0.90450218818380745</v>
      </c>
      <c r="P1094" s="121">
        <f t="shared" si="441"/>
        <v>0</v>
      </c>
      <c r="Q1094" s="121">
        <f t="shared" si="442"/>
        <v>0</v>
      </c>
      <c r="R1094" s="121">
        <f t="shared" si="443"/>
        <v>0</v>
      </c>
      <c r="AE1094" s="160">
        <f t="shared" si="444"/>
        <v>0.98315455237370375</v>
      </c>
    </row>
    <row r="1095" spans="1:31" x14ac:dyDescent="0.3">
      <c r="A1095" s="187">
        <v>6</v>
      </c>
      <c r="B1095" s="242">
        <f t="shared" si="445"/>
        <v>45809</v>
      </c>
      <c r="C1095" s="243">
        <f t="shared" si="428"/>
        <v>45838</v>
      </c>
      <c r="D1095" s="120">
        <f t="shared" si="429"/>
        <v>30</v>
      </c>
      <c r="E1095" s="120">
        <f t="shared" si="430"/>
        <v>6</v>
      </c>
      <c r="F1095" s="275">
        <f t="shared" si="431"/>
        <v>45824</v>
      </c>
      <c r="G1095" s="120">
        <f t="shared" si="432"/>
        <v>24305</v>
      </c>
      <c r="H1095" s="245">
        <f t="shared" si="433"/>
        <v>1</v>
      </c>
      <c r="I1095" s="121">
        <f t="shared" si="434"/>
        <v>1</v>
      </c>
      <c r="J1095" s="121">
        <f t="shared" si="435"/>
        <v>1</v>
      </c>
      <c r="K1095" s="120">
        <f t="shared" si="436"/>
        <v>0</v>
      </c>
      <c r="L1095" s="120">
        <f t="shared" si="437"/>
        <v>0</v>
      </c>
      <c r="M1095" s="246">
        <f t="shared" si="438"/>
        <v>0</v>
      </c>
      <c r="N1095" s="121">
        <f t="shared" si="439"/>
        <v>1</v>
      </c>
      <c r="O1095" s="246">
        <f t="shared" si="440"/>
        <v>0.90483588621444211</v>
      </c>
      <c r="P1095" s="121">
        <f t="shared" si="441"/>
        <v>0</v>
      </c>
      <c r="Q1095" s="121">
        <f t="shared" si="442"/>
        <v>0</v>
      </c>
      <c r="R1095" s="121">
        <f t="shared" si="443"/>
        <v>0</v>
      </c>
      <c r="AE1095" s="160">
        <f t="shared" si="444"/>
        <v>0.98351726762439351</v>
      </c>
    </row>
    <row r="1096" spans="1:31" x14ac:dyDescent="0.3">
      <c r="A1096" s="187">
        <v>7</v>
      </c>
      <c r="B1096" s="242">
        <f t="shared" si="445"/>
        <v>45839</v>
      </c>
      <c r="C1096" s="243">
        <f t="shared" si="428"/>
        <v>45869</v>
      </c>
      <c r="D1096" s="120">
        <f t="shared" si="429"/>
        <v>31</v>
      </c>
      <c r="E1096" s="120">
        <f t="shared" si="430"/>
        <v>7</v>
      </c>
      <c r="F1096" s="275">
        <f t="shared" si="431"/>
        <v>45854.5</v>
      </c>
      <c r="G1096" s="120">
        <f t="shared" si="432"/>
        <v>24306</v>
      </c>
      <c r="H1096" s="245">
        <f t="shared" si="433"/>
        <v>1</v>
      </c>
      <c r="I1096" s="121">
        <f t="shared" si="434"/>
        <v>1</v>
      </c>
      <c r="J1096" s="121">
        <f t="shared" si="435"/>
        <v>1</v>
      </c>
      <c r="K1096" s="120">
        <f t="shared" si="436"/>
        <v>0</v>
      </c>
      <c r="L1096" s="120">
        <f t="shared" si="437"/>
        <v>0</v>
      </c>
      <c r="M1096" s="246">
        <f t="shared" si="438"/>
        <v>0</v>
      </c>
      <c r="N1096" s="121">
        <f t="shared" si="439"/>
        <v>1</v>
      </c>
      <c r="O1096" s="246">
        <f t="shared" si="440"/>
        <v>0.90516958424507665</v>
      </c>
      <c r="P1096" s="121">
        <f t="shared" si="441"/>
        <v>8.333333333333337E-2</v>
      </c>
      <c r="Q1096" s="121">
        <f t="shared" si="442"/>
        <v>0</v>
      </c>
      <c r="R1096" s="121">
        <f t="shared" si="443"/>
        <v>0</v>
      </c>
      <c r="AE1096" s="160">
        <f t="shared" si="444"/>
        <v>0.98387998287508327</v>
      </c>
    </row>
    <row r="1097" spans="1:31" x14ac:dyDescent="0.3">
      <c r="A1097" s="187">
        <v>8</v>
      </c>
      <c r="B1097" s="242">
        <f t="shared" si="445"/>
        <v>45870</v>
      </c>
      <c r="C1097" s="243">
        <f t="shared" si="428"/>
        <v>45900</v>
      </c>
      <c r="D1097" s="120">
        <f t="shared" si="429"/>
        <v>31</v>
      </c>
      <c r="E1097" s="120">
        <f t="shared" si="430"/>
        <v>8</v>
      </c>
      <c r="F1097" s="275">
        <f t="shared" si="431"/>
        <v>45885.5</v>
      </c>
      <c r="G1097" s="120">
        <f t="shared" si="432"/>
        <v>24307</v>
      </c>
      <c r="H1097" s="245">
        <f t="shared" si="433"/>
        <v>1</v>
      </c>
      <c r="I1097" s="121">
        <f t="shared" si="434"/>
        <v>1</v>
      </c>
      <c r="J1097" s="121">
        <f t="shared" si="435"/>
        <v>1</v>
      </c>
      <c r="K1097" s="120">
        <f t="shared" si="436"/>
        <v>0</v>
      </c>
      <c r="L1097" s="120">
        <f t="shared" si="437"/>
        <v>0</v>
      </c>
      <c r="M1097" s="246">
        <f t="shared" si="438"/>
        <v>0</v>
      </c>
      <c r="N1097" s="121">
        <f t="shared" si="439"/>
        <v>1</v>
      </c>
      <c r="O1097" s="246">
        <f t="shared" si="440"/>
        <v>0.90550875273522979</v>
      </c>
      <c r="P1097" s="121">
        <f t="shared" si="441"/>
        <v>0.25</v>
      </c>
      <c r="Q1097" s="121">
        <f t="shared" si="442"/>
        <v>0</v>
      </c>
      <c r="R1097" s="121">
        <f t="shared" si="443"/>
        <v>0</v>
      </c>
      <c r="AE1097" s="160">
        <f t="shared" si="444"/>
        <v>0.98424864427742365</v>
      </c>
    </row>
    <row r="1098" spans="1:31" x14ac:dyDescent="0.3">
      <c r="A1098" s="187">
        <v>9</v>
      </c>
      <c r="B1098" s="242">
        <f t="shared" si="445"/>
        <v>45901</v>
      </c>
      <c r="C1098" s="243">
        <f t="shared" si="428"/>
        <v>45930</v>
      </c>
      <c r="D1098" s="120">
        <f t="shared" si="429"/>
        <v>30</v>
      </c>
      <c r="E1098" s="120">
        <f t="shared" si="430"/>
        <v>9</v>
      </c>
      <c r="F1098" s="275">
        <f t="shared" si="431"/>
        <v>45916</v>
      </c>
      <c r="G1098" s="120">
        <f t="shared" si="432"/>
        <v>24308</v>
      </c>
      <c r="H1098" s="245">
        <f t="shared" si="433"/>
        <v>1</v>
      </c>
      <c r="I1098" s="121">
        <f t="shared" si="434"/>
        <v>1</v>
      </c>
      <c r="J1098" s="121">
        <f t="shared" si="435"/>
        <v>1</v>
      </c>
      <c r="K1098" s="120">
        <f t="shared" si="436"/>
        <v>0</v>
      </c>
      <c r="L1098" s="120">
        <f t="shared" si="437"/>
        <v>0</v>
      </c>
      <c r="M1098" s="246">
        <f t="shared" si="438"/>
        <v>0</v>
      </c>
      <c r="N1098" s="121">
        <f t="shared" si="439"/>
        <v>1</v>
      </c>
      <c r="O1098" s="246">
        <f t="shared" si="440"/>
        <v>0.90584245076586434</v>
      </c>
      <c r="P1098" s="121">
        <f t="shared" si="441"/>
        <v>0.41666666666666663</v>
      </c>
      <c r="Q1098" s="121">
        <f t="shared" si="442"/>
        <v>0</v>
      </c>
      <c r="R1098" s="121">
        <f t="shared" si="443"/>
        <v>0</v>
      </c>
      <c r="AE1098" s="160">
        <f t="shared" si="444"/>
        <v>0.98461135952811341</v>
      </c>
    </row>
    <row r="1099" spans="1:31" x14ac:dyDescent="0.3">
      <c r="A1099" s="187">
        <v>10</v>
      </c>
      <c r="B1099" s="242">
        <f t="shared" si="445"/>
        <v>45931</v>
      </c>
      <c r="C1099" s="243">
        <f t="shared" si="428"/>
        <v>45961</v>
      </c>
      <c r="D1099" s="120">
        <f t="shared" si="429"/>
        <v>31</v>
      </c>
      <c r="E1099" s="120">
        <f t="shared" si="430"/>
        <v>10</v>
      </c>
      <c r="F1099" s="275">
        <f t="shared" si="431"/>
        <v>45946.5</v>
      </c>
      <c r="G1099" s="120">
        <f t="shared" si="432"/>
        <v>24309</v>
      </c>
      <c r="H1099" s="245">
        <f t="shared" si="433"/>
        <v>1</v>
      </c>
      <c r="I1099" s="121">
        <f t="shared" si="434"/>
        <v>1</v>
      </c>
      <c r="J1099" s="121">
        <f t="shared" si="435"/>
        <v>1</v>
      </c>
      <c r="K1099" s="120">
        <f t="shared" si="436"/>
        <v>0</v>
      </c>
      <c r="L1099" s="120">
        <f t="shared" si="437"/>
        <v>0</v>
      </c>
      <c r="M1099" s="246">
        <f t="shared" si="438"/>
        <v>0</v>
      </c>
      <c r="N1099" s="121">
        <f t="shared" si="439"/>
        <v>1</v>
      </c>
      <c r="O1099" s="246">
        <f t="shared" si="440"/>
        <v>0.90617614879649899</v>
      </c>
      <c r="P1099" s="121">
        <f t="shared" si="441"/>
        <v>0.58333333333333326</v>
      </c>
      <c r="Q1099" s="121">
        <f t="shared" si="442"/>
        <v>0</v>
      </c>
      <c r="R1099" s="121">
        <f t="shared" si="443"/>
        <v>0</v>
      </c>
      <c r="AE1099" s="160">
        <f t="shared" si="444"/>
        <v>0.98497407477880317</v>
      </c>
    </row>
    <row r="1100" spans="1:31" x14ac:dyDescent="0.3">
      <c r="A1100" s="187">
        <v>11</v>
      </c>
      <c r="B1100" s="242">
        <f t="shared" si="445"/>
        <v>45962</v>
      </c>
      <c r="C1100" s="243">
        <f t="shared" si="428"/>
        <v>45991</v>
      </c>
      <c r="D1100" s="120">
        <f t="shared" si="429"/>
        <v>30</v>
      </c>
      <c r="E1100" s="120">
        <f t="shared" si="430"/>
        <v>11</v>
      </c>
      <c r="F1100" s="275">
        <f t="shared" si="431"/>
        <v>45977</v>
      </c>
      <c r="G1100" s="120">
        <f t="shared" si="432"/>
        <v>24310</v>
      </c>
      <c r="H1100" s="245">
        <f t="shared" si="433"/>
        <v>1</v>
      </c>
      <c r="I1100" s="121">
        <f t="shared" si="434"/>
        <v>1</v>
      </c>
      <c r="J1100" s="121">
        <f t="shared" si="435"/>
        <v>1</v>
      </c>
      <c r="K1100" s="120">
        <f t="shared" si="436"/>
        <v>0</v>
      </c>
      <c r="L1100" s="120">
        <f t="shared" si="437"/>
        <v>0</v>
      </c>
      <c r="M1100" s="246">
        <f t="shared" si="438"/>
        <v>0</v>
      </c>
      <c r="N1100" s="121">
        <f t="shared" si="439"/>
        <v>1</v>
      </c>
      <c r="O1100" s="246">
        <f t="shared" si="440"/>
        <v>0.90650984682713354</v>
      </c>
      <c r="P1100" s="121">
        <f t="shared" si="441"/>
        <v>0.75</v>
      </c>
      <c r="Q1100" s="121">
        <f t="shared" si="442"/>
        <v>0</v>
      </c>
      <c r="R1100" s="121">
        <f t="shared" si="443"/>
        <v>0</v>
      </c>
      <c r="AE1100" s="160">
        <f t="shared" si="444"/>
        <v>0.98533679002949293</v>
      </c>
    </row>
    <row r="1101" spans="1:31" x14ac:dyDescent="0.3">
      <c r="A1101" s="187">
        <v>12</v>
      </c>
      <c r="B1101" s="242">
        <f t="shared" si="445"/>
        <v>45992</v>
      </c>
      <c r="C1101" s="243">
        <f t="shared" si="428"/>
        <v>46022</v>
      </c>
      <c r="D1101" s="120">
        <f t="shared" si="429"/>
        <v>31</v>
      </c>
      <c r="E1101" s="120">
        <f t="shared" si="430"/>
        <v>12</v>
      </c>
      <c r="F1101" s="275">
        <f t="shared" si="431"/>
        <v>46007.5</v>
      </c>
      <c r="G1101" s="120">
        <f t="shared" si="432"/>
        <v>24311</v>
      </c>
      <c r="H1101" s="245">
        <f t="shared" si="433"/>
        <v>1</v>
      </c>
      <c r="I1101" s="121">
        <f t="shared" si="434"/>
        <v>1</v>
      </c>
      <c r="J1101" s="121">
        <f t="shared" si="435"/>
        <v>1</v>
      </c>
      <c r="K1101" s="120">
        <f t="shared" si="436"/>
        <v>0</v>
      </c>
      <c r="L1101" s="120">
        <f t="shared" si="437"/>
        <v>0</v>
      </c>
      <c r="M1101" s="246">
        <f t="shared" si="438"/>
        <v>0</v>
      </c>
      <c r="N1101" s="121">
        <f t="shared" si="439"/>
        <v>1</v>
      </c>
      <c r="O1101" s="246">
        <f t="shared" si="440"/>
        <v>0.90684354485776808</v>
      </c>
      <c r="P1101" s="121">
        <f t="shared" si="441"/>
        <v>0.91666666666666663</v>
      </c>
      <c r="Q1101" s="121">
        <f t="shared" si="442"/>
        <v>0</v>
      </c>
      <c r="R1101" s="121">
        <f t="shared" si="443"/>
        <v>0</v>
      </c>
      <c r="AE1101" s="160">
        <f t="shared" si="444"/>
        <v>0.98569950528018269</v>
      </c>
    </row>
    <row r="1102" spans="1:31" x14ac:dyDescent="0.3">
      <c r="A1102" s="187">
        <v>13</v>
      </c>
      <c r="B1102" s="242">
        <f t="shared" si="445"/>
        <v>46023</v>
      </c>
      <c r="C1102" s="243">
        <f t="shared" si="428"/>
        <v>46053</v>
      </c>
      <c r="D1102" s="120">
        <f t="shared" si="429"/>
        <v>31</v>
      </c>
      <c r="E1102" s="120">
        <f t="shared" si="430"/>
        <v>1</v>
      </c>
      <c r="F1102" s="275">
        <f t="shared" si="431"/>
        <v>46038.5</v>
      </c>
      <c r="G1102" s="120">
        <f t="shared" si="432"/>
        <v>24312</v>
      </c>
      <c r="H1102" s="245">
        <f t="shared" si="433"/>
        <v>1</v>
      </c>
      <c r="I1102" s="121">
        <f t="shared" si="434"/>
        <v>1</v>
      </c>
      <c r="J1102" s="121">
        <f t="shared" si="435"/>
        <v>1</v>
      </c>
      <c r="K1102" s="120">
        <f t="shared" si="436"/>
        <v>0</v>
      </c>
      <c r="L1102" s="120">
        <f t="shared" si="437"/>
        <v>0</v>
      </c>
      <c r="M1102" s="246">
        <f t="shared" si="438"/>
        <v>0</v>
      </c>
      <c r="N1102" s="121">
        <f t="shared" si="439"/>
        <v>1</v>
      </c>
      <c r="O1102" s="246">
        <f t="shared" si="440"/>
        <v>0.90718271334792122</v>
      </c>
      <c r="P1102" s="121">
        <f t="shared" si="441"/>
        <v>1</v>
      </c>
      <c r="Q1102" s="121">
        <f t="shared" si="442"/>
        <v>0</v>
      </c>
      <c r="R1102" s="121">
        <f t="shared" si="443"/>
        <v>0</v>
      </c>
      <c r="AE1102" s="160">
        <f t="shared" si="444"/>
        <v>0.98606816668252306</v>
      </c>
    </row>
    <row r="1103" spans="1:31" x14ac:dyDescent="0.3">
      <c r="A1103" s="187">
        <v>14</v>
      </c>
      <c r="B1103" s="242">
        <f t="shared" si="445"/>
        <v>46054</v>
      </c>
      <c r="C1103" s="243">
        <f t="shared" si="428"/>
        <v>46081</v>
      </c>
      <c r="D1103" s="120">
        <f t="shared" si="429"/>
        <v>28</v>
      </c>
      <c r="E1103" s="120">
        <f t="shared" si="430"/>
        <v>2</v>
      </c>
      <c r="F1103" s="275">
        <f t="shared" si="431"/>
        <v>46068</v>
      </c>
      <c r="G1103" s="120">
        <f t="shared" si="432"/>
        <v>24313</v>
      </c>
      <c r="H1103" s="245">
        <f t="shared" si="433"/>
        <v>1</v>
      </c>
      <c r="I1103" s="121">
        <f t="shared" si="434"/>
        <v>1</v>
      </c>
      <c r="J1103" s="121">
        <f t="shared" si="435"/>
        <v>1</v>
      </c>
      <c r="K1103" s="120">
        <f t="shared" si="436"/>
        <v>0</v>
      </c>
      <c r="L1103" s="120">
        <f t="shared" si="437"/>
        <v>0</v>
      </c>
      <c r="M1103" s="246">
        <f t="shared" si="438"/>
        <v>0</v>
      </c>
      <c r="N1103" s="121">
        <f t="shared" si="439"/>
        <v>1</v>
      </c>
      <c r="O1103" s="246">
        <f t="shared" si="440"/>
        <v>0.90750547045951868</v>
      </c>
      <c r="P1103" s="121">
        <f t="shared" si="441"/>
        <v>1</v>
      </c>
      <c r="Q1103" s="121">
        <f t="shared" si="442"/>
        <v>0</v>
      </c>
      <c r="R1103" s="121">
        <f t="shared" si="443"/>
        <v>0</v>
      </c>
      <c r="AE1103" s="160">
        <f t="shared" si="444"/>
        <v>0.98641898962991159</v>
      </c>
    </row>
    <row r="1104" spans="1:31" x14ac:dyDescent="0.3">
      <c r="A1104" s="187">
        <v>15</v>
      </c>
      <c r="B1104" s="242">
        <f t="shared" si="445"/>
        <v>46082</v>
      </c>
      <c r="C1104" s="243">
        <f t="shared" si="428"/>
        <v>46112</v>
      </c>
      <c r="D1104" s="120">
        <f t="shared" si="429"/>
        <v>31</v>
      </c>
      <c r="E1104" s="120">
        <f t="shared" si="430"/>
        <v>3</v>
      </c>
      <c r="F1104" s="275">
        <f t="shared" si="431"/>
        <v>46097.5</v>
      </c>
      <c r="G1104" s="120">
        <f t="shared" si="432"/>
        <v>24314</v>
      </c>
      <c r="H1104" s="245">
        <f t="shared" si="433"/>
        <v>1</v>
      </c>
      <c r="I1104" s="121">
        <f t="shared" si="434"/>
        <v>1</v>
      </c>
      <c r="J1104" s="121">
        <f t="shared" si="435"/>
        <v>1</v>
      </c>
      <c r="K1104" s="120">
        <f t="shared" si="436"/>
        <v>0</v>
      </c>
      <c r="L1104" s="120">
        <f t="shared" si="437"/>
        <v>0</v>
      </c>
      <c r="M1104" s="246">
        <f t="shared" si="438"/>
        <v>0</v>
      </c>
      <c r="N1104" s="121">
        <f t="shared" si="439"/>
        <v>1</v>
      </c>
      <c r="O1104" s="246">
        <f t="shared" si="440"/>
        <v>0.90782822757111603</v>
      </c>
      <c r="P1104" s="121">
        <f t="shared" si="441"/>
        <v>1</v>
      </c>
      <c r="Q1104" s="121">
        <f t="shared" si="442"/>
        <v>0</v>
      </c>
      <c r="R1104" s="121">
        <f t="shared" si="443"/>
        <v>0</v>
      </c>
      <c r="AE1104" s="160">
        <f t="shared" si="444"/>
        <v>0.98676981257730001</v>
      </c>
    </row>
    <row r="1105" spans="1:35" x14ac:dyDescent="0.3">
      <c r="A1105" s="187">
        <v>16</v>
      </c>
      <c r="B1105" s="242">
        <f t="shared" si="445"/>
        <v>46113</v>
      </c>
      <c r="C1105" s="243">
        <f t="shared" si="428"/>
        <v>46142</v>
      </c>
      <c r="D1105" s="120">
        <f t="shared" si="429"/>
        <v>30</v>
      </c>
      <c r="E1105" s="120">
        <f t="shared" si="430"/>
        <v>4</v>
      </c>
      <c r="F1105" s="275">
        <f t="shared" si="431"/>
        <v>46128</v>
      </c>
      <c r="G1105" s="120">
        <f t="shared" si="432"/>
        <v>24315</v>
      </c>
      <c r="H1105" s="245">
        <f t="shared" si="433"/>
        <v>1</v>
      </c>
      <c r="I1105" s="121">
        <f t="shared" si="434"/>
        <v>1</v>
      </c>
      <c r="J1105" s="121">
        <f t="shared" si="435"/>
        <v>1</v>
      </c>
      <c r="K1105" s="120">
        <f t="shared" si="436"/>
        <v>0</v>
      </c>
      <c r="L1105" s="120">
        <f t="shared" si="437"/>
        <v>0</v>
      </c>
      <c r="M1105" s="246">
        <f t="shared" si="438"/>
        <v>0</v>
      </c>
      <c r="N1105" s="121">
        <f t="shared" si="439"/>
        <v>1</v>
      </c>
      <c r="O1105" s="246">
        <f t="shared" si="440"/>
        <v>0.90816192560175057</v>
      </c>
      <c r="P1105" s="121">
        <f t="shared" si="441"/>
        <v>1</v>
      </c>
      <c r="Q1105" s="121">
        <f t="shared" si="442"/>
        <v>0</v>
      </c>
      <c r="R1105" s="121">
        <f t="shared" si="443"/>
        <v>0</v>
      </c>
      <c r="AE1105" s="160">
        <f t="shared" si="444"/>
        <v>0.98713252782798966</v>
      </c>
    </row>
    <row r="1106" spans="1:35" x14ac:dyDescent="0.3">
      <c r="A1106" s="187">
        <v>17</v>
      </c>
      <c r="B1106" s="242">
        <f t="shared" si="445"/>
        <v>46143</v>
      </c>
      <c r="C1106" s="243">
        <f t="shared" si="428"/>
        <v>46173</v>
      </c>
      <c r="D1106" s="120">
        <f t="shared" si="429"/>
        <v>31</v>
      </c>
      <c r="E1106" s="120">
        <f t="shared" si="430"/>
        <v>5</v>
      </c>
      <c r="F1106" s="275">
        <f t="shared" si="431"/>
        <v>46158.5</v>
      </c>
      <c r="G1106" s="120">
        <f t="shared" si="432"/>
        <v>24316</v>
      </c>
      <c r="H1106" s="245">
        <f t="shared" si="433"/>
        <v>1</v>
      </c>
      <c r="I1106" s="121">
        <f t="shared" si="434"/>
        <v>1</v>
      </c>
      <c r="J1106" s="121">
        <f t="shared" si="435"/>
        <v>1</v>
      </c>
      <c r="K1106" s="120">
        <f t="shared" si="436"/>
        <v>0</v>
      </c>
      <c r="L1106" s="120">
        <f t="shared" si="437"/>
        <v>0</v>
      </c>
      <c r="M1106" s="246">
        <f t="shared" si="438"/>
        <v>0</v>
      </c>
      <c r="N1106" s="121">
        <f t="shared" si="439"/>
        <v>1</v>
      </c>
      <c r="O1106" s="246">
        <f t="shared" si="440"/>
        <v>0.90849562363238512</v>
      </c>
      <c r="P1106" s="121">
        <f t="shared" si="441"/>
        <v>1</v>
      </c>
      <c r="Q1106" s="121">
        <f t="shared" si="442"/>
        <v>0</v>
      </c>
      <c r="R1106" s="121">
        <f t="shared" si="443"/>
        <v>0</v>
      </c>
      <c r="AE1106" s="160">
        <f t="shared" si="444"/>
        <v>0.98749524307867942</v>
      </c>
    </row>
    <row r="1107" spans="1:35" x14ac:dyDescent="0.3">
      <c r="A1107" s="187">
        <v>18</v>
      </c>
      <c r="B1107" s="242">
        <f t="shared" si="445"/>
        <v>46174</v>
      </c>
      <c r="C1107" s="243">
        <f t="shared" si="428"/>
        <v>46203</v>
      </c>
      <c r="D1107" s="120">
        <f t="shared" si="429"/>
        <v>30</v>
      </c>
      <c r="E1107" s="120">
        <f t="shared" si="430"/>
        <v>6</v>
      </c>
      <c r="F1107" s="275">
        <f t="shared" si="431"/>
        <v>46189</v>
      </c>
      <c r="G1107" s="120">
        <f t="shared" si="432"/>
        <v>24317</v>
      </c>
      <c r="H1107" s="245">
        <f t="shared" si="433"/>
        <v>1</v>
      </c>
      <c r="I1107" s="121">
        <f t="shared" si="434"/>
        <v>1</v>
      </c>
      <c r="J1107" s="121">
        <f t="shared" si="435"/>
        <v>1</v>
      </c>
      <c r="K1107" s="120">
        <f t="shared" si="436"/>
        <v>0</v>
      </c>
      <c r="L1107" s="120">
        <f t="shared" si="437"/>
        <v>0</v>
      </c>
      <c r="M1107" s="246">
        <f t="shared" si="438"/>
        <v>0</v>
      </c>
      <c r="N1107" s="121">
        <f t="shared" si="439"/>
        <v>1</v>
      </c>
      <c r="O1107" s="246">
        <f t="shared" si="440"/>
        <v>0.90882932166301977</v>
      </c>
      <c r="P1107" s="121">
        <f t="shared" si="441"/>
        <v>1</v>
      </c>
      <c r="Q1107" s="121">
        <f t="shared" si="442"/>
        <v>0</v>
      </c>
      <c r="R1107" s="121">
        <f t="shared" si="443"/>
        <v>0</v>
      </c>
      <c r="AE1107" s="160">
        <f t="shared" si="444"/>
        <v>0.98785795832936929</v>
      </c>
    </row>
    <row r="1108" spans="1:35" x14ac:dyDescent="0.3">
      <c r="A1108" s="187">
        <v>19</v>
      </c>
      <c r="B1108" s="242">
        <f t="shared" si="445"/>
        <v>46204</v>
      </c>
      <c r="C1108" s="243">
        <f t="shared" si="428"/>
        <v>46234</v>
      </c>
      <c r="D1108" s="120">
        <f t="shared" si="429"/>
        <v>31</v>
      </c>
      <c r="E1108" s="120">
        <f t="shared" si="430"/>
        <v>7</v>
      </c>
      <c r="F1108" s="275">
        <f t="shared" si="431"/>
        <v>46219.5</v>
      </c>
      <c r="G1108" s="120">
        <f t="shared" si="432"/>
        <v>24318</v>
      </c>
      <c r="H1108" s="245">
        <f t="shared" si="433"/>
        <v>1</v>
      </c>
      <c r="I1108" s="121">
        <f t="shared" si="434"/>
        <v>1</v>
      </c>
      <c r="J1108" s="121">
        <f t="shared" si="435"/>
        <v>1</v>
      </c>
      <c r="K1108" s="120">
        <f t="shared" si="436"/>
        <v>0</v>
      </c>
      <c r="L1108" s="120">
        <f t="shared" si="437"/>
        <v>0</v>
      </c>
      <c r="M1108" s="246">
        <f t="shared" si="438"/>
        <v>0</v>
      </c>
      <c r="N1108" s="121">
        <f t="shared" si="439"/>
        <v>1</v>
      </c>
      <c r="O1108" s="246">
        <f t="shared" si="440"/>
        <v>0.90916301969365432</v>
      </c>
      <c r="P1108" s="121">
        <f t="shared" si="441"/>
        <v>0.91666666666666663</v>
      </c>
      <c r="Q1108" s="121">
        <f t="shared" si="442"/>
        <v>8.333333333333337E-2</v>
      </c>
      <c r="R1108" s="121">
        <f t="shared" si="443"/>
        <v>0</v>
      </c>
      <c r="AE1108" s="160">
        <f t="shared" si="444"/>
        <v>0.98822067358005905</v>
      </c>
    </row>
    <row r="1109" spans="1:35" x14ac:dyDescent="0.3">
      <c r="A1109" s="187">
        <v>20</v>
      </c>
      <c r="B1109" s="242">
        <f t="shared" si="445"/>
        <v>46235</v>
      </c>
      <c r="C1109" s="243">
        <f t="shared" si="428"/>
        <v>46265</v>
      </c>
      <c r="D1109" s="120">
        <f t="shared" si="429"/>
        <v>31</v>
      </c>
      <c r="E1109" s="120">
        <f t="shared" si="430"/>
        <v>8</v>
      </c>
      <c r="F1109" s="275">
        <f t="shared" si="431"/>
        <v>46250.5</v>
      </c>
      <c r="G1109" s="120">
        <f t="shared" si="432"/>
        <v>24319</v>
      </c>
      <c r="H1109" s="245">
        <f t="shared" si="433"/>
        <v>1</v>
      </c>
      <c r="I1109" s="121">
        <f t="shared" si="434"/>
        <v>1</v>
      </c>
      <c r="J1109" s="121">
        <f t="shared" si="435"/>
        <v>1</v>
      </c>
      <c r="K1109" s="120">
        <f t="shared" si="436"/>
        <v>0</v>
      </c>
      <c r="L1109" s="120">
        <f t="shared" si="437"/>
        <v>0</v>
      </c>
      <c r="M1109" s="246">
        <f t="shared" si="438"/>
        <v>0</v>
      </c>
      <c r="N1109" s="121">
        <f t="shared" si="439"/>
        <v>1</v>
      </c>
      <c r="O1109" s="246">
        <f t="shared" si="440"/>
        <v>0.90950218818380746</v>
      </c>
      <c r="P1109" s="121">
        <f t="shared" si="441"/>
        <v>0.75</v>
      </c>
      <c r="Q1109" s="121">
        <f t="shared" si="442"/>
        <v>0.25</v>
      </c>
      <c r="R1109" s="121">
        <f t="shared" si="443"/>
        <v>0</v>
      </c>
      <c r="AE1109" s="160">
        <f t="shared" si="444"/>
        <v>0.98858933498239931</v>
      </c>
    </row>
    <row r="1110" spans="1:35" x14ac:dyDescent="0.3">
      <c r="A1110" s="187">
        <v>21</v>
      </c>
      <c r="B1110" s="242">
        <f t="shared" si="445"/>
        <v>46266</v>
      </c>
      <c r="C1110" s="243">
        <f t="shared" si="428"/>
        <v>46295</v>
      </c>
      <c r="D1110" s="120">
        <f t="shared" si="429"/>
        <v>30</v>
      </c>
      <c r="E1110" s="120">
        <f t="shared" si="430"/>
        <v>9</v>
      </c>
      <c r="F1110" s="275">
        <f t="shared" si="431"/>
        <v>46281</v>
      </c>
      <c r="G1110" s="120">
        <f t="shared" si="432"/>
        <v>24320</v>
      </c>
      <c r="H1110" s="245">
        <f t="shared" si="433"/>
        <v>1</v>
      </c>
      <c r="I1110" s="121">
        <f t="shared" si="434"/>
        <v>1</v>
      </c>
      <c r="J1110" s="121">
        <f t="shared" si="435"/>
        <v>1</v>
      </c>
      <c r="K1110" s="120">
        <f t="shared" si="436"/>
        <v>0</v>
      </c>
      <c r="L1110" s="120">
        <f t="shared" si="437"/>
        <v>0</v>
      </c>
      <c r="M1110" s="246">
        <f t="shared" si="438"/>
        <v>0</v>
      </c>
      <c r="N1110" s="121">
        <f t="shared" si="439"/>
        <v>1</v>
      </c>
      <c r="O1110" s="246">
        <f t="shared" si="440"/>
        <v>0.909835886214442</v>
      </c>
      <c r="P1110" s="121">
        <f t="shared" si="441"/>
        <v>0.58333333333333337</v>
      </c>
      <c r="Q1110" s="121">
        <f t="shared" si="442"/>
        <v>0.41666666666666663</v>
      </c>
      <c r="R1110" s="121">
        <f t="shared" si="443"/>
        <v>0</v>
      </c>
      <c r="AE1110" s="160">
        <f t="shared" si="444"/>
        <v>0.98895205023308907</v>
      </c>
    </row>
    <row r="1111" spans="1:35" x14ac:dyDescent="0.3">
      <c r="A1111" s="187">
        <v>22</v>
      </c>
      <c r="B1111" s="242">
        <f t="shared" si="445"/>
        <v>46296</v>
      </c>
      <c r="C1111" s="243">
        <f t="shared" si="428"/>
        <v>46326</v>
      </c>
      <c r="D1111" s="120">
        <f t="shared" si="429"/>
        <v>31</v>
      </c>
      <c r="E1111" s="120">
        <f t="shared" si="430"/>
        <v>10</v>
      </c>
      <c r="F1111" s="275">
        <f t="shared" si="431"/>
        <v>46311.5</v>
      </c>
      <c r="G1111" s="120">
        <f t="shared" si="432"/>
        <v>24321</v>
      </c>
      <c r="H1111" s="245">
        <f t="shared" si="433"/>
        <v>1</v>
      </c>
      <c r="I1111" s="121">
        <f t="shared" si="434"/>
        <v>1</v>
      </c>
      <c r="J1111" s="121">
        <f t="shared" si="435"/>
        <v>1.04</v>
      </c>
      <c r="K1111" s="120">
        <f t="shared" si="436"/>
        <v>1</v>
      </c>
      <c r="L1111" s="120">
        <f t="shared" si="437"/>
        <v>31</v>
      </c>
      <c r="M1111" s="246">
        <f t="shared" si="438"/>
        <v>1</v>
      </c>
      <c r="N1111" s="121">
        <f t="shared" si="439"/>
        <v>1.04</v>
      </c>
      <c r="O1111" s="246">
        <f t="shared" si="440"/>
        <v>0.91016958424507666</v>
      </c>
      <c r="P1111" s="121">
        <f t="shared" si="441"/>
        <v>0.41666666666666669</v>
      </c>
      <c r="Q1111" s="121">
        <f t="shared" si="442"/>
        <v>0.58333333333333326</v>
      </c>
      <c r="R1111" s="121">
        <f t="shared" si="443"/>
        <v>0</v>
      </c>
      <c r="AE1111" s="160">
        <f t="shared" si="444"/>
        <v>1.0288873561031302</v>
      </c>
    </row>
    <row r="1112" spans="1:35" x14ac:dyDescent="0.3">
      <c r="A1112" s="187">
        <v>23</v>
      </c>
      <c r="B1112" s="242">
        <f t="shared" si="445"/>
        <v>46327</v>
      </c>
      <c r="C1112" s="243">
        <f t="shared" si="428"/>
        <v>46356</v>
      </c>
      <c r="D1112" s="120">
        <f t="shared" si="429"/>
        <v>30</v>
      </c>
      <c r="E1112" s="120">
        <f t="shared" si="430"/>
        <v>11</v>
      </c>
      <c r="F1112" s="275">
        <f t="shared" si="431"/>
        <v>46342</v>
      </c>
      <c r="G1112" s="120">
        <f t="shared" si="432"/>
        <v>24322</v>
      </c>
      <c r="H1112" s="245">
        <f t="shared" si="433"/>
        <v>1</v>
      </c>
      <c r="I1112" s="121">
        <f t="shared" si="434"/>
        <v>1.04</v>
      </c>
      <c r="J1112" s="121">
        <f t="shared" si="435"/>
        <v>1.04</v>
      </c>
      <c r="K1112" s="120">
        <f t="shared" si="436"/>
        <v>0</v>
      </c>
      <c r="L1112" s="120">
        <f t="shared" si="437"/>
        <v>0</v>
      </c>
      <c r="M1112" s="246">
        <f t="shared" si="438"/>
        <v>0</v>
      </c>
      <c r="N1112" s="121">
        <f t="shared" si="439"/>
        <v>1.04</v>
      </c>
      <c r="O1112" s="246">
        <f t="shared" si="440"/>
        <v>0.9105032822757112</v>
      </c>
      <c r="P1112" s="121">
        <f t="shared" si="441"/>
        <v>0.25</v>
      </c>
      <c r="Q1112" s="121">
        <f t="shared" si="442"/>
        <v>0.75</v>
      </c>
      <c r="R1112" s="121">
        <f t="shared" si="443"/>
        <v>0</v>
      </c>
      <c r="AE1112" s="160">
        <f t="shared" si="444"/>
        <v>1.0292645799638473</v>
      </c>
    </row>
    <row r="1113" spans="1:35" x14ac:dyDescent="0.3">
      <c r="A1113" s="187">
        <v>24</v>
      </c>
      <c r="B1113" s="242">
        <f t="shared" si="445"/>
        <v>46357</v>
      </c>
      <c r="C1113" s="243">
        <f t="shared" si="428"/>
        <v>46387</v>
      </c>
      <c r="D1113" s="120">
        <f t="shared" si="429"/>
        <v>31</v>
      </c>
      <c r="E1113" s="120">
        <f t="shared" si="430"/>
        <v>12</v>
      </c>
      <c r="F1113" s="275">
        <f t="shared" si="431"/>
        <v>46372.5</v>
      </c>
      <c r="G1113" s="120">
        <f t="shared" si="432"/>
        <v>24323</v>
      </c>
      <c r="H1113" s="245">
        <f t="shared" si="433"/>
        <v>1</v>
      </c>
      <c r="I1113" s="121">
        <f t="shared" si="434"/>
        <v>1.04</v>
      </c>
      <c r="J1113" s="121">
        <f t="shared" si="435"/>
        <v>1.04</v>
      </c>
      <c r="K1113" s="120">
        <f t="shared" si="436"/>
        <v>0</v>
      </c>
      <c r="L1113" s="120">
        <f t="shared" si="437"/>
        <v>0</v>
      </c>
      <c r="M1113" s="246">
        <f t="shared" si="438"/>
        <v>0</v>
      </c>
      <c r="N1113" s="121">
        <f t="shared" si="439"/>
        <v>1.04</v>
      </c>
      <c r="O1113" s="246">
        <f t="shared" si="440"/>
        <v>0.91083698030634574</v>
      </c>
      <c r="P1113" s="121">
        <f t="shared" si="441"/>
        <v>8.3333333333333329E-2</v>
      </c>
      <c r="Q1113" s="121">
        <f t="shared" si="442"/>
        <v>0.91666666666666663</v>
      </c>
      <c r="R1113" s="121">
        <f t="shared" si="443"/>
        <v>0</v>
      </c>
      <c r="AE1113" s="160">
        <f t="shared" si="444"/>
        <v>1.0296418038245647</v>
      </c>
    </row>
    <row r="1114" spans="1:35" x14ac:dyDescent="0.3">
      <c r="A1114" s="187">
        <v>25</v>
      </c>
      <c r="B1114" s="242">
        <f t="shared" si="445"/>
        <v>46388</v>
      </c>
      <c r="C1114" s="243">
        <f t="shared" si="428"/>
        <v>46418</v>
      </c>
      <c r="D1114" s="120">
        <f t="shared" si="429"/>
        <v>31</v>
      </c>
      <c r="E1114" s="120">
        <f t="shared" si="430"/>
        <v>1</v>
      </c>
      <c r="F1114" s="275">
        <f t="shared" si="431"/>
        <v>46403.5</v>
      </c>
      <c r="G1114" s="120">
        <f t="shared" si="432"/>
        <v>24324</v>
      </c>
      <c r="H1114" s="245">
        <f t="shared" si="433"/>
        <v>1</v>
      </c>
      <c r="I1114" s="121">
        <f t="shared" si="434"/>
        <v>1.04</v>
      </c>
      <c r="J1114" s="121">
        <f t="shared" si="435"/>
        <v>1.04</v>
      </c>
      <c r="K1114" s="120">
        <f t="shared" si="436"/>
        <v>0</v>
      </c>
      <c r="L1114" s="120">
        <f t="shared" si="437"/>
        <v>0</v>
      </c>
      <c r="M1114" s="246">
        <f t="shared" si="438"/>
        <v>0</v>
      </c>
      <c r="N1114" s="121">
        <f t="shared" si="439"/>
        <v>1.04</v>
      </c>
      <c r="O1114" s="246">
        <f t="shared" si="440"/>
        <v>0.91117614879649889</v>
      </c>
      <c r="P1114" s="121">
        <f t="shared" si="441"/>
        <v>0</v>
      </c>
      <c r="Q1114" s="121">
        <f t="shared" si="442"/>
        <v>1</v>
      </c>
      <c r="R1114" s="121">
        <f t="shared" si="443"/>
        <v>0</v>
      </c>
      <c r="W1114" s="160">
        <f t="shared" ref="W1114:W1125" si="446">IF($G1114&lt;&gt;$Q$1087,$N1114,(1-$U$1087)*$I1114+$U$1087*$J1114)</f>
        <v>1.04</v>
      </c>
      <c r="X1114" s="160">
        <f t="shared" ref="X1114:X1125" si="447">IF($G1114&lt;$Q$1087,0,IF($G1114&gt;$Q$1087,$N1114,$U$1087*$J1114))</f>
        <v>0</v>
      </c>
      <c r="Y1114" s="160">
        <f t="shared" ref="Y1114:Y1125" si="448">IF($F$1087=1,$O1114/$O1102,1)</f>
        <v>1.0044020188985305</v>
      </c>
      <c r="AB1114" s="160">
        <f t="shared" ref="AB1114:AB1125" si="449">IF(AND(N($K$1087)&lt;&gt;0,$F1114&lt;=$B$1088),0,($F1114-$B$1088)/($C$1088-$B$1088))</f>
        <v>0.23522975929978118</v>
      </c>
      <c r="AC1114" s="220">
        <f t="shared" ref="AC1114:AC1125" si="450">IF(AND(N($K$1087)&lt;&gt;0,$F1114&lt;=$B$1088),$O1114,$F$1088*(1-$AB1114))</f>
        <v>0.69594091903719912</v>
      </c>
      <c r="AD1114" s="160">
        <f t="shared" ref="AD1114:AD1125" si="451">$H1114*($W1114+$X1114*IF(ISNUMBER($F$1138),$F$1138,0))/($N1102*$O1102)</f>
        <v>1.146406324434823</v>
      </c>
      <c r="AE1114" s="160">
        <f t="shared" si="444"/>
        <v>1.0101795855972282</v>
      </c>
      <c r="AF1114" s="220">
        <f t="shared" ref="AF1114:AF1125" si="452">IF($G1114&lt;$Q$1087,0,IF($G1114&gt;$Q$1087,1,$U$1087))</f>
        <v>0</v>
      </c>
      <c r="AG1114" s="183" t="str">
        <f t="shared" ref="AG1114:AG1125" si="453">IF(OR($D$1087=0,$P$1087=0),"",($W1114+$X1114*IF(ISNUMBER($F$1138),$F$1138,0))/$N1102-1)</f>
        <v/>
      </c>
      <c r="AH1114" s="183" t="str">
        <f t="shared" ref="AH1114:AH1125" si="454">IF(OR($AG1114="",$F$1087=0),"",(1+$E$1087)/(1+$AG1114)-1)</f>
        <v/>
      </c>
      <c r="AI1114" s="220" t="str">
        <f t="shared" ref="AI1114:AI1125" si="455">IF($AH1114="","",$O1102*(1+$E$1087)/(1+$AG1114))</f>
        <v/>
      </c>
    </row>
    <row r="1115" spans="1:35" x14ac:dyDescent="0.3">
      <c r="A1115" s="187">
        <v>26</v>
      </c>
      <c r="B1115" s="242">
        <f t="shared" si="445"/>
        <v>46419</v>
      </c>
      <c r="C1115" s="243">
        <f t="shared" si="428"/>
        <v>46446</v>
      </c>
      <c r="D1115" s="120">
        <f t="shared" si="429"/>
        <v>28</v>
      </c>
      <c r="E1115" s="120">
        <f t="shared" si="430"/>
        <v>2</v>
      </c>
      <c r="F1115" s="275">
        <f t="shared" si="431"/>
        <v>46433</v>
      </c>
      <c r="G1115" s="120">
        <f t="shared" si="432"/>
        <v>24325</v>
      </c>
      <c r="H1115" s="245">
        <f t="shared" si="433"/>
        <v>1</v>
      </c>
      <c r="I1115" s="121">
        <f t="shared" si="434"/>
        <v>1.04</v>
      </c>
      <c r="J1115" s="121">
        <f t="shared" si="435"/>
        <v>1.04</v>
      </c>
      <c r="K1115" s="120">
        <f t="shared" si="436"/>
        <v>0</v>
      </c>
      <c r="L1115" s="120">
        <f t="shared" si="437"/>
        <v>0</v>
      </c>
      <c r="M1115" s="246">
        <f t="shared" si="438"/>
        <v>0</v>
      </c>
      <c r="N1115" s="121">
        <f t="shared" si="439"/>
        <v>1.04</v>
      </c>
      <c r="O1115" s="246">
        <f t="shared" si="440"/>
        <v>0.91149890590809635</v>
      </c>
      <c r="P1115" s="121">
        <f t="shared" si="441"/>
        <v>0</v>
      </c>
      <c r="Q1115" s="121">
        <f t="shared" si="442"/>
        <v>1</v>
      </c>
      <c r="R1115" s="121">
        <f t="shared" si="443"/>
        <v>0</v>
      </c>
      <c r="W1115" s="160">
        <f t="shared" si="446"/>
        <v>1.04</v>
      </c>
      <c r="X1115" s="160">
        <f t="shared" si="447"/>
        <v>0</v>
      </c>
      <c r="Y1115" s="160">
        <f t="shared" si="448"/>
        <v>1.0044004533069708</v>
      </c>
      <c r="AB1115" s="160">
        <f t="shared" si="449"/>
        <v>0.29978118161925604</v>
      </c>
      <c r="AC1115" s="220">
        <f t="shared" si="450"/>
        <v>0.637199124726477</v>
      </c>
      <c r="AD1115" s="160">
        <f t="shared" si="451"/>
        <v>1.145998601499771</v>
      </c>
      <c r="AE1115" s="160">
        <f t="shared" si="444"/>
        <v>1.0050984324436261</v>
      </c>
      <c r="AF1115" s="220">
        <f t="shared" si="452"/>
        <v>0</v>
      </c>
      <c r="AG1115" s="183" t="str">
        <f t="shared" si="453"/>
        <v/>
      </c>
      <c r="AH1115" s="183" t="str">
        <f t="shared" si="454"/>
        <v/>
      </c>
      <c r="AI1115" s="220" t="str">
        <f t="shared" si="455"/>
        <v/>
      </c>
    </row>
    <row r="1116" spans="1:35" x14ac:dyDescent="0.3">
      <c r="A1116" s="187">
        <v>27</v>
      </c>
      <c r="B1116" s="242">
        <f t="shared" si="445"/>
        <v>46447</v>
      </c>
      <c r="C1116" s="243">
        <f t="shared" si="428"/>
        <v>46477</v>
      </c>
      <c r="D1116" s="120">
        <f t="shared" si="429"/>
        <v>31</v>
      </c>
      <c r="E1116" s="120">
        <f t="shared" si="430"/>
        <v>3</v>
      </c>
      <c r="F1116" s="275">
        <f t="shared" si="431"/>
        <v>46462.5</v>
      </c>
      <c r="G1116" s="120">
        <f t="shared" si="432"/>
        <v>24326</v>
      </c>
      <c r="H1116" s="245">
        <f t="shared" si="433"/>
        <v>1</v>
      </c>
      <c r="I1116" s="121">
        <f t="shared" si="434"/>
        <v>1.04</v>
      </c>
      <c r="J1116" s="121">
        <f t="shared" si="435"/>
        <v>1.04</v>
      </c>
      <c r="K1116" s="120">
        <f t="shared" si="436"/>
        <v>0</v>
      </c>
      <c r="L1116" s="120">
        <f t="shared" si="437"/>
        <v>0</v>
      </c>
      <c r="M1116" s="246">
        <f t="shared" si="438"/>
        <v>0</v>
      </c>
      <c r="N1116" s="121">
        <f t="shared" si="439"/>
        <v>1.04</v>
      </c>
      <c r="O1116" s="246">
        <f t="shared" si="440"/>
        <v>0.9118216630196937</v>
      </c>
      <c r="P1116" s="121">
        <f t="shared" si="441"/>
        <v>0</v>
      </c>
      <c r="Q1116" s="121">
        <f t="shared" si="442"/>
        <v>1</v>
      </c>
      <c r="R1116" s="121">
        <f t="shared" si="443"/>
        <v>0</v>
      </c>
      <c r="W1116" s="160">
        <f t="shared" si="446"/>
        <v>1.04</v>
      </c>
      <c r="X1116" s="160">
        <f t="shared" si="447"/>
        <v>0</v>
      </c>
      <c r="Y1116" s="160">
        <f t="shared" si="448"/>
        <v>1.0043988888286302</v>
      </c>
      <c r="AB1116" s="160">
        <f t="shared" si="449"/>
        <v>0.36433260393873085</v>
      </c>
      <c r="AC1116" s="220">
        <f t="shared" si="450"/>
        <v>0.57845733041575487</v>
      </c>
      <c r="AD1116" s="160">
        <f t="shared" si="451"/>
        <v>1.145591168477442</v>
      </c>
      <c r="AE1116" s="160">
        <f t="shared" si="444"/>
        <v>1.0000172792900242</v>
      </c>
      <c r="AF1116" s="220">
        <f t="shared" si="452"/>
        <v>0</v>
      </c>
      <c r="AG1116" s="183" t="str">
        <f t="shared" si="453"/>
        <v/>
      </c>
      <c r="AH1116" s="183" t="str">
        <f t="shared" si="454"/>
        <v/>
      </c>
      <c r="AI1116" s="220" t="str">
        <f t="shared" si="455"/>
        <v/>
      </c>
    </row>
    <row r="1117" spans="1:35" x14ac:dyDescent="0.3">
      <c r="A1117" s="187">
        <v>28</v>
      </c>
      <c r="B1117" s="242">
        <f t="shared" si="445"/>
        <v>46478</v>
      </c>
      <c r="C1117" s="243">
        <f t="shared" si="428"/>
        <v>46507</v>
      </c>
      <c r="D1117" s="120">
        <f t="shared" si="429"/>
        <v>30</v>
      </c>
      <c r="E1117" s="120">
        <f t="shared" si="430"/>
        <v>4</v>
      </c>
      <c r="F1117" s="275">
        <f t="shared" si="431"/>
        <v>46493</v>
      </c>
      <c r="G1117" s="120">
        <f t="shared" si="432"/>
        <v>24327</v>
      </c>
      <c r="H1117" s="245">
        <f t="shared" si="433"/>
        <v>1</v>
      </c>
      <c r="I1117" s="121">
        <f t="shared" si="434"/>
        <v>1.04</v>
      </c>
      <c r="J1117" s="121">
        <f t="shared" si="435"/>
        <v>1.04</v>
      </c>
      <c r="K1117" s="120">
        <f t="shared" si="436"/>
        <v>0</v>
      </c>
      <c r="L1117" s="120">
        <f t="shared" si="437"/>
        <v>0</v>
      </c>
      <c r="M1117" s="246">
        <f t="shared" si="438"/>
        <v>0</v>
      </c>
      <c r="N1117" s="121">
        <f t="shared" si="439"/>
        <v>1.04</v>
      </c>
      <c r="O1117" s="246">
        <f t="shared" si="440"/>
        <v>0.91215536105032824</v>
      </c>
      <c r="P1117" s="121">
        <f t="shared" si="441"/>
        <v>0</v>
      </c>
      <c r="Q1117" s="121">
        <f t="shared" si="442"/>
        <v>1</v>
      </c>
      <c r="R1117" s="121">
        <f t="shared" si="443"/>
        <v>0</v>
      </c>
      <c r="W1117" s="160">
        <f t="shared" si="446"/>
        <v>1.04</v>
      </c>
      <c r="X1117" s="160">
        <f t="shared" si="447"/>
        <v>0</v>
      </c>
      <c r="Y1117" s="160">
        <f t="shared" si="448"/>
        <v>1.0043972724863264</v>
      </c>
      <c r="AB1117" s="160">
        <f t="shared" si="449"/>
        <v>0.4310722100656455</v>
      </c>
      <c r="AC1117" s="220">
        <f t="shared" si="450"/>
        <v>0.51772428884026267</v>
      </c>
      <c r="AD1117" s="160">
        <f t="shared" si="451"/>
        <v>1.1451702286581693</v>
      </c>
      <c r="AE1117" s="160">
        <f t="shared" si="444"/>
        <v>0.99476388365663926</v>
      </c>
      <c r="AF1117" s="220">
        <f t="shared" si="452"/>
        <v>0</v>
      </c>
      <c r="AG1117" s="183" t="str">
        <f t="shared" si="453"/>
        <v/>
      </c>
      <c r="AH1117" s="183" t="str">
        <f t="shared" si="454"/>
        <v/>
      </c>
      <c r="AI1117" s="220" t="str">
        <f t="shared" si="455"/>
        <v/>
      </c>
    </row>
    <row r="1118" spans="1:35" x14ac:dyDescent="0.3">
      <c r="A1118" s="187">
        <v>29</v>
      </c>
      <c r="B1118" s="242">
        <f t="shared" si="445"/>
        <v>46508</v>
      </c>
      <c r="C1118" s="243">
        <f t="shared" si="428"/>
        <v>46538</v>
      </c>
      <c r="D1118" s="120">
        <f t="shared" si="429"/>
        <v>31</v>
      </c>
      <c r="E1118" s="120">
        <f t="shared" si="430"/>
        <v>5</v>
      </c>
      <c r="F1118" s="275">
        <f t="shared" si="431"/>
        <v>46523.5</v>
      </c>
      <c r="G1118" s="120">
        <f t="shared" si="432"/>
        <v>24328</v>
      </c>
      <c r="H1118" s="245">
        <f t="shared" si="433"/>
        <v>1</v>
      </c>
      <c r="I1118" s="121">
        <f t="shared" si="434"/>
        <v>1.04</v>
      </c>
      <c r="J1118" s="121">
        <f t="shared" si="435"/>
        <v>1.04</v>
      </c>
      <c r="K1118" s="120">
        <f t="shared" si="436"/>
        <v>0</v>
      </c>
      <c r="L1118" s="120">
        <f t="shared" si="437"/>
        <v>0</v>
      </c>
      <c r="M1118" s="246">
        <f t="shared" si="438"/>
        <v>0</v>
      </c>
      <c r="N1118" s="121">
        <f t="shared" si="439"/>
        <v>1.04</v>
      </c>
      <c r="O1118" s="246">
        <f t="shared" si="440"/>
        <v>0.91248905908096278</v>
      </c>
      <c r="P1118" s="121">
        <f t="shared" si="441"/>
        <v>0</v>
      </c>
      <c r="Q1118" s="121">
        <f t="shared" si="442"/>
        <v>1</v>
      </c>
      <c r="R1118" s="121">
        <f t="shared" si="443"/>
        <v>0</v>
      </c>
      <c r="W1118" s="160">
        <f t="shared" si="446"/>
        <v>1.04</v>
      </c>
      <c r="X1118" s="160">
        <f t="shared" si="447"/>
        <v>0</v>
      </c>
      <c r="Y1118" s="160">
        <f t="shared" si="448"/>
        <v>1.0043956573314146</v>
      </c>
      <c r="AB1118" s="160">
        <f t="shared" si="449"/>
        <v>0.49781181619256015</v>
      </c>
      <c r="AC1118" s="220">
        <f t="shared" si="450"/>
        <v>0.45699124726477025</v>
      </c>
      <c r="AD1118" s="160">
        <f t="shared" si="451"/>
        <v>1.1447495980683193</v>
      </c>
      <c r="AE1118" s="160">
        <f t="shared" si="444"/>
        <v>0.98951048802325403</v>
      </c>
      <c r="AF1118" s="220">
        <f t="shared" si="452"/>
        <v>0</v>
      </c>
      <c r="AG1118" s="183" t="str">
        <f t="shared" si="453"/>
        <v/>
      </c>
      <c r="AH1118" s="183" t="str">
        <f t="shared" si="454"/>
        <v/>
      </c>
      <c r="AI1118" s="220" t="str">
        <f t="shared" si="455"/>
        <v/>
      </c>
    </row>
    <row r="1119" spans="1:35" x14ac:dyDescent="0.3">
      <c r="A1119" s="187">
        <v>30</v>
      </c>
      <c r="B1119" s="242">
        <f t="shared" si="445"/>
        <v>46539</v>
      </c>
      <c r="C1119" s="243">
        <f t="shared" si="428"/>
        <v>46568</v>
      </c>
      <c r="D1119" s="120">
        <f t="shared" si="429"/>
        <v>30</v>
      </c>
      <c r="E1119" s="120">
        <f t="shared" si="430"/>
        <v>6</v>
      </c>
      <c r="F1119" s="275">
        <f t="shared" si="431"/>
        <v>46554</v>
      </c>
      <c r="G1119" s="120">
        <f t="shared" si="432"/>
        <v>24329</v>
      </c>
      <c r="H1119" s="245">
        <f t="shared" si="433"/>
        <v>1</v>
      </c>
      <c r="I1119" s="121">
        <f t="shared" si="434"/>
        <v>1.04</v>
      </c>
      <c r="J1119" s="121">
        <f t="shared" si="435"/>
        <v>1.04</v>
      </c>
      <c r="K1119" s="120">
        <f t="shared" si="436"/>
        <v>0</v>
      </c>
      <c r="L1119" s="120">
        <f t="shared" si="437"/>
        <v>0</v>
      </c>
      <c r="M1119" s="246">
        <f t="shared" si="438"/>
        <v>0</v>
      </c>
      <c r="N1119" s="121">
        <f t="shared" si="439"/>
        <v>1.04</v>
      </c>
      <c r="O1119" s="246">
        <f t="shared" si="440"/>
        <v>0.91282275711159744</v>
      </c>
      <c r="P1119" s="121">
        <f t="shared" si="441"/>
        <v>0</v>
      </c>
      <c r="Q1119" s="121">
        <f t="shared" si="442"/>
        <v>1</v>
      </c>
      <c r="R1119" s="121">
        <f t="shared" si="443"/>
        <v>0</v>
      </c>
      <c r="W1119" s="160">
        <f t="shared" si="446"/>
        <v>1.04</v>
      </c>
      <c r="X1119" s="160">
        <f t="shared" si="447"/>
        <v>0</v>
      </c>
      <c r="Y1119" s="160">
        <f t="shared" si="448"/>
        <v>1.0043940433625869</v>
      </c>
      <c r="AB1119" s="160">
        <f t="shared" si="449"/>
        <v>0.56455142231947486</v>
      </c>
      <c r="AC1119" s="220">
        <f t="shared" si="450"/>
        <v>0.39625820568927789</v>
      </c>
      <c r="AD1119" s="160">
        <f t="shared" si="451"/>
        <v>1.1443292763672697</v>
      </c>
      <c r="AE1119" s="160">
        <f t="shared" si="444"/>
        <v>0.98425709238986903</v>
      </c>
      <c r="AF1119" s="220">
        <f t="shared" si="452"/>
        <v>0</v>
      </c>
      <c r="AG1119" s="183" t="str">
        <f t="shared" si="453"/>
        <v/>
      </c>
      <c r="AH1119" s="183" t="str">
        <f t="shared" si="454"/>
        <v/>
      </c>
      <c r="AI1119" s="220" t="str">
        <f t="shared" si="455"/>
        <v/>
      </c>
    </row>
    <row r="1120" spans="1:35" x14ac:dyDescent="0.3">
      <c r="A1120" s="187">
        <v>31</v>
      </c>
      <c r="B1120" s="242">
        <f t="shared" si="445"/>
        <v>46569</v>
      </c>
      <c r="C1120" s="243">
        <f t="shared" si="428"/>
        <v>46599</v>
      </c>
      <c r="D1120" s="120">
        <f t="shared" si="429"/>
        <v>31</v>
      </c>
      <c r="E1120" s="120">
        <f t="shared" si="430"/>
        <v>7</v>
      </c>
      <c r="F1120" s="275">
        <f t="shared" si="431"/>
        <v>46584.5</v>
      </c>
      <c r="G1120" s="120">
        <f t="shared" si="432"/>
        <v>24330</v>
      </c>
      <c r="H1120" s="245">
        <f t="shared" si="433"/>
        <v>1</v>
      </c>
      <c r="I1120" s="121">
        <f t="shared" si="434"/>
        <v>1.04</v>
      </c>
      <c r="J1120" s="121">
        <f t="shared" si="435"/>
        <v>1.04</v>
      </c>
      <c r="K1120" s="120">
        <f t="shared" si="436"/>
        <v>0</v>
      </c>
      <c r="L1120" s="120">
        <f t="shared" si="437"/>
        <v>0</v>
      </c>
      <c r="M1120" s="246">
        <f t="shared" si="438"/>
        <v>0</v>
      </c>
      <c r="N1120" s="121">
        <f t="shared" si="439"/>
        <v>1.04</v>
      </c>
      <c r="O1120" s="246">
        <f t="shared" si="440"/>
        <v>0.91315645514223198</v>
      </c>
      <c r="P1120" s="121">
        <f t="shared" si="441"/>
        <v>0</v>
      </c>
      <c r="Q1120" s="121">
        <f t="shared" si="442"/>
        <v>0.91666666666666663</v>
      </c>
      <c r="R1120" s="121">
        <f t="shared" si="443"/>
        <v>8.333333333333337E-2</v>
      </c>
      <c r="W1120" s="160">
        <f t="shared" si="446"/>
        <v>1.04</v>
      </c>
      <c r="X1120" s="160">
        <f t="shared" si="447"/>
        <v>0</v>
      </c>
      <c r="Y1120" s="160">
        <f t="shared" si="448"/>
        <v>1.0043924305785372</v>
      </c>
      <c r="AB1120" s="160">
        <f t="shared" si="449"/>
        <v>0.63129102844638951</v>
      </c>
      <c r="AC1120" s="220">
        <f t="shared" si="450"/>
        <v>0.33552516411378558</v>
      </c>
      <c r="AD1120" s="160">
        <f t="shared" si="451"/>
        <v>1.1439092632148982</v>
      </c>
      <c r="AE1120" s="160">
        <f t="shared" si="444"/>
        <v>0.97900369675648402</v>
      </c>
      <c r="AF1120" s="220">
        <f t="shared" si="452"/>
        <v>0</v>
      </c>
      <c r="AG1120" s="183" t="str">
        <f t="shared" si="453"/>
        <v/>
      </c>
      <c r="AH1120" s="183" t="str">
        <f t="shared" si="454"/>
        <v/>
      </c>
      <c r="AI1120" s="220" t="str">
        <f t="shared" si="455"/>
        <v/>
      </c>
    </row>
    <row r="1121" spans="1:35" x14ac:dyDescent="0.3">
      <c r="A1121" s="187">
        <v>32</v>
      </c>
      <c r="B1121" s="242">
        <f t="shared" si="445"/>
        <v>46600</v>
      </c>
      <c r="C1121" s="243">
        <f t="shared" si="428"/>
        <v>46630</v>
      </c>
      <c r="D1121" s="120">
        <f t="shared" si="429"/>
        <v>31</v>
      </c>
      <c r="E1121" s="120">
        <f t="shared" si="430"/>
        <v>8</v>
      </c>
      <c r="F1121" s="275">
        <f t="shared" si="431"/>
        <v>46615.5</v>
      </c>
      <c r="G1121" s="120">
        <f t="shared" si="432"/>
        <v>24331</v>
      </c>
      <c r="H1121" s="245">
        <f t="shared" si="433"/>
        <v>1</v>
      </c>
      <c r="I1121" s="121">
        <f t="shared" si="434"/>
        <v>1.04</v>
      </c>
      <c r="J1121" s="121">
        <f t="shared" si="435"/>
        <v>1.04</v>
      </c>
      <c r="K1121" s="120">
        <f t="shared" si="436"/>
        <v>0</v>
      </c>
      <c r="L1121" s="120">
        <f t="shared" si="437"/>
        <v>0</v>
      </c>
      <c r="M1121" s="246">
        <f t="shared" si="438"/>
        <v>0</v>
      </c>
      <c r="N1121" s="121">
        <f t="shared" si="439"/>
        <v>1.04</v>
      </c>
      <c r="O1121" s="246">
        <f t="shared" si="440"/>
        <v>0.91349562363238512</v>
      </c>
      <c r="P1121" s="121">
        <f t="shared" si="441"/>
        <v>0</v>
      </c>
      <c r="Q1121" s="121">
        <f t="shared" si="442"/>
        <v>0.75</v>
      </c>
      <c r="R1121" s="121">
        <f t="shared" si="443"/>
        <v>0.25</v>
      </c>
      <c r="W1121" s="160">
        <f t="shared" si="446"/>
        <v>1.04</v>
      </c>
      <c r="X1121" s="160">
        <f t="shared" si="447"/>
        <v>1.04</v>
      </c>
      <c r="Y1121" s="160">
        <f t="shared" si="448"/>
        <v>1.0043907925681324</v>
      </c>
      <c r="AB1121" s="160">
        <f t="shared" si="449"/>
        <v>0.69912472647702406</v>
      </c>
      <c r="AC1121" s="220">
        <f t="shared" si="450"/>
        <v>0.27379649890590813</v>
      </c>
      <c r="AD1121" s="160">
        <f t="shared" si="451"/>
        <v>1.1892219876456331</v>
      </c>
      <c r="AE1121" s="160">
        <f t="shared" si="444"/>
        <v>1.0126107470785359</v>
      </c>
      <c r="AF1121" s="220">
        <f t="shared" si="452"/>
        <v>1</v>
      </c>
      <c r="AG1121" s="183" t="str">
        <f t="shared" si="453"/>
        <v/>
      </c>
      <c r="AH1121" s="183" t="str">
        <f t="shared" si="454"/>
        <v/>
      </c>
      <c r="AI1121" s="220" t="str">
        <f t="shared" si="455"/>
        <v/>
      </c>
    </row>
    <row r="1122" spans="1:35" x14ac:dyDescent="0.3">
      <c r="A1122" s="187">
        <v>33</v>
      </c>
      <c r="B1122" s="242">
        <f t="shared" si="445"/>
        <v>46631</v>
      </c>
      <c r="C1122" s="243">
        <f t="shared" si="428"/>
        <v>46660</v>
      </c>
      <c r="D1122" s="120">
        <f t="shared" si="429"/>
        <v>30</v>
      </c>
      <c r="E1122" s="120">
        <f t="shared" si="430"/>
        <v>9</v>
      </c>
      <c r="F1122" s="275">
        <f t="shared" si="431"/>
        <v>46646</v>
      </c>
      <c r="G1122" s="120">
        <f t="shared" si="432"/>
        <v>24332</v>
      </c>
      <c r="H1122" s="245">
        <f t="shared" si="433"/>
        <v>1</v>
      </c>
      <c r="I1122" s="121">
        <f t="shared" si="434"/>
        <v>1.04</v>
      </c>
      <c r="J1122" s="121">
        <f t="shared" si="435"/>
        <v>1.04</v>
      </c>
      <c r="K1122" s="120">
        <f t="shared" si="436"/>
        <v>0</v>
      </c>
      <c r="L1122" s="120">
        <f t="shared" si="437"/>
        <v>0</v>
      </c>
      <c r="M1122" s="246">
        <f t="shared" si="438"/>
        <v>0</v>
      </c>
      <c r="N1122" s="121">
        <f t="shared" si="439"/>
        <v>1.04</v>
      </c>
      <c r="O1122" s="246">
        <f t="shared" si="440"/>
        <v>0.91382932166301978</v>
      </c>
      <c r="P1122" s="121">
        <f t="shared" si="441"/>
        <v>0</v>
      </c>
      <c r="Q1122" s="121">
        <f t="shared" si="442"/>
        <v>0.58333333333333337</v>
      </c>
      <c r="R1122" s="121">
        <f t="shared" si="443"/>
        <v>0.41666666666666663</v>
      </c>
      <c r="W1122" s="160">
        <f t="shared" si="446"/>
        <v>1.04</v>
      </c>
      <c r="X1122" s="160">
        <f t="shared" si="447"/>
        <v>1.04</v>
      </c>
      <c r="Y1122" s="160">
        <f t="shared" si="448"/>
        <v>1.0043891821690978</v>
      </c>
      <c r="AB1122" s="160">
        <f t="shared" si="449"/>
        <v>0.76586433260393871</v>
      </c>
      <c r="AC1122" s="220">
        <f t="shared" si="450"/>
        <v>0.21306345733041579</v>
      </c>
      <c r="AD1122" s="160">
        <f t="shared" si="451"/>
        <v>1.1887858199353047</v>
      </c>
      <c r="AE1122" s="160">
        <f t="shared" si="444"/>
        <v>1.0071472156198154</v>
      </c>
      <c r="AF1122" s="220">
        <f t="shared" si="452"/>
        <v>1</v>
      </c>
      <c r="AG1122" s="183" t="str">
        <f t="shared" si="453"/>
        <v/>
      </c>
      <c r="AH1122" s="183" t="str">
        <f t="shared" si="454"/>
        <v/>
      </c>
      <c r="AI1122" s="220" t="str">
        <f t="shared" si="455"/>
        <v/>
      </c>
    </row>
    <row r="1123" spans="1:35" x14ac:dyDescent="0.3">
      <c r="A1123" s="187">
        <v>34</v>
      </c>
      <c r="B1123" s="242">
        <f t="shared" si="445"/>
        <v>46661</v>
      </c>
      <c r="C1123" s="243">
        <f t="shared" si="428"/>
        <v>46691</v>
      </c>
      <c r="D1123" s="120">
        <f t="shared" si="429"/>
        <v>31</v>
      </c>
      <c r="E1123" s="120">
        <f t="shared" si="430"/>
        <v>10</v>
      </c>
      <c r="F1123" s="275">
        <f t="shared" si="431"/>
        <v>46676.5</v>
      </c>
      <c r="G1123" s="120">
        <f t="shared" si="432"/>
        <v>24333</v>
      </c>
      <c r="H1123" s="245">
        <f t="shared" si="433"/>
        <v>1</v>
      </c>
      <c r="I1123" s="121">
        <f t="shared" si="434"/>
        <v>1.04</v>
      </c>
      <c r="J1123" s="121">
        <f t="shared" si="435"/>
        <v>1.04</v>
      </c>
      <c r="K1123" s="120">
        <f t="shared" si="436"/>
        <v>0</v>
      </c>
      <c r="L1123" s="120">
        <f t="shared" si="437"/>
        <v>0</v>
      </c>
      <c r="M1123" s="246">
        <f t="shared" si="438"/>
        <v>0</v>
      </c>
      <c r="N1123" s="121">
        <f t="shared" si="439"/>
        <v>1.04</v>
      </c>
      <c r="O1123" s="246">
        <f t="shared" si="440"/>
        <v>0.91416301969365432</v>
      </c>
      <c r="P1123" s="121">
        <f t="shared" si="441"/>
        <v>0</v>
      </c>
      <c r="Q1123" s="121">
        <f t="shared" si="442"/>
        <v>0.41666666666666669</v>
      </c>
      <c r="R1123" s="121">
        <f t="shared" si="443"/>
        <v>0.58333333333333326</v>
      </c>
      <c r="W1123" s="160">
        <f t="shared" si="446"/>
        <v>1.04</v>
      </c>
      <c r="X1123" s="160">
        <f t="shared" si="447"/>
        <v>1.04</v>
      </c>
      <c r="Y1123" s="160">
        <f t="shared" si="448"/>
        <v>1.0043875729509133</v>
      </c>
      <c r="AB1123" s="160">
        <f t="shared" si="449"/>
        <v>0.83260393873085337</v>
      </c>
      <c r="AC1123" s="220">
        <f t="shared" si="450"/>
        <v>0.15233041575492345</v>
      </c>
      <c r="AD1123" s="160">
        <f t="shared" si="451"/>
        <v>1.1426442038959244</v>
      </c>
      <c r="AE1123" s="160">
        <f t="shared" si="444"/>
        <v>1.0016836841610948</v>
      </c>
      <c r="AF1123" s="220">
        <f t="shared" si="452"/>
        <v>1</v>
      </c>
      <c r="AG1123" s="183" t="str">
        <f t="shared" si="453"/>
        <v/>
      </c>
      <c r="AH1123" s="183" t="str">
        <f t="shared" si="454"/>
        <v/>
      </c>
      <c r="AI1123" s="220" t="str">
        <f t="shared" si="455"/>
        <v/>
      </c>
    </row>
    <row r="1124" spans="1:35" x14ac:dyDescent="0.3">
      <c r="A1124" s="187">
        <v>35</v>
      </c>
      <c r="B1124" s="242">
        <f t="shared" si="445"/>
        <v>46692</v>
      </c>
      <c r="C1124" s="243">
        <f t="shared" si="428"/>
        <v>46721</v>
      </c>
      <c r="D1124" s="120">
        <f t="shared" si="429"/>
        <v>30</v>
      </c>
      <c r="E1124" s="120">
        <f t="shared" si="430"/>
        <v>11</v>
      </c>
      <c r="F1124" s="275">
        <f t="shared" si="431"/>
        <v>46707</v>
      </c>
      <c r="G1124" s="120">
        <f t="shared" si="432"/>
        <v>24334</v>
      </c>
      <c r="H1124" s="245">
        <f t="shared" si="433"/>
        <v>1</v>
      </c>
      <c r="I1124" s="121">
        <f t="shared" si="434"/>
        <v>1.04</v>
      </c>
      <c r="J1124" s="121">
        <f t="shared" si="435"/>
        <v>1.04</v>
      </c>
      <c r="K1124" s="120">
        <f t="shared" si="436"/>
        <v>0</v>
      </c>
      <c r="L1124" s="120">
        <f t="shared" si="437"/>
        <v>0</v>
      </c>
      <c r="M1124" s="246">
        <f t="shared" si="438"/>
        <v>0</v>
      </c>
      <c r="N1124" s="121">
        <f t="shared" si="439"/>
        <v>1.04</v>
      </c>
      <c r="O1124" s="246">
        <f t="shared" si="440"/>
        <v>0.91449671772428887</v>
      </c>
      <c r="P1124" s="121">
        <f t="shared" si="441"/>
        <v>0</v>
      </c>
      <c r="Q1124" s="121">
        <f t="shared" si="442"/>
        <v>0.25</v>
      </c>
      <c r="R1124" s="121">
        <f t="shared" si="443"/>
        <v>0.75</v>
      </c>
      <c r="W1124" s="160">
        <f t="shared" si="446"/>
        <v>1.04</v>
      </c>
      <c r="X1124" s="160">
        <f t="shared" si="447"/>
        <v>1.04</v>
      </c>
      <c r="Y1124" s="160">
        <f t="shared" si="448"/>
        <v>1.0043859649122806</v>
      </c>
      <c r="AB1124" s="160">
        <f t="shared" si="449"/>
        <v>0.89934354485776802</v>
      </c>
      <c r="AC1124" s="220">
        <f t="shared" si="450"/>
        <v>9.1597374179431104E-2</v>
      </c>
      <c r="AD1124" s="160">
        <f t="shared" si="451"/>
        <v>1.142225426580149</v>
      </c>
      <c r="AE1124" s="160">
        <f t="shared" si="444"/>
        <v>0.99622015270237452</v>
      </c>
      <c r="AF1124" s="220">
        <f t="shared" si="452"/>
        <v>1</v>
      </c>
      <c r="AG1124" s="183" t="str">
        <f t="shared" si="453"/>
        <v/>
      </c>
      <c r="AH1124" s="183" t="str">
        <f t="shared" si="454"/>
        <v/>
      </c>
      <c r="AI1124" s="220" t="str">
        <f t="shared" si="455"/>
        <v/>
      </c>
    </row>
    <row r="1125" spans="1:35" x14ac:dyDescent="0.3">
      <c r="A1125" s="187">
        <v>36</v>
      </c>
      <c r="B1125" s="242">
        <f t="shared" si="445"/>
        <v>46722</v>
      </c>
      <c r="C1125" s="243">
        <f t="shared" si="428"/>
        <v>46752</v>
      </c>
      <c r="D1125" s="120">
        <f t="shared" si="429"/>
        <v>31</v>
      </c>
      <c r="E1125" s="120">
        <f t="shared" si="430"/>
        <v>12</v>
      </c>
      <c r="F1125" s="275">
        <f t="shared" si="431"/>
        <v>46737.5</v>
      </c>
      <c r="G1125" s="120">
        <f t="shared" si="432"/>
        <v>24335</v>
      </c>
      <c r="H1125" s="245">
        <f t="shared" si="433"/>
        <v>1</v>
      </c>
      <c r="I1125" s="121">
        <f t="shared" si="434"/>
        <v>1.04</v>
      </c>
      <c r="J1125" s="121">
        <f t="shared" si="435"/>
        <v>1.04</v>
      </c>
      <c r="K1125" s="120">
        <f t="shared" si="436"/>
        <v>0</v>
      </c>
      <c r="L1125" s="120">
        <f t="shared" si="437"/>
        <v>0</v>
      </c>
      <c r="M1125" s="246">
        <f t="shared" si="438"/>
        <v>0</v>
      </c>
      <c r="N1125" s="121">
        <f t="shared" si="439"/>
        <v>1.04</v>
      </c>
      <c r="O1125" s="246">
        <f t="shared" si="440"/>
        <v>0.91483041575492341</v>
      </c>
      <c r="P1125" s="121">
        <f t="shared" si="441"/>
        <v>0</v>
      </c>
      <c r="Q1125" s="121">
        <f t="shared" si="442"/>
        <v>8.3333333333333329E-2</v>
      </c>
      <c r="R1125" s="121">
        <f t="shared" si="443"/>
        <v>0.91666666666666663</v>
      </c>
      <c r="W1125" s="160">
        <f t="shared" si="446"/>
        <v>1.04</v>
      </c>
      <c r="X1125" s="160">
        <f t="shared" si="447"/>
        <v>1.04</v>
      </c>
      <c r="Y1125" s="160">
        <f t="shared" si="448"/>
        <v>1.0043843580519036</v>
      </c>
      <c r="AB1125" s="160">
        <f t="shared" si="449"/>
        <v>0.96608315098468267</v>
      </c>
      <c r="AC1125" s="220">
        <f t="shared" si="450"/>
        <v>3.0864332603938772E-2</v>
      </c>
      <c r="AD1125" s="160">
        <f t="shared" si="451"/>
        <v>1.1418069561143778</v>
      </c>
      <c r="AE1125" s="160">
        <f t="shared" si="444"/>
        <v>0.99075662124365382</v>
      </c>
      <c r="AF1125" s="220">
        <f t="shared" si="452"/>
        <v>1</v>
      </c>
      <c r="AG1125" s="183" t="str">
        <f t="shared" si="453"/>
        <v/>
      </c>
      <c r="AH1125" s="183" t="str">
        <f t="shared" si="454"/>
        <v/>
      </c>
      <c r="AI1125" s="220" t="str">
        <f t="shared" si="455"/>
        <v/>
      </c>
    </row>
    <row r="1126" spans="1:35" x14ac:dyDescent="0.3">
      <c r="A1126" s="187">
        <v>37</v>
      </c>
      <c r="B1126" s="242">
        <f t="shared" si="445"/>
        <v>46753</v>
      </c>
      <c r="C1126" s="243">
        <f t="shared" si="428"/>
        <v>46783</v>
      </c>
      <c r="D1126" s="120">
        <f t="shared" si="429"/>
        <v>31</v>
      </c>
      <c r="E1126" s="120">
        <f t="shared" si="430"/>
        <v>1</v>
      </c>
      <c r="F1126" s="275">
        <f t="shared" si="431"/>
        <v>46768.5</v>
      </c>
      <c r="G1126" s="120">
        <f t="shared" si="432"/>
        <v>24336</v>
      </c>
      <c r="H1126" s="245">
        <f t="shared" si="433"/>
        <v>1</v>
      </c>
      <c r="I1126" s="121">
        <f t="shared" si="434"/>
        <v>1.04</v>
      </c>
      <c r="J1126" s="121">
        <f t="shared" si="435"/>
        <v>1.04</v>
      </c>
      <c r="K1126" s="120">
        <f t="shared" si="436"/>
        <v>0</v>
      </c>
      <c r="L1126" s="120">
        <f t="shared" si="437"/>
        <v>0</v>
      </c>
      <c r="M1126" s="246">
        <f t="shared" si="438"/>
        <v>0</v>
      </c>
      <c r="N1126" s="121">
        <f t="shared" si="439"/>
        <v>1.04</v>
      </c>
      <c r="O1126" s="246">
        <f t="shared" si="440"/>
        <v>0.91500000000000004</v>
      </c>
      <c r="P1126" s="121">
        <f t="shared" si="441"/>
        <v>0</v>
      </c>
      <c r="Q1126" s="121">
        <f t="shared" si="442"/>
        <v>0</v>
      </c>
      <c r="R1126" s="121">
        <f t="shared" si="443"/>
        <v>1</v>
      </c>
      <c r="AE1126" s="160">
        <f t="shared" si="444"/>
        <v>1.0343478260869565</v>
      </c>
    </row>
    <row r="1127" spans="1:35" x14ac:dyDescent="0.3">
      <c r="A1127" s="187">
        <v>38</v>
      </c>
      <c r="B1127" s="242">
        <f t="shared" si="445"/>
        <v>46784</v>
      </c>
      <c r="C1127" s="243">
        <f t="shared" si="428"/>
        <v>46812</v>
      </c>
      <c r="D1127" s="120">
        <f t="shared" si="429"/>
        <v>29</v>
      </c>
      <c r="E1127" s="120">
        <f t="shared" si="430"/>
        <v>2</v>
      </c>
      <c r="F1127" s="275">
        <f t="shared" si="431"/>
        <v>46798.5</v>
      </c>
      <c r="G1127" s="120">
        <f t="shared" si="432"/>
        <v>24337</v>
      </c>
      <c r="H1127" s="245">
        <f t="shared" si="433"/>
        <v>1</v>
      </c>
      <c r="I1127" s="121">
        <f t="shared" si="434"/>
        <v>1.04</v>
      </c>
      <c r="J1127" s="121">
        <f t="shared" si="435"/>
        <v>1.04</v>
      </c>
      <c r="K1127" s="120">
        <f t="shared" si="436"/>
        <v>0</v>
      </c>
      <c r="L1127" s="120">
        <f t="shared" si="437"/>
        <v>0</v>
      </c>
      <c r="M1127" s="246">
        <f t="shared" si="438"/>
        <v>0</v>
      </c>
      <c r="N1127" s="121">
        <f t="shared" si="439"/>
        <v>1.04</v>
      </c>
      <c r="O1127" s="246">
        <f t="shared" si="440"/>
        <v>0.91500000000000004</v>
      </c>
      <c r="P1127" s="121">
        <f t="shared" si="441"/>
        <v>0</v>
      </c>
      <c r="Q1127" s="121">
        <f t="shared" si="442"/>
        <v>0</v>
      </c>
      <c r="R1127" s="121">
        <f t="shared" si="443"/>
        <v>1</v>
      </c>
      <c r="AE1127" s="160">
        <f t="shared" si="444"/>
        <v>1.0343478260869565</v>
      </c>
    </row>
    <row r="1128" spans="1:35" x14ac:dyDescent="0.3">
      <c r="A1128" s="187">
        <v>39</v>
      </c>
      <c r="B1128" s="242">
        <f t="shared" si="445"/>
        <v>46813</v>
      </c>
      <c r="C1128" s="243">
        <f t="shared" si="428"/>
        <v>46843</v>
      </c>
      <c r="D1128" s="120">
        <f t="shared" si="429"/>
        <v>31</v>
      </c>
      <c r="E1128" s="120">
        <f t="shared" si="430"/>
        <v>3</v>
      </c>
      <c r="F1128" s="275">
        <f t="shared" si="431"/>
        <v>46828.5</v>
      </c>
      <c r="G1128" s="120">
        <f t="shared" si="432"/>
        <v>24338</v>
      </c>
      <c r="H1128" s="245">
        <f t="shared" si="433"/>
        <v>1</v>
      </c>
      <c r="I1128" s="121">
        <f t="shared" si="434"/>
        <v>1.04</v>
      </c>
      <c r="J1128" s="121">
        <f t="shared" si="435"/>
        <v>1.04</v>
      </c>
      <c r="K1128" s="120">
        <f t="shared" si="436"/>
        <v>0</v>
      </c>
      <c r="L1128" s="120">
        <f t="shared" si="437"/>
        <v>0</v>
      </c>
      <c r="M1128" s="246">
        <f t="shared" si="438"/>
        <v>0</v>
      </c>
      <c r="N1128" s="121">
        <f t="shared" si="439"/>
        <v>1.04</v>
      </c>
      <c r="O1128" s="246">
        <f t="shared" si="440"/>
        <v>0.91500000000000004</v>
      </c>
      <c r="P1128" s="121">
        <f t="shared" si="441"/>
        <v>0</v>
      </c>
      <c r="Q1128" s="121">
        <f t="shared" si="442"/>
        <v>0</v>
      </c>
      <c r="R1128" s="121">
        <f t="shared" si="443"/>
        <v>1</v>
      </c>
      <c r="AE1128" s="160">
        <f t="shared" si="444"/>
        <v>1.0343478260869565</v>
      </c>
    </row>
    <row r="1129" spans="1:35" x14ac:dyDescent="0.3">
      <c r="A1129" s="187">
        <v>40</v>
      </c>
      <c r="B1129" s="242">
        <f t="shared" si="445"/>
        <v>46844</v>
      </c>
      <c r="C1129" s="243">
        <f t="shared" si="428"/>
        <v>46873</v>
      </c>
      <c r="D1129" s="120">
        <f t="shared" si="429"/>
        <v>30</v>
      </c>
      <c r="E1129" s="120">
        <f t="shared" si="430"/>
        <v>4</v>
      </c>
      <c r="F1129" s="275">
        <f t="shared" si="431"/>
        <v>46859</v>
      </c>
      <c r="G1129" s="120">
        <f t="shared" si="432"/>
        <v>24339</v>
      </c>
      <c r="H1129" s="245">
        <f t="shared" si="433"/>
        <v>1</v>
      </c>
      <c r="I1129" s="121">
        <f t="shared" si="434"/>
        <v>1.04</v>
      </c>
      <c r="J1129" s="121">
        <f t="shared" si="435"/>
        <v>1.04</v>
      </c>
      <c r="K1129" s="120">
        <f t="shared" si="436"/>
        <v>0</v>
      </c>
      <c r="L1129" s="120">
        <f t="shared" si="437"/>
        <v>0</v>
      </c>
      <c r="M1129" s="246">
        <f t="shared" si="438"/>
        <v>0</v>
      </c>
      <c r="N1129" s="121">
        <f t="shared" si="439"/>
        <v>1.04</v>
      </c>
      <c r="O1129" s="246">
        <f t="shared" si="440"/>
        <v>0.91500000000000004</v>
      </c>
      <c r="P1129" s="121">
        <f t="shared" si="441"/>
        <v>0</v>
      </c>
      <c r="Q1129" s="121">
        <f t="shared" si="442"/>
        <v>0</v>
      </c>
      <c r="R1129" s="121">
        <f t="shared" si="443"/>
        <v>1</v>
      </c>
      <c r="AE1129" s="160">
        <f t="shared" si="444"/>
        <v>1.0343478260869565</v>
      </c>
    </row>
    <row r="1130" spans="1:35" x14ac:dyDescent="0.3">
      <c r="A1130" s="187">
        <v>41</v>
      </c>
      <c r="B1130" s="242">
        <f t="shared" si="445"/>
        <v>46874</v>
      </c>
      <c r="C1130" s="243">
        <f t="shared" si="428"/>
        <v>46904</v>
      </c>
      <c r="D1130" s="120">
        <f t="shared" si="429"/>
        <v>31</v>
      </c>
      <c r="E1130" s="120">
        <f t="shared" si="430"/>
        <v>5</v>
      </c>
      <c r="F1130" s="275">
        <f t="shared" si="431"/>
        <v>46889.5</v>
      </c>
      <c r="G1130" s="120">
        <f t="shared" si="432"/>
        <v>24340</v>
      </c>
      <c r="H1130" s="245">
        <f t="shared" si="433"/>
        <v>1</v>
      </c>
      <c r="I1130" s="121">
        <f t="shared" si="434"/>
        <v>1.04</v>
      </c>
      <c r="J1130" s="121">
        <f t="shared" si="435"/>
        <v>1.04</v>
      </c>
      <c r="K1130" s="120">
        <f t="shared" si="436"/>
        <v>0</v>
      </c>
      <c r="L1130" s="120">
        <f t="shared" si="437"/>
        <v>0</v>
      </c>
      <c r="M1130" s="246">
        <f t="shared" si="438"/>
        <v>0</v>
      </c>
      <c r="N1130" s="121">
        <f t="shared" si="439"/>
        <v>1.04</v>
      </c>
      <c r="O1130" s="246">
        <f t="shared" si="440"/>
        <v>0.91500000000000004</v>
      </c>
      <c r="P1130" s="121">
        <f t="shared" si="441"/>
        <v>0</v>
      </c>
      <c r="Q1130" s="121">
        <f t="shared" si="442"/>
        <v>0</v>
      </c>
      <c r="R1130" s="121">
        <f t="shared" si="443"/>
        <v>1</v>
      </c>
      <c r="AE1130" s="160">
        <f t="shared" si="444"/>
        <v>1.0343478260869565</v>
      </c>
    </row>
    <row r="1131" spans="1:35" x14ac:dyDescent="0.3">
      <c r="A1131" s="187">
        <v>42</v>
      </c>
      <c r="B1131" s="242">
        <f t="shared" si="445"/>
        <v>46905</v>
      </c>
      <c r="C1131" s="243">
        <f t="shared" si="428"/>
        <v>46934</v>
      </c>
      <c r="D1131" s="120">
        <f t="shared" si="429"/>
        <v>30</v>
      </c>
      <c r="E1131" s="120">
        <f t="shared" si="430"/>
        <v>6</v>
      </c>
      <c r="F1131" s="275">
        <f t="shared" si="431"/>
        <v>46920</v>
      </c>
      <c r="G1131" s="120">
        <f t="shared" si="432"/>
        <v>24341</v>
      </c>
      <c r="H1131" s="245">
        <f t="shared" si="433"/>
        <v>1</v>
      </c>
      <c r="I1131" s="121">
        <f t="shared" si="434"/>
        <v>1.04</v>
      </c>
      <c r="J1131" s="121">
        <f t="shared" si="435"/>
        <v>1.04</v>
      </c>
      <c r="K1131" s="120">
        <f t="shared" si="436"/>
        <v>0</v>
      </c>
      <c r="L1131" s="120">
        <f t="shared" si="437"/>
        <v>0</v>
      </c>
      <c r="M1131" s="246">
        <f t="shared" si="438"/>
        <v>0</v>
      </c>
      <c r="N1131" s="121">
        <f t="shared" si="439"/>
        <v>1.04</v>
      </c>
      <c r="O1131" s="246">
        <f t="shared" si="440"/>
        <v>0.91500000000000004</v>
      </c>
      <c r="P1131" s="121">
        <f t="shared" si="441"/>
        <v>0</v>
      </c>
      <c r="Q1131" s="121">
        <f t="shared" si="442"/>
        <v>0</v>
      </c>
      <c r="R1131" s="121">
        <f t="shared" si="443"/>
        <v>1</v>
      </c>
      <c r="AE1131" s="160">
        <f t="shared" si="444"/>
        <v>1.0343478260869565</v>
      </c>
    </row>
    <row r="1132" spans="1:35" x14ac:dyDescent="0.3">
      <c r="A1132" s="187">
        <v>43</v>
      </c>
      <c r="B1132" s="242">
        <f t="shared" si="445"/>
        <v>46935</v>
      </c>
      <c r="C1132" s="243">
        <f t="shared" si="428"/>
        <v>46965</v>
      </c>
      <c r="D1132" s="120">
        <f t="shared" si="429"/>
        <v>31</v>
      </c>
      <c r="E1132" s="120">
        <f t="shared" si="430"/>
        <v>7</v>
      </c>
      <c r="F1132" s="275">
        <f t="shared" si="431"/>
        <v>46950.5</v>
      </c>
      <c r="G1132" s="120">
        <f t="shared" si="432"/>
        <v>24342</v>
      </c>
      <c r="H1132" s="245">
        <f t="shared" si="433"/>
        <v>1</v>
      </c>
      <c r="I1132" s="121">
        <f t="shared" si="434"/>
        <v>1.04</v>
      </c>
      <c r="J1132" s="121">
        <f t="shared" si="435"/>
        <v>1.04</v>
      </c>
      <c r="K1132" s="120">
        <f t="shared" si="436"/>
        <v>0</v>
      </c>
      <c r="L1132" s="120">
        <f t="shared" si="437"/>
        <v>0</v>
      </c>
      <c r="M1132" s="246">
        <f t="shared" si="438"/>
        <v>0</v>
      </c>
      <c r="N1132" s="121">
        <f t="shared" si="439"/>
        <v>1.04</v>
      </c>
      <c r="O1132" s="246">
        <f t="shared" si="440"/>
        <v>0.91500000000000004</v>
      </c>
      <c r="P1132" s="121">
        <f t="shared" si="441"/>
        <v>0</v>
      </c>
      <c r="Q1132" s="121">
        <f t="shared" si="442"/>
        <v>0</v>
      </c>
      <c r="R1132" s="121">
        <f t="shared" si="443"/>
        <v>0.91666666666666663</v>
      </c>
      <c r="AE1132" s="160">
        <f t="shared" si="444"/>
        <v>1.0343478260869565</v>
      </c>
    </row>
    <row r="1133" spans="1:35" x14ac:dyDescent="0.3">
      <c r="A1133" s="187">
        <v>44</v>
      </c>
      <c r="B1133" s="242">
        <f t="shared" si="445"/>
        <v>46966</v>
      </c>
      <c r="C1133" s="243">
        <f t="shared" si="428"/>
        <v>46996</v>
      </c>
      <c r="D1133" s="120">
        <f t="shared" si="429"/>
        <v>31</v>
      </c>
      <c r="E1133" s="120">
        <f t="shared" si="430"/>
        <v>8</v>
      </c>
      <c r="F1133" s="275">
        <f t="shared" si="431"/>
        <v>46981.5</v>
      </c>
      <c r="G1133" s="120">
        <f t="shared" si="432"/>
        <v>24343</v>
      </c>
      <c r="H1133" s="245">
        <f t="shared" si="433"/>
        <v>1</v>
      </c>
      <c r="I1133" s="121">
        <f t="shared" si="434"/>
        <v>1.04</v>
      </c>
      <c r="J1133" s="121">
        <f t="shared" si="435"/>
        <v>1.04</v>
      </c>
      <c r="K1133" s="120">
        <f t="shared" si="436"/>
        <v>0</v>
      </c>
      <c r="L1133" s="120">
        <f t="shared" si="437"/>
        <v>0</v>
      </c>
      <c r="M1133" s="246">
        <f t="shared" si="438"/>
        <v>0</v>
      </c>
      <c r="N1133" s="121">
        <f t="shared" si="439"/>
        <v>1.04</v>
      </c>
      <c r="O1133" s="246">
        <f t="shared" si="440"/>
        <v>0.91500000000000004</v>
      </c>
      <c r="P1133" s="121">
        <f t="shared" si="441"/>
        <v>0</v>
      </c>
      <c r="Q1133" s="121">
        <f t="shared" si="442"/>
        <v>0</v>
      </c>
      <c r="R1133" s="121">
        <f t="shared" si="443"/>
        <v>0.75</v>
      </c>
      <c r="AE1133" s="160">
        <f t="shared" si="444"/>
        <v>1.0343478260869565</v>
      </c>
    </row>
    <row r="1134" spans="1:35" x14ac:dyDescent="0.3">
      <c r="A1134" s="187">
        <v>45</v>
      </c>
      <c r="B1134" s="242">
        <f t="shared" si="445"/>
        <v>46997</v>
      </c>
      <c r="C1134" s="243">
        <f t="shared" si="428"/>
        <v>47026</v>
      </c>
      <c r="D1134" s="120">
        <f t="shared" si="429"/>
        <v>30</v>
      </c>
      <c r="E1134" s="120">
        <f t="shared" si="430"/>
        <v>9</v>
      </c>
      <c r="F1134" s="275">
        <f t="shared" si="431"/>
        <v>47012</v>
      </c>
      <c r="G1134" s="120">
        <f t="shared" si="432"/>
        <v>24344</v>
      </c>
      <c r="H1134" s="245">
        <f t="shared" si="433"/>
        <v>1</v>
      </c>
      <c r="I1134" s="121">
        <f t="shared" si="434"/>
        <v>1.04</v>
      </c>
      <c r="J1134" s="121">
        <f t="shared" si="435"/>
        <v>1.04</v>
      </c>
      <c r="K1134" s="120">
        <f t="shared" si="436"/>
        <v>0</v>
      </c>
      <c r="L1134" s="120">
        <f t="shared" si="437"/>
        <v>0</v>
      </c>
      <c r="M1134" s="246">
        <f t="shared" si="438"/>
        <v>0</v>
      </c>
      <c r="N1134" s="121">
        <f t="shared" si="439"/>
        <v>1.04</v>
      </c>
      <c r="O1134" s="246">
        <f t="shared" si="440"/>
        <v>0.91500000000000004</v>
      </c>
      <c r="P1134" s="121">
        <f t="shared" si="441"/>
        <v>0</v>
      </c>
      <c r="Q1134" s="121">
        <f t="shared" si="442"/>
        <v>0</v>
      </c>
      <c r="R1134" s="121">
        <f t="shared" si="443"/>
        <v>0.58333333333333337</v>
      </c>
      <c r="AE1134" s="160">
        <f t="shared" si="444"/>
        <v>1.0343478260869565</v>
      </c>
    </row>
    <row r="1135" spans="1:35" x14ac:dyDescent="0.3">
      <c r="A1135" s="187">
        <v>46</v>
      </c>
      <c r="B1135" s="242">
        <f t="shared" si="445"/>
        <v>47027</v>
      </c>
      <c r="C1135" s="243">
        <f t="shared" si="428"/>
        <v>47057</v>
      </c>
      <c r="D1135" s="120">
        <f t="shared" si="429"/>
        <v>31</v>
      </c>
      <c r="E1135" s="120">
        <f t="shared" si="430"/>
        <v>10</v>
      </c>
      <c r="F1135" s="275">
        <f t="shared" si="431"/>
        <v>47042.5</v>
      </c>
      <c r="G1135" s="120">
        <f t="shared" si="432"/>
        <v>24345</v>
      </c>
      <c r="H1135" s="245">
        <f t="shared" si="433"/>
        <v>1</v>
      </c>
      <c r="I1135" s="121">
        <f t="shared" si="434"/>
        <v>1.04</v>
      </c>
      <c r="J1135" s="121">
        <f t="shared" si="435"/>
        <v>1.04</v>
      </c>
      <c r="K1135" s="120">
        <f t="shared" si="436"/>
        <v>0</v>
      </c>
      <c r="L1135" s="120">
        <f t="shared" si="437"/>
        <v>0</v>
      </c>
      <c r="M1135" s="246">
        <f t="shared" si="438"/>
        <v>0</v>
      </c>
      <c r="N1135" s="121">
        <f t="shared" si="439"/>
        <v>1.04</v>
      </c>
      <c r="O1135" s="246">
        <f t="shared" si="440"/>
        <v>0.91500000000000004</v>
      </c>
      <c r="P1135" s="121">
        <f t="shared" si="441"/>
        <v>0</v>
      </c>
      <c r="Q1135" s="121">
        <f t="shared" si="442"/>
        <v>0</v>
      </c>
      <c r="R1135" s="121">
        <f t="shared" si="443"/>
        <v>0.41666666666666669</v>
      </c>
      <c r="AE1135" s="160">
        <f t="shared" si="444"/>
        <v>1.0343478260869565</v>
      </c>
    </row>
    <row r="1136" spans="1:35" x14ac:dyDescent="0.3">
      <c r="A1136" s="187">
        <v>47</v>
      </c>
      <c r="B1136" s="242">
        <f t="shared" si="445"/>
        <v>47058</v>
      </c>
      <c r="C1136" s="243">
        <f t="shared" si="428"/>
        <v>47087</v>
      </c>
      <c r="D1136" s="120">
        <f t="shared" si="429"/>
        <v>30</v>
      </c>
      <c r="E1136" s="120">
        <f t="shared" si="430"/>
        <v>11</v>
      </c>
      <c r="F1136" s="275">
        <f t="shared" si="431"/>
        <v>47073</v>
      </c>
      <c r="G1136" s="120">
        <f t="shared" si="432"/>
        <v>24346</v>
      </c>
      <c r="H1136" s="245">
        <f t="shared" si="433"/>
        <v>1</v>
      </c>
      <c r="I1136" s="121">
        <f t="shared" si="434"/>
        <v>1.04</v>
      </c>
      <c r="J1136" s="121">
        <f t="shared" si="435"/>
        <v>1.04</v>
      </c>
      <c r="K1136" s="120">
        <f t="shared" si="436"/>
        <v>0</v>
      </c>
      <c r="L1136" s="120">
        <f t="shared" si="437"/>
        <v>0</v>
      </c>
      <c r="M1136" s="246">
        <f t="shared" si="438"/>
        <v>0</v>
      </c>
      <c r="N1136" s="121">
        <f t="shared" si="439"/>
        <v>1.04</v>
      </c>
      <c r="O1136" s="246">
        <f t="shared" si="440"/>
        <v>0.91500000000000004</v>
      </c>
      <c r="P1136" s="121">
        <f t="shared" si="441"/>
        <v>0</v>
      </c>
      <c r="Q1136" s="121">
        <f t="shared" si="442"/>
        <v>0</v>
      </c>
      <c r="R1136" s="121">
        <f t="shared" si="443"/>
        <v>0.25</v>
      </c>
      <c r="AE1136" s="160">
        <f t="shared" si="444"/>
        <v>1.0343478260869565</v>
      </c>
    </row>
    <row r="1137" spans="1:31" x14ac:dyDescent="0.3">
      <c r="A1137" s="187">
        <v>48</v>
      </c>
      <c r="B1137" s="242">
        <f t="shared" si="445"/>
        <v>47088</v>
      </c>
      <c r="C1137" s="243">
        <f t="shared" si="428"/>
        <v>47118</v>
      </c>
      <c r="D1137" s="120">
        <f t="shared" si="429"/>
        <v>31</v>
      </c>
      <c r="E1137" s="120">
        <f t="shared" si="430"/>
        <v>12</v>
      </c>
      <c r="F1137" s="275">
        <f t="shared" si="431"/>
        <v>47103.5</v>
      </c>
      <c r="G1137" s="120">
        <f t="shared" si="432"/>
        <v>24347</v>
      </c>
      <c r="H1137" s="245">
        <f t="shared" si="433"/>
        <v>1</v>
      </c>
      <c r="I1137" s="121">
        <f t="shared" si="434"/>
        <v>1.04</v>
      </c>
      <c r="J1137" s="121">
        <f t="shared" si="435"/>
        <v>1.04</v>
      </c>
      <c r="K1137" s="120">
        <f t="shared" si="436"/>
        <v>0</v>
      </c>
      <c r="L1137" s="120">
        <f t="shared" si="437"/>
        <v>0</v>
      </c>
      <c r="M1137" s="246">
        <f t="shared" si="438"/>
        <v>0</v>
      </c>
      <c r="N1137" s="121">
        <f t="shared" si="439"/>
        <v>1.04</v>
      </c>
      <c r="O1137" s="246">
        <f t="shared" si="440"/>
        <v>0.91500000000000004</v>
      </c>
      <c r="P1137" s="121">
        <f t="shared" si="441"/>
        <v>0</v>
      </c>
      <c r="Q1137" s="121">
        <f t="shared" si="442"/>
        <v>0</v>
      </c>
      <c r="R1137" s="121">
        <f t="shared" si="443"/>
        <v>8.3333333333333329E-2</v>
      </c>
      <c r="AE1137" s="160">
        <f t="shared" si="444"/>
        <v>1.0343478260869565</v>
      </c>
    </row>
    <row r="1138" spans="1:31" x14ac:dyDescent="0.3">
      <c r="A1138" s="23" t="s">
        <v>1723</v>
      </c>
      <c r="B1138" s="279">
        <f>SUM($H$1114:$H$1125)</f>
        <v>12</v>
      </c>
      <c r="C1138" s="160">
        <f>SUMPRODUCT($H$1114:$H$1125,$W$1114:$W$1125/$N$1102:$N$1113,$Y$1114:$Y$1125)</f>
        <v>12.414301065026535</v>
      </c>
      <c r="D1138" s="160">
        <f>SUMPRODUCT($H$1114:$H$1125,$X$1114:$X$1125/$N$1102:$N$1113,$Y$1114:$Y$1125)</f>
        <v>5.1022890696418166</v>
      </c>
      <c r="E1138" s="281" t="str">
        <f>IF(OR($D$1087=0,$P$1087=0,$D1138=0),"n/a",((1+$E$1087)*$B1138-$C1138)/$D1138)</f>
        <v>n/a</v>
      </c>
      <c r="F1138" s="281">
        <f>IF($V$1087&lt;&gt;"",$V$1087,$E1138)</f>
        <v>0.04</v>
      </c>
      <c r="G1138" s="281">
        <f>IF(OR(NOT(ISNUMBER($F1138)),nd_Ach=0),"n/a",$F1138/nd_Ach)</f>
        <v>0.04</v>
      </c>
      <c r="H1138" s="220">
        <f>IF(OR(NOT(ISNUMBER($F1138)),$F$1087=0,SUMPRODUCT($AD$1114:$AD$1125,$AB$1114:$AB$1125)=0),"n/a",((1+$E$1087)*$B1138-SUMPRODUCT($AD$1114:$AD$1125,$AC$1114:$AC$1125))/SUMPRODUCT($AD$1114:$AD$1125,$AB$1114:$AB$1125))</f>
        <v>0.84036766519229478</v>
      </c>
      <c r="I1138" s="183">
        <f>IF(NOT(ISNUMBER($F1138)),"n/a",SUMPRODUCT($H$1114:$H$1125,($W$1114:$W$1125+$X$1114:$X$1125*$F1138)/$N$1102:$N$1113)/$B1138-1)</f>
        <v>4.6933333333333271E-2</v>
      </c>
      <c r="J1138" s="183">
        <f>IF(OR(NOT(ISNUMBER($I1138)),$F$1087=0),"n/a",(1+$E$1087)/(1+$I1138)-1)</f>
        <v>-4.4829342842587772E-2</v>
      </c>
      <c r="K1138" s="183">
        <f>IF(NOT(ISNUMBER($F1138)),"n/a",($C1138+$D1138*$F1138)/$B1138-1)</f>
        <v>5.1532718984350634E-2</v>
      </c>
      <c r="L1138" s="229">
        <f>IF(NOT(ISNUMBER($F1138)),"n/a",SUMPRODUCT($H$1114:$H$1125,$AF$1114:$AF$1125)/$B1138)</f>
        <v>0.41666666666666669</v>
      </c>
      <c r="M1138" s="23" t="str">
        <f>IF($D$1087=0,"",TRIM(IF(AND(ISNUMBER($H1138),OR($H1138&lt;0.5,$H1138&gt;1.5)),"MOD-BOUND ","")&amp;IF(AND(ISNUMBER($F1138),ABS($F1138)&gt;nr_SolvMaxRate),"RATE-BOUND ","")&amp;IF(AND(ISNUMBER($L1138),$L1138&lt;nr_SolvMinShare),"THIN-SHARE ","")&amp;IF($W$1087&gt;1,"MULTI-PLANNED ","")&amp;IF($F$1087=0,"RATE-ONLY","")))</f>
        <v/>
      </c>
      <c r="N1138" s="229" t="str">
        <f>IF(OR($D$1087=0,NOT(ISNUMBER($F1138))),"n/a",INDEX(calc_lrcur,$C$1087)*INDEX(calc_crl,$C$1087)/(SUMPRODUCT($H$1090:$H$1137,$Q$1090:$Q$1137,$AE$1090:$AE$1137)/SUMPRODUCT($H$1090:$H$1137,$Q$1090:$Q$1137))*INDEX(calc_aother,$C$1087))</f>
        <v>n/a</v>
      </c>
      <c r="O1138" s="229" t="str">
        <f>IF($D$1087=0,"n/a",INDEX(calc_cylr_p,$C$1087))</f>
        <v>n/a</v>
      </c>
      <c r="P1138" s="282">
        <f>IF(NOT(ISNUMBER($E1138)),0,ABS(($C1138+$D1138*$E1138)/$B1138-(1+$E$1087)))</f>
        <v>0</v>
      </c>
    </row>
    <row r="1143" spans="1:31" x14ac:dyDescent="0.3">
      <c r="A1143" s="23" t="str">
        <f>_lists!$B$19</f>
        <v>SC</v>
      </c>
      <c r="B1143" s="23" t="str">
        <f>IF(OR($A1143="",nd_BU="All"),"",nd_BU&amp;"|"&amp;$A1143)</f>
        <v>SBA|SC</v>
      </c>
      <c r="C1143" s="43">
        <f>IF($B1143="",0,IF(COUNTIF(lr_key,$B1143)=0,0,MATCH($B1143,lr_key,0)))</f>
        <v>59</v>
      </c>
      <c r="D1143" s="43">
        <f>IF($C1143=0,0,IF(ISBLANK(INDEX(lr_netp,$C1143)),0,1))</f>
        <v>0</v>
      </c>
      <c r="E1143" s="229">
        <f>IF($D1143=0,0,N(INDEX(lr_netp,$C1143)))</f>
        <v>0</v>
      </c>
      <c r="F1143" s="43">
        <f>IF($C1143=0,0,IF(AND(nr_ModAdjMaster="ON",INDEX(lr_modadj,$C1143)="ON"),1,0))</f>
        <v>1</v>
      </c>
      <c r="G1143" s="220">
        <f>IF($C1143=0,1,IF(N(INDEX(lr_mind,$C1143))=0,1,INDEX(lr_mind,$C1143)))</f>
        <v>0.92</v>
      </c>
      <c r="H1143" s="220">
        <f>IF($C1143=0,1,IF(N(INDEX(lr_m0,$C1143))=0,1,INDEX(lr_m0,$C1143)))</f>
        <v>0.91</v>
      </c>
      <c r="I1143" s="278">
        <f>IF($C1143=0,DATE(nr_PlanYear-1,10,1),IF(N(INDEX(lr_m0asof,$C1143))=0,DATE(nr_PlanYear-1,10,1),INDEX(lr_m0asof,$C1143)))</f>
        <v>46295</v>
      </c>
      <c r="J1143" s="220">
        <f>IF($C1143=0,1,IF(N(INDEX(lr_m1,$C1143))=0,1,INDEX(lr_m1,$C1143)))</f>
        <v>0.93</v>
      </c>
      <c r="K1143" s="220">
        <f>IF($C1143=0,0,N(INDEX(lr_mprior,$C1143)))</f>
        <v>0</v>
      </c>
      <c r="L1143" s="220">
        <f>IF($C1143=0,0,N(INDEX(lr_m2,$C1143)))</f>
        <v>0</v>
      </c>
      <c r="M1143" s="43">
        <f>IF(OR($A1143="",COUNTIF(se_state,$A1143)=0),0,MATCH($A1143,se_state,0))</f>
        <v>0</v>
      </c>
      <c r="N1143" s="279">
        <f>IF($M1143=0,0,INDEX(se_sum,$M1143))</f>
        <v>0</v>
      </c>
      <c r="O1143" s="278">
        <f>IF('Net Delivery'!$D$25="",$X1143,'Net Delivery'!$D$25)</f>
        <v>46478</v>
      </c>
      <c r="P1143" s="43">
        <f>IF(AND($O1143&gt;=DATE(nr_PlanYear,1,1),$O1143&lt;=DATE(nr_PlanYear,12,31)),1,0)</f>
        <v>1</v>
      </c>
      <c r="Q1143" s="43">
        <f>YEAR($O1143)*12+MONTH($O1143)-1</f>
        <v>24327</v>
      </c>
      <c r="R1143" s="43">
        <f>DAY(EOMONTH($O1143,0))</f>
        <v>30</v>
      </c>
      <c r="S1143" s="43">
        <f>EOMONTH($O1143,0)-$O1143+1</f>
        <v>30</v>
      </c>
      <c r="T1143" s="43">
        <f>SUMIFS(ndl_days,rl_key,$B1143,ndl_effmonth,DATE(YEAR($O1143),MONTH($O1143),1),ndl_first,1)</f>
        <v>0</v>
      </c>
      <c r="U1143" s="220">
        <f>IF($P1143=1,MIN(1,MAX($S1143,$T1143)/$R1143),1)</f>
        <v>1</v>
      </c>
      <c r="V1143" s="280" t="str">
        <f>IF(ISBLANK('Net Delivery'!$E$25),$Y1143,'Net Delivery'!$E$25)</f>
        <v/>
      </c>
      <c r="W1143" s="43">
        <f>IF($B1143="",0,COUNTIFS(rl_key,$B1143,rl_status,"planned",rl_eff,"&gt;="&amp;DATE(nr_PlanYear,1,1),rl_eff,"&lt;="&amp;DATE(nr_PlanYear,12,31)))</f>
        <v>0</v>
      </c>
      <c r="X1143" s="278">
        <f>IF($W1143=0,nd_DefaultDate,SUMIFS(rl_eff,rl_key,$B1143,rl_firstplanned,1))</f>
        <v>46478</v>
      </c>
      <c r="Y1143" s="280" t="str">
        <f>IF($W1143=0,"",SUMIFS(rl_reff,rl_key,$B1143,rl_firstplanned,1))</f>
        <v/>
      </c>
      <c r="Z1143" s="280" t="str">
        <f>IF($W1143=0,"",SUMIFS(rl_filed,rl_key,$B1143,rl_firstplanned,1))</f>
        <v/>
      </c>
    </row>
    <row r="1144" spans="1:31" x14ac:dyDescent="0.3">
      <c r="A1144" s="6">
        <f>EDATE($I$1143,-12)+1</f>
        <v>45931</v>
      </c>
      <c r="B1144" s="6">
        <f>$I$1143+1</f>
        <v>46296</v>
      </c>
      <c r="C1144" s="6">
        <f>DATE(nr_PlanYear,12,31)+1</f>
        <v>46753</v>
      </c>
      <c r="D1144" s="6">
        <f>DATE(nr_PlanYear+1,12,31)+1</f>
        <v>47119</v>
      </c>
      <c r="E1144" s="6">
        <f>IF(N($K$1143)=0,$F$1144-($G$1144-$F$1144)/($C$1144-$B$1144)*($B$1144-$A$1144),$K$1143)</f>
        <v>0.89402625820568926</v>
      </c>
      <c r="F1144" s="6">
        <f>$H$1143</f>
        <v>0.91</v>
      </c>
      <c r="G1144" s="6">
        <f>$J$1143</f>
        <v>0.93</v>
      </c>
      <c r="H1144" s="6">
        <f>IF(N($L$1143)=0,$J$1143,$L$1143)</f>
        <v>0.93</v>
      </c>
      <c r="I1144" s="6">
        <f>($F$1144-$E$1144)/($B$1144-$A$1144)</f>
        <v>4.3763676148796628E-5</v>
      </c>
      <c r="J1144" s="6">
        <f>($G$1144-$F$1144)/($C$1144-$B$1144)</f>
        <v>4.376367614879654E-5</v>
      </c>
      <c r="K1144" s="6">
        <f>($H$1144-$G$1144)/($D$1144-$C$1144)</f>
        <v>0</v>
      </c>
    </row>
    <row r="1145" spans="1:31" ht="36" x14ac:dyDescent="0.3">
      <c r="A1145" s="58" t="s">
        <v>390</v>
      </c>
      <c r="B1145" s="58" t="s">
        <v>449</v>
      </c>
      <c r="C1145" s="58" t="s">
        <v>685</v>
      </c>
      <c r="D1145" s="58" t="s">
        <v>686</v>
      </c>
      <c r="E1145" s="58" t="s">
        <v>687</v>
      </c>
      <c r="F1145" s="58" t="s">
        <v>688</v>
      </c>
      <c r="G1145" s="58" t="s">
        <v>689</v>
      </c>
      <c r="H1145" s="58" t="s">
        <v>452</v>
      </c>
      <c r="I1145" s="58" t="s">
        <v>690</v>
      </c>
      <c r="J1145" s="58" t="s">
        <v>691</v>
      </c>
      <c r="K1145" s="58" t="s">
        <v>692</v>
      </c>
      <c r="L1145" s="58" t="s">
        <v>693</v>
      </c>
      <c r="M1145" s="58" t="s">
        <v>694</v>
      </c>
      <c r="N1145" s="58" t="s">
        <v>695</v>
      </c>
      <c r="O1145" s="58" t="s">
        <v>696</v>
      </c>
      <c r="P1145" s="58" t="s">
        <v>697</v>
      </c>
      <c r="Q1145" s="58" t="s">
        <v>698</v>
      </c>
      <c r="R1145" s="58" t="s">
        <v>699</v>
      </c>
      <c r="S1145" s="58" t="s">
        <v>700</v>
      </c>
      <c r="T1145" s="58" t="s">
        <v>701</v>
      </c>
      <c r="U1145" s="58" t="s">
        <v>702</v>
      </c>
    </row>
    <row r="1146" spans="1:31" x14ac:dyDescent="0.3">
      <c r="A1146" s="187">
        <v>1</v>
      </c>
      <c r="B1146" s="242">
        <f>DATE(nr_PlanYear-2,1,1)</f>
        <v>45658</v>
      </c>
      <c r="C1146" s="243">
        <f t="shared" ref="C1146:C1193" si="456">EOMONTH($B1146,0)</f>
        <v>45688</v>
      </c>
      <c r="D1146" s="120">
        <f t="shared" ref="D1146:D1193" si="457">$C1146-$B1146+1</f>
        <v>31</v>
      </c>
      <c r="E1146" s="120">
        <f t="shared" ref="E1146:E1193" si="458">MONTH($B1146)</f>
        <v>1</v>
      </c>
      <c r="F1146" s="275">
        <f t="shared" ref="F1146:F1193" si="459">($B1146+$C1146+1)/2</f>
        <v>45673.5</v>
      </c>
      <c r="G1146" s="120">
        <f t="shared" ref="G1146:G1193" si="460">YEAR($B1146)*12+MONTH($B1146)-1</f>
        <v>24300</v>
      </c>
      <c r="H1146" s="245">
        <f t="shared" ref="H1146:H1193" si="461">IF(OR(nr_SeasonOn="OFF",$M$1143=0,$N$1143=0),1,12*INDEX(se_block,$M$1143,$E1146)/$N$1143)</f>
        <v>1</v>
      </c>
      <c r="I1146" s="121">
        <f t="shared" ref="I1146:I1193" si="462">EXP(SUMPRODUCT((ndl_eff&lt;$B1146)*(rl_key=$B$1143)*ndl_ln))</f>
        <v>1</v>
      </c>
      <c r="J1146" s="121">
        <f t="shared" ref="J1146:J1193" si="463">EXP(SUMPRODUCT((ndl_eff&lt;=$C1146)*(rl_key=$B$1143)*ndl_ln))</f>
        <v>1</v>
      </c>
      <c r="K1146" s="120">
        <f t="shared" ref="K1146:K1193" si="464">COUNTIFS(rl_key,$B$1143,ndl_eff,"&gt;="&amp;$B1146,ndl_eff,"&lt;="&amp;$C1146)</f>
        <v>0</v>
      </c>
      <c r="L1146" s="120">
        <f t="shared" ref="L1146:L1193" si="465">SUMIFS(ndl_days,rl_key,$B$1143,ndl_effmonth,$B1146,ndl_first,1)</f>
        <v>0</v>
      </c>
      <c r="M1146" s="246">
        <f t="shared" ref="M1146:M1193" si="466">IF($K1146=0,0,MIN(1,$L1146/$D1146))</f>
        <v>0</v>
      </c>
      <c r="N1146" s="121">
        <f t="shared" ref="N1146:N1193" si="467">IF($K1146=0,$J1146,(1-$M1146)*$I1146+$M1146*$J1146)</f>
        <v>1</v>
      </c>
      <c r="O1146" s="246">
        <f t="shared" ref="O1146:O1193" si="468">IF($F1146&lt;$B$1144,$E$1144+$I$1144*($F1146-$A$1144),IF($F1146&lt;$C$1144,$F$1144+$J$1144*($F1146-$B$1144),$G$1144+$K$1144*($F1146-$C$1144)))</f>
        <v>0.88275711159737413</v>
      </c>
      <c r="P1146" s="121">
        <f t="shared" ref="P1146:P1193" si="469">MIN(1,MAX(0,(nr_MEndPm1-$G1146+0.5)/nr_TermMonths))-MIN(1,MAX(0,(nr_MStartPm1-1-$G1146+0.5)/nr_TermMonths))</f>
        <v>0</v>
      </c>
      <c r="Q1146" s="121">
        <f t="shared" ref="Q1146:Q1193" si="470">MIN(1,MAX(0,(nr_MEndP-$G1146+0.5)/nr_TermMonths))-MIN(1,MAX(0,(nr_MStartP-1-$G1146+0.5)/nr_TermMonths))</f>
        <v>0</v>
      </c>
      <c r="R1146" s="121">
        <f t="shared" ref="R1146:R1193" si="471">MIN(1,MAX(0,(nr_MEndP1-$G1146+0.5)/nr_TermMonths))-MIN(1,MAX(0,(nr_MStartP1-1-$G1146+0.5)/nr_TermMonths))</f>
        <v>0</v>
      </c>
      <c r="AE1146" s="160">
        <f t="shared" ref="AE1146:AE1193" si="472">IF(OR($G1146&lt;nr_MStartP,$G1146&gt;=nr_MStartP1),IF($F$1143=1,$N1146*$O1146/$G$1143,$N1146),($W1146+$X1146*IF(ISNUMBER($F$1194),$F$1194,0))*IF($F$1143=1,($AC1146+$AB1146*IF(ISNUMBER($H$1194),$H$1194,$J$1143))/$G$1143,1))</f>
        <v>0.95951859956236318</v>
      </c>
    </row>
    <row r="1147" spans="1:31" x14ac:dyDescent="0.3">
      <c r="A1147" s="187">
        <v>2</v>
      </c>
      <c r="B1147" s="242">
        <f t="shared" ref="B1147:B1193" si="473">EDATE($B1146,1)</f>
        <v>45689</v>
      </c>
      <c r="C1147" s="243">
        <f t="shared" si="456"/>
        <v>45716</v>
      </c>
      <c r="D1147" s="120">
        <f t="shared" si="457"/>
        <v>28</v>
      </c>
      <c r="E1147" s="120">
        <f t="shared" si="458"/>
        <v>2</v>
      </c>
      <c r="F1147" s="275">
        <f t="shared" si="459"/>
        <v>45703</v>
      </c>
      <c r="G1147" s="120">
        <f t="shared" si="460"/>
        <v>24301</v>
      </c>
      <c r="H1147" s="245">
        <f t="shared" si="461"/>
        <v>1</v>
      </c>
      <c r="I1147" s="121">
        <f t="shared" si="462"/>
        <v>1</v>
      </c>
      <c r="J1147" s="121">
        <f t="shared" si="463"/>
        <v>1</v>
      </c>
      <c r="K1147" s="120">
        <f t="shared" si="464"/>
        <v>0</v>
      </c>
      <c r="L1147" s="120">
        <f t="shared" si="465"/>
        <v>0</v>
      </c>
      <c r="M1147" s="246">
        <f t="shared" si="466"/>
        <v>0</v>
      </c>
      <c r="N1147" s="121">
        <f t="shared" si="467"/>
        <v>1</v>
      </c>
      <c r="O1147" s="246">
        <f t="shared" si="468"/>
        <v>0.88404814004376364</v>
      </c>
      <c r="P1147" s="121">
        <f t="shared" si="469"/>
        <v>0</v>
      </c>
      <c r="Q1147" s="121">
        <f t="shared" si="470"/>
        <v>0</v>
      </c>
      <c r="R1147" s="121">
        <f t="shared" si="471"/>
        <v>0</v>
      </c>
      <c r="AE1147" s="160">
        <f t="shared" si="472"/>
        <v>0.96092189135191697</v>
      </c>
    </row>
    <row r="1148" spans="1:31" x14ac:dyDescent="0.3">
      <c r="A1148" s="187">
        <v>3</v>
      </c>
      <c r="B1148" s="242">
        <f t="shared" si="473"/>
        <v>45717</v>
      </c>
      <c r="C1148" s="243">
        <f t="shared" si="456"/>
        <v>45747</v>
      </c>
      <c r="D1148" s="120">
        <f t="shared" si="457"/>
        <v>31</v>
      </c>
      <c r="E1148" s="120">
        <f t="shared" si="458"/>
        <v>3</v>
      </c>
      <c r="F1148" s="275">
        <f t="shared" si="459"/>
        <v>45732.5</v>
      </c>
      <c r="G1148" s="120">
        <f t="shared" si="460"/>
        <v>24302</v>
      </c>
      <c r="H1148" s="245">
        <f t="shared" si="461"/>
        <v>1</v>
      </c>
      <c r="I1148" s="121">
        <f t="shared" si="462"/>
        <v>1</v>
      </c>
      <c r="J1148" s="121">
        <f t="shared" si="463"/>
        <v>1</v>
      </c>
      <c r="K1148" s="120">
        <f t="shared" si="464"/>
        <v>0</v>
      </c>
      <c r="L1148" s="120">
        <f t="shared" si="465"/>
        <v>0</v>
      </c>
      <c r="M1148" s="246">
        <f t="shared" si="466"/>
        <v>0</v>
      </c>
      <c r="N1148" s="121">
        <f t="shared" si="467"/>
        <v>1</v>
      </c>
      <c r="O1148" s="246">
        <f t="shared" si="468"/>
        <v>0.88533916849015315</v>
      </c>
      <c r="P1148" s="121">
        <f t="shared" si="469"/>
        <v>0</v>
      </c>
      <c r="Q1148" s="121">
        <f t="shared" si="470"/>
        <v>0</v>
      </c>
      <c r="R1148" s="121">
        <f t="shared" si="471"/>
        <v>0</v>
      </c>
      <c r="AE1148" s="160">
        <f t="shared" si="472"/>
        <v>0.96232518314147075</v>
      </c>
    </row>
    <row r="1149" spans="1:31" x14ac:dyDescent="0.3">
      <c r="A1149" s="187">
        <v>4</v>
      </c>
      <c r="B1149" s="242">
        <f t="shared" si="473"/>
        <v>45748</v>
      </c>
      <c r="C1149" s="243">
        <f t="shared" si="456"/>
        <v>45777</v>
      </c>
      <c r="D1149" s="120">
        <f t="shared" si="457"/>
        <v>30</v>
      </c>
      <c r="E1149" s="120">
        <f t="shared" si="458"/>
        <v>4</v>
      </c>
      <c r="F1149" s="275">
        <f t="shared" si="459"/>
        <v>45763</v>
      </c>
      <c r="G1149" s="120">
        <f t="shared" si="460"/>
        <v>24303</v>
      </c>
      <c r="H1149" s="245">
        <f t="shared" si="461"/>
        <v>1</v>
      </c>
      <c r="I1149" s="121">
        <f t="shared" si="462"/>
        <v>1</v>
      </c>
      <c r="J1149" s="121">
        <f t="shared" si="463"/>
        <v>1</v>
      </c>
      <c r="K1149" s="120">
        <f t="shared" si="464"/>
        <v>0</v>
      </c>
      <c r="L1149" s="120">
        <f t="shared" si="465"/>
        <v>0</v>
      </c>
      <c r="M1149" s="246">
        <f t="shared" si="466"/>
        <v>0</v>
      </c>
      <c r="N1149" s="121">
        <f t="shared" si="467"/>
        <v>1</v>
      </c>
      <c r="O1149" s="246">
        <f t="shared" si="468"/>
        <v>0.88667396061269144</v>
      </c>
      <c r="P1149" s="121">
        <f t="shared" si="469"/>
        <v>0</v>
      </c>
      <c r="Q1149" s="121">
        <f t="shared" si="470"/>
        <v>0</v>
      </c>
      <c r="R1149" s="121">
        <f t="shared" si="471"/>
        <v>0</v>
      </c>
      <c r="AE1149" s="160">
        <f t="shared" si="472"/>
        <v>0.96377604414422979</v>
      </c>
    </row>
    <row r="1150" spans="1:31" x14ac:dyDescent="0.3">
      <c r="A1150" s="187">
        <v>5</v>
      </c>
      <c r="B1150" s="242">
        <f t="shared" si="473"/>
        <v>45778</v>
      </c>
      <c r="C1150" s="243">
        <f t="shared" si="456"/>
        <v>45808</v>
      </c>
      <c r="D1150" s="120">
        <f t="shared" si="457"/>
        <v>31</v>
      </c>
      <c r="E1150" s="120">
        <f t="shared" si="458"/>
        <v>5</v>
      </c>
      <c r="F1150" s="275">
        <f t="shared" si="459"/>
        <v>45793.5</v>
      </c>
      <c r="G1150" s="120">
        <f t="shared" si="460"/>
        <v>24304</v>
      </c>
      <c r="H1150" s="245">
        <f t="shared" si="461"/>
        <v>1</v>
      </c>
      <c r="I1150" s="121">
        <f t="shared" si="462"/>
        <v>1</v>
      </c>
      <c r="J1150" s="121">
        <f t="shared" si="463"/>
        <v>1</v>
      </c>
      <c r="K1150" s="120">
        <f t="shared" si="464"/>
        <v>0</v>
      </c>
      <c r="L1150" s="120">
        <f t="shared" si="465"/>
        <v>0</v>
      </c>
      <c r="M1150" s="246">
        <f t="shared" si="466"/>
        <v>0</v>
      </c>
      <c r="N1150" s="121">
        <f t="shared" si="467"/>
        <v>1</v>
      </c>
      <c r="O1150" s="246">
        <f t="shared" si="468"/>
        <v>0.88800875273522972</v>
      </c>
      <c r="P1150" s="121">
        <f t="shared" si="469"/>
        <v>0</v>
      </c>
      <c r="Q1150" s="121">
        <f t="shared" si="470"/>
        <v>0</v>
      </c>
      <c r="R1150" s="121">
        <f t="shared" si="471"/>
        <v>0</v>
      </c>
      <c r="AE1150" s="160">
        <f t="shared" si="472"/>
        <v>0.96522690514698883</v>
      </c>
    </row>
    <row r="1151" spans="1:31" x14ac:dyDescent="0.3">
      <c r="A1151" s="187">
        <v>6</v>
      </c>
      <c r="B1151" s="242">
        <f t="shared" si="473"/>
        <v>45809</v>
      </c>
      <c r="C1151" s="243">
        <f t="shared" si="456"/>
        <v>45838</v>
      </c>
      <c r="D1151" s="120">
        <f t="shared" si="457"/>
        <v>30</v>
      </c>
      <c r="E1151" s="120">
        <f t="shared" si="458"/>
        <v>6</v>
      </c>
      <c r="F1151" s="275">
        <f t="shared" si="459"/>
        <v>45824</v>
      </c>
      <c r="G1151" s="120">
        <f t="shared" si="460"/>
        <v>24305</v>
      </c>
      <c r="H1151" s="245">
        <f t="shared" si="461"/>
        <v>1</v>
      </c>
      <c r="I1151" s="121">
        <f t="shared" si="462"/>
        <v>1</v>
      </c>
      <c r="J1151" s="121">
        <f t="shared" si="463"/>
        <v>1</v>
      </c>
      <c r="K1151" s="120">
        <f t="shared" si="464"/>
        <v>0</v>
      </c>
      <c r="L1151" s="120">
        <f t="shared" si="465"/>
        <v>0</v>
      </c>
      <c r="M1151" s="246">
        <f t="shared" si="466"/>
        <v>0</v>
      </c>
      <c r="N1151" s="121">
        <f t="shared" si="467"/>
        <v>1</v>
      </c>
      <c r="O1151" s="246">
        <f t="shared" si="468"/>
        <v>0.88934354485776801</v>
      </c>
      <c r="P1151" s="121">
        <f t="shared" si="469"/>
        <v>0</v>
      </c>
      <c r="Q1151" s="121">
        <f t="shared" si="470"/>
        <v>0</v>
      </c>
      <c r="R1151" s="121">
        <f t="shared" si="471"/>
        <v>0</v>
      </c>
      <c r="AE1151" s="160">
        <f t="shared" si="472"/>
        <v>0.96667776614974776</v>
      </c>
    </row>
    <row r="1152" spans="1:31" x14ac:dyDescent="0.3">
      <c r="A1152" s="187">
        <v>7</v>
      </c>
      <c r="B1152" s="242">
        <f t="shared" si="473"/>
        <v>45839</v>
      </c>
      <c r="C1152" s="243">
        <f t="shared" si="456"/>
        <v>45869</v>
      </c>
      <c r="D1152" s="120">
        <f t="shared" si="457"/>
        <v>31</v>
      </c>
      <c r="E1152" s="120">
        <f t="shared" si="458"/>
        <v>7</v>
      </c>
      <c r="F1152" s="275">
        <f t="shared" si="459"/>
        <v>45854.5</v>
      </c>
      <c r="G1152" s="120">
        <f t="shared" si="460"/>
        <v>24306</v>
      </c>
      <c r="H1152" s="245">
        <f t="shared" si="461"/>
        <v>1</v>
      </c>
      <c r="I1152" s="121">
        <f t="shared" si="462"/>
        <v>1</v>
      </c>
      <c r="J1152" s="121">
        <f t="shared" si="463"/>
        <v>1</v>
      </c>
      <c r="K1152" s="120">
        <f t="shared" si="464"/>
        <v>0</v>
      </c>
      <c r="L1152" s="120">
        <f t="shared" si="465"/>
        <v>0</v>
      </c>
      <c r="M1152" s="246">
        <f t="shared" si="466"/>
        <v>0</v>
      </c>
      <c r="N1152" s="121">
        <f t="shared" si="467"/>
        <v>1</v>
      </c>
      <c r="O1152" s="246">
        <f t="shared" si="468"/>
        <v>0.8906783369803063</v>
      </c>
      <c r="P1152" s="121">
        <f t="shared" si="469"/>
        <v>8.333333333333337E-2</v>
      </c>
      <c r="Q1152" s="121">
        <f t="shared" si="470"/>
        <v>0</v>
      </c>
      <c r="R1152" s="121">
        <f t="shared" si="471"/>
        <v>0</v>
      </c>
      <c r="AE1152" s="160">
        <f t="shared" si="472"/>
        <v>0.9681286271525068</v>
      </c>
    </row>
    <row r="1153" spans="1:31" x14ac:dyDescent="0.3">
      <c r="A1153" s="187">
        <v>8</v>
      </c>
      <c r="B1153" s="242">
        <f t="shared" si="473"/>
        <v>45870</v>
      </c>
      <c r="C1153" s="243">
        <f t="shared" si="456"/>
        <v>45900</v>
      </c>
      <c r="D1153" s="120">
        <f t="shared" si="457"/>
        <v>31</v>
      </c>
      <c r="E1153" s="120">
        <f t="shared" si="458"/>
        <v>8</v>
      </c>
      <c r="F1153" s="275">
        <f t="shared" si="459"/>
        <v>45885.5</v>
      </c>
      <c r="G1153" s="120">
        <f t="shared" si="460"/>
        <v>24307</v>
      </c>
      <c r="H1153" s="245">
        <f t="shared" si="461"/>
        <v>1</v>
      </c>
      <c r="I1153" s="121">
        <f t="shared" si="462"/>
        <v>1</v>
      </c>
      <c r="J1153" s="121">
        <f t="shared" si="463"/>
        <v>1</v>
      </c>
      <c r="K1153" s="120">
        <f t="shared" si="464"/>
        <v>0</v>
      </c>
      <c r="L1153" s="120">
        <f t="shared" si="465"/>
        <v>0</v>
      </c>
      <c r="M1153" s="246">
        <f t="shared" si="466"/>
        <v>0</v>
      </c>
      <c r="N1153" s="121">
        <f t="shared" si="467"/>
        <v>1</v>
      </c>
      <c r="O1153" s="246">
        <f t="shared" si="468"/>
        <v>0.89203501094091897</v>
      </c>
      <c r="P1153" s="121">
        <f t="shared" si="469"/>
        <v>0.25</v>
      </c>
      <c r="Q1153" s="121">
        <f t="shared" si="470"/>
        <v>0</v>
      </c>
      <c r="R1153" s="121">
        <f t="shared" si="471"/>
        <v>0</v>
      </c>
      <c r="AE1153" s="160">
        <f t="shared" si="472"/>
        <v>0.96960327276186842</v>
      </c>
    </row>
    <row r="1154" spans="1:31" x14ac:dyDescent="0.3">
      <c r="A1154" s="187">
        <v>9</v>
      </c>
      <c r="B1154" s="242">
        <f t="shared" si="473"/>
        <v>45901</v>
      </c>
      <c r="C1154" s="243">
        <f t="shared" si="456"/>
        <v>45930</v>
      </c>
      <c r="D1154" s="120">
        <f t="shared" si="457"/>
        <v>30</v>
      </c>
      <c r="E1154" s="120">
        <f t="shared" si="458"/>
        <v>9</v>
      </c>
      <c r="F1154" s="275">
        <f t="shared" si="459"/>
        <v>45916</v>
      </c>
      <c r="G1154" s="120">
        <f t="shared" si="460"/>
        <v>24308</v>
      </c>
      <c r="H1154" s="245">
        <f t="shared" si="461"/>
        <v>1</v>
      </c>
      <c r="I1154" s="121">
        <f t="shared" si="462"/>
        <v>1</v>
      </c>
      <c r="J1154" s="121">
        <f t="shared" si="463"/>
        <v>1</v>
      </c>
      <c r="K1154" s="120">
        <f t="shared" si="464"/>
        <v>0</v>
      </c>
      <c r="L1154" s="120">
        <f t="shared" si="465"/>
        <v>0</v>
      </c>
      <c r="M1154" s="246">
        <f t="shared" si="466"/>
        <v>0</v>
      </c>
      <c r="N1154" s="121">
        <f t="shared" si="467"/>
        <v>1</v>
      </c>
      <c r="O1154" s="246">
        <f t="shared" si="468"/>
        <v>0.89336980306345726</v>
      </c>
      <c r="P1154" s="121">
        <f t="shared" si="469"/>
        <v>0.41666666666666663</v>
      </c>
      <c r="Q1154" s="121">
        <f t="shared" si="470"/>
        <v>0</v>
      </c>
      <c r="R1154" s="121">
        <f t="shared" si="471"/>
        <v>0</v>
      </c>
      <c r="AE1154" s="160">
        <f t="shared" si="472"/>
        <v>0.97105413376462746</v>
      </c>
    </row>
    <row r="1155" spans="1:31" x14ac:dyDescent="0.3">
      <c r="A1155" s="187">
        <v>10</v>
      </c>
      <c r="B1155" s="242">
        <f t="shared" si="473"/>
        <v>45931</v>
      </c>
      <c r="C1155" s="243">
        <f t="shared" si="456"/>
        <v>45961</v>
      </c>
      <c r="D1155" s="120">
        <f t="shared" si="457"/>
        <v>31</v>
      </c>
      <c r="E1155" s="120">
        <f t="shared" si="458"/>
        <v>10</v>
      </c>
      <c r="F1155" s="275">
        <f t="shared" si="459"/>
        <v>45946.5</v>
      </c>
      <c r="G1155" s="120">
        <f t="shared" si="460"/>
        <v>24309</v>
      </c>
      <c r="H1155" s="245">
        <f t="shared" si="461"/>
        <v>1</v>
      </c>
      <c r="I1155" s="121">
        <f t="shared" si="462"/>
        <v>1</v>
      </c>
      <c r="J1155" s="121">
        <f t="shared" si="463"/>
        <v>1</v>
      </c>
      <c r="K1155" s="120">
        <f t="shared" si="464"/>
        <v>0</v>
      </c>
      <c r="L1155" s="120">
        <f t="shared" si="465"/>
        <v>0</v>
      </c>
      <c r="M1155" s="246">
        <f t="shared" si="466"/>
        <v>0</v>
      </c>
      <c r="N1155" s="121">
        <f t="shared" si="467"/>
        <v>1</v>
      </c>
      <c r="O1155" s="246">
        <f t="shared" si="468"/>
        <v>0.89470459518599565</v>
      </c>
      <c r="P1155" s="121">
        <f t="shared" si="469"/>
        <v>0.58333333333333326</v>
      </c>
      <c r="Q1155" s="121">
        <f t="shared" si="470"/>
        <v>0</v>
      </c>
      <c r="R1155" s="121">
        <f t="shared" si="471"/>
        <v>0</v>
      </c>
      <c r="AE1155" s="160">
        <f t="shared" si="472"/>
        <v>0.9725049947673865</v>
      </c>
    </row>
    <row r="1156" spans="1:31" x14ac:dyDescent="0.3">
      <c r="A1156" s="187">
        <v>11</v>
      </c>
      <c r="B1156" s="242">
        <f t="shared" si="473"/>
        <v>45962</v>
      </c>
      <c r="C1156" s="243">
        <f t="shared" si="456"/>
        <v>45991</v>
      </c>
      <c r="D1156" s="120">
        <f t="shared" si="457"/>
        <v>30</v>
      </c>
      <c r="E1156" s="120">
        <f t="shared" si="458"/>
        <v>11</v>
      </c>
      <c r="F1156" s="275">
        <f t="shared" si="459"/>
        <v>45977</v>
      </c>
      <c r="G1156" s="120">
        <f t="shared" si="460"/>
        <v>24310</v>
      </c>
      <c r="H1156" s="245">
        <f t="shared" si="461"/>
        <v>1</v>
      </c>
      <c r="I1156" s="121">
        <f t="shared" si="462"/>
        <v>1</v>
      </c>
      <c r="J1156" s="121">
        <f t="shared" si="463"/>
        <v>1</v>
      </c>
      <c r="K1156" s="120">
        <f t="shared" si="464"/>
        <v>0</v>
      </c>
      <c r="L1156" s="120">
        <f t="shared" si="465"/>
        <v>0</v>
      </c>
      <c r="M1156" s="246">
        <f t="shared" si="466"/>
        <v>0</v>
      </c>
      <c r="N1156" s="121">
        <f t="shared" si="467"/>
        <v>1</v>
      </c>
      <c r="O1156" s="246">
        <f t="shared" si="468"/>
        <v>0.89603938730853394</v>
      </c>
      <c r="P1156" s="121">
        <f t="shared" si="469"/>
        <v>0.75</v>
      </c>
      <c r="Q1156" s="121">
        <f t="shared" si="470"/>
        <v>0</v>
      </c>
      <c r="R1156" s="121">
        <f t="shared" si="471"/>
        <v>0</v>
      </c>
      <c r="AE1156" s="160">
        <f t="shared" si="472"/>
        <v>0.97395585577014554</v>
      </c>
    </row>
    <row r="1157" spans="1:31" x14ac:dyDescent="0.3">
      <c r="A1157" s="187">
        <v>12</v>
      </c>
      <c r="B1157" s="242">
        <f t="shared" si="473"/>
        <v>45992</v>
      </c>
      <c r="C1157" s="243">
        <f t="shared" si="456"/>
        <v>46022</v>
      </c>
      <c r="D1157" s="120">
        <f t="shared" si="457"/>
        <v>31</v>
      </c>
      <c r="E1157" s="120">
        <f t="shared" si="458"/>
        <v>12</v>
      </c>
      <c r="F1157" s="275">
        <f t="shared" si="459"/>
        <v>46007.5</v>
      </c>
      <c r="G1157" s="120">
        <f t="shared" si="460"/>
        <v>24311</v>
      </c>
      <c r="H1157" s="245">
        <f t="shared" si="461"/>
        <v>1</v>
      </c>
      <c r="I1157" s="121">
        <f t="shared" si="462"/>
        <v>1</v>
      </c>
      <c r="J1157" s="121">
        <f t="shared" si="463"/>
        <v>1</v>
      </c>
      <c r="K1157" s="120">
        <f t="shared" si="464"/>
        <v>0</v>
      </c>
      <c r="L1157" s="120">
        <f t="shared" si="465"/>
        <v>0</v>
      </c>
      <c r="M1157" s="246">
        <f t="shared" si="466"/>
        <v>0</v>
      </c>
      <c r="N1157" s="121">
        <f t="shared" si="467"/>
        <v>1</v>
      </c>
      <c r="O1157" s="246">
        <f t="shared" si="468"/>
        <v>0.89737417943107223</v>
      </c>
      <c r="P1157" s="121">
        <f t="shared" si="469"/>
        <v>0.91666666666666663</v>
      </c>
      <c r="Q1157" s="121">
        <f t="shared" si="470"/>
        <v>0</v>
      </c>
      <c r="R1157" s="121">
        <f t="shared" si="471"/>
        <v>0</v>
      </c>
      <c r="AE1157" s="160">
        <f t="shared" si="472"/>
        <v>0.97540671677290458</v>
      </c>
    </row>
    <row r="1158" spans="1:31" x14ac:dyDescent="0.3">
      <c r="A1158" s="187">
        <v>13</v>
      </c>
      <c r="B1158" s="242">
        <f t="shared" si="473"/>
        <v>46023</v>
      </c>
      <c r="C1158" s="243">
        <f t="shared" si="456"/>
        <v>46053</v>
      </c>
      <c r="D1158" s="120">
        <f t="shared" si="457"/>
        <v>31</v>
      </c>
      <c r="E1158" s="120">
        <f t="shared" si="458"/>
        <v>1</v>
      </c>
      <c r="F1158" s="275">
        <f t="shared" si="459"/>
        <v>46038.5</v>
      </c>
      <c r="G1158" s="120">
        <f t="shared" si="460"/>
        <v>24312</v>
      </c>
      <c r="H1158" s="245">
        <f t="shared" si="461"/>
        <v>1</v>
      </c>
      <c r="I1158" s="121">
        <f t="shared" si="462"/>
        <v>1</v>
      </c>
      <c r="J1158" s="121">
        <f t="shared" si="463"/>
        <v>1</v>
      </c>
      <c r="K1158" s="120">
        <f t="shared" si="464"/>
        <v>0</v>
      </c>
      <c r="L1158" s="120">
        <f t="shared" si="465"/>
        <v>0</v>
      </c>
      <c r="M1158" s="246">
        <f t="shared" si="466"/>
        <v>0</v>
      </c>
      <c r="N1158" s="121">
        <f t="shared" si="467"/>
        <v>1</v>
      </c>
      <c r="O1158" s="246">
        <f t="shared" si="468"/>
        <v>0.8987308533916849</v>
      </c>
      <c r="P1158" s="121">
        <f t="shared" si="469"/>
        <v>1</v>
      </c>
      <c r="Q1158" s="121">
        <f t="shared" si="470"/>
        <v>0</v>
      </c>
      <c r="R1158" s="121">
        <f t="shared" si="471"/>
        <v>0</v>
      </c>
      <c r="AE1158" s="160">
        <f t="shared" si="472"/>
        <v>0.97688136238226619</v>
      </c>
    </row>
    <row r="1159" spans="1:31" x14ac:dyDescent="0.3">
      <c r="A1159" s="187">
        <v>14</v>
      </c>
      <c r="B1159" s="242">
        <f t="shared" si="473"/>
        <v>46054</v>
      </c>
      <c r="C1159" s="243">
        <f t="shared" si="456"/>
        <v>46081</v>
      </c>
      <c r="D1159" s="120">
        <f t="shared" si="457"/>
        <v>28</v>
      </c>
      <c r="E1159" s="120">
        <f t="shared" si="458"/>
        <v>2</v>
      </c>
      <c r="F1159" s="275">
        <f t="shared" si="459"/>
        <v>46068</v>
      </c>
      <c r="G1159" s="120">
        <f t="shared" si="460"/>
        <v>24313</v>
      </c>
      <c r="H1159" s="245">
        <f t="shared" si="461"/>
        <v>1</v>
      </c>
      <c r="I1159" s="121">
        <f t="shared" si="462"/>
        <v>1</v>
      </c>
      <c r="J1159" s="121">
        <f t="shared" si="463"/>
        <v>1</v>
      </c>
      <c r="K1159" s="120">
        <f t="shared" si="464"/>
        <v>0</v>
      </c>
      <c r="L1159" s="120">
        <f t="shared" si="465"/>
        <v>0</v>
      </c>
      <c r="M1159" s="246">
        <f t="shared" si="466"/>
        <v>0</v>
      </c>
      <c r="N1159" s="121">
        <f t="shared" si="467"/>
        <v>1</v>
      </c>
      <c r="O1159" s="246">
        <f t="shared" si="468"/>
        <v>0.90002188183807441</v>
      </c>
      <c r="P1159" s="121">
        <f t="shared" si="469"/>
        <v>1</v>
      </c>
      <c r="Q1159" s="121">
        <f t="shared" si="470"/>
        <v>0</v>
      </c>
      <c r="R1159" s="121">
        <f t="shared" si="471"/>
        <v>0</v>
      </c>
      <c r="AE1159" s="160">
        <f t="shared" si="472"/>
        <v>0.97828465417181998</v>
      </c>
    </row>
    <row r="1160" spans="1:31" x14ac:dyDescent="0.3">
      <c r="A1160" s="187">
        <v>15</v>
      </c>
      <c r="B1160" s="242">
        <f t="shared" si="473"/>
        <v>46082</v>
      </c>
      <c r="C1160" s="243">
        <f t="shared" si="456"/>
        <v>46112</v>
      </c>
      <c r="D1160" s="120">
        <f t="shared" si="457"/>
        <v>31</v>
      </c>
      <c r="E1160" s="120">
        <f t="shared" si="458"/>
        <v>3</v>
      </c>
      <c r="F1160" s="275">
        <f t="shared" si="459"/>
        <v>46097.5</v>
      </c>
      <c r="G1160" s="120">
        <f t="shared" si="460"/>
        <v>24314</v>
      </c>
      <c r="H1160" s="245">
        <f t="shared" si="461"/>
        <v>1</v>
      </c>
      <c r="I1160" s="121">
        <f t="shared" si="462"/>
        <v>1</v>
      </c>
      <c r="J1160" s="121">
        <f t="shared" si="463"/>
        <v>1</v>
      </c>
      <c r="K1160" s="120">
        <f t="shared" si="464"/>
        <v>0</v>
      </c>
      <c r="L1160" s="120">
        <f t="shared" si="465"/>
        <v>0</v>
      </c>
      <c r="M1160" s="246">
        <f t="shared" si="466"/>
        <v>0</v>
      </c>
      <c r="N1160" s="121">
        <f t="shared" si="467"/>
        <v>1</v>
      </c>
      <c r="O1160" s="246">
        <f t="shared" si="468"/>
        <v>0.90131291028446392</v>
      </c>
      <c r="P1160" s="121">
        <f t="shared" si="469"/>
        <v>1</v>
      </c>
      <c r="Q1160" s="121">
        <f t="shared" si="470"/>
        <v>0</v>
      </c>
      <c r="R1160" s="121">
        <f t="shared" si="471"/>
        <v>0</v>
      </c>
      <c r="AE1160" s="160">
        <f t="shared" si="472"/>
        <v>0.97968794596137376</v>
      </c>
    </row>
    <row r="1161" spans="1:31" x14ac:dyDescent="0.3">
      <c r="A1161" s="187">
        <v>16</v>
      </c>
      <c r="B1161" s="242">
        <f t="shared" si="473"/>
        <v>46113</v>
      </c>
      <c r="C1161" s="243">
        <f t="shared" si="456"/>
        <v>46142</v>
      </c>
      <c r="D1161" s="120">
        <f t="shared" si="457"/>
        <v>30</v>
      </c>
      <c r="E1161" s="120">
        <f t="shared" si="458"/>
        <v>4</v>
      </c>
      <c r="F1161" s="275">
        <f t="shared" si="459"/>
        <v>46128</v>
      </c>
      <c r="G1161" s="120">
        <f t="shared" si="460"/>
        <v>24315</v>
      </c>
      <c r="H1161" s="245">
        <f t="shared" si="461"/>
        <v>1</v>
      </c>
      <c r="I1161" s="121">
        <f t="shared" si="462"/>
        <v>1</v>
      </c>
      <c r="J1161" s="121">
        <f t="shared" si="463"/>
        <v>1</v>
      </c>
      <c r="K1161" s="120">
        <f t="shared" si="464"/>
        <v>0</v>
      </c>
      <c r="L1161" s="120">
        <f t="shared" si="465"/>
        <v>0</v>
      </c>
      <c r="M1161" s="246">
        <f t="shared" si="466"/>
        <v>0</v>
      </c>
      <c r="N1161" s="121">
        <f t="shared" si="467"/>
        <v>1</v>
      </c>
      <c r="O1161" s="246">
        <f t="shared" si="468"/>
        <v>0.90264770240700221</v>
      </c>
      <c r="P1161" s="121">
        <f t="shared" si="469"/>
        <v>1</v>
      </c>
      <c r="Q1161" s="121">
        <f t="shared" si="470"/>
        <v>0</v>
      </c>
      <c r="R1161" s="121">
        <f t="shared" si="471"/>
        <v>0</v>
      </c>
      <c r="AE1161" s="160">
        <f t="shared" si="472"/>
        <v>0.9811388069641328</v>
      </c>
    </row>
    <row r="1162" spans="1:31" x14ac:dyDescent="0.3">
      <c r="A1162" s="187">
        <v>17</v>
      </c>
      <c r="B1162" s="242">
        <f t="shared" si="473"/>
        <v>46143</v>
      </c>
      <c r="C1162" s="243">
        <f t="shared" si="456"/>
        <v>46173</v>
      </c>
      <c r="D1162" s="120">
        <f t="shared" si="457"/>
        <v>31</v>
      </c>
      <c r="E1162" s="120">
        <f t="shared" si="458"/>
        <v>5</v>
      </c>
      <c r="F1162" s="275">
        <f t="shared" si="459"/>
        <v>46158.5</v>
      </c>
      <c r="G1162" s="120">
        <f t="shared" si="460"/>
        <v>24316</v>
      </c>
      <c r="H1162" s="245">
        <f t="shared" si="461"/>
        <v>1</v>
      </c>
      <c r="I1162" s="121">
        <f t="shared" si="462"/>
        <v>1</v>
      </c>
      <c r="J1162" s="121">
        <f t="shared" si="463"/>
        <v>1</v>
      </c>
      <c r="K1162" s="120">
        <f t="shared" si="464"/>
        <v>0</v>
      </c>
      <c r="L1162" s="120">
        <f t="shared" si="465"/>
        <v>0</v>
      </c>
      <c r="M1162" s="246">
        <f t="shared" si="466"/>
        <v>0</v>
      </c>
      <c r="N1162" s="121">
        <f t="shared" si="467"/>
        <v>1</v>
      </c>
      <c r="O1162" s="246">
        <f t="shared" si="468"/>
        <v>0.90398249452954049</v>
      </c>
      <c r="P1162" s="121">
        <f t="shared" si="469"/>
        <v>1</v>
      </c>
      <c r="Q1162" s="121">
        <f t="shared" si="470"/>
        <v>0</v>
      </c>
      <c r="R1162" s="121">
        <f t="shared" si="471"/>
        <v>0</v>
      </c>
      <c r="AE1162" s="160">
        <f t="shared" si="472"/>
        <v>0.98258966796689184</v>
      </c>
    </row>
    <row r="1163" spans="1:31" x14ac:dyDescent="0.3">
      <c r="A1163" s="187">
        <v>18</v>
      </c>
      <c r="B1163" s="242">
        <f t="shared" si="473"/>
        <v>46174</v>
      </c>
      <c r="C1163" s="243">
        <f t="shared" si="456"/>
        <v>46203</v>
      </c>
      <c r="D1163" s="120">
        <f t="shared" si="457"/>
        <v>30</v>
      </c>
      <c r="E1163" s="120">
        <f t="shared" si="458"/>
        <v>6</v>
      </c>
      <c r="F1163" s="275">
        <f t="shared" si="459"/>
        <v>46189</v>
      </c>
      <c r="G1163" s="120">
        <f t="shared" si="460"/>
        <v>24317</v>
      </c>
      <c r="H1163" s="245">
        <f t="shared" si="461"/>
        <v>1</v>
      </c>
      <c r="I1163" s="121">
        <f t="shared" si="462"/>
        <v>1</v>
      </c>
      <c r="J1163" s="121">
        <f t="shared" si="463"/>
        <v>1</v>
      </c>
      <c r="K1163" s="120">
        <f t="shared" si="464"/>
        <v>0</v>
      </c>
      <c r="L1163" s="120">
        <f t="shared" si="465"/>
        <v>0</v>
      </c>
      <c r="M1163" s="246">
        <f t="shared" si="466"/>
        <v>0</v>
      </c>
      <c r="N1163" s="121">
        <f t="shared" si="467"/>
        <v>1</v>
      </c>
      <c r="O1163" s="246">
        <f t="shared" si="468"/>
        <v>0.90531728665207878</v>
      </c>
      <c r="P1163" s="121">
        <f t="shared" si="469"/>
        <v>1</v>
      </c>
      <c r="Q1163" s="121">
        <f t="shared" si="470"/>
        <v>0</v>
      </c>
      <c r="R1163" s="121">
        <f t="shared" si="471"/>
        <v>0</v>
      </c>
      <c r="AE1163" s="160">
        <f t="shared" si="472"/>
        <v>0.98404052896965077</v>
      </c>
    </row>
    <row r="1164" spans="1:31" x14ac:dyDescent="0.3">
      <c r="A1164" s="187">
        <v>19</v>
      </c>
      <c r="B1164" s="242">
        <f t="shared" si="473"/>
        <v>46204</v>
      </c>
      <c r="C1164" s="243">
        <f t="shared" si="456"/>
        <v>46234</v>
      </c>
      <c r="D1164" s="120">
        <f t="shared" si="457"/>
        <v>31</v>
      </c>
      <c r="E1164" s="120">
        <f t="shared" si="458"/>
        <v>7</v>
      </c>
      <c r="F1164" s="275">
        <f t="shared" si="459"/>
        <v>46219.5</v>
      </c>
      <c r="G1164" s="120">
        <f t="shared" si="460"/>
        <v>24318</v>
      </c>
      <c r="H1164" s="245">
        <f t="shared" si="461"/>
        <v>1</v>
      </c>
      <c r="I1164" s="121">
        <f t="shared" si="462"/>
        <v>1</v>
      </c>
      <c r="J1164" s="121">
        <f t="shared" si="463"/>
        <v>1</v>
      </c>
      <c r="K1164" s="120">
        <f t="shared" si="464"/>
        <v>0</v>
      </c>
      <c r="L1164" s="120">
        <f t="shared" si="465"/>
        <v>0</v>
      </c>
      <c r="M1164" s="246">
        <f t="shared" si="466"/>
        <v>0</v>
      </c>
      <c r="N1164" s="121">
        <f t="shared" si="467"/>
        <v>1</v>
      </c>
      <c r="O1164" s="246">
        <f t="shared" si="468"/>
        <v>0.90665207877461707</v>
      </c>
      <c r="P1164" s="121">
        <f t="shared" si="469"/>
        <v>0.91666666666666663</v>
      </c>
      <c r="Q1164" s="121">
        <f t="shared" si="470"/>
        <v>8.333333333333337E-2</v>
      </c>
      <c r="R1164" s="121">
        <f t="shared" si="471"/>
        <v>0</v>
      </c>
      <c r="AE1164" s="160">
        <f t="shared" si="472"/>
        <v>0.98549138997240981</v>
      </c>
    </row>
    <row r="1165" spans="1:31" x14ac:dyDescent="0.3">
      <c r="A1165" s="187">
        <v>20</v>
      </c>
      <c r="B1165" s="242">
        <f t="shared" si="473"/>
        <v>46235</v>
      </c>
      <c r="C1165" s="243">
        <f t="shared" si="456"/>
        <v>46265</v>
      </c>
      <c r="D1165" s="120">
        <f t="shared" si="457"/>
        <v>31</v>
      </c>
      <c r="E1165" s="120">
        <f t="shared" si="458"/>
        <v>8</v>
      </c>
      <c r="F1165" s="275">
        <f t="shared" si="459"/>
        <v>46250.5</v>
      </c>
      <c r="G1165" s="120">
        <f t="shared" si="460"/>
        <v>24319</v>
      </c>
      <c r="H1165" s="245">
        <f t="shared" si="461"/>
        <v>1</v>
      </c>
      <c r="I1165" s="121">
        <f t="shared" si="462"/>
        <v>1</v>
      </c>
      <c r="J1165" s="121">
        <f t="shared" si="463"/>
        <v>1</v>
      </c>
      <c r="K1165" s="120">
        <f t="shared" si="464"/>
        <v>0</v>
      </c>
      <c r="L1165" s="120">
        <f t="shared" si="465"/>
        <v>0</v>
      </c>
      <c r="M1165" s="246">
        <f t="shared" si="466"/>
        <v>0</v>
      </c>
      <c r="N1165" s="121">
        <f t="shared" si="467"/>
        <v>1</v>
      </c>
      <c r="O1165" s="246">
        <f t="shared" si="468"/>
        <v>0.90800875273522974</v>
      </c>
      <c r="P1165" s="121">
        <f t="shared" si="469"/>
        <v>0.75</v>
      </c>
      <c r="Q1165" s="121">
        <f t="shared" si="470"/>
        <v>0.25</v>
      </c>
      <c r="R1165" s="121">
        <f t="shared" si="471"/>
        <v>0</v>
      </c>
      <c r="AE1165" s="160">
        <f t="shared" si="472"/>
        <v>0.98696603558177143</v>
      </c>
    </row>
    <row r="1166" spans="1:31" x14ac:dyDescent="0.3">
      <c r="A1166" s="187">
        <v>21</v>
      </c>
      <c r="B1166" s="242">
        <f t="shared" si="473"/>
        <v>46266</v>
      </c>
      <c r="C1166" s="243">
        <f t="shared" si="456"/>
        <v>46295</v>
      </c>
      <c r="D1166" s="120">
        <f t="shared" si="457"/>
        <v>30</v>
      </c>
      <c r="E1166" s="120">
        <f t="shared" si="458"/>
        <v>9</v>
      </c>
      <c r="F1166" s="275">
        <f t="shared" si="459"/>
        <v>46281</v>
      </c>
      <c r="G1166" s="120">
        <f t="shared" si="460"/>
        <v>24320</v>
      </c>
      <c r="H1166" s="245">
        <f t="shared" si="461"/>
        <v>1</v>
      </c>
      <c r="I1166" s="121">
        <f t="shared" si="462"/>
        <v>1</v>
      </c>
      <c r="J1166" s="121">
        <f t="shared" si="463"/>
        <v>1</v>
      </c>
      <c r="K1166" s="120">
        <f t="shared" si="464"/>
        <v>0</v>
      </c>
      <c r="L1166" s="120">
        <f t="shared" si="465"/>
        <v>0</v>
      </c>
      <c r="M1166" s="246">
        <f t="shared" si="466"/>
        <v>0</v>
      </c>
      <c r="N1166" s="121">
        <f t="shared" si="467"/>
        <v>1</v>
      </c>
      <c r="O1166" s="246">
        <f t="shared" si="468"/>
        <v>0.90934354485776803</v>
      </c>
      <c r="P1166" s="121">
        <f t="shared" si="469"/>
        <v>0.58333333333333337</v>
      </c>
      <c r="Q1166" s="121">
        <f t="shared" si="470"/>
        <v>0.41666666666666663</v>
      </c>
      <c r="R1166" s="121">
        <f t="shared" si="471"/>
        <v>0</v>
      </c>
      <c r="AE1166" s="160">
        <f t="shared" si="472"/>
        <v>0.98841689658453047</v>
      </c>
    </row>
    <row r="1167" spans="1:31" x14ac:dyDescent="0.3">
      <c r="A1167" s="187">
        <v>22</v>
      </c>
      <c r="B1167" s="242">
        <f t="shared" si="473"/>
        <v>46296</v>
      </c>
      <c r="C1167" s="243">
        <f t="shared" si="456"/>
        <v>46326</v>
      </c>
      <c r="D1167" s="120">
        <f t="shared" si="457"/>
        <v>31</v>
      </c>
      <c r="E1167" s="120">
        <f t="shared" si="458"/>
        <v>10</v>
      </c>
      <c r="F1167" s="275">
        <f t="shared" si="459"/>
        <v>46311.5</v>
      </c>
      <c r="G1167" s="120">
        <f t="shared" si="460"/>
        <v>24321</v>
      </c>
      <c r="H1167" s="245">
        <f t="shared" si="461"/>
        <v>1</v>
      </c>
      <c r="I1167" s="121">
        <f t="shared" si="462"/>
        <v>1</v>
      </c>
      <c r="J1167" s="121">
        <f t="shared" si="463"/>
        <v>1</v>
      </c>
      <c r="K1167" s="120">
        <f t="shared" si="464"/>
        <v>0</v>
      </c>
      <c r="L1167" s="120">
        <f t="shared" si="465"/>
        <v>0</v>
      </c>
      <c r="M1167" s="246">
        <f t="shared" si="466"/>
        <v>0</v>
      </c>
      <c r="N1167" s="121">
        <f t="shared" si="467"/>
        <v>1</v>
      </c>
      <c r="O1167" s="246">
        <f t="shared" si="468"/>
        <v>0.91067833698030642</v>
      </c>
      <c r="P1167" s="121">
        <f t="shared" si="469"/>
        <v>0.41666666666666669</v>
      </c>
      <c r="Q1167" s="121">
        <f t="shared" si="470"/>
        <v>0.58333333333333326</v>
      </c>
      <c r="R1167" s="121">
        <f t="shared" si="471"/>
        <v>0</v>
      </c>
      <c r="AE1167" s="160">
        <f t="shared" si="472"/>
        <v>0.98986775758728951</v>
      </c>
    </row>
    <row r="1168" spans="1:31" x14ac:dyDescent="0.3">
      <c r="A1168" s="187">
        <v>23</v>
      </c>
      <c r="B1168" s="242">
        <f t="shared" si="473"/>
        <v>46327</v>
      </c>
      <c r="C1168" s="243">
        <f t="shared" si="456"/>
        <v>46356</v>
      </c>
      <c r="D1168" s="120">
        <f t="shared" si="457"/>
        <v>30</v>
      </c>
      <c r="E1168" s="120">
        <f t="shared" si="458"/>
        <v>11</v>
      </c>
      <c r="F1168" s="275">
        <f t="shared" si="459"/>
        <v>46342</v>
      </c>
      <c r="G1168" s="120">
        <f t="shared" si="460"/>
        <v>24322</v>
      </c>
      <c r="H1168" s="245">
        <f t="shared" si="461"/>
        <v>1</v>
      </c>
      <c r="I1168" s="121">
        <f t="shared" si="462"/>
        <v>1</v>
      </c>
      <c r="J1168" s="121">
        <f t="shared" si="463"/>
        <v>1.05</v>
      </c>
      <c r="K1168" s="120">
        <f t="shared" si="464"/>
        <v>1</v>
      </c>
      <c r="L1168" s="120">
        <f t="shared" si="465"/>
        <v>30</v>
      </c>
      <c r="M1168" s="246">
        <f t="shared" si="466"/>
        <v>1</v>
      </c>
      <c r="N1168" s="121">
        <f t="shared" si="467"/>
        <v>1.05</v>
      </c>
      <c r="O1168" s="246">
        <f t="shared" si="468"/>
        <v>0.91201312910284471</v>
      </c>
      <c r="P1168" s="121">
        <f t="shared" si="469"/>
        <v>0.25</v>
      </c>
      <c r="Q1168" s="121">
        <f t="shared" si="470"/>
        <v>0.75</v>
      </c>
      <c r="R1168" s="121">
        <f t="shared" si="471"/>
        <v>0</v>
      </c>
      <c r="AE1168" s="160">
        <f t="shared" si="472"/>
        <v>1.0408845495195511</v>
      </c>
    </row>
    <row r="1169" spans="1:35" x14ac:dyDescent="0.3">
      <c r="A1169" s="187">
        <v>24</v>
      </c>
      <c r="B1169" s="242">
        <f t="shared" si="473"/>
        <v>46357</v>
      </c>
      <c r="C1169" s="243">
        <f t="shared" si="456"/>
        <v>46387</v>
      </c>
      <c r="D1169" s="120">
        <f t="shared" si="457"/>
        <v>31</v>
      </c>
      <c r="E1169" s="120">
        <f t="shared" si="458"/>
        <v>12</v>
      </c>
      <c r="F1169" s="275">
        <f t="shared" si="459"/>
        <v>46372.5</v>
      </c>
      <c r="G1169" s="120">
        <f t="shared" si="460"/>
        <v>24323</v>
      </c>
      <c r="H1169" s="245">
        <f t="shared" si="461"/>
        <v>1</v>
      </c>
      <c r="I1169" s="121">
        <f t="shared" si="462"/>
        <v>1.05</v>
      </c>
      <c r="J1169" s="121">
        <f t="shared" si="463"/>
        <v>1.05</v>
      </c>
      <c r="K1169" s="120">
        <f t="shared" si="464"/>
        <v>0</v>
      </c>
      <c r="L1169" s="120">
        <f t="shared" si="465"/>
        <v>0</v>
      </c>
      <c r="M1169" s="246">
        <f t="shared" si="466"/>
        <v>0</v>
      </c>
      <c r="N1169" s="121">
        <f t="shared" si="467"/>
        <v>1.05</v>
      </c>
      <c r="O1169" s="246">
        <f t="shared" si="468"/>
        <v>0.913347921225383</v>
      </c>
      <c r="P1169" s="121">
        <f t="shared" si="469"/>
        <v>8.3333333333333329E-2</v>
      </c>
      <c r="Q1169" s="121">
        <f t="shared" si="470"/>
        <v>0.91666666666666663</v>
      </c>
      <c r="R1169" s="121">
        <f t="shared" si="471"/>
        <v>0</v>
      </c>
      <c r="AE1169" s="160">
        <f t="shared" si="472"/>
        <v>1.042407953572448</v>
      </c>
    </row>
    <row r="1170" spans="1:35" x14ac:dyDescent="0.3">
      <c r="A1170" s="187">
        <v>25</v>
      </c>
      <c r="B1170" s="242">
        <f t="shared" si="473"/>
        <v>46388</v>
      </c>
      <c r="C1170" s="243">
        <f t="shared" si="456"/>
        <v>46418</v>
      </c>
      <c r="D1170" s="120">
        <f t="shared" si="457"/>
        <v>31</v>
      </c>
      <c r="E1170" s="120">
        <f t="shared" si="458"/>
        <v>1</v>
      </c>
      <c r="F1170" s="275">
        <f t="shared" si="459"/>
        <v>46403.5</v>
      </c>
      <c r="G1170" s="120">
        <f t="shared" si="460"/>
        <v>24324</v>
      </c>
      <c r="H1170" s="245">
        <f t="shared" si="461"/>
        <v>1</v>
      </c>
      <c r="I1170" s="121">
        <f t="shared" si="462"/>
        <v>1.05</v>
      </c>
      <c r="J1170" s="121">
        <f t="shared" si="463"/>
        <v>1.05</v>
      </c>
      <c r="K1170" s="120">
        <f t="shared" si="464"/>
        <v>0</v>
      </c>
      <c r="L1170" s="120">
        <f t="shared" si="465"/>
        <v>0</v>
      </c>
      <c r="M1170" s="246">
        <f t="shared" si="466"/>
        <v>0</v>
      </c>
      <c r="N1170" s="121">
        <f t="shared" si="467"/>
        <v>1.05</v>
      </c>
      <c r="O1170" s="246">
        <f t="shared" si="468"/>
        <v>0.91470459518599567</v>
      </c>
      <c r="P1170" s="121">
        <f t="shared" si="469"/>
        <v>0</v>
      </c>
      <c r="Q1170" s="121">
        <f t="shared" si="470"/>
        <v>1</v>
      </c>
      <c r="R1170" s="121">
        <f t="shared" si="471"/>
        <v>0</v>
      </c>
      <c r="W1170" s="160">
        <f t="shared" ref="W1170:W1181" si="474">IF($G1170&lt;&gt;$Q$1143,$N1170,(1-$U$1143)*$I1170+$U$1143*$J1170)</f>
        <v>1.05</v>
      </c>
      <c r="X1170" s="160">
        <f t="shared" ref="X1170:X1181" si="475">IF($G1170&lt;$Q$1143,0,IF($G1170&gt;$Q$1143,$N1170,$U$1143*$J1170))</f>
        <v>0</v>
      </c>
      <c r="Y1170" s="160">
        <f t="shared" ref="Y1170:Y1181" si="476">IF($F$1143=1,$O1170/$O1158,1)</f>
        <v>1.0177736657576939</v>
      </c>
      <c r="AB1170" s="160">
        <f t="shared" ref="AB1170:AB1181" si="477">IF(AND(N($K$1143)&lt;&gt;0,$F1170&lt;=$B$1144),0,($F1170-$B$1144)/($C$1144-$B$1144))</f>
        <v>0.23522975929978118</v>
      </c>
      <c r="AC1170" s="220">
        <f t="shared" ref="AC1170:AC1181" si="478">IF(AND(N($K$1143)&lt;&gt;0,$F1170&lt;=$B$1144),$O1170,$F$1144*(1-$AB1170))</f>
        <v>0.69594091903719912</v>
      </c>
      <c r="AD1170" s="160">
        <f t="shared" ref="AD1170:AD1181" si="479">$H1170*($W1170+$X1170*IF(ISNUMBER($F$1194),$F$1194,0))/($N1158*$O1158)</f>
        <v>1.1683141799766266</v>
      </c>
      <c r="AE1170" s="160">
        <f t="shared" si="472"/>
        <v>1.0439563314622777</v>
      </c>
      <c r="AF1170" s="220">
        <f t="shared" ref="AF1170:AF1181" si="480">IF($G1170&lt;$Q$1143,0,IF($G1170&gt;$Q$1143,1,$U$1143))</f>
        <v>0</v>
      </c>
      <c r="AG1170" s="183" t="str">
        <f t="shared" ref="AG1170:AG1181" si="481">IF(OR($D$1143=0,$P$1143=0),"",($W1170+$X1170*IF(ISNUMBER($F$1194),$F$1194,0))/$N1158-1)</f>
        <v/>
      </c>
      <c r="AH1170" s="183" t="str">
        <f t="shared" ref="AH1170:AH1181" si="482">IF(OR($AG1170="",$F$1143=0),"",(1+$E$1143)/(1+$AG1170)-1)</f>
        <v/>
      </c>
      <c r="AI1170" s="220" t="str">
        <f t="shared" ref="AI1170:AI1181" si="483">IF($AH1170="","",$O1158*(1+$E$1143)/(1+$AG1170))</f>
        <v/>
      </c>
    </row>
    <row r="1171" spans="1:35" x14ac:dyDescent="0.3">
      <c r="A1171" s="187">
        <v>26</v>
      </c>
      <c r="B1171" s="242">
        <f t="shared" si="473"/>
        <v>46419</v>
      </c>
      <c r="C1171" s="243">
        <f t="shared" si="456"/>
        <v>46446</v>
      </c>
      <c r="D1171" s="120">
        <f t="shared" si="457"/>
        <v>28</v>
      </c>
      <c r="E1171" s="120">
        <f t="shared" si="458"/>
        <v>2</v>
      </c>
      <c r="F1171" s="275">
        <f t="shared" si="459"/>
        <v>46433</v>
      </c>
      <c r="G1171" s="120">
        <f t="shared" si="460"/>
        <v>24325</v>
      </c>
      <c r="H1171" s="245">
        <f t="shared" si="461"/>
        <v>1</v>
      </c>
      <c r="I1171" s="121">
        <f t="shared" si="462"/>
        <v>1.05</v>
      </c>
      <c r="J1171" s="121">
        <f t="shared" si="463"/>
        <v>1.05</v>
      </c>
      <c r="K1171" s="120">
        <f t="shared" si="464"/>
        <v>0</v>
      </c>
      <c r="L1171" s="120">
        <f t="shared" si="465"/>
        <v>0</v>
      </c>
      <c r="M1171" s="246">
        <f t="shared" si="466"/>
        <v>0</v>
      </c>
      <c r="N1171" s="121">
        <f t="shared" si="467"/>
        <v>1.05</v>
      </c>
      <c r="O1171" s="246">
        <f t="shared" si="468"/>
        <v>0.91599562363238518</v>
      </c>
      <c r="P1171" s="121">
        <f t="shared" si="469"/>
        <v>0</v>
      </c>
      <c r="Q1171" s="121">
        <f t="shared" si="470"/>
        <v>1</v>
      </c>
      <c r="R1171" s="121">
        <f t="shared" si="471"/>
        <v>0</v>
      </c>
      <c r="W1171" s="160">
        <f t="shared" si="474"/>
        <v>1.05</v>
      </c>
      <c r="X1171" s="160">
        <f t="shared" si="475"/>
        <v>0</v>
      </c>
      <c r="Y1171" s="160">
        <f t="shared" si="476"/>
        <v>1.0177481704796869</v>
      </c>
      <c r="AB1171" s="160">
        <f t="shared" si="477"/>
        <v>0.29978118161925604</v>
      </c>
      <c r="AC1171" s="220">
        <f t="shared" si="478"/>
        <v>0.637199124726477</v>
      </c>
      <c r="AD1171" s="160">
        <f t="shared" si="479"/>
        <v>1.166638302010649</v>
      </c>
      <c r="AE1171" s="160">
        <f t="shared" si="472"/>
        <v>1.0454297878413092</v>
      </c>
      <c r="AF1171" s="220">
        <f t="shared" si="480"/>
        <v>0</v>
      </c>
      <c r="AG1171" s="183" t="str">
        <f t="shared" si="481"/>
        <v/>
      </c>
      <c r="AH1171" s="183" t="str">
        <f t="shared" si="482"/>
        <v/>
      </c>
      <c r="AI1171" s="220" t="str">
        <f t="shared" si="483"/>
        <v/>
      </c>
    </row>
    <row r="1172" spans="1:35" x14ac:dyDescent="0.3">
      <c r="A1172" s="187">
        <v>27</v>
      </c>
      <c r="B1172" s="242">
        <f t="shared" si="473"/>
        <v>46447</v>
      </c>
      <c r="C1172" s="243">
        <f t="shared" si="456"/>
        <v>46477</v>
      </c>
      <c r="D1172" s="120">
        <f t="shared" si="457"/>
        <v>31</v>
      </c>
      <c r="E1172" s="120">
        <f t="shared" si="458"/>
        <v>3</v>
      </c>
      <c r="F1172" s="275">
        <f t="shared" si="459"/>
        <v>46462.5</v>
      </c>
      <c r="G1172" s="120">
        <f t="shared" si="460"/>
        <v>24326</v>
      </c>
      <c r="H1172" s="245">
        <f t="shared" si="461"/>
        <v>1</v>
      </c>
      <c r="I1172" s="121">
        <f t="shared" si="462"/>
        <v>1.05</v>
      </c>
      <c r="J1172" s="121">
        <f t="shared" si="463"/>
        <v>1.05</v>
      </c>
      <c r="K1172" s="120">
        <f t="shared" si="464"/>
        <v>0</v>
      </c>
      <c r="L1172" s="120">
        <f t="shared" si="465"/>
        <v>0</v>
      </c>
      <c r="M1172" s="246">
        <f t="shared" si="466"/>
        <v>0</v>
      </c>
      <c r="N1172" s="121">
        <f t="shared" si="467"/>
        <v>1.05</v>
      </c>
      <c r="O1172" s="246">
        <f t="shared" si="468"/>
        <v>0.91728665207877469</v>
      </c>
      <c r="P1172" s="121">
        <f t="shared" si="469"/>
        <v>0</v>
      </c>
      <c r="Q1172" s="121">
        <f t="shared" si="470"/>
        <v>1</v>
      </c>
      <c r="R1172" s="121">
        <f t="shared" si="471"/>
        <v>0</v>
      </c>
      <c r="W1172" s="160">
        <f t="shared" si="474"/>
        <v>1.05</v>
      </c>
      <c r="X1172" s="160">
        <f t="shared" si="475"/>
        <v>0</v>
      </c>
      <c r="Y1172" s="160">
        <f t="shared" si="476"/>
        <v>1.0177227482398641</v>
      </c>
      <c r="AB1172" s="160">
        <f t="shared" si="477"/>
        <v>0.36433260393873085</v>
      </c>
      <c r="AC1172" s="220">
        <f t="shared" si="478"/>
        <v>0.57845733041575487</v>
      </c>
      <c r="AD1172" s="160">
        <f t="shared" si="479"/>
        <v>1.164967225054625</v>
      </c>
      <c r="AE1172" s="160">
        <f t="shared" si="472"/>
        <v>1.0469032442203405</v>
      </c>
      <c r="AF1172" s="220">
        <f t="shared" si="480"/>
        <v>0</v>
      </c>
      <c r="AG1172" s="183" t="str">
        <f t="shared" si="481"/>
        <v/>
      </c>
      <c r="AH1172" s="183" t="str">
        <f t="shared" si="482"/>
        <v/>
      </c>
      <c r="AI1172" s="220" t="str">
        <f t="shared" si="483"/>
        <v/>
      </c>
    </row>
    <row r="1173" spans="1:35" x14ac:dyDescent="0.3">
      <c r="A1173" s="187">
        <v>28</v>
      </c>
      <c r="B1173" s="242">
        <f t="shared" si="473"/>
        <v>46478</v>
      </c>
      <c r="C1173" s="243">
        <f t="shared" si="456"/>
        <v>46507</v>
      </c>
      <c r="D1173" s="120">
        <f t="shared" si="457"/>
        <v>30</v>
      </c>
      <c r="E1173" s="120">
        <f t="shared" si="458"/>
        <v>4</v>
      </c>
      <c r="F1173" s="275">
        <f t="shared" si="459"/>
        <v>46493</v>
      </c>
      <c r="G1173" s="120">
        <f t="shared" si="460"/>
        <v>24327</v>
      </c>
      <c r="H1173" s="245">
        <f t="shared" si="461"/>
        <v>1</v>
      </c>
      <c r="I1173" s="121">
        <f t="shared" si="462"/>
        <v>1.05</v>
      </c>
      <c r="J1173" s="121">
        <f t="shared" si="463"/>
        <v>1.05</v>
      </c>
      <c r="K1173" s="120">
        <f t="shared" si="464"/>
        <v>0</v>
      </c>
      <c r="L1173" s="120">
        <f t="shared" si="465"/>
        <v>0</v>
      </c>
      <c r="M1173" s="246">
        <f t="shared" si="466"/>
        <v>0</v>
      </c>
      <c r="N1173" s="121">
        <f t="shared" si="467"/>
        <v>1.05</v>
      </c>
      <c r="O1173" s="246">
        <f t="shared" si="468"/>
        <v>0.91862144420131298</v>
      </c>
      <c r="P1173" s="121">
        <f t="shared" si="469"/>
        <v>0</v>
      </c>
      <c r="Q1173" s="121">
        <f t="shared" si="470"/>
        <v>1</v>
      </c>
      <c r="R1173" s="121">
        <f t="shared" si="471"/>
        <v>0</v>
      </c>
      <c r="W1173" s="160">
        <f t="shared" si="474"/>
        <v>1.05</v>
      </c>
      <c r="X1173" s="160">
        <f t="shared" si="475"/>
        <v>1.05</v>
      </c>
      <c r="Y1173" s="160">
        <f t="shared" si="476"/>
        <v>1.0176965406899228</v>
      </c>
      <c r="AB1173" s="160">
        <f t="shared" si="477"/>
        <v>0.4310722100656455</v>
      </c>
      <c r="AC1173" s="220">
        <f t="shared" si="478"/>
        <v>0.51772428884026267</v>
      </c>
      <c r="AD1173" s="160">
        <f t="shared" si="479"/>
        <v>1.1632445274053962</v>
      </c>
      <c r="AE1173" s="160">
        <f t="shared" si="472"/>
        <v>1.0484266482732376</v>
      </c>
      <c r="AF1173" s="220">
        <f t="shared" si="480"/>
        <v>1</v>
      </c>
      <c r="AG1173" s="183" t="str">
        <f t="shared" si="481"/>
        <v/>
      </c>
      <c r="AH1173" s="183" t="str">
        <f t="shared" si="482"/>
        <v/>
      </c>
      <c r="AI1173" s="220" t="str">
        <f t="shared" si="483"/>
        <v/>
      </c>
    </row>
    <row r="1174" spans="1:35" x14ac:dyDescent="0.3">
      <c r="A1174" s="187">
        <v>29</v>
      </c>
      <c r="B1174" s="242">
        <f t="shared" si="473"/>
        <v>46508</v>
      </c>
      <c r="C1174" s="243">
        <f t="shared" si="456"/>
        <v>46538</v>
      </c>
      <c r="D1174" s="120">
        <f t="shared" si="457"/>
        <v>31</v>
      </c>
      <c r="E1174" s="120">
        <f t="shared" si="458"/>
        <v>5</v>
      </c>
      <c r="F1174" s="275">
        <f t="shared" si="459"/>
        <v>46523.5</v>
      </c>
      <c r="G1174" s="120">
        <f t="shared" si="460"/>
        <v>24328</v>
      </c>
      <c r="H1174" s="245">
        <f t="shared" si="461"/>
        <v>1</v>
      </c>
      <c r="I1174" s="121">
        <f t="shared" si="462"/>
        <v>1.05</v>
      </c>
      <c r="J1174" s="121">
        <f t="shared" si="463"/>
        <v>1.05</v>
      </c>
      <c r="K1174" s="120">
        <f t="shared" si="464"/>
        <v>0</v>
      </c>
      <c r="L1174" s="120">
        <f t="shared" si="465"/>
        <v>0</v>
      </c>
      <c r="M1174" s="246">
        <f t="shared" si="466"/>
        <v>0</v>
      </c>
      <c r="N1174" s="121">
        <f t="shared" si="467"/>
        <v>1.05</v>
      </c>
      <c r="O1174" s="246">
        <f t="shared" si="468"/>
        <v>0.91995623632385126</v>
      </c>
      <c r="P1174" s="121">
        <f t="shared" si="469"/>
        <v>0</v>
      </c>
      <c r="Q1174" s="121">
        <f t="shared" si="470"/>
        <v>1</v>
      </c>
      <c r="R1174" s="121">
        <f t="shared" si="471"/>
        <v>0</v>
      </c>
      <c r="W1174" s="160">
        <f t="shared" si="474"/>
        <v>1.05</v>
      </c>
      <c r="X1174" s="160">
        <f t="shared" si="475"/>
        <v>1.05</v>
      </c>
      <c r="Y1174" s="160">
        <f t="shared" si="476"/>
        <v>1.0176704105344694</v>
      </c>
      <c r="AB1174" s="160">
        <f t="shared" si="477"/>
        <v>0.49781181619256015</v>
      </c>
      <c r="AC1174" s="220">
        <f t="shared" si="478"/>
        <v>0.45699124726477025</v>
      </c>
      <c r="AD1174" s="160">
        <f t="shared" si="479"/>
        <v>1.1615269171185127</v>
      </c>
      <c r="AE1174" s="160">
        <f t="shared" si="472"/>
        <v>1.0499500523261345</v>
      </c>
      <c r="AF1174" s="220">
        <f t="shared" si="480"/>
        <v>1</v>
      </c>
      <c r="AG1174" s="183" t="str">
        <f t="shared" si="481"/>
        <v/>
      </c>
      <c r="AH1174" s="183" t="str">
        <f t="shared" si="482"/>
        <v/>
      </c>
      <c r="AI1174" s="220" t="str">
        <f t="shared" si="483"/>
        <v/>
      </c>
    </row>
    <row r="1175" spans="1:35" x14ac:dyDescent="0.3">
      <c r="A1175" s="187">
        <v>30</v>
      </c>
      <c r="B1175" s="242">
        <f t="shared" si="473"/>
        <v>46539</v>
      </c>
      <c r="C1175" s="243">
        <f t="shared" si="456"/>
        <v>46568</v>
      </c>
      <c r="D1175" s="120">
        <f t="shared" si="457"/>
        <v>30</v>
      </c>
      <c r="E1175" s="120">
        <f t="shared" si="458"/>
        <v>6</v>
      </c>
      <c r="F1175" s="275">
        <f t="shared" si="459"/>
        <v>46554</v>
      </c>
      <c r="G1175" s="120">
        <f t="shared" si="460"/>
        <v>24329</v>
      </c>
      <c r="H1175" s="245">
        <f t="shared" si="461"/>
        <v>1</v>
      </c>
      <c r="I1175" s="121">
        <f t="shared" si="462"/>
        <v>1.05</v>
      </c>
      <c r="J1175" s="121">
        <f t="shared" si="463"/>
        <v>1.05</v>
      </c>
      <c r="K1175" s="120">
        <f t="shared" si="464"/>
        <v>0</v>
      </c>
      <c r="L1175" s="120">
        <f t="shared" si="465"/>
        <v>0</v>
      </c>
      <c r="M1175" s="246">
        <f t="shared" si="466"/>
        <v>0</v>
      </c>
      <c r="N1175" s="121">
        <f t="shared" si="467"/>
        <v>1.05</v>
      </c>
      <c r="O1175" s="246">
        <f t="shared" si="468"/>
        <v>0.92129102844638955</v>
      </c>
      <c r="P1175" s="121">
        <f t="shared" si="469"/>
        <v>0</v>
      </c>
      <c r="Q1175" s="121">
        <f t="shared" si="470"/>
        <v>1</v>
      </c>
      <c r="R1175" s="121">
        <f t="shared" si="471"/>
        <v>0</v>
      </c>
      <c r="W1175" s="160">
        <f t="shared" si="474"/>
        <v>1.05</v>
      </c>
      <c r="X1175" s="160">
        <f t="shared" si="475"/>
        <v>1.05</v>
      </c>
      <c r="Y1175" s="160">
        <f t="shared" si="476"/>
        <v>1.0176443574311749</v>
      </c>
      <c r="AB1175" s="160">
        <f t="shared" si="477"/>
        <v>0.56455142231947486</v>
      </c>
      <c r="AC1175" s="220">
        <f t="shared" si="478"/>
        <v>0.39625820568927789</v>
      </c>
      <c r="AD1175" s="160">
        <f t="shared" si="479"/>
        <v>1.1598143716916831</v>
      </c>
      <c r="AE1175" s="160">
        <f t="shared" si="472"/>
        <v>1.0514734563790316</v>
      </c>
      <c r="AF1175" s="220">
        <f t="shared" si="480"/>
        <v>1</v>
      </c>
      <c r="AG1175" s="183" t="str">
        <f t="shared" si="481"/>
        <v/>
      </c>
      <c r="AH1175" s="183" t="str">
        <f t="shared" si="482"/>
        <v/>
      </c>
      <c r="AI1175" s="220" t="str">
        <f t="shared" si="483"/>
        <v/>
      </c>
    </row>
    <row r="1176" spans="1:35" x14ac:dyDescent="0.3">
      <c r="A1176" s="187">
        <v>31</v>
      </c>
      <c r="B1176" s="242">
        <f t="shared" si="473"/>
        <v>46569</v>
      </c>
      <c r="C1176" s="243">
        <f t="shared" si="456"/>
        <v>46599</v>
      </c>
      <c r="D1176" s="120">
        <f t="shared" si="457"/>
        <v>31</v>
      </c>
      <c r="E1176" s="120">
        <f t="shared" si="458"/>
        <v>7</v>
      </c>
      <c r="F1176" s="275">
        <f t="shared" si="459"/>
        <v>46584.5</v>
      </c>
      <c r="G1176" s="120">
        <f t="shared" si="460"/>
        <v>24330</v>
      </c>
      <c r="H1176" s="245">
        <f t="shared" si="461"/>
        <v>1</v>
      </c>
      <c r="I1176" s="121">
        <f t="shared" si="462"/>
        <v>1.05</v>
      </c>
      <c r="J1176" s="121">
        <f t="shared" si="463"/>
        <v>1.05</v>
      </c>
      <c r="K1176" s="120">
        <f t="shared" si="464"/>
        <v>0</v>
      </c>
      <c r="L1176" s="120">
        <f t="shared" si="465"/>
        <v>0</v>
      </c>
      <c r="M1176" s="246">
        <f t="shared" si="466"/>
        <v>0</v>
      </c>
      <c r="N1176" s="121">
        <f t="shared" si="467"/>
        <v>1.05</v>
      </c>
      <c r="O1176" s="246">
        <f t="shared" si="468"/>
        <v>0.92262582056892783</v>
      </c>
      <c r="P1176" s="121">
        <f t="shared" si="469"/>
        <v>0</v>
      </c>
      <c r="Q1176" s="121">
        <f t="shared" si="470"/>
        <v>0.91666666666666663</v>
      </c>
      <c r="R1176" s="121">
        <f t="shared" si="471"/>
        <v>8.333333333333337E-2</v>
      </c>
      <c r="W1176" s="160">
        <f t="shared" si="474"/>
        <v>1.05</v>
      </c>
      <c r="X1176" s="160">
        <f t="shared" si="475"/>
        <v>1.05</v>
      </c>
      <c r="Y1176" s="160">
        <f t="shared" si="476"/>
        <v>1.0176183810397259</v>
      </c>
      <c r="AB1176" s="160">
        <f t="shared" si="477"/>
        <v>0.63129102844638951</v>
      </c>
      <c r="AC1176" s="220">
        <f t="shared" si="478"/>
        <v>0.33552516411378558</v>
      </c>
      <c r="AD1176" s="160">
        <f t="shared" si="479"/>
        <v>1.1581068687551286</v>
      </c>
      <c r="AE1176" s="160">
        <f t="shared" si="472"/>
        <v>1.0529968604319286</v>
      </c>
      <c r="AF1176" s="220">
        <f t="shared" si="480"/>
        <v>1</v>
      </c>
      <c r="AG1176" s="183" t="str">
        <f t="shared" si="481"/>
        <v/>
      </c>
      <c r="AH1176" s="183" t="str">
        <f t="shared" si="482"/>
        <v/>
      </c>
      <c r="AI1176" s="220" t="str">
        <f t="shared" si="483"/>
        <v/>
      </c>
    </row>
    <row r="1177" spans="1:35" x14ac:dyDescent="0.3">
      <c r="A1177" s="187">
        <v>32</v>
      </c>
      <c r="B1177" s="242">
        <f t="shared" si="473"/>
        <v>46600</v>
      </c>
      <c r="C1177" s="243">
        <f t="shared" si="456"/>
        <v>46630</v>
      </c>
      <c r="D1177" s="120">
        <f t="shared" si="457"/>
        <v>31</v>
      </c>
      <c r="E1177" s="120">
        <f t="shared" si="458"/>
        <v>8</v>
      </c>
      <c r="F1177" s="275">
        <f t="shared" si="459"/>
        <v>46615.5</v>
      </c>
      <c r="G1177" s="120">
        <f t="shared" si="460"/>
        <v>24331</v>
      </c>
      <c r="H1177" s="245">
        <f t="shared" si="461"/>
        <v>1</v>
      </c>
      <c r="I1177" s="121">
        <f t="shared" si="462"/>
        <v>1.05</v>
      </c>
      <c r="J1177" s="121">
        <f t="shared" si="463"/>
        <v>1.05</v>
      </c>
      <c r="K1177" s="120">
        <f t="shared" si="464"/>
        <v>0</v>
      </c>
      <c r="L1177" s="120">
        <f t="shared" si="465"/>
        <v>0</v>
      </c>
      <c r="M1177" s="246">
        <f t="shared" si="466"/>
        <v>0</v>
      </c>
      <c r="N1177" s="121">
        <f t="shared" si="467"/>
        <v>1.05</v>
      </c>
      <c r="O1177" s="246">
        <f t="shared" si="468"/>
        <v>0.92398249452954051</v>
      </c>
      <c r="P1177" s="121">
        <f t="shared" si="469"/>
        <v>0</v>
      </c>
      <c r="Q1177" s="121">
        <f t="shared" si="470"/>
        <v>0.75</v>
      </c>
      <c r="R1177" s="121">
        <f t="shared" si="471"/>
        <v>0.25</v>
      </c>
      <c r="W1177" s="160">
        <f t="shared" si="474"/>
        <v>1.05</v>
      </c>
      <c r="X1177" s="160">
        <f t="shared" si="475"/>
        <v>1.05</v>
      </c>
      <c r="Y1177" s="160">
        <f t="shared" si="476"/>
        <v>1.0175920570657413</v>
      </c>
      <c r="AB1177" s="160">
        <f t="shared" si="477"/>
        <v>0.69912472647702406</v>
      </c>
      <c r="AC1177" s="220">
        <f t="shared" si="478"/>
        <v>0.27379649890590813</v>
      </c>
      <c r="AD1177" s="160">
        <f t="shared" si="479"/>
        <v>1.1563765182186236</v>
      </c>
      <c r="AE1177" s="160">
        <f t="shared" si="472"/>
        <v>1.0545452383217582</v>
      </c>
      <c r="AF1177" s="220">
        <f t="shared" si="480"/>
        <v>1</v>
      </c>
      <c r="AG1177" s="183" t="str">
        <f t="shared" si="481"/>
        <v/>
      </c>
      <c r="AH1177" s="183" t="str">
        <f t="shared" si="482"/>
        <v/>
      </c>
      <c r="AI1177" s="220" t="str">
        <f t="shared" si="483"/>
        <v/>
      </c>
    </row>
    <row r="1178" spans="1:35" x14ac:dyDescent="0.3">
      <c r="A1178" s="187">
        <v>33</v>
      </c>
      <c r="B1178" s="242">
        <f t="shared" si="473"/>
        <v>46631</v>
      </c>
      <c r="C1178" s="243">
        <f t="shared" si="456"/>
        <v>46660</v>
      </c>
      <c r="D1178" s="120">
        <f t="shared" si="457"/>
        <v>30</v>
      </c>
      <c r="E1178" s="120">
        <f t="shared" si="458"/>
        <v>9</v>
      </c>
      <c r="F1178" s="275">
        <f t="shared" si="459"/>
        <v>46646</v>
      </c>
      <c r="G1178" s="120">
        <f t="shared" si="460"/>
        <v>24332</v>
      </c>
      <c r="H1178" s="245">
        <f t="shared" si="461"/>
        <v>1</v>
      </c>
      <c r="I1178" s="121">
        <f t="shared" si="462"/>
        <v>1.05</v>
      </c>
      <c r="J1178" s="121">
        <f t="shared" si="463"/>
        <v>1.05</v>
      </c>
      <c r="K1178" s="120">
        <f t="shared" si="464"/>
        <v>0</v>
      </c>
      <c r="L1178" s="120">
        <f t="shared" si="465"/>
        <v>0</v>
      </c>
      <c r="M1178" s="246">
        <f t="shared" si="466"/>
        <v>0</v>
      </c>
      <c r="N1178" s="121">
        <f t="shared" si="467"/>
        <v>1.05</v>
      </c>
      <c r="O1178" s="246">
        <f t="shared" si="468"/>
        <v>0.9253172866520788</v>
      </c>
      <c r="P1178" s="121">
        <f t="shared" si="469"/>
        <v>0</v>
      </c>
      <c r="Q1178" s="121">
        <f t="shared" si="470"/>
        <v>0.58333333333333337</v>
      </c>
      <c r="R1178" s="121">
        <f t="shared" si="471"/>
        <v>0.41666666666666663</v>
      </c>
      <c r="W1178" s="160">
        <f t="shared" si="474"/>
        <v>1.05</v>
      </c>
      <c r="X1178" s="160">
        <f t="shared" si="475"/>
        <v>1.05</v>
      </c>
      <c r="Y1178" s="160">
        <f t="shared" si="476"/>
        <v>1.0175662343287533</v>
      </c>
      <c r="AB1178" s="160">
        <f t="shared" si="477"/>
        <v>0.76586433260393871</v>
      </c>
      <c r="AC1178" s="220">
        <f t="shared" si="478"/>
        <v>0.21306345733041579</v>
      </c>
      <c r="AD1178" s="160">
        <f t="shared" si="479"/>
        <v>1.1546791154318166</v>
      </c>
      <c r="AE1178" s="160">
        <f t="shared" si="472"/>
        <v>1.0560686423746553</v>
      </c>
      <c r="AF1178" s="220">
        <f t="shared" si="480"/>
        <v>1</v>
      </c>
      <c r="AG1178" s="183" t="str">
        <f t="shared" si="481"/>
        <v/>
      </c>
      <c r="AH1178" s="183" t="str">
        <f t="shared" si="482"/>
        <v/>
      </c>
      <c r="AI1178" s="220" t="str">
        <f t="shared" si="483"/>
        <v/>
      </c>
    </row>
    <row r="1179" spans="1:35" x14ac:dyDescent="0.3">
      <c r="A1179" s="187">
        <v>34</v>
      </c>
      <c r="B1179" s="242">
        <f t="shared" si="473"/>
        <v>46661</v>
      </c>
      <c r="C1179" s="243">
        <f t="shared" si="456"/>
        <v>46691</v>
      </c>
      <c r="D1179" s="120">
        <f t="shared" si="457"/>
        <v>31</v>
      </c>
      <c r="E1179" s="120">
        <f t="shared" si="458"/>
        <v>10</v>
      </c>
      <c r="F1179" s="275">
        <f t="shared" si="459"/>
        <v>46676.5</v>
      </c>
      <c r="G1179" s="120">
        <f t="shared" si="460"/>
        <v>24333</v>
      </c>
      <c r="H1179" s="245">
        <f t="shared" si="461"/>
        <v>1</v>
      </c>
      <c r="I1179" s="121">
        <f t="shared" si="462"/>
        <v>1.05</v>
      </c>
      <c r="J1179" s="121">
        <f t="shared" si="463"/>
        <v>1.05</v>
      </c>
      <c r="K1179" s="120">
        <f t="shared" si="464"/>
        <v>0</v>
      </c>
      <c r="L1179" s="120">
        <f t="shared" si="465"/>
        <v>0</v>
      </c>
      <c r="M1179" s="246">
        <f t="shared" si="466"/>
        <v>0</v>
      </c>
      <c r="N1179" s="121">
        <f t="shared" si="467"/>
        <v>1.05</v>
      </c>
      <c r="O1179" s="246">
        <f t="shared" si="468"/>
        <v>0.92665207877461708</v>
      </c>
      <c r="P1179" s="121">
        <f t="shared" si="469"/>
        <v>0</v>
      </c>
      <c r="Q1179" s="121">
        <f t="shared" si="470"/>
        <v>0.41666666666666669</v>
      </c>
      <c r="R1179" s="121">
        <f t="shared" si="471"/>
        <v>0.58333333333333326</v>
      </c>
      <c r="W1179" s="160">
        <f t="shared" si="474"/>
        <v>1.05</v>
      </c>
      <c r="X1179" s="160">
        <f t="shared" si="475"/>
        <v>1.05</v>
      </c>
      <c r="Y1179" s="160">
        <f t="shared" si="476"/>
        <v>1.0175404872891536</v>
      </c>
      <c r="AB1179" s="160">
        <f t="shared" si="477"/>
        <v>0.83260393873085337</v>
      </c>
      <c r="AC1179" s="220">
        <f t="shared" si="478"/>
        <v>0.15233041575492345</v>
      </c>
      <c r="AD1179" s="160">
        <f t="shared" si="479"/>
        <v>1.1529866884521121</v>
      </c>
      <c r="AE1179" s="160">
        <f t="shared" si="472"/>
        <v>1.0575920464275521</v>
      </c>
      <c r="AF1179" s="220">
        <f t="shared" si="480"/>
        <v>1</v>
      </c>
      <c r="AG1179" s="183" t="str">
        <f t="shared" si="481"/>
        <v/>
      </c>
      <c r="AH1179" s="183" t="str">
        <f t="shared" si="482"/>
        <v/>
      </c>
      <c r="AI1179" s="220" t="str">
        <f t="shared" si="483"/>
        <v/>
      </c>
    </row>
    <row r="1180" spans="1:35" x14ac:dyDescent="0.3">
      <c r="A1180" s="187">
        <v>35</v>
      </c>
      <c r="B1180" s="242">
        <f t="shared" si="473"/>
        <v>46692</v>
      </c>
      <c r="C1180" s="243">
        <f t="shared" si="456"/>
        <v>46721</v>
      </c>
      <c r="D1180" s="120">
        <f t="shared" si="457"/>
        <v>30</v>
      </c>
      <c r="E1180" s="120">
        <f t="shared" si="458"/>
        <v>11</v>
      </c>
      <c r="F1180" s="275">
        <f t="shared" si="459"/>
        <v>46707</v>
      </c>
      <c r="G1180" s="120">
        <f t="shared" si="460"/>
        <v>24334</v>
      </c>
      <c r="H1180" s="245">
        <f t="shared" si="461"/>
        <v>1</v>
      </c>
      <c r="I1180" s="121">
        <f t="shared" si="462"/>
        <v>1.05</v>
      </c>
      <c r="J1180" s="121">
        <f t="shared" si="463"/>
        <v>1.05</v>
      </c>
      <c r="K1180" s="120">
        <f t="shared" si="464"/>
        <v>0</v>
      </c>
      <c r="L1180" s="120">
        <f t="shared" si="465"/>
        <v>0</v>
      </c>
      <c r="M1180" s="246">
        <f t="shared" si="466"/>
        <v>0</v>
      </c>
      <c r="N1180" s="121">
        <f t="shared" si="467"/>
        <v>1.05</v>
      </c>
      <c r="O1180" s="246">
        <f t="shared" si="468"/>
        <v>0.92798687089715537</v>
      </c>
      <c r="P1180" s="121">
        <f t="shared" si="469"/>
        <v>0</v>
      </c>
      <c r="Q1180" s="121">
        <f t="shared" si="470"/>
        <v>0.25</v>
      </c>
      <c r="R1180" s="121">
        <f t="shared" si="471"/>
        <v>0.75</v>
      </c>
      <c r="W1180" s="160">
        <f t="shared" si="474"/>
        <v>1.05</v>
      </c>
      <c r="X1180" s="160">
        <f t="shared" si="475"/>
        <v>1.05</v>
      </c>
      <c r="Y1180" s="160">
        <f t="shared" si="476"/>
        <v>1.0175148156145779</v>
      </c>
      <c r="AB1180" s="160">
        <f t="shared" si="477"/>
        <v>0.89934354485776802</v>
      </c>
      <c r="AC1180" s="220">
        <f t="shared" si="478"/>
        <v>9.1597374179431104E-2</v>
      </c>
      <c r="AD1180" s="160">
        <f t="shared" si="479"/>
        <v>1.0964754432687922</v>
      </c>
      <c r="AE1180" s="160">
        <f t="shared" si="472"/>
        <v>1.0591154504804492</v>
      </c>
      <c r="AF1180" s="220">
        <f t="shared" si="480"/>
        <v>1</v>
      </c>
      <c r="AG1180" s="183" t="str">
        <f t="shared" si="481"/>
        <v/>
      </c>
      <c r="AH1180" s="183" t="str">
        <f t="shared" si="482"/>
        <v/>
      </c>
      <c r="AI1180" s="220" t="str">
        <f t="shared" si="483"/>
        <v/>
      </c>
    </row>
    <row r="1181" spans="1:35" x14ac:dyDescent="0.3">
      <c r="A1181" s="187">
        <v>36</v>
      </c>
      <c r="B1181" s="242">
        <f t="shared" si="473"/>
        <v>46722</v>
      </c>
      <c r="C1181" s="243">
        <f t="shared" si="456"/>
        <v>46752</v>
      </c>
      <c r="D1181" s="120">
        <f t="shared" si="457"/>
        <v>31</v>
      </c>
      <c r="E1181" s="120">
        <f t="shared" si="458"/>
        <v>12</v>
      </c>
      <c r="F1181" s="275">
        <f t="shared" si="459"/>
        <v>46737.5</v>
      </c>
      <c r="G1181" s="120">
        <f t="shared" si="460"/>
        <v>24335</v>
      </c>
      <c r="H1181" s="245">
        <f t="shared" si="461"/>
        <v>1</v>
      </c>
      <c r="I1181" s="121">
        <f t="shared" si="462"/>
        <v>1.05</v>
      </c>
      <c r="J1181" s="121">
        <f t="shared" si="463"/>
        <v>1.05</v>
      </c>
      <c r="K1181" s="120">
        <f t="shared" si="464"/>
        <v>0</v>
      </c>
      <c r="L1181" s="120">
        <f t="shared" si="465"/>
        <v>0</v>
      </c>
      <c r="M1181" s="246">
        <f t="shared" si="466"/>
        <v>0</v>
      </c>
      <c r="N1181" s="121">
        <f t="shared" si="467"/>
        <v>1.05</v>
      </c>
      <c r="O1181" s="246">
        <f t="shared" si="468"/>
        <v>0.92932166301969366</v>
      </c>
      <c r="P1181" s="121">
        <f t="shared" si="469"/>
        <v>0</v>
      </c>
      <c r="Q1181" s="121">
        <f t="shared" si="470"/>
        <v>8.3333333333333329E-2</v>
      </c>
      <c r="R1181" s="121">
        <f t="shared" si="471"/>
        <v>0.91666666666666663</v>
      </c>
      <c r="W1181" s="160">
        <f t="shared" si="474"/>
        <v>1.05</v>
      </c>
      <c r="X1181" s="160">
        <f t="shared" si="475"/>
        <v>1.05</v>
      </c>
      <c r="Y1181" s="160">
        <f t="shared" si="476"/>
        <v>1.0174892189746045</v>
      </c>
      <c r="AB1181" s="160">
        <f t="shared" si="477"/>
        <v>0.96608315098468267</v>
      </c>
      <c r="AC1181" s="220">
        <f t="shared" si="478"/>
        <v>3.0864332603938772E-2</v>
      </c>
      <c r="AD1181" s="160">
        <f t="shared" si="479"/>
        <v>1.0948730234786774</v>
      </c>
      <c r="AE1181" s="160">
        <f t="shared" si="472"/>
        <v>1.0606388545333461</v>
      </c>
      <c r="AF1181" s="220">
        <f t="shared" si="480"/>
        <v>1</v>
      </c>
      <c r="AG1181" s="183" t="str">
        <f t="shared" si="481"/>
        <v/>
      </c>
      <c r="AH1181" s="183" t="str">
        <f t="shared" si="482"/>
        <v/>
      </c>
      <c r="AI1181" s="220" t="str">
        <f t="shared" si="483"/>
        <v/>
      </c>
    </row>
    <row r="1182" spans="1:35" x14ac:dyDescent="0.3">
      <c r="A1182" s="187">
        <v>37</v>
      </c>
      <c r="B1182" s="242">
        <f t="shared" si="473"/>
        <v>46753</v>
      </c>
      <c r="C1182" s="243">
        <f t="shared" si="456"/>
        <v>46783</v>
      </c>
      <c r="D1182" s="120">
        <f t="shared" si="457"/>
        <v>31</v>
      </c>
      <c r="E1182" s="120">
        <f t="shared" si="458"/>
        <v>1</v>
      </c>
      <c r="F1182" s="275">
        <f t="shared" si="459"/>
        <v>46768.5</v>
      </c>
      <c r="G1182" s="120">
        <f t="shared" si="460"/>
        <v>24336</v>
      </c>
      <c r="H1182" s="245">
        <f t="shared" si="461"/>
        <v>1</v>
      </c>
      <c r="I1182" s="121">
        <f t="shared" si="462"/>
        <v>1.05</v>
      </c>
      <c r="J1182" s="121">
        <f t="shared" si="463"/>
        <v>1.05</v>
      </c>
      <c r="K1182" s="120">
        <f t="shared" si="464"/>
        <v>0</v>
      </c>
      <c r="L1182" s="120">
        <f t="shared" si="465"/>
        <v>0</v>
      </c>
      <c r="M1182" s="246">
        <f t="shared" si="466"/>
        <v>0</v>
      </c>
      <c r="N1182" s="121">
        <f t="shared" si="467"/>
        <v>1.05</v>
      </c>
      <c r="O1182" s="246">
        <f t="shared" si="468"/>
        <v>0.93</v>
      </c>
      <c r="P1182" s="121">
        <f t="shared" si="469"/>
        <v>0</v>
      </c>
      <c r="Q1182" s="121">
        <f t="shared" si="470"/>
        <v>0</v>
      </c>
      <c r="R1182" s="121">
        <f t="shared" si="471"/>
        <v>1</v>
      </c>
      <c r="AE1182" s="160">
        <f t="shared" si="472"/>
        <v>1.0614130434782609</v>
      </c>
    </row>
    <row r="1183" spans="1:35" x14ac:dyDescent="0.3">
      <c r="A1183" s="187">
        <v>38</v>
      </c>
      <c r="B1183" s="242">
        <f t="shared" si="473"/>
        <v>46784</v>
      </c>
      <c r="C1183" s="243">
        <f t="shared" si="456"/>
        <v>46812</v>
      </c>
      <c r="D1183" s="120">
        <f t="shared" si="457"/>
        <v>29</v>
      </c>
      <c r="E1183" s="120">
        <f t="shared" si="458"/>
        <v>2</v>
      </c>
      <c r="F1183" s="275">
        <f t="shared" si="459"/>
        <v>46798.5</v>
      </c>
      <c r="G1183" s="120">
        <f t="shared" si="460"/>
        <v>24337</v>
      </c>
      <c r="H1183" s="245">
        <f t="shared" si="461"/>
        <v>1</v>
      </c>
      <c r="I1183" s="121">
        <f t="shared" si="462"/>
        <v>1.05</v>
      </c>
      <c r="J1183" s="121">
        <f t="shared" si="463"/>
        <v>1.05</v>
      </c>
      <c r="K1183" s="120">
        <f t="shared" si="464"/>
        <v>0</v>
      </c>
      <c r="L1183" s="120">
        <f t="shared" si="465"/>
        <v>0</v>
      </c>
      <c r="M1183" s="246">
        <f t="shared" si="466"/>
        <v>0</v>
      </c>
      <c r="N1183" s="121">
        <f t="shared" si="467"/>
        <v>1.05</v>
      </c>
      <c r="O1183" s="246">
        <f t="shared" si="468"/>
        <v>0.93</v>
      </c>
      <c r="P1183" s="121">
        <f t="shared" si="469"/>
        <v>0</v>
      </c>
      <c r="Q1183" s="121">
        <f t="shared" si="470"/>
        <v>0</v>
      </c>
      <c r="R1183" s="121">
        <f t="shared" si="471"/>
        <v>1</v>
      </c>
      <c r="AE1183" s="160">
        <f t="shared" si="472"/>
        <v>1.0614130434782609</v>
      </c>
    </row>
    <row r="1184" spans="1:35" x14ac:dyDescent="0.3">
      <c r="A1184" s="187">
        <v>39</v>
      </c>
      <c r="B1184" s="242">
        <f t="shared" si="473"/>
        <v>46813</v>
      </c>
      <c r="C1184" s="243">
        <f t="shared" si="456"/>
        <v>46843</v>
      </c>
      <c r="D1184" s="120">
        <f t="shared" si="457"/>
        <v>31</v>
      </c>
      <c r="E1184" s="120">
        <f t="shared" si="458"/>
        <v>3</v>
      </c>
      <c r="F1184" s="275">
        <f t="shared" si="459"/>
        <v>46828.5</v>
      </c>
      <c r="G1184" s="120">
        <f t="shared" si="460"/>
        <v>24338</v>
      </c>
      <c r="H1184" s="245">
        <f t="shared" si="461"/>
        <v>1</v>
      </c>
      <c r="I1184" s="121">
        <f t="shared" si="462"/>
        <v>1.05</v>
      </c>
      <c r="J1184" s="121">
        <f t="shared" si="463"/>
        <v>1.05</v>
      </c>
      <c r="K1184" s="120">
        <f t="shared" si="464"/>
        <v>0</v>
      </c>
      <c r="L1184" s="120">
        <f t="shared" si="465"/>
        <v>0</v>
      </c>
      <c r="M1184" s="246">
        <f t="shared" si="466"/>
        <v>0</v>
      </c>
      <c r="N1184" s="121">
        <f t="shared" si="467"/>
        <v>1.05</v>
      </c>
      <c r="O1184" s="246">
        <f t="shared" si="468"/>
        <v>0.93</v>
      </c>
      <c r="P1184" s="121">
        <f t="shared" si="469"/>
        <v>0</v>
      </c>
      <c r="Q1184" s="121">
        <f t="shared" si="470"/>
        <v>0</v>
      </c>
      <c r="R1184" s="121">
        <f t="shared" si="471"/>
        <v>1</v>
      </c>
      <c r="AE1184" s="160">
        <f t="shared" si="472"/>
        <v>1.0614130434782609</v>
      </c>
    </row>
    <row r="1185" spans="1:31" x14ac:dyDescent="0.3">
      <c r="A1185" s="187">
        <v>40</v>
      </c>
      <c r="B1185" s="242">
        <f t="shared" si="473"/>
        <v>46844</v>
      </c>
      <c r="C1185" s="243">
        <f t="shared" si="456"/>
        <v>46873</v>
      </c>
      <c r="D1185" s="120">
        <f t="shared" si="457"/>
        <v>30</v>
      </c>
      <c r="E1185" s="120">
        <f t="shared" si="458"/>
        <v>4</v>
      </c>
      <c r="F1185" s="275">
        <f t="shared" si="459"/>
        <v>46859</v>
      </c>
      <c r="G1185" s="120">
        <f t="shared" si="460"/>
        <v>24339</v>
      </c>
      <c r="H1185" s="245">
        <f t="shared" si="461"/>
        <v>1</v>
      </c>
      <c r="I1185" s="121">
        <f t="shared" si="462"/>
        <v>1.05</v>
      </c>
      <c r="J1185" s="121">
        <f t="shared" si="463"/>
        <v>1.05</v>
      </c>
      <c r="K1185" s="120">
        <f t="shared" si="464"/>
        <v>0</v>
      </c>
      <c r="L1185" s="120">
        <f t="shared" si="465"/>
        <v>0</v>
      </c>
      <c r="M1185" s="246">
        <f t="shared" si="466"/>
        <v>0</v>
      </c>
      <c r="N1185" s="121">
        <f t="shared" si="467"/>
        <v>1.05</v>
      </c>
      <c r="O1185" s="246">
        <f t="shared" si="468"/>
        <v>0.93</v>
      </c>
      <c r="P1185" s="121">
        <f t="shared" si="469"/>
        <v>0</v>
      </c>
      <c r="Q1185" s="121">
        <f t="shared" si="470"/>
        <v>0</v>
      </c>
      <c r="R1185" s="121">
        <f t="shared" si="471"/>
        <v>1</v>
      </c>
      <c r="AE1185" s="160">
        <f t="shared" si="472"/>
        <v>1.0614130434782609</v>
      </c>
    </row>
    <row r="1186" spans="1:31" x14ac:dyDescent="0.3">
      <c r="A1186" s="187">
        <v>41</v>
      </c>
      <c r="B1186" s="242">
        <f t="shared" si="473"/>
        <v>46874</v>
      </c>
      <c r="C1186" s="243">
        <f t="shared" si="456"/>
        <v>46904</v>
      </c>
      <c r="D1186" s="120">
        <f t="shared" si="457"/>
        <v>31</v>
      </c>
      <c r="E1186" s="120">
        <f t="shared" si="458"/>
        <v>5</v>
      </c>
      <c r="F1186" s="275">
        <f t="shared" si="459"/>
        <v>46889.5</v>
      </c>
      <c r="G1186" s="120">
        <f t="shared" si="460"/>
        <v>24340</v>
      </c>
      <c r="H1186" s="245">
        <f t="shared" si="461"/>
        <v>1</v>
      </c>
      <c r="I1186" s="121">
        <f t="shared" si="462"/>
        <v>1.05</v>
      </c>
      <c r="J1186" s="121">
        <f t="shared" si="463"/>
        <v>1.05</v>
      </c>
      <c r="K1186" s="120">
        <f t="shared" si="464"/>
        <v>0</v>
      </c>
      <c r="L1186" s="120">
        <f t="shared" si="465"/>
        <v>0</v>
      </c>
      <c r="M1186" s="246">
        <f t="shared" si="466"/>
        <v>0</v>
      </c>
      <c r="N1186" s="121">
        <f t="shared" si="467"/>
        <v>1.05</v>
      </c>
      <c r="O1186" s="246">
        <f t="shared" si="468"/>
        <v>0.93</v>
      </c>
      <c r="P1186" s="121">
        <f t="shared" si="469"/>
        <v>0</v>
      </c>
      <c r="Q1186" s="121">
        <f t="shared" si="470"/>
        <v>0</v>
      </c>
      <c r="R1186" s="121">
        <f t="shared" si="471"/>
        <v>1</v>
      </c>
      <c r="AE1186" s="160">
        <f t="shared" si="472"/>
        <v>1.0614130434782609</v>
      </c>
    </row>
    <row r="1187" spans="1:31" x14ac:dyDescent="0.3">
      <c r="A1187" s="187">
        <v>42</v>
      </c>
      <c r="B1187" s="242">
        <f t="shared" si="473"/>
        <v>46905</v>
      </c>
      <c r="C1187" s="243">
        <f t="shared" si="456"/>
        <v>46934</v>
      </c>
      <c r="D1187" s="120">
        <f t="shared" si="457"/>
        <v>30</v>
      </c>
      <c r="E1187" s="120">
        <f t="shared" si="458"/>
        <v>6</v>
      </c>
      <c r="F1187" s="275">
        <f t="shared" si="459"/>
        <v>46920</v>
      </c>
      <c r="G1187" s="120">
        <f t="shared" si="460"/>
        <v>24341</v>
      </c>
      <c r="H1187" s="245">
        <f t="shared" si="461"/>
        <v>1</v>
      </c>
      <c r="I1187" s="121">
        <f t="shared" si="462"/>
        <v>1.05</v>
      </c>
      <c r="J1187" s="121">
        <f t="shared" si="463"/>
        <v>1.05</v>
      </c>
      <c r="K1187" s="120">
        <f t="shared" si="464"/>
        <v>0</v>
      </c>
      <c r="L1187" s="120">
        <f t="shared" si="465"/>
        <v>0</v>
      </c>
      <c r="M1187" s="246">
        <f t="shared" si="466"/>
        <v>0</v>
      </c>
      <c r="N1187" s="121">
        <f t="shared" si="467"/>
        <v>1.05</v>
      </c>
      <c r="O1187" s="246">
        <f t="shared" si="468"/>
        <v>0.93</v>
      </c>
      <c r="P1187" s="121">
        <f t="shared" si="469"/>
        <v>0</v>
      </c>
      <c r="Q1187" s="121">
        <f t="shared" si="470"/>
        <v>0</v>
      </c>
      <c r="R1187" s="121">
        <f t="shared" si="471"/>
        <v>1</v>
      </c>
      <c r="AE1187" s="160">
        <f t="shared" si="472"/>
        <v>1.0614130434782609</v>
      </c>
    </row>
    <row r="1188" spans="1:31" x14ac:dyDescent="0.3">
      <c r="A1188" s="187">
        <v>43</v>
      </c>
      <c r="B1188" s="242">
        <f t="shared" si="473"/>
        <v>46935</v>
      </c>
      <c r="C1188" s="243">
        <f t="shared" si="456"/>
        <v>46965</v>
      </c>
      <c r="D1188" s="120">
        <f t="shared" si="457"/>
        <v>31</v>
      </c>
      <c r="E1188" s="120">
        <f t="shared" si="458"/>
        <v>7</v>
      </c>
      <c r="F1188" s="275">
        <f t="shared" si="459"/>
        <v>46950.5</v>
      </c>
      <c r="G1188" s="120">
        <f t="shared" si="460"/>
        <v>24342</v>
      </c>
      <c r="H1188" s="245">
        <f t="shared" si="461"/>
        <v>1</v>
      </c>
      <c r="I1188" s="121">
        <f t="shared" si="462"/>
        <v>1.05</v>
      </c>
      <c r="J1188" s="121">
        <f t="shared" si="463"/>
        <v>1.05</v>
      </c>
      <c r="K1188" s="120">
        <f t="shared" si="464"/>
        <v>0</v>
      </c>
      <c r="L1188" s="120">
        <f t="shared" si="465"/>
        <v>0</v>
      </c>
      <c r="M1188" s="246">
        <f t="shared" si="466"/>
        <v>0</v>
      </c>
      <c r="N1188" s="121">
        <f t="shared" si="467"/>
        <v>1.05</v>
      </c>
      <c r="O1188" s="246">
        <f t="shared" si="468"/>
        <v>0.93</v>
      </c>
      <c r="P1188" s="121">
        <f t="shared" si="469"/>
        <v>0</v>
      </c>
      <c r="Q1188" s="121">
        <f t="shared" si="470"/>
        <v>0</v>
      </c>
      <c r="R1188" s="121">
        <f t="shared" si="471"/>
        <v>0.91666666666666663</v>
      </c>
      <c r="AE1188" s="160">
        <f t="shared" si="472"/>
        <v>1.0614130434782609</v>
      </c>
    </row>
    <row r="1189" spans="1:31" x14ac:dyDescent="0.3">
      <c r="A1189" s="187">
        <v>44</v>
      </c>
      <c r="B1189" s="242">
        <f t="shared" si="473"/>
        <v>46966</v>
      </c>
      <c r="C1189" s="243">
        <f t="shared" si="456"/>
        <v>46996</v>
      </c>
      <c r="D1189" s="120">
        <f t="shared" si="457"/>
        <v>31</v>
      </c>
      <c r="E1189" s="120">
        <f t="shared" si="458"/>
        <v>8</v>
      </c>
      <c r="F1189" s="275">
        <f t="shared" si="459"/>
        <v>46981.5</v>
      </c>
      <c r="G1189" s="120">
        <f t="shared" si="460"/>
        <v>24343</v>
      </c>
      <c r="H1189" s="245">
        <f t="shared" si="461"/>
        <v>1</v>
      </c>
      <c r="I1189" s="121">
        <f t="shared" si="462"/>
        <v>1.05</v>
      </c>
      <c r="J1189" s="121">
        <f t="shared" si="463"/>
        <v>1.05</v>
      </c>
      <c r="K1189" s="120">
        <f t="shared" si="464"/>
        <v>0</v>
      </c>
      <c r="L1189" s="120">
        <f t="shared" si="465"/>
        <v>0</v>
      </c>
      <c r="M1189" s="246">
        <f t="shared" si="466"/>
        <v>0</v>
      </c>
      <c r="N1189" s="121">
        <f t="shared" si="467"/>
        <v>1.05</v>
      </c>
      <c r="O1189" s="246">
        <f t="shared" si="468"/>
        <v>0.93</v>
      </c>
      <c r="P1189" s="121">
        <f t="shared" si="469"/>
        <v>0</v>
      </c>
      <c r="Q1189" s="121">
        <f t="shared" si="470"/>
        <v>0</v>
      </c>
      <c r="R1189" s="121">
        <f t="shared" si="471"/>
        <v>0.75</v>
      </c>
      <c r="AE1189" s="160">
        <f t="shared" si="472"/>
        <v>1.0614130434782609</v>
      </c>
    </row>
    <row r="1190" spans="1:31" x14ac:dyDescent="0.3">
      <c r="A1190" s="187">
        <v>45</v>
      </c>
      <c r="B1190" s="242">
        <f t="shared" si="473"/>
        <v>46997</v>
      </c>
      <c r="C1190" s="243">
        <f t="shared" si="456"/>
        <v>47026</v>
      </c>
      <c r="D1190" s="120">
        <f t="shared" si="457"/>
        <v>30</v>
      </c>
      <c r="E1190" s="120">
        <f t="shared" si="458"/>
        <v>9</v>
      </c>
      <c r="F1190" s="275">
        <f t="shared" si="459"/>
        <v>47012</v>
      </c>
      <c r="G1190" s="120">
        <f t="shared" si="460"/>
        <v>24344</v>
      </c>
      <c r="H1190" s="245">
        <f t="shared" si="461"/>
        <v>1</v>
      </c>
      <c r="I1190" s="121">
        <f t="shared" si="462"/>
        <v>1.05</v>
      </c>
      <c r="J1190" s="121">
        <f t="shared" si="463"/>
        <v>1.05</v>
      </c>
      <c r="K1190" s="120">
        <f t="shared" si="464"/>
        <v>0</v>
      </c>
      <c r="L1190" s="120">
        <f t="shared" si="465"/>
        <v>0</v>
      </c>
      <c r="M1190" s="246">
        <f t="shared" si="466"/>
        <v>0</v>
      </c>
      <c r="N1190" s="121">
        <f t="shared" si="467"/>
        <v>1.05</v>
      </c>
      <c r="O1190" s="246">
        <f t="shared" si="468"/>
        <v>0.93</v>
      </c>
      <c r="P1190" s="121">
        <f t="shared" si="469"/>
        <v>0</v>
      </c>
      <c r="Q1190" s="121">
        <f t="shared" si="470"/>
        <v>0</v>
      </c>
      <c r="R1190" s="121">
        <f t="shared" si="471"/>
        <v>0.58333333333333337</v>
      </c>
      <c r="AE1190" s="160">
        <f t="shared" si="472"/>
        <v>1.0614130434782609</v>
      </c>
    </row>
    <row r="1191" spans="1:31" x14ac:dyDescent="0.3">
      <c r="A1191" s="187">
        <v>46</v>
      </c>
      <c r="B1191" s="242">
        <f t="shared" si="473"/>
        <v>47027</v>
      </c>
      <c r="C1191" s="243">
        <f t="shared" si="456"/>
        <v>47057</v>
      </c>
      <c r="D1191" s="120">
        <f t="shared" si="457"/>
        <v>31</v>
      </c>
      <c r="E1191" s="120">
        <f t="shared" si="458"/>
        <v>10</v>
      </c>
      <c r="F1191" s="275">
        <f t="shared" si="459"/>
        <v>47042.5</v>
      </c>
      <c r="G1191" s="120">
        <f t="shared" si="460"/>
        <v>24345</v>
      </c>
      <c r="H1191" s="245">
        <f t="shared" si="461"/>
        <v>1</v>
      </c>
      <c r="I1191" s="121">
        <f t="shared" si="462"/>
        <v>1.05</v>
      </c>
      <c r="J1191" s="121">
        <f t="shared" si="463"/>
        <v>1.05</v>
      </c>
      <c r="K1191" s="120">
        <f t="shared" si="464"/>
        <v>0</v>
      </c>
      <c r="L1191" s="120">
        <f t="shared" si="465"/>
        <v>0</v>
      </c>
      <c r="M1191" s="246">
        <f t="shared" si="466"/>
        <v>0</v>
      </c>
      <c r="N1191" s="121">
        <f t="shared" si="467"/>
        <v>1.05</v>
      </c>
      <c r="O1191" s="246">
        <f t="shared" si="468"/>
        <v>0.93</v>
      </c>
      <c r="P1191" s="121">
        <f t="shared" si="469"/>
        <v>0</v>
      </c>
      <c r="Q1191" s="121">
        <f t="shared" si="470"/>
        <v>0</v>
      </c>
      <c r="R1191" s="121">
        <f t="shared" si="471"/>
        <v>0.41666666666666669</v>
      </c>
      <c r="AE1191" s="160">
        <f t="shared" si="472"/>
        <v>1.0614130434782609</v>
      </c>
    </row>
    <row r="1192" spans="1:31" x14ac:dyDescent="0.3">
      <c r="A1192" s="187">
        <v>47</v>
      </c>
      <c r="B1192" s="242">
        <f t="shared" si="473"/>
        <v>47058</v>
      </c>
      <c r="C1192" s="243">
        <f t="shared" si="456"/>
        <v>47087</v>
      </c>
      <c r="D1192" s="120">
        <f t="shared" si="457"/>
        <v>30</v>
      </c>
      <c r="E1192" s="120">
        <f t="shared" si="458"/>
        <v>11</v>
      </c>
      <c r="F1192" s="275">
        <f t="shared" si="459"/>
        <v>47073</v>
      </c>
      <c r="G1192" s="120">
        <f t="shared" si="460"/>
        <v>24346</v>
      </c>
      <c r="H1192" s="245">
        <f t="shared" si="461"/>
        <v>1</v>
      </c>
      <c r="I1192" s="121">
        <f t="shared" si="462"/>
        <v>1.05</v>
      </c>
      <c r="J1192" s="121">
        <f t="shared" si="463"/>
        <v>1.05</v>
      </c>
      <c r="K1192" s="120">
        <f t="shared" si="464"/>
        <v>0</v>
      </c>
      <c r="L1192" s="120">
        <f t="shared" si="465"/>
        <v>0</v>
      </c>
      <c r="M1192" s="246">
        <f t="shared" si="466"/>
        <v>0</v>
      </c>
      <c r="N1192" s="121">
        <f t="shared" si="467"/>
        <v>1.05</v>
      </c>
      <c r="O1192" s="246">
        <f t="shared" si="468"/>
        <v>0.93</v>
      </c>
      <c r="P1192" s="121">
        <f t="shared" si="469"/>
        <v>0</v>
      </c>
      <c r="Q1192" s="121">
        <f t="shared" si="470"/>
        <v>0</v>
      </c>
      <c r="R1192" s="121">
        <f t="shared" si="471"/>
        <v>0.25</v>
      </c>
      <c r="AE1192" s="160">
        <f t="shared" si="472"/>
        <v>1.0614130434782609</v>
      </c>
    </row>
    <row r="1193" spans="1:31" x14ac:dyDescent="0.3">
      <c r="A1193" s="187">
        <v>48</v>
      </c>
      <c r="B1193" s="242">
        <f t="shared" si="473"/>
        <v>47088</v>
      </c>
      <c r="C1193" s="243">
        <f t="shared" si="456"/>
        <v>47118</v>
      </c>
      <c r="D1193" s="120">
        <f t="shared" si="457"/>
        <v>31</v>
      </c>
      <c r="E1193" s="120">
        <f t="shared" si="458"/>
        <v>12</v>
      </c>
      <c r="F1193" s="275">
        <f t="shared" si="459"/>
        <v>47103.5</v>
      </c>
      <c r="G1193" s="120">
        <f t="shared" si="460"/>
        <v>24347</v>
      </c>
      <c r="H1193" s="245">
        <f t="shared" si="461"/>
        <v>1</v>
      </c>
      <c r="I1193" s="121">
        <f t="shared" si="462"/>
        <v>1.05</v>
      </c>
      <c r="J1193" s="121">
        <f t="shared" si="463"/>
        <v>1.05</v>
      </c>
      <c r="K1193" s="120">
        <f t="shared" si="464"/>
        <v>0</v>
      </c>
      <c r="L1193" s="120">
        <f t="shared" si="465"/>
        <v>0</v>
      </c>
      <c r="M1193" s="246">
        <f t="shared" si="466"/>
        <v>0</v>
      </c>
      <c r="N1193" s="121">
        <f t="shared" si="467"/>
        <v>1.05</v>
      </c>
      <c r="O1193" s="246">
        <f t="shared" si="468"/>
        <v>0.93</v>
      </c>
      <c r="P1193" s="121">
        <f t="shared" si="469"/>
        <v>0</v>
      </c>
      <c r="Q1193" s="121">
        <f t="shared" si="470"/>
        <v>0</v>
      </c>
      <c r="R1193" s="121">
        <f t="shared" si="471"/>
        <v>8.3333333333333329E-2</v>
      </c>
      <c r="AE1193" s="160">
        <f t="shared" si="472"/>
        <v>1.0614130434782609</v>
      </c>
    </row>
    <row r="1194" spans="1:31" x14ac:dyDescent="0.3">
      <c r="A1194" s="23" t="s">
        <v>1723</v>
      </c>
      <c r="B1194" s="279">
        <f>SUM($H$1170:$H$1181)</f>
        <v>12</v>
      </c>
      <c r="C1194" s="160">
        <f>SUMPRODUCT($H$1170:$H$1181,$W$1170:$W$1181/$N$1158:$N$1169,$Y$1170:$Y$1181)</f>
        <v>12.72040574008818</v>
      </c>
      <c r="D1194" s="160">
        <f>SUMPRODUCT($H$1170:$H$1181,$X$1170:$X$1181/$N$1158:$N$1169,$Y$1170:$Y$1181)</f>
        <v>9.5144989263870716</v>
      </c>
      <c r="E1194" s="281" t="str">
        <f>IF(OR($D$1143=0,$P$1143=0,$D1194=0),"n/a",((1+$E$1143)*$B1194-$C1194)/$D1194)</f>
        <v>n/a</v>
      </c>
      <c r="F1194" s="281" t="str">
        <f>IF($V$1143&lt;&gt;"",$V$1143,$E1194)</f>
        <v>n/a</v>
      </c>
      <c r="G1194" s="281" t="str">
        <f>IF(OR(NOT(ISNUMBER($F1194)),nd_Ach=0),"n/a",$F1194/nd_Ach)</f>
        <v>n/a</v>
      </c>
      <c r="H1194" s="220" t="str">
        <f>IF(OR(NOT(ISNUMBER($F1194)),$F$1143=0,SUMPRODUCT($AD$1170:$AD$1181,$AB$1170:$AB$1181)=0),"n/a",((1+$E$1143)*$B1194-SUMPRODUCT($AD$1170:$AD$1181,$AC$1170:$AC$1181))/SUMPRODUCT($AD$1170:$AD$1181,$AB$1170:$AB$1181))</f>
        <v>n/a</v>
      </c>
      <c r="I1194" s="183" t="str">
        <f>IF(NOT(ISNUMBER($F1194)),"n/a",SUMPRODUCT($H$1170:$H$1181,($W$1170:$W$1181+$X$1170:$X$1181*$F1194)/$N$1158:$N$1169)/$B1194-1)</f>
        <v>n/a</v>
      </c>
      <c r="J1194" s="183" t="str">
        <f>IF(OR(NOT(ISNUMBER($I1194)),$F$1143=0),"n/a",(1+$E$1143)/(1+$I1194)-1)</f>
        <v>n/a</v>
      </c>
      <c r="K1194" s="183" t="str">
        <f>IF(NOT(ISNUMBER($F1194)),"n/a",($C1194+$D1194*$F1194)/$B1194-1)</f>
        <v>n/a</v>
      </c>
      <c r="L1194" s="229" t="str">
        <f>IF(NOT(ISNUMBER($F1194)),"n/a",SUMPRODUCT($H$1170:$H$1181,$AF$1170:$AF$1181)/$B1194)</f>
        <v>n/a</v>
      </c>
      <c r="M1194" s="23" t="str">
        <f>IF($D$1143=0,"",TRIM(IF(AND(ISNUMBER($H1194),OR($H1194&lt;0.5,$H1194&gt;1.5)),"MOD-BOUND ","")&amp;IF(AND(ISNUMBER($F1194),ABS($F1194)&gt;nr_SolvMaxRate),"RATE-BOUND ","")&amp;IF(AND(ISNUMBER($L1194),$L1194&lt;nr_SolvMinShare),"THIN-SHARE ","")&amp;IF($W$1143&gt;1,"MULTI-PLANNED ","")&amp;IF($F$1143=0,"RATE-ONLY","")))</f>
        <v/>
      </c>
      <c r="N1194" s="229" t="str">
        <f>IF(OR($D$1143=0,NOT(ISNUMBER($F1194))),"n/a",INDEX(calc_lrcur,$C$1143)*INDEX(calc_crl,$C$1143)/(SUMPRODUCT($H$1146:$H$1193,$Q$1146:$Q$1193,$AE$1146:$AE$1193)/SUMPRODUCT($H$1146:$H$1193,$Q$1146:$Q$1193))*INDEX(calc_aother,$C$1143))</f>
        <v>n/a</v>
      </c>
      <c r="O1194" s="229" t="str">
        <f>IF($D$1143=0,"n/a",INDEX(calc_cylr_p,$C$1143))</f>
        <v>n/a</v>
      </c>
      <c r="P1194" s="282">
        <f>IF(NOT(ISNUMBER($E1194)),0,ABS(($C1194+$D1194*$E1194)/$B1194-(1+$E$1143)))</f>
        <v>0</v>
      </c>
    </row>
    <row r="1199" spans="1:31" x14ac:dyDescent="0.3">
      <c r="A1199" s="23" t="str">
        <f>_lists!$B$20</f>
        <v>TN</v>
      </c>
      <c r="B1199" s="23" t="str">
        <f>IF(OR($A1199="",nd_BU="All"),"",nd_BU&amp;"|"&amp;$A1199)</f>
        <v>SBA|TN</v>
      </c>
      <c r="C1199" s="43">
        <f>IF($B1199="",0,IF(COUNTIF(lr_key,$B1199)=0,0,MATCH($B1199,lr_key,0)))</f>
        <v>60</v>
      </c>
      <c r="D1199" s="43">
        <f>IF($C1199=0,0,IF(ISBLANK(INDEX(lr_netp,$C1199)),0,1))</f>
        <v>0</v>
      </c>
      <c r="E1199" s="229">
        <f>IF($D1199=0,0,N(INDEX(lr_netp,$C1199)))</f>
        <v>0</v>
      </c>
      <c r="F1199" s="43">
        <f>IF($C1199=0,0,IF(AND(nr_ModAdjMaster="ON",INDEX(lr_modadj,$C1199)="ON"),1,0))</f>
        <v>1</v>
      </c>
      <c r="G1199" s="220">
        <f>IF($C1199=0,1,IF(N(INDEX(lr_mind,$C1199))=0,1,INDEX(lr_mind,$C1199)))</f>
        <v>0.92</v>
      </c>
      <c r="H1199" s="220">
        <f>IF($C1199=0,1,IF(N(INDEX(lr_m0,$C1199))=0,1,INDEX(lr_m0,$C1199)))</f>
        <v>0.91</v>
      </c>
      <c r="I1199" s="278">
        <f>IF($C1199=0,DATE(nr_PlanYear-1,10,1),IF(N(INDEX(lr_m0asof,$C1199))=0,DATE(nr_PlanYear-1,10,1),INDEX(lr_m0asof,$C1199)))</f>
        <v>46295</v>
      </c>
      <c r="J1199" s="220">
        <f>IF($C1199=0,1,IF(N(INDEX(lr_m1,$C1199))=0,1,INDEX(lr_m1,$C1199)))</f>
        <v>0.91</v>
      </c>
      <c r="K1199" s="220">
        <f>IF($C1199=0,0,N(INDEX(lr_mprior,$C1199)))</f>
        <v>0</v>
      </c>
      <c r="L1199" s="220">
        <f>IF($C1199=0,0,N(INDEX(lr_m2,$C1199)))</f>
        <v>0</v>
      </c>
      <c r="M1199" s="43">
        <f>IF(OR($A1199="",COUNTIF(se_state,$A1199)=0),0,MATCH($A1199,se_state,0))</f>
        <v>0</v>
      </c>
      <c r="N1199" s="279">
        <f>IF($M1199=0,0,INDEX(se_sum,$M1199))</f>
        <v>0</v>
      </c>
      <c r="O1199" s="278">
        <f>IF('Net Delivery'!$D$26="",$X1199,'Net Delivery'!$D$26)</f>
        <v>46478</v>
      </c>
      <c r="P1199" s="43">
        <f>IF(AND($O1199&gt;=DATE(nr_PlanYear,1,1),$O1199&lt;=DATE(nr_PlanYear,12,31)),1,0)</f>
        <v>1</v>
      </c>
      <c r="Q1199" s="43">
        <f>YEAR($O1199)*12+MONTH($O1199)-1</f>
        <v>24327</v>
      </c>
      <c r="R1199" s="43">
        <f>DAY(EOMONTH($O1199,0))</f>
        <v>30</v>
      </c>
      <c r="S1199" s="43">
        <f>EOMONTH($O1199,0)-$O1199+1</f>
        <v>30</v>
      </c>
      <c r="T1199" s="43">
        <f>SUMIFS(ndl_days,rl_key,$B1199,ndl_effmonth,DATE(YEAR($O1199),MONTH($O1199),1),ndl_first,1)</f>
        <v>0</v>
      </c>
      <c r="U1199" s="220">
        <f>IF($P1199=1,MIN(1,MAX($S1199,$T1199)/$R1199),1)</f>
        <v>1</v>
      </c>
      <c r="V1199" s="280" t="str">
        <f>IF(ISBLANK('Net Delivery'!$E$26),$Y1199,'Net Delivery'!$E$26)</f>
        <v/>
      </c>
      <c r="W1199" s="43">
        <f>IF($B1199="",0,COUNTIFS(rl_key,$B1199,rl_status,"planned",rl_eff,"&gt;="&amp;DATE(nr_PlanYear,1,1),rl_eff,"&lt;="&amp;DATE(nr_PlanYear,12,31)))</f>
        <v>0</v>
      </c>
      <c r="X1199" s="278">
        <f>IF($W1199=0,nd_DefaultDate,SUMIFS(rl_eff,rl_key,$B1199,rl_firstplanned,1))</f>
        <v>46478</v>
      </c>
      <c r="Y1199" s="280" t="str">
        <f>IF($W1199=0,"",SUMIFS(rl_reff,rl_key,$B1199,rl_firstplanned,1))</f>
        <v/>
      </c>
      <c r="Z1199" s="280" t="str">
        <f>IF($W1199=0,"",SUMIFS(rl_filed,rl_key,$B1199,rl_firstplanned,1))</f>
        <v/>
      </c>
    </row>
    <row r="1200" spans="1:31" x14ac:dyDescent="0.3">
      <c r="A1200" s="6">
        <f>EDATE($I$1199,-12)+1</f>
        <v>45931</v>
      </c>
      <c r="B1200" s="6">
        <f>$I$1199+1</f>
        <v>46296</v>
      </c>
      <c r="C1200" s="6">
        <f>DATE(nr_PlanYear,12,31)+1</f>
        <v>46753</v>
      </c>
      <c r="D1200" s="6">
        <f>DATE(nr_PlanYear+1,12,31)+1</f>
        <v>47119</v>
      </c>
      <c r="E1200" s="6">
        <f>IF(N($K$1199)=0,$F$1200-($G$1200-$F$1200)/($C$1200-$B$1200)*($B$1200-$A$1200),$K$1199)</f>
        <v>0.91</v>
      </c>
      <c r="F1200" s="6">
        <f>$H$1199</f>
        <v>0.91</v>
      </c>
      <c r="G1200" s="6">
        <f>$J$1199</f>
        <v>0.91</v>
      </c>
      <c r="H1200" s="6">
        <f>IF(N($L$1199)=0,$J$1199,$L$1199)</f>
        <v>0.91</v>
      </c>
      <c r="I1200" s="6">
        <f>($F$1200-$E$1200)/($B$1200-$A$1200)</f>
        <v>0</v>
      </c>
      <c r="J1200" s="6">
        <f>($G$1200-$F$1200)/($C$1200-$B$1200)</f>
        <v>0</v>
      </c>
      <c r="K1200" s="6">
        <f>($H$1200-$G$1200)/($D$1200-$C$1200)</f>
        <v>0</v>
      </c>
    </row>
    <row r="1201" spans="1:31" ht="36" x14ac:dyDescent="0.3">
      <c r="A1201" s="58" t="s">
        <v>390</v>
      </c>
      <c r="B1201" s="58" t="s">
        <v>449</v>
      </c>
      <c r="C1201" s="58" t="s">
        <v>685</v>
      </c>
      <c r="D1201" s="58" t="s">
        <v>686</v>
      </c>
      <c r="E1201" s="58" t="s">
        <v>687</v>
      </c>
      <c r="F1201" s="58" t="s">
        <v>688</v>
      </c>
      <c r="G1201" s="58" t="s">
        <v>689</v>
      </c>
      <c r="H1201" s="58" t="s">
        <v>452</v>
      </c>
      <c r="I1201" s="58" t="s">
        <v>690</v>
      </c>
      <c r="J1201" s="58" t="s">
        <v>691</v>
      </c>
      <c r="K1201" s="58" t="s">
        <v>692</v>
      </c>
      <c r="L1201" s="58" t="s">
        <v>693</v>
      </c>
      <c r="M1201" s="58" t="s">
        <v>694</v>
      </c>
      <c r="N1201" s="58" t="s">
        <v>695</v>
      </c>
      <c r="O1201" s="58" t="s">
        <v>696</v>
      </c>
      <c r="P1201" s="58" t="s">
        <v>697</v>
      </c>
      <c r="Q1201" s="58" t="s">
        <v>698</v>
      </c>
      <c r="R1201" s="58" t="s">
        <v>699</v>
      </c>
      <c r="S1201" s="58" t="s">
        <v>700</v>
      </c>
      <c r="T1201" s="58" t="s">
        <v>701</v>
      </c>
      <c r="U1201" s="58" t="s">
        <v>702</v>
      </c>
    </row>
    <row r="1202" spans="1:31" x14ac:dyDescent="0.3">
      <c r="A1202" s="187">
        <v>1</v>
      </c>
      <c r="B1202" s="242">
        <f>DATE(nr_PlanYear-2,1,1)</f>
        <v>45658</v>
      </c>
      <c r="C1202" s="243">
        <f t="shared" ref="C1202:C1249" si="484">EOMONTH($B1202,0)</f>
        <v>45688</v>
      </c>
      <c r="D1202" s="120">
        <f t="shared" ref="D1202:D1249" si="485">$C1202-$B1202+1</f>
        <v>31</v>
      </c>
      <c r="E1202" s="120">
        <f t="shared" ref="E1202:E1249" si="486">MONTH($B1202)</f>
        <v>1</v>
      </c>
      <c r="F1202" s="275">
        <f t="shared" ref="F1202:F1249" si="487">($B1202+$C1202+1)/2</f>
        <v>45673.5</v>
      </c>
      <c r="G1202" s="120">
        <f t="shared" ref="G1202:G1249" si="488">YEAR($B1202)*12+MONTH($B1202)-1</f>
        <v>24300</v>
      </c>
      <c r="H1202" s="245">
        <f t="shared" ref="H1202:H1249" si="489">IF(OR(nr_SeasonOn="OFF",$M$1199=0,$N$1199=0),1,12*INDEX(se_block,$M$1199,$E1202)/$N$1199)</f>
        <v>1</v>
      </c>
      <c r="I1202" s="121">
        <f t="shared" ref="I1202:I1249" si="490">EXP(SUMPRODUCT((ndl_eff&lt;$B1202)*(rl_key=$B$1199)*ndl_ln))</f>
        <v>1</v>
      </c>
      <c r="J1202" s="121">
        <f t="shared" ref="J1202:J1249" si="491">EXP(SUMPRODUCT((ndl_eff&lt;=$C1202)*(rl_key=$B$1199)*ndl_ln))</f>
        <v>1</v>
      </c>
      <c r="K1202" s="120">
        <f t="shared" ref="K1202:K1249" si="492">COUNTIFS(rl_key,$B$1199,ndl_eff,"&gt;="&amp;$B1202,ndl_eff,"&lt;="&amp;$C1202)</f>
        <v>0</v>
      </c>
      <c r="L1202" s="120">
        <f t="shared" ref="L1202:L1249" si="493">SUMIFS(ndl_days,rl_key,$B$1199,ndl_effmonth,$B1202,ndl_first,1)</f>
        <v>0</v>
      </c>
      <c r="M1202" s="246">
        <f t="shared" ref="M1202:M1249" si="494">IF($K1202=0,0,MIN(1,$L1202/$D1202))</f>
        <v>0</v>
      </c>
      <c r="N1202" s="121">
        <f t="shared" ref="N1202:N1249" si="495">IF($K1202=0,$J1202,(1-$M1202)*$I1202+$M1202*$J1202)</f>
        <v>1</v>
      </c>
      <c r="O1202" s="246">
        <f t="shared" ref="O1202:O1249" si="496">IF($F1202&lt;$B$1200,$E$1200+$I$1200*($F1202-$A$1200),IF($F1202&lt;$C$1200,$F$1200+$J$1200*($F1202-$B$1200),$G$1200+$K$1200*($F1202-$C$1200)))</f>
        <v>0.91</v>
      </c>
      <c r="P1202" s="121">
        <f t="shared" ref="P1202:P1249" si="497">MIN(1,MAX(0,(nr_MEndPm1-$G1202+0.5)/nr_TermMonths))-MIN(1,MAX(0,(nr_MStartPm1-1-$G1202+0.5)/nr_TermMonths))</f>
        <v>0</v>
      </c>
      <c r="Q1202" s="121">
        <f t="shared" ref="Q1202:Q1249" si="498">MIN(1,MAX(0,(nr_MEndP-$G1202+0.5)/nr_TermMonths))-MIN(1,MAX(0,(nr_MStartP-1-$G1202+0.5)/nr_TermMonths))</f>
        <v>0</v>
      </c>
      <c r="R1202" s="121">
        <f t="shared" ref="R1202:R1249" si="499">MIN(1,MAX(0,(nr_MEndP1-$G1202+0.5)/nr_TermMonths))-MIN(1,MAX(0,(nr_MStartP1-1-$G1202+0.5)/nr_TermMonths))</f>
        <v>0</v>
      </c>
      <c r="AE1202" s="160">
        <f t="shared" ref="AE1202:AE1249" si="500">IF(OR($G1202&lt;nr_MStartP,$G1202&gt;=nr_MStartP1),IF($F$1199=1,$N1202*$O1202/$G$1199,$N1202),($W1202+$X1202*IF(ISNUMBER($F$1250),$F$1250,0))*IF($F$1199=1,($AC1202+$AB1202*IF(ISNUMBER($H$1250),$H$1250,$J$1199))/$G$1199,1))</f>
        <v>0.98913043478260865</v>
      </c>
    </row>
    <row r="1203" spans="1:31" x14ac:dyDescent="0.3">
      <c r="A1203" s="187">
        <v>2</v>
      </c>
      <c r="B1203" s="242">
        <f t="shared" ref="B1203:B1249" si="501">EDATE($B1202,1)</f>
        <v>45689</v>
      </c>
      <c r="C1203" s="243">
        <f t="shared" si="484"/>
        <v>45716</v>
      </c>
      <c r="D1203" s="120">
        <f t="shared" si="485"/>
        <v>28</v>
      </c>
      <c r="E1203" s="120">
        <f t="shared" si="486"/>
        <v>2</v>
      </c>
      <c r="F1203" s="275">
        <f t="shared" si="487"/>
        <v>45703</v>
      </c>
      <c r="G1203" s="120">
        <f t="shared" si="488"/>
        <v>24301</v>
      </c>
      <c r="H1203" s="245">
        <f t="shared" si="489"/>
        <v>1</v>
      </c>
      <c r="I1203" s="121">
        <f t="shared" si="490"/>
        <v>1</v>
      </c>
      <c r="J1203" s="121">
        <f t="shared" si="491"/>
        <v>1</v>
      </c>
      <c r="K1203" s="120">
        <f t="shared" si="492"/>
        <v>0</v>
      </c>
      <c r="L1203" s="120">
        <f t="shared" si="493"/>
        <v>0</v>
      </c>
      <c r="M1203" s="246">
        <f t="shared" si="494"/>
        <v>0</v>
      </c>
      <c r="N1203" s="121">
        <f t="shared" si="495"/>
        <v>1</v>
      </c>
      <c r="O1203" s="246">
        <f t="shared" si="496"/>
        <v>0.91</v>
      </c>
      <c r="P1203" s="121">
        <f t="shared" si="497"/>
        <v>0</v>
      </c>
      <c r="Q1203" s="121">
        <f t="shared" si="498"/>
        <v>0</v>
      </c>
      <c r="R1203" s="121">
        <f t="shared" si="499"/>
        <v>0</v>
      </c>
      <c r="AE1203" s="160">
        <f t="shared" si="500"/>
        <v>0.98913043478260865</v>
      </c>
    </row>
    <row r="1204" spans="1:31" x14ac:dyDescent="0.3">
      <c r="A1204" s="187">
        <v>3</v>
      </c>
      <c r="B1204" s="242">
        <f t="shared" si="501"/>
        <v>45717</v>
      </c>
      <c r="C1204" s="243">
        <f t="shared" si="484"/>
        <v>45747</v>
      </c>
      <c r="D1204" s="120">
        <f t="shared" si="485"/>
        <v>31</v>
      </c>
      <c r="E1204" s="120">
        <f t="shared" si="486"/>
        <v>3</v>
      </c>
      <c r="F1204" s="275">
        <f t="shared" si="487"/>
        <v>45732.5</v>
      </c>
      <c r="G1204" s="120">
        <f t="shared" si="488"/>
        <v>24302</v>
      </c>
      <c r="H1204" s="245">
        <f t="shared" si="489"/>
        <v>1</v>
      </c>
      <c r="I1204" s="121">
        <f t="shared" si="490"/>
        <v>1</v>
      </c>
      <c r="J1204" s="121">
        <f t="shared" si="491"/>
        <v>1</v>
      </c>
      <c r="K1204" s="120">
        <f t="shared" si="492"/>
        <v>0</v>
      </c>
      <c r="L1204" s="120">
        <f t="shared" si="493"/>
        <v>0</v>
      </c>
      <c r="M1204" s="246">
        <f t="shared" si="494"/>
        <v>0</v>
      </c>
      <c r="N1204" s="121">
        <f t="shared" si="495"/>
        <v>1</v>
      </c>
      <c r="O1204" s="246">
        <f t="shared" si="496"/>
        <v>0.91</v>
      </c>
      <c r="P1204" s="121">
        <f t="shared" si="497"/>
        <v>0</v>
      </c>
      <c r="Q1204" s="121">
        <f t="shared" si="498"/>
        <v>0</v>
      </c>
      <c r="R1204" s="121">
        <f t="shared" si="499"/>
        <v>0</v>
      </c>
      <c r="AE1204" s="160">
        <f t="shared" si="500"/>
        <v>0.98913043478260865</v>
      </c>
    </row>
    <row r="1205" spans="1:31" x14ac:dyDescent="0.3">
      <c r="A1205" s="187">
        <v>4</v>
      </c>
      <c r="B1205" s="242">
        <f t="shared" si="501"/>
        <v>45748</v>
      </c>
      <c r="C1205" s="243">
        <f t="shared" si="484"/>
        <v>45777</v>
      </c>
      <c r="D1205" s="120">
        <f t="shared" si="485"/>
        <v>30</v>
      </c>
      <c r="E1205" s="120">
        <f t="shared" si="486"/>
        <v>4</v>
      </c>
      <c r="F1205" s="275">
        <f t="shared" si="487"/>
        <v>45763</v>
      </c>
      <c r="G1205" s="120">
        <f t="shared" si="488"/>
        <v>24303</v>
      </c>
      <c r="H1205" s="245">
        <f t="shared" si="489"/>
        <v>1</v>
      </c>
      <c r="I1205" s="121">
        <f t="shared" si="490"/>
        <v>1</v>
      </c>
      <c r="J1205" s="121">
        <f t="shared" si="491"/>
        <v>1</v>
      </c>
      <c r="K1205" s="120">
        <f t="shared" si="492"/>
        <v>0</v>
      </c>
      <c r="L1205" s="120">
        <f t="shared" si="493"/>
        <v>0</v>
      </c>
      <c r="M1205" s="246">
        <f t="shared" si="494"/>
        <v>0</v>
      </c>
      <c r="N1205" s="121">
        <f t="shared" si="495"/>
        <v>1</v>
      </c>
      <c r="O1205" s="246">
        <f t="shared" si="496"/>
        <v>0.91</v>
      </c>
      <c r="P1205" s="121">
        <f t="shared" si="497"/>
        <v>0</v>
      </c>
      <c r="Q1205" s="121">
        <f t="shared" si="498"/>
        <v>0</v>
      </c>
      <c r="R1205" s="121">
        <f t="shared" si="499"/>
        <v>0</v>
      </c>
      <c r="AE1205" s="160">
        <f t="shared" si="500"/>
        <v>0.98913043478260865</v>
      </c>
    </row>
    <row r="1206" spans="1:31" x14ac:dyDescent="0.3">
      <c r="A1206" s="187">
        <v>5</v>
      </c>
      <c r="B1206" s="242">
        <f t="shared" si="501"/>
        <v>45778</v>
      </c>
      <c r="C1206" s="243">
        <f t="shared" si="484"/>
        <v>45808</v>
      </c>
      <c r="D1206" s="120">
        <f t="shared" si="485"/>
        <v>31</v>
      </c>
      <c r="E1206" s="120">
        <f t="shared" si="486"/>
        <v>5</v>
      </c>
      <c r="F1206" s="275">
        <f t="shared" si="487"/>
        <v>45793.5</v>
      </c>
      <c r="G1206" s="120">
        <f t="shared" si="488"/>
        <v>24304</v>
      </c>
      <c r="H1206" s="245">
        <f t="shared" si="489"/>
        <v>1</v>
      </c>
      <c r="I1206" s="121">
        <f t="shared" si="490"/>
        <v>1</v>
      </c>
      <c r="J1206" s="121">
        <f t="shared" si="491"/>
        <v>1</v>
      </c>
      <c r="K1206" s="120">
        <f t="shared" si="492"/>
        <v>0</v>
      </c>
      <c r="L1206" s="120">
        <f t="shared" si="493"/>
        <v>0</v>
      </c>
      <c r="M1206" s="246">
        <f t="shared" si="494"/>
        <v>0</v>
      </c>
      <c r="N1206" s="121">
        <f t="shared" si="495"/>
        <v>1</v>
      </c>
      <c r="O1206" s="246">
        <f t="shared" si="496"/>
        <v>0.91</v>
      </c>
      <c r="P1206" s="121">
        <f t="shared" si="497"/>
        <v>0</v>
      </c>
      <c r="Q1206" s="121">
        <f t="shared" si="498"/>
        <v>0</v>
      </c>
      <c r="R1206" s="121">
        <f t="shared" si="499"/>
        <v>0</v>
      </c>
      <c r="AE1206" s="160">
        <f t="shared" si="500"/>
        <v>0.98913043478260865</v>
      </c>
    </row>
    <row r="1207" spans="1:31" x14ac:dyDescent="0.3">
      <c r="A1207" s="187">
        <v>6</v>
      </c>
      <c r="B1207" s="242">
        <f t="shared" si="501"/>
        <v>45809</v>
      </c>
      <c r="C1207" s="243">
        <f t="shared" si="484"/>
        <v>45838</v>
      </c>
      <c r="D1207" s="120">
        <f t="shared" si="485"/>
        <v>30</v>
      </c>
      <c r="E1207" s="120">
        <f t="shared" si="486"/>
        <v>6</v>
      </c>
      <c r="F1207" s="275">
        <f t="shared" si="487"/>
        <v>45824</v>
      </c>
      <c r="G1207" s="120">
        <f t="shared" si="488"/>
        <v>24305</v>
      </c>
      <c r="H1207" s="245">
        <f t="shared" si="489"/>
        <v>1</v>
      </c>
      <c r="I1207" s="121">
        <f t="shared" si="490"/>
        <v>1</v>
      </c>
      <c r="J1207" s="121">
        <f t="shared" si="491"/>
        <v>1</v>
      </c>
      <c r="K1207" s="120">
        <f t="shared" si="492"/>
        <v>0</v>
      </c>
      <c r="L1207" s="120">
        <f t="shared" si="493"/>
        <v>0</v>
      </c>
      <c r="M1207" s="246">
        <f t="shared" si="494"/>
        <v>0</v>
      </c>
      <c r="N1207" s="121">
        <f t="shared" si="495"/>
        <v>1</v>
      </c>
      <c r="O1207" s="246">
        <f t="shared" si="496"/>
        <v>0.91</v>
      </c>
      <c r="P1207" s="121">
        <f t="shared" si="497"/>
        <v>0</v>
      </c>
      <c r="Q1207" s="121">
        <f t="shared" si="498"/>
        <v>0</v>
      </c>
      <c r="R1207" s="121">
        <f t="shared" si="499"/>
        <v>0</v>
      </c>
      <c r="AE1207" s="160">
        <f t="shared" si="500"/>
        <v>0.98913043478260865</v>
      </c>
    </row>
    <row r="1208" spans="1:31" x14ac:dyDescent="0.3">
      <c r="A1208" s="187">
        <v>7</v>
      </c>
      <c r="B1208" s="242">
        <f t="shared" si="501"/>
        <v>45839</v>
      </c>
      <c r="C1208" s="243">
        <f t="shared" si="484"/>
        <v>45869</v>
      </c>
      <c r="D1208" s="120">
        <f t="shared" si="485"/>
        <v>31</v>
      </c>
      <c r="E1208" s="120">
        <f t="shared" si="486"/>
        <v>7</v>
      </c>
      <c r="F1208" s="275">
        <f t="shared" si="487"/>
        <v>45854.5</v>
      </c>
      <c r="G1208" s="120">
        <f t="shared" si="488"/>
        <v>24306</v>
      </c>
      <c r="H1208" s="245">
        <f t="shared" si="489"/>
        <v>1</v>
      </c>
      <c r="I1208" s="121">
        <f t="shared" si="490"/>
        <v>1</v>
      </c>
      <c r="J1208" s="121">
        <f t="shared" si="491"/>
        <v>1</v>
      </c>
      <c r="K1208" s="120">
        <f t="shared" si="492"/>
        <v>0</v>
      </c>
      <c r="L1208" s="120">
        <f t="shared" si="493"/>
        <v>0</v>
      </c>
      <c r="M1208" s="246">
        <f t="shared" si="494"/>
        <v>0</v>
      </c>
      <c r="N1208" s="121">
        <f t="shared" si="495"/>
        <v>1</v>
      </c>
      <c r="O1208" s="246">
        <f t="shared" si="496"/>
        <v>0.91</v>
      </c>
      <c r="P1208" s="121">
        <f t="shared" si="497"/>
        <v>8.333333333333337E-2</v>
      </c>
      <c r="Q1208" s="121">
        <f t="shared" si="498"/>
        <v>0</v>
      </c>
      <c r="R1208" s="121">
        <f t="shared" si="499"/>
        <v>0</v>
      </c>
      <c r="AE1208" s="160">
        <f t="shared" si="500"/>
        <v>0.98913043478260865</v>
      </c>
    </row>
    <row r="1209" spans="1:31" x14ac:dyDescent="0.3">
      <c r="A1209" s="187">
        <v>8</v>
      </c>
      <c r="B1209" s="242">
        <f t="shared" si="501"/>
        <v>45870</v>
      </c>
      <c r="C1209" s="243">
        <f t="shared" si="484"/>
        <v>45900</v>
      </c>
      <c r="D1209" s="120">
        <f t="shared" si="485"/>
        <v>31</v>
      </c>
      <c r="E1209" s="120">
        <f t="shared" si="486"/>
        <v>8</v>
      </c>
      <c r="F1209" s="275">
        <f t="shared" si="487"/>
        <v>45885.5</v>
      </c>
      <c r="G1209" s="120">
        <f t="shared" si="488"/>
        <v>24307</v>
      </c>
      <c r="H1209" s="245">
        <f t="shared" si="489"/>
        <v>1</v>
      </c>
      <c r="I1209" s="121">
        <f t="shared" si="490"/>
        <v>1</v>
      </c>
      <c r="J1209" s="121">
        <f t="shared" si="491"/>
        <v>1</v>
      </c>
      <c r="K1209" s="120">
        <f t="shared" si="492"/>
        <v>0</v>
      </c>
      <c r="L1209" s="120">
        <f t="shared" si="493"/>
        <v>0</v>
      </c>
      <c r="M1209" s="246">
        <f t="shared" si="494"/>
        <v>0</v>
      </c>
      <c r="N1209" s="121">
        <f t="shared" si="495"/>
        <v>1</v>
      </c>
      <c r="O1209" s="246">
        <f t="shared" si="496"/>
        <v>0.91</v>
      </c>
      <c r="P1209" s="121">
        <f t="shared" si="497"/>
        <v>0.25</v>
      </c>
      <c r="Q1209" s="121">
        <f t="shared" si="498"/>
        <v>0</v>
      </c>
      <c r="R1209" s="121">
        <f t="shared" si="499"/>
        <v>0</v>
      </c>
      <c r="AE1209" s="160">
        <f t="shared" si="500"/>
        <v>0.98913043478260865</v>
      </c>
    </row>
    <row r="1210" spans="1:31" x14ac:dyDescent="0.3">
      <c r="A1210" s="187">
        <v>9</v>
      </c>
      <c r="B1210" s="242">
        <f t="shared" si="501"/>
        <v>45901</v>
      </c>
      <c r="C1210" s="243">
        <f t="shared" si="484"/>
        <v>45930</v>
      </c>
      <c r="D1210" s="120">
        <f t="shared" si="485"/>
        <v>30</v>
      </c>
      <c r="E1210" s="120">
        <f t="shared" si="486"/>
        <v>9</v>
      </c>
      <c r="F1210" s="275">
        <f t="shared" si="487"/>
        <v>45916</v>
      </c>
      <c r="G1210" s="120">
        <f t="shared" si="488"/>
        <v>24308</v>
      </c>
      <c r="H1210" s="245">
        <f t="shared" si="489"/>
        <v>1</v>
      </c>
      <c r="I1210" s="121">
        <f t="shared" si="490"/>
        <v>1</v>
      </c>
      <c r="J1210" s="121">
        <f t="shared" si="491"/>
        <v>1</v>
      </c>
      <c r="K1210" s="120">
        <f t="shared" si="492"/>
        <v>0</v>
      </c>
      <c r="L1210" s="120">
        <f t="shared" si="493"/>
        <v>0</v>
      </c>
      <c r="M1210" s="246">
        <f t="shared" si="494"/>
        <v>0</v>
      </c>
      <c r="N1210" s="121">
        <f t="shared" si="495"/>
        <v>1</v>
      </c>
      <c r="O1210" s="246">
        <f t="shared" si="496"/>
        <v>0.91</v>
      </c>
      <c r="P1210" s="121">
        <f t="shared" si="497"/>
        <v>0.41666666666666663</v>
      </c>
      <c r="Q1210" s="121">
        <f t="shared" si="498"/>
        <v>0</v>
      </c>
      <c r="R1210" s="121">
        <f t="shared" si="499"/>
        <v>0</v>
      </c>
      <c r="AE1210" s="160">
        <f t="shared" si="500"/>
        <v>0.98913043478260865</v>
      </c>
    </row>
    <row r="1211" spans="1:31" x14ac:dyDescent="0.3">
      <c r="A1211" s="187">
        <v>10</v>
      </c>
      <c r="B1211" s="242">
        <f t="shared" si="501"/>
        <v>45931</v>
      </c>
      <c r="C1211" s="243">
        <f t="shared" si="484"/>
        <v>45961</v>
      </c>
      <c r="D1211" s="120">
        <f t="shared" si="485"/>
        <v>31</v>
      </c>
      <c r="E1211" s="120">
        <f t="shared" si="486"/>
        <v>10</v>
      </c>
      <c r="F1211" s="275">
        <f t="shared" si="487"/>
        <v>45946.5</v>
      </c>
      <c r="G1211" s="120">
        <f t="shared" si="488"/>
        <v>24309</v>
      </c>
      <c r="H1211" s="245">
        <f t="shared" si="489"/>
        <v>1</v>
      </c>
      <c r="I1211" s="121">
        <f t="shared" si="490"/>
        <v>1</v>
      </c>
      <c r="J1211" s="121">
        <f t="shared" si="491"/>
        <v>1</v>
      </c>
      <c r="K1211" s="120">
        <f t="shared" si="492"/>
        <v>0</v>
      </c>
      <c r="L1211" s="120">
        <f t="shared" si="493"/>
        <v>0</v>
      </c>
      <c r="M1211" s="246">
        <f t="shared" si="494"/>
        <v>0</v>
      </c>
      <c r="N1211" s="121">
        <f t="shared" si="495"/>
        <v>1</v>
      </c>
      <c r="O1211" s="246">
        <f t="shared" si="496"/>
        <v>0.91</v>
      </c>
      <c r="P1211" s="121">
        <f t="shared" si="497"/>
        <v>0.58333333333333326</v>
      </c>
      <c r="Q1211" s="121">
        <f t="shared" si="498"/>
        <v>0</v>
      </c>
      <c r="R1211" s="121">
        <f t="shared" si="499"/>
        <v>0</v>
      </c>
      <c r="AE1211" s="160">
        <f t="shared" si="500"/>
        <v>0.98913043478260865</v>
      </c>
    </row>
    <row r="1212" spans="1:31" x14ac:dyDescent="0.3">
      <c r="A1212" s="187">
        <v>11</v>
      </c>
      <c r="B1212" s="242">
        <f t="shared" si="501"/>
        <v>45962</v>
      </c>
      <c r="C1212" s="243">
        <f t="shared" si="484"/>
        <v>45991</v>
      </c>
      <c r="D1212" s="120">
        <f t="shared" si="485"/>
        <v>30</v>
      </c>
      <c r="E1212" s="120">
        <f t="shared" si="486"/>
        <v>11</v>
      </c>
      <c r="F1212" s="275">
        <f t="shared" si="487"/>
        <v>45977</v>
      </c>
      <c r="G1212" s="120">
        <f t="shared" si="488"/>
        <v>24310</v>
      </c>
      <c r="H1212" s="245">
        <f t="shared" si="489"/>
        <v>1</v>
      </c>
      <c r="I1212" s="121">
        <f t="shared" si="490"/>
        <v>1</v>
      </c>
      <c r="J1212" s="121">
        <f t="shared" si="491"/>
        <v>1</v>
      </c>
      <c r="K1212" s="120">
        <f t="shared" si="492"/>
        <v>0</v>
      </c>
      <c r="L1212" s="120">
        <f t="shared" si="493"/>
        <v>0</v>
      </c>
      <c r="M1212" s="246">
        <f t="shared" si="494"/>
        <v>0</v>
      </c>
      <c r="N1212" s="121">
        <f t="shared" si="495"/>
        <v>1</v>
      </c>
      <c r="O1212" s="246">
        <f t="shared" si="496"/>
        <v>0.91</v>
      </c>
      <c r="P1212" s="121">
        <f t="shared" si="497"/>
        <v>0.75</v>
      </c>
      <c r="Q1212" s="121">
        <f t="shared" si="498"/>
        <v>0</v>
      </c>
      <c r="R1212" s="121">
        <f t="shared" si="499"/>
        <v>0</v>
      </c>
      <c r="AE1212" s="160">
        <f t="shared" si="500"/>
        <v>0.98913043478260865</v>
      </c>
    </row>
    <row r="1213" spans="1:31" x14ac:dyDescent="0.3">
      <c r="A1213" s="187">
        <v>12</v>
      </c>
      <c r="B1213" s="242">
        <f t="shared" si="501"/>
        <v>45992</v>
      </c>
      <c r="C1213" s="243">
        <f t="shared" si="484"/>
        <v>46022</v>
      </c>
      <c r="D1213" s="120">
        <f t="shared" si="485"/>
        <v>31</v>
      </c>
      <c r="E1213" s="120">
        <f t="shared" si="486"/>
        <v>12</v>
      </c>
      <c r="F1213" s="275">
        <f t="shared" si="487"/>
        <v>46007.5</v>
      </c>
      <c r="G1213" s="120">
        <f t="shared" si="488"/>
        <v>24311</v>
      </c>
      <c r="H1213" s="245">
        <f t="shared" si="489"/>
        <v>1</v>
      </c>
      <c r="I1213" s="121">
        <f t="shared" si="490"/>
        <v>1</v>
      </c>
      <c r="J1213" s="121">
        <f t="shared" si="491"/>
        <v>1</v>
      </c>
      <c r="K1213" s="120">
        <f t="shared" si="492"/>
        <v>0</v>
      </c>
      <c r="L1213" s="120">
        <f t="shared" si="493"/>
        <v>0</v>
      </c>
      <c r="M1213" s="246">
        <f t="shared" si="494"/>
        <v>0</v>
      </c>
      <c r="N1213" s="121">
        <f t="shared" si="495"/>
        <v>1</v>
      </c>
      <c r="O1213" s="246">
        <f t="shared" si="496"/>
        <v>0.91</v>
      </c>
      <c r="P1213" s="121">
        <f t="shared" si="497"/>
        <v>0.91666666666666663</v>
      </c>
      <c r="Q1213" s="121">
        <f t="shared" si="498"/>
        <v>0</v>
      </c>
      <c r="R1213" s="121">
        <f t="shared" si="499"/>
        <v>0</v>
      </c>
      <c r="AE1213" s="160">
        <f t="shared" si="500"/>
        <v>0.98913043478260865</v>
      </c>
    </row>
    <row r="1214" spans="1:31" x14ac:dyDescent="0.3">
      <c r="A1214" s="187">
        <v>13</v>
      </c>
      <c r="B1214" s="242">
        <f t="shared" si="501"/>
        <v>46023</v>
      </c>
      <c r="C1214" s="243">
        <f t="shared" si="484"/>
        <v>46053</v>
      </c>
      <c r="D1214" s="120">
        <f t="shared" si="485"/>
        <v>31</v>
      </c>
      <c r="E1214" s="120">
        <f t="shared" si="486"/>
        <v>1</v>
      </c>
      <c r="F1214" s="275">
        <f t="shared" si="487"/>
        <v>46038.5</v>
      </c>
      <c r="G1214" s="120">
        <f t="shared" si="488"/>
        <v>24312</v>
      </c>
      <c r="H1214" s="245">
        <f t="shared" si="489"/>
        <v>1</v>
      </c>
      <c r="I1214" s="121">
        <f t="shared" si="490"/>
        <v>1</v>
      </c>
      <c r="J1214" s="121">
        <f t="shared" si="491"/>
        <v>1</v>
      </c>
      <c r="K1214" s="120">
        <f t="shared" si="492"/>
        <v>0</v>
      </c>
      <c r="L1214" s="120">
        <f t="shared" si="493"/>
        <v>0</v>
      </c>
      <c r="M1214" s="246">
        <f t="shared" si="494"/>
        <v>0</v>
      </c>
      <c r="N1214" s="121">
        <f t="shared" si="495"/>
        <v>1</v>
      </c>
      <c r="O1214" s="246">
        <f t="shared" si="496"/>
        <v>0.91</v>
      </c>
      <c r="P1214" s="121">
        <f t="shared" si="497"/>
        <v>1</v>
      </c>
      <c r="Q1214" s="121">
        <f t="shared" si="498"/>
        <v>0</v>
      </c>
      <c r="R1214" s="121">
        <f t="shared" si="499"/>
        <v>0</v>
      </c>
      <c r="AE1214" s="160">
        <f t="shared" si="500"/>
        <v>0.98913043478260865</v>
      </c>
    </row>
    <row r="1215" spans="1:31" x14ac:dyDescent="0.3">
      <c r="A1215" s="187">
        <v>14</v>
      </c>
      <c r="B1215" s="242">
        <f t="shared" si="501"/>
        <v>46054</v>
      </c>
      <c r="C1215" s="243">
        <f t="shared" si="484"/>
        <v>46081</v>
      </c>
      <c r="D1215" s="120">
        <f t="shared" si="485"/>
        <v>28</v>
      </c>
      <c r="E1215" s="120">
        <f t="shared" si="486"/>
        <v>2</v>
      </c>
      <c r="F1215" s="275">
        <f t="shared" si="487"/>
        <v>46068</v>
      </c>
      <c r="G1215" s="120">
        <f t="shared" si="488"/>
        <v>24313</v>
      </c>
      <c r="H1215" s="245">
        <f t="shared" si="489"/>
        <v>1</v>
      </c>
      <c r="I1215" s="121">
        <f t="shared" si="490"/>
        <v>1</v>
      </c>
      <c r="J1215" s="121">
        <f t="shared" si="491"/>
        <v>1</v>
      </c>
      <c r="K1215" s="120">
        <f t="shared" si="492"/>
        <v>0</v>
      </c>
      <c r="L1215" s="120">
        <f t="shared" si="493"/>
        <v>0</v>
      </c>
      <c r="M1215" s="246">
        <f t="shared" si="494"/>
        <v>0</v>
      </c>
      <c r="N1215" s="121">
        <f t="shared" si="495"/>
        <v>1</v>
      </c>
      <c r="O1215" s="246">
        <f t="shared" si="496"/>
        <v>0.91</v>
      </c>
      <c r="P1215" s="121">
        <f t="shared" si="497"/>
        <v>1</v>
      </c>
      <c r="Q1215" s="121">
        <f t="shared" si="498"/>
        <v>0</v>
      </c>
      <c r="R1215" s="121">
        <f t="shared" si="499"/>
        <v>0</v>
      </c>
      <c r="AE1215" s="160">
        <f t="shared" si="500"/>
        <v>0.98913043478260865</v>
      </c>
    </row>
    <row r="1216" spans="1:31" x14ac:dyDescent="0.3">
      <c r="A1216" s="187">
        <v>15</v>
      </c>
      <c r="B1216" s="242">
        <f t="shared" si="501"/>
        <v>46082</v>
      </c>
      <c r="C1216" s="243">
        <f t="shared" si="484"/>
        <v>46112</v>
      </c>
      <c r="D1216" s="120">
        <f t="shared" si="485"/>
        <v>31</v>
      </c>
      <c r="E1216" s="120">
        <f t="shared" si="486"/>
        <v>3</v>
      </c>
      <c r="F1216" s="275">
        <f t="shared" si="487"/>
        <v>46097.5</v>
      </c>
      <c r="G1216" s="120">
        <f t="shared" si="488"/>
        <v>24314</v>
      </c>
      <c r="H1216" s="245">
        <f t="shared" si="489"/>
        <v>1</v>
      </c>
      <c r="I1216" s="121">
        <f t="shared" si="490"/>
        <v>1</v>
      </c>
      <c r="J1216" s="121">
        <f t="shared" si="491"/>
        <v>1</v>
      </c>
      <c r="K1216" s="120">
        <f t="shared" si="492"/>
        <v>0</v>
      </c>
      <c r="L1216" s="120">
        <f t="shared" si="493"/>
        <v>0</v>
      </c>
      <c r="M1216" s="246">
        <f t="shared" si="494"/>
        <v>0</v>
      </c>
      <c r="N1216" s="121">
        <f t="shared" si="495"/>
        <v>1</v>
      </c>
      <c r="O1216" s="246">
        <f t="shared" si="496"/>
        <v>0.91</v>
      </c>
      <c r="P1216" s="121">
        <f t="shared" si="497"/>
        <v>1</v>
      </c>
      <c r="Q1216" s="121">
        <f t="shared" si="498"/>
        <v>0</v>
      </c>
      <c r="R1216" s="121">
        <f t="shared" si="499"/>
        <v>0</v>
      </c>
      <c r="AE1216" s="160">
        <f t="shared" si="500"/>
        <v>0.98913043478260865</v>
      </c>
    </row>
    <row r="1217" spans="1:35" x14ac:dyDescent="0.3">
      <c r="A1217" s="187">
        <v>16</v>
      </c>
      <c r="B1217" s="242">
        <f t="shared" si="501"/>
        <v>46113</v>
      </c>
      <c r="C1217" s="243">
        <f t="shared" si="484"/>
        <v>46142</v>
      </c>
      <c r="D1217" s="120">
        <f t="shared" si="485"/>
        <v>30</v>
      </c>
      <c r="E1217" s="120">
        <f t="shared" si="486"/>
        <v>4</v>
      </c>
      <c r="F1217" s="275">
        <f t="shared" si="487"/>
        <v>46128</v>
      </c>
      <c r="G1217" s="120">
        <f t="shared" si="488"/>
        <v>24315</v>
      </c>
      <c r="H1217" s="245">
        <f t="shared" si="489"/>
        <v>1</v>
      </c>
      <c r="I1217" s="121">
        <f t="shared" si="490"/>
        <v>1</v>
      </c>
      <c r="J1217" s="121">
        <f t="shared" si="491"/>
        <v>1</v>
      </c>
      <c r="K1217" s="120">
        <f t="shared" si="492"/>
        <v>0</v>
      </c>
      <c r="L1217" s="120">
        <f t="shared" si="493"/>
        <v>0</v>
      </c>
      <c r="M1217" s="246">
        <f t="shared" si="494"/>
        <v>0</v>
      </c>
      <c r="N1217" s="121">
        <f t="shared" si="495"/>
        <v>1</v>
      </c>
      <c r="O1217" s="246">
        <f t="shared" si="496"/>
        <v>0.91</v>
      </c>
      <c r="P1217" s="121">
        <f t="shared" si="497"/>
        <v>1</v>
      </c>
      <c r="Q1217" s="121">
        <f t="shared" si="498"/>
        <v>0</v>
      </c>
      <c r="R1217" s="121">
        <f t="shared" si="499"/>
        <v>0</v>
      </c>
      <c r="AE1217" s="160">
        <f t="shared" si="500"/>
        <v>0.98913043478260865</v>
      </c>
    </row>
    <row r="1218" spans="1:35" x14ac:dyDescent="0.3">
      <c r="A1218" s="187">
        <v>17</v>
      </c>
      <c r="B1218" s="242">
        <f t="shared" si="501"/>
        <v>46143</v>
      </c>
      <c r="C1218" s="243">
        <f t="shared" si="484"/>
        <v>46173</v>
      </c>
      <c r="D1218" s="120">
        <f t="shared" si="485"/>
        <v>31</v>
      </c>
      <c r="E1218" s="120">
        <f t="shared" si="486"/>
        <v>5</v>
      </c>
      <c r="F1218" s="275">
        <f t="shared" si="487"/>
        <v>46158.5</v>
      </c>
      <c r="G1218" s="120">
        <f t="shared" si="488"/>
        <v>24316</v>
      </c>
      <c r="H1218" s="245">
        <f t="shared" si="489"/>
        <v>1</v>
      </c>
      <c r="I1218" s="121">
        <f t="shared" si="490"/>
        <v>1</v>
      </c>
      <c r="J1218" s="121">
        <f t="shared" si="491"/>
        <v>1</v>
      </c>
      <c r="K1218" s="120">
        <f t="shared" si="492"/>
        <v>0</v>
      </c>
      <c r="L1218" s="120">
        <f t="shared" si="493"/>
        <v>0</v>
      </c>
      <c r="M1218" s="246">
        <f t="shared" si="494"/>
        <v>0</v>
      </c>
      <c r="N1218" s="121">
        <f t="shared" si="495"/>
        <v>1</v>
      </c>
      <c r="O1218" s="246">
        <f t="shared" si="496"/>
        <v>0.91</v>
      </c>
      <c r="P1218" s="121">
        <f t="shared" si="497"/>
        <v>1</v>
      </c>
      <c r="Q1218" s="121">
        <f t="shared" si="498"/>
        <v>0</v>
      </c>
      <c r="R1218" s="121">
        <f t="shared" si="499"/>
        <v>0</v>
      </c>
      <c r="AE1218" s="160">
        <f t="shared" si="500"/>
        <v>0.98913043478260865</v>
      </c>
    </row>
    <row r="1219" spans="1:35" x14ac:dyDescent="0.3">
      <c r="A1219" s="187">
        <v>18</v>
      </c>
      <c r="B1219" s="242">
        <f t="shared" si="501"/>
        <v>46174</v>
      </c>
      <c r="C1219" s="243">
        <f t="shared" si="484"/>
        <v>46203</v>
      </c>
      <c r="D1219" s="120">
        <f t="shared" si="485"/>
        <v>30</v>
      </c>
      <c r="E1219" s="120">
        <f t="shared" si="486"/>
        <v>6</v>
      </c>
      <c r="F1219" s="275">
        <f t="shared" si="487"/>
        <v>46189</v>
      </c>
      <c r="G1219" s="120">
        <f t="shared" si="488"/>
        <v>24317</v>
      </c>
      <c r="H1219" s="245">
        <f t="shared" si="489"/>
        <v>1</v>
      </c>
      <c r="I1219" s="121">
        <f t="shared" si="490"/>
        <v>1</v>
      </c>
      <c r="J1219" s="121">
        <f t="shared" si="491"/>
        <v>1</v>
      </c>
      <c r="K1219" s="120">
        <f t="shared" si="492"/>
        <v>0</v>
      </c>
      <c r="L1219" s="120">
        <f t="shared" si="493"/>
        <v>0</v>
      </c>
      <c r="M1219" s="246">
        <f t="shared" si="494"/>
        <v>0</v>
      </c>
      <c r="N1219" s="121">
        <f t="shared" si="495"/>
        <v>1</v>
      </c>
      <c r="O1219" s="246">
        <f t="shared" si="496"/>
        <v>0.91</v>
      </c>
      <c r="P1219" s="121">
        <f t="shared" si="497"/>
        <v>1</v>
      </c>
      <c r="Q1219" s="121">
        <f t="shared" si="498"/>
        <v>0</v>
      </c>
      <c r="R1219" s="121">
        <f t="shared" si="499"/>
        <v>0</v>
      </c>
      <c r="AE1219" s="160">
        <f t="shared" si="500"/>
        <v>0.98913043478260865</v>
      </c>
    </row>
    <row r="1220" spans="1:35" x14ac:dyDescent="0.3">
      <c r="A1220" s="187">
        <v>19</v>
      </c>
      <c r="B1220" s="242">
        <f t="shared" si="501"/>
        <v>46204</v>
      </c>
      <c r="C1220" s="243">
        <f t="shared" si="484"/>
        <v>46234</v>
      </c>
      <c r="D1220" s="120">
        <f t="shared" si="485"/>
        <v>31</v>
      </c>
      <c r="E1220" s="120">
        <f t="shared" si="486"/>
        <v>7</v>
      </c>
      <c r="F1220" s="275">
        <f t="shared" si="487"/>
        <v>46219.5</v>
      </c>
      <c r="G1220" s="120">
        <f t="shared" si="488"/>
        <v>24318</v>
      </c>
      <c r="H1220" s="245">
        <f t="shared" si="489"/>
        <v>1</v>
      </c>
      <c r="I1220" s="121">
        <f t="shared" si="490"/>
        <v>1</v>
      </c>
      <c r="J1220" s="121">
        <f t="shared" si="491"/>
        <v>1</v>
      </c>
      <c r="K1220" s="120">
        <f t="shared" si="492"/>
        <v>0</v>
      </c>
      <c r="L1220" s="120">
        <f t="shared" si="493"/>
        <v>0</v>
      </c>
      <c r="M1220" s="246">
        <f t="shared" si="494"/>
        <v>0</v>
      </c>
      <c r="N1220" s="121">
        <f t="shared" si="495"/>
        <v>1</v>
      </c>
      <c r="O1220" s="246">
        <f t="shared" si="496"/>
        <v>0.91</v>
      </c>
      <c r="P1220" s="121">
        <f t="shared" si="497"/>
        <v>0.91666666666666663</v>
      </c>
      <c r="Q1220" s="121">
        <f t="shared" si="498"/>
        <v>8.333333333333337E-2</v>
      </c>
      <c r="R1220" s="121">
        <f t="shared" si="499"/>
        <v>0</v>
      </c>
      <c r="AE1220" s="160">
        <f t="shared" si="500"/>
        <v>0.98913043478260865</v>
      </c>
    </row>
    <row r="1221" spans="1:35" x14ac:dyDescent="0.3">
      <c r="A1221" s="187">
        <v>20</v>
      </c>
      <c r="B1221" s="242">
        <f t="shared" si="501"/>
        <v>46235</v>
      </c>
      <c r="C1221" s="243">
        <f t="shared" si="484"/>
        <v>46265</v>
      </c>
      <c r="D1221" s="120">
        <f t="shared" si="485"/>
        <v>31</v>
      </c>
      <c r="E1221" s="120">
        <f t="shared" si="486"/>
        <v>8</v>
      </c>
      <c r="F1221" s="275">
        <f t="shared" si="487"/>
        <v>46250.5</v>
      </c>
      <c r="G1221" s="120">
        <f t="shared" si="488"/>
        <v>24319</v>
      </c>
      <c r="H1221" s="245">
        <f t="shared" si="489"/>
        <v>1</v>
      </c>
      <c r="I1221" s="121">
        <f t="shared" si="490"/>
        <v>1</v>
      </c>
      <c r="J1221" s="121">
        <f t="shared" si="491"/>
        <v>1</v>
      </c>
      <c r="K1221" s="120">
        <f t="shared" si="492"/>
        <v>0</v>
      </c>
      <c r="L1221" s="120">
        <f t="shared" si="493"/>
        <v>0</v>
      </c>
      <c r="M1221" s="246">
        <f t="shared" si="494"/>
        <v>0</v>
      </c>
      <c r="N1221" s="121">
        <f t="shared" si="495"/>
        <v>1</v>
      </c>
      <c r="O1221" s="246">
        <f t="shared" si="496"/>
        <v>0.91</v>
      </c>
      <c r="P1221" s="121">
        <f t="shared" si="497"/>
        <v>0.75</v>
      </c>
      <c r="Q1221" s="121">
        <f t="shared" si="498"/>
        <v>0.25</v>
      </c>
      <c r="R1221" s="121">
        <f t="shared" si="499"/>
        <v>0</v>
      </c>
      <c r="AE1221" s="160">
        <f t="shared" si="500"/>
        <v>0.98913043478260865</v>
      </c>
    </row>
    <row r="1222" spans="1:35" x14ac:dyDescent="0.3">
      <c r="A1222" s="187">
        <v>21</v>
      </c>
      <c r="B1222" s="242">
        <f t="shared" si="501"/>
        <v>46266</v>
      </c>
      <c r="C1222" s="243">
        <f t="shared" si="484"/>
        <v>46295</v>
      </c>
      <c r="D1222" s="120">
        <f t="shared" si="485"/>
        <v>30</v>
      </c>
      <c r="E1222" s="120">
        <f t="shared" si="486"/>
        <v>9</v>
      </c>
      <c r="F1222" s="275">
        <f t="shared" si="487"/>
        <v>46281</v>
      </c>
      <c r="G1222" s="120">
        <f t="shared" si="488"/>
        <v>24320</v>
      </c>
      <c r="H1222" s="245">
        <f t="shared" si="489"/>
        <v>1</v>
      </c>
      <c r="I1222" s="121">
        <f t="shared" si="490"/>
        <v>1</v>
      </c>
      <c r="J1222" s="121">
        <f t="shared" si="491"/>
        <v>1</v>
      </c>
      <c r="K1222" s="120">
        <f t="shared" si="492"/>
        <v>0</v>
      </c>
      <c r="L1222" s="120">
        <f t="shared" si="493"/>
        <v>0</v>
      </c>
      <c r="M1222" s="246">
        <f t="shared" si="494"/>
        <v>0</v>
      </c>
      <c r="N1222" s="121">
        <f t="shared" si="495"/>
        <v>1</v>
      </c>
      <c r="O1222" s="246">
        <f t="shared" si="496"/>
        <v>0.91</v>
      </c>
      <c r="P1222" s="121">
        <f t="shared" si="497"/>
        <v>0.58333333333333337</v>
      </c>
      <c r="Q1222" s="121">
        <f t="shared" si="498"/>
        <v>0.41666666666666663</v>
      </c>
      <c r="R1222" s="121">
        <f t="shared" si="499"/>
        <v>0</v>
      </c>
      <c r="AE1222" s="160">
        <f t="shared" si="500"/>
        <v>0.98913043478260865</v>
      </c>
    </row>
    <row r="1223" spans="1:35" x14ac:dyDescent="0.3">
      <c r="A1223" s="187">
        <v>22</v>
      </c>
      <c r="B1223" s="242">
        <f t="shared" si="501"/>
        <v>46296</v>
      </c>
      <c r="C1223" s="243">
        <f t="shared" si="484"/>
        <v>46326</v>
      </c>
      <c r="D1223" s="120">
        <f t="shared" si="485"/>
        <v>31</v>
      </c>
      <c r="E1223" s="120">
        <f t="shared" si="486"/>
        <v>10</v>
      </c>
      <c r="F1223" s="275">
        <f t="shared" si="487"/>
        <v>46311.5</v>
      </c>
      <c r="G1223" s="120">
        <f t="shared" si="488"/>
        <v>24321</v>
      </c>
      <c r="H1223" s="245">
        <f t="shared" si="489"/>
        <v>1</v>
      </c>
      <c r="I1223" s="121">
        <f t="shared" si="490"/>
        <v>1</v>
      </c>
      <c r="J1223" s="121">
        <f t="shared" si="491"/>
        <v>1</v>
      </c>
      <c r="K1223" s="120">
        <f t="shared" si="492"/>
        <v>0</v>
      </c>
      <c r="L1223" s="120">
        <f t="shared" si="493"/>
        <v>0</v>
      </c>
      <c r="M1223" s="246">
        <f t="shared" si="494"/>
        <v>0</v>
      </c>
      <c r="N1223" s="121">
        <f t="shared" si="495"/>
        <v>1</v>
      </c>
      <c r="O1223" s="246">
        <f t="shared" si="496"/>
        <v>0.91</v>
      </c>
      <c r="P1223" s="121">
        <f t="shared" si="497"/>
        <v>0.41666666666666669</v>
      </c>
      <c r="Q1223" s="121">
        <f t="shared" si="498"/>
        <v>0.58333333333333326</v>
      </c>
      <c r="R1223" s="121">
        <f t="shared" si="499"/>
        <v>0</v>
      </c>
      <c r="AE1223" s="160">
        <f t="shared" si="500"/>
        <v>0.98913043478260865</v>
      </c>
    </row>
    <row r="1224" spans="1:35" x14ac:dyDescent="0.3">
      <c r="A1224" s="187">
        <v>23</v>
      </c>
      <c r="B1224" s="242">
        <f t="shared" si="501"/>
        <v>46327</v>
      </c>
      <c r="C1224" s="243">
        <f t="shared" si="484"/>
        <v>46356</v>
      </c>
      <c r="D1224" s="120">
        <f t="shared" si="485"/>
        <v>30</v>
      </c>
      <c r="E1224" s="120">
        <f t="shared" si="486"/>
        <v>11</v>
      </c>
      <c r="F1224" s="275">
        <f t="shared" si="487"/>
        <v>46342</v>
      </c>
      <c r="G1224" s="120">
        <f t="shared" si="488"/>
        <v>24322</v>
      </c>
      <c r="H1224" s="245">
        <f t="shared" si="489"/>
        <v>1</v>
      </c>
      <c r="I1224" s="121">
        <f t="shared" si="490"/>
        <v>1</v>
      </c>
      <c r="J1224" s="121">
        <f t="shared" si="491"/>
        <v>1</v>
      </c>
      <c r="K1224" s="120">
        <f t="shared" si="492"/>
        <v>0</v>
      </c>
      <c r="L1224" s="120">
        <f t="shared" si="493"/>
        <v>0</v>
      </c>
      <c r="M1224" s="246">
        <f t="shared" si="494"/>
        <v>0</v>
      </c>
      <c r="N1224" s="121">
        <f t="shared" si="495"/>
        <v>1</v>
      </c>
      <c r="O1224" s="246">
        <f t="shared" si="496"/>
        <v>0.91</v>
      </c>
      <c r="P1224" s="121">
        <f t="shared" si="497"/>
        <v>0.25</v>
      </c>
      <c r="Q1224" s="121">
        <f t="shared" si="498"/>
        <v>0.75</v>
      </c>
      <c r="R1224" s="121">
        <f t="shared" si="499"/>
        <v>0</v>
      </c>
      <c r="AE1224" s="160">
        <f t="shared" si="500"/>
        <v>0.98913043478260865</v>
      </c>
    </row>
    <row r="1225" spans="1:35" x14ac:dyDescent="0.3">
      <c r="A1225" s="187">
        <v>24</v>
      </c>
      <c r="B1225" s="242">
        <f t="shared" si="501"/>
        <v>46357</v>
      </c>
      <c r="C1225" s="243">
        <f t="shared" si="484"/>
        <v>46387</v>
      </c>
      <c r="D1225" s="120">
        <f t="shared" si="485"/>
        <v>31</v>
      </c>
      <c r="E1225" s="120">
        <f t="shared" si="486"/>
        <v>12</v>
      </c>
      <c r="F1225" s="275">
        <f t="shared" si="487"/>
        <v>46372.5</v>
      </c>
      <c r="G1225" s="120">
        <f t="shared" si="488"/>
        <v>24323</v>
      </c>
      <c r="H1225" s="245">
        <f t="shared" si="489"/>
        <v>1</v>
      </c>
      <c r="I1225" s="121">
        <f t="shared" si="490"/>
        <v>1</v>
      </c>
      <c r="J1225" s="121">
        <f t="shared" si="491"/>
        <v>1</v>
      </c>
      <c r="K1225" s="120">
        <f t="shared" si="492"/>
        <v>0</v>
      </c>
      <c r="L1225" s="120">
        <f t="shared" si="493"/>
        <v>0</v>
      </c>
      <c r="M1225" s="246">
        <f t="shared" si="494"/>
        <v>0</v>
      </c>
      <c r="N1225" s="121">
        <f t="shared" si="495"/>
        <v>1</v>
      </c>
      <c r="O1225" s="246">
        <f t="shared" si="496"/>
        <v>0.91</v>
      </c>
      <c r="P1225" s="121">
        <f t="shared" si="497"/>
        <v>8.3333333333333329E-2</v>
      </c>
      <c r="Q1225" s="121">
        <f t="shared" si="498"/>
        <v>0.91666666666666663</v>
      </c>
      <c r="R1225" s="121">
        <f t="shared" si="499"/>
        <v>0</v>
      </c>
      <c r="AE1225" s="160">
        <f t="shared" si="500"/>
        <v>0.98913043478260865</v>
      </c>
    </row>
    <row r="1226" spans="1:35" x14ac:dyDescent="0.3">
      <c r="A1226" s="187">
        <v>25</v>
      </c>
      <c r="B1226" s="242">
        <f t="shared" si="501"/>
        <v>46388</v>
      </c>
      <c r="C1226" s="243">
        <f t="shared" si="484"/>
        <v>46418</v>
      </c>
      <c r="D1226" s="120">
        <f t="shared" si="485"/>
        <v>31</v>
      </c>
      <c r="E1226" s="120">
        <f t="shared" si="486"/>
        <v>1</v>
      </c>
      <c r="F1226" s="275">
        <f t="shared" si="487"/>
        <v>46403.5</v>
      </c>
      <c r="G1226" s="120">
        <f t="shared" si="488"/>
        <v>24324</v>
      </c>
      <c r="H1226" s="245">
        <f t="shared" si="489"/>
        <v>1</v>
      </c>
      <c r="I1226" s="121">
        <f t="shared" si="490"/>
        <v>1</v>
      </c>
      <c r="J1226" s="121">
        <f t="shared" si="491"/>
        <v>1</v>
      </c>
      <c r="K1226" s="120">
        <f t="shared" si="492"/>
        <v>0</v>
      </c>
      <c r="L1226" s="120">
        <f t="shared" si="493"/>
        <v>0</v>
      </c>
      <c r="M1226" s="246">
        <f t="shared" si="494"/>
        <v>0</v>
      </c>
      <c r="N1226" s="121">
        <f t="shared" si="495"/>
        <v>1</v>
      </c>
      <c r="O1226" s="246">
        <f t="shared" si="496"/>
        <v>0.91</v>
      </c>
      <c r="P1226" s="121">
        <f t="shared" si="497"/>
        <v>0</v>
      </c>
      <c r="Q1226" s="121">
        <f t="shared" si="498"/>
        <v>1</v>
      </c>
      <c r="R1226" s="121">
        <f t="shared" si="499"/>
        <v>0</v>
      </c>
      <c r="W1226" s="160">
        <f t="shared" ref="W1226:W1237" si="502">IF($G1226&lt;&gt;$Q$1199,$N1226,(1-$U$1199)*$I1226+$U$1199*$J1226)</f>
        <v>1</v>
      </c>
      <c r="X1226" s="160">
        <f t="shared" ref="X1226:X1237" si="503">IF($G1226&lt;$Q$1199,0,IF($G1226&gt;$Q$1199,$N1226,$U$1199*$J1226))</f>
        <v>0</v>
      </c>
      <c r="Y1226" s="160">
        <f t="shared" ref="Y1226:Y1237" si="504">IF($F$1199=1,$O1226/$O1214,1)</f>
        <v>1</v>
      </c>
      <c r="AB1226" s="160">
        <f t="shared" ref="AB1226:AB1237" si="505">IF(AND(N($K$1199)&lt;&gt;0,$F1226&lt;=$B$1200),0,($F1226-$B$1200)/($C$1200-$B$1200))</f>
        <v>0.23522975929978118</v>
      </c>
      <c r="AC1226" s="220">
        <f t="shared" ref="AC1226:AC1237" si="506">IF(AND(N($K$1199)&lt;&gt;0,$F1226&lt;=$B$1200),$O1226,$F$1200*(1-$AB1226))</f>
        <v>0.69594091903719912</v>
      </c>
      <c r="AD1226" s="160">
        <f t="shared" ref="AD1226:AD1237" si="507">$H1226*($W1226+$X1226*IF(ISNUMBER($F$1250),$F$1250,0))/($N1214*$O1214)</f>
        <v>1.0989010989010988</v>
      </c>
      <c r="AE1226" s="160">
        <f t="shared" si="500"/>
        <v>0.98913043478260865</v>
      </c>
      <c r="AF1226" s="220">
        <f t="shared" ref="AF1226:AF1237" si="508">IF($G1226&lt;$Q$1199,0,IF($G1226&gt;$Q$1199,1,$U$1199))</f>
        <v>0</v>
      </c>
      <c r="AG1226" s="183" t="str">
        <f t="shared" ref="AG1226:AG1237" si="509">IF(OR($D$1199=0,$P$1199=0),"",($W1226+$X1226*IF(ISNUMBER($F$1250),$F$1250,0))/$N1214-1)</f>
        <v/>
      </c>
      <c r="AH1226" s="183" t="str">
        <f t="shared" ref="AH1226:AH1237" si="510">IF(OR($AG1226="",$F$1199=0),"",(1+$E$1199)/(1+$AG1226)-1)</f>
        <v/>
      </c>
      <c r="AI1226" s="220" t="str">
        <f t="shared" ref="AI1226:AI1237" si="511">IF($AH1226="","",$O1214*(1+$E$1199)/(1+$AG1226))</f>
        <v/>
      </c>
    </row>
    <row r="1227" spans="1:35" x14ac:dyDescent="0.3">
      <c r="A1227" s="187">
        <v>26</v>
      </c>
      <c r="B1227" s="242">
        <f t="shared" si="501"/>
        <v>46419</v>
      </c>
      <c r="C1227" s="243">
        <f t="shared" si="484"/>
        <v>46446</v>
      </c>
      <c r="D1227" s="120">
        <f t="shared" si="485"/>
        <v>28</v>
      </c>
      <c r="E1227" s="120">
        <f t="shared" si="486"/>
        <v>2</v>
      </c>
      <c r="F1227" s="275">
        <f t="shared" si="487"/>
        <v>46433</v>
      </c>
      <c r="G1227" s="120">
        <f t="shared" si="488"/>
        <v>24325</v>
      </c>
      <c r="H1227" s="245">
        <f t="shared" si="489"/>
        <v>1</v>
      </c>
      <c r="I1227" s="121">
        <f t="shared" si="490"/>
        <v>1</v>
      </c>
      <c r="J1227" s="121">
        <f t="shared" si="491"/>
        <v>1</v>
      </c>
      <c r="K1227" s="120">
        <f t="shared" si="492"/>
        <v>0</v>
      </c>
      <c r="L1227" s="120">
        <f t="shared" si="493"/>
        <v>0</v>
      </c>
      <c r="M1227" s="246">
        <f t="shared" si="494"/>
        <v>0</v>
      </c>
      <c r="N1227" s="121">
        <f t="shared" si="495"/>
        <v>1</v>
      </c>
      <c r="O1227" s="246">
        <f t="shared" si="496"/>
        <v>0.91</v>
      </c>
      <c r="P1227" s="121">
        <f t="shared" si="497"/>
        <v>0</v>
      </c>
      <c r="Q1227" s="121">
        <f t="shared" si="498"/>
        <v>1</v>
      </c>
      <c r="R1227" s="121">
        <f t="shared" si="499"/>
        <v>0</v>
      </c>
      <c r="W1227" s="160">
        <f t="shared" si="502"/>
        <v>1</v>
      </c>
      <c r="X1227" s="160">
        <f t="shared" si="503"/>
        <v>0</v>
      </c>
      <c r="Y1227" s="160">
        <f t="shared" si="504"/>
        <v>1</v>
      </c>
      <c r="AB1227" s="160">
        <f t="shared" si="505"/>
        <v>0.29978118161925604</v>
      </c>
      <c r="AC1227" s="220">
        <f t="shared" si="506"/>
        <v>0.637199124726477</v>
      </c>
      <c r="AD1227" s="160">
        <f t="shared" si="507"/>
        <v>1.0989010989010988</v>
      </c>
      <c r="AE1227" s="160">
        <f t="shared" si="500"/>
        <v>0.98913043478260865</v>
      </c>
      <c r="AF1227" s="220">
        <f t="shared" si="508"/>
        <v>0</v>
      </c>
      <c r="AG1227" s="183" t="str">
        <f t="shared" si="509"/>
        <v/>
      </c>
      <c r="AH1227" s="183" t="str">
        <f t="shared" si="510"/>
        <v/>
      </c>
      <c r="AI1227" s="220" t="str">
        <f t="shared" si="511"/>
        <v/>
      </c>
    </row>
    <row r="1228" spans="1:35" x14ac:dyDescent="0.3">
      <c r="A1228" s="187">
        <v>27</v>
      </c>
      <c r="B1228" s="242">
        <f t="shared" si="501"/>
        <v>46447</v>
      </c>
      <c r="C1228" s="243">
        <f t="shared" si="484"/>
        <v>46477</v>
      </c>
      <c r="D1228" s="120">
        <f t="shared" si="485"/>
        <v>31</v>
      </c>
      <c r="E1228" s="120">
        <f t="shared" si="486"/>
        <v>3</v>
      </c>
      <c r="F1228" s="275">
        <f t="shared" si="487"/>
        <v>46462.5</v>
      </c>
      <c r="G1228" s="120">
        <f t="shared" si="488"/>
        <v>24326</v>
      </c>
      <c r="H1228" s="245">
        <f t="shared" si="489"/>
        <v>1</v>
      </c>
      <c r="I1228" s="121">
        <f t="shared" si="490"/>
        <v>1</v>
      </c>
      <c r="J1228" s="121">
        <f t="shared" si="491"/>
        <v>1</v>
      </c>
      <c r="K1228" s="120">
        <f t="shared" si="492"/>
        <v>0</v>
      </c>
      <c r="L1228" s="120">
        <f t="shared" si="493"/>
        <v>0</v>
      </c>
      <c r="M1228" s="246">
        <f t="shared" si="494"/>
        <v>0</v>
      </c>
      <c r="N1228" s="121">
        <f t="shared" si="495"/>
        <v>1</v>
      </c>
      <c r="O1228" s="246">
        <f t="shared" si="496"/>
        <v>0.91</v>
      </c>
      <c r="P1228" s="121">
        <f t="shared" si="497"/>
        <v>0</v>
      </c>
      <c r="Q1228" s="121">
        <f t="shared" si="498"/>
        <v>1</v>
      </c>
      <c r="R1228" s="121">
        <f t="shared" si="499"/>
        <v>0</v>
      </c>
      <c r="W1228" s="160">
        <f t="shared" si="502"/>
        <v>1</v>
      </c>
      <c r="X1228" s="160">
        <f t="shared" si="503"/>
        <v>0</v>
      </c>
      <c r="Y1228" s="160">
        <f t="shared" si="504"/>
        <v>1</v>
      </c>
      <c r="AB1228" s="160">
        <f t="shared" si="505"/>
        <v>0.36433260393873085</v>
      </c>
      <c r="AC1228" s="220">
        <f t="shared" si="506"/>
        <v>0.57845733041575487</v>
      </c>
      <c r="AD1228" s="160">
        <f t="shared" si="507"/>
        <v>1.0989010989010988</v>
      </c>
      <c r="AE1228" s="160">
        <f t="shared" si="500"/>
        <v>0.98913043478260854</v>
      </c>
      <c r="AF1228" s="220">
        <f t="shared" si="508"/>
        <v>0</v>
      </c>
      <c r="AG1228" s="183" t="str">
        <f t="shared" si="509"/>
        <v/>
      </c>
      <c r="AH1228" s="183" t="str">
        <f t="shared" si="510"/>
        <v/>
      </c>
      <c r="AI1228" s="220" t="str">
        <f t="shared" si="511"/>
        <v/>
      </c>
    </row>
    <row r="1229" spans="1:35" x14ac:dyDescent="0.3">
      <c r="A1229" s="187">
        <v>28</v>
      </c>
      <c r="B1229" s="242">
        <f t="shared" si="501"/>
        <v>46478</v>
      </c>
      <c r="C1229" s="243">
        <f t="shared" si="484"/>
        <v>46507</v>
      </c>
      <c r="D1229" s="120">
        <f t="shared" si="485"/>
        <v>30</v>
      </c>
      <c r="E1229" s="120">
        <f t="shared" si="486"/>
        <v>4</v>
      </c>
      <c r="F1229" s="275">
        <f t="shared" si="487"/>
        <v>46493</v>
      </c>
      <c r="G1229" s="120">
        <f t="shared" si="488"/>
        <v>24327</v>
      </c>
      <c r="H1229" s="245">
        <f t="shared" si="489"/>
        <v>1</v>
      </c>
      <c r="I1229" s="121">
        <f t="shared" si="490"/>
        <v>1</v>
      </c>
      <c r="J1229" s="121">
        <f t="shared" si="491"/>
        <v>1</v>
      </c>
      <c r="K1229" s="120">
        <f t="shared" si="492"/>
        <v>0</v>
      </c>
      <c r="L1229" s="120">
        <f t="shared" si="493"/>
        <v>0</v>
      </c>
      <c r="M1229" s="246">
        <f t="shared" si="494"/>
        <v>0</v>
      </c>
      <c r="N1229" s="121">
        <f t="shared" si="495"/>
        <v>1</v>
      </c>
      <c r="O1229" s="246">
        <f t="shared" si="496"/>
        <v>0.91</v>
      </c>
      <c r="P1229" s="121">
        <f t="shared" si="497"/>
        <v>0</v>
      </c>
      <c r="Q1229" s="121">
        <f t="shared" si="498"/>
        <v>1</v>
      </c>
      <c r="R1229" s="121">
        <f t="shared" si="499"/>
        <v>0</v>
      </c>
      <c r="W1229" s="160">
        <f t="shared" si="502"/>
        <v>1</v>
      </c>
      <c r="X1229" s="160">
        <f t="shared" si="503"/>
        <v>1</v>
      </c>
      <c r="Y1229" s="160">
        <f t="shared" si="504"/>
        <v>1</v>
      </c>
      <c r="AB1229" s="160">
        <f t="shared" si="505"/>
        <v>0.4310722100656455</v>
      </c>
      <c r="AC1229" s="220">
        <f t="shared" si="506"/>
        <v>0.51772428884026267</v>
      </c>
      <c r="AD1229" s="160">
        <f t="shared" si="507"/>
        <v>1.0989010989010988</v>
      </c>
      <c r="AE1229" s="160">
        <f t="shared" si="500"/>
        <v>0.98913043478260876</v>
      </c>
      <c r="AF1229" s="220">
        <f t="shared" si="508"/>
        <v>1</v>
      </c>
      <c r="AG1229" s="183" t="str">
        <f t="shared" si="509"/>
        <v/>
      </c>
      <c r="AH1229" s="183" t="str">
        <f t="shared" si="510"/>
        <v/>
      </c>
      <c r="AI1229" s="220" t="str">
        <f t="shared" si="511"/>
        <v/>
      </c>
    </row>
    <row r="1230" spans="1:35" x14ac:dyDescent="0.3">
      <c r="A1230" s="187">
        <v>29</v>
      </c>
      <c r="B1230" s="242">
        <f t="shared" si="501"/>
        <v>46508</v>
      </c>
      <c r="C1230" s="243">
        <f t="shared" si="484"/>
        <v>46538</v>
      </c>
      <c r="D1230" s="120">
        <f t="shared" si="485"/>
        <v>31</v>
      </c>
      <c r="E1230" s="120">
        <f t="shared" si="486"/>
        <v>5</v>
      </c>
      <c r="F1230" s="275">
        <f t="shared" si="487"/>
        <v>46523.5</v>
      </c>
      <c r="G1230" s="120">
        <f t="shared" si="488"/>
        <v>24328</v>
      </c>
      <c r="H1230" s="245">
        <f t="shared" si="489"/>
        <v>1</v>
      </c>
      <c r="I1230" s="121">
        <f t="shared" si="490"/>
        <v>1</v>
      </c>
      <c r="J1230" s="121">
        <f t="shared" si="491"/>
        <v>1</v>
      </c>
      <c r="K1230" s="120">
        <f t="shared" si="492"/>
        <v>0</v>
      </c>
      <c r="L1230" s="120">
        <f t="shared" si="493"/>
        <v>0</v>
      </c>
      <c r="M1230" s="246">
        <f t="shared" si="494"/>
        <v>0</v>
      </c>
      <c r="N1230" s="121">
        <f t="shared" si="495"/>
        <v>1</v>
      </c>
      <c r="O1230" s="246">
        <f t="shared" si="496"/>
        <v>0.91</v>
      </c>
      <c r="P1230" s="121">
        <f t="shared" si="497"/>
        <v>0</v>
      </c>
      <c r="Q1230" s="121">
        <f t="shared" si="498"/>
        <v>1</v>
      </c>
      <c r="R1230" s="121">
        <f t="shared" si="499"/>
        <v>0</v>
      </c>
      <c r="W1230" s="160">
        <f t="shared" si="502"/>
        <v>1</v>
      </c>
      <c r="X1230" s="160">
        <f t="shared" si="503"/>
        <v>1</v>
      </c>
      <c r="Y1230" s="160">
        <f t="shared" si="504"/>
        <v>1</v>
      </c>
      <c r="AB1230" s="160">
        <f t="shared" si="505"/>
        <v>0.49781181619256015</v>
      </c>
      <c r="AC1230" s="220">
        <f t="shared" si="506"/>
        <v>0.45699124726477025</v>
      </c>
      <c r="AD1230" s="160">
        <f t="shared" si="507"/>
        <v>1.0989010989010988</v>
      </c>
      <c r="AE1230" s="160">
        <f t="shared" si="500"/>
        <v>0.98913043478260865</v>
      </c>
      <c r="AF1230" s="220">
        <f t="shared" si="508"/>
        <v>1</v>
      </c>
      <c r="AG1230" s="183" t="str">
        <f t="shared" si="509"/>
        <v/>
      </c>
      <c r="AH1230" s="183" t="str">
        <f t="shared" si="510"/>
        <v/>
      </c>
      <c r="AI1230" s="220" t="str">
        <f t="shared" si="511"/>
        <v/>
      </c>
    </row>
    <row r="1231" spans="1:35" x14ac:dyDescent="0.3">
      <c r="A1231" s="187">
        <v>30</v>
      </c>
      <c r="B1231" s="242">
        <f t="shared" si="501"/>
        <v>46539</v>
      </c>
      <c r="C1231" s="243">
        <f t="shared" si="484"/>
        <v>46568</v>
      </c>
      <c r="D1231" s="120">
        <f t="shared" si="485"/>
        <v>30</v>
      </c>
      <c r="E1231" s="120">
        <f t="shared" si="486"/>
        <v>6</v>
      </c>
      <c r="F1231" s="275">
        <f t="shared" si="487"/>
        <v>46554</v>
      </c>
      <c r="G1231" s="120">
        <f t="shared" si="488"/>
        <v>24329</v>
      </c>
      <c r="H1231" s="245">
        <f t="shared" si="489"/>
        <v>1</v>
      </c>
      <c r="I1231" s="121">
        <f t="shared" si="490"/>
        <v>1</v>
      </c>
      <c r="J1231" s="121">
        <f t="shared" si="491"/>
        <v>1</v>
      </c>
      <c r="K1231" s="120">
        <f t="shared" si="492"/>
        <v>0</v>
      </c>
      <c r="L1231" s="120">
        <f t="shared" si="493"/>
        <v>0</v>
      </c>
      <c r="M1231" s="246">
        <f t="shared" si="494"/>
        <v>0</v>
      </c>
      <c r="N1231" s="121">
        <f t="shared" si="495"/>
        <v>1</v>
      </c>
      <c r="O1231" s="246">
        <f t="shared" si="496"/>
        <v>0.91</v>
      </c>
      <c r="P1231" s="121">
        <f t="shared" si="497"/>
        <v>0</v>
      </c>
      <c r="Q1231" s="121">
        <f t="shared" si="498"/>
        <v>1</v>
      </c>
      <c r="R1231" s="121">
        <f t="shared" si="499"/>
        <v>0</v>
      </c>
      <c r="W1231" s="160">
        <f t="shared" si="502"/>
        <v>1</v>
      </c>
      <c r="X1231" s="160">
        <f t="shared" si="503"/>
        <v>1</v>
      </c>
      <c r="Y1231" s="160">
        <f t="shared" si="504"/>
        <v>1</v>
      </c>
      <c r="AB1231" s="160">
        <f t="shared" si="505"/>
        <v>0.56455142231947486</v>
      </c>
      <c r="AC1231" s="220">
        <f t="shared" si="506"/>
        <v>0.39625820568927789</v>
      </c>
      <c r="AD1231" s="160">
        <f t="shared" si="507"/>
        <v>1.0989010989010988</v>
      </c>
      <c r="AE1231" s="160">
        <f t="shared" si="500"/>
        <v>0.98913043478260854</v>
      </c>
      <c r="AF1231" s="220">
        <f t="shared" si="508"/>
        <v>1</v>
      </c>
      <c r="AG1231" s="183" t="str">
        <f t="shared" si="509"/>
        <v/>
      </c>
      <c r="AH1231" s="183" t="str">
        <f t="shared" si="510"/>
        <v/>
      </c>
      <c r="AI1231" s="220" t="str">
        <f t="shared" si="511"/>
        <v/>
      </c>
    </row>
    <row r="1232" spans="1:35" x14ac:dyDescent="0.3">
      <c r="A1232" s="187">
        <v>31</v>
      </c>
      <c r="B1232" s="242">
        <f t="shared" si="501"/>
        <v>46569</v>
      </c>
      <c r="C1232" s="243">
        <f t="shared" si="484"/>
        <v>46599</v>
      </c>
      <c r="D1232" s="120">
        <f t="shared" si="485"/>
        <v>31</v>
      </c>
      <c r="E1232" s="120">
        <f t="shared" si="486"/>
        <v>7</v>
      </c>
      <c r="F1232" s="275">
        <f t="shared" si="487"/>
        <v>46584.5</v>
      </c>
      <c r="G1232" s="120">
        <f t="shared" si="488"/>
        <v>24330</v>
      </c>
      <c r="H1232" s="245">
        <f t="shared" si="489"/>
        <v>1</v>
      </c>
      <c r="I1232" s="121">
        <f t="shared" si="490"/>
        <v>1</v>
      </c>
      <c r="J1232" s="121">
        <f t="shared" si="491"/>
        <v>1</v>
      </c>
      <c r="K1232" s="120">
        <f t="shared" si="492"/>
        <v>0</v>
      </c>
      <c r="L1232" s="120">
        <f t="shared" si="493"/>
        <v>0</v>
      </c>
      <c r="M1232" s="246">
        <f t="shared" si="494"/>
        <v>0</v>
      </c>
      <c r="N1232" s="121">
        <f t="shared" si="495"/>
        <v>1</v>
      </c>
      <c r="O1232" s="246">
        <f t="shared" si="496"/>
        <v>0.91</v>
      </c>
      <c r="P1232" s="121">
        <f t="shared" si="497"/>
        <v>0</v>
      </c>
      <c r="Q1232" s="121">
        <f t="shared" si="498"/>
        <v>0.91666666666666663</v>
      </c>
      <c r="R1232" s="121">
        <f t="shared" si="499"/>
        <v>8.333333333333337E-2</v>
      </c>
      <c r="W1232" s="160">
        <f t="shared" si="502"/>
        <v>1</v>
      </c>
      <c r="X1232" s="160">
        <f t="shared" si="503"/>
        <v>1</v>
      </c>
      <c r="Y1232" s="160">
        <f t="shared" si="504"/>
        <v>1</v>
      </c>
      <c r="AB1232" s="160">
        <f t="shared" si="505"/>
        <v>0.63129102844638951</v>
      </c>
      <c r="AC1232" s="220">
        <f t="shared" si="506"/>
        <v>0.33552516411378558</v>
      </c>
      <c r="AD1232" s="160">
        <f t="shared" si="507"/>
        <v>1.0989010989010988</v>
      </c>
      <c r="AE1232" s="160">
        <f t="shared" si="500"/>
        <v>0.98913043478260876</v>
      </c>
      <c r="AF1232" s="220">
        <f t="shared" si="508"/>
        <v>1</v>
      </c>
      <c r="AG1232" s="183" t="str">
        <f t="shared" si="509"/>
        <v/>
      </c>
      <c r="AH1232" s="183" t="str">
        <f t="shared" si="510"/>
        <v/>
      </c>
      <c r="AI1232" s="220" t="str">
        <f t="shared" si="511"/>
        <v/>
      </c>
    </row>
    <row r="1233" spans="1:35" x14ac:dyDescent="0.3">
      <c r="A1233" s="187">
        <v>32</v>
      </c>
      <c r="B1233" s="242">
        <f t="shared" si="501"/>
        <v>46600</v>
      </c>
      <c r="C1233" s="243">
        <f t="shared" si="484"/>
        <v>46630</v>
      </c>
      <c r="D1233" s="120">
        <f t="shared" si="485"/>
        <v>31</v>
      </c>
      <c r="E1233" s="120">
        <f t="shared" si="486"/>
        <v>8</v>
      </c>
      <c r="F1233" s="275">
        <f t="shared" si="487"/>
        <v>46615.5</v>
      </c>
      <c r="G1233" s="120">
        <f t="shared" si="488"/>
        <v>24331</v>
      </c>
      <c r="H1233" s="245">
        <f t="shared" si="489"/>
        <v>1</v>
      </c>
      <c r="I1233" s="121">
        <f t="shared" si="490"/>
        <v>1</v>
      </c>
      <c r="J1233" s="121">
        <f t="shared" si="491"/>
        <v>1</v>
      </c>
      <c r="K1233" s="120">
        <f t="shared" si="492"/>
        <v>0</v>
      </c>
      <c r="L1233" s="120">
        <f t="shared" si="493"/>
        <v>0</v>
      </c>
      <c r="M1233" s="246">
        <f t="shared" si="494"/>
        <v>0</v>
      </c>
      <c r="N1233" s="121">
        <f t="shared" si="495"/>
        <v>1</v>
      </c>
      <c r="O1233" s="246">
        <f t="shared" si="496"/>
        <v>0.91</v>
      </c>
      <c r="P1233" s="121">
        <f t="shared" si="497"/>
        <v>0</v>
      </c>
      <c r="Q1233" s="121">
        <f t="shared" si="498"/>
        <v>0.75</v>
      </c>
      <c r="R1233" s="121">
        <f t="shared" si="499"/>
        <v>0.25</v>
      </c>
      <c r="W1233" s="160">
        <f t="shared" si="502"/>
        <v>1</v>
      </c>
      <c r="X1233" s="160">
        <f t="shared" si="503"/>
        <v>1</v>
      </c>
      <c r="Y1233" s="160">
        <f t="shared" si="504"/>
        <v>1</v>
      </c>
      <c r="AB1233" s="160">
        <f t="shared" si="505"/>
        <v>0.69912472647702406</v>
      </c>
      <c r="AC1233" s="220">
        <f t="shared" si="506"/>
        <v>0.27379649890590813</v>
      </c>
      <c r="AD1233" s="160">
        <f t="shared" si="507"/>
        <v>1.0989010989010988</v>
      </c>
      <c r="AE1233" s="160">
        <f t="shared" si="500"/>
        <v>0.98913043478260876</v>
      </c>
      <c r="AF1233" s="220">
        <f t="shared" si="508"/>
        <v>1</v>
      </c>
      <c r="AG1233" s="183" t="str">
        <f t="shared" si="509"/>
        <v/>
      </c>
      <c r="AH1233" s="183" t="str">
        <f t="shared" si="510"/>
        <v/>
      </c>
      <c r="AI1233" s="220" t="str">
        <f t="shared" si="511"/>
        <v/>
      </c>
    </row>
    <row r="1234" spans="1:35" x14ac:dyDescent="0.3">
      <c r="A1234" s="187">
        <v>33</v>
      </c>
      <c r="B1234" s="242">
        <f t="shared" si="501"/>
        <v>46631</v>
      </c>
      <c r="C1234" s="243">
        <f t="shared" si="484"/>
        <v>46660</v>
      </c>
      <c r="D1234" s="120">
        <f t="shared" si="485"/>
        <v>30</v>
      </c>
      <c r="E1234" s="120">
        <f t="shared" si="486"/>
        <v>9</v>
      </c>
      <c r="F1234" s="275">
        <f t="shared" si="487"/>
        <v>46646</v>
      </c>
      <c r="G1234" s="120">
        <f t="shared" si="488"/>
        <v>24332</v>
      </c>
      <c r="H1234" s="245">
        <f t="shared" si="489"/>
        <v>1</v>
      </c>
      <c r="I1234" s="121">
        <f t="shared" si="490"/>
        <v>1</v>
      </c>
      <c r="J1234" s="121">
        <f t="shared" si="491"/>
        <v>1</v>
      </c>
      <c r="K1234" s="120">
        <f t="shared" si="492"/>
        <v>0</v>
      </c>
      <c r="L1234" s="120">
        <f t="shared" si="493"/>
        <v>0</v>
      </c>
      <c r="M1234" s="246">
        <f t="shared" si="494"/>
        <v>0</v>
      </c>
      <c r="N1234" s="121">
        <f t="shared" si="495"/>
        <v>1</v>
      </c>
      <c r="O1234" s="246">
        <f t="shared" si="496"/>
        <v>0.91</v>
      </c>
      <c r="P1234" s="121">
        <f t="shared" si="497"/>
        <v>0</v>
      </c>
      <c r="Q1234" s="121">
        <f t="shared" si="498"/>
        <v>0.58333333333333337</v>
      </c>
      <c r="R1234" s="121">
        <f t="shared" si="499"/>
        <v>0.41666666666666663</v>
      </c>
      <c r="W1234" s="160">
        <f t="shared" si="502"/>
        <v>1</v>
      </c>
      <c r="X1234" s="160">
        <f t="shared" si="503"/>
        <v>1</v>
      </c>
      <c r="Y1234" s="160">
        <f t="shared" si="504"/>
        <v>1</v>
      </c>
      <c r="AB1234" s="160">
        <f t="shared" si="505"/>
        <v>0.76586433260393871</v>
      </c>
      <c r="AC1234" s="220">
        <f t="shared" si="506"/>
        <v>0.21306345733041579</v>
      </c>
      <c r="AD1234" s="160">
        <f t="shared" si="507"/>
        <v>1.0989010989010988</v>
      </c>
      <c r="AE1234" s="160">
        <f t="shared" si="500"/>
        <v>0.98913043478260865</v>
      </c>
      <c r="AF1234" s="220">
        <f t="shared" si="508"/>
        <v>1</v>
      </c>
      <c r="AG1234" s="183" t="str">
        <f t="shared" si="509"/>
        <v/>
      </c>
      <c r="AH1234" s="183" t="str">
        <f t="shared" si="510"/>
        <v/>
      </c>
      <c r="AI1234" s="220" t="str">
        <f t="shared" si="511"/>
        <v/>
      </c>
    </row>
    <row r="1235" spans="1:35" x14ac:dyDescent="0.3">
      <c r="A1235" s="187">
        <v>34</v>
      </c>
      <c r="B1235" s="242">
        <f t="shared" si="501"/>
        <v>46661</v>
      </c>
      <c r="C1235" s="243">
        <f t="shared" si="484"/>
        <v>46691</v>
      </c>
      <c r="D1235" s="120">
        <f t="shared" si="485"/>
        <v>31</v>
      </c>
      <c r="E1235" s="120">
        <f t="shared" si="486"/>
        <v>10</v>
      </c>
      <c r="F1235" s="275">
        <f t="shared" si="487"/>
        <v>46676.5</v>
      </c>
      <c r="G1235" s="120">
        <f t="shared" si="488"/>
        <v>24333</v>
      </c>
      <c r="H1235" s="245">
        <f t="shared" si="489"/>
        <v>1</v>
      </c>
      <c r="I1235" s="121">
        <f t="shared" si="490"/>
        <v>1</v>
      </c>
      <c r="J1235" s="121">
        <f t="shared" si="491"/>
        <v>1</v>
      </c>
      <c r="K1235" s="120">
        <f t="shared" si="492"/>
        <v>0</v>
      </c>
      <c r="L1235" s="120">
        <f t="shared" si="493"/>
        <v>0</v>
      </c>
      <c r="M1235" s="246">
        <f t="shared" si="494"/>
        <v>0</v>
      </c>
      <c r="N1235" s="121">
        <f t="shared" si="495"/>
        <v>1</v>
      </c>
      <c r="O1235" s="246">
        <f t="shared" si="496"/>
        <v>0.91</v>
      </c>
      <c r="P1235" s="121">
        <f t="shared" si="497"/>
        <v>0</v>
      </c>
      <c r="Q1235" s="121">
        <f t="shared" si="498"/>
        <v>0.41666666666666669</v>
      </c>
      <c r="R1235" s="121">
        <f t="shared" si="499"/>
        <v>0.58333333333333326</v>
      </c>
      <c r="W1235" s="160">
        <f t="shared" si="502"/>
        <v>1</v>
      </c>
      <c r="X1235" s="160">
        <f t="shared" si="503"/>
        <v>1</v>
      </c>
      <c r="Y1235" s="160">
        <f t="shared" si="504"/>
        <v>1</v>
      </c>
      <c r="AB1235" s="160">
        <f t="shared" si="505"/>
        <v>0.83260393873085337</v>
      </c>
      <c r="AC1235" s="220">
        <f t="shared" si="506"/>
        <v>0.15233041575492345</v>
      </c>
      <c r="AD1235" s="160">
        <f t="shared" si="507"/>
        <v>1.0989010989010988</v>
      </c>
      <c r="AE1235" s="160">
        <f t="shared" si="500"/>
        <v>0.98913043478260865</v>
      </c>
      <c r="AF1235" s="220">
        <f t="shared" si="508"/>
        <v>1</v>
      </c>
      <c r="AG1235" s="183" t="str">
        <f t="shared" si="509"/>
        <v/>
      </c>
      <c r="AH1235" s="183" t="str">
        <f t="shared" si="510"/>
        <v/>
      </c>
      <c r="AI1235" s="220" t="str">
        <f t="shared" si="511"/>
        <v/>
      </c>
    </row>
    <row r="1236" spans="1:35" x14ac:dyDescent="0.3">
      <c r="A1236" s="187">
        <v>35</v>
      </c>
      <c r="B1236" s="242">
        <f t="shared" si="501"/>
        <v>46692</v>
      </c>
      <c r="C1236" s="243">
        <f t="shared" si="484"/>
        <v>46721</v>
      </c>
      <c r="D1236" s="120">
        <f t="shared" si="485"/>
        <v>30</v>
      </c>
      <c r="E1236" s="120">
        <f t="shared" si="486"/>
        <v>11</v>
      </c>
      <c r="F1236" s="275">
        <f t="shared" si="487"/>
        <v>46707</v>
      </c>
      <c r="G1236" s="120">
        <f t="shared" si="488"/>
        <v>24334</v>
      </c>
      <c r="H1236" s="245">
        <f t="shared" si="489"/>
        <v>1</v>
      </c>
      <c r="I1236" s="121">
        <f t="shared" si="490"/>
        <v>1</v>
      </c>
      <c r="J1236" s="121">
        <f t="shared" si="491"/>
        <v>1</v>
      </c>
      <c r="K1236" s="120">
        <f t="shared" si="492"/>
        <v>0</v>
      </c>
      <c r="L1236" s="120">
        <f t="shared" si="493"/>
        <v>0</v>
      </c>
      <c r="M1236" s="246">
        <f t="shared" si="494"/>
        <v>0</v>
      </c>
      <c r="N1236" s="121">
        <f t="shared" si="495"/>
        <v>1</v>
      </c>
      <c r="O1236" s="246">
        <f t="shared" si="496"/>
        <v>0.91</v>
      </c>
      <c r="P1236" s="121">
        <f t="shared" si="497"/>
        <v>0</v>
      </c>
      <c r="Q1236" s="121">
        <f t="shared" si="498"/>
        <v>0.25</v>
      </c>
      <c r="R1236" s="121">
        <f t="shared" si="499"/>
        <v>0.75</v>
      </c>
      <c r="W1236" s="160">
        <f t="shared" si="502"/>
        <v>1</v>
      </c>
      <c r="X1236" s="160">
        <f t="shared" si="503"/>
        <v>1</v>
      </c>
      <c r="Y1236" s="160">
        <f t="shared" si="504"/>
        <v>1</v>
      </c>
      <c r="AB1236" s="160">
        <f t="shared" si="505"/>
        <v>0.89934354485776802</v>
      </c>
      <c r="AC1236" s="220">
        <f t="shared" si="506"/>
        <v>9.1597374179431104E-2</v>
      </c>
      <c r="AD1236" s="160">
        <f t="shared" si="507"/>
        <v>1.0989010989010988</v>
      </c>
      <c r="AE1236" s="160">
        <f t="shared" si="500"/>
        <v>0.98913043478260865</v>
      </c>
      <c r="AF1236" s="220">
        <f t="shared" si="508"/>
        <v>1</v>
      </c>
      <c r="AG1236" s="183" t="str">
        <f t="shared" si="509"/>
        <v/>
      </c>
      <c r="AH1236" s="183" t="str">
        <f t="shared" si="510"/>
        <v/>
      </c>
      <c r="AI1236" s="220" t="str">
        <f t="shared" si="511"/>
        <v/>
      </c>
    </row>
    <row r="1237" spans="1:35" x14ac:dyDescent="0.3">
      <c r="A1237" s="187">
        <v>36</v>
      </c>
      <c r="B1237" s="242">
        <f t="shared" si="501"/>
        <v>46722</v>
      </c>
      <c r="C1237" s="243">
        <f t="shared" si="484"/>
        <v>46752</v>
      </c>
      <c r="D1237" s="120">
        <f t="shared" si="485"/>
        <v>31</v>
      </c>
      <c r="E1237" s="120">
        <f t="shared" si="486"/>
        <v>12</v>
      </c>
      <c r="F1237" s="275">
        <f t="shared" si="487"/>
        <v>46737.5</v>
      </c>
      <c r="G1237" s="120">
        <f t="shared" si="488"/>
        <v>24335</v>
      </c>
      <c r="H1237" s="245">
        <f t="shared" si="489"/>
        <v>1</v>
      </c>
      <c r="I1237" s="121">
        <f t="shared" si="490"/>
        <v>1</v>
      </c>
      <c r="J1237" s="121">
        <f t="shared" si="491"/>
        <v>1</v>
      </c>
      <c r="K1237" s="120">
        <f t="shared" si="492"/>
        <v>0</v>
      </c>
      <c r="L1237" s="120">
        <f t="shared" si="493"/>
        <v>0</v>
      </c>
      <c r="M1237" s="246">
        <f t="shared" si="494"/>
        <v>0</v>
      </c>
      <c r="N1237" s="121">
        <f t="shared" si="495"/>
        <v>1</v>
      </c>
      <c r="O1237" s="246">
        <f t="shared" si="496"/>
        <v>0.91</v>
      </c>
      <c r="P1237" s="121">
        <f t="shared" si="497"/>
        <v>0</v>
      </c>
      <c r="Q1237" s="121">
        <f t="shared" si="498"/>
        <v>8.3333333333333329E-2</v>
      </c>
      <c r="R1237" s="121">
        <f t="shared" si="499"/>
        <v>0.91666666666666663</v>
      </c>
      <c r="W1237" s="160">
        <f t="shared" si="502"/>
        <v>1</v>
      </c>
      <c r="X1237" s="160">
        <f t="shared" si="503"/>
        <v>1</v>
      </c>
      <c r="Y1237" s="160">
        <f t="shared" si="504"/>
        <v>1</v>
      </c>
      <c r="AB1237" s="160">
        <f t="shared" si="505"/>
        <v>0.96608315098468267</v>
      </c>
      <c r="AC1237" s="220">
        <f t="shared" si="506"/>
        <v>3.0864332603938772E-2</v>
      </c>
      <c r="AD1237" s="160">
        <f t="shared" si="507"/>
        <v>1.0989010989010988</v>
      </c>
      <c r="AE1237" s="160">
        <f t="shared" si="500"/>
        <v>0.98913043478260865</v>
      </c>
      <c r="AF1237" s="220">
        <f t="shared" si="508"/>
        <v>1</v>
      </c>
      <c r="AG1237" s="183" t="str">
        <f t="shared" si="509"/>
        <v/>
      </c>
      <c r="AH1237" s="183" t="str">
        <f t="shared" si="510"/>
        <v/>
      </c>
      <c r="AI1237" s="220" t="str">
        <f t="shared" si="511"/>
        <v/>
      </c>
    </row>
    <row r="1238" spans="1:35" x14ac:dyDescent="0.3">
      <c r="A1238" s="187">
        <v>37</v>
      </c>
      <c r="B1238" s="242">
        <f t="shared" si="501"/>
        <v>46753</v>
      </c>
      <c r="C1238" s="243">
        <f t="shared" si="484"/>
        <v>46783</v>
      </c>
      <c r="D1238" s="120">
        <f t="shared" si="485"/>
        <v>31</v>
      </c>
      <c r="E1238" s="120">
        <f t="shared" si="486"/>
        <v>1</v>
      </c>
      <c r="F1238" s="275">
        <f t="shared" si="487"/>
        <v>46768.5</v>
      </c>
      <c r="G1238" s="120">
        <f t="shared" si="488"/>
        <v>24336</v>
      </c>
      <c r="H1238" s="245">
        <f t="shared" si="489"/>
        <v>1</v>
      </c>
      <c r="I1238" s="121">
        <f t="shared" si="490"/>
        <v>1</v>
      </c>
      <c r="J1238" s="121">
        <f t="shared" si="491"/>
        <v>1</v>
      </c>
      <c r="K1238" s="120">
        <f t="shared" si="492"/>
        <v>0</v>
      </c>
      <c r="L1238" s="120">
        <f t="shared" si="493"/>
        <v>0</v>
      </c>
      <c r="M1238" s="246">
        <f t="shared" si="494"/>
        <v>0</v>
      </c>
      <c r="N1238" s="121">
        <f t="shared" si="495"/>
        <v>1</v>
      </c>
      <c r="O1238" s="246">
        <f t="shared" si="496"/>
        <v>0.91</v>
      </c>
      <c r="P1238" s="121">
        <f t="shared" si="497"/>
        <v>0</v>
      </c>
      <c r="Q1238" s="121">
        <f t="shared" si="498"/>
        <v>0</v>
      </c>
      <c r="R1238" s="121">
        <f t="shared" si="499"/>
        <v>1</v>
      </c>
      <c r="AE1238" s="160">
        <f t="shared" si="500"/>
        <v>0.98913043478260865</v>
      </c>
    </row>
    <row r="1239" spans="1:35" x14ac:dyDescent="0.3">
      <c r="A1239" s="187">
        <v>38</v>
      </c>
      <c r="B1239" s="242">
        <f t="shared" si="501"/>
        <v>46784</v>
      </c>
      <c r="C1239" s="243">
        <f t="shared" si="484"/>
        <v>46812</v>
      </c>
      <c r="D1239" s="120">
        <f t="shared" si="485"/>
        <v>29</v>
      </c>
      <c r="E1239" s="120">
        <f t="shared" si="486"/>
        <v>2</v>
      </c>
      <c r="F1239" s="275">
        <f t="shared" si="487"/>
        <v>46798.5</v>
      </c>
      <c r="G1239" s="120">
        <f t="shared" si="488"/>
        <v>24337</v>
      </c>
      <c r="H1239" s="245">
        <f t="shared" si="489"/>
        <v>1</v>
      </c>
      <c r="I1239" s="121">
        <f t="shared" si="490"/>
        <v>1</v>
      </c>
      <c r="J1239" s="121">
        <f t="shared" si="491"/>
        <v>1</v>
      </c>
      <c r="K1239" s="120">
        <f t="shared" si="492"/>
        <v>0</v>
      </c>
      <c r="L1239" s="120">
        <f t="shared" si="493"/>
        <v>0</v>
      </c>
      <c r="M1239" s="246">
        <f t="shared" si="494"/>
        <v>0</v>
      </c>
      <c r="N1239" s="121">
        <f t="shared" si="495"/>
        <v>1</v>
      </c>
      <c r="O1239" s="246">
        <f t="shared" si="496"/>
        <v>0.91</v>
      </c>
      <c r="P1239" s="121">
        <f t="shared" si="497"/>
        <v>0</v>
      </c>
      <c r="Q1239" s="121">
        <f t="shared" si="498"/>
        <v>0</v>
      </c>
      <c r="R1239" s="121">
        <f t="shared" si="499"/>
        <v>1</v>
      </c>
      <c r="AE1239" s="160">
        <f t="shared" si="500"/>
        <v>0.98913043478260865</v>
      </c>
    </row>
    <row r="1240" spans="1:35" x14ac:dyDescent="0.3">
      <c r="A1240" s="187">
        <v>39</v>
      </c>
      <c r="B1240" s="242">
        <f t="shared" si="501"/>
        <v>46813</v>
      </c>
      <c r="C1240" s="243">
        <f t="shared" si="484"/>
        <v>46843</v>
      </c>
      <c r="D1240" s="120">
        <f t="shared" si="485"/>
        <v>31</v>
      </c>
      <c r="E1240" s="120">
        <f t="shared" si="486"/>
        <v>3</v>
      </c>
      <c r="F1240" s="275">
        <f t="shared" si="487"/>
        <v>46828.5</v>
      </c>
      <c r="G1240" s="120">
        <f t="shared" si="488"/>
        <v>24338</v>
      </c>
      <c r="H1240" s="245">
        <f t="shared" si="489"/>
        <v>1</v>
      </c>
      <c r="I1240" s="121">
        <f t="shared" si="490"/>
        <v>1</v>
      </c>
      <c r="J1240" s="121">
        <f t="shared" si="491"/>
        <v>1</v>
      </c>
      <c r="K1240" s="120">
        <f t="shared" si="492"/>
        <v>0</v>
      </c>
      <c r="L1240" s="120">
        <f t="shared" si="493"/>
        <v>0</v>
      </c>
      <c r="M1240" s="246">
        <f t="shared" si="494"/>
        <v>0</v>
      </c>
      <c r="N1240" s="121">
        <f t="shared" si="495"/>
        <v>1</v>
      </c>
      <c r="O1240" s="246">
        <f t="shared" si="496"/>
        <v>0.91</v>
      </c>
      <c r="P1240" s="121">
        <f t="shared" si="497"/>
        <v>0</v>
      </c>
      <c r="Q1240" s="121">
        <f t="shared" si="498"/>
        <v>0</v>
      </c>
      <c r="R1240" s="121">
        <f t="shared" si="499"/>
        <v>1</v>
      </c>
      <c r="AE1240" s="160">
        <f t="shared" si="500"/>
        <v>0.98913043478260865</v>
      </c>
    </row>
    <row r="1241" spans="1:35" x14ac:dyDescent="0.3">
      <c r="A1241" s="187">
        <v>40</v>
      </c>
      <c r="B1241" s="242">
        <f t="shared" si="501"/>
        <v>46844</v>
      </c>
      <c r="C1241" s="243">
        <f t="shared" si="484"/>
        <v>46873</v>
      </c>
      <c r="D1241" s="120">
        <f t="shared" si="485"/>
        <v>30</v>
      </c>
      <c r="E1241" s="120">
        <f t="shared" si="486"/>
        <v>4</v>
      </c>
      <c r="F1241" s="275">
        <f t="shared" si="487"/>
        <v>46859</v>
      </c>
      <c r="G1241" s="120">
        <f t="shared" si="488"/>
        <v>24339</v>
      </c>
      <c r="H1241" s="245">
        <f t="shared" si="489"/>
        <v>1</v>
      </c>
      <c r="I1241" s="121">
        <f t="shared" si="490"/>
        <v>1</v>
      </c>
      <c r="J1241" s="121">
        <f t="shared" si="491"/>
        <v>1</v>
      </c>
      <c r="K1241" s="120">
        <f t="shared" si="492"/>
        <v>0</v>
      </c>
      <c r="L1241" s="120">
        <f t="shared" si="493"/>
        <v>0</v>
      </c>
      <c r="M1241" s="246">
        <f t="shared" si="494"/>
        <v>0</v>
      </c>
      <c r="N1241" s="121">
        <f t="shared" si="495"/>
        <v>1</v>
      </c>
      <c r="O1241" s="246">
        <f t="shared" si="496"/>
        <v>0.91</v>
      </c>
      <c r="P1241" s="121">
        <f t="shared" si="497"/>
        <v>0</v>
      </c>
      <c r="Q1241" s="121">
        <f t="shared" si="498"/>
        <v>0</v>
      </c>
      <c r="R1241" s="121">
        <f t="shared" si="499"/>
        <v>1</v>
      </c>
      <c r="AE1241" s="160">
        <f t="shared" si="500"/>
        <v>0.98913043478260865</v>
      </c>
    </row>
    <row r="1242" spans="1:35" x14ac:dyDescent="0.3">
      <c r="A1242" s="187">
        <v>41</v>
      </c>
      <c r="B1242" s="242">
        <f t="shared" si="501"/>
        <v>46874</v>
      </c>
      <c r="C1242" s="243">
        <f t="shared" si="484"/>
        <v>46904</v>
      </c>
      <c r="D1242" s="120">
        <f t="shared" si="485"/>
        <v>31</v>
      </c>
      <c r="E1242" s="120">
        <f t="shared" si="486"/>
        <v>5</v>
      </c>
      <c r="F1242" s="275">
        <f t="shared" si="487"/>
        <v>46889.5</v>
      </c>
      <c r="G1242" s="120">
        <f t="shared" si="488"/>
        <v>24340</v>
      </c>
      <c r="H1242" s="245">
        <f t="shared" si="489"/>
        <v>1</v>
      </c>
      <c r="I1242" s="121">
        <f t="shared" si="490"/>
        <v>1</v>
      </c>
      <c r="J1242" s="121">
        <f t="shared" si="491"/>
        <v>1</v>
      </c>
      <c r="K1242" s="120">
        <f t="shared" si="492"/>
        <v>0</v>
      </c>
      <c r="L1242" s="120">
        <f t="shared" si="493"/>
        <v>0</v>
      </c>
      <c r="M1242" s="246">
        <f t="shared" si="494"/>
        <v>0</v>
      </c>
      <c r="N1242" s="121">
        <f t="shared" si="495"/>
        <v>1</v>
      </c>
      <c r="O1242" s="246">
        <f t="shared" si="496"/>
        <v>0.91</v>
      </c>
      <c r="P1242" s="121">
        <f t="shared" si="497"/>
        <v>0</v>
      </c>
      <c r="Q1242" s="121">
        <f t="shared" si="498"/>
        <v>0</v>
      </c>
      <c r="R1242" s="121">
        <f t="shared" si="499"/>
        <v>1</v>
      </c>
      <c r="AE1242" s="160">
        <f t="shared" si="500"/>
        <v>0.98913043478260865</v>
      </c>
    </row>
    <row r="1243" spans="1:35" x14ac:dyDescent="0.3">
      <c r="A1243" s="187">
        <v>42</v>
      </c>
      <c r="B1243" s="242">
        <f t="shared" si="501"/>
        <v>46905</v>
      </c>
      <c r="C1243" s="243">
        <f t="shared" si="484"/>
        <v>46934</v>
      </c>
      <c r="D1243" s="120">
        <f t="shared" si="485"/>
        <v>30</v>
      </c>
      <c r="E1243" s="120">
        <f t="shared" si="486"/>
        <v>6</v>
      </c>
      <c r="F1243" s="275">
        <f t="shared" si="487"/>
        <v>46920</v>
      </c>
      <c r="G1243" s="120">
        <f t="shared" si="488"/>
        <v>24341</v>
      </c>
      <c r="H1243" s="245">
        <f t="shared" si="489"/>
        <v>1</v>
      </c>
      <c r="I1243" s="121">
        <f t="shared" si="490"/>
        <v>1</v>
      </c>
      <c r="J1243" s="121">
        <f t="shared" si="491"/>
        <v>1</v>
      </c>
      <c r="K1243" s="120">
        <f t="shared" si="492"/>
        <v>0</v>
      </c>
      <c r="L1243" s="120">
        <f t="shared" si="493"/>
        <v>0</v>
      </c>
      <c r="M1243" s="246">
        <f t="shared" si="494"/>
        <v>0</v>
      </c>
      <c r="N1243" s="121">
        <f t="shared" si="495"/>
        <v>1</v>
      </c>
      <c r="O1243" s="246">
        <f t="shared" si="496"/>
        <v>0.91</v>
      </c>
      <c r="P1243" s="121">
        <f t="shared" si="497"/>
        <v>0</v>
      </c>
      <c r="Q1243" s="121">
        <f t="shared" si="498"/>
        <v>0</v>
      </c>
      <c r="R1243" s="121">
        <f t="shared" si="499"/>
        <v>1</v>
      </c>
      <c r="AE1243" s="160">
        <f t="shared" si="500"/>
        <v>0.98913043478260865</v>
      </c>
    </row>
    <row r="1244" spans="1:35" x14ac:dyDescent="0.3">
      <c r="A1244" s="187">
        <v>43</v>
      </c>
      <c r="B1244" s="242">
        <f t="shared" si="501"/>
        <v>46935</v>
      </c>
      <c r="C1244" s="243">
        <f t="shared" si="484"/>
        <v>46965</v>
      </c>
      <c r="D1244" s="120">
        <f t="shared" si="485"/>
        <v>31</v>
      </c>
      <c r="E1244" s="120">
        <f t="shared" si="486"/>
        <v>7</v>
      </c>
      <c r="F1244" s="275">
        <f t="shared" si="487"/>
        <v>46950.5</v>
      </c>
      <c r="G1244" s="120">
        <f t="shared" si="488"/>
        <v>24342</v>
      </c>
      <c r="H1244" s="245">
        <f t="shared" si="489"/>
        <v>1</v>
      </c>
      <c r="I1244" s="121">
        <f t="shared" si="490"/>
        <v>1</v>
      </c>
      <c r="J1244" s="121">
        <f t="shared" si="491"/>
        <v>1</v>
      </c>
      <c r="K1244" s="120">
        <f t="shared" si="492"/>
        <v>0</v>
      </c>
      <c r="L1244" s="120">
        <f t="shared" si="493"/>
        <v>0</v>
      </c>
      <c r="M1244" s="246">
        <f t="shared" si="494"/>
        <v>0</v>
      </c>
      <c r="N1244" s="121">
        <f t="shared" si="495"/>
        <v>1</v>
      </c>
      <c r="O1244" s="246">
        <f t="shared" si="496"/>
        <v>0.91</v>
      </c>
      <c r="P1244" s="121">
        <f t="shared" si="497"/>
        <v>0</v>
      </c>
      <c r="Q1244" s="121">
        <f t="shared" si="498"/>
        <v>0</v>
      </c>
      <c r="R1244" s="121">
        <f t="shared" si="499"/>
        <v>0.91666666666666663</v>
      </c>
      <c r="AE1244" s="160">
        <f t="shared" si="500"/>
        <v>0.98913043478260865</v>
      </c>
    </row>
    <row r="1245" spans="1:35" x14ac:dyDescent="0.3">
      <c r="A1245" s="187">
        <v>44</v>
      </c>
      <c r="B1245" s="242">
        <f t="shared" si="501"/>
        <v>46966</v>
      </c>
      <c r="C1245" s="243">
        <f t="shared" si="484"/>
        <v>46996</v>
      </c>
      <c r="D1245" s="120">
        <f t="shared" si="485"/>
        <v>31</v>
      </c>
      <c r="E1245" s="120">
        <f t="shared" si="486"/>
        <v>8</v>
      </c>
      <c r="F1245" s="275">
        <f t="shared" si="487"/>
        <v>46981.5</v>
      </c>
      <c r="G1245" s="120">
        <f t="shared" si="488"/>
        <v>24343</v>
      </c>
      <c r="H1245" s="245">
        <f t="shared" si="489"/>
        <v>1</v>
      </c>
      <c r="I1245" s="121">
        <f t="shared" si="490"/>
        <v>1</v>
      </c>
      <c r="J1245" s="121">
        <f t="shared" si="491"/>
        <v>1</v>
      </c>
      <c r="K1245" s="120">
        <f t="shared" si="492"/>
        <v>0</v>
      </c>
      <c r="L1245" s="120">
        <f t="shared" si="493"/>
        <v>0</v>
      </c>
      <c r="M1245" s="246">
        <f t="shared" si="494"/>
        <v>0</v>
      </c>
      <c r="N1245" s="121">
        <f t="shared" si="495"/>
        <v>1</v>
      </c>
      <c r="O1245" s="246">
        <f t="shared" si="496"/>
        <v>0.91</v>
      </c>
      <c r="P1245" s="121">
        <f t="shared" si="497"/>
        <v>0</v>
      </c>
      <c r="Q1245" s="121">
        <f t="shared" si="498"/>
        <v>0</v>
      </c>
      <c r="R1245" s="121">
        <f t="shared" si="499"/>
        <v>0.75</v>
      </c>
      <c r="AE1245" s="160">
        <f t="shared" si="500"/>
        <v>0.98913043478260865</v>
      </c>
    </row>
    <row r="1246" spans="1:35" x14ac:dyDescent="0.3">
      <c r="A1246" s="187">
        <v>45</v>
      </c>
      <c r="B1246" s="242">
        <f t="shared" si="501"/>
        <v>46997</v>
      </c>
      <c r="C1246" s="243">
        <f t="shared" si="484"/>
        <v>47026</v>
      </c>
      <c r="D1246" s="120">
        <f t="shared" si="485"/>
        <v>30</v>
      </c>
      <c r="E1246" s="120">
        <f t="shared" si="486"/>
        <v>9</v>
      </c>
      <c r="F1246" s="275">
        <f t="shared" si="487"/>
        <v>47012</v>
      </c>
      <c r="G1246" s="120">
        <f t="shared" si="488"/>
        <v>24344</v>
      </c>
      <c r="H1246" s="245">
        <f t="shared" si="489"/>
        <v>1</v>
      </c>
      <c r="I1246" s="121">
        <f t="shared" si="490"/>
        <v>1</v>
      </c>
      <c r="J1246" s="121">
        <f t="shared" si="491"/>
        <v>1</v>
      </c>
      <c r="K1246" s="120">
        <f t="shared" si="492"/>
        <v>0</v>
      </c>
      <c r="L1246" s="120">
        <f t="shared" si="493"/>
        <v>0</v>
      </c>
      <c r="M1246" s="246">
        <f t="shared" si="494"/>
        <v>0</v>
      </c>
      <c r="N1246" s="121">
        <f t="shared" si="495"/>
        <v>1</v>
      </c>
      <c r="O1246" s="246">
        <f t="shared" si="496"/>
        <v>0.91</v>
      </c>
      <c r="P1246" s="121">
        <f t="shared" si="497"/>
        <v>0</v>
      </c>
      <c r="Q1246" s="121">
        <f t="shared" si="498"/>
        <v>0</v>
      </c>
      <c r="R1246" s="121">
        <f t="shared" si="499"/>
        <v>0.58333333333333337</v>
      </c>
      <c r="AE1246" s="160">
        <f t="shared" si="500"/>
        <v>0.98913043478260865</v>
      </c>
    </row>
    <row r="1247" spans="1:35" x14ac:dyDescent="0.3">
      <c r="A1247" s="187">
        <v>46</v>
      </c>
      <c r="B1247" s="242">
        <f t="shared" si="501"/>
        <v>47027</v>
      </c>
      <c r="C1247" s="243">
        <f t="shared" si="484"/>
        <v>47057</v>
      </c>
      <c r="D1247" s="120">
        <f t="shared" si="485"/>
        <v>31</v>
      </c>
      <c r="E1247" s="120">
        <f t="shared" si="486"/>
        <v>10</v>
      </c>
      <c r="F1247" s="275">
        <f t="shared" si="487"/>
        <v>47042.5</v>
      </c>
      <c r="G1247" s="120">
        <f t="shared" si="488"/>
        <v>24345</v>
      </c>
      <c r="H1247" s="245">
        <f t="shared" si="489"/>
        <v>1</v>
      </c>
      <c r="I1247" s="121">
        <f t="shared" si="490"/>
        <v>1</v>
      </c>
      <c r="J1247" s="121">
        <f t="shared" si="491"/>
        <v>1</v>
      </c>
      <c r="K1247" s="120">
        <f t="shared" si="492"/>
        <v>0</v>
      </c>
      <c r="L1247" s="120">
        <f t="shared" si="493"/>
        <v>0</v>
      </c>
      <c r="M1247" s="246">
        <f t="shared" si="494"/>
        <v>0</v>
      </c>
      <c r="N1247" s="121">
        <f t="shared" si="495"/>
        <v>1</v>
      </c>
      <c r="O1247" s="246">
        <f t="shared" si="496"/>
        <v>0.91</v>
      </c>
      <c r="P1247" s="121">
        <f t="shared" si="497"/>
        <v>0</v>
      </c>
      <c r="Q1247" s="121">
        <f t="shared" si="498"/>
        <v>0</v>
      </c>
      <c r="R1247" s="121">
        <f t="shared" si="499"/>
        <v>0.41666666666666669</v>
      </c>
      <c r="AE1247" s="160">
        <f t="shared" si="500"/>
        <v>0.98913043478260865</v>
      </c>
    </row>
    <row r="1248" spans="1:35" x14ac:dyDescent="0.3">
      <c r="A1248" s="187">
        <v>47</v>
      </c>
      <c r="B1248" s="242">
        <f t="shared" si="501"/>
        <v>47058</v>
      </c>
      <c r="C1248" s="243">
        <f t="shared" si="484"/>
        <v>47087</v>
      </c>
      <c r="D1248" s="120">
        <f t="shared" si="485"/>
        <v>30</v>
      </c>
      <c r="E1248" s="120">
        <f t="shared" si="486"/>
        <v>11</v>
      </c>
      <c r="F1248" s="275">
        <f t="shared" si="487"/>
        <v>47073</v>
      </c>
      <c r="G1248" s="120">
        <f t="shared" si="488"/>
        <v>24346</v>
      </c>
      <c r="H1248" s="245">
        <f t="shared" si="489"/>
        <v>1</v>
      </c>
      <c r="I1248" s="121">
        <f t="shared" si="490"/>
        <v>1</v>
      </c>
      <c r="J1248" s="121">
        <f t="shared" si="491"/>
        <v>1</v>
      </c>
      <c r="K1248" s="120">
        <f t="shared" si="492"/>
        <v>0</v>
      </c>
      <c r="L1248" s="120">
        <f t="shared" si="493"/>
        <v>0</v>
      </c>
      <c r="M1248" s="246">
        <f t="shared" si="494"/>
        <v>0</v>
      </c>
      <c r="N1248" s="121">
        <f t="shared" si="495"/>
        <v>1</v>
      </c>
      <c r="O1248" s="246">
        <f t="shared" si="496"/>
        <v>0.91</v>
      </c>
      <c r="P1248" s="121">
        <f t="shared" si="497"/>
        <v>0</v>
      </c>
      <c r="Q1248" s="121">
        <f t="shared" si="498"/>
        <v>0</v>
      </c>
      <c r="R1248" s="121">
        <f t="shared" si="499"/>
        <v>0.25</v>
      </c>
      <c r="AE1248" s="160">
        <f t="shared" si="500"/>
        <v>0.98913043478260865</v>
      </c>
    </row>
    <row r="1249" spans="1:31" x14ac:dyDescent="0.3">
      <c r="A1249" s="187">
        <v>48</v>
      </c>
      <c r="B1249" s="242">
        <f t="shared" si="501"/>
        <v>47088</v>
      </c>
      <c r="C1249" s="243">
        <f t="shared" si="484"/>
        <v>47118</v>
      </c>
      <c r="D1249" s="120">
        <f t="shared" si="485"/>
        <v>31</v>
      </c>
      <c r="E1249" s="120">
        <f t="shared" si="486"/>
        <v>12</v>
      </c>
      <c r="F1249" s="275">
        <f t="shared" si="487"/>
        <v>47103.5</v>
      </c>
      <c r="G1249" s="120">
        <f t="shared" si="488"/>
        <v>24347</v>
      </c>
      <c r="H1249" s="245">
        <f t="shared" si="489"/>
        <v>1</v>
      </c>
      <c r="I1249" s="121">
        <f t="shared" si="490"/>
        <v>1</v>
      </c>
      <c r="J1249" s="121">
        <f t="shared" si="491"/>
        <v>1</v>
      </c>
      <c r="K1249" s="120">
        <f t="shared" si="492"/>
        <v>0</v>
      </c>
      <c r="L1249" s="120">
        <f t="shared" si="493"/>
        <v>0</v>
      </c>
      <c r="M1249" s="246">
        <f t="shared" si="494"/>
        <v>0</v>
      </c>
      <c r="N1249" s="121">
        <f t="shared" si="495"/>
        <v>1</v>
      </c>
      <c r="O1249" s="246">
        <f t="shared" si="496"/>
        <v>0.91</v>
      </c>
      <c r="P1249" s="121">
        <f t="shared" si="497"/>
        <v>0</v>
      </c>
      <c r="Q1249" s="121">
        <f t="shared" si="498"/>
        <v>0</v>
      </c>
      <c r="R1249" s="121">
        <f t="shared" si="499"/>
        <v>8.3333333333333329E-2</v>
      </c>
      <c r="AE1249" s="160">
        <f t="shared" si="500"/>
        <v>0.98913043478260865</v>
      </c>
    </row>
    <row r="1250" spans="1:31" x14ac:dyDescent="0.3">
      <c r="A1250" s="23" t="s">
        <v>1723</v>
      </c>
      <c r="B1250" s="279">
        <f>SUM($H$1226:$H$1237)</f>
        <v>12</v>
      </c>
      <c r="C1250" s="160">
        <f>SUMPRODUCT($H$1226:$H$1237,$W$1226:$W$1237/$N$1214:$N$1225,$Y$1226:$Y$1237)</f>
        <v>12</v>
      </c>
      <c r="D1250" s="160">
        <f>SUMPRODUCT($H$1226:$H$1237,$X$1226:$X$1237/$N$1214:$N$1225,$Y$1226:$Y$1237)</f>
        <v>9</v>
      </c>
      <c r="E1250" s="281" t="str">
        <f>IF(OR($D$1199=0,$P$1199=0,$D1250=0),"n/a",((1+$E$1199)*$B1250-$C1250)/$D1250)</f>
        <v>n/a</v>
      </c>
      <c r="F1250" s="281" t="str">
        <f>IF($V$1199&lt;&gt;"",$V$1199,$E1250)</f>
        <v>n/a</v>
      </c>
      <c r="G1250" s="281" t="str">
        <f>IF(OR(NOT(ISNUMBER($F1250)),nd_Ach=0),"n/a",$F1250/nd_Ach)</f>
        <v>n/a</v>
      </c>
      <c r="H1250" s="220" t="str">
        <f>IF(OR(NOT(ISNUMBER($F1250)),$F$1199=0,SUMPRODUCT($AD$1226:$AD$1237,$AB$1226:$AB$1237)=0),"n/a",((1+$E$1199)*$B1250-SUMPRODUCT($AD$1226:$AD$1237,$AC$1226:$AC$1237))/SUMPRODUCT($AD$1226:$AD$1237,$AB$1226:$AB$1237))</f>
        <v>n/a</v>
      </c>
      <c r="I1250" s="183" t="str">
        <f>IF(NOT(ISNUMBER($F1250)),"n/a",SUMPRODUCT($H$1226:$H$1237,($W$1226:$W$1237+$X$1226:$X$1237*$F1250)/$N$1214:$N$1225)/$B1250-1)</f>
        <v>n/a</v>
      </c>
      <c r="J1250" s="183" t="str">
        <f>IF(OR(NOT(ISNUMBER($I1250)),$F$1199=0),"n/a",(1+$E$1199)/(1+$I1250)-1)</f>
        <v>n/a</v>
      </c>
      <c r="K1250" s="183" t="str">
        <f>IF(NOT(ISNUMBER($F1250)),"n/a",($C1250+$D1250*$F1250)/$B1250-1)</f>
        <v>n/a</v>
      </c>
      <c r="L1250" s="229" t="str">
        <f>IF(NOT(ISNUMBER($F1250)),"n/a",SUMPRODUCT($H$1226:$H$1237,$AF$1226:$AF$1237)/$B1250)</f>
        <v>n/a</v>
      </c>
      <c r="M1250" s="23" t="str">
        <f>IF($D$1199=0,"",TRIM(IF(AND(ISNUMBER($H1250),OR($H1250&lt;0.5,$H1250&gt;1.5)),"MOD-BOUND ","")&amp;IF(AND(ISNUMBER($F1250),ABS($F1250)&gt;nr_SolvMaxRate),"RATE-BOUND ","")&amp;IF(AND(ISNUMBER($L1250),$L1250&lt;nr_SolvMinShare),"THIN-SHARE ","")&amp;IF($W$1199&gt;1,"MULTI-PLANNED ","")&amp;IF($F$1199=0,"RATE-ONLY","")))</f>
        <v/>
      </c>
      <c r="N1250" s="229" t="str">
        <f>IF(OR($D$1199=0,NOT(ISNUMBER($F1250))),"n/a",INDEX(calc_lrcur,$C$1199)*INDEX(calc_crl,$C$1199)/(SUMPRODUCT($H$1202:$H$1249,$Q$1202:$Q$1249,$AE$1202:$AE$1249)/SUMPRODUCT($H$1202:$H$1249,$Q$1202:$Q$1249))*INDEX(calc_aother,$C$1199))</f>
        <v>n/a</v>
      </c>
      <c r="O1250" s="229" t="str">
        <f>IF($D$1199=0,"n/a",INDEX(calc_cylr_p,$C$1199))</f>
        <v>n/a</v>
      </c>
      <c r="P1250" s="282">
        <f>IF(NOT(ISNUMBER($E1250)),0,ABS(($C1250+$D1250*$E1250)/$B1250-(1+$E$1199)))</f>
        <v>0</v>
      </c>
    </row>
    <row r="1255" spans="1:31" x14ac:dyDescent="0.3">
      <c r="A1255" s="23" t="str">
        <f>_lists!$B$21</f>
        <v>VA</v>
      </c>
      <c r="B1255" s="23" t="str">
        <f>IF(OR($A1255="",nd_BU="All"),"",nd_BU&amp;"|"&amp;$A1255)</f>
        <v>SBA|VA</v>
      </c>
      <c r="C1255" s="43">
        <f>IF($B1255="",0,IF(COUNTIF(lr_key,$B1255)=0,0,MATCH($B1255,lr_key,0)))</f>
        <v>61</v>
      </c>
      <c r="D1255" s="43">
        <f>IF($C1255=0,0,IF(ISBLANK(INDEX(lr_netp,$C1255)),0,1))</f>
        <v>0</v>
      </c>
      <c r="E1255" s="229">
        <f>IF($D1255=0,0,N(INDEX(lr_netp,$C1255)))</f>
        <v>0</v>
      </c>
      <c r="F1255" s="43">
        <f>IF($C1255=0,0,IF(AND(nr_ModAdjMaster="ON",INDEX(lr_modadj,$C1255)="ON"),1,0))</f>
        <v>1</v>
      </c>
      <c r="G1255" s="220">
        <f>IF($C1255=0,1,IF(N(INDEX(lr_mind,$C1255))=0,1,INDEX(lr_mind,$C1255)))</f>
        <v>0.92</v>
      </c>
      <c r="H1255" s="220">
        <f>IF($C1255=0,1,IF(N(INDEX(lr_m0,$C1255))=0,1,INDEX(lr_m0,$C1255)))</f>
        <v>0.91</v>
      </c>
      <c r="I1255" s="278">
        <f>IF($C1255=0,DATE(nr_PlanYear-1,10,1),IF(N(INDEX(lr_m0asof,$C1255))=0,DATE(nr_PlanYear-1,10,1),INDEX(lr_m0asof,$C1255)))</f>
        <v>46295</v>
      </c>
      <c r="J1255" s="220">
        <f>IF($C1255=0,1,IF(N(INDEX(lr_m1,$C1255))=0,1,INDEX(lr_m1,$C1255)))</f>
        <v>0.92500000000000004</v>
      </c>
      <c r="K1255" s="220">
        <f>IF($C1255=0,0,N(INDEX(lr_mprior,$C1255)))</f>
        <v>0</v>
      </c>
      <c r="L1255" s="220">
        <f>IF($C1255=0,0,N(INDEX(lr_m2,$C1255)))</f>
        <v>0</v>
      </c>
      <c r="M1255" s="43">
        <f>IF(OR($A1255="",COUNTIF(se_state,$A1255)=0),0,MATCH($A1255,se_state,0))</f>
        <v>0</v>
      </c>
      <c r="N1255" s="279">
        <f>IF($M1255=0,0,INDEX(se_sum,$M1255))</f>
        <v>0</v>
      </c>
      <c r="O1255" s="278">
        <f>IF('Net Delivery'!$D$27="",$X1255,'Net Delivery'!$D$27)</f>
        <v>46478</v>
      </c>
      <c r="P1255" s="43">
        <f>IF(AND($O1255&gt;=DATE(nr_PlanYear,1,1),$O1255&lt;=DATE(nr_PlanYear,12,31)),1,0)</f>
        <v>1</v>
      </c>
      <c r="Q1255" s="43">
        <f>YEAR($O1255)*12+MONTH($O1255)-1</f>
        <v>24327</v>
      </c>
      <c r="R1255" s="43">
        <f>DAY(EOMONTH($O1255,0))</f>
        <v>30</v>
      </c>
      <c r="S1255" s="43">
        <f>EOMONTH($O1255,0)-$O1255+1</f>
        <v>30</v>
      </c>
      <c r="T1255" s="43">
        <f>SUMIFS(ndl_days,rl_key,$B1255,ndl_effmonth,DATE(YEAR($O1255),MONTH($O1255),1),ndl_first,1)</f>
        <v>0</v>
      </c>
      <c r="U1255" s="220">
        <f>IF($P1255=1,MIN(1,MAX($S1255,$T1255)/$R1255),1)</f>
        <v>1</v>
      </c>
      <c r="V1255" s="280" t="str">
        <f>IF(ISBLANK('Net Delivery'!$E$27),$Y1255,'Net Delivery'!$E$27)</f>
        <v/>
      </c>
      <c r="W1255" s="43">
        <f>IF($B1255="",0,COUNTIFS(rl_key,$B1255,rl_status,"planned",rl_eff,"&gt;="&amp;DATE(nr_PlanYear,1,1),rl_eff,"&lt;="&amp;DATE(nr_PlanYear,12,31)))</f>
        <v>0</v>
      </c>
      <c r="X1255" s="278">
        <f>IF($W1255=0,nd_DefaultDate,SUMIFS(rl_eff,rl_key,$B1255,rl_firstplanned,1))</f>
        <v>46478</v>
      </c>
      <c r="Y1255" s="280" t="str">
        <f>IF($W1255=0,"",SUMIFS(rl_reff,rl_key,$B1255,rl_firstplanned,1))</f>
        <v/>
      </c>
      <c r="Z1255" s="280" t="str">
        <f>IF($W1255=0,"",SUMIFS(rl_filed,rl_key,$B1255,rl_firstplanned,1))</f>
        <v/>
      </c>
    </row>
    <row r="1256" spans="1:31" x14ac:dyDescent="0.3">
      <c r="A1256" s="6">
        <f>EDATE($I$1255,-12)+1</f>
        <v>45931</v>
      </c>
      <c r="B1256" s="6">
        <f>$I$1255+1</f>
        <v>46296</v>
      </c>
      <c r="C1256" s="6">
        <f>DATE(nr_PlanYear,12,31)+1</f>
        <v>46753</v>
      </c>
      <c r="D1256" s="6">
        <f>DATE(nr_PlanYear+1,12,31)+1</f>
        <v>47119</v>
      </c>
      <c r="E1256" s="6">
        <f>IF(N($K$1255)=0,$F$1256-($G$1256-$F$1256)/($C$1256-$B$1256)*($B$1256-$A$1256),$K$1255)</f>
        <v>0.89801969365426693</v>
      </c>
      <c r="F1256" s="6">
        <f>$H$1255</f>
        <v>0.91</v>
      </c>
      <c r="G1256" s="6">
        <f>$J$1255</f>
        <v>0.92500000000000004</v>
      </c>
      <c r="H1256" s="6">
        <f>IF(N($L$1255)=0,$J$1255,$L$1255)</f>
        <v>0.92500000000000004</v>
      </c>
      <c r="I1256" s="6">
        <f>($F$1256-$E$1256)/($B$1256-$A$1256)</f>
        <v>3.2822757111597549E-5</v>
      </c>
      <c r="J1256" s="6">
        <f>($G$1256-$F$1256)/($C$1256-$B$1256)</f>
        <v>3.2822757111597407E-5</v>
      </c>
      <c r="K1256" s="6">
        <f>($H$1256-$G$1256)/($D$1256-$C$1256)</f>
        <v>0</v>
      </c>
    </row>
    <row r="1257" spans="1:31" ht="36" x14ac:dyDescent="0.3">
      <c r="A1257" s="58" t="s">
        <v>390</v>
      </c>
      <c r="B1257" s="58" t="s">
        <v>449</v>
      </c>
      <c r="C1257" s="58" t="s">
        <v>685</v>
      </c>
      <c r="D1257" s="58" t="s">
        <v>686</v>
      </c>
      <c r="E1257" s="58" t="s">
        <v>687</v>
      </c>
      <c r="F1257" s="58" t="s">
        <v>688</v>
      </c>
      <c r="G1257" s="58" t="s">
        <v>689</v>
      </c>
      <c r="H1257" s="58" t="s">
        <v>452</v>
      </c>
      <c r="I1257" s="58" t="s">
        <v>690</v>
      </c>
      <c r="J1257" s="58" t="s">
        <v>691</v>
      </c>
      <c r="K1257" s="58" t="s">
        <v>692</v>
      </c>
      <c r="L1257" s="58" t="s">
        <v>693</v>
      </c>
      <c r="M1257" s="58" t="s">
        <v>694</v>
      </c>
      <c r="N1257" s="58" t="s">
        <v>695</v>
      </c>
      <c r="O1257" s="58" t="s">
        <v>696</v>
      </c>
      <c r="P1257" s="58" t="s">
        <v>697</v>
      </c>
      <c r="Q1257" s="58" t="s">
        <v>698</v>
      </c>
      <c r="R1257" s="58" t="s">
        <v>699</v>
      </c>
      <c r="S1257" s="58" t="s">
        <v>700</v>
      </c>
      <c r="T1257" s="58" t="s">
        <v>701</v>
      </c>
      <c r="U1257" s="58" t="s">
        <v>702</v>
      </c>
    </row>
    <row r="1258" spans="1:31" x14ac:dyDescent="0.3">
      <c r="A1258" s="187">
        <v>1</v>
      </c>
      <c r="B1258" s="242">
        <f>DATE(nr_PlanYear-2,1,1)</f>
        <v>45658</v>
      </c>
      <c r="C1258" s="243">
        <f t="shared" ref="C1258:C1305" si="512">EOMONTH($B1258,0)</f>
        <v>45688</v>
      </c>
      <c r="D1258" s="120">
        <f t="shared" ref="D1258:D1305" si="513">$C1258-$B1258+1</f>
        <v>31</v>
      </c>
      <c r="E1258" s="120">
        <f t="shared" ref="E1258:E1305" si="514">MONTH($B1258)</f>
        <v>1</v>
      </c>
      <c r="F1258" s="275">
        <f t="shared" ref="F1258:F1305" si="515">($B1258+$C1258+1)/2</f>
        <v>45673.5</v>
      </c>
      <c r="G1258" s="120">
        <f t="shared" ref="G1258:G1305" si="516">YEAR($B1258)*12+MONTH($B1258)-1</f>
        <v>24300</v>
      </c>
      <c r="H1258" s="245">
        <f t="shared" ref="H1258:H1305" si="517">IF(OR(nr_SeasonOn="OFF",$M$1255=0,$N$1255=0),1,12*INDEX(se_block,$M$1255,$E1258)/$N$1255)</f>
        <v>1</v>
      </c>
      <c r="I1258" s="121">
        <f t="shared" ref="I1258:I1305" si="518">EXP(SUMPRODUCT((ndl_eff&lt;$B1258)*(rl_key=$B$1255)*ndl_ln))</f>
        <v>1</v>
      </c>
      <c r="J1258" s="121">
        <f t="shared" ref="J1258:J1305" si="519">EXP(SUMPRODUCT((ndl_eff&lt;=$C1258)*(rl_key=$B$1255)*ndl_ln))</f>
        <v>1</v>
      </c>
      <c r="K1258" s="120">
        <f t="shared" ref="K1258:K1305" si="520">COUNTIFS(rl_key,$B$1255,ndl_eff,"&gt;="&amp;$B1258,ndl_eff,"&lt;="&amp;$C1258)</f>
        <v>0</v>
      </c>
      <c r="L1258" s="120">
        <f t="shared" ref="L1258:L1305" si="521">SUMIFS(ndl_days,rl_key,$B$1255,ndl_effmonth,$B1258,ndl_first,1)</f>
        <v>0</v>
      </c>
      <c r="M1258" s="246">
        <f t="shared" ref="M1258:M1305" si="522">IF($K1258=0,0,MIN(1,$L1258/$D1258))</f>
        <v>0</v>
      </c>
      <c r="N1258" s="121">
        <f t="shared" ref="N1258:N1305" si="523">IF($K1258=0,$J1258,(1-$M1258)*$I1258+$M1258*$J1258)</f>
        <v>1</v>
      </c>
      <c r="O1258" s="246">
        <f t="shared" ref="O1258:O1305" si="524">IF($F1258&lt;$B$1256,$E$1256+$I$1256*($F1258-$A$1256),IF($F1258&lt;$C$1256,$F$1256+$J$1256*($F1258-$B$1256),$G$1256+$K$1256*($F1258-$C$1256)))</f>
        <v>0.88956783369803061</v>
      </c>
      <c r="P1258" s="121">
        <f t="shared" ref="P1258:P1305" si="525">MIN(1,MAX(0,(nr_MEndPm1-$G1258+0.5)/nr_TermMonths))-MIN(1,MAX(0,(nr_MStartPm1-1-$G1258+0.5)/nr_TermMonths))</f>
        <v>0</v>
      </c>
      <c r="Q1258" s="121">
        <f t="shared" ref="Q1258:Q1305" si="526">MIN(1,MAX(0,(nr_MEndP-$G1258+0.5)/nr_TermMonths))-MIN(1,MAX(0,(nr_MStartP-1-$G1258+0.5)/nr_TermMonths))</f>
        <v>0</v>
      </c>
      <c r="R1258" s="121">
        <f t="shared" ref="R1258:R1305" si="527">MIN(1,MAX(0,(nr_MEndP1-$G1258+0.5)/nr_TermMonths))-MIN(1,MAX(0,(nr_MStartP1-1-$G1258+0.5)/nr_TermMonths))</f>
        <v>0</v>
      </c>
      <c r="AE1258" s="160">
        <f t="shared" ref="AE1258:AE1305" si="528">IF(OR($G1258&lt;nr_MStartP,$G1258&gt;=nr_MStartP1),IF($F$1255=1,$N1258*$O1258/$G$1255,$N1258),($W1258+$X1258*IF(ISNUMBER($F$1306),$F$1306,0))*IF($F$1255=1,($AC1258+$AB1258*IF(ISNUMBER($H$1306),$H$1306,$J$1255))/$G$1255,1))</f>
        <v>0.96692155836742455</v>
      </c>
    </row>
    <row r="1259" spans="1:31" x14ac:dyDescent="0.3">
      <c r="A1259" s="187">
        <v>2</v>
      </c>
      <c r="B1259" s="242">
        <f t="shared" ref="B1259:B1305" si="529">EDATE($B1258,1)</f>
        <v>45689</v>
      </c>
      <c r="C1259" s="243">
        <f t="shared" si="512"/>
        <v>45716</v>
      </c>
      <c r="D1259" s="120">
        <f t="shared" si="513"/>
        <v>28</v>
      </c>
      <c r="E1259" s="120">
        <f t="shared" si="514"/>
        <v>2</v>
      </c>
      <c r="F1259" s="275">
        <f t="shared" si="515"/>
        <v>45703</v>
      </c>
      <c r="G1259" s="120">
        <f t="shared" si="516"/>
        <v>24301</v>
      </c>
      <c r="H1259" s="245">
        <f t="shared" si="517"/>
        <v>1</v>
      </c>
      <c r="I1259" s="121">
        <f t="shared" si="518"/>
        <v>1</v>
      </c>
      <c r="J1259" s="121">
        <f t="shared" si="519"/>
        <v>1</v>
      </c>
      <c r="K1259" s="120">
        <f t="shared" si="520"/>
        <v>0</v>
      </c>
      <c r="L1259" s="120">
        <f t="shared" si="521"/>
        <v>0</v>
      </c>
      <c r="M1259" s="246">
        <f t="shared" si="522"/>
        <v>0</v>
      </c>
      <c r="N1259" s="121">
        <f t="shared" si="523"/>
        <v>1</v>
      </c>
      <c r="O1259" s="246">
        <f t="shared" si="524"/>
        <v>0.89053610503282266</v>
      </c>
      <c r="P1259" s="121">
        <f t="shared" si="525"/>
        <v>0</v>
      </c>
      <c r="Q1259" s="121">
        <f t="shared" si="526"/>
        <v>0</v>
      </c>
      <c r="R1259" s="121">
        <f t="shared" si="527"/>
        <v>0</v>
      </c>
      <c r="AE1259" s="160">
        <f t="shared" si="528"/>
        <v>0.9679740272095898</v>
      </c>
    </row>
    <row r="1260" spans="1:31" x14ac:dyDescent="0.3">
      <c r="A1260" s="187">
        <v>3</v>
      </c>
      <c r="B1260" s="242">
        <f t="shared" si="529"/>
        <v>45717</v>
      </c>
      <c r="C1260" s="243">
        <f t="shared" si="512"/>
        <v>45747</v>
      </c>
      <c r="D1260" s="120">
        <f t="shared" si="513"/>
        <v>31</v>
      </c>
      <c r="E1260" s="120">
        <f t="shared" si="514"/>
        <v>3</v>
      </c>
      <c r="F1260" s="275">
        <f t="shared" si="515"/>
        <v>45732.5</v>
      </c>
      <c r="G1260" s="120">
        <f t="shared" si="516"/>
        <v>24302</v>
      </c>
      <c r="H1260" s="245">
        <f t="shared" si="517"/>
        <v>1</v>
      </c>
      <c r="I1260" s="121">
        <f t="shared" si="518"/>
        <v>1</v>
      </c>
      <c r="J1260" s="121">
        <f t="shared" si="519"/>
        <v>1</v>
      </c>
      <c r="K1260" s="120">
        <f t="shared" si="520"/>
        <v>0</v>
      </c>
      <c r="L1260" s="120">
        <f t="shared" si="521"/>
        <v>0</v>
      </c>
      <c r="M1260" s="246">
        <f t="shared" si="522"/>
        <v>0</v>
      </c>
      <c r="N1260" s="121">
        <f t="shared" si="523"/>
        <v>1</v>
      </c>
      <c r="O1260" s="246">
        <f t="shared" si="524"/>
        <v>0.89150437636761481</v>
      </c>
      <c r="P1260" s="121">
        <f t="shared" si="525"/>
        <v>0</v>
      </c>
      <c r="Q1260" s="121">
        <f t="shared" si="526"/>
        <v>0</v>
      </c>
      <c r="R1260" s="121">
        <f t="shared" si="527"/>
        <v>0</v>
      </c>
      <c r="AE1260" s="160">
        <f t="shared" si="528"/>
        <v>0.96902649605175517</v>
      </c>
    </row>
    <row r="1261" spans="1:31" x14ac:dyDescent="0.3">
      <c r="A1261" s="187">
        <v>4</v>
      </c>
      <c r="B1261" s="242">
        <f t="shared" si="529"/>
        <v>45748</v>
      </c>
      <c r="C1261" s="243">
        <f t="shared" si="512"/>
        <v>45777</v>
      </c>
      <c r="D1261" s="120">
        <f t="shared" si="513"/>
        <v>30</v>
      </c>
      <c r="E1261" s="120">
        <f t="shared" si="514"/>
        <v>4</v>
      </c>
      <c r="F1261" s="275">
        <f t="shared" si="515"/>
        <v>45763</v>
      </c>
      <c r="G1261" s="120">
        <f t="shared" si="516"/>
        <v>24303</v>
      </c>
      <c r="H1261" s="245">
        <f t="shared" si="517"/>
        <v>1</v>
      </c>
      <c r="I1261" s="121">
        <f t="shared" si="518"/>
        <v>1</v>
      </c>
      <c r="J1261" s="121">
        <f t="shared" si="519"/>
        <v>1</v>
      </c>
      <c r="K1261" s="120">
        <f t="shared" si="520"/>
        <v>0</v>
      </c>
      <c r="L1261" s="120">
        <f t="shared" si="521"/>
        <v>0</v>
      </c>
      <c r="M1261" s="246">
        <f t="shared" si="522"/>
        <v>0</v>
      </c>
      <c r="N1261" s="121">
        <f t="shared" si="523"/>
        <v>1</v>
      </c>
      <c r="O1261" s="246">
        <f t="shared" si="524"/>
        <v>0.89250547045951856</v>
      </c>
      <c r="P1261" s="121">
        <f t="shared" si="525"/>
        <v>0</v>
      </c>
      <c r="Q1261" s="121">
        <f t="shared" si="526"/>
        <v>0</v>
      </c>
      <c r="R1261" s="121">
        <f t="shared" si="527"/>
        <v>0</v>
      </c>
      <c r="AE1261" s="160">
        <f t="shared" si="528"/>
        <v>0.97011464180382445</v>
      </c>
    </row>
    <row r="1262" spans="1:31" x14ac:dyDescent="0.3">
      <c r="A1262" s="187">
        <v>5</v>
      </c>
      <c r="B1262" s="242">
        <f t="shared" si="529"/>
        <v>45778</v>
      </c>
      <c r="C1262" s="243">
        <f t="shared" si="512"/>
        <v>45808</v>
      </c>
      <c r="D1262" s="120">
        <f t="shared" si="513"/>
        <v>31</v>
      </c>
      <c r="E1262" s="120">
        <f t="shared" si="514"/>
        <v>5</v>
      </c>
      <c r="F1262" s="275">
        <f t="shared" si="515"/>
        <v>45793.5</v>
      </c>
      <c r="G1262" s="120">
        <f t="shared" si="516"/>
        <v>24304</v>
      </c>
      <c r="H1262" s="245">
        <f t="shared" si="517"/>
        <v>1</v>
      </c>
      <c r="I1262" s="121">
        <f t="shared" si="518"/>
        <v>1</v>
      </c>
      <c r="J1262" s="121">
        <f t="shared" si="519"/>
        <v>1</v>
      </c>
      <c r="K1262" s="120">
        <f t="shared" si="520"/>
        <v>0</v>
      </c>
      <c r="L1262" s="120">
        <f t="shared" si="521"/>
        <v>0</v>
      </c>
      <c r="M1262" s="246">
        <f t="shared" si="522"/>
        <v>0</v>
      </c>
      <c r="N1262" s="121">
        <f t="shared" si="523"/>
        <v>1</v>
      </c>
      <c r="O1262" s="246">
        <f t="shared" si="524"/>
        <v>0.8935065645514223</v>
      </c>
      <c r="P1262" s="121">
        <f t="shared" si="525"/>
        <v>0</v>
      </c>
      <c r="Q1262" s="121">
        <f t="shared" si="526"/>
        <v>0</v>
      </c>
      <c r="R1262" s="121">
        <f t="shared" si="527"/>
        <v>0</v>
      </c>
      <c r="AE1262" s="160">
        <f t="shared" si="528"/>
        <v>0.97120278755589373</v>
      </c>
    </row>
    <row r="1263" spans="1:31" x14ac:dyDescent="0.3">
      <c r="A1263" s="187">
        <v>6</v>
      </c>
      <c r="B1263" s="242">
        <f t="shared" si="529"/>
        <v>45809</v>
      </c>
      <c r="C1263" s="243">
        <f t="shared" si="512"/>
        <v>45838</v>
      </c>
      <c r="D1263" s="120">
        <f t="shared" si="513"/>
        <v>30</v>
      </c>
      <c r="E1263" s="120">
        <f t="shared" si="514"/>
        <v>6</v>
      </c>
      <c r="F1263" s="275">
        <f t="shared" si="515"/>
        <v>45824</v>
      </c>
      <c r="G1263" s="120">
        <f t="shared" si="516"/>
        <v>24305</v>
      </c>
      <c r="H1263" s="245">
        <f t="shared" si="517"/>
        <v>1</v>
      </c>
      <c r="I1263" s="121">
        <f t="shared" si="518"/>
        <v>1</v>
      </c>
      <c r="J1263" s="121">
        <f t="shared" si="519"/>
        <v>1</v>
      </c>
      <c r="K1263" s="120">
        <f t="shared" si="520"/>
        <v>0</v>
      </c>
      <c r="L1263" s="120">
        <f t="shared" si="521"/>
        <v>0</v>
      </c>
      <c r="M1263" s="246">
        <f t="shared" si="522"/>
        <v>0</v>
      </c>
      <c r="N1263" s="121">
        <f t="shared" si="523"/>
        <v>1</v>
      </c>
      <c r="O1263" s="246">
        <f t="shared" si="524"/>
        <v>0.89450765864332604</v>
      </c>
      <c r="P1263" s="121">
        <f t="shared" si="525"/>
        <v>0</v>
      </c>
      <c r="Q1263" s="121">
        <f t="shared" si="526"/>
        <v>0</v>
      </c>
      <c r="R1263" s="121">
        <f t="shared" si="527"/>
        <v>0</v>
      </c>
      <c r="AE1263" s="160">
        <f t="shared" si="528"/>
        <v>0.97229093330796301</v>
      </c>
    </row>
    <row r="1264" spans="1:31" x14ac:dyDescent="0.3">
      <c r="A1264" s="187">
        <v>7</v>
      </c>
      <c r="B1264" s="242">
        <f t="shared" si="529"/>
        <v>45839</v>
      </c>
      <c r="C1264" s="243">
        <f t="shared" si="512"/>
        <v>45869</v>
      </c>
      <c r="D1264" s="120">
        <f t="shared" si="513"/>
        <v>31</v>
      </c>
      <c r="E1264" s="120">
        <f t="shared" si="514"/>
        <v>7</v>
      </c>
      <c r="F1264" s="275">
        <f t="shared" si="515"/>
        <v>45854.5</v>
      </c>
      <c r="G1264" s="120">
        <f t="shared" si="516"/>
        <v>24306</v>
      </c>
      <c r="H1264" s="245">
        <f t="shared" si="517"/>
        <v>1</v>
      </c>
      <c r="I1264" s="121">
        <f t="shared" si="518"/>
        <v>1</v>
      </c>
      <c r="J1264" s="121">
        <f t="shared" si="519"/>
        <v>1</v>
      </c>
      <c r="K1264" s="120">
        <f t="shared" si="520"/>
        <v>0</v>
      </c>
      <c r="L1264" s="120">
        <f t="shared" si="521"/>
        <v>0</v>
      </c>
      <c r="M1264" s="246">
        <f t="shared" si="522"/>
        <v>0</v>
      </c>
      <c r="N1264" s="121">
        <f t="shared" si="523"/>
        <v>1</v>
      </c>
      <c r="O1264" s="246">
        <f t="shared" si="524"/>
        <v>0.89550875273522967</v>
      </c>
      <c r="P1264" s="121">
        <f t="shared" si="525"/>
        <v>8.333333333333337E-2</v>
      </c>
      <c r="Q1264" s="121">
        <f t="shared" si="526"/>
        <v>0</v>
      </c>
      <c r="R1264" s="121">
        <f t="shared" si="527"/>
        <v>0</v>
      </c>
      <c r="AE1264" s="160">
        <f t="shared" si="528"/>
        <v>0.97337907906003218</v>
      </c>
    </row>
    <row r="1265" spans="1:31" x14ac:dyDescent="0.3">
      <c r="A1265" s="187">
        <v>8</v>
      </c>
      <c r="B1265" s="242">
        <f t="shared" si="529"/>
        <v>45870</v>
      </c>
      <c r="C1265" s="243">
        <f t="shared" si="512"/>
        <v>45900</v>
      </c>
      <c r="D1265" s="120">
        <f t="shared" si="513"/>
        <v>31</v>
      </c>
      <c r="E1265" s="120">
        <f t="shared" si="514"/>
        <v>8</v>
      </c>
      <c r="F1265" s="275">
        <f t="shared" si="515"/>
        <v>45885.5</v>
      </c>
      <c r="G1265" s="120">
        <f t="shared" si="516"/>
        <v>24307</v>
      </c>
      <c r="H1265" s="245">
        <f t="shared" si="517"/>
        <v>1</v>
      </c>
      <c r="I1265" s="121">
        <f t="shared" si="518"/>
        <v>1</v>
      </c>
      <c r="J1265" s="121">
        <f t="shared" si="519"/>
        <v>1</v>
      </c>
      <c r="K1265" s="120">
        <f t="shared" si="520"/>
        <v>0</v>
      </c>
      <c r="L1265" s="120">
        <f t="shared" si="521"/>
        <v>0</v>
      </c>
      <c r="M1265" s="246">
        <f t="shared" si="522"/>
        <v>0</v>
      </c>
      <c r="N1265" s="121">
        <f t="shared" si="523"/>
        <v>1</v>
      </c>
      <c r="O1265" s="246">
        <f t="shared" si="524"/>
        <v>0.89652625820568921</v>
      </c>
      <c r="P1265" s="121">
        <f t="shared" si="525"/>
        <v>0.25</v>
      </c>
      <c r="Q1265" s="121">
        <f t="shared" si="526"/>
        <v>0</v>
      </c>
      <c r="R1265" s="121">
        <f t="shared" si="527"/>
        <v>0</v>
      </c>
      <c r="AE1265" s="160">
        <f t="shared" si="528"/>
        <v>0.97448506326705342</v>
      </c>
    </row>
    <row r="1266" spans="1:31" x14ac:dyDescent="0.3">
      <c r="A1266" s="187">
        <v>9</v>
      </c>
      <c r="B1266" s="242">
        <f t="shared" si="529"/>
        <v>45901</v>
      </c>
      <c r="C1266" s="243">
        <f t="shared" si="512"/>
        <v>45930</v>
      </c>
      <c r="D1266" s="120">
        <f t="shared" si="513"/>
        <v>30</v>
      </c>
      <c r="E1266" s="120">
        <f t="shared" si="514"/>
        <v>9</v>
      </c>
      <c r="F1266" s="275">
        <f t="shared" si="515"/>
        <v>45916</v>
      </c>
      <c r="G1266" s="120">
        <f t="shared" si="516"/>
        <v>24308</v>
      </c>
      <c r="H1266" s="245">
        <f t="shared" si="517"/>
        <v>1</v>
      </c>
      <c r="I1266" s="121">
        <f t="shared" si="518"/>
        <v>1</v>
      </c>
      <c r="J1266" s="121">
        <f t="shared" si="519"/>
        <v>1</v>
      </c>
      <c r="K1266" s="120">
        <f t="shared" si="520"/>
        <v>0</v>
      </c>
      <c r="L1266" s="120">
        <f t="shared" si="521"/>
        <v>0</v>
      </c>
      <c r="M1266" s="246">
        <f t="shared" si="522"/>
        <v>0</v>
      </c>
      <c r="N1266" s="121">
        <f t="shared" si="523"/>
        <v>1</v>
      </c>
      <c r="O1266" s="246">
        <f t="shared" si="524"/>
        <v>0.89752735229759295</v>
      </c>
      <c r="P1266" s="121">
        <f t="shared" si="525"/>
        <v>0.41666666666666663</v>
      </c>
      <c r="Q1266" s="121">
        <f t="shared" si="526"/>
        <v>0</v>
      </c>
      <c r="R1266" s="121">
        <f t="shared" si="527"/>
        <v>0</v>
      </c>
      <c r="AE1266" s="160">
        <f t="shared" si="528"/>
        <v>0.9755732090191227</v>
      </c>
    </row>
    <row r="1267" spans="1:31" x14ac:dyDescent="0.3">
      <c r="A1267" s="187">
        <v>10</v>
      </c>
      <c r="B1267" s="242">
        <f t="shared" si="529"/>
        <v>45931</v>
      </c>
      <c r="C1267" s="243">
        <f t="shared" si="512"/>
        <v>45961</v>
      </c>
      <c r="D1267" s="120">
        <f t="shared" si="513"/>
        <v>31</v>
      </c>
      <c r="E1267" s="120">
        <f t="shared" si="514"/>
        <v>10</v>
      </c>
      <c r="F1267" s="275">
        <f t="shared" si="515"/>
        <v>45946.5</v>
      </c>
      <c r="G1267" s="120">
        <f t="shared" si="516"/>
        <v>24309</v>
      </c>
      <c r="H1267" s="245">
        <f t="shared" si="517"/>
        <v>1</v>
      </c>
      <c r="I1267" s="121">
        <f t="shared" si="518"/>
        <v>1</v>
      </c>
      <c r="J1267" s="121">
        <f t="shared" si="519"/>
        <v>1</v>
      </c>
      <c r="K1267" s="120">
        <f t="shared" si="520"/>
        <v>0</v>
      </c>
      <c r="L1267" s="120">
        <f t="shared" si="521"/>
        <v>0</v>
      </c>
      <c r="M1267" s="246">
        <f t="shared" si="522"/>
        <v>0</v>
      </c>
      <c r="N1267" s="121">
        <f t="shared" si="523"/>
        <v>1</v>
      </c>
      <c r="O1267" s="246">
        <f t="shared" si="524"/>
        <v>0.89852844638949669</v>
      </c>
      <c r="P1267" s="121">
        <f t="shared" si="525"/>
        <v>0.58333333333333326</v>
      </c>
      <c r="Q1267" s="121">
        <f t="shared" si="526"/>
        <v>0</v>
      </c>
      <c r="R1267" s="121">
        <f t="shared" si="527"/>
        <v>0</v>
      </c>
      <c r="AE1267" s="160">
        <f t="shared" si="528"/>
        <v>0.97666135477119198</v>
      </c>
    </row>
    <row r="1268" spans="1:31" x14ac:dyDescent="0.3">
      <c r="A1268" s="187">
        <v>11</v>
      </c>
      <c r="B1268" s="242">
        <f t="shared" si="529"/>
        <v>45962</v>
      </c>
      <c r="C1268" s="243">
        <f t="shared" si="512"/>
        <v>45991</v>
      </c>
      <c r="D1268" s="120">
        <f t="shared" si="513"/>
        <v>30</v>
      </c>
      <c r="E1268" s="120">
        <f t="shared" si="514"/>
        <v>11</v>
      </c>
      <c r="F1268" s="275">
        <f t="shared" si="515"/>
        <v>45977</v>
      </c>
      <c r="G1268" s="120">
        <f t="shared" si="516"/>
        <v>24310</v>
      </c>
      <c r="H1268" s="245">
        <f t="shared" si="517"/>
        <v>1</v>
      </c>
      <c r="I1268" s="121">
        <f t="shared" si="518"/>
        <v>1</v>
      </c>
      <c r="J1268" s="121">
        <f t="shared" si="519"/>
        <v>1</v>
      </c>
      <c r="K1268" s="120">
        <f t="shared" si="520"/>
        <v>0</v>
      </c>
      <c r="L1268" s="120">
        <f t="shared" si="521"/>
        <v>0</v>
      </c>
      <c r="M1268" s="246">
        <f t="shared" si="522"/>
        <v>0</v>
      </c>
      <c r="N1268" s="121">
        <f t="shared" si="523"/>
        <v>1</v>
      </c>
      <c r="O1268" s="246">
        <f t="shared" si="524"/>
        <v>0.89952954048140044</v>
      </c>
      <c r="P1268" s="121">
        <f t="shared" si="525"/>
        <v>0.75</v>
      </c>
      <c r="Q1268" s="121">
        <f t="shared" si="526"/>
        <v>0</v>
      </c>
      <c r="R1268" s="121">
        <f t="shared" si="527"/>
        <v>0</v>
      </c>
      <c r="AE1268" s="160">
        <f t="shared" si="528"/>
        <v>0.97774950052326126</v>
      </c>
    </row>
    <row r="1269" spans="1:31" x14ac:dyDescent="0.3">
      <c r="A1269" s="187">
        <v>12</v>
      </c>
      <c r="B1269" s="242">
        <f t="shared" si="529"/>
        <v>45992</v>
      </c>
      <c r="C1269" s="243">
        <f t="shared" si="512"/>
        <v>46022</v>
      </c>
      <c r="D1269" s="120">
        <f t="shared" si="513"/>
        <v>31</v>
      </c>
      <c r="E1269" s="120">
        <f t="shared" si="514"/>
        <v>12</v>
      </c>
      <c r="F1269" s="275">
        <f t="shared" si="515"/>
        <v>46007.5</v>
      </c>
      <c r="G1269" s="120">
        <f t="shared" si="516"/>
        <v>24311</v>
      </c>
      <c r="H1269" s="245">
        <f t="shared" si="517"/>
        <v>1</v>
      </c>
      <c r="I1269" s="121">
        <f t="shared" si="518"/>
        <v>1</v>
      </c>
      <c r="J1269" s="121">
        <f t="shared" si="519"/>
        <v>1</v>
      </c>
      <c r="K1269" s="120">
        <f t="shared" si="520"/>
        <v>0</v>
      </c>
      <c r="L1269" s="120">
        <f t="shared" si="521"/>
        <v>0</v>
      </c>
      <c r="M1269" s="246">
        <f t="shared" si="522"/>
        <v>0</v>
      </c>
      <c r="N1269" s="121">
        <f t="shared" si="523"/>
        <v>1</v>
      </c>
      <c r="O1269" s="246">
        <f t="shared" si="524"/>
        <v>0.90053063457330418</v>
      </c>
      <c r="P1269" s="121">
        <f t="shared" si="525"/>
        <v>0.91666666666666663</v>
      </c>
      <c r="Q1269" s="121">
        <f t="shared" si="526"/>
        <v>0</v>
      </c>
      <c r="R1269" s="121">
        <f t="shared" si="527"/>
        <v>0</v>
      </c>
      <c r="AE1269" s="160">
        <f t="shared" si="528"/>
        <v>0.97883764627533054</v>
      </c>
    </row>
    <row r="1270" spans="1:31" x14ac:dyDescent="0.3">
      <c r="A1270" s="187">
        <v>13</v>
      </c>
      <c r="B1270" s="242">
        <f t="shared" si="529"/>
        <v>46023</v>
      </c>
      <c r="C1270" s="243">
        <f t="shared" si="512"/>
        <v>46053</v>
      </c>
      <c r="D1270" s="120">
        <f t="shared" si="513"/>
        <v>31</v>
      </c>
      <c r="E1270" s="120">
        <f t="shared" si="514"/>
        <v>1</v>
      </c>
      <c r="F1270" s="275">
        <f t="shared" si="515"/>
        <v>46038.5</v>
      </c>
      <c r="G1270" s="120">
        <f t="shared" si="516"/>
        <v>24312</v>
      </c>
      <c r="H1270" s="245">
        <f t="shared" si="517"/>
        <v>1</v>
      </c>
      <c r="I1270" s="121">
        <f t="shared" si="518"/>
        <v>1</v>
      </c>
      <c r="J1270" s="121">
        <f t="shared" si="519"/>
        <v>1.02</v>
      </c>
      <c r="K1270" s="120">
        <f t="shared" si="520"/>
        <v>1</v>
      </c>
      <c r="L1270" s="120">
        <f t="shared" si="521"/>
        <v>31</v>
      </c>
      <c r="M1270" s="246">
        <f t="shared" si="522"/>
        <v>1</v>
      </c>
      <c r="N1270" s="121">
        <f t="shared" si="523"/>
        <v>1.02</v>
      </c>
      <c r="O1270" s="246">
        <f t="shared" si="524"/>
        <v>0.90154814004376371</v>
      </c>
      <c r="P1270" s="121">
        <f t="shared" si="525"/>
        <v>1</v>
      </c>
      <c r="Q1270" s="121">
        <f t="shared" si="526"/>
        <v>0</v>
      </c>
      <c r="R1270" s="121">
        <f t="shared" si="527"/>
        <v>0</v>
      </c>
      <c r="AE1270" s="160">
        <f t="shared" si="528"/>
        <v>0.99954250309199877</v>
      </c>
    </row>
    <row r="1271" spans="1:31" x14ac:dyDescent="0.3">
      <c r="A1271" s="187">
        <v>14</v>
      </c>
      <c r="B1271" s="242">
        <f t="shared" si="529"/>
        <v>46054</v>
      </c>
      <c r="C1271" s="243">
        <f t="shared" si="512"/>
        <v>46081</v>
      </c>
      <c r="D1271" s="120">
        <f t="shared" si="513"/>
        <v>28</v>
      </c>
      <c r="E1271" s="120">
        <f t="shared" si="514"/>
        <v>2</v>
      </c>
      <c r="F1271" s="275">
        <f t="shared" si="515"/>
        <v>46068</v>
      </c>
      <c r="G1271" s="120">
        <f t="shared" si="516"/>
        <v>24313</v>
      </c>
      <c r="H1271" s="245">
        <f t="shared" si="517"/>
        <v>1</v>
      </c>
      <c r="I1271" s="121">
        <f t="shared" si="518"/>
        <v>1.02</v>
      </c>
      <c r="J1271" s="121">
        <f t="shared" si="519"/>
        <v>1.02</v>
      </c>
      <c r="K1271" s="120">
        <f t="shared" si="520"/>
        <v>0</v>
      </c>
      <c r="L1271" s="120">
        <f t="shared" si="521"/>
        <v>0</v>
      </c>
      <c r="M1271" s="246">
        <f t="shared" si="522"/>
        <v>0</v>
      </c>
      <c r="N1271" s="121">
        <f t="shared" si="523"/>
        <v>1.02</v>
      </c>
      <c r="O1271" s="246">
        <f t="shared" si="524"/>
        <v>0.90251641137855576</v>
      </c>
      <c r="P1271" s="121">
        <f t="shared" si="525"/>
        <v>1</v>
      </c>
      <c r="Q1271" s="121">
        <f t="shared" si="526"/>
        <v>0</v>
      </c>
      <c r="R1271" s="121">
        <f t="shared" si="527"/>
        <v>0</v>
      </c>
      <c r="AE1271" s="160">
        <f t="shared" si="528"/>
        <v>1.0006160213110074</v>
      </c>
    </row>
    <row r="1272" spans="1:31" x14ac:dyDescent="0.3">
      <c r="A1272" s="187">
        <v>15</v>
      </c>
      <c r="B1272" s="242">
        <f t="shared" si="529"/>
        <v>46082</v>
      </c>
      <c r="C1272" s="243">
        <f t="shared" si="512"/>
        <v>46112</v>
      </c>
      <c r="D1272" s="120">
        <f t="shared" si="513"/>
        <v>31</v>
      </c>
      <c r="E1272" s="120">
        <f t="shared" si="514"/>
        <v>3</v>
      </c>
      <c r="F1272" s="275">
        <f t="shared" si="515"/>
        <v>46097.5</v>
      </c>
      <c r="G1272" s="120">
        <f t="shared" si="516"/>
        <v>24314</v>
      </c>
      <c r="H1272" s="245">
        <f t="shared" si="517"/>
        <v>1</v>
      </c>
      <c r="I1272" s="121">
        <f t="shared" si="518"/>
        <v>1.02</v>
      </c>
      <c r="J1272" s="121">
        <f t="shared" si="519"/>
        <v>1.02</v>
      </c>
      <c r="K1272" s="120">
        <f t="shared" si="520"/>
        <v>0</v>
      </c>
      <c r="L1272" s="120">
        <f t="shared" si="521"/>
        <v>0</v>
      </c>
      <c r="M1272" s="246">
        <f t="shared" si="522"/>
        <v>0</v>
      </c>
      <c r="N1272" s="121">
        <f t="shared" si="523"/>
        <v>1.02</v>
      </c>
      <c r="O1272" s="246">
        <f t="shared" si="524"/>
        <v>0.90348468271334792</v>
      </c>
      <c r="P1272" s="121">
        <f t="shared" si="525"/>
        <v>1</v>
      </c>
      <c r="Q1272" s="121">
        <f t="shared" si="526"/>
        <v>0</v>
      </c>
      <c r="R1272" s="121">
        <f t="shared" si="527"/>
        <v>0</v>
      </c>
      <c r="AE1272" s="160">
        <f t="shared" si="528"/>
        <v>1.0016895395300163</v>
      </c>
    </row>
    <row r="1273" spans="1:31" x14ac:dyDescent="0.3">
      <c r="A1273" s="187">
        <v>16</v>
      </c>
      <c r="B1273" s="242">
        <f t="shared" si="529"/>
        <v>46113</v>
      </c>
      <c r="C1273" s="243">
        <f t="shared" si="512"/>
        <v>46142</v>
      </c>
      <c r="D1273" s="120">
        <f t="shared" si="513"/>
        <v>30</v>
      </c>
      <c r="E1273" s="120">
        <f t="shared" si="514"/>
        <v>4</v>
      </c>
      <c r="F1273" s="275">
        <f t="shared" si="515"/>
        <v>46128</v>
      </c>
      <c r="G1273" s="120">
        <f t="shared" si="516"/>
        <v>24315</v>
      </c>
      <c r="H1273" s="245">
        <f t="shared" si="517"/>
        <v>1</v>
      </c>
      <c r="I1273" s="121">
        <f t="shared" si="518"/>
        <v>1.02</v>
      </c>
      <c r="J1273" s="121">
        <f t="shared" si="519"/>
        <v>1.02</v>
      </c>
      <c r="K1273" s="120">
        <f t="shared" si="520"/>
        <v>0</v>
      </c>
      <c r="L1273" s="120">
        <f t="shared" si="521"/>
        <v>0</v>
      </c>
      <c r="M1273" s="246">
        <f t="shared" si="522"/>
        <v>0</v>
      </c>
      <c r="N1273" s="121">
        <f t="shared" si="523"/>
        <v>1.02</v>
      </c>
      <c r="O1273" s="246">
        <f t="shared" si="524"/>
        <v>0.90448577680525166</v>
      </c>
      <c r="P1273" s="121">
        <f t="shared" si="525"/>
        <v>1</v>
      </c>
      <c r="Q1273" s="121">
        <f t="shared" si="526"/>
        <v>0</v>
      </c>
      <c r="R1273" s="121">
        <f t="shared" si="527"/>
        <v>0</v>
      </c>
      <c r="AE1273" s="160">
        <f t="shared" si="528"/>
        <v>1.0027994481971267</v>
      </c>
    </row>
    <row r="1274" spans="1:31" x14ac:dyDescent="0.3">
      <c r="A1274" s="187">
        <v>17</v>
      </c>
      <c r="B1274" s="242">
        <f t="shared" si="529"/>
        <v>46143</v>
      </c>
      <c r="C1274" s="243">
        <f t="shared" si="512"/>
        <v>46173</v>
      </c>
      <c r="D1274" s="120">
        <f t="shared" si="513"/>
        <v>31</v>
      </c>
      <c r="E1274" s="120">
        <f t="shared" si="514"/>
        <v>5</v>
      </c>
      <c r="F1274" s="275">
        <f t="shared" si="515"/>
        <v>46158.5</v>
      </c>
      <c r="G1274" s="120">
        <f t="shared" si="516"/>
        <v>24316</v>
      </c>
      <c r="H1274" s="245">
        <f t="shared" si="517"/>
        <v>1</v>
      </c>
      <c r="I1274" s="121">
        <f t="shared" si="518"/>
        <v>1.02</v>
      </c>
      <c r="J1274" s="121">
        <f t="shared" si="519"/>
        <v>1.02</v>
      </c>
      <c r="K1274" s="120">
        <f t="shared" si="520"/>
        <v>0</v>
      </c>
      <c r="L1274" s="120">
        <f t="shared" si="521"/>
        <v>0</v>
      </c>
      <c r="M1274" s="246">
        <f t="shared" si="522"/>
        <v>0</v>
      </c>
      <c r="N1274" s="121">
        <f t="shared" si="523"/>
        <v>1.02</v>
      </c>
      <c r="O1274" s="246">
        <f t="shared" si="524"/>
        <v>0.9054868708971554</v>
      </c>
      <c r="P1274" s="121">
        <f t="shared" si="525"/>
        <v>1</v>
      </c>
      <c r="Q1274" s="121">
        <f t="shared" si="526"/>
        <v>0</v>
      </c>
      <c r="R1274" s="121">
        <f t="shared" si="527"/>
        <v>0</v>
      </c>
      <c r="AE1274" s="160">
        <f t="shared" si="528"/>
        <v>1.0039093568642374</v>
      </c>
    </row>
    <row r="1275" spans="1:31" x14ac:dyDescent="0.3">
      <c r="A1275" s="187">
        <v>18</v>
      </c>
      <c r="B1275" s="242">
        <f t="shared" si="529"/>
        <v>46174</v>
      </c>
      <c r="C1275" s="243">
        <f t="shared" si="512"/>
        <v>46203</v>
      </c>
      <c r="D1275" s="120">
        <f t="shared" si="513"/>
        <v>30</v>
      </c>
      <c r="E1275" s="120">
        <f t="shared" si="514"/>
        <v>6</v>
      </c>
      <c r="F1275" s="275">
        <f t="shared" si="515"/>
        <v>46189</v>
      </c>
      <c r="G1275" s="120">
        <f t="shared" si="516"/>
        <v>24317</v>
      </c>
      <c r="H1275" s="245">
        <f t="shared" si="517"/>
        <v>1</v>
      </c>
      <c r="I1275" s="121">
        <f t="shared" si="518"/>
        <v>1.02</v>
      </c>
      <c r="J1275" s="121">
        <f t="shared" si="519"/>
        <v>1.02</v>
      </c>
      <c r="K1275" s="120">
        <f t="shared" si="520"/>
        <v>0</v>
      </c>
      <c r="L1275" s="120">
        <f t="shared" si="521"/>
        <v>0</v>
      </c>
      <c r="M1275" s="246">
        <f t="shared" si="522"/>
        <v>0</v>
      </c>
      <c r="N1275" s="121">
        <f t="shared" si="523"/>
        <v>1.02</v>
      </c>
      <c r="O1275" s="246">
        <f t="shared" si="524"/>
        <v>0.90648796498905915</v>
      </c>
      <c r="P1275" s="121">
        <f t="shared" si="525"/>
        <v>1</v>
      </c>
      <c r="Q1275" s="121">
        <f t="shared" si="526"/>
        <v>0</v>
      </c>
      <c r="R1275" s="121">
        <f t="shared" si="527"/>
        <v>0</v>
      </c>
      <c r="AE1275" s="160">
        <f t="shared" si="528"/>
        <v>1.0050192655313481</v>
      </c>
    </row>
    <row r="1276" spans="1:31" x14ac:dyDescent="0.3">
      <c r="A1276" s="187">
        <v>19</v>
      </c>
      <c r="B1276" s="242">
        <f t="shared" si="529"/>
        <v>46204</v>
      </c>
      <c r="C1276" s="243">
        <f t="shared" si="512"/>
        <v>46234</v>
      </c>
      <c r="D1276" s="120">
        <f t="shared" si="513"/>
        <v>31</v>
      </c>
      <c r="E1276" s="120">
        <f t="shared" si="514"/>
        <v>7</v>
      </c>
      <c r="F1276" s="275">
        <f t="shared" si="515"/>
        <v>46219.5</v>
      </c>
      <c r="G1276" s="120">
        <f t="shared" si="516"/>
        <v>24318</v>
      </c>
      <c r="H1276" s="245">
        <f t="shared" si="517"/>
        <v>1</v>
      </c>
      <c r="I1276" s="121">
        <f t="shared" si="518"/>
        <v>1.02</v>
      </c>
      <c r="J1276" s="121">
        <f t="shared" si="519"/>
        <v>1.02</v>
      </c>
      <c r="K1276" s="120">
        <f t="shared" si="520"/>
        <v>0</v>
      </c>
      <c r="L1276" s="120">
        <f t="shared" si="521"/>
        <v>0</v>
      </c>
      <c r="M1276" s="246">
        <f t="shared" si="522"/>
        <v>0</v>
      </c>
      <c r="N1276" s="121">
        <f t="shared" si="523"/>
        <v>1.02</v>
      </c>
      <c r="O1276" s="246">
        <f t="shared" si="524"/>
        <v>0.90748905908096278</v>
      </c>
      <c r="P1276" s="121">
        <f t="shared" si="525"/>
        <v>0.91666666666666663</v>
      </c>
      <c r="Q1276" s="121">
        <f t="shared" si="526"/>
        <v>8.333333333333337E-2</v>
      </c>
      <c r="R1276" s="121">
        <f t="shared" si="527"/>
        <v>0</v>
      </c>
      <c r="AE1276" s="160">
        <f t="shared" si="528"/>
        <v>1.0061291741984586</v>
      </c>
    </row>
    <row r="1277" spans="1:31" x14ac:dyDescent="0.3">
      <c r="A1277" s="187">
        <v>20</v>
      </c>
      <c r="B1277" s="242">
        <f t="shared" si="529"/>
        <v>46235</v>
      </c>
      <c r="C1277" s="243">
        <f t="shared" si="512"/>
        <v>46265</v>
      </c>
      <c r="D1277" s="120">
        <f t="shared" si="513"/>
        <v>31</v>
      </c>
      <c r="E1277" s="120">
        <f t="shared" si="514"/>
        <v>8</v>
      </c>
      <c r="F1277" s="275">
        <f t="shared" si="515"/>
        <v>46250.5</v>
      </c>
      <c r="G1277" s="120">
        <f t="shared" si="516"/>
        <v>24319</v>
      </c>
      <c r="H1277" s="245">
        <f t="shared" si="517"/>
        <v>1</v>
      </c>
      <c r="I1277" s="121">
        <f t="shared" si="518"/>
        <v>1.02</v>
      </c>
      <c r="J1277" s="121">
        <f t="shared" si="519"/>
        <v>1.02</v>
      </c>
      <c r="K1277" s="120">
        <f t="shared" si="520"/>
        <v>0</v>
      </c>
      <c r="L1277" s="120">
        <f t="shared" si="521"/>
        <v>0</v>
      </c>
      <c r="M1277" s="246">
        <f t="shared" si="522"/>
        <v>0</v>
      </c>
      <c r="N1277" s="121">
        <f t="shared" si="523"/>
        <v>1.02</v>
      </c>
      <c r="O1277" s="246">
        <f t="shared" si="524"/>
        <v>0.90850656455142231</v>
      </c>
      <c r="P1277" s="121">
        <f t="shared" si="525"/>
        <v>0.75</v>
      </c>
      <c r="Q1277" s="121">
        <f t="shared" si="526"/>
        <v>0.25</v>
      </c>
      <c r="R1277" s="121">
        <f t="shared" si="527"/>
        <v>0</v>
      </c>
      <c r="AE1277" s="160">
        <f t="shared" si="528"/>
        <v>1.0072572780896205</v>
      </c>
    </row>
    <row r="1278" spans="1:31" x14ac:dyDescent="0.3">
      <c r="A1278" s="187">
        <v>21</v>
      </c>
      <c r="B1278" s="242">
        <f t="shared" si="529"/>
        <v>46266</v>
      </c>
      <c r="C1278" s="243">
        <f t="shared" si="512"/>
        <v>46295</v>
      </c>
      <c r="D1278" s="120">
        <f t="shared" si="513"/>
        <v>30</v>
      </c>
      <c r="E1278" s="120">
        <f t="shared" si="514"/>
        <v>9</v>
      </c>
      <c r="F1278" s="275">
        <f t="shared" si="515"/>
        <v>46281</v>
      </c>
      <c r="G1278" s="120">
        <f t="shared" si="516"/>
        <v>24320</v>
      </c>
      <c r="H1278" s="245">
        <f t="shared" si="517"/>
        <v>1</v>
      </c>
      <c r="I1278" s="121">
        <f t="shared" si="518"/>
        <v>1.02</v>
      </c>
      <c r="J1278" s="121">
        <f t="shared" si="519"/>
        <v>1.02</v>
      </c>
      <c r="K1278" s="120">
        <f t="shared" si="520"/>
        <v>0</v>
      </c>
      <c r="L1278" s="120">
        <f t="shared" si="521"/>
        <v>0</v>
      </c>
      <c r="M1278" s="246">
        <f t="shared" si="522"/>
        <v>0</v>
      </c>
      <c r="N1278" s="121">
        <f t="shared" si="523"/>
        <v>1.02</v>
      </c>
      <c r="O1278" s="246">
        <f t="shared" si="524"/>
        <v>0.90950765864332606</v>
      </c>
      <c r="P1278" s="121">
        <f t="shared" si="525"/>
        <v>0.58333333333333337</v>
      </c>
      <c r="Q1278" s="121">
        <f t="shared" si="526"/>
        <v>0.41666666666666663</v>
      </c>
      <c r="R1278" s="121">
        <f t="shared" si="527"/>
        <v>0</v>
      </c>
      <c r="AE1278" s="160">
        <f t="shared" si="528"/>
        <v>1.008367186756731</v>
      </c>
    </row>
    <row r="1279" spans="1:31" x14ac:dyDescent="0.3">
      <c r="A1279" s="187">
        <v>22</v>
      </c>
      <c r="B1279" s="242">
        <f t="shared" si="529"/>
        <v>46296</v>
      </c>
      <c r="C1279" s="243">
        <f t="shared" si="512"/>
        <v>46326</v>
      </c>
      <c r="D1279" s="120">
        <f t="shared" si="513"/>
        <v>31</v>
      </c>
      <c r="E1279" s="120">
        <f t="shared" si="514"/>
        <v>10</v>
      </c>
      <c r="F1279" s="275">
        <f t="shared" si="515"/>
        <v>46311.5</v>
      </c>
      <c r="G1279" s="120">
        <f t="shared" si="516"/>
        <v>24321</v>
      </c>
      <c r="H1279" s="245">
        <f t="shared" si="517"/>
        <v>1</v>
      </c>
      <c r="I1279" s="121">
        <f t="shared" si="518"/>
        <v>1.02</v>
      </c>
      <c r="J1279" s="121">
        <f t="shared" si="519"/>
        <v>1.02</v>
      </c>
      <c r="K1279" s="120">
        <f t="shared" si="520"/>
        <v>0</v>
      </c>
      <c r="L1279" s="120">
        <f t="shared" si="521"/>
        <v>0</v>
      </c>
      <c r="M1279" s="246">
        <f t="shared" si="522"/>
        <v>0</v>
      </c>
      <c r="N1279" s="121">
        <f t="shared" si="523"/>
        <v>1.02</v>
      </c>
      <c r="O1279" s="246">
        <f t="shared" si="524"/>
        <v>0.9105087527352298</v>
      </c>
      <c r="P1279" s="121">
        <f t="shared" si="525"/>
        <v>0.41666666666666669</v>
      </c>
      <c r="Q1279" s="121">
        <f t="shared" si="526"/>
        <v>0.58333333333333326</v>
      </c>
      <c r="R1279" s="121">
        <f t="shared" si="527"/>
        <v>0</v>
      </c>
      <c r="AE1279" s="160">
        <f t="shared" si="528"/>
        <v>1.0094770954238417</v>
      </c>
    </row>
    <row r="1280" spans="1:31" x14ac:dyDescent="0.3">
      <c r="A1280" s="187">
        <v>23</v>
      </c>
      <c r="B1280" s="242">
        <f t="shared" si="529"/>
        <v>46327</v>
      </c>
      <c r="C1280" s="243">
        <f t="shared" si="512"/>
        <v>46356</v>
      </c>
      <c r="D1280" s="120">
        <f t="shared" si="513"/>
        <v>30</v>
      </c>
      <c r="E1280" s="120">
        <f t="shared" si="514"/>
        <v>11</v>
      </c>
      <c r="F1280" s="275">
        <f t="shared" si="515"/>
        <v>46342</v>
      </c>
      <c r="G1280" s="120">
        <f t="shared" si="516"/>
        <v>24322</v>
      </c>
      <c r="H1280" s="245">
        <f t="shared" si="517"/>
        <v>1</v>
      </c>
      <c r="I1280" s="121">
        <f t="shared" si="518"/>
        <v>1.02</v>
      </c>
      <c r="J1280" s="121">
        <f t="shared" si="519"/>
        <v>1.02</v>
      </c>
      <c r="K1280" s="120">
        <f t="shared" si="520"/>
        <v>0</v>
      </c>
      <c r="L1280" s="120">
        <f t="shared" si="521"/>
        <v>0</v>
      </c>
      <c r="M1280" s="246">
        <f t="shared" si="522"/>
        <v>0</v>
      </c>
      <c r="N1280" s="121">
        <f t="shared" si="523"/>
        <v>1.02</v>
      </c>
      <c r="O1280" s="246">
        <f t="shared" si="524"/>
        <v>0.91150984682713354</v>
      </c>
      <c r="P1280" s="121">
        <f t="shared" si="525"/>
        <v>0.25</v>
      </c>
      <c r="Q1280" s="121">
        <f t="shared" si="526"/>
        <v>0.75</v>
      </c>
      <c r="R1280" s="121">
        <f t="shared" si="527"/>
        <v>0</v>
      </c>
      <c r="AE1280" s="160">
        <f t="shared" si="528"/>
        <v>1.0105870040909524</v>
      </c>
    </row>
    <row r="1281" spans="1:35" x14ac:dyDescent="0.3">
      <c r="A1281" s="187">
        <v>24</v>
      </c>
      <c r="B1281" s="242">
        <f t="shared" si="529"/>
        <v>46357</v>
      </c>
      <c r="C1281" s="243">
        <f t="shared" si="512"/>
        <v>46387</v>
      </c>
      <c r="D1281" s="120">
        <f t="shared" si="513"/>
        <v>31</v>
      </c>
      <c r="E1281" s="120">
        <f t="shared" si="514"/>
        <v>12</v>
      </c>
      <c r="F1281" s="275">
        <f t="shared" si="515"/>
        <v>46372.5</v>
      </c>
      <c r="G1281" s="120">
        <f t="shared" si="516"/>
        <v>24323</v>
      </c>
      <c r="H1281" s="245">
        <f t="shared" si="517"/>
        <v>1</v>
      </c>
      <c r="I1281" s="121">
        <f t="shared" si="518"/>
        <v>1.02</v>
      </c>
      <c r="J1281" s="121">
        <f t="shared" si="519"/>
        <v>1.02</v>
      </c>
      <c r="K1281" s="120">
        <f t="shared" si="520"/>
        <v>0</v>
      </c>
      <c r="L1281" s="120">
        <f t="shared" si="521"/>
        <v>0</v>
      </c>
      <c r="M1281" s="246">
        <f t="shared" si="522"/>
        <v>0</v>
      </c>
      <c r="N1281" s="121">
        <f t="shared" si="523"/>
        <v>1.02</v>
      </c>
      <c r="O1281" s="246">
        <f t="shared" si="524"/>
        <v>0.91251094091903728</v>
      </c>
      <c r="P1281" s="121">
        <f t="shared" si="525"/>
        <v>8.3333333333333329E-2</v>
      </c>
      <c r="Q1281" s="121">
        <f t="shared" si="526"/>
        <v>0.91666666666666663</v>
      </c>
      <c r="R1281" s="121">
        <f t="shared" si="527"/>
        <v>0</v>
      </c>
      <c r="AE1281" s="160">
        <f t="shared" si="528"/>
        <v>1.0116969127580631</v>
      </c>
    </row>
    <row r="1282" spans="1:35" x14ac:dyDescent="0.3">
      <c r="A1282" s="187">
        <v>25</v>
      </c>
      <c r="B1282" s="242">
        <f t="shared" si="529"/>
        <v>46388</v>
      </c>
      <c r="C1282" s="243">
        <f t="shared" si="512"/>
        <v>46418</v>
      </c>
      <c r="D1282" s="120">
        <f t="shared" si="513"/>
        <v>31</v>
      </c>
      <c r="E1282" s="120">
        <f t="shared" si="514"/>
        <v>1</v>
      </c>
      <c r="F1282" s="275">
        <f t="shared" si="515"/>
        <v>46403.5</v>
      </c>
      <c r="G1282" s="120">
        <f t="shared" si="516"/>
        <v>24324</v>
      </c>
      <c r="H1282" s="245">
        <f t="shared" si="517"/>
        <v>1</v>
      </c>
      <c r="I1282" s="121">
        <f t="shared" si="518"/>
        <v>1.02</v>
      </c>
      <c r="J1282" s="121">
        <f t="shared" si="519"/>
        <v>1.02</v>
      </c>
      <c r="K1282" s="120">
        <f t="shared" si="520"/>
        <v>0</v>
      </c>
      <c r="L1282" s="120">
        <f t="shared" si="521"/>
        <v>0</v>
      </c>
      <c r="M1282" s="246">
        <f t="shared" si="522"/>
        <v>0</v>
      </c>
      <c r="N1282" s="121">
        <f t="shared" si="523"/>
        <v>1.02</v>
      </c>
      <c r="O1282" s="246">
        <f t="shared" si="524"/>
        <v>0.91352844638949671</v>
      </c>
      <c r="P1282" s="121">
        <f t="shared" si="525"/>
        <v>0</v>
      </c>
      <c r="Q1282" s="121">
        <f t="shared" si="526"/>
        <v>1</v>
      </c>
      <c r="R1282" s="121">
        <f t="shared" si="527"/>
        <v>0</v>
      </c>
      <c r="W1282" s="160">
        <f t="shared" ref="W1282:W1293" si="530">IF($G1282&lt;&gt;$Q$1255,$N1282,(1-$U$1255)*$I1282+$U$1255*$J1282)</f>
        <v>1.02</v>
      </c>
      <c r="X1282" s="160">
        <f t="shared" ref="X1282:X1293" si="531">IF($G1282&lt;$Q$1255,0,IF($G1282&gt;$Q$1255,$N1282,$U$1255*$J1282))</f>
        <v>0</v>
      </c>
      <c r="Y1282" s="160">
        <f t="shared" ref="Y1282:Y1293" si="532">IF($F$1255=1,$O1282/$O1270,1)</f>
        <v>1.0132885930474567</v>
      </c>
      <c r="AB1282" s="160">
        <f t="shared" ref="AB1282:AB1293" si="533">IF(AND(N($K$1255)&lt;&gt;0,$F1282&lt;=$B$1256),0,($F1282-$B$1256)/($C$1256-$B$1256))</f>
        <v>0.23522975929978118</v>
      </c>
      <c r="AC1282" s="220">
        <f t="shared" ref="AC1282:AC1293" si="534">IF(AND(N($K$1255)&lt;&gt;0,$F1282&lt;=$B$1256),$O1282,$F$1256*(1-$AB1282))</f>
        <v>0.69594091903719912</v>
      </c>
      <c r="AD1282" s="160">
        <f t="shared" ref="AD1282:AD1293" si="535">$H1282*($W1282+$X1282*IF(ISNUMBER($F$1306),$F$1306,0))/($N1270*$O1270)</f>
        <v>1.1092031091667021</v>
      </c>
      <c r="AE1282" s="160">
        <f t="shared" si="528"/>
        <v>1.0128250166492245</v>
      </c>
      <c r="AF1282" s="220">
        <f t="shared" ref="AF1282:AF1293" si="536">IF($G1282&lt;$Q$1255,0,IF($G1282&gt;$Q$1255,1,$U$1255))</f>
        <v>0</v>
      </c>
      <c r="AG1282" s="183" t="str">
        <f t="shared" ref="AG1282:AG1293" si="537">IF(OR($D$1255=0,$P$1255=0),"",($W1282+$X1282*IF(ISNUMBER($F$1306),$F$1306,0))/$N1270-1)</f>
        <v/>
      </c>
      <c r="AH1282" s="183" t="str">
        <f t="shared" ref="AH1282:AH1293" si="538">IF(OR($AG1282="",$F$1255=0),"",(1+$E$1255)/(1+$AG1282)-1)</f>
        <v/>
      </c>
      <c r="AI1282" s="220" t="str">
        <f t="shared" ref="AI1282:AI1293" si="539">IF($AH1282="","",$O1270*(1+$E$1255)/(1+$AG1282))</f>
        <v/>
      </c>
    </row>
    <row r="1283" spans="1:35" x14ac:dyDescent="0.3">
      <c r="A1283" s="187">
        <v>26</v>
      </c>
      <c r="B1283" s="242">
        <f t="shared" si="529"/>
        <v>46419</v>
      </c>
      <c r="C1283" s="243">
        <f t="shared" si="512"/>
        <v>46446</v>
      </c>
      <c r="D1283" s="120">
        <f t="shared" si="513"/>
        <v>28</v>
      </c>
      <c r="E1283" s="120">
        <f t="shared" si="514"/>
        <v>2</v>
      </c>
      <c r="F1283" s="275">
        <f t="shared" si="515"/>
        <v>46433</v>
      </c>
      <c r="G1283" s="120">
        <f t="shared" si="516"/>
        <v>24325</v>
      </c>
      <c r="H1283" s="245">
        <f t="shared" si="517"/>
        <v>1</v>
      </c>
      <c r="I1283" s="121">
        <f t="shared" si="518"/>
        <v>1.02</v>
      </c>
      <c r="J1283" s="121">
        <f t="shared" si="519"/>
        <v>1.02</v>
      </c>
      <c r="K1283" s="120">
        <f t="shared" si="520"/>
        <v>0</v>
      </c>
      <c r="L1283" s="120">
        <f t="shared" si="521"/>
        <v>0</v>
      </c>
      <c r="M1283" s="246">
        <f t="shared" si="522"/>
        <v>0</v>
      </c>
      <c r="N1283" s="121">
        <f t="shared" si="523"/>
        <v>1.02</v>
      </c>
      <c r="O1283" s="246">
        <f t="shared" si="524"/>
        <v>0.91449671772428887</v>
      </c>
      <c r="P1283" s="121">
        <f t="shared" si="525"/>
        <v>0</v>
      </c>
      <c r="Q1283" s="121">
        <f t="shared" si="526"/>
        <v>1</v>
      </c>
      <c r="R1283" s="121">
        <f t="shared" si="527"/>
        <v>0</v>
      </c>
      <c r="W1283" s="160">
        <f t="shared" si="530"/>
        <v>1.02</v>
      </c>
      <c r="X1283" s="160">
        <f t="shared" si="531"/>
        <v>0</v>
      </c>
      <c r="Y1283" s="160">
        <f t="shared" si="532"/>
        <v>1.013274336283186</v>
      </c>
      <c r="AB1283" s="160">
        <f t="shared" si="533"/>
        <v>0.29978118161925604</v>
      </c>
      <c r="AC1283" s="220">
        <f t="shared" si="534"/>
        <v>0.637199124726477</v>
      </c>
      <c r="AD1283" s="160">
        <f t="shared" si="535"/>
        <v>1.1080130924960603</v>
      </c>
      <c r="AE1283" s="160">
        <f t="shared" si="528"/>
        <v>1.0138985348682332</v>
      </c>
      <c r="AF1283" s="220">
        <f t="shared" si="536"/>
        <v>0</v>
      </c>
      <c r="AG1283" s="183" t="str">
        <f t="shared" si="537"/>
        <v/>
      </c>
      <c r="AH1283" s="183" t="str">
        <f t="shared" si="538"/>
        <v/>
      </c>
      <c r="AI1283" s="220" t="str">
        <f t="shared" si="539"/>
        <v/>
      </c>
    </row>
    <row r="1284" spans="1:35" x14ac:dyDescent="0.3">
      <c r="A1284" s="187">
        <v>27</v>
      </c>
      <c r="B1284" s="242">
        <f t="shared" si="529"/>
        <v>46447</v>
      </c>
      <c r="C1284" s="243">
        <f t="shared" si="512"/>
        <v>46477</v>
      </c>
      <c r="D1284" s="120">
        <f t="shared" si="513"/>
        <v>31</v>
      </c>
      <c r="E1284" s="120">
        <f t="shared" si="514"/>
        <v>3</v>
      </c>
      <c r="F1284" s="275">
        <f t="shared" si="515"/>
        <v>46462.5</v>
      </c>
      <c r="G1284" s="120">
        <f t="shared" si="516"/>
        <v>24326</v>
      </c>
      <c r="H1284" s="245">
        <f t="shared" si="517"/>
        <v>1</v>
      </c>
      <c r="I1284" s="121">
        <f t="shared" si="518"/>
        <v>1.02</v>
      </c>
      <c r="J1284" s="121">
        <f t="shared" si="519"/>
        <v>1.02</v>
      </c>
      <c r="K1284" s="120">
        <f t="shared" si="520"/>
        <v>0</v>
      </c>
      <c r="L1284" s="120">
        <f t="shared" si="521"/>
        <v>0</v>
      </c>
      <c r="M1284" s="246">
        <f t="shared" si="522"/>
        <v>0</v>
      </c>
      <c r="N1284" s="121">
        <f t="shared" si="523"/>
        <v>1.02</v>
      </c>
      <c r="O1284" s="246">
        <f t="shared" si="524"/>
        <v>0.91546498905908102</v>
      </c>
      <c r="P1284" s="121">
        <f t="shared" si="525"/>
        <v>0</v>
      </c>
      <c r="Q1284" s="121">
        <f t="shared" si="526"/>
        <v>1</v>
      </c>
      <c r="R1284" s="121">
        <f t="shared" si="527"/>
        <v>0</v>
      </c>
      <c r="W1284" s="160">
        <f t="shared" si="530"/>
        <v>1.02</v>
      </c>
      <c r="X1284" s="160">
        <f t="shared" si="531"/>
        <v>0</v>
      </c>
      <c r="Y1284" s="160">
        <f t="shared" si="532"/>
        <v>1.0132601100770782</v>
      </c>
      <c r="AB1284" s="160">
        <f t="shared" si="533"/>
        <v>0.36433260393873085</v>
      </c>
      <c r="AC1284" s="220">
        <f t="shared" si="534"/>
        <v>0.57845733041575487</v>
      </c>
      <c r="AD1284" s="160">
        <f t="shared" si="535"/>
        <v>1.106825626525064</v>
      </c>
      <c r="AE1284" s="160">
        <f t="shared" si="528"/>
        <v>1.0149720530872419</v>
      </c>
      <c r="AF1284" s="220">
        <f t="shared" si="536"/>
        <v>0</v>
      </c>
      <c r="AG1284" s="183" t="str">
        <f t="shared" si="537"/>
        <v/>
      </c>
      <c r="AH1284" s="183" t="str">
        <f t="shared" si="538"/>
        <v/>
      </c>
      <c r="AI1284" s="220" t="str">
        <f t="shared" si="539"/>
        <v/>
      </c>
    </row>
    <row r="1285" spans="1:35" x14ac:dyDescent="0.3">
      <c r="A1285" s="187">
        <v>28</v>
      </c>
      <c r="B1285" s="242">
        <f t="shared" si="529"/>
        <v>46478</v>
      </c>
      <c r="C1285" s="243">
        <f t="shared" si="512"/>
        <v>46507</v>
      </c>
      <c r="D1285" s="120">
        <f t="shared" si="513"/>
        <v>30</v>
      </c>
      <c r="E1285" s="120">
        <f t="shared" si="514"/>
        <v>4</v>
      </c>
      <c r="F1285" s="275">
        <f t="shared" si="515"/>
        <v>46493</v>
      </c>
      <c r="G1285" s="120">
        <f t="shared" si="516"/>
        <v>24327</v>
      </c>
      <c r="H1285" s="245">
        <f t="shared" si="517"/>
        <v>1</v>
      </c>
      <c r="I1285" s="121">
        <f t="shared" si="518"/>
        <v>1.02</v>
      </c>
      <c r="J1285" s="121">
        <f t="shared" si="519"/>
        <v>1.02</v>
      </c>
      <c r="K1285" s="120">
        <f t="shared" si="520"/>
        <v>0</v>
      </c>
      <c r="L1285" s="120">
        <f t="shared" si="521"/>
        <v>0</v>
      </c>
      <c r="M1285" s="246">
        <f t="shared" si="522"/>
        <v>0</v>
      </c>
      <c r="N1285" s="121">
        <f t="shared" si="523"/>
        <v>1.02</v>
      </c>
      <c r="O1285" s="246">
        <f t="shared" si="524"/>
        <v>0.91646608315098477</v>
      </c>
      <c r="P1285" s="121">
        <f t="shared" si="525"/>
        <v>0</v>
      </c>
      <c r="Q1285" s="121">
        <f t="shared" si="526"/>
        <v>1</v>
      </c>
      <c r="R1285" s="121">
        <f t="shared" si="527"/>
        <v>0</v>
      </c>
      <c r="W1285" s="160">
        <f t="shared" si="530"/>
        <v>1.02</v>
      </c>
      <c r="X1285" s="160">
        <f t="shared" si="531"/>
        <v>1.02</v>
      </c>
      <c r="Y1285" s="160">
        <f t="shared" si="532"/>
        <v>1.013245433651869</v>
      </c>
      <c r="AB1285" s="160">
        <f t="shared" si="533"/>
        <v>0.4310722100656455</v>
      </c>
      <c r="AC1285" s="220">
        <f t="shared" si="534"/>
        <v>0.51772428884026267</v>
      </c>
      <c r="AD1285" s="160">
        <f t="shared" si="535"/>
        <v>1.105600580621749</v>
      </c>
      <c r="AE1285" s="160">
        <f t="shared" si="528"/>
        <v>1.0160819617543526</v>
      </c>
      <c r="AF1285" s="220">
        <f t="shared" si="536"/>
        <v>1</v>
      </c>
      <c r="AG1285" s="183" t="str">
        <f t="shared" si="537"/>
        <v/>
      </c>
      <c r="AH1285" s="183" t="str">
        <f t="shared" si="538"/>
        <v/>
      </c>
      <c r="AI1285" s="220" t="str">
        <f t="shared" si="539"/>
        <v/>
      </c>
    </row>
    <row r="1286" spans="1:35" x14ac:dyDescent="0.3">
      <c r="A1286" s="187">
        <v>29</v>
      </c>
      <c r="B1286" s="242">
        <f t="shared" si="529"/>
        <v>46508</v>
      </c>
      <c r="C1286" s="243">
        <f t="shared" si="512"/>
        <v>46538</v>
      </c>
      <c r="D1286" s="120">
        <f t="shared" si="513"/>
        <v>31</v>
      </c>
      <c r="E1286" s="120">
        <f t="shared" si="514"/>
        <v>5</v>
      </c>
      <c r="F1286" s="275">
        <f t="shared" si="515"/>
        <v>46523.5</v>
      </c>
      <c r="G1286" s="120">
        <f t="shared" si="516"/>
        <v>24328</v>
      </c>
      <c r="H1286" s="245">
        <f t="shared" si="517"/>
        <v>1</v>
      </c>
      <c r="I1286" s="121">
        <f t="shared" si="518"/>
        <v>1.02</v>
      </c>
      <c r="J1286" s="121">
        <f t="shared" si="519"/>
        <v>1.02</v>
      </c>
      <c r="K1286" s="120">
        <f t="shared" si="520"/>
        <v>0</v>
      </c>
      <c r="L1286" s="120">
        <f t="shared" si="521"/>
        <v>0</v>
      </c>
      <c r="M1286" s="246">
        <f t="shared" si="522"/>
        <v>0</v>
      </c>
      <c r="N1286" s="121">
        <f t="shared" si="523"/>
        <v>1.02</v>
      </c>
      <c r="O1286" s="246">
        <f t="shared" si="524"/>
        <v>0.9174671772428884</v>
      </c>
      <c r="P1286" s="121">
        <f t="shared" si="525"/>
        <v>0</v>
      </c>
      <c r="Q1286" s="121">
        <f t="shared" si="526"/>
        <v>1</v>
      </c>
      <c r="R1286" s="121">
        <f t="shared" si="527"/>
        <v>0</v>
      </c>
      <c r="W1286" s="160">
        <f t="shared" si="530"/>
        <v>1.02</v>
      </c>
      <c r="X1286" s="160">
        <f t="shared" si="531"/>
        <v>1.02</v>
      </c>
      <c r="Y1286" s="160">
        <f t="shared" si="532"/>
        <v>1.0132307896787758</v>
      </c>
      <c r="AB1286" s="160">
        <f t="shared" si="533"/>
        <v>0.49781181619256015</v>
      </c>
      <c r="AC1286" s="220">
        <f t="shared" si="534"/>
        <v>0.45699124726477025</v>
      </c>
      <c r="AD1286" s="160">
        <f t="shared" si="535"/>
        <v>1.1043782435069447</v>
      </c>
      <c r="AE1286" s="160">
        <f t="shared" si="528"/>
        <v>1.0171918704214631</v>
      </c>
      <c r="AF1286" s="220">
        <f t="shared" si="536"/>
        <v>1</v>
      </c>
      <c r="AG1286" s="183" t="str">
        <f t="shared" si="537"/>
        <v/>
      </c>
      <c r="AH1286" s="183" t="str">
        <f t="shared" si="538"/>
        <v/>
      </c>
      <c r="AI1286" s="220" t="str">
        <f t="shared" si="539"/>
        <v/>
      </c>
    </row>
    <row r="1287" spans="1:35" x14ac:dyDescent="0.3">
      <c r="A1287" s="187">
        <v>30</v>
      </c>
      <c r="B1287" s="242">
        <f t="shared" si="529"/>
        <v>46539</v>
      </c>
      <c r="C1287" s="243">
        <f t="shared" si="512"/>
        <v>46568</v>
      </c>
      <c r="D1287" s="120">
        <f t="shared" si="513"/>
        <v>30</v>
      </c>
      <c r="E1287" s="120">
        <f t="shared" si="514"/>
        <v>6</v>
      </c>
      <c r="F1287" s="275">
        <f t="shared" si="515"/>
        <v>46554</v>
      </c>
      <c r="G1287" s="120">
        <f t="shared" si="516"/>
        <v>24329</v>
      </c>
      <c r="H1287" s="245">
        <f t="shared" si="517"/>
        <v>1</v>
      </c>
      <c r="I1287" s="121">
        <f t="shared" si="518"/>
        <v>1.02</v>
      </c>
      <c r="J1287" s="121">
        <f t="shared" si="519"/>
        <v>1.02</v>
      </c>
      <c r="K1287" s="120">
        <f t="shared" si="520"/>
        <v>0</v>
      </c>
      <c r="L1287" s="120">
        <f t="shared" si="521"/>
        <v>0</v>
      </c>
      <c r="M1287" s="246">
        <f t="shared" si="522"/>
        <v>0</v>
      </c>
      <c r="N1287" s="121">
        <f t="shared" si="523"/>
        <v>1.02</v>
      </c>
      <c r="O1287" s="246">
        <f t="shared" si="524"/>
        <v>0.91846827133479214</v>
      </c>
      <c r="P1287" s="121">
        <f t="shared" si="525"/>
        <v>0</v>
      </c>
      <c r="Q1287" s="121">
        <f t="shared" si="526"/>
        <v>1</v>
      </c>
      <c r="R1287" s="121">
        <f t="shared" si="527"/>
        <v>0</v>
      </c>
      <c r="W1287" s="160">
        <f t="shared" si="530"/>
        <v>1.02</v>
      </c>
      <c r="X1287" s="160">
        <f t="shared" si="531"/>
        <v>1.02</v>
      </c>
      <c r="Y1287" s="160">
        <f t="shared" si="532"/>
        <v>1.0132161780502817</v>
      </c>
      <c r="AB1287" s="160">
        <f t="shared" si="533"/>
        <v>0.56455142231947486</v>
      </c>
      <c r="AC1287" s="220">
        <f t="shared" si="534"/>
        <v>0.39625820568927789</v>
      </c>
      <c r="AD1287" s="160">
        <f t="shared" si="535"/>
        <v>1.1031586062061722</v>
      </c>
      <c r="AE1287" s="160">
        <f t="shared" si="528"/>
        <v>1.018301779088574</v>
      </c>
      <c r="AF1287" s="220">
        <f t="shared" si="536"/>
        <v>1</v>
      </c>
      <c r="AG1287" s="183" t="str">
        <f t="shared" si="537"/>
        <v/>
      </c>
      <c r="AH1287" s="183" t="str">
        <f t="shared" si="538"/>
        <v/>
      </c>
      <c r="AI1287" s="220" t="str">
        <f t="shared" si="539"/>
        <v/>
      </c>
    </row>
    <row r="1288" spans="1:35" x14ac:dyDescent="0.3">
      <c r="A1288" s="187">
        <v>31</v>
      </c>
      <c r="B1288" s="242">
        <f t="shared" si="529"/>
        <v>46569</v>
      </c>
      <c r="C1288" s="243">
        <f t="shared" si="512"/>
        <v>46599</v>
      </c>
      <c r="D1288" s="120">
        <f t="shared" si="513"/>
        <v>31</v>
      </c>
      <c r="E1288" s="120">
        <f t="shared" si="514"/>
        <v>7</v>
      </c>
      <c r="F1288" s="275">
        <f t="shared" si="515"/>
        <v>46584.5</v>
      </c>
      <c r="G1288" s="120">
        <f t="shared" si="516"/>
        <v>24330</v>
      </c>
      <c r="H1288" s="245">
        <f t="shared" si="517"/>
        <v>1</v>
      </c>
      <c r="I1288" s="121">
        <f t="shared" si="518"/>
        <v>1.02</v>
      </c>
      <c r="J1288" s="121">
        <f t="shared" si="519"/>
        <v>1.02</v>
      </c>
      <c r="K1288" s="120">
        <f t="shared" si="520"/>
        <v>0</v>
      </c>
      <c r="L1288" s="120">
        <f t="shared" si="521"/>
        <v>0</v>
      </c>
      <c r="M1288" s="246">
        <f t="shared" si="522"/>
        <v>0</v>
      </c>
      <c r="N1288" s="121">
        <f t="shared" si="523"/>
        <v>1.02</v>
      </c>
      <c r="O1288" s="246">
        <f t="shared" si="524"/>
        <v>0.91946936542669588</v>
      </c>
      <c r="P1288" s="121">
        <f t="shared" si="525"/>
        <v>0</v>
      </c>
      <c r="Q1288" s="121">
        <f t="shared" si="526"/>
        <v>0.91666666666666663</v>
      </c>
      <c r="R1288" s="121">
        <f t="shared" si="527"/>
        <v>8.333333333333337E-2</v>
      </c>
      <c r="W1288" s="160">
        <f t="shared" si="530"/>
        <v>1.02</v>
      </c>
      <c r="X1288" s="160">
        <f t="shared" si="531"/>
        <v>1.02</v>
      </c>
      <c r="Y1288" s="160">
        <f t="shared" si="532"/>
        <v>1.0132015986593446</v>
      </c>
      <c r="AB1288" s="160">
        <f t="shared" si="533"/>
        <v>0.63129102844638951</v>
      </c>
      <c r="AC1288" s="220">
        <f t="shared" si="534"/>
        <v>0.33552516411378558</v>
      </c>
      <c r="AD1288" s="160">
        <f t="shared" si="535"/>
        <v>1.1019416597845548</v>
      </c>
      <c r="AE1288" s="160">
        <f t="shared" si="528"/>
        <v>1.0194116877556845</v>
      </c>
      <c r="AF1288" s="220">
        <f t="shared" si="536"/>
        <v>1</v>
      </c>
      <c r="AG1288" s="183" t="str">
        <f t="shared" si="537"/>
        <v/>
      </c>
      <c r="AH1288" s="183" t="str">
        <f t="shared" si="538"/>
        <v/>
      </c>
      <c r="AI1288" s="220" t="str">
        <f t="shared" si="539"/>
        <v/>
      </c>
    </row>
    <row r="1289" spans="1:35" x14ac:dyDescent="0.3">
      <c r="A1289" s="187">
        <v>32</v>
      </c>
      <c r="B1289" s="242">
        <f t="shared" si="529"/>
        <v>46600</v>
      </c>
      <c r="C1289" s="243">
        <f t="shared" si="512"/>
        <v>46630</v>
      </c>
      <c r="D1289" s="120">
        <f t="shared" si="513"/>
        <v>31</v>
      </c>
      <c r="E1289" s="120">
        <f t="shared" si="514"/>
        <v>8</v>
      </c>
      <c r="F1289" s="275">
        <f t="shared" si="515"/>
        <v>46615.5</v>
      </c>
      <c r="G1289" s="120">
        <f t="shared" si="516"/>
        <v>24331</v>
      </c>
      <c r="H1289" s="245">
        <f t="shared" si="517"/>
        <v>1</v>
      </c>
      <c r="I1289" s="121">
        <f t="shared" si="518"/>
        <v>1.02</v>
      </c>
      <c r="J1289" s="121">
        <f t="shared" si="519"/>
        <v>1.02</v>
      </c>
      <c r="K1289" s="120">
        <f t="shared" si="520"/>
        <v>0</v>
      </c>
      <c r="L1289" s="120">
        <f t="shared" si="521"/>
        <v>0</v>
      </c>
      <c r="M1289" s="246">
        <f t="shared" si="522"/>
        <v>0</v>
      </c>
      <c r="N1289" s="121">
        <f t="shared" si="523"/>
        <v>1.02</v>
      </c>
      <c r="O1289" s="246">
        <f t="shared" si="524"/>
        <v>0.92048687089715542</v>
      </c>
      <c r="P1289" s="121">
        <f t="shared" si="525"/>
        <v>0</v>
      </c>
      <c r="Q1289" s="121">
        <f t="shared" si="526"/>
        <v>0.75</v>
      </c>
      <c r="R1289" s="121">
        <f t="shared" si="527"/>
        <v>0.25</v>
      </c>
      <c r="W1289" s="160">
        <f t="shared" si="530"/>
        <v>1.02</v>
      </c>
      <c r="X1289" s="160">
        <f t="shared" si="531"/>
        <v>1.02</v>
      </c>
      <c r="Y1289" s="160">
        <f t="shared" si="532"/>
        <v>1.0131868131868134</v>
      </c>
      <c r="AB1289" s="160">
        <f t="shared" si="533"/>
        <v>0.69912472647702406</v>
      </c>
      <c r="AC1289" s="220">
        <f t="shared" si="534"/>
        <v>0.27379649890590813</v>
      </c>
      <c r="AD1289" s="160">
        <f t="shared" si="535"/>
        <v>1.1007075116664158</v>
      </c>
      <c r="AE1289" s="160">
        <f t="shared" si="528"/>
        <v>1.0205397916468464</v>
      </c>
      <c r="AF1289" s="220">
        <f t="shared" si="536"/>
        <v>1</v>
      </c>
      <c r="AG1289" s="183" t="str">
        <f t="shared" si="537"/>
        <v/>
      </c>
      <c r="AH1289" s="183" t="str">
        <f t="shared" si="538"/>
        <v/>
      </c>
      <c r="AI1289" s="220" t="str">
        <f t="shared" si="539"/>
        <v/>
      </c>
    </row>
    <row r="1290" spans="1:35" x14ac:dyDescent="0.3">
      <c r="A1290" s="187">
        <v>33</v>
      </c>
      <c r="B1290" s="242">
        <f t="shared" si="529"/>
        <v>46631</v>
      </c>
      <c r="C1290" s="243">
        <f t="shared" si="512"/>
        <v>46660</v>
      </c>
      <c r="D1290" s="120">
        <f t="shared" si="513"/>
        <v>30</v>
      </c>
      <c r="E1290" s="120">
        <f t="shared" si="514"/>
        <v>9</v>
      </c>
      <c r="F1290" s="275">
        <f t="shared" si="515"/>
        <v>46646</v>
      </c>
      <c r="G1290" s="120">
        <f t="shared" si="516"/>
        <v>24332</v>
      </c>
      <c r="H1290" s="245">
        <f t="shared" si="517"/>
        <v>1</v>
      </c>
      <c r="I1290" s="121">
        <f t="shared" si="518"/>
        <v>1.02</v>
      </c>
      <c r="J1290" s="121">
        <f t="shared" si="519"/>
        <v>1.02</v>
      </c>
      <c r="K1290" s="120">
        <f t="shared" si="520"/>
        <v>0</v>
      </c>
      <c r="L1290" s="120">
        <f t="shared" si="521"/>
        <v>0</v>
      </c>
      <c r="M1290" s="246">
        <f t="shared" si="522"/>
        <v>0</v>
      </c>
      <c r="N1290" s="121">
        <f t="shared" si="523"/>
        <v>1.02</v>
      </c>
      <c r="O1290" s="246">
        <f t="shared" si="524"/>
        <v>0.92148796498905916</v>
      </c>
      <c r="P1290" s="121">
        <f t="shared" si="525"/>
        <v>0</v>
      </c>
      <c r="Q1290" s="121">
        <f t="shared" si="526"/>
        <v>0.58333333333333337</v>
      </c>
      <c r="R1290" s="121">
        <f t="shared" si="527"/>
        <v>0.41666666666666663</v>
      </c>
      <c r="W1290" s="160">
        <f t="shared" si="530"/>
        <v>1.02</v>
      </c>
      <c r="X1290" s="160">
        <f t="shared" si="531"/>
        <v>1.02</v>
      </c>
      <c r="Y1290" s="160">
        <f t="shared" si="532"/>
        <v>1.0131722984758629</v>
      </c>
      <c r="AB1290" s="160">
        <f t="shared" si="533"/>
        <v>0.76586433260393871</v>
      </c>
      <c r="AC1290" s="220">
        <f t="shared" si="534"/>
        <v>0.21306345733041579</v>
      </c>
      <c r="AD1290" s="160">
        <f t="shared" si="535"/>
        <v>1.099495964103983</v>
      </c>
      <c r="AE1290" s="160">
        <f t="shared" si="528"/>
        <v>1.0216497003139569</v>
      </c>
      <c r="AF1290" s="220">
        <f t="shared" si="536"/>
        <v>1</v>
      </c>
      <c r="AG1290" s="183" t="str">
        <f t="shared" si="537"/>
        <v/>
      </c>
      <c r="AH1290" s="183" t="str">
        <f t="shared" si="538"/>
        <v/>
      </c>
      <c r="AI1290" s="220" t="str">
        <f t="shared" si="539"/>
        <v/>
      </c>
    </row>
    <row r="1291" spans="1:35" x14ac:dyDescent="0.3">
      <c r="A1291" s="187">
        <v>34</v>
      </c>
      <c r="B1291" s="242">
        <f t="shared" si="529"/>
        <v>46661</v>
      </c>
      <c r="C1291" s="243">
        <f t="shared" si="512"/>
        <v>46691</v>
      </c>
      <c r="D1291" s="120">
        <f t="shared" si="513"/>
        <v>31</v>
      </c>
      <c r="E1291" s="120">
        <f t="shared" si="514"/>
        <v>10</v>
      </c>
      <c r="F1291" s="275">
        <f t="shared" si="515"/>
        <v>46676.5</v>
      </c>
      <c r="G1291" s="120">
        <f t="shared" si="516"/>
        <v>24333</v>
      </c>
      <c r="H1291" s="245">
        <f t="shared" si="517"/>
        <v>1</v>
      </c>
      <c r="I1291" s="121">
        <f t="shared" si="518"/>
        <v>1.02</v>
      </c>
      <c r="J1291" s="121">
        <f t="shared" si="519"/>
        <v>1.02</v>
      </c>
      <c r="K1291" s="120">
        <f t="shared" si="520"/>
        <v>0</v>
      </c>
      <c r="L1291" s="120">
        <f t="shared" si="521"/>
        <v>0</v>
      </c>
      <c r="M1291" s="246">
        <f t="shared" si="522"/>
        <v>0</v>
      </c>
      <c r="N1291" s="121">
        <f t="shared" si="523"/>
        <v>1.02</v>
      </c>
      <c r="O1291" s="246">
        <f t="shared" si="524"/>
        <v>0.92248905908096279</v>
      </c>
      <c r="P1291" s="121">
        <f t="shared" si="525"/>
        <v>0</v>
      </c>
      <c r="Q1291" s="121">
        <f t="shared" si="526"/>
        <v>0.41666666666666669</v>
      </c>
      <c r="R1291" s="121">
        <f t="shared" si="527"/>
        <v>0.58333333333333326</v>
      </c>
      <c r="W1291" s="160">
        <f t="shared" si="530"/>
        <v>1.02</v>
      </c>
      <c r="X1291" s="160">
        <f t="shared" si="531"/>
        <v>1.02</v>
      </c>
      <c r="Y1291" s="160">
        <f t="shared" si="532"/>
        <v>1.0131578156824339</v>
      </c>
      <c r="AB1291" s="160">
        <f t="shared" si="533"/>
        <v>0.83260393873085337</v>
      </c>
      <c r="AC1291" s="220">
        <f t="shared" si="534"/>
        <v>0.15233041575492345</v>
      </c>
      <c r="AD1291" s="160">
        <f t="shared" si="535"/>
        <v>1.0982870807072778</v>
      </c>
      <c r="AE1291" s="160">
        <f t="shared" si="528"/>
        <v>1.0227596089810675</v>
      </c>
      <c r="AF1291" s="220">
        <f t="shared" si="536"/>
        <v>1</v>
      </c>
      <c r="AG1291" s="183" t="str">
        <f t="shared" si="537"/>
        <v/>
      </c>
      <c r="AH1291" s="183" t="str">
        <f t="shared" si="538"/>
        <v/>
      </c>
      <c r="AI1291" s="220" t="str">
        <f t="shared" si="539"/>
        <v/>
      </c>
    </row>
    <row r="1292" spans="1:35" x14ac:dyDescent="0.3">
      <c r="A1292" s="187">
        <v>35</v>
      </c>
      <c r="B1292" s="242">
        <f t="shared" si="529"/>
        <v>46692</v>
      </c>
      <c r="C1292" s="243">
        <f t="shared" si="512"/>
        <v>46721</v>
      </c>
      <c r="D1292" s="120">
        <f t="shared" si="513"/>
        <v>30</v>
      </c>
      <c r="E1292" s="120">
        <f t="shared" si="514"/>
        <v>11</v>
      </c>
      <c r="F1292" s="275">
        <f t="shared" si="515"/>
        <v>46707</v>
      </c>
      <c r="G1292" s="120">
        <f t="shared" si="516"/>
        <v>24334</v>
      </c>
      <c r="H1292" s="245">
        <f t="shared" si="517"/>
        <v>1</v>
      </c>
      <c r="I1292" s="121">
        <f t="shared" si="518"/>
        <v>1.02</v>
      </c>
      <c r="J1292" s="121">
        <f t="shared" si="519"/>
        <v>1.02</v>
      </c>
      <c r="K1292" s="120">
        <f t="shared" si="520"/>
        <v>0</v>
      </c>
      <c r="L1292" s="120">
        <f t="shared" si="521"/>
        <v>0</v>
      </c>
      <c r="M1292" s="246">
        <f t="shared" si="522"/>
        <v>0</v>
      </c>
      <c r="N1292" s="121">
        <f t="shared" si="523"/>
        <v>1.02</v>
      </c>
      <c r="O1292" s="246">
        <f t="shared" si="524"/>
        <v>0.92349015317286653</v>
      </c>
      <c r="P1292" s="121">
        <f t="shared" si="525"/>
        <v>0</v>
      </c>
      <c r="Q1292" s="121">
        <f t="shared" si="526"/>
        <v>0.25</v>
      </c>
      <c r="R1292" s="121">
        <f t="shared" si="527"/>
        <v>0.75</v>
      </c>
      <c r="W1292" s="160">
        <f t="shared" si="530"/>
        <v>1.02</v>
      </c>
      <c r="X1292" s="160">
        <f t="shared" si="531"/>
        <v>1.02</v>
      </c>
      <c r="Y1292" s="160">
        <f t="shared" si="532"/>
        <v>1.0131433647013635</v>
      </c>
      <c r="AB1292" s="160">
        <f t="shared" si="533"/>
        <v>0.89934354485776802</v>
      </c>
      <c r="AC1292" s="220">
        <f t="shared" si="534"/>
        <v>9.1597374179431104E-2</v>
      </c>
      <c r="AD1292" s="160">
        <f t="shared" si="535"/>
        <v>1.0970808526982907</v>
      </c>
      <c r="AE1292" s="160">
        <f t="shared" si="528"/>
        <v>1.0238695176481782</v>
      </c>
      <c r="AF1292" s="220">
        <f t="shared" si="536"/>
        <v>1</v>
      </c>
      <c r="AG1292" s="183" t="str">
        <f t="shared" si="537"/>
        <v/>
      </c>
      <c r="AH1292" s="183" t="str">
        <f t="shared" si="538"/>
        <v/>
      </c>
      <c r="AI1292" s="220" t="str">
        <f t="shared" si="539"/>
        <v/>
      </c>
    </row>
    <row r="1293" spans="1:35" x14ac:dyDescent="0.3">
      <c r="A1293" s="187">
        <v>36</v>
      </c>
      <c r="B1293" s="242">
        <f t="shared" si="529"/>
        <v>46722</v>
      </c>
      <c r="C1293" s="243">
        <f t="shared" si="512"/>
        <v>46752</v>
      </c>
      <c r="D1293" s="120">
        <f t="shared" si="513"/>
        <v>31</v>
      </c>
      <c r="E1293" s="120">
        <f t="shared" si="514"/>
        <v>12</v>
      </c>
      <c r="F1293" s="275">
        <f t="shared" si="515"/>
        <v>46737.5</v>
      </c>
      <c r="G1293" s="120">
        <f t="shared" si="516"/>
        <v>24335</v>
      </c>
      <c r="H1293" s="245">
        <f t="shared" si="517"/>
        <v>1</v>
      </c>
      <c r="I1293" s="121">
        <f t="shared" si="518"/>
        <v>1.02</v>
      </c>
      <c r="J1293" s="121">
        <f t="shared" si="519"/>
        <v>1.02</v>
      </c>
      <c r="K1293" s="120">
        <f t="shared" si="520"/>
        <v>0</v>
      </c>
      <c r="L1293" s="120">
        <f t="shared" si="521"/>
        <v>0</v>
      </c>
      <c r="M1293" s="246">
        <f t="shared" si="522"/>
        <v>0</v>
      </c>
      <c r="N1293" s="121">
        <f t="shared" si="523"/>
        <v>1.02</v>
      </c>
      <c r="O1293" s="246">
        <f t="shared" si="524"/>
        <v>0.92449124726477028</v>
      </c>
      <c r="P1293" s="121">
        <f t="shared" si="525"/>
        <v>0</v>
      </c>
      <c r="Q1293" s="121">
        <f t="shared" si="526"/>
        <v>8.3333333333333329E-2</v>
      </c>
      <c r="R1293" s="121">
        <f t="shared" si="527"/>
        <v>0.91666666666666663</v>
      </c>
      <c r="W1293" s="160">
        <f t="shared" si="530"/>
        <v>1.02</v>
      </c>
      <c r="X1293" s="160">
        <f t="shared" si="531"/>
        <v>1.02</v>
      </c>
      <c r="Y1293" s="160">
        <f t="shared" si="532"/>
        <v>1.0131289454279495</v>
      </c>
      <c r="AB1293" s="160">
        <f t="shared" si="533"/>
        <v>0.96608315098468267</v>
      </c>
      <c r="AC1293" s="220">
        <f t="shared" si="534"/>
        <v>3.0864332603938772E-2</v>
      </c>
      <c r="AD1293" s="160">
        <f t="shared" si="535"/>
        <v>1.0958772713375338</v>
      </c>
      <c r="AE1293" s="160">
        <f t="shared" si="528"/>
        <v>1.0249794263152887</v>
      </c>
      <c r="AF1293" s="220">
        <f t="shared" si="536"/>
        <v>1</v>
      </c>
      <c r="AG1293" s="183" t="str">
        <f t="shared" si="537"/>
        <v/>
      </c>
      <c r="AH1293" s="183" t="str">
        <f t="shared" si="538"/>
        <v/>
      </c>
      <c r="AI1293" s="220" t="str">
        <f t="shared" si="539"/>
        <v/>
      </c>
    </row>
    <row r="1294" spans="1:35" x14ac:dyDescent="0.3">
      <c r="A1294" s="187">
        <v>37</v>
      </c>
      <c r="B1294" s="242">
        <f t="shared" si="529"/>
        <v>46753</v>
      </c>
      <c r="C1294" s="243">
        <f t="shared" si="512"/>
        <v>46783</v>
      </c>
      <c r="D1294" s="120">
        <f t="shared" si="513"/>
        <v>31</v>
      </c>
      <c r="E1294" s="120">
        <f t="shared" si="514"/>
        <v>1</v>
      </c>
      <c r="F1294" s="275">
        <f t="shared" si="515"/>
        <v>46768.5</v>
      </c>
      <c r="G1294" s="120">
        <f t="shared" si="516"/>
        <v>24336</v>
      </c>
      <c r="H1294" s="245">
        <f t="shared" si="517"/>
        <v>1</v>
      </c>
      <c r="I1294" s="121">
        <f t="shared" si="518"/>
        <v>1.02</v>
      </c>
      <c r="J1294" s="121">
        <f t="shared" si="519"/>
        <v>1.02</v>
      </c>
      <c r="K1294" s="120">
        <f t="shared" si="520"/>
        <v>0</v>
      </c>
      <c r="L1294" s="120">
        <f t="shared" si="521"/>
        <v>0</v>
      </c>
      <c r="M1294" s="246">
        <f t="shared" si="522"/>
        <v>0</v>
      </c>
      <c r="N1294" s="121">
        <f t="shared" si="523"/>
        <v>1.02</v>
      </c>
      <c r="O1294" s="246">
        <f t="shared" si="524"/>
        <v>0.92500000000000004</v>
      </c>
      <c r="P1294" s="121">
        <f t="shared" si="525"/>
        <v>0</v>
      </c>
      <c r="Q1294" s="121">
        <f t="shared" si="526"/>
        <v>0</v>
      </c>
      <c r="R1294" s="121">
        <f t="shared" si="527"/>
        <v>1</v>
      </c>
      <c r="AE1294" s="160">
        <f t="shared" si="528"/>
        <v>1.0255434782608697</v>
      </c>
    </row>
    <row r="1295" spans="1:35" x14ac:dyDescent="0.3">
      <c r="A1295" s="187">
        <v>38</v>
      </c>
      <c r="B1295" s="242">
        <f t="shared" si="529"/>
        <v>46784</v>
      </c>
      <c r="C1295" s="243">
        <f t="shared" si="512"/>
        <v>46812</v>
      </c>
      <c r="D1295" s="120">
        <f t="shared" si="513"/>
        <v>29</v>
      </c>
      <c r="E1295" s="120">
        <f t="shared" si="514"/>
        <v>2</v>
      </c>
      <c r="F1295" s="275">
        <f t="shared" si="515"/>
        <v>46798.5</v>
      </c>
      <c r="G1295" s="120">
        <f t="shared" si="516"/>
        <v>24337</v>
      </c>
      <c r="H1295" s="245">
        <f t="shared" si="517"/>
        <v>1</v>
      </c>
      <c r="I1295" s="121">
        <f t="shared" si="518"/>
        <v>1.02</v>
      </c>
      <c r="J1295" s="121">
        <f t="shared" si="519"/>
        <v>1.02</v>
      </c>
      <c r="K1295" s="120">
        <f t="shared" si="520"/>
        <v>0</v>
      </c>
      <c r="L1295" s="120">
        <f t="shared" si="521"/>
        <v>0</v>
      </c>
      <c r="M1295" s="246">
        <f t="shared" si="522"/>
        <v>0</v>
      </c>
      <c r="N1295" s="121">
        <f t="shared" si="523"/>
        <v>1.02</v>
      </c>
      <c r="O1295" s="246">
        <f t="shared" si="524"/>
        <v>0.92500000000000004</v>
      </c>
      <c r="P1295" s="121">
        <f t="shared" si="525"/>
        <v>0</v>
      </c>
      <c r="Q1295" s="121">
        <f t="shared" si="526"/>
        <v>0</v>
      </c>
      <c r="R1295" s="121">
        <f t="shared" si="527"/>
        <v>1</v>
      </c>
      <c r="AE1295" s="160">
        <f t="shared" si="528"/>
        <v>1.0255434782608697</v>
      </c>
    </row>
    <row r="1296" spans="1:35" x14ac:dyDescent="0.3">
      <c r="A1296" s="187">
        <v>39</v>
      </c>
      <c r="B1296" s="242">
        <f t="shared" si="529"/>
        <v>46813</v>
      </c>
      <c r="C1296" s="243">
        <f t="shared" si="512"/>
        <v>46843</v>
      </c>
      <c r="D1296" s="120">
        <f t="shared" si="513"/>
        <v>31</v>
      </c>
      <c r="E1296" s="120">
        <f t="shared" si="514"/>
        <v>3</v>
      </c>
      <c r="F1296" s="275">
        <f t="shared" si="515"/>
        <v>46828.5</v>
      </c>
      <c r="G1296" s="120">
        <f t="shared" si="516"/>
        <v>24338</v>
      </c>
      <c r="H1296" s="245">
        <f t="shared" si="517"/>
        <v>1</v>
      </c>
      <c r="I1296" s="121">
        <f t="shared" si="518"/>
        <v>1.02</v>
      </c>
      <c r="J1296" s="121">
        <f t="shared" si="519"/>
        <v>1.02</v>
      </c>
      <c r="K1296" s="120">
        <f t="shared" si="520"/>
        <v>0</v>
      </c>
      <c r="L1296" s="120">
        <f t="shared" si="521"/>
        <v>0</v>
      </c>
      <c r="M1296" s="246">
        <f t="shared" si="522"/>
        <v>0</v>
      </c>
      <c r="N1296" s="121">
        <f t="shared" si="523"/>
        <v>1.02</v>
      </c>
      <c r="O1296" s="246">
        <f t="shared" si="524"/>
        <v>0.92500000000000004</v>
      </c>
      <c r="P1296" s="121">
        <f t="shared" si="525"/>
        <v>0</v>
      </c>
      <c r="Q1296" s="121">
        <f t="shared" si="526"/>
        <v>0</v>
      </c>
      <c r="R1296" s="121">
        <f t="shared" si="527"/>
        <v>1</v>
      </c>
      <c r="AE1296" s="160">
        <f t="shared" si="528"/>
        <v>1.0255434782608697</v>
      </c>
    </row>
    <row r="1297" spans="1:31" x14ac:dyDescent="0.3">
      <c r="A1297" s="187">
        <v>40</v>
      </c>
      <c r="B1297" s="242">
        <f t="shared" si="529"/>
        <v>46844</v>
      </c>
      <c r="C1297" s="243">
        <f t="shared" si="512"/>
        <v>46873</v>
      </c>
      <c r="D1297" s="120">
        <f t="shared" si="513"/>
        <v>30</v>
      </c>
      <c r="E1297" s="120">
        <f t="shared" si="514"/>
        <v>4</v>
      </c>
      <c r="F1297" s="275">
        <f t="shared" si="515"/>
        <v>46859</v>
      </c>
      <c r="G1297" s="120">
        <f t="shared" si="516"/>
        <v>24339</v>
      </c>
      <c r="H1297" s="245">
        <f t="shared" si="517"/>
        <v>1</v>
      </c>
      <c r="I1297" s="121">
        <f t="shared" si="518"/>
        <v>1.02</v>
      </c>
      <c r="J1297" s="121">
        <f t="shared" si="519"/>
        <v>1.02</v>
      </c>
      <c r="K1297" s="120">
        <f t="shared" si="520"/>
        <v>0</v>
      </c>
      <c r="L1297" s="120">
        <f t="shared" si="521"/>
        <v>0</v>
      </c>
      <c r="M1297" s="246">
        <f t="shared" si="522"/>
        <v>0</v>
      </c>
      <c r="N1297" s="121">
        <f t="shared" si="523"/>
        <v>1.02</v>
      </c>
      <c r="O1297" s="246">
        <f t="shared" si="524"/>
        <v>0.92500000000000004</v>
      </c>
      <c r="P1297" s="121">
        <f t="shared" si="525"/>
        <v>0</v>
      </c>
      <c r="Q1297" s="121">
        <f t="shared" si="526"/>
        <v>0</v>
      </c>
      <c r="R1297" s="121">
        <f t="shared" si="527"/>
        <v>1</v>
      </c>
      <c r="AE1297" s="160">
        <f t="shared" si="528"/>
        <v>1.0255434782608697</v>
      </c>
    </row>
    <row r="1298" spans="1:31" x14ac:dyDescent="0.3">
      <c r="A1298" s="187">
        <v>41</v>
      </c>
      <c r="B1298" s="242">
        <f t="shared" si="529"/>
        <v>46874</v>
      </c>
      <c r="C1298" s="243">
        <f t="shared" si="512"/>
        <v>46904</v>
      </c>
      <c r="D1298" s="120">
        <f t="shared" si="513"/>
        <v>31</v>
      </c>
      <c r="E1298" s="120">
        <f t="shared" si="514"/>
        <v>5</v>
      </c>
      <c r="F1298" s="275">
        <f t="shared" si="515"/>
        <v>46889.5</v>
      </c>
      <c r="G1298" s="120">
        <f t="shared" si="516"/>
        <v>24340</v>
      </c>
      <c r="H1298" s="245">
        <f t="shared" si="517"/>
        <v>1</v>
      </c>
      <c r="I1298" s="121">
        <f t="shared" si="518"/>
        <v>1.02</v>
      </c>
      <c r="J1298" s="121">
        <f t="shared" si="519"/>
        <v>1.02</v>
      </c>
      <c r="K1298" s="120">
        <f t="shared" si="520"/>
        <v>0</v>
      </c>
      <c r="L1298" s="120">
        <f t="shared" si="521"/>
        <v>0</v>
      </c>
      <c r="M1298" s="246">
        <f t="shared" si="522"/>
        <v>0</v>
      </c>
      <c r="N1298" s="121">
        <f t="shared" si="523"/>
        <v>1.02</v>
      </c>
      <c r="O1298" s="246">
        <f t="shared" si="524"/>
        <v>0.92500000000000004</v>
      </c>
      <c r="P1298" s="121">
        <f t="shared" si="525"/>
        <v>0</v>
      </c>
      <c r="Q1298" s="121">
        <f t="shared" si="526"/>
        <v>0</v>
      </c>
      <c r="R1298" s="121">
        <f t="shared" si="527"/>
        <v>1</v>
      </c>
      <c r="AE1298" s="160">
        <f t="shared" si="528"/>
        <v>1.0255434782608697</v>
      </c>
    </row>
    <row r="1299" spans="1:31" x14ac:dyDescent="0.3">
      <c r="A1299" s="187">
        <v>42</v>
      </c>
      <c r="B1299" s="242">
        <f t="shared" si="529"/>
        <v>46905</v>
      </c>
      <c r="C1299" s="243">
        <f t="shared" si="512"/>
        <v>46934</v>
      </c>
      <c r="D1299" s="120">
        <f t="shared" si="513"/>
        <v>30</v>
      </c>
      <c r="E1299" s="120">
        <f t="shared" si="514"/>
        <v>6</v>
      </c>
      <c r="F1299" s="275">
        <f t="shared" si="515"/>
        <v>46920</v>
      </c>
      <c r="G1299" s="120">
        <f t="shared" si="516"/>
        <v>24341</v>
      </c>
      <c r="H1299" s="245">
        <f t="shared" si="517"/>
        <v>1</v>
      </c>
      <c r="I1299" s="121">
        <f t="shared" si="518"/>
        <v>1.02</v>
      </c>
      <c r="J1299" s="121">
        <f t="shared" si="519"/>
        <v>1.02</v>
      </c>
      <c r="K1299" s="120">
        <f t="shared" si="520"/>
        <v>0</v>
      </c>
      <c r="L1299" s="120">
        <f t="shared" si="521"/>
        <v>0</v>
      </c>
      <c r="M1299" s="246">
        <f t="shared" si="522"/>
        <v>0</v>
      </c>
      <c r="N1299" s="121">
        <f t="shared" si="523"/>
        <v>1.02</v>
      </c>
      <c r="O1299" s="246">
        <f t="shared" si="524"/>
        <v>0.92500000000000004</v>
      </c>
      <c r="P1299" s="121">
        <f t="shared" si="525"/>
        <v>0</v>
      </c>
      <c r="Q1299" s="121">
        <f t="shared" si="526"/>
        <v>0</v>
      </c>
      <c r="R1299" s="121">
        <f t="shared" si="527"/>
        <v>1</v>
      </c>
      <c r="AE1299" s="160">
        <f t="shared" si="528"/>
        <v>1.0255434782608697</v>
      </c>
    </row>
    <row r="1300" spans="1:31" x14ac:dyDescent="0.3">
      <c r="A1300" s="187">
        <v>43</v>
      </c>
      <c r="B1300" s="242">
        <f t="shared" si="529"/>
        <v>46935</v>
      </c>
      <c r="C1300" s="243">
        <f t="shared" si="512"/>
        <v>46965</v>
      </c>
      <c r="D1300" s="120">
        <f t="shared" si="513"/>
        <v>31</v>
      </c>
      <c r="E1300" s="120">
        <f t="shared" si="514"/>
        <v>7</v>
      </c>
      <c r="F1300" s="275">
        <f t="shared" si="515"/>
        <v>46950.5</v>
      </c>
      <c r="G1300" s="120">
        <f t="shared" si="516"/>
        <v>24342</v>
      </c>
      <c r="H1300" s="245">
        <f t="shared" si="517"/>
        <v>1</v>
      </c>
      <c r="I1300" s="121">
        <f t="shared" si="518"/>
        <v>1.02</v>
      </c>
      <c r="J1300" s="121">
        <f t="shared" si="519"/>
        <v>1.02</v>
      </c>
      <c r="K1300" s="120">
        <f t="shared" si="520"/>
        <v>0</v>
      </c>
      <c r="L1300" s="120">
        <f t="shared" si="521"/>
        <v>0</v>
      </c>
      <c r="M1300" s="246">
        <f t="shared" si="522"/>
        <v>0</v>
      </c>
      <c r="N1300" s="121">
        <f t="shared" si="523"/>
        <v>1.02</v>
      </c>
      <c r="O1300" s="246">
        <f t="shared" si="524"/>
        <v>0.92500000000000004</v>
      </c>
      <c r="P1300" s="121">
        <f t="shared" si="525"/>
        <v>0</v>
      </c>
      <c r="Q1300" s="121">
        <f t="shared" si="526"/>
        <v>0</v>
      </c>
      <c r="R1300" s="121">
        <f t="shared" si="527"/>
        <v>0.91666666666666663</v>
      </c>
      <c r="AE1300" s="160">
        <f t="shared" si="528"/>
        <v>1.0255434782608697</v>
      </c>
    </row>
    <row r="1301" spans="1:31" x14ac:dyDescent="0.3">
      <c r="A1301" s="187">
        <v>44</v>
      </c>
      <c r="B1301" s="242">
        <f t="shared" si="529"/>
        <v>46966</v>
      </c>
      <c r="C1301" s="243">
        <f t="shared" si="512"/>
        <v>46996</v>
      </c>
      <c r="D1301" s="120">
        <f t="shared" si="513"/>
        <v>31</v>
      </c>
      <c r="E1301" s="120">
        <f t="shared" si="514"/>
        <v>8</v>
      </c>
      <c r="F1301" s="275">
        <f t="shared" si="515"/>
        <v>46981.5</v>
      </c>
      <c r="G1301" s="120">
        <f t="shared" si="516"/>
        <v>24343</v>
      </c>
      <c r="H1301" s="245">
        <f t="shared" si="517"/>
        <v>1</v>
      </c>
      <c r="I1301" s="121">
        <f t="shared" si="518"/>
        <v>1.02</v>
      </c>
      <c r="J1301" s="121">
        <f t="shared" si="519"/>
        <v>1.02</v>
      </c>
      <c r="K1301" s="120">
        <f t="shared" si="520"/>
        <v>0</v>
      </c>
      <c r="L1301" s="120">
        <f t="shared" si="521"/>
        <v>0</v>
      </c>
      <c r="M1301" s="246">
        <f t="shared" si="522"/>
        <v>0</v>
      </c>
      <c r="N1301" s="121">
        <f t="shared" si="523"/>
        <v>1.02</v>
      </c>
      <c r="O1301" s="246">
        <f t="shared" si="524"/>
        <v>0.92500000000000004</v>
      </c>
      <c r="P1301" s="121">
        <f t="shared" si="525"/>
        <v>0</v>
      </c>
      <c r="Q1301" s="121">
        <f t="shared" si="526"/>
        <v>0</v>
      </c>
      <c r="R1301" s="121">
        <f t="shared" si="527"/>
        <v>0.75</v>
      </c>
      <c r="AE1301" s="160">
        <f t="shared" si="528"/>
        <v>1.0255434782608697</v>
      </c>
    </row>
    <row r="1302" spans="1:31" x14ac:dyDescent="0.3">
      <c r="A1302" s="187">
        <v>45</v>
      </c>
      <c r="B1302" s="242">
        <f t="shared" si="529"/>
        <v>46997</v>
      </c>
      <c r="C1302" s="243">
        <f t="shared" si="512"/>
        <v>47026</v>
      </c>
      <c r="D1302" s="120">
        <f t="shared" si="513"/>
        <v>30</v>
      </c>
      <c r="E1302" s="120">
        <f t="shared" si="514"/>
        <v>9</v>
      </c>
      <c r="F1302" s="275">
        <f t="shared" si="515"/>
        <v>47012</v>
      </c>
      <c r="G1302" s="120">
        <f t="shared" si="516"/>
        <v>24344</v>
      </c>
      <c r="H1302" s="245">
        <f t="shared" si="517"/>
        <v>1</v>
      </c>
      <c r="I1302" s="121">
        <f t="shared" si="518"/>
        <v>1.02</v>
      </c>
      <c r="J1302" s="121">
        <f t="shared" si="519"/>
        <v>1.02</v>
      </c>
      <c r="K1302" s="120">
        <f t="shared" si="520"/>
        <v>0</v>
      </c>
      <c r="L1302" s="120">
        <f t="shared" si="521"/>
        <v>0</v>
      </c>
      <c r="M1302" s="246">
        <f t="shared" si="522"/>
        <v>0</v>
      </c>
      <c r="N1302" s="121">
        <f t="shared" si="523"/>
        <v>1.02</v>
      </c>
      <c r="O1302" s="246">
        <f t="shared" si="524"/>
        <v>0.92500000000000004</v>
      </c>
      <c r="P1302" s="121">
        <f t="shared" si="525"/>
        <v>0</v>
      </c>
      <c r="Q1302" s="121">
        <f t="shared" si="526"/>
        <v>0</v>
      </c>
      <c r="R1302" s="121">
        <f t="shared" si="527"/>
        <v>0.58333333333333337</v>
      </c>
      <c r="AE1302" s="160">
        <f t="shared" si="528"/>
        <v>1.0255434782608697</v>
      </c>
    </row>
    <row r="1303" spans="1:31" x14ac:dyDescent="0.3">
      <c r="A1303" s="187">
        <v>46</v>
      </c>
      <c r="B1303" s="242">
        <f t="shared" si="529"/>
        <v>47027</v>
      </c>
      <c r="C1303" s="243">
        <f t="shared" si="512"/>
        <v>47057</v>
      </c>
      <c r="D1303" s="120">
        <f t="shared" si="513"/>
        <v>31</v>
      </c>
      <c r="E1303" s="120">
        <f t="shared" si="514"/>
        <v>10</v>
      </c>
      <c r="F1303" s="275">
        <f t="shared" si="515"/>
        <v>47042.5</v>
      </c>
      <c r="G1303" s="120">
        <f t="shared" si="516"/>
        <v>24345</v>
      </c>
      <c r="H1303" s="245">
        <f t="shared" si="517"/>
        <v>1</v>
      </c>
      <c r="I1303" s="121">
        <f t="shared" si="518"/>
        <v>1.02</v>
      </c>
      <c r="J1303" s="121">
        <f t="shared" si="519"/>
        <v>1.02</v>
      </c>
      <c r="K1303" s="120">
        <f t="shared" si="520"/>
        <v>0</v>
      </c>
      <c r="L1303" s="120">
        <f t="shared" si="521"/>
        <v>0</v>
      </c>
      <c r="M1303" s="246">
        <f t="shared" si="522"/>
        <v>0</v>
      </c>
      <c r="N1303" s="121">
        <f t="shared" si="523"/>
        <v>1.02</v>
      </c>
      <c r="O1303" s="246">
        <f t="shared" si="524"/>
        <v>0.92500000000000004</v>
      </c>
      <c r="P1303" s="121">
        <f t="shared" si="525"/>
        <v>0</v>
      </c>
      <c r="Q1303" s="121">
        <f t="shared" si="526"/>
        <v>0</v>
      </c>
      <c r="R1303" s="121">
        <f t="shared" si="527"/>
        <v>0.41666666666666669</v>
      </c>
      <c r="AE1303" s="160">
        <f t="shared" si="528"/>
        <v>1.0255434782608697</v>
      </c>
    </row>
    <row r="1304" spans="1:31" x14ac:dyDescent="0.3">
      <c r="A1304" s="187">
        <v>47</v>
      </c>
      <c r="B1304" s="242">
        <f t="shared" si="529"/>
        <v>47058</v>
      </c>
      <c r="C1304" s="243">
        <f t="shared" si="512"/>
        <v>47087</v>
      </c>
      <c r="D1304" s="120">
        <f t="shared" si="513"/>
        <v>30</v>
      </c>
      <c r="E1304" s="120">
        <f t="shared" si="514"/>
        <v>11</v>
      </c>
      <c r="F1304" s="275">
        <f t="shared" si="515"/>
        <v>47073</v>
      </c>
      <c r="G1304" s="120">
        <f t="shared" si="516"/>
        <v>24346</v>
      </c>
      <c r="H1304" s="245">
        <f t="shared" si="517"/>
        <v>1</v>
      </c>
      <c r="I1304" s="121">
        <f t="shared" si="518"/>
        <v>1.02</v>
      </c>
      <c r="J1304" s="121">
        <f t="shared" si="519"/>
        <v>1.02</v>
      </c>
      <c r="K1304" s="120">
        <f t="shared" si="520"/>
        <v>0</v>
      </c>
      <c r="L1304" s="120">
        <f t="shared" si="521"/>
        <v>0</v>
      </c>
      <c r="M1304" s="246">
        <f t="shared" si="522"/>
        <v>0</v>
      </c>
      <c r="N1304" s="121">
        <f t="shared" si="523"/>
        <v>1.02</v>
      </c>
      <c r="O1304" s="246">
        <f t="shared" si="524"/>
        <v>0.92500000000000004</v>
      </c>
      <c r="P1304" s="121">
        <f t="shared" si="525"/>
        <v>0</v>
      </c>
      <c r="Q1304" s="121">
        <f t="shared" si="526"/>
        <v>0</v>
      </c>
      <c r="R1304" s="121">
        <f t="shared" si="527"/>
        <v>0.25</v>
      </c>
      <c r="AE1304" s="160">
        <f t="shared" si="528"/>
        <v>1.0255434782608697</v>
      </c>
    </row>
    <row r="1305" spans="1:31" x14ac:dyDescent="0.3">
      <c r="A1305" s="187">
        <v>48</v>
      </c>
      <c r="B1305" s="242">
        <f t="shared" si="529"/>
        <v>47088</v>
      </c>
      <c r="C1305" s="243">
        <f t="shared" si="512"/>
        <v>47118</v>
      </c>
      <c r="D1305" s="120">
        <f t="shared" si="513"/>
        <v>31</v>
      </c>
      <c r="E1305" s="120">
        <f t="shared" si="514"/>
        <v>12</v>
      </c>
      <c r="F1305" s="275">
        <f t="shared" si="515"/>
        <v>47103.5</v>
      </c>
      <c r="G1305" s="120">
        <f t="shared" si="516"/>
        <v>24347</v>
      </c>
      <c r="H1305" s="245">
        <f t="shared" si="517"/>
        <v>1</v>
      </c>
      <c r="I1305" s="121">
        <f t="shared" si="518"/>
        <v>1.02</v>
      </c>
      <c r="J1305" s="121">
        <f t="shared" si="519"/>
        <v>1.02</v>
      </c>
      <c r="K1305" s="120">
        <f t="shared" si="520"/>
        <v>0</v>
      </c>
      <c r="L1305" s="120">
        <f t="shared" si="521"/>
        <v>0</v>
      </c>
      <c r="M1305" s="246">
        <f t="shared" si="522"/>
        <v>0</v>
      </c>
      <c r="N1305" s="121">
        <f t="shared" si="523"/>
        <v>1.02</v>
      </c>
      <c r="O1305" s="246">
        <f t="shared" si="524"/>
        <v>0.92500000000000004</v>
      </c>
      <c r="P1305" s="121">
        <f t="shared" si="525"/>
        <v>0</v>
      </c>
      <c r="Q1305" s="121">
        <f t="shared" si="526"/>
        <v>0</v>
      </c>
      <c r="R1305" s="121">
        <f t="shared" si="527"/>
        <v>8.3333333333333329E-2</v>
      </c>
      <c r="AE1305" s="160">
        <f t="shared" si="528"/>
        <v>1.0255434782608697</v>
      </c>
    </row>
    <row r="1306" spans="1:31" x14ac:dyDescent="0.3">
      <c r="A1306" s="23" t="s">
        <v>1723</v>
      </c>
      <c r="B1306" s="279">
        <f>SUM($H$1282:$H$1293)</f>
        <v>12</v>
      </c>
      <c r="C1306" s="160">
        <f>SUMPRODUCT($H$1282:$H$1293,$W$1282:$W$1293/$N$1270:$N$1281,$Y$1282:$Y$1293)</f>
        <v>12.158506276922415</v>
      </c>
      <c r="D1306" s="160">
        <f>SUMPRODUCT($H$1282:$H$1293,$X$1282:$X$1293/$N$1270:$N$1281,$Y$1282:$Y$1293)</f>
        <v>9.1186832375146931</v>
      </c>
      <c r="E1306" s="281" t="str">
        <f>IF(OR($D$1255=0,$P$1255=0,$D1306=0),"n/a",((1+$E$1255)*$B1306-$C1306)/$D1306)</f>
        <v>n/a</v>
      </c>
      <c r="F1306" s="281" t="str">
        <f>IF($V$1255&lt;&gt;"",$V$1255,$E1306)</f>
        <v>n/a</v>
      </c>
      <c r="G1306" s="281" t="str">
        <f>IF(OR(NOT(ISNUMBER($F1306)),nd_Ach=0),"n/a",$F1306/nd_Ach)</f>
        <v>n/a</v>
      </c>
      <c r="H1306" s="220" t="str">
        <f>IF(OR(NOT(ISNUMBER($F1306)),$F$1255=0,SUMPRODUCT($AD$1282:$AD$1293,$AB$1282:$AB$1293)=0),"n/a",((1+$E$1255)*$B1306-SUMPRODUCT($AD$1282:$AD$1293,$AC$1282:$AC$1293))/SUMPRODUCT($AD$1282:$AD$1293,$AB$1282:$AB$1293))</f>
        <v>n/a</v>
      </c>
      <c r="I1306" s="183" t="str">
        <f>IF(NOT(ISNUMBER($F1306)),"n/a",SUMPRODUCT($H$1282:$H$1293,($W$1282:$W$1293+$X$1282:$X$1293*$F1306)/$N$1270:$N$1281)/$B1306-1)</f>
        <v>n/a</v>
      </c>
      <c r="J1306" s="183" t="str">
        <f>IF(OR(NOT(ISNUMBER($I1306)),$F$1255=0),"n/a",(1+$E$1255)/(1+$I1306)-1)</f>
        <v>n/a</v>
      </c>
      <c r="K1306" s="183" t="str">
        <f>IF(NOT(ISNUMBER($F1306)),"n/a",($C1306+$D1306*$F1306)/$B1306-1)</f>
        <v>n/a</v>
      </c>
      <c r="L1306" s="229" t="str">
        <f>IF(NOT(ISNUMBER($F1306)),"n/a",SUMPRODUCT($H$1282:$H$1293,$AF$1282:$AF$1293)/$B1306)</f>
        <v>n/a</v>
      </c>
      <c r="M1306" s="23" t="str">
        <f>IF($D$1255=0,"",TRIM(IF(AND(ISNUMBER($H1306),OR($H1306&lt;0.5,$H1306&gt;1.5)),"MOD-BOUND ","")&amp;IF(AND(ISNUMBER($F1306),ABS($F1306)&gt;nr_SolvMaxRate),"RATE-BOUND ","")&amp;IF(AND(ISNUMBER($L1306),$L1306&lt;nr_SolvMinShare),"THIN-SHARE ","")&amp;IF($W$1255&gt;1,"MULTI-PLANNED ","")&amp;IF($F$1255=0,"RATE-ONLY","")))</f>
        <v/>
      </c>
      <c r="N1306" s="229" t="str">
        <f>IF(OR($D$1255=0,NOT(ISNUMBER($F1306))),"n/a",INDEX(calc_lrcur,$C$1255)*INDEX(calc_crl,$C$1255)/(SUMPRODUCT($H$1258:$H$1305,$Q$1258:$Q$1305,$AE$1258:$AE$1305)/SUMPRODUCT($H$1258:$H$1305,$Q$1258:$Q$1305))*INDEX(calc_aother,$C$1255))</f>
        <v>n/a</v>
      </c>
      <c r="O1306" s="229" t="str">
        <f>IF($D$1255=0,"n/a",INDEX(calc_cylr_p,$C$1255))</f>
        <v>n/a</v>
      </c>
      <c r="P1306" s="282">
        <f>IF(NOT(ISNUMBER($E1306)),0,ABS(($C1306+$D1306*$E1306)/$B1306-(1+$E$1255)))</f>
        <v>0</v>
      </c>
    </row>
    <row r="1311" spans="1:31" x14ac:dyDescent="0.3">
      <c r="A1311" s="23" t="str">
        <f>_lists!$B$22</f>
        <v>WV</v>
      </c>
      <c r="B1311" s="23" t="str">
        <f>IF(OR($A1311="",nd_BU="All"),"",nd_BU&amp;"|"&amp;$A1311)</f>
        <v>SBA|WV</v>
      </c>
      <c r="C1311" s="43">
        <f>IF($B1311="",0,IF(COUNTIF(lr_key,$B1311)=0,0,MATCH($B1311,lr_key,0)))</f>
        <v>62</v>
      </c>
      <c r="D1311" s="43">
        <f>IF($C1311=0,0,IF(ISBLANK(INDEX(lr_netp,$C1311)),0,1))</f>
        <v>0</v>
      </c>
      <c r="E1311" s="229">
        <f>IF($D1311=0,0,N(INDEX(lr_netp,$C1311)))</f>
        <v>0</v>
      </c>
      <c r="F1311" s="43">
        <f>IF($C1311=0,0,IF(AND(nr_ModAdjMaster="ON",INDEX(lr_modadj,$C1311)="ON"),1,0))</f>
        <v>1</v>
      </c>
      <c r="G1311" s="220">
        <f>IF($C1311=0,1,IF(N(INDEX(lr_mind,$C1311))=0,1,INDEX(lr_mind,$C1311)))</f>
        <v>0.92</v>
      </c>
      <c r="H1311" s="220">
        <f>IF($C1311=0,1,IF(N(INDEX(lr_m0,$C1311))=0,1,INDEX(lr_m0,$C1311)))</f>
        <v>0.91</v>
      </c>
      <c r="I1311" s="278">
        <f>IF($C1311=0,DATE(nr_PlanYear-1,10,1),IF(N(INDEX(lr_m0asof,$C1311))=0,DATE(nr_PlanYear-1,10,1),INDEX(lr_m0asof,$C1311)))</f>
        <v>46295</v>
      </c>
      <c r="J1311" s="220">
        <f>IF($C1311=0,1,IF(N(INDEX(lr_m1,$C1311))=0,1,INDEX(lr_m1,$C1311)))</f>
        <v>0.90500000000000003</v>
      </c>
      <c r="K1311" s="220">
        <f>IF($C1311=0,0,N(INDEX(lr_mprior,$C1311)))</f>
        <v>0</v>
      </c>
      <c r="L1311" s="220">
        <f>IF($C1311=0,0,N(INDEX(lr_m2,$C1311)))</f>
        <v>0</v>
      </c>
      <c r="M1311" s="43">
        <f>IF(OR($A1311="",COUNTIF(se_state,$A1311)=0),0,MATCH($A1311,se_state,0))</f>
        <v>0</v>
      </c>
      <c r="N1311" s="279">
        <f>IF($M1311=0,0,INDEX(se_sum,$M1311))</f>
        <v>0</v>
      </c>
      <c r="O1311" s="278">
        <f>IF('Net Delivery'!$D$28="",$X1311,'Net Delivery'!$D$28)</f>
        <v>46419</v>
      </c>
      <c r="P1311" s="43">
        <f>IF(AND($O1311&gt;=DATE(nr_PlanYear,1,1),$O1311&lt;=DATE(nr_PlanYear,12,31)),1,0)</f>
        <v>1</v>
      </c>
      <c r="Q1311" s="43">
        <f>YEAR($O1311)*12+MONTH($O1311)-1</f>
        <v>24325</v>
      </c>
      <c r="R1311" s="43">
        <f>DAY(EOMONTH($O1311,0))</f>
        <v>28</v>
      </c>
      <c r="S1311" s="43">
        <f>EOMONTH($O1311,0)-$O1311+1</f>
        <v>28</v>
      </c>
      <c r="T1311" s="43">
        <f>SUMIFS(ndl_days,rl_key,$B1311,ndl_effmonth,DATE(YEAR($O1311),MONTH($O1311),1),ndl_first,1)</f>
        <v>0</v>
      </c>
      <c r="U1311" s="220">
        <f>IF($P1311=1,MIN(1,MAX($S1311,$T1311)/$R1311),1)</f>
        <v>1</v>
      </c>
      <c r="V1311" s="280">
        <f>IF(ISBLANK('Net Delivery'!$E$28),$Y1311,'Net Delivery'!$E$28)</f>
        <v>0.04</v>
      </c>
      <c r="W1311" s="43">
        <f>IF($B1311="",0,COUNTIFS(rl_key,$B1311,rl_status,"planned",rl_eff,"&gt;="&amp;DATE(nr_PlanYear,1,1),rl_eff,"&lt;="&amp;DATE(nr_PlanYear,12,31)))</f>
        <v>1</v>
      </c>
      <c r="X1311" s="278">
        <f>IF($W1311=0,nd_DefaultDate,SUMIFS(rl_eff,rl_key,$B1311,rl_firstplanned,1))</f>
        <v>46419</v>
      </c>
      <c r="Y1311" s="280">
        <f>IF($W1311=0,"",SUMIFS(rl_reff,rl_key,$B1311,rl_firstplanned,1))</f>
        <v>0.04</v>
      </c>
      <c r="Z1311" s="280">
        <f>IF($W1311=0,"",SUMIFS(rl_filed,rl_key,$B1311,rl_firstplanned,1))</f>
        <v>0.04</v>
      </c>
    </row>
    <row r="1312" spans="1:31" x14ac:dyDescent="0.3">
      <c r="A1312" s="6">
        <f>EDATE($I$1311,-12)+1</f>
        <v>45931</v>
      </c>
      <c r="B1312" s="6">
        <f>$I$1311+1</f>
        <v>46296</v>
      </c>
      <c r="C1312" s="6">
        <f>DATE(nr_PlanYear,12,31)+1</f>
        <v>46753</v>
      </c>
      <c r="D1312" s="6">
        <f>DATE(nr_PlanYear+1,12,31)+1</f>
        <v>47119</v>
      </c>
      <c r="E1312" s="6">
        <f>IF(N($K$1311)=0,$F$1312-($G$1312-$F$1312)/($C$1312-$B$1312)*($B$1312-$A$1312),$K$1311)</f>
        <v>0.9139934354485777</v>
      </c>
      <c r="F1312" s="6">
        <f>$H$1311</f>
        <v>0.91</v>
      </c>
      <c r="G1312" s="6">
        <f>$J$1311</f>
        <v>0.90500000000000003</v>
      </c>
      <c r="H1312" s="6">
        <f>IF(N($L$1311)=0,$J$1311,$L$1311)</f>
        <v>0.90500000000000003</v>
      </c>
      <c r="I1312" s="6">
        <f>($F$1312-$E$1312)/($B$1312-$A$1312)</f>
        <v>-1.0940919037199081E-5</v>
      </c>
      <c r="J1312" s="6">
        <f>($G$1312-$F$1312)/($C$1312-$B$1312)</f>
        <v>-1.0940919037199135E-5</v>
      </c>
      <c r="K1312" s="6">
        <f>($H$1312-$G$1312)/($D$1312-$C$1312)</f>
        <v>0</v>
      </c>
    </row>
    <row r="1313" spans="1:31" ht="36" x14ac:dyDescent="0.3">
      <c r="A1313" s="58" t="s">
        <v>390</v>
      </c>
      <c r="B1313" s="58" t="s">
        <v>449</v>
      </c>
      <c r="C1313" s="58" t="s">
        <v>685</v>
      </c>
      <c r="D1313" s="58" t="s">
        <v>686</v>
      </c>
      <c r="E1313" s="58" t="s">
        <v>687</v>
      </c>
      <c r="F1313" s="58" t="s">
        <v>688</v>
      </c>
      <c r="G1313" s="58" t="s">
        <v>689</v>
      </c>
      <c r="H1313" s="58" t="s">
        <v>452</v>
      </c>
      <c r="I1313" s="58" t="s">
        <v>690</v>
      </c>
      <c r="J1313" s="58" t="s">
        <v>691</v>
      </c>
      <c r="K1313" s="58" t="s">
        <v>692</v>
      </c>
      <c r="L1313" s="58" t="s">
        <v>693</v>
      </c>
      <c r="M1313" s="58" t="s">
        <v>694</v>
      </c>
      <c r="N1313" s="58" t="s">
        <v>695</v>
      </c>
      <c r="O1313" s="58" t="s">
        <v>696</v>
      </c>
      <c r="P1313" s="58" t="s">
        <v>697</v>
      </c>
      <c r="Q1313" s="58" t="s">
        <v>698</v>
      </c>
      <c r="R1313" s="58" t="s">
        <v>699</v>
      </c>
      <c r="S1313" s="58" t="s">
        <v>700</v>
      </c>
      <c r="T1313" s="58" t="s">
        <v>701</v>
      </c>
      <c r="U1313" s="58" t="s">
        <v>702</v>
      </c>
    </row>
    <row r="1314" spans="1:31" x14ac:dyDescent="0.3">
      <c r="A1314" s="187">
        <v>1</v>
      </c>
      <c r="B1314" s="242">
        <f>DATE(nr_PlanYear-2,1,1)</f>
        <v>45658</v>
      </c>
      <c r="C1314" s="243">
        <f t="shared" ref="C1314:C1361" si="540">EOMONTH($B1314,0)</f>
        <v>45688</v>
      </c>
      <c r="D1314" s="120">
        <f t="shared" ref="D1314:D1361" si="541">$C1314-$B1314+1</f>
        <v>31</v>
      </c>
      <c r="E1314" s="120">
        <f t="shared" ref="E1314:E1361" si="542">MONTH($B1314)</f>
        <v>1</v>
      </c>
      <c r="F1314" s="275">
        <f t="shared" ref="F1314:F1361" si="543">($B1314+$C1314+1)/2</f>
        <v>45673.5</v>
      </c>
      <c r="G1314" s="120">
        <f t="shared" ref="G1314:G1361" si="544">YEAR($B1314)*12+MONTH($B1314)-1</f>
        <v>24300</v>
      </c>
      <c r="H1314" s="245">
        <f t="shared" ref="H1314:H1361" si="545">IF(OR(nr_SeasonOn="OFF",$M$1311=0,$N$1311=0),1,12*INDEX(se_block,$M$1311,$E1314)/$N$1311)</f>
        <v>1</v>
      </c>
      <c r="I1314" s="121">
        <f t="shared" ref="I1314:I1361" si="546">EXP(SUMPRODUCT((ndl_eff&lt;$B1314)*(rl_key=$B$1311)*ndl_ln))</f>
        <v>1</v>
      </c>
      <c r="J1314" s="121">
        <f t="shared" ref="J1314:J1361" si="547">EXP(SUMPRODUCT((ndl_eff&lt;=$C1314)*(rl_key=$B$1311)*ndl_ln))</f>
        <v>1</v>
      </c>
      <c r="K1314" s="120">
        <f t="shared" ref="K1314:K1361" si="548">COUNTIFS(rl_key,$B$1311,ndl_eff,"&gt;="&amp;$B1314,ndl_eff,"&lt;="&amp;$C1314)</f>
        <v>0</v>
      </c>
      <c r="L1314" s="120">
        <f t="shared" ref="L1314:L1361" si="549">SUMIFS(ndl_days,rl_key,$B$1311,ndl_effmonth,$B1314,ndl_first,1)</f>
        <v>0</v>
      </c>
      <c r="M1314" s="246">
        <f t="shared" ref="M1314:M1361" si="550">IF($K1314=0,0,MIN(1,$L1314/$D1314))</f>
        <v>0</v>
      </c>
      <c r="N1314" s="121">
        <f t="shared" ref="N1314:N1361" si="551">IF($K1314=0,$J1314,(1-$M1314)*$I1314+$M1314*$J1314)</f>
        <v>1</v>
      </c>
      <c r="O1314" s="246">
        <f t="shared" ref="O1314:O1361" si="552">IF($F1314&lt;$B$1312,$E$1312+$I$1312*($F1314-$A$1312),IF($F1314&lt;$C$1312,$F$1312+$J$1312*($F1314-$B$1312),$G$1312+$K$1312*($F1314-$C$1312)))</f>
        <v>0.91681072210065651</v>
      </c>
      <c r="P1314" s="121">
        <f t="shared" ref="P1314:P1361" si="553">MIN(1,MAX(0,(nr_MEndPm1-$G1314+0.5)/nr_TermMonths))-MIN(1,MAX(0,(nr_MStartPm1-1-$G1314+0.5)/nr_TermMonths))</f>
        <v>0</v>
      </c>
      <c r="Q1314" s="121">
        <f t="shared" ref="Q1314:Q1361" si="554">MIN(1,MAX(0,(nr_MEndP-$G1314+0.5)/nr_TermMonths))-MIN(1,MAX(0,(nr_MStartP-1-$G1314+0.5)/nr_TermMonths))</f>
        <v>0</v>
      </c>
      <c r="R1314" s="121">
        <f t="shared" ref="R1314:R1361" si="555">MIN(1,MAX(0,(nr_MEndP1-$G1314+0.5)/nr_TermMonths))-MIN(1,MAX(0,(nr_MStartP1-1-$G1314+0.5)/nr_TermMonths))</f>
        <v>0</v>
      </c>
      <c r="AE1314" s="160">
        <f t="shared" ref="AE1314:AE1361" si="556">IF(OR($G1314&lt;nr_MStartP,$G1314&gt;=nr_MStartP1),IF($F$1311=1,$N1314*$O1314/$G$1311,$N1314),($W1314+$X1314*IF(ISNUMBER($F$1362),$F$1362,0))*IF($F$1311=1,($AC1314+$AB1314*IF(ISNUMBER($H$1362),$H$1362,$J$1311))/$G$1311,1))</f>
        <v>0.99653339358767012</v>
      </c>
    </row>
    <row r="1315" spans="1:31" x14ac:dyDescent="0.3">
      <c r="A1315" s="187">
        <v>2</v>
      </c>
      <c r="B1315" s="242">
        <f t="shared" ref="B1315:B1361" si="557">EDATE($B1314,1)</f>
        <v>45689</v>
      </c>
      <c r="C1315" s="243">
        <f t="shared" si="540"/>
        <v>45716</v>
      </c>
      <c r="D1315" s="120">
        <f t="shared" si="541"/>
        <v>28</v>
      </c>
      <c r="E1315" s="120">
        <f t="shared" si="542"/>
        <v>2</v>
      </c>
      <c r="F1315" s="275">
        <f t="shared" si="543"/>
        <v>45703</v>
      </c>
      <c r="G1315" s="120">
        <f t="shared" si="544"/>
        <v>24301</v>
      </c>
      <c r="H1315" s="245">
        <f t="shared" si="545"/>
        <v>1</v>
      </c>
      <c r="I1315" s="121">
        <f t="shared" si="546"/>
        <v>1</v>
      </c>
      <c r="J1315" s="121">
        <f t="shared" si="547"/>
        <v>1</v>
      </c>
      <c r="K1315" s="120">
        <f t="shared" si="548"/>
        <v>0</v>
      </c>
      <c r="L1315" s="120">
        <f t="shared" si="549"/>
        <v>0</v>
      </c>
      <c r="M1315" s="246">
        <f t="shared" si="550"/>
        <v>0</v>
      </c>
      <c r="N1315" s="121">
        <f t="shared" si="551"/>
        <v>1</v>
      </c>
      <c r="O1315" s="246">
        <f t="shared" si="552"/>
        <v>0.91648796498905905</v>
      </c>
      <c r="P1315" s="121">
        <f t="shared" si="553"/>
        <v>0</v>
      </c>
      <c r="Q1315" s="121">
        <f t="shared" si="554"/>
        <v>0</v>
      </c>
      <c r="R1315" s="121">
        <f t="shared" si="555"/>
        <v>0</v>
      </c>
      <c r="AE1315" s="160">
        <f t="shared" si="556"/>
        <v>0.99618257064028148</v>
      </c>
    </row>
    <row r="1316" spans="1:31" x14ac:dyDescent="0.3">
      <c r="A1316" s="187">
        <v>3</v>
      </c>
      <c r="B1316" s="242">
        <f t="shared" si="557"/>
        <v>45717</v>
      </c>
      <c r="C1316" s="243">
        <f t="shared" si="540"/>
        <v>45747</v>
      </c>
      <c r="D1316" s="120">
        <f t="shared" si="541"/>
        <v>31</v>
      </c>
      <c r="E1316" s="120">
        <f t="shared" si="542"/>
        <v>3</v>
      </c>
      <c r="F1316" s="275">
        <f t="shared" si="543"/>
        <v>45732.5</v>
      </c>
      <c r="G1316" s="120">
        <f t="shared" si="544"/>
        <v>24302</v>
      </c>
      <c r="H1316" s="245">
        <f t="shared" si="545"/>
        <v>1</v>
      </c>
      <c r="I1316" s="121">
        <f t="shared" si="546"/>
        <v>1</v>
      </c>
      <c r="J1316" s="121">
        <f t="shared" si="547"/>
        <v>1</v>
      </c>
      <c r="K1316" s="120">
        <f t="shared" si="548"/>
        <v>0</v>
      </c>
      <c r="L1316" s="120">
        <f t="shared" si="549"/>
        <v>0</v>
      </c>
      <c r="M1316" s="246">
        <f t="shared" si="550"/>
        <v>0</v>
      </c>
      <c r="N1316" s="121">
        <f t="shared" si="551"/>
        <v>1</v>
      </c>
      <c r="O1316" s="246">
        <f t="shared" si="552"/>
        <v>0.9161652078774617</v>
      </c>
      <c r="P1316" s="121">
        <f t="shared" si="553"/>
        <v>0</v>
      </c>
      <c r="Q1316" s="121">
        <f t="shared" si="554"/>
        <v>0</v>
      </c>
      <c r="R1316" s="121">
        <f t="shared" si="555"/>
        <v>0</v>
      </c>
      <c r="AE1316" s="160">
        <f t="shared" si="556"/>
        <v>0.99583174769289307</v>
      </c>
    </row>
    <row r="1317" spans="1:31" x14ac:dyDescent="0.3">
      <c r="A1317" s="187">
        <v>4</v>
      </c>
      <c r="B1317" s="242">
        <f t="shared" si="557"/>
        <v>45748</v>
      </c>
      <c r="C1317" s="243">
        <f t="shared" si="540"/>
        <v>45777</v>
      </c>
      <c r="D1317" s="120">
        <f t="shared" si="541"/>
        <v>30</v>
      </c>
      <c r="E1317" s="120">
        <f t="shared" si="542"/>
        <v>4</v>
      </c>
      <c r="F1317" s="275">
        <f t="shared" si="543"/>
        <v>45763</v>
      </c>
      <c r="G1317" s="120">
        <f t="shared" si="544"/>
        <v>24303</v>
      </c>
      <c r="H1317" s="245">
        <f t="shared" si="545"/>
        <v>1</v>
      </c>
      <c r="I1317" s="121">
        <f t="shared" si="546"/>
        <v>1</v>
      </c>
      <c r="J1317" s="121">
        <f t="shared" si="547"/>
        <v>1</v>
      </c>
      <c r="K1317" s="120">
        <f t="shared" si="548"/>
        <v>0</v>
      </c>
      <c r="L1317" s="120">
        <f t="shared" si="549"/>
        <v>0</v>
      </c>
      <c r="M1317" s="246">
        <f t="shared" si="550"/>
        <v>0</v>
      </c>
      <c r="N1317" s="121">
        <f t="shared" si="551"/>
        <v>1</v>
      </c>
      <c r="O1317" s="246">
        <f t="shared" si="552"/>
        <v>0.91583150984682715</v>
      </c>
      <c r="P1317" s="121">
        <f t="shared" si="553"/>
        <v>0</v>
      </c>
      <c r="Q1317" s="121">
        <f t="shared" si="554"/>
        <v>0</v>
      </c>
      <c r="R1317" s="121">
        <f t="shared" si="555"/>
        <v>0</v>
      </c>
      <c r="AE1317" s="160">
        <f t="shared" si="556"/>
        <v>0.99546903244220342</v>
      </c>
    </row>
    <row r="1318" spans="1:31" x14ac:dyDescent="0.3">
      <c r="A1318" s="187">
        <v>5</v>
      </c>
      <c r="B1318" s="242">
        <f t="shared" si="557"/>
        <v>45778</v>
      </c>
      <c r="C1318" s="243">
        <f t="shared" si="540"/>
        <v>45808</v>
      </c>
      <c r="D1318" s="120">
        <f t="shared" si="541"/>
        <v>31</v>
      </c>
      <c r="E1318" s="120">
        <f t="shared" si="542"/>
        <v>5</v>
      </c>
      <c r="F1318" s="275">
        <f t="shared" si="543"/>
        <v>45793.5</v>
      </c>
      <c r="G1318" s="120">
        <f t="shared" si="544"/>
        <v>24304</v>
      </c>
      <c r="H1318" s="245">
        <f t="shared" si="545"/>
        <v>1</v>
      </c>
      <c r="I1318" s="121">
        <f t="shared" si="546"/>
        <v>1</v>
      </c>
      <c r="J1318" s="121">
        <f t="shared" si="547"/>
        <v>1</v>
      </c>
      <c r="K1318" s="120">
        <f t="shared" si="548"/>
        <v>0</v>
      </c>
      <c r="L1318" s="120">
        <f t="shared" si="549"/>
        <v>0</v>
      </c>
      <c r="M1318" s="246">
        <f t="shared" si="550"/>
        <v>0</v>
      </c>
      <c r="N1318" s="121">
        <f t="shared" si="551"/>
        <v>1</v>
      </c>
      <c r="O1318" s="246">
        <f t="shared" si="552"/>
        <v>0.91549781181619261</v>
      </c>
      <c r="P1318" s="121">
        <f t="shared" si="553"/>
        <v>0</v>
      </c>
      <c r="Q1318" s="121">
        <f t="shared" si="554"/>
        <v>0</v>
      </c>
      <c r="R1318" s="121">
        <f t="shared" si="555"/>
        <v>0</v>
      </c>
      <c r="AE1318" s="160">
        <f t="shared" si="556"/>
        <v>0.99510631719151366</v>
      </c>
    </row>
    <row r="1319" spans="1:31" x14ac:dyDescent="0.3">
      <c r="A1319" s="187">
        <v>6</v>
      </c>
      <c r="B1319" s="242">
        <f t="shared" si="557"/>
        <v>45809</v>
      </c>
      <c r="C1319" s="243">
        <f t="shared" si="540"/>
        <v>45838</v>
      </c>
      <c r="D1319" s="120">
        <f t="shared" si="541"/>
        <v>30</v>
      </c>
      <c r="E1319" s="120">
        <f t="shared" si="542"/>
        <v>6</v>
      </c>
      <c r="F1319" s="275">
        <f t="shared" si="543"/>
        <v>45824</v>
      </c>
      <c r="G1319" s="120">
        <f t="shared" si="544"/>
        <v>24305</v>
      </c>
      <c r="H1319" s="245">
        <f t="shared" si="545"/>
        <v>1</v>
      </c>
      <c r="I1319" s="121">
        <f t="shared" si="546"/>
        <v>1</v>
      </c>
      <c r="J1319" s="121">
        <f t="shared" si="547"/>
        <v>1</v>
      </c>
      <c r="K1319" s="120">
        <f t="shared" si="548"/>
        <v>0</v>
      </c>
      <c r="L1319" s="120">
        <f t="shared" si="549"/>
        <v>0</v>
      </c>
      <c r="M1319" s="246">
        <f t="shared" si="550"/>
        <v>0</v>
      </c>
      <c r="N1319" s="121">
        <f t="shared" si="551"/>
        <v>1</v>
      </c>
      <c r="O1319" s="246">
        <f t="shared" si="552"/>
        <v>0.91516411378555795</v>
      </c>
      <c r="P1319" s="121">
        <f t="shared" si="553"/>
        <v>0</v>
      </c>
      <c r="Q1319" s="121">
        <f t="shared" si="554"/>
        <v>0</v>
      </c>
      <c r="R1319" s="121">
        <f t="shared" si="555"/>
        <v>0</v>
      </c>
      <c r="AE1319" s="160">
        <f t="shared" si="556"/>
        <v>0.99474360194082379</v>
      </c>
    </row>
    <row r="1320" spans="1:31" x14ac:dyDescent="0.3">
      <c r="A1320" s="187">
        <v>7</v>
      </c>
      <c r="B1320" s="242">
        <f t="shared" si="557"/>
        <v>45839</v>
      </c>
      <c r="C1320" s="243">
        <f t="shared" si="540"/>
        <v>45869</v>
      </c>
      <c r="D1320" s="120">
        <f t="shared" si="541"/>
        <v>31</v>
      </c>
      <c r="E1320" s="120">
        <f t="shared" si="542"/>
        <v>7</v>
      </c>
      <c r="F1320" s="275">
        <f t="shared" si="543"/>
        <v>45854.5</v>
      </c>
      <c r="G1320" s="120">
        <f t="shared" si="544"/>
        <v>24306</v>
      </c>
      <c r="H1320" s="245">
        <f t="shared" si="545"/>
        <v>1</v>
      </c>
      <c r="I1320" s="121">
        <f t="shared" si="546"/>
        <v>1</v>
      </c>
      <c r="J1320" s="121">
        <f t="shared" si="547"/>
        <v>1</v>
      </c>
      <c r="K1320" s="120">
        <f t="shared" si="548"/>
        <v>0</v>
      </c>
      <c r="L1320" s="120">
        <f t="shared" si="549"/>
        <v>0</v>
      </c>
      <c r="M1320" s="246">
        <f t="shared" si="550"/>
        <v>0</v>
      </c>
      <c r="N1320" s="121">
        <f t="shared" si="551"/>
        <v>1</v>
      </c>
      <c r="O1320" s="246">
        <f t="shared" si="552"/>
        <v>0.91483041575492341</v>
      </c>
      <c r="P1320" s="121">
        <f t="shared" si="553"/>
        <v>8.333333333333337E-2</v>
      </c>
      <c r="Q1320" s="121">
        <f t="shared" si="554"/>
        <v>0</v>
      </c>
      <c r="R1320" s="121">
        <f t="shared" si="555"/>
        <v>0</v>
      </c>
      <c r="AE1320" s="160">
        <f t="shared" si="556"/>
        <v>0.99438088669013414</v>
      </c>
    </row>
    <row r="1321" spans="1:31" x14ac:dyDescent="0.3">
      <c r="A1321" s="187">
        <v>8</v>
      </c>
      <c r="B1321" s="242">
        <f t="shared" si="557"/>
        <v>45870</v>
      </c>
      <c r="C1321" s="243">
        <f t="shared" si="540"/>
        <v>45900</v>
      </c>
      <c r="D1321" s="120">
        <f t="shared" si="541"/>
        <v>31</v>
      </c>
      <c r="E1321" s="120">
        <f t="shared" si="542"/>
        <v>8</v>
      </c>
      <c r="F1321" s="275">
        <f t="shared" si="543"/>
        <v>45885.5</v>
      </c>
      <c r="G1321" s="120">
        <f t="shared" si="544"/>
        <v>24307</v>
      </c>
      <c r="H1321" s="245">
        <f t="shared" si="545"/>
        <v>1</v>
      </c>
      <c r="I1321" s="121">
        <f t="shared" si="546"/>
        <v>1</v>
      </c>
      <c r="J1321" s="121">
        <f t="shared" si="547"/>
        <v>1</v>
      </c>
      <c r="K1321" s="120">
        <f t="shared" si="548"/>
        <v>0</v>
      </c>
      <c r="L1321" s="120">
        <f t="shared" si="549"/>
        <v>0</v>
      </c>
      <c r="M1321" s="246">
        <f t="shared" si="550"/>
        <v>0</v>
      </c>
      <c r="N1321" s="121">
        <f t="shared" si="551"/>
        <v>1</v>
      </c>
      <c r="O1321" s="246">
        <f t="shared" si="552"/>
        <v>0.91449124726477027</v>
      </c>
      <c r="P1321" s="121">
        <f t="shared" si="553"/>
        <v>0.25</v>
      </c>
      <c r="Q1321" s="121">
        <f t="shared" si="554"/>
        <v>0</v>
      </c>
      <c r="R1321" s="121">
        <f t="shared" si="555"/>
        <v>0</v>
      </c>
      <c r="AE1321" s="160">
        <f t="shared" si="556"/>
        <v>0.99401222528779376</v>
      </c>
    </row>
    <row r="1322" spans="1:31" x14ac:dyDescent="0.3">
      <c r="A1322" s="187">
        <v>9</v>
      </c>
      <c r="B1322" s="242">
        <f t="shared" si="557"/>
        <v>45901</v>
      </c>
      <c r="C1322" s="243">
        <f t="shared" si="540"/>
        <v>45930</v>
      </c>
      <c r="D1322" s="120">
        <f t="shared" si="541"/>
        <v>30</v>
      </c>
      <c r="E1322" s="120">
        <f t="shared" si="542"/>
        <v>9</v>
      </c>
      <c r="F1322" s="275">
        <f t="shared" si="543"/>
        <v>45916</v>
      </c>
      <c r="G1322" s="120">
        <f t="shared" si="544"/>
        <v>24308</v>
      </c>
      <c r="H1322" s="245">
        <f t="shared" si="545"/>
        <v>1</v>
      </c>
      <c r="I1322" s="121">
        <f t="shared" si="546"/>
        <v>1</v>
      </c>
      <c r="J1322" s="121">
        <f t="shared" si="547"/>
        <v>1</v>
      </c>
      <c r="K1322" s="120">
        <f t="shared" si="548"/>
        <v>0</v>
      </c>
      <c r="L1322" s="120">
        <f t="shared" si="549"/>
        <v>0</v>
      </c>
      <c r="M1322" s="246">
        <f t="shared" si="550"/>
        <v>0</v>
      </c>
      <c r="N1322" s="121">
        <f t="shared" si="551"/>
        <v>1</v>
      </c>
      <c r="O1322" s="246">
        <f t="shared" si="552"/>
        <v>0.91415754923413572</v>
      </c>
      <c r="P1322" s="121">
        <f t="shared" si="553"/>
        <v>0.41666666666666663</v>
      </c>
      <c r="Q1322" s="121">
        <f t="shared" si="554"/>
        <v>0</v>
      </c>
      <c r="R1322" s="121">
        <f t="shared" si="555"/>
        <v>0</v>
      </c>
      <c r="AE1322" s="160">
        <f t="shared" si="556"/>
        <v>0.993649510037104</v>
      </c>
    </row>
    <row r="1323" spans="1:31" x14ac:dyDescent="0.3">
      <c r="A1323" s="187">
        <v>10</v>
      </c>
      <c r="B1323" s="242">
        <f t="shared" si="557"/>
        <v>45931</v>
      </c>
      <c r="C1323" s="243">
        <f t="shared" si="540"/>
        <v>45961</v>
      </c>
      <c r="D1323" s="120">
        <f t="shared" si="541"/>
        <v>31</v>
      </c>
      <c r="E1323" s="120">
        <f t="shared" si="542"/>
        <v>10</v>
      </c>
      <c r="F1323" s="275">
        <f t="shared" si="543"/>
        <v>45946.5</v>
      </c>
      <c r="G1323" s="120">
        <f t="shared" si="544"/>
        <v>24309</v>
      </c>
      <c r="H1323" s="245">
        <f t="shared" si="545"/>
        <v>1</v>
      </c>
      <c r="I1323" s="121">
        <f t="shared" si="546"/>
        <v>1</v>
      </c>
      <c r="J1323" s="121">
        <f t="shared" si="547"/>
        <v>1</v>
      </c>
      <c r="K1323" s="120">
        <f t="shared" si="548"/>
        <v>0</v>
      </c>
      <c r="L1323" s="120">
        <f t="shared" si="549"/>
        <v>0</v>
      </c>
      <c r="M1323" s="246">
        <f t="shared" si="550"/>
        <v>0</v>
      </c>
      <c r="N1323" s="121">
        <f t="shared" si="551"/>
        <v>1</v>
      </c>
      <c r="O1323" s="246">
        <f t="shared" si="552"/>
        <v>0.91382385120350107</v>
      </c>
      <c r="P1323" s="121">
        <f t="shared" si="553"/>
        <v>0.58333333333333326</v>
      </c>
      <c r="Q1323" s="121">
        <f t="shared" si="554"/>
        <v>0</v>
      </c>
      <c r="R1323" s="121">
        <f t="shared" si="555"/>
        <v>0</v>
      </c>
      <c r="AE1323" s="160">
        <f t="shared" si="556"/>
        <v>0.99328679478641413</v>
      </c>
    </row>
    <row r="1324" spans="1:31" x14ac:dyDescent="0.3">
      <c r="A1324" s="187">
        <v>11</v>
      </c>
      <c r="B1324" s="242">
        <f t="shared" si="557"/>
        <v>45962</v>
      </c>
      <c r="C1324" s="243">
        <f t="shared" si="540"/>
        <v>45991</v>
      </c>
      <c r="D1324" s="120">
        <f t="shared" si="541"/>
        <v>30</v>
      </c>
      <c r="E1324" s="120">
        <f t="shared" si="542"/>
        <v>11</v>
      </c>
      <c r="F1324" s="275">
        <f t="shared" si="543"/>
        <v>45977</v>
      </c>
      <c r="G1324" s="120">
        <f t="shared" si="544"/>
        <v>24310</v>
      </c>
      <c r="H1324" s="245">
        <f t="shared" si="545"/>
        <v>1</v>
      </c>
      <c r="I1324" s="121">
        <f t="shared" si="546"/>
        <v>1</v>
      </c>
      <c r="J1324" s="121">
        <f t="shared" si="547"/>
        <v>1</v>
      </c>
      <c r="K1324" s="120">
        <f t="shared" si="548"/>
        <v>0</v>
      </c>
      <c r="L1324" s="120">
        <f t="shared" si="549"/>
        <v>0</v>
      </c>
      <c r="M1324" s="246">
        <f t="shared" si="550"/>
        <v>0</v>
      </c>
      <c r="N1324" s="121">
        <f t="shared" si="551"/>
        <v>1</v>
      </c>
      <c r="O1324" s="246">
        <f t="shared" si="552"/>
        <v>0.91349015317286653</v>
      </c>
      <c r="P1324" s="121">
        <f t="shared" si="553"/>
        <v>0.75</v>
      </c>
      <c r="Q1324" s="121">
        <f t="shared" si="554"/>
        <v>0</v>
      </c>
      <c r="R1324" s="121">
        <f t="shared" si="555"/>
        <v>0</v>
      </c>
      <c r="AE1324" s="160">
        <f t="shared" si="556"/>
        <v>0.99292407953572448</v>
      </c>
    </row>
    <row r="1325" spans="1:31" x14ac:dyDescent="0.3">
      <c r="A1325" s="187">
        <v>12</v>
      </c>
      <c r="B1325" s="242">
        <f t="shared" si="557"/>
        <v>45992</v>
      </c>
      <c r="C1325" s="243">
        <f t="shared" si="540"/>
        <v>46022</v>
      </c>
      <c r="D1325" s="120">
        <f t="shared" si="541"/>
        <v>31</v>
      </c>
      <c r="E1325" s="120">
        <f t="shared" si="542"/>
        <v>12</v>
      </c>
      <c r="F1325" s="275">
        <f t="shared" si="543"/>
        <v>46007.5</v>
      </c>
      <c r="G1325" s="120">
        <f t="shared" si="544"/>
        <v>24311</v>
      </c>
      <c r="H1325" s="245">
        <f t="shared" si="545"/>
        <v>1</v>
      </c>
      <c r="I1325" s="121">
        <f t="shared" si="546"/>
        <v>1</v>
      </c>
      <c r="J1325" s="121">
        <f t="shared" si="547"/>
        <v>1</v>
      </c>
      <c r="K1325" s="120">
        <f t="shared" si="548"/>
        <v>0</v>
      </c>
      <c r="L1325" s="120">
        <f t="shared" si="549"/>
        <v>0</v>
      </c>
      <c r="M1325" s="246">
        <f t="shared" si="550"/>
        <v>0</v>
      </c>
      <c r="N1325" s="121">
        <f t="shared" si="551"/>
        <v>1</v>
      </c>
      <c r="O1325" s="246">
        <f t="shared" si="552"/>
        <v>0.91315645514223198</v>
      </c>
      <c r="P1325" s="121">
        <f t="shared" si="553"/>
        <v>0.91666666666666663</v>
      </c>
      <c r="Q1325" s="121">
        <f t="shared" si="554"/>
        <v>0</v>
      </c>
      <c r="R1325" s="121">
        <f t="shared" si="555"/>
        <v>0</v>
      </c>
      <c r="AE1325" s="160">
        <f t="shared" si="556"/>
        <v>0.99256136428503472</v>
      </c>
    </row>
    <row r="1326" spans="1:31" x14ac:dyDescent="0.3">
      <c r="A1326" s="187">
        <v>13</v>
      </c>
      <c r="B1326" s="242">
        <f t="shared" si="557"/>
        <v>46023</v>
      </c>
      <c r="C1326" s="243">
        <f t="shared" si="540"/>
        <v>46053</v>
      </c>
      <c r="D1326" s="120">
        <f t="shared" si="541"/>
        <v>31</v>
      </c>
      <c r="E1326" s="120">
        <f t="shared" si="542"/>
        <v>1</v>
      </c>
      <c r="F1326" s="275">
        <f t="shared" si="543"/>
        <v>46038.5</v>
      </c>
      <c r="G1326" s="120">
        <f t="shared" si="544"/>
        <v>24312</v>
      </c>
      <c r="H1326" s="245">
        <f t="shared" si="545"/>
        <v>1</v>
      </c>
      <c r="I1326" s="121">
        <f t="shared" si="546"/>
        <v>1</v>
      </c>
      <c r="J1326" s="121">
        <f t="shared" si="547"/>
        <v>1</v>
      </c>
      <c r="K1326" s="120">
        <f t="shared" si="548"/>
        <v>0</v>
      </c>
      <c r="L1326" s="120">
        <f t="shared" si="549"/>
        <v>0</v>
      </c>
      <c r="M1326" s="246">
        <f t="shared" si="550"/>
        <v>0</v>
      </c>
      <c r="N1326" s="121">
        <f t="shared" si="551"/>
        <v>1</v>
      </c>
      <c r="O1326" s="246">
        <f t="shared" si="552"/>
        <v>0.91281728665207884</v>
      </c>
      <c r="P1326" s="121">
        <f t="shared" si="553"/>
        <v>1</v>
      </c>
      <c r="Q1326" s="121">
        <f t="shared" si="554"/>
        <v>0</v>
      </c>
      <c r="R1326" s="121">
        <f t="shared" si="555"/>
        <v>0</v>
      </c>
      <c r="AE1326" s="160">
        <f t="shared" si="556"/>
        <v>0.99219270288269434</v>
      </c>
    </row>
    <row r="1327" spans="1:31" x14ac:dyDescent="0.3">
      <c r="A1327" s="187">
        <v>14</v>
      </c>
      <c r="B1327" s="242">
        <f t="shared" si="557"/>
        <v>46054</v>
      </c>
      <c r="C1327" s="243">
        <f t="shared" si="540"/>
        <v>46081</v>
      </c>
      <c r="D1327" s="120">
        <f t="shared" si="541"/>
        <v>28</v>
      </c>
      <c r="E1327" s="120">
        <f t="shared" si="542"/>
        <v>2</v>
      </c>
      <c r="F1327" s="275">
        <f t="shared" si="543"/>
        <v>46068</v>
      </c>
      <c r="G1327" s="120">
        <f t="shared" si="544"/>
        <v>24313</v>
      </c>
      <c r="H1327" s="245">
        <f t="shared" si="545"/>
        <v>1</v>
      </c>
      <c r="I1327" s="121">
        <f t="shared" si="546"/>
        <v>1</v>
      </c>
      <c r="J1327" s="121">
        <f t="shared" si="547"/>
        <v>1.03</v>
      </c>
      <c r="K1327" s="120">
        <f t="shared" si="548"/>
        <v>1</v>
      </c>
      <c r="L1327" s="120">
        <f t="shared" si="549"/>
        <v>28</v>
      </c>
      <c r="M1327" s="246">
        <f t="shared" si="550"/>
        <v>1</v>
      </c>
      <c r="N1327" s="121">
        <f t="shared" si="551"/>
        <v>1.03</v>
      </c>
      <c r="O1327" s="246">
        <f t="shared" si="552"/>
        <v>0.91249452954048138</v>
      </c>
      <c r="P1327" s="121">
        <f t="shared" si="553"/>
        <v>1</v>
      </c>
      <c r="Q1327" s="121">
        <f t="shared" si="554"/>
        <v>0</v>
      </c>
      <c r="R1327" s="121">
        <f t="shared" si="555"/>
        <v>0</v>
      </c>
      <c r="AE1327" s="160">
        <f t="shared" si="556"/>
        <v>1.0215971363333649</v>
      </c>
    </row>
    <row r="1328" spans="1:31" x14ac:dyDescent="0.3">
      <c r="A1328" s="187">
        <v>15</v>
      </c>
      <c r="B1328" s="242">
        <f t="shared" si="557"/>
        <v>46082</v>
      </c>
      <c r="C1328" s="243">
        <f t="shared" si="540"/>
        <v>46112</v>
      </c>
      <c r="D1328" s="120">
        <f t="shared" si="541"/>
        <v>31</v>
      </c>
      <c r="E1328" s="120">
        <f t="shared" si="542"/>
        <v>3</v>
      </c>
      <c r="F1328" s="275">
        <f t="shared" si="543"/>
        <v>46097.5</v>
      </c>
      <c r="G1328" s="120">
        <f t="shared" si="544"/>
        <v>24314</v>
      </c>
      <c r="H1328" s="245">
        <f t="shared" si="545"/>
        <v>1</v>
      </c>
      <c r="I1328" s="121">
        <f t="shared" si="546"/>
        <v>1.03</v>
      </c>
      <c r="J1328" s="121">
        <f t="shared" si="547"/>
        <v>1.03</v>
      </c>
      <c r="K1328" s="120">
        <f t="shared" si="548"/>
        <v>0</v>
      </c>
      <c r="L1328" s="120">
        <f t="shared" si="549"/>
        <v>0</v>
      </c>
      <c r="M1328" s="246">
        <f t="shared" si="550"/>
        <v>0</v>
      </c>
      <c r="N1328" s="121">
        <f t="shared" si="551"/>
        <v>1.03</v>
      </c>
      <c r="O1328" s="246">
        <f t="shared" si="552"/>
        <v>0.91217177242888403</v>
      </c>
      <c r="P1328" s="121">
        <f t="shared" si="553"/>
        <v>1</v>
      </c>
      <c r="Q1328" s="121">
        <f t="shared" si="554"/>
        <v>0</v>
      </c>
      <c r="R1328" s="121">
        <f t="shared" si="555"/>
        <v>0</v>
      </c>
      <c r="AE1328" s="160">
        <f t="shared" si="556"/>
        <v>1.0212357886975549</v>
      </c>
    </row>
    <row r="1329" spans="1:35" x14ac:dyDescent="0.3">
      <c r="A1329" s="187">
        <v>16</v>
      </c>
      <c r="B1329" s="242">
        <f t="shared" si="557"/>
        <v>46113</v>
      </c>
      <c r="C1329" s="243">
        <f t="shared" si="540"/>
        <v>46142</v>
      </c>
      <c r="D1329" s="120">
        <f t="shared" si="541"/>
        <v>30</v>
      </c>
      <c r="E1329" s="120">
        <f t="shared" si="542"/>
        <v>4</v>
      </c>
      <c r="F1329" s="275">
        <f t="shared" si="543"/>
        <v>46128</v>
      </c>
      <c r="G1329" s="120">
        <f t="shared" si="544"/>
        <v>24315</v>
      </c>
      <c r="H1329" s="245">
        <f t="shared" si="545"/>
        <v>1</v>
      </c>
      <c r="I1329" s="121">
        <f t="shared" si="546"/>
        <v>1.03</v>
      </c>
      <c r="J1329" s="121">
        <f t="shared" si="547"/>
        <v>1.03</v>
      </c>
      <c r="K1329" s="120">
        <f t="shared" si="548"/>
        <v>0</v>
      </c>
      <c r="L1329" s="120">
        <f t="shared" si="549"/>
        <v>0</v>
      </c>
      <c r="M1329" s="246">
        <f t="shared" si="550"/>
        <v>0</v>
      </c>
      <c r="N1329" s="121">
        <f t="shared" si="551"/>
        <v>1.03</v>
      </c>
      <c r="O1329" s="246">
        <f t="shared" si="552"/>
        <v>0.91183807439824949</v>
      </c>
      <c r="P1329" s="121">
        <f t="shared" si="553"/>
        <v>1</v>
      </c>
      <c r="Q1329" s="121">
        <f t="shared" si="554"/>
        <v>0</v>
      </c>
      <c r="R1329" s="121">
        <f t="shared" si="555"/>
        <v>0</v>
      </c>
      <c r="AE1329" s="160">
        <f t="shared" si="556"/>
        <v>1.0208621919893444</v>
      </c>
    </row>
    <row r="1330" spans="1:35" x14ac:dyDescent="0.3">
      <c r="A1330" s="187">
        <v>17</v>
      </c>
      <c r="B1330" s="242">
        <f t="shared" si="557"/>
        <v>46143</v>
      </c>
      <c r="C1330" s="243">
        <f t="shared" si="540"/>
        <v>46173</v>
      </c>
      <c r="D1330" s="120">
        <f t="shared" si="541"/>
        <v>31</v>
      </c>
      <c r="E1330" s="120">
        <f t="shared" si="542"/>
        <v>5</v>
      </c>
      <c r="F1330" s="275">
        <f t="shared" si="543"/>
        <v>46158.5</v>
      </c>
      <c r="G1330" s="120">
        <f t="shared" si="544"/>
        <v>24316</v>
      </c>
      <c r="H1330" s="245">
        <f t="shared" si="545"/>
        <v>1</v>
      </c>
      <c r="I1330" s="121">
        <f t="shared" si="546"/>
        <v>1.03</v>
      </c>
      <c r="J1330" s="121">
        <f t="shared" si="547"/>
        <v>1.03</v>
      </c>
      <c r="K1330" s="120">
        <f t="shared" si="548"/>
        <v>0</v>
      </c>
      <c r="L1330" s="120">
        <f t="shared" si="549"/>
        <v>0</v>
      </c>
      <c r="M1330" s="246">
        <f t="shared" si="550"/>
        <v>0</v>
      </c>
      <c r="N1330" s="121">
        <f t="shared" si="551"/>
        <v>1.03</v>
      </c>
      <c r="O1330" s="246">
        <f t="shared" si="552"/>
        <v>0.91150437636761494</v>
      </c>
      <c r="P1330" s="121">
        <f t="shared" si="553"/>
        <v>1</v>
      </c>
      <c r="Q1330" s="121">
        <f t="shared" si="554"/>
        <v>0</v>
      </c>
      <c r="R1330" s="121">
        <f t="shared" si="555"/>
        <v>0</v>
      </c>
      <c r="AE1330" s="160">
        <f t="shared" si="556"/>
        <v>1.020488595281134</v>
      </c>
    </row>
    <row r="1331" spans="1:35" x14ac:dyDescent="0.3">
      <c r="A1331" s="187">
        <v>18</v>
      </c>
      <c r="B1331" s="242">
        <f t="shared" si="557"/>
        <v>46174</v>
      </c>
      <c r="C1331" s="243">
        <f t="shared" si="540"/>
        <v>46203</v>
      </c>
      <c r="D1331" s="120">
        <f t="shared" si="541"/>
        <v>30</v>
      </c>
      <c r="E1331" s="120">
        <f t="shared" si="542"/>
        <v>6</v>
      </c>
      <c r="F1331" s="275">
        <f t="shared" si="543"/>
        <v>46189</v>
      </c>
      <c r="G1331" s="120">
        <f t="shared" si="544"/>
        <v>24317</v>
      </c>
      <c r="H1331" s="245">
        <f t="shared" si="545"/>
        <v>1</v>
      </c>
      <c r="I1331" s="121">
        <f t="shared" si="546"/>
        <v>1.03</v>
      </c>
      <c r="J1331" s="121">
        <f t="shared" si="547"/>
        <v>1.03</v>
      </c>
      <c r="K1331" s="120">
        <f t="shared" si="548"/>
        <v>0</v>
      </c>
      <c r="L1331" s="120">
        <f t="shared" si="549"/>
        <v>0</v>
      </c>
      <c r="M1331" s="246">
        <f t="shared" si="550"/>
        <v>0</v>
      </c>
      <c r="N1331" s="121">
        <f t="shared" si="551"/>
        <v>1.03</v>
      </c>
      <c r="O1331" s="246">
        <f t="shared" si="552"/>
        <v>0.91117067833698029</v>
      </c>
      <c r="P1331" s="121">
        <f t="shared" si="553"/>
        <v>1</v>
      </c>
      <c r="Q1331" s="121">
        <f t="shared" si="554"/>
        <v>0</v>
      </c>
      <c r="R1331" s="121">
        <f t="shared" si="555"/>
        <v>0</v>
      </c>
      <c r="AE1331" s="160">
        <f t="shared" si="556"/>
        <v>1.0201149985729236</v>
      </c>
    </row>
    <row r="1332" spans="1:35" x14ac:dyDescent="0.3">
      <c r="A1332" s="187">
        <v>19</v>
      </c>
      <c r="B1332" s="242">
        <f t="shared" si="557"/>
        <v>46204</v>
      </c>
      <c r="C1332" s="243">
        <f t="shared" si="540"/>
        <v>46234</v>
      </c>
      <c r="D1332" s="120">
        <f t="shared" si="541"/>
        <v>31</v>
      </c>
      <c r="E1332" s="120">
        <f t="shared" si="542"/>
        <v>7</v>
      </c>
      <c r="F1332" s="275">
        <f t="shared" si="543"/>
        <v>46219.5</v>
      </c>
      <c r="G1332" s="120">
        <f t="shared" si="544"/>
        <v>24318</v>
      </c>
      <c r="H1332" s="245">
        <f t="shared" si="545"/>
        <v>1</v>
      </c>
      <c r="I1332" s="121">
        <f t="shared" si="546"/>
        <v>1.03</v>
      </c>
      <c r="J1332" s="121">
        <f t="shared" si="547"/>
        <v>1.03</v>
      </c>
      <c r="K1332" s="120">
        <f t="shared" si="548"/>
        <v>0</v>
      </c>
      <c r="L1332" s="120">
        <f t="shared" si="549"/>
        <v>0</v>
      </c>
      <c r="M1332" s="246">
        <f t="shared" si="550"/>
        <v>0</v>
      </c>
      <c r="N1332" s="121">
        <f t="shared" si="551"/>
        <v>1.03</v>
      </c>
      <c r="O1332" s="246">
        <f t="shared" si="552"/>
        <v>0.91083698030634574</v>
      </c>
      <c r="P1332" s="121">
        <f t="shared" si="553"/>
        <v>0.91666666666666663</v>
      </c>
      <c r="Q1332" s="121">
        <f t="shared" si="554"/>
        <v>8.333333333333337E-2</v>
      </c>
      <c r="R1332" s="121">
        <f t="shared" si="555"/>
        <v>0</v>
      </c>
      <c r="AE1332" s="160">
        <f t="shared" si="556"/>
        <v>1.0197414018647131</v>
      </c>
    </row>
    <row r="1333" spans="1:35" x14ac:dyDescent="0.3">
      <c r="A1333" s="187">
        <v>20</v>
      </c>
      <c r="B1333" s="242">
        <f t="shared" si="557"/>
        <v>46235</v>
      </c>
      <c r="C1333" s="243">
        <f t="shared" si="540"/>
        <v>46265</v>
      </c>
      <c r="D1333" s="120">
        <f t="shared" si="541"/>
        <v>31</v>
      </c>
      <c r="E1333" s="120">
        <f t="shared" si="542"/>
        <v>8</v>
      </c>
      <c r="F1333" s="275">
        <f t="shared" si="543"/>
        <v>46250.5</v>
      </c>
      <c r="G1333" s="120">
        <f t="shared" si="544"/>
        <v>24319</v>
      </c>
      <c r="H1333" s="245">
        <f t="shared" si="545"/>
        <v>1</v>
      </c>
      <c r="I1333" s="121">
        <f t="shared" si="546"/>
        <v>1.03</v>
      </c>
      <c r="J1333" s="121">
        <f t="shared" si="547"/>
        <v>1.03</v>
      </c>
      <c r="K1333" s="120">
        <f t="shared" si="548"/>
        <v>0</v>
      </c>
      <c r="L1333" s="120">
        <f t="shared" si="549"/>
        <v>0</v>
      </c>
      <c r="M1333" s="246">
        <f t="shared" si="550"/>
        <v>0</v>
      </c>
      <c r="N1333" s="121">
        <f t="shared" si="551"/>
        <v>1.03</v>
      </c>
      <c r="O1333" s="246">
        <f t="shared" si="552"/>
        <v>0.9104978118161926</v>
      </c>
      <c r="P1333" s="121">
        <f t="shared" si="553"/>
        <v>0.75</v>
      </c>
      <c r="Q1333" s="121">
        <f t="shared" si="554"/>
        <v>0.25</v>
      </c>
      <c r="R1333" s="121">
        <f t="shared" si="555"/>
        <v>0</v>
      </c>
      <c r="AE1333" s="160">
        <f t="shared" si="556"/>
        <v>1.0193616806203025</v>
      </c>
    </row>
    <row r="1334" spans="1:35" x14ac:dyDescent="0.3">
      <c r="A1334" s="187">
        <v>21</v>
      </c>
      <c r="B1334" s="242">
        <f t="shared" si="557"/>
        <v>46266</v>
      </c>
      <c r="C1334" s="243">
        <f t="shared" si="540"/>
        <v>46295</v>
      </c>
      <c r="D1334" s="120">
        <f t="shared" si="541"/>
        <v>30</v>
      </c>
      <c r="E1334" s="120">
        <f t="shared" si="542"/>
        <v>9</v>
      </c>
      <c r="F1334" s="275">
        <f t="shared" si="543"/>
        <v>46281</v>
      </c>
      <c r="G1334" s="120">
        <f t="shared" si="544"/>
        <v>24320</v>
      </c>
      <c r="H1334" s="245">
        <f t="shared" si="545"/>
        <v>1</v>
      </c>
      <c r="I1334" s="121">
        <f t="shared" si="546"/>
        <v>1.03</v>
      </c>
      <c r="J1334" s="121">
        <f t="shared" si="547"/>
        <v>1.03</v>
      </c>
      <c r="K1334" s="120">
        <f t="shared" si="548"/>
        <v>0</v>
      </c>
      <c r="L1334" s="120">
        <f t="shared" si="549"/>
        <v>0</v>
      </c>
      <c r="M1334" s="246">
        <f t="shared" si="550"/>
        <v>0</v>
      </c>
      <c r="N1334" s="121">
        <f t="shared" si="551"/>
        <v>1.03</v>
      </c>
      <c r="O1334" s="246">
        <f t="shared" si="552"/>
        <v>0.91016411378555806</v>
      </c>
      <c r="P1334" s="121">
        <f t="shared" si="553"/>
        <v>0.58333333333333337</v>
      </c>
      <c r="Q1334" s="121">
        <f t="shared" si="554"/>
        <v>0.41666666666666663</v>
      </c>
      <c r="R1334" s="121">
        <f t="shared" si="555"/>
        <v>0</v>
      </c>
      <c r="AE1334" s="160">
        <f t="shared" si="556"/>
        <v>1.0189880839120922</v>
      </c>
    </row>
    <row r="1335" spans="1:35" x14ac:dyDescent="0.3">
      <c r="A1335" s="187">
        <v>22</v>
      </c>
      <c r="B1335" s="242">
        <f t="shared" si="557"/>
        <v>46296</v>
      </c>
      <c r="C1335" s="243">
        <f t="shared" si="540"/>
        <v>46326</v>
      </c>
      <c r="D1335" s="120">
        <f t="shared" si="541"/>
        <v>31</v>
      </c>
      <c r="E1335" s="120">
        <f t="shared" si="542"/>
        <v>10</v>
      </c>
      <c r="F1335" s="275">
        <f t="shared" si="543"/>
        <v>46311.5</v>
      </c>
      <c r="G1335" s="120">
        <f t="shared" si="544"/>
        <v>24321</v>
      </c>
      <c r="H1335" s="245">
        <f t="shared" si="545"/>
        <v>1</v>
      </c>
      <c r="I1335" s="121">
        <f t="shared" si="546"/>
        <v>1.03</v>
      </c>
      <c r="J1335" s="121">
        <f t="shared" si="547"/>
        <v>1.03</v>
      </c>
      <c r="K1335" s="120">
        <f t="shared" si="548"/>
        <v>0</v>
      </c>
      <c r="L1335" s="120">
        <f t="shared" si="549"/>
        <v>0</v>
      </c>
      <c r="M1335" s="246">
        <f t="shared" si="550"/>
        <v>0</v>
      </c>
      <c r="N1335" s="121">
        <f t="shared" si="551"/>
        <v>1.03</v>
      </c>
      <c r="O1335" s="246">
        <f t="shared" si="552"/>
        <v>0.90983041575492341</v>
      </c>
      <c r="P1335" s="121">
        <f t="shared" si="553"/>
        <v>0.41666666666666669</v>
      </c>
      <c r="Q1335" s="121">
        <f t="shared" si="554"/>
        <v>0.58333333333333326</v>
      </c>
      <c r="R1335" s="121">
        <f t="shared" si="555"/>
        <v>0</v>
      </c>
      <c r="AE1335" s="160">
        <f t="shared" si="556"/>
        <v>1.0186144872038816</v>
      </c>
    </row>
    <row r="1336" spans="1:35" x14ac:dyDescent="0.3">
      <c r="A1336" s="187">
        <v>23</v>
      </c>
      <c r="B1336" s="242">
        <f t="shared" si="557"/>
        <v>46327</v>
      </c>
      <c r="C1336" s="243">
        <f t="shared" si="540"/>
        <v>46356</v>
      </c>
      <c r="D1336" s="120">
        <f t="shared" si="541"/>
        <v>30</v>
      </c>
      <c r="E1336" s="120">
        <f t="shared" si="542"/>
        <v>11</v>
      </c>
      <c r="F1336" s="275">
        <f t="shared" si="543"/>
        <v>46342</v>
      </c>
      <c r="G1336" s="120">
        <f t="shared" si="544"/>
        <v>24322</v>
      </c>
      <c r="H1336" s="245">
        <f t="shared" si="545"/>
        <v>1</v>
      </c>
      <c r="I1336" s="121">
        <f t="shared" si="546"/>
        <v>1.03</v>
      </c>
      <c r="J1336" s="121">
        <f t="shared" si="547"/>
        <v>1.03</v>
      </c>
      <c r="K1336" s="120">
        <f t="shared" si="548"/>
        <v>0</v>
      </c>
      <c r="L1336" s="120">
        <f t="shared" si="549"/>
        <v>0</v>
      </c>
      <c r="M1336" s="246">
        <f t="shared" si="550"/>
        <v>0</v>
      </c>
      <c r="N1336" s="121">
        <f t="shared" si="551"/>
        <v>1.03</v>
      </c>
      <c r="O1336" s="246">
        <f t="shared" si="552"/>
        <v>0.90949671772428886</v>
      </c>
      <c r="P1336" s="121">
        <f t="shared" si="553"/>
        <v>0.25</v>
      </c>
      <c r="Q1336" s="121">
        <f t="shared" si="554"/>
        <v>0.75</v>
      </c>
      <c r="R1336" s="121">
        <f t="shared" si="555"/>
        <v>0</v>
      </c>
      <c r="AE1336" s="160">
        <f t="shared" si="556"/>
        <v>1.0182408904956712</v>
      </c>
    </row>
    <row r="1337" spans="1:35" x14ac:dyDescent="0.3">
      <c r="A1337" s="187">
        <v>24</v>
      </c>
      <c r="B1337" s="242">
        <f t="shared" si="557"/>
        <v>46357</v>
      </c>
      <c r="C1337" s="243">
        <f t="shared" si="540"/>
        <v>46387</v>
      </c>
      <c r="D1337" s="120">
        <f t="shared" si="541"/>
        <v>31</v>
      </c>
      <c r="E1337" s="120">
        <f t="shared" si="542"/>
        <v>12</v>
      </c>
      <c r="F1337" s="275">
        <f t="shared" si="543"/>
        <v>46372.5</v>
      </c>
      <c r="G1337" s="120">
        <f t="shared" si="544"/>
        <v>24323</v>
      </c>
      <c r="H1337" s="245">
        <f t="shared" si="545"/>
        <v>1</v>
      </c>
      <c r="I1337" s="121">
        <f t="shared" si="546"/>
        <v>1.03</v>
      </c>
      <c r="J1337" s="121">
        <f t="shared" si="547"/>
        <v>1.03</v>
      </c>
      <c r="K1337" s="120">
        <f t="shared" si="548"/>
        <v>0</v>
      </c>
      <c r="L1337" s="120">
        <f t="shared" si="549"/>
        <v>0</v>
      </c>
      <c r="M1337" s="246">
        <f t="shared" si="550"/>
        <v>0</v>
      </c>
      <c r="N1337" s="121">
        <f t="shared" si="551"/>
        <v>1.03</v>
      </c>
      <c r="O1337" s="246">
        <f t="shared" si="552"/>
        <v>0.90916301969365432</v>
      </c>
      <c r="P1337" s="121">
        <f t="shared" si="553"/>
        <v>8.3333333333333329E-2</v>
      </c>
      <c r="Q1337" s="121">
        <f t="shared" si="554"/>
        <v>0.91666666666666663</v>
      </c>
      <c r="R1337" s="121">
        <f t="shared" si="555"/>
        <v>0</v>
      </c>
      <c r="AE1337" s="160">
        <f t="shared" si="556"/>
        <v>1.0178672937874609</v>
      </c>
    </row>
    <row r="1338" spans="1:35" x14ac:dyDescent="0.3">
      <c r="A1338" s="187">
        <v>25</v>
      </c>
      <c r="B1338" s="242">
        <f t="shared" si="557"/>
        <v>46388</v>
      </c>
      <c r="C1338" s="243">
        <f t="shared" si="540"/>
        <v>46418</v>
      </c>
      <c r="D1338" s="120">
        <f t="shared" si="541"/>
        <v>31</v>
      </c>
      <c r="E1338" s="120">
        <f t="shared" si="542"/>
        <v>1</v>
      </c>
      <c r="F1338" s="275">
        <f t="shared" si="543"/>
        <v>46403.5</v>
      </c>
      <c r="G1338" s="120">
        <f t="shared" si="544"/>
        <v>24324</v>
      </c>
      <c r="H1338" s="245">
        <f t="shared" si="545"/>
        <v>1</v>
      </c>
      <c r="I1338" s="121">
        <f t="shared" si="546"/>
        <v>1.03</v>
      </c>
      <c r="J1338" s="121">
        <f t="shared" si="547"/>
        <v>1.03</v>
      </c>
      <c r="K1338" s="120">
        <f t="shared" si="548"/>
        <v>0</v>
      </c>
      <c r="L1338" s="120">
        <f t="shared" si="549"/>
        <v>0</v>
      </c>
      <c r="M1338" s="246">
        <f t="shared" si="550"/>
        <v>0</v>
      </c>
      <c r="N1338" s="121">
        <f t="shared" si="551"/>
        <v>1.03</v>
      </c>
      <c r="O1338" s="246">
        <f t="shared" si="552"/>
        <v>0.90882385120350118</v>
      </c>
      <c r="P1338" s="121">
        <f t="shared" si="553"/>
        <v>0</v>
      </c>
      <c r="Q1338" s="121">
        <f t="shared" si="554"/>
        <v>1</v>
      </c>
      <c r="R1338" s="121">
        <f t="shared" si="555"/>
        <v>0</v>
      </c>
      <c r="W1338" s="160">
        <f t="shared" ref="W1338:W1349" si="558">IF($G1338&lt;&gt;$Q$1311,$N1338,(1-$U$1311)*$I1338+$U$1311*$J1338)</f>
        <v>1.03</v>
      </c>
      <c r="X1338" s="160">
        <f t="shared" ref="X1338:X1349" si="559">IF($G1338&lt;$Q$1311,0,IF($G1338&gt;$Q$1311,$N1338,$U$1311*$J1338))</f>
        <v>0</v>
      </c>
      <c r="Y1338" s="160">
        <f t="shared" ref="Y1338:Y1349" si="560">IF($F$1311=1,$O1338/$O1326,1)</f>
        <v>0.99562515356909564</v>
      </c>
      <c r="AB1338" s="160">
        <f t="shared" ref="AB1338:AB1349" si="561">IF(AND(N($K$1311)&lt;&gt;0,$F1338&lt;=$B$1312),0,($F1338-$B$1312)/($C$1312-$B$1312))</f>
        <v>0.23522975929978118</v>
      </c>
      <c r="AC1338" s="220">
        <f t="shared" ref="AC1338:AC1349" si="562">IF(AND(N($K$1311)&lt;&gt;0,$F1338&lt;=$B$1312),$O1338,$F$1312*(1-$AB1338))</f>
        <v>0.69594091903719912</v>
      </c>
      <c r="AD1338" s="160">
        <f t="shared" ref="AD1338:AD1349" si="563">$H1338*($W1338+$X1338*IF(ISNUMBER($F$1362),$F$1362,0))/($N1326*$O1326)</f>
        <v>1.1283747745156205</v>
      </c>
      <c r="AE1338" s="160">
        <f t="shared" si="556"/>
        <v>1.0041585475963031</v>
      </c>
      <c r="AF1338" s="220">
        <f t="shared" ref="AF1338:AF1349" si="564">IF($G1338&lt;$Q$1311,0,IF($G1338&gt;$Q$1311,1,$U$1311))</f>
        <v>0</v>
      </c>
      <c r="AG1338" s="183" t="str">
        <f t="shared" ref="AG1338:AG1349" si="565">IF(OR($D$1311=0,$P$1311=0),"",($W1338+$X1338*IF(ISNUMBER($F$1362),$F$1362,0))/$N1326-1)</f>
        <v/>
      </c>
      <c r="AH1338" s="183" t="str">
        <f t="shared" ref="AH1338:AH1349" si="566">IF(OR($AG1338="",$F$1311=0),"",(1+$E$1311)/(1+$AG1338)-1)</f>
        <v/>
      </c>
      <c r="AI1338" s="220" t="str">
        <f t="shared" ref="AI1338:AI1349" si="567">IF($AH1338="","",$O1326*(1+$E$1311)/(1+$AG1338))</f>
        <v/>
      </c>
    </row>
    <row r="1339" spans="1:35" x14ac:dyDescent="0.3">
      <c r="A1339" s="187">
        <v>26</v>
      </c>
      <c r="B1339" s="242">
        <f t="shared" si="557"/>
        <v>46419</v>
      </c>
      <c r="C1339" s="243">
        <f t="shared" si="540"/>
        <v>46446</v>
      </c>
      <c r="D1339" s="120">
        <f t="shared" si="541"/>
        <v>28</v>
      </c>
      <c r="E1339" s="120">
        <f t="shared" si="542"/>
        <v>2</v>
      </c>
      <c r="F1339" s="275">
        <f t="shared" si="543"/>
        <v>46433</v>
      </c>
      <c r="G1339" s="120">
        <f t="shared" si="544"/>
        <v>24325</v>
      </c>
      <c r="H1339" s="245">
        <f t="shared" si="545"/>
        <v>1</v>
      </c>
      <c r="I1339" s="121">
        <f t="shared" si="546"/>
        <v>1.03</v>
      </c>
      <c r="J1339" s="121">
        <f t="shared" si="547"/>
        <v>1.03</v>
      </c>
      <c r="K1339" s="120">
        <f t="shared" si="548"/>
        <v>0</v>
      </c>
      <c r="L1339" s="120">
        <f t="shared" si="549"/>
        <v>0</v>
      </c>
      <c r="M1339" s="246">
        <f t="shared" si="550"/>
        <v>0</v>
      </c>
      <c r="N1339" s="121">
        <f t="shared" si="551"/>
        <v>1.03</v>
      </c>
      <c r="O1339" s="246">
        <f t="shared" si="552"/>
        <v>0.90850109409190372</v>
      </c>
      <c r="P1339" s="121">
        <f t="shared" si="553"/>
        <v>0</v>
      </c>
      <c r="Q1339" s="121">
        <f t="shared" si="554"/>
        <v>1</v>
      </c>
      <c r="R1339" s="121">
        <f t="shared" si="555"/>
        <v>0</v>
      </c>
      <c r="W1339" s="160">
        <f t="shared" si="558"/>
        <v>1.03</v>
      </c>
      <c r="X1339" s="160">
        <f t="shared" si="559"/>
        <v>1.03</v>
      </c>
      <c r="Y1339" s="160">
        <f t="shared" si="560"/>
        <v>0.99562360614853362</v>
      </c>
      <c r="AB1339" s="160">
        <f t="shared" si="561"/>
        <v>0.29978118161925604</v>
      </c>
      <c r="AC1339" s="220">
        <f t="shared" si="562"/>
        <v>0.637199124726477</v>
      </c>
      <c r="AD1339" s="160">
        <f t="shared" si="563"/>
        <v>1.1397328601232584</v>
      </c>
      <c r="AE1339" s="160">
        <f t="shared" si="556"/>
        <v>1.0401450462345758</v>
      </c>
      <c r="AF1339" s="220">
        <f t="shared" si="564"/>
        <v>1</v>
      </c>
      <c r="AG1339" s="183" t="str">
        <f t="shared" si="565"/>
        <v/>
      </c>
      <c r="AH1339" s="183" t="str">
        <f t="shared" si="566"/>
        <v/>
      </c>
      <c r="AI1339" s="220" t="str">
        <f t="shared" si="567"/>
        <v/>
      </c>
    </row>
    <row r="1340" spans="1:35" x14ac:dyDescent="0.3">
      <c r="A1340" s="187">
        <v>27</v>
      </c>
      <c r="B1340" s="242">
        <f t="shared" si="557"/>
        <v>46447</v>
      </c>
      <c r="C1340" s="243">
        <f t="shared" si="540"/>
        <v>46477</v>
      </c>
      <c r="D1340" s="120">
        <f t="shared" si="541"/>
        <v>31</v>
      </c>
      <c r="E1340" s="120">
        <f t="shared" si="542"/>
        <v>3</v>
      </c>
      <c r="F1340" s="275">
        <f t="shared" si="543"/>
        <v>46462.5</v>
      </c>
      <c r="G1340" s="120">
        <f t="shared" si="544"/>
        <v>24326</v>
      </c>
      <c r="H1340" s="245">
        <f t="shared" si="545"/>
        <v>1</v>
      </c>
      <c r="I1340" s="121">
        <f t="shared" si="546"/>
        <v>1.03</v>
      </c>
      <c r="J1340" s="121">
        <f t="shared" si="547"/>
        <v>1.03</v>
      </c>
      <c r="K1340" s="120">
        <f t="shared" si="548"/>
        <v>0</v>
      </c>
      <c r="L1340" s="120">
        <f t="shared" si="549"/>
        <v>0</v>
      </c>
      <c r="M1340" s="246">
        <f t="shared" si="550"/>
        <v>0</v>
      </c>
      <c r="N1340" s="121">
        <f t="shared" si="551"/>
        <v>1.03</v>
      </c>
      <c r="O1340" s="246">
        <f t="shared" si="552"/>
        <v>0.90817833698030637</v>
      </c>
      <c r="P1340" s="121">
        <f t="shared" si="553"/>
        <v>0</v>
      </c>
      <c r="Q1340" s="121">
        <f t="shared" si="554"/>
        <v>1</v>
      </c>
      <c r="R1340" s="121">
        <f t="shared" si="555"/>
        <v>0</v>
      </c>
      <c r="W1340" s="160">
        <f t="shared" si="558"/>
        <v>1.03</v>
      </c>
      <c r="X1340" s="160">
        <f t="shared" si="559"/>
        <v>1.03</v>
      </c>
      <c r="Y1340" s="160">
        <f t="shared" si="560"/>
        <v>0.99562205763291256</v>
      </c>
      <c r="AB1340" s="160">
        <f t="shared" si="561"/>
        <v>0.36433260393873085</v>
      </c>
      <c r="AC1340" s="220">
        <f t="shared" si="562"/>
        <v>0.57845733041575487</v>
      </c>
      <c r="AD1340" s="160">
        <f t="shared" si="563"/>
        <v>1.1401361360160722</v>
      </c>
      <c r="AE1340" s="160">
        <f t="shared" si="556"/>
        <v>1.0359652029689965</v>
      </c>
      <c r="AF1340" s="220">
        <f t="shared" si="564"/>
        <v>1</v>
      </c>
      <c r="AG1340" s="183" t="str">
        <f t="shared" si="565"/>
        <v/>
      </c>
      <c r="AH1340" s="183" t="str">
        <f t="shared" si="566"/>
        <v/>
      </c>
      <c r="AI1340" s="220" t="str">
        <f t="shared" si="567"/>
        <v/>
      </c>
    </row>
    <row r="1341" spans="1:35" x14ac:dyDescent="0.3">
      <c r="A1341" s="187">
        <v>28</v>
      </c>
      <c r="B1341" s="242">
        <f t="shared" si="557"/>
        <v>46478</v>
      </c>
      <c r="C1341" s="243">
        <f t="shared" si="540"/>
        <v>46507</v>
      </c>
      <c r="D1341" s="120">
        <f t="shared" si="541"/>
        <v>30</v>
      </c>
      <c r="E1341" s="120">
        <f t="shared" si="542"/>
        <v>4</v>
      </c>
      <c r="F1341" s="275">
        <f t="shared" si="543"/>
        <v>46493</v>
      </c>
      <c r="G1341" s="120">
        <f t="shared" si="544"/>
        <v>24327</v>
      </c>
      <c r="H1341" s="245">
        <f t="shared" si="545"/>
        <v>1</v>
      </c>
      <c r="I1341" s="121">
        <f t="shared" si="546"/>
        <v>1.03</v>
      </c>
      <c r="J1341" s="121">
        <f t="shared" si="547"/>
        <v>1.03</v>
      </c>
      <c r="K1341" s="120">
        <f t="shared" si="548"/>
        <v>0</v>
      </c>
      <c r="L1341" s="120">
        <f t="shared" si="549"/>
        <v>0</v>
      </c>
      <c r="M1341" s="246">
        <f t="shared" si="550"/>
        <v>0</v>
      </c>
      <c r="N1341" s="121">
        <f t="shared" si="551"/>
        <v>1.03</v>
      </c>
      <c r="O1341" s="246">
        <f t="shared" si="552"/>
        <v>0.90784463894967182</v>
      </c>
      <c r="P1341" s="121">
        <f t="shared" si="553"/>
        <v>0</v>
      </c>
      <c r="Q1341" s="121">
        <f t="shared" si="554"/>
        <v>1</v>
      </c>
      <c r="R1341" s="121">
        <f t="shared" si="555"/>
        <v>0</v>
      </c>
      <c r="W1341" s="160">
        <f t="shared" si="558"/>
        <v>1.03</v>
      </c>
      <c r="X1341" s="160">
        <f t="shared" si="559"/>
        <v>1.03</v>
      </c>
      <c r="Y1341" s="160">
        <f t="shared" si="560"/>
        <v>0.99562045547263089</v>
      </c>
      <c r="AB1341" s="160">
        <f t="shared" si="561"/>
        <v>0.4310722100656455</v>
      </c>
      <c r="AC1341" s="220">
        <f t="shared" si="562"/>
        <v>0.51772428884026267</v>
      </c>
      <c r="AD1341" s="160">
        <f t="shared" si="563"/>
        <v>1.1405533824482252</v>
      </c>
      <c r="AE1341" s="160">
        <f t="shared" si="556"/>
        <v>1.0316436701011942</v>
      </c>
      <c r="AF1341" s="220">
        <f t="shared" si="564"/>
        <v>1</v>
      </c>
      <c r="AG1341" s="183" t="str">
        <f t="shared" si="565"/>
        <v/>
      </c>
      <c r="AH1341" s="183" t="str">
        <f t="shared" si="566"/>
        <v/>
      </c>
      <c r="AI1341" s="220" t="str">
        <f t="shared" si="567"/>
        <v/>
      </c>
    </row>
    <row r="1342" spans="1:35" x14ac:dyDescent="0.3">
      <c r="A1342" s="187">
        <v>29</v>
      </c>
      <c r="B1342" s="242">
        <f t="shared" si="557"/>
        <v>46508</v>
      </c>
      <c r="C1342" s="243">
        <f t="shared" si="540"/>
        <v>46538</v>
      </c>
      <c r="D1342" s="120">
        <f t="shared" si="541"/>
        <v>31</v>
      </c>
      <c r="E1342" s="120">
        <f t="shared" si="542"/>
        <v>5</v>
      </c>
      <c r="F1342" s="275">
        <f t="shared" si="543"/>
        <v>46523.5</v>
      </c>
      <c r="G1342" s="120">
        <f t="shared" si="544"/>
        <v>24328</v>
      </c>
      <c r="H1342" s="245">
        <f t="shared" si="545"/>
        <v>1</v>
      </c>
      <c r="I1342" s="121">
        <f t="shared" si="546"/>
        <v>1.03</v>
      </c>
      <c r="J1342" s="121">
        <f t="shared" si="547"/>
        <v>1.03</v>
      </c>
      <c r="K1342" s="120">
        <f t="shared" si="548"/>
        <v>0</v>
      </c>
      <c r="L1342" s="120">
        <f t="shared" si="549"/>
        <v>0</v>
      </c>
      <c r="M1342" s="246">
        <f t="shared" si="550"/>
        <v>0</v>
      </c>
      <c r="N1342" s="121">
        <f t="shared" si="551"/>
        <v>1.03</v>
      </c>
      <c r="O1342" s="246">
        <f t="shared" si="552"/>
        <v>0.90751094091903728</v>
      </c>
      <c r="P1342" s="121">
        <f t="shared" si="553"/>
        <v>0</v>
      </c>
      <c r="Q1342" s="121">
        <f t="shared" si="554"/>
        <v>1</v>
      </c>
      <c r="R1342" s="121">
        <f t="shared" si="555"/>
        <v>0</v>
      </c>
      <c r="W1342" s="160">
        <f t="shared" si="558"/>
        <v>1.03</v>
      </c>
      <c r="X1342" s="160">
        <f t="shared" si="559"/>
        <v>1.03</v>
      </c>
      <c r="Y1342" s="160">
        <f t="shared" si="560"/>
        <v>0.99561885213926049</v>
      </c>
      <c r="AB1342" s="160">
        <f t="shared" si="561"/>
        <v>0.49781181619256015</v>
      </c>
      <c r="AC1342" s="220">
        <f t="shared" si="562"/>
        <v>0.45699124726477025</v>
      </c>
      <c r="AD1342" s="160">
        <f t="shared" si="563"/>
        <v>1.1409709343848087</v>
      </c>
      <c r="AE1342" s="160">
        <f t="shared" si="556"/>
        <v>1.0273221372333921</v>
      </c>
      <c r="AF1342" s="220">
        <f t="shared" si="564"/>
        <v>1</v>
      </c>
      <c r="AG1342" s="183" t="str">
        <f t="shared" si="565"/>
        <v/>
      </c>
      <c r="AH1342" s="183" t="str">
        <f t="shared" si="566"/>
        <v/>
      </c>
      <c r="AI1342" s="220" t="str">
        <f t="shared" si="567"/>
        <v/>
      </c>
    </row>
    <row r="1343" spans="1:35" x14ac:dyDescent="0.3">
      <c r="A1343" s="187">
        <v>30</v>
      </c>
      <c r="B1343" s="242">
        <f t="shared" si="557"/>
        <v>46539</v>
      </c>
      <c r="C1343" s="243">
        <f t="shared" si="540"/>
        <v>46568</v>
      </c>
      <c r="D1343" s="120">
        <f t="shared" si="541"/>
        <v>30</v>
      </c>
      <c r="E1343" s="120">
        <f t="shared" si="542"/>
        <v>6</v>
      </c>
      <c r="F1343" s="275">
        <f t="shared" si="543"/>
        <v>46554</v>
      </c>
      <c r="G1343" s="120">
        <f t="shared" si="544"/>
        <v>24329</v>
      </c>
      <c r="H1343" s="245">
        <f t="shared" si="545"/>
        <v>1</v>
      </c>
      <c r="I1343" s="121">
        <f t="shared" si="546"/>
        <v>1.03</v>
      </c>
      <c r="J1343" s="121">
        <f t="shared" si="547"/>
        <v>1.03</v>
      </c>
      <c r="K1343" s="120">
        <f t="shared" si="548"/>
        <v>0</v>
      </c>
      <c r="L1343" s="120">
        <f t="shared" si="549"/>
        <v>0</v>
      </c>
      <c r="M1343" s="246">
        <f t="shared" si="550"/>
        <v>0</v>
      </c>
      <c r="N1343" s="121">
        <f t="shared" si="551"/>
        <v>1.03</v>
      </c>
      <c r="O1343" s="246">
        <f t="shared" si="552"/>
        <v>0.90717724288840262</v>
      </c>
      <c r="P1343" s="121">
        <f t="shared" si="553"/>
        <v>0</v>
      </c>
      <c r="Q1343" s="121">
        <f t="shared" si="554"/>
        <v>1</v>
      </c>
      <c r="R1343" s="121">
        <f t="shared" si="555"/>
        <v>0</v>
      </c>
      <c r="W1343" s="160">
        <f t="shared" si="558"/>
        <v>1.03</v>
      </c>
      <c r="X1343" s="160">
        <f t="shared" si="559"/>
        <v>1.03</v>
      </c>
      <c r="Y1343" s="160">
        <f t="shared" si="560"/>
        <v>0.9956172476315126</v>
      </c>
      <c r="AB1343" s="160">
        <f t="shared" si="561"/>
        <v>0.56455142231947486</v>
      </c>
      <c r="AC1343" s="220">
        <f t="shared" si="562"/>
        <v>0.39625820568927789</v>
      </c>
      <c r="AD1343" s="160">
        <f t="shared" si="563"/>
        <v>1.1413887921614774</v>
      </c>
      <c r="AE1343" s="160">
        <f t="shared" si="556"/>
        <v>1.0230006043655897</v>
      </c>
      <c r="AF1343" s="220">
        <f t="shared" si="564"/>
        <v>1</v>
      </c>
      <c r="AG1343" s="183" t="str">
        <f t="shared" si="565"/>
        <v/>
      </c>
      <c r="AH1343" s="183" t="str">
        <f t="shared" si="566"/>
        <v/>
      </c>
      <c r="AI1343" s="220" t="str">
        <f t="shared" si="567"/>
        <v/>
      </c>
    </row>
    <row r="1344" spans="1:35" x14ac:dyDescent="0.3">
      <c r="A1344" s="187">
        <v>31</v>
      </c>
      <c r="B1344" s="242">
        <f t="shared" si="557"/>
        <v>46569</v>
      </c>
      <c r="C1344" s="243">
        <f t="shared" si="540"/>
        <v>46599</v>
      </c>
      <c r="D1344" s="120">
        <f t="shared" si="541"/>
        <v>31</v>
      </c>
      <c r="E1344" s="120">
        <f t="shared" si="542"/>
        <v>7</v>
      </c>
      <c r="F1344" s="275">
        <f t="shared" si="543"/>
        <v>46584.5</v>
      </c>
      <c r="G1344" s="120">
        <f t="shared" si="544"/>
        <v>24330</v>
      </c>
      <c r="H1344" s="245">
        <f t="shared" si="545"/>
        <v>1</v>
      </c>
      <c r="I1344" s="121">
        <f t="shared" si="546"/>
        <v>1.03</v>
      </c>
      <c r="J1344" s="121">
        <f t="shared" si="547"/>
        <v>1.03</v>
      </c>
      <c r="K1344" s="120">
        <f t="shared" si="548"/>
        <v>0</v>
      </c>
      <c r="L1344" s="120">
        <f t="shared" si="549"/>
        <v>0</v>
      </c>
      <c r="M1344" s="246">
        <f t="shared" si="550"/>
        <v>0</v>
      </c>
      <c r="N1344" s="121">
        <f t="shared" si="551"/>
        <v>1.03</v>
      </c>
      <c r="O1344" s="246">
        <f t="shared" si="552"/>
        <v>0.90684354485776808</v>
      </c>
      <c r="P1344" s="121">
        <f t="shared" si="553"/>
        <v>0</v>
      </c>
      <c r="Q1344" s="121">
        <f t="shared" si="554"/>
        <v>0.91666666666666663</v>
      </c>
      <c r="R1344" s="121">
        <f t="shared" si="555"/>
        <v>8.333333333333337E-2</v>
      </c>
      <c r="W1344" s="160">
        <f t="shared" si="558"/>
        <v>1.03</v>
      </c>
      <c r="X1344" s="160">
        <f t="shared" si="559"/>
        <v>1.03</v>
      </c>
      <c r="Y1344" s="160">
        <f t="shared" si="560"/>
        <v>0.99561564194809637</v>
      </c>
      <c r="AB1344" s="160">
        <f t="shared" si="561"/>
        <v>0.63129102844638951</v>
      </c>
      <c r="AC1344" s="220">
        <f t="shared" si="562"/>
        <v>0.33552516411378558</v>
      </c>
      <c r="AD1344" s="160">
        <f t="shared" si="563"/>
        <v>1.1418069561143775</v>
      </c>
      <c r="AE1344" s="160">
        <f t="shared" si="556"/>
        <v>1.0186790714977876</v>
      </c>
      <c r="AF1344" s="220">
        <f t="shared" si="564"/>
        <v>1</v>
      </c>
      <c r="AG1344" s="183" t="str">
        <f t="shared" si="565"/>
        <v/>
      </c>
      <c r="AH1344" s="183" t="str">
        <f t="shared" si="566"/>
        <v/>
      </c>
      <c r="AI1344" s="220" t="str">
        <f t="shared" si="567"/>
        <v/>
      </c>
    </row>
    <row r="1345" spans="1:35" x14ac:dyDescent="0.3">
      <c r="A1345" s="187">
        <v>32</v>
      </c>
      <c r="B1345" s="242">
        <f t="shared" si="557"/>
        <v>46600</v>
      </c>
      <c r="C1345" s="243">
        <f t="shared" si="540"/>
        <v>46630</v>
      </c>
      <c r="D1345" s="120">
        <f t="shared" si="541"/>
        <v>31</v>
      </c>
      <c r="E1345" s="120">
        <f t="shared" si="542"/>
        <v>8</v>
      </c>
      <c r="F1345" s="275">
        <f t="shared" si="543"/>
        <v>46615.5</v>
      </c>
      <c r="G1345" s="120">
        <f t="shared" si="544"/>
        <v>24331</v>
      </c>
      <c r="H1345" s="245">
        <f t="shared" si="545"/>
        <v>1</v>
      </c>
      <c r="I1345" s="121">
        <f t="shared" si="546"/>
        <v>1.03</v>
      </c>
      <c r="J1345" s="121">
        <f t="shared" si="547"/>
        <v>1.03</v>
      </c>
      <c r="K1345" s="120">
        <f t="shared" si="548"/>
        <v>0</v>
      </c>
      <c r="L1345" s="120">
        <f t="shared" si="549"/>
        <v>0</v>
      </c>
      <c r="M1345" s="246">
        <f t="shared" si="550"/>
        <v>0</v>
      </c>
      <c r="N1345" s="121">
        <f t="shared" si="551"/>
        <v>1.03</v>
      </c>
      <c r="O1345" s="246">
        <f t="shared" si="552"/>
        <v>0.90650437636761494</v>
      </c>
      <c r="P1345" s="121">
        <f t="shared" si="553"/>
        <v>0</v>
      </c>
      <c r="Q1345" s="121">
        <f t="shared" si="554"/>
        <v>0.75</v>
      </c>
      <c r="R1345" s="121">
        <f t="shared" si="555"/>
        <v>0.25</v>
      </c>
      <c r="W1345" s="160">
        <f t="shared" si="558"/>
        <v>1.03</v>
      </c>
      <c r="X1345" s="160">
        <f t="shared" si="559"/>
        <v>1.03</v>
      </c>
      <c r="Y1345" s="160">
        <f t="shared" si="560"/>
        <v>0.99561400873593331</v>
      </c>
      <c r="AB1345" s="160">
        <f t="shared" si="561"/>
        <v>0.69912472647702406</v>
      </c>
      <c r="AC1345" s="220">
        <f t="shared" si="562"/>
        <v>0.27379649890590813</v>
      </c>
      <c r="AD1345" s="160">
        <f t="shared" si="563"/>
        <v>1.1422322893071934</v>
      </c>
      <c r="AE1345" s="160">
        <f t="shared" si="556"/>
        <v>1.0142866938288735</v>
      </c>
      <c r="AF1345" s="220">
        <f t="shared" si="564"/>
        <v>1</v>
      </c>
      <c r="AG1345" s="183" t="str">
        <f t="shared" si="565"/>
        <v/>
      </c>
      <c r="AH1345" s="183" t="str">
        <f t="shared" si="566"/>
        <v/>
      </c>
      <c r="AI1345" s="220" t="str">
        <f t="shared" si="567"/>
        <v/>
      </c>
    </row>
    <row r="1346" spans="1:35" x14ac:dyDescent="0.3">
      <c r="A1346" s="187">
        <v>33</v>
      </c>
      <c r="B1346" s="242">
        <f t="shared" si="557"/>
        <v>46631</v>
      </c>
      <c r="C1346" s="243">
        <f t="shared" si="540"/>
        <v>46660</v>
      </c>
      <c r="D1346" s="120">
        <f t="shared" si="541"/>
        <v>30</v>
      </c>
      <c r="E1346" s="120">
        <f t="shared" si="542"/>
        <v>9</v>
      </c>
      <c r="F1346" s="275">
        <f t="shared" si="543"/>
        <v>46646</v>
      </c>
      <c r="G1346" s="120">
        <f t="shared" si="544"/>
        <v>24332</v>
      </c>
      <c r="H1346" s="245">
        <f t="shared" si="545"/>
        <v>1</v>
      </c>
      <c r="I1346" s="121">
        <f t="shared" si="546"/>
        <v>1.03</v>
      </c>
      <c r="J1346" s="121">
        <f t="shared" si="547"/>
        <v>1.03</v>
      </c>
      <c r="K1346" s="120">
        <f t="shared" si="548"/>
        <v>0</v>
      </c>
      <c r="L1346" s="120">
        <f t="shared" si="549"/>
        <v>0</v>
      </c>
      <c r="M1346" s="246">
        <f t="shared" si="550"/>
        <v>0</v>
      </c>
      <c r="N1346" s="121">
        <f t="shared" si="551"/>
        <v>1.03</v>
      </c>
      <c r="O1346" s="246">
        <f t="shared" si="552"/>
        <v>0.90617067833698028</v>
      </c>
      <c r="P1346" s="121">
        <f t="shared" si="553"/>
        <v>0</v>
      </c>
      <c r="Q1346" s="121">
        <f t="shared" si="554"/>
        <v>0.58333333333333337</v>
      </c>
      <c r="R1346" s="121">
        <f t="shared" si="555"/>
        <v>0.41666666666666663</v>
      </c>
      <c r="W1346" s="160">
        <f t="shared" si="558"/>
        <v>1.03</v>
      </c>
      <c r="X1346" s="160">
        <f t="shared" si="559"/>
        <v>1.03</v>
      </c>
      <c r="Y1346" s="160">
        <f t="shared" si="560"/>
        <v>0.99561240067797419</v>
      </c>
      <c r="AB1346" s="160">
        <f t="shared" si="561"/>
        <v>0.76586433260393871</v>
      </c>
      <c r="AC1346" s="220">
        <f t="shared" si="562"/>
        <v>0.21306345733041579</v>
      </c>
      <c r="AD1346" s="160">
        <f t="shared" si="563"/>
        <v>1.1426510716561082</v>
      </c>
      <c r="AE1346" s="160">
        <f t="shared" si="556"/>
        <v>1.0099651609610711</v>
      </c>
      <c r="AF1346" s="220">
        <f t="shared" si="564"/>
        <v>1</v>
      </c>
      <c r="AG1346" s="183" t="str">
        <f t="shared" si="565"/>
        <v/>
      </c>
      <c r="AH1346" s="183" t="str">
        <f t="shared" si="566"/>
        <v/>
      </c>
      <c r="AI1346" s="220" t="str">
        <f t="shared" si="567"/>
        <v/>
      </c>
    </row>
    <row r="1347" spans="1:35" x14ac:dyDescent="0.3">
      <c r="A1347" s="187">
        <v>34</v>
      </c>
      <c r="B1347" s="242">
        <f t="shared" si="557"/>
        <v>46661</v>
      </c>
      <c r="C1347" s="243">
        <f t="shared" si="540"/>
        <v>46691</v>
      </c>
      <c r="D1347" s="120">
        <f t="shared" si="541"/>
        <v>31</v>
      </c>
      <c r="E1347" s="120">
        <f t="shared" si="542"/>
        <v>10</v>
      </c>
      <c r="F1347" s="275">
        <f t="shared" si="543"/>
        <v>46676.5</v>
      </c>
      <c r="G1347" s="120">
        <f t="shared" si="544"/>
        <v>24333</v>
      </c>
      <c r="H1347" s="245">
        <f t="shared" si="545"/>
        <v>1</v>
      </c>
      <c r="I1347" s="121">
        <f t="shared" si="546"/>
        <v>1.03</v>
      </c>
      <c r="J1347" s="121">
        <f t="shared" si="547"/>
        <v>1.03</v>
      </c>
      <c r="K1347" s="120">
        <f t="shared" si="548"/>
        <v>0</v>
      </c>
      <c r="L1347" s="120">
        <f t="shared" si="549"/>
        <v>0</v>
      </c>
      <c r="M1347" s="246">
        <f t="shared" si="550"/>
        <v>0</v>
      </c>
      <c r="N1347" s="121">
        <f t="shared" si="551"/>
        <v>1.03</v>
      </c>
      <c r="O1347" s="246">
        <f t="shared" si="552"/>
        <v>0.90583698030634574</v>
      </c>
      <c r="P1347" s="121">
        <f t="shared" si="553"/>
        <v>0</v>
      </c>
      <c r="Q1347" s="121">
        <f t="shared" si="554"/>
        <v>0.41666666666666669</v>
      </c>
      <c r="R1347" s="121">
        <f t="shared" si="555"/>
        <v>0.58333333333333326</v>
      </c>
      <c r="W1347" s="160">
        <f t="shared" si="558"/>
        <v>1.03</v>
      </c>
      <c r="X1347" s="160">
        <f t="shared" si="559"/>
        <v>1.03</v>
      </c>
      <c r="Y1347" s="160">
        <f t="shared" si="560"/>
        <v>0.99561079144044207</v>
      </c>
      <c r="AB1347" s="160">
        <f t="shared" si="561"/>
        <v>0.83260393873085337</v>
      </c>
      <c r="AC1347" s="220">
        <f t="shared" si="562"/>
        <v>0.15233041575492345</v>
      </c>
      <c r="AD1347" s="160">
        <f t="shared" si="563"/>
        <v>1.1430701611981937</v>
      </c>
      <c r="AE1347" s="160">
        <f t="shared" si="556"/>
        <v>1.005643628093269</v>
      </c>
      <c r="AF1347" s="220">
        <f t="shared" si="564"/>
        <v>1</v>
      </c>
      <c r="AG1347" s="183" t="str">
        <f t="shared" si="565"/>
        <v/>
      </c>
      <c r="AH1347" s="183" t="str">
        <f t="shared" si="566"/>
        <v/>
      </c>
      <c r="AI1347" s="220" t="str">
        <f t="shared" si="567"/>
        <v/>
      </c>
    </row>
    <row r="1348" spans="1:35" x14ac:dyDescent="0.3">
      <c r="A1348" s="187">
        <v>35</v>
      </c>
      <c r="B1348" s="242">
        <f t="shared" si="557"/>
        <v>46692</v>
      </c>
      <c r="C1348" s="243">
        <f t="shared" si="540"/>
        <v>46721</v>
      </c>
      <c r="D1348" s="120">
        <f t="shared" si="541"/>
        <v>30</v>
      </c>
      <c r="E1348" s="120">
        <f t="shared" si="542"/>
        <v>11</v>
      </c>
      <c r="F1348" s="275">
        <f t="shared" si="543"/>
        <v>46707</v>
      </c>
      <c r="G1348" s="120">
        <f t="shared" si="544"/>
        <v>24334</v>
      </c>
      <c r="H1348" s="245">
        <f t="shared" si="545"/>
        <v>1</v>
      </c>
      <c r="I1348" s="121">
        <f t="shared" si="546"/>
        <v>1.03</v>
      </c>
      <c r="J1348" s="121">
        <f t="shared" si="547"/>
        <v>1.03</v>
      </c>
      <c r="K1348" s="120">
        <f t="shared" si="548"/>
        <v>0</v>
      </c>
      <c r="L1348" s="120">
        <f t="shared" si="549"/>
        <v>0</v>
      </c>
      <c r="M1348" s="246">
        <f t="shared" si="550"/>
        <v>0</v>
      </c>
      <c r="N1348" s="121">
        <f t="shared" si="551"/>
        <v>1.03</v>
      </c>
      <c r="O1348" s="246">
        <f t="shared" si="552"/>
        <v>0.9055032822757112</v>
      </c>
      <c r="P1348" s="121">
        <f t="shared" si="553"/>
        <v>0</v>
      </c>
      <c r="Q1348" s="121">
        <f t="shared" si="554"/>
        <v>0.25</v>
      </c>
      <c r="R1348" s="121">
        <f t="shared" si="555"/>
        <v>0.75</v>
      </c>
      <c r="W1348" s="160">
        <f t="shared" si="558"/>
        <v>1.03</v>
      </c>
      <c r="X1348" s="160">
        <f t="shared" si="559"/>
        <v>1.03</v>
      </c>
      <c r="Y1348" s="160">
        <f t="shared" si="560"/>
        <v>0.99560918102203833</v>
      </c>
      <c r="AB1348" s="160">
        <f t="shared" si="561"/>
        <v>0.89934354485776802</v>
      </c>
      <c r="AC1348" s="220">
        <f t="shared" si="562"/>
        <v>9.1597374179431104E-2</v>
      </c>
      <c r="AD1348" s="160">
        <f t="shared" si="563"/>
        <v>1.1434895582715809</v>
      </c>
      <c r="AE1348" s="160">
        <f t="shared" si="556"/>
        <v>1.0013220952254669</v>
      </c>
      <c r="AF1348" s="220">
        <f t="shared" si="564"/>
        <v>1</v>
      </c>
      <c r="AG1348" s="183" t="str">
        <f t="shared" si="565"/>
        <v/>
      </c>
      <c r="AH1348" s="183" t="str">
        <f t="shared" si="566"/>
        <v/>
      </c>
      <c r="AI1348" s="220" t="str">
        <f t="shared" si="567"/>
        <v/>
      </c>
    </row>
    <row r="1349" spans="1:35" x14ac:dyDescent="0.3">
      <c r="A1349" s="187">
        <v>36</v>
      </c>
      <c r="B1349" s="242">
        <f t="shared" si="557"/>
        <v>46722</v>
      </c>
      <c r="C1349" s="243">
        <f t="shared" si="540"/>
        <v>46752</v>
      </c>
      <c r="D1349" s="120">
        <f t="shared" si="541"/>
        <v>31</v>
      </c>
      <c r="E1349" s="120">
        <f t="shared" si="542"/>
        <v>12</v>
      </c>
      <c r="F1349" s="275">
        <f t="shared" si="543"/>
        <v>46737.5</v>
      </c>
      <c r="G1349" s="120">
        <f t="shared" si="544"/>
        <v>24335</v>
      </c>
      <c r="H1349" s="245">
        <f t="shared" si="545"/>
        <v>1</v>
      </c>
      <c r="I1349" s="121">
        <f t="shared" si="546"/>
        <v>1.03</v>
      </c>
      <c r="J1349" s="121">
        <f t="shared" si="547"/>
        <v>1.03</v>
      </c>
      <c r="K1349" s="120">
        <f t="shared" si="548"/>
        <v>0</v>
      </c>
      <c r="L1349" s="120">
        <f t="shared" si="549"/>
        <v>0</v>
      </c>
      <c r="M1349" s="246">
        <f t="shared" si="550"/>
        <v>0</v>
      </c>
      <c r="N1349" s="121">
        <f t="shared" si="551"/>
        <v>1.03</v>
      </c>
      <c r="O1349" s="246">
        <f t="shared" si="552"/>
        <v>0.90516958424507665</v>
      </c>
      <c r="P1349" s="121">
        <f t="shared" si="553"/>
        <v>0</v>
      </c>
      <c r="Q1349" s="121">
        <f t="shared" si="554"/>
        <v>8.3333333333333329E-2</v>
      </c>
      <c r="R1349" s="121">
        <f t="shared" si="555"/>
        <v>0.91666666666666663</v>
      </c>
      <c r="W1349" s="160">
        <f t="shared" si="558"/>
        <v>1.03</v>
      </c>
      <c r="X1349" s="160">
        <f t="shared" si="559"/>
        <v>1.03</v>
      </c>
      <c r="Y1349" s="160">
        <f t="shared" si="560"/>
        <v>0.99560756942146278</v>
      </c>
      <c r="AB1349" s="160">
        <f t="shared" si="561"/>
        <v>0.96608315098468267</v>
      </c>
      <c r="AC1349" s="220">
        <f t="shared" si="562"/>
        <v>3.0864332603938772E-2</v>
      </c>
      <c r="AD1349" s="160">
        <f t="shared" si="563"/>
        <v>1.1439092632148979</v>
      </c>
      <c r="AE1349" s="160">
        <f t="shared" si="556"/>
        <v>0.99700056235766443</v>
      </c>
      <c r="AF1349" s="220">
        <f t="shared" si="564"/>
        <v>1</v>
      </c>
      <c r="AG1349" s="183" t="str">
        <f t="shared" si="565"/>
        <v/>
      </c>
      <c r="AH1349" s="183" t="str">
        <f t="shared" si="566"/>
        <v/>
      </c>
      <c r="AI1349" s="220" t="str">
        <f t="shared" si="567"/>
        <v/>
      </c>
    </row>
    <row r="1350" spans="1:35" x14ac:dyDescent="0.3">
      <c r="A1350" s="187">
        <v>37</v>
      </c>
      <c r="B1350" s="242">
        <f t="shared" si="557"/>
        <v>46753</v>
      </c>
      <c r="C1350" s="243">
        <f t="shared" si="540"/>
        <v>46783</v>
      </c>
      <c r="D1350" s="120">
        <f t="shared" si="541"/>
        <v>31</v>
      </c>
      <c r="E1350" s="120">
        <f t="shared" si="542"/>
        <v>1</v>
      </c>
      <c r="F1350" s="275">
        <f t="shared" si="543"/>
        <v>46768.5</v>
      </c>
      <c r="G1350" s="120">
        <f t="shared" si="544"/>
        <v>24336</v>
      </c>
      <c r="H1350" s="245">
        <f t="shared" si="545"/>
        <v>1</v>
      </c>
      <c r="I1350" s="121">
        <f t="shared" si="546"/>
        <v>1.03</v>
      </c>
      <c r="J1350" s="121">
        <f t="shared" si="547"/>
        <v>1.03</v>
      </c>
      <c r="K1350" s="120">
        <f t="shared" si="548"/>
        <v>0</v>
      </c>
      <c r="L1350" s="120">
        <f t="shared" si="549"/>
        <v>0</v>
      </c>
      <c r="M1350" s="246">
        <f t="shared" si="550"/>
        <v>0</v>
      </c>
      <c r="N1350" s="121">
        <f t="shared" si="551"/>
        <v>1.03</v>
      </c>
      <c r="O1350" s="246">
        <f t="shared" si="552"/>
        <v>0.90500000000000003</v>
      </c>
      <c r="P1350" s="121">
        <f t="shared" si="553"/>
        <v>0</v>
      </c>
      <c r="Q1350" s="121">
        <f t="shared" si="554"/>
        <v>0</v>
      </c>
      <c r="R1350" s="121">
        <f t="shared" si="555"/>
        <v>1</v>
      </c>
      <c r="AE1350" s="160">
        <f t="shared" si="556"/>
        <v>1.0132065217391304</v>
      </c>
    </row>
    <row r="1351" spans="1:35" x14ac:dyDescent="0.3">
      <c r="A1351" s="187">
        <v>38</v>
      </c>
      <c r="B1351" s="242">
        <f t="shared" si="557"/>
        <v>46784</v>
      </c>
      <c r="C1351" s="243">
        <f t="shared" si="540"/>
        <v>46812</v>
      </c>
      <c r="D1351" s="120">
        <f t="shared" si="541"/>
        <v>29</v>
      </c>
      <c r="E1351" s="120">
        <f t="shared" si="542"/>
        <v>2</v>
      </c>
      <c r="F1351" s="275">
        <f t="shared" si="543"/>
        <v>46798.5</v>
      </c>
      <c r="G1351" s="120">
        <f t="shared" si="544"/>
        <v>24337</v>
      </c>
      <c r="H1351" s="245">
        <f t="shared" si="545"/>
        <v>1</v>
      </c>
      <c r="I1351" s="121">
        <f t="shared" si="546"/>
        <v>1.03</v>
      </c>
      <c r="J1351" s="121">
        <f t="shared" si="547"/>
        <v>1.03</v>
      </c>
      <c r="K1351" s="120">
        <f t="shared" si="548"/>
        <v>0</v>
      </c>
      <c r="L1351" s="120">
        <f t="shared" si="549"/>
        <v>0</v>
      </c>
      <c r="M1351" s="246">
        <f t="shared" si="550"/>
        <v>0</v>
      </c>
      <c r="N1351" s="121">
        <f t="shared" si="551"/>
        <v>1.03</v>
      </c>
      <c r="O1351" s="246">
        <f t="shared" si="552"/>
        <v>0.90500000000000003</v>
      </c>
      <c r="P1351" s="121">
        <f t="shared" si="553"/>
        <v>0</v>
      </c>
      <c r="Q1351" s="121">
        <f t="shared" si="554"/>
        <v>0</v>
      </c>
      <c r="R1351" s="121">
        <f t="shared" si="555"/>
        <v>1</v>
      </c>
      <c r="AE1351" s="160">
        <f t="shared" si="556"/>
        <v>1.0132065217391304</v>
      </c>
    </row>
    <row r="1352" spans="1:35" x14ac:dyDescent="0.3">
      <c r="A1352" s="187">
        <v>39</v>
      </c>
      <c r="B1352" s="242">
        <f t="shared" si="557"/>
        <v>46813</v>
      </c>
      <c r="C1352" s="243">
        <f t="shared" si="540"/>
        <v>46843</v>
      </c>
      <c r="D1352" s="120">
        <f t="shared" si="541"/>
        <v>31</v>
      </c>
      <c r="E1352" s="120">
        <f t="shared" si="542"/>
        <v>3</v>
      </c>
      <c r="F1352" s="275">
        <f t="shared" si="543"/>
        <v>46828.5</v>
      </c>
      <c r="G1352" s="120">
        <f t="shared" si="544"/>
        <v>24338</v>
      </c>
      <c r="H1352" s="245">
        <f t="shared" si="545"/>
        <v>1</v>
      </c>
      <c r="I1352" s="121">
        <f t="shared" si="546"/>
        <v>1.03</v>
      </c>
      <c r="J1352" s="121">
        <f t="shared" si="547"/>
        <v>1.03</v>
      </c>
      <c r="K1352" s="120">
        <f t="shared" si="548"/>
        <v>0</v>
      </c>
      <c r="L1352" s="120">
        <f t="shared" si="549"/>
        <v>0</v>
      </c>
      <c r="M1352" s="246">
        <f t="shared" si="550"/>
        <v>0</v>
      </c>
      <c r="N1352" s="121">
        <f t="shared" si="551"/>
        <v>1.03</v>
      </c>
      <c r="O1352" s="246">
        <f t="shared" si="552"/>
        <v>0.90500000000000003</v>
      </c>
      <c r="P1352" s="121">
        <f t="shared" si="553"/>
        <v>0</v>
      </c>
      <c r="Q1352" s="121">
        <f t="shared" si="554"/>
        <v>0</v>
      </c>
      <c r="R1352" s="121">
        <f t="shared" si="555"/>
        <v>1</v>
      </c>
      <c r="AE1352" s="160">
        <f t="shared" si="556"/>
        <v>1.0132065217391304</v>
      </c>
    </row>
    <row r="1353" spans="1:35" x14ac:dyDescent="0.3">
      <c r="A1353" s="187">
        <v>40</v>
      </c>
      <c r="B1353" s="242">
        <f t="shared" si="557"/>
        <v>46844</v>
      </c>
      <c r="C1353" s="243">
        <f t="shared" si="540"/>
        <v>46873</v>
      </c>
      <c r="D1353" s="120">
        <f t="shared" si="541"/>
        <v>30</v>
      </c>
      <c r="E1353" s="120">
        <f t="shared" si="542"/>
        <v>4</v>
      </c>
      <c r="F1353" s="275">
        <f t="shared" si="543"/>
        <v>46859</v>
      </c>
      <c r="G1353" s="120">
        <f t="shared" si="544"/>
        <v>24339</v>
      </c>
      <c r="H1353" s="245">
        <f t="shared" si="545"/>
        <v>1</v>
      </c>
      <c r="I1353" s="121">
        <f t="shared" si="546"/>
        <v>1.03</v>
      </c>
      <c r="J1353" s="121">
        <f t="shared" si="547"/>
        <v>1.03</v>
      </c>
      <c r="K1353" s="120">
        <f t="shared" si="548"/>
        <v>0</v>
      </c>
      <c r="L1353" s="120">
        <f t="shared" si="549"/>
        <v>0</v>
      </c>
      <c r="M1353" s="246">
        <f t="shared" si="550"/>
        <v>0</v>
      </c>
      <c r="N1353" s="121">
        <f t="shared" si="551"/>
        <v>1.03</v>
      </c>
      <c r="O1353" s="246">
        <f t="shared" si="552"/>
        <v>0.90500000000000003</v>
      </c>
      <c r="P1353" s="121">
        <f t="shared" si="553"/>
        <v>0</v>
      </c>
      <c r="Q1353" s="121">
        <f t="shared" si="554"/>
        <v>0</v>
      </c>
      <c r="R1353" s="121">
        <f t="shared" si="555"/>
        <v>1</v>
      </c>
      <c r="AE1353" s="160">
        <f t="shared" si="556"/>
        <v>1.0132065217391304</v>
      </c>
    </row>
    <row r="1354" spans="1:35" x14ac:dyDescent="0.3">
      <c r="A1354" s="187">
        <v>41</v>
      </c>
      <c r="B1354" s="242">
        <f t="shared" si="557"/>
        <v>46874</v>
      </c>
      <c r="C1354" s="243">
        <f t="shared" si="540"/>
        <v>46904</v>
      </c>
      <c r="D1354" s="120">
        <f t="shared" si="541"/>
        <v>31</v>
      </c>
      <c r="E1354" s="120">
        <f t="shared" si="542"/>
        <v>5</v>
      </c>
      <c r="F1354" s="275">
        <f t="shared" si="543"/>
        <v>46889.5</v>
      </c>
      <c r="G1354" s="120">
        <f t="shared" si="544"/>
        <v>24340</v>
      </c>
      <c r="H1354" s="245">
        <f t="shared" si="545"/>
        <v>1</v>
      </c>
      <c r="I1354" s="121">
        <f t="shared" si="546"/>
        <v>1.03</v>
      </c>
      <c r="J1354" s="121">
        <f t="shared" si="547"/>
        <v>1.03</v>
      </c>
      <c r="K1354" s="120">
        <f t="shared" si="548"/>
        <v>0</v>
      </c>
      <c r="L1354" s="120">
        <f t="shared" si="549"/>
        <v>0</v>
      </c>
      <c r="M1354" s="246">
        <f t="shared" si="550"/>
        <v>0</v>
      </c>
      <c r="N1354" s="121">
        <f t="shared" si="551"/>
        <v>1.03</v>
      </c>
      <c r="O1354" s="246">
        <f t="shared" si="552"/>
        <v>0.90500000000000003</v>
      </c>
      <c r="P1354" s="121">
        <f t="shared" si="553"/>
        <v>0</v>
      </c>
      <c r="Q1354" s="121">
        <f t="shared" si="554"/>
        <v>0</v>
      </c>
      <c r="R1354" s="121">
        <f t="shared" si="555"/>
        <v>1</v>
      </c>
      <c r="AE1354" s="160">
        <f t="shared" si="556"/>
        <v>1.0132065217391304</v>
      </c>
    </row>
    <row r="1355" spans="1:35" x14ac:dyDescent="0.3">
      <c r="A1355" s="187">
        <v>42</v>
      </c>
      <c r="B1355" s="242">
        <f t="shared" si="557"/>
        <v>46905</v>
      </c>
      <c r="C1355" s="243">
        <f t="shared" si="540"/>
        <v>46934</v>
      </c>
      <c r="D1355" s="120">
        <f t="shared" si="541"/>
        <v>30</v>
      </c>
      <c r="E1355" s="120">
        <f t="shared" si="542"/>
        <v>6</v>
      </c>
      <c r="F1355" s="275">
        <f t="shared" si="543"/>
        <v>46920</v>
      </c>
      <c r="G1355" s="120">
        <f t="shared" si="544"/>
        <v>24341</v>
      </c>
      <c r="H1355" s="245">
        <f t="shared" si="545"/>
        <v>1</v>
      </c>
      <c r="I1355" s="121">
        <f t="shared" si="546"/>
        <v>1.03</v>
      </c>
      <c r="J1355" s="121">
        <f t="shared" si="547"/>
        <v>1.03</v>
      </c>
      <c r="K1355" s="120">
        <f t="shared" si="548"/>
        <v>0</v>
      </c>
      <c r="L1355" s="120">
        <f t="shared" si="549"/>
        <v>0</v>
      </c>
      <c r="M1355" s="246">
        <f t="shared" si="550"/>
        <v>0</v>
      </c>
      <c r="N1355" s="121">
        <f t="shared" si="551"/>
        <v>1.03</v>
      </c>
      <c r="O1355" s="246">
        <f t="shared" si="552"/>
        <v>0.90500000000000003</v>
      </c>
      <c r="P1355" s="121">
        <f t="shared" si="553"/>
        <v>0</v>
      </c>
      <c r="Q1355" s="121">
        <f t="shared" si="554"/>
        <v>0</v>
      </c>
      <c r="R1355" s="121">
        <f t="shared" si="555"/>
        <v>1</v>
      </c>
      <c r="AE1355" s="160">
        <f t="shared" si="556"/>
        <v>1.0132065217391304</v>
      </c>
    </row>
    <row r="1356" spans="1:35" x14ac:dyDescent="0.3">
      <c r="A1356" s="187">
        <v>43</v>
      </c>
      <c r="B1356" s="242">
        <f t="shared" si="557"/>
        <v>46935</v>
      </c>
      <c r="C1356" s="243">
        <f t="shared" si="540"/>
        <v>46965</v>
      </c>
      <c r="D1356" s="120">
        <f t="shared" si="541"/>
        <v>31</v>
      </c>
      <c r="E1356" s="120">
        <f t="shared" si="542"/>
        <v>7</v>
      </c>
      <c r="F1356" s="275">
        <f t="shared" si="543"/>
        <v>46950.5</v>
      </c>
      <c r="G1356" s="120">
        <f t="shared" si="544"/>
        <v>24342</v>
      </c>
      <c r="H1356" s="245">
        <f t="shared" si="545"/>
        <v>1</v>
      </c>
      <c r="I1356" s="121">
        <f t="shared" si="546"/>
        <v>1.03</v>
      </c>
      <c r="J1356" s="121">
        <f t="shared" si="547"/>
        <v>1.03</v>
      </c>
      <c r="K1356" s="120">
        <f t="shared" si="548"/>
        <v>0</v>
      </c>
      <c r="L1356" s="120">
        <f t="shared" si="549"/>
        <v>0</v>
      </c>
      <c r="M1356" s="246">
        <f t="shared" si="550"/>
        <v>0</v>
      </c>
      <c r="N1356" s="121">
        <f t="shared" si="551"/>
        <v>1.03</v>
      </c>
      <c r="O1356" s="246">
        <f t="shared" si="552"/>
        <v>0.90500000000000003</v>
      </c>
      <c r="P1356" s="121">
        <f t="shared" si="553"/>
        <v>0</v>
      </c>
      <c r="Q1356" s="121">
        <f t="shared" si="554"/>
        <v>0</v>
      </c>
      <c r="R1356" s="121">
        <f t="shared" si="555"/>
        <v>0.91666666666666663</v>
      </c>
      <c r="AE1356" s="160">
        <f t="shared" si="556"/>
        <v>1.0132065217391304</v>
      </c>
    </row>
    <row r="1357" spans="1:35" x14ac:dyDescent="0.3">
      <c r="A1357" s="187">
        <v>44</v>
      </c>
      <c r="B1357" s="242">
        <f t="shared" si="557"/>
        <v>46966</v>
      </c>
      <c r="C1357" s="243">
        <f t="shared" si="540"/>
        <v>46996</v>
      </c>
      <c r="D1357" s="120">
        <f t="shared" si="541"/>
        <v>31</v>
      </c>
      <c r="E1357" s="120">
        <f t="shared" si="542"/>
        <v>8</v>
      </c>
      <c r="F1357" s="275">
        <f t="shared" si="543"/>
        <v>46981.5</v>
      </c>
      <c r="G1357" s="120">
        <f t="shared" si="544"/>
        <v>24343</v>
      </c>
      <c r="H1357" s="245">
        <f t="shared" si="545"/>
        <v>1</v>
      </c>
      <c r="I1357" s="121">
        <f t="shared" si="546"/>
        <v>1.03</v>
      </c>
      <c r="J1357" s="121">
        <f t="shared" si="547"/>
        <v>1.03</v>
      </c>
      <c r="K1357" s="120">
        <f t="shared" si="548"/>
        <v>0</v>
      </c>
      <c r="L1357" s="120">
        <f t="shared" si="549"/>
        <v>0</v>
      </c>
      <c r="M1357" s="246">
        <f t="shared" si="550"/>
        <v>0</v>
      </c>
      <c r="N1357" s="121">
        <f t="shared" si="551"/>
        <v>1.03</v>
      </c>
      <c r="O1357" s="246">
        <f t="shared" si="552"/>
        <v>0.90500000000000003</v>
      </c>
      <c r="P1357" s="121">
        <f t="shared" si="553"/>
        <v>0</v>
      </c>
      <c r="Q1357" s="121">
        <f t="shared" si="554"/>
        <v>0</v>
      </c>
      <c r="R1357" s="121">
        <f t="shared" si="555"/>
        <v>0.75</v>
      </c>
      <c r="AE1357" s="160">
        <f t="shared" si="556"/>
        <v>1.0132065217391304</v>
      </c>
    </row>
    <row r="1358" spans="1:35" x14ac:dyDescent="0.3">
      <c r="A1358" s="187">
        <v>45</v>
      </c>
      <c r="B1358" s="242">
        <f t="shared" si="557"/>
        <v>46997</v>
      </c>
      <c r="C1358" s="243">
        <f t="shared" si="540"/>
        <v>47026</v>
      </c>
      <c r="D1358" s="120">
        <f t="shared" si="541"/>
        <v>30</v>
      </c>
      <c r="E1358" s="120">
        <f t="shared" si="542"/>
        <v>9</v>
      </c>
      <c r="F1358" s="275">
        <f t="shared" si="543"/>
        <v>47012</v>
      </c>
      <c r="G1358" s="120">
        <f t="shared" si="544"/>
        <v>24344</v>
      </c>
      <c r="H1358" s="245">
        <f t="shared" si="545"/>
        <v>1</v>
      </c>
      <c r="I1358" s="121">
        <f t="shared" si="546"/>
        <v>1.03</v>
      </c>
      <c r="J1358" s="121">
        <f t="shared" si="547"/>
        <v>1.03</v>
      </c>
      <c r="K1358" s="120">
        <f t="shared" si="548"/>
        <v>0</v>
      </c>
      <c r="L1358" s="120">
        <f t="shared" si="549"/>
        <v>0</v>
      </c>
      <c r="M1358" s="246">
        <f t="shared" si="550"/>
        <v>0</v>
      </c>
      <c r="N1358" s="121">
        <f t="shared" si="551"/>
        <v>1.03</v>
      </c>
      <c r="O1358" s="246">
        <f t="shared" si="552"/>
        <v>0.90500000000000003</v>
      </c>
      <c r="P1358" s="121">
        <f t="shared" si="553"/>
        <v>0</v>
      </c>
      <c r="Q1358" s="121">
        <f t="shared" si="554"/>
        <v>0</v>
      </c>
      <c r="R1358" s="121">
        <f t="shared" si="555"/>
        <v>0.58333333333333337</v>
      </c>
      <c r="AE1358" s="160">
        <f t="shared" si="556"/>
        <v>1.0132065217391304</v>
      </c>
    </row>
    <row r="1359" spans="1:35" x14ac:dyDescent="0.3">
      <c r="A1359" s="187">
        <v>46</v>
      </c>
      <c r="B1359" s="242">
        <f t="shared" si="557"/>
        <v>47027</v>
      </c>
      <c r="C1359" s="243">
        <f t="shared" si="540"/>
        <v>47057</v>
      </c>
      <c r="D1359" s="120">
        <f t="shared" si="541"/>
        <v>31</v>
      </c>
      <c r="E1359" s="120">
        <f t="shared" si="542"/>
        <v>10</v>
      </c>
      <c r="F1359" s="275">
        <f t="shared" si="543"/>
        <v>47042.5</v>
      </c>
      <c r="G1359" s="120">
        <f t="shared" si="544"/>
        <v>24345</v>
      </c>
      <c r="H1359" s="245">
        <f t="shared" si="545"/>
        <v>1</v>
      </c>
      <c r="I1359" s="121">
        <f t="shared" si="546"/>
        <v>1.03</v>
      </c>
      <c r="J1359" s="121">
        <f t="shared" si="547"/>
        <v>1.03</v>
      </c>
      <c r="K1359" s="120">
        <f t="shared" si="548"/>
        <v>0</v>
      </c>
      <c r="L1359" s="120">
        <f t="shared" si="549"/>
        <v>0</v>
      </c>
      <c r="M1359" s="246">
        <f t="shared" si="550"/>
        <v>0</v>
      </c>
      <c r="N1359" s="121">
        <f t="shared" si="551"/>
        <v>1.03</v>
      </c>
      <c r="O1359" s="246">
        <f t="shared" si="552"/>
        <v>0.90500000000000003</v>
      </c>
      <c r="P1359" s="121">
        <f t="shared" si="553"/>
        <v>0</v>
      </c>
      <c r="Q1359" s="121">
        <f t="shared" si="554"/>
        <v>0</v>
      </c>
      <c r="R1359" s="121">
        <f t="shared" si="555"/>
        <v>0.41666666666666669</v>
      </c>
      <c r="AE1359" s="160">
        <f t="shared" si="556"/>
        <v>1.0132065217391304</v>
      </c>
    </row>
    <row r="1360" spans="1:35" x14ac:dyDescent="0.3">
      <c r="A1360" s="187">
        <v>47</v>
      </c>
      <c r="B1360" s="242">
        <f t="shared" si="557"/>
        <v>47058</v>
      </c>
      <c r="C1360" s="243">
        <f t="shared" si="540"/>
        <v>47087</v>
      </c>
      <c r="D1360" s="120">
        <f t="shared" si="541"/>
        <v>30</v>
      </c>
      <c r="E1360" s="120">
        <f t="shared" si="542"/>
        <v>11</v>
      </c>
      <c r="F1360" s="275">
        <f t="shared" si="543"/>
        <v>47073</v>
      </c>
      <c r="G1360" s="120">
        <f t="shared" si="544"/>
        <v>24346</v>
      </c>
      <c r="H1360" s="245">
        <f t="shared" si="545"/>
        <v>1</v>
      </c>
      <c r="I1360" s="121">
        <f t="shared" si="546"/>
        <v>1.03</v>
      </c>
      <c r="J1360" s="121">
        <f t="shared" si="547"/>
        <v>1.03</v>
      </c>
      <c r="K1360" s="120">
        <f t="shared" si="548"/>
        <v>0</v>
      </c>
      <c r="L1360" s="120">
        <f t="shared" si="549"/>
        <v>0</v>
      </c>
      <c r="M1360" s="246">
        <f t="shared" si="550"/>
        <v>0</v>
      </c>
      <c r="N1360" s="121">
        <f t="shared" si="551"/>
        <v>1.03</v>
      </c>
      <c r="O1360" s="246">
        <f t="shared" si="552"/>
        <v>0.90500000000000003</v>
      </c>
      <c r="P1360" s="121">
        <f t="shared" si="553"/>
        <v>0</v>
      </c>
      <c r="Q1360" s="121">
        <f t="shared" si="554"/>
        <v>0</v>
      </c>
      <c r="R1360" s="121">
        <f t="shared" si="555"/>
        <v>0.25</v>
      </c>
      <c r="AE1360" s="160">
        <f t="shared" si="556"/>
        <v>1.0132065217391304</v>
      </c>
    </row>
    <row r="1361" spans="1:31" x14ac:dyDescent="0.3">
      <c r="A1361" s="187">
        <v>48</v>
      </c>
      <c r="B1361" s="242">
        <f t="shared" si="557"/>
        <v>47088</v>
      </c>
      <c r="C1361" s="243">
        <f t="shared" si="540"/>
        <v>47118</v>
      </c>
      <c r="D1361" s="120">
        <f t="shared" si="541"/>
        <v>31</v>
      </c>
      <c r="E1361" s="120">
        <f t="shared" si="542"/>
        <v>12</v>
      </c>
      <c r="F1361" s="275">
        <f t="shared" si="543"/>
        <v>47103.5</v>
      </c>
      <c r="G1361" s="120">
        <f t="shared" si="544"/>
        <v>24347</v>
      </c>
      <c r="H1361" s="245">
        <f t="shared" si="545"/>
        <v>1</v>
      </c>
      <c r="I1361" s="121">
        <f t="shared" si="546"/>
        <v>1.03</v>
      </c>
      <c r="J1361" s="121">
        <f t="shared" si="547"/>
        <v>1.03</v>
      </c>
      <c r="K1361" s="120">
        <f t="shared" si="548"/>
        <v>0</v>
      </c>
      <c r="L1361" s="120">
        <f t="shared" si="549"/>
        <v>0</v>
      </c>
      <c r="M1361" s="246">
        <f t="shared" si="550"/>
        <v>0</v>
      </c>
      <c r="N1361" s="121">
        <f t="shared" si="551"/>
        <v>1.03</v>
      </c>
      <c r="O1361" s="246">
        <f t="shared" si="552"/>
        <v>0.90500000000000003</v>
      </c>
      <c r="P1361" s="121">
        <f t="shared" si="553"/>
        <v>0</v>
      </c>
      <c r="Q1361" s="121">
        <f t="shared" si="554"/>
        <v>0</v>
      </c>
      <c r="R1361" s="121">
        <f t="shared" si="555"/>
        <v>8.3333333333333329E-2</v>
      </c>
      <c r="AE1361" s="160">
        <f t="shared" si="556"/>
        <v>1.0132065217391304</v>
      </c>
    </row>
    <row r="1362" spans="1:31" x14ac:dyDescent="0.3">
      <c r="A1362" s="23" t="s">
        <v>1723</v>
      </c>
      <c r="B1362" s="279">
        <f>SUM($H$1338:$H$1349)</f>
        <v>12</v>
      </c>
      <c r="C1362" s="160">
        <f>SUMPRODUCT($H$1338:$H$1349,$W$1338:$W$1349/$N$1326:$N$1337,$Y$1338:$Y$1349)</f>
        <v>11.977265720446965</v>
      </c>
      <c r="D1362" s="160">
        <f>SUMPRODUCT($H$1338:$H$1349,$X$1338:$X$1349/$N$1326:$N$1337,$Y$1338:$Y$1349)</f>
        <v>10.951771812270795</v>
      </c>
      <c r="E1362" s="281" t="str">
        <f>IF(OR($D$1311=0,$P$1311=0,$D1362=0),"n/a",((1+$E$1311)*$B1362-$C1362)/$D1362)</f>
        <v>n/a</v>
      </c>
      <c r="F1362" s="281">
        <f>IF($V$1311&lt;&gt;"",$V$1311,$E1362)</f>
        <v>0.04</v>
      </c>
      <c r="G1362" s="281">
        <f>IF(OR(NOT(ISNUMBER($F1362)),nd_Ach=0),"n/a",$F1362/nd_Ach)</f>
        <v>0.04</v>
      </c>
      <c r="H1362" s="220">
        <f>IF(OR(NOT(ISNUMBER($F1362)),$F$1311=0,SUMPRODUCT($AD$1338:$AD$1349,$AB$1338:$AB$1349)=0),"n/a",((1+$E$1311)*$B1362-SUMPRODUCT($AD$1338:$AD$1349,$AC$1338:$AC$1349))/SUMPRODUCT($AD$1338:$AD$1349,$AB$1338:$AB$1349))</f>
        <v>0.8543876247585428</v>
      </c>
      <c r="I1362" s="183">
        <f>IF(NOT(ISNUMBER($F1362)),"n/a",SUMPRODUCT($H$1338:$H$1349,($W$1338:$W$1349+$X$1338:$X$1349*$F1362)/$N$1326:$N$1337)/$B1362-1)</f>
        <v>3.916666666666635E-2</v>
      </c>
      <c r="J1362" s="183">
        <f>IF(OR(NOT(ISNUMBER($I1362)),$F$1311=0),"n/a",(1+$E$1311)/(1+$I1362)-1)</f>
        <v>-3.7690457097032559E-2</v>
      </c>
      <c r="K1362" s="183">
        <f>IF(NOT(ISNUMBER($F1362)),"n/a",($C1362+$D1362*$F1362)/$B1362-1)</f>
        <v>3.4611382744816455E-2</v>
      </c>
      <c r="L1362" s="229">
        <f>IF(NOT(ISNUMBER($F1362)),"n/a",SUMPRODUCT($H$1338:$H$1349,$AF$1338:$AF$1349)/$B1362)</f>
        <v>0.91666666666666663</v>
      </c>
      <c r="M1362" s="23" t="str">
        <f>IF($D$1311=0,"",TRIM(IF(AND(ISNUMBER($H1362),OR($H1362&lt;0.5,$H1362&gt;1.5)),"MOD-BOUND ","")&amp;IF(AND(ISNUMBER($F1362),ABS($F1362)&gt;nr_SolvMaxRate),"RATE-BOUND ","")&amp;IF(AND(ISNUMBER($L1362),$L1362&lt;nr_SolvMinShare),"THIN-SHARE ","")&amp;IF($W$1311&gt;1,"MULTI-PLANNED ","")&amp;IF($F$1311=0,"RATE-ONLY","")))</f>
        <v/>
      </c>
      <c r="N1362" s="229" t="str">
        <f>IF(OR($D$1311=0,NOT(ISNUMBER($F1362))),"n/a",INDEX(calc_lrcur,$C$1311)*INDEX(calc_crl,$C$1311)/(SUMPRODUCT($H$1314:$H$1361,$Q$1314:$Q$1361,$AE$1314:$AE$1361)/SUMPRODUCT($H$1314:$H$1361,$Q$1314:$Q$1361))*INDEX(calc_aother,$C$1311))</f>
        <v>n/a</v>
      </c>
      <c r="O1362" s="229" t="str">
        <f>IF($D$1311=0,"n/a",INDEX(calc_cylr_p,$C$1311))</f>
        <v>n/a</v>
      </c>
      <c r="P1362" s="282">
        <f>IF(NOT(ISNUMBER($E1362)),0,ABS(($C1362+$D1362*$E1362)/$B1362-(1+$E$1311)))</f>
        <v>0</v>
      </c>
    </row>
    <row r="1367" spans="1:31" x14ac:dyDescent="0.3">
      <c r="A1367" s="23" t="str">
        <f>_lists!$B$23</f>
        <v>WI</v>
      </c>
      <c r="B1367" s="23" t="str">
        <f>IF(OR($A1367="",nd_BU="All"),"",nd_BU&amp;"|"&amp;$A1367)</f>
        <v>SBA|WI</v>
      </c>
      <c r="C1367" s="43">
        <f>IF($B1367="",0,IF(COUNTIF(lr_key,$B1367)=0,0,MATCH($B1367,lr_key,0)))</f>
        <v>63</v>
      </c>
      <c r="D1367" s="43">
        <f>IF($C1367=0,0,IF(ISBLANK(INDEX(lr_netp,$C1367)),0,1))</f>
        <v>0</v>
      </c>
      <c r="E1367" s="229">
        <f>IF($D1367=0,0,N(INDEX(lr_netp,$C1367)))</f>
        <v>0</v>
      </c>
      <c r="F1367" s="43">
        <f>IF($C1367=0,0,IF(AND(nr_ModAdjMaster="ON",INDEX(lr_modadj,$C1367)="ON"),1,0))</f>
        <v>1</v>
      </c>
      <c r="G1367" s="220">
        <f>IF($C1367=0,1,IF(N(INDEX(lr_mind,$C1367))=0,1,INDEX(lr_mind,$C1367)))</f>
        <v>0.92</v>
      </c>
      <c r="H1367" s="220">
        <f>IF($C1367=0,1,IF(N(INDEX(lr_m0,$C1367))=0,1,INDEX(lr_m0,$C1367)))</f>
        <v>0.91</v>
      </c>
      <c r="I1367" s="278">
        <f>IF($C1367=0,DATE(nr_PlanYear-1,10,1),IF(N(INDEX(lr_m0asof,$C1367))=0,DATE(nr_PlanYear-1,10,1),INDEX(lr_m0asof,$C1367)))</f>
        <v>46295</v>
      </c>
      <c r="J1367" s="220">
        <f>IF($C1367=0,1,IF(N(INDEX(lr_m1,$C1367))=0,1,INDEX(lr_m1,$C1367)))</f>
        <v>0.92</v>
      </c>
      <c r="K1367" s="220">
        <f>IF($C1367=0,0,N(INDEX(lr_mprior,$C1367)))</f>
        <v>0</v>
      </c>
      <c r="L1367" s="220">
        <f>IF($C1367=0,0,N(INDEX(lr_m2,$C1367)))</f>
        <v>0</v>
      </c>
      <c r="M1367" s="43">
        <f>IF(OR($A1367="",COUNTIF(se_state,$A1367)=0),0,MATCH($A1367,se_state,0))</f>
        <v>0</v>
      </c>
      <c r="N1367" s="279">
        <f>IF($M1367=0,0,INDEX(se_sum,$M1367))</f>
        <v>0</v>
      </c>
      <c r="O1367" s="278">
        <f>IF('Net Delivery'!$D$29="",$X1367,'Net Delivery'!$D$29)</f>
        <v>46478</v>
      </c>
      <c r="P1367" s="43">
        <f>IF(AND($O1367&gt;=DATE(nr_PlanYear,1,1),$O1367&lt;=DATE(nr_PlanYear,12,31)),1,0)</f>
        <v>1</v>
      </c>
      <c r="Q1367" s="43">
        <f>YEAR($O1367)*12+MONTH($O1367)-1</f>
        <v>24327</v>
      </c>
      <c r="R1367" s="43">
        <f>DAY(EOMONTH($O1367,0))</f>
        <v>30</v>
      </c>
      <c r="S1367" s="43">
        <f>EOMONTH($O1367,0)-$O1367+1</f>
        <v>30</v>
      </c>
      <c r="T1367" s="43">
        <f>SUMIFS(ndl_days,rl_key,$B1367,ndl_effmonth,DATE(YEAR($O1367),MONTH($O1367),1),ndl_first,1)</f>
        <v>0</v>
      </c>
      <c r="U1367" s="220">
        <f>IF($P1367=1,MIN(1,MAX($S1367,$T1367)/$R1367),1)</f>
        <v>1</v>
      </c>
      <c r="V1367" s="280" t="str">
        <f>IF(ISBLANK('Net Delivery'!$E$29),$Y1367,'Net Delivery'!$E$29)</f>
        <v/>
      </c>
      <c r="W1367" s="43">
        <f>IF($B1367="",0,COUNTIFS(rl_key,$B1367,rl_status,"planned",rl_eff,"&gt;="&amp;DATE(nr_PlanYear,1,1),rl_eff,"&lt;="&amp;DATE(nr_PlanYear,12,31)))</f>
        <v>0</v>
      </c>
      <c r="X1367" s="278">
        <f>IF($W1367=0,nd_DefaultDate,SUMIFS(rl_eff,rl_key,$B1367,rl_firstplanned,1))</f>
        <v>46478</v>
      </c>
      <c r="Y1367" s="280" t="str">
        <f>IF($W1367=0,"",SUMIFS(rl_reff,rl_key,$B1367,rl_firstplanned,1))</f>
        <v/>
      </c>
      <c r="Z1367" s="280" t="str">
        <f>IF($W1367=0,"",SUMIFS(rl_filed,rl_key,$B1367,rl_firstplanned,1))</f>
        <v/>
      </c>
    </row>
    <row r="1368" spans="1:31" x14ac:dyDescent="0.3">
      <c r="A1368" s="6">
        <f>EDATE($I$1367,-12)+1</f>
        <v>45931</v>
      </c>
      <c r="B1368" s="6">
        <f>$I$1367+1</f>
        <v>46296</v>
      </c>
      <c r="C1368" s="6">
        <f>DATE(nr_PlanYear,12,31)+1</f>
        <v>46753</v>
      </c>
      <c r="D1368" s="6">
        <f>DATE(nr_PlanYear+1,12,31)+1</f>
        <v>47119</v>
      </c>
      <c r="E1368" s="6">
        <f>IF(N($K$1367)=0,$F$1368-($G$1368-$F$1368)/($C$1368-$B$1368)*($B$1368-$A$1368),$K$1367)</f>
        <v>0.9020131291028447</v>
      </c>
      <c r="F1368" s="6">
        <f>$H$1367</f>
        <v>0.91</v>
      </c>
      <c r="G1368" s="6">
        <f>$J$1367</f>
        <v>0.92</v>
      </c>
      <c r="H1368" s="6">
        <f>IF(N($L$1367)=0,$J$1367,$L$1367)</f>
        <v>0.92</v>
      </c>
      <c r="I1368" s="6">
        <f>($F$1368-$E$1368)/($B$1368-$A$1368)</f>
        <v>2.1881838074398162E-5</v>
      </c>
      <c r="J1368" s="6">
        <f>($G$1368-$F$1368)/($C$1368-$B$1368)</f>
        <v>2.188183807439827E-5</v>
      </c>
      <c r="K1368" s="6">
        <f>($H$1368-$G$1368)/($D$1368-$C$1368)</f>
        <v>0</v>
      </c>
    </row>
    <row r="1369" spans="1:31" ht="36" x14ac:dyDescent="0.3">
      <c r="A1369" s="58" t="s">
        <v>390</v>
      </c>
      <c r="B1369" s="58" t="s">
        <v>449</v>
      </c>
      <c r="C1369" s="58" t="s">
        <v>685</v>
      </c>
      <c r="D1369" s="58" t="s">
        <v>686</v>
      </c>
      <c r="E1369" s="58" t="s">
        <v>687</v>
      </c>
      <c r="F1369" s="58" t="s">
        <v>688</v>
      </c>
      <c r="G1369" s="58" t="s">
        <v>689</v>
      </c>
      <c r="H1369" s="58" t="s">
        <v>452</v>
      </c>
      <c r="I1369" s="58" t="s">
        <v>690</v>
      </c>
      <c r="J1369" s="58" t="s">
        <v>691</v>
      </c>
      <c r="K1369" s="58" t="s">
        <v>692</v>
      </c>
      <c r="L1369" s="58" t="s">
        <v>693</v>
      </c>
      <c r="M1369" s="58" t="s">
        <v>694</v>
      </c>
      <c r="N1369" s="58" t="s">
        <v>695</v>
      </c>
      <c r="O1369" s="58" t="s">
        <v>696</v>
      </c>
      <c r="P1369" s="58" t="s">
        <v>697</v>
      </c>
      <c r="Q1369" s="58" t="s">
        <v>698</v>
      </c>
      <c r="R1369" s="58" t="s">
        <v>699</v>
      </c>
      <c r="S1369" s="58" t="s">
        <v>700</v>
      </c>
      <c r="T1369" s="58" t="s">
        <v>701</v>
      </c>
      <c r="U1369" s="58" t="s">
        <v>702</v>
      </c>
    </row>
    <row r="1370" spans="1:31" x14ac:dyDescent="0.3">
      <c r="A1370" s="187">
        <v>1</v>
      </c>
      <c r="B1370" s="242">
        <f>DATE(nr_PlanYear-2,1,1)</f>
        <v>45658</v>
      </c>
      <c r="C1370" s="243">
        <f t="shared" ref="C1370:C1417" si="568">EOMONTH($B1370,0)</f>
        <v>45688</v>
      </c>
      <c r="D1370" s="120">
        <f t="shared" ref="D1370:D1417" si="569">$C1370-$B1370+1</f>
        <v>31</v>
      </c>
      <c r="E1370" s="120">
        <f t="shared" ref="E1370:E1417" si="570">MONTH($B1370)</f>
        <v>1</v>
      </c>
      <c r="F1370" s="275">
        <f t="shared" ref="F1370:F1417" si="571">($B1370+$C1370+1)/2</f>
        <v>45673.5</v>
      </c>
      <c r="G1370" s="120">
        <f t="shared" ref="G1370:G1417" si="572">YEAR($B1370)*12+MONTH($B1370)-1</f>
        <v>24300</v>
      </c>
      <c r="H1370" s="245">
        <f t="shared" ref="H1370:H1417" si="573">IF(OR(nr_SeasonOn="OFF",$M$1367=0,$N$1367=0),1,12*INDEX(se_block,$M$1367,$E1370)/$N$1367)</f>
        <v>1</v>
      </c>
      <c r="I1370" s="121">
        <f t="shared" ref="I1370:I1417" si="574">EXP(SUMPRODUCT((ndl_eff&lt;$B1370)*(rl_key=$B$1367)*ndl_ln))</f>
        <v>1</v>
      </c>
      <c r="J1370" s="121">
        <f t="shared" ref="J1370:J1417" si="575">EXP(SUMPRODUCT((ndl_eff&lt;=$C1370)*(rl_key=$B$1367)*ndl_ln))</f>
        <v>1</v>
      </c>
      <c r="K1370" s="120">
        <f t="shared" ref="K1370:K1417" si="576">COUNTIFS(rl_key,$B$1367,ndl_eff,"&gt;="&amp;$B1370,ndl_eff,"&lt;="&amp;$C1370)</f>
        <v>0</v>
      </c>
      <c r="L1370" s="120">
        <f t="shared" ref="L1370:L1417" si="577">SUMIFS(ndl_days,rl_key,$B$1367,ndl_effmonth,$B1370,ndl_first,1)</f>
        <v>0</v>
      </c>
      <c r="M1370" s="246">
        <f t="shared" ref="M1370:M1417" si="578">IF($K1370=0,0,MIN(1,$L1370/$D1370))</f>
        <v>0</v>
      </c>
      <c r="N1370" s="121">
        <f t="shared" ref="N1370:N1417" si="579">IF($K1370=0,$J1370,(1-$M1370)*$I1370+$M1370*$J1370)</f>
        <v>1</v>
      </c>
      <c r="O1370" s="246">
        <f t="shared" ref="O1370:O1417" si="580">IF($F1370&lt;$B$1368,$E$1368+$I$1368*($F1370-$A$1368),IF($F1370&lt;$C$1368,$F$1368+$J$1368*($F1370-$B$1368),$G$1368+$K$1368*($F1370-$C$1368)))</f>
        <v>0.89637855579868719</v>
      </c>
      <c r="P1370" s="121">
        <f t="shared" ref="P1370:P1417" si="581">MIN(1,MAX(0,(nr_MEndPm1-$G1370+0.5)/nr_TermMonths))-MIN(1,MAX(0,(nr_MStartPm1-1-$G1370+0.5)/nr_TermMonths))</f>
        <v>0</v>
      </c>
      <c r="Q1370" s="121">
        <f t="shared" ref="Q1370:Q1417" si="582">MIN(1,MAX(0,(nr_MEndP-$G1370+0.5)/nr_TermMonths))-MIN(1,MAX(0,(nr_MStartP-1-$G1370+0.5)/nr_TermMonths))</f>
        <v>0</v>
      </c>
      <c r="R1370" s="121">
        <f t="shared" ref="R1370:R1417" si="583">MIN(1,MAX(0,(nr_MEndP1-$G1370+0.5)/nr_TermMonths))-MIN(1,MAX(0,(nr_MStartP1-1-$G1370+0.5)/nr_TermMonths))</f>
        <v>0</v>
      </c>
      <c r="AE1370" s="160">
        <f t="shared" ref="AE1370:AE1417" si="584">IF(OR($G1370&lt;nr_MStartP,$G1370&gt;=nr_MStartP1),IF($F$1367=1,$N1370*$O1370/$G$1367,$N1370),($W1370+$X1370*IF(ISNUMBER($F$1418),$F$1418,0))*IF($F$1367=1,($AC1370+$AB1370*IF(ISNUMBER($H$1418),$H$1418,$J$1367))/$G$1367,1))</f>
        <v>0.97432451717248603</v>
      </c>
    </row>
    <row r="1371" spans="1:31" x14ac:dyDescent="0.3">
      <c r="A1371" s="187">
        <v>2</v>
      </c>
      <c r="B1371" s="242">
        <f t="shared" ref="B1371:B1417" si="585">EDATE($B1370,1)</f>
        <v>45689</v>
      </c>
      <c r="C1371" s="243">
        <f t="shared" si="568"/>
        <v>45716</v>
      </c>
      <c r="D1371" s="120">
        <f t="shared" si="569"/>
        <v>28</v>
      </c>
      <c r="E1371" s="120">
        <f t="shared" si="570"/>
        <v>2</v>
      </c>
      <c r="F1371" s="275">
        <f t="shared" si="571"/>
        <v>45703</v>
      </c>
      <c r="G1371" s="120">
        <f t="shared" si="572"/>
        <v>24301</v>
      </c>
      <c r="H1371" s="245">
        <f t="shared" si="573"/>
        <v>1</v>
      </c>
      <c r="I1371" s="121">
        <f t="shared" si="574"/>
        <v>1</v>
      </c>
      <c r="J1371" s="121">
        <f t="shared" si="575"/>
        <v>1</v>
      </c>
      <c r="K1371" s="120">
        <f t="shared" si="576"/>
        <v>0</v>
      </c>
      <c r="L1371" s="120">
        <f t="shared" si="577"/>
        <v>0</v>
      </c>
      <c r="M1371" s="246">
        <f t="shared" si="578"/>
        <v>0</v>
      </c>
      <c r="N1371" s="121">
        <f t="shared" si="579"/>
        <v>1</v>
      </c>
      <c r="O1371" s="246">
        <f t="shared" si="580"/>
        <v>0.89702407002188189</v>
      </c>
      <c r="P1371" s="121">
        <f t="shared" si="581"/>
        <v>0</v>
      </c>
      <c r="Q1371" s="121">
        <f t="shared" si="582"/>
        <v>0</v>
      </c>
      <c r="R1371" s="121">
        <f t="shared" si="583"/>
        <v>0</v>
      </c>
      <c r="AE1371" s="160">
        <f t="shared" si="584"/>
        <v>0.97502616306726286</v>
      </c>
    </row>
    <row r="1372" spans="1:31" x14ac:dyDescent="0.3">
      <c r="A1372" s="187">
        <v>3</v>
      </c>
      <c r="B1372" s="242">
        <f t="shared" si="585"/>
        <v>45717</v>
      </c>
      <c r="C1372" s="243">
        <f t="shared" si="568"/>
        <v>45747</v>
      </c>
      <c r="D1372" s="120">
        <f t="shared" si="569"/>
        <v>31</v>
      </c>
      <c r="E1372" s="120">
        <f t="shared" si="570"/>
        <v>3</v>
      </c>
      <c r="F1372" s="275">
        <f t="shared" si="571"/>
        <v>45732.5</v>
      </c>
      <c r="G1372" s="120">
        <f t="shared" si="572"/>
        <v>24302</v>
      </c>
      <c r="H1372" s="245">
        <f t="shared" si="573"/>
        <v>1</v>
      </c>
      <c r="I1372" s="121">
        <f t="shared" si="574"/>
        <v>1</v>
      </c>
      <c r="J1372" s="121">
        <f t="shared" si="575"/>
        <v>1</v>
      </c>
      <c r="K1372" s="120">
        <f t="shared" si="576"/>
        <v>0</v>
      </c>
      <c r="L1372" s="120">
        <f t="shared" si="577"/>
        <v>0</v>
      </c>
      <c r="M1372" s="246">
        <f t="shared" si="578"/>
        <v>0</v>
      </c>
      <c r="N1372" s="121">
        <f t="shared" si="579"/>
        <v>1</v>
      </c>
      <c r="O1372" s="246">
        <f t="shared" si="580"/>
        <v>0.8976695842450767</v>
      </c>
      <c r="P1372" s="121">
        <f t="shared" si="581"/>
        <v>0</v>
      </c>
      <c r="Q1372" s="121">
        <f t="shared" si="582"/>
        <v>0</v>
      </c>
      <c r="R1372" s="121">
        <f t="shared" si="583"/>
        <v>0</v>
      </c>
      <c r="AE1372" s="160">
        <f t="shared" si="584"/>
        <v>0.97572780896203981</v>
      </c>
    </row>
    <row r="1373" spans="1:31" x14ac:dyDescent="0.3">
      <c r="A1373" s="187">
        <v>4</v>
      </c>
      <c r="B1373" s="242">
        <f t="shared" si="585"/>
        <v>45748</v>
      </c>
      <c r="C1373" s="243">
        <f t="shared" si="568"/>
        <v>45777</v>
      </c>
      <c r="D1373" s="120">
        <f t="shared" si="569"/>
        <v>30</v>
      </c>
      <c r="E1373" s="120">
        <f t="shared" si="570"/>
        <v>4</v>
      </c>
      <c r="F1373" s="275">
        <f t="shared" si="571"/>
        <v>45763</v>
      </c>
      <c r="G1373" s="120">
        <f t="shared" si="572"/>
        <v>24303</v>
      </c>
      <c r="H1373" s="245">
        <f t="shared" si="573"/>
        <v>1</v>
      </c>
      <c r="I1373" s="121">
        <f t="shared" si="574"/>
        <v>1</v>
      </c>
      <c r="J1373" s="121">
        <f t="shared" si="575"/>
        <v>1</v>
      </c>
      <c r="K1373" s="120">
        <f t="shared" si="576"/>
        <v>0</v>
      </c>
      <c r="L1373" s="120">
        <f t="shared" si="577"/>
        <v>0</v>
      </c>
      <c r="M1373" s="246">
        <f t="shared" si="578"/>
        <v>0</v>
      </c>
      <c r="N1373" s="121">
        <f t="shared" si="579"/>
        <v>1</v>
      </c>
      <c r="O1373" s="246">
        <f t="shared" si="580"/>
        <v>0.89833698030634579</v>
      </c>
      <c r="P1373" s="121">
        <f t="shared" si="581"/>
        <v>0</v>
      </c>
      <c r="Q1373" s="121">
        <f t="shared" si="582"/>
        <v>0</v>
      </c>
      <c r="R1373" s="121">
        <f t="shared" si="583"/>
        <v>0</v>
      </c>
      <c r="AE1373" s="160">
        <f t="shared" si="584"/>
        <v>0.97645323946341933</v>
      </c>
    </row>
    <row r="1374" spans="1:31" x14ac:dyDescent="0.3">
      <c r="A1374" s="187">
        <v>5</v>
      </c>
      <c r="B1374" s="242">
        <f t="shared" si="585"/>
        <v>45778</v>
      </c>
      <c r="C1374" s="243">
        <f t="shared" si="568"/>
        <v>45808</v>
      </c>
      <c r="D1374" s="120">
        <f t="shared" si="569"/>
        <v>31</v>
      </c>
      <c r="E1374" s="120">
        <f t="shared" si="570"/>
        <v>5</v>
      </c>
      <c r="F1374" s="275">
        <f t="shared" si="571"/>
        <v>45793.5</v>
      </c>
      <c r="G1374" s="120">
        <f t="shared" si="572"/>
        <v>24304</v>
      </c>
      <c r="H1374" s="245">
        <f t="shared" si="573"/>
        <v>1</v>
      </c>
      <c r="I1374" s="121">
        <f t="shared" si="574"/>
        <v>1</v>
      </c>
      <c r="J1374" s="121">
        <f t="shared" si="575"/>
        <v>1</v>
      </c>
      <c r="K1374" s="120">
        <f t="shared" si="576"/>
        <v>0</v>
      </c>
      <c r="L1374" s="120">
        <f t="shared" si="577"/>
        <v>0</v>
      </c>
      <c r="M1374" s="246">
        <f t="shared" si="578"/>
        <v>0</v>
      </c>
      <c r="N1374" s="121">
        <f t="shared" si="579"/>
        <v>1</v>
      </c>
      <c r="O1374" s="246">
        <f t="shared" si="580"/>
        <v>0.89900437636761499</v>
      </c>
      <c r="P1374" s="121">
        <f t="shared" si="581"/>
        <v>0</v>
      </c>
      <c r="Q1374" s="121">
        <f t="shared" si="582"/>
        <v>0</v>
      </c>
      <c r="R1374" s="121">
        <f t="shared" si="583"/>
        <v>0</v>
      </c>
      <c r="AE1374" s="160">
        <f t="shared" si="584"/>
        <v>0.97717866996479885</v>
      </c>
    </row>
    <row r="1375" spans="1:31" x14ac:dyDescent="0.3">
      <c r="A1375" s="187">
        <v>6</v>
      </c>
      <c r="B1375" s="242">
        <f t="shared" si="585"/>
        <v>45809</v>
      </c>
      <c r="C1375" s="243">
        <f t="shared" si="568"/>
        <v>45838</v>
      </c>
      <c r="D1375" s="120">
        <f t="shared" si="569"/>
        <v>30</v>
      </c>
      <c r="E1375" s="120">
        <f t="shared" si="570"/>
        <v>6</v>
      </c>
      <c r="F1375" s="275">
        <f t="shared" si="571"/>
        <v>45824</v>
      </c>
      <c r="G1375" s="120">
        <f t="shared" si="572"/>
        <v>24305</v>
      </c>
      <c r="H1375" s="245">
        <f t="shared" si="573"/>
        <v>1</v>
      </c>
      <c r="I1375" s="121">
        <f t="shared" si="574"/>
        <v>1</v>
      </c>
      <c r="J1375" s="121">
        <f t="shared" si="575"/>
        <v>1</v>
      </c>
      <c r="K1375" s="120">
        <f t="shared" si="576"/>
        <v>0</v>
      </c>
      <c r="L1375" s="120">
        <f t="shared" si="577"/>
        <v>0</v>
      </c>
      <c r="M1375" s="246">
        <f t="shared" si="578"/>
        <v>0</v>
      </c>
      <c r="N1375" s="121">
        <f t="shared" si="579"/>
        <v>1</v>
      </c>
      <c r="O1375" s="246">
        <f t="shared" si="580"/>
        <v>0.89967177242888408</v>
      </c>
      <c r="P1375" s="121">
        <f t="shared" si="581"/>
        <v>0</v>
      </c>
      <c r="Q1375" s="121">
        <f t="shared" si="582"/>
        <v>0</v>
      </c>
      <c r="R1375" s="121">
        <f t="shared" si="583"/>
        <v>0</v>
      </c>
      <c r="AE1375" s="160">
        <f t="shared" si="584"/>
        <v>0.97790410046617826</v>
      </c>
    </row>
    <row r="1376" spans="1:31" x14ac:dyDescent="0.3">
      <c r="A1376" s="187">
        <v>7</v>
      </c>
      <c r="B1376" s="242">
        <f t="shared" si="585"/>
        <v>45839</v>
      </c>
      <c r="C1376" s="243">
        <f t="shared" si="568"/>
        <v>45869</v>
      </c>
      <c r="D1376" s="120">
        <f t="shared" si="569"/>
        <v>31</v>
      </c>
      <c r="E1376" s="120">
        <f t="shared" si="570"/>
        <v>7</v>
      </c>
      <c r="F1376" s="275">
        <f t="shared" si="571"/>
        <v>45854.5</v>
      </c>
      <c r="G1376" s="120">
        <f t="shared" si="572"/>
        <v>24306</v>
      </c>
      <c r="H1376" s="245">
        <f t="shared" si="573"/>
        <v>1</v>
      </c>
      <c r="I1376" s="121">
        <f t="shared" si="574"/>
        <v>1</v>
      </c>
      <c r="J1376" s="121">
        <f t="shared" si="575"/>
        <v>1</v>
      </c>
      <c r="K1376" s="120">
        <f t="shared" si="576"/>
        <v>0</v>
      </c>
      <c r="L1376" s="120">
        <f t="shared" si="577"/>
        <v>0</v>
      </c>
      <c r="M1376" s="246">
        <f t="shared" si="578"/>
        <v>0</v>
      </c>
      <c r="N1376" s="121">
        <f t="shared" si="579"/>
        <v>1</v>
      </c>
      <c r="O1376" s="246">
        <f t="shared" si="580"/>
        <v>0.90033916849015327</v>
      </c>
      <c r="P1376" s="121">
        <f t="shared" si="581"/>
        <v>8.333333333333337E-2</v>
      </c>
      <c r="Q1376" s="121">
        <f t="shared" si="582"/>
        <v>0</v>
      </c>
      <c r="R1376" s="121">
        <f t="shared" si="583"/>
        <v>0</v>
      </c>
      <c r="AE1376" s="160">
        <f t="shared" si="584"/>
        <v>0.97862953096755789</v>
      </c>
    </row>
    <row r="1377" spans="1:31" x14ac:dyDescent="0.3">
      <c r="A1377" s="187">
        <v>8</v>
      </c>
      <c r="B1377" s="242">
        <f t="shared" si="585"/>
        <v>45870</v>
      </c>
      <c r="C1377" s="243">
        <f t="shared" si="568"/>
        <v>45900</v>
      </c>
      <c r="D1377" s="120">
        <f t="shared" si="569"/>
        <v>31</v>
      </c>
      <c r="E1377" s="120">
        <f t="shared" si="570"/>
        <v>8</v>
      </c>
      <c r="F1377" s="275">
        <f t="shared" si="571"/>
        <v>45885.5</v>
      </c>
      <c r="G1377" s="120">
        <f t="shared" si="572"/>
        <v>24307</v>
      </c>
      <c r="H1377" s="245">
        <f t="shared" si="573"/>
        <v>1</v>
      </c>
      <c r="I1377" s="121">
        <f t="shared" si="574"/>
        <v>1</v>
      </c>
      <c r="J1377" s="121">
        <f t="shared" si="575"/>
        <v>1</v>
      </c>
      <c r="K1377" s="120">
        <f t="shared" si="576"/>
        <v>0</v>
      </c>
      <c r="L1377" s="120">
        <f t="shared" si="577"/>
        <v>0</v>
      </c>
      <c r="M1377" s="246">
        <f t="shared" si="578"/>
        <v>0</v>
      </c>
      <c r="N1377" s="121">
        <f t="shared" si="579"/>
        <v>1</v>
      </c>
      <c r="O1377" s="246">
        <f t="shared" si="580"/>
        <v>0.90101750547045956</v>
      </c>
      <c r="P1377" s="121">
        <f t="shared" si="581"/>
        <v>0.25</v>
      </c>
      <c r="Q1377" s="121">
        <f t="shared" si="582"/>
        <v>0</v>
      </c>
      <c r="R1377" s="121">
        <f t="shared" si="583"/>
        <v>0</v>
      </c>
      <c r="AE1377" s="160">
        <f t="shared" si="584"/>
        <v>0.97936685377223864</v>
      </c>
    </row>
    <row r="1378" spans="1:31" x14ac:dyDescent="0.3">
      <c r="A1378" s="187">
        <v>9</v>
      </c>
      <c r="B1378" s="242">
        <f t="shared" si="585"/>
        <v>45901</v>
      </c>
      <c r="C1378" s="243">
        <f t="shared" si="568"/>
        <v>45930</v>
      </c>
      <c r="D1378" s="120">
        <f t="shared" si="569"/>
        <v>30</v>
      </c>
      <c r="E1378" s="120">
        <f t="shared" si="570"/>
        <v>9</v>
      </c>
      <c r="F1378" s="275">
        <f t="shared" si="571"/>
        <v>45916</v>
      </c>
      <c r="G1378" s="120">
        <f t="shared" si="572"/>
        <v>24308</v>
      </c>
      <c r="H1378" s="245">
        <f t="shared" si="573"/>
        <v>1</v>
      </c>
      <c r="I1378" s="121">
        <f t="shared" si="574"/>
        <v>1</v>
      </c>
      <c r="J1378" s="121">
        <f t="shared" si="575"/>
        <v>1</v>
      </c>
      <c r="K1378" s="120">
        <f t="shared" si="576"/>
        <v>0</v>
      </c>
      <c r="L1378" s="120">
        <f t="shared" si="577"/>
        <v>0</v>
      </c>
      <c r="M1378" s="246">
        <f t="shared" si="578"/>
        <v>0</v>
      </c>
      <c r="N1378" s="121">
        <f t="shared" si="579"/>
        <v>1</v>
      </c>
      <c r="O1378" s="246">
        <f t="shared" si="580"/>
        <v>0.90168490153172876</v>
      </c>
      <c r="P1378" s="121">
        <f t="shared" si="581"/>
        <v>0.41666666666666663</v>
      </c>
      <c r="Q1378" s="121">
        <f t="shared" si="582"/>
        <v>0</v>
      </c>
      <c r="R1378" s="121">
        <f t="shared" si="583"/>
        <v>0</v>
      </c>
      <c r="AE1378" s="160">
        <f t="shared" si="584"/>
        <v>0.98009228427361816</v>
      </c>
    </row>
    <row r="1379" spans="1:31" x14ac:dyDescent="0.3">
      <c r="A1379" s="187">
        <v>10</v>
      </c>
      <c r="B1379" s="242">
        <f t="shared" si="585"/>
        <v>45931</v>
      </c>
      <c r="C1379" s="243">
        <f t="shared" si="568"/>
        <v>45961</v>
      </c>
      <c r="D1379" s="120">
        <f t="shared" si="569"/>
        <v>31</v>
      </c>
      <c r="E1379" s="120">
        <f t="shared" si="570"/>
        <v>10</v>
      </c>
      <c r="F1379" s="275">
        <f t="shared" si="571"/>
        <v>45946.5</v>
      </c>
      <c r="G1379" s="120">
        <f t="shared" si="572"/>
        <v>24309</v>
      </c>
      <c r="H1379" s="245">
        <f t="shared" si="573"/>
        <v>1</v>
      </c>
      <c r="I1379" s="121">
        <f t="shared" si="574"/>
        <v>1</v>
      </c>
      <c r="J1379" s="121">
        <f t="shared" si="575"/>
        <v>1</v>
      </c>
      <c r="K1379" s="120">
        <f t="shared" si="576"/>
        <v>0</v>
      </c>
      <c r="L1379" s="120">
        <f t="shared" si="577"/>
        <v>0</v>
      </c>
      <c r="M1379" s="246">
        <f t="shared" si="578"/>
        <v>0</v>
      </c>
      <c r="N1379" s="121">
        <f t="shared" si="579"/>
        <v>1</v>
      </c>
      <c r="O1379" s="246">
        <f t="shared" si="580"/>
        <v>0.90235229759299784</v>
      </c>
      <c r="P1379" s="121">
        <f t="shared" si="581"/>
        <v>0.58333333333333326</v>
      </c>
      <c r="Q1379" s="121">
        <f t="shared" si="582"/>
        <v>0</v>
      </c>
      <c r="R1379" s="121">
        <f t="shared" si="583"/>
        <v>0</v>
      </c>
      <c r="AE1379" s="160">
        <f t="shared" si="584"/>
        <v>0.98081771477499757</v>
      </c>
    </row>
    <row r="1380" spans="1:31" x14ac:dyDescent="0.3">
      <c r="A1380" s="187">
        <v>11</v>
      </c>
      <c r="B1380" s="242">
        <f t="shared" si="585"/>
        <v>45962</v>
      </c>
      <c r="C1380" s="243">
        <f t="shared" si="568"/>
        <v>45991</v>
      </c>
      <c r="D1380" s="120">
        <f t="shared" si="569"/>
        <v>30</v>
      </c>
      <c r="E1380" s="120">
        <f t="shared" si="570"/>
        <v>11</v>
      </c>
      <c r="F1380" s="275">
        <f t="shared" si="571"/>
        <v>45977</v>
      </c>
      <c r="G1380" s="120">
        <f t="shared" si="572"/>
        <v>24310</v>
      </c>
      <c r="H1380" s="245">
        <f t="shared" si="573"/>
        <v>1</v>
      </c>
      <c r="I1380" s="121">
        <f t="shared" si="574"/>
        <v>1</v>
      </c>
      <c r="J1380" s="121">
        <f t="shared" si="575"/>
        <v>1</v>
      </c>
      <c r="K1380" s="120">
        <f t="shared" si="576"/>
        <v>0</v>
      </c>
      <c r="L1380" s="120">
        <f t="shared" si="577"/>
        <v>0</v>
      </c>
      <c r="M1380" s="246">
        <f t="shared" si="578"/>
        <v>0</v>
      </c>
      <c r="N1380" s="121">
        <f t="shared" si="579"/>
        <v>1</v>
      </c>
      <c r="O1380" s="246">
        <f t="shared" si="580"/>
        <v>0.90301969365426704</v>
      </c>
      <c r="P1380" s="121">
        <f t="shared" si="581"/>
        <v>0.75</v>
      </c>
      <c r="Q1380" s="121">
        <f t="shared" si="582"/>
        <v>0</v>
      </c>
      <c r="R1380" s="121">
        <f t="shared" si="583"/>
        <v>0</v>
      </c>
      <c r="AE1380" s="160">
        <f t="shared" si="584"/>
        <v>0.9815431452763772</v>
      </c>
    </row>
    <row r="1381" spans="1:31" x14ac:dyDescent="0.3">
      <c r="A1381" s="187">
        <v>12</v>
      </c>
      <c r="B1381" s="242">
        <f t="shared" si="585"/>
        <v>45992</v>
      </c>
      <c r="C1381" s="243">
        <f t="shared" si="568"/>
        <v>46022</v>
      </c>
      <c r="D1381" s="120">
        <f t="shared" si="569"/>
        <v>31</v>
      </c>
      <c r="E1381" s="120">
        <f t="shared" si="570"/>
        <v>12</v>
      </c>
      <c r="F1381" s="275">
        <f t="shared" si="571"/>
        <v>46007.5</v>
      </c>
      <c r="G1381" s="120">
        <f t="shared" si="572"/>
        <v>24311</v>
      </c>
      <c r="H1381" s="245">
        <f t="shared" si="573"/>
        <v>1</v>
      </c>
      <c r="I1381" s="121">
        <f t="shared" si="574"/>
        <v>1</v>
      </c>
      <c r="J1381" s="121">
        <f t="shared" si="575"/>
        <v>1</v>
      </c>
      <c r="K1381" s="120">
        <f t="shared" si="576"/>
        <v>0</v>
      </c>
      <c r="L1381" s="120">
        <f t="shared" si="577"/>
        <v>0</v>
      </c>
      <c r="M1381" s="246">
        <f t="shared" si="578"/>
        <v>0</v>
      </c>
      <c r="N1381" s="121">
        <f t="shared" si="579"/>
        <v>1</v>
      </c>
      <c r="O1381" s="246">
        <f t="shared" si="580"/>
        <v>0.90368708971553613</v>
      </c>
      <c r="P1381" s="121">
        <f t="shared" si="581"/>
        <v>0.91666666666666663</v>
      </c>
      <c r="Q1381" s="121">
        <f t="shared" si="582"/>
        <v>0</v>
      </c>
      <c r="R1381" s="121">
        <f t="shared" si="583"/>
        <v>0</v>
      </c>
      <c r="AE1381" s="160">
        <f t="shared" si="584"/>
        <v>0.98226857577775661</v>
      </c>
    </row>
    <row r="1382" spans="1:31" x14ac:dyDescent="0.3">
      <c r="A1382" s="187">
        <v>13</v>
      </c>
      <c r="B1382" s="242">
        <f t="shared" si="585"/>
        <v>46023</v>
      </c>
      <c r="C1382" s="243">
        <f t="shared" si="568"/>
        <v>46053</v>
      </c>
      <c r="D1382" s="120">
        <f t="shared" si="569"/>
        <v>31</v>
      </c>
      <c r="E1382" s="120">
        <f t="shared" si="570"/>
        <v>1</v>
      </c>
      <c r="F1382" s="275">
        <f t="shared" si="571"/>
        <v>46038.5</v>
      </c>
      <c r="G1382" s="120">
        <f t="shared" si="572"/>
        <v>24312</v>
      </c>
      <c r="H1382" s="245">
        <f t="shared" si="573"/>
        <v>1</v>
      </c>
      <c r="I1382" s="121">
        <f t="shared" si="574"/>
        <v>1</v>
      </c>
      <c r="J1382" s="121">
        <f t="shared" si="575"/>
        <v>1</v>
      </c>
      <c r="K1382" s="120">
        <f t="shared" si="576"/>
        <v>0</v>
      </c>
      <c r="L1382" s="120">
        <f t="shared" si="577"/>
        <v>0</v>
      </c>
      <c r="M1382" s="246">
        <f t="shared" si="578"/>
        <v>0</v>
      </c>
      <c r="N1382" s="121">
        <f t="shared" si="579"/>
        <v>1</v>
      </c>
      <c r="O1382" s="246">
        <f t="shared" si="580"/>
        <v>0.90436542669584252</v>
      </c>
      <c r="P1382" s="121">
        <f t="shared" si="581"/>
        <v>1</v>
      </c>
      <c r="Q1382" s="121">
        <f t="shared" si="582"/>
        <v>0</v>
      </c>
      <c r="R1382" s="121">
        <f t="shared" si="583"/>
        <v>0</v>
      </c>
      <c r="AE1382" s="160">
        <f t="shared" si="584"/>
        <v>0.98300589858243748</v>
      </c>
    </row>
    <row r="1383" spans="1:31" x14ac:dyDescent="0.3">
      <c r="A1383" s="187">
        <v>14</v>
      </c>
      <c r="B1383" s="242">
        <f t="shared" si="585"/>
        <v>46054</v>
      </c>
      <c r="C1383" s="243">
        <f t="shared" si="568"/>
        <v>46081</v>
      </c>
      <c r="D1383" s="120">
        <f t="shared" si="569"/>
        <v>28</v>
      </c>
      <c r="E1383" s="120">
        <f t="shared" si="570"/>
        <v>2</v>
      </c>
      <c r="F1383" s="275">
        <f t="shared" si="571"/>
        <v>46068</v>
      </c>
      <c r="G1383" s="120">
        <f t="shared" si="572"/>
        <v>24313</v>
      </c>
      <c r="H1383" s="245">
        <f t="shared" si="573"/>
        <v>1</v>
      </c>
      <c r="I1383" s="121">
        <f t="shared" si="574"/>
        <v>1</v>
      </c>
      <c r="J1383" s="121">
        <f t="shared" si="575"/>
        <v>1</v>
      </c>
      <c r="K1383" s="120">
        <f t="shared" si="576"/>
        <v>0</v>
      </c>
      <c r="L1383" s="120">
        <f t="shared" si="577"/>
        <v>0</v>
      </c>
      <c r="M1383" s="246">
        <f t="shared" si="578"/>
        <v>0</v>
      </c>
      <c r="N1383" s="121">
        <f t="shared" si="579"/>
        <v>1</v>
      </c>
      <c r="O1383" s="246">
        <f t="shared" si="580"/>
        <v>0.90501094091903722</v>
      </c>
      <c r="P1383" s="121">
        <f t="shared" si="581"/>
        <v>1</v>
      </c>
      <c r="Q1383" s="121">
        <f t="shared" si="582"/>
        <v>0</v>
      </c>
      <c r="R1383" s="121">
        <f t="shared" si="583"/>
        <v>0</v>
      </c>
      <c r="AE1383" s="160">
        <f t="shared" si="584"/>
        <v>0.98370754447721431</v>
      </c>
    </row>
    <row r="1384" spans="1:31" x14ac:dyDescent="0.3">
      <c r="A1384" s="187">
        <v>15</v>
      </c>
      <c r="B1384" s="242">
        <f t="shared" si="585"/>
        <v>46082</v>
      </c>
      <c r="C1384" s="243">
        <f t="shared" si="568"/>
        <v>46112</v>
      </c>
      <c r="D1384" s="120">
        <f t="shared" si="569"/>
        <v>31</v>
      </c>
      <c r="E1384" s="120">
        <f t="shared" si="570"/>
        <v>3</v>
      </c>
      <c r="F1384" s="275">
        <f t="shared" si="571"/>
        <v>46097.5</v>
      </c>
      <c r="G1384" s="120">
        <f t="shared" si="572"/>
        <v>24314</v>
      </c>
      <c r="H1384" s="245">
        <f t="shared" si="573"/>
        <v>1</v>
      </c>
      <c r="I1384" s="121">
        <f t="shared" si="574"/>
        <v>1</v>
      </c>
      <c r="J1384" s="121">
        <f t="shared" si="575"/>
        <v>1</v>
      </c>
      <c r="K1384" s="120">
        <f t="shared" si="576"/>
        <v>0</v>
      </c>
      <c r="L1384" s="120">
        <f t="shared" si="577"/>
        <v>0</v>
      </c>
      <c r="M1384" s="246">
        <f t="shared" si="578"/>
        <v>0</v>
      </c>
      <c r="N1384" s="121">
        <f t="shared" si="579"/>
        <v>1</v>
      </c>
      <c r="O1384" s="246">
        <f t="shared" si="580"/>
        <v>0.90565645514223203</v>
      </c>
      <c r="P1384" s="121">
        <f t="shared" si="581"/>
        <v>1</v>
      </c>
      <c r="Q1384" s="121">
        <f t="shared" si="582"/>
        <v>0</v>
      </c>
      <c r="R1384" s="121">
        <f t="shared" si="583"/>
        <v>0</v>
      </c>
      <c r="AE1384" s="160">
        <f t="shared" si="584"/>
        <v>0.98440919037199126</v>
      </c>
    </row>
    <row r="1385" spans="1:31" x14ac:dyDescent="0.3">
      <c r="A1385" s="187">
        <v>16</v>
      </c>
      <c r="B1385" s="242">
        <f t="shared" si="585"/>
        <v>46113</v>
      </c>
      <c r="C1385" s="243">
        <f t="shared" si="568"/>
        <v>46142</v>
      </c>
      <c r="D1385" s="120">
        <f t="shared" si="569"/>
        <v>30</v>
      </c>
      <c r="E1385" s="120">
        <f t="shared" si="570"/>
        <v>4</v>
      </c>
      <c r="F1385" s="275">
        <f t="shared" si="571"/>
        <v>46128</v>
      </c>
      <c r="G1385" s="120">
        <f t="shared" si="572"/>
        <v>24315</v>
      </c>
      <c r="H1385" s="245">
        <f t="shared" si="573"/>
        <v>1</v>
      </c>
      <c r="I1385" s="121">
        <f t="shared" si="574"/>
        <v>1</v>
      </c>
      <c r="J1385" s="121">
        <f t="shared" si="575"/>
        <v>1</v>
      </c>
      <c r="K1385" s="120">
        <f t="shared" si="576"/>
        <v>0</v>
      </c>
      <c r="L1385" s="120">
        <f t="shared" si="577"/>
        <v>0</v>
      </c>
      <c r="M1385" s="246">
        <f t="shared" si="578"/>
        <v>0</v>
      </c>
      <c r="N1385" s="121">
        <f t="shared" si="579"/>
        <v>1</v>
      </c>
      <c r="O1385" s="246">
        <f t="shared" si="580"/>
        <v>0.90632385120350112</v>
      </c>
      <c r="P1385" s="121">
        <f t="shared" si="581"/>
        <v>1</v>
      </c>
      <c r="Q1385" s="121">
        <f t="shared" si="582"/>
        <v>0</v>
      </c>
      <c r="R1385" s="121">
        <f t="shared" si="583"/>
        <v>0</v>
      </c>
      <c r="AE1385" s="160">
        <f t="shared" si="584"/>
        <v>0.98513462087337078</v>
      </c>
    </row>
    <row r="1386" spans="1:31" x14ac:dyDescent="0.3">
      <c r="A1386" s="187">
        <v>17</v>
      </c>
      <c r="B1386" s="242">
        <f t="shared" si="585"/>
        <v>46143</v>
      </c>
      <c r="C1386" s="243">
        <f t="shared" si="568"/>
        <v>46173</v>
      </c>
      <c r="D1386" s="120">
        <f t="shared" si="569"/>
        <v>31</v>
      </c>
      <c r="E1386" s="120">
        <f t="shared" si="570"/>
        <v>5</v>
      </c>
      <c r="F1386" s="275">
        <f t="shared" si="571"/>
        <v>46158.5</v>
      </c>
      <c r="G1386" s="120">
        <f t="shared" si="572"/>
        <v>24316</v>
      </c>
      <c r="H1386" s="245">
        <f t="shared" si="573"/>
        <v>1</v>
      </c>
      <c r="I1386" s="121">
        <f t="shared" si="574"/>
        <v>1</v>
      </c>
      <c r="J1386" s="121">
        <f t="shared" si="575"/>
        <v>1</v>
      </c>
      <c r="K1386" s="120">
        <f t="shared" si="576"/>
        <v>0</v>
      </c>
      <c r="L1386" s="120">
        <f t="shared" si="577"/>
        <v>0</v>
      </c>
      <c r="M1386" s="246">
        <f t="shared" si="578"/>
        <v>0</v>
      </c>
      <c r="N1386" s="121">
        <f t="shared" si="579"/>
        <v>1</v>
      </c>
      <c r="O1386" s="246">
        <f t="shared" si="580"/>
        <v>0.90699124726477032</v>
      </c>
      <c r="P1386" s="121">
        <f t="shared" si="581"/>
        <v>1</v>
      </c>
      <c r="Q1386" s="121">
        <f t="shared" si="582"/>
        <v>0</v>
      </c>
      <c r="R1386" s="121">
        <f t="shared" si="583"/>
        <v>0</v>
      </c>
      <c r="AE1386" s="160">
        <f t="shared" si="584"/>
        <v>0.9858600513747503</v>
      </c>
    </row>
    <row r="1387" spans="1:31" x14ac:dyDescent="0.3">
      <c r="A1387" s="187">
        <v>18</v>
      </c>
      <c r="B1387" s="242">
        <f t="shared" si="585"/>
        <v>46174</v>
      </c>
      <c r="C1387" s="243">
        <f t="shared" si="568"/>
        <v>46203</v>
      </c>
      <c r="D1387" s="120">
        <f t="shared" si="569"/>
        <v>30</v>
      </c>
      <c r="E1387" s="120">
        <f t="shared" si="570"/>
        <v>6</v>
      </c>
      <c r="F1387" s="275">
        <f t="shared" si="571"/>
        <v>46189</v>
      </c>
      <c r="G1387" s="120">
        <f t="shared" si="572"/>
        <v>24317</v>
      </c>
      <c r="H1387" s="245">
        <f t="shared" si="573"/>
        <v>1</v>
      </c>
      <c r="I1387" s="121">
        <f t="shared" si="574"/>
        <v>1</v>
      </c>
      <c r="J1387" s="121">
        <f t="shared" si="575"/>
        <v>1</v>
      </c>
      <c r="K1387" s="120">
        <f t="shared" si="576"/>
        <v>0</v>
      </c>
      <c r="L1387" s="120">
        <f t="shared" si="577"/>
        <v>0</v>
      </c>
      <c r="M1387" s="246">
        <f t="shared" si="578"/>
        <v>0</v>
      </c>
      <c r="N1387" s="121">
        <f t="shared" si="579"/>
        <v>1</v>
      </c>
      <c r="O1387" s="246">
        <f t="shared" si="580"/>
        <v>0.9076586433260394</v>
      </c>
      <c r="P1387" s="121">
        <f t="shared" si="581"/>
        <v>1</v>
      </c>
      <c r="Q1387" s="121">
        <f t="shared" si="582"/>
        <v>0</v>
      </c>
      <c r="R1387" s="121">
        <f t="shared" si="583"/>
        <v>0</v>
      </c>
      <c r="AE1387" s="160">
        <f t="shared" si="584"/>
        <v>0.98658548187612971</v>
      </c>
    </row>
    <row r="1388" spans="1:31" x14ac:dyDescent="0.3">
      <c r="A1388" s="187">
        <v>19</v>
      </c>
      <c r="B1388" s="242">
        <f t="shared" si="585"/>
        <v>46204</v>
      </c>
      <c r="C1388" s="243">
        <f t="shared" si="568"/>
        <v>46234</v>
      </c>
      <c r="D1388" s="120">
        <f t="shared" si="569"/>
        <v>31</v>
      </c>
      <c r="E1388" s="120">
        <f t="shared" si="570"/>
        <v>7</v>
      </c>
      <c r="F1388" s="275">
        <f t="shared" si="571"/>
        <v>46219.5</v>
      </c>
      <c r="G1388" s="120">
        <f t="shared" si="572"/>
        <v>24318</v>
      </c>
      <c r="H1388" s="245">
        <f t="shared" si="573"/>
        <v>1</v>
      </c>
      <c r="I1388" s="121">
        <f t="shared" si="574"/>
        <v>1</v>
      </c>
      <c r="J1388" s="121">
        <f t="shared" si="575"/>
        <v>1</v>
      </c>
      <c r="K1388" s="120">
        <f t="shared" si="576"/>
        <v>0</v>
      </c>
      <c r="L1388" s="120">
        <f t="shared" si="577"/>
        <v>0</v>
      </c>
      <c r="M1388" s="246">
        <f t="shared" si="578"/>
        <v>0</v>
      </c>
      <c r="N1388" s="121">
        <f t="shared" si="579"/>
        <v>1</v>
      </c>
      <c r="O1388" s="246">
        <f t="shared" si="580"/>
        <v>0.9083260393873086</v>
      </c>
      <c r="P1388" s="121">
        <f t="shared" si="581"/>
        <v>0.91666666666666663</v>
      </c>
      <c r="Q1388" s="121">
        <f t="shared" si="582"/>
        <v>8.333333333333337E-2</v>
      </c>
      <c r="R1388" s="121">
        <f t="shared" si="583"/>
        <v>0</v>
      </c>
      <c r="AE1388" s="160">
        <f t="shared" si="584"/>
        <v>0.98731091237750934</v>
      </c>
    </row>
    <row r="1389" spans="1:31" x14ac:dyDescent="0.3">
      <c r="A1389" s="187">
        <v>20</v>
      </c>
      <c r="B1389" s="242">
        <f t="shared" si="585"/>
        <v>46235</v>
      </c>
      <c r="C1389" s="243">
        <f t="shared" si="568"/>
        <v>46265</v>
      </c>
      <c r="D1389" s="120">
        <f t="shared" si="569"/>
        <v>31</v>
      </c>
      <c r="E1389" s="120">
        <f t="shared" si="570"/>
        <v>8</v>
      </c>
      <c r="F1389" s="275">
        <f t="shared" si="571"/>
        <v>46250.5</v>
      </c>
      <c r="G1389" s="120">
        <f t="shared" si="572"/>
        <v>24319</v>
      </c>
      <c r="H1389" s="245">
        <f t="shared" si="573"/>
        <v>1</v>
      </c>
      <c r="I1389" s="121">
        <f t="shared" si="574"/>
        <v>1</v>
      </c>
      <c r="J1389" s="121">
        <f t="shared" si="575"/>
        <v>1</v>
      </c>
      <c r="K1389" s="120">
        <f t="shared" si="576"/>
        <v>0</v>
      </c>
      <c r="L1389" s="120">
        <f t="shared" si="577"/>
        <v>0</v>
      </c>
      <c r="M1389" s="246">
        <f t="shared" si="578"/>
        <v>0</v>
      </c>
      <c r="N1389" s="121">
        <f t="shared" si="579"/>
        <v>1</v>
      </c>
      <c r="O1389" s="246">
        <f t="shared" si="580"/>
        <v>0.90900437636761489</v>
      </c>
      <c r="P1389" s="121">
        <f t="shared" si="581"/>
        <v>0.75</v>
      </c>
      <c r="Q1389" s="121">
        <f t="shared" si="582"/>
        <v>0.25</v>
      </c>
      <c r="R1389" s="121">
        <f t="shared" si="583"/>
        <v>0</v>
      </c>
      <c r="AE1389" s="160">
        <f t="shared" si="584"/>
        <v>0.98804823518219009</v>
      </c>
    </row>
    <row r="1390" spans="1:31" x14ac:dyDescent="0.3">
      <c r="A1390" s="187">
        <v>21</v>
      </c>
      <c r="B1390" s="242">
        <f t="shared" si="585"/>
        <v>46266</v>
      </c>
      <c r="C1390" s="243">
        <f t="shared" si="568"/>
        <v>46295</v>
      </c>
      <c r="D1390" s="120">
        <f t="shared" si="569"/>
        <v>30</v>
      </c>
      <c r="E1390" s="120">
        <f t="shared" si="570"/>
        <v>9</v>
      </c>
      <c r="F1390" s="275">
        <f t="shared" si="571"/>
        <v>46281</v>
      </c>
      <c r="G1390" s="120">
        <f t="shared" si="572"/>
        <v>24320</v>
      </c>
      <c r="H1390" s="245">
        <f t="shared" si="573"/>
        <v>1</v>
      </c>
      <c r="I1390" s="121">
        <f t="shared" si="574"/>
        <v>1</v>
      </c>
      <c r="J1390" s="121">
        <f t="shared" si="575"/>
        <v>1</v>
      </c>
      <c r="K1390" s="120">
        <f t="shared" si="576"/>
        <v>0</v>
      </c>
      <c r="L1390" s="120">
        <f t="shared" si="577"/>
        <v>0</v>
      </c>
      <c r="M1390" s="246">
        <f t="shared" si="578"/>
        <v>0</v>
      </c>
      <c r="N1390" s="121">
        <f t="shared" si="579"/>
        <v>1</v>
      </c>
      <c r="O1390" s="246">
        <f t="shared" si="580"/>
        <v>0.90967177242888408</v>
      </c>
      <c r="P1390" s="121">
        <f t="shared" si="581"/>
        <v>0.58333333333333337</v>
      </c>
      <c r="Q1390" s="121">
        <f t="shared" si="582"/>
        <v>0.41666666666666663</v>
      </c>
      <c r="R1390" s="121">
        <f t="shared" si="583"/>
        <v>0</v>
      </c>
      <c r="AE1390" s="160">
        <f t="shared" si="584"/>
        <v>0.98877366568356961</v>
      </c>
    </row>
    <row r="1391" spans="1:31" x14ac:dyDescent="0.3">
      <c r="A1391" s="187">
        <v>22</v>
      </c>
      <c r="B1391" s="242">
        <f t="shared" si="585"/>
        <v>46296</v>
      </c>
      <c r="C1391" s="243">
        <f t="shared" si="568"/>
        <v>46326</v>
      </c>
      <c r="D1391" s="120">
        <f t="shared" si="569"/>
        <v>31</v>
      </c>
      <c r="E1391" s="120">
        <f t="shared" si="570"/>
        <v>10</v>
      </c>
      <c r="F1391" s="275">
        <f t="shared" si="571"/>
        <v>46311.5</v>
      </c>
      <c r="G1391" s="120">
        <f t="shared" si="572"/>
        <v>24321</v>
      </c>
      <c r="H1391" s="245">
        <f t="shared" si="573"/>
        <v>1</v>
      </c>
      <c r="I1391" s="121">
        <f t="shared" si="574"/>
        <v>1</v>
      </c>
      <c r="J1391" s="121">
        <f t="shared" si="575"/>
        <v>1</v>
      </c>
      <c r="K1391" s="120">
        <f t="shared" si="576"/>
        <v>0</v>
      </c>
      <c r="L1391" s="120">
        <f t="shared" si="577"/>
        <v>0</v>
      </c>
      <c r="M1391" s="246">
        <f t="shared" si="578"/>
        <v>0</v>
      </c>
      <c r="N1391" s="121">
        <f t="shared" si="579"/>
        <v>1</v>
      </c>
      <c r="O1391" s="246">
        <f t="shared" si="580"/>
        <v>0.91033916849015317</v>
      </c>
      <c r="P1391" s="121">
        <f t="shared" si="581"/>
        <v>0.41666666666666669</v>
      </c>
      <c r="Q1391" s="121">
        <f t="shared" si="582"/>
        <v>0.58333333333333326</v>
      </c>
      <c r="R1391" s="121">
        <f t="shared" si="583"/>
        <v>0</v>
      </c>
      <c r="AE1391" s="160">
        <f t="shared" si="584"/>
        <v>0.98949909618494902</v>
      </c>
    </row>
    <row r="1392" spans="1:31" x14ac:dyDescent="0.3">
      <c r="A1392" s="187">
        <v>23</v>
      </c>
      <c r="B1392" s="242">
        <f t="shared" si="585"/>
        <v>46327</v>
      </c>
      <c r="C1392" s="243">
        <f t="shared" si="568"/>
        <v>46356</v>
      </c>
      <c r="D1392" s="120">
        <f t="shared" si="569"/>
        <v>30</v>
      </c>
      <c r="E1392" s="120">
        <f t="shared" si="570"/>
        <v>11</v>
      </c>
      <c r="F1392" s="275">
        <f t="shared" si="571"/>
        <v>46342</v>
      </c>
      <c r="G1392" s="120">
        <f t="shared" si="572"/>
        <v>24322</v>
      </c>
      <c r="H1392" s="245">
        <f t="shared" si="573"/>
        <v>1</v>
      </c>
      <c r="I1392" s="121">
        <f t="shared" si="574"/>
        <v>1</v>
      </c>
      <c r="J1392" s="121">
        <f t="shared" si="575"/>
        <v>1</v>
      </c>
      <c r="K1392" s="120">
        <f t="shared" si="576"/>
        <v>0</v>
      </c>
      <c r="L1392" s="120">
        <f t="shared" si="577"/>
        <v>0</v>
      </c>
      <c r="M1392" s="246">
        <f t="shared" si="578"/>
        <v>0</v>
      </c>
      <c r="N1392" s="121">
        <f t="shared" si="579"/>
        <v>1</v>
      </c>
      <c r="O1392" s="246">
        <f t="shared" si="580"/>
        <v>0.91100656455142237</v>
      </c>
      <c r="P1392" s="121">
        <f t="shared" si="581"/>
        <v>0.25</v>
      </c>
      <c r="Q1392" s="121">
        <f t="shared" si="582"/>
        <v>0.75</v>
      </c>
      <c r="R1392" s="121">
        <f t="shared" si="583"/>
        <v>0</v>
      </c>
      <c r="AE1392" s="160">
        <f t="shared" si="584"/>
        <v>0.99022452668632865</v>
      </c>
    </row>
    <row r="1393" spans="1:35" x14ac:dyDescent="0.3">
      <c r="A1393" s="187">
        <v>24</v>
      </c>
      <c r="B1393" s="242">
        <f t="shared" si="585"/>
        <v>46357</v>
      </c>
      <c r="C1393" s="243">
        <f t="shared" si="568"/>
        <v>46387</v>
      </c>
      <c r="D1393" s="120">
        <f t="shared" si="569"/>
        <v>31</v>
      </c>
      <c r="E1393" s="120">
        <f t="shared" si="570"/>
        <v>12</v>
      </c>
      <c r="F1393" s="275">
        <f t="shared" si="571"/>
        <v>46372.5</v>
      </c>
      <c r="G1393" s="120">
        <f t="shared" si="572"/>
        <v>24323</v>
      </c>
      <c r="H1393" s="245">
        <f t="shared" si="573"/>
        <v>1</v>
      </c>
      <c r="I1393" s="121">
        <f t="shared" si="574"/>
        <v>1</v>
      </c>
      <c r="J1393" s="121">
        <f t="shared" si="575"/>
        <v>1</v>
      </c>
      <c r="K1393" s="120">
        <f t="shared" si="576"/>
        <v>0</v>
      </c>
      <c r="L1393" s="120">
        <f t="shared" si="577"/>
        <v>0</v>
      </c>
      <c r="M1393" s="246">
        <f t="shared" si="578"/>
        <v>0</v>
      </c>
      <c r="N1393" s="121">
        <f t="shared" si="579"/>
        <v>1</v>
      </c>
      <c r="O1393" s="246">
        <f t="shared" si="580"/>
        <v>0.91167396061269146</v>
      </c>
      <c r="P1393" s="121">
        <f t="shared" si="581"/>
        <v>8.3333333333333329E-2</v>
      </c>
      <c r="Q1393" s="121">
        <f t="shared" si="582"/>
        <v>0.91666666666666663</v>
      </c>
      <c r="R1393" s="121">
        <f t="shared" si="583"/>
        <v>0</v>
      </c>
      <c r="AE1393" s="160">
        <f t="shared" si="584"/>
        <v>0.99094995718770806</v>
      </c>
    </row>
    <row r="1394" spans="1:35" x14ac:dyDescent="0.3">
      <c r="A1394" s="187">
        <v>25</v>
      </c>
      <c r="B1394" s="242">
        <f t="shared" si="585"/>
        <v>46388</v>
      </c>
      <c r="C1394" s="243">
        <f t="shared" si="568"/>
        <v>46418</v>
      </c>
      <c r="D1394" s="120">
        <f t="shared" si="569"/>
        <v>31</v>
      </c>
      <c r="E1394" s="120">
        <f t="shared" si="570"/>
        <v>1</v>
      </c>
      <c r="F1394" s="275">
        <f t="shared" si="571"/>
        <v>46403.5</v>
      </c>
      <c r="G1394" s="120">
        <f t="shared" si="572"/>
        <v>24324</v>
      </c>
      <c r="H1394" s="245">
        <f t="shared" si="573"/>
        <v>1</v>
      </c>
      <c r="I1394" s="121">
        <f t="shared" si="574"/>
        <v>1</v>
      </c>
      <c r="J1394" s="121">
        <f t="shared" si="575"/>
        <v>1</v>
      </c>
      <c r="K1394" s="120">
        <f t="shared" si="576"/>
        <v>0</v>
      </c>
      <c r="L1394" s="120">
        <f t="shared" si="577"/>
        <v>0</v>
      </c>
      <c r="M1394" s="246">
        <f t="shared" si="578"/>
        <v>0</v>
      </c>
      <c r="N1394" s="121">
        <f t="shared" si="579"/>
        <v>1</v>
      </c>
      <c r="O1394" s="246">
        <f t="shared" si="580"/>
        <v>0.91235229759299785</v>
      </c>
      <c r="P1394" s="121">
        <f t="shared" si="581"/>
        <v>0</v>
      </c>
      <c r="Q1394" s="121">
        <f t="shared" si="582"/>
        <v>1</v>
      </c>
      <c r="R1394" s="121">
        <f t="shared" si="583"/>
        <v>0</v>
      </c>
      <c r="W1394" s="160">
        <f t="shared" ref="W1394:W1405" si="586">IF($G1394&lt;&gt;$Q$1367,$N1394,(1-$U$1367)*$I1394+$U$1367*$J1394)</f>
        <v>1</v>
      </c>
      <c r="X1394" s="160">
        <f t="shared" ref="X1394:X1405" si="587">IF($G1394&lt;$Q$1367,0,IF($G1394&gt;$Q$1367,$N1394,$U$1367*$J1394))</f>
        <v>0</v>
      </c>
      <c r="Y1394" s="160">
        <f t="shared" ref="Y1394:Y1405" si="588">IF($F$1367=1,$O1394/$O1382,1)</f>
        <v>1.0088314642083742</v>
      </c>
      <c r="AB1394" s="160">
        <f t="shared" ref="AB1394:AB1405" si="589">IF(AND(N($K$1367)&lt;&gt;0,$F1394&lt;=$B$1368),0,($F1394-$B$1368)/($C$1368-$B$1368))</f>
        <v>0.23522975929978118</v>
      </c>
      <c r="AC1394" s="220">
        <f t="shared" ref="AC1394:AC1405" si="590">IF(AND(N($K$1367)&lt;&gt;0,$F1394&lt;=$B$1368),$O1394,$F$1368*(1-$AB1394))</f>
        <v>0.69594091903719912</v>
      </c>
      <c r="AD1394" s="160">
        <f t="shared" ref="AD1394:AD1405" si="591">$H1394*($W1394+$X1394*IF(ISNUMBER($F$1418),$F$1418,0))/($N1382*$O1382)</f>
        <v>1.1057477104731486</v>
      </c>
      <c r="AE1394" s="160">
        <f t="shared" si="584"/>
        <v>0.99168727999238893</v>
      </c>
      <c r="AF1394" s="220">
        <f t="shared" ref="AF1394:AF1405" si="592">IF($G1394&lt;$Q$1367,0,IF($G1394&gt;$Q$1367,1,$U$1367))</f>
        <v>0</v>
      </c>
      <c r="AG1394" s="183" t="str">
        <f t="shared" ref="AG1394:AG1405" si="593">IF(OR($D$1367=0,$P$1367=0),"",($W1394+$X1394*IF(ISNUMBER($F$1418),$F$1418,0))/$N1382-1)</f>
        <v/>
      </c>
      <c r="AH1394" s="183" t="str">
        <f t="shared" ref="AH1394:AH1405" si="594">IF(OR($AG1394="",$F$1367=0),"",(1+$E$1367)/(1+$AG1394)-1)</f>
        <v/>
      </c>
      <c r="AI1394" s="220" t="str">
        <f t="shared" ref="AI1394:AI1405" si="595">IF($AH1394="","",$O1382*(1+$E$1367)/(1+$AG1394))</f>
        <v/>
      </c>
    </row>
    <row r="1395" spans="1:35" x14ac:dyDescent="0.3">
      <c r="A1395" s="187">
        <v>26</v>
      </c>
      <c r="B1395" s="242">
        <f t="shared" si="585"/>
        <v>46419</v>
      </c>
      <c r="C1395" s="243">
        <f t="shared" si="568"/>
        <v>46446</v>
      </c>
      <c r="D1395" s="120">
        <f t="shared" si="569"/>
        <v>28</v>
      </c>
      <c r="E1395" s="120">
        <f t="shared" si="570"/>
        <v>2</v>
      </c>
      <c r="F1395" s="275">
        <f t="shared" si="571"/>
        <v>46433</v>
      </c>
      <c r="G1395" s="120">
        <f t="shared" si="572"/>
        <v>24325</v>
      </c>
      <c r="H1395" s="245">
        <f t="shared" si="573"/>
        <v>1</v>
      </c>
      <c r="I1395" s="121">
        <f t="shared" si="574"/>
        <v>1</v>
      </c>
      <c r="J1395" s="121">
        <f t="shared" si="575"/>
        <v>1</v>
      </c>
      <c r="K1395" s="120">
        <f t="shared" si="576"/>
        <v>0</v>
      </c>
      <c r="L1395" s="120">
        <f t="shared" si="577"/>
        <v>0</v>
      </c>
      <c r="M1395" s="246">
        <f t="shared" si="578"/>
        <v>0</v>
      </c>
      <c r="N1395" s="121">
        <f t="shared" si="579"/>
        <v>1</v>
      </c>
      <c r="O1395" s="246">
        <f t="shared" si="580"/>
        <v>0.91299781181619255</v>
      </c>
      <c r="P1395" s="121">
        <f t="shared" si="581"/>
        <v>0</v>
      </c>
      <c r="Q1395" s="121">
        <f t="shared" si="582"/>
        <v>1</v>
      </c>
      <c r="R1395" s="121">
        <f t="shared" si="583"/>
        <v>0</v>
      </c>
      <c r="W1395" s="160">
        <f t="shared" si="586"/>
        <v>1</v>
      </c>
      <c r="X1395" s="160">
        <f t="shared" si="587"/>
        <v>0</v>
      </c>
      <c r="Y1395" s="160">
        <f t="shared" si="588"/>
        <v>1.0088251650184965</v>
      </c>
      <c r="AB1395" s="160">
        <f t="shared" si="589"/>
        <v>0.29978118161925604</v>
      </c>
      <c r="AC1395" s="220">
        <f t="shared" si="590"/>
        <v>0.637199124726477</v>
      </c>
      <c r="AD1395" s="160">
        <f t="shared" si="591"/>
        <v>1.1049590173843662</v>
      </c>
      <c r="AE1395" s="160">
        <f t="shared" si="584"/>
        <v>0.99238892588716576</v>
      </c>
      <c r="AF1395" s="220">
        <f t="shared" si="592"/>
        <v>0</v>
      </c>
      <c r="AG1395" s="183" t="str">
        <f t="shared" si="593"/>
        <v/>
      </c>
      <c r="AH1395" s="183" t="str">
        <f t="shared" si="594"/>
        <v/>
      </c>
      <c r="AI1395" s="220" t="str">
        <f t="shared" si="595"/>
        <v/>
      </c>
    </row>
    <row r="1396" spans="1:35" x14ac:dyDescent="0.3">
      <c r="A1396" s="187">
        <v>27</v>
      </c>
      <c r="B1396" s="242">
        <f t="shared" si="585"/>
        <v>46447</v>
      </c>
      <c r="C1396" s="243">
        <f t="shared" si="568"/>
        <v>46477</v>
      </c>
      <c r="D1396" s="120">
        <f t="shared" si="569"/>
        <v>31</v>
      </c>
      <c r="E1396" s="120">
        <f t="shared" si="570"/>
        <v>3</v>
      </c>
      <c r="F1396" s="275">
        <f t="shared" si="571"/>
        <v>46462.5</v>
      </c>
      <c r="G1396" s="120">
        <f t="shared" si="572"/>
        <v>24326</v>
      </c>
      <c r="H1396" s="245">
        <f t="shared" si="573"/>
        <v>1</v>
      </c>
      <c r="I1396" s="121">
        <f t="shared" si="574"/>
        <v>1</v>
      </c>
      <c r="J1396" s="121">
        <f t="shared" si="575"/>
        <v>1</v>
      </c>
      <c r="K1396" s="120">
        <f t="shared" si="576"/>
        <v>0</v>
      </c>
      <c r="L1396" s="120">
        <f t="shared" si="577"/>
        <v>0</v>
      </c>
      <c r="M1396" s="246">
        <f t="shared" si="578"/>
        <v>0</v>
      </c>
      <c r="N1396" s="121">
        <f t="shared" si="579"/>
        <v>1</v>
      </c>
      <c r="O1396" s="246">
        <f t="shared" si="580"/>
        <v>0.91364332603938736</v>
      </c>
      <c r="P1396" s="121">
        <f t="shared" si="581"/>
        <v>0</v>
      </c>
      <c r="Q1396" s="121">
        <f t="shared" si="582"/>
        <v>1</v>
      </c>
      <c r="R1396" s="121">
        <f t="shared" si="583"/>
        <v>0</v>
      </c>
      <c r="W1396" s="160">
        <f t="shared" si="586"/>
        <v>1</v>
      </c>
      <c r="X1396" s="160">
        <f t="shared" si="587"/>
        <v>0</v>
      </c>
      <c r="Y1396" s="160">
        <f t="shared" si="588"/>
        <v>1.0088188748082196</v>
      </c>
      <c r="AB1396" s="160">
        <f t="shared" si="589"/>
        <v>0.36433260393873085</v>
      </c>
      <c r="AC1396" s="220">
        <f t="shared" si="590"/>
        <v>0.57845733041575487</v>
      </c>
      <c r="AD1396" s="160">
        <f t="shared" si="591"/>
        <v>1.1041714485907921</v>
      </c>
      <c r="AE1396" s="160">
        <f t="shared" si="584"/>
        <v>0.9930905717819426</v>
      </c>
      <c r="AF1396" s="220">
        <f t="shared" si="592"/>
        <v>0</v>
      </c>
      <c r="AG1396" s="183" t="str">
        <f t="shared" si="593"/>
        <v/>
      </c>
      <c r="AH1396" s="183" t="str">
        <f t="shared" si="594"/>
        <v/>
      </c>
      <c r="AI1396" s="220" t="str">
        <f t="shared" si="595"/>
        <v/>
      </c>
    </row>
    <row r="1397" spans="1:35" x14ac:dyDescent="0.3">
      <c r="A1397" s="187">
        <v>28</v>
      </c>
      <c r="B1397" s="242">
        <f t="shared" si="585"/>
        <v>46478</v>
      </c>
      <c r="C1397" s="243">
        <f t="shared" si="568"/>
        <v>46507</v>
      </c>
      <c r="D1397" s="120">
        <f t="shared" si="569"/>
        <v>30</v>
      </c>
      <c r="E1397" s="120">
        <f t="shared" si="570"/>
        <v>4</v>
      </c>
      <c r="F1397" s="275">
        <f t="shared" si="571"/>
        <v>46493</v>
      </c>
      <c r="G1397" s="120">
        <f t="shared" si="572"/>
        <v>24327</v>
      </c>
      <c r="H1397" s="245">
        <f t="shared" si="573"/>
        <v>1</v>
      </c>
      <c r="I1397" s="121">
        <f t="shared" si="574"/>
        <v>1</v>
      </c>
      <c r="J1397" s="121">
        <f t="shared" si="575"/>
        <v>1</v>
      </c>
      <c r="K1397" s="120">
        <f t="shared" si="576"/>
        <v>0</v>
      </c>
      <c r="L1397" s="120">
        <f t="shared" si="577"/>
        <v>0</v>
      </c>
      <c r="M1397" s="246">
        <f t="shared" si="578"/>
        <v>0</v>
      </c>
      <c r="N1397" s="121">
        <f t="shared" si="579"/>
        <v>1</v>
      </c>
      <c r="O1397" s="246">
        <f t="shared" si="580"/>
        <v>0.91431072210065645</v>
      </c>
      <c r="P1397" s="121">
        <f t="shared" si="581"/>
        <v>0</v>
      </c>
      <c r="Q1397" s="121">
        <f t="shared" si="582"/>
        <v>1</v>
      </c>
      <c r="R1397" s="121">
        <f t="shared" si="583"/>
        <v>0</v>
      </c>
      <c r="W1397" s="160">
        <f t="shared" si="586"/>
        <v>1</v>
      </c>
      <c r="X1397" s="160">
        <f t="shared" si="587"/>
        <v>1</v>
      </c>
      <c r="Y1397" s="160">
        <f t="shared" si="588"/>
        <v>1.0088123807914242</v>
      </c>
      <c r="AB1397" s="160">
        <f t="shared" si="589"/>
        <v>0.4310722100656455</v>
      </c>
      <c r="AC1397" s="220">
        <f t="shared" si="590"/>
        <v>0.51772428884026267</v>
      </c>
      <c r="AD1397" s="160">
        <f t="shared" si="591"/>
        <v>1.1033583621043481</v>
      </c>
      <c r="AE1397" s="160">
        <f t="shared" si="584"/>
        <v>0.99381600228332234</v>
      </c>
      <c r="AF1397" s="220">
        <f t="shared" si="592"/>
        <v>1</v>
      </c>
      <c r="AG1397" s="183" t="str">
        <f t="shared" si="593"/>
        <v/>
      </c>
      <c r="AH1397" s="183" t="str">
        <f t="shared" si="594"/>
        <v/>
      </c>
      <c r="AI1397" s="220" t="str">
        <f t="shared" si="595"/>
        <v/>
      </c>
    </row>
    <row r="1398" spans="1:35" x14ac:dyDescent="0.3">
      <c r="A1398" s="187">
        <v>29</v>
      </c>
      <c r="B1398" s="242">
        <f t="shared" si="585"/>
        <v>46508</v>
      </c>
      <c r="C1398" s="243">
        <f t="shared" si="568"/>
        <v>46538</v>
      </c>
      <c r="D1398" s="120">
        <f t="shared" si="569"/>
        <v>31</v>
      </c>
      <c r="E1398" s="120">
        <f t="shared" si="570"/>
        <v>5</v>
      </c>
      <c r="F1398" s="275">
        <f t="shared" si="571"/>
        <v>46523.5</v>
      </c>
      <c r="G1398" s="120">
        <f t="shared" si="572"/>
        <v>24328</v>
      </c>
      <c r="H1398" s="245">
        <f t="shared" si="573"/>
        <v>1</v>
      </c>
      <c r="I1398" s="121">
        <f t="shared" si="574"/>
        <v>1</v>
      </c>
      <c r="J1398" s="121">
        <f t="shared" si="575"/>
        <v>1</v>
      </c>
      <c r="K1398" s="120">
        <f t="shared" si="576"/>
        <v>0</v>
      </c>
      <c r="L1398" s="120">
        <f t="shared" si="577"/>
        <v>0</v>
      </c>
      <c r="M1398" s="246">
        <f t="shared" si="578"/>
        <v>0</v>
      </c>
      <c r="N1398" s="121">
        <f t="shared" si="579"/>
        <v>1</v>
      </c>
      <c r="O1398" s="246">
        <f t="shared" si="580"/>
        <v>0.91497811816192565</v>
      </c>
      <c r="P1398" s="121">
        <f t="shared" si="581"/>
        <v>0</v>
      </c>
      <c r="Q1398" s="121">
        <f t="shared" si="582"/>
        <v>1</v>
      </c>
      <c r="R1398" s="121">
        <f t="shared" si="583"/>
        <v>0</v>
      </c>
      <c r="W1398" s="160">
        <f t="shared" si="586"/>
        <v>1</v>
      </c>
      <c r="X1398" s="160">
        <f t="shared" si="587"/>
        <v>1</v>
      </c>
      <c r="Y1398" s="160">
        <f t="shared" si="588"/>
        <v>1.0088058963316806</v>
      </c>
      <c r="AB1398" s="160">
        <f t="shared" si="589"/>
        <v>0.49781181619256015</v>
      </c>
      <c r="AC1398" s="220">
        <f t="shared" si="590"/>
        <v>0.45699124726477025</v>
      </c>
      <c r="AD1398" s="160">
        <f t="shared" si="591"/>
        <v>1.102546472213175</v>
      </c>
      <c r="AE1398" s="160">
        <f t="shared" si="584"/>
        <v>0.99454143278470175</v>
      </c>
      <c r="AF1398" s="220">
        <f t="shared" si="592"/>
        <v>1</v>
      </c>
      <c r="AG1398" s="183" t="str">
        <f t="shared" si="593"/>
        <v/>
      </c>
      <c r="AH1398" s="183" t="str">
        <f t="shared" si="594"/>
        <v/>
      </c>
      <c r="AI1398" s="220" t="str">
        <f t="shared" si="595"/>
        <v/>
      </c>
    </row>
    <row r="1399" spans="1:35" x14ac:dyDescent="0.3">
      <c r="A1399" s="187">
        <v>30</v>
      </c>
      <c r="B1399" s="242">
        <f t="shared" si="585"/>
        <v>46539</v>
      </c>
      <c r="C1399" s="243">
        <f t="shared" si="568"/>
        <v>46568</v>
      </c>
      <c r="D1399" s="120">
        <f t="shared" si="569"/>
        <v>30</v>
      </c>
      <c r="E1399" s="120">
        <f t="shared" si="570"/>
        <v>6</v>
      </c>
      <c r="F1399" s="275">
        <f t="shared" si="571"/>
        <v>46554</v>
      </c>
      <c r="G1399" s="120">
        <f t="shared" si="572"/>
        <v>24329</v>
      </c>
      <c r="H1399" s="245">
        <f t="shared" si="573"/>
        <v>1</v>
      </c>
      <c r="I1399" s="121">
        <f t="shared" si="574"/>
        <v>1</v>
      </c>
      <c r="J1399" s="121">
        <f t="shared" si="575"/>
        <v>1</v>
      </c>
      <c r="K1399" s="120">
        <f t="shared" si="576"/>
        <v>0</v>
      </c>
      <c r="L1399" s="120">
        <f t="shared" si="577"/>
        <v>0</v>
      </c>
      <c r="M1399" s="246">
        <f t="shared" si="578"/>
        <v>0</v>
      </c>
      <c r="N1399" s="121">
        <f t="shared" si="579"/>
        <v>1</v>
      </c>
      <c r="O1399" s="246">
        <f t="shared" si="580"/>
        <v>0.91564551422319473</v>
      </c>
      <c r="P1399" s="121">
        <f t="shared" si="581"/>
        <v>0</v>
      </c>
      <c r="Q1399" s="121">
        <f t="shared" si="582"/>
        <v>1</v>
      </c>
      <c r="R1399" s="121">
        <f t="shared" si="583"/>
        <v>0</v>
      </c>
      <c r="W1399" s="160">
        <f t="shared" si="586"/>
        <v>1</v>
      </c>
      <c r="X1399" s="160">
        <f t="shared" si="587"/>
        <v>1</v>
      </c>
      <c r="Y1399" s="160">
        <f t="shared" si="588"/>
        <v>1.0087994214079075</v>
      </c>
      <c r="AB1399" s="160">
        <f t="shared" si="589"/>
        <v>0.56455142231947486</v>
      </c>
      <c r="AC1399" s="220">
        <f t="shared" si="590"/>
        <v>0.39625820568927789</v>
      </c>
      <c r="AD1399" s="160">
        <f t="shared" si="591"/>
        <v>1.1017357762777242</v>
      </c>
      <c r="AE1399" s="160">
        <f t="shared" si="584"/>
        <v>0.99526686328608116</v>
      </c>
      <c r="AF1399" s="220">
        <f t="shared" si="592"/>
        <v>1</v>
      </c>
      <c r="AG1399" s="183" t="str">
        <f t="shared" si="593"/>
        <v/>
      </c>
      <c r="AH1399" s="183" t="str">
        <f t="shared" si="594"/>
        <v/>
      </c>
      <c r="AI1399" s="220" t="str">
        <f t="shared" si="595"/>
        <v/>
      </c>
    </row>
    <row r="1400" spans="1:35" x14ac:dyDescent="0.3">
      <c r="A1400" s="187">
        <v>31</v>
      </c>
      <c r="B1400" s="242">
        <f t="shared" si="585"/>
        <v>46569</v>
      </c>
      <c r="C1400" s="243">
        <f t="shared" si="568"/>
        <v>46599</v>
      </c>
      <c r="D1400" s="120">
        <f t="shared" si="569"/>
        <v>31</v>
      </c>
      <c r="E1400" s="120">
        <f t="shared" si="570"/>
        <v>7</v>
      </c>
      <c r="F1400" s="275">
        <f t="shared" si="571"/>
        <v>46584.5</v>
      </c>
      <c r="G1400" s="120">
        <f t="shared" si="572"/>
        <v>24330</v>
      </c>
      <c r="H1400" s="245">
        <f t="shared" si="573"/>
        <v>1</v>
      </c>
      <c r="I1400" s="121">
        <f t="shared" si="574"/>
        <v>1</v>
      </c>
      <c r="J1400" s="121">
        <f t="shared" si="575"/>
        <v>1</v>
      </c>
      <c r="K1400" s="120">
        <f t="shared" si="576"/>
        <v>0</v>
      </c>
      <c r="L1400" s="120">
        <f t="shared" si="577"/>
        <v>0</v>
      </c>
      <c r="M1400" s="246">
        <f t="shared" si="578"/>
        <v>0</v>
      </c>
      <c r="N1400" s="121">
        <f t="shared" si="579"/>
        <v>1</v>
      </c>
      <c r="O1400" s="246">
        <f t="shared" si="580"/>
        <v>0.91631291028446393</v>
      </c>
      <c r="P1400" s="121">
        <f t="shared" si="581"/>
        <v>0</v>
      </c>
      <c r="Q1400" s="121">
        <f t="shared" si="582"/>
        <v>0.91666666666666663</v>
      </c>
      <c r="R1400" s="121">
        <f t="shared" si="583"/>
        <v>8.333333333333337E-2</v>
      </c>
      <c r="W1400" s="160">
        <f t="shared" si="586"/>
        <v>1</v>
      </c>
      <c r="X1400" s="160">
        <f t="shared" si="587"/>
        <v>1</v>
      </c>
      <c r="Y1400" s="160">
        <f t="shared" si="588"/>
        <v>1.0087929559990845</v>
      </c>
      <c r="AB1400" s="160">
        <f t="shared" si="589"/>
        <v>0.63129102844638951</v>
      </c>
      <c r="AC1400" s="220">
        <f t="shared" si="590"/>
        <v>0.33552516411378558</v>
      </c>
      <c r="AD1400" s="160">
        <f t="shared" si="591"/>
        <v>1.1009262716662049</v>
      </c>
      <c r="AE1400" s="160">
        <f t="shared" si="584"/>
        <v>0.9959922937874609</v>
      </c>
      <c r="AF1400" s="220">
        <f t="shared" si="592"/>
        <v>1</v>
      </c>
      <c r="AG1400" s="183" t="str">
        <f t="shared" si="593"/>
        <v/>
      </c>
      <c r="AH1400" s="183" t="str">
        <f t="shared" si="594"/>
        <v/>
      </c>
      <c r="AI1400" s="220" t="str">
        <f t="shared" si="595"/>
        <v/>
      </c>
    </row>
    <row r="1401" spans="1:35" x14ac:dyDescent="0.3">
      <c r="A1401" s="187">
        <v>32</v>
      </c>
      <c r="B1401" s="242">
        <f t="shared" si="585"/>
        <v>46600</v>
      </c>
      <c r="C1401" s="243">
        <f t="shared" si="568"/>
        <v>46630</v>
      </c>
      <c r="D1401" s="120">
        <f t="shared" si="569"/>
        <v>31</v>
      </c>
      <c r="E1401" s="120">
        <f t="shared" si="570"/>
        <v>8</v>
      </c>
      <c r="F1401" s="275">
        <f t="shared" si="571"/>
        <v>46615.5</v>
      </c>
      <c r="G1401" s="120">
        <f t="shared" si="572"/>
        <v>24331</v>
      </c>
      <c r="H1401" s="245">
        <f t="shared" si="573"/>
        <v>1</v>
      </c>
      <c r="I1401" s="121">
        <f t="shared" si="574"/>
        <v>1</v>
      </c>
      <c r="J1401" s="121">
        <f t="shared" si="575"/>
        <v>1</v>
      </c>
      <c r="K1401" s="120">
        <f t="shared" si="576"/>
        <v>0</v>
      </c>
      <c r="L1401" s="120">
        <f t="shared" si="577"/>
        <v>0</v>
      </c>
      <c r="M1401" s="246">
        <f t="shared" si="578"/>
        <v>0</v>
      </c>
      <c r="N1401" s="121">
        <f t="shared" si="579"/>
        <v>1</v>
      </c>
      <c r="O1401" s="246">
        <f t="shared" si="580"/>
        <v>0.91699124726477033</v>
      </c>
      <c r="P1401" s="121">
        <f t="shared" si="581"/>
        <v>0</v>
      </c>
      <c r="Q1401" s="121">
        <f t="shared" si="582"/>
        <v>0.75</v>
      </c>
      <c r="R1401" s="121">
        <f t="shared" si="583"/>
        <v>0.25</v>
      </c>
      <c r="W1401" s="160">
        <f t="shared" si="586"/>
        <v>1</v>
      </c>
      <c r="X1401" s="160">
        <f t="shared" si="587"/>
        <v>1</v>
      </c>
      <c r="Y1401" s="160">
        <f t="shared" si="588"/>
        <v>1.0087863943285631</v>
      </c>
      <c r="AB1401" s="160">
        <f t="shared" si="589"/>
        <v>0.69912472647702406</v>
      </c>
      <c r="AC1401" s="220">
        <f t="shared" si="590"/>
        <v>0.27379649890590813</v>
      </c>
      <c r="AD1401" s="160">
        <f t="shared" si="591"/>
        <v>1.1001047145625458</v>
      </c>
      <c r="AE1401" s="160">
        <f t="shared" si="584"/>
        <v>0.99672961659214165</v>
      </c>
      <c r="AF1401" s="220">
        <f t="shared" si="592"/>
        <v>1</v>
      </c>
      <c r="AG1401" s="183" t="str">
        <f t="shared" si="593"/>
        <v/>
      </c>
      <c r="AH1401" s="183" t="str">
        <f t="shared" si="594"/>
        <v/>
      </c>
      <c r="AI1401" s="220" t="str">
        <f t="shared" si="595"/>
        <v/>
      </c>
    </row>
    <row r="1402" spans="1:35" x14ac:dyDescent="0.3">
      <c r="A1402" s="187">
        <v>33</v>
      </c>
      <c r="B1402" s="242">
        <f t="shared" si="585"/>
        <v>46631</v>
      </c>
      <c r="C1402" s="243">
        <f t="shared" si="568"/>
        <v>46660</v>
      </c>
      <c r="D1402" s="120">
        <f t="shared" si="569"/>
        <v>30</v>
      </c>
      <c r="E1402" s="120">
        <f t="shared" si="570"/>
        <v>9</v>
      </c>
      <c r="F1402" s="275">
        <f t="shared" si="571"/>
        <v>46646</v>
      </c>
      <c r="G1402" s="120">
        <f t="shared" si="572"/>
        <v>24332</v>
      </c>
      <c r="H1402" s="245">
        <f t="shared" si="573"/>
        <v>1</v>
      </c>
      <c r="I1402" s="121">
        <f t="shared" si="574"/>
        <v>1</v>
      </c>
      <c r="J1402" s="121">
        <f t="shared" si="575"/>
        <v>1</v>
      </c>
      <c r="K1402" s="120">
        <f t="shared" si="576"/>
        <v>0</v>
      </c>
      <c r="L1402" s="120">
        <f t="shared" si="577"/>
        <v>0</v>
      </c>
      <c r="M1402" s="246">
        <f t="shared" si="578"/>
        <v>0</v>
      </c>
      <c r="N1402" s="121">
        <f t="shared" si="579"/>
        <v>1</v>
      </c>
      <c r="O1402" s="246">
        <f t="shared" si="580"/>
        <v>0.91765864332603941</v>
      </c>
      <c r="P1402" s="121">
        <f t="shared" si="581"/>
        <v>0</v>
      </c>
      <c r="Q1402" s="121">
        <f t="shared" si="582"/>
        <v>0.58333333333333337</v>
      </c>
      <c r="R1402" s="121">
        <f t="shared" si="583"/>
        <v>0.41666666666666663</v>
      </c>
      <c r="W1402" s="160">
        <f t="shared" si="586"/>
        <v>1</v>
      </c>
      <c r="X1402" s="160">
        <f t="shared" si="587"/>
        <v>1</v>
      </c>
      <c r="Y1402" s="160">
        <f t="shared" si="588"/>
        <v>1.0087799480419513</v>
      </c>
      <c r="AB1402" s="160">
        <f t="shared" si="589"/>
        <v>0.76586433260393871</v>
      </c>
      <c r="AC1402" s="220">
        <f t="shared" si="590"/>
        <v>0.21306345733041579</v>
      </c>
      <c r="AD1402" s="160">
        <f t="shared" si="591"/>
        <v>1.0992976041566438</v>
      </c>
      <c r="AE1402" s="160">
        <f t="shared" si="584"/>
        <v>0.99745504709352106</v>
      </c>
      <c r="AF1402" s="220">
        <f t="shared" si="592"/>
        <v>1</v>
      </c>
      <c r="AG1402" s="183" t="str">
        <f t="shared" si="593"/>
        <v/>
      </c>
      <c r="AH1402" s="183" t="str">
        <f t="shared" si="594"/>
        <v/>
      </c>
      <c r="AI1402" s="220" t="str">
        <f t="shared" si="595"/>
        <v/>
      </c>
    </row>
    <row r="1403" spans="1:35" x14ac:dyDescent="0.3">
      <c r="A1403" s="187">
        <v>34</v>
      </c>
      <c r="B1403" s="242">
        <f t="shared" si="585"/>
        <v>46661</v>
      </c>
      <c r="C1403" s="243">
        <f t="shared" si="568"/>
        <v>46691</v>
      </c>
      <c r="D1403" s="120">
        <f t="shared" si="569"/>
        <v>31</v>
      </c>
      <c r="E1403" s="120">
        <f t="shared" si="570"/>
        <v>10</v>
      </c>
      <c r="F1403" s="275">
        <f t="shared" si="571"/>
        <v>46676.5</v>
      </c>
      <c r="G1403" s="120">
        <f t="shared" si="572"/>
        <v>24333</v>
      </c>
      <c r="H1403" s="245">
        <f t="shared" si="573"/>
        <v>1</v>
      </c>
      <c r="I1403" s="121">
        <f t="shared" si="574"/>
        <v>1</v>
      </c>
      <c r="J1403" s="121">
        <f t="shared" si="575"/>
        <v>1</v>
      </c>
      <c r="K1403" s="120">
        <f t="shared" si="576"/>
        <v>0</v>
      </c>
      <c r="L1403" s="120">
        <f t="shared" si="577"/>
        <v>0</v>
      </c>
      <c r="M1403" s="246">
        <f t="shared" si="578"/>
        <v>0</v>
      </c>
      <c r="N1403" s="121">
        <f t="shared" si="579"/>
        <v>1</v>
      </c>
      <c r="O1403" s="246">
        <f t="shared" si="580"/>
        <v>0.91832603938730861</v>
      </c>
      <c r="P1403" s="121">
        <f t="shared" si="581"/>
        <v>0</v>
      </c>
      <c r="Q1403" s="121">
        <f t="shared" si="582"/>
        <v>0.41666666666666669</v>
      </c>
      <c r="R1403" s="121">
        <f t="shared" si="583"/>
        <v>0.58333333333333326</v>
      </c>
      <c r="W1403" s="160">
        <f t="shared" si="586"/>
        <v>1</v>
      </c>
      <c r="X1403" s="160">
        <f t="shared" si="587"/>
        <v>1</v>
      </c>
      <c r="Y1403" s="160">
        <f t="shared" si="588"/>
        <v>1.0087735112072593</v>
      </c>
      <c r="AB1403" s="160">
        <f t="shared" si="589"/>
        <v>0.83260393873085337</v>
      </c>
      <c r="AC1403" s="220">
        <f t="shared" si="590"/>
        <v>0.15233041575492345</v>
      </c>
      <c r="AD1403" s="160">
        <f t="shared" si="591"/>
        <v>1.0984916771828617</v>
      </c>
      <c r="AE1403" s="160">
        <f t="shared" si="584"/>
        <v>0.99818047759490058</v>
      </c>
      <c r="AF1403" s="220">
        <f t="shared" si="592"/>
        <v>1</v>
      </c>
      <c r="AG1403" s="183" t="str">
        <f t="shared" si="593"/>
        <v/>
      </c>
      <c r="AH1403" s="183" t="str">
        <f t="shared" si="594"/>
        <v/>
      </c>
      <c r="AI1403" s="220" t="str">
        <f t="shared" si="595"/>
        <v/>
      </c>
    </row>
    <row r="1404" spans="1:35" x14ac:dyDescent="0.3">
      <c r="A1404" s="187">
        <v>35</v>
      </c>
      <c r="B1404" s="242">
        <f t="shared" si="585"/>
        <v>46692</v>
      </c>
      <c r="C1404" s="243">
        <f t="shared" si="568"/>
        <v>46721</v>
      </c>
      <c r="D1404" s="120">
        <f t="shared" si="569"/>
        <v>30</v>
      </c>
      <c r="E1404" s="120">
        <f t="shared" si="570"/>
        <v>11</v>
      </c>
      <c r="F1404" s="275">
        <f t="shared" si="571"/>
        <v>46707</v>
      </c>
      <c r="G1404" s="120">
        <f t="shared" si="572"/>
        <v>24334</v>
      </c>
      <c r="H1404" s="245">
        <f t="shared" si="573"/>
        <v>1</v>
      </c>
      <c r="I1404" s="121">
        <f t="shared" si="574"/>
        <v>1</v>
      </c>
      <c r="J1404" s="121">
        <f t="shared" si="575"/>
        <v>1</v>
      </c>
      <c r="K1404" s="120">
        <f t="shared" si="576"/>
        <v>0</v>
      </c>
      <c r="L1404" s="120">
        <f t="shared" si="577"/>
        <v>0</v>
      </c>
      <c r="M1404" s="246">
        <f t="shared" si="578"/>
        <v>0</v>
      </c>
      <c r="N1404" s="121">
        <f t="shared" si="579"/>
        <v>1</v>
      </c>
      <c r="O1404" s="246">
        <f t="shared" si="580"/>
        <v>0.9189934354485777</v>
      </c>
      <c r="P1404" s="121">
        <f t="shared" si="581"/>
        <v>0</v>
      </c>
      <c r="Q1404" s="121">
        <f t="shared" si="582"/>
        <v>0.25</v>
      </c>
      <c r="R1404" s="121">
        <f t="shared" si="583"/>
        <v>0.75</v>
      </c>
      <c r="W1404" s="160">
        <f t="shared" si="586"/>
        <v>1</v>
      </c>
      <c r="X1404" s="160">
        <f t="shared" si="587"/>
        <v>1</v>
      </c>
      <c r="Y1404" s="160">
        <f t="shared" si="588"/>
        <v>1.0087670838037133</v>
      </c>
      <c r="AB1404" s="160">
        <f t="shared" si="589"/>
        <v>0.89934354485776802</v>
      </c>
      <c r="AC1404" s="220">
        <f t="shared" si="590"/>
        <v>9.1597374179431104E-2</v>
      </c>
      <c r="AD1404" s="160">
        <f t="shared" si="591"/>
        <v>1.0976869310402806</v>
      </c>
      <c r="AE1404" s="160">
        <f t="shared" si="584"/>
        <v>0.99890590809628022</v>
      </c>
      <c r="AF1404" s="220">
        <f t="shared" si="592"/>
        <v>1</v>
      </c>
      <c r="AG1404" s="183" t="str">
        <f t="shared" si="593"/>
        <v/>
      </c>
      <c r="AH1404" s="183" t="str">
        <f t="shared" si="594"/>
        <v/>
      </c>
      <c r="AI1404" s="220" t="str">
        <f t="shared" si="595"/>
        <v/>
      </c>
    </row>
    <row r="1405" spans="1:35" x14ac:dyDescent="0.3">
      <c r="A1405" s="187">
        <v>36</v>
      </c>
      <c r="B1405" s="242">
        <f t="shared" si="585"/>
        <v>46722</v>
      </c>
      <c r="C1405" s="243">
        <f t="shared" si="568"/>
        <v>46752</v>
      </c>
      <c r="D1405" s="120">
        <f t="shared" si="569"/>
        <v>31</v>
      </c>
      <c r="E1405" s="120">
        <f t="shared" si="570"/>
        <v>12</v>
      </c>
      <c r="F1405" s="275">
        <f t="shared" si="571"/>
        <v>46737.5</v>
      </c>
      <c r="G1405" s="120">
        <f t="shared" si="572"/>
        <v>24335</v>
      </c>
      <c r="H1405" s="245">
        <f t="shared" si="573"/>
        <v>1</v>
      </c>
      <c r="I1405" s="121">
        <f t="shared" si="574"/>
        <v>1</v>
      </c>
      <c r="J1405" s="121">
        <f t="shared" si="575"/>
        <v>1</v>
      </c>
      <c r="K1405" s="120">
        <f t="shared" si="576"/>
        <v>0</v>
      </c>
      <c r="L1405" s="120">
        <f t="shared" si="577"/>
        <v>0</v>
      </c>
      <c r="M1405" s="246">
        <f t="shared" si="578"/>
        <v>0</v>
      </c>
      <c r="N1405" s="121">
        <f t="shared" si="579"/>
        <v>1</v>
      </c>
      <c r="O1405" s="246">
        <f t="shared" si="580"/>
        <v>0.9196608315098469</v>
      </c>
      <c r="P1405" s="121">
        <f t="shared" si="581"/>
        <v>0</v>
      </c>
      <c r="Q1405" s="121">
        <f t="shared" si="582"/>
        <v>8.3333333333333329E-2</v>
      </c>
      <c r="R1405" s="121">
        <f t="shared" si="583"/>
        <v>0.91666666666666663</v>
      </c>
      <c r="W1405" s="160">
        <f t="shared" si="586"/>
        <v>1</v>
      </c>
      <c r="X1405" s="160">
        <f t="shared" si="587"/>
        <v>1</v>
      </c>
      <c r="Y1405" s="160">
        <f t="shared" si="588"/>
        <v>1.0087606658106016</v>
      </c>
      <c r="AB1405" s="160">
        <f t="shared" si="589"/>
        <v>0.96608315098468267</v>
      </c>
      <c r="AC1405" s="220">
        <f t="shared" si="590"/>
        <v>3.0864332603938772E-2</v>
      </c>
      <c r="AD1405" s="160">
        <f t="shared" si="591"/>
        <v>1.0968833631355983</v>
      </c>
      <c r="AE1405" s="160">
        <f t="shared" si="584"/>
        <v>0.99963133859765951</v>
      </c>
      <c r="AF1405" s="220">
        <f t="shared" si="592"/>
        <v>1</v>
      </c>
      <c r="AG1405" s="183" t="str">
        <f t="shared" si="593"/>
        <v/>
      </c>
      <c r="AH1405" s="183" t="str">
        <f t="shared" si="594"/>
        <v/>
      </c>
      <c r="AI1405" s="220" t="str">
        <f t="shared" si="595"/>
        <v/>
      </c>
    </row>
    <row r="1406" spans="1:35" x14ac:dyDescent="0.3">
      <c r="A1406" s="187">
        <v>37</v>
      </c>
      <c r="B1406" s="242">
        <f t="shared" si="585"/>
        <v>46753</v>
      </c>
      <c r="C1406" s="243">
        <f t="shared" si="568"/>
        <v>46783</v>
      </c>
      <c r="D1406" s="120">
        <f t="shared" si="569"/>
        <v>31</v>
      </c>
      <c r="E1406" s="120">
        <f t="shared" si="570"/>
        <v>1</v>
      </c>
      <c r="F1406" s="275">
        <f t="shared" si="571"/>
        <v>46768.5</v>
      </c>
      <c r="G1406" s="120">
        <f t="shared" si="572"/>
        <v>24336</v>
      </c>
      <c r="H1406" s="245">
        <f t="shared" si="573"/>
        <v>1</v>
      </c>
      <c r="I1406" s="121">
        <f t="shared" si="574"/>
        <v>1</v>
      </c>
      <c r="J1406" s="121">
        <f t="shared" si="575"/>
        <v>1</v>
      </c>
      <c r="K1406" s="120">
        <f t="shared" si="576"/>
        <v>0</v>
      </c>
      <c r="L1406" s="120">
        <f t="shared" si="577"/>
        <v>0</v>
      </c>
      <c r="M1406" s="246">
        <f t="shared" si="578"/>
        <v>0</v>
      </c>
      <c r="N1406" s="121">
        <f t="shared" si="579"/>
        <v>1</v>
      </c>
      <c r="O1406" s="246">
        <f t="shared" si="580"/>
        <v>0.92</v>
      </c>
      <c r="P1406" s="121">
        <f t="shared" si="581"/>
        <v>0</v>
      </c>
      <c r="Q1406" s="121">
        <f t="shared" si="582"/>
        <v>0</v>
      </c>
      <c r="R1406" s="121">
        <f t="shared" si="583"/>
        <v>1</v>
      </c>
      <c r="AE1406" s="160">
        <f t="shared" si="584"/>
        <v>1</v>
      </c>
    </row>
    <row r="1407" spans="1:35" x14ac:dyDescent="0.3">
      <c r="A1407" s="187">
        <v>38</v>
      </c>
      <c r="B1407" s="242">
        <f t="shared" si="585"/>
        <v>46784</v>
      </c>
      <c r="C1407" s="243">
        <f t="shared" si="568"/>
        <v>46812</v>
      </c>
      <c r="D1407" s="120">
        <f t="shared" si="569"/>
        <v>29</v>
      </c>
      <c r="E1407" s="120">
        <f t="shared" si="570"/>
        <v>2</v>
      </c>
      <c r="F1407" s="275">
        <f t="shared" si="571"/>
        <v>46798.5</v>
      </c>
      <c r="G1407" s="120">
        <f t="shared" si="572"/>
        <v>24337</v>
      </c>
      <c r="H1407" s="245">
        <f t="shared" si="573"/>
        <v>1</v>
      </c>
      <c r="I1407" s="121">
        <f t="shared" si="574"/>
        <v>1</v>
      </c>
      <c r="J1407" s="121">
        <f t="shared" si="575"/>
        <v>1</v>
      </c>
      <c r="K1407" s="120">
        <f t="shared" si="576"/>
        <v>0</v>
      </c>
      <c r="L1407" s="120">
        <f t="shared" si="577"/>
        <v>0</v>
      </c>
      <c r="M1407" s="246">
        <f t="shared" si="578"/>
        <v>0</v>
      </c>
      <c r="N1407" s="121">
        <f t="shared" si="579"/>
        <v>1</v>
      </c>
      <c r="O1407" s="246">
        <f t="shared" si="580"/>
        <v>0.92</v>
      </c>
      <c r="P1407" s="121">
        <f t="shared" si="581"/>
        <v>0</v>
      </c>
      <c r="Q1407" s="121">
        <f t="shared" si="582"/>
        <v>0</v>
      </c>
      <c r="R1407" s="121">
        <f t="shared" si="583"/>
        <v>1</v>
      </c>
      <c r="AE1407" s="160">
        <f t="shared" si="584"/>
        <v>1</v>
      </c>
    </row>
    <row r="1408" spans="1:35" x14ac:dyDescent="0.3">
      <c r="A1408" s="187">
        <v>39</v>
      </c>
      <c r="B1408" s="242">
        <f t="shared" si="585"/>
        <v>46813</v>
      </c>
      <c r="C1408" s="243">
        <f t="shared" si="568"/>
        <v>46843</v>
      </c>
      <c r="D1408" s="120">
        <f t="shared" si="569"/>
        <v>31</v>
      </c>
      <c r="E1408" s="120">
        <f t="shared" si="570"/>
        <v>3</v>
      </c>
      <c r="F1408" s="275">
        <f t="shared" si="571"/>
        <v>46828.5</v>
      </c>
      <c r="G1408" s="120">
        <f t="shared" si="572"/>
        <v>24338</v>
      </c>
      <c r="H1408" s="245">
        <f t="shared" si="573"/>
        <v>1</v>
      </c>
      <c r="I1408" s="121">
        <f t="shared" si="574"/>
        <v>1</v>
      </c>
      <c r="J1408" s="121">
        <f t="shared" si="575"/>
        <v>1</v>
      </c>
      <c r="K1408" s="120">
        <f t="shared" si="576"/>
        <v>0</v>
      </c>
      <c r="L1408" s="120">
        <f t="shared" si="577"/>
        <v>0</v>
      </c>
      <c r="M1408" s="246">
        <f t="shared" si="578"/>
        <v>0</v>
      </c>
      <c r="N1408" s="121">
        <f t="shared" si="579"/>
        <v>1</v>
      </c>
      <c r="O1408" s="246">
        <f t="shared" si="580"/>
        <v>0.92</v>
      </c>
      <c r="P1408" s="121">
        <f t="shared" si="581"/>
        <v>0</v>
      </c>
      <c r="Q1408" s="121">
        <f t="shared" si="582"/>
        <v>0</v>
      </c>
      <c r="R1408" s="121">
        <f t="shared" si="583"/>
        <v>1</v>
      </c>
      <c r="AE1408" s="160">
        <f t="shared" si="584"/>
        <v>1</v>
      </c>
    </row>
    <row r="1409" spans="1:31" x14ac:dyDescent="0.3">
      <c r="A1409" s="187">
        <v>40</v>
      </c>
      <c r="B1409" s="242">
        <f t="shared" si="585"/>
        <v>46844</v>
      </c>
      <c r="C1409" s="243">
        <f t="shared" si="568"/>
        <v>46873</v>
      </c>
      <c r="D1409" s="120">
        <f t="shared" si="569"/>
        <v>30</v>
      </c>
      <c r="E1409" s="120">
        <f t="shared" si="570"/>
        <v>4</v>
      </c>
      <c r="F1409" s="275">
        <f t="shared" si="571"/>
        <v>46859</v>
      </c>
      <c r="G1409" s="120">
        <f t="shared" si="572"/>
        <v>24339</v>
      </c>
      <c r="H1409" s="245">
        <f t="shared" si="573"/>
        <v>1</v>
      </c>
      <c r="I1409" s="121">
        <f t="shared" si="574"/>
        <v>1</v>
      </c>
      <c r="J1409" s="121">
        <f t="shared" si="575"/>
        <v>1</v>
      </c>
      <c r="K1409" s="120">
        <f t="shared" si="576"/>
        <v>0</v>
      </c>
      <c r="L1409" s="120">
        <f t="shared" si="577"/>
        <v>0</v>
      </c>
      <c r="M1409" s="246">
        <f t="shared" si="578"/>
        <v>0</v>
      </c>
      <c r="N1409" s="121">
        <f t="shared" si="579"/>
        <v>1</v>
      </c>
      <c r="O1409" s="246">
        <f t="shared" si="580"/>
        <v>0.92</v>
      </c>
      <c r="P1409" s="121">
        <f t="shared" si="581"/>
        <v>0</v>
      </c>
      <c r="Q1409" s="121">
        <f t="shared" si="582"/>
        <v>0</v>
      </c>
      <c r="R1409" s="121">
        <f t="shared" si="583"/>
        <v>1</v>
      </c>
      <c r="AE1409" s="160">
        <f t="shared" si="584"/>
        <v>1</v>
      </c>
    </row>
    <row r="1410" spans="1:31" x14ac:dyDescent="0.3">
      <c r="A1410" s="187">
        <v>41</v>
      </c>
      <c r="B1410" s="242">
        <f t="shared" si="585"/>
        <v>46874</v>
      </c>
      <c r="C1410" s="243">
        <f t="shared" si="568"/>
        <v>46904</v>
      </c>
      <c r="D1410" s="120">
        <f t="shared" si="569"/>
        <v>31</v>
      </c>
      <c r="E1410" s="120">
        <f t="shared" si="570"/>
        <v>5</v>
      </c>
      <c r="F1410" s="275">
        <f t="shared" si="571"/>
        <v>46889.5</v>
      </c>
      <c r="G1410" s="120">
        <f t="shared" si="572"/>
        <v>24340</v>
      </c>
      <c r="H1410" s="245">
        <f t="shared" si="573"/>
        <v>1</v>
      </c>
      <c r="I1410" s="121">
        <f t="shared" si="574"/>
        <v>1</v>
      </c>
      <c r="J1410" s="121">
        <f t="shared" si="575"/>
        <v>1</v>
      </c>
      <c r="K1410" s="120">
        <f t="shared" si="576"/>
        <v>0</v>
      </c>
      <c r="L1410" s="120">
        <f t="shared" si="577"/>
        <v>0</v>
      </c>
      <c r="M1410" s="246">
        <f t="shared" si="578"/>
        <v>0</v>
      </c>
      <c r="N1410" s="121">
        <f t="shared" si="579"/>
        <v>1</v>
      </c>
      <c r="O1410" s="246">
        <f t="shared" si="580"/>
        <v>0.92</v>
      </c>
      <c r="P1410" s="121">
        <f t="shared" si="581"/>
        <v>0</v>
      </c>
      <c r="Q1410" s="121">
        <f t="shared" si="582"/>
        <v>0</v>
      </c>
      <c r="R1410" s="121">
        <f t="shared" si="583"/>
        <v>1</v>
      </c>
      <c r="AE1410" s="160">
        <f t="shared" si="584"/>
        <v>1</v>
      </c>
    </row>
    <row r="1411" spans="1:31" x14ac:dyDescent="0.3">
      <c r="A1411" s="187">
        <v>42</v>
      </c>
      <c r="B1411" s="242">
        <f t="shared" si="585"/>
        <v>46905</v>
      </c>
      <c r="C1411" s="243">
        <f t="shared" si="568"/>
        <v>46934</v>
      </c>
      <c r="D1411" s="120">
        <f t="shared" si="569"/>
        <v>30</v>
      </c>
      <c r="E1411" s="120">
        <f t="shared" si="570"/>
        <v>6</v>
      </c>
      <c r="F1411" s="275">
        <f t="shared" si="571"/>
        <v>46920</v>
      </c>
      <c r="G1411" s="120">
        <f t="shared" si="572"/>
        <v>24341</v>
      </c>
      <c r="H1411" s="245">
        <f t="shared" si="573"/>
        <v>1</v>
      </c>
      <c r="I1411" s="121">
        <f t="shared" si="574"/>
        <v>1</v>
      </c>
      <c r="J1411" s="121">
        <f t="shared" si="575"/>
        <v>1</v>
      </c>
      <c r="K1411" s="120">
        <f t="shared" si="576"/>
        <v>0</v>
      </c>
      <c r="L1411" s="120">
        <f t="shared" si="577"/>
        <v>0</v>
      </c>
      <c r="M1411" s="246">
        <f t="shared" si="578"/>
        <v>0</v>
      </c>
      <c r="N1411" s="121">
        <f t="shared" si="579"/>
        <v>1</v>
      </c>
      <c r="O1411" s="246">
        <f t="shared" si="580"/>
        <v>0.92</v>
      </c>
      <c r="P1411" s="121">
        <f t="shared" si="581"/>
        <v>0</v>
      </c>
      <c r="Q1411" s="121">
        <f t="shared" si="582"/>
        <v>0</v>
      </c>
      <c r="R1411" s="121">
        <f t="shared" si="583"/>
        <v>1</v>
      </c>
      <c r="AE1411" s="160">
        <f t="shared" si="584"/>
        <v>1</v>
      </c>
    </row>
    <row r="1412" spans="1:31" x14ac:dyDescent="0.3">
      <c r="A1412" s="187">
        <v>43</v>
      </c>
      <c r="B1412" s="242">
        <f t="shared" si="585"/>
        <v>46935</v>
      </c>
      <c r="C1412" s="243">
        <f t="shared" si="568"/>
        <v>46965</v>
      </c>
      <c r="D1412" s="120">
        <f t="shared" si="569"/>
        <v>31</v>
      </c>
      <c r="E1412" s="120">
        <f t="shared" si="570"/>
        <v>7</v>
      </c>
      <c r="F1412" s="275">
        <f t="shared" si="571"/>
        <v>46950.5</v>
      </c>
      <c r="G1412" s="120">
        <f t="shared" si="572"/>
        <v>24342</v>
      </c>
      <c r="H1412" s="245">
        <f t="shared" si="573"/>
        <v>1</v>
      </c>
      <c r="I1412" s="121">
        <f t="shared" si="574"/>
        <v>1</v>
      </c>
      <c r="J1412" s="121">
        <f t="shared" si="575"/>
        <v>1</v>
      </c>
      <c r="K1412" s="120">
        <f t="shared" si="576"/>
        <v>0</v>
      </c>
      <c r="L1412" s="120">
        <f t="shared" si="577"/>
        <v>0</v>
      </c>
      <c r="M1412" s="246">
        <f t="shared" si="578"/>
        <v>0</v>
      </c>
      <c r="N1412" s="121">
        <f t="shared" si="579"/>
        <v>1</v>
      </c>
      <c r="O1412" s="246">
        <f t="shared" si="580"/>
        <v>0.92</v>
      </c>
      <c r="P1412" s="121">
        <f t="shared" si="581"/>
        <v>0</v>
      </c>
      <c r="Q1412" s="121">
        <f t="shared" si="582"/>
        <v>0</v>
      </c>
      <c r="R1412" s="121">
        <f t="shared" si="583"/>
        <v>0.91666666666666663</v>
      </c>
      <c r="AE1412" s="160">
        <f t="shared" si="584"/>
        <v>1</v>
      </c>
    </row>
    <row r="1413" spans="1:31" x14ac:dyDescent="0.3">
      <c r="A1413" s="187">
        <v>44</v>
      </c>
      <c r="B1413" s="242">
        <f t="shared" si="585"/>
        <v>46966</v>
      </c>
      <c r="C1413" s="243">
        <f t="shared" si="568"/>
        <v>46996</v>
      </c>
      <c r="D1413" s="120">
        <f t="shared" si="569"/>
        <v>31</v>
      </c>
      <c r="E1413" s="120">
        <f t="shared" si="570"/>
        <v>8</v>
      </c>
      <c r="F1413" s="275">
        <f t="shared" si="571"/>
        <v>46981.5</v>
      </c>
      <c r="G1413" s="120">
        <f t="shared" si="572"/>
        <v>24343</v>
      </c>
      <c r="H1413" s="245">
        <f t="shared" si="573"/>
        <v>1</v>
      </c>
      <c r="I1413" s="121">
        <f t="shared" si="574"/>
        <v>1</v>
      </c>
      <c r="J1413" s="121">
        <f t="shared" si="575"/>
        <v>1</v>
      </c>
      <c r="K1413" s="120">
        <f t="shared" si="576"/>
        <v>0</v>
      </c>
      <c r="L1413" s="120">
        <f t="shared" si="577"/>
        <v>0</v>
      </c>
      <c r="M1413" s="246">
        <f t="shared" si="578"/>
        <v>0</v>
      </c>
      <c r="N1413" s="121">
        <f t="shared" si="579"/>
        <v>1</v>
      </c>
      <c r="O1413" s="246">
        <f t="shared" si="580"/>
        <v>0.92</v>
      </c>
      <c r="P1413" s="121">
        <f t="shared" si="581"/>
        <v>0</v>
      </c>
      <c r="Q1413" s="121">
        <f t="shared" si="582"/>
        <v>0</v>
      </c>
      <c r="R1413" s="121">
        <f t="shared" si="583"/>
        <v>0.75</v>
      </c>
      <c r="AE1413" s="160">
        <f t="shared" si="584"/>
        <v>1</v>
      </c>
    </row>
    <row r="1414" spans="1:31" x14ac:dyDescent="0.3">
      <c r="A1414" s="187">
        <v>45</v>
      </c>
      <c r="B1414" s="242">
        <f t="shared" si="585"/>
        <v>46997</v>
      </c>
      <c r="C1414" s="243">
        <f t="shared" si="568"/>
        <v>47026</v>
      </c>
      <c r="D1414" s="120">
        <f t="shared" si="569"/>
        <v>30</v>
      </c>
      <c r="E1414" s="120">
        <f t="shared" si="570"/>
        <v>9</v>
      </c>
      <c r="F1414" s="275">
        <f t="shared" si="571"/>
        <v>47012</v>
      </c>
      <c r="G1414" s="120">
        <f t="shared" si="572"/>
        <v>24344</v>
      </c>
      <c r="H1414" s="245">
        <f t="shared" si="573"/>
        <v>1</v>
      </c>
      <c r="I1414" s="121">
        <f t="shared" si="574"/>
        <v>1</v>
      </c>
      <c r="J1414" s="121">
        <f t="shared" si="575"/>
        <v>1</v>
      </c>
      <c r="K1414" s="120">
        <f t="shared" si="576"/>
        <v>0</v>
      </c>
      <c r="L1414" s="120">
        <f t="shared" si="577"/>
        <v>0</v>
      </c>
      <c r="M1414" s="246">
        <f t="shared" si="578"/>
        <v>0</v>
      </c>
      <c r="N1414" s="121">
        <f t="shared" si="579"/>
        <v>1</v>
      </c>
      <c r="O1414" s="246">
        <f t="shared" si="580"/>
        <v>0.92</v>
      </c>
      <c r="P1414" s="121">
        <f t="shared" si="581"/>
        <v>0</v>
      </c>
      <c r="Q1414" s="121">
        <f t="shared" si="582"/>
        <v>0</v>
      </c>
      <c r="R1414" s="121">
        <f t="shared" si="583"/>
        <v>0.58333333333333337</v>
      </c>
      <c r="AE1414" s="160">
        <f t="shared" si="584"/>
        <v>1</v>
      </c>
    </row>
    <row r="1415" spans="1:31" x14ac:dyDescent="0.3">
      <c r="A1415" s="187">
        <v>46</v>
      </c>
      <c r="B1415" s="242">
        <f t="shared" si="585"/>
        <v>47027</v>
      </c>
      <c r="C1415" s="243">
        <f t="shared" si="568"/>
        <v>47057</v>
      </c>
      <c r="D1415" s="120">
        <f t="shared" si="569"/>
        <v>31</v>
      </c>
      <c r="E1415" s="120">
        <f t="shared" si="570"/>
        <v>10</v>
      </c>
      <c r="F1415" s="275">
        <f t="shared" si="571"/>
        <v>47042.5</v>
      </c>
      <c r="G1415" s="120">
        <f t="shared" si="572"/>
        <v>24345</v>
      </c>
      <c r="H1415" s="245">
        <f t="shared" si="573"/>
        <v>1</v>
      </c>
      <c r="I1415" s="121">
        <f t="shared" si="574"/>
        <v>1</v>
      </c>
      <c r="J1415" s="121">
        <f t="shared" si="575"/>
        <v>1</v>
      </c>
      <c r="K1415" s="120">
        <f t="shared" si="576"/>
        <v>0</v>
      </c>
      <c r="L1415" s="120">
        <f t="shared" si="577"/>
        <v>0</v>
      </c>
      <c r="M1415" s="246">
        <f t="shared" si="578"/>
        <v>0</v>
      </c>
      <c r="N1415" s="121">
        <f t="shared" si="579"/>
        <v>1</v>
      </c>
      <c r="O1415" s="246">
        <f t="shared" si="580"/>
        <v>0.92</v>
      </c>
      <c r="P1415" s="121">
        <f t="shared" si="581"/>
        <v>0</v>
      </c>
      <c r="Q1415" s="121">
        <f t="shared" si="582"/>
        <v>0</v>
      </c>
      <c r="R1415" s="121">
        <f t="shared" si="583"/>
        <v>0.41666666666666669</v>
      </c>
      <c r="AE1415" s="160">
        <f t="shared" si="584"/>
        <v>1</v>
      </c>
    </row>
    <row r="1416" spans="1:31" x14ac:dyDescent="0.3">
      <c r="A1416" s="187">
        <v>47</v>
      </c>
      <c r="B1416" s="242">
        <f t="shared" si="585"/>
        <v>47058</v>
      </c>
      <c r="C1416" s="243">
        <f t="shared" si="568"/>
        <v>47087</v>
      </c>
      <c r="D1416" s="120">
        <f t="shared" si="569"/>
        <v>30</v>
      </c>
      <c r="E1416" s="120">
        <f t="shared" si="570"/>
        <v>11</v>
      </c>
      <c r="F1416" s="275">
        <f t="shared" si="571"/>
        <v>47073</v>
      </c>
      <c r="G1416" s="120">
        <f t="shared" si="572"/>
        <v>24346</v>
      </c>
      <c r="H1416" s="245">
        <f t="shared" si="573"/>
        <v>1</v>
      </c>
      <c r="I1416" s="121">
        <f t="shared" si="574"/>
        <v>1</v>
      </c>
      <c r="J1416" s="121">
        <f t="shared" si="575"/>
        <v>1</v>
      </c>
      <c r="K1416" s="120">
        <f t="shared" si="576"/>
        <v>0</v>
      </c>
      <c r="L1416" s="120">
        <f t="shared" si="577"/>
        <v>0</v>
      </c>
      <c r="M1416" s="246">
        <f t="shared" si="578"/>
        <v>0</v>
      </c>
      <c r="N1416" s="121">
        <f t="shared" si="579"/>
        <v>1</v>
      </c>
      <c r="O1416" s="246">
        <f t="shared" si="580"/>
        <v>0.92</v>
      </c>
      <c r="P1416" s="121">
        <f t="shared" si="581"/>
        <v>0</v>
      </c>
      <c r="Q1416" s="121">
        <f t="shared" si="582"/>
        <v>0</v>
      </c>
      <c r="R1416" s="121">
        <f t="shared" si="583"/>
        <v>0.25</v>
      </c>
      <c r="AE1416" s="160">
        <f t="shared" si="584"/>
        <v>1</v>
      </c>
    </row>
    <row r="1417" spans="1:31" x14ac:dyDescent="0.3">
      <c r="A1417" s="187">
        <v>48</v>
      </c>
      <c r="B1417" s="242">
        <f t="shared" si="585"/>
        <v>47088</v>
      </c>
      <c r="C1417" s="243">
        <f t="shared" si="568"/>
        <v>47118</v>
      </c>
      <c r="D1417" s="120">
        <f t="shared" si="569"/>
        <v>31</v>
      </c>
      <c r="E1417" s="120">
        <f t="shared" si="570"/>
        <v>12</v>
      </c>
      <c r="F1417" s="275">
        <f t="shared" si="571"/>
        <v>47103.5</v>
      </c>
      <c r="G1417" s="120">
        <f t="shared" si="572"/>
        <v>24347</v>
      </c>
      <c r="H1417" s="245">
        <f t="shared" si="573"/>
        <v>1</v>
      </c>
      <c r="I1417" s="121">
        <f t="shared" si="574"/>
        <v>1</v>
      </c>
      <c r="J1417" s="121">
        <f t="shared" si="575"/>
        <v>1</v>
      </c>
      <c r="K1417" s="120">
        <f t="shared" si="576"/>
        <v>0</v>
      </c>
      <c r="L1417" s="120">
        <f t="shared" si="577"/>
        <v>0</v>
      </c>
      <c r="M1417" s="246">
        <f t="shared" si="578"/>
        <v>0</v>
      </c>
      <c r="N1417" s="121">
        <f t="shared" si="579"/>
        <v>1</v>
      </c>
      <c r="O1417" s="246">
        <f t="shared" si="580"/>
        <v>0.92</v>
      </c>
      <c r="P1417" s="121">
        <f t="shared" si="581"/>
        <v>0</v>
      </c>
      <c r="Q1417" s="121">
        <f t="shared" si="582"/>
        <v>0</v>
      </c>
      <c r="R1417" s="121">
        <f t="shared" si="583"/>
        <v>8.3333333333333329E-2</v>
      </c>
      <c r="AE1417" s="160">
        <f t="shared" si="584"/>
        <v>1</v>
      </c>
    </row>
    <row r="1418" spans="1:31" x14ac:dyDescent="0.3">
      <c r="A1418" s="23" t="s">
        <v>1723</v>
      </c>
      <c r="B1418" s="279">
        <f>SUM($H$1394:$H$1405)</f>
        <v>12</v>
      </c>
      <c r="C1418" s="160">
        <f>SUMPRODUCT($H$1394:$H$1405,$W$1394:$W$1405/$N$1382:$N$1393,$Y$1394:$Y$1405)</f>
        <v>12.105553761757276</v>
      </c>
      <c r="D1418" s="160">
        <f>SUMPRODUCT($H$1394:$H$1405,$X$1394:$X$1405/$N$1382:$N$1393,$Y$1394:$Y$1405)</f>
        <v>9.0790782577221858</v>
      </c>
      <c r="E1418" s="281" t="str">
        <f>IF(OR($D$1367=0,$P$1367=0,$D1418=0),"n/a",((1+$E$1367)*$B1418-$C1418)/$D1418)</f>
        <v>n/a</v>
      </c>
      <c r="F1418" s="281" t="str">
        <f>IF($V$1367&lt;&gt;"",$V$1367,$E1418)</f>
        <v>n/a</v>
      </c>
      <c r="G1418" s="281" t="str">
        <f>IF(OR(NOT(ISNUMBER($F1418)),nd_Ach=0),"n/a",$F1418/nd_Ach)</f>
        <v>n/a</v>
      </c>
      <c r="H1418" s="220" t="str">
        <f>IF(OR(NOT(ISNUMBER($F1418)),$F$1367=0,SUMPRODUCT($AD$1394:$AD$1405,$AB$1394:$AB$1405)=0),"n/a",((1+$E$1367)*$B1418-SUMPRODUCT($AD$1394:$AD$1405,$AC$1394:$AC$1405))/SUMPRODUCT($AD$1394:$AD$1405,$AB$1394:$AB$1405))</f>
        <v>n/a</v>
      </c>
      <c r="I1418" s="183" t="str">
        <f>IF(NOT(ISNUMBER($F1418)),"n/a",SUMPRODUCT($H$1394:$H$1405,($W$1394:$W$1405+$X$1394:$X$1405*$F1418)/$N$1382:$N$1393)/$B1418-1)</f>
        <v>n/a</v>
      </c>
      <c r="J1418" s="183" t="str">
        <f>IF(OR(NOT(ISNUMBER($I1418)),$F$1367=0),"n/a",(1+$E$1367)/(1+$I1418)-1)</f>
        <v>n/a</v>
      </c>
      <c r="K1418" s="183" t="str">
        <f>IF(NOT(ISNUMBER($F1418)),"n/a",($C1418+$D1418*$F1418)/$B1418-1)</f>
        <v>n/a</v>
      </c>
      <c r="L1418" s="229" t="str">
        <f>IF(NOT(ISNUMBER($F1418)),"n/a",SUMPRODUCT($H$1394:$H$1405,$AF$1394:$AF$1405)/$B1418)</f>
        <v>n/a</v>
      </c>
      <c r="M1418" s="23" t="str">
        <f>IF($D$1367=0,"",TRIM(IF(AND(ISNUMBER($H1418),OR($H1418&lt;0.5,$H1418&gt;1.5)),"MOD-BOUND ","")&amp;IF(AND(ISNUMBER($F1418),ABS($F1418)&gt;nr_SolvMaxRate),"RATE-BOUND ","")&amp;IF(AND(ISNUMBER($L1418),$L1418&lt;nr_SolvMinShare),"THIN-SHARE ","")&amp;IF($W$1367&gt;1,"MULTI-PLANNED ","")&amp;IF($F$1367=0,"RATE-ONLY","")))</f>
        <v/>
      </c>
      <c r="N1418" s="229" t="str">
        <f>IF(OR($D$1367=0,NOT(ISNUMBER($F1418))),"n/a",INDEX(calc_lrcur,$C$1367)*INDEX(calc_crl,$C$1367)/(SUMPRODUCT($H$1370:$H$1417,$Q$1370:$Q$1417,$AE$1370:$AE$1417)/SUMPRODUCT($H$1370:$H$1417,$Q$1370:$Q$1417))*INDEX(calc_aother,$C$1367))</f>
        <v>n/a</v>
      </c>
      <c r="O1418" s="229" t="str">
        <f>IF($D$1367=0,"n/a",INDEX(calc_cylr_p,$C$1367))</f>
        <v>n/a</v>
      </c>
      <c r="P1418" s="282">
        <f>IF(NOT(ISNUMBER($E1418)),0,ABS(($C1418+$D1418*$E1418)/$B1418-(1+$E$1367)))</f>
        <v>0</v>
      </c>
    </row>
    <row r="1423" spans="1:31" x14ac:dyDescent="0.3">
      <c r="A1423" s="23" t="str">
        <f>_lists!$B$24</f>
        <v/>
      </c>
      <c r="B1423" s="23" t="str">
        <f>IF(OR($A1423="",nd_BU="All"),"",nd_BU&amp;"|"&amp;$A1423)</f>
        <v/>
      </c>
      <c r="C1423" s="43">
        <f>IF($B1423="",0,IF(COUNTIF(lr_key,$B1423)=0,0,MATCH($B1423,lr_key,0)))</f>
        <v>0</v>
      </c>
      <c r="D1423" s="43">
        <f>IF($C1423=0,0,IF(ISBLANK(INDEX(lr_netp,$C1423)),0,1))</f>
        <v>0</v>
      </c>
      <c r="E1423" s="229">
        <f>IF($D1423=0,0,N(INDEX(lr_netp,$C1423)))</f>
        <v>0</v>
      </c>
      <c r="F1423" s="43">
        <f>IF($C1423=0,0,IF(AND(nr_ModAdjMaster="ON",INDEX(lr_modadj,$C1423)="ON"),1,0))</f>
        <v>0</v>
      </c>
      <c r="G1423" s="220">
        <f>IF($C1423=0,1,IF(N(INDEX(lr_mind,$C1423))=0,1,INDEX(lr_mind,$C1423)))</f>
        <v>1</v>
      </c>
      <c r="H1423" s="220">
        <f>IF($C1423=0,1,IF(N(INDEX(lr_m0,$C1423))=0,1,INDEX(lr_m0,$C1423)))</f>
        <v>1</v>
      </c>
      <c r="I1423" s="278">
        <f>IF($C1423=0,DATE(nr_PlanYear-1,10,1),IF(N(INDEX(lr_m0asof,$C1423))=0,DATE(nr_PlanYear-1,10,1),INDEX(lr_m0asof,$C1423)))</f>
        <v>46296</v>
      </c>
      <c r="J1423" s="220">
        <f>IF($C1423=0,1,IF(N(INDEX(lr_m1,$C1423))=0,1,INDEX(lr_m1,$C1423)))</f>
        <v>1</v>
      </c>
      <c r="K1423" s="220">
        <f>IF($C1423=0,0,N(INDEX(lr_mprior,$C1423)))</f>
        <v>0</v>
      </c>
      <c r="L1423" s="220">
        <f>IF($C1423=0,0,N(INDEX(lr_m2,$C1423)))</f>
        <v>0</v>
      </c>
      <c r="M1423" s="43">
        <f>IF(OR($A1423="",COUNTIF(se_state,$A1423)=0),0,MATCH($A1423,se_state,0))</f>
        <v>0</v>
      </c>
      <c r="N1423" s="279">
        <f>IF($M1423=0,0,INDEX(se_sum,$M1423))</f>
        <v>0</v>
      </c>
      <c r="O1423" s="278">
        <f>IF('Net Delivery'!$D$30="",$X1423,'Net Delivery'!$D$30)</f>
        <v>46478</v>
      </c>
      <c r="P1423" s="43">
        <f>IF(AND($O1423&gt;=DATE(nr_PlanYear,1,1),$O1423&lt;=DATE(nr_PlanYear,12,31)),1,0)</f>
        <v>1</v>
      </c>
      <c r="Q1423" s="43">
        <f>YEAR($O1423)*12+MONTH($O1423)-1</f>
        <v>24327</v>
      </c>
      <c r="R1423" s="43">
        <f>DAY(EOMONTH($O1423,0))</f>
        <v>30</v>
      </c>
      <c r="S1423" s="43">
        <f>EOMONTH($O1423,0)-$O1423+1</f>
        <v>30</v>
      </c>
      <c r="T1423" s="43">
        <f>SUMIFS(ndl_days,rl_key,$B1423,ndl_effmonth,DATE(YEAR($O1423),MONTH($O1423),1),ndl_first,1)</f>
        <v>0</v>
      </c>
      <c r="U1423" s="220">
        <f>IF($P1423=1,MIN(1,MAX($S1423,$T1423)/$R1423),1)</f>
        <v>1</v>
      </c>
      <c r="V1423" s="280" t="str">
        <f>IF(ISBLANK('Net Delivery'!$E$30),$Y1423,'Net Delivery'!$E$30)</f>
        <v/>
      </c>
      <c r="W1423" s="43">
        <f>IF($B1423="",0,COUNTIFS(rl_key,$B1423,rl_status,"planned",rl_eff,"&gt;="&amp;DATE(nr_PlanYear,1,1),rl_eff,"&lt;="&amp;DATE(nr_PlanYear,12,31)))</f>
        <v>0</v>
      </c>
      <c r="X1423" s="278">
        <f>IF($W1423=0,nd_DefaultDate,SUMIFS(rl_eff,rl_key,$B1423,rl_firstplanned,1))</f>
        <v>46478</v>
      </c>
      <c r="Y1423" s="280" t="str">
        <f>IF($W1423=0,"",SUMIFS(rl_reff,rl_key,$B1423,rl_firstplanned,1))</f>
        <v/>
      </c>
      <c r="Z1423" s="280" t="str">
        <f>IF($W1423=0,"",SUMIFS(rl_filed,rl_key,$B1423,rl_firstplanned,1))</f>
        <v/>
      </c>
    </row>
    <row r="1424" spans="1:31" x14ac:dyDescent="0.3">
      <c r="A1424" s="6">
        <f>EDATE($I$1423,-12)+1</f>
        <v>45932</v>
      </c>
      <c r="B1424" s="6">
        <f>$I$1423+1</f>
        <v>46297</v>
      </c>
      <c r="C1424" s="6">
        <f>DATE(nr_PlanYear,12,31)+1</f>
        <v>46753</v>
      </c>
      <c r="D1424" s="6">
        <f>DATE(nr_PlanYear+1,12,31)+1</f>
        <v>47119</v>
      </c>
      <c r="E1424" s="6">
        <f>IF(N($K$1423)=0,$F$1424-($G$1424-$F$1424)/($C$1424-$B$1424)*($B$1424-$A$1424),$K$1423)</f>
        <v>1</v>
      </c>
      <c r="F1424" s="6">
        <f>$H$1423</f>
        <v>1</v>
      </c>
      <c r="G1424" s="6">
        <f>$J$1423</f>
        <v>1</v>
      </c>
      <c r="H1424" s="6">
        <f>IF(N($L$1423)=0,$J$1423,$L$1423)</f>
        <v>1</v>
      </c>
      <c r="I1424" s="6">
        <f>($F$1424-$E$1424)/($B$1424-$A$1424)</f>
        <v>0</v>
      </c>
      <c r="J1424" s="6">
        <f>($G$1424-$F$1424)/($C$1424-$B$1424)</f>
        <v>0</v>
      </c>
      <c r="K1424" s="6">
        <f>($H$1424-$G$1424)/($D$1424-$C$1424)</f>
        <v>0</v>
      </c>
    </row>
    <row r="1425" spans="1:31" ht="36" x14ac:dyDescent="0.3">
      <c r="A1425" s="58" t="s">
        <v>390</v>
      </c>
      <c r="B1425" s="58" t="s">
        <v>449</v>
      </c>
      <c r="C1425" s="58" t="s">
        <v>685</v>
      </c>
      <c r="D1425" s="58" t="s">
        <v>686</v>
      </c>
      <c r="E1425" s="58" t="s">
        <v>687</v>
      </c>
      <c r="F1425" s="58" t="s">
        <v>688</v>
      </c>
      <c r="G1425" s="58" t="s">
        <v>689</v>
      </c>
      <c r="H1425" s="58" t="s">
        <v>452</v>
      </c>
      <c r="I1425" s="58" t="s">
        <v>690</v>
      </c>
      <c r="J1425" s="58" t="s">
        <v>691</v>
      </c>
      <c r="K1425" s="58" t="s">
        <v>692</v>
      </c>
      <c r="L1425" s="58" t="s">
        <v>693</v>
      </c>
      <c r="M1425" s="58" t="s">
        <v>694</v>
      </c>
      <c r="N1425" s="58" t="s">
        <v>695</v>
      </c>
      <c r="O1425" s="58" t="s">
        <v>696</v>
      </c>
      <c r="P1425" s="58" t="s">
        <v>697</v>
      </c>
      <c r="Q1425" s="58" t="s">
        <v>698</v>
      </c>
      <c r="R1425" s="58" t="s">
        <v>699</v>
      </c>
      <c r="S1425" s="58" t="s">
        <v>700</v>
      </c>
      <c r="T1425" s="58" t="s">
        <v>701</v>
      </c>
      <c r="U1425" s="58" t="s">
        <v>702</v>
      </c>
    </row>
    <row r="1426" spans="1:31" x14ac:dyDescent="0.3">
      <c r="A1426" s="187">
        <v>1</v>
      </c>
      <c r="B1426" s="242">
        <f>DATE(nr_PlanYear-2,1,1)</f>
        <v>45658</v>
      </c>
      <c r="C1426" s="243">
        <f t="shared" ref="C1426:C1473" si="596">EOMONTH($B1426,0)</f>
        <v>45688</v>
      </c>
      <c r="D1426" s="120">
        <f t="shared" ref="D1426:D1473" si="597">$C1426-$B1426+1</f>
        <v>31</v>
      </c>
      <c r="E1426" s="120">
        <f t="shared" ref="E1426:E1473" si="598">MONTH($B1426)</f>
        <v>1</v>
      </c>
      <c r="F1426" s="275">
        <f t="shared" ref="F1426:F1473" si="599">($B1426+$C1426+1)/2</f>
        <v>45673.5</v>
      </c>
      <c r="G1426" s="120">
        <f t="shared" ref="G1426:G1473" si="600">YEAR($B1426)*12+MONTH($B1426)-1</f>
        <v>24300</v>
      </c>
      <c r="H1426" s="245">
        <f t="shared" ref="H1426:H1473" si="601">IF(OR(nr_SeasonOn="OFF",$M$1423=0,$N$1423=0),1,12*INDEX(se_block,$M$1423,$E1426)/$N$1423)</f>
        <v>1</v>
      </c>
      <c r="I1426" s="121">
        <f t="shared" ref="I1426:I1473" si="602">EXP(SUMPRODUCT((ndl_eff&lt;$B1426)*(rl_key=$B$1423)*ndl_ln))</f>
        <v>1</v>
      </c>
      <c r="J1426" s="121">
        <f t="shared" ref="J1426:J1473" si="603">EXP(SUMPRODUCT((ndl_eff&lt;=$C1426)*(rl_key=$B$1423)*ndl_ln))</f>
        <v>1</v>
      </c>
      <c r="K1426" s="120">
        <f t="shared" ref="K1426:K1473" si="604">COUNTIFS(rl_key,$B$1423,ndl_eff,"&gt;="&amp;$B1426,ndl_eff,"&lt;="&amp;$C1426)</f>
        <v>0</v>
      </c>
      <c r="L1426" s="120">
        <f t="shared" ref="L1426:L1473" si="605">SUMIFS(ndl_days,rl_key,$B$1423,ndl_effmonth,$B1426,ndl_first,1)</f>
        <v>0</v>
      </c>
      <c r="M1426" s="246">
        <f t="shared" ref="M1426:M1473" si="606">IF($K1426=0,0,MIN(1,$L1426/$D1426))</f>
        <v>0</v>
      </c>
      <c r="N1426" s="121">
        <f t="shared" ref="N1426:N1473" si="607">IF($K1426=0,$J1426,(1-$M1426)*$I1426+$M1426*$J1426)</f>
        <v>1</v>
      </c>
      <c r="O1426" s="246">
        <f t="shared" ref="O1426:O1473" si="608">IF($F1426&lt;$B$1424,$E$1424+$I$1424*($F1426-$A$1424),IF($F1426&lt;$C$1424,$F$1424+$J$1424*($F1426-$B$1424),$G$1424+$K$1424*($F1426-$C$1424)))</f>
        <v>1</v>
      </c>
      <c r="P1426" s="121">
        <f t="shared" ref="P1426:P1473" si="609">MIN(1,MAX(0,(nr_MEndPm1-$G1426+0.5)/nr_TermMonths))-MIN(1,MAX(0,(nr_MStartPm1-1-$G1426+0.5)/nr_TermMonths))</f>
        <v>0</v>
      </c>
      <c r="Q1426" s="121">
        <f t="shared" ref="Q1426:Q1473" si="610">MIN(1,MAX(0,(nr_MEndP-$G1426+0.5)/nr_TermMonths))-MIN(1,MAX(0,(nr_MStartP-1-$G1426+0.5)/nr_TermMonths))</f>
        <v>0</v>
      </c>
      <c r="R1426" s="121">
        <f t="shared" ref="R1426:R1473" si="611">MIN(1,MAX(0,(nr_MEndP1-$G1426+0.5)/nr_TermMonths))-MIN(1,MAX(0,(nr_MStartP1-1-$G1426+0.5)/nr_TermMonths))</f>
        <v>0</v>
      </c>
      <c r="AE1426" s="160">
        <f t="shared" ref="AE1426:AE1473" si="612">IF(OR($G1426&lt;nr_MStartP,$G1426&gt;=nr_MStartP1),IF($F$1423=1,$N1426*$O1426/$G$1423,$N1426),($W1426+$X1426*IF(ISNUMBER($F$1474),$F$1474,0))*IF($F$1423=1,($AC1426+$AB1426*IF(ISNUMBER($H$1474),$H$1474,$J$1423))/$G$1423,1))</f>
        <v>1</v>
      </c>
    </row>
    <row r="1427" spans="1:31" x14ac:dyDescent="0.3">
      <c r="A1427" s="187">
        <v>2</v>
      </c>
      <c r="B1427" s="242">
        <f t="shared" ref="B1427:B1473" si="613">EDATE($B1426,1)</f>
        <v>45689</v>
      </c>
      <c r="C1427" s="243">
        <f t="shared" si="596"/>
        <v>45716</v>
      </c>
      <c r="D1427" s="120">
        <f t="shared" si="597"/>
        <v>28</v>
      </c>
      <c r="E1427" s="120">
        <f t="shared" si="598"/>
        <v>2</v>
      </c>
      <c r="F1427" s="275">
        <f t="shared" si="599"/>
        <v>45703</v>
      </c>
      <c r="G1427" s="120">
        <f t="shared" si="600"/>
        <v>24301</v>
      </c>
      <c r="H1427" s="245">
        <f t="shared" si="601"/>
        <v>1</v>
      </c>
      <c r="I1427" s="121">
        <f t="shared" si="602"/>
        <v>1</v>
      </c>
      <c r="J1427" s="121">
        <f t="shared" si="603"/>
        <v>1</v>
      </c>
      <c r="K1427" s="120">
        <f t="shared" si="604"/>
        <v>0</v>
      </c>
      <c r="L1427" s="120">
        <f t="shared" si="605"/>
        <v>0</v>
      </c>
      <c r="M1427" s="246">
        <f t="shared" si="606"/>
        <v>0</v>
      </c>
      <c r="N1427" s="121">
        <f t="shared" si="607"/>
        <v>1</v>
      </c>
      <c r="O1427" s="246">
        <f t="shared" si="608"/>
        <v>1</v>
      </c>
      <c r="P1427" s="121">
        <f t="shared" si="609"/>
        <v>0</v>
      </c>
      <c r="Q1427" s="121">
        <f t="shared" si="610"/>
        <v>0</v>
      </c>
      <c r="R1427" s="121">
        <f t="shared" si="611"/>
        <v>0</v>
      </c>
      <c r="AE1427" s="160">
        <f t="shared" si="612"/>
        <v>1</v>
      </c>
    </row>
    <row r="1428" spans="1:31" x14ac:dyDescent="0.3">
      <c r="A1428" s="187">
        <v>3</v>
      </c>
      <c r="B1428" s="242">
        <f t="shared" si="613"/>
        <v>45717</v>
      </c>
      <c r="C1428" s="243">
        <f t="shared" si="596"/>
        <v>45747</v>
      </c>
      <c r="D1428" s="120">
        <f t="shared" si="597"/>
        <v>31</v>
      </c>
      <c r="E1428" s="120">
        <f t="shared" si="598"/>
        <v>3</v>
      </c>
      <c r="F1428" s="275">
        <f t="shared" si="599"/>
        <v>45732.5</v>
      </c>
      <c r="G1428" s="120">
        <f t="shared" si="600"/>
        <v>24302</v>
      </c>
      <c r="H1428" s="245">
        <f t="shared" si="601"/>
        <v>1</v>
      </c>
      <c r="I1428" s="121">
        <f t="shared" si="602"/>
        <v>1</v>
      </c>
      <c r="J1428" s="121">
        <f t="shared" si="603"/>
        <v>1</v>
      </c>
      <c r="K1428" s="120">
        <f t="shared" si="604"/>
        <v>0</v>
      </c>
      <c r="L1428" s="120">
        <f t="shared" si="605"/>
        <v>0</v>
      </c>
      <c r="M1428" s="246">
        <f t="shared" si="606"/>
        <v>0</v>
      </c>
      <c r="N1428" s="121">
        <f t="shared" si="607"/>
        <v>1</v>
      </c>
      <c r="O1428" s="246">
        <f t="shared" si="608"/>
        <v>1</v>
      </c>
      <c r="P1428" s="121">
        <f t="shared" si="609"/>
        <v>0</v>
      </c>
      <c r="Q1428" s="121">
        <f t="shared" si="610"/>
        <v>0</v>
      </c>
      <c r="R1428" s="121">
        <f t="shared" si="611"/>
        <v>0</v>
      </c>
      <c r="AE1428" s="160">
        <f t="shared" si="612"/>
        <v>1</v>
      </c>
    </row>
    <row r="1429" spans="1:31" x14ac:dyDescent="0.3">
      <c r="A1429" s="187">
        <v>4</v>
      </c>
      <c r="B1429" s="242">
        <f t="shared" si="613"/>
        <v>45748</v>
      </c>
      <c r="C1429" s="243">
        <f t="shared" si="596"/>
        <v>45777</v>
      </c>
      <c r="D1429" s="120">
        <f t="shared" si="597"/>
        <v>30</v>
      </c>
      <c r="E1429" s="120">
        <f t="shared" si="598"/>
        <v>4</v>
      </c>
      <c r="F1429" s="275">
        <f t="shared" si="599"/>
        <v>45763</v>
      </c>
      <c r="G1429" s="120">
        <f t="shared" si="600"/>
        <v>24303</v>
      </c>
      <c r="H1429" s="245">
        <f t="shared" si="601"/>
        <v>1</v>
      </c>
      <c r="I1429" s="121">
        <f t="shared" si="602"/>
        <v>1</v>
      </c>
      <c r="J1429" s="121">
        <f t="shared" si="603"/>
        <v>1</v>
      </c>
      <c r="K1429" s="120">
        <f t="shared" si="604"/>
        <v>0</v>
      </c>
      <c r="L1429" s="120">
        <f t="shared" si="605"/>
        <v>0</v>
      </c>
      <c r="M1429" s="246">
        <f t="shared" si="606"/>
        <v>0</v>
      </c>
      <c r="N1429" s="121">
        <f t="shared" si="607"/>
        <v>1</v>
      </c>
      <c r="O1429" s="246">
        <f t="shared" si="608"/>
        <v>1</v>
      </c>
      <c r="P1429" s="121">
        <f t="shared" si="609"/>
        <v>0</v>
      </c>
      <c r="Q1429" s="121">
        <f t="shared" si="610"/>
        <v>0</v>
      </c>
      <c r="R1429" s="121">
        <f t="shared" si="611"/>
        <v>0</v>
      </c>
      <c r="AE1429" s="160">
        <f t="shared" si="612"/>
        <v>1</v>
      </c>
    </row>
    <row r="1430" spans="1:31" x14ac:dyDescent="0.3">
      <c r="A1430" s="187">
        <v>5</v>
      </c>
      <c r="B1430" s="242">
        <f t="shared" si="613"/>
        <v>45778</v>
      </c>
      <c r="C1430" s="243">
        <f t="shared" si="596"/>
        <v>45808</v>
      </c>
      <c r="D1430" s="120">
        <f t="shared" si="597"/>
        <v>31</v>
      </c>
      <c r="E1430" s="120">
        <f t="shared" si="598"/>
        <v>5</v>
      </c>
      <c r="F1430" s="275">
        <f t="shared" si="599"/>
        <v>45793.5</v>
      </c>
      <c r="G1430" s="120">
        <f t="shared" si="600"/>
        <v>24304</v>
      </c>
      <c r="H1430" s="245">
        <f t="shared" si="601"/>
        <v>1</v>
      </c>
      <c r="I1430" s="121">
        <f t="shared" si="602"/>
        <v>1</v>
      </c>
      <c r="J1430" s="121">
        <f t="shared" si="603"/>
        <v>1</v>
      </c>
      <c r="K1430" s="120">
        <f t="shared" si="604"/>
        <v>0</v>
      </c>
      <c r="L1430" s="120">
        <f t="shared" si="605"/>
        <v>0</v>
      </c>
      <c r="M1430" s="246">
        <f t="shared" si="606"/>
        <v>0</v>
      </c>
      <c r="N1430" s="121">
        <f t="shared" si="607"/>
        <v>1</v>
      </c>
      <c r="O1430" s="246">
        <f t="shared" si="608"/>
        <v>1</v>
      </c>
      <c r="P1430" s="121">
        <f t="shared" si="609"/>
        <v>0</v>
      </c>
      <c r="Q1430" s="121">
        <f t="shared" si="610"/>
        <v>0</v>
      </c>
      <c r="R1430" s="121">
        <f t="shared" si="611"/>
        <v>0</v>
      </c>
      <c r="AE1430" s="160">
        <f t="shared" si="612"/>
        <v>1</v>
      </c>
    </row>
    <row r="1431" spans="1:31" x14ac:dyDescent="0.3">
      <c r="A1431" s="187">
        <v>6</v>
      </c>
      <c r="B1431" s="242">
        <f t="shared" si="613"/>
        <v>45809</v>
      </c>
      <c r="C1431" s="243">
        <f t="shared" si="596"/>
        <v>45838</v>
      </c>
      <c r="D1431" s="120">
        <f t="shared" si="597"/>
        <v>30</v>
      </c>
      <c r="E1431" s="120">
        <f t="shared" si="598"/>
        <v>6</v>
      </c>
      <c r="F1431" s="275">
        <f t="shared" si="599"/>
        <v>45824</v>
      </c>
      <c r="G1431" s="120">
        <f t="shared" si="600"/>
        <v>24305</v>
      </c>
      <c r="H1431" s="245">
        <f t="shared" si="601"/>
        <v>1</v>
      </c>
      <c r="I1431" s="121">
        <f t="shared" si="602"/>
        <v>1</v>
      </c>
      <c r="J1431" s="121">
        <f t="shared" si="603"/>
        <v>1</v>
      </c>
      <c r="K1431" s="120">
        <f t="shared" si="604"/>
        <v>0</v>
      </c>
      <c r="L1431" s="120">
        <f t="shared" si="605"/>
        <v>0</v>
      </c>
      <c r="M1431" s="246">
        <f t="shared" si="606"/>
        <v>0</v>
      </c>
      <c r="N1431" s="121">
        <f t="shared" si="607"/>
        <v>1</v>
      </c>
      <c r="O1431" s="246">
        <f t="shared" si="608"/>
        <v>1</v>
      </c>
      <c r="P1431" s="121">
        <f t="shared" si="609"/>
        <v>0</v>
      </c>
      <c r="Q1431" s="121">
        <f t="shared" si="610"/>
        <v>0</v>
      </c>
      <c r="R1431" s="121">
        <f t="shared" si="611"/>
        <v>0</v>
      </c>
      <c r="AE1431" s="160">
        <f t="shared" si="612"/>
        <v>1</v>
      </c>
    </row>
    <row r="1432" spans="1:31" x14ac:dyDescent="0.3">
      <c r="A1432" s="187">
        <v>7</v>
      </c>
      <c r="B1432" s="242">
        <f t="shared" si="613"/>
        <v>45839</v>
      </c>
      <c r="C1432" s="243">
        <f t="shared" si="596"/>
        <v>45869</v>
      </c>
      <c r="D1432" s="120">
        <f t="shared" si="597"/>
        <v>31</v>
      </c>
      <c r="E1432" s="120">
        <f t="shared" si="598"/>
        <v>7</v>
      </c>
      <c r="F1432" s="275">
        <f t="shared" si="599"/>
        <v>45854.5</v>
      </c>
      <c r="G1432" s="120">
        <f t="shared" si="600"/>
        <v>24306</v>
      </c>
      <c r="H1432" s="245">
        <f t="shared" si="601"/>
        <v>1</v>
      </c>
      <c r="I1432" s="121">
        <f t="shared" si="602"/>
        <v>1</v>
      </c>
      <c r="J1432" s="121">
        <f t="shared" si="603"/>
        <v>1</v>
      </c>
      <c r="K1432" s="120">
        <f t="shared" si="604"/>
        <v>0</v>
      </c>
      <c r="L1432" s="120">
        <f t="shared" si="605"/>
        <v>0</v>
      </c>
      <c r="M1432" s="246">
        <f t="shared" si="606"/>
        <v>0</v>
      </c>
      <c r="N1432" s="121">
        <f t="shared" si="607"/>
        <v>1</v>
      </c>
      <c r="O1432" s="246">
        <f t="shared" si="608"/>
        <v>1</v>
      </c>
      <c r="P1432" s="121">
        <f t="shared" si="609"/>
        <v>8.333333333333337E-2</v>
      </c>
      <c r="Q1432" s="121">
        <f t="shared" si="610"/>
        <v>0</v>
      </c>
      <c r="R1432" s="121">
        <f t="shared" si="611"/>
        <v>0</v>
      </c>
      <c r="AE1432" s="160">
        <f t="shared" si="612"/>
        <v>1</v>
      </c>
    </row>
    <row r="1433" spans="1:31" x14ac:dyDescent="0.3">
      <c r="A1433" s="187">
        <v>8</v>
      </c>
      <c r="B1433" s="242">
        <f t="shared" si="613"/>
        <v>45870</v>
      </c>
      <c r="C1433" s="243">
        <f t="shared" si="596"/>
        <v>45900</v>
      </c>
      <c r="D1433" s="120">
        <f t="shared" si="597"/>
        <v>31</v>
      </c>
      <c r="E1433" s="120">
        <f t="shared" si="598"/>
        <v>8</v>
      </c>
      <c r="F1433" s="275">
        <f t="shared" si="599"/>
        <v>45885.5</v>
      </c>
      <c r="G1433" s="120">
        <f t="shared" si="600"/>
        <v>24307</v>
      </c>
      <c r="H1433" s="245">
        <f t="shared" si="601"/>
        <v>1</v>
      </c>
      <c r="I1433" s="121">
        <f t="shared" si="602"/>
        <v>1</v>
      </c>
      <c r="J1433" s="121">
        <f t="shared" si="603"/>
        <v>1</v>
      </c>
      <c r="K1433" s="120">
        <f t="shared" si="604"/>
        <v>0</v>
      </c>
      <c r="L1433" s="120">
        <f t="shared" si="605"/>
        <v>0</v>
      </c>
      <c r="M1433" s="246">
        <f t="shared" si="606"/>
        <v>0</v>
      </c>
      <c r="N1433" s="121">
        <f t="shared" si="607"/>
        <v>1</v>
      </c>
      <c r="O1433" s="246">
        <f t="shared" si="608"/>
        <v>1</v>
      </c>
      <c r="P1433" s="121">
        <f t="shared" si="609"/>
        <v>0.25</v>
      </c>
      <c r="Q1433" s="121">
        <f t="shared" si="610"/>
        <v>0</v>
      </c>
      <c r="R1433" s="121">
        <f t="shared" si="611"/>
        <v>0</v>
      </c>
      <c r="AE1433" s="160">
        <f t="shared" si="612"/>
        <v>1</v>
      </c>
    </row>
    <row r="1434" spans="1:31" x14ac:dyDescent="0.3">
      <c r="A1434" s="187">
        <v>9</v>
      </c>
      <c r="B1434" s="242">
        <f t="shared" si="613"/>
        <v>45901</v>
      </c>
      <c r="C1434" s="243">
        <f t="shared" si="596"/>
        <v>45930</v>
      </c>
      <c r="D1434" s="120">
        <f t="shared" si="597"/>
        <v>30</v>
      </c>
      <c r="E1434" s="120">
        <f t="shared" si="598"/>
        <v>9</v>
      </c>
      <c r="F1434" s="275">
        <f t="shared" si="599"/>
        <v>45916</v>
      </c>
      <c r="G1434" s="120">
        <f t="shared" si="600"/>
        <v>24308</v>
      </c>
      <c r="H1434" s="245">
        <f t="shared" si="601"/>
        <v>1</v>
      </c>
      <c r="I1434" s="121">
        <f t="shared" si="602"/>
        <v>1</v>
      </c>
      <c r="J1434" s="121">
        <f t="shared" si="603"/>
        <v>1</v>
      </c>
      <c r="K1434" s="120">
        <f t="shared" si="604"/>
        <v>0</v>
      </c>
      <c r="L1434" s="120">
        <f t="shared" si="605"/>
        <v>0</v>
      </c>
      <c r="M1434" s="246">
        <f t="shared" si="606"/>
        <v>0</v>
      </c>
      <c r="N1434" s="121">
        <f t="shared" si="607"/>
        <v>1</v>
      </c>
      <c r="O1434" s="246">
        <f t="shared" si="608"/>
        <v>1</v>
      </c>
      <c r="P1434" s="121">
        <f t="shared" si="609"/>
        <v>0.41666666666666663</v>
      </c>
      <c r="Q1434" s="121">
        <f t="shared" si="610"/>
        <v>0</v>
      </c>
      <c r="R1434" s="121">
        <f t="shared" si="611"/>
        <v>0</v>
      </c>
      <c r="AE1434" s="160">
        <f t="shared" si="612"/>
        <v>1</v>
      </c>
    </row>
    <row r="1435" spans="1:31" x14ac:dyDescent="0.3">
      <c r="A1435" s="187">
        <v>10</v>
      </c>
      <c r="B1435" s="242">
        <f t="shared" si="613"/>
        <v>45931</v>
      </c>
      <c r="C1435" s="243">
        <f t="shared" si="596"/>
        <v>45961</v>
      </c>
      <c r="D1435" s="120">
        <f t="shared" si="597"/>
        <v>31</v>
      </c>
      <c r="E1435" s="120">
        <f t="shared" si="598"/>
        <v>10</v>
      </c>
      <c r="F1435" s="275">
        <f t="shared" si="599"/>
        <v>45946.5</v>
      </c>
      <c r="G1435" s="120">
        <f t="shared" si="600"/>
        <v>24309</v>
      </c>
      <c r="H1435" s="245">
        <f t="shared" si="601"/>
        <v>1</v>
      </c>
      <c r="I1435" s="121">
        <f t="shared" si="602"/>
        <v>1</v>
      </c>
      <c r="J1435" s="121">
        <f t="shared" si="603"/>
        <v>1</v>
      </c>
      <c r="K1435" s="120">
        <f t="shared" si="604"/>
        <v>0</v>
      </c>
      <c r="L1435" s="120">
        <f t="shared" si="605"/>
        <v>0</v>
      </c>
      <c r="M1435" s="246">
        <f t="shared" si="606"/>
        <v>0</v>
      </c>
      <c r="N1435" s="121">
        <f t="shared" si="607"/>
        <v>1</v>
      </c>
      <c r="O1435" s="246">
        <f t="shared" si="608"/>
        <v>1</v>
      </c>
      <c r="P1435" s="121">
        <f t="shared" si="609"/>
        <v>0.58333333333333326</v>
      </c>
      <c r="Q1435" s="121">
        <f t="shared" si="610"/>
        <v>0</v>
      </c>
      <c r="R1435" s="121">
        <f t="shared" si="611"/>
        <v>0</v>
      </c>
      <c r="AE1435" s="160">
        <f t="shared" si="612"/>
        <v>1</v>
      </c>
    </row>
    <row r="1436" spans="1:31" x14ac:dyDescent="0.3">
      <c r="A1436" s="187">
        <v>11</v>
      </c>
      <c r="B1436" s="242">
        <f t="shared" si="613"/>
        <v>45962</v>
      </c>
      <c r="C1436" s="243">
        <f t="shared" si="596"/>
        <v>45991</v>
      </c>
      <c r="D1436" s="120">
        <f t="shared" si="597"/>
        <v>30</v>
      </c>
      <c r="E1436" s="120">
        <f t="shared" si="598"/>
        <v>11</v>
      </c>
      <c r="F1436" s="275">
        <f t="shared" si="599"/>
        <v>45977</v>
      </c>
      <c r="G1436" s="120">
        <f t="shared" si="600"/>
        <v>24310</v>
      </c>
      <c r="H1436" s="245">
        <f t="shared" si="601"/>
        <v>1</v>
      </c>
      <c r="I1436" s="121">
        <f t="shared" si="602"/>
        <v>1</v>
      </c>
      <c r="J1436" s="121">
        <f t="shared" si="603"/>
        <v>1</v>
      </c>
      <c r="K1436" s="120">
        <f t="shared" si="604"/>
        <v>0</v>
      </c>
      <c r="L1436" s="120">
        <f t="shared" si="605"/>
        <v>0</v>
      </c>
      <c r="M1436" s="246">
        <f t="shared" si="606"/>
        <v>0</v>
      </c>
      <c r="N1436" s="121">
        <f t="shared" si="607"/>
        <v>1</v>
      </c>
      <c r="O1436" s="246">
        <f t="shared" si="608"/>
        <v>1</v>
      </c>
      <c r="P1436" s="121">
        <f t="shared" si="609"/>
        <v>0.75</v>
      </c>
      <c r="Q1436" s="121">
        <f t="shared" si="610"/>
        <v>0</v>
      </c>
      <c r="R1436" s="121">
        <f t="shared" si="611"/>
        <v>0</v>
      </c>
      <c r="AE1436" s="160">
        <f t="shared" si="612"/>
        <v>1</v>
      </c>
    </row>
    <row r="1437" spans="1:31" x14ac:dyDescent="0.3">
      <c r="A1437" s="187">
        <v>12</v>
      </c>
      <c r="B1437" s="242">
        <f t="shared" si="613"/>
        <v>45992</v>
      </c>
      <c r="C1437" s="243">
        <f t="shared" si="596"/>
        <v>46022</v>
      </c>
      <c r="D1437" s="120">
        <f t="shared" si="597"/>
        <v>31</v>
      </c>
      <c r="E1437" s="120">
        <f t="shared" si="598"/>
        <v>12</v>
      </c>
      <c r="F1437" s="275">
        <f t="shared" si="599"/>
        <v>46007.5</v>
      </c>
      <c r="G1437" s="120">
        <f t="shared" si="600"/>
        <v>24311</v>
      </c>
      <c r="H1437" s="245">
        <f t="shared" si="601"/>
        <v>1</v>
      </c>
      <c r="I1437" s="121">
        <f t="shared" si="602"/>
        <v>1</v>
      </c>
      <c r="J1437" s="121">
        <f t="shared" si="603"/>
        <v>1</v>
      </c>
      <c r="K1437" s="120">
        <f t="shared" si="604"/>
        <v>0</v>
      </c>
      <c r="L1437" s="120">
        <f t="shared" si="605"/>
        <v>0</v>
      </c>
      <c r="M1437" s="246">
        <f t="shared" si="606"/>
        <v>0</v>
      </c>
      <c r="N1437" s="121">
        <f t="shared" si="607"/>
        <v>1</v>
      </c>
      <c r="O1437" s="246">
        <f t="shared" si="608"/>
        <v>1</v>
      </c>
      <c r="P1437" s="121">
        <f t="shared" si="609"/>
        <v>0.91666666666666663</v>
      </c>
      <c r="Q1437" s="121">
        <f t="shared" si="610"/>
        <v>0</v>
      </c>
      <c r="R1437" s="121">
        <f t="shared" si="611"/>
        <v>0</v>
      </c>
      <c r="AE1437" s="160">
        <f t="shared" si="612"/>
        <v>1</v>
      </c>
    </row>
    <row r="1438" spans="1:31" x14ac:dyDescent="0.3">
      <c r="A1438" s="187">
        <v>13</v>
      </c>
      <c r="B1438" s="242">
        <f t="shared" si="613"/>
        <v>46023</v>
      </c>
      <c r="C1438" s="243">
        <f t="shared" si="596"/>
        <v>46053</v>
      </c>
      <c r="D1438" s="120">
        <f t="shared" si="597"/>
        <v>31</v>
      </c>
      <c r="E1438" s="120">
        <f t="shared" si="598"/>
        <v>1</v>
      </c>
      <c r="F1438" s="275">
        <f t="shared" si="599"/>
        <v>46038.5</v>
      </c>
      <c r="G1438" s="120">
        <f t="shared" si="600"/>
        <v>24312</v>
      </c>
      <c r="H1438" s="245">
        <f t="shared" si="601"/>
        <v>1</v>
      </c>
      <c r="I1438" s="121">
        <f t="shared" si="602"/>
        <v>1</v>
      </c>
      <c r="J1438" s="121">
        <f t="shared" si="603"/>
        <v>1</v>
      </c>
      <c r="K1438" s="120">
        <f t="shared" si="604"/>
        <v>0</v>
      </c>
      <c r="L1438" s="120">
        <f t="shared" si="605"/>
        <v>0</v>
      </c>
      <c r="M1438" s="246">
        <f t="shared" si="606"/>
        <v>0</v>
      </c>
      <c r="N1438" s="121">
        <f t="shared" si="607"/>
        <v>1</v>
      </c>
      <c r="O1438" s="246">
        <f t="shared" si="608"/>
        <v>1</v>
      </c>
      <c r="P1438" s="121">
        <f t="shared" si="609"/>
        <v>1</v>
      </c>
      <c r="Q1438" s="121">
        <f t="shared" si="610"/>
        <v>0</v>
      </c>
      <c r="R1438" s="121">
        <f t="shared" si="611"/>
        <v>0</v>
      </c>
      <c r="AE1438" s="160">
        <f t="shared" si="612"/>
        <v>1</v>
      </c>
    </row>
    <row r="1439" spans="1:31" x14ac:dyDescent="0.3">
      <c r="A1439" s="187">
        <v>14</v>
      </c>
      <c r="B1439" s="242">
        <f t="shared" si="613"/>
        <v>46054</v>
      </c>
      <c r="C1439" s="243">
        <f t="shared" si="596"/>
        <v>46081</v>
      </c>
      <c r="D1439" s="120">
        <f t="shared" si="597"/>
        <v>28</v>
      </c>
      <c r="E1439" s="120">
        <f t="shared" si="598"/>
        <v>2</v>
      </c>
      <c r="F1439" s="275">
        <f t="shared" si="599"/>
        <v>46068</v>
      </c>
      <c r="G1439" s="120">
        <f t="shared" si="600"/>
        <v>24313</v>
      </c>
      <c r="H1439" s="245">
        <f t="shared" si="601"/>
        <v>1</v>
      </c>
      <c r="I1439" s="121">
        <f t="shared" si="602"/>
        <v>1</v>
      </c>
      <c r="J1439" s="121">
        <f t="shared" si="603"/>
        <v>1</v>
      </c>
      <c r="K1439" s="120">
        <f t="shared" si="604"/>
        <v>0</v>
      </c>
      <c r="L1439" s="120">
        <f t="shared" si="605"/>
        <v>0</v>
      </c>
      <c r="M1439" s="246">
        <f t="shared" si="606"/>
        <v>0</v>
      </c>
      <c r="N1439" s="121">
        <f t="shared" si="607"/>
        <v>1</v>
      </c>
      <c r="O1439" s="246">
        <f t="shared" si="608"/>
        <v>1</v>
      </c>
      <c r="P1439" s="121">
        <f t="shared" si="609"/>
        <v>1</v>
      </c>
      <c r="Q1439" s="121">
        <f t="shared" si="610"/>
        <v>0</v>
      </c>
      <c r="R1439" s="121">
        <f t="shared" si="611"/>
        <v>0</v>
      </c>
      <c r="AE1439" s="160">
        <f t="shared" si="612"/>
        <v>1</v>
      </c>
    </row>
    <row r="1440" spans="1:31" x14ac:dyDescent="0.3">
      <c r="A1440" s="187">
        <v>15</v>
      </c>
      <c r="B1440" s="242">
        <f t="shared" si="613"/>
        <v>46082</v>
      </c>
      <c r="C1440" s="243">
        <f t="shared" si="596"/>
        <v>46112</v>
      </c>
      <c r="D1440" s="120">
        <f t="shared" si="597"/>
        <v>31</v>
      </c>
      <c r="E1440" s="120">
        <f t="shared" si="598"/>
        <v>3</v>
      </c>
      <c r="F1440" s="275">
        <f t="shared" si="599"/>
        <v>46097.5</v>
      </c>
      <c r="G1440" s="120">
        <f t="shared" si="600"/>
        <v>24314</v>
      </c>
      <c r="H1440" s="245">
        <f t="shared" si="601"/>
        <v>1</v>
      </c>
      <c r="I1440" s="121">
        <f t="shared" si="602"/>
        <v>1</v>
      </c>
      <c r="J1440" s="121">
        <f t="shared" si="603"/>
        <v>1</v>
      </c>
      <c r="K1440" s="120">
        <f t="shared" si="604"/>
        <v>0</v>
      </c>
      <c r="L1440" s="120">
        <f t="shared" si="605"/>
        <v>0</v>
      </c>
      <c r="M1440" s="246">
        <f t="shared" si="606"/>
        <v>0</v>
      </c>
      <c r="N1440" s="121">
        <f t="shared" si="607"/>
        <v>1</v>
      </c>
      <c r="O1440" s="246">
        <f t="shared" si="608"/>
        <v>1</v>
      </c>
      <c r="P1440" s="121">
        <f t="shared" si="609"/>
        <v>1</v>
      </c>
      <c r="Q1440" s="121">
        <f t="shared" si="610"/>
        <v>0</v>
      </c>
      <c r="R1440" s="121">
        <f t="shared" si="611"/>
        <v>0</v>
      </c>
      <c r="AE1440" s="160">
        <f t="shared" si="612"/>
        <v>1</v>
      </c>
    </row>
    <row r="1441" spans="1:35" x14ac:dyDescent="0.3">
      <c r="A1441" s="187">
        <v>16</v>
      </c>
      <c r="B1441" s="242">
        <f t="shared" si="613"/>
        <v>46113</v>
      </c>
      <c r="C1441" s="243">
        <f t="shared" si="596"/>
        <v>46142</v>
      </c>
      <c r="D1441" s="120">
        <f t="shared" si="597"/>
        <v>30</v>
      </c>
      <c r="E1441" s="120">
        <f t="shared" si="598"/>
        <v>4</v>
      </c>
      <c r="F1441" s="275">
        <f t="shared" si="599"/>
        <v>46128</v>
      </c>
      <c r="G1441" s="120">
        <f t="shared" si="600"/>
        <v>24315</v>
      </c>
      <c r="H1441" s="245">
        <f t="shared" si="601"/>
        <v>1</v>
      </c>
      <c r="I1441" s="121">
        <f t="shared" si="602"/>
        <v>1</v>
      </c>
      <c r="J1441" s="121">
        <f t="shared" si="603"/>
        <v>1</v>
      </c>
      <c r="K1441" s="120">
        <f t="shared" si="604"/>
        <v>0</v>
      </c>
      <c r="L1441" s="120">
        <f t="shared" si="605"/>
        <v>0</v>
      </c>
      <c r="M1441" s="246">
        <f t="shared" si="606"/>
        <v>0</v>
      </c>
      <c r="N1441" s="121">
        <f t="shared" si="607"/>
        <v>1</v>
      </c>
      <c r="O1441" s="246">
        <f t="shared" si="608"/>
        <v>1</v>
      </c>
      <c r="P1441" s="121">
        <f t="shared" si="609"/>
        <v>1</v>
      </c>
      <c r="Q1441" s="121">
        <f t="shared" si="610"/>
        <v>0</v>
      </c>
      <c r="R1441" s="121">
        <f t="shared" si="611"/>
        <v>0</v>
      </c>
      <c r="AE1441" s="160">
        <f t="shared" si="612"/>
        <v>1</v>
      </c>
    </row>
    <row r="1442" spans="1:35" x14ac:dyDescent="0.3">
      <c r="A1442" s="187">
        <v>17</v>
      </c>
      <c r="B1442" s="242">
        <f t="shared" si="613"/>
        <v>46143</v>
      </c>
      <c r="C1442" s="243">
        <f t="shared" si="596"/>
        <v>46173</v>
      </c>
      <c r="D1442" s="120">
        <f t="shared" si="597"/>
        <v>31</v>
      </c>
      <c r="E1442" s="120">
        <f t="shared" si="598"/>
        <v>5</v>
      </c>
      <c r="F1442" s="275">
        <f t="shared" si="599"/>
        <v>46158.5</v>
      </c>
      <c r="G1442" s="120">
        <f t="shared" si="600"/>
        <v>24316</v>
      </c>
      <c r="H1442" s="245">
        <f t="shared" si="601"/>
        <v>1</v>
      </c>
      <c r="I1442" s="121">
        <f t="shared" si="602"/>
        <v>1</v>
      </c>
      <c r="J1442" s="121">
        <f t="shared" si="603"/>
        <v>1</v>
      </c>
      <c r="K1442" s="120">
        <f t="shared" si="604"/>
        <v>0</v>
      </c>
      <c r="L1442" s="120">
        <f t="shared" si="605"/>
        <v>0</v>
      </c>
      <c r="M1442" s="246">
        <f t="shared" si="606"/>
        <v>0</v>
      </c>
      <c r="N1442" s="121">
        <f t="shared" si="607"/>
        <v>1</v>
      </c>
      <c r="O1442" s="246">
        <f t="shared" si="608"/>
        <v>1</v>
      </c>
      <c r="P1442" s="121">
        <f t="shared" si="609"/>
        <v>1</v>
      </c>
      <c r="Q1442" s="121">
        <f t="shared" si="610"/>
        <v>0</v>
      </c>
      <c r="R1442" s="121">
        <f t="shared" si="611"/>
        <v>0</v>
      </c>
      <c r="AE1442" s="160">
        <f t="shared" si="612"/>
        <v>1</v>
      </c>
    </row>
    <row r="1443" spans="1:35" x14ac:dyDescent="0.3">
      <c r="A1443" s="187">
        <v>18</v>
      </c>
      <c r="B1443" s="242">
        <f t="shared" si="613"/>
        <v>46174</v>
      </c>
      <c r="C1443" s="243">
        <f t="shared" si="596"/>
        <v>46203</v>
      </c>
      <c r="D1443" s="120">
        <f t="shared" si="597"/>
        <v>30</v>
      </c>
      <c r="E1443" s="120">
        <f t="shared" si="598"/>
        <v>6</v>
      </c>
      <c r="F1443" s="275">
        <f t="shared" si="599"/>
        <v>46189</v>
      </c>
      <c r="G1443" s="120">
        <f t="shared" si="600"/>
        <v>24317</v>
      </c>
      <c r="H1443" s="245">
        <f t="shared" si="601"/>
        <v>1</v>
      </c>
      <c r="I1443" s="121">
        <f t="shared" si="602"/>
        <v>1</v>
      </c>
      <c r="J1443" s="121">
        <f t="shared" si="603"/>
        <v>1</v>
      </c>
      <c r="K1443" s="120">
        <f t="shared" si="604"/>
        <v>0</v>
      </c>
      <c r="L1443" s="120">
        <f t="shared" si="605"/>
        <v>0</v>
      </c>
      <c r="M1443" s="246">
        <f t="shared" si="606"/>
        <v>0</v>
      </c>
      <c r="N1443" s="121">
        <f t="shared" si="607"/>
        <v>1</v>
      </c>
      <c r="O1443" s="246">
        <f t="shared" si="608"/>
        <v>1</v>
      </c>
      <c r="P1443" s="121">
        <f t="shared" si="609"/>
        <v>1</v>
      </c>
      <c r="Q1443" s="121">
        <f t="shared" si="610"/>
        <v>0</v>
      </c>
      <c r="R1443" s="121">
        <f t="shared" si="611"/>
        <v>0</v>
      </c>
      <c r="AE1443" s="160">
        <f t="shared" si="612"/>
        <v>1</v>
      </c>
    </row>
    <row r="1444" spans="1:35" x14ac:dyDescent="0.3">
      <c r="A1444" s="187">
        <v>19</v>
      </c>
      <c r="B1444" s="242">
        <f t="shared" si="613"/>
        <v>46204</v>
      </c>
      <c r="C1444" s="243">
        <f t="shared" si="596"/>
        <v>46234</v>
      </c>
      <c r="D1444" s="120">
        <f t="shared" si="597"/>
        <v>31</v>
      </c>
      <c r="E1444" s="120">
        <f t="shared" si="598"/>
        <v>7</v>
      </c>
      <c r="F1444" s="275">
        <f t="shared" si="599"/>
        <v>46219.5</v>
      </c>
      <c r="G1444" s="120">
        <f t="shared" si="600"/>
        <v>24318</v>
      </c>
      <c r="H1444" s="245">
        <f t="shared" si="601"/>
        <v>1</v>
      </c>
      <c r="I1444" s="121">
        <f t="shared" si="602"/>
        <v>1</v>
      </c>
      <c r="J1444" s="121">
        <f t="shared" si="603"/>
        <v>1</v>
      </c>
      <c r="K1444" s="120">
        <f t="shared" si="604"/>
        <v>0</v>
      </c>
      <c r="L1444" s="120">
        <f t="shared" si="605"/>
        <v>0</v>
      </c>
      <c r="M1444" s="246">
        <f t="shared" si="606"/>
        <v>0</v>
      </c>
      <c r="N1444" s="121">
        <f t="shared" si="607"/>
        <v>1</v>
      </c>
      <c r="O1444" s="246">
        <f t="shared" si="608"/>
        <v>1</v>
      </c>
      <c r="P1444" s="121">
        <f t="shared" si="609"/>
        <v>0.91666666666666663</v>
      </c>
      <c r="Q1444" s="121">
        <f t="shared" si="610"/>
        <v>8.333333333333337E-2</v>
      </c>
      <c r="R1444" s="121">
        <f t="shared" si="611"/>
        <v>0</v>
      </c>
      <c r="AE1444" s="160">
        <f t="shared" si="612"/>
        <v>1</v>
      </c>
    </row>
    <row r="1445" spans="1:35" x14ac:dyDescent="0.3">
      <c r="A1445" s="187">
        <v>20</v>
      </c>
      <c r="B1445" s="242">
        <f t="shared" si="613"/>
        <v>46235</v>
      </c>
      <c r="C1445" s="243">
        <f t="shared" si="596"/>
        <v>46265</v>
      </c>
      <c r="D1445" s="120">
        <f t="shared" si="597"/>
        <v>31</v>
      </c>
      <c r="E1445" s="120">
        <f t="shared" si="598"/>
        <v>8</v>
      </c>
      <c r="F1445" s="275">
        <f t="shared" si="599"/>
        <v>46250.5</v>
      </c>
      <c r="G1445" s="120">
        <f t="shared" si="600"/>
        <v>24319</v>
      </c>
      <c r="H1445" s="245">
        <f t="shared" si="601"/>
        <v>1</v>
      </c>
      <c r="I1445" s="121">
        <f t="shared" si="602"/>
        <v>1</v>
      </c>
      <c r="J1445" s="121">
        <f t="shared" si="603"/>
        <v>1</v>
      </c>
      <c r="K1445" s="120">
        <f t="shared" si="604"/>
        <v>0</v>
      </c>
      <c r="L1445" s="120">
        <f t="shared" si="605"/>
        <v>0</v>
      </c>
      <c r="M1445" s="246">
        <f t="shared" si="606"/>
        <v>0</v>
      </c>
      <c r="N1445" s="121">
        <f t="shared" si="607"/>
        <v>1</v>
      </c>
      <c r="O1445" s="246">
        <f t="shared" si="608"/>
        <v>1</v>
      </c>
      <c r="P1445" s="121">
        <f t="shared" si="609"/>
        <v>0.75</v>
      </c>
      <c r="Q1445" s="121">
        <f t="shared" si="610"/>
        <v>0.25</v>
      </c>
      <c r="R1445" s="121">
        <f t="shared" si="611"/>
        <v>0</v>
      </c>
      <c r="AE1445" s="160">
        <f t="shared" si="612"/>
        <v>1</v>
      </c>
    </row>
    <row r="1446" spans="1:35" x14ac:dyDescent="0.3">
      <c r="A1446" s="187">
        <v>21</v>
      </c>
      <c r="B1446" s="242">
        <f t="shared" si="613"/>
        <v>46266</v>
      </c>
      <c r="C1446" s="243">
        <f t="shared" si="596"/>
        <v>46295</v>
      </c>
      <c r="D1446" s="120">
        <f t="shared" si="597"/>
        <v>30</v>
      </c>
      <c r="E1446" s="120">
        <f t="shared" si="598"/>
        <v>9</v>
      </c>
      <c r="F1446" s="275">
        <f t="shared" si="599"/>
        <v>46281</v>
      </c>
      <c r="G1446" s="120">
        <f t="shared" si="600"/>
        <v>24320</v>
      </c>
      <c r="H1446" s="245">
        <f t="shared" si="601"/>
        <v>1</v>
      </c>
      <c r="I1446" s="121">
        <f t="shared" si="602"/>
        <v>1</v>
      </c>
      <c r="J1446" s="121">
        <f t="shared" si="603"/>
        <v>1</v>
      </c>
      <c r="K1446" s="120">
        <f t="shared" si="604"/>
        <v>0</v>
      </c>
      <c r="L1446" s="120">
        <f t="shared" si="605"/>
        <v>0</v>
      </c>
      <c r="M1446" s="246">
        <f t="shared" si="606"/>
        <v>0</v>
      </c>
      <c r="N1446" s="121">
        <f t="shared" si="607"/>
        <v>1</v>
      </c>
      <c r="O1446" s="246">
        <f t="shared" si="608"/>
        <v>1</v>
      </c>
      <c r="P1446" s="121">
        <f t="shared" si="609"/>
        <v>0.58333333333333337</v>
      </c>
      <c r="Q1446" s="121">
        <f t="shared" si="610"/>
        <v>0.41666666666666663</v>
      </c>
      <c r="R1446" s="121">
        <f t="shared" si="611"/>
        <v>0</v>
      </c>
      <c r="AE1446" s="160">
        <f t="shared" si="612"/>
        <v>1</v>
      </c>
    </row>
    <row r="1447" spans="1:35" x14ac:dyDescent="0.3">
      <c r="A1447" s="187">
        <v>22</v>
      </c>
      <c r="B1447" s="242">
        <f t="shared" si="613"/>
        <v>46296</v>
      </c>
      <c r="C1447" s="243">
        <f t="shared" si="596"/>
        <v>46326</v>
      </c>
      <c r="D1447" s="120">
        <f t="shared" si="597"/>
        <v>31</v>
      </c>
      <c r="E1447" s="120">
        <f t="shared" si="598"/>
        <v>10</v>
      </c>
      <c r="F1447" s="275">
        <f t="shared" si="599"/>
        <v>46311.5</v>
      </c>
      <c r="G1447" s="120">
        <f t="shared" si="600"/>
        <v>24321</v>
      </c>
      <c r="H1447" s="245">
        <f t="shared" si="601"/>
        <v>1</v>
      </c>
      <c r="I1447" s="121">
        <f t="shared" si="602"/>
        <v>1</v>
      </c>
      <c r="J1447" s="121">
        <f t="shared" si="603"/>
        <v>1</v>
      </c>
      <c r="K1447" s="120">
        <f t="shared" si="604"/>
        <v>0</v>
      </c>
      <c r="L1447" s="120">
        <f t="shared" si="605"/>
        <v>0</v>
      </c>
      <c r="M1447" s="246">
        <f t="shared" si="606"/>
        <v>0</v>
      </c>
      <c r="N1447" s="121">
        <f t="shared" si="607"/>
        <v>1</v>
      </c>
      <c r="O1447" s="246">
        <f t="shared" si="608"/>
        <v>1</v>
      </c>
      <c r="P1447" s="121">
        <f t="shared" si="609"/>
        <v>0.41666666666666669</v>
      </c>
      <c r="Q1447" s="121">
        <f t="shared" si="610"/>
        <v>0.58333333333333326</v>
      </c>
      <c r="R1447" s="121">
        <f t="shared" si="611"/>
        <v>0</v>
      </c>
      <c r="AE1447" s="160">
        <f t="shared" si="612"/>
        <v>1</v>
      </c>
    </row>
    <row r="1448" spans="1:35" x14ac:dyDescent="0.3">
      <c r="A1448" s="187">
        <v>23</v>
      </c>
      <c r="B1448" s="242">
        <f t="shared" si="613"/>
        <v>46327</v>
      </c>
      <c r="C1448" s="243">
        <f t="shared" si="596"/>
        <v>46356</v>
      </c>
      <c r="D1448" s="120">
        <f t="shared" si="597"/>
        <v>30</v>
      </c>
      <c r="E1448" s="120">
        <f t="shared" si="598"/>
        <v>11</v>
      </c>
      <c r="F1448" s="275">
        <f t="shared" si="599"/>
        <v>46342</v>
      </c>
      <c r="G1448" s="120">
        <f t="shared" si="600"/>
        <v>24322</v>
      </c>
      <c r="H1448" s="245">
        <f t="shared" si="601"/>
        <v>1</v>
      </c>
      <c r="I1448" s="121">
        <f t="shared" si="602"/>
        <v>1</v>
      </c>
      <c r="J1448" s="121">
        <f t="shared" si="603"/>
        <v>1</v>
      </c>
      <c r="K1448" s="120">
        <f t="shared" si="604"/>
        <v>0</v>
      </c>
      <c r="L1448" s="120">
        <f t="shared" si="605"/>
        <v>0</v>
      </c>
      <c r="M1448" s="246">
        <f t="shared" si="606"/>
        <v>0</v>
      </c>
      <c r="N1448" s="121">
        <f t="shared" si="607"/>
        <v>1</v>
      </c>
      <c r="O1448" s="246">
        <f t="shared" si="608"/>
        <v>1</v>
      </c>
      <c r="P1448" s="121">
        <f t="shared" si="609"/>
        <v>0.25</v>
      </c>
      <c r="Q1448" s="121">
        <f t="shared" si="610"/>
        <v>0.75</v>
      </c>
      <c r="R1448" s="121">
        <f t="shared" si="611"/>
        <v>0</v>
      </c>
      <c r="AE1448" s="160">
        <f t="shared" si="612"/>
        <v>1</v>
      </c>
    </row>
    <row r="1449" spans="1:35" x14ac:dyDescent="0.3">
      <c r="A1449" s="187">
        <v>24</v>
      </c>
      <c r="B1449" s="242">
        <f t="shared" si="613"/>
        <v>46357</v>
      </c>
      <c r="C1449" s="243">
        <f t="shared" si="596"/>
        <v>46387</v>
      </c>
      <c r="D1449" s="120">
        <f t="shared" si="597"/>
        <v>31</v>
      </c>
      <c r="E1449" s="120">
        <f t="shared" si="598"/>
        <v>12</v>
      </c>
      <c r="F1449" s="275">
        <f t="shared" si="599"/>
        <v>46372.5</v>
      </c>
      <c r="G1449" s="120">
        <f t="shared" si="600"/>
        <v>24323</v>
      </c>
      <c r="H1449" s="245">
        <f t="shared" si="601"/>
        <v>1</v>
      </c>
      <c r="I1449" s="121">
        <f t="shared" si="602"/>
        <v>1</v>
      </c>
      <c r="J1449" s="121">
        <f t="shared" si="603"/>
        <v>1</v>
      </c>
      <c r="K1449" s="120">
        <f t="shared" si="604"/>
        <v>0</v>
      </c>
      <c r="L1449" s="120">
        <f t="shared" si="605"/>
        <v>0</v>
      </c>
      <c r="M1449" s="246">
        <f t="shared" si="606"/>
        <v>0</v>
      </c>
      <c r="N1449" s="121">
        <f t="shared" si="607"/>
        <v>1</v>
      </c>
      <c r="O1449" s="246">
        <f t="shared" si="608"/>
        <v>1</v>
      </c>
      <c r="P1449" s="121">
        <f t="shared" si="609"/>
        <v>8.3333333333333329E-2</v>
      </c>
      <c r="Q1449" s="121">
        <f t="shared" si="610"/>
        <v>0.91666666666666663</v>
      </c>
      <c r="R1449" s="121">
        <f t="shared" si="611"/>
        <v>0</v>
      </c>
      <c r="AE1449" s="160">
        <f t="shared" si="612"/>
        <v>1</v>
      </c>
    </row>
    <row r="1450" spans="1:35" x14ac:dyDescent="0.3">
      <c r="A1450" s="187">
        <v>25</v>
      </c>
      <c r="B1450" s="242">
        <f t="shared" si="613"/>
        <v>46388</v>
      </c>
      <c r="C1450" s="243">
        <f t="shared" si="596"/>
        <v>46418</v>
      </c>
      <c r="D1450" s="120">
        <f t="shared" si="597"/>
        <v>31</v>
      </c>
      <c r="E1450" s="120">
        <f t="shared" si="598"/>
        <v>1</v>
      </c>
      <c r="F1450" s="275">
        <f t="shared" si="599"/>
        <v>46403.5</v>
      </c>
      <c r="G1450" s="120">
        <f t="shared" si="600"/>
        <v>24324</v>
      </c>
      <c r="H1450" s="245">
        <f t="shared" si="601"/>
        <v>1</v>
      </c>
      <c r="I1450" s="121">
        <f t="shared" si="602"/>
        <v>1</v>
      </c>
      <c r="J1450" s="121">
        <f t="shared" si="603"/>
        <v>1</v>
      </c>
      <c r="K1450" s="120">
        <f t="shared" si="604"/>
        <v>0</v>
      </c>
      <c r="L1450" s="120">
        <f t="shared" si="605"/>
        <v>0</v>
      </c>
      <c r="M1450" s="246">
        <f t="shared" si="606"/>
        <v>0</v>
      </c>
      <c r="N1450" s="121">
        <f t="shared" si="607"/>
        <v>1</v>
      </c>
      <c r="O1450" s="246">
        <f t="shared" si="608"/>
        <v>1</v>
      </c>
      <c r="P1450" s="121">
        <f t="shared" si="609"/>
        <v>0</v>
      </c>
      <c r="Q1450" s="121">
        <f t="shared" si="610"/>
        <v>1</v>
      </c>
      <c r="R1450" s="121">
        <f t="shared" si="611"/>
        <v>0</v>
      </c>
      <c r="W1450" s="160">
        <f t="shared" ref="W1450:W1461" si="614">IF($G1450&lt;&gt;$Q$1423,$N1450,(1-$U$1423)*$I1450+$U$1423*$J1450)</f>
        <v>1</v>
      </c>
      <c r="X1450" s="160">
        <f t="shared" ref="X1450:X1461" si="615">IF($G1450&lt;$Q$1423,0,IF($G1450&gt;$Q$1423,$N1450,$U$1423*$J1450))</f>
        <v>0</v>
      </c>
      <c r="Y1450" s="160">
        <f t="shared" ref="Y1450:Y1461" si="616">IF($F$1423=1,$O1450/$O1438,1)</f>
        <v>1</v>
      </c>
      <c r="AB1450" s="160">
        <f t="shared" ref="AB1450:AB1461" si="617">IF(AND(N($K$1423)&lt;&gt;0,$F1450&lt;=$B$1424),0,($F1450-$B$1424)/($C$1424-$B$1424))</f>
        <v>0.23355263157894737</v>
      </c>
      <c r="AC1450" s="220">
        <f t="shared" ref="AC1450:AC1461" si="618">IF(AND(N($K$1423)&lt;&gt;0,$F1450&lt;=$B$1424),$O1450,$F$1424*(1-$AB1450))</f>
        <v>0.76644736842105265</v>
      </c>
      <c r="AD1450" s="160">
        <f t="shared" ref="AD1450:AD1461" si="619">$H1450*($W1450+$X1450*IF(ISNUMBER($F$1474),$F$1474,0))/($N1438*$O1438)</f>
        <v>1</v>
      </c>
      <c r="AE1450" s="160">
        <f t="shared" si="612"/>
        <v>1</v>
      </c>
      <c r="AF1450" s="220">
        <f t="shared" ref="AF1450:AF1461" si="620">IF($G1450&lt;$Q$1423,0,IF($G1450&gt;$Q$1423,1,$U$1423))</f>
        <v>0</v>
      </c>
      <c r="AG1450" s="183" t="str">
        <f t="shared" ref="AG1450:AG1461" si="621">IF(OR($D$1423=0,$P$1423=0),"",($W1450+$X1450*IF(ISNUMBER($F$1474),$F$1474,0))/$N1438-1)</f>
        <v/>
      </c>
      <c r="AH1450" s="183" t="str">
        <f t="shared" ref="AH1450:AH1461" si="622">IF(OR($AG1450="",$F$1423=0),"",(1+$E$1423)/(1+$AG1450)-1)</f>
        <v/>
      </c>
      <c r="AI1450" s="220" t="str">
        <f t="shared" ref="AI1450:AI1461" si="623">IF($AH1450="","",$O1438*(1+$E$1423)/(1+$AG1450))</f>
        <v/>
      </c>
    </row>
    <row r="1451" spans="1:35" x14ac:dyDescent="0.3">
      <c r="A1451" s="187">
        <v>26</v>
      </c>
      <c r="B1451" s="242">
        <f t="shared" si="613"/>
        <v>46419</v>
      </c>
      <c r="C1451" s="243">
        <f t="shared" si="596"/>
        <v>46446</v>
      </c>
      <c r="D1451" s="120">
        <f t="shared" si="597"/>
        <v>28</v>
      </c>
      <c r="E1451" s="120">
        <f t="shared" si="598"/>
        <v>2</v>
      </c>
      <c r="F1451" s="275">
        <f t="shared" si="599"/>
        <v>46433</v>
      </c>
      <c r="G1451" s="120">
        <f t="shared" si="600"/>
        <v>24325</v>
      </c>
      <c r="H1451" s="245">
        <f t="shared" si="601"/>
        <v>1</v>
      </c>
      <c r="I1451" s="121">
        <f t="shared" si="602"/>
        <v>1</v>
      </c>
      <c r="J1451" s="121">
        <f t="shared" si="603"/>
        <v>1</v>
      </c>
      <c r="K1451" s="120">
        <f t="shared" si="604"/>
        <v>0</v>
      </c>
      <c r="L1451" s="120">
        <f t="shared" si="605"/>
        <v>0</v>
      </c>
      <c r="M1451" s="246">
        <f t="shared" si="606"/>
        <v>0</v>
      </c>
      <c r="N1451" s="121">
        <f t="shared" si="607"/>
        <v>1</v>
      </c>
      <c r="O1451" s="246">
        <f t="shared" si="608"/>
        <v>1</v>
      </c>
      <c r="P1451" s="121">
        <f t="shared" si="609"/>
        <v>0</v>
      </c>
      <c r="Q1451" s="121">
        <f t="shared" si="610"/>
        <v>1</v>
      </c>
      <c r="R1451" s="121">
        <f t="shared" si="611"/>
        <v>0</v>
      </c>
      <c r="W1451" s="160">
        <f t="shared" si="614"/>
        <v>1</v>
      </c>
      <c r="X1451" s="160">
        <f t="shared" si="615"/>
        <v>0</v>
      </c>
      <c r="Y1451" s="160">
        <f t="shared" si="616"/>
        <v>1</v>
      </c>
      <c r="AB1451" s="160">
        <f t="shared" si="617"/>
        <v>0.2982456140350877</v>
      </c>
      <c r="AC1451" s="220">
        <f t="shared" si="618"/>
        <v>0.70175438596491224</v>
      </c>
      <c r="AD1451" s="160">
        <f t="shared" si="619"/>
        <v>1</v>
      </c>
      <c r="AE1451" s="160">
        <f t="shared" si="612"/>
        <v>1</v>
      </c>
      <c r="AF1451" s="220">
        <f t="shared" si="620"/>
        <v>0</v>
      </c>
      <c r="AG1451" s="183" t="str">
        <f t="shared" si="621"/>
        <v/>
      </c>
      <c r="AH1451" s="183" t="str">
        <f t="shared" si="622"/>
        <v/>
      </c>
      <c r="AI1451" s="220" t="str">
        <f t="shared" si="623"/>
        <v/>
      </c>
    </row>
    <row r="1452" spans="1:35" x14ac:dyDescent="0.3">
      <c r="A1452" s="187">
        <v>27</v>
      </c>
      <c r="B1452" s="242">
        <f t="shared" si="613"/>
        <v>46447</v>
      </c>
      <c r="C1452" s="243">
        <f t="shared" si="596"/>
        <v>46477</v>
      </c>
      <c r="D1452" s="120">
        <f t="shared" si="597"/>
        <v>31</v>
      </c>
      <c r="E1452" s="120">
        <f t="shared" si="598"/>
        <v>3</v>
      </c>
      <c r="F1452" s="275">
        <f t="shared" si="599"/>
        <v>46462.5</v>
      </c>
      <c r="G1452" s="120">
        <f t="shared" si="600"/>
        <v>24326</v>
      </c>
      <c r="H1452" s="245">
        <f t="shared" si="601"/>
        <v>1</v>
      </c>
      <c r="I1452" s="121">
        <f t="shared" si="602"/>
        <v>1</v>
      </c>
      <c r="J1452" s="121">
        <f t="shared" si="603"/>
        <v>1</v>
      </c>
      <c r="K1452" s="120">
        <f t="shared" si="604"/>
        <v>0</v>
      </c>
      <c r="L1452" s="120">
        <f t="shared" si="605"/>
        <v>0</v>
      </c>
      <c r="M1452" s="246">
        <f t="shared" si="606"/>
        <v>0</v>
      </c>
      <c r="N1452" s="121">
        <f t="shared" si="607"/>
        <v>1</v>
      </c>
      <c r="O1452" s="246">
        <f t="shared" si="608"/>
        <v>1</v>
      </c>
      <c r="P1452" s="121">
        <f t="shared" si="609"/>
        <v>0</v>
      </c>
      <c r="Q1452" s="121">
        <f t="shared" si="610"/>
        <v>1</v>
      </c>
      <c r="R1452" s="121">
        <f t="shared" si="611"/>
        <v>0</v>
      </c>
      <c r="W1452" s="160">
        <f t="shared" si="614"/>
        <v>1</v>
      </c>
      <c r="X1452" s="160">
        <f t="shared" si="615"/>
        <v>0</v>
      </c>
      <c r="Y1452" s="160">
        <f t="shared" si="616"/>
        <v>1</v>
      </c>
      <c r="AB1452" s="160">
        <f t="shared" si="617"/>
        <v>0.36293859649122806</v>
      </c>
      <c r="AC1452" s="220">
        <f t="shared" si="618"/>
        <v>0.63706140350877194</v>
      </c>
      <c r="AD1452" s="160">
        <f t="shared" si="619"/>
        <v>1</v>
      </c>
      <c r="AE1452" s="160">
        <f t="shared" si="612"/>
        <v>1</v>
      </c>
      <c r="AF1452" s="220">
        <f t="shared" si="620"/>
        <v>0</v>
      </c>
      <c r="AG1452" s="183" t="str">
        <f t="shared" si="621"/>
        <v/>
      </c>
      <c r="AH1452" s="183" t="str">
        <f t="shared" si="622"/>
        <v/>
      </c>
      <c r="AI1452" s="220" t="str">
        <f t="shared" si="623"/>
        <v/>
      </c>
    </row>
    <row r="1453" spans="1:35" x14ac:dyDescent="0.3">
      <c r="A1453" s="187">
        <v>28</v>
      </c>
      <c r="B1453" s="242">
        <f t="shared" si="613"/>
        <v>46478</v>
      </c>
      <c r="C1453" s="243">
        <f t="shared" si="596"/>
        <v>46507</v>
      </c>
      <c r="D1453" s="120">
        <f t="shared" si="597"/>
        <v>30</v>
      </c>
      <c r="E1453" s="120">
        <f t="shared" si="598"/>
        <v>4</v>
      </c>
      <c r="F1453" s="275">
        <f t="shared" si="599"/>
        <v>46493</v>
      </c>
      <c r="G1453" s="120">
        <f t="shared" si="600"/>
        <v>24327</v>
      </c>
      <c r="H1453" s="245">
        <f t="shared" si="601"/>
        <v>1</v>
      </c>
      <c r="I1453" s="121">
        <f t="shared" si="602"/>
        <v>1</v>
      </c>
      <c r="J1453" s="121">
        <f t="shared" si="603"/>
        <v>1</v>
      </c>
      <c r="K1453" s="120">
        <f t="shared" si="604"/>
        <v>0</v>
      </c>
      <c r="L1453" s="120">
        <f t="shared" si="605"/>
        <v>0</v>
      </c>
      <c r="M1453" s="246">
        <f t="shared" si="606"/>
        <v>0</v>
      </c>
      <c r="N1453" s="121">
        <f t="shared" si="607"/>
        <v>1</v>
      </c>
      <c r="O1453" s="246">
        <f t="shared" si="608"/>
        <v>1</v>
      </c>
      <c r="P1453" s="121">
        <f t="shared" si="609"/>
        <v>0</v>
      </c>
      <c r="Q1453" s="121">
        <f t="shared" si="610"/>
        <v>1</v>
      </c>
      <c r="R1453" s="121">
        <f t="shared" si="611"/>
        <v>0</v>
      </c>
      <c r="W1453" s="160">
        <f t="shared" si="614"/>
        <v>1</v>
      </c>
      <c r="X1453" s="160">
        <f t="shared" si="615"/>
        <v>1</v>
      </c>
      <c r="Y1453" s="160">
        <f t="shared" si="616"/>
        <v>1</v>
      </c>
      <c r="AB1453" s="160">
        <f t="shared" si="617"/>
        <v>0.42982456140350878</v>
      </c>
      <c r="AC1453" s="220">
        <f t="shared" si="618"/>
        <v>0.57017543859649122</v>
      </c>
      <c r="AD1453" s="160">
        <f t="shared" si="619"/>
        <v>1</v>
      </c>
      <c r="AE1453" s="160">
        <f t="shared" si="612"/>
        <v>1</v>
      </c>
      <c r="AF1453" s="220">
        <f t="shared" si="620"/>
        <v>1</v>
      </c>
      <c r="AG1453" s="183" t="str">
        <f t="shared" si="621"/>
        <v/>
      </c>
      <c r="AH1453" s="183" t="str">
        <f t="shared" si="622"/>
        <v/>
      </c>
      <c r="AI1453" s="220" t="str">
        <f t="shared" si="623"/>
        <v/>
      </c>
    </row>
    <row r="1454" spans="1:35" x14ac:dyDescent="0.3">
      <c r="A1454" s="187">
        <v>29</v>
      </c>
      <c r="B1454" s="242">
        <f t="shared" si="613"/>
        <v>46508</v>
      </c>
      <c r="C1454" s="243">
        <f t="shared" si="596"/>
        <v>46538</v>
      </c>
      <c r="D1454" s="120">
        <f t="shared" si="597"/>
        <v>31</v>
      </c>
      <c r="E1454" s="120">
        <f t="shared" si="598"/>
        <v>5</v>
      </c>
      <c r="F1454" s="275">
        <f t="shared" si="599"/>
        <v>46523.5</v>
      </c>
      <c r="G1454" s="120">
        <f t="shared" si="600"/>
        <v>24328</v>
      </c>
      <c r="H1454" s="245">
        <f t="shared" si="601"/>
        <v>1</v>
      </c>
      <c r="I1454" s="121">
        <f t="shared" si="602"/>
        <v>1</v>
      </c>
      <c r="J1454" s="121">
        <f t="shared" si="603"/>
        <v>1</v>
      </c>
      <c r="K1454" s="120">
        <f t="shared" si="604"/>
        <v>0</v>
      </c>
      <c r="L1454" s="120">
        <f t="shared" si="605"/>
        <v>0</v>
      </c>
      <c r="M1454" s="246">
        <f t="shared" si="606"/>
        <v>0</v>
      </c>
      <c r="N1454" s="121">
        <f t="shared" si="607"/>
        <v>1</v>
      </c>
      <c r="O1454" s="246">
        <f t="shared" si="608"/>
        <v>1</v>
      </c>
      <c r="P1454" s="121">
        <f t="shared" si="609"/>
        <v>0</v>
      </c>
      <c r="Q1454" s="121">
        <f t="shared" si="610"/>
        <v>1</v>
      </c>
      <c r="R1454" s="121">
        <f t="shared" si="611"/>
        <v>0</v>
      </c>
      <c r="W1454" s="160">
        <f t="shared" si="614"/>
        <v>1</v>
      </c>
      <c r="X1454" s="160">
        <f t="shared" si="615"/>
        <v>1</v>
      </c>
      <c r="Y1454" s="160">
        <f t="shared" si="616"/>
        <v>1</v>
      </c>
      <c r="AB1454" s="160">
        <f t="shared" si="617"/>
        <v>0.49671052631578949</v>
      </c>
      <c r="AC1454" s="220">
        <f t="shared" si="618"/>
        <v>0.50328947368421051</v>
      </c>
      <c r="AD1454" s="160">
        <f t="shared" si="619"/>
        <v>1</v>
      </c>
      <c r="AE1454" s="160">
        <f t="shared" si="612"/>
        <v>1</v>
      </c>
      <c r="AF1454" s="220">
        <f t="shared" si="620"/>
        <v>1</v>
      </c>
      <c r="AG1454" s="183" t="str">
        <f t="shared" si="621"/>
        <v/>
      </c>
      <c r="AH1454" s="183" t="str">
        <f t="shared" si="622"/>
        <v/>
      </c>
      <c r="AI1454" s="220" t="str">
        <f t="shared" si="623"/>
        <v/>
      </c>
    </row>
    <row r="1455" spans="1:35" x14ac:dyDescent="0.3">
      <c r="A1455" s="187">
        <v>30</v>
      </c>
      <c r="B1455" s="242">
        <f t="shared" si="613"/>
        <v>46539</v>
      </c>
      <c r="C1455" s="243">
        <f t="shared" si="596"/>
        <v>46568</v>
      </c>
      <c r="D1455" s="120">
        <f t="shared" si="597"/>
        <v>30</v>
      </c>
      <c r="E1455" s="120">
        <f t="shared" si="598"/>
        <v>6</v>
      </c>
      <c r="F1455" s="275">
        <f t="shared" si="599"/>
        <v>46554</v>
      </c>
      <c r="G1455" s="120">
        <f t="shared" si="600"/>
        <v>24329</v>
      </c>
      <c r="H1455" s="245">
        <f t="shared" si="601"/>
        <v>1</v>
      </c>
      <c r="I1455" s="121">
        <f t="shared" si="602"/>
        <v>1</v>
      </c>
      <c r="J1455" s="121">
        <f t="shared" si="603"/>
        <v>1</v>
      </c>
      <c r="K1455" s="120">
        <f t="shared" si="604"/>
        <v>0</v>
      </c>
      <c r="L1455" s="120">
        <f t="shared" si="605"/>
        <v>0</v>
      </c>
      <c r="M1455" s="246">
        <f t="shared" si="606"/>
        <v>0</v>
      </c>
      <c r="N1455" s="121">
        <f t="shared" si="607"/>
        <v>1</v>
      </c>
      <c r="O1455" s="246">
        <f t="shared" si="608"/>
        <v>1</v>
      </c>
      <c r="P1455" s="121">
        <f t="shared" si="609"/>
        <v>0</v>
      </c>
      <c r="Q1455" s="121">
        <f t="shared" si="610"/>
        <v>1</v>
      </c>
      <c r="R1455" s="121">
        <f t="shared" si="611"/>
        <v>0</v>
      </c>
      <c r="W1455" s="160">
        <f t="shared" si="614"/>
        <v>1</v>
      </c>
      <c r="X1455" s="160">
        <f t="shared" si="615"/>
        <v>1</v>
      </c>
      <c r="Y1455" s="160">
        <f t="shared" si="616"/>
        <v>1</v>
      </c>
      <c r="AB1455" s="160">
        <f t="shared" si="617"/>
        <v>0.56359649122807021</v>
      </c>
      <c r="AC1455" s="220">
        <f t="shared" si="618"/>
        <v>0.43640350877192979</v>
      </c>
      <c r="AD1455" s="160">
        <f t="shared" si="619"/>
        <v>1</v>
      </c>
      <c r="AE1455" s="160">
        <f t="shared" si="612"/>
        <v>1</v>
      </c>
      <c r="AF1455" s="220">
        <f t="shared" si="620"/>
        <v>1</v>
      </c>
      <c r="AG1455" s="183" t="str">
        <f t="shared" si="621"/>
        <v/>
      </c>
      <c r="AH1455" s="183" t="str">
        <f t="shared" si="622"/>
        <v/>
      </c>
      <c r="AI1455" s="220" t="str">
        <f t="shared" si="623"/>
        <v/>
      </c>
    </row>
    <row r="1456" spans="1:35" x14ac:dyDescent="0.3">
      <c r="A1456" s="187">
        <v>31</v>
      </c>
      <c r="B1456" s="242">
        <f t="shared" si="613"/>
        <v>46569</v>
      </c>
      <c r="C1456" s="243">
        <f t="shared" si="596"/>
        <v>46599</v>
      </c>
      <c r="D1456" s="120">
        <f t="shared" si="597"/>
        <v>31</v>
      </c>
      <c r="E1456" s="120">
        <f t="shared" si="598"/>
        <v>7</v>
      </c>
      <c r="F1456" s="275">
        <f t="shared" si="599"/>
        <v>46584.5</v>
      </c>
      <c r="G1456" s="120">
        <f t="shared" si="600"/>
        <v>24330</v>
      </c>
      <c r="H1456" s="245">
        <f t="shared" si="601"/>
        <v>1</v>
      </c>
      <c r="I1456" s="121">
        <f t="shared" si="602"/>
        <v>1</v>
      </c>
      <c r="J1456" s="121">
        <f t="shared" si="603"/>
        <v>1</v>
      </c>
      <c r="K1456" s="120">
        <f t="shared" si="604"/>
        <v>0</v>
      </c>
      <c r="L1456" s="120">
        <f t="shared" si="605"/>
        <v>0</v>
      </c>
      <c r="M1456" s="246">
        <f t="shared" si="606"/>
        <v>0</v>
      </c>
      <c r="N1456" s="121">
        <f t="shared" si="607"/>
        <v>1</v>
      </c>
      <c r="O1456" s="246">
        <f t="shared" si="608"/>
        <v>1</v>
      </c>
      <c r="P1456" s="121">
        <f t="shared" si="609"/>
        <v>0</v>
      </c>
      <c r="Q1456" s="121">
        <f t="shared" si="610"/>
        <v>0.91666666666666663</v>
      </c>
      <c r="R1456" s="121">
        <f t="shared" si="611"/>
        <v>8.333333333333337E-2</v>
      </c>
      <c r="W1456" s="160">
        <f t="shared" si="614"/>
        <v>1</v>
      </c>
      <c r="X1456" s="160">
        <f t="shared" si="615"/>
        <v>1</v>
      </c>
      <c r="Y1456" s="160">
        <f t="shared" si="616"/>
        <v>1</v>
      </c>
      <c r="AB1456" s="160">
        <f t="shared" si="617"/>
        <v>0.63048245614035092</v>
      </c>
      <c r="AC1456" s="220">
        <f t="shared" si="618"/>
        <v>0.36951754385964908</v>
      </c>
      <c r="AD1456" s="160">
        <f t="shared" si="619"/>
        <v>1</v>
      </c>
      <c r="AE1456" s="160">
        <f t="shared" si="612"/>
        <v>1</v>
      </c>
      <c r="AF1456" s="220">
        <f t="shared" si="620"/>
        <v>1</v>
      </c>
      <c r="AG1456" s="183" t="str">
        <f t="shared" si="621"/>
        <v/>
      </c>
      <c r="AH1456" s="183" t="str">
        <f t="shared" si="622"/>
        <v/>
      </c>
      <c r="AI1456" s="220" t="str">
        <f t="shared" si="623"/>
        <v/>
      </c>
    </row>
    <row r="1457" spans="1:35" x14ac:dyDescent="0.3">
      <c r="A1457" s="187">
        <v>32</v>
      </c>
      <c r="B1457" s="242">
        <f t="shared" si="613"/>
        <v>46600</v>
      </c>
      <c r="C1457" s="243">
        <f t="shared" si="596"/>
        <v>46630</v>
      </c>
      <c r="D1457" s="120">
        <f t="shared" si="597"/>
        <v>31</v>
      </c>
      <c r="E1457" s="120">
        <f t="shared" si="598"/>
        <v>8</v>
      </c>
      <c r="F1457" s="275">
        <f t="shared" si="599"/>
        <v>46615.5</v>
      </c>
      <c r="G1457" s="120">
        <f t="shared" si="600"/>
        <v>24331</v>
      </c>
      <c r="H1457" s="245">
        <f t="shared" si="601"/>
        <v>1</v>
      </c>
      <c r="I1457" s="121">
        <f t="shared" si="602"/>
        <v>1</v>
      </c>
      <c r="J1457" s="121">
        <f t="shared" si="603"/>
        <v>1</v>
      </c>
      <c r="K1457" s="120">
        <f t="shared" si="604"/>
        <v>0</v>
      </c>
      <c r="L1457" s="120">
        <f t="shared" si="605"/>
        <v>0</v>
      </c>
      <c r="M1457" s="246">
        <f t="shared" si="606"/>
        <v>0</v>
      </c>
      <c r="N1457" s="121">
        <f t="shared" si="607"/>
        <v>1</v>
      </c>
      <c r="O1457" s="246">
        <f t="shared" si="608"/>
        <v>1</v>
      </c>
      <c r="P1457" s="121">
        <f t="shared" si="609"/>
        <v>0</v>
      </c>
      <c r="Q1457" s="121">
        <f t="shared" si="610"/>
        <v>0.75</v>
      </c>
      <c r="R1457" s="121">
        <f t="shared" si="611"/>
        <v>0.25</v>
      </c>
      <c r="W1457" s="160">
        <f t="shared" si="614"/>
        <v>1</v>
      </c>
      <c r="X1457" s="160">
        <f t="shared" si="615"/>
        <v>1</v>
      </c>
      <c r="Y1457" s="160">
        <f t="shared" si="616"/>
        <v>1</v>
      </c>
      <c r="AB1457" s="160">
        <f t="shared" si="617"/>
        <v>0.69846491228070173</v>
      </c>
      <c r="AC1457" s="220">
        <f t="shared" si="618"/>
        <v>0.30153508771929827</v>
      </c>
      <c r="AD1457" s="160">
        <f t="shared" si="619"/>
        <v>1</v>
      </c>
      <c r="AE1457" s="160">
        <f t="shared" si="612"/>
        <v>1</v>
      </c>
      <c r="AF1457" s="220">
        <f t="shared" si="620"/>
        <v>1</v>
      </c>
      <c r="AG1457" s="183" t="str">
        <f t="shared" si="621"/>
        <v/>
      </c>
      <c r="AH1457" s="183" t="str">
        <f t="shared" si="622"/>
        <v/>
      </c>
      <c r="AI1457" s="220" t="str">
        <f t="shared" si="623"/>
        <v/>
      </c>
    </row>
    <row r="1458" spans="1:35" x14ac:dyDescent="0.3">
      <c r="A1458" s="187">
        <v>33</v>
      </c>
      <c r="B1458" s="242">
        <f t="shared" si="613"/>
        <v>46631</v>
      </c>
      <c r="C1458" s="243">
        <f t="shared" si="596"/>
        <v>46660</v>
      </c>
      <c r="D1458" s="120">
        <f t="shared" si="597"/>
        <v>30</v>
      </c>
      <c r="E1458" s="120">
        <f t="shared" si="598"/>
        <v>9</v>
      </c>
      <c r="F1458" s="275">
        <f t="shared" si="599"/>
        <v>46646</v>
      </c>
      <c r="G1458" s="120">
        <f t="shared" si="600"/>
        <v>24332</v>
      </c>
      <c r="H1458" s="245">
        <f t="shared" si="601"/>
        <v>1</v>
      </c>
      <c r="I1458" s="121">
        <f t="shared" si="602"/>
        <v>1</v>
      </c>
      <c r="J1458" s="121">
        <f t="shared" si="603"/>
        <v>1</v>
      </c>
      <c r="K1458" s="120">
        <f t="shared" si="604"/>
        <v>0</v>
      </c>
      <c r="L1458" s="120">
        <f t="shared" si="605"/>
        <v>0</v>
      </c>
      <c r="M1458" s="246">
        <f t="shared" si="606"/>
        <v>0</v>
      </c>
      <c r="N1458" s="121">
        <f t="shared" si="607"/>
        <v>1</v>
      </c>
      <c r="O1458" s="246">
        <f t="shared" si="608"/>
        <v>1</v>
      </c>
      <c r="P1458" s="121">
        <f t="shared" si="609"/>
        <v>0</v>
      </c>
      <c r="Q1458" s="121">
        <f t="shared" si="610"/>
        <v>0.58333333333333337</v>
      </c>
      <c r="R1458" s="121">
        <f t="shared" si="611"/>
        <v>0.41666666666666663</v>
      </c>
      <c r="W1458" s="160">
        <f t="shared" si="614"/>
        <v>1</v>
      </c>
      <c r="X1458" s="160">
        <f t="shared" si="615"/>
        <v>1</v>
      </c>
      <c r="Y1458" s="160">
        <f t="shared" si="616"/>
        <v>1</v>
      </c>
      <c r="AB1458" s="160">
        <f t="shared" si="617"/>
        <v>0.76535087719298245</v>
      </c>
      <c r="AC1458" s="220">
        <f t="shared" si="618"/>
        <v>0.23464912280701755</v>
      </c>
      <c r="AD1458" s="160">
        <f t="shared" si="619"/>
        <v>1</v>
      </c>
      <c r="AE1458" s="160">
        <f t="shared" si="612"/>
        <v>1</v>
      </c>
      <c r="AF1458" s="220">
        <f t="shared" si="620"/>
        <v>1</v>
      </c>
      <c r="AG1458" s="183" t="str">
        <f t="shared" si="621"/>
        <v/>
      </c>
      <c r="AH1458" s="183" t="str">
        <f t="shared" si="622"/>
        <v/>
      </c>
      <c r="AI1458" s="220" t="str">
        <f t="shared" si="623"/>
        <v/>
      </c>
    </row>
    <row r="1459" spans="1:35" x14ac:dyDescent="0.3">
      <c r="A1459" s="187">
        <v>34</v>
      </c>
      <c r="B1459" s="242">
        <f t="shared" si="613"/>
        <v>46661</v>
      </c>
      <c r="C1459" s="243">
        <f t="shared" si="596"/>
        <v>46691</v>
      </c>
      <c r="D1459" s="120">
        <f t="shared" si="597"/>
        <v>31</v>
      </c>
      <c r="E1459" s="120">
        <f t="shared" si="598"/>
        <v>10</v>
      </c>
      <c r="F1459" s="275">
        <f t="shared" si="599"/>
        <v>46676.5</v>
      </c>
      <c r="G1459" s="120">
        <f t="shared" si="600"/>
        <v>24333</v>
      </c>
      <c r="H1459" s="245">
        <f t="shared" si="601"/>
        <v>1</v>
      </c>
      <c r="I1459" s="121">
        <f t="shared" si="602"/>
        <v>1</v>
      </c>
      <c r="J1459" s="121">
        <f t="shared" si="603"/>
        <v>1</v>
      </c>
      <c r="K1459" s="120">
        <f t="shared" si="604"/>
        <v>0</v>
      </c>
      <c r="L1459" s="120">
        <f t="shared" si="605"/>
        <v>0</v>
      </c>
      <c r="M1459" s="246">
        <f t="shared" si="606"/>
        <v>0</v>
      </c>
      <c r="N1459" s="121">
        <f t="shared" si="607"/>
        <v>1</v>
      </c>
      <c r="O1459" s="246">
        <f t="shared" si="608"/>
        <v>1</v>
      </c>
      <c r="P1459" s="121">
        <f t="shared" si="609"/>
        <v>0</v>
      </c>
      <c r="Q1459" s="121">
        <f t="shared" si="610"/>
        <v>0.41666666666666669</v>
      </c>
      <c r="R1459" s="121">
        <f t="shared" si="611"/>
        <v>0.58333333333333326</v>
      </c>
      <c r="W1459" s="160">
        <f t="shared" si="614"/>
        <v>1</v>
      </c>
      <c r="X1459" s="160">
        <f t="shared" si="615"/>
        <v>1</v>
      </c>
      <c r="Y1459" s="160">
        <f t="shared" si="616"/>
        <v>1</v>
      </c>
      <c r="AB1459" s="160">
        <f t="shared" si="617"/>
        <v>0.83223684210526316</v>
      </c>
      <c r="AC1459" s="220">
        <f t="shared" si="618"/>
        <v>0.16776315789473684</v>
      </c>
      <c r="AD1459" s="160">
        <f t="shared" si="619"/>
        <v>1</v>
      </c>
      <c r="AE1459" s="160">
        <f t="shared" si="612"/>
        <v>1</v>
      </c>
      <c r="AF1459" s="220">
        <f t="shared" si="620"/>
        <v>1</v>
      </c>
      <c r="AG1459" s="183" t="str">
        <f t="shared" si="621"/>
        <v/>
      </c>
      <c r="AH1459" s="183" t="str">
        <f t="shared" si="622"/>
        <v/>
      </c>
      <c r="AI1459" s="220" t="str">
        <f t="shared" si="623"/>
        <v/>
      </c>
    </row>
    <row r="1460" spans="1:35" x14ac:dyDescent="0.3">
      <c r="A1460" s="187">
        <v>35</v>
      </c>
      <c r="B1460" s="242">
        <f t="shared" si="613"/>
        <v>46692</v>
      </c>
      <c r="C1460" s="243">
        <f t="shared" si="596"/>
        <v>46721</v>
      </c>
      <c r="D1460" s="120">
        <f t="shared" si="597"/>
        <v>30</v>
      </c>
      <c r="E1460" s="120">
        <f t="shared" si="598"/>
        <v>11</v>
      </c>
      <c r="F1460" s="275">
        <f t="shared" si="599"/>
        <v>46707</v>
      </c>
      <c r="G1460" s="120">
        <f t="shared" si="600"/>
        <v>24334</v>
      </c>
      <c r="H1460" s="245">
        <f t="shared" si="601"/>
        <v>1</v>
      </c>
      <c r="I1460" s="121">
        <f t="shared" si="602"/>
        <v>1</v>
      </c>
      <c r="J1460" s="121">
        <f t="shared" si="603"/>
        <v>1</v>
      </c>
      <c r="K1460" s="120">
        <f t="shared" si="604"/>
        <v>0</v>
      </c>
      <c r="L1460" s="120">
        <f t="shared" si="605"/>
        <v>0</v>
      </c>
      <c r="M1460" s="246">
        <f t="shared" si="606"/>
        <v>0</v>
      </c>
      <c r="N1460" s="121">
        <f t="shared" si="607"/>
        <v>1</v>
      </c>
      <c r="O1460" s="246">
        <f t="shared" si="608"/>
        <v>1</v>
      </c>
      <c r="P1460" s="121">
        <f t="shared" si="609"/>
        <v>0</v>
      </c>
      <c r="Q1460" s="121">
        <f t="shared" si="610"/>
        <v>0.25</v>
      </c>
      <c r="R1460" s="121">
        <f t="shared" si="611"/>
        <v>0.75</v>
      </c>
      <c r="W1460" s="160">
        <f t="shared" si="614"/>
        <v>1</v>
      </c>
      <c r="X1460" s="160">
        <f t="shared" si="615"/>
        <v>1</v>
      </c>
      <c r="Y1460" s="160">
        <f t="shared" si="616"/>
        <v>1</v>
      </c>
      <c r="AB1460" s="160">
        <f t="shared" si="617"/>
        <v>0.89912280701754388</v>
      </c>
      <c r="AC1460" s="220">
        <f t="shared" si="618"/>
        <v>0.10087719298245612</v>
      </c>
      <c r="AD1460" s="160">
        <f t="shared" si="619"/>
        <v>1</v>
      </c>
      <c r="AE1460" s="160">
        <f t="shared" si="612"/>
        <v>1</v>
      </c>
      <c r="AF1460" s="220">
        <f t="shared" si="620"/>
        <v>1</v>
      </c>
      <c r="AG1460" s="183" t="str">
        <f t="shared" si="621"/>
        <v/>
      </c>
      <c r="AH1460" s="183" t="str">
        <f t="shared" si="622"/>
        <v/>
      </c>
      <c r="AI1460" s="220" t="str">
        <f t="shared" si="623"/>
        <v/>
      </c>
    </row>
    <row r="1461" spans="1:35" x14ac:dyDescent="0.3">
      <c r="A1461" s="187">
        <v>36</v>
      </c>
      <c r="B1461" s="242">
        <f t="shared" si="613"/>
        <v>46722</v>
      </c>
      <c r="C1461" s="243">
        <f t="shared" si="596"/>
        <v>46752</v>
      </c>
      <c r="D1461" s="120">
        <f t="shared" si="597"/>
        <v>31</v>
      </c>
      <c r="E1461" s="120">
        <f t="shared" si="598"/>
        <v>12</v>
      </c>
      <c r="F1461" s="275">
        <f t="shared" si="599"/>
        <v>46737.5</v>
      </c>
      <c r="G1461" s="120">
        <f t="shared" si="600"/>
        <v>24335</v>
      </c>
      <c r="H1461" s="245">
        <f t="shared" si="601"/>
        <v>1</v>
      </c>
      <c r="I1461" s="121">
        <f t="shared" si="602"/>
        <v>1</v>
      </c>
      <c r="J1461" s="121">
        <f t="shared" si="603"/>
        <v>1</v>
      </c>
      <c r="K1461" s="120">
        <f t="shared" si="604"/>
        <v>0</v>
      </c>
      <c r="L1461" s="120">
        <f t="shared" si="605"/>
        <v>0</v>
      </c>
      <c r="M1461" s="246">
        <f t="shared" si="606"/>
        <v>0</v>
      </c>
      <c r="N1461" s="121">
        <f t="shared" si="607"/>
        <v>1</v>
      </c>
      <c r="O1461" s="246">
        <f t="shared" si="608"/>
        <v>1</v>
      </c>
      <c r="P1461" s="121">
        <f t="shared" si="609"/>
        <v>0</v>
      </c>
      <c r="Q1461" s="121">
        <f t="shared" si="610"/>
        <v>8.3333333333333329E-2</v>
      </c>
      <c r="R1461" s="121">
        <f t="shared" si="611"/>
        <v>0.91666666666666663</v>
      </c>
      <c r="W1461" s="160">
        <f t="shared" si="614"/>
        <v>1</v>
      </c>
      <c r="X1461" s="160">
        <f t="shared" si="615"/>
        <v>1</v>
      </c>
      <c r="Y1461" s="160">
        <f t="shared" si="616"/>
        <v>1</v>
      </c>
      <c r="AB1461" s="160">
        <f t="shared" si="617"/>
        <v>0.96600877192982459</v>
      </c>
      <c r="AC1461" s="220">
        <f t="shared" si="618"/>
        <v>3.3991228070175405E-2</v>
      </c>
      <c r="AD1461" s="160">
        <f t="shared" si="619"/>
        <v>1</v>
      </c>
      <c r="AE1461" s="160">
        <f t="shared" si="612"/>
        <v>1</v>
      </c>
      <c r="AF1461" s="220">
        <f t="shared" si="620"/>
        <v>1</v>
      </c>
      <c r="AG1461" s="183" t="str">
        <f t="shared" si="621"/>
        <v/>
      </c>
      <c r="AH1461" s="183" t="str">
        <f t="shared" si="622"/>
        <v/>
      </c>
      <c r="AI1461" s="220" t="str">
        <f t="shared" si="623"/>
        <v/>
      </c>
    </row>
    <row r="1462" spans="1:35" x14ac:dyDescent="0.3">
      <c r="A1462" s="187">
        <v>37</v>
      </c>
      <c r="B1462" s="242">
        <f t="shared" si="613"/>
        <v>46753</v>
      </c>
      <c r="C1462" s="243">
        <f t="shared" si="596"/>
        <v>46783</v>
      </c>
      <c r="D1462" s="120">
        <f t="shared" si="597"/>
        <v>31</v>
      </c>
      <c r="E1462" s="120">
        <f t="shared" si="598"/>
        <v>1</v>
      </c>
      <c r="F1462" s="275">
        <f t="shared" si="599"/>
        <v>46768.5</v>
      </c>
      <c r="G1462" s="120">
        <f t="shared" si="600"/>
        <v>24336</v>
      </c>
      <c r="H1462" s="245">
        <f t="shared" si="601"/>
        <v>1</v>
      </c>
      <c r="I1462" s="121">
        <f t="shared" si="602"/>
        <v>1</v>
      </c>
      <c r="J1462" s="121">
        <f t="shared" si="603"/>
        <v>1</v>
      </c>
      <c r="K1462" s="120">
        <f t="shared" si="604"/>
        <v>0</v>
      </c>
      <c r="L1462" s="120">
        <f t="shared" si="605"/>
        <v>0</v>
      </c>
      <c r="M1462" s="246">
        <f t="shared" si="606"/>
        <v>0</v>
      </c>
      <c r="N1462" s="121">
        <f t="shared" si="607"/>
        <v>1</v>
      </c>
      <c r="O1462" s="246">
        <f t="shared" si="608"/>
        <v>1</v>
      </c>
      <c r="P1462" s="121">
        <f t="shared" si="609"/>
        <v>0</v>
      </c>
      <c r="Q1462" s="121">
        <f t="shared" si="610"/>
        <v>0</v>
      </c>
      <c r="R1462" s="121">
        <f t="shared" si="611"/>
        <v>1</v>
      </c>
      <c r="AE1462" s="160">
        <f t="shared" si="612"/>
        <v>1</v>
      </c>
    </row>
    <row r="1463" spans="1:35" x14ac:dyDescent="0.3">
      <c r="A1463" s="187">
        <v>38</v>
      </c>
      <c r="B1463" s="242">
        <f t="shared" si="613"/>
        <v>46784</v>
      </c>
      <c r="C1463" s="243">
        <f t="shared" si="596"/>
        <v>46812</v>
      </c>
      <c r="D1463" s="120">
        <f t="shared" si="597"/>
        <v>29</v>
      </c>
      <c r="E1463" s="120">
        <f t="shared" si="598"/>
        <v>2</v>
      </c>
      <c r="F1463" s="275">
        <f t="shared" si="599"/>
        <v>46798.5</v>
      </c>
      <c r="G1463" s="120">
        <f t="shared" si="600"/>
        <v>24337</v>
      </c>
      <c r="H1463" s="245">
        <f t="shared" si="601"/>
        <v>1</v>
      </c>
      <c r="I1463" s="121">
        <f t="shared" si="602"/>
        <v>1</v>
      </c>
      <c r="J1463" s="121">
        <f t="shared" si="603"/>
        <v>1</v>
      </c>
      <c r="K1463" s="120">
        <f t="shared" si="604"/>
        <v>0</v>
      </c>
      <c r="L1463" s="120">
        <f t="shared" si="605"/>
        <v>0</v>
      </c>
      <c r="M1463" s="246">
        <f t="shared" si="606"/>
        <v>0</v>
      </c>
      <c r="N1463" s="121">
        <f t="shared" si="607"/>
        <v>1</v>
      </c>
      <c r="O1463" s="246">
        <f t="shared" si="608"/>
        <v>1</v>
      </c>
      <c r="P1463" s="121">
        <f t="shared" si="609"/>
        <v>0</v>
      </c>
      <c r="Q1463" s="121">
        <f t="shared" si="610"/>
        <v>0</v>
      </c>
      <c r="R1463" s="121">
        <f t="shared" si="611"/>
        <v>1</v>
      </c>
      <c r="AE1463" s="160">
        <f t="shared" si="612"/>
        <v>1</v>
      </c>
    </row>
    <row r="1464" spans="1:35" x14ac:dyDescent="0.3">
      <c r="A1464" s="187">
        <v>39</v>
      </c>
      <c r="B1464" s="242">
        <f t="shared" si="613"/>
        <v>46813</v>
      </c>
      <c r="C1464" s="243">
        <f t="shared" si="596"/>
        <v>46843</v>
      </c>
      <c r="D1464" s="120">
        <f t="shared" si="597"/>
        <v>31</v>
      </c>
      <c r="E1464" s="120">
        <f t="shared" si="598"/>
        <v>3</v>
      </c>
      <c r="F1464" s="275">
        <f t="shared" si="599"/>
        <v>46828.5</v>
      </c>
      <c r="G1464" s="120">
        <f t="shared" si="600"/>
        <v>24338</v>
      </c>
      <c r="H1464" s="245">
        <f t="shared" si="601"/>
        <v>1</v>
      </c>
      <c r="I1464" s="121">
        <f t="shared" si="602"/>
        <v>1</v>
      </c>
      <c r="J1464" s="121">
        <f t="shared" si="603"/>
        <v>1</v>
      </c>
      <c r="K1464" s="120">
        <f t="shared" si="604"/>
        <v>0</v>
      </c>
      <c r="L1464" s="120">
        <f t="shared" si="605"/>
        <v>0</v>
      </c>
      <c r="M1464" s="246">
        <f t="shared" si="606"/>
        <v>0</v>
      </c>
      <c r="N1464" s="121">
        <f t="shared" si="607"/>
        <v>1</v>
      </c>
      <c r="O1464" s="246">
        <f t="shared" si="608"/>
        <v>1</v>
      </c>
      <c r="P1464" s="121">
        <f t="shared" si="609"/>
        <v>0</v>
      </c>
      <c r="Q1464" s="121">
        <f t="shared" si="610"/>
        <v>0</v>
      </c>
      <c r="R1464" s="121">
        <f t="shared" si="611"/>
        <v>1</v>
      </c>
      <c r="AE1464" s="160">
        <f t="shared" si="612"/>
        <v>1</v>
      </c>
    </row>
    <row r="1465" spans="1:35" x14ac:dyDescent="0.3">
      <c r="A1465" s="187">
        <v>40</v>
      </c>
      <c r="B1465" s="242">
        <f t="shared" si="613"/>
        <v>46844</v>
      </c>
      <c r="C1465" s="243">
        <f t="shared" si="596"/>
        <v>46873</v>
      </c>
      <c r="D1465" s="120">
        <f t="shared" si="597"/>
        <v>30</v>
      </c>
      <c r="E1465" s="120">
        <f t="shared" si="598"/>
        <v>4</v>
      </c>
      <c r="F1465" s="275">
        <f t="shared" si="599"/>
        <v>46859</v>
      </c>
      <c r="G1465" s="120">
        <f t="shared" si="600"/>
        <v>24339</v>
      </c>
      <c r="H1465" s="245">
        <f t="shared" si="601"/>
        <v>1</v>
      </c>
      <c r="I1465" s="121">
        <f t="shared" si="602"/>
        <v>1</v>
      </c>
      <c r="J1465" s="121">
        <f t="shared" si="603"/>
        <v>1</v>
      </c>
      <c r="K1465" s="120">
        <f t="shared" si="604"/>
        <v>0</v>
      </c>
      <c r="L1465" s="120">
        <f t="shared" si="605"/>
        <v>0</v>
      </c>
      <c r="M1465" s="246">
        <f t="shared" si="606"/>
        <v>0</v>
      </c>
      <c r="N1465" s="121">
        <f t="shared" si="607"/>
        <v>1</v>
      </c>
      <c r="O1465" s="246">
        <f t="shared" si="608"/>
        <v>1</v>
      </c>
      <c r="P1465" s="121">
        <f t="shared" si="609"/>
        <v>0</v>
      </c>
      <c r="Q1465" s="121">
        <f t="shared" si="610"/>
        <v>0</v>
      </c>
      <c r="R1465" s="121">
        <f t="shared" si="611"/>
        <v>1</v>
      </c>
      <c r="AE1465" s="160">
        <f t="shared" si="612"/>
        <v>1</v>
      </c>
    </row>
    <row r="1466" spans="1:35" x14ac:dyDescent="0.3">
      <c r="A1466" s="187">
        <v>41</v>
      </c>
      <c r="B1466" s="242">
        <f t="shared" si="613"/>
        <v>46874</v>
      </c>
      <c r="C1466" s="243">
        <f t="shared" si="596"/>
        <v>46904</v>
      </c>
      <c r="D1466" s="120">
        <f t="shared" si="597"/>
        <v>31</v>
      </c>
      <c r="E1466" s="120">
        <f t="shared" si="598"/>
        <v>5</v>
      </c>
      <c r="F1466" s="275">
        <f t="shared" si="599"/>
        <v>46889.5</v>
      </c>
      <c r="G1466" s="120">
        <f t="shared" si="600"/>
        <v>24340</v>
      </c>
      <c r="H1466" s="245">
        <f t="shared" si="601"/>
        <v>1</v>
      </c>
      <c r="I1466" s="121">
        <f t="shared" si="602"/>
        <v>1</v>
      </c>
      <c r="J1466" s="121">
        <f t="shared" si="603"/>
        <v>1</v>
      </c>
      <c r="K1466" s="120">
        <f t="shared" si="604"/>
        <v>0</v>
      </c>
      <c r="L1466" s="120">
        <f t="shared" si="605"/>
        <v>0</v>
      </c>
      <c r="M1466" s="246">
        <f t="shared" si="606"/>
        <v>0</v>
      </c>
      <c r="N1466" s="121">
        <f t="shared" si="607"/>
        <v>1</v>
      </c>
      <c r="O1466" s="246">
        <f t="shared" si="608"/>
        <v>1</v>
      </c>
      <c r="P1466" s="121">
        <f t="shared" si="609"/>
        <v>0</v>
      </c>
      <c r="Q1466" s="121">
        <f t="shared" si="610"/>
        <v>0</v>
      </c>
      <c r="R1466" s="121">
        <f t="shared" si="611"/>
        <v>1</v>
      </c>
      <c r="AE1466" s="160">
        <f t="shared" si="612"/>
        <v>1</v>
      </c>
    </row>
    <row r="1467" spans="1:35" x14ac:dyDescent="0.3">
      <c r="A1467" s="187">
        <v>42</v>
      </c>
      <c r="B1467" s="242">
        <f t="shared" si="613"/>
        <v>46905</v>
      </c>
      <c r="C1467" s="243">
        <f t="shared" si="596"/>
        <v>46934</v>
      </c>
      <c r="D1467" s="120">
        <f t="shared" si="597"/>
        <v>30</v>
      </c>
      <c r="E1467" s="120">
        <f t="shared" si="598"/>
        <v>6</v>
      </c>
      <c r="F1467" s="275">
        <f t="shared" si="599"/>
        <v>46920</v>
      </c>
      <c r="G1467" s="120">
        <f t="shared" si="600"/>
        <v>24341</v>
      </c>
      <c r="H1467" s="245">
        <f t="shared" si="601"/>
        <v>1</v>
      </c>
      <c r="I1467" s="121">
        <f t="shared" si="602"/>
        <v>1</v>
      </c>
      <c r="J1467" s="121">
        <f t="shared" si="603"/>
        <v>1</v>
      </c>
      <c r="K1467" s="120">
        <f t="shared" si="604"/>
        <v>0</v>
      </c>
      <c r="L1467" s="120">
        <f t="shared" si="605"/>
        <v>0</v>
      </c>
      <c r="M1467" s="246">
        <f t="shared" si="606"/>
        <v>0</v>
      </c>
      <c r="N1467" s="121">
        <f t="shared" si="607"/>
        <v>1</v>
      </c>
      <c r="O1467" s="246">
        <f t="shared" si="608"/>
        <v>1</v>
      </c>
      <c r="P1467" s="121">
        <f t="shared" si="609"/>
        <v>0</v>
      </c>
      <c r="Q1467" s="121">
        <f t="shared" si="610"/>
        <v>0</v>
      </c>
      <c r="R1467" s="121">
        <f t="shared" si="611"/>
        <v>1</v>
      </c>
      <c r="AE1467" s="160">
        <f t="shared" si="612"/>
        <v>1</v>
      </c>
    </row>
    <row r="1468" spans="1:35" x14ac:dyDescent="0.3">
      <c r="A1468" s="187">
        <v>43</v>
      </c>
      <c r="B1468" s="242">
        <f t="shared" si="613"/>
        <v>46935</v>
      </c>
      <c r="C1468" s="243">
        <f t="shared" si="596"/>
        <v>46965</v>
      </c>
      <c r="D1468" s="120">
        <f t="shared" si="597"/>
        <v>31</v>
      </c>
      <c r="E1468" s="120">
        <f t="shared" si="598"/>
        <v>7</v>
      </c>
      <c r="F1468" s="275">
        <f t="shared" si="599"/>
        <v>46950.5</v>
      </c>
      <c r="G1468" s="120">
        <f t="shared" si="600"/>
        <v>24342</v>
      </c>
      <c r="H1468" s="245">
        <f t="shared" si="601"/>
        <v>1</v>
      </c>
      <c r="I1468" s="121">
        <f t="shared" si="602"/>
        <v>1</v>
      </c>
      <c r="J1468" s="121">
        <f t="shared" si="603"/>
        <v>1</v>
      </c>
      <c r="K1468" s="120">
        <f t="shared" si="604"/>
        <v>0</v>
      </c>
      <c r="L1468" s="120">
        <f t="shared" si="605"/>
        <v>0</v>
      </c>
      <c r="M1468" s="246">
        <f t="shared" si="606"/>
        <v>0</v>
      </c>
      <c r="N1468" s="121">
        <f t="shared" si="607"/>
        <v>1</v>
      </c>
      <c r="O1468" s="246">
        <f t="shared" si="608"/>
        <v>1</v>
      </c>
      <c r="P1468" s="121">
        <f t="shared" si="609"/>
        <v>0</v>
      </c>
      <c r="Q1468" s="121">
        <f t="shared" si="610"/>
        <v>0</v>
      </c>
      <c r="R1468" s="121">
        <f t="shared" si="611"/>
        <v>0.91666666666666663</v>
      </c>
      <c r="AE1468" s="160">
        <f t="shared" si="612"/>
        <v>1</v>
      </c>
    </row>
    <row r="1469" spans="1:35" x14ac:dyDescent="0.3">
      <c r="A1469" s="187">
        <v>44</v>
      </c>
      <c r="B1469" s="242">
        <f t="shared" si="613"/>
        <v>46966</v>
      </c>
      <c r="C1469" s="243">
        <f t="shared" si="596"/>
        <v>46996</v>
      </c>
      <c r="D1469" s="120">
        <f t="shared" si="597"/>
        <v>31</v>
      </c>
      <c r="E1469" s="120">
        <f t="shared" si="598"/>
        <v>8</v>
      </c>
      <c r="F1469" s="275">
        <f t="shared" si="599"/>
        <v>46981.5</v>
      </c>
      <c r="G1469" s="120">
        <f t="shared" si="600"/>
        <v>24343</v>
      </c>
      <c r="H1469" s="245">
        <f t="shared" si="601"/>
        <v>1</v>
      </c>
      <c r="I1469" s="121">
        <f t="shared" si="602"/>
        <v>1</v>
      </c>
      <c r="J1469" s="121">
        <f t="shared" si="603"/>
        <v>1</v>
      </c>
      <c r="K1469" s="120">
        <f t="shared" si="604"/>
        <v>0</v>
      </c>
      <c r="L1469" s="120">
        <f t="shared" si="605"/>
        <v>0</v>
      </c>
      <c r="M1469" s="246">
        <f t="shared" si="606"/>
        <v>0</v>
      </c>
      <c r="N1469" s="121">
        <f t="shared" si="607"/>
        <v>1</v>
      </c>
      <c r="O1469" s="246">
        <f t="shared" si="608"/>
        <v>1</v>
      </c>
      <c r="P1469" s="121">
        <f t="shared" si="609"/>
        <v>0</v>
      </c>
      <c r="Q1469" s="121">
        <f t="shared" si="610"/>
        <v>0</v>
      </c>
      <c r="R1469" s="121">
        <f t="shared" si="611"/>
        <v>0.75</v>
      </c>
      <c r="AE1469" s="160">
        <f t="shared" si="612"/>
        <v>1</v>
      </c>
    </row>
    <row r="1470" spans="1:35" x14ac:dyDescent="0.3">
      <c r="A1470" s="187">
        <v>45</v>
      </c>
      <c r="B1470" s="242">
        <f t="shared" si="613"/>
        <v>46997</v>
      </c>
      <c r="C1470" s="243">
        <f t="shared" si="596"/>
        <v>47026</v>
      </c>
      <c r="D1470" s="120">
        <f t="shared" si="597"/>
        <v>30</v>
      </c>
      <c r="E1470" s="120">
        <f t="shared" si="598"/>
        <v>9</v>
      </c>
      <c r="F1470" s="275">
        <f t="shared" si="599"/>
        <v>47012</v>
      </c>
      <c r="G1470" s="120">
        <f t="shared" si="600"/>
        <v>24344</v>
      </c>
      <c r="H1470" s="245">
        <f t="shared" si="601"/>
        <v>1</v>
      </c>
      <c r="I1470" s="121">
        <f t="shared" si="602"/>
        <v>1</v>
      </c>
      <c r="J1470" s="121">
        <f t="shared" si="603"/>
        <v>1</v>
      </c>
      <c r="K1470" s="120">
        <f t="shared" si="604"/>
        <v>0</v>
      </c>
      <c r="L1470" s="120">
        <f t="shared" si="605"/>
        <v>0</v>
      </c>
      <c r="M1470" s="246">
        <f t="shared" si="606"/>
        <v>0</v>
      </c>
      <c r="N1470" s="121">
        <f t="shared" si="607"/>
        <v>1</v>
      </c>
      <c r="O1470" s="246">
        <f t="shared" si="608"/>
        <v>1</v>
      </c>
      <c r="P1470" s="121">
        <f t="shared" si="609"/>
        <v>0</v>
      </c>
      <c r="Q1470" s="121">
        <f t="shared" si="610"/>
        <v>0</v>
      </c>
      <c r="R1470" s="121">
        <f t="shared" si="611"/>
        <v>0.58333333333333337</v>
      </c>
      <c r="AE1470" s="160">
        <f t="shared" si="612"/>
        <v>1</v>
      </c>
    </row>
    <row r="1471" spans="1:35" x14ac:dyDescent="0.3">
      <c r="A1471" s="187">
        <v>46</v>
      </c>
      <c r="B1471" s="242">
        <f t="shared" si="613"/>
        <v>47027</v>
      </c>
      <c r="C1471" s="243">
        <f t="shared" si="596"/>
        <v>47057</v>
      </c>
      <c r="D1471" s="120">
        <f t="shared" si="597"/>
        <v>31</v>
      </c>
      <c r="E1471" s="120">
        <f t="shared" si="598"/>
        <v>10</v>
      </c>
      <c r="F1471" s="275">
        <f t="shared" si="599"/>
        <v>47042.5</v>
      </c>
      <c r="G1471" s="120">
        <f t="shared" si="600"/>
        <v>24345</v>
      </c>
      <c r="H1471" s="245">
        <f t="shared" si="601"/>
        <v>1</v>
      </c>
      <c r="I1471" s="121">
        <f t="shared" si="602"/>
        <v>1</v>
      </c>
      <c r="J1471" s="121">
        <f t="shared" si="603"/>
        <v>1</v>
      </c>
      <c r="K1471" s="120">
        <f t="shared" si="604"/>
        <v>0</v>
      </c>
      <c r="L1471" s="120">
        <f t="shared" si="605"/>
        <v>0</v>
      </c>
      <c r="M1471" s="246">
        <f t="shared" si="606"/>
        <v>0</v>
      </c>
      <c r="N1471" s="121">
        <f t="shared" si="607"/>
        <v>1</v>
      </c>
      <c r="O1471" s="246">
        <f t="shared" si="608"/>
        <v>1</v>
      </c>
      <c r="P1471" s="121">
        <f t="shared" si="609"/>
        <v>0</v>
      </c>
      <c r="Q1471" s="121">
        <f t="shared" si="610"/>
        <v>0</v>
      </c>
      <c r="R1471" s="121">
        <f t="shared" si="611"/>
        <v>0.41666666666666669</v>
      </c>
      <c r="AE1471" s="160">
        <f t="shared" si="612"/>
        <v>1</v>
      </c>
    </row>
    <row r="1472" spans="1:35" x14ac:dyDescent="0.3">
      <c r="A1472" s="187">
        <v>47</v>
      </c>
      <c r="B1472" s="242">
        <f t="shared" si="613"/>
        <v>47058</v>
      </c>
      <c r="C1472" s="243">
        <f t="shared" si="596"/>
        <v>47087</v>
      </c>
      <c r="D1472" s="120">
        <f t="shared" si="597"/>
        <v>30</v>
      </c>
      <c r="E1472" s="120">
        <f t="shared" si="598"/>
        <v>11</v>
      </c>
      <c r="F1472" s="275">
        <f t="shared" si="599"/>
        <v>47073</v>
      </c>
      <c r="G1472" s="120">
        <f t="shared" si="600"/>
        <v>24346</v>
      </c>
      <c r="H1472" s="245">
        <f t="shared" si="601"/>
        <v>1</v>
      </c>
      <c r="I1472" s="121">
        <f t="shared" si="602"/>
        <v>1</v>
      </c>
      <c r="J1472" s="121">
        <f t="shared" si="603"/>
        <v>1</v>
      </c>
      <c r="K1472" s="120">
        <f t="shared" si="604"/>
        <v>0</v>
      </c>
      <c r="L1472" s="120">
        <f t="shared" si="605"/>
        <v>0</v>
      </c>
      <c r="M1472" s="246">
        <f t="shared" si="606"/>
        <v>0</v>
      </c>
      <c r="N1472" s="121">
        <f t="shared" si="607"/>
        <v>1</v>
      </c>
      <c r="O1472" s="246">
        <f t="shared" si="608"/>
        <v>1</v>
      </c>
      <c r="P1472" s="121">
        <f t="shared" si="609"/>
        <v>0</v>
      </c>
      <c r="Q1472" s="121">
        <f t="shared" si="610"/>
        <v>0</v>
      </c>
      <c r="R1472" s="121">
        <f t="shared" si="611"/>
        <v>0.25</v>
      </c>
      <c r="AE1472" s="160">
        <f t="shared" si="612"/>
        <v>1</v>
      </c>
    </row>
    <row r="1473" spans="1:31" x14ac:dyDescent="0.3">
      <c r="A1473" s="187">
        <v>48</v>
      </c>
      <c r="B1473" s="242">
        <f t="shared" si="613"/>
        <v>47088</v>
      </c>
      <c r="C1473" s="243">
        <f t="shared" si="596"/>
        <v>47118</v>
      </c>
      <c r="D1473" s="120">
        <f t="shared" si="597"/>
        <v>31</v>
      </c>
      <c r="E1473" s="120">
        <f t="shared" si="598"/>
        <v>12</v>
      </c>
      <c r="F1473" s="275">
        <f t="shared" si="599"/>
        <v>47103.5</v>
      </c>
      <c r="G1473" s="120">
        <f t="shared" si="600"/>
        <v>24347</v>
      </c>
      <c r="H1473" s="245">
        <f t="shared" si="601"/>
        <v>1</v>
      </c>
      <c r="I1473" s="121">
        <f t="shared" si="602"/>
        <v>1</v>
      </c>
      <c r="J1473" s="121">
        <f t="shared" si="603"/>
        <v>1</v>
      </c>
      <c r="K1473" s="120">
        <f t="shared" si="604"/>
        <v>0</v>
      </c>
      <c r="L1473" s="120">
        <f t="shared" si="605"/>
        <v>0</v>
      </c>
      <c r="M1473" s="246">
        <f t="shared" si="606"/>
        <v>0</v>
      </c>
      <c r="N1473" s="121">
        <f t="shared" si="607"/>
        <v>1</v>
      </c>
      <c r="O1473" s="246">
        <f t="shared" si="608"/>
        <v>1</v>
      </c>
      <c r="P1473" s="121">
        <f t="shared" si="609"/>
        <v>0</v>
      </c>
      <c r="Q1473" s="121">
        <f t="shared" si="610"/>
        <v>0</v>
      </c>
      <c r="R1473" s="121">
        <f t="shared" si="611"/>
        <v>8.3333333333333329E-2</v>
      </c>
      <c r="AE1473" s="160">
        <f t="shared" si="612"/>
        <v>1</v>
      </c>
    </row>
    <row r="1474" spans="1:31" x14ac:dyDescent="0.3">
      <c r="A1474" s="23" t="s">
        <v>1723</v>
      </c>
      <c r="B1474" s="279">
        <f>SUM($H$1450:$H$1461)</f>
        <v>12</v>
      </c>
      <c r="C1474" s="160">
        <f>SUMPRODUCT($H$1450:$H$1461,$W$1450:$W$1461/$N$1438:$N$1449,$Y$1450:$Y$1461)</f>
        <v>12</v>
      </c>
      <c r="D1474" s="160">
        <f>SUMPRODUCT($H$1450:$H$1461,$X$1450:$X$1461/$N$1438:$N$1449,$Y$1450:$Y$1461)</f>
        <v>9</v>
      </c>
      <c r="E1474" s="281" t="str">
        <f>IF(OR($D$1423=0,$P$1423=0,$D1474=0),"n/a",((1+$E$1423)*$B1474-$C1474)/$D1474)</f>
        <v>n/a</v>
      </c>
      <c r="F1474" s="281" t="str">
        <f>IF($V$1423&lt;&gt;"",$V$1423,$E1474)</f>
        <v>n/a</v>
      </c>
      <c r="G1474" s="281" t="str">
        <f>IF(OR(NOT(ISNUMBER($F1474)),nd_Ach=0),"n/a",$F1474/nd_Ach)</f>
        <v>n/a</v>
      </c>
      <c r="H1474" s="220" t="str">
        <f>IF(OR(NOT(ISNUMBER($F1474)),$F$1423=0,SUMPRODUCT($AD$1450:$AD$1461,$AB$1450:$AB$1461)=0),"n/a",((1+$E$1423)*$B1474-SUMPRODUCT($AD$1450:$AD$1461,$AC$1450:$AC$1461))/SUMPRODUCT($AD$1450:$AD$1461,$AB$1450:$AB$1461))</f>
        <v>n/a</v>
      </c>
      <c r="I1474" s="183" t="str">
        <f>IF(NOT(ISNUMBER($F1474)),"n/a",SUMPRODUCT($H$1450:$H$1461,($W$1450:$W$1461+$X$1450:$X$1461*$F1474)/$N$1438:$N$1449)/$B1474-1)</f>
        <v>n/a</v>
      </c>
      <c r="J1474" s="183" t="str">
        <f>IF(OR(NOT(ISNUMBER($I1474)),$F$1423=0),"n/a",(1+$E$1423)/(1+$I1474)-1)</f>
        <v>n/a</v>
      </c>
      <c r="K1474" s="183" t="str">
        <f>IF(NOT(ISNUMBER($F1474)),"n/a",($C1474+$D1474*$F1474)/$B1474-1)</f>
        <v>n/a</v>
      </c>
      <c r="L1474" s="229" t="str">
        <f>IF(NOT(ISNUMBER($F1474)),"n/a",SUMPRODUCT($H$1450:$H$1461,$AF$1450:$AF$1461)/$B1474)</f>
        <v>n/a</v>
      </c>
      <c r="M1474" s="23" t="str">
        <f>IF($D$1423=0,"",TRIM(IF(AND(ISNUMBER($H1474),OR($H1474&lt;0.5,$H1474&gt;1.5)),"MOD-BOUND ","")&amp;IF(AND(ISNUMBER($F1474),ABS($F1474)&gt;nr_SolvMaxRate),"RATE-BOUND ","")&amp;IF(AND(ISNUMBER($L1474),$L1474&lt;nr_SolvMinShare),"THIN-SHARE ","")&amp;IF($W$1423&gt;1,"MULTI-PLANNED ","")&amp;IF($F$1423=0,"RATE-ONLY","")))</f>
        <v/>
      </c>
      <c r="N1474" s="229" t="str">
        <f>IF(OR($D$1423=0,NOT(ISNUMBER($F1474))),"n/a",INDEX(calc_lrcur,$C$1423)*INDEX(calc_crl,$C$1423)/(SUMPRODUCT($H$1426:$H$1473,$Q$1426:$Q$1473,$AE$1426:$AE$1473)/SUMPRODUCT($H$1426:$H$1473,$Q$1426:$Q$1473))*INDEX(calc_aother,$C$1423))</f>
        <v>n/a</v>
      </c>
      <c r="O1474" s="229" t="str">
        <f>IF($D$1423=0,"n/a",INDEX(calc_cylr_p,$C$1423))</f>
        <v>n/a</v>
      </c>
      <c r="P1474" s="282">
        <f>IF(NOT(ISNUMBER($E1474)),0,ABS(($C1474+$D1474*$E1474)/$B1474-(1+$E$1423)))</f>
        <v>0</v>
      </c>
    </row>
    <row r="1479" spans="1:31" x14ac:dyDescent="0.3">
      <c r="A1479" s="23" t="str">
        <f>_lists!$B$25</f>
        <v/>
      </c>
      <c r="B1479" s="23" t="str">
        <f>IF(OR($A1479="",nd_BU="All"),"",nd_BU&amp;"|"&amp;$A1479)</f>
        <v/>
      </c>
      <c r="C1479" s="43">
        <f>IF($B1479="",0,IF(COUNTIF(lr_key,$B1479)=0,0,MATCH($B1479,lr_key,0)))</f>
        <v>0</v>
      </c>
      <c r="D1479" s="43">
        <f>IF($C1479=0,0,IF(ISBLANK(INDEX(lr_netp,$C1479)),0,1))</f>
        <v>0</v>
      </c>
      <c r="E1479" s="229">
        <f>IF($D1479=0,0,N(INDEX(lr_netp,$C1479)))</f>
        <v>0</v>
      </c>
      <c r="F1479" s="43">
        <f>IF($C1479=0,0,IF(AND(nr_ModAdjMaster="ON",INDEX(lr_modadj,$C1479)="ON"),1,0))</f>
        <v>0</v>
      </c>
      <c r="G1479" s="220">
        <f>IF($C1479=0,1,IF(N(INDEX(lr_mind,$C1479))=0,1,INDEX(lr_mind,$C1479)))</f>
        <v>1</v>
      </c>
      <c r="H1479" s="220">
        <f>IF($C1479=0,1,IF(N(INDEX(lr_m0,$C1479))=0,1,INDEX(lr_m0,$C1479)))</f>
        <v>1</v>
      </c>
      <c r="I1479" s="278">
        <f>IF($C1479=0,DATE(nr_PlanYear-1,10,1),IF(N(INDEX(lr_m0asof,$C1479))=0,DATE(nr_PlanYear-1,10,1),INDEX(lr_m0asof,$C1479)))</f>
        <v>46296</v>
      </c>
      <c r="J1479" s="220">
        <f>IF($C1479=0,1,IF(N(INDEX(lr_m1,$C1479))=0,1,INDEX(lr_m1,$C1479)))</f>
        <v>1</v>
      </c>
      <c r="K1479" s="220">
        <f>IF($C1479=0,0,N(INDEX(lr_mprior,$C1479)))</f>
        <v>0</v>
      </c>
      <c r="L1479" s="220">
        <f>IF($C1479=0,0,N(INDEX(lr_m2,$C1479)))</f>
        <v>0</v>
      </c>
      <c r="M1479" s="43">
        <f>IF(OR($A1479="",COUNTIF(se_state,$A1479)=0),0,MATCH($A1479,se_state,0))</f>
        <v>0</v>
      </c>
      <c r="N1479" s="279">
        <f>IF($M1479=0,0,INDEX(se_sum,$M1479))</f>
        <v>0</v>
      </c>
      <c r="O1479" s="278">
        <f>IF('Net Delivery'!$D$31="",$X1479,'Net Delivery'!$D$31)</f>
        <v>46478</v>
      </c>
      <c r="P1479" s="43">
        <f>IF(AND($O1479&gt;=DATE(nr_PlanYear,1,1),$O1479&lt;=DATE(nr_PlanYear,12,31)),1,0)</f>
        <v>1</v>
      </c>
      <c r="Q1479" s="43">
        <f>YEAR($O1479)*12+MONTH($O1479)-1</f>
        <v>24327</v>
      </c>
      <c r="R1479" s="43">
        <f>DAY(EOMONTH($O1479,0))</f>
        <v>30</v>
      </c>
      <c r="S1479" s="43">
        <f>EOMONTH($O1479,0)-$O1479+1</f>
        <v>30</v>
      </c>
      <c r="T1479" s="43">
        <f>SUMIFS(ndl_days,rl_key,$B1479,ndl_effmonth,DATE(YEAR($O1479),MONTH($O1479),1),ndl_first,1)</f>
        <v>0</v>
      </c>
      <c r="U1479" s="220">
        <f>IF($P1479=1,MIN(1,MAX($S1479,$T1479)/$R1479),1)</f>
        <v>1</v>
      </c>
      <c r="V1479" s="280" t="str">
        <f>IF(ISBLANK('Net Delivery'!$E$31),$Y1479,'Net Delivery'!$E$31)</f>
        <v/>
      </c>
      <c r="W1479" s="43">
        <f>IF($B1479="",0,COUNTIFS(rl_key,$B1479,rl_status,"planned",rl_eff,"&gt;="&amp;DATE(nr_PlanYear,1,1),rl_eff,"&lt;="&amp;DATE(nr_PlanYear,12,31)))</f>
        <v>0</v>
      </c>
      <c r="X1479" s="278">
        <f>IF($W1479=0,nd_DefaultDate,SUMIFS(rl_eff,rl_key,$B1479,rl_firstplanned,1))</f>
        <v>46478</v>
      </c>
      <c r="Y1479" s="280" t="str">
        <f>IF($W1479=0,"",SUMIFS(rl_reff,rl_key,$B1479,rl_firstplanned,1))</f>
        <v/>
      </c>
      <c r="Z1479" s="280" t="str">
        <f>IF($W1479=0,"",SUMIFS(rl_filed,rl_key,$B1479,rl_firstplanned,1))</f>
        <v/>
      </c>
    </row>
    <row r="1480" spans="1:31" x14ac:dyDescent="0.3">
      <c r="A1480" s="6">
        <f>EDATE($I$1479,-12)+1</f>
        <v>45932</v>
      </c>
      <c r="B1480" s="6">
        <f>$I$1479+1</f>
        <v>46297</v>
      </c>
      <c r="C1480" s="6">
        <f>DATE(nr_PlanYear,12,31)+1</f>
        <v>46753</v>
      </c>
      <c r="D1480" s="6">
        <f>DATE(nr_PlanYear+1,12,31)+1</f>
        <v>47119</v>
      </c>
      <c r="E1480" s="6">
        <f>IF(N($K$1479)=0,$F$1480-($G$1480-$F$1480)/($C$1480-$B$1480)*($B$1480-$A$1480),$K$1479)</f>
        <v>1</v>
      </c>
      <c r="F1480" s="6">
        <f>$H$1479</f>
        <v>1</v>
      </c>
      <c r="G1480" s="6">
        <f>$J$1479</f>
        <v>1</v>
      </c>
      <c r="H1480" s="6">
        <f>IF(N($L$1479)=0,$J$1479,$L$1479)</f>
        <v>1</v>
      </c>
      <c r="I1480" s="6">
        <f>($F$1480-$E$1480)/($B$1480-$A$1480)</f>
        <v>0</v>
      </c>
      <c r="J1480" s="6">
        <f>($G$1480-$F$1480)/($C$1480-$B$1480)</f>
        <v>0</v>
      </c>
      <c r="K1480" s="6">
        <f>($H$1480-$G$1480)/($D$1480-$C$1480)</f>
        <v>0</v>
      </c>
    </row>
    <row r="1481" spans="1:31" ht="36" x14ac:dyDescent="0.3">
      <c r="A1481" s="58" t="s">
        <v>390</v>
      </c>
      <c r="B1481" s="58" t="s">
        <v>449</v>
      </c>
      <c r="C1481" s="58" t="s">
        <v>685</v>
      </c>
      <c r="D1481" s="58" t="s">
        <v>686</v>
      </c>
      <c r="E1481" s="58" t="s">
        <v>687</v>
      </c>
      <c r="F1481" s="58" t="s">
        <v>688</v>
      </c>
      <c r="G1481" s="58" t="s">
        <v>689</v>
      </c>
      <c r="H1481" s="58" t="s">
        <v>452</v>
      </c>
      <c r="I1481" s="58" t="s">
        <v>690</v>
      </c>
      <c r="J1481" s="58" t="s">
        <v>691</v>
      </c>
      <c r="K1481" s="58" t="s">
        <v>692</v>
      </c>
      <c r="L1481" s="58" t="s">
        <v>693</v>
      </c>
      <c r="M1481" s="58" t="s">
        <v>694</v>
      </c>
      <c r="N1481" s="58" t="s">
        <v>695</v>
      </c>
      <c r="O1481" s="58" t="s">
        <v>696</v>
      </c>
      <c r="P1481" s="58" t="s">
        <v>697</v>
      </c>
      <c r="Q1481" s="58" t="s">
        <v>698</v>
      </c>
      <c r="R1481" s="58" t="s">
        <v>699</v>
      </c>
      <c r="S1481" s="58" t="s">
        <v>700</v>
      </c>
      <c r="T1481" s="58" t="s">
        <v>701</v>
      </c>
      <c r="U1481" s="58" t="s">
        <v>702</v>
      </c>
    </row>
    <row r="1482" spans="1:31" x14ac:dyDescent="0.3">
      <c r="A1482" s="187">
        <v>1</v>
      </c>
      <c r="B1482" s="242">
        <f>DATE(nr_PlanYear-2,1,1)</f>
        <v>45658</v>
      </c>
      <c r="C1482" s="243">
        <f t="shared" ref="C1482:C1529" si="624">EOMONTH($B1482,0)</f>
        <v>45688</v>
      </c>
      <c r="D1482" s="120">
        <f t="shared" ref="D1482:D1529" si="625">$C1482-$B1482+1</f>
        <v>31</v>
      </c>
      <c r="E1482" s="120">
        <f t="shared" ref="E1482:E1529" si="626">MONTH($B1482)</f>
        <v>1</v>
      </c>
      <c r="F1482" s="275">
        <f t="shared" ref="F1482:F1529" si="627">($B1482+$C1482+1)/2</f>
        <v>45673.5</v>
      </c>
      <c r="G1482" s="120">
        <f t="shared" ref="G1482:G1529" si="628">YEAR($B1482)*12+MONTH($B1482)-1</f>
        <v>24300</v>
      </c>
      <c r="H1482" s="245">
        <f t="shared" ref="H1482:H1529" si="629">IF(OR(nr_SeasonOn="OFF",$M$1479=0,$N$1479=0),1,12*INDEX(se_block,$M$1479,$E1482)/$N$1479)</f>
        <v>1</v>
      </c>
      <c r="I1482" s="121">
        <f t="shared" ref="I1482:I1529" si="630">EXP(SUMPRODUCT((ndl_eff&lt;$B1482)*(rl_key=$B$1479)*ndl_ln))</f>
        <v>1</v>
      </c>
      <c r="J1482" s="121">
        <f t="shared" ref="J1482:J1529" si="631">EXP(SUMPRODUCT((ndl_eff&lt;=$C1482)*(rl_key=$B$1479)*ndl_ln))</f>
        <v>1</v>
      </c>
      <c r="K1482" s="120">
        <f t="shared" ref="K1482:K1529" si="632">COUNTIFS(rl_key,$B$1479,ndl_eff,"&gt;="&amp;$B1482,ndl_eff,"&lt;="&amp;$C1482)</f>
        <v>0</v>
      </c>
      <c r="L1482" s="120">
        <f t="shared" ref="L1482:L1529" si="633">SUMIFS(ndl_days,rl_key,$B$1479,ndl_effmonth,$B1482,ndl_first,1)</f>
        <v>0</v>
      </c>
      <c r="M1482" s="246">
        <f t="shared" ref="M1482:M1529" si="634">IF($K1482=0,0,MIN(1,$L1482/$D1482))</f>
        <v>0</v>
      </c>
      <c r="N1482" s="121">
        <f t="shared" ref="N1482:N1529" si="635">IF($K1482=0,$J1482,(1-$M1482)*$I1482+$M1482*$J1482)</f>
        <v>1</v>
      </c>
      <c r="O1482" s="246">
        <f t="shared" ref="O1482:O1529" si="636">IF($F1482&lt;$B$1480,$E$1480+$I$1480*($F1482-$A$1480),IF($F1482&lt;$C$1480,$F$1480+$J$1480*($F1482-$B$1480),$G$1480+$K$1480*($F1482-$C$1480)))</f>
        <v>1</v>
      </c>
      <c r="P1482" s="121">
        <f t="shared" ref="P1482:P1529" si="637">MIN(1,MAX(0,(nr_MEndPm1-$G1482+0.5)/nr_TermMonths))-MIN(1,MAX(0,(nr_MStartPm1-1-$G1482+0.5)/nr_TermMonths))</f>
        <v>0</v>
      </c>
      <c r="Q1482" s="121">
        <f t="shared" ref="Q1482:Q1529" si="638">MIN(1,MAX(0,(nr_MEndP-$G1482+0.5)/nr_TermMonths))-MIN(1,MAX(0,(nr_MStartP-1-$G1482+0.5)/nr_TermMonths))</f>
        <v>0</v>
      </c>
      <c r="R1482" s="121">
        <f t="shared" ref="R1482:R1529" si="639">MIN(1,MAX(0,(nr_MEndP1-$G1482+0.5)/nr_TermMonths))-MIN(1,MAX(0,(nr_MStartP1-1-$G1482+0.5)/nr_TermMonths))</f>
        <v>0</v>
      </c>
      <c r="AE1482" s="160">
        <f t="shared" ref="AE1482:AE1529" si="640">IF(OR($G1482&lt;nr_MStartP,$G1482&gt;=nr_MStartP1),IF($F$1479=1,$N1482*$O1482/$G$1479,$N1482),($W1482+$X1482*IF(ISNUMBER($F$1530),$F$1530,0))*IF($F$1479=1,($AC1482+$AB1482*IF(ISNUMBER($H$1530),$H$1530,$J$1479))/$G$1479,1))</f>
        <v>1</v>
      </c>
    </row>
    <row r="1483" spans="1:31" x14ac:dyDescent="0.3">
      <c r="A1483" s="187">
        <v>2</v>
      </c>
      <c r="B1483" s="242">
        <f t="shared" ref="B1483:B1529" si="641">EDATE($B1482,1)</f>
        <v>45689</v>
      </c>
      <c r="C1483" s="243">
        <f t="shared" si="624"/>
        <v>45716</v>
      </c>
      <c r="D1483" s="120">
        <f t="shared" si="625"/>
        <v>28</v>
      </c>
      <c r="E1483" s="120">
        <f t="shared" si="626"/>
        <v>2</v>
      </c>
      <c r="F1483" s="275">
        <f t="shared" si="627"/>
        <v>45703</v>
      </c>
      <c r="G1483" s="120">
        <f t="shared" si="628"/>
        <v>24301</v>
      </c>
      <c r="H1483" s="245">
        <f t="shared" si="629"/>
        <v>1</v>
      </c>
      <c r="I1483" s="121">
        <f t="shared" si="630"/>
        <v>1</v>
      </c>
      <c r="J1483" s="121">
        <f t="shared" si="631"/>
        <v>1</v>
      </c>
      <c r="K1483" s="120">
        <f t="shared" si="632"/>
        <v>0</v>
      </c>
      <c r="L1483" s="120">
        <f t="shared" si="633"/>
        <v>0</v>
      </c>
      <c r="M1483" s="246">
        <f t="shared" si="634"/>
        <v>0</v>
      </c>
      <c r="N1483" s="121">
        <f t="shared" si="635"/>
        <v>1</v>
      </c>
      <c r="O1483" s="246">
        <f t="shared" si="636"/>
        <v>1</v>
      </c>
      <c r="P1483" s="121">
        <f t="shared" si="637"/>
        <v>0</v>
      </c>
      <c r="Q1483" s="121">
        <f t="shared" si="638"/>
        <v>0</v>
      </c>
      <c r="R1483" s="121">
        <f t="shared" si="639"/>
        <v>0</v>
      </c>
      <c r="AE1483" s="160">
        <f t="shared" si="640"/>
        <v>1</v>
      </c>
    </row>
    <row r="1484" spans="1:31" x14ac:dyDescent="0.3">
      <c r="A1484" s="187">
        <v>3</v>
      </c>
      <c r="B1484" s="242">
        <f t="shared" si="641"/>
        <v>45717</v>
      </c>
      <c r="C1484" s="243">
        <f t="shared" si="624"/>
        <v>45747</v>
      </c>
      <c r="D1484" s="120">
        <f t="shared" si="625"/>
        <v>31</v>
      </c>
      <c r="E1484" s="120">
        <f t="shared" si="626"/>
        <v>3</v>
      </c>
      <c r="F1484" s="275">
        <f t="shared" si="627"/>
        <v>45732.5</v>
      </c>
      <c r="G1484" s="120">
        <f t="shared" si="628"/>
        <v>24302</v>
      </c>
      <c r="H1484" s="245">
        <f t="shared" si="629"/>
        <v>1</v>
      </c>
      <c r="I1484" s="121">
        <f t="shared" si="630"/>
        <v>1</v>
      </c>
      <c r="J1484" s="121">
        <f t="shared" si="631"/>
        <v>1</v>
      </c>
      <c r="K1484" s="120">
        <f t="shared" si="632"/>
        <v>0</v>
      </c>
      <c r="L1484" s="120">
        <f t="shared" si="633"/>
        <v>0</v>
      </c>
      <c r="M1484" s="246">
        <f t="shared" si="634"/>
        <v>0</v>
      </c>
      <c r="N1484" s="121">
        <f t="shared" si="635"/>
        <v>1</v>
      </c>
      <c r="O1484" s="246">
        <f t="shared" si="636"/>
        <v>1</v>
      </c>
      <c r="P1484" s="121">
        <f t="shared" si="637"/>
        <v>0</v>
      </c>
      <c r="Q1484" s="121">
        <f t="shared" si="638"/>
        <v>0</v>
      </c>
      <c r="R1484" s="121">
        <f t="shared" si="639"/>
        <v>0</v>
      </c>
      <c r="AE1484" s="160">
        <f t="shared" si="640"/>
        <v>1</v>
      </c>
    </row>
    <row r="1485" spans="1:31" x14ac:dyDescent="0.3">
      <c r="A1485" s="187">
        <v>4</v>
      </c>
      <c r="B1485" s="242">
        <f t="shared" si="641"/>
        <v>45748</v>
      </c>
      <c r="C1485" s="243">
        <f t="shared" si="624"/>
        <v>45777</v>
      </c>
      <c r="D1485" s="120">
        <f t="shared" si="625"/>
        <v>30</v>
      </c>
      <c r="E1485" s="120">
        <f t="shared" si="626"/>
        <v>4</v>
      </c>
      <c r="F1485" s="275">
        <f t="shared" si="627"/>
        <v>45763</v>
      </c>
      <c r="G1485" s="120">
        <f t="shared" si="628"/>
        <v>24303</v>
      </c>
      <c r="H1485" s="245">
        <f t="shared" si="629"/>
        <v>1</v>
      </c>
      <c r="I1485" s="121">
        <f t="shared" si="630"/>
        <v>1</v>
      </c>
      <c r="J1485" s="121">
        <f t="shared" si="631"/>
        <v>1</v>
      </c>
      <c r="K1485" s="120">
        <f t="shared" si="632"/>
        <v>0</v>
      </c>
      <c r="L1485" s="120">
        <f t="shared" si="633"/>
        <v>0</v>
      </c>
      <c r="M1485" s="246">
        <f t="shared" si="634"/>
        <v>0</v>
      </c>
      <c r="N1485" s="121">
        <f t="shared" si="635"/>
        <v>1</v>
      </c>
      <c r="O1485" s="246">
        <f t="shared" si="636"/>
        <v>1</v>
      </c>
      <c r="P1485" s="121">
        <f t="shared" si="637"/>
        <v>0</v>
      </c>
      <c r="Q1485" s="121">
        <f t="shared" si="638"/>
        <v>0</v>
      </c>
      <c r="R1485" s="121">
        <f t="shared" si="639"/>
        <v>0</v>
      </c>
      <c r="AE1485" s="160">
        <f t="shared" si="640"/>
        <v>1</v>
      </c>
    </row>
    <row r="1486" spans="1:31" x14ac:dyDescent="0.3">
      <c r="A1486" s="187">
        <v>5</v>
      </c>
      <c r="B1486" s="242">
        <f t="shared" si="641"/>
        <v>45778</v>
      </c>
      <c r="C1486" s="243">
        <f t="shared" si="624"/>
        <v>45808</v>
      </c>
      <c r="D1486" s="120">
        <f t="shared" si="625"/>
        <v>31</v>
      </c>
      <c r="E1486" s="120">
        <f t="shared" si="626"/>
        <v>5</v>
      </c>
      <c r="F1486" s="275">
        <f t="shared" si="627"/>
        <v>45793.5</v>
      </c>
      <c r="G1486" s="120">
        <f t="shared" si="628"/>
        <v>24304</v>
      </c>
      <c r="H1486" s="245">
        <f t="shared" si="629"/>
        <v>1</v>
      </c>
      <c r="I1486" s="121">
        <f t="shared" si="630"/>
        <v>1</v>
      </c>
      <c r="J1486" s="121">
        <f t="shared" si="631"/>
        <v>1</v>
      </c>
      <c r="K1486" s="120">
        <f t="shared" si="632"/>
        <v>0</v>
      </c>
      <c r="L1486" s="120">
        <f t="shared" si="633"/>
        <v>0</v>
      </c>
      <c r="M1486" s="246">
        <f t="shared" si="634"/>
        <v>0</v>
      </c>
      <c r="N1486" s="121">
        <f t="shared" si="635"/>
        <v>1</v>
      </c>
      <c r="O1486" s="246">
        <f t="shared" si="636"/>
        <v>1</v>
      </c>
      <c r="P1486" s="121">
        <f t="shared" si="637"/>
        <v>0</v>
      </c>
      <c r="Q1486" s="121">
        <f t="shared" si="638"/>
        <v>0</v>
      </c>
      <c r="R1486" s="121">
        <f t="shared" si="639"/>
        <v>0</v>
      </c>
      <c r="AE1486" s="160">
        <f t="shared" si="640"/>
        <v>1</v>
      </c>
    </row>
    <row r="1487" spans="1:31" x14ac:dyDescent="0.3">
      <c r="A1487" s="187">
        <v>6</v>
      </c>
      <c r="B1487" s="242">
        <f t="shared" si="641"/>
        <v>45809</v>
      </c>
      <c r="C1487" s="243">
        <f t="shared" si="624"/>
        <v>45838</v>
      </c>
      <c r="D1487" s="120">
        <f t="shared" si="625"/>
        <v>30</v>
      </c>
      <c r="E1487" s="120">
        <f t="shared" si="626"/>
        <v>6</v>
      </c>
      <c r="F1487" s="275">
        <f t="shared" si="627"/>
        <v>45824</v>
      </c>
      <c r="G1487" s="120">
        <f t="shared" si="628"/>
        <v>24305</v>
      </c>
      <c r="H1487" s="245">
        <f t="shared" si="629"/>
        <v>1</v>
      </c>
      <c r="I1487" s="121">
        <f t="shared" si="630"/>
        <v>1</v>
      </c>
      <c r="J1487" s="121">
        <f t="shared" si="631"/>
        <v>1</v>
      </c>
      <c r="K1487" s="120">
        <f t="shared" si="632"/>
        <v>0</v>
      </c>
      <c r="L1487" s="120">
        <f t="shared" si="633"/>
        <v>0</v>
      </c>
      <c r="M1487" s="246">
        <f t="shared" si="634"/>
        <v>0</v>
      </c>
      <c r="N1487" s="121">
        <f t="shared" si="635"/>
        <v>1</v>
      </c>
      <c r="O1487" s="246">
        <f t="shared" si="636"/>
        <v>1</v>
      </c>
      <c r="P1487" s="121">
        <f t="shared" si="637"/>
        <v>0</v>
      </c>
      <c r="Q1487" s="121">
        <f t="shared" si="638"/>
        <v>0</v>
      </c>
      <c r="R1487" s="121">
        <f t="shared" si="639"/>
        <v>0</v>
      </c>
      <c r="AE1487" s="160">
        <f t="shared" si="640"/>
        <v>1</v>
      </c>
    </row>
    <row r="1488" spans="1:31" x14ac:dyDescent="0.3">
      <c r="A1488" s="187">
        <v>7</v>
      </c>
      <c r="B1488" s="242">
        <f t="shared" si="641"/>
        <v>45839</v>
      </c>
      <c r="C1488" s="243">
        <f t="shared" si="624"/>
        <v>45869</v>
      </c>
      <c r="D1488" s="120">
        <f t="shared" si="625"/>
        <v>31</v>
      </c>
      <c r="E1488" s="120">
        <f t="shared" si="626"/>
        <v>7</v>
      </c>
      <c r="F1488" s="275">
        <f t="shared" si="627"/>
        <v>45854.5</v>
      </c>
      <c r="G1488" s="120">
        <f t="shared" si="628"/>
        <v>24306</v>
      </c>
      <c r="H1488" s="245">
        <f t="shared" si="629"/>
        <v>1</v>
      </c>
      <c r="I1488" s="121">
        <f t="shared" si="630"/>
        <v>1</v>
      </c>
      <c r="J1488" s="121">
        <f t="shared" si="631"/>
        <v>1</v>
      </c>
      <c r="K1488" s="120">
        <f t="shared" si="632"/>
        <v>0</v>
      </c>
      <c r="L1488" s="120">
        <f t="shared" si="633"/>
        <v>0</v>
      </c>
      <c r="M1488" s="246">
        <f t="shared" si="634"/>
        <v>0</v>
      </c>
      <c r="N1488" s="121">
        <f t="shared" si="635"/>
        <v>1</v>
      </c>
      <c r="O1488" s="246">
        <f t="shared" si="636"/>
        <v>1</v>
      </c>
      <c r="P1488" s="121">
        <f t="shared" si="637"/>
        <v>8.333333333333337E-2</v>
      </c>
      <c r="Q1488" s="121">
        <f t="shared" si="638"/>
        <v>0</v>
      </c>
      <c r="R1488" s="121">
        <f t="shared" si="639"/>
        <v>0</v>
      </c>
      <c r="AE1488" s="160">
        <f t="shared" si="640"/>
        <v>1</v>
      </c>
    </row>
    <row r="1489" spans="1:31" x14ac:dyDescent="0.3">
      <c r="A1489" s="187">
        <v>8</v>
      </c>
      <c r="B1489" s="242">
        <f t="shared" si="641"/>
        <v>45870</v>
      </c>
      <c r="C1489" s="243">
        <f t="shared" si="624"/>
        <v>45900</v>
      </c>
      <c r="D1489" s="120">
        <f t="shared" si="625"/>
        <v>31</v>
      </c>
      <c r="E1489" s="120">
        <f t="shared" si="626"/>
        <v>8</v>
      </c>
      <c r="F1489" s="275">
        <f t="shared" si="627"/>
        <v>45885.5</v>
      </c>
      <c r="G1489" s="120">
        <f t="shared" si="628"/>
        <v>24307</v>
      </c>
      <c r="H1489" s="245">
        <f t="shared" si="629"/>
        <v>1</v>
      </c>
      <c r="I1489" s="121">
        <f t="shared" si="630"/>
        <v>1</v>
      </c>
      <c r="J1489" s="121">
        <f t="shared" si="631"/>
        <v>1</v>
      </c>
      <c r="K1489" s="120">
        <f t="shared" si="632"/>
        <v>0</v>
      </c>
      <c r="L1489" s="120">
        <f t="shared" si="633"/>
        <v>0</v>
      </c>
      <c r="M1489" s="246">
        <f t="shared" si="634"/>
        <v>0</v>
      </c>
      <c r="N1489" s="121">
        <f t="shared" si="635"/>
        <v>1</v>
      </c>
      <c r="O1489" s="246">
        <f t="shared" si="636"/>
        <v>1</v>
      </c>
      <c r="P1489" s="121">
        <f t="shared" si="637"/>
        <v>0.25</v>
      </c>
      <c r="Q1489" s="121">
        <f t="shared" si="638"/>
        <v>0</v>
      </c>
      <c r="R1489" s="121">
        <f t="shared" si="639"/>
        <v>0</v>
      </c>
      <c r="AE1489" s="160">
        <f t="shared" si="640"/>
        <v>1</v>
      </c>
    </row>
    <row r="1490" spans="1:31" x14ac:dyDescent="0.3">
      <c r="A1490" s="187">
        <v>9</v>
      </c>
      <c r="B1490" s="242">
        <f t="shared" si="641"/>
        <v>45901</v>
      </c>
      <c r="C1490" s="243">
        <f t="shared" si="624"/>
        <v>45930</v>
      </c>
      <c r="D1490" s="120">
        <f t="shared" si="625"/>
        <v>30</v>
      </c>
      <c r="E1490" s="120">
        <f t="shared" si="626"/>
        <v>9</v>
      </c>
      <c r="F1490" s="275">
        <f t="shared" si="627"/>
        <v>45916</v>
      </c>
      <c r="G1490" s="120">
        <f t="shared" si="628"/>
        <v>24308</v>
      </c>
      <c r="H1490" s="245">
        <f t="shared" si="629"/>
        <v>1</v>
      </c>
      <c r="I1490" s="121">
        <f t="shared" si="630"/>
        <v>1</v>
      </c>
      <c r="J1490" s="121">
        <f t="shared" si="631"/>
        <v>1</v>
      </c>
      <c r="K1490" s="120">
        <f t="shared" si="632"/>
        <v>0</v>
      </c>
      <c r="L1490" s="120">
        <f t="shared" si="633"/>
        <v>0</v>
      </c>
      <c r="M1490" s="246">
        <f t="shared" si="634"/>
        <v>0</v>
      </c>
      <c r="N1490" s="121">
        <f t="shared" si="635"/>
        <v>1</v>
      </c>
      <c r="O1490" s="246">
        <f t="shared" si="636"/>
        <v>1</v>
      </c>
      <c r="P1490" s="121">
        <f t="shared" si="637"/>
        <v>0.41666666666666663</v>
      </c>
      <c r="Q1490" s="121">
        <f t="shared" si="638"/>
        <v>0</v>
      </c>
      <c r="R1490" s="121">
        <f t="shared" si="639"/>
        <v>0</v>
      </c>
      <c r="AE1490" s="160">
        <f t="shared" si="640"/>
        <v>1</v>
      </c>
    </row>
    <row r="1491" spans="1:31" x14ac:dyDescent="0.3">
      <c r="A1491" s="187">
        <v>10</v>
      </c>
      <c r="B1491" s="242">
        <f t="shared" si="641"/>
        <v>45931</v>
      </c>
      <c r="C1491" s="243">
        <f t="shared" si="624"/>
        <v>45961</v>
      </c>
      <c r="D1491" s="120">
        <f t="shared" si="625"/>
        <v>31</v>
      </c>
      <c r="E1491" s="120">
        <f t="shared" si="626"/>
        <v>10</v>
      </c>
      <c r="F1491" s="275">
        <f t="shared" si="627"/>
        <v>45946.5</v>
      </c>
      <c r="G1491" s="120">
        <f t="shared" si="628"/>
        <v>24309</v>
      </c>
      <c r="H1491" s="245">
        <f t="shared" si="629"/>
        <v>1</v>
      </c>
      <c r="I1491" s="121">
        <f t="shared" si="630"/>
        <v>1</v>
      </c>
      <c r="J1491" s="121">
        <f t="shared" si="631"/>
        <v>1</v>
      </c>
      <c r="K1491" s="120">
        <f t="shared" si="632"/>
        <v>0</v>
      </c>
      <c r="L1491" s="120">
        <f t="shared" si="633"/>
        <v>0</v>
      </c>
      <c r="M1491" s="246">
        <f t="shared" si="634"/>
        <v>0</v>
      </c>
      <c r="N1491" s="121">
        <f t="shared" si="635"/>
        <v>1</v>
      </c>
      <c r="O1491" s="246">
        <f t="shared" si="636"/>
        <v>1</v>
      </c>
      <c r="P1491" s="121">
        <f t="shared" si="637"/>
        <v>0.58333333333333326</v>
      </c>
      <c r="Q1491" s="121">
        <f t="shared" si="638"/>
        <v>0</v>
      </c>
      <c r="R1491" s="121">
        <f t="shared" si="639"/>
        <v>0</v>
      </c>
      <c r="AE1491" s="160">
        <f t="shared" si="640"/>
        <v>1</v>
      </c>
    </row>
    <row r="1492" spans="1:31" x14ac:dyDescent="0.3">
      <c r="A1492" s="187">
        <v>11</v>
      </c>
      <c r="B1492" s="242">
        <f t="shared" si="641"/>
        <v>45962</v>
      </c>
      <c r="C1492" s="243">
        <f t="shared" si="624"/>
        <v>45991</v>
      </c>
      <c r="D1492" s="120">
        <f t="shared" si="625"/>
        <v>30</v>
      </c>
      <c r="E1492" s="120">
        <f t="shared" si="626"/>
        <v>11</v>
      </c>
      <c r="F1492" s="275">
        <f t="shared" si="627"/>
        <v>45977</v>
      </c>
      <c r="G1492" s="120">
        <f t="shared" si="628"/>
        <v>24310</v>
      </c>
      <c r="H1492" s="245">
        <f t="shared" si="629"/>
        <v>1</v>
      </c>
      <c r="I1492" s="121">
        <f t="shared" si="630"/>
        <v>1</v>
      </c>
      <c r="J1492" s="121">
        <f t="shared" si="631"/>
        <v>1</v>
      </c>
      <c r="K1492" s="120">
        <f t="shared" si="632"/>
        <v>0</v>
      </c>
      <c r="L1492" s="120">
        <f t="shared" si="633"/>
        <v>0</v>
      </c>
      <c r="M1492" s="246">
        <f t="shared" si="634"/>
        <v>0</v>
      </c>
      <c r="N1492" s="121">
        <f t="shared" si="635"/>
        <v>1</v>
      </c>
      <c r="O1492" s="246">
        <f t="shared" si="636"/>
        <v>1</v>
      </c>
      <c r="P1492" s="121">
        <f t="shared" si="637"/>
        <v>0.75</v>
      </c>
      <c r="Q1492" s="121">
        <f t="shared" si="638"/>
        <v>0</v>
      </c>
      <c r="R1492" s="121">
        <f t="shared" si="639"/>
        <v>0</v>
      </c>
      <c r="AE1492" s="160">
        <f t="shared" si="640"/>
        <v>1</v>
      </c>
    </row>
    <row r="1493" spans="1:31" x14ac:dyDescent="0.3">
      <c r="A1493" s="187">
        <v>12</v>
      </c>
      <c r="B1493" s="242">
        <f t="shared" si="641"/>
        <v>45992</v>
      </c>
      <c r="C1493" s="243">
        <f t="shared" si="624"/>
        <v>46022</v>
      </c>
      <c r="D1493" s="120">
        <f t="shared" si="625"/>
        <v>31</v>
      </c>
      <c r="E1493" s="120">
        <f t="shared" si="626"/>
        <v>12</v>
      </c>
      <c r="F1493" s="275">
        <f t="shared" si="627"/>
        <v>46007.5</v>
      </c>
      <c r="G1493" s="120">
        <f t="shared" si="628"/>
        <v>24311</v>
      </c>
      <c r="H1493" s="245">
        <f t="shared" si="629"/>
        <v>1</v>
      </c>
      <c r="I1493" s="121">
        <f t="shared" si="630"/>
        <v>1</v>
      </c>
      <c r="J1493" s="121">
        <f t="shared" si="631"/>
        <v>1</v>
      </c>
      <c r="K1493" s="120">
        <f t="shared" si="632"/>
        <v>0</v>
      </c>
      <c r="L1493" s="120">
        <f t="shared" si="633"/>
        <v>0</v>
      </c>
      <c r="M1493" s="246">
        <f t="shared" si="634"/>
        <v>0</v>
      </c>
      <c r="N1493" s="121">
        <f t="shared" si="635"/>
        <v>1</v>
      </c>
      <c r="O1493" s="246">
        <f t="shared" si="636"/>
        <v>1</v>
      </c>
      <c r="P1493" s="121">
        <f t="shared" si="637"/>
        <v>0.91666666666666663</v>
      </c>
      <c r="Q1493" s="121">
        <f t="shared" si="638"/>
        <v>0</v>
      </c>
      <c r="R1493" s="121">
        <f t="shared" si="639"/>
        <v>0</v>
      </c>
      <c r="AE1493" s="160">
        <f t="shared" si="640"/>
        <v>1</v>
      </c>
    </row>
    <row r="1494" spans="1:31" x14ac:dyDescent="0.3">
      <c r="A1494" s="187">
        <v>13</v>
      </c>
      <c r="B1494" s="242">
        <f t="shared" si="641"/>
        <v>46023</v>
      </c>
      <c r="C1494" s="243">
        <f t="shared" si="624"/>
        <v>46053</v>
      </c>
      <c r="D1494" s="120">
        <f t="shared" si="625"/>
        <v>31</v>
      </c>
      <c r="E1494" s="120">
        <f t="shared" si="626"/>
        <v>1</v>
      </c>
      <c r="F1494" s="275">
        <f t="shared" si="627"/>
        <v>46038.5</v>
      </c>
      <c r="G1494" s="120">
        <f t="shared" si="628"/>
        <v>24312</v>
      </c>
      <c r="H1494" s="245">
        <f t="shared" si="629"/>
        <v>1</v>
      </c>
      <c r="I1494" s="121">
        <f t="shared" si="630"/>
        <v>1</v>
      </c>
      <c r="J1494" s="121">
        <f t="shared" si="631"/>
        <v>1</v>
      </c>
      <c r="K1494" s="120">
        <f t="shared" si="632"/>
        <v>0</v>
      </c>
      <c r="L1494" s="120">
        <f t="shared" si="633"/>
        <v>0</v>
      </c>
      <c r="M1494" s="246">
        <f t="shared" si="634"/>
        <v>0</v>
      </c>
      <c r="N1494" s="121">
        <f t="shared" si="635"/>
        <v>1</v>
      </c>
      <c r="O1494" s="246">
        <f t="shared" si="636"/>
        <v>1</v>
      </c>
      <c r="P1494" s="121">
        <f t="shared" si="637"/>
        <v>1</v>
      </c>
      <c r="Q1494" s="121">
        <f t="shared" si="638"/>
        <v>0</v>
      </c>
      <c r="R1494" s="121">
        <f t="shared" si="639"/>
        <v>0</v>
      </c>
      <c r="AE1494" s="160">
        <f t="shared" si="640"/>
        <v>1</v>
      </c>
    </row>
    <row r="1495" spans="1:31" x14ac:dyDescent="0.3">
      <c r="A1495" s="187">
        <v>14</v>
      </c>
      <c r="B1495" s="242">
        <f t="shared" si="641"/>
        <v>46054</v>
      </c>
      <c r="C1495" s="243">
        <f t="shared" si="624"/>
        <v>46081</v>
      </c>
      <c r="D1495" s="120">
        <f t="shared" si="625"/>
        <v>28</v>
      </c>
      <c r="E1495" s="120">
        <f t="shared" si="626"/>
        <v>2</v>
      </c>
      <c r="F1495" s="275">
        <f t="shared" si="627"/>
        <v>46068</v>
      </c>
      <c r="G1495" s="120">
        <f t="shared" si="628"/>
        <v>24313</v>
      </c>
      <c r="H1495" s="245">
        <f t="shared" si="629"/>
        <v>1</v>
      </c>
      <c r="I1495" s="121">
        <f t="shared" si="630"/>
        <v>1</v>
      </c>
      <c r="J1495" s="121">
        <f t="shared" si="631"/>
        <v>1</v>
      </c>
      <c r="K1495" s="120">
        <f t="shared" si="632"/>
        <v>0</v>
      </c>
      <c r="L1495" s="120">
        <f t="shared" si="633"/>
        <v>0</v>
      </c>
      <c r="M1495" s="246">
        <f t="shared" si="634"/>
        <v>0</v>
      </c>
      <c r="N1495" s="121">
        <f t="shared" si="635"/>
        <v>1</v>
      </c>
      <c r="O1495" s="246">
        <f t="shared" si="636"/>
        <v>1</v>
      </c>
      <c r="P1495" s="121">
        <f t="shared" si="637"/>
        <v>1</v>
      </c>
      <c r="Q1495" s="121">
        <f t="shared" si="638"/>
        <v>0</v>
      </c>
      <c r="R1495" s="121">
        <f t="shared" si="639"/>
        <v>0</v>
      </c>
      <c r="AE1495" s="160">
        <f t="shared" si="640"/>
        <v>1</v>
      </c>
    </row>
    <row r="1496" spans="1:31" x14ac:dyDescent="0.3">
      <c r="A1496" s="187">
        <v>15</v>
      </c>
      <c r="B1496" s="242">
        <f t="shared" si="641"/>
        <v>46082</v>
      </c>
      <c r="C1496" s="243">
        <f t="shared" si="624"/>
        <v>46112</v>
      </c>
      <c r="D1496" s="120">
        <f t="shared" si="625"/>
        <v>31</v>
      </c>
      <c r="E1496" s="120">
        <f t="shared" si="626"/>
        <v>3</v>
      </c>
      <c r="F1496" s="275">
        <f t="shared" si="627"/>
        <v>46097.5</v>
      </c>
      <c r="G1496" s="120">
        <f t="shared" si="628"/>
        <v>24314</v>
      </c>
      <c r="H1496" s="245">
        <f t="shared" si="629"/>
        <v>1</v>
      </c>
      <c r="I1496" s="121">
        <f t="shared" si="630"/>
        <v>1</v>
      </c>
      <c r="J1496" s="121">
        <f t="shared" si="631"/>
        <v>1</v>
      </c>
      <c r="K1496" s="120">
        <f t="shared" si="632"/>
        <v>0</v>
      </c>
      <c r="L1496" s="120">
        <f t="shared" si="633"/>
        <v>0</v>
      </c>
      <c r="M1496" s="246">
        <f t="shared" si="634"/>
        <v>0</v>
      </c>
      <c r="N1496" s="121">
        <f t="shared" si="635"/>
        <v>1</v>
      </c>
      <c r="O1496" s="246">
        <f t="shared" si="636"/>
        <v>1</v>
      </c>
      <c r="P1496" s="121">
        <f t="shared" si="637"/>
        <v>1</v>
      </c>
      <c r="Q1496" s="121">
        <f t="shared" si="638"/>
        <v>0</v>
      </c>
      <c r="R1496" s="121">
        <f t="shared" si="639"/>
        <v>0</v>
      </c>
      <c r="AE1496" s="160">
        <f t="shared" si="640"/>
        <v>1</v>
      </c>
    </row>
    <row r="1497" spans="1:31" x14ac:dyDescent="0.3">
      <c r="A1497" s="187">
        <v>16</v>
      </c>
      <c r="B1497" s="242">
        <f t="shared" si="641"/>
        <v>46113</v>
      </c>
      <c r="C1497" s="243">
        <f t="shared" si="624"/>
        <v>46142</v>
      </c>
      <c r="D1497" s="120">
        <f t="shared" si="625"/>
        <v>30</v>
      </c>
      <c r="E1497" s="120">
        <f t="shared" si="626"/>
        <v>4</v>
      </c>
      <c r="F1497" s="275">
        <f t="shared" si="627"/>
        <v>46128</v>
      </c>
      <c r="G1497" s="120">
        <f t="shared" si="628"/>
        <v>24315</v>
      </c>
      <c r="H1497" s="245">
        <f t="shared" si="629"/>
        <v>1</v>
      </c>
      <c r="I1497" s="121">
        <f t="shared" si="630"/>
        <v>1</v>
      </c>
      <c r="J1497" s="121">
        <f t="shared" si="631"/>
        <v>1</v>
      </c>
      <c r="K1497" s="120">
        <f t="shared" si="632"/>
        <v>0</v>
      </c>
      <c r="L1497" s="120">
        <f t="shared" si="633"/>
        <v>0</v>
      </c>
      <c r="M1497" s="246">
        <f t="shared" si="634"/>
        <v>0</v>
      </c>
      <c r="N1497" s="121">
        <f t="shared" si="635"/>
        <v>1</v>
      </c>
      <c r="O1497" s="246">
        <f t="shared" si="636"/>
        <v>1</v>
      </c>
      <c r="P1497" s="121">
        <f t="shared" si="637"/>
        <v>1</v>
      </c>
      <c r="Q1497" s="121">
        <f t="shared" si="638"/>
        <v>0</v>
      </c>
      <c r="R1497" s="121">
        <f t="shared" si="639"/>
        <v>0</v>
      </c>
      <c r="AE1497" s="160">
        <f t="shared" si="640"/>
        <v>1</v>
      </c>
    </row>
    <row r="1498" spans="1:31" x14ac:dyDescent="0.3">
      <c r="A1498" s="187">
        <v>17</v>
      </c>
      <c r="B1498" s="242">
        <f t="shared" si="641"/>
        <v>46143</v>
      </c>
      <c r="C1498" s="243">
        <f t="shared" si="624"/>
        <v>46173</v>
      </c>
      <c r="D1498" s="120">
        <f t="shared" si="625"/>
        <v>31</v>
      </c>
      <c r="E1498" s="120">
        <f t="shared" si="626"/>
        <v>5</v>
      </c>
      <c r="F1498" s="275">
        <f t="shared" si="627"/>
        <v>46158.5</v>
      </c>
      <c r="G1498" s="120">
        <f t="shared" si="628"/>
        <v>24316</v>
      </c>
      <c r="H1498" s="245">
        <f t="shared" si="629"/>
        <v>1</v>
      </c>
      <c r="I1498" s="121">
        <f t="shared" si="630"/>
        <v>1</v>
      </c>
      <c r="J1498" s="121">
        <f t="shared" si="631"/>
        <v>1</v>
      </c>
      <c r="K1498" s="120">
        <f t="shared" si="632"/>
        <v>0</v>
      </c>
      <c r="L1498" s="120">
        <f t="shared" si="633"/>
        <v>0</v>
      </c>
      <c r="M1498" s="246">
        <f t="shared" si="634"/>
        <v>0</v>
      </c>
      <c r="N1498" s="121">
        <f t="shared" si="635"/>
        <v>1</v>
      </c>
      <c r="O1498" s="246">
        <f t="shared" si="636"/>
        <v>1</v>
      </c>
      <c r="P1498" s="121">
        <f t="shared" si="637"/>
        <v>1</v>
      </c>
      <c r="Q1498" s="121">
        <f t="shared" si="638"/>
        <v>0</v>
      </c>
      <c r="R1498" s="121">
        <f t="shared" si="639"/>
        <v>0</v>
      </c>
      <c r="AE1498" s="160">
        <f t="shared" si="640"/>
        <v>1</v>
      </c>
    </row>
    <row r="1499" spans="1:31" x14ac:dyDescent="0.3">
      <c r="A1499" s="187">
        <v>18</v>
      </c>
      <c r="B1499" s="242">
        <f t="shared" si="641"/>
        <v>46174</v>
      </c>
      <c r="C1499" s="243">
        <f t="shared" si="624"/>
        <v>46203</v>
      </c>
      <c r="D1499" s="120">
        <f t="shared" si="625"/>
        <v>30</v>
      </c>
      <c r="E1499" s="120">
        <f t="shared" si="626"/>
        <v>6</v>
      </c>
      <c r="F1499" s="275">
        <f t="shared" si="627"/>
        <v>46189</v>
      </c>
      <c r="G1499" s="120">
        <f t="shared" si="628"/>
        <v>24317</v>
      </c>
      <c r="H1499" s="245">
        <f t="shared" si="629"/>
        <v>1</v>
      </c>
      <c r="I1499" s="121">
        <f t="shared" si="630"/>
        <v>1</v>
      </c>
      <c r="J1499" s="121">
        <f t="shared" si="631"/>
        <v>1</v>
      </c>
      <c r="K1499" s="120">
        <f t="shared" si="632"/>
        <v>0</v>
      </c>
      <c r="L1499" s="120">
        <f t="shared" si="633"/>
        <v>0</v>
      </c>
      <c r="M1499" s="246">
        <f t="shared" si="634"/>
        <v>0</v>
      </c>
      <c r="N1499" s="121">
        <f t="shared" si="635"/>
        <v>1</v>
      </c>
      <c r="O1499" s="246">
        <f t="shared" si="636"/>
        <v>1</v>
      </c>
      <c r="P1499" s="121">
        <f t="shared" si="637"/>
        <v>1</v>
      </c>
      <c r="Q1499" s="121">
        <f t="shared" si="638"/>
        <v>0</v>
      </c>
      <c r="R1499" s="121">
        <f t="shared" si="639"/>
        <v>0</v>
      </c>
      <c r="AE1499" s="160">
        <f t="shared" si="640"/>
        <v>1</v>
      </c>
    </row>
    <row r="1500" spans="1:31" x14ac:dyDescent="0.3">
      <c r="A1500" s="187">
        <v>19</v>
      </c>
      <c r="B1500" s="242">
        <f t="shared" si="641"/>
        <v>46204</v>
      </c>
      <c r="C1500" s="243">
        <f t="shared" si="624"/>
        <v>46234</v>
      </c>
      <c r="D1500" s="120">
        <f t="shared" si="625"/>
        <v>31</v>
      </c>
      <c r="E1500" s="120">
        <f t="shared" si="626"/>
        <v>7</v>
      </c>
      <c r="F1500" s="275">
        <f t="shared" si="627"/>
        <v>46219.5</v>
      </c>
      <c r="G1500" s="120">
        <f t="shared" si="628"/>
        <v>24318</v>
      </c>
      <c r="H1500" s="245">
        <f t="shared" si="629"/>
        <v>1</v>
      </c>
      <c r="I1500" s="121">
        <f t="shared" si="630"/>
        <v>1</v>
      </c>
      <c r="J1500" s="121">
        <f t="shared" si="631"/>
        <v>1</v>
      </c>
      <c r="K1500" s="120">
        <f t="shared" si="632"/>
        <v>0</v>
      </c>
      <c r="L1500" s="120">
        <f t="shared" si="633"/>
        <v>0</v>
      </c>
      <c r="M1500" s="246">
        <f t="shared" si="634"/>
        <v>0</v>
      </c>
      <c r="N1500" s="121">
        <f t="shared" si="635"/>
        <v>1</v>
      </c>
      <c r="O1500" s="246">
        <f t="shared" si="636"/>
        <v>1</v>
      </c>
      <c r="P1500" s="121">
        <f t="shared" si="637"/>
        <v>0.91666666666666663</v>
      </c>
      <c r="Q1500" s="121">
        <f t="shared" si="638"/>
        <v>8.333333333333337E-2</v>
      </c>
      <c r="R1500" s="121">
        <f t="shared" si="639"/>
        <v>0</v>
      </c>
      <c r="AE1500" s="160">
        <f t="shared" si="640"/>
        <v>1</v>
      </c>
    </row>
    <row r="1501" spans="1:31" x14ac:dyDescent="0.3">
      <c r="A1501" s="187">
        <v>20</v>
      </c>
      <c r="B1501" s="242">
        <f t="shared" si="641"/>
        <v>46235</v>
      </c>
      <c r="C1501" s="243">
        <f t="shared" si="624"/>
        <v>46265</v>
      </c>
      <c r="D1501" s="120">
        <f t="shared" si="625"/>
        <v>31</v>
      </c>
      <c r="E1501" s="120">
        <f t="shared" si="626"/>
        <v>8</v>
      </c>
      <c r="F1501" s="275">
        <f t="shared" si="627"/>
        <v>46250.5</v>
      </c>
      <c r="G1501" s="120">
        <f t="shared" si="628"/>
        <v>24319</v>
      </c>
      <c r="H1501" s="245">
        <f t="shared" si="629"/>
        <v>1</v>
      </c>
      <c r="I1501" s="121">
        <f t="shared" si="630"/>
        <v>1</v>
      </c>
      <c r="J1501" s="121">
        <f t="shared" si="631"/>
        <v>1</v>
      </c>
      <c r="K1501" s="120">
        <f t="shared" si="632"/>
        <v>0</v>
      </c>
      <c r="L1501" s="120">
        <f t="shared" si="633"/>
        <v>0</v>
      </c>
      <c r="M1501" s="246">
        <f t="shared" si="634"/>
        <v>0</v>
      </c>
      <c r="N1501" s="121">
        <f t="shared" si="635"/>
        <v>1</v>
      </c>
      <c r="O1501" s="246">
        <f t="shared" si="636"/>
        <v>1</v>
      </c>
      <c r="P1501" s="121">
        <f t="shared" si="637"/>
        <v>0.75</v>
      </c>
      <c r="Q1501" s="121">
        <f t="shared" si="638"/>
        <v>0.25</v>
      </c>
      <c r="R1501" s="121">
        <f t="shared" si="639"/>
        <v>0</v>
      </c>
      <c r="AE1501" s="160">
        <f t="shared" si="640"/>
        <v>1</v>
      </c>
    </row>
    <row r="1502" spans="1:31" x14ac:dyDescent="0.3">
      <c r="A1502" s="187">
        <v>21</v>
      </c>
      <c r="B1502" s="242">
        <f t="shared" si="641"/>
        <v>46266</v>
      </c>
      <c r="C1502" s="243">
        <f t="shared" si="624"/>
        <v>46295</v>
      </c>
      <c r="D1502" s="120">
        <f t="shared" si="625"/>
        <v>30</v>
      </c>
      <c r="E1502" s="120">
        <f t="shared" si="626"/>
        <v>9</v>
      </c>
      <c r="F1502" s="275">
        <f t="shared" si="627"/>
        <v>46281</v>
      </c>
      <c r="G1502" s="120">
        <f t="shared" si="628"/>
        <v>24320</v>
      </c>
      <c r="H1502" s="245">
        <f t="shared" si="629"/>
        <v>1</v>
      </c>
      <c r="I1502" s="121">
        <f t="shared" si="630"/>
        <v>1</v>
      </c>
      <c r="J1502" s="121">
        <f t="shared" si="631"/>
        <v>1</v>
      </c>
      <c r="K1502" s="120">
        <f t="shared" si="632"/>
        <v>0</v>
      </c>
      <c r="L1502" s="120">
        <f t="shared" si="633"/>
        <v>0</v>
      </c>
      <c r="M1502" s="246">
        <f t="shared" si="634"/>
        <v>0</v>
      </c>
      <c r="N1502" s="121">
        <f t="shared" si="635"/>
        <v>1</v>
      </c>
      <c r="O1502" s="246">
        <f t="shared" si="636"/>
        <v>1</v>
      </c>
      <c r="P1502" s="121">
        <f t="shared" si="637"/>
        <v>0.58333333333333337</v>
      </c>
      <c r="Q1502" s="121">
        <f t="shared" si="638"/>
        <v>0.41666666666666663</v>
      </c>
      <c r="R1502" s="121">
        <f t="shared" si="639"/>
        <v>0</v>
      </c>
      <c r="AE1502" s="160">
        <f t="shared" si="640"/>
        <v>1</v>
      </c>
    </row>
    <row r="1503" spans="1:31" x14ac:dyDescent="0.3">
      <c r="A1503" s="187">
        <v>22</v>
      </c>
      <c r="B1503" s="242">
        <f t="shared" si="641"/>
        <v>46296</v>
      </c>
      <c r="C1503" s="243">
        <f t="shared" si="624"/>
        <v>46326</v>
      </c>
      <c r="D1503" s="120">
        <f t="shared" si="625"/>
        <v>31</v>
      </c>
      <c r="E1503" s="120">
        <f t="shared" si="626"/>
        <v>10</v>
      </c>
      <c r="F1503" s="275">
        <f t="shared" si="627"/>
        <v>46311.5</v>
      </c>
      <c r="G1503" s="120">
        <f t="shared" si="628"/>
        <v>24321</v>
      </c>
      <c r="H1503" s="245">
        <f t="shared" si="629"/>
        <v>1</v>
      </c>
      <c r="I1503" s="121">
        <f t="shared" si="630"/>
        <v>1</v>
      </c>
      <c r="J1503" s="121">
        <f t="shared" si="631"/>
        <v>1</v>
      </c>
      <c r="K1503" s="120">
        <f t="shared" si="632"/>
        <v>0</v>
      </c>
      <c r="L1503" s="120">
        <f t="shared" si="633"/>
        <v>0</v>
      </c>
      <c r="M1503" s="246">
        <f t="shared" si="634"/>
        <v>0</v>
      </c>
      <c r="N1503" s="121">
        <f t="shared" si="635"/>
        <v>1</v>
      </c>
      <c r="O1503" s="246">
        <f t="shared" si="636"/>
        <v>1</v>
      </c>
      <c r="P1503" s="121">
        <f t="shared" si="637"/>
        <v>0.41666666666666669</v>
      </c>
      <c r="Q1503" s="121">
        <f t="shared" si="638"/>
        <v>0.58333333333333326</v>
      </c>
      <c r="R1503" s="121">
        <f t="shared" si="639"/>
        <v>0</v>
      </c>
      <c r="AE1503" s="160">
        <f t="shared" si="640"/>
        <v>1</v>
      </c>
    </row>
    <row r="1504" spans="1:31" x14ac:dyDescent="0.3">
      <c r="A1504" s="187">
        <v>23</v>
      </c>
      <c r="B1504" s="242">
        <f t="shared" si="641"/>
        <v>46327</v>
      </c>
      <c r="C1504" s="243">
        <f t="shared" si="624"/>
        <v>46356</v>
      </c>
      <c r="D1504" s="120">
        <f t="shared" si="625"/>
        <v>30</v>
      </c>
      <c r="E1504" s="120">
        <f t="shared" si="626"/>
        <v>11</v>
      </c>
      <c r="F1504" s="275">
        <f t="shared" si="627"/>
        <v>46342</v>
      </c>
      <c r="G1504" s="120">
        <f t="shared" si="628"/>
        <v>24322</v>
      </c>
      <c r="H1504" s="245">
        <f t="shared" si="629"/>
        <v>1</v>
      </c>
      <c r="I1504" s="121">
        <f t="shared" si="630"/>
        <v>1</v>
      </c>
      <c r="J1504" s="121">
        <f t="shared" si="631"/>
        <v>1</v>
      </c>
      <c r="K1504" s="120">
        <f t="shared" si="632"/>
        <v>0</v>
      </c>
      <c r="L1504" s="120">
        <f t="shared" si="633"/>
        <v>0</v>
      </c>
      <c r="M1504" s="246">
        <f t="shared" si="634"/>
        <v>0</v>
      </c>
      <c r="N1504" s="121">
        <f t="shared" si="635"/>
        <v>1</v>
      </c>
      <c r="O1504" s="246">
        <f t="shared" si="636"/>
        <v>1</v>
      </c>
      <c r="P1504" s="121">
        <f t="shared" si="637"/>
        <v>0.25</v>
      </c>
      <c r="Q1504" s="121">
        <f t="shared" si="638"/>
        <v>0.75</v>
      </c>
      <c r="R1504" s="121">
        <f t="shared" si="639"/>
        <v>0</v>
      </c>
      <c r="AE1504" s="160">
        <f t="shared" si="640"/>
        <v>1</v>
      </c>
    </row>
    <row r="1505" spans="1:35" x14ac:dyDescent="0.3">
      <c r="A1505" s="187">
        <v>24</v>
      </c>
      <c r="B1505" s="242">
        <f t="shared" si="641"/>
        <v>46357</v>
      </c>
      <c r="C1505" s="243">
        <f t="shared" si="624"/>
        <v>46387</v>
      </c>
      <c r="D1505" s="120">
        <f t="shared" si="625"/>
        <v>31</v>
      </c>
      <c r="E1505" s="120">
        <f t="shared" si="626"/>
        <v>12</v>
      </c>
      <c r="F1505" s="275">
        <f t="shared" si="627"/>
        <v>46372.5</v>
      </c>
      <c r="G1505" s="120">
        <f t="shared" si="628"/>
        <v>24323</v>
      </c>
      <c r="H1505" s="245">
        <f t="shared" si="629"/>
        <v>1</v>
      </c>
      <c r="I1505" s="121">
        <f t="shared" si="630"/>
        <v>1</v>
      </c>
      <c r="J1505" s="121">
        <f t="shared" si="631"/>
        <v>1</v>
      </c>
      <c r="K1505" s="120">
        <f t="shared" si="632"/>
        <v>0</v>
      </c>
      <c r="L1505" s="120">
        <f t="shared" si="633"/>
        <v>0</v>
      </c>
      <c r="M1505" s="246">
        <f t="shared" si="634"/>
        <v>0</v>
      </c>
      <c r="N1505" s="121">
        <f t="shared" si="635"/>
        <v>1</v>
      </c>
      <c r="O1505" s="246">
        <f t="shared" si="636"/>
        <v>1</v>
      </c>
      <c r="P1505" s="121">
        <f t="shared" si="637"/>
        <v>8.3333333333333329E-2</v>
      </c>
      <c r="Q1505" s="121">
        <f t="shared" si="638"/>
        <v>0.91666666666666663</v>
      </c>
      <c r="R1505" s="121">
        <f t="shared" si="639"/>
        <v>0</v>
      </c>
      <c r="AE1505" s="160">
        <f t="shared" si="640"/>
        <v>1</v>
      </c>
    </row>
    <row r="1506" spans="1:35" x14ac:dyDescent="0.3">
      <c r="A1506" s="187">
        <v>25</v>
      </c>
      <c r="B1506" s="242">
        <f t="shared" si="641"/>
        <v>46388</v>
      </c>
      <c r="C1506" s="243">
        <f t="shared" si="624"/>
        <v>46418</v>
      </c>
      <c r="D1506" s="120">
        <f t="shared" si="625"/>
        <v>31</v>
      </c>
      <c r="E1506" s="120">
        <f t="shared" si="626"/>
        <v>1</v>
      </c>
      <c r="F1506" s="275">
        <f t="shared" si="627"/>
        <v>46403.5</v>
      </c>
      <c r="G1506" s="120">
        <f t="shared" si="628"/>
        <v>24324</v>
      </c>
      <c r="H1506" s="245">
        <f t="shared" si="629"/>
        <v>1</v>
      </c>
      <c r="I1506" s="121">
        <f t="shared" si="630"/>
        <v>1</v>
      </c>
      <c r="J1506" s="121">
        <f t="shared" si="631"/>
        <v>1</v>
      </c>
      <c r="K1506" s="120">
        <f t="shared" si="632"/>
        <v>0</v>
      </c>
      <c r="L1506" s="120">
        <f t="shared" si="633"/>
        <v>0</v>
      </c>
      <c r="M1506" s="246">
        <f t="shared" si="634"/>
        <v>0</v>
      </c>
      <c r="N1506" s="121">
        <f t="shared" si="635"/>
        <v>1</v>
      </c>
      <c r="O1506" s="246">
        <f t="shared" si="636"/>
        <v>1</v>
      </c>
      <c r="P1506" s="121">
        <f t="shared" si="637"/>
        <v>0</v>
      </c>
      <c r="Q1506" s="121">
        <f t="shared" si="638"/>
        <v>1</v>
      </c>
      <c r="R1506" s="121">
        <f t="shared" si="639"/>
        <v>0</v>
      </c>
      <c r="W1506" s="160">
        <f t="shared" ref="W1506:W1517" si="642">IF($G1506&lt;&gt;$Q$1479,$N1506,(1-$U$1479)*$I1506+$U$1479*$J1506)</f>
        <v>1</v>
      </c>
      <c r="X1506" s="160">
        <f t="shared" ref="X1506:X1517" si="643">IF($G1506&lt;$Q$1479,0,IF($G1506&gt;$Q$1479,$N1506,$U$1479*$J1506))</f>
        <v>0</v>
      </c>
      <c r="Y1506" s="160">
        <f t="shared" ref="Y1506:Y1517" si="644">IF($F$1479=1,$O1506/$O1494,1)</f>
        <v>1</v>
      </c>
      <c r="AB1506" s="160">
        <f t="shared" ref="AB1506:AB1517" si="645">IF(AND(N($K$1479)&lt;&gt;0,$F1506&lt;=$B$1480),0,($F1506-$B$1480)/($C$1480-$B$1480))</f>
        <v>0.23355263157894737</v>
      </c>
      <c r="AC1506" s="220">
        <f t="shared" ref="AC1506:AC1517" si="646">IF(AND(N($K$1479)&lt;&gt;0,$F1506&lt;=$B$1480),$O1506,$F$1480*(1-$AB1506))</f>
        <v>0.76644736842105265</v>
      </c>
      <c r="AD1506" s="160">
        <f t="shared" ref="AD1506:AD1517" si="647">$H1506*($W1506+$X1506*IF(ISNUMBER($F$1530),$F$1530,0))/($N1494*$O1494)</f>
        <v>1</v>
      </c>
      <c r="AE1506" s="160">
        <f t="shared" si="640"/>
        <v>1</v>
      </c>
      <c r="AF1506" s="220">
        <f t="shared" ref="AF1506:AF1517" si="648">IF($G1506&lt;$Q$1479,0,IF($G1506&gt;$Q$1479,1,$U$1479))</f>
        <v>0</v>
      </c>
      <c r="AG1506" s="183" t="str">
        <f t="shared" ref="AG1506:AG1517" si="649">IF(OR($D$1479=0,$P$1479=0),"",($W1506+$X1506*IF(ISNUMBER($F$1530),$F$1530,0))/$N1494-1)</f>
        <v/>
      </c>
      <c r="AH1506" s="183" t="str">
        <f t="shared" ref="AH1506:AH1517" si="650">IF(OR($AG1506="",$F$1479=0),"",(1+$E$1479)/(1+$AG1506)-1)</f>
        <v/>
      </c>
      <c r="AI1506" s="220" t="str">
        <f t="shared" ref="AI1506:AI1517" si="651">IF($AH1506="","",$O1494*(1+$E$1479)/(1+$AG1506))</f>
        <v/>
      </c>
    </row>
    <row r="1507" spans="1:35" x14ac:dyDescent="0.3">
      <c r="A1507" s="187">
        <v>26</v>
      </c>
      <c r="B1507" s="242">
        <f t="shared" si="641"/>
        <v>46419</v>
      </c>
      <c r="C1507" s="243">
        <f t="shared" si="624"/>
        <v>46446</v>
      </c>
      <c r="D1507" s="120">
        <f t="shared" si="625"/>
        <v>28</v>
      </c>
      <c r="E1507" s="120">
        <f t="shared" si="626"/>
        <v>2</v>
      </c>
      <c r="F1507" s="275">
        <f t="shared" si="627"/>
        <v>46433</v>
      </c>
      <c r="G1507" s="120">
        <f t="shared" si="628"/>
        <v>24325</v>
      </c>
      <c r="H1507" s="245">
        <f t="shared" si="629"/>
        <v>1</v>
      </c>
      <c r="I1507" s="121">
        <f t="shared" si="630"/>
        <v>1</v>
      </c>
      <c r="J1507" s="121">
        <f t="shared" si="631"/>
        <v>1</v>
      </c>
      <c r="K1507" s="120">
        <f t="shared" si="632"/>
        <v>0</v>
      </c>
      <c r="L1507" s="120">
        <f t="shared" si="633"/>
        <v>0</v>
      </c>
      <c r="M1507" s="246">
        <f t="shared" si="634"/>
        <v>0</v>
      </c>
      <c r="N1507" s="121">
        <f t="shared" si="635"/>
        <v>1</v>
      </c>
      <c r="O1507" s="246">
        <f t="shared" si="636"/>
        <v>1</v>
      </c>
      <c r="P1507" s="121">
        <f t="shared" si="637"/>
        <v>0</v>
      </c>
      <c r="Q1507" s="121">
        <f t="shared" si="638"/>
        <v>1</v>
      </c>
      <c r="R1507" s="121">
        <f t="shared" si="639"/>
        <v>0</v>
      </c>
      <c r="W1507" s="160">
        <f t="shared" si="642"/>
        <v>1</v>
      </c>
      <c r="X1507" s="160">
        <f t="shared" si="643"/>
        <v>0</v>
      </c>
      <c r="Y1507" s="160">
        <f t="shared" si="644"/>
        <v>1</v>
      </c>
      <c r="AB1507" s="160">
        <f t="shared" si="645"/>
        <v>0.2982456140350877</v>
      </c>
      <c r="AC1507" s="220">
        <f t="shared" si="646"/>
        <v>0.70175438596491224</v>
      </c>
      <c r="AD1507" s="160">
        <f t="shared" si="647"/>
        <v>1</v>
      </c>
      <c r="AE1507" s="160">
        <f t="shared" si="640"/>
        <v>1</v>
      </c>
      <c r="AF1507" s="220">
        <f t="shared" si="648"/>
        <v>0</v>
      </c>
      <c r="AG1507" s="183" t="str">
        <f t="shared" si="649"/>
        <v/>
      </c>
      <c r="AH1507" s="183" t="str">
        <f t="shared" si="650"/>
        <v/>
      </c>
      <c r="AI1507" s="220" t="str">
        <f t="shared" si="651"/>
        <v/>
      </c>
    </row>
    <row r="1508" spans="1:35" x14ac:dyDescent="0.3">
      <c r="A1508" s="187">
        <v>27</v>
      </c>
      <c r="B1508" s="242">
        <f t="shared" si="641"/>
        <v>46447</v>
      </c>
      <c r="C1508" s="243">
        <f t="shared" si="624"/>
        <v>46477</v>
      </c>
      <c r="D1508" s="120">
        <f t="shared" si="625"/>
        <v>31</v>
      </c>
      <c r="E1508" s="120">
        <f t="shared" si="626"/>
        <v>3</v>
      </c>
      <c r="F1508" s="275">
        <f t="shared" si="627"/>
        <v>46462.5</v>
      </c>
      <c r="G1508" s="120">
        <f t="shared" si="628"/>
        <v>24326</v>
      </c>
      <c r="H1508" s="245">
        <f t="shared" si="629"/>
        <v>1</v>
      </c>
      <c r="I1508" s="121">
        <f t="shared" si="630"/>
        <v>1</v>
      </c>
      <c r="J1508" s="121">
        <f t="shared" si="631"/>
        <v>1</v>
      </c>
      <c r="K1508" s="120">
        <f t="shared" si="632"/>
        <v>0</v>
      </c>
      <c r="L1508" s="120">
        <f t="shared" si="633"/>
        <v>0</v>
      </c>
      <c r="M1508" s="246">
        <f t="shared" si="634"/>
        <v>0</v>
      </c>
      <c r="N1508" s="121">
        <f t="shared" si="635"/>
        <v>1</v>
      </c>
      <c r="O1508" s="246">
        <f t="shared" si="636"/>
        <v>1</v>
      </c>
      <c r="P1508" s="121">
        <f t="shared" si="637"/>
        <v>0</v>
      </c>
      <c r="Q1508" s="121">
        <f t="shared" si="638"/>
        <v>1</v>
      </c>
      <c r="R1508" s="121">
        <f t="shared" si="639"/>
        <v>0</v>
      </c>
      <c r="W1508" s="160">
        <f t="shared" si="642"/>
        <v>1</v>
      </c>
      <c r="X1508" s="160">
        <f t="shared" si="643"/>
        <v>0</v>
      </c>
      <c r="Y1508" s="160">
        <f t="shared" si="644"/>
        <v>1</v>
      </c>
      <c r="AB1508" s="160">
        <f t="shared" si="645"/>
        <v>0.36293859649122806</v>
      </c>
      <c r="AC1508" s="220">
        <f t="shared" si="646"/>
        <v>0.63706140350877194</v>
      </c>
      <c r="AD1508" s="160">
        <f t="shared" si="647"/>
        <v>1</v>
      </c>
      <c r="AE1508" s="160">
        <f t="shared" si="640"/>
        <v>1</v>
      </c>
      <c r="AF1508" s="220">
        <f t="shared" si="648"/>
        <v>0</v>
      </c>
      <c r="AG1508" s="183" t="str">
        <f t="shared" si="649"/>
        <v/>
      </c>
      <c r="AH1508" s="183" t="str">
        <f t="shared" si="650"/>
        <v/>
      </c>
      <c r="AI1508" s="220" t="str">
        <f t="shared" si="651"/>
        <v/>
      </c>
    </row>
    <row r="1509" spans="1:35" x14ac:dyDescent="0.3">
      <c r="A1509" s="187">
        <v>28</v>
      </c>
      <c r="B1509" s="242">
        <f t="shared" si="641"/>
        <v>46478</v>
      </c>
      <c r="C1509" s="243">
        <f t="shared" si="624"/>
        <v>46507</v>
      </c>
      <c r="D1509" s="120">
        <f t="shared" si="625"/>
        <v>30</v>
      </c>
      <c r="E1509" s="120">
        <f t="shared" si="626"/>
        <v>4</v>
      </c>
      <c r="F1509" s="275">
        <f t="shared" si="627"/>
        <v>46493</v>
      </c>
      <c r="G1509" s="120">
        <f t="shared" si="628"/>
        <v>24327</v>
      </c>
      <c r="H1509" s="245">
        <f t="shared" si="629"/>
        <v>1</v>
      </c>
      <c r="I1509" s="121">
        <f t="shared" si="630"/>
        <v>1</v>
      </c>
      <c r="J1509" s="121">
        <f t="shared" si="631"/>
        <v>1</v>
      </c>
      <c r="K1509" s="120">
        <f t="shared" si="632"/>
        <v>0</v>
      </c>
      <c r="L1509" s="120">
        <f t="shared" si="633"/>
        <v>0</v>
      </c>
      <c r="M1509" s="246">
        <f t="shared" si="634"/>
        <v>0</v>
      </c>
      <c r="N1509" s="121">
        <f t="shared" si="635"/>
        <v>1</v>
      </c>
      <c r="O1509" s="246">
        <f t="shared" si="636"/>
        <v>1</v>
      </c>
      <c r="P1509" s="121">
        <f t="shared" si="637"/>
        <v>0</v>
      </c>
      <c r="Q1509" s="121">
        <f t="shared" si="638"/>
        <v>1</v>
      </c>
      <c r="R1509" s="121">
        <f t="shared" si="639"/>
        <v>0</v>
      </c>
      <c r="W1509" s="160">
        <f t="shared" si="642"/>
        <v>1</v>
      </c>
      <c r="X1509" s="160">
        <f t="shared" si="643"/>
        <v>1</v>
      </c>
      <c r="Y1509" s="160">
        <f t="shared" si="644"/>
        <v>1</v>
      </c>
      <c r="AB1509" s="160">
        <f t="shared" si="645"/>
        <v>0.42982456140350878</v>
      </c>
      <c r="AC1509" s="220">
        <f t="shared" si="646"/>
        <v>0.57017543859649122</v>
      </c>
      <c r="AD1509" s="160">
        <f t="shared" si="647"/>
        <v>1</v>
      </c>
      <c r="AE1509" s="160">
        <f t="shared" si="640"/>
        <v>1</v>
      </c>
      <c r="AF1509" s="220">
        <f t="shared" si="648"/>
        <v>1</v>
      </c>
      <c r="AG1509" s="183" t="str">
        <f t="shared" si="649"/>
        <v/>
      </c>
      <c r="AH1509" s="183" t="str">
        <f t="shared" si="650"/>
        <v/>
      </c>
      <c r="AI1509" s="220" t="str">
        <f t="shared" si="651"/>
        <v/>
      </c>
    </row>
    <row r="1510" spans="1:35" x14ac:dyDescent="0.3">
      <c r="A1510" s="187">
        <v>29</v>
      </c>
      <c r="B1510" s="242">
        <f t="shared" si="641"/>
        <v>46508</v>
      </c>
      <c r="C1510" s="243">
        <f t="shared" si="624"/>
        <v>46538</v>
      </c>
      <c r="D1510" s="120">
        <f t="shared" si="625"/>
        <v>31</v>
      </c>
      <c r="E1510" s="120">
        <f t="shared" si="626"/>
        <v>5</v>
      </c>
      <c r="F1510" s="275">
        <f t="shared" si="627"/>
        <v>46523.5</v>
      </c>
      <c r="G1510" s="120">
        <f t="shared" si="628"/>
        <v>24328</v>
      </c>
      <c r="H1510" s="245">
        <f t="shared" si="629"/>
        <v>1</v>
      </c>
      <c r="I1510" s="121">
        <f t="shared" si="630"/>
        <v>1</v>
      </c>
      <c r="J1510" s="121">
        <f t="shared" si="631"/>
        <v>1</v>
      </c>
      <c r="K1510" s="120">
        <f t="shared" si="632"/>
        <v>0</v>
      </c>
      <c r="L1510" s="120">
        <f t="shared" si="633"/>
        <v>0</v>
      </c>
      <c r="M1510" s="246">
        <f t="shared" si="634"/>
        <v>0</v>
      </c>
      <c r="N1510" s="121">
        <f t="shared" si="635"/>
        <v>1</v>
      </c>
      <c r="O1510" s="246">
        <f t="shared" si="636"/>
        <v>1</v>
      </c>
      <c r="P1510" s="121">
        <f t="shared" si="637"/>
        <v>0</v>
      </c>
      <c r="Q1510" s="121">
        <f t="shared" si="638"/>
        <v>1</v>
      </c>
      <c r="R1510" s="121">
        <f t="shared" si="639"/>
        <v>0</v>
      </c>
      <c r="W1510" s="160">
        <f t="shared" si="642"/>
        <v>1</v>
      </c>
      <c r="X1510" s="160">
        <f t="shared" si="643"/>
        <v>1</v>
      </c>
      <c r="Y1510" s="160">
        <f t="shared" si="644"/>
        <v>1</v>
      </c>
      <c r="AB1510" s="160">
        <f t="shared" si="645"/>
        <v>0.49671052631578949</v>
      </c>
      <c r="AC1510" s="220">
        <f t="shared" si="646"/>
        <v>0.50328947368421051</v>
      </c>
      <c r="AD1510" s="160">
        <f t="shared" si="647"/>
        <v>1</v>
      </c>
      <c r="AE1510" s="160">
        <f t="shared" si="640"/>
        <v>1</v>
      </c>
      <c r="AF1510" s="220">
        <f t="shared" si="648"/>
        <v>1</v>
      </c>
      <c r="AG1510" s="183" t="str">
        <f t="shared" si="649"/>
        <v/>
      </c>
      <c r="AH1510" s="183" t="str">
        <f t="shared" si="650"/>
        <v/>
      </c>
      <c r="AI1510" s="220" t="str">
        <f t="shared" si="651"/>
        <v/>
      </c>
    </row>
    <row r="1511" spans="1:35" x14ac:dyDescent="0.3">
      <c r="A1511" s="187">
        <v>30</v>
      </c>
      <c r="B1511" s="242">
        <f t="shared" si="641"/>
        <v>46539</v>
      </c>
      <c r="C1511" s="243">
        <f t="shared" si="624"/>
        <v>46568</v>
      </c>
      <c r="D1511" s="120">
        <f t="shared" si="625"/>
        <v>30</v>
      </c>
      <c r="E1511" s="120">
        <f t="shared" si="626"/>
        <v>6</v>
      </c>
      <c r="F1511" s="275">
        <f t="shared" si="627"/>
        <v>46554</v>
      </c>
      <c r="G1511" s="120">
        <f t="shared" si="628"/>
        <v>24329</v>
      </c>
      <c r="H1511" s="245">
        <f t="shared" si="629"/>
        <v>1</v>
      </c>
      <c r="I1511" s="121">
        <f t="shared" si="630"/>
        <v>1</v>
      </c>
      <c r="J1511" s="121">
        <f t="shared" si="631"/>
        <v>1</v>
      </c>
      <c r="K1511" s="120">
        <f t="shared" si="632"/>
        <v>0</v>
      </c>
      <c r="L1511" s="120">
        <f t="shared" si="633"/>
        <v>0</v>
      </c>
      <c r="M1511" s="246">
        <f t="shared" si="634"/>
        <v>0</v>
      </c>
      <c r="N1511" s="121">
        <f t="shared" si="635"/>
        <v>1</v>
      </c>
      <c r="O1511" s="246">
        <f t="shared" si="636"/>
        <v>1</v>
      </c>
      <c r="P1511" s="121">
        <f t="shared" si="637"/>
        <v>0</v>
      </c>
      <c r="Q1511" s="121">
        <f t="shared" si="638"/>
        <v>1</v>
      </c>
      <c r="R1511" s="121">
        <f t="shared" si="639"/>
        <v>0</v>
      </c>
      <c r="W1511" s="160">
        <f t="shared" si="642"/>
        <v>1</v>
      </c>
      <c r="X1511" s="160">
        <f t="shared" si="643"/>
        <v>1</v>
      </c>
      <c r="Y1511" s="160">
        <f t="shared" si="644"/>
        <v>1</v>
      </c>
      <c r="AB1511" s="160">
        <f t="shared" si="645"/>
        <v>0.56359649122807021</v>
      </c>
      <c r="AC1511" s="220">
        <f t="shared" si="646"/>
        <v>0.43640350877192979</v>
      </c>
      <c r="AD1511" s="160">
        <f t="shared" si="647"/>
        <v>1</v>
      </c>
      <c r="AE1511" s="160">
        <f t="shared" si="640"/>
        <v>1</v>
      </c>
      <c r="AF1511" s="220">
        <f t="shared" si="648"/>
        <v>1</v>
      </c>
      <c r="AG1511" s="183" t="str">
        <f t="shared" si="649"/>
        <v/>
      </c>
      <c r="AH1511" s="183" t="str">
        <f t="shared" si="650"/>
        <v/>
      </c>
      <c r="AI1511" s="220" t="str">
        <f t="shared" si="651"/>
        <v/>
      </c>
    </row>
    <row r="1512" spans="1:35" x14ac:dyDescent="0.3">
      <c r="A1512" s="187">
        <v>31</v>
      </c>
      <c r="B1512" s="242">
        <f t="shared" si="641"/>
        <v>46569</v>
      </c>
      <c r="C1512" s="243">
        <f t="shared" si="624"/>
        <v>46599</v>
      </c>
      <c r="D1512" s="120">
        <f t="shared" si="625"/>
        <v>31</v>
      </c>
      <c r="E1512" s="120">
        <f t="shared" si="626"/>
        <v>7</v>
      </c>
      <c r="F1512" s="275">
        <f t="shared" si="627"/>
        <v>46584.5</v>
      </c>
      <c r="G1512" s="120">
        <f t="shared" si="628"/>
        <v>24330</v>
      </c>
      <c r="H1512" s="245">
        <f t="shared" si="629"/>
        <v>1</v>
      </c>
      <c r="I1512" s="121">
        <f t="shared" si="630"/>
        <v>1</v>
      </c>
      <c r="J1512" s="121">
        <f t="shared" si="631"/>
        <v>1</v>
      </c>
      <c r="K1512" s="120">
        <f t="shared" si="632"/>
        <v>0</v>
      </c>
      <c r="L1512" s="120">
        <f t="shared" si="633"/>
        <v>0</v>
      </c>
      <c r="M1512" s="246">
        <f t="shared" si="634"/>
        <v>0</v>
      </c>
      <c r="N1512" s="121">
        <f t="shared" si="635"/>
        <v>1</v>
      </c>
      <c r="O1512" s="246">
        <f t="shared" si="636"/>
        <v>1</v>
      </c>
      <c r="P1512" s="121">
        <f t="shared" si="637"/>
        <v>0</v>
      </c>
      <c r="Q1512" s="121">
        <f t="shared" si="638"/>
        <v>0.91666666666666663</v>
      </c>
      <c r="R1512" s="121">
        <f t="shared" si="639"/>
        <v>8.333333333333337E-2</v>
      </c>
      <c r="W1512" s="160">
        <f t="shared" si="642"/>
        <v>1</v>
      </c>
      <c r="X1512" s="160">
        <f t="shared" si="643"/>
        <v>1</v>
      </c>
      <c r="Y1512" s="160">
        <f t="shared" si="644"/>
        <v>1</v>
      </c>
      <c r="AB1512" s="160">
        <f t="shared" si="645"/>
        <v>0.63048245614035092</v>
      </c>
      <c r="AC1512" s="220">
        <f t="shared" si="646"/>
        <v>0.36951754385964908</v>
      </c>
      <c r="AD1512" s="160">
        <f t="shared" si="647"/>
        <v>1</v>
      </c>
      <c r="AE1512" s="160">
        <f t="shared" si="640"/>
        <v>1</v>
      </c>
      <c r="AF1512" s="220">
        <f t="shared" si="648"/>
        <v>1</v>
      </c>
      <c r="AG1512" s="183" t="str">
        <f t="shared" si="649"/>
        <v/>
      </c>
      <c r="AH1512" s="183" t="str">
        <f t="shared" si="650"/>
        <v/>
      </c>
      <c r="AI1512" s="220" t="str">
        <f t="shared" si="651"/>
        <v/>
      </c>
    </row>
    <row r="1513" spans="1:35" x14ac:dyDescent="0.3">
      <c r="A1513" s="187">
        <v>32</v>
      </c>
      <c r="B1513" s="242">
        <f t="shared" si="641"/>
        <v>46600</v>
      </c>
      <c r="C1513" s="243">
        <f t="shared" si="624"/>
        <v>46630</v>
      </c>
      <c r="D1513" s="120">
        <f t="shared" si="625"/>
        <v>31</v>
      </c>
      <c r="E1513" s="120">
        <f t="shared" si="626"/>
        <v>8</v>
      </c>
      <c r="F1513" s="275">
        <f t="shared" si="627"/>
        <v>46615.5</v>
      </c>
      <c r="G1513" s="120">
        <f t="shared" si="628"/>
        <v>24331</v>
      </c>
      <c r="H1513" s="245">
        <f t="shared" si="629"/>
        <v>1</v>
      </c>
      <c r="I1513" s="121">
        <f t="shared" si="630"/>
        <v>1</v>
      </c>
      <c r="J1513" s="121">
        <f t="shared" si="631"/>
        <v>1</v>
      </c>
      <c r="K1513" s="120">
        <f t="shared" si="632"/>
        <v>0</v>
      </c>
      <c r="L1513" s="120">
        <f t="shared" si="633"/>
        <v>0</v>
      </c>
      <c r="M1513" s="246">
        <f t="shared" si="634"/>
        <v>0</v>
      </c>
      <c r="N1513" s="121">
        <f t="shared" si="635"/>
        <v>1</v>
      </c>
      <c r="O1513" s="246">
        <f t="shared" si="636"/>
        <v>1</v>
      </c>
      <c r="P1513" s="121">
        <f t="shared" si="637"/>
        <v>0</v>
      </c>
      <c r="Q1513" s="121">
        <f t="shared" si="638"/>
        <v>0.75</v>
      </c>
      <c r="R1513" s="121">
        <f t="shared" si="639"/>
        <v>0.25</v>
      </c>
      <c r="W1513" s="160">
        <f t="shared" si="642"/>
        <v>1</v>
      </c>
      <c r="X1513" s="160">
        <f t="shared" si="643"/>
        <v>1</v>
      </c>
      <c r="Y1513" s="160">
        <f t="shared" si="644"/>
        <v>1</v>
      </c>
      <c r="AB1513" s="160">
        <f t="shared" si="645"/>
        <v>0.69846491228070173</v>
      </c>
      <c r="AC1513" s="220">
        <f t="shared" si="646"/>
        <v>0.30153508771929827</v>
      </c>
      <c r="AD1513" s="160">
        <f t="shared" si="647"/>
        <v>1</v>
      </c>
      <c r="AE1513" s="160">
        <f t="shared" si="640"/>
        <v>1</v>
      </c>
      <c r="AF1513" s="220">
        <f t="shared" si="648"/>
        <v>1</v>
      </c>
      <c r="AG1513" s="183" t="str">
        <f t="shared" si="649"/>
        <v/>
      </c>
      <c r="AH1513" s="183" t="str">
        <f t="shared" si="650"/>
        <v/>
      </c>
      <c r="AI1513" s="220" t="str">
        <f t="shared" si="651"/>
        <v/>
      </c>
    </row>
    <row r="1514" spans="1:35" x14ac:dyDescent="0.3">
      <c r="A1514" s="187">
        <v>33</v>
      </c>
      <c r="B1514" s="242">
        <f t="shared" si="641"/>
        <v>46631</v>
      </c>
      <c r="C1514" s="243">
        <f t="shared" si="624"/>
        <v>46660</v>
      </c>
      <c r="D1514" s="120">
        <f t="shared" si="625"/>
        <v>30</v>
      </c>
      <c r="E1514" s="120">
        <f t="shared" si="626"/>
        <v>9</v>
      </c>
      <c r="F1514" s="275">
        <f t="shared" si="627"/>
        <v>46646</v>
      </c>
      <c r="G1514" s="120">
        <f t="shared" si="628"/>
        <v>24332</v>
      </c>
      <c r="H1514" s="245">
        <f t="shared" si="629"/>
        <v>1</v>
      </c>
      <c r="I1514" s="121">
        <f t="shared" si="630"/>
        <v>1</v>
      </c>
      <c r="J1514" s="121">
        <f t="shared" si="631"/>
        <v>1</v>
      </c>
      <c r="K1514" s="120">
        <f t="shared" si="632"/>
        <v>0</v>
      </c>
      <c r="L1514" s="120">
        <f t="shared" si="633"/>
        <v>0</v>
      </c>
      <c r="M1514" s="246">
        <f t="shared" si="634"/>
        <v>0</v>
      </c>
      <c r="N1514" s="121">
        <f t="shared" si="635"/>
        <v>1</v>
      </c>
      <c r="O1514" s="246">
        <f t="shared" si="636"/>
        <v>1</v>
      </c>
      <c r="P1514" s="121">
        <f t="shared" si="637"/>
        <v>0</v>
      </c>
      <c r="Q1514" s="121">
        <f t="shared" si="638"/>
        <v>0.58333333333333337</v>
      </c>
      <c r="R1514" s="121">
        <f t="shared" si="639"/>
        <v>0.41666666666666663</v>
      </c>
      <c r="W1514" s="160">
        <f t="shared" si="642"/>
        <v>1</v>
      </c>
      <c r="X1514" s="160">
        <f t="shared" si="643"/>
        <v>1</v>
      </c>
      <c r="Y1514" s="160">
        <f t="shared" si="644"/>
        <v>1</v>
      </c>
      <c r="AB1514" s="160">
        <f t="shared" si="645"/>
        <v>0.76535087719298245</v>
      </c>
      <c r="AC1514" s="220">
        <f t="shared" si="646"/>
        <v>0.23464912280701755</v>
      </c>
      <c r="AD1514" s="160">
        <f t="shared" si="647"/>
        <v>1</v>
      </c>
      <c r="AE1514" s="160">
        <f t="shared" si="640"/>
        <v>1</v>
      </c>
      <c r="AF1514" s="220">
        <f t="shared" si="648"/>
        <v>1</v>
      </c>
      <c r="AG1514" s="183" t="str">
        <f t="shared" si="649"/>
        <v/>
      </c>
      <c r="AH1514" s="183" t="str">
        <f t="shared" si="650"/>
        <v/>
      </c>
      <c r="AI1514" s="220" t="str">
        <f t="shared" si="651"/>
        <v/>
      </c>
    </row>
    <row r="1515" spans="1:35" x14ac:dyDescent="0.3">
      <c r="A1515" s="187">
        <v>34</v>
      </c>
      <c r="B1515" s="242">
        <f t="shared" si="641"/>
        <v>46661</v>
      </c>
      <c r="C1515" s="243">
        <f t="shared" si="624"/>
        <v>46691</v>
      </c>
      <c r="D1515" s="120">
        <f t="shared" si="625"/>
        <v>31</v>
      </c>
      <c r="E1515" s="120">
        <f t="shared" si="626"/>
        <v>10</v>
      </c>
      <c r="F1515" s="275">
        <f t="shared" si="627"/>
        <v>46676.5</v>
      </c>
      <c r="G1515" s="120">
        <f t="shared" si="628"/>
        <v>24333</v>
      </c>
      <c r="H1515" s="245">
        <f t="shared" si="629"/>
        <v>1</v>
      </c>
      <c r="I1515" s="121">
        <f t="shared" si="630"/>
        <v>1</v>
      </c>
      <c r="J1515" s="121">
        <f t="shared" si="631"/>
        <v>1</v>
      </c>
      <c r="K1515" s="120">
        <f t="shared" si="632"/>
        <v>0</v>
      </c>
      <c r="L1515" s="120">
        <f t="shared" si="633"/>
        <v>0</v>
      </c>
      <c r="M1515" s="246">
        <f t="shared" si="634"/>
        <v>0</v>
      </c>
      <c r="N1515" s="121">
        <f t="shared" si="635"/>
        <v>1</v>
      </c>
      <c r="O1515" s="246">
        <f t="shared" si="636"/>
        <v>1</v>
      </c>
      <c r="P1515" s="121">
        <f t="shared" si="637"/>
        <v>0</v>
      </c>
      <c r="Q1515" s="121">
        <f t="shared" si="638"/>
        <v>0.41666666666666669</v>
      </c>
      <c r="R1515" s="121">
        <f t="shared" si="639"/>
        <v>0.58333333333333326</v>
      </c>
      <c r="W1515" s="160">
        <f t="shared" si="642"/>
        <v>1</v>
      </c>
      <c r="X1515" s="160">
        <f t="shared" si="643"/>
        <v>1</v>
      </c>
      <c r="Y1515" s="160">
        <f t="shared" si="644"/>
        <v>1</v>
      </c>
      <c r="AB1515" s="160">
        <f t="shared" si="645"/>
        <v>0.83223684210526316</v>
      </c>
      <c r="AC1515" s="220">
        <f t="shared" si="646"/>
        <v>0.16776315789473684</v>
      </c>
      <c r="AD1515" s="160">
        <f t="shared" si="647"/>
        <v>1</v>
      </c>
      <c r="AE1515" s="160">
        <f t="shared" si="640"/>
        <v>1</v>
      </c>
      <c r="AF1515" s="220">
        <f t="shared" si="648"/>
        <v>1</v>
      </c>
      <c r="AG1515" s="183" t="str">
        <f t="shared" si="649"/>
        <v/>
      </c>
      <c r="AH1515" s="183" t="str">
        <f t="shared" si="650"/>
        <v/>
      </c>
      <c r="AI1515" s="220" t="str">
        <f t="shared" si="651"/>
        <v/>
      </c>
    </row>
    <row r="1516" spans="1:35" x14ac:dyDescent="0.3">
      <c r="A1516" s="187">
        <v>35</v>
      </c>
      <c r="B1516" s="242">
        <f t="shared" si="641"/>
        <v>46692</v>
      </c>
      <c r="C1516" s="243">
        <f t="shared" si="624"/>
        <v>46721</v>
      </c>
      <c r="D1516" s="120">
        <f t="shared" si="625"/>
        <v>30</v>
      </c>
      <c r="E1516" s="120">
        <f t="shared" si="626"/>
        <v>11</v>
      </c>
      <c r="F1516" s="275">
        <f t="shared" si="627"/>
        <v>46707</v>
      </c>
      <c r="G1516" s="120">
        <f t="shared" si="628"/>
        <v>24334</v>
      </c>
      <c r="H1516" s="245">
        <f t="shared" si="629"/>
        <v>1</v>
      </c>
      <c r="I1516" s="121">
        <f t="shared" si="630"/>
        <v>1</v>
      </c>
      <c r="J1516" s="121">
        <f t="shared" si="631"/>
        <v>1</v>
      </c>
      <c r="K1516" s="120">
        <f t="shared" si="632"/>
        <v>0</v>
      </c>
      <c r="L1516" s="120">
        <f t="shared" si="633"/>
        <v>0</v>
      </c>
      <c r="M1516" s="246">
        <f t="shared" si="634"/>
        <v>0</v>
      </c>
      <c r="N1516" s="121">
        <f t="shared" si="635"/>
        <v>1</v>
      </c>
      <c r="O1516" s="246">
        <f t="shared" si="636"/>
        <v>1</v>
      </c>
      <c r="P1516" s="121">
        <f t="shared" si="637"/>
        <v>0</v>
      </c>
      <c r="Q1516" s="121">
        <f t="shared" si="638"/>
        <v>0.25</v>
      </c>
      <c r="R1516" s="121">
        <f t="shared" si="639"/>
        <v>0.75</v>
      </c>
      <c r="W1516" s="160">
        <f t="shared" si="642"/>
        <v>1</v>
      </c>
      <c r="X1516" s="160">
        <f t="shared" si="643"/>
        <v>1</v>
      </c>
      <c r="Y1516" s="160">
        <f t="shared" si="644"/>
        <v>1</v>
      </c>
      <c r="AB1516" s="160">
        <f t="shared" si="645"/>
        <v>0.89912280701754388</v>
      </c>
      <c r="AC1516" s="220">
        <f t="shared" si="646"/>
        <v>0.10087719298245612</v>
      </c>
      <c r="AD1516" s="160">
        <f t="shared" si="647"/>
        <v>1</v>
      </c>
      <c r="AE1516" s="160">
        <f t="shared" si="640"/>
        <v>1</v>
      </c>
      <c r="AF1516" s="220">
        <f t="shared" si="648"/>
        <v>1</v>
      </c>
      <c r="AG1516" s="183" t="str">
        <f t="shared" si="649"/>
        <v/>
      </c>
      <c r="AH1516" s="183" t="str">
        <f t="shared" si="650"/>
        <v/>
      </c>
      <c r="AI1516" s="220" t="str">
        <f t="shared" si="651"/>
        <v/>
      </c>
    </row>
    <row r="1517" spans="1:35" x14ac:dyDescent="0.3">
      <c r="A1517" s="187">
        <v>36</v>
      </c>
      <c r="B1517" s="242">
        <f t="shared" si="641"/>
        <v>46722</v>
      </c>
      <c r="C1517" s="243">
        <f t="shared" si="624"/>
        <v>46752</v>
      </c>
      <c r="D1517" s="120">
        <f t="shared" si="625"/>
        <v>31</v>
      </c>
      <c r="E1517" s="120">
        <f t="shared" si="626"/>
        <v>12</v>
      </c>
      <c r="F1517" s="275">
        <f t="shared" si="627"/>
        <v>46737.5</v>
      </c>
      <c r="G1517" s="120">
        <f t="shared" si="628"/>
        <v>24335</v>
      </c>
      <c r="H1517" s="245">
        <f t="shared" si="629"/>
        <v>1</v>
      </c>
      <c r="I1517" s="121">
        <f t="shared" si="630"/>
        <v>1</v>
      </c>
      <c r="J1517" s="121">
        <f t="shared" si="631"/>
        <v>1</v>
      </c>
      <c r="K1517" s="120">
        <f t="shared" si="632"/>
        <v>0</v>
      </c>
      <c r="L1517" s="120">
        <f t="shared" si="633"/>
        <v>0</v>
      </c>
      <c r="M1517" s="246">
        <f t="shared" si="634"/>
        <v>0</v>
      </c>
      <c r="N1517" s="121">
        <f t="shared" si="635"/>
        <v>1</v>
      </c>
      <c r="O1517" s="246">
        <f t="shared" si="636"/>
        <v>1</v>
      </c>
      <c r="P1517" s="121">
        <f t="shared" si="637"/>
        <v>0</v>
      </c>
      <c r="Q1517" s="121">
        <f t="shared" si="638"/>
        <v>8.3333333333333329E-2</v>
      </c>
      <c r="R1517" s="121">
        <f t="shared" si="639"/>
        <v>0.91666666666666663</v>
      </c>
      <c r="W1517" s="160">
        <f t="shared" si="642"/>
        <v>1</v>
      </c>
      <c r="X1517" s="160">
        <f t="shared" si="643"/>
        <v>1</v>
      </c>
      <c r="Y1517" s="160">
        <f t="shared" si="644"/>
        <v>1</v>
      </c>
      <c r="AB1517" s="160">
        <f t="shared" si="645"/>
        <v>0.96600877192982459</v>
      </c>
      <c r="AC1517" s="220">
        <f t="shared" si="646"/>
        <v>3.3991228070175405E-2</v>
      </c>
      <c r="AD1517" s="160">
        <f t="shared" si="647"/>
        <v>1</v>
      </c>
      <c r="AE1517" s="160">
        <f t="shared" si="640"/>
        <v>1</v>
      </c>
      <c r="AF1517" s="220">
        <f t="shared" si="648"/>
        <v>1</v>
      </c>
      <c r="AG1517" s="183" t="str">
        <f t="shared" si="649"/>
        <v/>
      </c>
      <c r="AH1517" s="183" t="str">
        <f t="shared" si="650"/>
        <v/>
      </c>
      <c r="AI1517" s="220" t="str">
        <f t="shared" si="651"/>
        <v/>
      </c>
    </row>
    <row r="1518" spans="1:35" x14ac:dyDescent="0.3">
      <c r="A1518" s="187">
        <v>37</v>
      </c>
      <c r="B1518" s="242">
        <f t="shared" si="641"/>
        <v>46753</v>
      </c>
      <c r="C1518" s="243">
        <f t="shared" si="624"/>
        <v>46783</v>
      </c>
      <c r="D1518" s="120">
        <f t="shared" si="625"/>
        <v>31</v>
      </c>
      <c r="E1518" s="120">
        <f t="shared" si="626"/>
        <v>1</v>
      </c>
      <c r="F1518" s="275">
        <f t="shared" si="627"/>
        <v>46768.5</v>
      </c>
      <c r="G1518" s="120">
        <f t="shared" si="628"/>
        <v>24336</v>
      </c>
      <c r="H1518" s="245">
        <f t="shared" si="629"/>
        <v>1</v>
      </c>
      <c r="I1518" s="121">
        <f t="shared" si="630"/>
        <v>1</v>
      </c>
      <c r="J1518" s="121">
        <f t="shared" si="631"/>
        <v>1</v>
      </c>
      <c r="K1518" s="120">
        <f t="shared" si="632"/>
        <v>0</v>
      </c>
      <c r="L1518" s="120">
        <f t="shared" si="633"/>
        <v>0</v>
      </c>
      <c r="M1518" s="246">
        <f t="shared" si="634"/>
        <v>0</v>
      </c>
      <c r="N1518" s="121">
        <f t="shared" si="635"/>
        <v>1</v>
      </c>
      <c r="O1518" s="246">
        <f t="shared" si="636"/>
        <v>1</v>
      </c>
      <c r="P1518" s="121">
        <f t="shared" si="637"/>
        <v>0</v>
      </c>
      <c r="Q1518" s="121">
        <f t="shared" si="638"/>
        <v>0</v>
      </c>
      <c r="R1518" s="121">
        <f t="shared" si="639"/>
        <v>1</v>
      </c>
      <c r="AE1518" s="160">
        <f t="shared" si="640"/>
        <v>1</v>
      </c>
    </row>
    <row r="1519" spans="1:35" x14ac:dyDescent="0.3">
      <c r="A1519" s="187">
        <v>38</v>
      </c>
      <c r="B1519" s="242">
        <f t="shared" si="641"/>
        <v>46784</v>
      </c>
      <c r="C1519" s="243">
        <f t="shared" si="624"/>
        <v>46812</v>
      </c>
      <c r="D1519" s="120">
        <f t="shared" si="625"/>
        <v>29</v>
      </c>
      <c r="E1519" s="120">
        <f t="shared" si="626"/>
        <v>2</v>
      </c>
      <c r="F1519" s="275">
        <f t="shared" si="627"/>
        <v>46798.5</v>
      </c>
      <c r="G1519" s="120">
        <f t="shared" si="628"/>
        <v>24337</v>
      </c>
      <c r="H1519" s="245">
        <f t="shared" si="629"/>
        <v>1</v>
      </c>
      <c r="I1519" s="121">
        <f t="shared" si="630"/>
        <v>1</v>
      </c>
      <c r="J1519" s="121">
        <f t="shared" si="631"/>
        <v>1</v>
      </c>
      <c r="K1519" s="120">
        <f t="shared" si="632"/>
        <v>0</v>
      </c>
      <c r="L1519" s="120">
        <f t="shared" si="633"/>
        <v>0</v>
      </c>
      <c r="M1519" s="246">
        <f t="shared" si="634"/>
        <v>0</v>
      </c>
      <c r="N1519" s="121">
        <f t="shared" si="635"/>
        <v>1</v>
      </c>
      <c r="O1519" s="246">
        <f t="shared" si="636"/>
        <v>1</v>
      </c>
      <c r="P1519" s="121">
        <f t="shared" si="637"/>
        <v>0</v>
      </c>
      <c r="Q1519" s="121">
        <f t="shared" si="638"/>
        <v>0</v>
      </c>
      <c r="R1519" s="121">
        <f t="shared" si="639"/>
        <v>1</v>
      </c>
      <c r="AE1519" s="160">
        <f t="shared" si="640"/>
        <v>1</v>
      </c>
    </row>
    <row r="1520" spans="1:35" x14ac:dyDescent="0.3">
      <c r="A1520" s="187">
        <v>39</v>
      </c>
      <c r="B1520" s="242">
        <f t="shared" si="641"/>
        <v>46813</v>
      </c>
      <c r="C1520" s="243">
        <f t="shared" si="624"/>
        <v>46843</v>
      </c>
      <c r="D1520" s="120">
        <f t="shared" si="625"/>
        <v>31</v>
      </c>
      <c r="E1520" s="120">
        <f t="shared" si="626"/>
        <v>3</v>
      </c>
      <c r="F1520" s="275">
        <f t="shared" si="627"/>
        <v>46828.5</v>
      </c>
      <c r="G1520" s="120">
        <f t="shared" si="628"/>
        <v>24338</v>
      </c>
      <c r="H1520" s="245">
        <f t="shared" si="629"/>
        <v>1</v>
      </c>
      <c r="I1520" s="121">
        <f t="shared" si="630"/>
        <v>1</v>
      </c>
      <c r="J1520" s="121">
        <f t="shared" si="631"/>
        <v>1</v>
      </c>
      <c r="K1520" s="120">
        <f t="shared" si="632"/>
        <v>0</v>
      </c>
      <c r="L1520" s="120">
        <f t="shared" si="633"/>
        <v>0</v>
      </c>
      <c r="M1520" s="246">
        <f t="shared" si="634"/>
        <v>0</v>
      </c>
      <c r="N1520" s="121">
        <f t="shared" si="635"/>
        <v>1</v>
      </c>
      <c r="O1520" s="246">
        <f t="shared" si="636"/>
        <v>1</v>
      </c>
      <c r="P1520" s="121">
        <f t="shared" si="637"/>
        <v>0</v>
      </c>
      <c r="Q1520" s="121">
        <f t="shared" si="638"/>
        <v>0</v>
      </c>
      <c r="R1520" s="121">
        <f t="shared" si="639"/>
        <v>1</v>
      </c>
      <c r="AE1520" s="160">
        <f t="shared" si="640"/>
        <v>1</v>
      </c>
    </row>
    <row r="1521" spans="1:31" x14ac:dyDescent="0.3">
      <c r="A1521" s="187">
        <v>40</v>
      </c>
      <c r="B1521" s="242">
        <f t="shared" si="641"/>
        <v>46844</v>
      </c>
      <c r="C1521" s="243">
        <f t="shared" si="624"/>
        <v>46873</v>
      </c>
      <c r="D1521" s="120">
        <f t="shared" si="625"/>
        <v>30</v>
      </c>
      <c r="E1521" s="120">
        <f t="shared" si="626"/>
        <v>4</v>
      </c>
      <c r="F1521" s="275">
        <f t="shared" si="627"/>
        <v>46859</v>
      </c>
      <c r="G1521" s="120">
        <f t="shared" si="628"/>
        <v>24339</v>
      </c>
      <c r="H1521" s="245">
        <f t="shared" si="629"/>
        <v>1</v>
      </c>
      <c r="I1521" s="121">
        <f t="shared" si="630"/>
        <v>1</v>
      </c>
      <c r="J1521" s="121">
        <f t="shared" si="631"/>
        <v>1</v>
      </c>
      <c r="K1521" s="120">
        <f t="shared" si="632"/>
        <v>0</v>
      </c>
      <c r="L1521" s="120">
        <f t="shared" si="633"/>
        <v>0</v>
      </c>
      <c r="M1521" s="246">
        <f t="shared" si="634"/>
        <v>0</v>
      </c>
      <c r="N1521" s="121">
        <f t="shared" si="635"/>
        <v>1</v>
      </c>
      <c r="O1521" s="246">
        <f t="shared" si="636"/>
        <v>1</v>
      </c>
      <c r="P1521" s="121">
        <f t="shared" si="637"/>
        <v>0</v>
      </c>
      <c r="Q1521" s="121">
        <f t="shared" si="638"/>
        <v>0</v>
      </c>
      <c r="R1521" s="121">
        <f t="shared" si="639"/>
        <v>1</v>
      </c>
      <c r="AE1521" s="160">
        <f t="shared" si="640"/>
        <v>1</v>
      </c>
    </row>
    <row r="1522" spans="1:31" x14ac:dyDescent="0.3">
      <c r="A1522" s="187">
        <v>41</v>
      </c>
      <c r="B1522" s="242">
        <f t="shared" si="641"/>
        <v>46874</v>
      </c>
      <c r="C1522" s="243">
        <f t="shared" si="624"/>
        <v>46904</v>
      </c>
      <c r="D1522" s="120">
        <f t="shared" si="625"/>
        <v>31</v>
      </c>
      <c r="E1522" s="120">
        <f t="shared" si="626"/>
        <v>5</v>
      </c>
      <c r="F1522" s="275">
        <f t="shared" si="627"/>
        <v>46889.5</v>
      </c>
      <c r="G1522" s="120">
        <f t="shared" si="628"/>
        <v>24340</v>
      </c>
      <c r="H1522" s="245">
        <f t="shared" si="629"/>
        <v>1</v>
      </c>
      <c r="I1522" s="121">
        <f t="shared" si="630"/>
        <v>1</v>
      </c>
      <c r="J1522" s="121">
        <f t="shared" si="631"/>
        <v>1</v>
      </c>
      <c r="K1522" s="120">
        <f t="shared" si="632"/>
        <v>0</v>
      </c>
      <c r="L1522" s="120">
        <f t="shared" si="633"/>
        <v>0</v>
      </c>
      <c r="M1522" s="246">
        <f t="shared" si="634"/>
        <v>0</v>
      </c>
      <c r="N1522" s="121">
        <f t="shared" si="635"/>
        <v>1</v>
      </c>
      <c r="O1522" s="246">
        <f t="shared" si="636"/>
        <v>1</v>
      </c>
      <c r="P1522" s="121">
        <f t="shared" si="637"/>
        <v>0</v>
      </c>
      <c r="Q1522" s="121">
        <f t="shared" si="638"/>
        <v>0</v>
      </c>
      <c r="R1522" s="121">
        <f t="shared" si="639"/>
        <v>1</v>
      </c>
      <c r="AE1522" s="160">
        <f t="shared" si="640"/>
        <v>1</v>
      </c>
    </row>
    <row r="1523" spans="1:31" x14ac:dyDescent="0.3">
      <c r="A1523" s="187">
        <v>42</v>
      </c>
      <c r="B1523" s="242">
        <f t="shared" si="641"/>
        <v>46905</v>
      </c>
      <c r="C1523" s="243">
        <f t="shared" si="624"/>
        <v>46934</v>
      </c>
      <c r="D1523" s="120">
        <f t="shared" si="625"/>
        <v>30</v>
      </c>
      <c r="E1523" s="120">
        <f t="shared" si="626"/>
        <v>6</v>
      </c>
      <c r="F1523" s="275">
        <f t="shared" si="627"/>
        <v>46920</v>
      </c>
      <c r="G1523" s="120">
        <f t="shared" si="628"/>
        <v>24341</v>
      </c>
      <c r="H1523" s="245">
        <f t="shared" si="629"/>
        <v>1</v>
      </c>
      <c r="I1523" s="121">
        <f t="shared" si="630"/>
        <v>1</v>
      </c>
      <c r="J1523" s="121">
        <f t="shared" si="631"/>
        <v>1</v>
      </c>
      <c r="K1523" s="120">
        <f t="shared" si="632"/>
        <v>0</v>
      </c>
      <c r="L1523" s="120">
        <f t="shared" si="633"/>
        <v>0</v>
      </c>
      <c r="M1523" s="246">
        <f t="shared" si="634"/>
        <v>0</v>
      </c>
      <c r="N1523" s="121">
        <f t="shared" si="635"/>
        <v>1</v>
      </c>
      <c r="O1523" s="246">
        <f t="shared" si="636"/>
        <v>1</v>
      </c>
      <c r="P1523" s="121">
        <f t="shared" si="637"/>
        <v>0</v>
      </c>
      <c r="Q1523" s="121">
        <f t="shared" si="638"/>
        <v>0</v>
      </c>
      <c r="R1523" s="121">
        <f t="shared" si="639"/>
        <v>1</v>
      </c>
      <c r="AE1523" s="160">
        <f t="shared" si="640"/>
        <v>1</v>
      </c>
    </row>
    <row r="1524" spans="1:31" x14ac:dyDescent="0.3">
      <c r="A1524" s="187">
        <v>43</v>
      </c>
      <c r="B1524" s="242">
        <f t="shared" si="641"/>
        <v>46935</v>
      </c>
      <c r="C1524" s="243">
        <f t="shared" si="624"/>
        <v>46965</v>
      </c>
      <c r="D1524" s="120">
        <f t="shared" si="625"/>
        <v>31</v>
      </c>
      <c r="E1524" s="120">
        <f t="shared" si="626"/>
        <v>7</v>
      </c>
      <c r="F1524" s="275">
        <f t="shared" si="627"/>
        <v>46950.5</v>
      </c>
      <c r="G1524" s="120">
        <f t="shared" si="628"/>
        <v>24342</v>
      </c>
      <c r="H1524" s="245">
        <f t="shared" si="629"/>
        <v>1</v>
      </c>
      <c r="I1524" s="121">
        <f t="shared" si="630"/>
        <v>1</v>
      </c>
      <c r="J1524" s="121">
        <f t="shared" si="631"/>
        <v>1</v>
      </c>
      <c r="K1524" s="120">
        <f t="shared" si="632"/>
        <v>0</v>
      </c>
      <c r="L1524" s="120">
        <f t="shared" si="633"/>
        <v>0</v>
      </c>
      <c r="M1524" s="246">
        <f t="shared" si="634"/>
        <v>0</v>
      </c>
      <c r="N1524" s="121">
        <f t="shared" si="635"/>
        <v>1</v>
      </c>
      <c r="O1524" s="246">
        <f t="shared" si="636"/>
        <v>1</v>
      </c>
      <c r="P1524" s="121">
        <f t="shared" si="637"/>
        <v>0</v>
      </c>
      <c r="Q1524" s="121">
        <f t="shared" si="638"/>
        <v>0</v>
      </c>
      <c r="R1524" s="121">
        <f t="shared" si="639"/>
        <v>0.91666666666666663</v>
      </c>
      <c r="AE1524" s="160">
        <f t="shared" si="640"/>
        <v>1</v>
      </c>
    </row>
    <row r="1525" spans="1:31" x14ac:dyDescent="0.3">
      <c r="A1525" s="187">
        <v>44</v>
      </c>
      <c r="B1525" s="242">
        <f t="shared" si="641"/>
        <v>46966</v>
      </c>
      <c r="C1525" s="243">
        <f t="shared" si="624"/>
        <v>46996</v>
      </c>
      <c r="D1525" s="120">
        <f t="shared" si="625"/>
        <v>31</v>
      </c>
      <c r="E1525" s="120">
        <f t="shared" si="626"/>
        <v>8</v>
      </c>
      <c r="F1525" s="275">
        <f t="shared" si="627"/>
        <v>46981.5</v>
      </c>
      <c r="G1525" s="120">
        <f t="shared" si="628"/>
        <v>24343</v>
      </c>
      <c r="H1525" s="245">
        <f t="shared" si="629"/>
        <v>1</v>
      </c>
      <c r="I1525" s="121">
        <f t="shared" si="630"/>
        <v>1</v>
      </c>
      <c r="J1525" s="121">
        <f t="shared" si="631"/>
        <v>1</v>
      </c>
      <c r="K1525" s="120">
        <f t="shared" si="632"/>
        <v>0</v>
      </c>
      <c r="L1525" s="120">
        <f t="shared" si="633"/>
        <v>0</v>
      </c>
      <c r="M1525" s="246">
        <f t="shared" si="634"/>
        <v>0</v>
      </c>
      <c r="N1525" s="121">
        <f t="shared" si="635"/>
        <v>1</v>
      </c>
      <c r="O1525" s="246">
        <f t="shared" si="636"/>
        <v>1</v>
      </c>
      <c r="P1525" s="121">
        <f t="shared" si="637"/>
        <v>0</v>
      </c>
      <c r="Q1525" s="121">
        <f t="shared" si="638"/>
        <v>0</v>
      </c>
      <c r="R1525" s="121">
        <f t="shared" si="639"/>
        <v>0.75</v>
      </c>
      <c r="AE1525" s="160">
        <f t="shared" si="640"/>
        <v>1</v>
      </c>
    </row>
    <row r="1526" spans="1:31" x14ac:dyDescent="0.3">
      <c r="A1526" s="187">
        <v>45</v>
      </c>
      <c r="B1526" s="242">
        <f t="shared" si="641"/>
        <v>46997</v>
      </c>
      <c r="C1526" s="243">
        <f t="shared" si="624"/>
        <v>47026</v>
      </c>
      <c r="D1526" s="120">
        <f t="shared" si="625"/>
        <v>30</v>
      </c>
      <c r="E1526" s="120">
        <f t="shared" si="626"/>
        <v>9</v>
      </c>
      <c r="F1526" s="275">
        <f t="shared" si="627"/>
        <v>47012</v>
      </c>
      <c r="G1526" s="120">
        <f t="shared" si="628"/>
        <v>24344</v>
      </c>
      <c r="H1526" s="245">
        <f t="shared" si="629"/>
        <v>1</v>
      </c>
      <c r="I1526" s="121">
        <f t="shared" si="630"/>
        <v>1</v>
      </c>
      <c r="J1526" s="121">
        <f t="shared" si="631"/>
        <v>1</v>
      </c>
      <c r="K1526" s="120">
        <f t="shared" si="632"/>
        <v>0</v>
      </c>
      <c r="L1526" s="120">
        <f t="shared" si="633"/>
        <v>0</v>
      </c>
      <c r="M1526" s="246">
        <f t="shared" si="634"/>
        <v>0</v>
      </c>
      <c r="N1526" s="121">
        <f t="shared" si="635"/>
        <v>1</v>
      </c>
      <c r="O1526" s="246">
        <f t="shared" si="636"/>
        <v>1</v>
      </c>
      <c r="P1526" s="121">
        <f t="shared" si="637"/>
        <v>0</v>
      </c>
      <c r="Q1526" s="121">
        <f t="shared" si="638"/>
        <v>0</v>
      </c>
      <c r="R1526" s="121">
        <f t="shared" si="639"/>
        <v>0.58333333333333337</v>
      </c>
      <c r="AE1526" s="160">
        <f t="shared" si="640"/>
        <v>1</v>
      </c>
    </row>
    <row r="1527" spans="1:31" x14ac:dyDescent="0.3">
      <c r="A1527" s="187">
        <v>46</v>
      </c>
      <c r="B1527" s="242">
        <f t="shared" si="641"/>
        <v>47027</v>
      </c>
      <c r="C1527" s="243">
        <f t="shared" si="624"/>
        <v>47057</v>
      </c>
      <c r="D1527" s="120">
        <f t="shared" si="625"/>
        <v>31</v>
      </c>
      <c r="E1527" s="120">
        <f t="shared" si="626"/>
        <v>10</v>
      </c>
      <c r="F1527" s="275">
        <f t="shared" si="627"/>
        <v>47042.5</v>
      </c>
      <c r="G1527" s="120">
        <f t="shared" si="628"/>
        <v>24345</v>
      </c>
      <c r="H1527" s="245">
        <f t="shared" si="629"/>
        <v>1</v>
      </c>
      <c r="I1527" s="121">
        <f t="shared" si="630"/>
        <v>1</v>
      </c>
      <c r="J1527" s="121">
        <f t="shared" si="631"/>
        <v>1</v>
      </c>
      <c r="K1527" s="120">
        <f t="shared" si="632"/>
        <v>0</v>
      </c>
      <c r="L1527" s="120">
        <f t="shared" si="633"/>
        <v>0</v>
      </c>
      <c r="M1527" s="246">
        <f t="shared" si="634"/>
        <v>0</v>
      </c>
      <c r="N1527" s="121">
        <f t="shared" si="635"/>
        <v>1</v>
      </c>
      <c r="O1527" s="246">
        <f t="shared" si="636"/>
        <v>1</v>
      </c>
      <c r="P1527" s="121">
        <f t="shared" si="637"/>
        <v>0</v>
      </c>
      <c r="Q1527" s="121">
        <f t="shared" si="638"/>
        <v>0</v>
      </c>
      <c r="R1527" s="121">
        <f t="shared" si="639"/>
        <v>0.41666666666666669</v>
      </c>
      <c r="AE1527" s="160">
        <f t="shared" si="640"/>
        <v>1</v>
      </c>
    </row>
    <row r="1528" spans="1:31" x14ac:dyDescent="0.3">
      <c r="A1528" s="187">
        <v>47</v>
      </c>
      <c r="B1528" s="242">
        <f t="shared" si="641"/>
        <v>47058</v>
      </c>
      <c r="C1528" s="243">
        <f t="shared" si="624"/>
        <v>47087</v>
      </c>
      <c r="D1528" s="120">
        <f t="shared" si="625"/>
        <v>30</v>
      </c>
      <c r="E1528" s="120">
        <f t="shared" si="626"/>
        <v>11</v>
      </c>
      <c r="F1528" s="275">
        <f t="shared" si="627"/>
        <v>47073</v>
      </c>
      <c r="G1528" s="120">
        <f t="shared" si="628"/>
        <v>24346</v>
      </c>
      <c r="H1528" s="245">
        <f t="shared" si="629"/>
        <v>1</v>
      </c>
      <c r="I1528" s="121">
        <f t="shared" si="630"/>
        <v>1</v>
      </c>
      <c r="J1528" s="121">
        <f t="shared" si="631"/>
        <v>1</v>
      </c>
      <c r="K1528" s="120">
        <f t="shared" si="632"/>
        <v>0</v>
      </c>
      <c r="L1528" s="120">
        <f t="shared" si="633"/>
        <v>0</v>
      </c>
      <c r="M1528" s="246">
        <f t="shared" si="634"/>
        <v>0</v>
      </c>
      <c r="N1528" s="121">
        <f t="shared" si="635"/>
        <v>1</v>
      </c>
      <c r="O1528" s="246">
        <f t="shared" si="636"/>
        <v>1</v>
      </c>
      <c r="P1528" s="121">
        <f t="shared" si="637"/>
        <v>0</v>
      </c>
      <c r="Q1528" s="121">
        <f t="shared" si="638"/>
        <v>0</v>
      </c>
      <c r="R1528" s="121">
        <f t="shared" si="639"/>
        <v>0.25</v>
      </c>
      <c r="AE1528" s="160">
        <f t="shared" si="640"/>
        <v>1</v>
      </c>
    </row>
    <row r="1529" spans="1:31" x14ac:dyDescent="0.3">
      <c r="A1529" s="187">
        <v>48</v>
      </c>
      <c r="B1529" s="242">
        <f t="shared" si="641"/>
        <v>47088</v>
      </c>
      <c r="C1529" s="243">
        <f t="shared" si="624"/>
        <v>47118</v>
      </c>
      <c r="D1529" s="120">
        <f t="shared" si="625"/>
        <v>31</v>
      </c>
      <c r="E1529" s="120">
        <f t="shared" si="626"/>
        <v>12</v>
      </c>
      <c r="F1529" s="275">
        <f t="shared" si="627"/>
        <v>47103.5</v>
      </c>
      <c r="G1529" s="120">
        <f t="shared" si="628"/>
        <v>24347</v>
      </c>
      <c r="H1529" s="245">
        <f t="shared" si="629"/>
        <v>1</v>
      </c>
      <c r="I1529" s="121">
        <f t="shared" si="630"/>
        <v>1</v>
      </c>
      <c r="J1529" s="121">
        <f t="shared" si="631"/>
        <v>1</v>
      </c>
      <c r="K1529" s="120">
        <f t="shared" si="632"/>
        <v>0</v>
      </c>
      <c r="L1529" s="120">
        <f t="shared" si="633"/>
        <v>0</v>
      </c>
      <c r="M1529" s="246">
        <f t="shared" si="634"/>
        <v>0</v>
      </c>
      <c r="N1529" s="121">
        <f t="shared" si="635"/>
        <v>1</v>
      </c>
      <c r="O1529" s="246">
        <f t="shared" si="636"/>
        <v>1</v>
      </c>
      <c r="P1529" s="121">
        <f t="shared" si="637"/>
        <v>0</v>
      </c>
      <c r="Q1529" s="121">
        <f t="shared" si="638"/>
        <v>0</v>
      </c>
      <c r="R1529" s="121">
        <f t="shared" si="639"/>
        <v>8.3333333333333329E-2</v>
      </c>
      <c r="AE1529" s="160">
        <f t="shared" si="640"/>
        <v>1</v>
      </c>
    </row>
    <row r="1530" spans="1:31" x14ac:dyDescent="0.3">
      <c r="A1530" s="23" t="s">
        <v>1723</v>
      </c>
      <c r="B1530" s="279">
        <f>SUM($H$1506:$H$1517)</f>
        <v>12</v>
      </c>
      <c r="C1530" s="160">
        <f>SUMPRODUCT($H$1506:$H$1517,$W$1506:$W$1517/$N$1494:$N$1505,$Y$1506:$Y$1517)</f>
        <v>12</v>
      </c>
      <c r="D1530" s="160">
        <f>SUMPRODUCT($H$1506:$H$1517,$X$1506:$X$1517/$N$1494:$N$1505,$Y$1506:$Y$1517)</f>
        <v>9</v>
      </c>
      <c r="E1530" s="281" t="str">
        <f>IF(OR($D$1479=0,$P$1479=0,$D1530=0),"n/a",((1+$E$1479)*$B1530-$C1530)/$D1530)</f>
        <v>n/a</v>
      </c>
      <c r="F1530" s="281" t="str">
        <f>IF($V$1479&lt;&gt;"",$V$1479,$E1530)</f>
        <v>n/a</v>
      </c>
      <c r="G1530" s="281" t="str">
        <f>IF(OR(NOT(ISNUMBER($F1530)),nd_Ach=0),"n/a",$F1530/nd_Ach)</f>
        <v>n/a</v>
      </c>
      <c r="H1530" s="220" t="str">
        <f>IF(OR(NOT(ISNUMBER($F1530)),$F$1479=0,SUMPRODUCT($AD$1506:$AD$1517,$AB$1506:$AB$1517)=0),"n/a",((1+$E$1479)*$B1530-SUMPRODUCT($AD$1506:$AD$1517,$AC$1506:$AC$1517))/SUMPRODUCT($AD$1506:$AD$1517,$AB$1506:$AB$1517))</f>
        <v>n/a</v>
      </c>
      <c r="I1530" s="183" t="str">
        <f>IF(NOT(ISNUMBER($F1530)),"n/a",SUMPRODUCT($H$1506:$H$1517,($W$1506:$W$1517+$X$1506:$X$1517*$F1530)/$N$1494:$N$1505)/$B1530-1)</f>
        <v>n/a</v>
      </c>
      <c r="J1530" s="183" t="str">
        <f>IF(OR(NOT(ISNUMBER($I1530)),$F$1479=0),"n/a",(1+$E$1479)/(1+$I1530)-1)</f>
        <v>n/a</v>
      </c>
      <c r="K1530" s="183" t="str">
        <f>IF(NOT(ISNUMBER($F1530)),"n/a",($C1530+$D1530*$F1530)/$B1530-1)</f>
        <v>n/a</v>
      </c>
      <c r="L1530" s="229" t="str">
        <f>IF(NOT(ISNUMBER($F1530)),"n/a",SUMPRODUCT($H$1506:$H$1517,$AF$1506:$AF$1517)/$B1530)</f>
        <v>n/a</v>
      </c>
      <c r="M1530" s="23" t="str">
        <f>IF($D$1479=0,"",TRIM(IF(AND(ISNUMBER($H1530),OR($H1530&lt;0.5,$H1530&gt;1.5)),"MOD-BOUND ","")&amp;IF(AND(ISNUMBER($F1530),ABS($F1530)&gt;nr_SolvMaxRate),"RATE-BOUND ","")&amp;IF(AND(ISNUMBER($L1530),$L1530&lt;nr_SolvMinShare),"THIN-SHARE ","")&amp;IF($W$1479&gt;1,"MULTI-PLANNED ","")&amp;IF($F$1479=0,"RATE-ONLY","")))</f>
        <v/>
      </c>
      <c r="N1530" s="229" t="str">
        <f>IF(OR($D$1479=0,NOT(ISNUMBER($F1530))),"n/a",INDEX(calc_lrcur,$C$1479)*INDEX(calc_crl,$C$1479)/(SUMPRODUCT($H$1482:$H$1529,$Q$1482:$Q$1529,$AE$1482:$AE$1529)/SUMPRODUCT($H$1482:$H$1529,$Q$1482:$Q$1529))*INDEX(calc_aother,$C$1479))</f>
        <v>n/a</v>
      </c>
      <c r="O1530" s="229" t="str">
        <f>IF($D$1479=0,"n/a",INDEX(calc_cylr_p,$C$1479))</f>
        <v>n/a</v>
      </c>
      <c r="P1530" s="282">
        <f>IF(NOT(ISNUMBER($E1530)),0,ABS(($C1530+$D1530*$E1530)/$B1530-(1+$E$1479)))</f>
        <v>0</v>
      </c>
    </row>
    <row r="1535" spans="1:31" x14ac:dyDescent="0.3">
      <c r="A1535" s="23" t="str">
        <f>_lists!$B$26</f>
        <v/>
      </c>
      <c r="B1535" s="23" t="str">
        <f>IF(OR($A1535="",nd_BU="All"),"",nd_BU&amp;"|"&amp;$A1535)</f>
        <v/>
      </c>
      <c r="C1535" s="43">
        <f>IF($B1535="",0,IF(COUNTIF(lr_key,$B1535)=0,0,MATCH($B1535,lr_key,0)))</f>
        <v>0</v>
      </c>
      <c r="D1535" s="43">
        <f>IF($C1535=0,0,IF(ISBLANK(INDEX(lr_netp,$C1535)),0,1))</f>
        <v>0</v>
      </c>
      <c r="E1535" s="229">
        <f>IF($D1535=0,0,N(INDEX(lr_netp,$C1535)))</f>
        <v>0</v>
      </c>
      <c r="F1535" s="43">
        <f>IF($C1535=0,0,IF(AND(nr_ModAdjMaster="ON",INDEX(lr_modadj,$C1535)="ON"),1,0))</f>
        <v>0</v>
      </c>
      <c r="G1535" s="220">
        <f>IF($C1535=0,1,IF(N(INDEX(lr_mind,$C1535))=0,1,INDEX(lr_mind,$C1535)))</f>
        <v>1</v>
      </c>
      <c r="H1535" s="220">
        <f>IF($C1535=0,1,IF(N(INDEX(lr_m0,$C1535))=0,1,INDEX(lr_m0,$C1535)))</f>
        <v>1</v>
      </c>
      <c r="I1535" s="278">
        <f>IF($C1535=0,DATE(nr_PlanYear-1,10,1),IF(N(INDEX(lr_m0asof,$C1535))=0,DATE(nr_PlanYear-1,10,1),INDEX(lr_m0asof,$C1535)))</f>
        <v>46296</v>
      </c>
      <c r="J1535" s="220">
        <f>IF($C1535=0,1,IF(N(INDEX(lr_m1,$C1535))=0,1,INDEX(lr_m1,$C1535)))</f>
        <v>1</v>
      </c>
      <c r="K1535" s="220">
        <f>IF($C1535=0,0,N(INDEX(lr_mprior,$C1535)))</f>
        <v>0</v>
      </c>
      <c r="L1535" s="220">
        <f>IF($C1535=0,0,N(INDEX(lr_m2,$C1535)))</f>
        <v>0</v>
      </c>
      <c r="M1535" s="43">
        <f>IF(OR($A1535="",COUNTIF(se_state,$A1535)=0),0,MATCH($A1535,se_state,0))</f>
        <v>0</v>
      </c>
      <c r="N1535" s="279">
        <f>IF($M1535=0,0,INDEX(se_sum,$M1535))</f>
        <v>0</v>
      </c>
      <c r="O1535" s="278">
        <f>IF('Net Delivery'!$D$32="",$X1535,'Net Delivery'!$D$32)</f>
        <v>46478</v>
      </c>
      <c r="P1535" s="43">
        <f>IF(AND($O1535&gt;=DATE(nr_PlanYear,1,1),$O1535&lt;=DATE(nr_PlanYear,12,31)),1,0)</f>
        <v>1</v>
      </c>
      <c r="Q1535" s="43">
        <f>YEAR($O1535)*12+MONTH($O1535)-1</f>
        <v>24327</v>
      </c>
      <c r="R1535" s="43">
        <f>DAY(EOMONTH($O1535,0))</f>
        <v>30</v>
      </c>
      <c r="S1535" s="43">
        <f>EOMONTH($O1535,0)-$O1535+1</f>
        <v>30</v>
      </c>
      <c r="T1535" s="43">
        <f>SUMIFS(ndl_days,rl_key,$B1535,ndl_effmonth,DATE(YEAR($O1535),MONTH($O1535),1),ndl_first,1)</f>
        <v>0</v>
      </c>
      <c r="U1535" s="220">
        <f>IF($P1535=1,MIN(1,MAX($S1535,$T1535)/$R1535),1)</f>
        <v>1</v>
      </c>
      <c r="V1535" s="280" t="str">
        <f>IF(ISBLANK('Net Delivery'!$E$32),$Y1535,'Net Delivery'!$E$32)</f>
        <v/>
      </c>
      <c r="W1535" s="43">
        <f>IF($B1535="",0,COUNTIFS(rl_key,$B1535,rl_status,"planned",rl_eff,"&gt;="&amp;DATE(nr_PlanYear,1,1),rl_eff,"&lt;="&amp;DATE(nr_PlanYear,12,31)))</f>
        <v>0</v>
      </c>
      <c r="X1535" s="278">
        <f>IF($W1535=0,nd_DefaultDate,SUMIFS(rl_eff,rl_key,$B1535,rl_firstplanned,1))</f>
        <v>46478</v>
      </c>
      <c r="Y1535" s="280" t="str">
        <f>IF($W1535=0,"",SUMIFS(rl_reff,rl_key,$B1535,rl_firstplanned,1))</f>
        <v/>
      </c>
      <c r="Z1535" s="280" t="str">
        <f>IF($W1535=0,"",SUMIFS(rl_filed,rl_key,$B1535,rl_firstplanned,1))</f>
        <v/>
      </c>
    </row>
    <row r="1536" spans="1:31" x14ac:dyDescent="0.3">
      <c r="A1536" s="6">
        <f>EDATE($I$1535,-12)+1</f>
        <v>45932</v>
      </c>
      <c r="B1536" s="6">
        <f>$I$1535+1</f>
        <v>46297</v>
      </c>
      <c r="C1536" s="6">
        <f>DATE(nr_PlanYear,12,31)+1</f>
        <v>46753</v>
      </c>
      <c r="D1536" s="6">
        <f>DATE(nr_PlanYear+1,12,31)+1</f>
        <v>47119</v>
      </c>
      <c r="E1536" s="6">
        <f>IF(N($K$1535)=0,$F$1536-($G$1536-$F$1536)/($C$1536-$B$1536)*($B$1536-$A$1536),$K$1535)</f>
        <v>1</v>
      </c>
      <c r="F1536" s="6">
        <f>$H$1535</f>
        <v>1</v>
      </c>
      <c r="G1536" s="6">
        <f>$J$1535</f>
        <v>1</v>
      </c>
      <c r="H1536" s="6">
        <f>IF(N($L$1535)=0,$J$1535,$L$1535)</f>
        <v>1</v>
      </c>
      <c r="I1536" s="6">
        <f>($F$1536-$E$1536)/($B$1536-$A$1536)</f>
        <v>0</v>
      </c>
      <c r="J1536" s="6">
        <f>($G$1536-$F$1536)/($C$1536-$B$1536)</f>
        <v>0</v>
      </c>
      <c r="K1536" s="6">
        <f>($H$1536-$G$1536)/($D$1536-$C$1536)</f>
        <v>0</v>
      </c>
    </row>
    <row r="1537" spans="1:31" ht="36" x14ac:dyDescent="0.3">
      <c r="A1537" s="58" t="s">
        <v>390</v>
      </c>
      <c r="B1537" s="58" t="s">
        <v>449</v>
      </c>
      <c r="C1537" s="58" t="s">
        <v>685</v>
      </c>
      <c r="D1537" s="58" t="s">
        <v>686</v>
      </c>
      <c r="E1537" s="58" t="s">
        <v>687</v>
      </c>
      <c r="F1537" s="58" t="s">
        <v>688</v>
      </c>
      <c r="G1537" s="58" t="s">
        <v>689</v>
      </c>
      <c r="H1537" s="58" t="s">
        <v>452</v>
      </c>
      <c r="I1537" s="58" t="s">
        <v>690</v>
      </c>
      <c r="J1537" s="58" t="s">
        <v>691</v>
      </c>
      <c r="K1537" s="58" t="s">
        <v>692</v>
      </c>
      <c r="L1537" s="58" t="s">
        <v>693</v>
      </c>
      <c r="M1537" s="58" t="s">
        <v>694</v>
      </c>
      <c r="N1537" s="58" t="s">
        <v>695</v>
      </c>
      <c r="O1537" s="58" t="s">
        <v>696</v>
      </c>
      <c r="P1537" s="58" t="s">
        <v>697</v>
      </c>
      <c r="Q1537" s="58" t="s">
        <v>698</v>
      </c>
      <c r="R1537" s="58" t="s">
        <v>699</v>
      </c>
      <c r="S1537" s="58" t="s">
        <v>700</v>
      </c>
      <c r="T1537" s="58" t="s">
        <v>701</v>
      </c>
      <c r="U1537" s="58" t="s">
        <v>702</v>
      </c>
    </row>
    <row r="1538" spans="1:31" x14ac:dyDescent="0.3">
      <c r="A1538" s="187">
        <v>1</v>
      </c>
      <c r="B1538" s="242">
        <f>DATE(nr_PlanYear-2,1,1)</f>
        <v>45658</v>
      </c>
      <c r="C1538" s="243">
        <f t="shared" ref="C1538:C1585" si="652">EOMONTH($B1538,0)</f>
        <v>45688</v>
      </c>
      <c r="D1538" s="120">
        <f t="shared" ref="D1538:D1585" si="653">$C1538-$B1538+1</f>
        <v>31</v>
      </c>
      <c r="E1538" s="120">
        <f t="shared" ref="E1538:E1585" si="654">MONTH($B1538)</f>
        <v>1</v>
      </c>
      <c r="F1538" s="275">
        <f t="shared" ref="F1538:F1585" si="655">($B1538+$C1538+1)/2</f>
        <v>45673.5</v>
      </c>
      <c r="G1538" s="120">
        <f t="shared" ref="G1538:G1585" si="656">YEAR($B1538)*12+MONTH($B1538)-1</f>
        <v>24300</v>
      </c>
      <c r="H1538" s="245">
        <f t="shared" ref="H1538:H1585" si="657">IF(OR(nr_SeasonOn="OFF",$M$1535=0,$N$1535=0),1,12*INDEX(se_block,$M$1535,$E1538)/$N$1535)</f>
        <v>1</v>
      </c>
      <c r="I1538" s="121">
        <f t="shared" ref="I1538:I1585" si="658">EXP(SUMPRODUCT((ndl_eff&lt;$B1538)*(rl_key=$B$1535)*ndl_ln))</f>
        <v>1</v>
      </c>
      <c r="J1538" s="121">
        <f t="shared" ref="J1538:J1585" si="659">EXP(SUMPRODUCT((ndl_eff&lt;=$C1538)*(rl_key=$B$1535)*ndl_ln))</f>
        <v>1</v>
      </c>
      <c r="K1538" s="120">
        <f t="shared" ref="K1538:K1585" si="660">COUNTIFS(rl_key,$B$1535,ndl_eff,"&gt;="&amp;$B1538,ndl_eff,"&lt;="&amp;$C1538)</f>
        <v>0</v>
      </c>
      <c r="L1538" s="120">
        <f t="shared" ref="L1538:L1585" si="661">SUMIFS(ndl_days,rl_key,$B$1535,ndl_effmonth,$B1538,ndl_first,1)</f>
        <v>0</v>
      </c>
      <c r="M1538" s="246">
        <f t="shared" ref="M1538:M1585" si="662">IF($K1538=0,0,MIN(1,$L1538/$D1538))</f>
        <v>0</v>
      </c>
      <c r="N1538" s="121">
        <f t="shared" ref="N1538:N1585" si="663">IF($K1538=0,$J1538,(1-$M1538)*$I1538+$M1538*$J1538)</f>
        <v>1</v>
      </c>
      <c r="O1538" s="246">
        <f t="shared" ref="O1538:O1585" si="664">IF($F1538&lt;$B$1536,$E$1536+$I$1536*($F1538-$A$1536),IF($F1538&lt;$C$1536,$F$1536+$J$1536*($F1538-$B$1536),$G$1536+$K$1536*($F1538-$C$1536)))</f>
        <v>1</v>
      </c>
      <c r="P1538" s="121">
        <f t="shared" ref="P1538:P1585" si="665">MIN(1,MAX(0,(nr_MEndPm1-$G1538+0.5)/nr_TermMonths))-MIN(1,MAX(0,(nr_MStartPm1-1-$G1538+0.5)/nr_TermMonths))</f>
        <v>0</v>
      </c>
      <c r="Q1538" s="121">
        <f t="shared" ref="Q1538:Q1585" si="666">MIN(1,MAX(0,(nr_MEndP-$G1538+0.5)/nr_TermMonths))-MIN(1,MAX(0,(nr_MStartP-1-$G1538+0.5)/nr_TermMonths))</f>
        <v>0</v>
      </c>
      <c r="R1538" s="121">
        <f t="shared" ref="R1538:R1585" si="667">MIN(1,MAX(0,(nr_MEndP1-$G1538+0.5)/nr_TermMonths))-MIN(1,MAX(0,(nr_MStartP1-1-$G1538+0.5)/nr_TermMonths))</f>
        <v>0</v>
      </c>
      <c r="AE1538" s="160">
        <f t="shared" ref="AE1538:AE1585" si="668">IF(OR($G1538&lt;nr_MStartP,$G1538&gt;=nr_MStartP1),IF($F$1535=1,$N1538*$O1538/$G$1535,$N1538),($W1538+$X1538*IF(ISNUMBER($F$1586),$F$1586,0))*IF($F$1535=1,($AC1538+$AB1538*IF(ISNUMBER($H$1586),$H$1586,$J$1535))/$G$1535,1))</f>
        <v>1</v>
      </c>
    </row>
    <row r="1539" spans="1:31" x14ac:dyDescent="0.3">
      <c r="A1539" s="187">
        <v>2</v>
      </c>
      <c r="B1539" s="242">
        <f t="shared" ref="B1539:B1585" si="669">EDATE($B1538,1)</f>
        <v>45689</v>
      </c>
      <c r="C1539" s="243">
        <f t="shared" si="652"/>
        <v>45716</v>
      </c>
      <c r="D1539" s="120">
        <f t="shared" si="653"/>
        <v>28</v>
      </c>
      <c r="E1539" s="120">
        <f t="shared" si="654"/>
        <v>2</v>
      </c>
      <c r="F1539" s="275">
        <f t="shared" si="655"/>
        <v>45703</v>
      </c>
      <c r="G1539" s="120">
        <f t="shared" si="656"/>
        <v>24301</v>
      </c>
      <c r="H1539" s="245">
        <f t="shared" si="657"/>
        <v>1</v>
      </c>
      <c r="I1539" s="121">
        <f t="shared" si="658"/>
        <v>1</v>
      </c>
      <c r="J1539" s="121">
        <f t="shared" si="659"/>
        <v>1</v>
      </c>
      <c r="K1539" s="120">
        <f t="shared" si="660"/>
        <v>0</v>
      </c>
      <c r="L1539" s="120">
        <f t="shared" si="661"/>
        <v>0</v>
      </c>
      <c r="M1539" s="246">
        <f t="shared" si="662"/>
        <v>0</v>
      </c>
      <c r="N1539" s="121">
        <f t="shared" si="663"/>
        <v>1</v>
      </c>
      <c r="O1539" s="246">
        <f t="shared" si="664"/>
        <v>1</v>
      </c>
      <c r="P1539" s="121">
        <f t="shared" si="665"/>
        <v>0</v>
      </c>
      <c r="Q1539" s="121">
        <f t="shared" si="666"/>
        <v>0</v>
      </c>
      <c r="R1539" s="121">
        <f t="shared" si="667"/>
        <v>0</v>
      </c>
      <c r="AE1539" s="160">
        <f t="shared" si="668"/>
        <v>1</v>
      </c>
    </row>
    <row r="1540" spans="1:31" x14ac:dyDescent="0.3">
      <c r="A1540" s="187">
        <v>3</v>
      </c>
      <c r="B1540" s="242">
        <f t="shared" si="669"/>
        <v>45717</v>
      </c>
      <c r="C1540" s="243">
        <f t="shared" si="652"/>
        <v>45747</v>
      </c>
      <c r="D1540" s="120">
        <f t="shared" si="653"/>
        <v>31</v>
      </c>
      <c r="E1540" s="120">
        <f t="shared" si="654"/>
        <v>3</v>
      </c>
      <c r="F1540" s="275">
        <f t="shared" si="655"/>
        <v>45732.5</v>
      </c>
      <c r="G1540" s="120">
        <f t="shared" si="656"/>
        <v>24302</v>
      </c>
      <c r="H1540" s="245">
        <f t="shared" si="657"/>
        <v>1</v>
      </c>
      <c r="I1540" s="121">
        <f t="shared" si="658"/>
        <v>1</v>
      </c>
      <c r="J1540" s="121">
        <f t="shared" si="659"/>
        <v>1</v>
      </c>
      <c r="K1540" s="120">
        <f t="shared" si="660"/>
        <v>0</v>
      </c>
      <c r="L1540" s="120">
        <f t="shared" si="661"/>
        <v>0</v>
      </c>
      <c r="M1540" s="246">
        <f t="shared" si="662"/>
        <v>0</v>
      </c>
      <c r="N1540" s="121">
        <f t="shared" si="663"/>
        <v>1</v>
      </c>
      <c r="O1540" s="246">
        <f t="shared" si="664"/>
        <v>1</v>
      </c>
      <c r="P1540" s="121">
        <f t="shared" si="665"/>
        <v>0</v>
      </c>
      <c r="Q1540" s="121">
        <f t="shared" si="666"/>
        <v>0</v>
      </c>
      <c r="R1540" s="121">
        <f t="shared" si="667"/>
        <v>0</v>
      </c>
      <c r="AE1540" s="160">
        <f t="shared" si="668"/>
        <v>1</v>
      </c>
    </row>
    <row r="1541" spans="1:31" x14ac:dyDescent="0.3">
      <c r="A1541" s="187">
        <v>4</v>
      </c>
      <c r="B1541" s="242">
        <f t="shared" si="669"/>
        <v>45748</v>
      </c>
      <c r="C1541" s="243">
        <f t="shared" si="652"/>
        <v>45777</v>
      </c>
      <c r="D1541" s="120">
        <f t="shared" si="653"/>
        <v>30</v>
      </c>
      <c r="E1541" s="120">
        <f t="shared" si="654"/>
        <v>4</v>
      </c>
      <c r="F1541" s="275">
        <f t="shared" si="655"/>
        <v>45763</v>
      </c>
      <c r="G1541" s="120">
        <f t="shared" si="656"/>
        <v>24303</v>
      </c>
      <c r="H1541" s="245">
        <f t="shared" si="657"/>
        <v>1</v>
      </c>
      <c r="I1541" s="121">
        <f t="shared" si="658"/>
        <v>1</v>
      </c>
      <c r="J1541" s="121">
        <f t="shared" si="659"/>
        <v>1</v>
      </c>
      <c r="K1541" s="120">
        <f t="shared" si="660"/>
        <v>0</v>
      </c>
      <c r="L1541" s="120">
        <f t="shared" si="661"/>
        <v>0</v>
      </c>
      <c r="M1541" s="246">
        <f t="shared" si="662"/>
        <v>0</v>
      </c>
      <c r="N1541" s="121">
        <f t="shared" si="663"/>
        <v>1</v>
      </c>
      <c r="O1541" s="246">
        <f t="shared" si="664"/>
        <v>1</v>
      </c>
      <c r="P1541" s="121">
        <f t="shared" si="665"/>
        <v>0</v>
      </c>
      <c r="Q1541" s="121">
        <f t="shared" si="666"/>
        <v>0</v>
      </c>
      <c r="R1541" s="121">
        <f t="shared" si="667"/>
        <v>0</v>
      </c>
      <c r="AE1541" s="160">
        <f t="shared" si="668"/>
        <v>1</v>
      </c>
    </row>
    <row r="1542" spans="1:31" x14ac:dyDescent="0.3">
      <c r="A1542" s="187">
        <v>5</v>
      </c>
      <c r="B1542" s="242">
        <f t="shared" si="669"/>
        <v>45778</v>
      </c>
      <c r="C1542" s="243">
        <f t="shared" si="652"/>
        <v>45808</v>
      </c>
      <c r="D1542" s="120">
        <f t="shared" si="653"/>
        <v>31</v>
      </c>
      <c r="E1542" s="120">
        <f t="shared" si="654"/>
        <v>5</v>
      </c>
      <c r="F1542" s="275">
        <f t="shared" si="655"/>
        <v>45793.5</v>
      </c>
      <c r="G1542" s="120">
        <f t="shared" si="656"/>
        <v>24304</v>
      </c>
      <c r="H1542" s="245">
        <f t="shared" si="657"/>
        <v>1</v>
      </c>
      <c r="I1542" s="121">
        <f t="shared" si="658"/>
        <v>1</v>
      </c>
      <c r="J1542" s="121">
        <f t="shared" si="659"/>
        <v>1</v>
      </c>
      <c r="K1542" s="120">
        <f t="shared" si="660"/>
        <v>0</v>
      </c>
      <c r="L1542" s="120">
        <f t="shared" si="661"/>
        <v>0</v>
      </c>
      <c r="M1542" s="246">
        <f t="shared" si="662"/>
        <v>0</v>
      </c>
      <c r="N1542" s="121">
        <f t="shared" si="663"/>
        <v>1</v>
      </c>
      <c r="O1542" s="246">
        <f t="shared" si="664"/>
        <v>1</v>
      </c>
      <c r="P1542" s="121">
        <f t="shared" si="665"/>
        <v>0</v>
      </c>
      <c r="Q1542" s="121">
        <f t="shared" si="666"/>
        <v>0</v>
      </c>
      <c r="R1542" s="121">
        <f t="shared" si="667"/>
        <v>0</v>
      </c>
      <c r="AE1542" s="160">
        <f t="shared" si="668"/>
        <v>1</v>
      </c>
    </row>
    <row r="1543" spans="1:31" x14ac:dyDescent="0.3">
      <c r="A1543" s="187">
        <v>6</v>
      </c>
      <c r="B1543" s="242">
        <f t="shared" si="669"/>
        <v>45809</v>
      </c>
      <c r="C1543" s="243">
        <f t="shared" si="652"/>
        <v>45838</v>
      </c>
      <c r="D1543" s="120">
        <f t="shared" si="653"/>
        <v>30</v>
      </c>
      <c r="E1543" s="120">
        <f t="shared" si="654"/>
        <v>6</v>
      </c>
      <c r="F1543" s="275">
        <f t="shared" si="655"/>
        <v>45824</v>
      </c>
      <c r="G1543" s="120">
        <f t="shared" si="656"/>
        <v>24305</v>
      </c>
      <c r="H1543" s="245">
        <f t="shared" si="657"/>
        <v>1</v>
      </c>
      <c r="I1543" s="121">
        <f t="shared" si="658"/>
        <v>1</v>
      </c>
      <c r="J1543" s="121">
        <f t="shared" si="659"/>
        <v>1</v>
      </c>
      <c r="K1543" s="120">
        <f t="shared" si="660"/>
        <v>0</v>
      </c>
      <c r="L1543" s="120">
        <f t="shared" si="661"/>
        <v>0</v>
      </c>
      <c r="M1543" s="246">
        <f t="shared" si="662"/>
        <v>0</v>
      </c>
      <c r="N1543" s="121">
        <f t="shared" si="663"/>
        <v>1</v>
      </c>
      <c r="O1543" s="246">
        <f t="shared" si="664"/>
        <v>1</v>
      </c>
      <c r="P1543" s="121">
        <f t="shared" si="665"/>
        <v>0</v>
      </c>
      <c r="Q1543" s="121">
        <f t="shared" si="666"/>
        <v>0</v>
      </c>
      <c r="R1543" s="121">
        <f t="shared" si="667"/>
        <v>0</v>
      </c>
      <c r="AE1543" s="160">
        <f t="shared" si="668"/>
        <v>1</v>
      </c>
    </row>
    <row r="1544" spans="1:31" x14ac:dyDescent="0.3">
      <c r="A1544" s="187">
        <v>7</v>
      </c>
      <c r="B1544" s="242">
        <f t="shared" si="669"/>
        <v>45839</v>
      </c>
      <c r="C1544" s="243">
        <f t="shared" si="652"/>
        <v>45869</v>
      </c>
      <c r="D1544" s="120">
        <f t="shared" si="653"/>
        <v>31</v>
      </c>
      <c r="E1544" s="120">
        <f t="shared" si="654"/>
        <v>7</v>
      </c>
      <c r="F1544" s="275">
        <f t="shared" si="655"/>
        <v>45854.5</v>
      </c>
      <c r="G1544" s="120">
        <f t="shared" si="656"/>
        <v>24306</v>
      </c>
      <c r="H1544" s="245">
        <f t="shared" si="657"/>
        <v>1</v>
      </c>
      <c r="I1544" s="121">
        <f t="shared" si="658"/>
        <v>1</v>
      </c>
      <c r="J1544" s="121">
        <f t="shared" si="659"/>
        <v>1</v>
      </c>
      <c r="K1544" s="120">
        <f t="shared" si="660"/>
        <v>0</v>
      </c>
      <c r="L1544" s="120">
        <f t="shared" si="661"/>
        <v>0</v>
      </c>
      <c r="M1544" s="246">
        <f t="shared" si="662"/>
        <v>0</v>
      </c>
      <c r="N1544" s="121">
        <f t="shared" si="663"/>
        <v>1</v>
      </c>
      <c r="O1544" s="246">
        <f t="shared" si="664"/>
        <v>1</v>
      </c>
      <c r="P1544" s="121">
        <f t="shared" si="665"/>
        <v>8.333333333333337E-2</v>
      </c>
      <c r="Q1544" s="121">
        <f t="shared" si="666"/>
        <v>0</v>
      </c>
      <c r="R1544" s="121">
        <f t="shared" si="667"/>
        <v>0</v>
      </c>
      <c r="AE1544" s="160">
        <f t="shared" si="668"/>
        <v>1</v>
      </c>
    </row>
    <row r="1545" spans="1:31" x14ac:dyDescent="0.3">
      <c r="A1545" s="187">
        <v>8</v>
      </c>
      <c r="B1545" s="242">
        <f t="shared" si="669"/>
        <v>45870</v>
      </c>
      <c r="C1545" s="243">
        <f t="shared" si="652"/>
        <v>45900</v>
      </c>
      <c r="D1545" s="120">
        <f t="shared" si="653"/>
        <v>31</v>
      </c>
      <c r="E1545" s="120">
        <f t="shared" si="654"/>
        <v>8</v>
      </c>
      <c r="F1545" s="275">
        <f t="shared" si="655"/>
        <v>45885.5</v>
      </c>
      <c r="G1545" s="120">
        <f t="shared" si="656"/>
        <v>24307</v>
      </c>
      <c r="H1545" s="245">
        <f t="shared" si="657"/>
        <v>1</v>
      </c>
      <c r="I1545" s="121">
        <f t="shared" si="658"/>
        <v>1</v>
      </c>
      <c r="J1545" s="121">
        <f t="shared" si="659"/>
        <v>1</v>
      </c>
      <c r="K1545" s="120">
        <f t="shared" si="660"/>
        <v>0</v>
      </c>
      <c r="L1545" s="120">
        <f t="shared" si="661"/>
        <v>0</v>
      </c>
      <c r="M1545" s="246">
        <f t="shared" si="662"/>
        <v>0</v>
      </c>
      <c r="N1545" s="121">
        <f t="shared" si="663"/>
        <v>1</v>
      </c>
      <c r="O1545" s="246">
        <f t="shared" si="664"/>
        <v>1</v>
      </c>
      <c r="P1545" s="121">
        <f t="shared" si="665"/>
        <v>0.25</v>
      </c>
      <c r="Q1545" s="121">
        <f t="shared" si="666"/>
        <v>0</v>
      </c>
      <c r="R1545" s="121">
        <f t="shared" si="667"/>
        <v>0</v>
      </c>
      <c r="AE1545" s="160">
        <f t="shared" si="668"/>
        <v>1</v>
      </c>
    </row>
    <row r="1546" spans="1:31" x14ac:dyDescent="0.3">
      <c r="A1546" s="187">
        <v>9</v>
      </c>
      <c r="B1546" s="242">
        <f t="shared" si="669"/>
        <v>45901</v>
      </c>
      <c r="C1546" s="243">
        <f t="shared" si="652"/>
        <v>45930</v>
      </c>
      <c r="D1546" s="120">
        <f t="shared" si="653"/>
        <v>30</v>
      </c>
      <c r="E1546" s="120">
        <f t="shared" si="654"/>
        <v>9</v>
      </c>
      <c r="F1546" s="275">
        <f t="shared" si="655"/>
        <v>45916</v>
      </c>
      <c r="G1546" s="120">
        <f t="shared" si="656"/>
        <v>24308</v>
      </c>
      <c r="H1546" s="245">
        <f t="shared" si="657"/>
        <v>1</v>
      </c>
      <c r="I1546" s="121">
        <f t="shared" si="658"/>
        <v>1</v>
      </c>
      <c r="J1546" s="121">
        <f t="shared" si="659"/>
        <v>1</v>
      </c>
      <c r="K1546" s="120">
        <f t="shared" si="660"/>
        <v>0</v>
      </c>
      <c r="L1546" s="120">
        <f t="shared" si="661"/>
        <v>0</v>
      </c>
      <c r="M1546" s="246">
        <f t="shared" si="662"/>
        <v>0</v>
      </c>
      <c r="N1546" s="121">
        <f t="shared" si="663"/>
        <v>1</v>
      </c>
      <c r="O1546" s="246">
        <f t="shared" si="664"/>
        <v>1</v>
      </c>
      <c r="P1546" s="121">
        <f t="shared" si="665"/>
        <v>0.41666666666666663</v>
      </c>
      <c r="Q1546" s="121">
        <f t="shared" si="666"/>
        <v>0</v>
      </c>
      <c r="R1546" s="121">
        <f t="shared" si="667"/>
        <v>0</v>
      </c>
      <c r="AE1546" s="160">
        <f t="shared" si="668"/>
        <v>1</v>
      </c>
    </row>
    <row r="1547" spans="1:31" x14ac:dyDescent="0.3">
      <c r="A1547" s="187">
        <v>10</v>
      </c>
      <c r="B1547" s="242">
        <f t="shared" si="669"/>
        <v>45931</v>
      </c>
      <c r="C1547" s="243">
        <f t="shared" si="652"/>
        <v>45961</v>
      </c>
      <c r="D1547" s="120">
        <f t="shared" si="653"/>
        <v>31</v>
      </c>
      <c r="E1547" s="120">
        <f t="shared" si="654"/>
        <v>10</v>
      </c>
      <c r="F1547" s="275">
        <f t="shared" si="655"/>
        <v>45946.5</v>
      </c>
      <c r="G1547" s="120">
        <f t="shared" si="656"/>
        <v>24309</v>
      </c>
      <c r="H1547" s="245">
        <f t="shared" si="657"/>
        <v>1</v>
      </c>
      <c r="I1547" s="121">
        <f t="shared" si="658"/>
        <v>1</v>
      </c>
      <c r="J1547" s="121">
        <f t="shared" si="659"/>
        <v>1</v>
      </c>
      <c r="K1547" s="120">
        <f t="shared" si="660"/>
        <v>0</v>
      </c>
      <c r="L1547" s="120">
        <f t="shared" si="661"/>
        <v>0</v>
      </c>
      <c r="M1547" s="246">
        <f t="shared" si="662"/>
        <v>0</v>
      </c>
      <c r="N1547" s="121">
        <f t="shared" si="663"/>
        <v>1</v>
      </c>
      <c r="O1547" s="246">
        <f t="shared" si="664"/>
        <v>1</v>
      </c>
      <c r="P1547" s="121">
        <f t="shared" si="665"/>
        <v>0.58333333333333326</v>
      </c>
      <c r="Q1547" s="121">
        <f t="shared" si="666"/>
        <v>0</v>
      </c>
      <c r="R1547" s="121">
        <f t="shared" si="667"/>
        <v>0</v>
      </c>
      <c r="AE1547" s="160">
        <f t="shared" si="668"/>
        <v>1</v>
      </c>
    </row>
    <row r="1548" spans="1:31" x14ac:dyDescent="0.3">
      <c r="A1548" s="187">
        <v>11</v>
      </c>
      <c r="B1548" s="242">
        <f t="shared" si="669"/>
        <v>45962</v>
      </c>
      <c r="C1548" s="243">
        <f t="shared" si="652"/>
        <v>45991</v>
      </c>
      <c r="D1548" s="120">
        <f t="shared" si="653"/>
        <v>30</v>
      </c>
      <c r="E1548" s="120">
        <f t="shared" si="654"/>
        <v>11</v>
      </c>
      <c r="F1548" s="275">
        <f t="shared" si="655"/>
        <v>45977</v>
      </c>
      <c r="G1548" s="120">
        <f t="shared" si="656"/>
        <v>24310</v>
      </c>
      <c r="H1548" s="245">
        <f t="shared" si="657"/>
        <v>1</v>
      </c>
      <c r="I1548" s="121">
        <f t="shared" si="658"/>
        <v>1</v>
      </c>
      <c r="J1548" s="121">
        <f t="shared" si="659"/>
        <v>1</v>
      </c>
      <c r="K1548" s="120">
        <f t="shared" si="660"/>
        <v>0</v>
      </c>
      <c r="L1548" s="120">
        <f t="shared" si="661"/>
        <v>0</v>
      </c>
      <c r="M1548" s="246">
        <f t="shared" si="662"/>
        <v>0</v>
      </c>
      <c r="N1548" s="121">
        <f t="shared" si="663"/>
        <v>1</v>
      </c>
      <c r="O1548" s="246">
        <f t="shared" si="664"/>
        <v>1</v>
      </c>
      <c r="P1548" s="121">
        <f t="shared" si="665"/>
        <v>0.75</v>
      </c>
      <c r="Q1548" s="121">
        <f t="shared" si="666"/>
        <v>0</v>
      </c>
      <c r="R1548" s="121">
        <f t="shared" si="667"/>
        <v>0</v>
      </c>
      <c r="AE1548" s="160">
        <f t="shared" si="668"/>
        <v>1</v>
      </c>
    </row>
    <row r="1549" spans="1:31" x14ac:dyDescent="0.3">
      <c r="A1549" s="187">
        <v>12</v>
      </c>
      <c r="B1549" s="242">
        <f t="shared" si="669"/>
        <v>45992</v>
      </c>
      <c r="C1549" s="243">
        <f t="shared" si="652"/>
        <v>46022</v>
      </c>
      <c r="D1549" s="120">
        <f t="shared" si="653"/>
        <v>31</v>
      </c>
      <c r="E1549" s="120">
        <f t="shared" si="654"/>
        <v>12</v>
      </c>
      <c r="F1549" s="275">
        <f t="shared" si="655"/>
        <v>46007.5</v>
      </c>
      <c r="G1549" s="120">
        <f t="shared" si="656"/>
        <v>24311</v>
      </c>
      <c r="H1549" s="245">
        <f t="shared" si="657"/>
        <v>1</v>
      </c>
      <c r="I1549" s="121">
        <f t="shared" si="658"/>
        <v>1</v>
      </c>
      <c r="J1549" s="121">
        <f t="shared" si="659"/>
        <v>1</v>
      </c>
      <c r="K1549" s="120">
        <f t="shared" si="660"/>
        <v>0</v>
      </c>
      <c r="L1549" s="120">
        <f t="shared" si="661"/>
        <v>0</v>
      </c>
      <c r="M1549" s="246">
        <f t="shared" si="662"/>
        <v>0</v>
      </c>
      <c r="N1549" s="121">
        <f t="shared" si="663"/>
        <v>1</v>
      </c>
      <c r="O1549" s="246">
        <f t="shared" si="664"/>
        <v>1</v>
      </c>
      <c r="P1549" s="121">
        <f t="shared" si="665"/>
        <v>0.91666666666666663</v>
      </c>
      <c r="Q1549" s="121">
        <f t="shared" si="666"/>
        <v>0</v>
      </c>
      <c r="R1549" s="121">
        <f t="shared" si="667"/>
        <v>0</v>
      </c>
      <c r="AE1549" s="160">
        <f t="shared" si="668"/>
        <v>1</v>
      </c>
    </row>
    <row r="1550" spans="1:31" x14ac:dyDescent="0.3">
      <c r="A1550" s="187">
        <v>13</v>
      </c>
      <c r="B1550" s="242">
        <f t="shared" si="669"/>
        <v>46023</v>
      </c>
      <c r="C1550" s="243">
        <f t="shared" si="652"/>
        <v>46053</v>
      </c>
      <c r="D1550" s="120">
        <f t="shared" si="653"/>
        <v>31</v>
      </c>
      <c r="E1550" s="120">
        <f t="shared" si="654"/>
        <v>1</v>
      </c>
      <c r="F1550" s="275">
        <f t="shared" si="655"/>
        <v>46038.5</v>
      </c>
      <c r="G1550" s="120">
        <f t="shared" si="656"/>
        <v>24312</v>
      </c>
      <c r="H1550" s="245">
        <f t="shared" si="657"/>
        <v>1</v>
      </c>
      <c r="I1550" s="121">
        <f t="shared" si="658"/>
        <v>1</v>
      </c>
      <c r="J1550" s="121">
        <f t="shared" si="659"/>
        <v>1</v>
      </c>
      <c r="K1550" s="120">
        <f t="shared" si="660"/>
        <v>0</v>
      </c>
      <c r="L1550" s="120">
        <f t="shared" si="661"/>
        <v>0</v>
      </c>
      <c r="M1550" s="246">
        <f t="shared" si="662"/>
        <v>0</v>
      </c>
      <c r="N1550" s="121">
        <f t="shared" si="663"/>
        <v>1</v>
      </c>
      <c r="O1550" s="246">
        <f t="shared" si="664"/>
        <v>1</v>
      </c>
      <c r="P1550" s="121">
        <f t="shared" si="665"/>
        <v>1</v>
      </c>
      <c r="Q1550" s="121">
        <f t="shared" si="666"/>
        <v>0</v>
      </c>
      <c r="R1550" s="121">
        <f t="shared" si="667"/>
        <v>0</v>
      </c>
      <c r="AE1550" s="160">
        <f t="shared" si="668"/>
        <v>1</v>
      </c>
    </row>
    <row r="1551" spans="1:31" x14ac:dyDescent="0.3">
      <c r="A1551" s="187">
        <v>14</v>
      </c>
      <c r="B1551" s="242">
        <f t="shared" si="669"/>
        <v>46054</v>
      </c>
      <c r="C1551" s="243">
        <f t="shared" si="652"/>
        <v>46081</v>
      </c>
      <c r="D1551" s="120">
        <f t="shared" si="653"/>
        <v>28</v>
      </c>
      <c r="E1551" s="120">
        <f t="shared" si="654"/>
        <v>2</v>
      </c>
      <c r="F1551" s="275">
        <f t="shared" si="655"/>
        <v>46068</v>
      </c>
      <c r="G1551" s="120">
        <f t="shared" si="656"/>
        <v>24313</v>
      </c>
      <c r="H1551" s="245">
        <f t="shared" si="657"/>
        <v>1</v>
      </c>
      <c r="I1551" s="121">
        <f t="shared" si="658"/>
        <v>1</v>
      </c>
      <c r="J1551" s="121">
        <f t="shared" si="659"/>
        <v>1</v>
      </c>
      <c r="K1551" s="120">
        <f t="shared" si="660"/>
        <v>0</v>
      </c>
      <c r="L1551" s="120">
        <f t="shared" si="661"/>
        <v>0</v>
      </c>
      <c r="M1551" s="246">
        <f t="shared" si="662"/>
        <v>0</v>
      </c>
      <c r="N1551" s="121">
        <f t="shared" si="663"/>
        <v>1</v>
      </c>
      <c r="O1551" s="246">
        <f t="shared" si="664"/>
        <v>1</v>
      </c>
      <c r="P1551" s="121">
        <f t="shared" si="665"/>
        <v>1</v>
      </c>
      <c r="Q1551" s="121">
        <f t="shared" si="666"/>
        <v>0</v>
      </c>
      <c r="R1551" s="121">
        <f t="shared" si="667"/>
        <v>0</v>
      </c>
      <c r="AE1551" s="160">
        <f t="shared" si="668"/>
        <v>1</v>
      </c>
    </row>
    <row r="1552" spans="1:31" x14ac:dyDescent="0.3">
      <c r="A1552" s="187">
        <v>15</v>
      </c>
      <c r="B1552" s="242">
        <f t="shared" si="669"/>
        <v>46082</v>
      </c>
      <c r="C1552" s="243">
        <f t="shared" si="652"/>
        <v>46112</v>
      </c>
      <c r="D1552" s="120">
        <f t="shared" si="653"/>
        <v>31</v>
      </c>
      <c r="E1552" s="120">
        <f t="shared" si="654"/>
        <v>3</v>
      </c>
      <c r="F1552" s="275">
        <f t="shared" si="655"/>
        <v>46097.5</v>
      </c>
      <c r="G1552" s="120">
        <f t="shared" si="656"/>
        <v>24314</v>
      </c>
      <c r="H1552" s="245">
        <f t="shared" si="657"/>
        <v>1</v>
      </c>
      <c r="I1552" s="121">
        <f t="shared" si="658"/>
        <v>1</v>
      </c>
      <c r="J1552" s="121">
        <f t="shared" si="659"/>
        <v>1</v>
      </c>
      <c r="K1552" s="120">
        <f t="shared" si="660"/>
        <v>0</v>
      </c>
      <c r="L1552" s="120">
        <f t="shared" si="661"/>
        <v>0</v>
      </c>
      <c r="M1552" s="246">
        <f t="shared" si="662"/>
        <v>0</v>
      </c>
      <c r="N1552" s="121">
        <f t="shared" si="663"/>
        <v>1</v>
      </c>
      <c r="O1552" s="246">
        <f t="shared" si="664"/>
        <v>1</v>
      </c>
      <c r="P1552" s="121">
        <f t="shared" si="665"/>
        <v>1</v>
      </c>
      <c r="Q1552" s="121">
        <f t="shared" si="666"/>
        <v>0</v>
      </c>
      <c r="R1552" s="121">
        <f t="shared" si="667"/>
        <v>0</v>
      </c>
      <c r="AE1552" s="160">
        <f t="shared" si="668"/>
        <v>1</v>
      </c>
    </row>
    <row r="1553" spans="1:35" x14ac:dyDescent="0.3">
      <c r="A1553" s="187">
        <v>16</v>
      </c>
      <c r="B1553" s="242">
        <f t="shared" si="669"/>
        <v>46113</v>
      </c>
      <c r="C1553" s="243">
        <f t="shared" si="652"/>
        <v>46142</v>
      </c>
      <c r="D1553" s="120">
        <f t="shared" si="653"/>
        <v>30</v>
      </c>
      <c r="E1553" s="120">
        <f t="shared" si="654"/>
        <v>4</v>
      </c>
      <c r="F1553" s="275">
        <f t="shared" si="655"/>
        <v>46128</v>
      </c>
      <c r="G1553" s="120">
        <f t="shared" si="656"/>
        <v>24315</v>
      </c>
      <c r="H1553" s="245">
        <f t="shared" si="657"/>
        <v>1</v>
      </c>
      <c r="I1553" s="121">
        <f t="shared" si="658"/>
        <v>1</v>
      </c>
      <c r="J1553" s="121">
        <f t="shared" si="659"/>
        <v>1</v>
      </c>
      <c r="K1553" s="120">
        <f t="shared" si="660"/>
        <v>0</v>
      </c>
      <c r="L1553" s="120">
        <f t="shared" si="661"/>
        <v>0</v>
      </c>
      <c r="M1553" s="246">
        <f t="shared" si="662"/>
        <v>0</v>
      </c>
      <c r="N1553" s="121">
        <f t="shared" si="663"/>
        <v>1</v>
      </c>
      <c r="O1553" s="246">
        <f t="shared" si="664"/>
        <v>1</v>
      </c>
      <c r="P1553" s="121">
        <f t="shared" si="665"/>
        <v>1</v>
      </c>
      <c r="Q1553" s="121">
        <f t="shared" si="666"/>
        <v>0</v>
      </c>
      <c r="R1553" s="121">
        <f t="shared" si="667"/>
        <v>0</v>
      </c>
      <c r="AE1553" s="160">
        <f t="shared" si="668"/>
        <v>1</v>
      </c>
    </row>
    <row r="1554" spans="1:35" x14ac:dyDescent="0.3">
      <c r="A1554" s="187">
        <v>17</v>
      </c>
      <c r="B1554" s="242">
        <f t="shared" si="669"/>
        <v>46143</v>
      </c>
      <c r="C1554" s="243">
        <f t="shared" si="652"/>
        <v>46173</v>
      </c>
      <c r="D1554" s="120">
        <f t="shared" si="653"/>
        <v>31</v>
      </c>
      <c r="E1554" s="120">
        <f t="shared" si="654"/>
        <v>5</v>
      </c>
      <c r="F1554" s="275">
        <f t="shared" si="655"/>
        <v>46158.5</v>
      </c>
      <c r="G1554" s="120">
        <f t="shared" si="656"/>
        <v>24316</v>
      </c>
      <c r="H1554" s="245">
        <f t="shared" si="657"/>
        <v>1</v>
      </c>
      <c r="I1554" s="121">
        <f t="shared" si="658"/>
        <v>1</v>
      </c>
      <c r="J1554" s="121">
        <f t="shared" si="659"/>
        <v>1</v>
      </c>
      <c r="K1554" s="120">
        <f t="shared" si="660"/>
        <v>0</v>
      </c>
      <c r="L1554" s="120">
        <f t="shared" si="661"/>
        <v>0</v>
      </c>
      <c r="M1554" s="246">
        <f t="shared" si="662"/>
        <v>0</v>
      </c>
      <c r="N1554" s="121">
        <f t="shared" si="663"/>
        <v>1</v>
      </c>
      <c r="O1554" s="246">
        <f t="shared" si="664"/>
        <v>1</v>
      </c>
      <c r="P1554" s="121">
        <f t="shared" si="665"/>
        <v>1</v>
      </c>
      <c r="Q1554" s="121">
        <f t="shared" si="666"/>
        <v>0</v>
      </c>
      <c r="R1554" s="121">
        <f t="shared" si="667"/>
        <v>0</v>
      </c>
      <c r="AE1554" s="160">
        <f t="shared" si="668"/>
        <v>1</v>
      </c>
    </row>
    <row r="1555" spans="1:35" x14ac:dyDescent="0.3">
      <c r="A1555" s="187">
        <v>18</v>
      </c>
      <c r="B1555" s="242">
        <f t="shared" si="669"/>
        <v>46174</v>
      </c>
      <c r="C1555" s="243">
        <f t="shared" si="652"/>
        <v>46203</v>
      </c>
      <c r="D1555" s="120">
        <f t="shared" si="653"/>
        <v>30</v>
      </c>
      <c r="E1555" s="120">
        <f t="shared" si="654"/>
        <v>6</v>
      </c>
      <c r="F1555" s="275">
        <f t="shared" si="655"/>
        <v>46189</v>
      </c>
      <c r="G1555" s="120">
        <f t="shared" si="656"/>
        <v>24317</v>
      </c>
      <c r="H1555" s="245">
        <f t="shared" si="657"/>
        <v>1</v>
      </c>
      <c r="I1555" s="121">
        <f t="shared" si="658"/>
        <v>1</v>
      </c>
      <c r="J1555" s="121">
        <f t="shared" si="659"/>
        <v>1</v>
      </c>
      <c r="K1555" s="120">
        <f t="shared" si="660"/>
        <v>0</v>
      </c>
      <c r="L1555" s="120">
        <f t="shared" si="661"/>
        <v>0</v>
      </c>
      <c r="M1555" s="246">
        <f t="shared" si="662"/>
        <v>0</v>
      </c>
      <c r="N1555" s="121">
        <f t="shared" si="663"/>
        <v>1</v>
      </c>
      <c r="O1555" s="246">
        <f t="shared" si="664"/>
        <v>1</v>
      </c>
      <c r="P1555" s="121">
        <f t="shared" si="665"/>
        <v>1</v>
      </c>
      <c r="Q1555" s="121">
        <f t="shared" si="666"/>
        <v>0</v>
      </c>
      <c r="R1555" s="121">
        <f t="shared" si="667"/>
        <v>0</v>
      </c>
      <c r="AE1555" s="160">
        <f t="shared" si="668"/>
        <v>1</v>
      </c>
    </row>
    <row r="1556" spans="1:35" x14ac:dyDescent="0.3">
      <c r="A1556" s="187">
        <v>19</v>
      </c>
      <c r="B1556" s="242">
        <f t="shared" si="669"/>
        <v>46204</v>
      </c>
      <c r="C1556" s="243">
        <f t="shared" si="652"/>
        <v>46234</v>
      </c>
      <c r="D1556" s="120">
        <f t="shared" si="653"/>
        <v>31</v>
      </c>
      <c r="E1556" s="120">
        <f t="shared" si="654"/>
        <v>7</v>
      </c>
      <c r="F1556" s="275">
        <f t="shared" si="655"/>
        <v>46219.5</v>
      </c>
      <c r="G1556" s="120">
        <f t="shared" si="656"/>
        <v>24318</v>
      </c>
      <c r="H1556" s="245">
        <f t="shared" si="657"/>
        <v>1</v>
      </c>
      <c r="I1556" s="121">
        <f t="shared" si="658"/>
        <v>1</v>
      </c>
      <c r="J1556" s="121">
        <f t="shared" si="659"/>
        <v>1</v>
      </c>
      <c r="K1556" s="120">
        <f t="shared" si="660"/>
        <v>0</v>
      </c>
      <c r="L1556" s="120">
        <f t="shared" si="661"/>
        <v>0</v>
      </c>
      <c r="M1556" s="246">
        <f t="shared" si="662"/>
        <v>0</v>
      </c>
      <c r="N1556" s="121">
        <f t="shared" si="663"/>
        <v>1</v>
      </c>
      <c r="O1556" s="246">
        <f t="shared" si="664"/>
        <v>1</v>
      </c>
      <c r="P1556" s="121">
        <f t="shared" si="665"/>
        <v>0.91666666666666663</v>
      </c>
      <c r="Q1556" s="121">
        <f t="shared" si="666"/>
        <v>8.333333333333337E-2</v>
      </c>
      <c r="R1556" s="121">
        <f t="shared" si="667"/>
        <v>0</v>
      </c>
      <c r="AE1556" s="160">
        <f t="shared" si="668"/>
        <v>1</v>
      </c>
    </row>
    <row r="1557" spans="1:35" x14ac:dyDescent="0.3">
      <c r="A1557" s="187">
        <v>20</v>
      </c>
      <c r="B1557" s="242">
        <f t="shared" si="669"/>
        <v>46235</v>
      </c>
      <c r="C1557" s="243">
        <f t="shared" si="652"/>
        <v>46265</v>
      </c>
      <c r="D1557" s="120">
        <f t="shared" si="653"/>
        <v>31</v>
      </c>
      <c r="E1557" s="120">
        <f t="shared" si="654"/>
        <v>8</v>
      </c>
      <c r="F1557" s="275">
        <f t="shared" si="655"/>
        <v>46250.5</v>
      </c>
      <c r="G1557" s="120">
        <f t="shared" si="656"/>
        <v>24319</v>
      </c>
      <c r="H1557" s="245">
        <f t="shared" si="657"/>
        <v>1</v>
      </c>
      <c r="I1557" s="121">
        <f t="shared" si="658"/>
        <v>1</v>
      </c>
      <c r="J1557" s="121">
        <f t="shared" si="659"/>
        <v>1</v>
      </c>
      <c r="K1557" s="120">
        <f t="shared" si="660"/>
        <v>0</v>
      </c>
      <c r="L1557" s="120">
        <f t="shared" si="661"/>
        <v>0</v>
      </c>
      <c r="M1557" s="246">
        <f t="shared" si="662"/>
        <v>0</v>
      </c>
      <c r="N1557" s="121">
        <f t="shared" si="663"/>
        <v>1</v>
      </c>
      <c r="O1557" s="246">
        <f t="shared" si="664"/>
        <v>1</v>
      </c>
      <c r="P1557" s="121">
        <f t="shared" si="665"/>
        <v>0.75</v>
      </c>
      <c r="Q1557" s="121">
        <f t="shared" si="666"/>
        <v>0.25</v>
      </c>
      <c r="R1557" s="121">
        <f t="shared" si="667"/>
        <v>0</v>
      </c>
      <c r="AE1557" s="160">
        <f t="shared" si="668"/>
        <v>1</v>
      </c>
    </row>
    <row r="1558" spans="1:35" x14ac:dyDescent="0.3">
      <c r="A1558" s="187">
        <v>21</v>
      </c>
      <c r="B1558" s="242">
        <f t="shared" si="669"/>
        <v>46266</v>
      </c>
      <c r="C1558" s="243">
        <f t="shared" si="652"/>
        <v>46295</v>
      </c>
      <c r="D1558" s="120">
        <f t="shared" si="653"/>
        <v>30</v>
      </c>
      <c r="E1558" s="120">
        <f t="shared" si="654"/>
        <v>9</v>
      </c>
      <c r="F1558" s="275">
        <f t="shared" si="655"/>
        <v>46281</v>
      </c>
      <c r="G1558" s="120">
        <f t="shared" si="656"/>
        <v>24320</v>
      </c>
      <c r="H1558" s="245">
        <f t="shared" si="657"/>
        <v>1</v>
      </c>
      <c r="I1558" s="121">
        <f t="shared" si="658"/>
        <v>1</v>
      </c>
      <c r="J1558" s="121">
        <f t="shared" si="659"/>
        <v>1</v>
      </c>
      <c r="K1558" s="120">
        <f t="shared" si="660"/>
        <v>0</v>
      </c>
      <c r="L1558" s="120">
        <f t="shared" si="661"/>
        <v>0</v>
      </c>
      <c r="M1558" s="246">
        <f t="shared" si="662"/>
        <v>0</v>
      </c>
      <c r="N1558" s="121">
        <f t="shared" si="663"/>
        <v>1</v>
      </c>
      <c r="O1558" s="246">
        <f t="shared" si="664"/>
        <v>1</v>
      </c>
      <c r="P1558" s="121">
        <f t="shared" si="665"/>
        <v>0.58333333333333337</v>
      </c>
      <c r="Q1558" s="121">
        <f t="shared" si="666"/>
        <v>0.41666666666666663</v>
      </c>
      <c r="R1558" s="121">
        <f t="shared" si="667"/>
        <v>0</v>
      </c>
      <c r="AE1558" s="160">
        <f t="shared" si="668"/>
        <v>1</v>
      </c>
    </row>
    <row r="1559" spans="1:35" x14ac:dyDescent="0.3">
      <c r="A1559" s="187">
        <v>22</v>
      </c>
      <c r="B1559" s="242">
        <f t="shared" si="669"/>
        <v>46296</v>
      </c>
      <c r="C1559" s="243">
        <f t="shared" si="652"/>
        <v>46326</v>
      </c>
      <c r="D1559" s="120">
        <f t="shared" si="653"/>
        <v>31</v>
      </c>
      <c r="E1559" s="120">
        <f t="shared" si="654"/>
        <v>10</v>
      </c>
      <c r="F1559" s="275">
        <f t="shared" si="655"/>
        <v>46311.5</v>
      </c>
      <c r="G1559" s="120">
        <f t="shared" si="656"/>
        <v>24321</v>
      </c>
      <c r="H1559" s="245">
        <f t="shared" si="657"/>
        <v>1</v>
      </c>
      <c r="I1559" s="121">
        <f t="shared" si="658"/>
        <v>1</v>
      </c>
      <c r="J1559" s="121">
        <f t="shared" si="659"/>
        <v>1</v>
      </c>
      <c r="K1559" s="120">
        <f t="shared" si="660"/>
        <v>0</v>
      </c>
      <c r="L1559" s="120">
        <f t="shared" si="661"/>
        <v>0</v>
      </c>
      <c r="M1559" s="246">
        <f t="shared" si="662"/>
        <v>0</v>
      </c>
      <c r="N1559" s="121">
        <f t="shared" si="663"/>
        <v>1</v>
      </c>
      <c r="O1559" s="246">
        <f t="shared" si="664"/>
        <v>1</v>
      </c>
      <c r="P1559" s="121">
        <f t="shared" si="665"/>
        <v>0.41666666666666669</v>
      </c>
      <c r="Q1559" s="121">
        <f t="shared" si="666"/>
        <v>0.58333333333333326</v>
      </c>
      <c r="R1559" s="121">
        <f t="shared" si="667"/>
        <v>0</v>
      </c>
      <c r="AE1559" s="160">
        <f t="shared" si="668"/>
        <v>1</v>
      </c>
    </row>
    <row r="1560" spans="1:35" x14ac:dyDescent="0.3">
      <c r="A1560" s="187">
        <v>23</v>
      </c>
      <c r="B1560" s="242">
        <f t="shared" si="669"/>
        <v>46327</v>
      </c>
      <c r="C1560" s="243">
        <f t="shared" si="652"/>
        <v>46356</v>
      </c>
      <c r="D1560" s="120">
        <f t="shared" si="653"/>
        <v>30</v>
      </c>
      <c r="E1560" s="120">
        <f t="shared" si="654"/>
        <v>11</v>
      </c>
      <c r="F1560" s="275">
        <f t="shared" si="655"/>
        <v>46342</v>
      </c>
      <c r="G1560" s="120">
        <f t="shared" si="656"/>
        <v>24322</v>
      </c>
      <c r="H1560" s="245">
        <f t="shared" si="657"/>
        <v>1</v>
      </c>
      <c r="I1560" s="121">
        <f t="shared" si="658"/>
        <v>1</v>
      </c>
      <c r="J1560" s="121">
        <f t="shared" si="659"/>
        <v>1</v>
      </c>
      <c r="K1560" s="120">
        <f t="shared" si="660"/>
        <v>0</v>
      </c>
      <c r="L1560" s="120">
        <f t="shared" si="661"/>
        <v>0</v>
      </c>
      <c r="M1560" s="246">
        <f t="shared" si="662"/>
        <v>0</v>
      </c>
      <c r="N1560" s="121">
        <f t="shared" si="663"/>
        <v>1</v>
      </c>
      <c r="O1560" s="246">
        <f t="shared" si="664"/>
        <v>1</v>
      </c>
      <c r="P1560" s="121">
        <f t="shared" si="665"/>
        <v>0.25</v>
      </c>
      <c r="Q1560" s="121">
        <f t="shared" si="666"/>
        <v>0.75</v>
      </c>
      <c r="R1560" s="121">
        <f t="shared" si="667"/>
        <v>0</v>
      </c>
      <c r="AE1560" s="160">
        <f t="shared" si="668"/>
        <v>1</v>
      </c>
    </row>
    <row r="1561" spans="1:35" x14ac:dyDescent="0.3">
      <c r="A1561" s="187">
        <v>24</v>
      </c>
      <c r="B1561" s="242">
        <f t="shared" si="669"/>
        <v>46357</v>
      </c>
      <c r="C1561" s="243">
        <f t="shared" si="652"/>
        <v>46387</v>
      </c>
      <c r="D1561" s="120">
        <f t="shared" si="653"/>
        <v>31</v>
      </c>
      <c r="E1561" s="120">
        <f t="shared" si="654"/>
        <v>12</v>
      </c>
      <c r="F1561" s="275">
        <f t="shared" si="655"/>
        <v>46372.5</v>
      </c>
      <c r="G1561" s="120">
        <f t="shared" si="656"/>
        <v>24323</v>
      </c>
      <c r="H1561" s="245">
        <f t="shared" si="657"/>
        <v>1</v>
      </c>
      <c r="I1561" s="121">
        <f t="shared" si="658"/>
        <v>1</v>
      </c>
      <c r="J1561" s="121">
        <f t="shared" si="659"/>
        <v>1</v>
      </c>
      <c r="K1561" s="120">
        <f t="shared" si="660"/>
        <v>0</v>
      </c>
      <c r="L1561" s="120">
        <f t="shared" si="661"/>
        <v>0</v>
      </c>
      <c r="M1561" s="246">
        <f t="shared" si="662"/>
        <v>0</v>
      </c>
      <c r="N1561" s="121">
        <f t="shared" si="663"/>
        <v>1</v>
      </c>
      <c r="O1561" s="246">
        <f t="shared" si="664"/>
        <v>1</v>
      </c>
      <c r="P1561" s="121">
        <f t="shared" si="665"/>
        <v>8.3333333333333329E-2</v>
      </c>
      <c r="Q1561" s="121">
        <f t="shared" si="666"/>
        <v>0.91666666666666663</v>
      </c>
      <c r="R1561" s="121">
        <f t="shared" si="667"/>
        <v>0</v>
      </c>
      <c r="AE1561" s="160">
        <f t="shared" si="668"/>
        <v>1</v>
      </c>
    </row>
    <row r="1562" spans="1:35" x14ac:dyDescent="0.3">
      <c r="A1562" s="187">
        <v>25</v>
      </c>
      <c r="B1562" s="242">
        <f t="shared" si="669"/>
        <v>46388</v>
      </c>
      <c r="C1562" s="243">
        <f t="shared" si="652"/>
        <v>46418</v>
      </c>
      <c r="D1562" s="120">
        <f t="shared" si="653"/>
        <v>31</v>
      </c>
      <c r="E1562" s="120">
        <f t="shared" si="654"/>
        <v>1</v>
      </c>
      <c r="F1562" s="275">
        <f t="shared" si="655"/>
        <v>46403.5</v>
      </c>
      <c r="G1562" s="120">
        <f t="shared" si="656"/>
        <v>24324</v>
      </c>
      <c r="H1562" s="245">
        <f t="shared" si="657"/>
        <v>1</v>
      </c>
      <c r="I1562" s="121">
        <f t="shared" si="658"/>
        <v>1</v>
      </c>
      <c r="J1562" s="121">
        <f t="shared" si="659"/>
        <v>1</v>
      </c>
      <c r="K1562" s="120">
        <f t="shared" si="660"/>
        <v>0</v>
      </c>
      <c r="L1562" s="120">
        <f t="shared" si="661"/>
        <v>0</v>
      </c>
      <c r="M1562" s="246">
        <f t="shared" si="662"/>
        <v>0</v>
      </c>
      <c r="N1562" s="121">
        <f t="shared" si="663"/>
        <v>1</v>
      </c>
      <c r="O1562" s="246">
        <f t="shared" si="664"/>
        <v>1</v>
      </c>
      <c r="P1562" s="121">
        <f t="shared" si="665"/>
        <v>0</v>
      </c>
      <c r="Q1562" s="121">
        <f t="shared" si="666"/>
        <v>1</v>
      </c>
      <c r="R1562" s="121">
        <f t="shared" si="667"/>
        <v>0</v>
      </c>
      <c r="W1562" s="160">
        <f t="shared" ref="W1562:W1573" si="670">IF($G1562&lt;&gt;$Q$1535,$N1562,(1-$U$1535)*$I1562+$U$1535*$J1562)</f>
        <v>1</v>
      </c>
      <c r="X1562" s="160">
        <f t="shared" ref="X1562:X1573" si="671">IF($G1562&lt;$Q$1535,0,IF($G1562&gt;$Q$1535,$N1562,$U$1535*$J1562))</f>
        <v>0</v>
      </c>
      <c r="Y1562" s="160">
        <f t="shared" ref="Y1562:Y1573" si="672">IF($F$1535=1,$O1562/$O1550,1)</f>
        <v>1</v>
      </c>
      <c r="AB1562" s="160">
        <f t="shared" ref="AB1562:AB1573" si="673">IF(AND(N($K$1535)&lt;&gt;0,$F1562&lt;=$B$1536),0,($F1562-$B$1536)/($C$1536-$B$1536))</f>
        <v>0.23355263157894737</v>
      </c>
      <c r="AC1562" s="220">
        <f t="shared" ref="AC1562:AC1573" si="674">IF(AND(N($K$1535)&lt;&gt;0,$F1562&lt;=$B$1536),$O1562,$F$1536*(1-$AB1562))</f>
        <v>0.76644736842105265</v>
      </c>
      <c r="AD1562" s="160">
        <f t="shared" ref="AD1562:AD1573" si="675">$H1562*($W1562+$X1562*IF(ISNUMBER($F$1586),$F$1586,0))/($N1550*$O1550)</f>
        <v>1</v>
      </c>
      <c r="AE1562" s="160">
        <f t="shared" si="668"/>
        <v>1</v>
      </c>
      <c r="AF1562" s="220">
        <f t="shared" ref="AF1562:AF1573" si="676">IF($G1562&lt;$Q$1535,0,IF($G1562&gt;$Q$1535,1,$U$1535))</f>
        <v>0</v>
      </c>
      <c r="AG1562" s="183" t="str">
        <f t="shared" ref="AG1562:AG1573" si="677">IF(OR($D$1535=0,$P$1535=0),"",($W1562+$X1562*IF(ISNUMBER($F$1586),$F$1586,0))/$N1550-1)</f>
        <v/>
      </c>
      <c r="AH1562" s="183" t="str">
        <f t="shared" ref="AH1562:AH1573" si="678">IF(OR($AG1562="",$F$1535=0),"",(1+$E$1535)/(1+$AG1562)-1)</f>
        <v/>
      </c>
      <c r="AI1562" s="220" t="str">
        <f t="shared" ref="AI1562:AI1573" si="679">IF($AH1562="","",$O1550*(1+$E$1535)/(1+$AG1562))</f>
        <v/>
      </c>
    </row>
    <row r="1563" spans="1:35" x14ac:dyDescent="0.3">
      <c r="A1563" s="187">
        <v>26</v>
      </c>
      <c r="B1563" s="242">
        <f t="shared" si="669"/>
        <v>46419</v>
      </c>
      <c r="C1563" s="243">
        <f t="shared" si="652"/>
        <v>46446</v>
      </c>
      <c r="D1563" s="120">
        <f t="shared" si="653"/>
        <v>28</v>
      </c>
      <c r="E1563" s="120">
        <f t="shared" si="654"/>
        <v>2</v>
      </c>
      <c r="F1563" s="275">
        <f t="shared" si="655"/>
        <v>46433</v>
      </c>
      <c r="G1563" s="120">
        <f t="shared" si="656"/>
        <v>24325</v>
      </c>
      <c r="H1563" s="245">
        <f t="shared" si="657"/>
        <v>1</v>
      </c>
      <c r="I1563" s="121">
        <f t="shared" si="658"/>
        <v>1</v>
      </c>
      <c r="J1563" s="121">
        <f t="shared" si="659"/>
        <v>1</v>
      </c>
      <c r="K1563" s="120">
        <f t="shared" si="660"/>
        <v>0</v>
      </c>
      <c r="L1563" s="120">
        <f t="shared" si="661"/>
        <v>0</v>
      </c>
      <c r="M1563" s="246">
        <f t="shared" si="662"/>
        <v>0</v>
      </c>
      <c r="N1563" s="121">
        <f t="shared" si="663"/>
        <v>1</v>
      </c>
      <c r="O1563" s="246">
        <f t="shared" si="664"/>
        <v>1</v>
      </c>
      <c r="P1563" s="121">
        <f t="shared" si="665"/>
        <v>0</v>
      </c>
      <c r="Q1563" s="121">
        <f t="shared" si="666"/>
        <v>1</v>
      </c>
      <c r="R1563" s="121">
        <f t="shared" si="667"/>
        <v>0</v>
      </c>
      <c r="W1563" s="160">
        <f t="shared" si="670"/>
        <v>1</v>
      </c>
      <c r="X1563" s="160">
        <f t="shared" si="671"/>
        <v>0</v>
      </c>
      <c r="Y1563" s="160">
        <f t="shared" si="672"/>
        <v>1</v>
      </c>
      <c r="AB1563" s="160">
        <f t="shared" si="673"/>
        <v>0.2982456140350877</v>
      </c>
      <c r="AC1563" s="220">
        <f t="shared" si="674"/>
        <v>0.70175438596491224</v>
      </c>
      <c r="AD1563" s="160">
        <f t="shared" si="675"/>
        <v>1</v>
      </c>
      <c r="AE1563" s="160">
        <f t="shared" si="668"/>
        <v>1</v>
      </c>
      <c r="AF1563" s="220">
        <f t="shared" si="676"/>
        <v>0</v>
      </c>
      <c r="AG1563" s="183" t="str">
        <f t="shared" si="677"/>
        <v/>
      </c>
      <c r="AH1563" s="183" t="str">
        <f t="shared" si="678"/>
        <v/>
      </c>
      <c r="AI1563" s="220" t="str">
        <f t="shared" si="679"/>
        <v/>
      </c>
    </row>
    <row r="1564" spans="1:35" x14ac:dyDescent="0.3">
      <c r="A1564" s="187">
        <v>27</v>
      </c>
      <c r="B1564" s="242">
        <f t="shared" si="669"/>
        <v>46447</v>
      </c>
      <c r="C1564" s="243">
        <f t="shared" si="652"/>
        <v>46477</v>
      </c>
      <c r="D1564" s="120">
        <f t="shared" si="653"/>
        <v>31</v>
      </c>
      <c r="E1564" s="120">
        <f t="shared" si="654"/>
        <v>3</v>
      </c>
      <c r="F1564" s="275">
        <f t="shared" si="655"/>
        <v>46462.5</v>
      </c>
      <c r="G1564" s="120">
        <f t="shared" si="656"/>
        <v>24326</v>
      </c>
      <c r="H1564" s="245">
        <f t="shared" si="657"/>
        <v>1</v>
      </c>
      <c r="I1564" s="121">
        <f t="shared" si="658"/>
        <v>1</v>
      </c>
      <c r="J1564" s="121">
        <f t="shared" si="659"/>
        <v>1</v>
      </c>
      <c r="K1564" s="120">
        <f t="shared" si="660"/>
        <v>0</v>
      </c>
      <c r="L1564" s="120">
        <f t="shared" si="661"/>
        <v>0</v>
      </c>
      <c r="M1564" s="246">
        <f t="shared" si="662"/>
        <v>0</v>
      </c>
      <c r="N1564" s="121">
        <f t="shared" si="663"/>
        <v>1</v>
      </c>
      <c r="O1564" s="246">
        <f t="shared" si="664"/>
        <v>1</v>
      </c>
      <c r="P1564" s="121">
        <f t="shared" si="665"/>
        <v>0</v>
      </c>
      <c r="Q1564" s="121">
        <f t="shared" si="666"/>
        <v>1</v>
      </c>
      <c r="R1564" s="121">
        <f t="shared" si="667"/>
        <v>0</v>
      </c>
      <c r="W1564" s="160">
        <f t="shared" si="670"/>
        <v>1</v>
      </c>
      <c r="X1564" s="160">
        <f t="shared" si="671"/>
        <v>0</v>
      </c>
      <c r="Y1564" s="160">
        <f t="shared" si="672"/>
        <v>1</v>
      </c>
      <c r="AB1564" s="160">
        <f t="shared" si="673"/>
        <v>0.36293859649122806</v>
      </c>
      <c r="AC1564" s="220">
        <f t="shared" si="674"/>
        <v>0.63706140350877194</v>
      </c>
      <c r="AD1564" s="160">
        <f t="shared" si="675"/>
        <v>1</v>
      </c>
      <c r="AE1564" s="160">
        <f t="shared" si="668"/>
        <v>1</v>
      </c>
      <c r="AF1564" s="220">
        <f t="shared" si="676"/>
        <v>0</v>
      </c>
      <c r="AG1564" s="183" t="str">
        <f t="shared" si="677"/>
        <v/>
      </c>
      <c r="AH1564" s="183" t="str">
        <f t="shared" si="678"/>
        <v/>
      </c>
      <c r="AI1564" s="220" t="str">
        <f t="shared" si="679"/>
        <v/>
      </c>
    </row>
    <row r="1565" spans="1:35" x14ac:dyDescent="0.3">
      <c r="A1565" s="187">
        <v>28</v>
      </c>
      <c r="B1565" s="242">
        <f t="shared" si="669"/>
        <v>46478</v>
      </c>
      <c r="C1565" s="243">
        <f t="shared" si="652"/>
        <v>46507</v>
      </c>
      <c r="D1565" s="120">
        <f t="shared" si="653"/>
        <v>30</v>
      </c>
      <c r="E1565" s="120">
        <f t="shared" si="654"/>
        <v>4</v>
      </c>
      <c r="F1565" s="275">
        <f t="shared" si="655"/>
        <v>46493</v>
      </c>
      <c r="G1565" s="120">
        <f t="shared" si="656"/>
        <v>24327</v>
      </c>
      <c r="H1565" s="245">
        <f t="shared" si="657"/>
        <v>1</v>
      </c>
      <c r="I1565" s="121">
        <f t="shared" si="658"/>
        <v>1</v>
      </c>
      <c r="J1565" s="121">
        <f t="shared" si="659"/>
        <v>1</v>
      </c>
      <c r="K1565" s="120">
        <f t="shared" si="660"/>
        <v>0</v>
      </c>
      <c r="L1565" s="120">
        <f t="shared" si="661"/>
        <v>0</v>
      </c>
      <c r="M1565" s="246">
        <f t="shared" si="662"/>
        <v>0</v>
      </c>
      <c r="N1565" s="121">
        <f t="shared" si="663"/>
        <v>1</v>
      </c>
      <c r="O1565" s="246">
        <f t="shared" si="664"/>
        <v>1</v>
      </c>
      <c r="P1565" s="121">
        <f t="shared" si="665"/>
        <v>0</v>
      </c>
      <c r="Q1565" s="121">
        <f t="shared" si="666"/>
        <v>1</v>
      </c>
      <c r="R1565" s="121">
        <f t="shared" si="667"/>
        <v>0</v>
      </c>
      <c r="W1565" s="160">
        <f t="shared" si="670"/>
        <v>1</v>
      </c>
      <c r="X1565" s="160">
        <f t="shared" si="671"/>
        <v>1</v>
      </c>
      <c r="Y1565" s="160">
        <f t="shared" si="672"/>
        <v>1</v>
      </c>
      <c r="AB1565" s="160">
        <f t="shared" si="673"/>
        <v>0.42982456140350878</v>
      </c>
      <c r="AC1565" s="220">
        <f t="shared" si="674"/>
        <v>0.57017543859649122</v>
      </c>
      <c r="AD1565" s="160">
        <f t="shared" si="675"/>
        <v>1</v>
      </c>
      <c r="AE1565" s="160">
        <f t="shared" si="668"/>
        <v>1</v>
      </c>
      <c r="AF1565" s="220">
        <f t="shared" si="676"/>
        <v>1</v>
      </c>
      <c r="AG1565" s="183" t="str">
        <f t="shared" si="677"/>
        <v/>
      </c>
      <c r="AH1565" s="183" t="str">
        <f t="shared" si="678"/>
        <v/>
      </c>
      <c r="AI1565" s="220" t="str">
        <f t="shared" si="679"/>
        <v/>
      </c>
    </row>
    <row r="1566" spans="1:35" x14ac:dyDescent="0.3">
      <c r="A1566" s="187">
        <v>29</v>
      </c>
      <c r="B1566" s="242">
        <f t="shared" si="669"/>
        <v>46508</v>
      </c>
      <c r="C1566" s="243">
        <f t="shared" si="652"/>
        <v>46538</v>
      </c>
      <c r="D1566" s="120">
        <f t="shared" si="653"/>
        <v>31</v>
      </c>
      <c r="E1566" s="120">
        <f t="shared" si="654"/>
        <v>5</v>
      </c>
      <c r="F1566" s="275">
        <f t="shared" si="655"/>
        <v>46523.5</v>
      </c>
      <c r="G1566" s="120">
        <f t="shared" si="656"/>
        <v>24328</v>
      </c>
      <c r="H1566" s="245">
        <f t="shared" si="657"/>
        <v>1</v>
      </c>
      <c r="I1566" s="121">
        <f t="shared" si="658"/>
        <v>1</v>
      </c>
      <c r="J1566" s="121">
        <f t="shared" si="659"/>
        <v>1</v>
      </c>
      <c r="K1566" s="120">
        <f t="shared" si="660"/>
        <v>0</v>
      </c>
      <c r="L1566" s="120">
        <f t="shared" si="661"/>
        <v>0</v>
      </c>
      <c r="M1566" s="246">
        <f t="shared" si="662"/>
        <v>0</v>
      </c>
      <c r="N1566" s="121">
        <f t="shared" si="663"/>
        <v>1</v>
      </c>
      <c r="O1566" s="246">
        <f t="shared" si="664"/>
        <v>1</v>
      </c>
      <c r="P1566" s="121">
        <f t="shared" si="665"/>
        <v>0</v>
      </c>
      <c r="Q1566" s="121">
        <f t="shared" si="666"/>
        <v>1</v>
      </c>
      <c r="R1566" s="121">
        <f t="shared" si="667"/>
        <v>0</v>
      </c>
      <c r="W1566" s="160">
        <f t="shared" si="670"/>
        <v>1</v>
      </c>
      <c r="X1566" s="160">
        <f t="shared" si="671"/>
        <v>1</v>
      </c>
      <c r="Y1566" s="160">
        <f t="shared" si="672"/>
        <v>1</v>
      </c>
      <c r="AB1566" s="160">
        <f t="shared" si="673"/>
        <v>0.49671052631578949</v>
      </c>
      <c r="AC1566" s="220">
        <f t="shared" si="674"/>
        <v>0.50328947368421051</v>
      </c>
      <c r="AD1566" s="160">
        <f t="shared" si="675"/>
        <v>1</v>
      </c>
      <c r="AE1566" s="160">
        <f t="shared" si="668"/>
        <v>1</v>
      </c>
      <c r="AF1566" s="220">
        <f t="shared" si="676"/>
        <v>1</v>
      </c>
      <c r="AG1566" s="183" t="str">
        <f t="shared" si="677"/>
        <v/>
      </c>
      <c r="AH1566" s="183" t="str">
        <f t="shared" si="678"/>
        <v/>
      </c>
      <c r="AI1566" s="220" t="str">
        <f t="shared" si="679"/>
        <v/>
      </c>
    </row>
    <row r="1567" spans="1:35" x14ac:dyDescent="0.3">
      <c r="A1567" s="187">
        <v>30</v>
      </c>
      <c r="B1567" s="242">
        <f t="shared" si="669"/>
        <v>46539</v>
      </c>
      <c r="C1567" s="243">
        <f t="shared" si="652"/>
        <v>46568</v>
      </c>
      <c r="D1567" s="120">
        <f t="shared" si="653"/>
        <v>30</v>
      </c>
      <c r="E1567" s="120">
        <f t="shared" si="654"/>
        <v>6</v>
      </c>
      <c r="F1567" s="275">
        <f t="shared" si="655"/>
        <v>46554</v>
      </c>
      <c r="G1567" s="120">
        <f t="shared" si="656"/>
        <v>24329</v>
      </c>
      <c r="H1567" s="245">
        <f t="shared" si="657"/>
        <v>1</v>
      </c>
      <c r="I1567" s="121">
        <f t="shared" si="658"/>
        <v>1</v>
      </c>
      <c r="J1567" s="121">
        <f t="shared" si="659"/>
        <v>1</v>
      </c>
      <c r="K1567" s="120">
        <f t="shared" si="660"/>
        <v>0</v>
      </c>
      <c r="L1567" s="120">
        <f t="shared" si="661"/>
        <v>0</v>
      </c>
      <c r="M1567" s="246">
        <f t="shared" si="662"/>
        <v>0</v>
      </c>
      <c r="N1567" s="121">
        <f t="shared" si="663"/>
        <v>1</v>
      </c>
      <c r="O1567" s="246">
        <f t="shared" si="664"/>
        <v>1</v>
      </c>
      <c r="P1567" s="121">
        <f t="shared" si="665"/>
        <v>0</v>
      </c>
      <c r="Q1567" s="121">
        <f t="shared" si="666"/>
        <v>1</v>
      </c>
      <c r="R1567" s="121">
        <f t="shared" si="667"/>
        <v>0</v>
      </c>
      <c r="W1567" s="160">
        <f t="shared" si="670"/>
        <v>1</v>
      </c>
      <c r="X1567" s="160">
        <f t="shared" si="671"/>
        <v>1</v>
      </c>
      <c r="Y1567" s="160">
        <f t="shared" si="672"/>
        <v>1</v>
      </c>
      <c r="AB1567" s="160">
        <f t="shared" si="673"/>
        <v>0.56359649122807021</v>
      </c>
      <c r="AC1567" s="220">
        <f t="shared" si="674"/>
        <v>0.43640350877192979</v>
      </c>
      <c r="AD1567" s="160">
        <f t="shared" si="675"/>
        <v>1</v>
      </c>
      <c r="AE1567" s="160">
        <f t="shared" si="668"/>
        <v>1</v>
      </c>
      <c r="AF1567" s="220">
        <f t="shared" si="676"/>
        <v>1</v>
      </c>
      <c r="AG1567" s="183" t="str">
        <f t="shared" si="677"/>
        <v/>
      </c>
      <c r="AH1567" s="183" t="str">
        <f t="shared" si="678"/>
        <v/>
      </c>
      <c r="AI1567" s="220" t="str">
        <f t="shared" si="679"/>
        <v/>
      </c>
    </row>
    <row r="1568" spans="1:35" x14ac:dyDescent="0.3">
      <c r="A1568" s="187">
        <v>31</v>
      </c>
      <c r="B1568" s="242">
        <f t="shared" si="669"/>
        <v>46569</v>
      </c>
      <c r="C1568" s="243">
        <f t="shared" si="652"/>
        <v>46599</v>
      </c>
      <c r="D1568" s="120">
        <f t="shared" si="653"/>
        <v>31</v>
      </c>
      <c r="E1568" s="120">
        <f t="shared" si="654"/>
        <v>7</v>
      </c>
      <c r="F1568" s="275">
        <f t="shared" si="655"/>
        <v>46584.5</v>
      </c>
      <c r="G1568" s="120">
        <f t="shared" si="656"/>
        <v>24330</v>
      </c>
      <c r="H1568" s="245">
        <f t="shared" si="657"/>
        <v>1</v>
      </c>
      <c r="I1568" s="121">
        <f t="shared" si="658"/>
        <v>1</v>
      </c>
      <c r="J1568" s="121">
        <f t="shared" si="659"/>
        <v>1</v>
      </c>
      <c r="K1568" s="120">
        <f t="shared" si="660"/>
        <v>0</v>
      </c>
      <c r="L1568" s="120">
        <f t="shared" si="661"/>
        <v>0</v>
      </c>
      <c r="M1568" s="246">
        <f t="shared" si="662"/>
        <v>0</v>
      </c>
      <c r="N1568" s="121">
        <f t="shared" si="663"/>
        <v>1</v>
      </c>
      <c r="O1568" s="246">
        <f t="shared" si="664"/>
        <v>1</v>
      </c>
      <c r="P1568" s="121">
        <f t="shared" si="665"/>
        <v>0</v>
      </c>
      <c r="Q1568" s="121">
        <f t="shared" si="666"/>
        <v>0.91666666666666663</v>
      </c>
      <c r="R1568" s="121">
        <f t="shared" si="667"/>
        <v>8.333333333333337E-2</v>
      </c>
      <c r="W1568" s="160">
        <f t="shared" si="670"/>
        <v>1</v>
      </c>
      <c r="X1568" s="160">
        <f t="shared" si="671"/>
        <v>1</v>
      </c>
      <c r="Y1568" s="160">
        <f t="shared" si="672"/>
        <v>1</v>
      </c>
      <c r="AB1568" s="160">
        <f t="shared" si="673"/>
        <v>0.63048245614035092</v>
      </c>
      <c r="AC1568" s="220">
        <f t="shared" si="674"/>
        <v>0.36951754385964908</v>
      </c>
      <c r="AD1568" s="160">
        <f t="shared" si="675"/>
        <v>1</v>
      </c>
      <c r="AE1568" s="160">
        <f t="shared" si="668"/>
        <v>1</v>
      </c>
      <c r="AF1568" s="220">
        <f t="shared" si="676"/>
        <v>1</v>
      </c>
      <c r="AG1568" s="183" t="str">
        <f t="shared" si="677"/>
        <v/>
      </c>
      <c r="AH1568" s="183" t="str">
        <f t="shared" si="678"/>
        <v/>
      </c>
      <c r="AI1568" s="220" t="str">
        <f t="shared" si="679"/>
        <v/>
      </c>
    </row>
    <row r="1569" spans="1:35" x14ac:dyDescent="0.3">
      <c r="A1569" s="187">
        <v>32</v>
      </c>
      <c r="B1569" s="242">
        <f t="shared" si="669"/>
        <v>46600</v>
      </c>
      <c r="C1569" s="243">
        <f t="shared" si="652"/>
        <v>46630</v>
      </c>
      <c r="D1569" s="120">
        <f t="shared" si="653"/>
        <v>31</v>
      </c>
      <c r="E1569" s="120">
        <f t="shared" si="654"/>
        <v>8</v>
      </c>
      <c r="F1569" s="275">
        <f t="shared" si="655"/>
        <v>46615.5</v>
      </c>
      <c r="G1569" s="120">
        <f t="shared" si="656"/>
        <v>24331</v>
      </c>
      <c r="H1569" s="245">
        <f t="shared" si="657"/>
        <v>1</v>
      </c>
      <c r="I1569" s="121">
        <f t="shared" si="658"/>
        <v>1</v>
      </c>
      <c r="J1569" s="121">
        <f t="shared" si="659"/>
        <v>1</v>
      </c>
      <c r="K1569" s="120">
        <f t="shared" si="660"/>
        <v>0</v>
      </c>
      <c r="L1569" s="120">
        <f t="shared" si="661"/>
        <v>0</v>
      </c>
      <c r="M1569" s="246">
        <f t="shared" si="662"/>
        <v>0</v>
      </c>
      <c r="N1569" s="121">
        <f t="shared" si="663"/>
        <v>1</v>
      </c>
      <c r="O1569" s="246">
        <f t="shared" si="664"/>
        <v>1</v>
      </c>
      <c r="P1569" s="121">
        <f t="shared" si="665"/>
        <v>0</v>
      </c>
      <c r="Q1569" s="121">
        <f t="shared" si="666"/>
        <v>0.75</v>
      </c>
      <c r="R1569" s="121">
        <f t="shared" si="667"/>
        <v>0.25</v>
      </c>
      <c r="W1569" s="160">
        <f t="shared" si="670"/>
        <v>1</v>
      </c>
      <c r="X1569" s="160">
        <f t="shared" si="671"/>
        <v>1</v>
      </c>
      <c r="Y1569" s="160">
        <f t="shared" si="672"/>
        <v>1</v>
      </c>
      <c r="AB1569" s="160">
        <f t="shared" si="673"/>
        <v>0.69846491228070173</v>
      </c>
      <c r="AC1569" s="220">
        <f t="shared" si="674"/>
        <v>0.30153508771929827</v>
      </c>
      <c r="AD1569" s="160">
        <f t="shared" si="675"/>
        <v>1</v>
      </c>
      <c r="AE1569" s="160">
        <f t="shared" si="668"/>
        <v>1</v>
      </c>
      <c r="AF1569" s="220">
        <f t="shared" si="676"/>
        <v>1</v>
      </c>
      <c r="AG1569" s="183" t="str">
        <f t="shared" si="677"/>
        <v/>
      </c>
      <c r="AH1569" s="183" t="str">
        <f t="shared" si="678"/>
        <v/>
      </c>
      <c r="AI1569" s="220" t="str">
        <f t="shared" si="679"/>
        <v/>
      </c>
    </row>
    <row r="1570" spans="1:35" x14ac:dyDescent="0.3">
      <c r="A1570" s="187">
        <v>33</v>
      </c>
      <c r="B1570" s="242">
        <f t="shared" si="669"/>
        <v>46631</v>
      </c>
      <c r="C1570" s="243">
        <f t="shared" si="652"/>
        <v>46660</v>
      </c>
      <c r="D1570" s="120">
        <f t="shared" si="653"/>
        <v>30</v>
      </c>
      <c r="E1570" s="120">
        <f t="shared" si="654"/>
        <v>9</v>
      </c>
      <c r="F1570" s="275">
        <f t="shared" si="655"/>
        <v>46646</v>
      </c>
      <c r="G1570" s="120">
        <f t="shared" si="656"/>
        <v>24332</v>
      </c>
      <c r="H1570" s="245">
        <f t="shared" si="657"/>
        <v>1</v>
      </c>
      <c r="I1570" s="121">
        <f t="shared" si="658"/>
        <v>1</v>
      </c>
      <c r="J1570" s="121">
        <f t="shared" si="659"/>
        <v>1</v>
      </c>
      <c r="K1570" s="120">
        <f t="shared" si="660"/>
        <v>0</v>
      </c>
      <c r="L1570" s="120">
        <f t="shared" si="661"/>
        <v>0</v>
      </c>
      <c r="M1570" s="246">
        <f t="shared" si="662"/>
        <v>0</v>
      </c>
      <c r="N1570" s="121">
        <f t="shared" si="663"/>
        <v>1</v>
      </c>
      <c r="O1570" s="246">
        <f t="shared" si="664"/>
        <v>1</v>
      </c>
      <c r="P1570" s="121">
        <f t="shared" si="665"/>
        <v>0</v>
      </c>
      <c r="Q1570" s="121">
        <f t="shared" si="666"/>
        <v>0.58333333333333337</v>
      </c>
      <c r="R1570" s="121">
        <f t="shared" si="667"/>
        <v>0.41666666666666663</v>
      </c>
      <c r="W1570" s="160">
        <f t="shared" si="670"/>
        <v>1</v>
      </c>
      <c r="X1570" s="160">
        <f t="shared" si="671"/>
        <v>1</v>
      </c>
      <c r="Y1570" s="160">
        <f t="shared" si="672"/>
        <v>1</v>
      </c>
      <c r="AB1570" s="160">
        <f t="shared" si="673"/>
        <v>0.76535087719298245</v>
      </c>
      <c r="AC1570" s="220">
        <f t="shared" si="674"/>
        <v>0.23464912280701755</v>
      </c>
      <c r="AD1570" s="160">
        <f t="shared" si="675"/>
        <v>1</v>
      </c>
      <c r="AE1570" s="160">
        <f t="shared" si="668"/>
        <v>1</v>
      </c>
      <c r="AF1570" s="220">
        <f t="shared" si="676"/>
        <v>1</v>
      </c>
      <c r="AG1570" s="183" t="str">
        <f t="shared" si="677"/>
        <v/>
      </c>
      <c r="AH1570" s="183" t="str">
        <f t="shared" si="678"/>
        <v/>
      </c>
      <c r="AI1570" s="220" t="str">
        <f t="shared" si="679"/>
        <v/>
      </c>
    </row>
    <row r="1571" spans="1:35" x14ac:dyDescent="0.3">
      <c r="A1571" s="187">
        <v>34</v>
      </c>
      <c r="B1571" s="242">
        <f t="shared" si="669"/>
        <v>46661</v>
      </c>
      <c r="C1571" s="243">
        <f t="shared" si="652"/>
        <v>46691</v>
      </c>
      <c r="D1571" s="120">
        <f t="shared" si="653"/>
        <v>31</v>
      </c>
      <c r="E1571" s="120">
        <f t="shared" si="654"/>
        <v>10</v>
      </c>
      <c r="F1571" s="275">
        <f t="shared" si="655"/>
        <v>46676.5</v>
      </c>
      <c r="G1571" s="120">
        <f t="shared" si="656"/>
        <v>24333</v>
      </c>
      <c r="H1571" s="245">
        <f t="shared" si="657"/>
        <v>1</v>
      </c>
      <c r="I1571" s="121">
        <f t="shared" si="658"/>
        <v>1</v>
      </c>
      <c r="J1571" s="121">
        <f t="shared" si="659"/>
        <v>1</v>
      </c>
      <c r="K1571" s="120">
        <f t="shared" si="660"/>
        <v>0</v>
      </c>
      <c r="L1571" s="120">
        <f t="shared" si="661"/>
        <v>0</v>
      </c>
      <c r="M1571" s="246">
        <f t="shared" si="662"/>
        <v>0</v>
      </c>
      <c r="N1571" s="121">
        <f t="shared" si="663"/>
        <v>1</v>
      </c>
      <c r="O1571" s="246">
        <f t="shared" si="664"/>
        <v>1</v>
      </c>
      <c r="P1571" s="121">
        <f t="shared" si="665"/>
        <v>0</v>
      </c>
      <c r="Q1571" s="121">
        <f t="shared" si="666"/>
        <v>0.41666666666666669</v>
      </c>
      <c r="R1571" s="121">
        <f t="shared" si="667"/>
        <v>0.58333333333333326</v>
      </c>
      <c r="W1571" s="160">
        <f t="shared" si="670"/>
        <v>1</v>
      </c>
      <c r="X1571" s="160">
        <f t="shared" si="671"/>
        <v>1</v>
      </c>
      <c r="Y1571" s="160">
        <f t="shared" si="672"/>
        <v>1</v>
      </c>
      <c r="AB1571" s="160">
        <f t="shared" si="673"/>
        <v>0.83223684210526316</v>
      </c>
      <c r="AC1571" s="220">
        <f t="shared" si="674"/>
        <v>0.16776315789473684</v>
      </c>
      <c r="AD1571" s="160">
        <f t="shared" si="675"/>
        <v>1</v>
      </c>
      <c r="AE1571" s="160">
        <f t="shared" si="668"/>
        <v>1</v>
      </c>
      <c r="AF1571" s="220">
        <f t="shared" si="676"/>
        <v>1</v>
      </c>
      <c r="AG1571" s="183" t="str">
        <f t="shared" si="677"/>
        <v/>
      </c>
      <c r="AH1571" s="183" t="str">
        <f t="shared" si="678"/>
        <v/>
      </c>
      <c r="AI1571" s="220" t="str">
        <f t="shared" si="679"/>
        <v/>
      </c>
    </row>
    <row r="1572" spans="1:35" x14ac:dyDescent="0.3">
      <c r="A1572" s="187">
        <v>35</v>
      </c>
      <c r="B1572" s="242">
        <f t="shared" si="669"/>
        <v>46692</v>
      </c>
      <c r="C1572" s="243">
        <f t="shared" si="652"/>
        <v>46721</v>
      </c>
      <c r="D1572" s="120">
        <f t="shared" si="653"/>
        <v>30</v>
      </c>
      <c r="E1572" s="120">
        <f t="shared" si="654"/>
        <v>11</v>
      </c>
      <c r="F1572" s="275">
        <f t="shared" si="655"/>
        <v>46707</v>
      </c>
      <c r="G1572" s="120">
        <f t="shared" si="656"/>
        <v>24334</v>
      </c>
      <c r="H1572" s="245">
        <f t="shared" si="657"/>
        <v>1</v>
      </c>
      <c r="I1572" s="121">
        <f t="shared" si="658"/>
        <v>1</v>
      </c>
      <c r="J1572" s="121">
        <f t="shared" si="659"/>
        <v>1</v>
      </c>
      <c r="K1572" s="120">
        <f t="shared" si="660"/>
        <v>0</v>
      </c>
      <c r="L1572" s="120">
        <f t="shared" si="661"/>
        <v>0</v>
      </c>
      <c r="M1572" s="246">
        <f t="shared" si="662"/>
        <v>0</v>
      </c>
      <c r="N1572" s="121">
        <f t="shared" si="663"/>
        <v>1</v>
      </c>
      <c r="O1572" s="246">
        <f t="shared" si="664"/>
        <v>1</v>
      </c>
      <c r="P1572" s="121">
        <f t="shared" si="665"/>
        <v>0</v>
      </c>
      <c r="Q1572" s="121">
        <f t="shared" si="666"/>
        <v>0.25</v>
      </c>
      <c r="R1572" s="121">
        <f t="shared" si="667"/>
        <v>0.75</v>
      </c>
      <c r="W1572" s="160">
        <f t="shared" si="670"/>
        <v>1</v>
      </c>
      <c r="X1572" s="160">
        <f t="shared" si="671"/>
        <v>1</v>
      </c>
      <c r="Y1572" s="160">
        <f t="shared" si="672"/>
        <v>1</v>
      </c>
      <c r="AB1572" s="160">
        <f t="shared" si="673"/>
        <v>0.89912280701754388</v>
      </c>
      <c r="AC1572" s="220">
        <f t="shared" si="674"/>
        <v>0.10087719298245612</v>
      </c>
      <c r="AD1572" s="160">
        <f t="shared" si="675"/>
        <v>1</v>
      </c>
      <c r="AE1572" s="160">
        <f t="shared" si="668"/>
        <v>1</v>
      </c>
      <c r="AF1572" s="220">
        <f t="shared" si="676"/>
        <v>1</v>
      </c>
      <c r="AG1572" s="183" t="str">
        <f t="shared" si="677"/>
        <v/>
      </c>
      <c r="AH1572" s="183" t="str">
        <f t="shared" si="678"/>
        <v/>
      </c>
      <c r="AI1572" s="220" t="str">
        <f t="shared" si="679"/>
        <v/>
      </c>
    </row>
    <row r="1573" spans="1:35" x14ac:dyDescent="0.3">
      <c r="A1573" s="187">
        <v>36</v>
      </c>
      <c r="B1573" s="242">
        <f t="shared" si="669"/>
        <v>46722</v>
      </c>
      <c r="C1573" s="243">
        <f t="shared" si="652"/>
        <v>46752</v>
      </c>
      <c r="D1573" s="120">
        <f t="shared" si="653"/>
        <v>31</v>
      </c>
      <c r="E1573" s="120">
        <f t="shared" si="654"/>
        <v>12</v>
      </c>
      <c r="F1573" s="275">
        <f t="shared" si="655"/>
        <v>46737.5</v>
      </c>
      <c r="G1573" s="120">
        <f t="shared" si="656"/>
        <v>24335</v>
      </c>
      <c r="H1573" s="245">
        <f t="shared" si="657"/>
        <v>1</v>
      </c>
      <c r="I1573" s="121">
        <f t="shared" si="658"/>
        <v>1</v>
      </c>
      <c r="J1573" s="121">
        <f t="shared" si="659"/>
        <v>1</v>
      </c>
      <c r="K1573" s="120">
        <f t="shared" si="660"/>
        <v>0</v>
      </c>
      <c r="L1573" s="120">
        <f t="shared" si="661"/>
        <v>0</v>
      </c>
      <c r="M1573" s="246">
        <f t="shared" si="662"/>
        <v>0</v>
      </c>
      <c r="N1573" s="121">
        <f t="shared" si="663"/>
        <v>1</v>
      </c>
      <c r="O1573" s="246">
        <f t="shared" si="664"/>
        <v>1</v>
      </c>
      <c r="P1573" s="121">
        <f t="shared" si="665"/>
        <v>0</v>
      </c>
      <c r="Q1573" s="121">
        <f t="shared" si="666"/>
        <v>8.3333333333333329E-2</v>
      </c>
      <c r="R1573" s="121">
        <f t="shared" si="667"/>
        <v>0.91666666666666663</v>
      </c>
      <c r="W1573" s="160">
        <f t="shared" si="670"/>
        <v>1</v>
      </c>
      <c r="X1573" s="160">
        <f t="shared" si="671"/>
        <v>1</v>
      </c>
      <c r="Y1573" s="160">
        <f t="shared" si="672"/>
        <v>1</v>
      </c>
      <c r="AB1573" s="160">
        <f t="shared" si="673"/>
        <v>0.96600877192982459</v>
      </c>
      <c r="AC1573" s="220">
        <f t="shared" si="674"/>
        <v>3.3991228070175405E-2</v>
      </c>
      <c r="AD1573" s="160">
        <f t="shared" si="675"/>
        <v>1</v>
      </c>
      <c r="AE1573" s="160">
        <f t="shared" si="668"/>
        <v>1</v>
      </c>
      <c r="AF1573" s="220">
        <f t="shared" si="676"/>
        <v>1</v>
      </c>
      <c r="AG1573" s="183" t="str">
        <f t="shared" si="677"/>
        <v/>
      </c>
      <c r="AH1573" s="183" t="str">
        <f t="shared" si="678"/>
        <v/>
      </c>
      <c r="AI1573" s="220" t="str">
        <f t="shared" si="679"/>
        <v/>
      </c>
    </row>
    <row r="1574" spans="1:35" x14ac:dyDescent="0.3">
      <c r="A1574" s="187">
        <v>37</v>
      </c>
      <c r="B1574" s="242">
        <f t="shared" si="669"/>
        <v>46753</v>
      </c>
      <c r="C1574" s="243">
        <f t="shared" si="652"/>
        <v>46783</v>
      </c>
      <c r="D1574" s="120">
        <f t="shared" si="653"/>
        <v>31</v>
      </c>
      <c r="E1574" s="120">
        <f t="shared" si="654"/>
        <v>1</v>
      </c>
      <c r="F1574" s="275">
        <f t="shared" si="655"/>
        <v>46768.5</v>
      </c>
      <c r="G1574" s="120">
        <f t="shared" si="656"/>
        <v>24336</v>
      </c>
      <c r="H1574" s="245">
        <f t="shared" si="657"/>
        <v>1</v>
      </c>
      <c r="I1574" s="121">
        <f t="shared" si="658"/>
        <v>1</v>
      </c>
      <c r="J1574" s="121">
        <f t="shared" si="659"/>
        <v>1</v>
      </c>
      <c r="K1574" s="120">
        <f t="shared" si="660"/>
        <v>0</v>
      </c>
      <c r="L1574" s="120">
        <f t="shared" si="661"/>
        <v>0</v>
      </c>
      <c r="M1574" s="246">
        <f t="shared" si="662"/>
        <v>0</v>
      </c>
      <c r="N1574" s="121">
        <f t="shared" si="663"/>
        <v>1</v>
      </c>
      <c r="O1574" s="246">
        <f t="shared" si="664"/>
        <v>1</v>
      </c>
      <c r="P1574" s="121">
        <f t="shared" si="665"/>
        <v>0</v>
      </c>
      <c r="Q1574" s="121">
        <f t="shared" si="666"/>
        <v>0</v>
      </c>
      <c r="R1574" s="121">
        <f t="shared" si="667"/>
        <v>1</v>
      </c>
      <c r="AE1574" s="160">
        <f t="shared" si="668"/>
        <v>1</v>
      </c>
    </row>
    <row r="1575" spans="1:35" x14ac:dyDescent="0.3">
      <c r="A1575" s="187">
        <v>38</v>
      </c>
      <c r="B1575" s="242">
        <f t="shared" si="669"/>
        <v>46784</v>
      </c>
      <c r="C1575" s="243">
        <f t="shared" si="652"/>
        <v>46812</v>
      </c>
      <c r="D1575" s="120">
        <f t="shared" si="653"/>
        <v>29</v>
      </c>
      <c r="E1575" s="120">
        <f t="shared" si="654"/>
        <v>2</v>
      </c>
      <c r="F1575" s="275">
        <f t="shared" si="655"/>
        <v>46798.5</v>
      </c>
      <c r="G1575" s="120">
        <f t="shared" si="656"/>
        <v>24337</v>
      </c>
      <c r="H1575" s="245">
        <f t="shared" si="657"/>
        <v>1</v>
      </c>
      <c r="I1575" s="121">
        <f t="shared" si="658"/>
        <v>1</v>
      </c>
      <c r="J1575" s="121">
        <f t="shared" si="659"/>
        <v>1</v>
      </c>
      <c r="K1575" s="120">
        <f t="shared" si="660"/>
        <v>0</v>
      </c>
      <c r="L1575" s="120">
        <f t="shared" si="661"/>
        <v>0</v>
      </c>
      <c r="M1575" s="246">
        <f t="shared" si="662"/>
        <v>0</v>
      </c>
      <c r="N1575" s="121">
        <f t="shared" si="663"/>
        <v>1</v>
      </c>
      <c r="O1575" s="246">
        <f t="shared" si="664"/>
        <v>1</v>
      </c>
      <c r="P1575" s="121">
        <f t="shared" si="665"/>
        <v>0</v>
      </c>
      <c r="Q1575" s="121">
        <f t="shared" si="666"/>
        <v>0</v>
      </c>
      <c r="R1575" s="121">
        <f t="shared" si="667"/>
        <v>1</v>
      </c>
      <c r="AE1575" s="160">
        <f t="shared" si="668"/>
        <v>1</v>
      </c>
    </row>
    <row r="1576" spans="1:35" x14ac:dyDescent="0.3">
      <c r="A1576" s="187">
        <v>39</v>
      </c>
      <c r="B1576" s="242">
        <f t="shared" si="669"/>
        <v>46813</v>
      </c>
      <c r="C1576" s="243">
        <f t="shared" si="652"/>
        <v>46843</v>
      </c>
      <c r="D1576" s="120">
        <f t="shared" si="653"/>
        <v>31</v>
      </c>
      <c r="E1576" s="120">
        <f t="shared" si="654"/>
        <v>3</v>
      </c>
      <c r="F1576" s="275">
        <f t="shared" si="655"/>
        <v>46828.5</v>
      </c>
      <c r="G1576" s="120">
        <f t="shared" si="656"/>
        <v>24338</v>
      </c>
      <c r="H1576" s="245">
        <f t="shared" si="657"/>
        <v>1</v>
      </c>
      <c r="I1576" s="121">
        <f t="shared" si="658"/>
        <v>1</v>
      </c>
      <c r="J1576" s="121">
        <f t="shared" si="659"/>
        <v>1</v>
      </c>
      <c r="K1576" s="120">
        <f t="shared" si="660"/>
        <v>0</v>
      </c>
      <c r="L1576" s="120">
        <f t="shared" si="661"/>
        <v>0</v>
      </c>
      <c r="M1576" s="246">
        <f t="shared" si="662"/>
        <v>0</v>
      </c>
      <c r="N1576" s="121">
        <f t="shared" si="663"/>
        <v>1</v>
      </c>
      <c r="O1576" s="246">
        <f t="shared" si="664"/>
        <v>1</v>
      </c>
      <c r="P1576" s="121">
        <f t="shared" si="665"/>
        <v>0</v>
      </c>
      <c r="Q1576" s="121">
        <f t="shared" si="666"/>
        <v>0</v>
      </c>
      <c r="R1576" s="121">
        <f t="shared" si="667"/>
        <v>1</v>
      </c>
      <c r="AE1576" s="160">
        <f t="shared" si="668"/>
        <v>1</v>
      </c>
    </row>
    <row r="1577" spans="1:35" x14ac:dyDescent="0.3">
      <c r="A1577" s="187">
        <v>40</v>
      </c>
      <c r="B1577" s="242">
        <f t="shared" si="669"/>
        <v>46844</v>
      </c>
      <c r="C1577" s="243">
        <f t="shared" si="652"/>
        <v>46873</v>
      </c>
      <c r="D1577" s="120">
        <f t="shared" si="653"/>
        <v>30</v>
      </c>
      <c r="E1577" s="120">
        <f t="shared" si="654"/>
        <v>4</v>
      </c>
      <c r="F1577" s="275">
        <f t="shared" si="655"/>
        <v>46859</v>
      </c>
      <c r="G1577" s="120">
        <f t="shared" si="656"/>
        <v>24339</v>
      </c>
      <c r="H1577" s="245">
        <f t="shared" si="657"/>
        <v>1</v>
      </c>
      <c r="I1577" s="121">
        <f t="shared" si="658"/>
        <v>1</v>
      </c>
      <c r="J1577" s="121">
        <f t="shared" si="659"/>
        <v>1</v>
      </c>
      <c r="K1577" s="120">
        <f t="shared" si="660"/>
        <v>0</v>
      </c>
      <c r="L1577" s="120">
        <f t="shared" si="661"/>
        <v>0</v>
      </c>
      <c r="M1577" s="246">
        <f t="shared" si="662"/>
        <v>0</v>
      </c>
      <c r="N1577" s="121">
        <f t="shared" si="663"/>
        <v>1</v>
      </c>
      <c r="O1577" s="246">
        <f t="shared" si="664"/>
        <v>1</v>
      </c>
      <c r="P1577" s="121">
        <f t="shared" si="665"/>
        <v>0</v>
      </c>
      <c r="Q1577" s="121">
        <f t="shared" si="666"/>
        <v>0</v>
      </c>
      <c r="R1577" s="121">
        <f t="shared" si="667"/>
        <v>1</v>
      </c>
      <c r="AE1577" s="160">
        <f t="shared" si="668"/>
        <v>1</v>
      </c>
    </row>
    <row r="1578" spans="1:35" x14ac:dyDescent="0.3">
      <c r="A1578" s="187">
        <v>41</v>
      </c>
      <c r="B1578" s="242">
        <f t="shared" si="669"/>
        <v>46874</v>
      </c>
      <c r="C1578" s="243">
        <f t="shared" si="652"/>
        <v>46904</v>
      </c>
      <c r="D1578" s="120">
        <f t="shared" si="653"/>
        <v>31</v>
      </c>
      <c r="E1578" s="120">
        <f t="shared" si="654"/>
        <v>5</v>
      </c>
      <c r="F1578" s="275">
        <f t="shared" si="655"/>
        <v>46889.5</v>
      </c>
      <c r="G1578" s="120">
        <f t="shared" si="656"/>
        <v>24340</v>
      </c>
      <c r="H1578" s="245">
        <f t="shared" si="657"/>
        <v>1</v>
      </c>
      <c r="I1578" s="121">
        <f t="shared" si="658"/>
        <v>1</v>
      </c>
      <c r="J1578" s="121">
        <f t="shared" si="659"/>
        <v>1</v>
      </c>
      <c r="K1578" s="120">
        <f t="shared" si="660"/>
        <v>0</v>
      </c>
      <c r="L1578" s="120">
        <f t="shared" si="661"/>
        <v>0</v>
      </c>
      <c r="M1578" s="246">
        <f t="shared" si="662"/>
        <v>0</v>
      </c>
      <c r="N1578" s="121">
        <f t="shared" si="663"/>
        <v>1</v>
      </c>
      <c r="O1578" s="246">
        <f t="shared" si="664"/>
        <v>1</v>
      </c>
      <c r="P1578" s="121">
        <f t="shared" si="665"/>
        <v>0</v>
      </c>
      <c r="Q1578" s="121">
        <f t="shared" si="666"/>
        <v>0</v>
      </c>
      <c r="R1578" s="121">
        <f t="shared" si="667"/>
        <v>1</v>
      </c>
      <c r="AE1578" s="160">
        <f t="shared" si="668"/>
        <v>1</v>
      </c>
    </row>
    <row r="1579" spans="1:35" x14ac:dyDescent="0.3">
      <c r="A1579" s="187">
        <v>42</v>
      </c>
      <c r="B1579" s="242">
        <f t="shared" si="669"/>
        <v>46905</v>
      </c>
      <c r="C1579" s="243">
        <f t="shared" si="652"/>
        <v>46934</v>
      </c>
      <c r="D1579" s="120">
        <f t="shared" si="653"/>
        <v>30</v>
      </c>
      <c r="E1579" s="120">
        <f t="shared" si="654"/>
        <v>6</v>
      </c>
      <c r="F1579" s="275">
        <f t="shared" si="655"/>
        <v>46920</v>
      </c>
      <c r="G1579" s="120">
        <f t="shared" si="656"/>
        <v>24341</v>
      </c>
      <c r="H1579" s="245">
        <f t="shared" si="657"/>
        <v>1</v>
      </c>
      <c r="I1579" s="121">
        <f t="shared" si="658"/>
        <v>1</v>
      </c>
      <c r="J1579" s="121">
        <f t="shared" si="659"/>
        <v>1</v>
      </c>
      <c r="K1579" s="120">
        <f t="shared" si="660"/>
        <v>0</v>
      </c>
      <c r="L1579" s="120">
        <f t="shared" si="661"/>
        <v>0</v>
      </c>
      <c r="M1579" s="246">
        <f t="shared" si="662"/>
        <v>0</v>
      </c>
      <c r="N1579" s="121">
        <f t="shared" si="663"/>
        <v>1</v>
      </c>
      <c r="O1579" s="246">
        <f t="shared" si="664"/>
        <v>1</v>
      </c>
      <c r="P1579" s="121">
        <f t="shared" si="665"/>
        <v>0</v>
      </c>
      <c r="Q1579" s="121">
        <f t="shared" si="666"/>
        <v>0</v>
      </c>
      <c r="R1579" s="121">
        <f t="shared" si="667"/>
        <v>1</v>
      </c>
      <c r="AE1579" s="160">
        <f t="shared" si="668"/>
        <v>1</v>
      </c>
    </row>
    <row r="1580" spans="1:35" x14ac:dyDescent="0.3">
      <c r="A1580" s="187">
        <v>43</v>
      </c>
      <c r="B1580" s="242">
        <f t="shared" si="669"/>
        <v>46935</v>
      </c>
      <c r="C1580" s="243">
        <f t="shared" si="652"/>
        <v>46965</v>
      </c>
      <c r="D1580" s="120">
        <f t="shared" si="653"/>
        <v>31</v>
      </c>
      <c r="E1580" s="120">
        <f t="shared" si="654"/>
        <v>7</v>
      </c>
      <c r="F1580" s="275">
        <f t="shared" si="655"/>
        <v>46950.5</v>
      </c>
      <c r="G1580" s="120">
        <f t="shared" si="656"/>
        <v>24342</v>
      </c>
      <c r="H1580" s="245">
        <f t="shared" si="657"/>
        <v>1</v>
      </c>
      <c r="I1580" s="121">
        <f t="shared" si="658"/>
        <v>1</v>
      </c>
      <c r="J1580" s="121">
        <f t="shared" si="659"/>
        <v>1</v>
      </c>
      <c r="K1580" s="120">
        <f t="shared" si="660"/>
        <v>0</v>
      </c>
      <c r="L1580" s="120">
        <f t="shared" si="661"/>
        <v>0</v>
      </c>
      <c r="M1580" s="246">
        <f t="shared" si="662"/>
        <v>0</v>
      </c>
      <c r="N1580" s="121">
        <f t="shared" si="663"/>
        <v>1</v>
      </c>
      <c r="O1580" s="246">
        <f t="shared" si="664"/>
        <v>1</v>
      </c>
      <c r="P1580" s="121">
        <f t="shared" si="665"/>
        <v>0</v>
      </c>
      <c r="Q1580" s="121">
        <f t="shared" si="666"/>
        <v>0</v>
      </c>
      <c r="R1580" s="121">
        <f t="shared" si="667"/>
        <v>0.91666666666666663</v>
      </c>
      <c r="AE1580" s="160">
        <f t="shared" si="668"/>
        <v>1</v>
      </c>
    </row>
    <row r="1581" spans="1:35" x14ac:dyDescent="0.3">
      <c r="A1581" s="187">
        <v>44</v>
      </c>
      <c r="B1581" s="242">
        <f t="shared" si="669"/>
        <v>46966</v>
      </c>
      <c r="C1581" s="243">
        <f t="shared" si="652"/>
        <v>46996</v>
      </c>
      <c r="D1581" s="120">
        <f t="shared" si="653"/>
        <v>31</v>
      </c>
      <c r="E1581" s="120">
        <f t="shared" si="654"/>
        <v>8</v>
      </c>
      <c r="F1581" s="275">
        <f t="shared" si="655"/>
        <v>46981.5</v>
      </c>
      <c r="G1581" s="120">
        <f t="shared" si="656"/>
        <v>24343</v>
      </c>
      <c r="H1581" s="245">
        <f t="shared" si="657"/>
        <v>1</v>
      </c>
      <c r="I1581" s="121">
        <f t="shared" si="658"/>
        <v>1</v>
      </c>
      <c r="J1581" s="121">
        <f t="shared" si="659"/>
        <v>1</v>
      </c>
      <c r="K1581" s="120">
        <f t="shared" si="660"/>
        <v>0</v>
      </c>
      <c r="L1581" s="120">
        <f t="shared" si="661"/>
        <v>0</v>
      </c>
      <c r="M1581" s="246">
        <f t="shared" si="662"/>
        <v>0</v>
      </c>
      <c r="N1581" s="121">
        <f t="shared" si="663"/>
        <v>1</v>
      </c>
      <c r="O1581" s="246">
        <f t="shared" si="664"/>
        <v>1</v>
      </c>
      <c r="P1581" s="121">
        <f t="shared" si="665"/>
        <v>0</v>
      </c>
      <c r="Q1581" s="121">
        <f t="shared" si="666"/>
        <v>0</v>
      </c>
      <c r="R1581" s="121">
        <f t="shared" si="667"/>
        <v>0.75</v>
      </c>
      <c r="AE1581" s="160">
        <f t="shared" si="668"/>
        <v>1</v>
      </c>
    </row>
    <row r="1582" spans="1:35" x14ac:dyDescent="0.3">
      <c r="A1582" s="187">
        <v>45</v>
      </c>
      <c r="B1582" s="242">
        <f t="shared" si="669"/>
        <v>46997</v>
      </c>
      <c r="C1582" s="243">
        <f t="shared" si="652"/>
        <v>47026</v>
      </c>
      <c r="D1582" s="120">
        <f t="shared" si="653"/>
        <v>30</v>
      </c>
      <c r="E1582" s="120">
        <f t="shared" si="654"/>
        <v>9</v>
      </c>
      <c r="F1582" s="275">
        <f t="shared" si="655"/>
        <v>47012</v>
      </c>
      <c r="G1582" s="120">
        <f t="shared" si="656"/>
        <v>24344</v>
      </c>
      <c r="H1582" s="245">
        <f t="shared" si="657"/>
        <v>1</v>
      </c>
      <c r="I1582" s="121">
        <f t="shared" si="658"/>
        <v>1</v>
      </c>
      <c r="J1582" s="121">
        <f t="shared" si="659"/>
        <v>1</v>
      </c>
      <c r="K1582" s="120">
        <f t="shared" si="660"/>
        <v>0</v>
      </c>
      <c r="L1582" s="120">
        <f t="shared" si="661"/>
        <v>0</v>
      </c>
      <c r="M1582" s="246">
        <f t="shared" si="662"/>
        <v>0</v>
      </c>
      <c r="N1582" s="121">
        <f t="shared" si="663"/>
        <v>1</v>
      </c>
      <c r="O1582" s="246">
        <f t="shared" si="664"/>
        <v>1</v>
      </c>
      <c r="P1582" s="121">
        <f t="shared" si="665"/>
        <v>0</v>
      </c>
      <c r="Q1582" s="121">
        <f t="shared" si="666"/>
        <v>0</v>
      </c>
      <c r="R1582" s="121">
        <f t="shared" si="667"/>
        <v>0.58333333333333337</v>
      </c>
      <c r="AE1582" s="160">
        <f t="shared" si="668"/>
        <v>1</v>
      </c>
    </row>
    <row r="1583" spans="1:35" x14ac:dyDescent="0.3">
      <c r="A1583" s="187">
        <v>46</v>
      </c>
      <c r="B1583" s="242">
        <f t="shared" si="669"/>
        <v>47027</v>
      </c>
      <c r="C1583" s="243">
        <f t="shared" si="652"/>
        <v>47057</v>
      </c>
      <c r="D1583" s="120">
        <f t="shared" si="653"/>
        <v>31</v>
      </c>
      <c r="E1583" s="120">
        <f t="shared" si="654"/>
        <v>10</v>
      </c>
      <c r="F1583" s="275">
        <f t="shared" si="655"/>
        <v>47042.5</v>
      </c>
      <c r="G1583" s="120">
        <f t="shared" si="656"/>
        <v>24345</v>
      </c>
      <c r="H1583" s="245">
        <f t="shared" si="657"/>
        <v>1</v>
      </c>
      <c r="I1583" s="121">
        <f t="shared" si="658"/>
        <v>1</v>
      </c>
      <c r="J1583" s="121">
        <f t="shared" si="659"/>
        <v>1</v>
      </c>
      <c r="K1583" s="120">
        <f t="shared" si="660"/>
        <v>0</v>
      </c>
      <c r="L1583" s="120">
        <f t="shared" si="661"/>
        <v>0</v>
      </c>
      <c r="M1583" s="246">
        <f t="shared" si="662"/>
        <v>0</v>
      </c>
      <c r="N1583" s="121">
        <f t="shared" si="663"/>
        <v>1</v>
      </c>
      <c r="O1583" s="246">
        <f t="shared" si="664"/>
        <v>1</v>
      </c>
      <c r="P1583" s="121">
        <f t="shared" si="665"/>
        <v>0</v>
      </c>
      <c r="Q1583" s="121">
        <f t="shared" si="666"/>
        <v>0</v>
      </c>
      <c r="R1583" s="121">
        <f t="shared" si="667"/>
        <v>0.41666666666666669</v>
      </c>
      <c r="AE1583" s="160">
        <f t="shared" si="668"/>
        <v>1</v>
      </c>
    </row>
    <row r="1584" spans="1:35" x14ac:dyDescent="0.3">
      <c r="A1584" s="187">
        <v>47</v>
      </c>
      <c r="B1584" s="242">
        <f t="shared" si="669"/>
        <v>47058</v>
      </c>
      <c r="C1584" s="243">
        <f t="shared" si="652"/>
        <v>47087</v>
      </c>
      <c r="D1584" s="120">
        <f t="shared" si="653"/>
        <v>30</v>
      </c>
      <c r="E1584" s="120">
        <f t="shared" si="654"/>
        <v>11</v>
      </c>
      <c r="F1584" s="275">
        <f t="shared" si="655"/>
        <v>47073</v>
      </c>
      <c r="G1584" s="120">
        <f t="shared" si="656"/>
        <v>24346</v>
      </c>
      <c r="H1584" s="245">
        <f t="shared" si="657"/>
        <v>1</v>
      </c>
      <c r="I1584" s="121">
        <f t="shared" si="658"/>
        <v>1</v>
      </c>
      <c r="J1584" s="121">
        <f t="shared" si="659"/>
        <v>1</v>
      </c>
      <c r="K1584" s="120">
        <f t="shared" si="660"/>
        <v>0</v>
      </c>
      <c r="L1584" s="120">
        <f t="shared" si="661"/>
        <v>0</v>
      </c>
      <c r="M1584" s="246">
        <f t="shared" si="662"/>
        <v>0</v>
      </c>
      <c r="N1584" s="121">
        <f t="shared" si="663"/>
        <v>1</v>
      </c>
      <c r="O1584" s="246">
        <f t="shared" si="664"/>
        <v>1</v>
      </c>
      <c r="P1584" s="121">
        <f t="shared" si="665"/>
        <v>0</v>
      </c>
      <c r="Q1584" s="121">
        <f t="shared" si="666"/>
        <v>0</v>
      </c>
      <c r="R1584" s="121">
        <f t="shared" si="667"/>
        <v>0.25</v>
      </c>
      <c r="AE1584" s="160">
        <f t="shared" si="668"/>
        <v>1</v>
      </c>
    </row>
    <row r="1585" spans="1:31" x14ac:dyDescent="0.3">
      <c r="A1585" s="187">
        <v>48</v>
      </c>
      <c r="B1585" s="242">
        <f t="shared" si="669"/>
        <v>47088</v>
      </c>
      <c r="C1585" s="243">
        <f t="shared" si="652"/>
        <v>47118</v>
      </c>
      <c r="D1585" s="120">
        <f t="shared" si="653"/>
        <v>31</v>
      </c>
      <c r="E1585" s="120">
        <f t="shared" si="654"/>
        <v>12</v>
      </c>
      <c r="F1585" s="275">
        <f t="shared" si="655"/>
        <v>47103.5</v>
      </c>
      <c r="G1585" s="120">
        <f t="shared" si="656"/>
        <v>24347</v>
      </c>
      <c r="H1585" s="245">
        <f t="shared" si="657"/>
        <v>1</v>
      </c>
      <c r="I1585" s="121">
        <f t="shared" si="658"/>
        <v>1</v>
      </c>
      <c r="J1585" s="121">
        <f t="shared" si="659"/>
        <v>1</v>
      </c>
      <c r="K1585" s="120">
        <f t="shared" si="660"/>
        <v>0</v>
      </c>
      <c r="L1585" s="120">
        <f t="shared" si="661"/>
        <v>0</v>
      </c>
      <c r="M1585" s="246">
        <f t="shared" si="662"/>
        <v>0</v>
      </c>
      <c r="N1585" s="121">
        <f t="shared" si="663"/>
        <v>1</v>
      </c>
      <c r="O1585" s="246">
        <f t="shared" si="664"/>
        <v>1</v>
      </c>
      <c r="P1585" s="121">
        <f t="shared" si="665"/>
        <v>0</v>
      </c>
      <c r="Q1585" s="121">
        <f t="shared" si="666"/>
        <v>0</v>
      </c>
      <c r="R1585" s="121">
        <f t="shared" si="667"/>
        <v>8.3333333333333329E-2</v>
      </c>
      <c r="AE1585" s="160">
        <f t="shared" si="668"/>
        <v>1</v>
      </c>
    </row>
    <row r="1586" spans="1:31" x14ac:dyDescent="0.3">
      <c r="A1586" s="23" t="s">
        <v>1723</v>
      </c>
      <c r="B1586" s="279">
        <f>SUM($H$1562:$H$1573)</f>
        <v>12</v>
      </c>
      <c r="C1586" s="160">
        <f>SUMPRODUCT($H$1562:$H$1573,$W$1562:$W$1573/$N$1550:$N$1561,$Y$1562:$Y$1573)</f>
        <v>12</v>
      </c>
      <c r="D1586" s="160">
        <f>SUMPRODUCT($H$1562:$H$1573,$X$1562:$X$1573/$N$1550:$N$1561,$Y$1562:$Y$1573)</f>
        <v>9</v>
      </c>
      <c r="E1586" s="281" t="str">
        <f>IF(OR($D$1535=0,$P$1535=0,$D1586=0),"n/a",((1+$E$1535)*$B1586-$C1586)/$D1586)</f>
        <v>n/a</v>
      </c>
      <c r="F1586" s="281" t="str">
        <f>IF($V$1535&lt;&gt;"",$V$1535,$E1586)</f>
        <v>n/a</v>
      </c>
      <c r="G1586" s="281" t="str">
        <f>IF(OR(NOT(ISNUMBER($F1586)),nd_Ach=0),"n/a",$F1586/nd_Ach)</f>
        <v>n/a</v>
      </c>
      <c r="H1586" s="220" t="str">
        <f>IF(OR(NOT(ISNUMBER($F1586)),$F$1535=0,SUMPRODUCT($AD$1562:$AD$1573,$AB$1562:$AB$1573)=0),"n/a",((1+$E$1535)*$B1586-SUMPRODUCT($AD$1562:$AD$1573,$AC$1562:$AC$1573))/SUMPRODUCT($AD$1562:$AD$1573,$AB$1562:$AB$1573))</f>
        <v>n/a</v>
      </c>
      <c r="I1586" s="183" t="str">
        <f>IF(NOT(ISNUMBER($F1586)),"n/a",SUMPRODUCT($H$1562:$H$1573,($W$1562:$W$1573+$X$1562:$X$1573*$F1586)/$N$1550:$N$1561)/$B1586-1)</f>
        <v>n/a</v>
      </c>
      <c r="J1586" s="183" t="str">
        <f>IF(OR(NOT(ISNUMBER($I1586)),$F$1535=0),"n/a",(1+$E$1535)/(1+$I1586)-1)</f>
        <v>n/a</v>
      </c>
      <c r="K1586" s="183" t="str">
        <f>IF(NOT(ISNUMBER($F1586)),"n/a",($C1586+$D1586*$F1586)/$B1586-1)</f>
        <v>n/a</v>
      </c>
      <c r="L1586" s="229" t="str">
        <f>IF(NOT(ISNUMBER($F1586)),"n/a",SUMPRODUCT($H$1562:$H$1573,$AF$1562:$AF$1573)/$B1586)</f>
        <v>n/a</v>
      </c>
      <c r="M1586" s="23" t="str">
        <f>IF($D$1535=0,"",TRIM(IF(AND(ISNUMBER($H1586),OR($H1586&lt;0.5,$H1586&gt;1.5)),"MOD-BOUND ","")&amp;IF(AND(ISNUMBER($F1586),ABS($F1586)&gt;nr_SolvMaxRate),"RATE-BOUND ","")&amp;IF(AND(ISNUMBER($L1586),$L1586&lt;nr_SolvMinShare),"THIN-SHARE ","")&amp;IF($W$1535&gt;1,"MULTI-PLANNED ","")&amp;IF($F$1535=0,"RATE-ONLY","")))</f>
        <v/>
      </c>
      <c r="N1586" s="229" t="str">
        <f>IF(OR($D$1535=0,NOT(ISNUMBER($F1586))),"n/a",INDEX(calc_lrcur,$C$1535)*INDEX(calc_crl,$C$1535)/(SUMPRODUCT($H$1538:$H$1585,$Q$1538:$Q$1585,$AE$1538:$AE$1585)/SUMPRODUCT($H$1538:$H$1585,$Q$1538:$Q$1585))*INDEX(calc_aother,$C$1535))</f>
        <v>n/a</v>
      </c>
      <c r="O1586" s="229" t="str">
        <f>IF($D$1535=0,"n/a",INDEX(calc_cylr_p,$C$1535))</f>
        <v>n/a</v>
      </c>
      <c r="P1586" s="282">
        <f>IF(NOT(ISNUMBER($E1586)),0,ABS(($C1586+$D1586*$E1586)/$B1586-(1+$E$1535)))</f>
        <v>0</v>
      </c>
    </row>
    <row r="1590" spans="1:31" x14ac:dyDescent="0.3">
      <c r="M1590" s="23" t="s">
        <v>1724</v>
      </c>
    </row>
    <row r="1591" spans="1:31" x14ac:dyDescent="0.3">
      <c r="A1591" s="23" t="str">
        <f>nd_BandState</f>
        <v>KY</v>
      </c>
      <c r="B1591" s="23" t="str">
        <f>IF(OR(nd_BandBU="",nd_BandState=""),"",nd_BandBU&amp;"|"&amp;nd_BandState)</f>
        <v>SBA|KY</v>
      </c>
      <c r="C1591" s="43">
        <f>IF($B1591="",0,IF(COUNTIF(lr_key,$B1591)=0,0,MATCH($B1591,lr_key,0)))</f>
        <v>51</v>
      </c>
      <c r="D1591" s="43">
        <f>IF($C1591=0,0,IF(ISBLANK(INDEX(lr_netp,$C1591)),0,1))</f>
        <v>1</v>
      </c>
      <c r="E1591" s="229">
        <f>IF($D1591=0,0,N(INDEX(lr_netp,$C1591)))</f>
        <v>0.1</v>
      </c>
      <c r="F1591" s="43">
        <f>IF($C1591=0,0,IF(AND(nr_ModAdjMaster="ON",INDEX(lr_modadj,$C1591)="ON"),1,0))</f>
        <v>1</v>
      </c>
      <c r="G1591" s="220">
        <f>IF($C1591=0,1,IF(N(INDEX(lr_mind,$C1591))=0,1,INDEX(lr_mind,$C1591)))</f>
        <v>0.92</v>
      </c>
      <c r="H1591" s="220">
        <f>IF($C1591=0,1,IF(N(INDEX(lr_m0,$C1591))=0,1,INDEX(lr_m0,$C1591)))</f>
        <v>0.91</v>
      </c>
      <c r="I1591" s="278">
        <f>IF($C1591=0,DATE(nr_PlanYear-1,10,1),IF(N(INDEX(lr_m0asof,$C1591))=0,DATE(nr_PlanYear-1,10,1),INDEX(lr_m0asof,$C1591)))</f>
        <v>46295</v>
      </c>
      <c r="J1591" s="220">
        <f>IF($C1591=0,1,IF(N(INDEX(lr_m1,$C1591))=0,1,INDEX(lr_m1,$C1591)))</f>
        <v>0.91500000000000004</v>
      </c>
      <c r="K1591" s="220">
        <f>IF($C1591=0,0,N(INDEX(lr_mprior,$C1591)))</f>
        <v>0</v>
      </c>
      <c r="L1591" s="220">
        <f>IF($C1591=0,0,N(INDEX(lr_m2,$C1591)))</f>
        <v>0</v>
      </c>
      <c r="M1591" s="43">
        <f>IF(OR($A1591="",COUNTIF(se_state,$A1591)=0),0,MATCH($A1591,se_state,0))</f>
        <v>0</v>
      </c>
      <c r="N1591" s="279">
        <f>IF($M1591=0,0,INDEX(se_sum,$M1591))</f>
        <v>0</v>
      </c>
      <c r="O1591" s="278">
        <f>IF(OR($B1591="",COUNTIF(ndd_states,nd_BandState)=0),$X1591,IF(INDEX(ndd_dates,MATCH(nd_BandState,ndd_states,0))="",$X1591,INDEX(ndd_dates,MATCH(nd_BandState,ndd_states,0))))</f>
        <v>46478</v>
      </c>
      <c r="P1591" s="43">
        <f>IF(AND($O1591&gt;=DATE(nr_PlanYear,1,1),$O1591&lt;=DATE(nr_PlanYear,12,31)),1,0)</f>
        <v>1</v>
      </c>
      <c r="Q1591" s="43">
        <f>YEAR($O1591)*12+MONTH($O1591)-1</f>
        <v>24327</v>
      </c>
      <c r="R1591" s="43">
        <f>DAY(EOMONTH($O1591,0))</f>
        <v>30</v>
      </c>
      <c r="S1591" s="43">
        <f>EOMONTH($O1591,0)-$O1591+1</f>
        <v>30</v>
      </c>
      <c r="T1591" s="43">
        <f>SUMIFS(ndl_days,rl_key,$B1591,ndl_effmonth,DATE(YEAR($O1591),MONTH($O1591),1),ndl_first,1)</f>
        <v>0</v>
      </c>
      <c r="U1591" s="220">
        <f>IF($P1591=1,MIN(1,MAX($S1591,$T1591)/$R1591),1)</f>
        <v>1</v>
      </c>
      <c r="V1591" s="280">
        <f>IF(OR($B1591="",COUNTIF(ndd_states,nd_BandState)=0),$Y1591,IF(ISBLANK(INDEX(ndd_filed,MATCH(nd_BandState,ndd_states,0))),$Y1591,INDEX(ndd_filed,MATCH(nd_BandState,ndd_states,0))))</f>
        <v>0.04</v>
      </c>
      <c r="W1591" s="43">
        <f>IF($B1591="",0,COUNTIFS(rl_key,$B1591,rl_status,"planned",rl_eff,"&gt;="&amp;DATE(nr_PlanYear,1,1),rl_eff,"&lt;="&amp;DATE(nr_PlanYear,12,31)))</f>
        <v>1</v>
      </c>
      <c r="X1591" s="278">
        <f>IF($W1591=0,nd_DefaultDate,SUMIFS(rl_eff,rl_key,$B1591,rl_firstplanned,1))</f>
        <v>46478</v>
      </c>
      <c r="Y1591" s="280">
        <f>IF($W1591=0,"",SUMIFS(rl_reff,rl_key,$B1591,rl_firstplanned,1))</f>
        <v>0.04</v>
      </c>
      <c r="Z1591" s="280">
        <f>IF($W1591=0,"",SUMIFS(rl_filed,rl_key,$B1591,rl_firstplanned,1))</f>
        <v>0.04</v>
      </c>
    </row>
    <row r="1592" spans="1:31" x14ac:dyDescent="0.3">
      <c r="A1592" s="6">
        <f>EDATE($I$1591,-12)+1</f>
        <v>45931</v>
      </c>
      <c r="B1592" s="6">
        <f>$I$1591+1</f>
        <v>46296</v>
      </c>
      <c r="C1592" s="6">
        <f>DATE(nr_PlanYear,12,31)+1</f>
        <v>46753</v>
      </c>
      <c r="D1592" s="6">
        <f>DATE(nr_PlanYear+1,12,31)+1</f>
        <v>47119</v>
      </c>
      <c r="E1592" s="6">
        <f>IF(N($K$1591)=0,$F$1592-($G$1592-$F$1592)/($C$1592-$B$1592)*($B$1592-$A$1592),$K$1591)</f>
        <v>0.90600656455142237</v>
      </c>
      <c r="F1592" s="6">
        <f>$H$1591</f>
        <v>0.91</v>
      </c>
      <c r="G1592" s="6">
        <f>$J$1591</f>
        <v>0.91500000000000004</v>
      </c>
      <c r="H1592" s="6">
        <f>IF(N($L$1591)=0,$J$1591,$L$1591)</f>
        <v>0.91500000000000004</v>
      </c>
      <c r="I1592" s="6">
        <f>($F$1592-$E$1592)/($B$1592-$A$1592)</f>
        <v>1.0940919037199081E-5</v>
      </c>
      <c r="J1592" s="6">
        <f>($G$1592-$F$1592)/($C$1592-$B$1592)</f>
        <v>1.0940919037199135E-5</v>
      </c>
      <c r="K1592" s="6">
        <f>($H$1592-$G$1592)/($D$1592-$C$1592)</f>
        <v>0</v>
      </c>
    </row>
    <row r="1593" spans="1:31" ht="36" x14ac:dyDescent="0.3">
      <c r="A1593" s="58" t="s">
        <v>390</v>
      </c>
      <c r="B1593" s="58" t="s">
        <v>449</v>
      </c>
      <c r="C1593" s="58" t="s">
        <v>685</v>
      </c>
      <c r="D1593" s="58" t="s">
        <v>686</v>
      </c>
      <c r="E1593" s="58" t="s">
        <v>687</v>
      </c>
      <c r="F1593" s="58" t="s">
        <v>688</v>
      </c>
      <c r="G1593" s="58" t="s">
        <v>689</v>
      </c>
      <c r="H1593" s="58" t="s">
        <v>452</v>
      </c>
      <c r="I1593" s="58" t="s">
        <v>690</v>
      </c>
      <c r="J1593" s="58" t="s">
        <v>691</v>
      </c>
      <c r="K1593" s="58" t="s">
        <v>692</v>
      </c>
      <c r="L1593" s="58" t="s">
        <v>693</v>
      </c>
      <c r="M1593" s="58" t="s">
        <v>694</v>
      </c>
      <c r="N1593" s="58" t="s">
        <v>695</v>
      </c>
      <c r="O1593" s="58" t="s">
        <v>696</v>
      </c>
      <c r="P1593" s="58" t="s">
        <v>697</v>
      </c>
      <c r="Q1593" s="58" t="s">
        <v>698</v>
      </c>
      <c r="R1593" s="58" t="s">
        <v>699</v>
      </c>
      <c r="S1593" s="58" t="s">
        <v>700</v>
      </c>
      <c r="T1593" s="58" t="s">
        <v>701</v>
      </c>
      <c r="U1593" s="58" t="s">
        <v>702</v>
      </c>
    </row>
    <row r="1594" spans="1:31" x14ac:dyDescent="0.3">
      <c r="A1594" s="187">
        <v>1</v>
      </c>
      <c r="B1594" s="242">
        <f>DATE(nr_PlanYear-2,1,1)</f>
        <v>45658</v>
      </c>
      <c r="C1594" s="243">
        <f t="shared" ref="C1594:C1641" si="680">EOMONTH($B1594,0)</f>
        <v>45688</v>
      </c>
      <c r="D1594" s="120">
        <f t="shared" ref="D1594:D1641" si="681">$C1594-$B1594+1</f>
        <v>31</v>
      </c>
      <c r="E1594" s="120">
        <f t="shared" ref="E1594:E1641" si="682">MONTH($B1594)</f>
        <v>1</v>
      </c>
      <c r="F1594" s="275">
        <f t="shared" ref="F1594:F1641" si="683">($B1594+$C1594+1)/2</f>
        <v>45673.5</v>
      </c>
      <c r="G1594" s="120">
        <f t="shared" ref="G1594:G1641" si="684">YEAR($B1594)*12+MONTH($B1594)-1</f>
        <v>24300</v>
      </c>
      <c r="H1594" s="245">
        <f t="shared" ref="H1594:H1641" si="685">IF(OR(nr_SeasonOn="OFF",$M$1591=0,$N$1591=0),1,12*INDEX(se_block,$M$1591,$E1594)/$N$1591)</f>
        <v>1</v>
      </c>
      <c r="I1594" s="121">
        <f t="shared" ref="I1594:I1641" si="686">EXP(SUMPRODUCT((ndl_eff&lt;$B1594)*(rl_key=$B$1591)*ndl_ln))</f>
        <v>1</v>
      </c>
      <c r="J1594" s="121">
        <f t="shared" ref="J1594:J1641" si="687">EXP(SUMPRODUCT((ndl_eff&lt;=$C1594)*(rl_key=$B$1591)*ndl_ln))</f>
        <v>1</v>
      </c>
      <c r="K1594" s="120">
        <f t="shared" ref="K1594:K1641" si="688">COUNTIFS(rl_key,$B$1591,ndl_eff,"&gt;="&amp;$B1594,ndl_eff,"&lt;="&amp;$C1594)</f>
        <v>0</v>
      </c>
      <c r="L1594" s="120">
        <f t="shared" ref="L1594:L1641" si="689">SUMIFS(ndl_days,rl_key,$B$1591,ndl_effmonth,$B1594,ndl_first,1)</f>
        <v>0</v>
      </c>
      <c r="M1594" s="246">
        <f t="shared" ref="M1594:M1641" si="690">IF($K1594=0,0,MIN(1,$L1594/$D1594))</f>
        <v>0</v>
      </c>
      <c r="N1594" s="121">
        <f t="shared" ref="N1594:N1641" si="691">IF($K1594=0,$J1594,(1-$M1594)*$I1594+$M1594*$J1594)</f>
        <v>1</v>
      </c>
      <c r="O1594" s="246">
        <f t="shared" ref="O1594:O1641" si="692">IF($F1594&lt;$B$1592,$E$1592+$I$1592*($F1594-$A$1592),IF($F1594&lt;$C$1592,$F$1592+$J$1592*($F1594-$B$1592),$G$1592+$K$1592*($F1594-$C$1592)))</f>
        <v>0.90318927789934356</v>
      </c>
      <c r="P1594" s="121">
        <f t="shared" ref="P1594:P1641" si="693">MIN(1,MAX(0,(nr_MEndPm1-$G1594+0.5)/nr_TermMonths))-MIN(1,MAX(0,(nr_MStartPm1-1-$G1594+0.5)/nr_TermMonths))</f>
        <v>0</v>
      </c>
      <c r="Q1594" s="121">
        <f t="shared" ref="Q1594:Q1641" si="694">MIN(1,MAX(0,(nr_MEndP-$G1594+0.5)/nr_TermMonths))-MIN(1,MAX(0,(nr_MStartP-1-$G1594+0.5)/nr_TermMonths))</f>
        <v>0</v>
      </c>
      <c r="R1594" s="121">
        <f t="shared" ref="R1594:R1641" si="695">MIN(1,MAX(0,(nr_MEndP1-$G1594+0.5)/nr_TermMonths))-MIN(1,MAX(0,(nr_MStartP1-1-$G1594+0.5)/nr_TermMonths))</f>
        <v>0</v>
      </c>
      <c r="AE1594" s="160">
        <f t="shared" ref="AE1594:AE1641" si="696">IF(OR($G1594&lt;nr_MStartP,$G1594&gt;=nr_MStartP1),IF($F$1591=1,$N1594*$O1594/$G$1591,$N1594),($W1594+$X1594*IF(ISNUMBER($F$1642),$F$1642,0))*IF($F$1591=1,($AC1594+$AB1594*IF(ISNUMBER($H$1642),$H$1642,$J$1591))/$G$1591,1))</f>
        <v>0.98172747597754728</v>
      </c>
    </row>
    <row r="1595" spans="1:31" x14ac:dyDescent="0.3">
      <c r="A1595" s="187">
        <v>2</v>
      </c>
      <c r="B1595" s="242">
        <f t="shared" ref="B1595:B1641" si="697">EDATE($B1594,1)</f>
        <v>45689</v>
      </c>
      <c r="C1595" s="243">
        <f t="shared" si="680"/>
        <v>45716</v>
      </c>
      <c r="D1595" s="120">
        <f t="shared" si="681"/>
        <v>28</v>
      </c>
      <c r="E1595" s="120">
        <f t="shared" si="682"/>
        <v>2</v>
      </c>
      <c r="F1595" s="275">
        <f t="shared" si="683"/>
        <v>45703</v>
      </c>
      <c r="G1595" s="120">
        <f t="shared" si="684"/>
        <v>24301</v>
      </c>
      <c r="H1595" s="245">
        <f t="shared" si="685"/>
        <v>1</v>
      </c>
      <c r="I1595" s="121">
        <f t="shared" si="686"/>
        <v>1</v>
      </c>
      <c r="J1595" s="121">
        <f t="shared" si="687"/>
        <v>1</v>
      </c>
      <c r="K1595" s="120">
        <f t="shared" si="688"/>
        <v>0</v>
      </c>
      <c r="L1595" s="120">
        <f t="shared" si="689"/>
        <v>0</v>
      </c>
      <c r="M1595" s="246">
        <f t="shared" si="690"/>
        <v>0</v>
      </c>
      <c r="N1595" s="121">
        <f t="shared" si="691"/>
        <v>1</v>
      </c>
      <c r="O1595" s="246">
        <f t="shared" si="692"/>
        <v>0.90351203501094102</v>
      </c>
      <c r="P1595" s="121">
        <f t="shared" si="693"/>
        <v>0</v>
      </c>
      <c r="Q1595" s="121">
        <f t="shared" si="694"/>
        <v>0</v>
      </c>
      <c r="R1595" s="121">
        <f t="shared" si="695"/>
        <v>0</v>
      </c>
      <c r="AE1595" s="160">
        <f t="shared" si="696"/>
        <v>0.98207829892493581</v>
      </c>
    </row>
    <row r="1596" spans="1:31" x14ac:dyDescent="0.3">
      <c r="A1596" s="187">
        <v>3</v>
      </c>
      <c r="B1596" s="242">
        <f t="shared" si="697"/>
        <v>45717</v>
      </c>
      <c r="C1596" s="243">
        <f t="shared" si="680"/>
        <v>45747</v>
      </c>
      <c r="D1596" s="120">
        <f t="shared" si="681"/>
        <v>31</v>
      </c>
      <c r="E1596" s="120">
        <f t="shared" si="682"/>
        <v>3</v>
      </c>
      <c r="F1596" s="275">
        <f t="shared" si="683"/>
        <v>45732.5</v>
      </c>
      <c r="G1596" s="120">
        <f t="shared" si="684"/>
        <v>24302</v>
      </c>
      <c r="H1596" s="245">
        <f t="shared" si="685"/>
        <v>1</v>
      </c>
      <c r="I1596" s="121">
        <f t="shared" si="686"/>
        <v>1</v>
      </c>
      <c r="J1596" s="121">
        <f t="shared" si="687"/>
        <v>1</v>
      </c>
      <c r="K1596" s="120">
        <f t="shared" si="688"/>
        <v>0</v>
      </c>
      <c r="L1596" s="120">
        <f t="shared" si="689"/>
        <v>0</v>
      </c>
      <c r="M1596" s="246">
        <f t="shared" si="690"/>
        <v>0</v>
      </c>
      <c r="N1596" s="121">
        <f t="shared" si="691"/>
        <v>1</v>
      </c>
      <c r="O1596" s="246">
        <f t="shared" si="692"/>
        <v>0.90383479212253837</v>
      </c>
      <c r="P1596" s="121">
        <f t="shared" si="693"/>
        <v>0</v>
      </c>
      <c r="Q1596" s="121">
        <f t="shared" si="694"/>
        <v>0</v>
      </c>
      <c r="R1596" s="121">
        <f t="shared" si="695"/>
        <v>0</v>
      </c>
      <c r="AE1596" s="160">
        <f t="shared" si="696"/>
        <v>0.98242912187232423</v>
      </c>
    </row>
    <row r="1597" spans="1:31" x14ac:dyDescent="0.3">
      <c r="A1597" s="187">
        <v>4</v>
      </c>
      <c r="B1597" s="242">
        <f t="shared" si="697"/>
        <v>45748</v>
      </c>
      <c r="C1597" s="243">
        <f t="shared" si="680"/>
        <v>45777</v>
      </c>
      <c r="D1597" s="120">
        <f t="shared" si="681"/>
        <v>30</v>
      </c>
      <c r="E1597" s="120">
        <f t="shared" si="682"/>
        <v>4</v>
      </c>
      <c r="F1597" s="275">
        <f t="shared" si="683"/>
        <v>45763</v>
      </c>
      <c r="G1597" s="120">
        <f t="shared" si="684"/>
        <v>24303</v>
      </c>
      <c r="H1597" s="245">
        <f t="shared" si="685"/>
        <v>1</v>
      </c>
      <c r="I1597" s="121">
        <f t="shared" si="686"/>
        <v>1</v>
      </c>
      <c r="J1597" s="121">
        <f t="shared" si="687"/>
        <v>1</v>
      </c>
      <c r="K1597" s="120">
        <f t="shared" si="688"/>
        <v>0</v>
      </c>
      <c r="L1597" s="120">
        <f t="shared" si="689"/>
        <v>0</v>
      </c>
      <c r="M1597" s="246">
        <f t="shared" si="690"/>
        <v>0</v>
      </c>
      <c r="N1597" s="121">
        <f t="shared" si="691"/>
        <v>1</v>
      </c>
      <c r="O1597" s="246">
        <f t="shared" si="692"/>
        <v>0.90416849015317291</v>
      </c>
      <c r="P1597" s="121">
        <f t="shared" si="693"/>
        <v>0</v>
      </c>
      <c r="Q1597" s="121">
        <f t="shared" si="694"/>
        <v>0</v>
      </c>
      <c r="R1597" s="121">
        <f t="shared" si="695"/>
        <v>0</v>
      </c>
      <c r="AE1597" s="160">
        <f t="shared" si="696"/>
        <v>0.98279183712301399</v>
      </c>
    </row>
    <row r="1598" spans="1:31" x14ac:dyDescent="0.3">
      <c r="A1598" s="187">
        <v>5</v>
      </c>
      <c r="B1598" s="242">
        <f t="shared" si="697"/>
        <v>45778</v>
      </c>
      <c r="C1598" s="243">
        <f t="shared" si="680"/>
        <v>45808</v>
      </c>
      <c r="D1598" s="120">
        <f t="shared" si="681"/>
        <v>31</v>
      </c>
      <c r="E1598" s="120">
        <f t="shared" si="682"/>
        <v>5</v>
      </c>
      <c r="F1598" s="275">
        <f t="shared" si="683"/>
        <v>45793.5</v>
      </c>
      <c r="G1598" s="120">
        <f t="shared" si="684"/>
        <v>24304</v>
      </c>
      <c r="H1598" s="245">
        <f t="shared" si="685"/>
        <v>1</v>
      </c>
      <c r="I1598" s="121">
        <f t="shared" si="686"/>
        <v>1</v>
      </c>
      <c r="J1598" s="121">
        <f t="shared" si="687"/>
        <v>1</v>
      </c>
      <c r="K1598" s="120">
        <f t="shared" si="688"/>
        <v>0</v>
      </c>
      <c r="L1598" s="120">
        <f t="shared" si="689"/>
        <v>0</v>
      </c>
      <c r="M1598" s="246">
        <f t="shared" si="690"/>
        <v>0</v>
      </c>
      <c r="N1598" s="121">
        <f t="shared" si="691"/>
        <v>1</v>
      </c>
      <c r="O1598" s="246">
        <f t="shared" si="692"/>
        <v>0.90450218818380745</v>
      </c>
      <c r="P1598" s="121">
        <f t="shared" si="693"/>
        <v>0</v>
      </c>
      <c r="Q1598" s="121">
        <f t="shared" si="694"/>
        <v>0</v>
      </c>
      <c r="R1598" s="121">
        <f t="shared" si="695"/>
        <v>0</v>
      </c>
      <c r="AE1598" s="160">
        <f t="shared" si="696"/>
        <v>0.98315455237370375</v>
      </c>
    </row>
    <row r="1599" spans="1:31" x14ac:dyDescent="0.3">
      <c r="A1599" s="187">
        <v>6</v>
      </c>
      <c r="B1599" s="242">
        <f t="shared" si="697"/>
        <v>45809</v>
      </c>
      <c r="C1599" s="243">
        <f t="shared" si="680"/>
        <v>45838</v>
      </c>
      <c r="D1599" s="120">
        <f t="shared" si="681"/>
        <v>30</v>
      </c>
      <c r="E1599" s="120">
        <f t="shared" si="682"/>
        <v>6</v>
      </c>
      <c r="F1599" s="275">
        <f t="shared" si="683"/>
        <v>45824</v>
      </c>
      <c r="G1599" s="120">
        <f t="shared" si="684"/>
        <v>24305</v>
      </c>
      <c r="H1599" s="245">
        <f t="shared" si="685"/>
        <v>1</v>
      </c>
      <c r="I1599" s="121">
        <f t="shared" si="686"/>
        <v>1</v>
      </c>
      <c r="J1599" s="121">
        <f t="shared" si="687"/>
        <v>1</v>
      </c>
      <c r="K1599" s="120">
        <f t="shared" si="688"/>
        <v>0</v>
      </c>
      <c r="L1599" s="120">
        <f t="shared" si="689"/>
        <v>0</v>
      </c>
      <c r="M1599" s="246">
        <f t="shared" si="690"/>
        <v>0</v>
      </c>
      <c r="N1599" s="121">
        <f t="shared" si="691"/>
        <v>1</v>
      </c>
      <c r="O1599" s="246">
        <f t="shared" si="692"/>
        <v>0.90483588621444211</v>
      </c>
      <c r="P1599" s="121">
        <f t="shared" si="693"/>
        <v>0</v>
      </c>
      <c r="Q1599" s="121">
        <f t="shared" si="694"/>
        <v>0</v>
      </c>
      <c r="R1599" s="121">
        <f t="shared" si="695"/>
        <v>0</v>
      </c>
      <c r="AE1599" s="160">
        <f t="shared" si="696"/>
        <v>0.98351726762439351</v>
      </c>
    </row>
    <row r="1600" spans="1:31" x14ac:dyDescent="0.3">
      <c r="A1600" s="187">
        <v>7</v>
      </c>
      <c r="B1600" s="242">
        <f t="shared" si="697"/>
        <v>45839</v>
      </c>
      <c r="C1600" s="243">
        <f t="shared" si="680"/>
        <v>45869</v>
      </c>
      <c r="D1600" s="120">
        <f t="shared" si="681"/>
        <v>31</v>
      </c>
      <c r="E1600" s="120">
        <f t="shared" si="682"/>
        <v>7</v>
      </c>
      <c r="F1600" s="275">
        <f t="shared" si="683"/>
        <v>45854.5</v>
      </c>
      <c r="G1600" s="120">
        <f t="shared" si="684"/>
        <v>24306</v>
      </c>
      <c r="H1600" s="245">
        <f t="shared" si="685"/>
        <v>1</v>
      </c>
      <c r="I1600" s="121">
        <f t="shared" si="686"/>
        <v>1</v>
      </c>
      <c r="J1600" s="121">
        <f t="shared" si="687"/>
        <v>1</v>
      </c>
      <c r="K1600" s="120">
        <f t="shared" si="688"/>
        <v>0</v>
      </c>
      <c r="L1600" s="120">
        <f t="shared" si="689"/>
        <v>0</v>
      </c>
      <c r="M1600" s="246">
        <f t="shared" si="690"/>
        <v>0</v>
      </c>
      <c r="N1600" s="121">
        <f t="shared" si="691"/>
        <v>1</v>
      </c>
      <c r="O1600" s="246">
        <f t="shared" si="692"/>
        <v>0.90516958424507665</v>
      </c>
      <c r="P1600" s="121">
        <f t="shared" si="693"/>
        <v>8.333333333333337E-2</v>
      </c>
      <c r="Q1600" s="121">
        <f t="shared" si="694"/>
        <v>0</v>
      </c>
      <c r="R1600" s="121">
        <f t="shared" si="695"/>
        <v>0</v>
      </c>
      <c r="AE1600" s="160">
        <f t="shared" si="696"/>
        <v>0.98387998287508327</v>
      </c>
    </row>
    <row r="1601" spans="1:37" x14ac:dyDescent="0.3">
      <c r="A1601" s="187">
        <v>8</v>
      </c>
      <c r="B1601" s="242">
        <f t="shared" si="697"/>
        <v>45870</v>
      </c>
      <c r="C1601" s="243">
        <f t="shared" si="680"/>
        <v>45900</v>
      </c>
      <c r="D1601" s="120">
        <f t="shared" si="681"/>
        <v>31</v>
      </c>
      <c r="E1601" s="120">
        <f t="shared" si="682"/>
        <v>8</v>
      </c>
      <c r="F1601" s="275">
        <f t="shared" si="683"/>
        <v>45885.5</v>
      </c>
      <c r="G1601" s="120">
        <f t="shared" si="684"/>
        <v>24307</v>
      </c>
      <c r="H1601" s="245">
        <f t="shared" si="685"/>
        <v>1</v>
      </c>
      <c r="I1601" s="121">
        <f t="shared" si="686"/>
        <v>1</v>
      </c>
      <c r="J1601" s="121">
        <f t="shared" si="687"/>
        <v>1</v>
      </c>
      <c r="K1601" s="120">
        <f t="shared" si="688"/>
        <v>0</v>
      </c>
      <c r="L1601" s="120">
        <f t="shared" si="689"/>
        <v>0</v>
      </c>
      <c r="M1601" s="246">
        <f t="shared" si="690"/>
        <v>0</v>
      </c>
      <c r="N1601" s="121">
        <f t="shared" si="691"/>
        <v>1</v>
      </c>
      <c r="O1601" s="246">
        <f t="shared" si="692"/>
        <v>0.90550875273522979</v>
      </c>
      <c r="P1601" s="121">
        <f t="shared" si="693"/>
        <v>0.25</v>
      </c>
      <c r="Q1601" s="121">
        <f t="shared" si="694"/>
        <v>0</v>
      </c>
      <c r="R1601" s="121">
        <f t="shared" si="695"/>
        <v>0</v>
      </c>
      <c r="AE1601" s="160">
        <f t="shared" si="696"/>
        <v>0.98424864427742365</v>
      </c>
    </row>
    <row r="1602" spans="1:37" x14ac:dyDescent="0.3">
      <c r="A1602" s="187">
        <v>9</v>
      </c>
      <c r="B1602" s="242">
        <f t="shared" si="697"/>
        <v>45901</v>
      </c>
      <c r="C1602" s="243">
        <f t="shared" si="680"/>
        <v>45930</v>
      </c>
      <c r="D1602" s="120">
        <f t="shared" si="681"/>
        <v>30</v>
      </c>
      <c r="E1602" s="120">
        <f t="shared" si="682"/>
        <v>9</v>
      </c>
      <c r="F1602" s="275">
        <f t="shared" si="683"/>
        <v>45916</v>
      </c>
      <c r="G1602" s="120">
        <f t="shared" si="684"/>
        <v>24308</v>
      </c>
      <c r="H1602" s="245">
        <f t="shared" si="685"/>
        <v>1</v>
      </c>
      <c r="I1602" s="121">
        <f t="shared" si="686"/>
        <v>1</v>
      </c>
      <c r="J1602" s="121">
        <f t="shared" si="687"/>
        <v>1</v>
      </c>
      <c r="K1602" s="120">
        <f t="shared" si="688"/>
        <v>0</v>
      </c>
      <c r="L1602" s="120">
        <f t="shared" si="689"/>
        <v>0</v>
      </c>
      <c r="M1602" s="246">
        <f t="shared" si="690"/>
        <v>0</v>
      </c>
      <c r="N1602" s="121">
        <f t="shared" si="691"/>
        <v>1</v>
      </c>
      <c r="O1602" s="246">
        <f t="shared" si="692"/>
        <v>0.90584245076586434</v>
      </c>
      <c r="P1602" s="121">
        <f t="shared" si="693"/>
        <v>0.41666666666666663</v>
      </c>
      <c r="Q1602" s="121">
        <f t="shared" si="694"/>
        <v>0</v>
      </c>
      <c r="R1602" s="121">
        <f t="shared" si="695"/>
        <v>0</v>
      </c>
      <c r="AE1602" s="160">
        <f t="shared" si="696"/>
        <v>0.98461135952811341</v>
      </c>
    </row>
    <row r="1603" spans="1:37" x14ac:dyDescent="0.3">
      <c r="A1603" s="187">
        <v>10</v>
      </c>
      <c r="B1603" s="242">
        <f t="shared" si="697"/>
        <v>45931</v>
      </c>
      <c r="C1603" s="243">
        <f t="shared" si="680"/>
        <v>45961</v>
      </c>
      <c r="D1603" s="120">
        <f t="shared" si="681"/>
        <v>31</v>
      </c>
      <c r="E1603" s="120">
        <f t="shared" si="682"/>
        <v>10</v>
      </c>
      <c r="F1603" s="275">
        <f t="shared" si="683"/>
        <v>45946.5</v>
      </c>
      <c r="G1603" s="120">
        <f t="shared" si="684"/>
        <v>24309</v>
      </c>
      <c r="H1603" s="245">
        <f t="shared" si="685"/>
        <v>1</v>
      </c>
      <c r="I1603" s="121">
        <f t="shared" si="686"/>
        <v>1</v>
      </c>
      <c r="J1603" s="121">
        <f t="shared" si="687"/>
        <v>1</v>
      </c>
      <c r="K1603" s="120">
        <f t="shared" si="688"/>
        <v>0</v>
      </c>
      <c r="L1603" s="120">
        <f t="shared" si="689"/>
        <v>0</v>
      </c>
      <c r="M1603" s="246">
        <f t="shared" si="690"/>
        <v>0</v>
      </c>
      <c r="N1603" s="121">
        <f t="shared" si="691"/>
        <v>1</v>
      </c>
      <c r="O1603" s="246">
        <f t="shared" si="692"/>
        <v>0.90617614879649899</v>
      </c>
      <c r="P1603" s="121">
        <f t="shared" si="693"/>
        <v>0.58333333333333326</v>
      </c>
      <c r="Q1603" s="121">
        <f t="shared" si="694"/>
        <v>0</v>
      </c>
      <c r="R1603" s="121">
        <f t="shared" si="695"/>
        <v>0</v>
      </c>
      <c r="AE1603" s="160">
        <f t="shared" si="696"/>
        <v>0.98497407477880317</v>
      </c>
    </row>
    <row r="1604" spans="1:37" x14ac:dyDescent="0.3">
      <c r="A1604" s="187">
        <v>11</v>
      </c>
      <c r="B1604" s="242">
        <f t="shared" si="697"/>
        <v>45962</v>
      </c>
      <c r="C1604" s="243">
        <f t="shared" si="680"/>
        <v>45991</v>
      </c>
      <c r="D1604" s="120">
        <f t="shared" si="681"/>
        <v>30</v>
      </c>
      <c r="E1604" s="120">
        <f t="shared" si="682"/>
        <v>11</v>
      </c>
      <c r="F1604" s="275">
        <f t="shared" si="683"/>
        <v>45977</v>
      </c>
      <c r="G1604" s="120">
        <f t="shared" si="684"/>
        <v>24310</v>
      </c>
      <c r="H1604" s="245">
        <f t="shared" si="685"/>
        <v>1</v>
      </c>
      <c r="I1604" s="121">
        <f t="shared" si="686"/>
        <v>1</v>
      </c>
      <c r="J1604" s="121">
        <f t="shared" si="687"/>
        <v>1</v>
      </c>
      <c r="K1604" s="120">
        <f t="shared" si="688"/>
        <v>0</v>
      </c>
      <c r="L1604" s="120">
        <f t="shared" si="689"/>
        <v>0</v>
      </c>
      <c r="M1604" s="246">
        <f t="shared" si="690"/>
        <v>0</v>
      </c>
      <c r="N1604" s="121">
        <f t="shared" si="691"/>
        <v>1</v>
      </c>
      <c r="O1604" s="246">
        <f t="shared" si="692"/>
        <v>0.90650984682713354</v>
      </c>
      <c r="P1604" s="121">
        <f t="shared" si="693"/>
        <v>0.75</v>
      </c>
      <c r="Q1604" s="121">
        <f t="shared" si="694"/>
        <v>0</v>
      </c>
      <c r="R1604" s="121">
        <f t="shared" si="695"/>
        <v>0</v>
      </c>
      <c r="AE1604" s="160">
        <f t="shared" si="696"/>
        <v>0.98533679002949293</v>
      </c>
    </row>
    <row r="1605" spans="1:37" x14ac:dyDescent="0.3">
      <c r="A1605" s="187">
        <v>12</v>
      </c>
      <c r="B1605" s="242">
        <f t="shared" si="697"/>
        <v>45992</v>
      </c>
      <c r="C1605" s="243">
        <f t="shared" si="680"/>
        <v>46022</v>
      </c>
      <c r="D1605" s="120">
        <f t="shared" si="681"/>
        <v>31</v>
      </c>
      <c r="E1605" s="120">
        <f t="shared" si="682"/>
        <v>12</v>
      </c>
      <c r="F1605" s="275">
        <f t="shared" si="683"/>
        <v>46007.5</v>
      </c>
      <c r="G1605" s="120">
        <f t="shared" si="684"/>
        <v>24311</v>
      </c>
      <c r="H1605" s="245">
        <f t="shared" si="685"/>
        <v>1</v>
      </c>
      <c r="I1605" s="121">
        <f t="shared" si="686"/>
        <v>1</v>
      </c>
      <c r="J1605" s="121">
        <f t="shared" si="687"/>
        <v>1</v>
      </c>
      <c r="K1605" s="120">
        <f t="shared" si="688"/>
        <v>0</v>
      </c>
      <c r="L1605" s="120">
        <f t="shared" si="689"/>
        <v>0</v>
      </c>
      <c r="M1605" s="246">
        <f t="shared" si="690"/>
        <v>0</v>
      </c>
      <c r="N1605" s="121">
        <f t="shared" si="691"/>
        <v>1</v>
      </c>
      <c r="O1605" s="246">
        <f t="shared" si="692"/>
        <v>0.90684354485776808</v>
      </c>
      <c r="P1605" s="121">
        <f t="shared" si="693"/>
        <v>0.91666666666666663</v>
      </c>
      <c r="Q1605" s="121">
        <f t="shared" si="694"/>
        <v>0</v>
      </c>
      <c r="R1605" s="121">
        <f t="shared" si="695"/>
        <v>0</v>
      </c>
      <c r="AE1605" s="160">
        <f t="shared" si="696"/>
        <v>0.98569950528018269</v>
      </c>
    </row>
    <row r="1606" spans="1:37" x14ac:dyDescent="0.3">
      <c r="A1606" s="187">
        <v>13</v>
      </c>
      <c r="B1606" s="242">
        <f t="shared" si="697"/>
        <v>46023</v>
      </c>
      <c r="C1606" s="243">
        <f t="shared" si="680"/>
        <v>46053</v>
      </c>
      <c r="D1606" s="120">
        <f t="shared" si="681"/>
        <v>31</v>
      </c>
      <c r="E1606" s="120">
        <f t="shared" si="682"/>
        <v>1</v>
      </c>
      <c r="F1606" s="275">
        <f t="shared" si="683"/>
        <v>46038.5</v>
      </c>
      <c r="G1606" s="120">
        <f t="shared" si="684"/>
        <v>24312</v>
      </c>
      <c r="H1606" s="245">
        <f t="shared" si="685"/>
        <v>1</v>
      </c>
      <c r="I1606" s="121">
        <f t="shared" si="686"/>
        <v>1</v>
      </c>
      <c r="J1606" s="121">
        <f t="shared" si="687"/>
        <v>1</v>
      </c>
      <c r="K1606" s="120">
        <f t="shared" si="688"/>
        <v>0</v>
      </c>
      <c r="L1606" s="120">
        <f t="shared" si="689"/>
        <v>0</v>
      </c>
      <c r="M1606" s="246">
        <f t="shared" si="690"/>
        <v>0</v>
      </c>
      <c r="N1606" s="121">
        <f t="shared" si="691"/>
        <v>1</v>
      </c>
      <c r="O1606" s="246">
        <f t="shared" si="692"/>
        <v>0.90718271334792122</v>
      </c>
      <c r="P1606" s="121">
        <f t="shared" si="693"/>
        <v>1</v>
      </c>
      <c r="Q1606" s="121">
        <f t="shared" si="694"/>
        <v>0</v>
      </c>
      <c r="R1606" s="121">
        <f t="shared" si="695"/>
        <v>0</v>
      </c>
      <c r="AE1606" s="160">
        <f t="shared" si="696"/>
        <v>0.98606816668252306</v>
      </c>
      <c r="AK1606" s="282">
        <f>IF($D$1591=0,0,ABS($N1606-INDEX(_calc!$N:$N,76+(MATCH($B$1591,calc_key,0)-1)*54+15)))</f>
        <v>0</v>
      </c>
    </row>
    <row r="1607" spans="1:37" x14ac:dyDescent="0.3">
      <c r="A1607" s="187">
        <v>14</v>
      </c>
      <c r="B1607" s="242">
        <f t="shared" si="697"/>
        <v>46054</v>
      </c>
      <c r="C1607" s="243">
        <f t="shared" si="680"/>
        <v>46081</v>
      </c>
      <c r="D1607" s="120">
        <f t="shared" si="681"/>
        <v>28</v>
      </c>
      <c r="E1607" s="120">
        <f t="shared" si="682"/>
        <v>2</v>
      </c>
      <c r="F1607" s="275">
        <f t="shared" si="683"/>
        <v>46068</v>
      </c>
      <c r="G1607" s="120">
        <f t="shared" si="684"/>
        <v>24313</v>
      </c>
      <c r="H1607" s="245">
        <f t="shared" si="685"/>
        <v>1</v>
      </c>
      <c r="I1607" s="121">
        <f t="shared" si="686"/>
        <v>1</v>
      </c>
      <c r="J1607" s="121">
        <f t="shared" si="687"/>
        <v>1</v>
      </c>
      <c r="K1607" s="120">
        <f t="shared" si="688"/>
        <v>0</v>
      </c>
      <c r="L1607" s="120">
        <f t="shared" si="689"/>
        <v>0</v>
      </c>
      <c r="M1607" s="246">
        <f t="shared" si="690"/>
        <v>0</v>
      </c>
      <c r="N1607" s="121">
        <f t="shared" si="691"/>
        <v>1</v>
      </c>
      <c r="O1607" s="246">
        <f t="shared" si="692"/>
        <v>0.90750547045951868</v>
      </c>
      <c r="P1607" s="121">
        <f t="shared" si="693"/>
        <v>1</v>
      </c>
      <c r="Q1607" s="121">
        <f t="shared" si="694"/>
        <v>0</v>
      </c>
      <c r="R1607" s="121">
        <f t="shared" si="695"/>
        <v>0</v>
      </c>
      <c r="AE1607" s="160">
        <f t="shared" si="696"/>
        <v>0.98641898962991159</v>
      </c>
      <c r="AK1607" s="282">
        <f>IF($D$1591=0,0,ABS($N1607-INDEX(_calc!$N:$N,76+(MATCH($B$1591,calc_key,0)-1)*54+16)))</f>
        <v>0</v>
      </c>
    </row>
    <row r="1608" spans="1:37" x14ac:dyDescent="0.3">
      <c r="A1608" s="187">
        <v>15</v>
      </c>
      <c r="B1608" s="242">
        <f t="shared" si="697"/>
        <v>46082</v>
      </c>
      <c r="C1608" s="243">
        <f t="shared" si="680"/>
        <v>46112</v>
      </c>
      <c r="D1608" s="120">
        <f t="shared" si="681"/>
        <v>31</v>
      </c>
      <c r="E1608" s="120">
        <f t="shared" si="682"/>
        <v>3</v>
      </c>
      <c r="F1608" s="275">
        <f t="shared" si="683"/>
        <v>46097.5</v>
      </c>
      <c r="G1608" s="120">
        <f t="shared" si="684"/>
        <v>24314</v>
      </c>
      <c r="H1608" s="245">
        <f t="shared" si="685"/>
        <v>1</v>
      </c>
      <c r="I1608" s="121">
        <f t="shared" si="686"/>
        <v>1</v>
      </c>
      <c r="J1608" s="121">
        <f t="shared" si="687"/>
        <v>1</v>
      </c>
      <c r="K1608" s="120">
        <f t="shared" si="688"/>
        <v>0</v>
      </c>
      <c r="L1608" s="120">
        <f t="shared" si="689"/>
        <v>0</v>
      </c>
      <c r="M1608" s="246">
        <f t="shared" si="690"/>
        <v>0</v>
      </c>
      <c r="N1608" s="121">
        <f t="shared" si="691"/>
        <v>1</v>
      </c>
      <c r="O1608" s="246">
        <f t="shared" si="692"/>
        <v>0.90782822757111603</v>
      </c>
      <c r="P1608" s="121">
        <f t="shared" si="693"/>
        <v>1</v>
      </c>
      <c r="Q1608" s="121">
        <f t="shared" si="694"/>
        <v>0</v>
      </c>
      <c r="R1608" s="121">
        <f t="shared" si="695"/>
        <v>0</v>
      </c>
      <c r="AE1608" s="160">
        <f t="shared" si="696"/>
        <v>0.98676981257730001</v>
      </c>
      <c r="AK1608" s="282">
        <f>IF($D$1591=0,0,ABS($N1608-INDEX(_calc!$N:$N,76+(MATCH($B$1591,calc_key,0)-1)*54+17)))</f>
        <v>0</v>
      </c>
    </row>
    <row r="1609" spans="1:37" x14ac:dyDescent="0.3">
      <c r="A1609" s="187">
        <v>16</v>
      </c>
      <c r="B1609" s="242">
        <f t="shared" si="697"/>
        <v>46113</v>
      </c>
      <c r="C1609" s="243">
        <f t="shared" si="680"/>
        <v>46142</v>
      </c>
      <c r="D1609" s="120">
        <f t="shared" si="681"/>
        <v>30</v>
      </c>
      <c r="E1609" s="120">
        <f t="shared" si="682"/>
        <v>4</v>
      </c>
      <c r="F1609" s="275">
        <f t="shared" si="683"/>
        <v>46128</v>
      </c>
      <c r="G1609" s="120">
        <f t="shared" si="684"/>
        <v>24315</v>
      </c>
      <c r="H1609" s="245">
        <f t="shared" si="685"/>
        <v>1</v>
      </c>
      <c r="I1609" s="121">
        <f t="shared" si="686"/>
        <v>1</v>
      </c>
      <c r="J1609" s="121">
        <f t="shared" si="687"/>
        <v>1</v>
      </c>
      <c r="K1609" s="120">
        <f t="shared" si="688"/>
        <v>0</v>
      </c>
      <c r="L1609" s="120">
        <f t="shared" si="689"/>
        <v>0</v>
      </c>
      <c r="M1609" s="246">
        <f t="shared" si="690"/>
        <v>0</v>
      </c>
      <c r="N1609" s="121">
        <f t="shared" si="691"/>
        <v>1</v>
      </c>
      <c r="O1609" s="246">
        <f t="shared" si="692"/>
        <v>0.90816192560175057</v>
      </c>
      <c r="P1609" s="121">
        <f t="shared" si="693"/>
        <v>1</v>
      </c>
      <c r="Q1609" s="121">
        <f t="shared" si="694"/>
        <v>0</v>
      </c>
      <c r="R1609" s="121">
        <f t="shared" si="695"/>
        <v>0</v>
      </c>
      <c r="AE1609" s="160">
        <f t="shared" si="696"/>
        <v>0.98713252782798966</v>
      </c>
      <c r="AK1609" s="282">
        <f>IF($D$1591=0,0,ABS($N1609-INDEX(_calc!$N:$N,76+(MATCH($B$1591,calc_key,0)-1)*54+18)))</f>
        <v>0</v>
      </c>
    </row>
    <row r="1610" spans="1:37" x14ac:dyDescent="0.3">
      <c r="A1610" s="187">
        <v>17</v>
      </c>
      <c r="B1610" s="242">
        <f t="shared" si="697"/>
        <v>46143</v>
      </c>
      <c r="C1610" s="243">
        <f t="shared" si="680"/>
        <v>46173</v>
      </c>
      <c r="D1610" s="120">
        <f t="shared" si="681"/>
        <v>31</v>
      </c>
      <c r="E1610" s="120">
        <f t="shared" si="682"/>
        <v>5</v>
      </c>
      <c r="F1610" s="275">
        <f t="shared" si="683"/>
        <v>46158.5</v>
      </c>
      <c r="G1610" s="120">
        <f t="shared" si="684"/>
        <v>24316</v>
      </c>
      <c r="H1610" s="245">
        <f t="shared" si="685"/>
        <v>1</v>
      </c>
      <c r="I1610" s="121">
        <f t="shared" si="686"/>
        <v>1</v>
      </c>
      <c r="J1610" s="121">
        <f t="shared" si="687"/>
        <v>1</v>
      </c>
      <c r="K1610" s="120">
        <f t="shared" si="688"/>
        <v>0</v>
      </c>
      <c r="L1610" s="120">
        <f t="shared" si="689"/>
        <v>0</v>
      </c>
      <c r="M1610" s="246">
        <f t="shared" si="690"/>
        <v>0</v>
      </c>
      <c r="N1610" s="121">
        <f t="shared" si="691"/>
        <v>1</v>
      </c>
      <c r="O1610" s="246">
        <f t="shared" si="692"/>
        <v>0.90849562363238512</v>
      </c>
      <c r="P1610" s="121">
        <f t="shared" si="693"/>
        <v>1</v>
      </c>
      <c r="Q1610" s="121">
        <f t="shared" si="694"/>
        <v>0</v>
      </c>
      <c r="R1610" s="121">
        <f t="shared" si="695"/>
        <v>0</v>
      </c>
      <c r="AE1610" s="160">
        <f t="shared" si="696"/>
        <v>0.98749524307867942</v>
      </c>
      <c r="AK1610" s="282">
        <f>IF($D$1591=0,0,ABS($N1610-INDEX(_calc!$N:$N,76+(MATCH($B$1591,calc_key,0)-1)*54+19)))</f>
        <v>0</v>
      </c>
    </row>
    <row r="1611" spans="1:37" x14ac:dyDescent="0.3">
      <c r="A1611" s="187">
        <v>18</v>
      </c>
      <c r="B1611" s="242">
        <f t="shared" si="697"/>
        <v>46174</v>
      </c>
      <c r="C1611" s="243">
        <f t="shared" si="680"/>
        <v>46203</v>
      </c>
      <c r="D1611" s="120">
        <f t="shared" si="681"/>
        <v>30</v>
      </c>
      <c r="E1611" s="120">
        <f t="shared" si="682"/>
        <v>6</v>
      </c>
      <c r="F1611" s="275">
        <f t="shared" si="683"/>
        <v>46189</v>
      </c>
      <c r="G1611" s="120">
        <f t="shared" si="684"/>
        <v>24317</v>
      </c>
      <c r="H1611" s="245">
        <f t="shared" si="685"/>
        <v>1</v>
      </c>
      <c r="I1611" s="121">
        <f t="shared" si="686"/>
        <v>1</v>
      </c>
      <c r="J1611" s="121">
        <f t="shared" si="687"/>
        <v>1</v>
      </c>
      <c r="K1611" s="120">
        <f t="shared" si="688"/>
        <v>0</v>
      </c>
      <c r="L1611" s="120">
        <f t="shared" si="689"/>
        <v>0</v>
      </c>
      <c r="M1611" s="246">
        <f t="shared" si="690"/>
        <v>0</v>
      </c>
      <c r="N1611" s="121">
        <f t="shared" si="691"/>
        <v>1</v>
      </c>
      <c r="O1611" s="246">
        <f t="shared" si="692"/>
        <v>0.90882932166301977</v>
      </c>
      <c r="P1611" s="121">
        <f t="shared" si="693"/>
        <v>1</v>
      </c>
      <c r="Q1611" s="121">
        <f t="shared" si="694"/>
        <v>0</v>
      </c>
      <c r="R1611" s="121">
        <f t="shared" si="695"/>
        <v>0</v>
      </c>
      <c r="AE1611" s="160">
        <f t="shared" si="696"/>
        <v>0.98785795832936929</v>
      </c>
      <c r="AK1611" s="282">
        <f>IF($D$1591=0,0,ABS($N1611-INDEX(_calc!$N:$N,76+(MATCH($B$1591,calc_key,0)-1)*54+20)))</f>
        <v>0</v>
      </c>
    </row>
    <row r="1612" spans="1:37" x14ac:dyDescent="0.3">
      <c r="A1612" s="187">
        <v>19</v>
      </c>
      <c r="B1612" s="242">
        <f t="shared" si="697"/>
        <v>46204</v>
      </c>
      <c r="C1612" s="243">
        <f t="shared" si="680"/>
        <v>46234</v>
      </c>
      <c r="D1612" s="120">
        <f t="shared" si="681"/>
        <v>31</v>
      </c>
      <c r="E1612" s="120">
        <f t="shared" si="682"/>
        <v>7</v>
      </c>
      <c r="F1612" s="275">
        <f t="shared" si="683"/>
        <v>46219.5</v>
      </c>
      <c r="G1612" s="120">
        <f t="shared" si="684"/>
        <v>24318</v>
      </c>
      <c r="H1612" s="245">
        <f t="shared" si="685"/>
        <v>1</v>
      </c>
      <c r="I1612" s="121">
        <f t="shared" si="686"/>
        <v>1</v>
      </c>
      <c r="J1612" s="121">
        <f t="shared" si="687"/>
        <v>1</v>
      </c>
      <c r="K1612" s="120">
        <f t="shared" si="688"/>
        <v>0</v>
      </c>
      <c r="L1612" s="120">
        <f t="shared" si="689"/>
        <v>0</v>
      </c>
      <c r="M1612" s="246">
        <f t="shared" si="690"/>
        <v>0</v>
      </c>
      <c r="N1612" s="121">
        <f t="shared" si="691"/>
        <v>1</v>
      </c>
      <c r="O1612" s="246">
        <f t="shared" si="692"/>
        <v>0.90916301969365432</v>
      </c>
      <c r="P1612" s="121">
        <f t="shared" si="693"/>
        <v>0.91666666666666663</v>
      </c>
      <c r="Q1612" s="121">
        <f t="shared" si="694"/>
        <v>8.333333333333337E-2</v>
      </c>
      <c r="R1612" s="121">
        <f t="shared" si="695"/>
        <v>0</v>
      </c>
      <c r="AE1612" s="160">
        <f t="shared" si="696"/>
        <v>0.98822067358005905</v>
      </c>
      <c r="AK1612" s="282">
        <f>IF($D$1591=0,0,ABS($N1612-INDEX(_calc!$N:$N,76+(MATCH($B$1591,calc_key,0)-1)*54+21)))</f>
        <v>0</v>
      </c>
    </row>
    <row r="1613" spans="1:37" x14ac:dyDescent="0.3">
      <c r="A1613" s="187">
        <v>20</v>
      </c>
      <c r="B1613" s="242">
        <f t="shared" si="697"/>
        <v>46235</v>
      </c>
      <c r="C1613" s="243">
        <f t="shared" si="680"/>
        <v>46265</v>
      </c>
      <c r="D1613" s="120">
        <f t="shared" si="681"/>
        <v>31</v>
      </c>
      <c r="E1613" s="120">
        <f t="shared" si="682"/>
        <v>8</v>
      </c>
      <c r="F1613" s="275">
        <f t="shared" si="683"/>
        <v>46250.5</v>
      </c>
      <c r="G1613" s="120">
        <f t="shared" si="684"/>
        <v>24319</v>
      </c>
      <c r="H1613" s="245">
        <f t="shared" si="685"/>
        <v>1</v>
      </c>
      <c r="I1613" s="121">
        <f t="shared" si="686"/>
        <v>1</v>
      </c>
      <c r="J1613" s="121">
        <f t="shared" si="687"/>
        <v>1</v>
      </c>
      <c r="K1613" s="120">
        <f t="shared" si="688"/>
        <v>0</v>
      </c>
      <c r="L1613" s="120">
        <f t="shared" si="689"/>
        <v>0</v>
      </c>
      <c r="M1613" s="246">
        <f t="shared" si="690"/>
        <v>0</v>
      </c>
      <c r="N1613" s="121">
        <f t="shared" si="691"/>
        <v>1</v>
      </c>
      <c r="O1613" s="246">
        <f t="shared" si="692"/>
        <v>0.90950218818380746</v>
      </c>
      <c r="P1613" s="121">
        <f t="shared" si="693"/>
        <v>0.75</v>
      </c>
      <c r="Q1613" s="121">
        <f t="shared" si="694"/>
        <v>0.25</v>
      </c>
      <c r="R1613" s="121">
        <f t="shared" si="695"/>
        <v>0</v>
      </c>
      <c r="AE1613" s="160">
        <f t="shared" si="696"/>
        <v>0.98858933498239931</v>
      </c>
      <c r="AK1613" s="282">
        <f>IF($D$1591=0,0,ABS($N1613-INDEX(_calc!$N:$N,76+(MATCH($B$1591,calc_key,0)-1)*54+22)))</f>
        <v>0</v>
      </c>
    </row>
    <row r="1614" spans="1:37" x14ac:dyDescent="0.3">
      <c r="A1614" s="187">
        <v>21</v>
      </c>
      <c r="B1614" s="242">
        <f t="shared" si="697"/>
        <v>46266</v>
      </c>
      <c r="C1614" s="243">
        <f t="shared" si="680"/>
        <v>46295</v>
      </c>
      <c r="D1614" s="120">
        <f t="shared" si="681"/>
        <v>30</v>
      </c>
      <c r="E1614" s="120">
        <f t="shared" si="682"/>
        <v>9</v>
      </c>
      <c r="F1614" s="275">
        <f t="shared" si="683"/>
        <v>46281</v>
      </c>
      <c r="G1614" s="120">
        <f t="shared" si="684"/>
        <v>24320</v>
      </c>
      <c r="H1614" s="245">
        <f t="shared" si="685"/>
        <v>1</v>
      </c>
      <c r="I1614" s="121">
        <f t="shared" si="686"/>
        <v>1</v>
      </c>
      <c r="J1614" s="121">
        <f t="shared" si="687"/>
        <v>1</v>
      </c>
      <c r="K1614" s="120">
        <f t="shared" si="688"/>
        <v>0</v>
      </c>
      <c r="L1614" s="120">
        <f t="shared" si="689"/>
        <v>0</v>
      </c>
      <c r="M1614" s="246">
        <f t="shared" si="690"/>
        <v>0</v>
      </c>
      <c r="N1614" s="121">
        <f t="shared" si="691"/>
        <v>1</v>
      </c>
      <c r="O1614" s="246">
        <f t="shared" si="692"/>
        <v>0.909835886214442</v>
      </c>
      <c r="P1614" s="121">
        <f t="shared" si="693"/>
        <v>0.58333333333333337</v>
      </c>
      <c r="Q1614" s="121">
        <f t="shared" si="694"/>
        <v>0.41666666666666663</v>
      </c>
      <c r="R1614" s="121">
        <f t="shared" si="695"/>
        <v>0</v>
      </c>
      <c r="AE1614" s="160">
        <f t="shared" si="696"/>
        <v>0.98895205023308907</v>
      </c>
      <c r="AK1614" s="282">
        <f>IF($D$1591=0,0,ABS($N1614-INDEX(_calc!$N:$N,76+(MATCH($B$1591,calc_key,0)-1)*54+23)))</f>
        <v>0</v>
      </c>
    </row>
    <row r="1615" spans="1:37" x14ac:dyDescent="0.3">
      <c r="A1615" s="187">
        <v>22</v>
      </c>
      <c r="B1615" s="242">
        <f t="shared" si="697"/>
        <v>46296</v>
      </c>
      <c r="C1615" s="243">
        <f t="shared" si="680"/>
        <v>46326</v>
      </c>
      <c r="D1615" s="120">
        <f t="shared" si="681"/>
        <v>31</v>
      </c>
      <c r="E1615" s="120">
        <f t="shared" si="682"/>
        <v>10</v>
      </c>
      <c r="F1615" s="275">
        <f t="shared" si="683"/>
        <v>46311.5</v>
      </c>
      <c r="G1615" s="120">
        <f t="shared" si="684"/>
        <v>24321</v>
      </c>
      <c r="H1615" s="245">
        <f t="shared" si="685"/>
        <v>1</v>
      </c>
      <c r="I1615" s="121">
        <f t="shared" si="686"/>
        <v>1</v>
      </c>
      <c r="J1615" s="121">
        <f t="shared" si="687"/>
        <v>1.1000000000000001</v>
      </c>
      <c r="K1615" s="120">
        <f t="shared" si="688"/>
        <v>1</v>
      </c>
      <c r="L1615" s="120">
        <f t="shared" si="689"/>
        <v>31</v>
      </c>
      <c r="M1615" s="246">
        <f t="shared" si="690"/>
        <v>1</v>
      </c>
      <c r="N1615" s="121">
        <f t="shared" si="691"/>
        <v>1.1000000000000001</v>
      </c>
      <c r="O1615" s="246">
        <f t="shared" si="692"/>
        <v>0.91016958424507666</v>
      </c>
      <c r="P1615" s="121">
        <f t="shared" si="693"/>
        <v>0.41666666666666669</v>
      </c>
      <c r="Q1615" s="121">
        <f t="shared" si="694"/>
        <v>0.58333333333333326</v>
      </c>
      <c r="R1615" s="121">
        <f t="shared" si="695"/>
        <v>0</v>
      </c>
      <c r="AE1615" s="160">
        <f t="shared" si="696"/>
        <v>1.088246242032157</v>
      </c>
      <c r="AK1615" s="282">
        <f>IF($D$1591=0,0,ABS($N1615-INDEX(_calc!$N:$N,76+(MATCH($B$1591,calc_key,0)-1)*54+24)))</f>
        <v>0</v>
      </c>
    </row>
    <row r="1616" spans="1:37" x14ac:dyDescent="0.3">
      <c r="A1616" s="187">
        <v>23</v>
      </c>
      <c r="B1616" s="242">
        <f t="shared" si="697"/>
        <v>46327</v>
      </c>
      <c r="C1616" s="243">
        <f t="shared" si="680"/>
        <v>46356</v>
      </c>
      <c r="D1616" s="120">
        <f t="shared" si="681"/>
        <v>30</v>
      </c>
      <c r="E1616" s="120">
        <f t="shared" si="682"/>
        <v>11</v>
      </c>
      <c r="F1616" s="275">
        <f t="shared" si="683"/>
        <v>46342</v>
      </c>
      <c r="G1616" s="120">
        <f t="shared" si="684"/>
        <v>24322</v>
      </c>
      <c r="H1616" s="245">
        <f t="shared" si="685"/>
        <v>1</v>
      </c>
      <c r="I1616" s="121">
        <f t="shared" si="686"/>
        <v>1.1000000000000001</v>
      </c>
      <c r="J1616" s="121">
        <f t="shared" si="687"/>
        <v>1.1000000000000001</v>
      </c>
      <c r="K1616" s="120">
        <f t="shared" si="688"/>
        <v>0</v>
      </c>
      <c r="L1616" s="120">
        <f t="shared" si="689"/>
        <v>0</v>
      </c>
      <c r="M1616" s="246">
        <f t="shared" si="690"/>
        <v>0</v>
      </c>
      <c r="N1616" s="121">
        <f t="shared" si="691"/>
        <v>1.1000000000000001</v>
      </c>
      <c r="O1616" s="246">
        <f t="shared" si="692"/>
        <v>0.9105032822757112</v>
      </c>
      <c r="P1616" s="121">
        <f t="shared" si="693"/>
        <v>0.25</v>
      </c>
      <c r="Q1616" s="121">
        <f t="shared" si="694"/>
        <v>0.75</v>
      </c>
      <c r="R1616" s="121">
        <f t="shared" si="695"/>
        <v>0</v>
      </c>
      <c r="AE1616" s="160">
        <f t="shared" si="696"/>
        <v>1.0886452288079158</v>
      </c>
      <c r="AK1616" s="282">
        <f>IF($D$1591=0,0,ABS($N1616-INDEX(_calc!$N:$N,76+(MATCH($B$1591,calc_key,0)-1)*54+25)))</f>
        <v>0</v>
      </c>
    </row>
    <row r="1617" spans="1:38" x14ac:dyDescent="0.3">
      <c r="A1617" s="187">
        <v>24</v>
      </c>
      <c r="B1617" s="242">
        <f t="shared" si="697"/>
        <v>46357</v>
      </c>
      <c r="C1617" s="243">
        <f t="shared" si="680"/>
        <v>46387</v>
      </c>
      <c r="D1617" s="120">
        <f t="shared" si="681"/>
        <v>31</v>
      </c>
      <c r="E1617" s="120">
        <f t="shared" si="682"/>
        <v>12</v>
      </c>
      <c r="F1617" s="275">
        <f t="shared" si="683"/>
        <v>46372.5</v>
      </c>
      <c r="G1617" s="120">
        <f t="shared" si="684"/>
        <v>24323</v>
      </c>
      <c r="H1617" s="245">
        <f t="shared" si="685"/>
        <v>1</v>
      </c>
      <c r="I1617" s="121">
        <f t="shared" si="686"/>
        <v>1.1000000000000001</v>
      </c>
      <c r="J1617" s="121">
        <f t="shared" si="687"/>
        <v>1.1000000000000001</v>
      </c>
      <c r="K1617" s="120">
        <f t="shared" si="688"/>
        <v>0</v>
      </c>
      <c r="L1617" s="120">
        <f t="shared" si="689"/>
        <v>0</v>
      </c>
      <c r="M1617" s="246">
        <f t="shared" si="690"/>
        <v>0</v>
      </c>
      <c r="N1617" s="121">
        <f t="shared" si="691"/>
        <v>1.1000000000000001</v>
      </c>
      <c r="O1617" s="246">
        <f t="shared" si="692"/>
        <v>0.91083698030634574</v>
      </c>
      <c r="P1617" s="121">
        <f t="shared" si="693"/>
        <v>8.3333333333333329E-2</v>
      </c>
      <c r="Q1617" s="121">
        <f t="shared" si="694"/>
        <v>0.91666666666666663</v>
      </c>
      <c r="R1617" s="121">
        <f t="shared" si="695"/>
        <v>0</v>
      </c>
      <c r="AE1617" s="160">
        <f t="shared" si="696"/>
        <v>1.0890442155836744</v>
      </c>
      <c r="AK1617" s="282">
        <f>IF($D$1591=0,0,ABS($N1617-INDEX(_calc!$N:$N,76+(MATCH($B$1591,calc_key,0)-1)*54+26)))</f>
        <v>0</v>
      </c>
    </row>
    <row r="1618" spans="1:38" x14ac:dyDescent="0.3">
      <c r="A1618" s="187">
        <v>25</v>
      </c>
      <c r="B1618" s="242">
        <f t="shared" si="697"/>
        <v>46388</v>
      </c>
      <c r="C1618" s="243">
        <f t="shared" si="680"/>
        <v>46418</v>
      </c>
      <c r="D1618" s="120">
        <f t="shared" si="681"/>
        <v>31</v>
      </c>
      <c r="E1618" s="120">
        <f t="shared" si="682"/>
        <v>1</v>
      </c>
      <c r="F1618" s="275">
        <f t="shared" si="683"/>
        <v>46403.5</v>
      </c>
      <c r="G1618" s="120">
        <f t="shared" si="684"/>
        <v>24324</v>
      </c>
      <c r="H1618" s="245">
        <f t="shared" si="685"/>
        <v>1</v>
      </c>
      <c r="I1618" s="121">
        <f t="shared" si="686"/>
        <v>1.1000000000000001</v>
      </c>
      <c r="J1618" s="121">
        <f t="shared" si="687"/>
        <v>1.1000000000000001</v>
      </c>
      <c r="K1618" s="120">
        <f t="shared" si="688"/>
        <v>0</v>
      </c>
      <c r="L1618" s="120">
        <f t="shared" si="689"/>
        <v>0</v>
      </c>
      <c r="M1618" s="246">
        <f t="shared" si="690"/>
        <v>0</v>
      </c>
      <c r="N1618" s="121">
        <f t="shared" si="691"/>
        <v>1.1000000000000001</v>
      </c>
      <c r="O1618" s="246">
        <f t="shared" si="692"/>
        <v>0.91117614879649889</v>
      </c>
      <c r="P1618" s="121">
        <f t="shared" si="693"/>
        <v>0</v>
      </c>
      <c r="Q1618" s="121">
        <f t="shared" si="694"/>
        <v>1</v>
      </c>
      <c r="R1618" s="121">
        <f t="shared" si="695"/>
        <v>0</v>
      </c>
      <c r="W1618" s="160">
        <f t="shared" ref="W1618:W1629" si="698">IF($G1618&lt;&gt;$Q$1591,$N1618,(1-$U$1591)*$I1618+$U$1591*$J1618)</f>
        <v>1.1000000000000001</v>
      </c>
      <c r="X1618" s="160">
        <f t="shared" ref="X1618:X1629" si="699">IF($G1618&lt;$Q$1591,0,IF($G1618&gt;$Q$1591,$N1618,$U$1591*$J1618))</f>
        <v>0</v>
      </c>
      <c r="Y1618" s="160">
        <f t="shared" ref="Y1618:Y1629" si="700">IF($F$1591=1,$O1618/$O1606,1)</f>
        <v>1.0044020188985305</v>
      </c>
      <c r="AB1618" s="160">
        <f t="shared" ref="AB1618:AB1629" si="701">IF(AND(N($K$1591)&lt;&gt;0,$F1618&lt;=$B$1592),0,($F1618-$B$1592)/($C$1592-$B$1592))</f>
        <v>0.23522975929978118</v>
      </c>
      <c r="AC1618" s="220">
        <f t="shared" ref="AC1618:AC1629" si="702">IF(AND(N($K$1591)&lt;&gt;0,$F1618&lt;=$B$1592),$O1618,$F$1592*(1-$AB1618))</f>
        <v>0.69594091903719912</v>
      </c>
      <c r="AD1618" s="160">
        <f t="shared" ref="AD1618:AD1629" si="703">$H1618*($W1618+$X1618*IF(ISNUMBER($F$1642),$F$1642,0))/($N1606*$O1606)</f>
        <v>1.2125451508445244</v>
      </c>
      <c r="AE1618" s="160">
        <f t="shared" si="696"/>
        <v>1.0848416714865508</v>
      </c>
      <c r="AF1618" s="220">
        <f t="shared" ref="AF1618:AF1629" si="704">IF($G1618&lt;$Q$1591,0,IF($G1618&gt;$Q$1591,1,$U$1591))</f>
        <v>0</v>
      </c>
      <c r="AG1618" s="183">
        <f t="shared" ref="AG1618:AG1629" si="705">IF(OR($D$1591=0,$P$1591=0),"",($W1618+$X1618*IF(ISNUMBER($F$1642),$F$1642,0))/$N1606-1)</f>
        <v>0.10000000000000009</v>
      </c>
      <c r="AH1618" s="183">
        <f t="shared" ref="AH1618:AH1629" si="706">IF(OR($AG1618="",$F$1591=0),"",(1+$E$1591)/(1+$AG1618)-1)</f>
        <v>0</v>
      </c>
      <c r="AI1618" s="220">
        <f t="shared" ref="AI1618:AI1629" si="707">IF($AH1618="","",$O1606*(1+$E$1591)/(1+$AG1618))</f>
        <v>0.90718271334792122</v>
      </c>
      <c r="AL1618" s="282">
        <f>IF(OR($D$1591=0,$F$1591=0),0,ABS(INDEX(_calc!$T:$T,76+(MATCH($B$1591,calc_key,0)-1)*54+27)/INDEX(_calc!$T:$T,76+(MATCH($B$1591,calc_key,0)-1)*54+15)-(1+$E$1591)))</f>
        <v>0</v>
      </c>
    </row>
    <row r="1619" spans="1:38" x14ac:dyDescent="0.3">
      <c r="A1619" s="187">
        <v>26</v>
      </c>
      <c r="B1619" s="242">
        <f t="shared" si="697"/>
        <v>46419</v>
      </c>
      <c r="C1619" s="243">
        <f t="shared" si="680"/>
        <v>46446</v>
      </c>
      <c r="D1619" s="120">
        <f t="shared" si="681"/>
        <v>28</v>
      </c>
      <c r="E1619" s="120">
        <f t="shared" si="682"/>
        <v>2</v>
      </c>
      <c r="F1619" s="275">
        <f t="shared" si="683"/>
        <v>46433</v>
      </c>
      <c r="G1619" s="120">
        <f t="shared" si="684"/>
        <v>24325</v>
      </c>
      <c r="H1619" s="245">
        <f t="shared" si="685"/>
        <v>1</v>
      </c>
      <c r="I1619" s="121">
        <f t="shared" si="686"/>
        <v>1.1000000000000001</v>
      </c>
      <c r="J1619" s="121">
        <f t="shared" si="687"/>
        <v>1.1000000000000001</v>
      </c>
      <c r="K1619" s="120">
        <f t="shared" si="688"/>
        <v>0</v>
      </c>
      <c r="L1619" s="120">
        <f t="shared" si="689"/>
        <v>0</v>
      </c>
      <c r="M1619" s="246">
        <f t="shared" si="690"/>
        <v>0</v>
      </c>
      <c r="N1619" s="121">
        <f t="shared" si="691"/>
        <v>1.1000000000000001</v>
      </c>
      <c r="O1619" s="246">
        <f t="shared" si="692"/>
        <v>0.91149890590809635</v>
      </c>
      <c r="P1619" s="121">
        <f t="shared" si="693"/>
        <v>0</v>
      </c>
      <c r="Q1619" s="121">
        <f t="shared" si="694"/>
        <v>1</v>
      </c>
      <c r="R1619" s="121">
        <f t="shared" si="695"/>
        <v>0</v>
      </c>
      <c r="W1619" s="160">
        <f t="shared" si="698"/>
        <v>1.1000000000000001</v>
      </c>
      <c r="X1619" s="160">
        <f t="shared" si="699"/>
        <v>0</v>
      </c>
      <c r="Y1619" s="160">
        <f t="shared" si="700"/>
        <v>1.0044004533069708</v>
      </c>
      <c r="AB1619" s="160">
        <f t="shared" si="701"/>
        <v>0.29978118161925604</v>
      </c>
      <c r="AC1619" s="220">
        <f t="shared" si="702"/>
        <v>0.637199124726477</v>
      </c>
      <c r="AD1619" s="160">
        <f t="shared" si="703"/>
        <v>1.2121139054324501</v>
      </c>
      <c r="AE1619" s="160">
        <f t="shared" si="696"/>
        <v>1.0839630361391797</v>
      </c>
      <c r="AF1619" s="220">
        <f t="shared" si="704"/>
        <v>0</v>
      </c>
      <c r="AG1619" s="183">
        <f t="shared" si="705"/>
        <v>0.10000000000000009</v>
      </c>
      <c r="AH1619" s="183">
        <f t="shared" si="706"/>
        <v>0</v>
      </c>
      <c r="AI1619" s="220">
        <f t="shared" si="707"/>
        <v>0.90750547045951868</v>
      </c>
      <c r="AL1619" s="282">
        <f>IF(OR($D$1591=0,$F$1591=0),0,ABS(INDEX(_calc!$T:$T,76+(MATCH($B$1591,calc_key,0)-1)*54+28)/INDEX(_calc!$T:$T,76+(MATCH($B$1591,calc_key,0)-1)*54+16)-(1+$E$1591)))</f>
        <v>2.2204460492503131E-16</v>
      </c>
    </row>
    <row r="1620" spans="1:38" x14ac:dyDescent="0.3">
      <c r="A1620" s="187">
        <v>27</v>
      </c>
      <c r="B1620" s="242">
        <f t="shared" si="697"/>
        <v>46447</v>
      </c>
      <c r="C1620" s="243">
        <f t="shared" si="680"/>
        <v>46477</v>
      </c>
      <c r="D1620" s="120">
        <f t="shared" si="681"/>
        <v>31</v>
      </c>
      <c r="E1620" s="120">
        <f t="shared" si="682"/>
        <v>3</v>
      </c>
      <c r="F1620" s="275">
        <f t="shared" si="683"/>
        <v>46462.5</v>
      </c>
      <c r="G1620" s="120">
        <f t="shared" si="684"/>
        <v>24326</v>
      </c>
      <c r="H1620" s="245">
        <f t="shared" si="685"/>
        <v>1</v>
      </c>
      <c r="I1620" s="121">
        <f t="shared" si="686"/>
        <v>1.1000000000000001</v>
      </c>
      <c r="J1620" s="121">
        <f t="shared" si="687"/>
        <v>1.1000000000000001</v>
      </c>
      <c r="K1620" s="120">
        <f t="shared" si="688"/>
        <v>0</v>
      </c>
      <c r="L1620" s="120">
        <f t="shared" si="689"/>
        <v>0</v>
      </c>
      <c r="M1620" s="246">
        <f t="shared" si="690"/>
        <v>0</v>
      </c>
      <c r="N1620" s="121">
        <f t="shared" si="691"/>
        <v>1.1000000000000001</v>
      </c>
      <c r="O1620" s="246">
        <f t="shared" si="692"/>
        <v>0.9118216630196937</v>
      </c>
      <c r="P1620" s="121">
        <f t="shared" si="693"/>
        <v>0</v>
      </c>
      <c r="Q1620" s="121">
        <f t="shared" si="694"/>
        <v>1</v>
      </c>
      <c r="R1620" s="121">
        <f t="shared" si="695"/>
        <v>0</v>
      </c>
      <c r="W1620" s="160">
        <f t="shared" si="698"/>
        <v>1.1000000000000001</v>
      </c>
      <c r="X1620" s="160">
        <f t="shared" si="699"/>
        <v>0</v>
      </c>
      <c r="Y1620" s="160">
        <f t="shared" si="700"/>
        <v>1.0043988888286302</v>
      </c>
      <c r="AB1620" s="160">
        <f t="shared" si="701"/>
        <v>0.36433260393873085</v>
      </c>
      <c r="AC1620" s="220">
        <f t="shared" si="702"/>
        <v>0.57845733041575487</v>
      </c>
      <c r="AD1620" s="160">
        <f t="shared" si="703"/>
        <v>1.2116829666588331</v>
      </c>
      <c r="AE1620" s="160">
        <f t="shared" si="696"/>
        <v>1.0830844007918083</v>
      </c>
      <c r="AF1620" s="220">
        <f t="shared" si="704"/>
        <v>0</v>
      </c>
      <c r="AG1620" s="183">
        <f t="shared" si="705"/>
        <v>0.10000000000000009</v>
      </c>
      <c r="AH1620" s="183">
        <f t="shared" si="706"/>
        <v>0</v>
      </c>
      <c r="AI1620" s="220">
        <f t="shared" si="707"/>
        <v>0.90782822757111603</v>
      </c>
      <c r="AL1620" s="282">
        <f>IF(OR($D$1591=0,$F$1591=0),0,ABS(INDEX(_calc!$T:$T,76+(MATCH($B$1591,calc_key,0)-1)*54+29)/INDEX(_calc!$T:$T,76+(MATCH($B$1591,calc_key,0)-1)*54+17)-(1+$E$1591)))</f>
        <v>0</v>
      </c>
    </row>
    <row r="1621" spans="1:38" x14ac:dyDescent="0.3">
      <c r="A1621" s="187">
        <v>28</v>
      </c>
      <c r="B1621" s="242">
        <f t="shared" si="697"/>
        <v>46478</v>
      </c>
      <c r="C1621" s="243">
        <f t="shared" si="680"/>
        <v>46507</v>
      </c>
      <c r="D1621" s="120">
        <f t="shared" si="681"/>
        <v>30</v>
      </c>
      <c r="E1621" s="120">
        <f t="shared" si="682"/>
        <v>4</v>
      </c>
      <c r="F1621" s="275">
        <f t="shared" si="683"/>
        <v>46493</v>
      </c>
      <c r="G1621" s="120">
        <f t="shared" si="684"/>
        <v>24327</v>
      </c>
      <c r="H1621" s="245">
        <f t="shared" si="685"/>
        <v>1</v>
      </c>
      <c r="I1621" s="121">
        <f t="shared" si="686"/>
        <v>1.1000000000000001</v>
      </c>
      <c r="J1621" s="121">
        <f t="shared" si="687"/>
        <v>1.1000000000000001</v>
      </c>
      <c r="K1621" s="120">
        <f t="shared" si="688"/>
        <v>0</v>
      </c>
      <c r="L1621" s="120">
        <f t="shared" si="689"/>
        <v>0</v>
      </c>
      <c r="M1621" s="246">
        <f t="shared" si="690"/>
        <v>0</v>
      </c>
      <c r="N1621" s="121">
        <f t="shared" si="691"/>
        <v>1.1000000000000001</v>
      </c>
      <c r="O1621" s="246">
        <f t="shared" si="692"/>
        <v>0.91215536105032824</v>
      </c>
      <c r="P1621" s="121">
        <f t="shared" si="693"/>
        <v>0</v>
      </c>
      <c r="Q1621" s="121">
        <f t="shared" si="694"/>
        <v>1</v>
      </c>
      <c r="R1621" s="121">
        <f t="shared" si="695"/>
        <v>0</v>
      </c>
      <c r="W1621" s="160">
        <f t="shared" si="698"/>
        <v>1.1000000000000001</v>
      </c>
      <c r="X1621" s="160">
        <f t="shared" si="699"/>
        <v>1.1000000000000001</v>
      </c>
      <c r="Y1621" s="160">
        <f t="shared" si="700"/>
        <v>1.0043972724863264</v>
      </c>
      <c r="AB1621" s="160">
        <f t="shared" si="701"/>
        <v>0.4310722100656455</v>
      </c>
      <c r="AC1621" s="220">
        <f t="shared" si="702"/>
        <v>0.51772428884026267</v>
      </c>
      <c r="AD1621" s="160">
        <f t="shared" si="703"/>
        <v>1.2596872515239863</v>
      </c>
      <c r="AE1621" s="160">
        <f t="shared" si="696"/>
        <v>1.125463020443189</v>
      </c>
      <c r="AF1621" s="220">
        <f t="shared" si="704"/>
        <v>1</v>
      </c>
      <c r="AG1621" s="183">
        <f t="shared" si="705"/>
        <v>0.14400000000000013</v>
      </c>
      <c r="AH1621" s="183">
        <f t="shared" si="706"/>
        <v>-3.8461538461538436E-2</v>
      </c>
      <c r="AI1621" s="220">
        <f t="shared" si="707"/>
        <v>0.87323262077091401</v>
      </c>
      <c r="AL1621" s="282">
        <f>IF(OR($D$1591=0,$F$1591=0),0,ABS(INDEX(_calc!$T:$T,76+(MATCH($B$1591,calc_key,0)-1)*54+30)/INDEX(_calc!$T:$T,76+(MATCH($B$1591,calc_key,0)-1)*54+18)-(1+$E$1591)))</f>
        <v>0</v>
      </c>
    </row>
    <row r="1622" spans="1:38" x14ac:dyDescent="0.3">
      <c r="A1622" s="187">
        <v>29</v>
      </c>
      <c r="B1622" s="242">
        <f t="shared" si="697"/>
        <v>46508</v>
      </c>
      <c r="C1622" s="243">
        <f t="shared" si="680"/>
        <v>46538</v>
      </c>
      <c r="D1622" s="120">
        <f t="shared" si="681"/>
        <v>31</v>
      </c>
      <c r="E1622" s="120">
        <f t="shared" si="682"/>
        <v>5</v>
      </c>
      <c r="F1622" s="275">
        <f t="shared" si="683"/>
        <v>46523.5</v>
      </c>
      <c r="G1622" s="120">
        <f t="shared" si="684"/>
        <v>24328</v>
      </c>
      <c r="H1622" s="245">
        <f t="shared" si="685"/>
        <v>1</v>
      </c>
      <c r="I1622" s="121">
        <f t="shared" si="686"/>
        <v>1.1000000000000001</v>
      </c>
      <c r="J1622" s="121">
        <f t="shared" si="687"/>
        <v>1.1000000000000001</v>
      </c>
      <c r="K1622" s="120">
        <f t="shared" si="688"/>
        <v>0</v>
      </c>
      <c r="L1622" s="120">
        <f t="shared" si="689"/>
        <v>0</v>
      </c>
      <c r="M1622" s="246">
        <f t="shared" si="690"/>
        <v>0</v>
      </c>
      <c r="N1622" s="121">
        <f t="shared" si="691"/>
        <v>1.1000000000000001</v>
      </c>
      <c r="O1622" s="246">
        <f t="shared" si="692"/>
        <v>0.91248905908096278</v>
      </c>
      <c r="P1622" s="121">
        <f t="shared" si="693"/>
        <v>0</v>
      </c>
      <c r="Q1622" s="121">
        <f t="shared" si="694"/>
        <v>1</v>
      </c>
      <c r="R1622" s="121">
        <f t="shared" si="695"/>
        <v>0</v>
      </c>
      <c r="W1622" s="160">
        <f t="shared" si="698"/>
        <v>1.1000000000000001</v>
      </c>
      <c r="X1622" s="160">
        <f t="shared" si="699"/>
        <v>1.1000000000000001</v>
      </c>
      <c r="Y1622" s="160">
        <f t="shared" si="700"/>
        <v>1.0043956573314146</v>
      </c>
      <c r="AB1622" s="160">
        <f t="shared" si="701"/>
        <v>0.49781181619256015</v>
      </c>
      <c r="AC1622" s="220">
        <f t="shared" si="702"/>
        <v>0.45699124726477025</v>
      </c>
      <c r="AD1622" s="160">
        <f t="shared" si="703"/>
        <v>1.2592245578751515</v>
      </c>
      <c r="AE1622" s="160">
        <f t="shared" si="696"/>
        <v>1.1245182640628968</v>
      </c>
      <c r="AF1622" s="220">
        <f t="shared" si="704"/>
        <v>1</v>
      </c>
      <c r="AG1622" s="183">
        <f t="shared" si="705"/>
        <v>0.14400000000000013</v>
      </c>
      <c r="AH1622" s="183">
        <f t="shared" si="706"/>
        <v>-3.8461538461538436E-2</v>
      </c>
      <c r="AI1622" s="220">
        <f t="shared" si="707"/>
        <v>0.87355348426190871</v>
      </c>
      <c r="AL1622" s="282">
        <f>IF(OR($D$1591=0,$F$1591=0),0,ABS(INDEX(_calc!$T:$T,76+(MATCH($B$1591,calc_key,0)-1)*54+31)/INDEX(_calc!$T:$T,76+(MATCH($B$1591,calc_key,0)-1)*54+19)-(1+$E$1591)))</f>
        <v>0</v>
      </c>
    </row>
    <row r="1623" spans="1:38" x14ac:dyDescent="0.3">
      <c r="A1623" s="187">
        <v>30</v>
      </c>
      <c r="B1623" s="242">
        <f t="shared" si="697"/>
        <v>46539</v>
      </c>
      <c r="C1623" s="243">
        <f t="shared" si="680"/>
        <v>46568</v>
      </c>
      <c r="D1623" s="120">
        <f t="shared" si="681"/>
        <v>30</v>
      </c>
      <c r="E1623" s="120">
        <f t="shared" si="682"/>
        <v>6</v>
      </c>
      <c r="F1623" s="275">
        <f t="shared" si="683"/>
        <v>46554</v>
      </c>
      <c r="G1623" s="120">
        <f t="shared" si="684"/>
        <v>24329</v>
      </c>
      <c r="H1623" s="245">
        <f t="shared" si="685"/>
        <v>1</v>
      </c>
      <c r="I1623" s="121">
        <f t="shared" si="686"/>
        <v>1.1000000000000001</v>
      </c>
      <c r="J1623" s="121">
        <f t="shared" si="687"/>
        <v>1.1000000000000001</v>
      </c>
      <c r="K1623" s="120">
        <f t="shared" si="688"/>
        <v>0</v>
      </c>
      <c r="L1623" s="120">
        <f t="shared" si="689"/>
        <v>0</v>
      </c>
      <c r="M1623" s="246">
        <f t="shared" si="690"/>
        <v>0</v>
      </c>
      <c r="N1623" s="121">
        <f t="shared" si="691"/>
        <v>1.1000000000000001</v>
      </c>
      <c r="O1623" s="246">
        <f t="shared" si="692"/>
        <v>0.91282275711159744</v>
      </c>
      <c r="P1623" s="121">
        <f t="shared" si="693"/>
        <v>0</v>
      </c>
      <c r="Q1623" s="121">
        <f t="shared" si="694"/>
        <v>1</v>
      </c>
      <c r="R1623" s="121">
        <f t="shared" si="695"/>
        <v>0</v>
      </c>
      <c r="W1623" s="160">
        <f t="shared" si="698"/>
        <v>1.1000000000000001</v>
      </c>
      <c r="X1623" s="160">
        <f t="shared" si="699"/>
        <v>1.1000000000000001</v>
      </c>
      <c r="Y1623" s="160">
        <f t="shared" si="700"/>
        <v>1.0043940433625869</v>
      </c>
      <c r="AB1623" s="160">
        <f t="shared" si="701"/>
        <v>0.56455142231947486</v>
      </c>
      <c r="AC1623" s="220">
        <f t="shared" si="702"/>
        <v>0.39625820568927789</v>
      </c>
      <c r="AD1623" s="160">
        <f t="shared" si="703"/>
        <v>1.2587622040039967</v>
      </c>
      <c r="AE1623" s="160">
        <f t="shared" si="696"/>
        <v>1.1235735076826048</v>
      </c>
      <c r="AF1623" s="220">
        <f t="shared" si="704"/>
        <v>1</v>
      </c>
      <c r="AG1623" s="183">
        <f t="shared" si="705"/>
        <v>0.14400000000000013</v>
      </c>
      <c r="AH1623" s="183">
        <f t="shared" si="706"/>
        <v>-3.8461538461538436E-2</v>
      </c>
      <c r="AI1623" s="220">
        <f t="shared" si="707"/>
        <v>0.87387434775290362</v>
      </c>
      <c r="AL1623" s="282">
        <f>IF(OR($D$1591=0,$F$1591=0),0,ABS(INDEX(_calc!$T:$T,76+(MATCH($B$1591,calc_key,0)-1)*54+32)/INDEX(_calc!$T:$T,76+(MATCH($B$1591,calc_key,0)-1)*54+20)-(1+$E$1591)))</f>
        <v>0</v>
      </c>
    </row>
    <row r="1624" spans="1:38" x14ac:dyDescent="0.3">
      <c r="A1624" s="187">
        <v>31</v>
      </c>
      <c r="B1624" s="242">
        <f t="shared" si="697"/>
        <v>46569</v>
      </c>
      <c r="C1624" s="243">
        <f t="shared" si="680"/>
        <v>46599</v>
      </c>
      <c r="D1624" s="120">
        <f t="shared" si="681"/>
        <v>31</v>
      </c>
      <c r="E1624" s="120">
        <f t="shared" si="682"/>
        <v>7</v>
      </c>
      <c r="F1624" s="275">
        <f t="shared" si="683"/>
        <v>46584.5</v>
      </c>
      <c r="G1624" s="120">
        <f t="shared" si="684"/>
        <v>24330</v>
      </c>
      <c r="H1624" s="245">
        <f t="shared" si="685"/>
        <v>1</v>
      </c>
      <c r="I1624" s="121">
        <f t="shared" si="686"/>
        <v>1.1000000000000001</v>
      </c>
      <c r="J1624" s="121">
        <f t="shared" si="687"/>
        <v>1.1000000000000001</v>
      </c>
      <c r="K1624" s="120">
        <f t="shared" si="688"/>
        <v>0</v>
      </c>
      <c r="L1624" s="120">
        <f t="shared" si="689"/>
        <v>0</v>
      </c>
      <c r="M1624" s="246">
        <f t="shared" si="690"/>
        <v>0</v>
      </c>
      <c r="N1624" s="121">
        <f t="shared" si="691"/>
        <v>1.1000000000000001</v>
      </c>
      <c r="O1624" s="246">
        <f t="shared" si="692"/>
        <v>0.91315645514223198</v>
      </c>
      <c r="P1624" s="121">
        <f t="shared" si="693"/>
        <v>0</v>
      </c>
      <c r="Q1624" s="121">
        <f t="shared" si="694"/>
        <v>0.91666666666666663</v>
      </c>
      <c r="R1624" s="121">
        <f t="shared" si="695"/>
        <v>8.333333333333337E-2</v>
      </c>
      <c r="W1624" s="160">
        <f t="shared" si="698"/>
        <v>1.1000000000000001</v>
      </c>
      <c r="X1624" s="160">
        <f t="shared" si="699"/>
        <v>1.1000000000000001</v>
      </c>
      <c r="Y1624" s="160">
        <f t="shared" si="700"/>
        <v>1.0043924305785372</v>
      </c>
      <c r="AB1624" s="160">
        <f t="shared" si="701"/>
        <v>0.63129102844638951</v>
      </c>
      <c r="AC1624" s="220">
        <f t="shared" si="702"/>
        <v>0.33552516411378558</v>
      </c>
      <c r="AD1624" s="160">
        <f t="shared" si="703"/>
        <v>1.2583001895363881</v>
      </c>
      <c r="AE1624" s="160">
        <f t="shared" si="696"/>
        <v>1.1226287513023128</v>
      </c>
      <c r="AF1624" s="220">
        <f t="shared" si="704"/>
        <v>1</v>
      </c>
      <c r="AG1624" s="183">
        <f t="shared" si="705"/>
        <v>0.14400000000000013</v>
      </c>
      <c r="AH1624" s="183">
        <f t="shared" si="706"/>
        <v>-3.8461538461538436E-2</v>
      </c>
      <c r="AI1624" s="220">
        <f t="shared" si="707"/>
        <v>0.87419521124389843</v>
      </c>
      <c r="AL1624" s="282">
        <f>IF(OR($D$1591=0,$F$1591=0),0,ABS(INDEX(_calc!$T:$T,76+(MATCH($B$1591,calc_key,0)-1)*54+33)/INDEX(_calc!$T:$T,76+(MATCH($B$1591,calc_key,0)-1)*54+21)-(1+$E$1591)))</f>
        <v>0</v>
      </c>
    </row>
    <row r="1625" spans="1:38" x14ac:dyDescent="0.3">
      <c r="A1625" s="187">
        <v>32</v>
      </c>
      <c r="B1625" s="242">
        <f t="shared" si="697"/>
        <v>46600</v>
      </c>
      <c r="C1625" s="243">
        <f t="shared" si="680"/>
        <v>46630</v>
      </c>
      <c r="D1625" s="120">
        <f t="shared" si="681"/>
        <v>31</v>
      </c>
      <c r="E1625" s="120">
        <f t="shared" si="682"/>
        <v>8</v>
      </c>
      <c r="F1625" s="275">
        <f t="shared" si="683"/>
        <v>46615.5</v>
      </c>
      <c r="G1625" s="120">
        <f t="shared" si="684"/>
        <v>24331</v>
      </c>
      <c r="H1625" s="245">
        <f t="shared" si="685"/>
        <v>1</v>
      </c>
      <c r="I1625" s="121">
        <f t="shared" si="686"/>
        <v>1.1000000000000001</v>
      </c>
      <c r="J1625" s="121">
        <f t="shared" si="687"/>
        <v>1.1000000000000001</v>
      </c>
      <c r="K1625" s="120">
        <f t="shared" si="688"/>
        <v>0</v>
      </c>
      <c r="L1625" s="120">
        <f t="shared" si="689"/>
        <v>0</v>
      </c>
      <c r="M1625" s="246">
        <f t="shared" si="690"/>
        <v>0</v>
      </c>
      <c r="N1625" s="121">
        <f t="shared" si="691"/>
        <v>1.1000000000000001</v>
      </c>
      <c r="O1625" s="246">
        <f t="shared" si="692"/>
        <v>0.91349562363238512</v>
      </c>
      <c r="P1625" s="121">
        <f t="shared" si="693"/>
        <v>0</v>
      </c>
      <c r="Q1625" s="121">
        <f t="shared" si="694"/>
        <v>0.75</v>
      </c>
      <c r="R1625" s="121">
        <f t="shared" si="695"/>
        <v>0.25</v>
      </c>
      <c r="W1625" s="160">
        <f t="shared" si="698"/>
        <v>1.1000000000000001</v>
      </c>
      <c r="X1625" s="160">
        <f t="shared" si="699"/>
        <v>1.1000000000000001</v>
      </c>
      <c r="Y1625" s="160">
        <f t="shared" si="700"/>
        <v>1.0043907925681324</v>
      </c>
      <c r="AB1625" s="160">
        <f t="shared" si="701"/>
        <v>0.69912472647702406</v>
      </c>
      <c r="AC1625" s="220">
        <f t="shared" si="702"/>
        <v>0.27379649890590813</v>
      </c>
      <c r="AD1625" s="160">
        <f t="shared" si="703"/>
        <v>1.2578309484713426</v>
      </c>
      <c r="AE1625" s="160">
        <f t="shared" si="696"/>
        <v>1.1216685071125081</v>
      </c>
      <c r="AF1625" s="220">
        <f t="shared" si="704"/>
        <v>1</v>
      </c>
      <c r="AG1625" s="183">
        <f t="shared" si="705"/>
        <v>0.14400000000000013</v>
      </c>
      <c r="AH1625" s="183">
        <f t="shared" si="706"/>
        <v>-3.8461538461538436E-2</v>
      </c>
      <c r="AI1625" s="220">
        <f t="shared" si="707"/>
        <v>0.87452133479212257</v>
      </c>
      <c r="AL1625" s="282">
        <f>IF(OR($D$1591=0,$F$1591=0),0,ABS(INDEX(_calc!$T:$T,76+(MATCH($B$1591,calc_key,0)-1)*54+34)/INDEX(_calc!$T:$T,76+(MATCH($B$1591,calc_key,0)-1)*54+22)-(1+$E$1591)))</f>
        <v>0</v>
      </c>
    </row>
    <row r="1626" spans="1:38" x14ac:dyDescent="0.3">
      <c r="A1626" s="187">
        <v>33</v>
      </c>
      <c r="B1626" s="242">
        <f t="shared" si="697"/>
        <v>46631</v>
      </c>
      <c r="C1626" s="243">
        <f t="shared" si="680"/>
        <v>46660</v>
      </c>
      <c r="D1626" s="120">
        <f t="shared" si="681"/>
        <v>30</v>
      </c>
      <c r="E1626" s="120">
        <f t="shared" si="682"/>
        <v>9</v>
      </c>
      <c r="F1626" s="275">
        <f t="shared" si="683"/>
        <v>46646</v>
      </c>
      <c r="G1626" s="120">
        <f t="shared" si="684"/>
        <v>24332</v>
      </c>
      <c r="H1626" s="245">
        <f t="shared" si="685"/>
        <v>1</v>
      </c>
      <c r="I1626" s="121">
        <f t="shared" si="686"/>
        <v>1.1000000000000001</v>
      </c>
      <c r="J1626" s="121">
        <f t="shared" si="687"/>
        <v>1.1000000000000001</v>
      </c>
      <c r="K1626" s="120">
        <f t="shared" si="688"/>
        <v>0</v>
      </c>
      <c r="L1626" s="120">
        <f t="shared" si="689"/>
        <v>0</v>
      </c>
      <c r="M1626" s="246">
        <f t="shared" si="690"/>
        <v>0</v>
      </c>
      <c r="N1626" s="121">
        <f t="shared" si="691"/>
        <v>1.1000000000000001</v>
      </c>
      <c r="O1626" s="246">
        <f t="shared" si="692"/>
        <v>0.91382932166301978</v>
      </c>
      <c r="P1626" s="121">
        <f t="shared" si="693"/>
        <v>0</v>
      </c>
      <c r="Q1626" s="121">
        <f t="shared" si="694"/>
        <v>0.58333333333333337</v>
      </c>
      <c r="R1626" s="121">
        <f t="shared" si="695"/>
        <v>0.41666666666666663</v>
      </c>
      <c r="W1626" s="160">
        <f t="shared" si="698"/>
        <v>1.1000000000000001</v>
      </c>
      <c r="X1626" s="160">
        <f t="shared" si="699"/>
        <v>1.1000000000000001</v>
      </c>
      <c r="Y1626" s="160">
        <f t="shared" si="700"/>
        <v>1.0043891821690978</v>
      </c>
      <c r="AB1626" s="160">
        <f t="shared" si="701"/>
        <v>0.76586433260393871</v>
      </c>
      <c r="AC1626" s="220">
        <f t="shared" si="702"/>
        <v>0.21306345733041579</v>
      </c>
      <c r="AD1626" s="160">
        <f t="shared" si="703"/>
        <v>1.2573696172392648</v>
      </c>
      <c r="AE1626" s="160">
        <f t="shared" si="696"/>
        <v>1.1207237507322159</v>
      </c>
      <c r="AF1626" s="220">
        <f t="shared" si="704"/>
        <v>1</v>
      </c>
      <c r="AG1626" s="183">
        <f t="shared" si="705"/>
        <v>0.14400000000000013</v>
      </c>
      <c r="AH1626" s="183">
        <f t="shared" si="706"/>
        <v>-3.8461538461538436E-2</v>
      </c>
      <c r="AI1626" s="220">
        <f t="shared" si="707"/>
        <v>0.87484219828311727</v>
      </c>
      <c r="AL1626" s="282">
        <f>IF(OR($D$1591=0,$F$1591=0),0,ABS(INDEX(_calc!$T:$T,76+(MATCH($B$1591,calc_key,0)-1)*54+35)/INDEX(_calc!$T:$T,76+(MATCH($B$1591,calc_key,0)-1)*54+23)-(1+$E$1591)))</f>
        <v>0</v>
      </c>
    </row>
    <row r="1627" spans="1:38" x14ac:dyDescent="0.3">
      <c r="A1627" s="187">
        <v>34</v>
      </c>
      <c r="B1627" s="242">
        <f t="shared" si="697"/>
        <v>46661</v>
      </c>
      <c r="C1627" s="243">
        <f t="shared" si="680"/>
        <v>46691</v>
      </c>
      <c r="D1627" s="120">
        <f t="shared" si="681"/>
        <v>31</v>
      </c>
      <c r="E1627" s="120">
        <f t="shared" si="682"/>
        <v>10</v>
      </c>
      <c r="F1627" s="275">
        <f t="shared" si="683"/>
        <v>46676.5</v>
      </c>
      <c r="G1627" s="120">
        <f t="shared" si="684"/>
        <v>24333</v>
      </c>
      <c r="H1627" s="245">
        <f t="shared" si="685"/>
        <v>1</v>
      </c>
      <c r="I1627" s="121">
        <f t="shared" si="686"/>
        <v>1.1000000000000001</v>
      </c>
      <c r="J1627" s="121">
        <f t="shared" si="687"/>
        <v>1.1000000000000001</v>
      </c>
      <c r="K1627" s="120">
        <f t="shared" si="688"/>
        <v>0</v>
      </c>
      <c r="L1627" s="120">
        <f t="shared" si="689"/>
        <v>0</v>
      </c>
      <c r="M1627" s="246">
        <f t="shared" si="690"/>
        <v>0</v>
      </c>
      <c r="N1627" s="121">
        <f t="shared" si="691"/>
        <v>1.1000000000000001</v>
      </c>
      <c r="O1627" s="246">
        <f t="shared" si="692"/>
        <v>0.91416301969365432</v>
      </c>
      <c r="P1627" s="121">
        <f t="shared" si="693"/>
        <v>0</v>
      </c>
      <c r="Q1627" s="121">
        <f t="shared" si="694"/>
        <v>0.41666666666666669</v>
      </c>
      <c r="R1627" s="121">
        <f t="shared" si="695"/>
        <v>0.58333333333333326</v>
      </c>
      <c r="W1627" s="160">
        <f t="shared" si="698"/>
        <v>1.1000000000000001</v>
      </c>
      <c r="X1627" s="160">
        <f t="shared" si="699"/>
        <v>1.1000000000000001</v>
      </c>
      <c r="Y1627" s="160">
        <f t="shared" si="700"/>
        <v>1.0043875729509133</v>
      </c>
      <c r="AB1627" s="160">
        <f t="shared" si="701"/>
        <v>0.83260393873085337</v>
      </c>
      <c r="AC1627" s="220">
        <f t="shared" si="702"/>
        <v>0.15233041575492345</v>
      </c>
      <c r="AD1627" s="160">
        <f t="shared" si="703"/>
        <v>1.1426442038959241</v>
      </c>
      <c r="AE1627" s="160">
        <f t="shared" si="696"/>
        <v>1.1197789943519239</v>
      </c>
      <c r="AF1627" s="220">
        <f t="shared" si="704"/>
        <v>1</v>
      </c>
      <c r="AG1627" s="183">
        <f t="shared" si="705"/>
        <v>4.0000000000000036E-2</v>
      </c>
      <c r="AH1627" s="183">
        <f t="shared" si="706"/>
        <v>5.7692307692307709E-2</v>
      </c>
      <c r="AI1627" s="220">
        <f t="shared" si="707"/>
        <v>0.96267936795152353</v>
      </c>
      <c r="AL1627" s="282">
        <f>IF(OR($D$1591=0,$F$1591=0),0,ABS(INDEX(_calc!$T:$T,76+(MATCH($B$1591,calc_key,0)-1)*54+36)/INDEX(_calc!$T:$T,76+(MATCH($B$1591,calc_key,0)-1)*54+24)-(1+$E$1591)))</f>
        <v>0</v>
      </c>
    </row>
    <row r="1628" spans="1:38" x14ac:dyDescent="0.3">
      <c r="A1628" s="187">
        <v>35</v>
      </c>
      <c r="B1628" s="242">
        <f t="shared" si="697"/>
        <v>46692</v>
      </c>
      <c r="C1628" s="243">
        <f t="shared" si="680"/>
        <v>46721</v>
      </c>
      <c r="D1628" s="120">
        <f t="shared" si="681"/>
        <v>30</v>
      </c>
      <c r="E1628" s="120">
        <f t="shared" si="682"/>
        <v>11</v>
      </c>
      <c r="F1628" s="275">
        <f t="shared" si="683"/>
        <v>46707</v>
      </c>
      <c r="G1628" s="120">
        <f t="shared" si="684"/>
        <v>24334</v>
      </c>
      <c r="H1628" s="245">
        <f t="shared" si="685"/>
        <v>1</v>
      </c>
      <c r="I1628" s="121">
        <f t="shared" si="686"/>
        <v>1.1000000000000001</v>
      </c>
      <c r="J1628" s="121">
        <f t="shared" si="687"/>
        <v>1.1000000000000001</v>
      </c>
      <c r="K1628" s="120">
        <f t="shared" si="688"/>
        <v>0</v>
      </c>
      <c r="L1628" s="120">
        <f t="shared" si="689"/>
        <v>0</v>
      </c>
      <c r="M1628" s="246">
        <f t="shared" si="690"/>
        <v>0</v>
      </c>
      <c r="N1628" s="121">
        <f t="shared" si="691"/>
        <v>1.1000000000000001</v>
      </c>
      <c r="O1628" s="246">
        <f t="shared" si="692"/>
        <v>0.91449671772428887</v>
      </c>
      <c r="P1628" s="121">
        <f t="shared" si="693"/>
        <v>0</v>
      </c>
      <c r="Q1628" s="121">
        <f t="shared" si="694"/>
        <v>0.25</v>
      </c>
      <c r="R1628" s="121">
        <f t="shared" si="695"/>
        <v>0.75</v>
      </c>
      <c r="W1628" s="160">
        <f t="shared" si="698"/>
        <v>1.1000000000000001</v>
      </c>
      <c r="X1628" s="160">
        <f t="shared" si="699"/>
        <v>1.1000000000000001</v>
      </c>
      <c r="Y1628" s="160">
        <f t="shared" si="700"/>
        <v>1.0043859649122806</v>
      </c>
      <c r="AB1628" s="160">
        <f t="shared" si="701"/>
        <v>0.89934354485776802</v>
      </c>
      <c r="AC1628" s="220">
        <f t="shared" si="702"/>
        <v>9.1597374179431104E-2</v>
      </c>
      <c r="AD1628" s="160">
        <f t="shared" si="703"/>
        <v>1.1422254265801488</v>
      </c>
      <c r="AE1628" s="160">
        <f t="shared" si="696"/>
        <v>1.1188342379716321</v>
      </c>
      <c r="AF1628" s="220">
        <f t="shared" si="704"/>
        <v>1</v>
      </c>
      <c r="AG1628" s="183">
        <f t="shared" si="705"/>
        <v>4.0000000000000036E-2</v>
      </c>
      <c r="AH1628" s="183">
        <f t="shared" si="706"/>
        <v>5.7692307692307709E-2</v>
      </c>
      <c r="AI1628" s="220">
        <f t="shared" si="707"/>
        <v>0.9630323177916178</v>
      </c>
      <c r="AL1628" s="282">
        <f>IF(OR($D$1591=0,$F$1591=0),0,ABS(INDEX(_calc!$T:$T,76+(MATCH($B$1591,calc_key,0)-1)*54+37)/INDEX(_calc!$T:$T,76+(MATCH($B$1591,calc_key,0)-1)*54+25)-(1+$E$1591)))</f>
        <v>0</v>
      </c>
    </row>
    <row r="1629" spans="1:38" x14ac:dyDescent="0.3">
      <c r="A1629" s="187">
        <v>36</v>
      </c>
      <c r="B1629" s="242">
        <f t="shared" si="697"/>
        <v>46722</v>
      </c>
      <c r="C1629" s="243">
        <f t="shared" si="680"/>
        <v>46752</v>
      </c>
      <c r="D1629" s="120">
        <f t="shared" si="681"/>
        <v>31</v>
      </c>
      <c r="E1629" s="120">
        <f t="shared" si="682"/>
        <v>12</v>
      </c>
      <c r="F1629" s="275">
        <f t="shared" si="683"/>
        <v>46737.5</v>
      </c>
      <c r="G1629" s="120">
        <f t="shared" si="684"/>
        <v>24335</v>
      </c>
      <c r="H1629" s="245">
        <f t="shared" si="685"/>
        <v>1</v>
      </c>
      <c r="I1629" s="121">
        <f t="shared" si="686"/>
        <v>1.1000000000000001</v>
      </c>
      <c r="J1629" s="121">
        <f t="shared" si="687"/>
        <v>1.1000000000000001</v>
      </c>
      <c r="K1629" s="120">
        <f t="shared" si="688"/>
        <v>0</v>
      </c>
      <c r="L1629" s="120">
        <f t="shared" si="689"/>
        <v>0</v>
      </c>
      <c r="M1629" s="246">
        <f t="shared" si="690"/>
        <v>0</v>
      </c>
      <c r="N1629" s="121">
        <f t="shared" si="691"/>
        <v>1.1000000000000001</v>
      </c>
      <c r="O1629" s="246">
        <f t="shared" si="692"/>
        <v>0.91483041575492341</v>
      </c>
      <c r="P1629" s="121">
        <f t="shared" si="693"/>
        <v>0</v>
      </c>
      <c r="Q1629" s="121">
        <f t="shared" si="694"/>
        <v>8.3333333333333329E-2</v>
      </c>
      <c r="R1629" s="121">
        <f t="shared" si="695"/>
        <v>0.91666666666666663</v>
      </c>
      <c r="W1629" s="160">
        <f t="shared" si="698"/>
        <v>1.1000000000000001</v>
      </c>
      <c r="X1629" s="160">
        <f t="shared" si="699"/>
        <v>1.1000000000000001</v>
      </c>
      <c r="Y1629" s="160">
        <f t="shared" si="700"/>
        <v>1.0043843580519036</v>
      </c>
      <c r="AB1629" s="160">
        <f t="shared" si="701"/>
        <v>0.96608315098468267</v>
      </c>
      <c r="AC1629" s="220">
        <f t="shared" si="702"/>
        <v>3.0864332603938772E-2</v>
      </c>
      <c r="AD1629" s="160">
        <f t="shared" si="703"/>
        <v>1.1418069561143775</v>
      </c>
      <c r="AE1629" s="160">
        <f t="shared" si="696"/>
        <v>1.1178894815913398</v>
      </c>
      <c r="AF1629" s="220">
        <f t="shared" si="704"/>
        <v>1</v>
      </c>
      <c r="AG1629" s="183">
        <f t="shared" si="705"/>
        <v>4.0000000000000036E-2</v>
      </c>
      <c r="AH1629" s="183">
        <f t="shared" si="706"/>
        <v>5.7692307692307709E-2</v>
      </c>
      <c r="AI1629" s="220">
        <f t="shared" si="707"/>
        <v>0.96338526763171195</v>
      </c>
      <c r="AL1629" s="282">
        <f>IF(OR($D$1591=0,$F$1591=0),0,ABS(INDEX(_calc!$T:$T,76+(MATCH($B$1591,calc_key,0)-1)*54+38)/INDEX(_calc!$T:$T,76+(MATCH($B$1591,calc_key,0)-1)*54+26)-(1+$E$1591)))</f>
        <v>0</v>
      </c>
    </row>
    <row r="1630" spans="1:38" x14ac:dyDescent="0.3">
      <c r="A1630" s="187">
        <v>37</v>
      </c>
      <c r="B1630" s="242">
        <f t="shared" si="697"/>
        <v>46753</v>
      </c>
      <c r="C1630" s="243">
        <f t="shared" si="680"/>
        <v>46783</v>
      </c>
      <c r="D1630" s="120">
        <f t="shared" si="681"/>
        <v>31</v>
      </c>
      <c r="E1630" s="120">
        <f t="shared" si="682"/>
        <v>1</v>
      </c>
      <c r="F1630" s="275">
        <f t="shared" si="683"/>
        <v>46768.5</v>
      </c>
      <c r="G1630" s="120">
        <f t="shared" si="684"/>
        <v>24336</v>
      </c>
      <c r="H1630" s="245">
        <f t="shared" si="685"/>
        <v>1</v>
      </c>
      <c r="I1630" s="121">
        <f t="shared" si="686"/>
        <v>1.1000000000000001</v>
      </c>
      <c r="J1630" s="121">
        <f t="shared" si="687"/>
        <v>1.1000000000000001</v>
      </c>
      <c r="K1630" s="120">
        <f t="shared" si="688"/>
        <v>0</v>
      </c>
      <c r="L1630" s="120">
        <f t="shared" si="689"/>
        <v>0</v>
      </c>
      <c r="M1630" s="246">
        <f t="shared" si="690"/>
        <v>0</v>
      </c>
      <c r="N1630" s="121">
        <f t="shared" si="691"/>
        <v>1.1000000000000001</v>
      </c>
      <c r="O1630" s="246">
        <f t="shared" si="692"/>
        <v>0.91500000000000004</v>
      </c>
      <c r="P1630" s="121">
        <f t="shared" si="693"/>
        <v>0</v>
      </c>
      <c r="Q1630" s="121">
        <f t="shared" si="694"/>
        <v>0</v>
      </c>
      <c r="R1630" s="121">
        <f t="shared" si="695"/>
        <v>1</v>
      </c>
      <c r="AE1630" s="160">
        <f t="shared" si="696"/>
        <v>1.094021739130435</v>
      </c>
    </row>
    <row r="1631" spans="1:38" x14ac:dyDescent="0.3">
      <c r="A1631" s="187">
        <v>38</v>
      </c>
      <c r="B1631" s="242">
        <f t="shared" si="697"/>
        <v>46784</v>
      </c>
      <c r="C1631" s="243">
        <f t="shared" si="680"/>
        <v>46812</v>
      </c>
      <c r="D1631" s="120">
        <f t="shared" si="681"/>
        <v>29</v>
      </c>
      <c r="E1631" s="120">
        <f t="shared" si="682"/>
        <v>2</v>
      </c>
      <c r="F1631" s="275">
        <f t="shared" si="683"/>
        <v>46798.5</v>
      </c>
      <c r="G1631" s="120">
        <f t="shared" si="684"/>
        <v>24337</v>
      </c>
      <c r="H1631" s="245">
        <f t="shared" si="685"/>
        <v>1</v>
      </c>
      <c r="I1631" s="121">
        <f t="shared" si="686"/>
        <v>1.1000000000000001</v>
      </c>
      <c r="J1631" s="121">
        <f t="shared" si="687"/>
        <v>1.1000000000000001</v>
      </c>
      <c r="K1631" s="120">
        <f t="shared" si="688"/>
        <v>0</v>
      </c>
      <c r="L1631" s="120">
        <f t="shared" si="689"/>
        <v>0</v>
      </c>
      <c r="M1631" s="246">
        <f t="shared" si="690"/>
        <v>0</v>
      </c>
      <c r="N1631" s="121">
        <f t="shared" si="691"/>
        <v>1.1000000000000001</v>
      </c>
      <c r="O1631" s="246">
        <f t="shared" si="692"/>
        <v>0.91500000000000004</v>
      </c>
      <c r="P1631" s="121">
        <f t="shared" si="693"/>
        <v>0</v>
      </c>
      <c r="Q1631" s="121">
        <f t="shared" si="694"/>
        <v>0</v>
      </c>
      <c r="R1631" s="121">
        <f t="shared" si="695"/>
        <v>1</v>
      </c>
      <c r="AE1631" s="160">
        <f t="shared" si="696"/>
        <v>1.094021739130435</v>
      </c>
    </row>
    <row r="1632" spans="1:38" x14ac:dyDescent="0.3">
      <c r="A1632" s="187">
        <v>39</v>
      </c>
      <c r="B1632" s="242">
        <f t="shared" si="697"/>
        <v>46813</v>
      </c>
      <c r="C1632" s="243">
        <f t="shared" si="680"/>
        <v>46843</v>
      </c>
      <c r="D1632" s="120">
        <f t="shared" si="681"/>
        <v>31</v>
      </c>
      <c r="E1632" s="120">
        <f t="shared" si="682"/>
        <v>3</v>
      </c>
      <c r="F1632" s="275">
        <f t="shared" si="683"/>
        <v>46828.5</v>
      </c>
      <c r="G1632" s="120">
        <f t="shared" si="684"/>
        <v>24338</v>
      </c>
      <c r="H1632" s="245">
        <f t="shared" si="685"/>
        <v>1</v>
      </c>
      <c r="I1632" s="121">
        <f t="shared" si="686"/>
        <v>1.1000000000000001</v>
      </c>
      <c r="J1632" s="121">
        <f t="shared" si="687"/>
        <v>1.1000000000000001</v>
      </c>
      <c r="K1632" s="120">
        <f t="shared" si="688"/>
        <v>0</v>
      </c>
      <c r="L1632" s="120">
        <f t="shared" si="689"/>
        <v>0</v>
      </c>
      <c r="M1632" s="246">
        <f t="shared" si="690"/>
        <v>0</v>
      </c>
      <c r="N1632" s="121">
        <f t="shared" si="691"/>
        <v>1.1000000000000001</v>
      </c>
      <c r="O1632" s="246">
        <f t="shared" si="692"/>
        <v>0.91500000000000004</v>
      </c>
      <c r="P1632" s="121">
        <f t="shared" si="693"/>
        <v>0</v>
      </c>
      <c r="Q1632" s="121">
        <f t="shared" si="694"/>
        <v>0</v>
      </c>
      <c r="R1632" s="121">
        <f t="shared" si="695"/>
        <v>1</v>
      </c>
      <c r="AE1632" s="160">
        <f t="shared" si="696"/>
        <v>1.094021739130435</v>
      </c>
    </row>
    <row r="1633" spans="1:31" x14ac:dyDescent="0.3">
      <c r="A1633" s="187">
        <v>40</v>
      </c>
      <c r="B1633" s="242">
        <f t="shared" si="697"/>
        <v>46844</v>
      </c>
      <c r="C1633" s="243">
        <f t="shared" si="680"/>
        <v>46873</v>
      </c>
      <c r="D1633" s="120">
        <f t="shared" si="681"/>
        <v>30</v>
      </c>
      <c r="E1633" s="120">
        <f t="shared" si="682"/>
        <v>4</v>
      </c>
      <c r="F1633" s="275">
        <f t="shared" si="683"/>
        <v>46859</v>
      </c>
      <c r="G1633" s="120">
        <f t="shared" si="684"/>
        <v>24339</v>
      </c>
      <c r="H1633" s="245">
        <f t="shared" si="685"/>
        <v>1</v>
      </c>
      <c r="I1633" s="121">
        <f t="shared" si="686"/>
        <v>1.1000000000000001</v>
      </c>
      <c r="J1633" s="121">
        <f t="shared" si="687"/>
        <v>1.1000000000000001</v>
      </c>
      <c r="K1633" s="120">
        <f t="shared" si="688"/>
        <v>0</v>
      </c>
      <c r="L1633" s="120">
        <f t="shared" si="689"/>
        <v>0</v>
      </c>
      <c r="M1633" s="246">
        <f t="shared" si="690"/>
        <v>0</v>
      </c>
      <c r="N1633" s="121">
        <f t="shared" si="691"/>
        <v>1.1000000000000001</v>
      </c>
      <c r="O1633" s="246">
        <f t="shared" si="692"/>
        <v>0.91500000000000004</v>
      </c>
      <c r="P1633" s="121">
        <f t="shared" si="693"/>
        <v>0</v>
      </c>
      <c r="Q1633" s="121">
        <f t="shared" si="694"/>
        <v>0</v>
      </c>
      <c r="R1633" s="121">
        <f t="shared" si="695"/>
        <v>1</v>
      </c>
      <c r="AE1633" s="160">
        <f t="shared" si="696"/>
        <v>1.094021739130435</v>
      </c>
    </row>
    <row r="1634" spans="1:31" x14ac:dyDescent="0.3">
      <c r="A1634" s="187">
        <v>41</v>
      </c>
      <c r="B1634" s="242">
        <f t="shared" si="697"/>
        <v>46874</v>
      </c>
      <c r="C1634" s="243">
        <f t="shared" si="680"/>
        <v>46904</v>
      </c>
      <c r="D1634" s="120">
        <f t="shared" si="681"/>
        <v>31</v>
      </c>
      <c r="E1634" s="120">
        <f t="shared" si="682"/>
        <v>5</v>
      </c>
      <c r="F1634" s="275">
        <f t="shared" si="683"/>
        <v>46889.5</v>
      </c>
      <c r="G1634" s="120">
        <f t="shared" si="684"/>
        <v>24340</v>
      </c>
      <c r="H1634" s="245">
        <f t="shared" si="685"/>
        <v>1</v>
      </c>
      <c r="I1634" s="121">
        <f t="shared" si="686"/>
        <v>1.1000000000000001</v>
      </c>
      <c r="J1634" s="121">
        <f t="shared" si="687"/>
        <v>1.1000000000000001</v>
      </c>
      <c r="K1634" s="120">
        <f t="shared" si="688"/>
        <v>0</v>
      </c>
      <c r="L1634" s="120">
        <f t="shared" si="689"/>
        <v>0</v>
      </c>
      <c r="M1634" s="246">
        <f t="shared" si="690"/>
        <v>0</v>
      </c>
      <c r="N1634" s="121">
        <f t="shared" si="691"/>
        <v>1.1000000000000001</v>
      </c>
      <c r="O1634" s="246">
        <f t="shared" si="692"/>
        <v>0.91500000000000004</v>
      </c>
      <c r="P1634" s="121">
        <f t="shared" si="693"/>
        <v>0</v>
      </c>
      <c r="Q1634" s="121">
        <f t="shared" si="694"/>
        <v>0</v>
      </c>
      <c r="R1634" s="121">
        <f t="shared" si="695"/>
        <v>1</v>
      </c>
      <c r="AE1634" s="160">
        <f t="shared" si="696"/>
        <v>1.094021739130435</v>
      </c>
    </row>
    <row r="1635" spans="1:31" x14ac:dyDescent="0.3">
      <c r="A1635" s="187">
        <v>42</v>
      </c>
      <c r="B1635" s="242">
        <f t="shared" si="697"/>
        <v>46905</v>
      </c>
      <c r="C1635" s="243">
        <f t="shared" si="680"/>
        <v>46934</v>
      </c>
      <c r="D1635" s="120">
        <f t="shared" si="681"/>
        <v>30</v>
      </c>
      <c r="E1635" s="120">
        <f t="shared" si="682"/>
        <v>6</v>
      </c>
      <c r="F1635" s="275">
        <f t="shared" si="683"/>
        <v>46920</v>
      </c>
      <c r="G1635" s="120">
        <f t="shared" si="684"/>
        <v>24341</v>
      </c>
      <c r="H1635" s="245">
        <f t="shared" si="685"/>
        <v>1</v>
      </c>
      <c r="I1635" s="121">
        <f t="shared" si="686"/>
        <v>1.1000000000000001</v>
      </c>
      <c r="J1635" s="121">
        <f t="shared" si="687"/>
        <v>1.1000000000000001</v>
      </c>
      <c r="K1635" s="120">
        <f t="shared" si="688"/>
        <v>0</v>
      </c>
      <c r="L1635" s="120">
        <f t="shared" si="689"/>
        <v>0</v>
      </c>
      <c r="M1635" s="246">
        <f t="shared" si="690"/>
        <v>0</v>
      </c>
      <c r="N1635" s="121">
        <f t="shared" si="691"/>
        <v>1.1000000000000001</v>
      </c>
      <c r="O1635" s="246">
        <f t="shared" si="692"/>
        <v>0.91500000000000004</v>
      </c>
      <c r="P1635" s="121">
        <f t="shared" si="693"/>
        <v>0</v>
      </c>
      <c r="Q1635" s="121">
        <f t="shared" si="694"/>
        <v>0</v>
      </c>
      <c r="R1635" s="121">
        <f t="shared" si="695"/>
        <v>1</v>
      </c>
      <c r="AE1635" s="160">
        <f t="shared" si="696"/>
        <v>1.094021739130435</v>
      </c>
    </row>
    <row r="1636" spans="1:31" x14ac:dyDescent="0.3">
      <c r="A1636" s="187">
        <v>43</v>
      </c>
      <c r="B1636" s="242">
        <f t="shared" si="697"/>
        <v>46935</v>
      </c>
      <c r="C1636" s="243">
        <f t="shared" si="680"/>
        <v>46965</v>
      </c>
      <c r="D1636" s="120">
        <f t="shared" si="681"/>
        <v>31</v>
      </c>
      <c r="E1636" s="120">
        <f t="shared" si="682"/>
        <v>7</v>
      </c>
      <c r="F1636" s="275">
        <f t="shared" si="683"/>
        <v>46950.5</v>
      </c>
      <c r="G1636" s="120">
        <f t="shared" si="684"/>
        <v>24342</v>
      </c>
      <c r="H1636" s="245">
        <f t="shared" si="685"/>
        <v>1</v>
      </c>
      <c r="I1636" s="121">
        <f t="shared" si="686"/>
        <v>1.1000000000000001</v>
      </c>
      <c r="J1636" s="121">
        <f t="shared" si="687"/>
        <v>1.1000000000000001</v>
      </c>
      <c r="K1636" s="120">
        <f t="shared" si="688"/>
        <v>0</v>
      </c>
      <c r="L1636" s="120">
        <f t="shared" si="689"/>
        <v>0</v>
      </c>
      <c r="M1636" s="246">
        <f t="shared" si="690"/>
        <v>0</v>
      </c>
      <c r="N1636" s="121">
        <f t="shared" si="691"/>
        <v>1.1000000000000001</v>
      </c>
      <c r="O1636" s="246">
        <f t="shared" si="692"/>
        <v>0.91500000000000004</v>
      </c>
      <c r="P1636" s="121">
        <f t="shared" si="693"/>
        <v>0</v>
      </c>
      <c r="Q1636" s="121">
        <f t="shared" si="694"/>
        <v>0</v>
      </c>
      <c r="R1636" s="121">
        <f t="shared" si="695"/>
        <v>0.91666666666666663</v>
      </c>
      <c r="AE1636" s="160">
        <f t="shared" si="696"/>
        <v>1.094021739130435</v>
      </c>
    </row>
    <row r="1637" spans="1:31" x14ac:dyDescent="0.3">
      <c r="A1637" s="187">
        <v>44</v>
      </c>
      <c r="B1637" s="242">
        <f t="shared" si="697"/>
        <v>46966</v>
      </c>
      <c r="C1637" s="243">
        <f t="shared" si="680"/>
        <v>46996</v>
      </c>
      <c r="D1637" s="120">
        <f t="shared" si="681"/>
        <v>31</v>
      </c>
      <c r="E1637" s="120">
        <f t="shared" si="682"/>
        <v>8</v>
      </c>
      <c r="F1637" s="275">
        <f t="shared" si="683"/>
        <v>46981.5</v>
      </c>
      <c r="G1637" s="120">
        <f t="shared" si="684"/>
        <v>24343</v>
      </c>
      <c r="H1637" s="245">
        <f t="shared" si="685"/>
        <v>1</v>
      </c>
      <c r="I1637" s="121">
        <f t="shared" si="686"/>
        <v>1.1000000000000001</v>
      </c>
      <c r="J1637" s="121">
        <f t="shared" si="687"/>
        <v>1.1000000000000001</v>
      </c>
      <c r="K1637" s="120">
        <f t="shared" si="688"/>
        <v>0</v>
      </c>
      <c r="L1637" s="120">
        <f t="shared" si="689"/>
        <v>0</v>
      </c>
      <c r="M1637" s="246">
        <f t="shared" si="690"/>
        <v>0</v>
      </c>
      <c r="N1637" s="121">
        <f t="shared" si="691"/>
        <v>1.1000000000000001</v>
      </c>
      <c r="O1637" s="246">
        <f t="shared" si="692"/>
        <v>0.91500000000000004</v>
      </c>
      <c r="P1637" s="121">
        <f t="shared" si="693"/>
        <v>0</v>
      </c>
      <c r="Q1637" s="121">
        <f t="shared" si="694"/>
        <v>0</v>
      </c>
      <c r="R1637" s="121">
        <f t="shared" si="695"/>
        <v>0.75</v>
      </c>
      <c r="AE1637" s="160">
        <f t="shared" si="696"/>
        <v>1.094021739130435</v>
      </c>
    </row>
    <row r="1638" spans="1:31" x14ac:dyDescent="0.3">
      <c r="A1638" s="187">
        <v>45</v>
      </c>
      <c r="B1638" s="242">
        <f t="shared" si="697"/>
        <v>46997</v>
      </c>
      <c r="C1638" s="243">
        <f t="shared" si="680"/>
        <v>47026</v>
      </c>
      <c r="D1638" s="120">
        <f t="shared" si="681"/>
        <v>30</v>
      </c>
      <c r="E1638" s="120">
        <f t="shared" si="682"/>
        <v>9</v>
      </c>
      <c r="F1638" s="275">
        <f t="shared" si="683"/>
        <v>47012</v>
      </c>
      <c r="G1638" s="120">
        <f t="shared" si="684"/>
        <v>24344</v>
      </c>
      <c r="H1638" s="245">
        <f t="shared" si="685"/>
        <v>1</v>
      </c>
      <c r="I1638" s="121">
        <f t="shared" si="686"/>
        <v>1.1000000000000001</v>
      </c>
      <c r="J1638" s="121">
        <f t="shared" si="687"/>
        <v>1.1000000000000001</v>
      </c>
      <c r="K1638" s="120">
        <f t="shared" si="688"/>
        <v>0</v>
      </c>
      <c r="L1638" s="120">
        <f t="shared" si="689"/>
        <v>0</v>
      </c>
      <c r="M1638" s="246">
        <f t="shared" si="690"/>
        <v>0</v>
      </c>
      <c r="N1638" s="121">
        <f t="shared" si="691"/>
        <v>1.1000000000000001</v>
      </c>
      <c r="O1638" s="246">
        <f t="shared" si="692"/>
        <v>0.91500000000000004</v>
      </c>
      <c r="P1638" s="121">
        <f t="shared" si="693"/>
        <v>0</v>
      </c>
      <c r="Q1638" s="121">
        <f t="shared" si="694"/>
        <v>0</v>
      </c>
      <c r="R1638" s="121">
        <f t="shared" si="695"/>
        <v>0.58333333333333337</v>
      </c>
      <c r="AE1638" s="160">
        <f t="shared" si="696"/>
        <v>1.094021739130435</v>
      </c>
    </row>
    <row r="1639" spans="1:31" x14ac:dyDescent="0.3">
      <c r="A1639" s="187">
        <v>46</v>
      </c>
      <c r="B1639" s="242">
        <f t="shared" si="697"/>
        <v>47027</v>
      </c>
      <c r="C1639" s="243">
        <f t="shared" si="680"/>
        <v>47057</v>
      </c>
      <c r="D1639" s="120">
        <f t="shared" si="681"/>
        <v>31</v>
      </c>
      <c r="E1639" s="120">
        <f t="shared" si="682"/>
        <v>10</v>
      </c>
      <c r="F1639" s="275">
        <f t="shared" si="683"/>
        <v>47042.5</v>
      </c>
      <c r="G1639" s="120">
        <f t="shared" si="684"/>
        <v>24345</v>
      </c>
      <c r="H1639" s="245">
        <f t="shared" si="685"/>
        <v>1</v>
      </c>
      <c r="I1639" s="121">
        <f t="shared" si="686"/>
        <v>1.1000000000000001</v>
      </c>
      <c r="J1639" s="121">
        <f t="shared" si="687"/>
        <v>1.1000000000000001</v>
      </c>
      <c r="K1639" s="120">
        <f t="shared" si="688"/>
        <v>0</v>
      </c>
      <c r="L1639" s="120">
        <f t="shared" si="689"/>
        <v>0</v>
      </c>
      <c r="M1639" s="246">
        <f t="shared" si="690"/>
        <v>0</v>
      </c>
      <c r="N1639" s="121">
        <f t="shared" si="691"/>
        <v>1.1000000000000001</v>
      </c>
      <c r="O1639" s="246">
        <f t="shared" si="692"/>
        <v>0.91500000000000004</v>
      </c>
      <c r="P1639" s="121">
        <f t="shared" si="693"/>
        <v>0</v>
      </c>
      <c r="Q1639" s="121">
        <f t="shared" si="694"/>
        <v>0</v>
      </c>
      <c r="R1639" s="121">
        <f t="shared" si="695"/>
        <v>0.41666666666666669</v>
      </c>
      <c r="AE1639" s="160">
        <f t="shared" si="696"/>
        <v>1.094021739130435</v>
      </c>
    </row>
    <row r="1640" spans="1:31" x14ac:dyDescent="0.3">
      <c r="A1640" s="187">
        <v>47</v>
      </c>
      <c r="B1640" s="242">
        <f t="shared" si="697"/>
        <v>47058</v>
      </c>
      <c r="C1640" s="243">
        <f t="shared" si="680"/>
        <v>47087</v>
      </c>
      <c r="D1640" s="120">
        <f t="shared" si="681"/>
        <v>30</v>
      </c>
      <c r="E1640" s="120">
        <f t="shared" si="682"/>
        <v>11</v>
      </c>
      <c r="F1640" s="275">
        <f t="shared" si="683"/>
        <v>47073</v>
      </c>
      <c r="G1640" s="120">
        <f t="shared" si="684"/>
        <v>24346</v>
      </c>
      <c r="H1640" s="245">
        <f t="shared" si="685"/>
        <v>1</v>
      </c>
      <c r="I1640" s="121">
        <f t="shared" si="686"/>
        <v>1.1000000000000001</v>
      </c>
      <c r="J1640" s="121">
        <f t="shared" si="687"/>
        <v>1.1000000000000001</v>
      </c>
      <c r="K1640" s="120">
        <f t="shared" si="688"/>
        <v>0</v>
      </c>
      <c r="L1640" s="120">
        <f t="shared" si="689"/>
        <v>0</v>
      </c>
      <c r="M1640" s="246">
        <f t="shared" si="690"/>
        <v>0</v>
      </c>
      <c r="N1640" s="121">
        <f t="shared" si="691"/>
        <v>1.1000000000000001</v>
      </c>
      <c r="O1640" s="246">
        <f t="shared" si="692"/>
        <v>0.91500000000000004</v>
      </c>
      <c r="P1640" s="121">
        <f t="shared" si="693"/>
        <v>0</v>
      </c>
      <c r="Q1640" s="121">
        <f t="shared" si="694"/>
        <v>0</v>
      </c>
      <c r="R1640" s="121">
        <f t="shared" si="695"/>
        <v>0.25</v>
      </c>
      <c r="AE1640" s="160">
        <f t="shared" si="696"/>
        <v>1.094021739130435</v>
      </c>
    </row>
    <row r="1641" spans="1:31" x14ac:dyDescent="0.3">
      <c r="A1641" s="187">
        <v>48</v>
      </c>
      <c r="B1641" s="242">
        <f t="shared" si="697"/>
        <v>47088</v>
      </c>
      <c r="C1641" s="243">
        <f t="shared" si="680"/>
        <v>47118</v>
      </c>
      <c r="D1641" s="120">
        <f t="shared" si="681"/>
        <v>31</v>
      </c>
      <c r="E1641" s="120">
        <f t="shared" si="682"/>
        <v>12</v>
      </c>
      <c r="F1641" s="275">
        <f t="shared" si="683"/>
        <v>47103.5</v>
      </c>
      <c r="G1641" s="120">
        <f t="shared" si="684"/>
        <v>24347</v>
      </c>
      <c r="H1641" s="245">
        <f t="shared" si="685"/>
        <v>1</v>
      </c>
      <c r="I1641" s="121">
        <f t="shared" si="686"/>
        <v>1.1000000000000001</v>
      </c>
      <c r="J1641" s="121">
        <f t="shared" si="687"/>
        <v>1.1000000000000001</v>
      </c>
      <c r="K1641" s="120">
        <f t="shared" si="688"/>
        <v>0</v>
      </c>
      <c r="L1641" s="120">
        <f t="shared" si="689"/>
        <v>0</v>
      </c>
      <c r="M1641" s="246">
        <f t="shared" si="690"/>
        <v>0</v>
      </c>
      <c r="N1641" s="121">
        <f t="shared" si="691"/>
        <v>1.1000000000000001</v>
      </c>
      <c r="O1641" s="246">
        <f t="shared" si="692"/>
        <v>0.91500000000000004</v>
      </c>
      <c r="P1641" s="121">
        <f t="shared" si="693"/>
        <v>0</v>
      </c>
      <c r="Q1641" s="121">
        <f t="shared" si="694"/>
        <v>0</v>
      </c>
      <c r="R1641" s="121">
        <f t="shared" si="695"/>
        <v>8.3333333333333329E-2</v>
      </c>
      <c r="AE1641" s="160">
        <f t="shared" si="696"/>
        <v>1.094021739130435</v>
      </c>
    </row>
    <row r="1642" spans="1:31" x14ac:dyDescent="0.3">
      <c r="A1642" s="23" t="s">
        <v>1723</v>
      </c>
      <c r="B1642" s="279">
        <f>SUM($H$1618:$H$1629)</f>
        <v>12</v>
      </c>
      <c r="C1642" s="160">
        <f>SUMPRODUCT($H$1618:$H$1629,$W$1618:$W$1629/$N$1606:$N$1617,$Y$1618:$Y$1629)</f>
        <v>12.956674709398349</v>
      </c>
      <c r="D1642" s="160">
        <f>SUMPRODUCT($H$1618:$H$1629,$X$1618:$X$1629/$N$1606:$N$1617,$Y$1618:$Y$1629)</f>
        <v>9.6421532122608014</v>
      </c>
      <c r="E1642" s="281">
        <f>IF(OR($D$1591=0,$P$1591=0,$D1642=0),"n/a",((1+$E$1591)*$B1642-$C1642)/$D1642)</f>
        <v>2.5235576042521628E-2</v>
      </c>
      <c r="F1642" s="281">
        <f>IF($V$1591&lt;&gt;"",$V$1591,$E1642)</f>
        <v>0.04</v>
      </c>
      <c r="G1642" s="281">
        <f>IF(OR(NOT(ISNUMBER($F1642)),nd_Ach=0),"n/a",$F1642/nd_Ach)</f>
        <v>0.04</v>
      </c>
      <c r="H1642" s="220">
        <f>IF(OR(NOT(ISNUMBER($F1642)),$F$1591=0,SUMPRODUCT($AD$1618:$AD$1629,$AB$1618:$AB$1629)=0),"n/a",((1+$E$1591)*$B1642-SUMPRODUCT($AD$1618:$AD$1629,$AC$1618:$AC$1629))/SUMPRODUCT($AD$1618:$AD$1629,$AB$1618:$AB$1629))</f>
        <v>0.89861591847615585</v>
      </c>
      <c r="I1642" s="183">
        <f>IF(NOT(ISNUMBER($F1642)),"n/a",SUMPRODUCT($H$1618:$H$1629,($W$1618:$W$1629+$X$1618:$X$1629*$F1642)/$N$1606:$N$1617)/$B1642-1)</f>
        <v>0.10699999999999998</v>
      </c>
      <c r="J1642" s="183">
        <f>IF(OR(NOT(ISNUMBER($I1642)),$F$1591=0),"n/a",(1+$E$1591)/(1+$I1642)-1)</f>
        <v>-6.3233965672989667E-3</v>
      </c>
      <c r="K1642" s="183">
        <f>IF(NOT(ISNUMBER($F1642)),"n/a",($C1642+$D1642*$F1642)/$B1642-1)</f>
        <v>0.1118634031573984</v>
      </c>
      <c r="L1642" s="229">
        <f>IF(NOT(ISNUMBER($F1642)),"n/a",SUMPRODUCT($H$1618:$H$1629,$AF$1618:$AF$1629)/$B1642)</f>
        <v>0.75</v>
      </c>
      <c r="M1642" s="23" t="str">
        <f>IF($D$1591=0,"",TRIM(IF(AND(ISNUMBER($H1642),OR($H1642&lt;0.5,$H1642&gt;1.5)),"MOD-BOUND ","")&amp;IF(AND(ISNUMBER($F1642),ABS($F1642)&gt;nr_SolvMaxRate),"RATE-BOUND ","")&amp;IF(AND(ISNUMBER($L1642),$L1642&lt;nr_SolvMinShare),"THIN-SHARE ","")&amp;IF($W$1591&gt;1,"MULTI-PLANNED ","")&amp;IF($F$1591=0,"RATE-ONLY","")))</f>
        <v/>
      </c>
      <c r="N1642" s="229">
        <f>IF(OR($D$1591=0,NOT(ISNUMBER($F1642))),"n/a",INDEX(calc_lrcur,$C$1591)*INDEX(calc_crl,$C$1591)/(SUMPRODUCT($H$1594:$H$1641,$Q$1594:$Q$1641,$AE$1594:$AE$1641)/SUMPRODUCT($H$1594:$H$1641,$Q$1594:$Q$1641))*INDEX(calc_aother,$C$1591))</f>
        <v>0.54263563255155889</v>
      </c>
      <c r="O1642" s="229">
        <f>IF($D$1591=0,"n/a",INDEX(calc_cylr_p,$C$1591))</f>
        <v>0.54805984563196153</v>
      </c>
      <c r="P1642" s="282">
        <f>IF(NOT(ISNUMBER($E1642)),0,ABS(($C1642+$D1642*$E1642)/$B1642-(1+$E$1591)))</f>
        <v>0</v>
      </c>
      <c r="Q1642" s="277">
        <f>MAX($AK$1606:$AK$1617)</f>
        <v>0</v>
      </c>
      <c r="R1642" s="277">
        <f>MAX($AL$1618:$AL$1629)</f>
        <v>2.2204460492503131E-16</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46"/>
  <sheetViews>
    <sheetView workbookViewId="0"/>
  </sheetViews>
  <sheetFormatPr defaultRowHeight="14.4" x14ac:dyDescent="0.3"/>
  <cols>
    <col min="1" max="1" width="44" customWidth="1"/>
    <col min="2" max="3" width="18" customWidth="1"/>
    <col min="4" max="4" width="10" customWidth="1"/>
  </cols>
  <sheetData>
    <row r="1" spans="1:2" x14ac:dyDescent="0.3">
      <c r="A1" s="270" t="s">
        <v>1725</v>
      </c>
    </row>
    <row r="3" spans="1:2" x14ac:dyDescent="0.3">
      <c r="A3" s="18" t="s">
        <v>1726</v>
      </c>
    </row>
    <row r="4" spans="1:2" x14ac:dyDescent="0.3">
      <c r="A4" s="20" t="s">
        <v>1727</v>
      </c>
      <c r="B4" s="283">
        <v>1.1024</v>
      </c>
    </row>
    <row r="5" spans="1:2" x14ac:dyDescent="0.3">
      <c r="A5" s="20" t="s">
        <v>1728</v>
      </c>
      <c r="B5" s="283">
        <v>1.0556000000000001</v>
      </c>
    </row>
    <row r="6" spans="1:2" x14ac:dyDescent="0.3">
      <c r="A6" s="20" t="s">
        <v>1729</v>
      </c>
      <c r="B6" s="283">
        <v>1.1299600000000001</v>
      </c>
    </row>
    <row r="7" spans="1:2" x14ac:dyDescent="0.3">
      <c r="A7" s="20" t="s">
        <v>1730</v>
      </c>
      <c r="B7" s="283">
        <v>1.1575200000000001</v>
      </c>
    </row>
    <row r="8" spans="1:2" x14ac:dyDescent="0.3">
      <c r="A8" s="20" t="s">
        <v>1731</v>
      </c>
      <c r="B8" s="283">
        <v>0.87197757111597374</v>
      </c>
    </row>
    <row r="9" spans="1:2" x14ac:dyDescent="0.3">
      <c r="A9" s="20" t="s">
        <v>1732</v>
      </c>
      <c r="B9" s="283">
        <v>0.97560975609756095</v>
      </c>
    </row>
    <row r="10" spans="1:2" x14ac:dyDescent="0.3">
      <c r="A10" s="20" t="s">
        <v>1733</v>
      </c>
      <c r="B10" s="283">
        <v>0.95238095238095233</v>
      </c>
    </row>
    <row r="11" spans="1:2" x14ac:dyDescent="0.3">
      <c r="A11" s="20" t="s">
        <v>1734</v>
      </c>
      <c r="B11" s="283">
        <v>0.97479571511472884</v>
      </c>
    </row>
    <row r="12" spans="1:2" x14ac:dyDescent="0.3">
      <c r="A12" s="20" t="s">
        <v>1735</v>
      </c>
      <c r="B12" s="283">
        <v>0.61816313641421827</v>
      </c>
    </row>
    <row r="13" spans="1:2" x14ac:dyDescent="0.3">
      <c r="A13" s="20" t="s">
        <v>1736</v>
      </c>
      <c r="B13" s="283">
        <v>0.59190316879792326</v>
      </c>
    </row>
    <row r="14" spans="1:2" x14ac:dyDescent="0.3">
      <c r="A14" s="20" t="s">
        <v>1737</v>
      </c>
      <c r="B14" s="283">
        <v>2.500000000000013E-2</v>
      </c>
    </row>
    <row r="15" spans="1:2" x14ac:dyDescent="0.3">
      <c r="A15" s="20" t="s">
        <v>1738</v>
      </c>
      <c r="B15" s="283">
        <v>0.61814723651823666</v>
      </c>
    </row>
    <row r="16" spans="1:2" x14ac:dyDescent="0.3">
      <c r="A16" s="20" t="s">
        <v>1739</v>
      </c>
      <c r="B16" s="283">
        <v>1.1299600000000001</v>
      </c>
    </row>
    <row r="17" spans="1:4" x14ac:dyDescent="0.3">
      <c r="A17" s="20" t="s">
        <v>1740</v>
      </c>
      <c r="B17" s="283">
        <v>5.0000000000000273E-2</v>
      </c>
    </row>
    <row r="19" spans="1:4" x14ac:dyDescent="0.3">
      <c r="A19" s="18" t="s">
        <v>1741</v>
      </c>
    </row>
    <row r="20" spans="1:4" x14ac:dyDescent="0.3">
      <c r="A20" s="270" t="s">
        <v>1742</v>
      </c>
      <c r="B20" s="270" t="s">
        <v>742</v>
      </c>
      <c r="C20" s="270" t="s">
        <v>1743</v>
      </c>
      <c r="D20" s="270" t="s">
        <v>1744</v>
      </c>
    </row>
    <row r="21" spans="1:4" x14ac:dyDescent="0.3">
      <c r="A21" s="20" t="s">
        <v>555</v>
      </c>
      <c r="B21" s="20">
        <v>2027</v>
      </c>
      <c r="C21" s="20">
        <f>nr_PlanYear</f>
        <v>2027</v>
      </c>
      <c r="D21" s="20" t="b">
        <f>ABS($C21-$B21)&lt;=0.000000001</f>
        <v>1</v>
      </c>
    </row>
    <row r="22" spans="1:4" x14ac:dyDescent="0.3">
      <c r="A22" s="20" t="s">
        <v>100</v>
      </c>
      <c r="B22" s="20" t="s">
        <v>1745</v>
      </c>
      <c r="C22" s="20" t="str">
        <f>nr_SelKey</f>
        <v>ABD|AZ</v>
      </c>
      <c r="D22" s="20" t="b">
        <f>$C22=$B22</f>
        <v>1</v>
      </c>
    </row>
    <row r="23" spans="1:4" x14ac:dyDescent="0.3">
      <c r="A23" s="20" t="s">
        <v>417</v>
      </c>
      <c r="B23" s="20">
        <v>0.65</v>
      </c>
      <c r="C23" s="20">
        <f>nr_LRproj</f>
        <v>0.65</v>
      </c>
      <c r="D23" s="20" t="b">
        <f>ABS($C23-$B23)&lt;=0.000000001</f>
        <v>1</v>
      </c>
    </row>
    <row r="24" spans="1:4" x14ac:dyDescent="0.3">
      <c r="A24" s="20" t="s">
        <v>164</v>
      </c>
      <c r="B24" s="20" t="s">
        <v>182</v>
      </c>
      <c r="C24" s="20" t="str">
        <f>nr_Basis</f>
        <v>current</v>
      </c>
      <c r="D24" s="20" t="b">
        <f>$C24=$B24</f>
        <v>1</v>
      </c>
    </row>
    <row r="25" spans="1:4" x14ac:dyDescent="0.3">
      <c r="A25" s="20" t="s">
        <v>1746</v>
      </c>
      <c r="B25" s="20">
        <v>0.85</v>
      </c>
      <c r="C25" s="20">
        <f>nr_MInd</f>
        <v>0.85</v>
      </c>
      <c r="D25" s="20" t="b">
        <f>ABS($C25-$B25)&lt;=0.000000001</f>
        <v>1</v>
      </c>
    </row>
    <row r="26" spans="1:4" x14ac:dyDescent="0.3">
      <c r="A26" s="20" t="s">
        <v>1747</v>
      </c>
      <c r="B26" s="20">
        <v>0.86</v>
      </c>
      <c r="C26" s="20">
        <f>nr_M0</f>
        <v>0.86</v>
      </c>
      <c r="D26" s="20" t="b">
        <f>ABS($C26-$B26)&lt;=0.000000001</f>
        <v>1</v>
      </c>
    </row>
    <row r="27" spans="1:4" x14ac:dyDescent="0.3">
      <c r="A27" s="20" t="s">
        <v>1748</v>
      </c>
      <c r="B27" s="20">
        <v>46295</v>
      </c>
      <c r="C27" s="20">
        <f>nr_M0Asof</f>
        <v>46295</v>
      </c>
      <c r="D27" s="20" t="b">
        <f>ABS($C27-$B27)&lt;=0.5</f>
        <v>1</v>
      </c>
    </row>
    <row r="28" spans="1:4" x14ac:dyDescent="0.3">
      <c r="A28" s="20" t="s">
        <v>1749</v>
      </c>
      <c r="B28" s="20">
        <v>0.89</v>
      </c>
      <c r="C28" s="20">
        <f>nr_M1</f>
        <v>0.89</v>
      </c>
      <c r="D28" s="20" t="b">
        <f>ABS($C28-$B28)&lt;=0.000000001</f>
        <v>1</v>
      </c>
    </row>
    <row r="29" spans="1:4" x14ac:dyDescent="0.3">
      <c r="A29" s="20" t="s">
        <v>1750</v>
      </c>
      <c r="B29" s="20">
        <v>0</v>
      </c>
      <c r="C29" s="20">
        <f>nr_MPrior</f>
        <v>0</v>
      </c>
      <c r="D29" s="20" t="b">
        <f>ABS($C29-$B29)&lt;=0.000000001</f>
        <v>1</v>
      </c>
    </row>
    <row r="30" spans="1:4" x14ac:dyDescent="0.3">
      <c r="A30" s="20" t="s">
        <v>1751</v>
      </c>
      <c r="B30" s="20">
        <v>0</v>
      </c>
      <c r="C30" s="20">
        <f>nr_M2</f>
        <v>0</v>
      </c>
      <c r="D30" s="20" t="b">
        <f>ABS($C30-$B30)&lt;=0.000000001</f>
        <v>1</v>
      </c>
    </row>
    <row r="31" spans="1:4" x14ac:dyDescent="0.3">
      <c r="A31" s="20" t="s">
        <v>1752</v>
      </c>
      <c r="B31" s="20">
        <v>0</v>
      </c>
      <c r="C31" s="20">
        <f>nr_Trend</f>
        <v>0</v>
      </c>
      <c r="D31" s="20" t="b">
        <f>ABS($C31-$B31)&lt;=0.000000001</f>
        <v>1</v>
      </c>
    </row>
    <row r="32" spans="1:4" x14ac:dyDescent="0.3">
      <c r="A32" s="20" t="s">
        <v>1753</v>
      </c>
      <c r="B32" s="20">
        <v>0</v>
      </c>
      <c r="C32" s="20">
        <f>N(nr_TrendDefault)</f>
        <v>0</v>
      </c>
      <c r="D32" s="20" t="b">
        <f>ABS($C32-$B32)&lt;=0.000000001</f>
        <v>1</v>
      </c>
    </row>
    <row r="33" spans="1:4" x14ac:dyDescent="0.3">
      <c r="A33" s="20" t="s">
        <v>1754</v>
      </c>
      <c r="B33" s="20" t="s">
        <v>1755</v>
      </c>
      <c r="C33" s="20" t="str">
        <f>IF(nr_NetMode,"TRUE","FALSE")</f>
        <v>FALSE</v>
      </c>
      <c r="D33" s="20" t="b">
        <f>$C33=$B33</f>
        <v>1</v>
      </c>
    </row>
    <row r="34" spans="1:4" x14ac:dyDescent="0.3">
      <c r="A34" s="20" t="s">
        <v>1649</v>
      </c>
      <c r="B34" s="20">
        <v>1</v>
      </c>
      <c r="C34" s="20">
        <f>nr_AOther</f>
        <v>1</v>
      </c>
      <c r="D34" s="20" t="b">
        <f>ABS($C34-$B34)&lt;=0.000000001</f>
        <v>1</v>
      </c>
    </row>
    <row r="35" spans="1:4" x14ac:dyDescent="0.3">
      <c r="A35" s="20" t="s">
        <v>1756</v>
      </c>
      <c r="B35" s="20" t="s">
        <v>116</v>
      </c>
      <c r="C35" s="20" t="str">
        <f>nr_ModAdjRow</f>
        <v>ON</v>
      </c>
      <c r="D35" s="20" t="b">
        <f>$C35=$B35</f>
        <v>1</v>
      </c>
    </row>
    <row r="36" spans="1:4" x14ac:dyDescent="0.3">
      <c r="A36" s="20" t="s">
        <v>1757</v>
      </c>
      <c r="B36" s="20" t="s">
        <v>116</v>
      </c>
      <c r="C36" s="20" t="str">
        <f>nr_ModAdjMaster</f>
        <v>ON</v>
      </c>
      <c r="D36" s="20" t="b">
        <f>$C36=$B36</f>
        <v>1</v>
      </c>
    </row>
    <row r="37" spans="1:4" x14ac:dyDescent="0.3">
      <c r="A37" s="20" t="s">
        <v>1758</v>
      </c>
      <c r="B37" s="20" t="s">
        <v>1755</v>
      </c>
      <c r="C37" s="20" t="str">
        <f>IF(re_season_active,"TRUE","FALSE")</f>
        <v>FALSE</v>
      </c>
      <c r="D37" s="20" t="b">
        <f>$C37=$B37</f>
        <v>1</v>
      </c>
    </row>
    <row r="38" spans="1:4" x14ac:dyDescent="0.3">
      <c r="A38" s="20" t="s">
        <v>1759</v>
      </c>
      <c r="B38" s="20">
        <v>6</v>
      </c>
      <c r="C38" s="20">
        <f>nr_TermMonths</f>
        <v>6</v>
      </c>
      <c r="D38" s="20" t="b">
        <f>ABS($C38-$B38)&lt;=0.000000001</f>
        <v>1</v>
      </c>
    </row>
    <row r="39" spans="1:4" x14ac:dyDescent="0.3">
      <c r="A39" s="20" t="s">
        <v>1760</v>
      </c>
      <c r="B39" s="20">
        <v>3</v>
      </c>
      <c r="C39" s="20">
        <f>COUNTIF(rl_key,"ABD|AZ")</f>
        <v>3</v>
      </c>
      <c r="D39" s="20" t="b">
        <f>ABS($C39-$B39)&lt;=0.000000001</f>
        <v>1</v>
      </c>
    </row>
    <row r="40" spans="1:4" x14ac:dyDescent="0.3">
      <c r="A40" s="20" t="s">
        <v>1761</v>
      </c>
      <c r="B40" s="20">
        <v>0.15</v>
      </c>
      <c r="C40" s="20">
        <f>SUMIF(rl_key,"ABD|AZ",rl_filed)</f>
        <v>0.15000000000000002</v>
      </c>
      <c r="D40" s="20" t="b">
        <f>ABS($C40-$B40)&lt;=0.000000001</f>
        <v>1</v>
      </c>
    </row>
    <row r="41" spans="1:4" x14ac:dyDescent="0.3">
      <c r="A41" s="20" t="s">
        <v>1762</v>
      </c>
      <c r="B41" s="20">
        <v>138521</v>
      </c>
      <c r="C41" s="20">
        <f>SUMIF(rl_key,"ABD|AZ",rl_eff)</f>
        <v>138521</v>
      </c>
      <c r="D41" s="20" t="b">
        <f>ABS($C41-$B41)&lt;=0.5</f>
        <v>1</v>
      </c>
    </row>
    <row r="42" spans="1:4" x14ac:dyDescent="0.3">
      <c r="A42" s="20" t="s">
        <v>1763</v>
      </c>
      <c r="B42" s="20">
        <v>0.15</v>
      </c>
      <c r="C42" s="20">
        <f>SUMIF(rl_key,"ABD|AZ",rl_reff)</f>
        <v>0.15000000000000002</v>
      </c>
      <c r="D42" s="20" t="b">
        <f>ABS($C42-$B42)&lt;=0.000000001</f>
        <v>1</v>
      </c>
    </row>
    <row r="43" spans="1:4" x14ac:dyDescent="0.3">
      <c r="A43" s="20" t="s">
        <v>1764</v>
      </c>
      <c r="B43" s="20">
        <v>1</v>
      </c>
      <c r="C43" s="20">
        <f>COUNTIFS(rl_key,"ABD|AZ",rl_status,"planned")</f>
        <v>1</v>
      </c>
      <c r="D43" s="20" t="b">
        <f>ABS($C43-$B43)&lt;=0.000000001</f>
        <v>1</v>
      </c>
    </row>
    <row r="44" spans="1:4" x14ac:dyDescent="0.3">
      <c r="A44" s="20" t="s">
        <v>1765</v>
      </c>
      <c r="B44" s="20">
        <v>2</v>
      </c>
      <c r="C44" s="20">
        <f>COUNTIFS(rl_key,"ABD|AZ",rl_cons,"Y")</f>
        <v>2</v>
      </c>
      <c r="D44" s="20" t="b">
        <f>ABS($C44-$B44)&lt;=0.000000001</f>
        <v>1</v>
      </c>
    </row>
    <row r="46" spans="1:4" x14ac:dyDescent="0.3">
      <c r="A46" s="18" t="s">
        <v>1766</v>
      </c>
      <c r="B46" s="22" t="b">
        <f>COUNTIF($D$21:$D$44,FALSE)=0</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239</vt:i4>
      </vt:variant>
    </vt:vector>
  </HeadingPairs>
  <TitlesOfParts>
    <vt:vector size="263" baseType="lpstr">
      <vt:lpstr>Read Me</vt:lpstr>
      <vt:lpstr>Control</vt:lpstr>
      <vt:lpstr>Inputs</vt:lpstr>
      <vt:lpstr>Rate Log</vt:lpstr>
      <vt:lpstr>Portfolio</vt:lpstr>
      <vt:lpstr>State Summary</vt:lpstr>
      <vt:lpstr>Program Flow</vt:lpstr>
      <vt:lpstr>Net Delivery</vt:lpstr>
      <vt:lpstr>Bridge</vt:lpstr>
      <vt:lpstr>Walkthrough</vt:lpstr>
      <vt:lpstr>One-Pager</vt:lpstr>
      <vt:lpstr>Flow Dashboard</vt:lpstr>
      <vt:lpstr>Scenarios</vt:lpstr>
      <vt:lpstr>Compare</vt:lpstr>
      <vt:lpstr>Solver</vt:lpstr>
      <vt:lpstr>Attribution</vt:lpstr>
      <vt:lpstr>Rate Engine</vt:lpstr>
      <vt:lpstr>Mod Engine</vt:lpstr>
      <vt:lpstr>Checks</vt:lpstr>
      <vt:lpstr>Methodology</vt:lpstr>
      <vt:lpstr>_lists</vt:lpstr>
      <vt:lpstr>_calc</vt:lpstr>
      <vt:lpstr>_netcalc</vt:lpstr>
      <vt:lpstr>_oracle</vt:lpstr>
      <vt:lpstr>att_actdate</vt:lpstr>
      <vt:lpstr>att_actlr</vt:lpstr>
      <vt:lpstr>att_actpct</vt:lpstr>
      <vt:lpstr>att_asof</vt:lpstr>
      <vt:lpstr>att_m0</vt:lpstr>
      <vt:lpstr>att_m1</vt:lpstr>
      <vt:lpstr>att_m2</vt:lpstr>
      <vt:lpstr>att_reconciles</vt:lpstr>
      <vt:lpstr>br_selrow</vt:lpstr>
      <vt:lpstr>calc_amod_p</vt:lpstr>
      <vt:lpstr>calc_amod_p1</vt:lpstr>
      <vt:lpstr>calc_aother</vt:lpstr>
      <vt:lpstr>calc_arate_p</vt:lpstr>
      <vt:lpstr>calc_arate_p1</vt:lpstr>
      <vt:lpstr>calc_bu</vt:lpstr>
      <vt:lpstr>calc_carry</vt:lpstr>
      <vt:lpstr>calc_crl</vt:lpstr>
      <vt:lpstr>calc_cylr_p</vt:lpstr>
      <vt:lpstr>calc_cylr_p1</vt:lpstr>
      <vt:lpstr>calc_cylr_prog</vt:lpstr>
      <vt:lpstr>calc_cylr1_prog</vt:lpstr>
      <vt:lpstr>calc_echg</vt:lpstr>
      <vt:lpstr>calc_ecy_p</vt:lpstr>
      <vt:lpstr>calc_ecy_p1</vt:lpstr>
      <vt:lpstr>calc_ecy_pm1</vt:lpstr>
      <vt:lpstr>calc_ep</vt:lpstr>
      <vt:lpstr>calc_key</vt:lpstr>
      <vt:lpstr>calc_lrcur</vt:lpstr>
      <vt:lpstr>calc_mbar_p</vt:lpstr>
      <vt:lpstr>calc_mbar_p1</vt:lpstr>
      <vt:lpstr>calc_netmode</vt:lpstr>
      <vt:lpstr>calc_netx</vt:lpstr>
      <vt:lpstr>calc_nplanned</vt:lpstr>
      <vt:lpstr>calc_ntaken</vt:lpstr>
      <vt:lpstr>calc_proggap</vt:lpstr>
      <vt:lpstr>calc_progident</vt:lpstr>
      <vt:lpstr>calc_state</vt:lpstr>
      <vt:lpstr>calc_term</vt:lpstr>
      <vt:lpstr>calc_trend</vt:lpstr>
      <vt:lpstr>calc_w_amod</vt:lpstr>
      <vt:lpstr>calc_w_amod1</vt:lpstr>
      <vt:lpstr>calc_w_aother</vt:lpstr>
      <vt:lpstr>calc_w_arate</vt:lpstr>
      <vt:lpstr>calc_w_arate1</vt:lpstr>
      <vt:lpstr>calc_w_crl</vt:lpstr>
      <vt:lpstr>calc_w_cylr</vt:lpstr>
      <vt:lpstr>calc_w_cylr_prog</vt:lpstr>
      <vt:lpstr>calc_w_cylr1</vt:lpstr>
      <vt:lpstr>calc_w_cylr1_prog</vt:lpstr>
      <vt:lpstr>calc_w_ecy</vt:lpstr>
      <vt:lpstr>calc_w_lrcur</vt:lpstr>
      <vt:lpstr>calc_w_m0</vt:lpstr>
      <vt:lpstr>calc_w_m1</vt:lpstr>
      <vt:lpstr>calc_w_mbar</vt:lpstr>
      <vt:lpstr>calc_w_mind</vt:lpstr>
      <vt:lpstr>calc_w_trend</vt:lpstr>
      <vt:lpstr>ck_overall</vt:lpstr>
      <vt:lpstr>fd_avgdel</vt:lpstr>
      <vt:lpstr>fd_tkw</vt:lpstr>
      <vt:lpstr>lr_aother</vt:lpstr>
      <vt:lpstr>lr_aotherlbl</vt:lpstr>
      <vt:lpstr>lr_basis</vt:lpstr>
      <vt:lpstr>lr_bu</vt:lpstr>
      <vt:lpstr>lr_ep</vt:lpstr>
      <vt:lpstr>lr_key</vt:lpstr>
      <vt:lpstr>lr_lrproj</vt:lpstr>
      <vt:lpstr>lr_m0</vt:lpstr>
      <vt:lpstr>lr_m0asof</vt:lpstr>
      <vt:lpstr>lr_m1</vt:lpstr>
      <vt:lpstr>lr_m2</vt:lpstr>
      <vt:lpstr>lr_mind</vt:lpstr>
      <vt:lpstr>lr_modadj</vt:lpstr>
      <vt:lpstr>lr_mprior</vt:lpstr>
      <vt:lpstr>lr_netp</vt:lpstr>
      <vt:lpstr>lr_netp1</vt:lpstr>
      <vt:lpstr>lr_s</vt:lpstr>
      <vt:lpstr>lr_state</vt:lpstr>
      <vt:lpstr>lr_trend</vt:lpstr>
      <vt:lpstr>lst_basis</vt:lpstr>
      <vt:lpstr>lst_basisdisp</vt:lpstr>
      <vt:lpstr>lst_onoff</vt:lpstr>
      <vt:lpstr>lst_scenario</vt:lpstr>
      <vt:lpstr>lst_state_cnt</vt:lpstr>
      <vt:lpstr>lst_status</vt:lpstr>
      <vt:lpstr>lst_yn</vt:lpstr>
      <vt:lpstr>me_identity</vt:lpstr>
      <vt:lpstr>me_identity_ok</vt:lpstr>
      <vt:lpstr>me_mw_col</vt:lpstr>
      <vt:lpstr>nd_Ach</vt:lpstr>
      <vt:lpstr>nd_band_top</vt:lpstr>
      <vt:lpstr>nd_BandBU</vt:lpstr>
      <vt:lpstr>nd_BandState</vt:lpstr>
      <vt:lpstr>nd_BU</vt:lpstr>
      <vt:lpstr>nd_DefaultDate</vt:lpstr>
      <vt:lpstr>nd_DefaultDateRaw</vt:lpstr>
      <vt:lpstr>nd_MaxResid</vt:lpstr>
      <vt:lpstr>nd_NetSelfChk</vt:lpstr>
      <vt:lpstr>nd_YagoDiff</vt:lpstr>
      <vt:lpstr>ndd_dates</vt:lpstr>
      <vt:lpstr>ndd_filed</vt:lpstr>
      <vt:lpstr>ndd_flags</vt:lpstr>
      <vt:lpstr>ndd_states</vt:lpstr>
      <vt:lpstr>ndl_days</vt:lpstr>
      <vt:lpstr>ndl_eff</vt:lpstr>
      <vt:lpstr>ndl_effmonth</vt:lpstr>
      <vt:lpstr>ndl_first</vt:lpstr>
      <vt:lpstr>ndl_live</vt:lpstr>
      <vt:lpstr>ndl_ln</vt:lpstr>
      <vt:lpstr>nr_Amod_P</vt:lpstr>
      <vt:lpstr>nr_Amod_P1</vt:lpstr>
      <vt:lpstr>nr_AOther</vt:lpstr>
      <vt:lpstr>nr_AOtherLbl</vt:lpstr>
      <vt:lpstr>nr_Arate_P</vt:lpstr>
      <vt:lpstr>nr_Arate_P1</vt:lpstr>
      <vt:lpstr>nr_Basis</vt:lpstr>
      <vt:lpstr>nr_BasisDisp</vt:lpstr>
      <vt:lpstr>nr_CRLind</vt:lpstr>
      <vt:lpstr>nr_CYLR_P</vt:lpstr>
      <vt:lpstr>nr_CYLR_P1</vt:lpstr>
      <vt:lpstr>nr_EChgVsInd</vt:lpstr>
      <vt:lpstr>nr_ECY_P</vt:lpstr>
      <vt:lpstr>nr_ECY_P1</vt:lpstr>
      <vt:lpstr>nr_ECY_Pm1</vt:lpstr>
      <vt:lpstr>nr_LRcur</vt:lpstr>
      <vt:lpstr>nr_LRproj</vt:lpstr>
      <vt:lpstr>nr_M0</vt:lpstr>
      <vt:lpstr>nr_M0Asof</vt:lpstr>
      <vt:lpstr>nr_M1</vt:lpstr>
      <vt:lpstr>nr_M2</vt:lpstr>
      <vt:lpstr>nr_MEarned_P</vt:lpstr>
      <vt:lpstr>nr_MEarned_P1</vt:lpstr>
      <vt:lpstr>nr_MEarned_Pm1</vt:lpstr>
      <vt:lpstr>nr_MEndP</vt:lpstr>
      <vt:lpstr>nr_MEndP1</vt:lpstr>
      <vt:lpstr>nr_MEndPm1</vt:lpstr>
      <vt:lpstr>nr_MInd</vt:lpstr>
      <vt:lpstr>nr_ModAdjEff</vt:lpstr>
      <vt:lpstr>nr_ModAdjMaster</vt:lpstr>
      <vt:lpstr>nr_ModAdjRow</vt:lpstr>
      <vt:lpstr>nr_MPrior</vt:lpstr>
      <vt:lpstr>nr_MStartP</vt:lpstr>
      <vt:lpstr>nr_MStartP1</vt:lpstr>
      <vt:lpstr>nr_MStartPm1</vt:lpstr>
      <vt:lpstr>nr_NetMode</vt:lpstr>
      <vt:lpstr>nr_NetSelP</vt:lpstr>
      <vt:lpstr>nr_NetSelP1</vt:lpstr>
      <vt:lpstr>nr_PlanYear</vt:lpstr>
      <vt:lpstr>nr_SeasonOn</vt:lpstr>
      <vt:lpstr>nr_SelBU</vt:lpstr>
      <vt:lpstr>nr_SelKey</vt:lpstr>
      <vt:lpstr>nr_SelOK</vt:lpstr>
      <vt:lpstr>nr_SelS</vt:lpstr>
      <vt:lpstr>nr_SelScenario</vt:lpstr>
      <vt:lpstr>nr_SelState</vt:lpstr>
      <vt:lpstr>nr_SolverR</vt:lpstr>
      <vt:lpstr>nr_SolvMaxRate</vt:lpstr>
      <vt:lpstr>nr_SolvMinShare</vt:lpstr>
      <vt:lpstr>nr_SumBU</vt:lpstr>
      <vt:lpstr>nr_TermMonths</vt:lpstr>
      <vt:lpstr>nr_Trend</vt:lpstr>
      <vt:lpstr>nr_TrendDefault</vt:lpstr>
      <vt:lpstr>nr_WalkLR</vt:lpstr>
      <vt:lpstr>nr_YoY_P</vt:lpstr>
      <vt:lpstr>nr_YoY_P1</vt:lpstr>
      <vt:lpstr>orc_amod_p</vt:lpstr>
      <vt:lpstr>orc_arate_p</vt:lpstr>
      <vt:lpstr>orc_arate_p1</vt:lpstr>
      <vt:lpstr>orc_crl</vt:lpstr>
      <vt:lpstr>orc_cylr_p</vt:lpstr>
      <vt:lpstr>orc_cylr_p_cont</vt:lpstr>
      <vt:lpstr>orc_cylr_p1</vt:lpstr>
      <vt:lpstr>orc_echg</vt:lpstr>
      <vt:lpstr>orc_ecy_p</vt:lpstr>
      <vt:lpstr>orc_ecy_p_cont</vt:lpstr>
      <vt:lpstr>orc_ecy_p1</vt:lpstr>
      <vt:lpstr>orc_ecy_pm1</vt:lpstr>
      <vt:lpstr>orc_fp</vt:lpstr>
      <vt:lpstr>orc_mbar_p</vt:lpstr>
      <vt:lpstr>orc_solver_r</vt:lpstr>
      <vt:lpstr>pf_BU</vt:lpstr>
      <vt:lpstr>pfd_bookgap</vt:lpstr>
      <vt:lpstr>pfd_gap</vt:lpstr>
      <vt:lpstr>pfd_states</vt:lpstr>
      <vt:lpstr>'One-Pager'!Print_Area</vt:lpstr>
      <vt:lpstr>Walkthrough!Print_Area</vt:lpstr>
      <vt:lpstr>re_den_row</vt:lpstr>
      <vt:lpstr>re_ecy_matrix</vt:lpstr>
      <vt:lpstr>re_em_row</vt:lpstr>
      <vt:lpstr>re_rowsum_chk</vt:lpstr>
      <vt:lpstr>re_season_active</vt:lpstr>
      <vt:lpstr>re_srow</vt:lpstr>
      <vt:lpstr>re_ssum</vt:lpstr>
      <vt:lpstr>re_viol_row</vt:lpstr>
      <vt:lpstr>rl_ach</vt:lpstr>
      <vt:lpstr>rl_bu</vt:lpstr>
      <vt:lpstr>rl_cons</vt:lpstr>
      <vt:lpstr>rl_daysafter</vt:lpstr>
      <vt:lpstr>rl_dup</vt:lpstr>
      <vt:lpstr>rl_eff</vt:lpstr>
      <vt:lpstr>rl_effmonth</vt:lpstr>
      <vt:lpstr>rl_filed</vt:lpstr>
      <vt:lpstr>rl_first</vt:lpstr>
      <vt:lpstr>rl_firstplanned</vt:lpstr>
      <vt:lpstr>rl_firsttaken</vt:lpstr>
      <vt:lpstr>rl_key</vt:lpstr>
      <vt:lpstr>rl_ln1p</vt:lpstr>
      <vt:lpstr>rl_reff</vt:lpstr>
      <vt:lpstr>rl_seq</vt:lpstr>
      <vt:lpstr>rl_state</vt:lpstr>
      <vt:lpstr>rl_status</vt:lpstr>
      <vt:lpstr>sc_ach</vt:lpstr>
      <vt:lpstr>sc_dm1</vt:lpstr>
      <vt:lpstr>sc_dnet</vt:lpstr>
      <vt:lpstr>sc_dpts</vt:lpstr>
      <vt:lpstr>sc_res_cylr</vt:lpstr>
      <vt:lpstr>sc_res_names</vt:lpstr>
      <vt:lpstr>sc_shift</vt:lpstr>
      <vt:lpstr>se_block</vt:lpstr>
      <vt:lpstr>se_state</vt:lpstr>
      <vt:lpstr>se_sum</vt:lpstr>
      <vt:lpstr>slv_absmi</vt:lpstr>
      <vt:lpstr>slv_amod</vt:lpstr>
      <vt:lpstr>slv_aother</vt:lpstr>
      <vt:lpstr>slv_crl</vt:lpstr>
      <vt:lpstr>slv_cum</vt:lpstr>
      <vt:lpstr>slv_den</vt:lpstr>
      <vt:lpstr>slv_dfirst</vt:lpstr>
      <vt:lpstr>slv_ecp</vt:lpstr>
      <vt:lpstr>slv_key</vt:lpstr>
      <vt:lpstr>slv_lrcur</vt:lpstr>
      <vt:lpstr>slv_row</vt:lpstr>
      <vt:lpstr>slv_state</vt:lpstr>
      <vt:lpstr>slv_total</vt:lpstr>
      <vt:lpstr>slv_w</vt:lpstr>
      <vt:lpstr>slv_weom</vt:lpstr>
      <vt:lpstr>slv_weom_c</vt:lpstr>
      <vt:lpstr>slv_widx</vt:lpstr>
      <vt:lpstr>slv_wpre</vt:lpstr>
      <vt:lpstr>ss_mathchk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Yeager</cp:lastModifiedBy>
  <dcterms:created xsi:type="dcterms:W3CDTF">2026-07-31T22:25:29Z</dcterms:created>
  <dcterms:modified xsi:type="dcterms:W3CDTF">2026-07-31T22:25:54Z</dcterms:modified>
</cp:coreProperties>
</file>